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Pending" sheetId="3" state="visible" r:id="rId3"/>
    <sheet name="Flow" sheetId="4" state="visible" r:id="rId4"/>
    <sheet name="Fundamentals" sheetId="5" state="visible" r:id="rId5"/>
    <sheet name="Override" sheetId="6" state="visible" r:id="rId6"/>
    <sheet name="HSI" sheetId="7" state="visible" r:id="rId7"/>
    <sheet name="HSTECH" sheetId="8" state="visible" r:id="rId8"/>
    <sheet name="HSCEI" sheetId="9" state="visible" r:id="rId9"/>
    <sheet name="Field Check" sheetId="10" state="visible" r:id="rId10"/>
    <sheet name="Dvd Calendar" sheetId="11" state="visible" r:id="rId11"/>
    <sheet name="Grids" sheetId="12" state="visible" r:id="rId12"/>
  </sheets>
  <definedNames>
    <definedName name="_xlnm._FilterDatabase" localSheetId="4" hidden="1">'Fundamentals'!$B$11:$AH$211</definedName>
    <definedName name="_xlnm._FilterDatabase" localSheetId="5" hidden="1">'Override'!$B$12:$M$212</definedName>
    <definedName name="_xlnm._FilterDatabase" localSheetId="6" hidden="1">'HSI'!$A$6:$W$106</definedName>
    <definedName name="_xlnm._FilterDatabase" localSheetId="7" hidden="1">'HSTECH'!$A$6:$W$46</definedName>
    <definedName name="_xlnm._FilterDatabase" localSheetId="8" hidden="1">'HSCEI'!$A$6:$W$66</definedName>
  </definedNames>
  <calcPr calcId="124519" fullCalcOnLoad="1"/>
</workbook>
</file>

<file path=xl/styles.xml><?xml version="1.0" encoding="utf-8"?>
<styleSheet xmlns="http://schemas.openxmlformats.org/spreadsheetml/2006/main">
  <numFmts count="19">
    <numFmt numFmtId="164" formatCode="dd-mmm-yy"/>
    <numFmt numFmtId="165" formatCode="#,##0.0"/>
    <numFmt numFmtId="166" formatCode="+#,##0.00;-#,##0.00"/>
    <numFmt numFmtId="167" formatCode="+0.0%;-0.0%"/>
    <numFmt numFmtId="168" formatCode="+#,##0.0;-#,##0.0"/>
    <numFmt numFmtId="169" formatCode="0.0000"/>
    <numFmt numFmtId="170" formatCode="0.000;;"/>
    <numFmt numFmtId="171" formatCode="0.00;;"/>
    <numFmt numFmtId="172" formatCode="0.0%;;"/>
    <numFmt numFmtId="173" formatCode="[&gt;30000]dd-mmm-yy;0.####"/>
    <numFmt numFmtId="174" formatCode="0;;"/>
    <numFmt numFmtId="175" formatCode="dd-mmm-yy;;"/>
    <numFmt numFmtId="176" formatCode="0.####"/>
    <numFmt numFmtId="177" formatCode="0.000"/>
    <numFmt numFmtId="178" formatCode="dd-mmm;;"/>
    <numFmt numFmtId="179" formatCode="0.0"/>
    <numFmt numFmtId="180" formatCode="0%;;"/>
    <numFmt numFmtId="181" formatCode="0.00%;;"/>
    <numFmt numFmtId="182" formatCode="+0.000;-0.000;;"/>
  </numFmts>
  <fonts count="12">
    <font>
      <name val="Calibri"/>
      <family val="2"/>
      <color theme="1"/>
      <sz val="11"/>
      <scheme val="minor"/>
    </font>
    <font>
      <name val="Arial"/>
      <b val="1"/>
      <sz val="13"/>
    </font>
    <font>
      <name val="Arial"/>
      <i val="1"/>
      <color rgb="00808080"/>
      <sz val="9"/>
    </font>
    <font>
      <name val="Arial"/>
      <b val="1"/>
      <sz val="10"/>
    </font>
    <font>
      <name val="Arial"/>
      <b val="1"/>
      <color rgb="00006100"/>
      <sz val="10"/>
    </font>
    <font>
      <name val="Arial"/>
      <sz val="10"/>
    </font>
    <font>
      <name val="Arial"/>
      <color rgb="000000FF"/>
      <sz val="10"/>
    </font>
    <font>
      <name val="Arial"/>
      <b val="1"/>
      <color rgb="00FFFFFF"/>
      <sz val="10"/>
    </font>
    <font>
      <name val="Arial"/>
      <b val="1"/>
      <sz val="11"/>
    </font>
    <font>
      <name val="Arial"/>
      <b val="1"/>
      <color rgb="00C00000"/>
      <sz val="10"/>
    </font>
    <font>
      <name val="Arial"/>
      <b val="1"/>
      <color rgb="000000FF"/>
      <sz val="11"/>
    </font>
    <font>
      <name val="Arial"/>
      <color rgb="00006100"/>
      <sz val="10"/>
    </font>
  </fonts>
  <fills count="10">
    <fill>
      <patternFill/>
    </fill>
    <fill>
      <patternFill patternType="gray125"/>
    </fill>
    <fill>
      <patternFill patternType="solid">
        <fgColor rgb="00D9D9D9"/>
      </patternFill>
    </fill>
    <fill>
      <patternFill patternType="solid">
        <fgColor rgb="00DDEBF7"/>
      </patternFill>
    </fill>
    <fill>
      <patternFill patternType="solid">
        <fgColor rgb="00FFFF00"/>
      </patternFill>
    </fill>
    <fill>
      <patternFill patternType="solid">
        <fgColor rgb="00F2F2F2"/>
      </patternFill>
    </fill>
    <fill>
      <patternFill patternType="solid">
        <fgColor rgb="001F3864"/>
      </patternFill>
    </fill>
    <fill>
      <patternFill patternType="solid">
        <fgColor rgb="00375623"/>
      </patternFill>
    </fill>
    <fill>
      <patternFill patternType="solid">
        <fgColor rgb="00C6EFCE"/>
      </patternFill>
    </fill>
    <fill>
      <patternFill patternType="solid">
        <fgColor rgb="00FFE69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8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pivotButton="0" quotePrefix="0" xfId="0"/>
    <xf numFmtId="0" fontId="5" fillId="0" borderId="0" pivotButton="0" quotePrefix="0" xfId="0"/>
    <xf numFmtId="0" fontId="6" fillId="0" borderId="0" pivotButton="0" quotePrefix="0" xfId="0"/>
    <xf numFmtId="0" fontId="2" fillId="0" borderId="0" applyAlignment="1" pivotButton="0" quotePrefix="0" xfId="0">
      <alignment vertical="top" wrapText="1"/>
    </xf>
    <xf numFmtId="164" fontId="6" fillId="3" borderId="1" pivotButton="0" quotePrefix="0" xfId="0"/>
    <xf numFmtId="0" fontId="3" fillId="0" borderId="0" pivotButton="0" quotePrefix="0" xfId="0"/>
    <xf numFmtId="1" fontId="6" fillId="3" borderId="1" pivotButton="0" quotePrefix="0" xfId="0"/>
    <xf numFmtId="0" fontId="6" fillId="3" borderId="1" pivotButton="0" quotePrefix="0" xfId="0"/>
    <xf numFmtId="0" fontId="3" fillId="4" borderId="1" pivotButton="0" quotePrefix="0" xfId="0"/>
    <xf numFmtId="0" fontId="0" fillId="0" borderId="4" pivotButton="0" quotePrefix="0" xfId="0"/>
    <xf numFmtId="0" fontId="0" fillId="0" borderId="5" pivotButton="0" quotePrefix="0" xfId="0"/>
    <xf numFmtId="0" fontId="5" fillId="5" borderId="1" pivotButton="0" quotePrefix="0" xfId="0"/>
    <xf numFmtId="0" fontId="7" fillId="6" borderId="1" applyAlignment="1" pivotButton="0" quotePrefix="0" xfId="0">
      <alignment horizontal="center" vertical="center" wrapText="1"/>
    </xf>
    <xf numFmtId="165" fontId="5" fillId="5" borderId="1" pivotButton="0" quotePrefix="0" xfId="0"/>
    <xf numFmtId="4" fontId="5" fillId="5" borderId="1" pivotButton="0" quotePrefix="0" xfId="0"/>
    <xf numFmtId="0" fontId="8" fillId="0" borderId="0" pivotButton="0" quotePrefix="0" xfId="0"/>
    <xf numFmtId="4" fontId="8" fillId="4" borderId="1" pivotButton="0" quotePrefix="0" xfId="0"/>
    <xf numFmtId="10" fontId="3" fillId="5" borderId="1" pivotButton="0" quotePrefix="0" xfId="0"/>
    <xf numFmtId="4" fontId="6" fillId="3" borderId="1" pivotButton="0" quotePrefix="0" xfId="0"/>
    <xf numFmtId="4" fontId="3" fillId="5" borderId="1" pivotButton="0" quotePrefix="0" xfId="0"/>
    <xf numFmtId="166" fontId="8" fillId="4" borderId="1" pivotButton="0" quotePrefix="0" xfId="0"/>
    <xf numFmtId="167" fontId="8" fillId="4" borderId="1" pivotButton="0" quotePrefix="0" xfId="0"/>
    <xf numFmtId="3" fontId="5" fillId="5" borderId="1" pivotButton="0" quotePrefix="0" xfId="0"/>
    <xf numFmtId="10" fontId="5" fillId="5" borderId="1" pivotButton="0" quotePrefix="0" xfId="0"/>
    <xf numFmtId="168" fontId="3" fillId="4" borderId="1" pivotButton="0" quotePrefix="0" xfId="0"/>
    <xf numFmtId="3" fontId="3" fillId="4" borderId="1" pivotButton="0" quotePrefix="0" xfId="0"/>
    <xf numFmtId="0" fontId="5" fillId="5" borderId="1" applyAlignment="1" pivotButton="0" quotePrefix="0" xfId="0">
      <alignment horizontal="center"/>
    </xf>
    <xf numFmtId="164" fontId="3" fillId="4" borderId="1" pivotButton="0" quotePrefix="0" xfId="0"/>
    <xf numFmtId="3" fontId="3" fillId="5" borderId="1" applyAlignment="1" pivotButton="0" quotePrefix="0" xfId="0">
      <alignment horizontal="center"/>
    </xf>
    <xf numFmtId="0" fontId="9" fillId="0" borderId="0" pivotButton="0" quotePrefix="0" xfId="0"/>
    <xf numFmtId="1" fontId="2" fillId="0" borderId="0" pivotButton="0" quotePrefix="0" xfId="0"/>
    <xf numFmtId="175" fontId="5" fillId="5" borderId="1" pivotButton="0" quotePrefix="0" xfId="0"/>
    <xf numFmtId="177" fontId="5" fillId="5" borderId="1" pivotButton="0" quotePrefix="0" xfId="0"/>
    <xf numFmtId="170" fontId="3" fillId="5" borderId="1" pivotButton="0" quotePrefix="0" xfId="0"/>
    <xf numFmtId="0" fontId="5" fillId="0" borderId="1" pivotButton="0" quotePrefix="0" xfId="0"/>
    <xf numFmtId="0" fontId="2" fillId="0" borderId="1" pivotButton="0" quotePrefix="0" xfId="0"/>
    <xf numFmtId="174" fontId="2" fillId="0" borderId="0" pivotButton="0" quotePrefix="0" xfId="0"/>
    <xf numFmtId="1" fontId="3" fillId="4" borderId="1" applyAlignment="1" pivotButton="0" quotePrefix="0" xfId="0">
      <alignment horizontal="center"/>
    </xf>
    <xf numFmtId="164" fontId="3" fillId="5" borderId="1" pivotButton="0" quotePrefix="0" xfId="0"/>
    <xf numFmtId="4" fontId="3" fillId="4" borderId="1" pivotButton="0" quotePrefix="0" xfId="0"/>
    <xf numFmtId="171" fontId="5" fillId="5" borderId="1" pivotButton="0" quotePrefix="0" xfId="0"/>
    <xf numFmtId="178" fontId="2" fillId="0" borderId="0" pivotButton="0" quotePrefix="0" xfId="0"/>
    <xf numFmtId="170" fontId="5" fillId="0" borderId="0" pivotButton="0" quotePrefix="0" xfId="0"/>
    <xf numFmtId="171" fontId="5" fillId="0" borderId="0" pivotButton="0" quotePrefix="0" xfId="0"/>
    <xf numFmtId="9" fontId="6" fillId="3" borderId="1" pivotButton="0" quotePrefix="0" xfId="0"/>
    <xf numFmtId="179" fontId="6" fillId="3" borderId="1" pivotButton="0" quotePrefix="0" xfId="0"/>
    <xf numFmtId="0" fontId="7" fillId="7" borderId="1" applyAlignment="1" pivotButton="0" quotePrefix="0" xfId="0">
      <alignment horizontal="center" vertical="center" wrapText="1"/>
    </xf>
    <xf numFmtId="0" fontId="2" fillId="0" borderId="0" applyAlignment="1" pivotButton="0" quotePrefix="0" xfId="0">
      <alignment horizontal="center"/>
    </xf>
    <xf numFmtId="170" fontId="5" fillId="0" borderId="1" pivotButton="0" quotePrefix="0" xfId="0"/>
    <xf numFmtId="170" fontId="5" fillId="5" borderId="1" pivotButton="0" quotePrefix="0" xfId="0"/>
    <xf numFmtId="171" fontId="5" fillId="9" borderId="1" pivotButton="0" quotePrefix="0" xfId="0"/>
    <xf numFmtId="180" fontId="5" fillId="9" borderId="1" pivotButton="0" quotePrefix="0" xfId="0"/>
    <xf numFmtId="180" fontId="3" fillId="5" borderId="1" pivotButton="0" quotePrefix="0" xfId="0"/>
    <xf numFmtId="180" fontId="5" fillId="5" borderId="1" pivotButton="0" quotePrefix="0" xfId="0"/>
    <xf numFmtId="181" fontId="5" fillId="5" borderId="1" pivotButton="0" quotePrefix="0" xfId="0"/>
    <xf numFmtId="181" fontId="5" fillId="9" borderId="1" pivotButton="0" quotePrefix="0" xfId="0"/>
    <xf numFmtId="181" fontId="3" fillId="5" borderId="1" pivotButton="0" quotePrefix="0" xfId="0"/>
    <xf numFmtId="174" fontId="2" fillId="0" borderId="1" pivotButton="0" quotePrefix="0" xfId="0"/>
    <xf numFmtId="172" fontId="5" fillId="5" borderId="1" pivotButton="0" quotePrefix="0" xfId="0"/>
    <xf numFmtId="174" fontId="3" fillId="5" borderId="1" pivotButton="0" quotePrefix="0" xfId="0"/>
    <xf numFmtId="171" fontId="3" fillId="5" borderId="1" pivotButton="0" quotePrefix="0" xfId="0"/>
    <xf numFmtId="172" fontId="3" fillId="5" borderId="1" pivotButton="0" quotePrefix="0" xfId="0"/>
    <xf numFmtId="0" fontId="10" fillId="3" borderId="1" pivotButton="0" quotePrefix="0" xfId="0"/>
    <xf numFmtId="166" fontId="3" fillId="4" borderId="1" pivotButton="0" quotePrefix="0" xfId="0"/>
    <xf numFmtId="177" fontId="6" fillId="3" borderId="1" pivotButton="0" quotePrefix="0" xfId="0"/>
    <xf numFmtId="170" fontId="11" fillId="5" borderId="1" pivotButton="0" quotePrefix="0" xfId="0"/>
    <xf numFmtId="182" fontId="5" fillId="5" borderId="1" pivotButton="0" quotePrefix="0" xfId="0"/>
    <xf numFmtId="0" fontId="9" fillId="0" borderId="1" pivotButton="0" quotePrefix="0" xfId="0"/>
    <xf numFmtId="3" fontId="6" fillId="3" borderId="1" pivotButton="0" quotePrefix="0" xfId="0"/>
    <xf numFmtId="169" fontId="5" fillId="5" borderId="1" pivotButton="0" quotePrefix="0" xfId="0"/>
    <xf numFmtId="0" fontId="6" fillId="8" borderId="1" pivotButton="0" quotePrefix="0" xfId="0"/>
    <xf numFmtId="0" fontId="6" fillId="9" borderId="1" pivotButton="0" quotePrefix="0" xfId="0"/>
    <xf numFmtId="0" fontId="3" fillId="4" borderId="1" applyAlignment="1" pivotButton="0" quotePrefix="0" xfId="0">
      <alignment horizontal="center"/>
    </xf>
    <xf numFmtId="0" fontId="2" fillId="2" borderId="0" pivotButton="0" quotePrefix="0" xfId="0"/>
    <xf numFmtId="173" fontId="5" fillId="0" borderId="0" pivotButton="0" quotePrefix="0" xfId="0"/>
    <xf numFmtId="173" fontId="0" fillId="0" borderId="0" pivotButton="0" quotePrefix="0" xfId="0"/>
    <xf numFmtId="175" fontId="2" fillId="0" borderId="0" pivotButton="0" quotePrefix="0" xfId="0"/>
    <xf numFmtId="14" fontId="5" fillId="0" borderId="0" pivotButton="0" quotePrefix="0" xfId="0"/>
    <xf numFmtId="14" fontId="0" fillId="0" borderId="0" pivotButton="0" quotePrefix="0" xfId="0"/>
    <xf numFmtId="176" fontId="0" fillId="0" borderId="0" pivotButton="0" quotePrefix="0" xfId="0"/>
    <xf numFmtId="170" fontId="2" fillId="0" borderId="0" pivotButton="0" quotePrefix="0" xfId="0"/>
  </cellXfs>
  <cellStyles count="1">
    <cellStyle name="Normal" xfId="0" builtinId="0" hidden="0"/>
  </cellStyles>
  <dxfs count="1">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2"/>
  <chart>
    <title>
      <tx>
        <rich>
          <a:bodyPr/>
          <a:p>
            <a:pPr>
              <a:defRPr/>
            </a:pPr>
            <a:r>
              <a:t>Cumulative dividend points by ex-date</a:t>
            </a:r>
          </a:p>
        </rich>
      </tx>
    </title>
    <plotArea>
      <lineChart>
        <grouping val="standard"/>
        <ser>
          <idx val="0"/>
          <order val="0"/>
          <tx>
            <strRef>
              <f>'Flow'!F25</f>
            </strRef>
          </tx>
          <spPr>
            <a:ln>
              <a:prstDash val="solid"/>
            </a:ln>
          </spPr>
          <marker>
            <symbol val="none"/>
            <spPr>
              <a:ln>
                <a:prstDash val="solid"/>
              </a:ln>
            </spPr>
          </marker>
          <cat>
            <numRef>
              <f>'Flow'!$B$26:$B$395</f>
            </numRef>
          </cat>
          <val>
            <numRef>
              <f>'Flow'!$F$26:$F$395</f>
            </numRef>
          </val>
        </ser>
        <ser>
          <idx val="1"/>
          <order val="1"/>
          <tx>
            <strRef>
              <f>'Flow'!G25</f>
            </strRef>
          </tx>
          <spPr>
            <a:ln>
              <a:prstDash val="solid"/>
            </a:ln>
          </spPr>
          <marker>
            <symbol val="none"/>
            <spPr>
              <a:ln>
                <a:prstDash val="solid"/>
              </a:ln>
            </spPr>
          </marker>
          <cat>
            <numRef>
              <f>'Flow'!$B$26:$B$395</f>
            </numRef>
          </cat>
          <val>
            <numRef>
              <f>'Flow'!$G$26:$G$395</f>
            </numRef>
          </val>
        </ser>
        <ser>
          <idx val="2"/>
          <order val="2"/>
          <tx>
            <strRef>
              <f>'Flow'!H25</f>
            </strRef>
          </tx>
          <spPr>
            <a:ln>
              <a:prstDash val="solid"/>
            </a:ln>
          </spPr>
          <marker>
            <symbol val="none"/>
            <spPr>
              <a:ln>
                <a:prstDash val="solid"/>
              </a:ln>
            </spPr>
          </marker>
          <cat>
            <numRef>
              <f>'Flow'!$B$26:$B$395</f>
            </numRef>
          </cat>
          <val>
            <numRef>
              <f>'Flow'!$H$26:$H$395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HSI - dividend points by month</a:t>
            </a:r>
          </a:p>
        </rich>
      </tx>
    </title>
    <plotArea>
      <barChart>
        <barDir val="col"/>
        <grouping val="stacked"/>
        <ser>
          <idx val="0"/>
          <order val="0"/>
          <tx>
            <strRef>
              <f>'Flow'!K8</f>
            </strRef>
          </tx>
          <spPr>
            <a:ln>
              <a:prstDash val="solid"/>
            </a:ln>
          </spPr>
          <cat>
            <numRef>
              <f>'Flow'!$J$9:$J$20</f>
            </numRef>
          </cat>
          <val>
            <numRef>
              <f>'Flow'!$K$9:$K$20</f>
            </numRef>
          </val>
        </ser>
        <ser>
          <idx val="1"/>
          <order val="1"/>
          <tx>
            <strRef>
              <f>'Flow'!L8</f>
            </strRef>
          </tx>
          <spPr>
            <a:ln>
              <a:prstDash val="solid"/>
            </a:ln>
          </spPr>
          <cat>
            <numRef>
              <f>'Flow'!$J$9:$J$20</f>
            </numRef>
          </cat>
          <val>
            <numRef>
              <f>'Flow'!$L$9:$L$20</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HSTECH - dividend points by month</a:t>
            </a:r>
          </a:p>
        </rich>
      </tx>
    </title>
    <plotArea>
      <barChart>
        <barDir val="col"/>
        <grouping val="stacked"/>
        <ser>
          <idx val="0"/>
          <order val="0"/>
          <tx>
            <strRef>
              <f>'Flow'!M8</f>
            </strRef>
          </tx>
          <spPr>
            <a:ln>
              <a:prstDash val="solid"/>
            </a:ln>
          </spPr>
          <cat>
            <numRef>
              <f>'Flow'!$J$9:$J$20</f>
            </numRef>
          </cat>
          <val>
            <numRef>
              <f>'Flow'!$M$9:$M$20</f>
            </numRef>
          </val>
        </ser>
        <ser>
          <idx val="1"/>
          <order val="1"/>
          <tx>
            <strRef>
              <f>'Flow'!N8</f>
            </strRef>
          </tx>
          <spPr>
            <a:ln>
              <a:prstDash val="solid"/>
            </a:ln>
          </spPr>
          <cat>
            <numRef>
              <f>'Flow'!$J$9:$J$20</f>
            </numRef>
          </cat>
          <val>
            <numRef>
              <f>'Flow'!$N$9:$N$20</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HSCEI - dividend points by month</a:t>
            </a:r>
          </a:p>
        </rich>
      </tx>
    </title>
    <plotArea>
      <barChart>
        <barDir val="col"/>
        <grouping val="stacked"/>
        <ser>
          <idx val="0"/>
          <order val="0"/>
          <tx>
            <strRef>
              <f>'Flow'!O8</f>
            </strRef>
          </tx>
          <spPr>
            <a:ln>
              <a:prstDash val="solid"/>
            </a:ln>
          </spPr>
          <cat>
            <numRef>
              <f>'Flow'!$J$9:$J$20</f>
            </numRef>
          </cat>
          <val>
            <numRef>
              <f>'Flow'!$O$9:$O$20</f>
            </numRef>
          </val>
        </ser>
        <ser>
          <idx val="1"/>
          <order val="1"/>
          <tx>
            <strRef>
              <f>'Flow'!P8</f>
            </strRef>
          </tx>
          <spPr>
            <a:ln>
              <a:prstDash val="solid"/>
            </a:ln>
          </spPr>
          <cat>
            <numRef>
              <f>'Flow'!$J$9:$J$20</f>
            </numRef>
          </cat>
          <val>
            <numRef>
              <f>'Flow'!$P$9:$P$20</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22</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41</row>
      <rowOff>0</rowOff>
    </from>
    <ext cx="4320000" cy="2700000"/>
    <graphicFrame>
      <nvGraphicFramePr>
        <cNvPr id="2" name="Chart 2"/>
        <cNvGraphicFramePr/>
      </nvGraphicFramePr>
      <xfrm/>
      <a:graphic>
        <a:graphicData uri="http://schemas.openxmlformats.org/drawingml/2006/chart">
          <c:chart r:id="rId2"/>
        </a:graphicData>
      </a:graphic>
    </graphicFrame>
    <clientData/>
  </oneCellAnchor>
  <oneCellAnchor>
    <from>
      <col>16</col>
      <colOff>0</colOff>
      <row>41</row>
      <rowOff>0</rowOff>
    </from>
    <ext cx="4320000" cy="2700000"/>
    <graphicFrame>
      <nvGraphicFramePr>
        <cNvPr id="3" name="Chart 3"/>
        <cNvGraphicFramePr/>
      </nvGraphicFramePr>
      <xfrm/>
      <a:graphic>
        <a:graphicData uri="http://schemas.openxmlformats.org/drawingml/2006/chart">
          <c:chart r:id="rId3"/>
        </a:graphicData>
      </a:graphic>
    </graphicFrame>
    <clientData/>
  </oneCellAnchor>
  <oneCellAnchor>
    <from>
      <col>23</col>
      <colOff>0</colOff>
      <row>41</row>
      <rowOff>0</rowOff>
    </from>
    <ext cx="4320000" cy="270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1:C49"/>
  <sheetViews>
    <sheetView workbookViewId="0">
      <selection activeCell="A1" sqref="A1"/>
    </sheetView>
  </sheetViews>
  <sheetFormatPr baseColWidth="8" defaultRowHeight="15"/>
  <cols>
    <col width="3" customWidth="1" min="1" max="1"/>
    <col width="24" customWidth="1" min="2" max="2"/>
    <col width="112" customWidth="1" min="3" max="3"/>
  </cols>
  <sheetData>
    <row r="1">
      <c r="B1" s="1" t="inlineStr">
        <is>
          <t>HK DIVIDEND FUTURES STUDY - HSI / HSTECH / HSCEI</t>
        </is>
      </c>
    </row>
    <row r="2">
      <c r="B2" s="2" t="inlineStr">
        <is>
          <t>Full-year index dividend points against the dividend futures  |  Bloomberg BDP / BDS  |  v2</t>
        </is>
      </c>
    </row>
    <row r="4">
      <c r="B4" s="3" t="inlineStr">
        <is>
          <t>THE IDEA IN THREE LINES</t>
        </is>
      </c>
      <c r="C4" s="4" t="n"/>
    </row>
    <row r="5">
      <c r="B5" s="5" t="inlineStr">
        <is>
          <t>-</t>
        </is>
      </c>
      <c r="C5" s="6" t="inlineStr">
        <is>
          <t>A HK dividend future settles on the index dividend points paid over one calendar year, so the year IS the contract - there is no monthly ladder to build.</t>
        </is>
      </c>
    </row>
    <row r="6">
      <c r="B6" s="5" t="inlineStr">
        <is>
          <t>-</t>
        </is>
      </c>
      <c r="C6" s="6" t="inlineStr">
        <is>
          <t>The model adds what has already gone ex (from the dividend history) to what is still to come (from Bloomberg's projections, or from your own numbers) and compares the total to the futures.</t>
        </is>
      </c>
    </row>
    <row r="7">
      <c r="B7" s="5" t="inlineStr">
        <is>
          <t>-</t>
        </is>
      </c>
      <c r="C7" s="6" t="inlineStr">
        <is>
          <t>Everything else in the book exists to let you judge that second half: what is announced, what is still a forecast, and whether the companies can afford it.</t>
        </is>
      </c>
    </row>
    <row r="9">
      <c r="B9" s="3" t="inlineStr">
        <is>
          <t>HOW TO USE IT</t>
        </is>
      </c>
      <c r="C9" s="4" t="n"/>
    </row>
    <row r="10">
      <c r="B10" s="5" t="inlineStr">
        <is>
          <t>1.</t>
        </is>
      </c>
      <c r="C10" s="6" t="inlineStr">
        <is>
          <t>Paste BASKET QUANTITY into column B and the INDEX DIVISOR into B3 on the HSI, HSTECH and HSCEI tabs.</t>
        </is>
      </c>
    </row>
    <row r="11">
      <c r="B11" s="5" t="inlineStr">
        <is>
          <t>2.</t>
        </is>
      </c>
      <c r="C11" s="6" t="inlineStr">
        <is>
          <t>Set the control block on Summary: valuation date, the year you are pricing, specials on or off, CNY or CNH for RMB dividends, and how far out the pending list should run.</t>
        </is>
      </c>
    </row>
    <row r="12">
      <c r="B12" s="5" t="inlineStr">
        <is>
          <t>3.</t>
        </is>
      </c>
      <c r="C12" s="6" t="inlineStr">
        <is>
          <t>Refresh on a Bloomberg terminal (Ctrl+Alt+F9). The first refresh is a few thousand requests - set 'Pull fundamentals' to N if you only want the dividend model.</t>
        </is>
      </c>
    </row>
    <row r="13">
      <c r="B13" s="5" t="inlineStr">
        <is>
          <t>4.</t>
        </is>
      </c>
      <c r="C13" s="6" t="inlineStr">
        <is>
          <t>First refresh only: open Field Check. Both live samples must spill seven rows, and every amber candidate should say OK. Anything that does not is a one-cell fix.</t>
        </is>
      </c>
    </row>
    <row r="14">
      <c r="B14" s="5" t="inlineStr">
        <is>
          <t>5.</t>
        </is>
      </c>
      <c r="C14" s="6" t="inlineStr">
        <is>
          <t>Read Summary top to bottom. The CHECKS block at the bottom tells you whether the divisor and the quantities are right before you quote the gap.</t>
        </is>
      </c>
    </row>
    <row r="15">
      <c r="B15" s="5" t="inlineStr">
        <is>
          <t>6.</t>
        </is>
      </c>
      <c r="C15" s="6" t="inlineStr">
        <is>
          <t>Then: Pending for what is coming, Flow for when it lands, Fundamentals for whether it is affordable, Override for your own view.</t>
        </is>
      </c>
    </row>
    <row r="17">
      <c r="B17" s="3" t="inlineStr">
        <is>
          <t>THE TABS</t>
        </is>
      </c>
      <c r="C17" s="4" t="n"/>
    </row>
    <row r="18">
      <c r="B18" s="5" t="inlineStr">
        <is>
          <t>Summary</t>
        </is>
      </c>
      <c r="C18" s="6" t="inlineStr">
        <is>
          <t>Control panel and the answer: year total vs the futures, with the checks that say whether to believe it.</t>
        </is>
      </c>
    </row>
    <row r="19">
      <c r="B19" s="5" t="inlineStr">
        <is>
          <t>Pending</t>
        </is>
      </c>
      <c r="C19" s="6" t="inlineStr">
        <is>
          <t>Every dividend still to go ex, sorted by date, each one labelled announced / amount TBA / Bloomberg projection.</t>
        </is>
      </c>
    </row>
    <row r="20">
      <c r="B20" s="5" t="inlineStr">
        <is>
          <t>Flow</t>
        </is>
      </c>
      <c r="C20" s="6" t="inlineStr">
        <is>
          <t>The same dividends by day and by month, realized against still-to-come, with charts.</t>
        </is>
      </c>
    </row>
    <row r="21">
      <c r="B21" s="5" t="inlineStr">
        <is>
          <t>Fundamentals</t>
        </is>
      </c>
      <c r="C21" s="6" t="inlineStr">
        <is>
          <t>DPS by year, EPS, payout, dividend and buyback yield, FCF cover and leverage - per stock and averaged by sector.</t>
        </is>
      </c>
    </row>
    <row r="22">
      <c r="B22" s="5" t="inlineStr">
        <is>
          <t>Override</t>
        </is>
      </c>
      <c r="C22" s="6" t="inlineStr">
        <is>
          <t>Your base / low / high dividend per stock, and one switch that turns the whole book back to pure Bloomberg.</t>
        </is>
      </c>
    </row>
    <row r="23">
      <c r="B23" s="5" t="inlineStr">
        <is>
          <t>HSI / HSTECH / HSCEI</t>
        </is>
      </c>
      <c r="C23" s="6" t="inlineStr">
        <is>
          <t>Members, your basket, and the per-stock model. Column B and B3 are the only cells you fill in.</t>
        </is>
      </c>
    </row>
    <row r="24">
      <c r="B24" s="5" t="inlineStr">
        <is>
          <t>Field Check</t>
        </is>
      </c>
      <c r="C24" s="6" t="inlineStr">
        <is>
          <t>Every Bloomberg mnemonic in one place, with live samples.</t>
        </is>
      </c>
    </row>
    <row r="25">
      <c r="B25" s="5" t="inlineStr">
        <is>
          <t>Dvd Calendar / Grids</t>
        </is>
      </c>
      <c r="C25" s="6" t="inlineStr">
        <is>
          <t>Engine (grey tabs). Never edit, never sort.</t>
        </is>
      </c>
    </row>
    <row r="27">
      <c r="B27" s="3" t="inlineStr">
        <is>
          <t>HOW THE NUMBERS ARE BUILT</t>
        </is>
      </c>
      <c r="C27" s="4" t="n"/>
    </row>
    <row r="28">
      <c r="B28" s="5" t="inlineStr">
        <is>
          <t>Index points</t>
        </is>
      </c>
      <c r="C28" s="6" t="inlineStr">
        <is>
          <t>basket quantity x FX-to-HKD x dividend per share / index divisor. You supply the quantity and the divisor; CNY dividends convert at whichever RMB cross you pick.</t>
        </is>
      </c>
    </row>
    <row r="29">
      <c r="B29" s="5" t="inlineStr">
        <is>
          <t>Realized</t>
        </is>
      </c>
      <c r="C29" s="6" t="inlineStr">
        <is>
          <t>Dividends with an ex-date from 1 January of year Y up to the valuation date (or to 31 December if you are looking at a past year). It comes from the history pull.</t>
        </is>
      </c>
    </row>
    <row r="30">
      <c r="B30" s="5" t="inlineStr">
        <is>
          <t>Still to come</t>
        </is>
      </c>
      <c r="C30" s="6" t="inlineStr">
        <is>
          <t>Dividends with an ex-date after the valuation date - or from 1 January if you are pricing a future year - up to 31 December. It comes from the projections pull, replaced by your override where you set one.</t>
        </is>
      </c>
    </row>
    <row r="31">
      <c r="B31" s="5" t="inlineStr">
        <is>
          <t>No double counting</t>
        </is>
      </c>
      <c r="C31" s="6" t="inlineStr">
        <is>
          <t>The two pulls are split on the valuation date, so a dividend that appears in both can only ever be counted once.</t>
        </is>
      </c>
    </row>
    <row r="32">
      <c r="B32" s="5" t="inlineStr">
        <is>
          <t>Announced vs projected</t>
        </is>
      </c>
      <c r="C32" s="6" t="inlineStr">
        <is>
          <t>A DECLARED date means the company announced it. Declared with no amount is the TBA case - it adds zero until you give it a number. No declared date means it is Bloomberg's forecast.</t>
        </is>
      </c>
    </row>
    <row r="33">
      <c r="B33" s="5" t="inlineStr">
        <is>
          <t>Payout basis</t>
        </is>
      </c>
      <c r="C33" s="6" t="inlineStr">
        <is>
          <t>Payout comes from Bloomberg on a fiscal-year basis. The DPS-by-year columns are on an ex-date basis because that is what the futures pay. They will not tie out exactly, and that is correct.</t>
        </is>
      </c>
    </row>
    <row r="34">
      <c r="B34" s="5" t="inlineStr">
        <is>
          <t>No franking</t>
        </is>
      </c>
      <c r="C34" s="6" t="inlineStr">
        <is>
          <t>Hong Kong pays gross. What you see is what settles.</t>
        </is>
      </c>
    </row>
    <row r="36">
      <c r="B36" s="3" t="inlineStr">
        <is>
          <t>WHAT TO WATCH</t>
        </is>
      </c>
      <c r="C36" s="4" t="n"/>
    </row>
    <row r="37">
      <c r="B37" s="6" t="inlineStr">
        <is>
          <t>-</t>
        </is>
      </c>
      <c r="C37" s="2" t="inlineStr">
        <is>
          <t>The CHECKS block on Summary: the divisor check compares your basket's trailing 12-month yield against Bloomberg's index yield. If that gap is large, nothing else on the page is trustworthy.</t>
        </is>
      </c>
    </row>
    <row r="38">
      <c r="B38" s="6" t="inlineStr">
        <is>
          <t>-</t>
        </is>
      </c>
      <c r="C38" s="2" t="inlineStr">
        <is>
          <t>Stocks flagged TBA: announced dividends with no amount contribute zero. A gap against the futures can be nothing more than a handful of those.</t>
        </is>
      </c>
    </row>
    <row r="39">
      <c r="B39" s="6" t="inlineStr">
        <is>
          <t>-</t>
        </is>
      </c>
      <c r="C39" s="2" t="inlineStr">
        <is>
          <t>'Events beyond the data window' must stay at zero - if it does not, a stock has more dividend events than the calendar holds and the model is missing some.</t>
        </is>
      </c>
    </row>
    <row r="40">
      <c r="B40" s="6" t="inlineStr">
        <is>
          <t>-</t>
        </is>
      </c>
      <c r="C40" s="2" t="inlineStr">
        <is>
          <t>Pasted quantities do not follow a reshuffled member list. Re-check them after an index review.</t>
        </is>
      </c>
    </row>
    <row r="41">
      <c r="B41" s="6" t="inlineStr">
        <is>
          <t>-</t>
        </is>
      </c>
      <c r="C41" s="2" t="inlineStr">
        <is>
          <t>Filter the big tables, do not sort them - the rows are live formulas tied to their position.</t>
        </is>
      </c>
    </row>
    <row r="43">
      <c r="B43" s="3" t="inlineStr">
        <is>
          <t>COLOUR KEY</t>
        </is>
      </c>
      <c r="C43" s="4" t="n"/>
    </row>
    <row r="44">
      <c r="B44" s="7" t="inlineStr">
        <is>
          <t>Blue text on pale blue</t>
        </is>
      </c>
      <c r="C44" s="2" t="inlineStr">
        <is>
          <t>You type here.</t>
        </is>
      </c>
    </row>
    <row r="45">
      <c r="B45" s="6" t="inlineStr">
        <is>
          <t>Black text</t>
        </is>
      </c>
      <c r="C45" s="2" t="inlineStr">
        <is>
          <t>Formula - leave it alone.</t>
        </is>
      </c>
    </row>
    <row r="46">
      <c r="B46" s="6" t="inlineStr">
        <is>
          <t>Yellow fill</t>
        </is>
      </c>
      <c r="C46" s="2" t="inlineStr">
        <is>
          <t>A number to read before you quote anything.</t>
        </is>
      </c>
    </row>
    <row r="47">
      <c r="B47" s="6" t="inlineStr">
        <is>
          <t>Amber fill</t>
        </is>
      </c>
      <c r="C47" s="2" t="inlineStr">
        <is>
          <t>A Bloomberg field still to be verified on your terminal.</t>
        </is>
      </c>
    </row>
    <row r="48">
      <c r="B48" s="6" t="inlineStr">
        <is>
          <t>Orange fill</t>
        </is>
      </c>
      <c r="C48" s="2" t="inlineStr">
        <is>
          <t>An override is live, or an amount is still TBA.</t>
        </is>
      </c>
    </row>
    <row r="49">
      <c r="B49" s="6" t="inlineStr">
        <is>
          <t>Grey tabs</t>
        </is>
      </c>
      <c r="C49" s="2" t="inlineStr">
        <is>
          <t>Engine - never edit.</t>
        </is>
      </c>
    </row>
  </sheetData>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B1:G5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4" customWidth="1" min="2" max="2"/>
    <col width="16" customWidth="1" min="3" max="3"/>
    <col width="16" customWidth="1" min="4" max="4"/>
    <col width="16" customWidth="1" min="5" max="5"/>
    <col width="3" customWidth="1" min="6" max="6"/>
    <col width="78" customWidth="1" min="7" max="7"/>
  </cols>
  <sheetData>
    <row r="1">
      <c r="B1" s="1" t="inlineStr">
        <is>
          <t>HK DIVIDEND FUTURES MODEL - HSI / HSTECH / HSCEI</t>
        </is>
      </c>
    </row>
    <row r="2">
      <c r="B2" s="2" t="inlineStr">
        <is>
          <t>Full-year index dividend points (what has gone ex + what is still to come) against the dividend futures. The year is the contract - there is no monthly ladder.</t>
        </is>
      </c>
    </row>
    <row r="4">
      <c r="B4" s="3" t="inlineStr">
        <is>
          <t>START HERE</t>
        </is>
      </c>
      <c r="C4" s="4" t="n"/>
      <c r="D4" s="4" t="n"/>
      <c r="E4" s="4" t="n"/>
      <c r="F4" s="4" t="n"/>
      <c r="G4" s="4" t="n"/>
    </row>
    <row r="5">
      <c r="B5" s="5" t="inlineStr">
        <is>
          <t>1</t>
        </is>
      </c>
      <c r="C5" s="8" t="inlineStr">
        <is>
          <t>Paste BASKET QUANTITY into column B and the INDEX DIVISOR into B3 on the HSI, HSTECH and HSCEI tabs (blue cells).</t>
        </is>
      </c>
    </row>
    <row r="6">
      <c r="B6" s="5" t="inlineStr">
        <is>
          <t>2</t>
        </is>
      </c>
      <c r="C6" s="8" t="inlineStr">
        <is>
          <t>Set the control block below, then enter your futures tickers in the MODEL block (or just type the quote you see).</t>
        </is>
      </c>
    </row>
    <row r="7">
      <c r="B7" s="5" t="inlineStr">
        <is>
          <t>3</t>
        </is>
      </c>
      <c r="C7" s="8" t="inlineStr">
        <is>
          <t>On a Bloomberg terminal press Ctrl+Alt+F9 and wait - the first refresh is a few thousand requests. Set 'Pull fundamentals' to N for a fast dividends-only refresh.</t>
        </is>
      </c>
    </row>
    <row r="8">
      <c r="B8" s="5" t="inlineStr">
        <is>
          <t>4</t>
        </is>
      </c>
      <c r="C8" s="8" t="inlineStr">
        <is>
          <t>Read the CHECKS block at the bottom before you quote a gap. It tells you whether the divisor, the quantities and the data itself are sound.</t>
        </is>
      </c>
    </row>
    <row r="10">
      <c r="B10" s="3" t="inlineStr">
        <is>
          <t>CONTROL</t>
        </is>
      </c>
      <c r="C10" s="4" t="n"/>
      <c r="D10" s="4" t="n"/>
      <c r="E10" s="4" t="n"/>
      <c r="F10" s="4" t="n"/>
      <c r="G10" s="4" t="n"/>
    </row>
    <row r="11">
      <c r="B11" s="6" t="inlineStr">
        <is>
          <t>Valuation date</t>
        </is>
      </c>
      <c r="C11" s="9">
        <f>TODAY()</f>
        <v/>
      </c>
      <c r="G11" s="2" t="inlineStr">
        <is>
          <t>Today by default. Type a date to freeze the study.</t>
        </is>
      </c>
    </row>
    <row r="12">
      <c r="B12" s="10" t="inlineStr">
        <is>
          <t>Year (Y) - the futures year</t>
        </is>
      </c>
      <c r="C12" s="11">
        <f>YEAR($C$11)</f>
        <v/>
      </c>
      <c r="G12" s="2" t="inlineStr">
        <is>
          <t>2026 prices the Dec26 contract. Type 2027 and the whole book models next year (realized goes to zero, everything comes from projections). A past year gives you the realized outcome.</t>
        </is>
      </c>
    </row>
    <row r="13">
      <c r="B13" s="6" t="inlineStr">
        <is>
          <t>Include special dividends?</t>
        </is>
      </c>
      <c r="C13" s="12" t="inlineStr">
        <is>
          <t>Y</t>
        </is>
      </c>
      <c r="G13" s="2" t="inlineStr">
        <is>
          <t>Y = specials count everywhere (points, pending, flow). N = regular cash only.</t>
        </is>
      </c>
    </row>
    <row r="14">
      <c r="B14" s="6" t="inlineStr">
        <is>
          <t>RMB cross for CNY dividends</t>
        </is>
      </c>
      <c r="C14" s="12" t="inlineStr">
        <is>
          <t>CNY</t>
        </is>
      </c>
      <c r="G14" s="2" t="inlineStr">
        <is>
          <t>CNY or CNH - which cross converts RMB-declared dividends into HKD.</t>
        </is>
      </c>
    </row>
    <row r="15">
      <c r="B15" s="6" t="inlineStr">
        <is>
          <t>Pending list horizon</t>
        </is>
      </c>
      <c r="C15" s="9">
        <f>DATE($C$12,12,31)</f>
        <v/>
      </c>
      <c r="G15" s="2" t="inlineStr">
        <is>
          <t>Pending shows every event with an ex-date after the valuation date up to here.</t>
        </is>
      </c>
    </row>
    <row r="16">
      <c r="B16" s="6" t="inlineStr">
        <is>
          <t>Pull fundamentals? (Y/N)</t>
        </is>
      </c>
      <c r="C16" s="12" t="inlineStr">
        <is>
          <t>Y</t>
        </is>
      </c>
      <c r="G16" s="2" t="inlineStr">
        <is>
          <t>N skips ~3,000 requests on the Fundamentals tab. The dividend model does not need them.</t>
        </is>
      </c>
    </row>
    <row r="17">
      <c r="B17" s="6" t="inlineStr">
        <is>
          <t>Overrides</t>
        </is>
      </c>
      <c r="C17" s="13">
        <f>IF(Override!$C$4="ON","ON - "&amp;Override!$E$4&amp;" stock(s) set - the model uses YOUR numbers there.","OFF - pure Bloomberg projections.")</f>
        <v/>
      </c>
      <c r="D17" s="14" t="n"/>
      <c r="E17" s="15" t="n"/>
      <c r="G17" s="2" t="inlineStr">
        <is>
          <t>Set on the Override tab. OFF puts the whole book back to Bloomberg instantly.</t>
        </is>
      </c>
    </row>
    <row r="18">
      <c r="B18" s="2" t="inlineStr">
        <is>
          <t>History pull window (auto)</t>
        </is>
      </c>
      <c r="C18" s="16">
        <f>TEXT(DATE($C$12-5,1,1),"yyyymmdd")</f>
        <v/>
      </c>
      <c r="D18" s="16">
        <f>TEXT(MAX($C$11,DATE($C$12,12,31)),"yyyymmdd")</f>
        <v/>
      </c>
      <c r="G18" s="2" t="inlineStr">
        <is>
          <t>Five full years before Y plus everything up to the valuation date - feeds both the model and the 5-year fundamentals.</t>
        </is>
      </c>
    </row>
    <row r="20">
      <c r="B20" s="3" t="inlineStr">
        <is>
          <t>MODEL vs FUTURES        (index dividend points for year Y)</t>
        </is>
      </c>
      <c r="C20" s="4" t="n"/>
      <c r="D20" s="4" t="n"/>
      <c r="E20" s="4" t="n"/>
      <c r="F20" s="4" t="n"/>
      <c r="G20" s="4" t="n"/>
    </row>
    <row r="21">
      <c r="C21" s="17" t="inlineStr">
        <is>
          <t>HSI</t>
        </is>
      </c>
      <c r="D21" s="17" t="inlineStr">
        <is>
          <t>HSTECH</t>
        </is>
      </c>
      <c r="E21" s="17" t="inlineStr">
        <is>
          <t>HSCEI</t>
        </is>
      </c>
      <c r="G21" s="2" t="inlineStr">
        <is>
          <t>Points are index points: basket qty x FX-to-HKD x DPS / divisor.</t>
        </is>
      </c>
    </row>
    <row r="22">
      <c r="B22" s="6" t="inlineStr">
        <is>
          <t>Index ticker</t>
        </is>
      </c>
      <c r="C22" s="12" t="inlineStr">
        <is>
          <t>HSI Index</t>
        </is>
      </c>
      <c r="D22" s="12" t="inlineStr">
        <is>
          <t>HSTECH Index</t>
        </is>
      </c>
      <c r="E22" s="12" t="inlineStr">
        <is>
          <t>HSCEI Index</t>
        </is>
      </c>
    </row>
    <row r="23">
      <c r="B23" s="6" t="inlineStr">
        <is>
          <t>Index level</t>
        </is>
      </c>
      <c r="C23" s="18">
        <f>IF($C$22="","",BDP($C$22,"PX_LAST"))</f>
        <v/>
      </c>
      <c r="D23" s="18">
        <f>IF($D$22="","",BDP($D$22,"PX_LAST"))</f>
        <v/>
      </c>
      <c r="E23" s="18">
        <f>IF($E$22="","",BDP($E$22,"PX_LAST"))</f>
        <v/>
      </c>
    </row>
    <row r="25">
      <c r="B25" s="6" t="inlineStr">
        <is>
          <t>Realized so far (pts)</t>
        </is>
      </c>
      <c r="C25" s="19">
        <f>HSI!$O$5</f>
        <v/>
      </c>
      <c r="D25" s="19">
        <f>HSTECH!$O$5</f>
        <v/>
      </c>
      <c r="E25" s="19">
        <f>HSCEI!$O$5</f>
        <v/>
      </c>
      <c r="G25" s="2" t="inlineStr">
        <is>
          <t>Ex-dates from 1 Jan of Y to the valuation date - fact, never overridden.</t>
        </is>
      </c>
    </row>
    <row r="26">
      <c r="B26" s="6" t="inlineStr">
        <is>
          <t>Still to come - Bloomberg (pts)</t>
        </is>
      </c>
      <c r="C26" s="19">
        <f>HSI!$W$5</f>
        <v/>
      </c>
      <c r="D26" s="19">
        <f>HSTECH!$W$5</f>
        <v/>
      </c>
      <c r="E26" s="19">
        <f>HSCEI!$W$5</f>
        <v/>
      </c>
    </row>
    <row r="27">
      <c r="B27" s="6" t="inlineStr">
        <is>
          <t>Still to come - EFFECTIVE (pts)</t>
        </is>
      </c>
      <c r="C27" s="19">
        <f>HSI!$P$5</f>
        <v/>
      </c>
      <c r="D27" s="19">
        <f>HSTECH!$P$5</f>
        <v/>
      </c>
      <c r="E27" s="19">
        <f>HSCEI!$P$5</f>
        <v/>
      </c>
      <c r="G27" s="2" t="inlineStr">
        <is>
          <t>Bloomberg, replaced by your number wherever you set one.</t>
        </is>
      </c>
    </row>
    <row r="28">
      <c r="B28" s="20" t="inlineStr">
        <is>
          <t>YEAR TOTAL - base (pts)</t>
        </is>
      </c>
      <c r="C28" s="21">
        <f>HSI!$Q$5</f>
        <v/>
      </c>
      <c r="D28" s="21">
        <f>HSTECH!$Q$5</f>
        <v/>
      </c>
      <c r="E28" s="21">
        <f>HSCEI!$Q$5</f>
        <v/>
      </c>
    </row>
    <row r="29">
      <c r="B29" s="6" t="inlineStr">
        <is>
          <t xml:space="preserve">   your LOW case (pts)</t>
        </is>
      </c>
      <c r="C29" s="19">
        <f>HSI!$R$5</f>
        <v/>
      </c>
      <c r="D29" s="19">
        <f>HSTECH!$R$5</f>
        <v/>
      </c>
      <c r="E29" s="19">
        <f>HSCEI!$R$5</f>
        <v/>
      </c>
    </row>
    <row r="30">
      <c r="B30" s="6" t="inlineStr">
        <is>
          <t xml:space="preserve">   your HIGH case (pts)</t>
        </is>
      </c>
      <c r="C30" s="19">
        <f>HSI!$S$5</f>
        <v/>
      </c>
      <c r="D30" s="19">
        <f>HSTECH!$S$5</f>
        <v/>
      </c>
      <c r="E30" s="19">
        <f>HSCEI!$S$5</f>
        <v/>
      </c>
    </row>
    <row r="31">
      <c r="B31" s="6" t="inlineStr">
        <is>
          <t>Implied index dividend yield</t>
        </is>
      </c>
      <c r="C31" s="22">
        <f>IFERROR(C28/C23,"")</f>
        <v/>
      </c>
      <c r="D31" s="22">
        <f>IFERROR(D28/D23,"")</f>
        <v/>
      </c>
      <c r="E31" s="22">
        <f>IFERROR(E28/E23,"")</f>
        <v/>
      </c>
    </row>
    <row r="33">
      <c r="B33" s="6" t="inlineStr">
        <is>
          <t>Futures ticker</t>
        </is>
      </c>
      <c r="C33" s="12" t="n"/>
      <c r="D33" s="12" t="n"/>
      <c r="E33" s="12" t="n"/>
    </row>
    <row r="34">
      <c r="B34" s="6" t="inlineStr">
        <is>
          <t>Futures price (Bloomberg)</t>
        </is>
      </c>
      <c r="C34" s="19">
        <f>IF($C$33="","",BDP($C$33,"PX_LAST"))</f>
        <v/>
      </c>
      <c r="D34" s="19">
        <f>IF($D$33="","",BDP($D$33,"PX_LAST"))</f>
        <v/>
      </c>
      <c r="E34" s="19">
        <f>IF($E$33="","",BDP($E$33,"PX_LAST"))</f>
        <v/>
      </c>
    </row>
    <row r="35">
      <c r="B35" s="6" t="inlineStr">
        <is>
          <t>Futures quote - type it yourself</t>
        </is>
      </c>
      <c r="C35" s="23" t="n"/>
      <c r="D35" s="23" t="n"/>
      <c r="E35" s="23" t="n"/>
    </row>
    <row r="36">
      <c r="B36" s="6" t="inlineStr">
        <is>
          <t>FUTURES USED</t>
        </is>
      </c>
      <c r="C36" s="24">
        <f>IF(ISNUMBER(C35),C35,IF(ISNUMBER(C34),C34,""))</f>
        <v/>
      </c>
      <c r="D36" s="24">
        <f>IF(ISNUMBER(D35),D35,IF(ISNUMBER(D34),D34,""))</f>
        <v/>
      </c>
      <c r="E36" s="24">
        <f>IF(ISNUMBER(E35),E35,IF(ISNUMBER(E34),E34,""))</f>
        <v/>
      </c>
    </row>
    <row r="37">
      <c r="B37" s="20" t="inlineStr">
        <is>
          <t>GAP  model - futures (pts)</t>
        </is>
      </c>
      <c r="C37" s="25">
        <f>IF(C36="","",C28-C36)</f>
        <v/>
      </c>
      <c r="D37" s="25">
        <f>IF(D36="","",D28-D36)</f>
        <v/>
      </c>
      <c r="E37" s="25">
        <f>IF(E36="","",E28-E36)</f>
        <v/>
      </c>
      <c r="G37" s="2" t="inlineStr">
        <is>
          <t>Positive = your model sees MORE dividends than the futures pay for. Read the TBA line in CHECKS before quoting it.</t>
        </is>
      </c>
    </row>
    <row r="38">
      <c r="B38" s="20" t="inlineStr">
        <is>
          <t>Gap (% of futures)</t>
        </is>
      </c>
      <c r="C38" s="26">
        <f>IF(C36="","",IFERROR(C37/C36,""))</f>
        <v/>
      </c>
      <c r="D38" s="26">
        <f>IF(D36="","",IFERROR(D37/D36,""))</f>
        <v/>
      </c>
      <c r="E38" s="26">
        <f>IF(E36="","",IFERROR(E37/E36,""))</f>
        <v/>
      </c>
    </row>
    <row r="39">
      <c r="B39" s="6" t="inlineStr">
        <is>
          <t>Where the futures sit</t>
        </is>
      </c>
      <c r="C39" s="16">
        <f>IF(C36="","",IF((C36&gt;=C29)*(C36&lt;=C30)&gt;0,"inside your low-high range",IF(C36&lt;C29,"BELOW your low - cheap vs you","ABOVE your high - rich vs you")))</f>
        <v/>
      </c>
      <c r="D39" s="16">
        <f>IF(D36="","",IF((D36&gt;=D29)*(D36&lt;=D30)&gt;0,"inside your low-high range",IF(D36&lt;D29,"BELOW your low - cheap vs you","ABOVE your high - rich vs you")))</f>
        <v/>
      </c>
      <c r="E39" s="16">
        <f>IF(E36="","",IF((E36&gt;=E29)*(E36&lt;=E30)&gt;0,"inside your low-high range",IF(E36&lt;E29,"BELOW your low - cheap vs you","ABOVE your high - rich vs you")))</f>
        <v/>
      </c>
    </row>
    <row r="41">
      <c r="B41" s="3" t="inlineStr">
        <is>
          <t>CHECKS        (read these before trusting the gap)</t>
        </is>
      </c>
      <c r="C41" s="4" t="n"/>
      <c r="D41" s="4" t="n"/>
      <c r="E41" s="4" t="n"/>
      <c r="F41" s="4" t="n"/>
      <c r="G41" s="4" t="n"/>
    </row>
    <row r="42">
      <c r="B42" s="6" t="inlineStr">
        <is>
          <t>Members returned</t>
        </is>
      </c>
      <c r="C42" s="27">
        <f>HSI!$H$2</f>
        <v/>
      </c>
      <c r="D42" s="27">
        <f>HSTECH!$H$2</f>
        <v/>
      </c>
      <c r="E42" s="27">
        <f>HSCEI!$H$2</f>
        <v/>
      </c>
      <c r="G42" s="2" t="inlineStr">
        <is>
          <t>Short of the real membership means the BDS pull was cut off.</t>
        </is>
      </c>
    </row>
    <row r="43">
      <c r="B43" s="6" t="inlineStr">
        <is>
          <t>Basket quantities pasted</t>
        </is>
      </c>
      <c r="C43" s="27">
        <f>HSI!$L$2</f>
        <v/>
      </c>
      <c r="D43" s="27">
        <f>HSTECH!$L$2</f>
        <v/>
      </c>
      <c r="E43" s="27">
        <f>HSCEI!$L$2</f>
        <v/>
      </c>
      <c r="G43" s="2" t="inlineStr">
        <is>
          <t>Should equal members.</t>
        </is>
      </c>
    </row>
    <row r="44">
      <c r="B44" s="6" t="inlineStr">
        <is>
          <t>Members with NO quantity</t>
        </is>
      </c>
      <c r="C44" s="27">
        <f>HSI!$P$2</f>
        <v/>
      </c>
      <c r="D44" s="27">
        <f>HSTECH!$P$2</f>
        <v/>
      </c>
      <c r="E44" s="27">
        <f>HSCEI!$P$2</f>
        <v/>
      </c>
      <c r="G44" s="2" t="inlineStr">
        <is>
          <t>Each one contributes zero points - the model is light by that much.</t>
        </is>
      </c>
    </row>
    <row r="45">
      <c r="B45" s="6" t="inlineStr">
        <is>
          <t>Divisor entered</t>
        </is>
      </c>
      <c r="C45" s="16">
        <f>IF(ISNUMBER(HSI!$B$3),"OK","MISSING")</f>
        <v/>
      </c>
      <c r="D45" s="16">
        <f>IF(ISNUMBER(HSTECH!$B$3),"OK","MISSING")</f>
        <v/>
      </c>
      <c r="E45" s="16">
        <f>IF(ISNUMBER(HSCEI!$B$3),"OK","MISSING")</f>
        <v/>
      </c>
      <c r="G45" s="2" t="inlineStr">
        <is>
          <t>Without it every points column is blank.</t>
        </is>
      </c>
    </row>
    <row r="46">
      <c r="B46" s="6" t="inlineStr">
        <is>
          <t>Bottom-up 12M yield</t>
        </is>
      </c>
      <c r="C46" s="28">
        <f>IFERROR(HSI!$V$5/C23,"")</f>
        <v/>
      </c>
      <c r="D46" s="28">
        <f>IFERROR(HSTECH!$V$5/D23,"")</f>
        <v/>
      </c>
      <c r="E46" s="28">
        <f>IFERROR(HSCEI!$V$5/E23,"")</f>
        <v/>
      </c>
      <c r="G46" s="2" t="inlineStr">
        <is>
          <t>Trailing 12M dividends of your basket over the index level.</t>
        </is>
      </c>
    </row>
    <row r="47">
      <c r="B47" s="6" t="inlineStr">
        <is>
          <t>Bloomberg index 12M yield</t>
        </is>
      </c>
      <c r="C47" s="28">
        <f>IF($C$22="","",IFERROR(BDP($C$22,"EQY_DVD_YLD_12M")/100,""))</f>
        <v/>
      </c>
      <c r="D47" s="28">
        <f>IF($D$22="","",IFERROR(BDP($D$22,"EQY_DVD_YLD_12M")/100,""))</f>
        <v/>
      </c>
      <c r="E47" s="28">
        <f>IF($E$22="","",IFERROR(BDP($E$22,"EQY_DVD_YLD_12M")/100,""))</f>
        <v/>
      </c>
    </row>
    <row r="48">
      <c r="B48" s="10" t="inlineStr">
        <is>
          <t>THE DIVISOR CHECK - gap (bp)</t>
        </is>
      </c>
      <c r="C48" s="29">
        <f>IF(N(C47)*N(C46)=0,"",(C46-C47)*10000)</f>
        <v/>
      </c>
      <c r="D48" s="29">
        <f>IF(N(D47)*N(D46)=0,"",(D46-D47)*10000)</f>
        <v/>
      </c>
      <c r="E48" s="29">
        <f>IF(N(E47)*N(E46)=0,"",(E46-E47)*10000)</f>
        <v/>
      </c>
      <c r="G48" s="2" t="inlineStr">
        <is>
          <t>Bottom-up minus Bloomberg. A big gap means the divisor or the quantities are wrong - fix that before anything else.</t>
        </is>
      </c>
    </row>
    <row r="49">
      <c r="B49" s="6" t="inlineStr">
        <is>
          <t>Stocks with an amount still TBA</t>
        </is>
      </c>
      <c r="C49" s="27">
        <f>COUNTIF(HSI!$U$7:$U$106,"TBA amount - override me")</f>
        <v/>
      </c>
      <c r="D49" s="27">
        <f>COUNTIF(HSTECH!$U$7:$U$46,"TBA amount - override me")</f>
        <v/>
      </c>
      <c r="E49" s="27">
        <f>COUNTIF(HSCEI!$U$7:$U$66,"TBA amount - override me")</f>
        <v/>
      </c>
      <c r="G49" s="2" t="inlineStr">
        <is>
          <t>Announced with no amount yet: they add ZERO until you override them.</t>
        </is>
      </c>
    </row>
    <row r="50">
      <c r="B50" s="6" t="inlineStr">
        <is>
          <t>Stocks you have overridden</t>
        </is>
      </c>
      <c r="C50" s="27">
        <f>COUNTIF(HSI!$U$7:$U$106,"overridden")</f>
        <v/>
      </c>
      <c r="D50" s="27">
        <f>COUNTIF(HSTECH!$U$7:$U$46,"overridden")</f>
        <v/>
      </c>
      <c r="E50" s="27">
        <f>COUNTIF(HSCEI!$U$7:$U$66,"overridden")</f>
        <v/>
      </c>
    </row>
    <row r="51">
      <c r="B51" s="6" t="inlineStr">
        <is>
          <t>Events beyond the data window</t>
        </is>
      </c>
      <c r="C51" s="30">
        <f>COUNTA('Dvd Calendar'!$AS$9:$CF$1508)</f>
        <v/>
      </c>
      <c r="D51" s="30">
        <f>COUNTA('Dvd Calendar'!$AS$1514:$CF$2113)</f>
        <v/>
      </c>
      <c r="E51" s="30">
        <f>COUNTA('Dvd Calendar'!$AS$2119:$CF$3018)</f>
        <v/>
      </c>
      <c r="G51" s="2" t="inlineStr">
        <is>
          <t>Should be 0. Anything else means a stock has more dividend events than the calendar window holds - tell Claude, it is one parameter.</t>
        </is>
      </c>
    </row>
    <row r="52">
      <c r="B52" s="6" t="inlineStr">
        <is>
          <t>Pending list - shown / total</t>
        </is>
      </c>
      <c r="C52" s="31">
        <f>COUNT(Pending!$B$10:$B$309)&amp;" / "&amp;COUNTIFS(Grids!$C$9:$BO$108,"&gt;="&amp;(Summary!$C$11+1)*1000000000,Grids!$C$9:$BO$108,"&lt;"&amp;(Summary!$C$15+1)*1000000000)</f>
        <v/>
      </c>
      <c r="D52" s="31">
        <f>COUNT(Pending!$B$316:$B$435)&amp;" / "&amp;COUNTIFS(Grids!$C$113:$BO$152,"&gt;="&amp;(Summary!$C$11+1)*1000000000,Grids!$C$113:$BO$152,"&lt;"&amp;(Summary!$C$15+1)*1000000000)</f>
        <v/>
      </c>
      <c r="E52" s="31">
        <f>COUNT(Pending!$B$442:$B$621)&amp;" / "&amp;COUNTIFS(Grids!$C$157:$BO$216,"&gt;="&amp;(Summary!$C$11+1)*1000000000,Grids!$C$157:$BO$216,"&lt;"&amp;(Summary!$C$15+1)*1000000000)</f>
        <v/>
      </c>
      <c r="G52" s="2" t="inlineStr">
        <is>
          <t>If these differ the list is truncated; the events are still counted in the model.</t>
        </is>
      </c>
    </row>
  </sheetData>
  <mergeCells count="5">
    <mergeCell ref="C7:G7"/>
    <mergeCell ref="C6:G6"/>
    <mergeCell ref="C5:G5"/>
    <mergeCell ref="C17:E17"/>
    <mergeCell ref="C8:G8"/>
  </mergeCells>
  <dataValidations count="3">
    <dataValidation sqref="C13" showDropDown="0" showInputMessage="0" showErrorMessage="0" allowBlank="0" type="list">
      <formula1>"Y,N"</formula1>
    </dataValidation>
    <dataValidation sqref="C16" showDropDown="0" showInputMessage="0" showErrorMessage="0" allowBlank="0" type="list">
      <formula1>"Y,N"</formula1>
    </dataValidation>
    <dataValidation sqref="C14" showDropDown="0" showInputMessage="0" showErrorMessage="0" allowBlank="0" type="list">
      <formula1>"CNY,CNH"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P621"/>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6" customWidth="1" min="3" max="3"/>
    <col width="24" customWidth="1" min="4" max="4"/>
    <col width="11" customWidth="1" min="5" max="5"/>
    <col width="6" customWidth="1" min="6" max="6"/>
    <col width="11" customWidth="1" min="7" max="7"/>
    <col width="11" customWidth="1" min="8" max="8"/>
    <col width="30" customWidth="1" min="9" max="9"/>
    <col width="16" customWidth="1" min="10" max="10"/>
    <col width="3" customWidth="1" min="11" max="11"/>
    <col width="7" customWidth="1" min="12" max="12"/>
    <col width="7" customWidth="1" min="13" max="13"/>
    <col width="7" customWidth="1" min="14" max="14"/>
    <col width="7" customWidth="1" min="15" max="15"/>
    <col width="7" customWidth="1" min="16" max="16"/>
  </cols>
  <sheetData>
    <row r="1">
      <c r="B1" s="1" t="inlineStr">
        <is>
          <t>PENDING DIVIDENDS - EVERYTHING STILL TO GO EX, SORTED BY DATE</t>
        </is>
      </c>
    </row>
    <row r="2">
      <c r="B2" s="2" t="inlineStr">
        <is>
          <t>From the day after the valuation date up to the horizon you set on Summary. This is the Bloomberg event view; your overrides change a stock's year total, not the individual events, so they show as a note rather than a changed amount.</t>
        </is>
      </c>
    </row>
    <row r="3">
      <c r="B3" s="2" t="inlineStr">
        <is>
          <t>Announced = the company declared it (a still-provisional ex-date is Bloomberg's estimate, but the amount is real).  Amount TBA = declared with no amount yet: it counts as ZERO in the model until you give it a number on the Override tab.  Projected = Bloomberg's own forecast.</t>
        </is>
      </c>
    </row>
    <row r="4">
      <c r="B4" s="6" t="inlineStr">
        <is>
          <t>Horizon</t>
        </is>
      </c>
      <c r="C4" s="32">
        <f>Summary!$C$15</f>
        <v/>
      </c>
      <c r="D4" s="6" t="inlineStr">
        <is>
          <t>Overrides</t>
        </is>
      </c>
      <c r="E4" s="2">
        <f>Summary!$C$17</f>
        <v/>
      </c>
    </row>
    <row r="6">
      <c r="B6" s="3" t="inlineStr">
        <is>
          <t>Hang Seng Index (HSI)</t>
        </is>
      </c>
      <c r="C6" s="4" t="n"/>
      <c r="D6" s="4" t="n"/>
      <c r="E6" s="4" t="n"/>
      <c r="F6" s="4" t="n"/>
      <c r="G6" s="4" t="n"/>
      <c r="H6" s="4" t="n"/>
      <c r="I6" s="4" t="n"/>
      <c r="J6" s="4" t="n"/>
    </row>
    <row r="7">
      <c r="B7" s="2" t="inlineStr">
        <is>
          <t>Events pending</t>
        </is>
      </c>
      <c r="C7" s="33">
        <f>COUNTIFS(Grids!$C$9:$BO$108,"&gt;="&amp;(Summary!$C$11+1)*1000000000,Grids!$C$9:$BO$108,"&lt;"&amp;(Summary!$C$15+1)*1000000000)</f>
        <v/>
      </c>
      <c r="D7" s="34">
        <f>IF($C$7&gt;300,"LIST TRUNCATED - showing the first 300. They are still counted in the model.","all of them are listed below")</f>
        <v/>
      </c>
      <c r="L7" s="2" t="inlineStr">
        <is>
          <t>offset</t>
        </is>
      </c>
      <c r="M7" s="35">
        <f>COUNTIF(Grids!$C$9:$BO$108,"&lt;"&amp;(Summary!$C$11+1)*1000000000)</f>
        <v/>
      </c>
    </row>
    <row r="9">
      <c r="B9" s="17" t="inlineStr">
        <is>
          <t>Ex-date</t>
        </is>
      </c>
      <c r="C9" s="17" t="inlineStr">
        <is>
          <t>Ticker</t>
        </is>
      </c>
      <c r="D9" s="17" t="inlineStr">
        <is>
          <t>Name</t>
        </is>
      </c>
      <c r="E9" s="17" t="inlineStr">
        <is>
          <t>DPS
(declared ccy)</t>
        </is>
      </c>
      <c r="F9" s="17" t="inlineStr">
        <is>
          <t>CCY</t>
        </is>
      </c>
      <c r="G9" s="17" t="inlineStr">
        <is>
          <t>Index
pts</t>
        </is>
      </c>
      <c r="H9" s="17" t="inlineStr">
        <is>
          <t>Cumulative
pts</t>
        </is>
      </c>
      <c r="I9" s="17" t="inlineStr">
        <is>
          <t>Status</t>
        </is>
      </c>
      <c r="J9" s="17" t="inlineStr">
        <is>
          <t>Your override?</t>
        </is>
      </c>
      <c r="L9" s="2" t="inlineStr">
        <is>
          <t>engine - ignore</t>
        </is>
      </c>
      <c r="M9" s="2" t="inlineStr">
        <is>
          <t>code</t>
        </is>
      </c>
      <c r="N9" s="2" t="inlineStr">
        <is>
          <t>stock</t>
        </is>
      </c>
      <c r="O9" s="2" t="inlineStr">
        <is>
          <t>slot</t>
        </is>
      </c>
      <c r="P9" s="2" t="inlineStr">
        <is>
          <t>amt/spc</t>
        </is>
      </c>
    </row>
    <row r="10">
      <c r="B10" s="36">
        <f>IF($L10="","",$M10)</f>
        <v/>
      </c>
      <c r="C10" s="16">
        <f>IF($L10="","",INDEX(HSI!$C$7:$C$106,$N10))</f>
        <v/>
      </c>
      <c r="D10" s="16">
        <f>IF($L10="","",INDEX(HSI!$D$7:$D$106,$N10))</f>
        <v/>
      </c>
      <c r="E10" s="37">
        <f>IF($L10="","",IF(INT($P10/10)=0,"TBA",IFERROR(INDEX(Grids!$BQ$9:$EC$108,$N10,$O10),"-")))</f>
        <v/>
      </c>
      <c r="F10" s="16">
        <f>IF($L10="","",INDEX(HSI!$F$7:$F$106,$N10))</f>
        <v/>
      </c>
      <c r="G10" s="37">
        <f>IF($L10="","",IF(INT($P10/10)=0,"TBA",IFERROR(INDEX(Grids!$EE$9:$GQ$108,$N10,$O10),"-")))</f>
        <v/>
      </c>
      <c r="H10" s="38">
        <f>IF($L10="","",SUM($G$10:$G10))</f>
        <v/>
      </c>
      <c r="I10" s="39">
        <f>IF($L10="","",IF(INT(($L10-INT($L10/10000000)*10000000)/1000000)=0,"Bloomberg projection",IF(INT($P10/10)=1,"Announced","ANNOUNCED - amount TBA"))&amp;IF(($P10-INT($P10/10)*10)=1," (special)","")&amp;IF((($P10-INT($P10/10)*10)=1)*(Summary!$C$13="N")&gt;0," - excluded by your specials switch",""))</f>
        <v/>
      </c>
      <c r="J10" s="40">
        <f>IF($L10="","",IF((Override!$C$4="ON")*ISNUMBER(INDEX(Override!$G$13:$G$112,$N10))&gt;0,"stock overridden",""))</f>
        <v/>
      </c>
      <c r="L10" s="41">
        <f>IFERROR(IF(SMALL(Grids!$C$9:$BO$108,$M$7+1)&gt;=(Summary!$C$15+1)*1000000000,"",SMALL(Grids!$C$9:$BO$108,$M$7+1)),"")</f>
        <v/>
      </c>
      <c r="M10" s="41">
        <f>IF($L10="","",INT($L10/1000000000))</f>
        <v/>
      </c>
      <c r="N10" s="41">
        <f>IF($L10="","",INT(($L10-INT($L10/1000000)*1000000)/1000))</f>
        <v/>
      </c>
      <c r="O10" s="41">
        <f>IF($L10="","",$L10-INT($L10/1000)*1000)</f>
        <v/>
      </c>
      <c r="P10" s="41">
        <f>IF($L10="","",INT(($L10-INT($L10/1000000000)*1000000000)/10000000))</f>
        <v/>
      </c>
    </row>
    <row r="11">
      <c r="B11" s="36">
        <f>IF($L11="","",$M11)</f>
        <v/>
      </c>
      <c r="C11" s="16">
        <f>IF($L11="","",INDEX(HSI!$C$7:$C$106,$N11))</f>
        <v/>
      </c>
      <c r="D11" s="16">
        <f>IF($L11="","",INDEX(HSI!$D$7:$D$106,$N11))</f>
        <v/>
      </c>
      <c r="E11" s="37">
        <f>IF($L11="","",IF(INT($P11/10)=0,"TBA",IFERROR(INDEX(Grids!$BQ$9:$EC$108,$N11,$O11),"-")))</f>
        <v/>
      </c>
      <c r="F11" s="16">
        <f>IF($L11="","",INDEX(HSI!$F$7:$F$106,$N11))</f>
        <v/>
      </c>
      <c r="G11" s="37">
        <f>IF($L11="","",IF(INT($P11/10)=0,"TBA",IFERROR(INDEX(Grids!$EE$9:$GQ$108,$N11,$O11),"-")))</f>
        <v/>
      </c>
      <c r="H11" s="38">
        <f>IF($L11="","",SUM($G$10:$G11))</f>
        <v/>
      </c>
      <c r="I11" s="39">
        <f>IF($L11="","",IF(INT(($L11-INT($L11/10000000)*10000000)/1000000)=0,"Bloomberg projection",IF(INT($P11/10)=1,"Announced","ANNOUNCED - amount TBA"))&amp;IF(($P11-INT($P11/10)*10)=1," (special)","")&amp;IF((($P11-INT($P11/10)*10)=1)*(Summary!$C$13="N")&gt;0," - excluded by your specials switch",""))</f>
        <v/>
      </c>
      <c r="J11" s="40">
        <f>IF($L11="","",IF((Override!$C$4="ON")*ISNUMBER(INDEX(Override!$G$13:$G$112,$N11))&gt;0,"stock overridden",""))</f>
        <v/>
      </c>
      <c r="L11" s="41">
        <f>IFERROR(IF(SMALL(Grids!$C$9:$BO$108,$M$7+2)&gt;=(Summary!$C$15+1)*1000000000,"",SMALL(Grids!$C$9:$BO$108,$M$7+2)),"")</f>
        <v/>
      </c>
      <c r="M11" s="41">
        <f>IF($L11="","",INT($L11/1000000000))</f>
        <v/>
      </c>
      <c r="N11" s="41">
        <f>IF($L11="","",INT(($L11-INT($L11/1000000)*1000000)/1000))</f>
        <v/>
      </c>
      <c r="O11" s="41">
        <f>IF($L11="","",$L11-INT($L11/1000)*1000)</f>
        <v/>
      </c>
      <c r="P11" s="41">
        <f>IF($L11="","",INT(($L11-INT($L11/1000000000)*1000000000)/10000000))</f>
        <v/>
      </c>
    </row>
    <row r="12">
      <c r="B12" s="36">
        <f>IF($L12="","",$M12)</f>
        <v/>
      </c>
      <c r="C12" s="16">
        <f>IF($L12="","",INDEX(HSI!$C$7:$C$106,$N12))</f>
        <v/>
      </c>
      <c r="D12" s="16">
        <f>IF($L12="","",INDEX(HSI!$D$7:$D$106,$N12))</f>
        <v/>
      </c>
      <c r="E12" s="37">
        <f>IF($L12="","",IF(INT($P12/10)=0,"TBA",IFERROR(INDEX(Grids!$BQ$9:$EC$108,$N12,$O12),"-")))</f>
        <v/>
      </c>
      <c r="F12" s="16">
        <f>IF($L12="","",INDEX(HSI!$F$7:$F$106,$N12))</f>
        <v/>
      </c>
      <c r="G12" s="37">
        <f>IF($L12="","",IF(INT($P12/10)=0,"TBA",IFERROR(INDEX(Grids!$EE$9:$GQ$108,$N12,$O12),"-")))</f>
        <v/>
      </c>
      <c r="H12" s="38">
        <f>IF($L12="","",SUM($G$10:$G12))</f>
        <v/>
      </c>
      <c r="I12" s="39">
        <f>IF($L12="","",IF(INT(($L12-INT($L12/10000000)*10000000)/1000000)=0,"Bloomberg projection",IF(INT($P12/10)=1,"Announced","ANNOUNCED - amount TBA"))&amp;IF(($P12-INT($P12/10)*10)=1," (special)","")&amp;IF((($P12-INT($P12/10)*10)=1)*(Summary!$C$13="N")&gt;0," - excluded by your specials switch",""))</f>
        <v/>
      </c>
      <c r="J12" s="40">
        <f>IF($L12="","",IF((Override!$C$4="ON")*ISNUMBER(INDEX(Override!$G$13:$G$112,$N12))&gt;0,"stock overridden",""))</f>
        <v/>
      </c>
      <c r="L12" s="41">
        <f>IFERROR(IF(SMALL(Grids!$C$9:$BO$108,$M$7+3)&gt;=(Summary!$C$15+1)*1000000000,"",SMALL(Grids!$C$9:$BO$108,$M$7+3)),"")</f>
        <v/>
      </c>
      <c r="M12" s="41">
        <f>IF($L12="","",INT($L12/1000000000))</f>
        <v/>
      </c>
      <c r="N12" s="41">
        <f>IF($L12="","",INT(($L12-INT($L12/1000000)*1000000)/1000))</f>
        <v/>
      </c>
      <c r="O12" s="41">
        <f>IF($L12="","",$L12-INT($L12/1000)*1000)</f>
        <v/>
      </c>
      <c r="P12" s="41">
        <f>IF($L12="","",INT(($L12-INT($L12/1000000000)*1000000000)/10000000))</f>
        <v/>
      </c>
    </row>
    <row r="13">
      <c r="B13" s="36">
        <f>IF($L13="","",$M13)</f>
        <v/>
      </c>
      <c r="C13" s="16">
        <f>IF($L13="","",INDEX(HSI!$C$7:$C$106,$N13))</f>
        <v/>
      </c>
      <c r="D13" s="16">
        <f>IF($L13="","",INDEX(HSI!$D$7:$D$106,$N13))</f>
        <v/>
      </c>
      <c r="E13" s="37">
        <f>IF($L13="","",IF(INT($P13/10)=0,"TBA",IFERROR(INDEX(Grids!$BQ$9:$EC$108,$N13,$O13),"-")))</f>
        <v/>
      </c>
      <c r="F13" s="16">
        <f>IF($L13="","",INDEX(HSI!$F$7:$F$106,$N13))</f>
        <v/>
      </c>
      <c r="G13" s="37">
        <f>IF($L13="","",IF(INT($P13/10)=0,"TBA",IFERROR(INDEX(Grids!$EE$9:$GQ$108,$N13,$O13),"-")))</f>
        <v/>
      </c>
      <c r="H13" s="38">
        <f>IF($L13="","",SUM($G$10:$G13))</f>
        <v/>
      </c>
      <c r="I13" s="39">
        <f>IF($L13="","",IF(INT(($L13-INT($L13/10000000)*10000000)/1000000)=0,"Bloomberg projection",IF(INT($P13/10)=1,"Announced","ANNOUNCED - amount TBA"))&amp;IF(($P13-INT($P13/10)*10)=1," (special)","")&amp;IF((($P13-INT($P13/10)*10)=1)*(Summary!$C$13="N")&gt;0," - excluded by your specials switch",""))</f>
        <v/>
      </c>
      <c r="J13" s="40">
        <f>IF($L13="","",IF((Override!$C$4="ON")*ISNUMBER(INDEX(Override!$G$13:$G$112,$N13))&gt;0,"stock overridden",""))</f>
        <v/>
      </c>
      <c r="L13" s="41">
        <f>IFERROR(IF(SMALL(Grids!$C$9:$BO$108,$M$7+4)&gt;=(Summary!$C$15+1)*1000000000,"",SMALL(Grids!$C$9:$BO$108,$M$7+4)),"")</f>
        <v/>
      </c>
      <c r="M13" s="41">
        <f>IF($L13="","",INT($L13/1000000000))</f>
        <v/>
      </c>
      <c r="N13" s="41">
        <f>IF($L13="","",INT(($L13-INT($L13/1000000)*1000000)/1000))</f>
        <v/>
      </c>
      <c r="O13" s="41">
        <f>IF($L13="","",$L13-INT($L13/1000)*1000)</f>
        <v/>
      </c>
      <c r="P13" s="41">
        <f>IF($L13="","",INT(($L13-INT($L13/1000000000)*1000000000)/10000000))</f>
        <v/>
      </c>
    </row>
    <row r="14">
      <c r="B14" s="36">
        <f>IF($L14="","",$M14)</f>
        <v/>
      </c>
      <c r="C14" s="16">
        <f>IF($L14="","",INDEX(HSI!$C$7:$C$106,$N14))</f>
        <v/>
      </c>
      <c r="D14" s="16">
        <f>IF($L14="","",INDEX(HSI!$D$7:$D$106,$N14))</f>
        <v/>
      </c>
      <c r="E14" s="37">
        <f>IF($L14="","",IF(INT($P14/10)=0,"TBA",IFERROR(INDEX(Grids!$BQ$9:$EC$108,$N14,$O14),"-")))</f>
        <v/>
      </c>
      <c r="F14" s="16">
        <f>IF($L14="","",INDEX(HSI!$F$7:$F$106,$N14))</f>
        <v/>
      </c>
      <c r="G14" s="37">
        <f>IF($L14="","",IF(INT($P14/10)=0,"TBA",IFERROR(INDEX(Grids!$EE$9:$GQ$108,$N14,$O14),"-")))</f>
        <v/>
      </c>
      <c r="H14" s="38">
        <f>IF($L14="","",SUM($G$10:$G14))</f>
        <v/>
      </c>
      <c r="I14" s="39">
        <f>IF($L14="","",IF(INT(($L14-INT($L14/10000000)*10000000)/1000000)=0,"Bloomberg projection",IF(INT($P14/10)=1,"Announced","ANNOUNCED - amount TBA"))&amp;IF(($P14-INT($P14/10)*10)=1," (special)","")&amp;IF((($P14-INT($P14/10)*10)=1)*(Summary!$C$13="N")&gt;0," - excluded by your specials switch",""))</f>
        <v/>
      </c>
      <c r="J14" s="40">
        <f>IF($L14="","",IF((Override!$C$4="ON")*ISNUMBER(INDEX(Override!$G$13:$G$112,$N14))&gt;0,"stock overridden",""))</f>
        <v/>
      </c>
      <c r="L14" s="41">
        <f>IFERROR(IF(SMALL(Grids!$C$9:$BO$108,$M$7+5)&gt;=(Summary!$C$15+1)*1000000000,"",SMALL(Grids!$C$9:$BO$108,$M$7+5)),"")</f>
        <v/>
      </c>
      <c r="M14" s="41">
        <f>IF($L14="","",INT($L14/1000000000))</f>
        <v/>
      </c>
      <c r="N14" s="41">
        <f>IF($L14="","",INT(($L14-INT($L14/1000000)*1000000)/1000))</f>
        <v/>
      </c>
      <c r="O14" s="41">
        <f>IF($L14="","",$L14-INT($L14/1000)*1000)</f>
        <v/>
      </c>
      <c r="P14" s="41">
        <f>IF($L14="","",INT(($L14-INT($L14/1000000000)*1000000000)/10000000))</f>
        <v/>
      </c>
    </row>
    <row r="15">
      <c r="B15" s="36">
        <f>IF($L15="","",$M15)</f>
        <v/>
      </c>
      <c r="C15" s="16">
        <f>IF($L15="","",INDEX(HSI!$C$7:$C$106,$N15))</f>
        <v/>
      </c>
      <c r="D15" s="16">
        <f>IF($L15="","",INDEX(HSI!$D$7:$D$106,$N15))</f>
        <v/>
      </c>
      <c r="E15" s="37">
        <f>IF($L15="","",IF(INT($P15/10)=0,"TBA",IFERROR(INDEX(Grids!$BQ$9:$EC$108,$N15,$O15),"-")))</f>
        <v/>
      </c>
      <c r="F15" s="16">
        <f>IF($L15="","",INDEX(HSI!$F$7:$F$106,$N15))</f>
        <v/>
      </c>
      <c r="G15" s="37">
        <f>IF($L15="","",IF(INT($P15/10)=0,"TBA",IFERROR(INDEX(Grids!$EE$9:$GQ$108,$N15,$O15),"-")))</f>
        <v/>
      </c>
      <c r="H15" s="38">
        <f>IF($L15="","",SUM($G$10:$G15))</f>
        <v/>
      </c>
      <c r="I15" s="39">
        <f>IF($L15="","",IF(INT(($L15-INT($L15/10000000)*10000000)/1000000)=0,"Bloomberg projection",IF(INT($P15/10)=1,"Announced","ANNOUNCED - amount TBA"))&amp;IF(($P15-INT($P15/10)*10)=1," (special)","")&amp;IF((($P15-INT($P15/10)*10)=1)*(Summary!$C$13="N")&gt;0," - excluded by your specials switch",""))</f>
        <v/>
      </c>
      <c r="J15" s="40">
        <f>IF($L15="","",IF((Override!$C$4="ON")*ISNUMBER(INDEX(Override!$G$13:$G$112,$N15))&gt;0,"stock overridden",""))</f>
        <v/>
      </c>
      <c r="L15" s="41">
        <f>IFERROR(IF(SMALL(Grids!$C$9:$BO$108,$M$7+6)&gt;=(Summary!$C$15+1)*1000000000,"",SMALL(Grids!$C$9:$BO$108,$M$7+6)),"")</f>
        <v/>
      </c>
      <c r="M15" s="41">
        <f>IF($L15="","",INT($L15/1000000000))</f>
        <v/>
      </c>
      <c r="N15" s="41">
        <f>IF($L15="","",INT(($L15-INT($L15/1000000)*1000000)/1000))</f>
        <v/>
      </c>
      <c r="O15" s="41">
        <f>IF($L15="","",$L15-INT($L15/1000)*1000)</f>
        <v/>
      </c>
      <c r="P15" s="41">
        <f>IF($L15="","",INT(($L15-INT($L15/1000000000)*1000000000)/10000000))</f>
        <v/>
      </c>
    </row>
    <row r="16">
      <c r="B16" s="36">
        <f>IF($L16="","",$M16)</f>
        <v/>
      </c>
      <c r="C16" s="16">
        <f>IF($L16="","",INDEX(HSI!$C$7:$C$106,$N16))</f>
        <v/>
      </c>
      <c r="D16" s="16">
        <f>IF($L16="","",INDEX(HSI!$D$7:$D$106,$N16))</f>
        <v/>
      </c>
      <c r="E16" s="37">
        <f>IF($L16="","",IF(INT($P16/10)=0,"TBA",IFERROR(INDEX(Grids!$BQ$9:$EC$108,$N16,$O16),"-")))</f>
        <v/>
      </c>
      <c r="F16" s="16">
        <f>IF($L16="","",INDEX(HSI!$F$7:$F$106,$N16))</f>
        <v/>
      </c>
      <c r="G16" s="37">
        <f>IF($L16="","",IF(INT($P16/10)=0,"TBA",IFERROR(INDEX(Grids!$EE$9:$GQ$108,$N16,$O16),"-")))</f>
        <v/>
      </c>
      <c r="H16" s="38">
        <f>IF($L16="","",SUM($G$10:$G16))</f>
        <v/>
      </c>
      <c r="I16" s="39">
        <f>IF($L16="","",IF(INT(($L16-INT($L16/10000000)*10000000)/1000000)=0,"Bloomberg projection",IF(INT($P16/10)=1,"Announced","ANNOUNCED - amount TBA"))&amp;IF(($P16-INT($P16/10)*10)=1," (special)","")&amp;IF((($P16-INT($P16/10)*10)=1)*(Summary!$C$13="N")&gt;0," - excluded by your specials switch",""))</f>
        <v/>
      </c>
      <c r="J16" s="40">
        <f>IF($L16="","",IF((Override!$C$4="ON")*ISNUMBER(INDEX(Override!$G$13:$G$112,$N16))&gt;0,"stock overridden",""))</f>
        <v/>
      </c>
      <c r="L16" s="41">
        <f>IFERROR(IF(SMALL(Grids!$C$9:$BO$108,$M$7+7)&gt;=(Summary!$C$15+1)*1000000000,"",SMALL(Grids!$C$9:$BO$108,$M$7+7)),"")</f>
        <v/>
      </c>
      <c r="M16" s="41">
        <f>IF($L16="","",INT($L16/1000000000))</f>
        <v/>
      </c>
      <c r="N16" s="41">
        <f>IF($L16="","",INT(($L16-INT($L16/1000000)*1000000)/1000))</f>
        <v/>
      </c>
      <c r="O16" s="41">
        <f>IF($L16="","",$L16-INT($L16/1000)*1000)</f>
        <v/>
      </c>
      <c r="P16" s="41">
        <f>IF($L16="","",INT(($L16-INT($L16/1000000000)*1000000000)/10000000))</f>
        <v/>
      </c>
    </row>
    <row r="17">
      <c r="B17" s="36">
        <f>IF($L17="","",$M17)</f>
        <v/>
      </c>
      <c r="C17" s="16">
        <f>IF($L17="","",INDEX(HSI!$C$7:$C$106,$N17))</f>
        <v/>
      </c>
      <c r="D17" s="16">
        <f>IF($L17="","",INDEX(HSI!$D$7:$D$106,$N17))</f>
        <v/>
      </c>
      <c r="E17" s="37">
        <f>IF($L17="","",IF(INT($P17/10)=0,"TBA",IFERROR(INDEX(Grids!$BQ$9:$EC$108,$N17,$O17),"-")))</f>
        <v/>
      </c>
      <c r="F17" s="16">
        <f>IF($L17="","",INDEX(HSI!$F$7:$F$106,$N17))</f>
        <v/>
      </c>
      <c r="G17" s="37">
        <f>IF($L17="","",IF(INT($P17/10)=0,"TBA",IFERROR(INDEX(Grids!$EE$9:$GQ$108,$N17,$O17),"-")))</f>
        <v/>
      </c>
      <c r="H17" s="38">
        <f>IF($L17="","",SUM($G$10:$G17))</f>
        <v/>
      </c>
      <c r="I17" s="39">
        <f>IF($L17="","",IF(INT(($L17-INT($L17/10000000)*10000000)/1000000)=0,"Bloomberg projection",IF(INT($P17/10)=1,"Announced","ANNOUNCED - amount TBA"))&amp;IF(($P17-INT($P17/10)*10)=1," (special)","")&amp;IF((($P17-INT($P17/10)*10)=1)*(Summary!$C$13="N")&gt;0," - excluded by your specials switch",""))</f>
        <v/>
      </c>
      <c r="J17" s="40">
        <f>IF($L17="","",IF((Override!$C$4="ON")*ISNUMBER(INDEX(Override!$G$13:$G$112,$N17))&gt;0,"stock overridden",""))</f>
        <v/>
      </c>
      <c r="L17" s="41">
        <f>IFERROR(IF(SMALL(Grids!$C$9:$BO$108,$M$7+8)&gt;=(Summary!$C$15+1)*1000000000,"",SMALL(Grids!$C$9:$BO$108,$M$7+8)),"")</f>
        <v/>
      </c>
      <c r="M17" s="41">
        <f>IF($L17="","",INT($L17/1000000000))</f>
        <v/>
      </c>
      <c r="N17" s="41">
        <f>IF($L17="","",INT(($L17-INT($L17/1000000)*1000000)/1000))</f>
        <v/>
      </c>
      <c r="O17" s="41">
        <f>IF($L17="","",$L17-INT($L17/1000)*1000)</f>
        <v/>
      </c>
      <c r="P17" s="41">
        <f>IF($L17="","",INT(($L17-INT($L17/1000000000)*1000000000)/10000000))</f>
        <v/>
      </c>
    </row>
    <row r="18">
      <c r="B18" s="36">
        <f>IF($L18="","",$M18)</f>
        <v/>
      </c>
      <c r="C18" s="16">
        <f>IF($L18="","",INDEX(HSI!$C$7:$C$106,$N18))</f>
        <v/>
      </c>
      <c r="D18" s="16">
        <f>IF($L18="","",INDEX(HSI!$D$7:$D$106,$N18))</f>
        <v/>
      </c>
      <c r="E18" s="37">
        <f>IF($L18="","",IF(INT($P18/10)=0,"TBA",IFERROR(INDEX(Grids!$BQ$9:$EC$108,$N18,$O18),"-")))</f>
        <v/>
      </c>
      <c r="F18" s="16">
        <f>IF($L18="","",INDEX(HSI!$F$7:$F$106,$N18))</f>
        <v/>
      </c>
      <c r="G18" s="37">
        <f>IF($L18="","",IF(INT($P18/10)=0,"TBA",IFERROR(INDEX(Grids!$EE$9:$GQ$108,$N18,$O18),"-")))</f>
        <v/>
      </c>
      <c r="H18" s="38">
        <f>IF($L18="","",SUM($G$10:$G18))</f>
        <v/>
      </c>
      <c r="I18" s="39">
        <f>IF($L18="","",IF(INT(($L18-INT($L18/10000000)*10000000)/1000000)=0,"Bloomberg projection",IF(INT($P18/10)=1,"Announced","ANNOUNCED - amount TBA"))&amp;IF(($P18-INT($P18/10)*10)=1," (special)","")&amp;IF((($P18-INT($P18/10)*10)=1)*(Summary!$C$13="N")&gt;0," - excluded by your specials switch",""))</f>
        <v/>
      </c>
      <c r="J18" s="40">
        <f>IF($L18="","",IF((Override!$C$4="ON")*ISNUMBER(INDEX(Override!$G$13:$G$112,$N18))&gt;0,"stock overridden",""))</f>
        <v/>
      </c>
      <c r="L18" s="41">
        <f>IFERROR(IF(SMALL(Grids!$C$9:$BO$108,$M$7+9)&gt;=(Summary!$C$15+1)*1000000000,"",SMALL(Grids!$C$9:$BO$108,$M$7+9)),"")</f>
        <v/>
      </c>
      <c r="M18" s="41">
        <f>IF($L18="","",INT($L18/1000000000))</f>
        <v/>
      </c>
      <c r="N18" s="41">
        <f>IF($L18="","",INT(($L18-INT($L18/1000000)*1000000)/1000))</f>
        <v/>
      </c>
      <c r="O18" s="41">
        <f>IF($L18="","",$L18-INT($L18/1000)*1000)</f>
        <v/>
      </c>
      <c r="P18" s="41">
        <f>IF($L18="","",INT(($L18-INT($L18/1000000000)*1000000000)/10000000))</f>
        <v/>
      </c>
    </row>
    <row r="19">
      <c r="B19" s="36">
        <f>IF($L19="","",$M19)</f>
        <v/>
      </c>
      <c r="C19" s="16">
        <f>IF($L19="","",INDEX(HSI!$C$7:$C$106,$N19))</f>
        <v/>
      </c>
      <c r="D19" s="16">
        <f>IF($L19="","",INDEX(HSI!$D$7:$D$106,$N19))</f>
        <v/>
      </c>
      <c r="E19" s="37">
        <f>IF($L19="","",IF(INT($P19/10)=0,"TBA",IFERROR(INDEX(Grids!$BQ$9:$EC$108,$N19,$O19),"-")))</f>
        <v/>
      </c>
      <c r="F19" s="16">
        <f>IF($L19="","",INDEX(HSI!$F$7:$F$106,$N19))</f>
        <v/>
      </c>
      <c r="G19" s="37">
        <f>IF($L19="","",IF(INT($P19/10)=0,"TBA",IFERROR(INDEX(Grids!$EE$9:$GQ$108,$N19,$O19),"-")))</f>
        <v/>
      </c>
      <c r="H19" s="38">
        <f>IF($L19="","",SUM($G$10:$G19))</f>
        <v/>
      </c>
      <c r="I19" s="39">
        <f>IF($L19="","",IF(INT(($L19-INT($L19/10000000)*10000000)/1000000)=0,"Bloomberg projection",IF(INT($P19/10)=1,"Announced","ANNOUNCED - amount TBA"))&amp;IF(($P19-INT($P19/10)*10)=1," (special)","")&amp;IF((($P19-INT($P19/10)*10)=1)*(Summary!$C$13="N")&gt;0," - excluded by your specials switch",""))</f>
        <v/>
      </c>
      <c r="J19" s="40">
        <f>IF($L19="","",IF((Override!$C$4="ON")*ISNUMBER(INDEX(Override!$G$13:$G$112,$N19))&gt;0,"stock overridden",""))</f>
        <v/>
      </c>
      <c r="L19" s="41">
        <f>IFERROR(IF(SMALL(Grids!$C$9:$BO$108,$M$7+10)&gt;=(Summary!$C$15+1)*1000000000,"",SMALL(Grids!$C$9:$BO$108,$M$7+10)),"")</f>
        <v/>
      </c>
      <c r="M19" s="41">
        <f>IF($L19="","",INT($L19/1000000000))</f>
        <v/>
      </c>
      <c r="N19" s="41">
        <f>IF($L19="","",INT(($L19-INT($L19/1000000)*1000000)/1000))</f>
        <v/>
      </c>
      <c r="O19" s="41">
        <f>IF($L19="","",$L19-INT($L19/1000)*1000)</f>
        <v/>
      </c>
      <c r="P19" s="41">
        <f>IF($L19="","",INT(($L19-INT($L19/1000000000)*1000000000)/10000000))</f>
        <v/>
      </c>
    </row>
    <row r="20">
      <c r="B20" s="36">
        <f>IF($L20="","",$M20)</f>
        <v/>
      </c>
      <c r="C20" s="16">
        <f>IF($L20="","",INDEX(HSI!$C$7:$C$106,$N20))</f>
        <v/>
      </c>
      <c r="D20" s="16">
        <f>IF($L20="","",INDEX(HSI!$D$7:$D$106,$N20))</f>
        <v/>
      </c>
      <c r="E20" s="37">
        <f>IF($L20="","",IF(INT($P20/10)=0,"TBA",IFERROR(INDEX(Grids!$BQ$9:$EC$108,$N20,$O20),"-")))</f>
        <v/>
      </c>
      <c r="F20" s="16">
        <f>IF($L20="","",INDEX(HSI!$F$7:$F$106,$N20))</f>
        <v/>
      </c>
      <c r="G20" s="37">
        <f>IF($L20="","",IF(INT($P20/10)=0,"TBA",IFERROR(INDEX(Grids!$EE$9:$GQ$108,$N20,$O20),"-")))</f>
        <v/>
      </c>
      <c r="H20" s="38">
        <f>IF($L20="","",SUM($G$10:$G20))</f>
        <v/>
      </c>
      <c r="I20" s="39">
        <f>IF($L20="","",IF(INT(($L20-INT($L20/10000000)*10000000)/1000000)=0,"Bloomberg projection",IF(INT($P20/10)=1,"Announced","ANNOUNCED - amount TBA"))&amp;IF(($P20-INT($P20/10)*10)=1," (special)","")&amp;IF((($P20-INT($P20/10)*10)=1)*(Summary!$C$13="N")&gt;0," - excluded by your specials switch",""))</f>
        <v/>
      </c>
      <c r="J20" s="40">
        <f>IF($L20="","",IF((Override!$C$4="ON")*ISNUMBER(INDEX(Override!$G$13:$G$112,$N20))&gt;0,"stock overridden",""))</f>
        <v/>
      </c>
      <c r="L20" s="41">
        <f>IFERROR(IF(SMALL(Grids!$C$9:$BO$108,$M$7+11)&gt;=(Summary!$C$15+1)*1000000000,"",SMALL(Grids!$C$9:$BO$108,$M$7+11)),"")</f>
        <v/>
      </c>
      <c r="M20" s="41">
        <f>IF($L20="","",INT($L20/1000000000))</f>
        <v/>
      </c>
      <c r="N20" s="41">
        <f>IF($L20="","",INT(($L20-INT($L20/1000000)*1000000)/1000))</f>
        <v/>
      </c>
      <c r="O20" s="41">
        <f>IF($L20="","",$L20-INT($L20/1000)*1000)</f>
        <v/>
      </c>
      <c r="P20" s="41">
        <f>IF($L20="","",INT(($L20-INT($L20/1000000000)*1000000000)/10000000))</f>
        <v/>
      </c>
    </row>
    <row r="21">
      <c r="B21" s="36">
        <f>IF($L21="","",$M21)</f>
        <v/>
      </c>
      <c r="C21" s="16">
        <f>IF($L21="","",INDEX(HSI!$C$7:$C$106,$N21))</f>
        <v/>
      </c>
      <c r="D21" s="16">
        <f>IF($L21="","",INDEX(HSI!$D$7:$D$106,$N21))</f>
        <v/>
      </c>
      <c r="E21" s="37">
        <f>IF($L21="","",IF(INT($P21/10)=0,"TBA",IFERROR(INDEX(Grids!$BQ$9:$EC$108,$N21,$O21),"-")))</f>
        <v/>
      </c>
      <c r="F21" s="16">
        <f>IF($L21="","",INDEX(HSI!$F$7:$F$106,$N21))</f>
        <v/>
      </c>
      <c r="G21" s="37">
        <f>IF($L21="","",IF(INT($P21/10)=0,"TBA",IFERROR(INDEX(Grids!$EE$9:$GQ$108,$N21,$O21),"-")))</f>
        <v/>
      </c>
      <c r="H21" s="38">
        <f>IF($L21="","",SUM($G$10:$G21))</f>
        <v/>
      </c>
      <c r="I21" s="39">
        <f>IF($L21="","",IF(INT(($L21-INT($L21/10000000)*10000000)/1000000)=0,"Bloomberg projection",IF(INT($P21/10)=1,"Announced","ANNOUNCED - amount TBA"))&amp;IF(($P21-INT($P21/10)*10)=1," (special)","")&amp;IF((($P21-INT($P21/10)*10)=1)*(Summary!$C$13="N")&gt;0," - excluded by your specials switch",""))</f>
        <v/>
      </c>
      <c r="J21" s="40">
        <f>IF($L21="","",IF((Override!$C$4="ON")*ISNUMBER(INDEX(Override!$G$13:$G$112,$N21))&gt;0,"stock overridden",""))</f>
        <v/>
      </c>
      <c r="L21" s="41">
        <f>IFERROR(IF(SMALL(Grids!$C$9:$BO$108,$M$7+12)&gt;=(Summary!$C$15+1)*1000000000,"",SMALL(Grids!$C$9:$BO$108,$M$7+12)),"")</f>
        <v/>
      </c>
      <c r="M21" s="41">
        <f>IF($L21="","",INT($L21/1000000000))</f>
        <v/>
      </c>
      <c r="N21" s="41">
        <f>IF($L21="","",INT(($L21-INT($L21/1000000)*1000000)/1000))</f>
        <v/>
      </c>
      <c r="O21" s="41">
        <f>IF($L21="","",$L21-INT($L21/1000)*1000)</f>
        <v/>
      </c>
      <c r="P21" s="41">
        <f>IF($L21="","",INT(($L21-INT($L21/1000000000)*1000000000)/10000000))</f>
        <v/>
      </c>
    </row>
    <row r="22">
      <c r="B22" s="36">
        <f>IF($L22="","",$M22)</f>
        <v/>
      </c>
      <c r="C22" s="16">
        <f>IF($L22="","",INDEX(HSI!$C$7:$C$106,$N22))</f>
        <v/>
      </c>
      <c r="D22" s="16">
        <f>IF($L22="","",INDEX(HSI!$D$7:$D$106,$N22))</f>
        <v/>
      </c>
      <c r="E22" s="37">
        <f>IF($L22="","",IF(INT($P22/10)=0,"TBA",IFERROR(INDEX(Grids!$BQ$9:$EC$108,$N22,$O22),"-")))</f>
        <v/>
      </c>
      <c r="F22" s="16">
        <f>IF($L22="","",INDEX(HSI!$F$7:$F$106,$N22))</f>
        <v/>
      </c>
      <c r="G22" s="37">
        <f>IF($L22="","",IF(INT($P22/10)=0,"TBA",IFERROR(INDEX(Grids!$EE$9:$GQ$108,$N22,$O22),"-")))</f>
        <v/>
      </c>
      <c r="H22" s="38">
        <f>IF($L22="","",SUM($G$10:$G22))</f>
        <v/>
      </c>
      <c r="I22" s="39">
        <f>IF($L22="","",IF(INT(($L22-INT($L22/10000000)*10000000)/1000000)=0,"Bloomberg projection",IF(INT($P22/10)=1,"Announced","ANNOUNCED - amount TBA"))&amp;IF(($P22-INT($P22/10)*10)=1," (special)","")&amp;IF((($P22-INT($P22/10)*10)=1)*(Summary!$C$13="N")&gt;0," - excluded by your specials switch",""))</f>
        <v/>
      </c>
      <c r="J22" s="40">
        <f>IF($L22="","",IF((Override!$C$4="ON")*ISNUMBER(INDEX(Override!$G$13:$G$112,$N22))&gt;0,"stock overridden",""))</f>
        <v/>
      </c>
      <c r="L22" s="41">
        <f>IFERROR(IF(SMALL(Grids!$C$9:$BO$108,$M$7+13)&gt;=(Summary!$C$15+1)*1000000000,"",SMALL(Grids!$C$9:$BO$108,$M$7+13)),"")</f>
        <v/>
      </c>
      <c r="M22" s="41">
        <f>IF($L22="","",INT($L22/1000000000))</f>
        <v/>
      </c>
      <c r="N22" s="41">
        <f>IF($L22="","",INT(($L22-INT($L22/1000000)*1000000)/1000))</f>
        <v/>
      </c>
      <c r="O22" s="41">
        <f>IF($L22="","",$L22-INT($L22/1000)*1000)</f>
        <v/>
      </c>
      <c r="P22" s="41">
        <f>IF($L22="","",INT(($L22-INT($L22/1000000000)*1000000000)/10000000))</f>
        <v/>
      </c>
    </row>
    <row r="23">
      <c r="B23" s="36">
        <f>IF($L23="","",$M23)</f>
        <v/>
      </c>
      <c r="C23" s="16">
        <f>IF($L23="","",INDEX(HSI!$C$7:$C$106,$N23))</f>
        <v/>
      </c>
      <c r="D23" s="16">
        <f>IF($L23="","",INDEX(HSI!$D$7:$D$106,$N23))</f>
        <v/>
      </c>
      <c r="E23" s="37">
        <f>IF($L23="","",IF(INT($P23/10)=0,"TBA",IFERROR(INDEX(Grids!$BQ$9:$EC$108,$N23,$O23),"-")))</f>
        <v/>
      </c>
      <c r="F23" s="16">
        <f>IF($L23="","",INDEX(HSI!$F$7:$F$106,$N23))</f>
        <v/>
      </c>
      <c r="G23" s="37">
        <f>IF($L23="","",IF(INT($P23/10)=0,"TBA",IFERROR(INDEX(Grids!$EE$9:$GQ$108,$N23,$O23),"-")))</f>
        <v/>
      </c>
      <c r="H23" s="38">
        <f>IF($L23="","",SUM($G$10:$G23))</f>
        <v/>
      </c>
      <c r="I23" s="39">
        <f>IF($L23="","",IF(INT(($L23-INT($L23/10000000)*10000000)/1000000)=0,"Bloomberg projection",IF(INT($P23/10)=1,"Announced","ANNOUNCED - amount TBA"))&amp;IF(($P23-INT($P23/10)*10)=1," (special)","")&amp;IF((($P23-INT($P23/10)*10)=1)*(Summary!$C$13="N")&gt;0," - excluded by your specials switch",""))</f>
        <v/>
      </c>
      <c r="J23" s="40">
        <f>IF($L23="","",IF((Override!$C$4="ON")*ISNUMBER(INDEX(Override!$G$13:$G$112,$N23))&gt;0,"stock overridden",""))</f>
        <v/>
      </c>
      <c r="L23" s="41">
        <f>IFERROR(IF(SMALL(Grids!$C$9:$BO$108,$M$7+14)&gt;=(Summary!$C$15+1)*1000000000,"",SMALL(Grids!$C$9:$BO$108,$M$7+14)),"")</f>
        <v/>
      </c>
      <c r="M23" s="41">
        <f>IF($L23="","",INT($L23/1000000000))</f>
        <v/>
      </c>
      <c r="N23" s="41">
        <f>IF($L23="","",INT(($L23-INT($L23/1000000)*1000000)/1000))</f>
        <v/>
      </c>
      <c r="O23" s="41">
        <f>IF($L23="","",$L23-INT($L23/1000)*1000)</f>
        <v/>
      </c>
      <c r="P23" s="41">
        <f>IF($L23="","",INT(($L23-INT($L23/1000000000)*1000000000)/10000000))</f>
        <v/>
      </c>
    </row>
    <row r="24">
      <c r="B24" s="36">
        <f>IF($L24="","",$M24)</f>
        <v/>
      </c>
      <c r="C24" s="16">
        <f>IF($L24="","",INDEX(HSI!$C$7:$C$106,$N24))</f>
        <v/>
      </c>
      <c r="D24" s="16">
        <f>IF($L24="","",INDEX(HSI!$D$7:$D$106,$N24))</f>
        <v/>
      </c>
      <c r="E24" s="37">
        <f>IF($L24="","",IF(INT($P24/10)=0,"TBA",IFERROR(INDEX(Grids!$BQ$9:$EC$108,$N24,$O24),"-")))</f>
        <v/>
      </c>
      <c r="F24" s="16">
        <f>IF($L24="","",INDEX(HSI!$F$7:$F$106,$N24))</f>
        <v/>
      </c>
      <c r="G24" s="37">
        <f>IF($L24="","",IF(INT($P24/10)=0,"TBA",IFERROR(INDEX(Grids!$EE$9:$GQ$108,$N24,$O24),"-")))</f>
        <v/>
      </c>
      <c r="H24" s="38">
        <f>IF($L24="","",SUM($G$10:$G24))</f>
        <v/>
      </c>
      <c r="I24" s="39">
        <f>IF($L24="","",IF(INT(($L24-INT($L24/10000000)*10000000)/1000000)=0,"Bloomberg projection",IF(INT($P24/10)=1,"Announced","ANNOUNCED - amount TBA"))&amp;IF(($P24-INT($P24/10)*10)=1," (special)","")&amp;IF((($P24-INT($P24/10)*10)=1)*(Summary!$C$13="N")&gt;0," - excluded by your specials switch",""))</f>
        <v/>
      </c>
      <c r="J24" s="40">
        <f>IF($L24="","",IF((Override!$C$4="ON")*ISNUMBER(INDEX(Override!$G$13:$G$112,$N24))&gt;0,"stock overridden",""))</f>
        <v/>
      </c>
      <c r="L24" s="41">
        <f>IFERROR(IF(SMALL(Grids!$C$9:$BO$108,$M$7+15)&gt;=(Summary!$C$15+1)*1000000000,"",SMALL(Grids!$C$9:$BO$108,$M$7+15)),"")</f>
        <v/>
      </c>
      <c r="M24" s="41">
        <f>IF($L24="","",INT($L24/1000000000))</f>
        <v/>
      </c>
      <c r="N24" s="41">
        <f>IF($L24="","",INT(($L24-INT($L24/1000000)*1000000)/1000))</f>
        <v/>
      </c>
      <c r="O24" s="41">
        <f>IF($L24="","",$L24-INT($L24/1000)*1000)</f>
        <v/>
      </c>
      <c r="P24" s="41">
        <f>IF($L24="","",INT(($L24-INT($L24/1000000000)*1000000000)/10000000))</f>
        <v/>
      </c>
    </row>
    <row r="25">
      <c r="B25" s="36">
        <f>IF($L25="","",$M25)</f>
        <v/>
      </c>
      <c r="C25" s="16">
        <f>IF($L25="","",INDEX(HSI!$C$7:$C$106,$N25))</f>
        <v/>
      </c>
      <c r="D25" s="16">
        <f>IF($L25="","",INDEX(HSI!$D$7:$D$106,$N25))</f>
        <v/>
      </c>
      <c r="E25" s="37">
        <f>IF($L25="","",IF(INT($P25/10)=0,"TBA",IFERROR(INDEX(Grids!$BQ$9:$EC$108,$N25,$O25),"-")))</f>
        <v/>
      </c>
      <c r="F25" s="16">
        <f>IF($L25="","",INDEX(HSI!$F$7:$F$106,$N25))</f>
        <v/>
      </c>
      <c r="G25" s="37">
        <f>IF($L25="","",IF(INT($P25/10)=0,"TBA",IFERROR(INDEX(Grids!$EE$9:$GQ$108,$N25,$O25),"-")))</f>
        <v/>
      </c>
      <c r="H25" s="38">
        <f>IF($L25="","",SUM($G$10:$G25))</f>
        <v/>
      </c>
      <c r="I25" s="39">
        <f>IF($L25="","",IF(INT(($L25-INT($L25/10000000)*10000000)/1000000)=0,"Bloomberg projection",IF(INT($P25/10)=1,"Announced","ANNOUNCED - amount TBA"))&amp;IF(($P25-INT($P25/10)*10)=1," (special)","")&amp;IF((($P25-INT($P25/10)*10)=1)*(Summary!$C$13="N")&gt;0," - excluded by your specials switch",""))</f>
        <v/>
      </c>
      <c r="J25" s="40">
        <f>IF($L25="","",IF((Override!$C$4="ON")*ISNUMBER(INDEX(Override!$G$13:$G$112,$N25))&gt;0,"stock overridden",""))</f>
        <v/>
      </c>
      <c r="L25" s="41">
        <f>IFERROR(IF(SMALL(Grids!$C$9:$BO$108,$M$7+16)&gt;=(Summary!$C$15+1)*1000000000,"",SMALL(Grids!$C$9:$BO$108,$M$7+16)),"")</f>
        <v/>
      </c>
      <c r="M25" s="41">
        <f>IF($L25="","",INT($L25/1000000000))</f>
        <v/>
      </c>
      <c r="N25" s="41">
        <f>IF($L25="","",INT(($L25-INT($L25/1000000)*1000000)/1000))</f>
        <v/>
      </c>
      <c r="O25" s="41">
        <f>IF($L25="","",$L25-INT($L25/1000)*1000)</f>
        <v/>
      </c>
      <c r="P25" s="41">
        <f>IF($L25="","",INT(($L25-INT($L25/1000000000)*1000000000)/10000000))</f>
        <v/>
      </c>
    </row>
    <row r="26">
      <c r="B26" s="36">
        <f>IF($L26="","",$M26)</f>
        <v/>
      </c>
      <c r="C26" s="16">
        <f>IF($L26="","",INDEX(HSI!$C$7:$C$106,$N26))</f>
        <v/>
      </c>
      <c r="D26" s="16">
        <f>IF($L26="","",INDEX(HSI!$D$7:$D$106,$N26))</f>
        <v/>
      </c>
      <c r="E26" s="37">
        <f>IF($L26="","",IF(INT($P26/10)=0,"TBA",IFERROR(INDEX(Grids!$BQ$9:$EC$108,$N26,$O26),"-")))</f>
        <v/>
      </c>
      <c r="F26" s="16">
        <f>IF($L26="","",INDEX(HSI!$F$7:$F$106,$N26))</f>
        <v/>
      </c>
      <c r="G26" s="37">
        <f>IF($L26="","",IF(INT($P26/10)=0,"TBA",IFERROR(INDEX(Grids!$EE$9:$GQ$108,$N26,$O26),"-")))</f>
        <v/>
      </c>
      <c r="H26" s="38">
        <f>IF($L26="","",SUM($G$10:$G26))</f>
        <v/>
      </c>
      <c r="I26" s="39">
        <f>IF($L26="","",IF(INT(($L26-INT($L26/10000000)*10000000)/1000000)=0,"Bloomberg projection",IF(INT($P26/10)=1,"Announced","ANNOUNCED - amount TBA"))&amp;IF(($P26-INT($P26/10)*10)=1," (special)","")&amp;IF((($P26-INT($P26/10)*10)=1)*(Summary!$C$13="N")&gt;0," - excluded by your specials switch",""))</f>
        <v/>
      </c>
      <c r="J26" s="40">
        <f>IF($L26="","",IF((Override!$C$4="ON")*ISNUMBER(INDEX(Override!$G$13:$G$112,$N26))&gt;0,"stock overridden",""))</f>
        <v/>
      </c>
      <c r="L26" s="41">
        <f>IFERROR(IF(SMALL(Grids!$C$9:$BO$108,$M$7+17)&gt;=(Summary!$C$15+1)*1000000000,"",SMALL(Grids!$C$9:$BO$108,$M$7+17)),"")</f>
        <v/>
      </c>
      <c r="M26" s="41">
        <f>IF($L26="","",INT($L26/1000000000))</f>
        <v/>
      </c>
      <c r="N26" s="41">
        <f>IF($L26="","",INT(($L26-INT($L26/1000000)*1000000)/1000))</f>
        <v/>
      </c>
      <c r="O26" s="41">
        <f>IF($L26="","",$L26-INT($L26/1000)*1000)</f>
        <v/>
      </c>
      <c r="P26" s="41">
        <f>IF($L26="","",INT(($L26-INT($L26/1000000000)*1000000000)/10000000))</f>
        <v/>
      </c>
    </row>
    <row r="27">
      <c r="B27" s="36">
        <f>IF($L27="","",$M27)</f>
        <v/>
      </c>
      <c r="C27" s="16">
        <f>IF($L27="","",INDEX(HSI!$C$7:$C$106,$N27))</f>
        <v/>
      </c>
      <c r="D27" s="16">
        <f>IF($L27="","",INDEX(HSI!$D$7:$D$106,$N27))</f>
        <v/>
      </c>
      <c r="E27" s="37">
        <f>IF($L27="","",IF(INT($P27/10)=0,"TBA",IFERROR(INDEX(Grids!$BQ$9:$EC$108,$N27,$O27),"-")))</f>
        <v/>
      </c>
      <c r="F27" s="16">
        <f>IF($L27="","",INDEX(HSI!$F$7:$F$106,$N27))</f>
        <v/>
      </c>
      <c r="G27" s="37">
        <f>IF($L27="","",IF(INT($P27/10)=0,"TBA",IFERROR(INDEX(Grids!$EE$9:$GQ$108,$N27,$O27),"-")))</f>
        <v/>
      </c>
      <c r="H27" s="38">
        <f>IF($L27="","",SUM($G$10:$G27))</f>
        <v/>
      </c>
      <c r="I27" s="39">
        <f>IF($L27="","",IF(INT(($L27-INT($L27/10000000)*10000000)/1000000)=0,"Bloomberg projection",IF(INT($P27/10)=1,"Announced","ANNOUNCED - amount TBA"))&amp;IF(($P27-INT($P27/10)*10)=1," (special)","")&amp;IF((($P27-INT($P27/10)*10)=1)*(Summary!$C$13="N")&gt;0," - excluded by your specials switch",""))</f>
        <v/>
      </c>
      <c r="J27" s="40">
        <f>IF($L27="","",IF((Override!$C$4="ON")*ISNUMBER(INDEX(Override!$G$13:$G$112,$N27))&gt;0,"stock overridden",""))</f>
        <v/>
      </c>
      <c r="L27" s="41">
        <f>IFERROR(IF(SMALL(Grids!$C$9:$BO$108,$M$7+18)&gt;=(Summary!$C$15+1)*1000000000,"",SMALL(Grids!$C$9:$BO$108,$M$7+18)),"")</f>
        <v/>
      </c>
      <c r="M27" s="41">
        <f>IF($L27="","",INT($L27/1000000000))</f>
        <v/>
      </c>
      <c r="N27" s="41">
        <f>IF($L27="","",INT(($L27-INT($L27/1000000)*1000000)/1000))</f>
        <v/>
      </c>
      <c r="O27" s="41">
        <f>IF($L27="","",$L27-INT($L27/1000)*1000)</f>
        <v/>
      </c>
      <c r="P27" s="41">
        <f>IF($L27="","",INT(($L27-INT($L27/1000000000)*1000000000)/10000000))</f>
        <v/>
      </c>
    </row>
    <row r="28">
      <c r="B28" s="36">
        <f>IF($L28="","",$M28)</f>
        <v/>
      </c>
      <c r="C28" s="16">
        <f>IF($L28="","",INDEX(HSI!$C$7:$C$106,$N28))</f>
        <v/>
      </c>
      <c r="D28" s="16">
        <f>IF($L28="","",INDEX(HSI!$D$7:$D$106,$N28))</f>
        <v/>
      </c>
      <c r="E28" s="37">
        <f>IF($L28="","",IF(INT($P28/10)=0,"TBA",IFERROR(INDEX(Grids!$BQ$9:$EC$108,$N28,$O28),"-")))</f>
        <v/>
      </c>
      <c r="F28" s="16">
        <f>IF($L28="","",INDEX(HSI!$F$7:$F$106,$N28))</f>
        <v/>
      </c>
      <c r="G28" s="37">
        <f>IF($L28="","",IF(INT($P28/10)=0,"TBA",IFERROR(INDEX(Grids!$EE$9:$GQ$108,$N28,$O28),"-")))</f>
        <v/>
      </c>
      <c r="H28" s="38">
        <f>IF($L28="","",SUM($G$10:$G28))</f>
        <v/>
      </c>
      <c r="I28" s="39">
        <f>IF($L28="","",IF(INT(($L28-INT($L28/10000000)*10000000)/1000000)=0,"Bloomberg projection",IF(INT($P28/10)=1,"Announced","ANNOUNCED - amount TBA"))&amp;IF(($P28-INT($P28/10)*10)=1," (special)","")&amp;IF((($P28-INT($P28/10)*10)=1)*(Summary!$C$13="N")&gt;0," - excluded by your specials switch",""))</f>
        <v/>
      </c>
      <c r="J28" s="40">
        <f>IF($L28="","",IF((Override!$C$4="ON")*ISNUMBER(INDEX(Override!$G$13:$G$112,$N28))&gt;0,"stock overridden",""))</f>
        <v/>
      </c>
      <c r="L28" s="41">
        <f>IFERROR(IF(SMALL(Grids!$C$9:$BO$108,$M$7+19)&gt;=(Summary!$C$15+1)*1000000000,"",SMALL(Grids!$C$9:$BO$108,$M$7+19)),"")</f>
        <v/>
      </c>
      <c r="M28" s="41">
        <f>IF($L28="","",INT($L28/1000000000))</f>
        <v/>
      </c>
      <c r="N28" s="41">
        <f>IF($L28="","",INT(($L28-INT($L28/1000000)*1000000)/1000))</f>
        <v/>
      </c>
      <c r="O28" s="41">
        <f>IF($L28="","",$L28-INT($L28/1000)*1000)</f>
        <v/>
      </c>
      <c r="P28" s="41">
        <f>IF($L28="","",INT(($L28-INT($L28/1000000000)*1000000000)/10000000))</f>
        <v/>
      </c>
    </row>
    <row r="29">
      <c r="B29" s="36">
        <f>IF($L29="","",$M29)</f>
        <v/>
      </c>
      <c r="C29" s="16">
        <f>IF($L29="","",INDEX(HSI!$C$7:$C$106,$N29))</f>
        <v/>
      </c>
      <c r="D29" s="16">
        <f>IF($L29="","",INDEX(HSI!$D$7:$D$106,$N29))</f>
        <v/>
      </c>
      <c r="E29" s="37">
        <f>IF($L29="","",IF(INT($P29/10)=0,"TBA",IFERROR(INDEX(Grids!$BQ$9:$EC$108,$N29,$O29),"-")))</f>
        <v/>
      </c>
      <c r="F29" s="16">
        <f>IF($L29="","",INDEX(HSI!$F$7:$F$106,$N29))</f>
        <v/>
      </c>
      <c r="G29" s="37">
        <f>IF($L29="","",IF(INT($P29/10)=0,"TBA",IFERROR(INDEX(Grids!$EE$9:$GQ$108,$N29,$O29),"-")))</f>
        <v/>
      </c>
      <c r="H29" s="38">
        <f>IF($L29="","",SUM($G$10:$G29))</f>
        <v/>
      </c>
      <c r="I29" s="39">
        <f>IF($L29="","",IF(INT(($L29-INT($L29/10000000)*10000000)/1000000)=0,"Bloomberg projection",IF(INT($P29/10)=1,"Announced","ANNOUNCED - amount TBA"))&amp;IF(($P29-INT($P29/10)*10)=1," (special)","")&amp;IF((($P29-INT($P29/10)*10)=1)*(Summary!$C$13="N")&gt;0," - excluded by your specials switch",""))</f>
        <v/>
      </c>
      <c r="J29" s="40">
        <f>IF($L29="","",IF((Override!$C$4="ON")*ISNUMBER(INDEX(Override!$G$13:$G$112,$N29))&gt;0,"stock overridden",""))</f>
        <v/>
      </c>
      <c r="L29" s="41">
        <f>IFERROR(IF(SMALL(Grids!$C$9:$BO$108,$M$7+20)&gt;=(Summary!$C$15+1)*1000000000,"",SMALL(Grids!$C$9:$BO$108,$M$7+20)),"")</f>
        <v/>
      </c>
      <c r="M29" s="41">
        <f>IF($L29="","",INT($L29/1000000000))</f>
        <v/>
      </c>
      <c r="N29" s="41">
        <f>IF($L29="","",INT(($L29-INT($L29/1000000)*1000000)/1000))</f>
        <v/>
      </c>
      <c r="O29" s="41">
        <f>IF($L29="","",$L29-INT($L29/1000)*1000)</f>
        <v/>
      </c>
      <c r="P29" s="41">
        <f>IF($L29="","",INT(($L29-INT($L29/1000000000)*1000000000)/10000000))</f>
        <v/>
      </c>
    </row>
    <row r="30">
      <c r="B30" s="36">
        <f>IF($L30="","",$M30)</f>
        <v/>
      </c>
      <c r="C30" s="16">
        <f>IF($L30="","",INDEX(HSI!$C$7:$C$106,$N30))</f>
        <v/>
      </c>
      <c r="D30" s="16">
        <f>IF($L30="","",INDEX(HSI!$D$7:$D$106,$N30))</f>
        <v/>
      </c>
      <c r="E30" s="37">
        <f>IF($L30="","",IF(INT($P30/10)=0,"TBA",IFERROR(INDEX(Grids!$BQ$9:$EC$108,$N30,$O30),"-")))</f>
        <v/>
      </c>
      <c r="F30" s="16">
        <f>IF($L30="","",INDEX(HSI!$F$7:$F$106,$N30))</f>
        <v/>
      </c>
      <c r="G30" s="37">
        <f>IF($L30="","",IF(INT($P30/10)=0,"TBA",IFERROR(INDEX(Grids!$EE$9:$GQ$108,$N30,$O30),"-")))</f>
        <v/>
      </c>
      <c r="H30" s="38">
        <f>IF($L30="","",SUM($G$10:$G30))</f>
        <v/>
      </c>
      <c r="I30" s="39">
        <f>IF($L30="","",IF(INT(($L30-INT($L30/10000000)*10000000)/1000000)=0,"Bloomberg projection",IF(INT($P30/10)=1,"Announced","ANNOUNCED - amount TBA"))&amp;IF(($P30-INT($P30/10)*10)=1," (special)","")&amp;IF((($P30-INT($P30/10)*10)=1)*(Summary!$C$13="N")&gt;0," - excluded by your specials switch",""))</f>
        <v/>
      </c>
      <c r="J30" s="40">
        <f>IF($L30="","",IF((Override!$C$4="ON")*ISNUMBER(INDEX(Override!$G$13:$G$112,$N30))&gt;0,"stock overridden",""))</f>
        <v/>
      </c>
      <c r="L30" s="41">
        <f>IFERROR(IF(SMALL(Grids!$C$9:$BO$108,$M$7+21)&gt;=(Summary!$C$15+1)*1000000000,"",SMALL(Grids!$C$9:$BO$108,$M$7+21)),"")</f>
        <v/>
      </c>
      <c r="M30" s="41">
        <f>IF($L30="","",INT($L30/1000000000))</f>
        <v/>
      </c>
      <c r="N30" s="41">
        <f>IF($L30="","",INT(($L30-INT($L30/1000000)*1000000)/1000))</f>
        <v/>
      </c>
      <c r="O30" s="41">
        <f>IF($L30="","",$L30-INT($L30/1000)*1000)</f>
        <v/>
      </c>
      <c r="P30" s="41">
        <f>IF($L30="","",INT(($L30-INT($L30/1000000000)*1000000000)/10000000))</f>
        <v/>
      </c>
    </row>
    <row r="31">
      <c r="B31" s="36">
        <f>IF($L31="","",$M31)</f>
        <v/>
      </c>
      <c r="C31" s="16">
        <f>IF($L31="","",INDEX(HSI!$C$7:$C$106,$N31))</f>
        <v/>
      </c>
      <c r="D31" s="16">
        <f>IF($L31="","",INDEX(HSI!$D$7:$D$106,$N31))</f>
        <v/>
      </c>
      <c r="E31" s="37">
        <f>IF($L31="","",IF(INT($P31/10)=0,"TBA",IFERROR(INDEX(Grids!$BQ$9:$EC$108,$N31,$O31),"-")))</f>
        <v/>
      </c>
      <c r="F31" s="16">
        <f>IF($L31="","",INDEX(HSI!$F$7:$F$106,$N31))</f>
        <v/>
      </c>
      <c r="G31" s="37">
        <f>IF($L31="","",IF(INT($P31/10)=0,"TBA",IFERROR(INDEX(Grids!$EE$9:$GQ$108,$N31,$O31),"-")))</f>
        <v/>
      </c>
      <c r="H31" s="38">
        <f>IF($L31="","",SUM($G$10:$G31))</f>
        <v/>
      </c>
      <c r="I31" s="39">
        <f>IF($L31="","",IF(INT(($L31-INT($L31/10000000)*10000000)/1000000)=0,"Bloomberg projection",IF(INT($P31/10)=1,"Announced","ANNOUNCED - amount TBA"))&amp;IF(($P31-INT($P31/10)*10)=1," (special)","")&amp;IF((($P31-INT($P31/10)*10)=1)*(Summary!$C$13="N")&gt;0," - excluded by your specials switch",""))</f>
        <v/>
      </c>
      <c r="J31" s="40">
        <f>IF($L31="","",IF((Override!$C$4="ON")*ISNUMBER(INDEX(Override!$G$13:$G$112,$N31))&gt;0,"stock overridden",""))</f>
        <v/>
      </c>
      <c r="L31" s="41">
        <f>IFERROR(IF(SMALL(Grids!$C$9:$BO$108,$M$7+22)&gt;=(Summary!$C$15+1)*1000000000,"",SMALL(Grids!$C$9:$BO$108,$M$7+22)),"")</f>
        <v/>
      </c>
      <c r="M31" s="41">
        <f>IF($L31="","",INT($L31/1000000000))</f>
        <v/>
      </c>
      <c r="N31" s="41">
        <f>IF($L31="","",INT(($L31-INT($L31/1000000)*1000000)/1000))</f>
        <v/>
      </c>
      <c r="O31" s="41">
        <f>IF($L31="","",$L31-INT($L31/1000)*1000)</f>
        <v/>
      </c>
      <c r="P31" s="41">
        <f>IF($L31="","",INT(($L31-INT($L31/1000000000)*1000000000)/10000000))</f>
        <v/>
      </c>
    </row>
    <row r="32">
      <c r="B32" s="36">
        <f>IF($L32="","",$M32)</f>
        <v/>
      </c>
      <c r="C32" s="16">
        <f>IF($L32="","",INDEX(HSI!$C$7:$C$106,$N32))</f>
        <v/>
      </c>
      <c r="D32" s="16">
        <f>IF($L32="","",INDEX(HSI!$D$7:$D$106,$N32))</f>
        <v/>
      </c>
      <c r="E32" s="37">
        <f>IF($L32="","",IF(INT($P32/10)=0,"TBA",IFERROR(INDEX(Grids!$BQ$9:$EC$108,$N32,$O32),"-")))</f>
        <v/>
      </c>
      <c r="F32" s="16">
        <f>IF($L32="","",INDEX(HSI!$F$7:$F$106,$N32))</f>
        <v/>
      </c>
      <c r="G32" s="37">
        <f>IF($L32="","",IF(INT($P32/10)=0,"TBA",IFERROR(INDEX(Grids!$EE$9:$GQ$108,$N32,$O32),"-")))</f>
        <v/>
      </c>
      <c r="H32" s="38">
        <f>IF($L32="","",SUM($G$10:$G32))</f>
        <v/>
      </c>
      <c r="I32" s="39">
        <f>IF($L32="","",IF(INT(($L32-INT($L32/10000000)*10000000)/1000000)=0,"Bloomberg projection",IF(INT($P32/10)=1,"Announced","ANNOUNCED - amount TBA"))&amp;IF(($P32-INT($P32/10)*10)=1," (special)","")&amp;IF((($P32-INT($P32/10)*10)=1)*(Summary!$C$13="N")&gt;0," - excluded by your specials switch",""))</f>
        <v/>
      </c>
      <c r="J32" s="40">
        <f>IF($L32="","",IF((Override!$C$4="ON")*ISNUMBER(INDEX(Override!$G$13:$G$112,$N32))&gt;0,"stock overridden",""))</f>
        <v/>
      </c>
      <c r="L32" s="41">
        <f>IFERROR(IF(SMALL(Grids!$C$9:$BO$108,$M$7+23)&gt;=(Summary!$C$15+1)*1000000000,"",SMALL(Grids!$C$9:$BO$108,$M$7+23)),"")</f>
        <v/>
      </c>
      <c r="M32" s="41">
        <f>IF($L32="","",INT($L32/1000000000))</f>
        <v/>
      </c>
      <c r="N32" s="41">
        <f>IF($L32="","",INT(($L32-INT($L32/1000000)*1000000)/1000))</f>
        <v/>
      </c>
      <c r="O32" s="41">
        <f>IF($L32="","",$L32-INT($L32/1000)*1000)</f>
        <v/>
      </c>
      <c r="P32" s="41">
        <f>IF($L32="","",INT(($L32-INT($L32/1000000000)*1000000000)/10000000))</f>
        <v/>
      </c>
    </row>
    <row r="33">
      <c r="B33" s="36">
        <f>IF($L33="","",$M33)</f>
        <v/>
      </c>
      <c r="C33" s="16">
        <f>IF($L33="","",INDEX(HSI!$C$7:$C$106,$N33))</f>
        <v/>
      </c>
      <c r="D33" s="16">
        <f>IF($L33="","",INDEX(HSI!$D$7:$D$106,$N33))</f>
        <v/>
      </c>
      <c r="E33" s="37">
        <f>IF($L33="","",IF(INT($P33/10)=0,"TBA",IFERROR(INDEX(Grids!$BQ$9:$EC$108,$N33,$O33),"-")))</f>
        <v/>
      </c>
      <c r="F33" s="16">
        <f>IF($L33="","",INDEX(HSI!$F$7:$F$106,$N33))</f>
        <v/>
      </c>
      <c r="G33" s="37">
        <f>IF($L33="","",IF(INT($P33/10)=0,"TBA",IFERROR(INDEX(Grids!$EE$9:$GQ$108,$N33,$O33),"-")))</f>
        <v/>
      </c>
      <c r="H33" s="38">
        <f>IF($L33="","",SUM($G$10:$G33))</f>
        <v/>
      </c>
      <c r="I33" s="39">
        <f>IF($L33="","",IF(INT(($L33-INT($L33/10000000)*10000000)/1000000)=0,"Bloomberg projection",IF(INT($P33/10)=1,"Announced","ANNOUNCED - amount TBA"))&amp;IF(($P33-INT($P33/10)*10)=1," (special)","")&amp;IF((($P33-INT($P33/10)*10)=1)*(Summary!$C$13="N")&gt;0," - excluded by your specials switch",""))</f>
        <v/>
      </c>
      <c r="J33" s="40">
        <f>IF($L33="","",IF((Override!$C$4="ON")*ISNUMBER(INDEX(Override!$G$13:$G$112,$N33))&gt;0,"stock overridden",""))</f>
        <v/>
      </c>
      <c r="L33" s="41">
        <f>IFERROR(IF(SMALL(Grids!$C$9:$BO$108,$M$7+24)&gt;=(Summary!$C$15+1)*1000000000,"",SMALL(Grids!$C$9:$BO$108,$M$7+24)),"")</f>
        <v/>
      </c>
      <c r="M33" s="41">
        <f>IF($L33="","",INT($L33/1000000000))</f>
        <v/>
      </c>
      <c r="N33" s="41">
        <f>IF($L33="","",INT(($L33-INT($L33/1000000)*1000000)/1000))</f>
        <v/>
      </c>
      <c r="O33" s="41">
        <f>IF($L33="","",$L33-INT($L33/1000)*1000)</f>
        <v/>
      </c>
      <c r="P33" s="41">
        <f>IF($L33="","",INT(($L33-INT($L33/1000000000)*1000000000)/10000000))</f>
        <v/>
      </c>
    </row>
    <row r="34">
      <c r="B34" s="36">
        <f>IF($L34="","",$M34)</f>
        <v/>
      </c>
      <c r="C34" s="16">
        <f>IF($L34="","",INDEX(HSI!$C$7:$C$106,$N34))</f>
        <v/>
      </c>
      <c r="D34" s="16">
        <f>IF($L34="","",INDEX(HSI!$D$7:$D$106,$N34))</f>
        <v/>
      </c>
      <c r="E34" s="37">
        <f>IF($L34="","",IF(INT($P34/10)=0,"TBA",IFERROR(INDEX(Grids!$BQ$9:$EC$108,$N34,$O34),"-")))</f>
        <v/>
      </c>
      <c r="F34" s="16">
        <f>IF($L34="","",INDEX(HSI!$F$7:$F$106,$N34))</f>
        <v/>
      </c>
      <c r="G34" s="37">
        <f>IF($L34="","",IF(INT($P34/10)=0,"TBA",IFERROR(INDEX(Grids!$EE$9:$GQ$108,$N34,$O34),"-")))</f>
        <v/>
      </c>
      <c r="H34" s="38">
        <f>IF($L34="","",SUM($G$10:$G34))</f>
        <v/>
      </c>
      <c r="I34" s="39">
        <f>IF($L34="","",IF(INT(($L34-INT($L34/10000000)*10000000)/1000000)=0,"Bloomberg projection",IF(INT($P34/10)=1,"Announced","ANNOUNCED - amount TBA"))&amp;IF(($P34-INT($P34/10)*10)=1," (special)","")&amp;IF((($P34-INT($P34/10)*10)=1)*(Summary!$C$13="N")&gt;0," - excluded by your specials switch",""))</f>
        <v/>
      </c>
      <c r="J34" s="40">
        <f>IF($L34="","",IF((Override!$C$4="ON")*ISNUMBER(INDEX(Override!$G$13:$G$112,$N34))&gt;0,"stock overridden",""))</f>
        <v/>
      </c>
      <c r="L34" s="41">
        <f>IFERROR(IF(SMALL(Grids!$C$9:$BO$108,$M$7+25)&gt;=(Summary!$C$15+1)*1000000000,"",SMALL(Grids!$C$9:$BO$108,$M$7+25)),"")</f>
        <v/>
      </c>
      <c r="M34" s="41">
        <f>IF($L34="","",INT($L34/1000000000))</f>
        <v/>
      </c>
      <c r="N34" s="41">
        <f>IF($L34="","",INT(($L34-INT($L34/1000000)*1000000)/1000))</f>
        <v/>
      </c>
      <c r="O34" s="41">
        <f>IF($L34="","",$L34-INT($L34/1000)*1000)</f>
        <v/>
      </c>
      <c r="P34" s="41">
        <f>IF($L34="","",INT(($L34-INT($L34/1000000000)*1000000000)/10000000))</f>
        <v/>
      </c>
    </row>
    <row r="35">
      <c r="B35" s="36">
        <f>IF($L35="","",$M35)</f>
        <v/>
      </c>
      <c r="C35" s="16">
        <f>IF($L35="","",INDEX(HSI!$C$7:$C$106,$N35))</f>
        <v/>
      </c>
      <c r="D35" s="16">
        <f>IF($L35="","",INDEX(HSI!$D$7:$D$106,$N35))</f>
        <v/>
      </c>
      <c r="E35" s="37">
        <f>IF($L35="","",IF(INT($P35/10)=0,"TBA",IFERROR(INDEX(Grids!$BQ$9:$EC$108,$N35,$O35),"-")))</f>
        <v/>
      </c>
      <c r="F35" s="16">
        <f>IF($L35="","",INDEX(HSI!$F$7:$F$106,$N35))</f>
        <v/>
      </c>
      <c r="G35" s="37">
        <f>IF($L35="","",IF(INT($P35/10)=0,"TBA",IFERROR(INDEX(Grids!$EE$9:$GQ$108,$N35,$O35),"-")))</f>
        <v/>
      </c>
      <c r="H35" s="38">
        <f>IF($L35="","",SUM($G$10:$G35))</f>
        <v/>
      </c>
      <c r="I35" s="39">
        <f>IF($L35="","",IF(INT(($L35-INT($L35/10000000)*10000000)/1000000)=0,"Bloomberg projection",IF(INT($P35/10)=1,"Announced","ANNOUNCED - amount TBA"))&amp;IF(($P35-INT($P35/10)*10)=1," (special)","")&amp;IF((($P35-INT($P35/10)*10)=1)*(Summary!$C$13="N")&gt;0," - excluded by your specials switch",""))</f>
        <v/>
      </c>
      <c r="J35" s="40">
        <f>IF($L35="","",IF((Override!$C$4="ON")*ISNUMBER(INDEX(Override!$G$13:$G$112,$N35))&gt;0,"stock overridden",""))</f>
        <v/>
      </c>
      <c r="L35" s="41">
        <f>IFERROR(IF(SMALL(Grids!$C$9:$BO$108,$M$7+26)&gt;=(Summary!$C$15+1)*1000000000,"",SMALL(Grids!$C$9:$BO$108,$M$7+26)),"")</f>
        <v/>
      </c>
      <c r="M35" s="41">
        <f>IF($L35="","",INT($L35/1000000000))</f>
        <v/>
      </c>
      <c r="N35" s="41">
        <f>IF($L35="","",INT(($L35-INT($L35/1000000)*1000000)/1000))</f>
        <v/>
      </c>
      <c r="O35" s="41">
        <f>IF($L35="","",$L35-INT($L35/1000)*1000)</f>
        <v/>
      </c>
      <c r="P35" s="41">
        <f>IF($L35="","",INT(($L35-INT($L35/1000000000)*1000000000)/10000000))</f>
        <v/>
      </c>
    </row>
    <row r="36">
      <c r="B36" s="36">
        <f>IF($L36="","",$M36)</f>
        <v/>
      </c>
      <c r="C36" s="16">
        <f>IF($L36="","",INDEX(HSI!$C$7:$C$106,$N36))</f>
        <v/>
      </c>
      <c r="D36" s="16">
        <f>IF($L36="","",INDEX(HSI!$D$7:$D$106,$N36))</f>
        <v/>
      </c>
      <c r="E36" s="37">
        <f>IF($L36="","",IF(INT($P36/10)=0,"TBA",IFERROR(INDEX(Grids!$BQ$9:$EC$108,$N36,$O36),"-")))</f>
        <v/>
      </c>
      <c r="F36" s="16">
        <f>IF($L36="","",INDEX(HSI!$F$7:$F$106,$N36))</f>
        <v/>
      </c>
      <c r="G36" s="37">
        <f>IF($L36="","",IF(INT($P36/10)=0,"TBA",IFERROR(INDEX(Grids!$EE$9:$GQ$108,$N36,$O36),"-")))</f>
        <v/>
      </c>
      <c r="H36" s="38">
        <f>IF($L36="","",SUM($G$10:$G36))</f>
        <v/>
      </c>
      <c r="I36" s="39">
        <f>IF($L36="","",IF(INT(($L36-INT($L36/10000000)*10000000)/1000000)=0,"Bloomberg projection",IF(INT($P36/10)=1,"Announced","ANNOUNCED - amount TBA"))&amp;IF(($P36-INT($P36/10)*10)=1," (special)","")&amp;IF((($P36-INT($P36/10)*10)=1)*(Summary!$C$13="N")&gt;0," - excluded by your specials switch",""))</f>
        <v/>
      </c>
      <c r="J36" s="40">
        <f>IF($L36="","",IF((Override!$C$4="ON")*ISNUMBER(INDEX(Override!$G$13:$G$112,$N36))&gt;0,"stock overridden",""))</f>
        <v/>
      </c>
      <c r="L36" s="41">
        <f>IFERROR(IF(SMALL(Grids!$C$9:$BO$108,$M$7+27)&gt;=(Summary!$C$15+1)*1000000000,"",SMALL(Grids!$C$9:$BO$108,$M$7+27)),"")</f>
        <v/>
      </c>
      <c r="M36" s="41">
        <f>IF($L36="","",INT($L36/1000000000))</f>
        <v/>
      </c>
      <c r="N36" s="41">
        <f>IF($L36="","",INT(($L36-INT($L36/1000000)*1000000)/1000))</f>
        <v/>
      </c>
      <c r="O36" s="41">
        <f>IF($L36="","",$L36-INT($L36/1000)*1000)</f>
        <v/>
      </c>
      <c r="P36" s="41">
        <f>IF($L36="","",INT(($L36-INT($L36/1000000000)*1000000000)/10000000))</f>
        <v/>
      </c>
    </row>
    <row r="37">
      <c r="B37" s="36">
        <f>IF($L37="","",$M37)</f>
        <v/>
      </c>
      <c r="C37" s="16">
        <f>IF($L37="","",INDEX(HSI!$C$7:$C$106,$N37))</f>
        <v/>
      </c>
      <c r="D37" s="16">
        <f>IF($L37="","",INDEX(HSI!$D$7:$D$106,$N37))</f>
        <v/>
      </c>
      <c r="E37" s="37">
        <f>IF($L37="","",IF(INT($P37/10)=0,"TBA",IFERROR(INDEX(Grids!$BQ$9:$EC$108,$N37,$O37),"-")))</f>
        <v/>
      </c>
      <c r="F37" s="16">
        <f>IF($L37="","",INDEX(HSI!$F$7:$F$106,$N37))</f>
        <v/>
      </c>
      <c r="G37" s="37">
        <f>IF($L37="","",IF(INT($P37/10)=0,"TBA",IFERROR(INDEX(Grids!$EE$9:$GQ$108,$N37,$O37),"-")))</f>
        <v/>
      </c>
      <c r="H37" s="38">
        <f>IF($L37="","",SUM($G$10:$G37))</f>
        <v/>
      </c>
      <c r="I37" s="39">
        <f>IF($L37="","",IF(INT(($L37-INT($L37/10000000)*10000000)/1000000)=0,"Bloomberg projection",IF(INT($P37/10)=1,"Announced","ANNOUNCED - amount TBA"))&amp;IF(($P37-INT($P37/10)*10)=1," (special)","")&amp;IF((($P37-INT($P37/10)*10)=1)*(Summary!$C$13="N")&gt;0," - excluded by your specials switch",""))</f>
        <v/>
      </c>
      <c r="J37" s="40">
        <f>IF($L37="","",IF((Override!$C$4="ON")*ISNUMBER(INDEX(Override!$G$13:$G$112,$N37))&gt;0,"stock overridden",""))</f>
        <v/>
      </c>
      <c r="L37" s="41">
        <f>IFERROR(IF(SMALL(Grids!$C$9:$BO$108,$M$7+28)&gt;=(Summary!$C$15+1)*1000000000,"",SMALL(Grids!$C$9:$BO$108,$M$7+28)),"")</f>
        <v/>
      </c>
      <c r="M37" s="41">
        <f>IF($L37="","",INT($L37/1000000000))</f>
        <v/>
      </c>
      <c r="N37" s="41">
        <f>IF($L37="","",INT(($L37-INT($L37/1000000)*1000000)/1000))</f>
        <v/>
      </c>
      <c r="O37" s="41">
        <f>IF($L37="","",$L37-INT($L37/1000)*1000)</f>
        <v/>
      </c>
      <c r="P37" s="41">
        <f>IF($L37="","",INT(($L37-INT($L37/1000000000)*1000000000)/10000000))</f>
        <v/>
      </c>
    </row>
    <row r="38">
      <c r="B38" s="36">
        <f>IF($L38="","",$M38)</f>
        <v/>
      </c>
      <c r="C38" s="16">
        <f>IF($L38="","",INDEX(HSI!$C$7:$C$106,$N38))</f>
        <v/>
      </c>
      <c r="D38" s="16">
        <f>IF($L38="","",INDEX(HSI!$D$7:$D$106,$N38))</f>
        <v/>
      </c>
      <c r="E38" s="37">
        <f>IF($L38="","",IF(INT($P38/10)=0,"TBA",IFERROR(INDEX(Grids!$BQ$9:$EC$108,$N38,$O38),"-")))</f>
        <v/>
      </c>
      <c r="F38" s="16">
        <f>IF($L38="","",INDEX(HSI!$F$7:$F$106,$N38))</f>
        <v/>
      </c>
      <c r="G38" s="37">
        <f>IF($L38="","",IF(INT($P38/10)=0,"TBA",IFERROR(INDEX(Grids!$EE$9:$GQ$108,$N38,$O38),"-")))</f>
        <v/>
      </c>
      <c r="H38" s="38">
        <f>IF($L38="","",SUM($G$10:$G38))</f>
        <v/>
      </c>
      <c r="I38" s="39">
        <f>IF($L38="","",IF(INT(($L38-INT($L38/10000000)*10000000)/1000000)=0,"Bloomberg projection",IF(INT($P38/10)=1,"Announced","ANNOUNCED - amount TBA"))&amp;IF(($P38-INT($P38/10)*10)=1," (special)","")&amp;IF((($P38-INT($P38/10)*10)=1)*(Summary!$C$13="N")&gt;0," - excluded by your specials switch",""))</f>
        <v/>
      </c>
      <c r="J38" s="40">
        <f>IF($L38="","",IF((Override!$C$4="ON")*ISNUMBER(INDEX(Override!$G$13:$G$112,$N38))&gt;0,"stock overridden",""))</f>
        <v/>
      </c>
      <c r="L38" s="41">
        <f>IFERROR(IF(SMALL(Grids!$C$9:$BO$108,$M$7+29)&gt;=(Summary!$C$15+1)*1000000000,"",SMALL(Grids!$C$9:$BO$108,$M$7+29)),"")</f>
        <v/>
      </c>
      <c r="M38" s="41">
        <f>IF($L38="","",INT($L38/1000000000))</f>
        <v/>
      </c>
      <c r="N38" s="41">
        <f>IF($L38="","",INT(($L38-INT($L38/1000000)*1000000)/1000))</f>
        <v/>
      </c>
      <c r="O38" s="41">
        <f>IF($L38="","",$L38-INT($L38/1000)*1000)</f>
        <v/>
      </c>
      <c r="P38" s="41">
        <f>IF($L38="","",INT(($L38-INT($L38/1000000000)*1000000000)/10000000))</f>
        <v/>
      </c>
    </row>
    <row r="39">
      <c r="B39" s="36">
        <f>IF($L39="","",$M39)</f>
        <v/>
      </c>
      <c r="C39" s="16">
        <f>IF($L39="","",INDEX(HSI!$C$7:$C$106,$N39))</f>
        <v/>
      </c>
      <c r="D39" s="16">
        <f>IF($L39="","",INDEX(HSI!$D$7:$D$106,$N39))</f>
        <v/>
      </c>
      <c r="E39" s="37">
        <f>IF($L39="","",IF(INT($P39/10)=0,"TBA",IFERROR(INDEX(Grids!$BQ$9:$EC$108,$N39,$O39),"-")))</f>
        <v/>
      </c>
      <c r="F39" s="16">
        <f>IF($L39="","",INDEX(HSI!$F$7:$F$106,$N39))</f>
        <v/>
      </c>
      <c r="G39" s="37">
        <f>IF($L39="","",IF(INT($P39/10)=0,"TBA",IFERROR(INDEX(Grids!$EE$9:$GQ$108,$N39,$O39),"-")))</f>
        <v/>
      </c>
      <c r="H39" s="38">
        <f>IF($L39="","",SUM($G$10:$G39))</f>
        <v/>
      </c>
      <c r="I39" s="39">
        <f>IF($L39="","",IF(INT(($L39-INT($L39/10000000)*10000000)/1000000)=0,"Bloomberg projection",IF(INT($P39/10)=1,"Announced","ANNOUNCED - amount TBA"))&amp;IF(($P39-INT($P39/10)*10)=1," (special)","")&amp;IF((($P39-INT($P39/10)*10)=1)*(Summary!$C$13="N")&gt;0," - excluded by your specials switch",""))</f>
        <v/>
      </c>
      <c r="J39" s="40">
        <f>IF($L39="","",IF((Override!$C$4="ON")*ISNUMBER(INDEX(Override!$G$13:$G$112,$N39))&gt;0,"stock overridden",""))</f>
        <v/>
      </c>
      <c r="L39" s="41">
        <f>IFERROR(IF(SMALL(Grids!$C$9:$BO$108,$M$7+30)&gt;=(Summary!$C$15+1)*1000000000,"",SMALL(Grids!$C$9:$BO$108,$M$7+30)),"")</f>
        <v/>
      </c>
      <c r="M39" s="41">
        <f>IF($L39="","",INT($L39/1000000000))</f>
        <v/>
      </c>
      <c r="N39" s="41">
        <f>IF($L39="","",INT(($L39-INT($L39/1000000)*1000000)/1000))</f>
        <v/>
      </c>
      <c r="O39" s="41">
        <f>IF($L39="","",$L39-INT($L39/1000)*1000)</f>
        <v/>
      </c>
      <c r="P39" s="41">
        <f>IF($L39="","",INT(($L39-INT($L39/1000000000)*1000000000)/10000000))</f>
        <v/>
      </c>
    </row>
    <row r="40">
      <c r="B40" s="36">
        <f>IF($L40="","",$M40)</f>
        <v/>
      </c>
      <c r="C40" s="16">
        <f>IF($L40="","",INDEX(HSI!$C$7:$C$106,$N40))</f>
        <v/>
      </c>
      <c r="D40" s="16">
        <f>IF($L40="","",INDEX(HSI!$D$7:$D$106,$N40))</f>
        <v/>
      </c>
      <c r="E40" s="37">
        <f>IF($L40="","",IF(INT($P40/10)=0,"TBA",IFERROR(INDEX(Grids!$BQ$9:$EC$108,$N40,$O40),"-")))</f>
        <v/>
      </c>
      <c r="F40" s="16">
        <f>IF($L40="","",INDEX(HSI!$F$7:$F$106,$N40))</f>
        <v/>
      </c>
      <c r="G40" s="37">
        <f>IF($L40="","",IF(INT($P40/10)=0,"TBA",IFERROR(INDEX(Grids!$EE$9:$GQ$108,$N40,$O40),"-")))</f>
        <v/>
      </c>
      <c r="H40" s="38">
        <f>IF($L40="","",SUM($G$10:$G40))</f>
        <v/>
      </c>
      <c r="I40" s="39">
        <f>IF($L40="","",IF(INT(($L40-INT($L40/10000000)*10000000)/1000000)=0,"Bloomberg projection",IF(INT($P40/10)=1,"Announced","ANNOUNCED - amount TBA"))&amp;IF(($P40-INT($P40/10)*10)=1," (special)","")&amp;IF((($P40-INT($P40/10)*10)=1)*(Summary!$C$13="N")&gt;0," - excluded by your specials switch",""))</f>
        <v/>
      </c>
      <c r="J40" s="40">
        <f>IF($L40="","",IF((Override!$C$4="ON")*ISNUMBER(INDEX(Override!$G$13:$G$112,$N40))&gt;0,"stock overridden",""))</f>
        <v/>
      </c>
      <c r="L40" s="41">
        <f>IFERROR(IF(SMALL(Grids!$C$9:$BO$108,$M$7+31)&gt;=(Summary!$C$15+1)*1000000000,"",SMALL(Grids!$C$9:$BO$108,$M$7+31)),"")</f>
        <v/>
      </c>
      <c r="M40" s="41">
        <f>IF($L40="","",INT($L40/1000000000))</f>
        <v/>
      </c>
      <c r="N40" s="41">
        <f>IF($L40="","",INT(($L40-INT($L40/1000000)*1000000)/1000))</f>
        <v/>
      </c>
      <c r="O40" s="41">
        <f>IF($L40="","",$L40-INT($L40/1000)*1000)</f>
        <v/>
      </c>
      <c r="P40" s="41">
        <f>IF($L40="","",INT(($L40-INT($L40/1000000000)*1000000000)/10000000))</f>
        <v/>
      </c>
    </row>
    <row r="41">
      <c r="B41" s="36">
        <f>IF($L41="","",$M41)</f>
        <v/>
      </c>
      <c r="C41" s="16">
        <f>IF($L41="","",INDEX(HSI!$C$7:$C$106,$N41))</f>
        <v/>
      </c>
      <c r="D41" s="16">
        <f>IF($L41="","",INDEX(HSI!$D$7:$D$106,$N41))</f>
        <v/>
      </c>
      <c r="E41" s="37">
        <f>IF($L41="","",IF(INT($P41/10)=0,"TBA",IFERROR(INDEX(Grids!$BQ$9:$EC$108,$N41,$O41),"-")))</f>
        <v/>
      </c>
      <c r="F41" s="16">
        <f>IF($L41="","",INDEX(HSI!$F$7:$F$106,$N41))</f>
        <v/>
      </c>
      <c r="G41" s="37">
        <f>IF($L41="","",IF(INT($P41/10)=0,"TBA",IFERROR(INDEX(Grids!$EE$9:$GQ$108,$N41,$O41),"-")))</f>
        <v/>
      </c>
      <c r="H41" s="38">
        <f>IF($L41="","",SUM($G$10:$G41))</f>
        <v/>
      </c>
      <c r="I41" s="39">
        <f>IF($L41="","",IF(INT(($L41-INT($L41/10000000)*10000000)/1000000)=0,"Bloomberg projection",IF(INT($P41/10)=1,"Announced","ANNOUNCED - amount TBA"))&amp;IF(($P41-INT($P41/10)*10)=1," (special)","")&amp;IF((($P41-INT($P41/10)*10)=1)*(Summary!$C$13="N")&gt;0," - excluded by your specials switch",""))</f>
        <v/>
      </c>
      <c r="J41" s="40">
        <f>IF($L41="","",IF((Override!$C$4="ON")*ISNUMBER(INDEX(Override!$G$13:$G$112,$N41))&gt;0,"stock overridden",""))</f>
        <v/>
      </c>
      <c r="L41" s="41">
        <f>IFERROR(IF(SMALL(Grids!$C$9:$BO$108,$M$7+32)&gt;=(Summary!$C$15+1)*1000000000,"",SMALL(Grids!$C$9:$BO$108,$M$7+32)),"")</f>
        <v/>
      </c>
      <c r="M41" s="41">
        <f>IF($L41="","",INT($L41/1000000000))</f>
        <v/>
      </c>
      <c r="N41" s="41">
        <f>IF($L41="","",INT(($L41-INT($L41/1000000)*1000000)/1000))</f>
        <v/>
      </c>
      <c r="O41" s="41">
        <f>IF($L41="","",$L41-INT($L41/1000)*1000)</f>
        <v/>
      </c>
      <c r="P41" s="41">
        <f>IF($L41="","",INT(($L41-INT($L41/1000000000)*1000000000)/10000000))</f>
        <v/>
      </c>
    </row>
    <row r="42">
      <c r="B42" s="36">
        <f>IF($L42="","",$M42)</f>
        <v/>
      </c>
      <c r="C42" s="16">
        <f>IF($L42="","",INDEX(HSI!$C$7:$C$106,$N42))</f>
        <v/>
      </c>
      <c r="D42" s="16">
        <f>IF($L42="","",INDEX(HSI!$D$7:$D$106,$N42))</f>
        <v/>
      </c>
      <c r="E42" s="37">
        <f>IF($L42="","",IF(INT($P42/10)=0,"TBA",IFERROR(INDEX(Grids!$BQ$9:$EC$108,$N42,$O42),"-")))</f>
        <v/>
      </c>
      <c r="F42" s="16">
        <f>IF($L42="","",INDEX(HSI!$F$7:$F$106,$N42))</f>
        <v/>
      </c>
      <c r="G42" s="37">
        <f>IF($L42="","",IF(INT($P42/10)=0,"TBA",IFERROR(INDEX(Grids!$EE$9:$GQ$108,$N42,$O42),"-")))</f>
        <v/>
      </c>
      <c r="H42" s="38">
        <f>IF($L42="","",SUM($G$10:$G42))</f>
        <v/>
      </c>
      <c r="I42" s="39">
        <f>IF($L42="","",IF(INT(($L42-INT($L42/10000000)*10000000)/1000000)=0,"Bloomberg projection",IF(INT($P42/10)=1,"Announced","ANNOUNCED - amount TBA"))&amp;IF(($P42-INT($P42/10)*10)=1," (special)","")&amp;IF((($P42-INT($P42/10)*10)=1)*(Summary!$C$13="N")&gt;0," - excluded by your specials switch",""))</f>
        <v/>
      </c>
      <c r="J42" s="40">
        <f>IF($L42="","",IF((Override!$C$4="ON")*ISNUMBER(INDEX(Override!$G$13:$G$112,$N42))&gt;0,"stock overridden",""))</f>
        <v/>
      </c>
      <c r="L42" s="41">
        <f>IFERROR(IF(SMALL(Grids!$C$9:$BO$108,$M$7+33)&gt;=(Summary!$C$15+1)*1000000000,"",SMALL(Grids!$C$9:$BO$108,$M$7+33)),"")</f>
        <v/>
      </c>
      <c r="M42" s="41">
        <f>IF($L42="","",INT($L42/1000000000))</f>
        <v/>
      </c>
      <c r="N42" s="41">
        <f>IF($L42="","",INT(($L42-INT($L42/1000000)*1000000)/1000))</f>
        <v/>
      </c>
      <c r="O42" s="41">
        <f>IF($L42="","",$L42-INT($L42/1000)*1000)</f>
        <v/>
      </c>
      <c r="P42" s="41">
        <f>IF($L42="","",INT(($L42-INT($L42/1000000000)*1000000000)/10000000))</f>
        <v/>
      </c>
    </row>
    <row r="43">
      <c r="B43" s="36">
        <f>IF($L43="","",$M43)</f>
        <v/>
      </c>
      <c r="C43" s="16">
        <f>IF($L43="","",INDEX(HSI!$C$7:$C$106,$N43))</f>
        <v/>
      </c>
      <c r="D43" s="16">
        <f>IF($L43="","",INDEX(HSI!$D$7:$D$106,$N43))</f>
        <v/>
      </c>
      <c r="E43" s="37">
        <f>IF($L43="","",IF(INT($P43/10)=0,"TBA",IFERROR(INDEX(Grids!$BQ$9:$EC$108,$N43,$O43),"-")))</f>
        <v/>
      </c>
      <c r="F43" s="16">
        <f>IF($L43="","",INDEX(HSI!$F$7:$F$106,$N43))</f>
        <v/>
      </c>
      <c r="G43" s="37">
        <f>IF($L43="","",IF(INT($P43/10)=0,"TBA",IFERROR(INDEX(Grids!$EE$9:$GQ$108,$N43,$O43),"-")))</f>
        <v/>
      </c>
      <c r="H43" s="38">
        <f>IF($L43="","",SUM($G$10:$G43))</f>
        <v/>
      </c>
      <c r="I43" s="39">
        <f>IF($L43="","",IF(INT(($L43-INT($L43/10000000)*10000000)/1000000)=0,"Bloomberg projection",IF(INT($P43/10)=1,"Announced","ANNOUNCED - amount TBA"))&amp;IF(($P43-INT($P43/10)*10)=1," (special)","")&amp;IF((($P43-INT($P43/10)*10)=1)*(Summary!$C$13="N")&gt;0," - excluded by your specials switch",""))</f>
        <v/>
      </c>
      <c r="J43" s="40">
        <f>IF($L43="","",IF((Override!$C$4="ON")*ISNUMBER(INDEX(Override!$G$13:$G$112,$N43))&gt;0,"stock overridden",""))</f>
        <v/>
      </c>
      <c r="L43" s="41">
        <f>IFERROR(IF(SMALL(Grids!$C$9:$BO$108,$M$7+34)&gt;=(Summary!$C$15+1)*1000000000,"",SMALL(Grids!$C$9:$BO$108,$M$7+34)),"")</f>
        <v/>
      </c>
      <c r="M43" s="41">
        <f>IF($L43="","",INT($L43/1000000000))</f>
        <v/>
      </c>
      <c r="N43" s="41">
        <f>IF($L43="","",INT(($L43-INT($L43/1000000)*1000000)/1000))</f>
        <v/>
      </c>
      <c r="O43" s="41">
        <f>IF($L43="","",$L43-INT($L43/1000)*1000)</f>
        <v/>
      </c>
      <c r="P43" s="41">
        <f>IF($L43="","",INT(($L43-INT($L43/1000000000)*1000000000)/10000000))</f>
        <v/>
      </c>
    </row>
    <row r="44">
      <c r="B44" s="36">
        <f>IF($L44="","",$M44)</f>
        <v/>
      </c>
      <c r="C44" s="16">
        <f>IF($L44="","",INDEX(HSI!$C$7:$C$106,$N44))</f>
        <v/>
      </c>
      <c r="D44" s="16">
        <f>IF($L44="","",INDEX(HSI!$D$7:$D$106,$N44))</f>
        <v/>
      </c>
      <c r="E44" s="37">
        <f>IF($L44="","",IF(INT($P44/10)=0,"TBA",IFERROR(INDEX(Grids!$BQ$9:$EC$108,$N44,$O44),"-")))</f>
        <v/>
      </c>
      <c r="F44" s="16">
        <f>IF($L44="","",INDEX(HSI!$F$7:$F$106,$N44))</f>
        <v/>
      </c>
      <c r="G44" s="37">
        <f>IF($L44="","",IF(INT($P44/10)=0,"TBA",IFERROR(INDEX(Grids!$EE$9:$GQ$108,$N44,$O44),"-")))</f>
        <v/>
      </c>
      <c r="H44" s="38">
        <f>IF($L44="","",SUM($G$10:$G44))</f>
        <v/>
      </c>
      <c r="I44" s="39">
        <f>IF($L44="","",IF(INT(($L44-INT($L44/10000000)*10000000)/1000000)=0,"Bloomberg projection",IF(INT($P44/10)=1,"Announced","ANNOUNCED - amount TBA"))&amp;IF(($P44-INT($P44/10)*10)=1," (special)","")&amp;IF((($P44-INT($P44/10)*10)=1)*(Summary!$C$13="N")&gt;0," - excluded by your specials switch",""))</f>
        <v/>
      </c>
      <c r="J44" s="40">
        <f>IF($L44="","",IF((Override!$C$4="ON")*ISNUMBER(INDEX(Override!$G$13:$G$112,$N44))&gt;0,"stock overridden",""))</f>
        <v/>
      </c>
      <c r="L44" s="41">
        <f>IFERROR(IF(SMALL(Grids!$C$9:$BO$108,$M$7+35)&gt;=(Summary!$C$15+1)*1000000000,"",SMALL(Grids!$C$9:$BO$108,$M$7+35)),"")</f>
        <v/>
      </c>
      <c r="M44" s="41">
        <f>IF($L44="","",INT($L44/1000000000))</f>
        <v/>
      </c>
      <c r="N44" s="41">
        <f>IF($L44="","",INT(($L44-INT($L44/1000000)*1000000)/1000))</f>
        <v/>
      </c>
      <c r="O44" s="41">
        <f>IF($L44="","",$L44-INT($L44/1000)*1000)</f>
        <v/>
      </c>
      <c r="P44" s="41">
        <f>IF($L44="","",INT(($L44-INT($L44/1000000000)*1000000000)/10000000))</f>
        <v/>
      </c>
    </row>
    <row r="45">
      <c r="B45" s="36">
        <f>IF($L45="","",$M45)</f>
        <v/>
      </c>
      <c r="C45" s="16">
        <f>IF($L45="","",INDEX(HSI!$C$7:$C$106,$N45))</f>
        <v/>
      </c>
      <c r="D45" s="16">
        <f>IF($L45="","",INDEX(HSI!$D$7:$D$106,$N45))</f>
        <v/>
      </c>
      <c r="E45" s="37">
        <f>IF($L45="","",IF(INT($P45/10)=0,"TBA",IFERROR(INDEX(Grids!$BQ$9:$EC$108,$N45,$O45),"-")))</f>
        <v/>
      </c>
      <c r="F45" s="16">
        <f>IF($L45="","",INDEX(HSI!$F$7:$F$106,$N45))</f>
        <v/>
      </c>
      <c r="G45" s="37">
        <f>IF($L45="","",IF(INT($P45/10)=0,"TBA",IFERROR(INDEX(Grids!$EE$9:$GQ$108,$N45,$O45),"-")))</f>
        <v/>
      </c>
      <c r="H45" s="38">
        <f>IF($L45="","",SUM($G$10:$G45))</f>
        <v/>
      </c>
      <c r="I45" s="39">
        <f>IF($L45="","",IF(INT(($L45-INT($L45/10000000)*10000000)/1000000)=0,"Bloomberg projection",IF(INT($P45/10)=1,"Announced","ANNOUNCED - amount TBA"))&amp;IF(($P45-INT($P45/10)*10)=1," (special)","")&amp;IF((($P45-INT($P45/10)*10)=1)*(Summary!$C$13="N")&gt;0," - excluded by your specials switch",""))</f>
        <v/>
      </c>
      <c r="J45" s="40">
        <f>IF($L45="","",IF((Override!$C$4="ON")*ISNUMBER(INDEX(Override!$G$13:$G$112,$N45))&gt;0,"stock overridden",""))</f>
        <v/>
      </c>
      <c r="L45" s="41">
        <f>IFERROR(IF(SMALL(Grids!$C$9:$BO$108,$M$7+36)&gt;=(Summary!$C$15+1)*1000000000,"",SMALL(Grids!$C$9:$BO$108,$M$7+36)),"")</f>
        <v/>
      </c>
      <c r="M45" s="41">
        <f>IF($L45="","",INT($L45/1000000000))</f>
        <v/>
      </c>
      <c r="N45" s="41">
        <f>IF($L45="","",INT(($L45-INT($L45/1000000)*1000000)/1000))</f>
        <v/>
      </c>
      <c r="O45" s="41">
        <f>IF($L45="","",$L45-INT($L45/1000)*1000)</f>
        <v/>
      </c>
      <c r="P45" s="41">
        <f>IF($L45="","",INT(($L45-INT($L45/1000000000)*1000000000)/10000000))</f>
        <v/>
      </c>
    </row>
    <row r="46">
      <c r="B46" s="36">
        <f>IF($L46="","",$M46)</f>
        <v/>
      </c>
      <c r="C46" s="16">
        <f>IF($L46="","",INDEX(HSI!$C$7:$C$106,$N46))</f>
        <v/>
      </c>
      <c r="D46" s="16">
        <f>IF($L46="","",INDEX(HSI!$D$7:$D$106,$N46))</f>
        <v/>
      </c>
      <c r="E46" s="37">
        <f>IF($L46="","",IF(INT($P46/10)=0,"TBA",IFERROR(INDEX(Grids!$BQ$9:$EC$108,$N46,$O46),"-")))</f>
        <v/>
      </c>
      <c r="F46" s="16">
        <f>IF($L46="","",INDEX(HSI!$F$7:$F$106,$N46))</f>
        <v/>
      </c>
      <c r="G46" s="37">
        <f>IF($L46="","",IF(INT($P46/10)=0,"TBA",IFERROR(INDEX(Grids!$EE$9:$GQ$108,$N46,$O46),"-")))</f>
        <v/>
      </c>
      <c r="H46" s="38">
        <f>IF($L46="","",SUM($G$10:$G46))</f>
        <v/>
      </c>
      <c r="I46" s="39">
        <f>IF($L46="","",IF(INT(($L46-INT($L46/10000000)*10000000)/1000000)=0,"Bloomberg projection",IF(INT($P46/10)=1,"Announced","ANNOUNCED - amount TBA"))&amp;IF(($P46-INT($P46/10)*10)=1," (special)","")&amp;IF((($P46-INT($P46/10)*10)=1)*(Summary!$C$13="N")&gt;0," - excluded by your specials switch",""))</f>
        <v/>
      </c>
      <c r="J46" s="40">
        <f>IF($L46="","",IF((Override!$C$4="ON")*ISNUMBER(INDEX(Override!$G$13:$G$112,$N46))&gt;0,"stock overridden",""))</f>
        <v/>
      </c>
      <c r="L46" s="41">
        <f>IFERROR(IF(SMALL(Grids!$C$9:$BO$108,$M$7+37)&gt;=(Summary!$C$15+1)*1000000000,"",SMALL(Grids!$C$9:$BO$108,$M$7+37)),"")</f>
        <v/>
      </c>
      <c r="M46" s="41">
        <f>IF($L46="","",INT($L46/1000000000))</f>
        <v/>
      </c>
      <c r="N46" s="41">
        <f>IF($L46="","",INT(($L46-INT($L46/1000000)*1000000)/1000))</f>
        <v/>
      </c>
      <c r="O46" s="41">
        <f>IF($L46="","",$L46-INT($L46/1000)*1000)</f>
        <v/>
      </c>
      <c r="P46" s="41">
        <f>IF($L46="","",INT(($L46-INT($L46/1000000000)*1000000000)/10000000))</f>
        <v/>
      </c>
    </row>
    <row r="47">
      <c r="B47" s="36">
        <f>IF($L47="","",$M47)</f>
        <v/>
      </c>
      <c r="C47" s="16">
        <f>IF($L47="","",INDEX(HSI!$C$7:$C$106,$N47))</f>
        <v/>
      </c>
      <c r="D47" s="16">
        <f>IF($L47="","",INDEX(HSI!$D$7:$D$106,$N47))</f>
        <v/>
      </c>
      <c r="E47" s="37">
        <f>IF($L47="","",IF(INT($P47/10)=0,"TBA",IFERROR(INDEX(Grids!$BQ$9:$EC$108,$N47,$O47),"-")))</f>
        <v/>
      </c>
      <c r="F47" s="16">
        <f>IF($L47="","",INDEX(HSI!$F$7:$F$106,$N47))</f>
        <v/>
      </c>
      <c r="G47" s="37">
        <f>IF($L47="","",IF(INT($P47/10)=0,"TBA",IFERROR(INDEX(Grids!$EE$9:$GQ$108,$N47,$O47),"-")))</f>
        <v/>
      </c>
      <c r="H47" s="38">
        <f>IF($L47="","",SUM($G$10:$G47))</f>
        <v/>
      </c>
      <c r="I47" s="39">
        <f>IF($L47="","",IF(INT(($L47-INT($L47/10000000)*10000000)/1000000)=0,"Bloomberg projection",IF(INT($P47/10)=1,"Announced","ANNOUNCED - amount TBA"))&amp;IF(($P47-INT($P47/10)*10)=1," (special)","")&amp;IF((($P47-INT($P47/10)*10)=1)*(Summary!$C$13="N")&gt;0," - excluded by your specials switch",""))</f>
        <v/>
      </c>
      <c r="J47" s="40">
        <f>IF($L47="","",IF((Override!$C$4="ON")*ISNUMBER(INDEX(Override!$G$13:$G$112,$N47))&gt;0,"stock overridden",""))</f>
        <v/>
      </c>
      <c r="L47" s="41">
        <f>IFERROR(IF(SMALL(Grids!$C$9:$BO$108,$M$7+38)&gt;=(Summary!$C$15+1)*1000000000,"",SMALL(Grids!$C$9:$BO$108,$M$7+38)),"")</f>
        <v/>
      </c>
      <c r="M47" s="41">
        <f>IF($L47="","",INT($L47/1000000000))</f>
        <v/>
      </c>
      <c r="N47" s="41">
        <f>IF($L47="","",INT(($L47-INT($L47/1000000)*1000000)/1000))</f>
        <v/>
      </c>
      <c r="O47" s="41">
        <f>IF($L47="","",$L47-INT($L47/1000)*1000)</f>
        <v/>
      </c>
      <c r="P47" s="41">
        <f>IF($L47="","",INT(($L47-INT($L47/1000000000)*1000000000)/10000000))</f>
        <v/>
      </c>
    </row>
    <row r="48">
      <c r="B48" s="36">
        <f>IF($L48="","",$M48)</f>
        <v/>
      </c>
      <c r="C48" s="16">
        <f>IF($L48="","",INDEX(HSI!$C$7:$C$106,$N48))</f>
        <v/>
      </c>
      <c r="D48" s="16">
        <f>IF($L48="","",INDEX(HSI!$D$7:$D$106,$N48))</f>
        <v/>
      </c>
      <c r="E48" s="37">
        <f>IF($L48="","",IF(INT($P48/10)=0,"TBA",IFERROR(INDEX(Grids!$BQ$9:$EC$108,$N48,$O48),"-")))</f>
        <v/>
      </c>
      <c r="F48" s="16">
        <f>IF($L48="","",INDEX(HSI!$F$7:$F$106,$N48))</f>
        <v/>
      </c>
      <c r="G48" s="37">
        <f>IF($L48="","",IF(INT($P48/10)=0,"TBA",IFERROR(INDEX(Grids!$EE$9:$GQ$108,$N48,$O48),"-")))</f>
        <v/>
      </c>
      <c r="H48" s="38">
        <f>IF($L48="","",SUM($G$10:$G48))</f>
        <v/>
      </c>
      <c r="I48" s="39">
        <f>IF($L48="","",IF(INT(($L48-INT($L48/10000000)*10000000)/1000000)=0,"Bloomberg projection",IF(INT($P48/10)=1,"Announced","ANNOUNCED - amount TBA"))&amp;IF(($P48-INT($P48/10)*10)=1," (special)","")&amp;IF((($P48-INT($P48/10)*10)=1)*(Summary!$C$13="N")&gt;0," - excluded by your specials switch",""))</f>
        <v/>
      </c>
      <c r="J48" s="40">
        <f>IF($L48="","",IF((Override!$C$4="ON")*ISNUMBER(INDEX(Override!$G$13:$G$112,$N48))&gt;0,"stock overridden",""))</f>
        <v/>
      </c>
      <c r="L48" s="41">
        <f>IFERROR(IF(SMALL(Grids!$C$9:$BO$108,$M$7+39)&gt;=(Summary!$C$15+1)*1000000000,"",SMALL(Grids!$C$9:$BO$108,$M$7+39)),"")</f>
        <v/>
      </c>
      <c r="M48" s="41">
        <f>IF($L48="","",INT($L48/1000000000))</f>
        <v/>
      </c>
      <c r="N48" s="41">
        <f>IF($L48="","",INT(($L48-INT($L48/1000000)*1000000)/1000))</f>
        <v/>
      </c>
      <c r="O48" s="41">
        <f>IF($L48="","",$L48-INT($L48/1000)*1000)</f>
        <v/>
      </c>
      <c r="P48" s="41">
        <f>IF($L48="","",INT(($L48-INT($L48/1000000000)*1000000000)/10000000))</f>
        <v/>
      </c>
    </row>
    <row r="49">
      <c r="B49" s="36">
        <f>IF($L49="","",$M49)</f>
        <v/>
      </c>
      <c r="C49" s="16">
        <f>IF($L49="","",INDEX(HSI!$C$7:$C$106,$N49))</f>
        <v/>
      </c>
      <c r="D49" s="16">
        <f>IF($L49="","",INDEX(HSI!$D$7:$D$106,$N49))</f>
        <v/>
      </c>
      <c r="E49" s="37">
        <f>IF($L49="","",IF(INT($P49/10)=0,"TBA",IFERROR(INDEX(Grids!$BQ$9:$EC$108,$N49,$O49),"-")))</f>
        <v/>
      </c>
      <c r="F49" s="16">
        <f>IF($L49="","",INDEX(HSI!$F$7:$F$106,$N49))</f>
        <v/>
      </c>
      <c r="G49" s="37">
        <f>IF($L49="","",IF(INT($P49/10)=0,"TBA",IFERROR(INDEX(Grids!$EE$9:$GQ$108,$N49,$O49),"-")))</f>
        <v/>
      </c>
      <c r="H49" s="38">
        <f>IF($L49="","",SUM($G$10:$G49))</f>
        <v/>
      </c>
      <c r="I49" s="39">
        <f>IF($L49="","",IF(INT(($L49-INT($L49/10000000)*10000000)/1000000)=0,"Bloomberg projection",IF(INT($P49/10)=1,"Announced","ANNOUNCED - amount TBA"))&amp;IF(($P49-INT($P49/10)*10)=1," (special)","")&amp;IF((($P49-INT($P49/10)*10)=1)*(Summary!$C$13="N")&gt;0," - excluded by your specials switch",""))</f>
        <v/>
      </c>
      <c r="J49" s="40">
        <f>IF($L49="","",IF((Override!$C$4="ON")*ISNUMBER(INDEX(Override!$G$13:$G$112,$N49))&gt;0,"stock overridden",""))</f>
        <v/>
      </c>
      <c r="L49" s="41">
        <f>IFERROR(IF(SMALL(Grids!$C$9:$BO$108,$M$7+40)&gt;=(Summary!$C$15+1)*1000000000,"",SMALL(Grids!$C$9:$BO$108,$M$7+40)),"")</f>
        <v/>
      </c>
      <c r="M49" s="41">
        <f>IF($L49="","",INT($L49/1000000000))</f>
        <v/>
      </c>
      <c r="N49" s="41">
        <f>IF($L49="","",INT(($L49-INT($L49/1000000)*1000000)/1000))</f>
        <v/>
      </c>
      <c r="O49" s="41">
        <f>IF($L49="","",$L49-INT($L49/1000)*1000)</f>
        <v/>
      </c>
      <c r="P49" s="41">
        <f>IF($L49="","",INT(($L49-INT($L49/1000000000)*1000000000)/10000000))</f>
        <v/>
      </c>
    </row>
    <row r="50">
      <c r="B50" s="36">
        <f>IF($L50="","",$M50)</f>
        <v/>
      </c>
      <c r="C50" s="16">
        <f>IF($L50="","",INDEX(HSI!$C$7:$C$106,$N50))</f>
        <v/>
      </c>
      <c r="D50" s="16">
        <f>IF($L50="","",INDEX(HSI!$D$7:$D$106,$N50))</f>
        <v/>
      </c>
      <c r="E50" s="37">
        <f>IF($L50="","",IF(INT($P50/10)=0,"TBA",IFERROR(INDEX(Grids!$BQ$9:$EC$108,$N50,$O50),"-")))</f>
        <v/>
      </c>
      <c r="F50" s="16">
        <f>IF($L50="","",INDEX(HSI!$F$7:$F$106,$N50))</f>
        <v/>
      </c>
      <c r="G50" s="37">
        <f>IF($L50="","",IF(INT($P50/10)=0,"TBA",IFERROR(INDEX(Grids!$EE$9:$GQ$108,$N50,$O50),"-")))</f>
        <v/>
      </c>
      <c r="H50" s="38">
        <f>IF($L50="","",SUM($G$10:$G50))</f>
        <v/>
      </c>
      <c r="I50" s="39">
        <f>IF($L50="","",IF(INT(($L50-INT($L50/10000000)*10000000)/1000000)=0,"Bloomberg projection",IF(INT($P50/10)=1,"Announced","ANNOUNCED - amount TBA"))&amp;IF(($P50-INT($P50/10)*10)=1," (special)","")&amp;IF((($P50-INT($P50/10)*10)=1)*(Summary!$C$13="N")&gt;0," - excluded by your specials switch",""))</f>
        <v/>
      </c>
      <c r="J50" s="40">
        <f>IF($L50="","",IF((Override!$C$4="ON")*ISNUMBER(INDEX(Override!$G$13:$G$112,$N50))&gt;0,"stock overridden",""))</f>
        <v/>
      </c>
      <c r="L50" s="41">
        <f>IFERROR(IF(SMALL(Grids!$C$9:$BO$108,$M$7+41)&gt;=(Summary!$C$15+1)*1000000000,"",SMALL(Grids!$C$9:$BO$108,$M$7+41)),"")</f>
        <v/>
      </c>
      <c r="M50" s="41">
        <f>IF($L50="","",INT($L50/1000000000))</f>
        <v/>
      </c>
      <c r="N50" s="41">
        <f>IF($L50="","",INT(($L50-INT($L50/1000000)*1000000)/1000))</f>
        <v/>
      </c>
      <c r="O50" s="41">
        <f>IF($L50="","",$L50-INT($L50/1000)*1000)</f>
        <v/>
      </c>
      <c r="P50" s="41">
        <f>IF($L50="","",INT(($L50-INT($L50/1000000000)*1000000000)/10000000))</f>
        <v/>
      </c>
    </row>
    <row r="51">
      <c r="B51" s="36">
        <f>IF($L51="","",$M51)</f>
        <v/>
      </c>
      <c r="C51" s="16">
        <f>IF($L51="","",INDEX(HSI!$C$7:$C$106,$N51))</f>
        <v/>
      </c>
      <c r="D51" s="16">
        <f>IF($L51="","",INDEX(HSI!$D$7:$D$106,$N51))</f>
        <v/>
      </c>
      <c r="E51" s="37">
        <f>IF($L51="","",IF(INT($P51/10)=0,"TBA",IFERROR(INDEX(Grids!$BQ$9:$EC$108,$N51,$O51),"-")))</f>
        <v/>
      </c>
      <c r="F51" s="16">
        <f>IF($L51="","",INDEX(HSI!$F$7:$F$106,$N51))</f>
        <v/>
      </c>
      <c r="G51" s="37">
        <f>IF($L51="","",IF(INT($P51/10)=0,"TBA",IFERROR(INDEX(Grids!$EE$9:$GQ$108,$N51,$O51),"-")))</f>
        <v/>
      </c>
      <c r="H51" s="38">
        <f>IF($L51="","",SUM($G$10:$G51))</f>
        <v/>
      </c>
      <c r="I51" s="39">
        <f>IF($L51="","",IF(INT(($L51-INT($L51/10000000)*10000000)/1000000)=0,"Bloomberg projection",IF(INT($P51/10)=1,"Announced","ANNOUNCED - amount TBA"))&amp;IF(($P51-INT($P51/10)*10)=1," (special)","")&amp;IF((($P51-INT($P51/10)*10)=1)*(Summary!$C$13="N")&gt;0," - excluded by your specials switch",""))</f>
        <v/>
      </c>
      <c r="J51" s="40">
        <f>IF($L51="","",IF((Override!$C$4="ON")*ISNUMBER(INDEX(Override!$G$13:$G$112,$N51))&gt;0,"stock overridden",""))</f>
        <v/>
      </c>
      <c r="L51" s="41">
        <f>IFERROR(IF(SMALL(Grids!$C$9:$BO$108,$M$7+42)&gt;=(Summary!$C$15+1)*1000000000,"",SMALL(Grids!$C$9:$BO$108,$M$7+42)),"")</f>
        <v/>
      </c>
      <c r="M51" s="41">
        <f>IF($L51="","",INT($L51/1000000000))</f>
        <v/>
      </c>
      <c r="N51" s="41">
        <f>IF($L51="","",INT(($L51-INT($L51/1000000)*1000000)/1000))</f>
        <v/>
      </c>
      <c r="O51" s="41">
        <f>IF($L51="","",$L51-INT($L51/1000)*1000)</f>
        <v/>
      </c>
      <c r="P51" s="41">
        <f>IF($L51="","",INT(($L51-INT($L51/1000000000)*1000000000)/10000000))</f>
        <v/>
      </c>
    </row>
    <row r="52">
      <c r="B52" s="36">
        <f>IF($L52="","",$M52)</f>
        <v/>
      </c>
      <c r="C52" s="16">
        <f>IF($L52="","",INDEX(HSI!$C$7:$C$106,$N52))</f>
        <v/>
      </c>
      <c r="D52" s="16">
        <f>IF($L52="","",INDEX(HSI!$D$7:$D$106,$N52))</f>
        <v/>
      </c>
      <c r="E52" s="37">
        <f>IF($L52="","",IF(INT($P52/10)=0,"TBA",IFERROR(INDEX(Grids!$BQ$9:$EC$108,$N52,$O52),"-")))</f>
        <v/>
      </c>
      <c r="F52" s="16">
        <f>IF($L52="","",INDEX(HSI!$F$7:$F$106,$N52))</f>
        <v/>
      </c>
      <c r="G52" s="37">
        <f>IF($L52="","",IF(INT($P52/10)=0,"TBA",IFERROR(INDEX(Grids!$EE$9:$GQ$108,$N52,$O52),"-")))</f>
        <v/>
      </c>
      <c r="H52" s="38">
        <f>IF($L52="","",SUM($G$10:$G52))</f>
        <v/>
      </c>
      <c r="I52" s="39">
        <f>IF($L52="","",IF(INT(($L52-INT($L52/10000000)*10000000)/1000000)=0,"Bloomberg projection",IF(INT($P52/10)=1,"Announced","ANNOUNCED - amount TBA"))&amp;IF(($P52-INT($P52/10)*10)=1," (special)","")&amp;IF((($P52-INT($P52/10)*10)=1)*(Summary!$C$13="N")&gt;0," - excluded by your specials switch",""))</f>
        <v/>
      </c>
      <c r="J52" s="40">
        <f>IF($L52="","",IF((Override!$C$4="ON")*ISNUMBER(INDEX(Override!$G$13:$G$112,$N52))&gt;0,"stock overridden",""))</f>
        <v/>
      </c>
      <c r="L52" s="41">
        <f>IFERROR(IF(SMALL(Grids!$C$9:$BO$108,$M$7+43)&gt;=(Summary!$C$15+1)*1000000000,"",SMALL(Grids!$C$9:$BO$108,$M$7+43)),"")</f>
        <v/>
      </c>
      <c r="M52" s="41">
        <f>IF($L52="","",INT($L52/1000000000))</f>
        <v/>
      </c>
      <c r="N52" s="41">
        <f>IF($L52="","",INT(($L52-INT($L52/1000000)*1000000)/1000))</f>
        <v/>
      </c>
      <c r="O52" s="41">
        <f>IF($L52="","",$L52-INT($L52/1000)*1000)</f>
        <v/>
      </c>
      <c r="P52" s="41">
        <f>IF($L52="","",INT(($L52-INT($L52/1000000000)*1000000000)/10000000))</f>
        <v/>
      </c>
    </row>
    <row r="53">
      <c r="B53" s="36">
        <f>IF($L53="","",$M53)</f>
        <v/>
      </c>
      <c r="C53" s="16">
        <f>IF($L53="","",INDEX(HSI!$C$7:$C$106,$N53))</f>
        <v/>
      </c>
      <c r="D53" s="16">
        <f>IF($L53="","",INDEX(HSI!$D$7:$D$106,$N53))</f>
        <v/>
      </c>
      <c r="E53" s="37">
        <f>IF($L53="","",IF(INT($P53/10)=0,"TBA",IFERROR(INDEX(Grids!$BQ$9:$EC$108,$N53,$O53),"-")))</f>
        <v/>
      </c>
      <c r="F53" s="16">
        <f>IF($L53="","",INDEX(HSI!$F$7:$F$106,$N53))</f>
        <v/>
      </c>
      <c r="G53" s="37">
        <f>IF($L53="","",IF(INT($P53/10)=0,"TBA",IFERROR(INDEX(Grids!$EE$9:$GQ$108,$N53,$O53),"-")))</f>
        <v/>
      </c>
      <c r="H53" s="38">
        <f>IF($L53="","",SUM($G$10:$G53))</f>
        <v/>
      </c>
      <c r="I53" s="39">
        <f>IF($L53="","",IF(INT(($L53-INT($L53/10000000)*10000000)/1000000)=0,"Bloomberg projection",IF(INT($P53/10)=1,"Announced","ANNOUNCED - amount TBA"))&amp;IF(($P53-INT($P53/10)*10)=1," (special)","")&amp;IF((($P53-INT($P53/10)*10)=1)*(Summary!$C$13="N")&gt;0," - excluded by your specials switch",""))</f>
        <v/>
      </c>
      <c r="J53" s="40">
        <f>IF($L53="","",IF((Override!$C$4="ON")*ISNUMBER(INDEX(Override!$G$13:$G$112,$N53))&gt;0,"stock overridden",""))</f>
        <v/>
      </c>
      <c r="L53" s="41">
        <f>IFERROR(IF(SMALL(Grids!$C$9:$BO$108,$M$7+44)&gt;=(Summary!$C$15+1)*1000000000,"",SMALL(Grids!$C$9:$BO$108,$M$7+44)),"")</f>
        <v/>
      </c>
      <c r="M53" s="41">
        <f>IF($L53="","",INT($L53/1000000000))</f>
        <v/>
      </c>
      <c r="N53" s="41">
        <f>IF($L53="","",INT(($L53-INT($L53/1000000)*1000000)/1000))</f>
        <v/>
      </c>
      <c r="O53" s="41">
        <f>IF($L53="","",$L53-INT($L53/1000)*1000)</f>
        <v/>
      </c>
      <c r="P53" s="41">
        <f>IF($L53="","",INT(($L53-INT($L53/1000000000)*1000000000)/10000000))</f>
        <v/>
      </c>
    </row>
    <row r="54">
      <c r="B54" s="36">
        <f>IF($L54="","",$M54)</f>
        <v/>
      </c>
      <c r="C54" s="16">
        <f>IF($L54="","",INDEX(HSI!$C$7:$C$106,$N54))</f>
        <v/>
      </c>
      <c r="D54" s="16">
        <f>IF($L54="","",INDEX(HSI!$D$7:$D$106,$N54))</f>
        <v/>
      </c>
      <c r="E54" s="37">
        <f>IF($L54="","",IF(INT($P54/10)=0,"TBA",IFERROR(INDEX(Grids!$BQ$9:$EC$108,$N54,$O54),"-")))</f>
        <v/>
      </c>
      <c r="F54" s="16">
        <f>IF($L54="","",INDEX(HSI!$F$7:$F$106,$N54))</f>
        <v/>
      </c>
      <c r="G54" s="37">
        <f>IF($L54="","",IF(INT($P54/10)=0,"TBA",IFERROR(INDEX(Grids!$EE$9:$GQ$108,$N54,$O54),"-")))</f>
        <v/>
      </c>
      <c r="H54" s="38">
        <f>IF($L54="","",SUM($G$10:$G54))</f>
        <v/>
      </c>
      <c r="I54" s="39">
        <f>IF($L54="","",IF(INT(($L54-INT($L54/10000000)*10000000)/1000000)=0,"Bloomberg projection",IF(INT($P54/10)=1,"Announced","ANNOUNCED - amount TBA"))&amp;IF(($P54-INT($P54/10)*10)=1," (special)","")&amp;IF((($P54-INT($P54/10)*10)=1)*(Summary!$C$13="N")&gt;0," - excluded by your specials switch",""))</f>
        <v/>
      </c>
      <c r="J54" s="40">
        <f>IF($L54="","",IF((Override!$C$4="ON")*ISNUMBER(INDEX(Override!$G$13:$G$112,$N54))&gt;0,"stock overridden",""))</f>
        <v/>
      </c>
      <c r="L54" s="41">
        <f>IFERROR(IF(SMALL(Grids!$C$9:$BO$108,$M$7+45)&gt;=(Summary!$C$15+1)*1000000000,"",SMALL(Grids!$C$9:$BO$108,$M$7+45)),"")</f>
        <v/>
      </c>
      <c r="M54" s="41">
        <f>IF($L54="","",INT($L54/1000000000))</f>
        <v/>
      </c>
      <c r="N54" s="41">
        <f>IF($L54="","",INT(($L54-INT($L54/1000000)*1000000)/1000))</f>
        <v/>
      </c>
      <c r="O54" s="41">
        <f>IF($L54="","",$L54-INT($L54/1000)*1000)</f>
        <v/>
      </c>
      <c r="P54" s="41">
        <f>IF($L54="","",INT(($L54-INT($L54/1000000000)*1000000000)/10000000))</f>
        <v/>
      </c>
    </row>
    <row r="55">
      <c r="B55" s="36">
        <f>IF($L55="","",$M55)</f>
        <v/>
      </c>
      <c r="C55" s="16">
        <f>IF($L55="","",INDEX(HSI!$C$7:$C$106,$N55))</f>
        <v/>
      </c>
      <c r="D55" s="16">
        <f>IF($L55="","",INDEX(HSI!$D$7:$D$106,$N55))</f>
        <v/>
      </c>
      <c r="E55" s="37">
        <f>IF($L55="","",IF(INT($P55/10)=0,"TBA",IFERROR(INDEX(Grids!$BQ$9:$EC$108,$N55,$O55),"-")))</f>
        <v/>
      </c>
      <c r="F55" s="16">
        <f>IF($L55="","",INDEX(HSI!$F$7:$F$106,$N55))</f>
        <v/>
      </c>
      <c r="G55" s="37">
        <f>IF($L55="","",IF(INT($P55/10)=0,"TBA",IFERROR(INDEX(Grids!$EE$9:$GQ$108,$N55,$O55),"-")))</f>
        <v/>
      </c>
      <c r="H55" s="38">
        <f>IF($L55="","",SUM($G$10:$G55))</f>
        <v/>
      </c>
      <c r="I55" s="39">
        <f>IF($L55="","",IF(INT(($L55-INT($L55/10000000)*10000000)/1000000)=0,"Bloomberg projection",IF(INT($P55/10)=1,"Announced","ANNOUNCED - amount TBA"))&amp;IF(($P55-INT($P55/10)*10)=1," (special)","")&amp;IF((($P55-INT($P55/10)*10)=1)*(Summary!$C$13="N")&gt;0," - excluded by your specials switch",""))</f>
        <v/>
      </c>
      <c r="J55" s="40">
        <f>IF($L55="","",IF((Override!$C$4="ON")*ISNUMBER(INDEX(Override!$G$13:$G$112,$N55))&gt;0,"stock overridden",""))</f>
        <v/>
      </c>
      <c r="L55" s="41">
        <f>IFERROR(IF(SMALL(Grids!$C$9:$BO$108,$M$7+46)&gt;=(Summary!$C$15+1)*1000000000,"",SMALL(Grids!$C$9:$BO$108,$M$7+46)),"")</f>
        <v/>
      </c>
      <c r="M55" s="41">
        <f>IF($L55="","",INT($L55/1000000000))</f>
        <v/>
      </c>
      <c r="N55" s="41">
        <f>IF($L55="","",INT(($L55-INT($L55/1000000)*1000000)/1000))</f>
        <v/>
      </c>
      <c r="O55" s="41">
        <f>IF($L55="","",$L55-INT($L55/1000)*1000)</f>
        <v/>
      </c>
      <c r="P55" s="41">
        <f>IF($L55="","",INT(($L55-INT($L55/1000000000)*1000000000)/10000000))</f>
        <v/>
      </c>
    </row>
    <row r="56">
      <c r="B56" s="36">
        <f>IF($L56="","",$M56)</f>
        <v/>
      </c>
      <c r="C56" s="16">
        <f>IF($L56="","",INDEX(HSI!$C$7:$C$106,$N56))</f>
        <v/>
      </c>
      <c r="D56" s="16">
        <f>IF($L56="","",INDEX(HSI!$D$7:$D$106,$N56))</f>
        <v/>
      </c>
      <c r="E56" s="37">
        <f>IF($L56="","",IF(INT($P56/10)=0,"TBA",IFERROR(INDEX(Grids!$BQ$9:$EC$108,$N56,$O56),"-")))</f>
        <v/>
      </c>
      <c r="F56" s="16">
        <f>IF($L56="","",INDEX(HSI!$F$7:$F$106,$N56))</f>
        <v/>
      </c>
      <c r="G56" s="37">
        <f>IF($L56="","",IF(INT($P56/10)=0,"TBA",IFERROR(INDEX(Grids!$EE$9:$GQ$108,$N56,$O56),"-")))</f>
        <v/>
      </c>
      <c r="H56" s="38">
        <f>IF($L56="","",SUM($G$10:$G56))</f>
        <v/>
      </c>
      <c r="I56" s="39">
        <f>IF($L56="","",IF(INT(($L56-INT($L56/10000000)*10000000)/1000000)=0,"Bloomberg projection",IF(INT($P56/10)=1,"Announced","ANNOUNCED - amount TBA"))&amp;IF(($P56-INT($P56/10)*10)=1," (special)","")&amp;IF((($P56-INT($P56/10)*10)=1)*(Summary!$C$13="N")&gt;0," - excluded by your specials switch",""))</f>
        <v/>
      </c>
      <c r="J56" s="40">
        <f>IF($L56="","",IF((Override!$C$4="ON")*ISNUMBER(INDEX(Override!$G$13:$G$112,$N56))&gt;0,"stock overridden",""))</f>
        <v/>
      </c>
      <c r="L56" s="41">
        <f>IFERROR(IF(SMALL(Grids!$C$9:$BO$108,$M$7+47)&gt;=(Summary!$C$15+1)*1000000000,"",SMALL(Grids!$C$9:$BO$108,$M$7+47)),"")</f>
        <v/>
      </c>
      <c r="M56" s="41">
        <f>IF($L56="","",INT($L56/1000000000))</f>
        <v/>
      </c>
      <c r="N56" s="41">
        <f>IF($L56="","",INT(($L56-INT($L56/1000000)*1000000)/1000))</f>
        <v/>
      </c>
      <c r="O56" s="41">
        <f>IF($L56="","",$L56-INT($L56/1000)*1000)</f>
        <v/>
      </c>
      <c r="P56" s="41">
        <f>IF($L56="","",INT(($L56-INT($L56/1000000000)*1000000000)/10000000))</f>
        <v/>
      </c>
    </row>
    <row r="57">
      <c r="B57" s="36">
        <f>IF($L57="","",$M57)</f>
        <v/>
      </c>
      <c r="C57" s="16">
        <f>IF($L57="","",INDEX(HSI!$C$7:$C$106,$N57))</f>
        <v/>
      </c>
      <c r="D57" s="16">
        <f>IF($L57="","",INDEX(HSI!$D$7:$D$106,$N57))</f>
        <v/>
      </c>
      <c r="E57" s="37">
        <f>IF($L57="","",IF(INT($P57/10)=0,"TBA",IFERROR(INDEX(Grids!$BQ$9:$EC$108,$N57,$O57),"-")))</f>
        <v/>
      </c>
      <c r="F57" s="16">
        <f>IF($L57="","",INDEX(HSI!$F$7:$F$106,$N57))</f>
        <v/>
      </c>
      <c r="G57" s="37">
        <f>IF($L57="","",IF(INT($P57/10)=0,"TBA",IFERROR(INDEX(Grids!$EE$9:$GQ$108,$N57,$O57),"-")))</f>
        <v/>
      </c>
      <c r="H57" s="38">
        <f>IF($L57="","",SUM($G$10:$G57))</f>
        <v/>
      </c>
      <c r="I57" s="39">
        <f>IF($L57="","",IF(INT(($L57-INT($L57/10000000)*10000000)/1000000)=0,"Bloomberg projection",IF(INT($P57/10)=1,"Announced","ANNOUNCED - amount TBA"))&amp;IF(($P57-INT($P57/10)*10)=1," (special)","")&amp;IF((($P57-INT($P57/10)*10)=1)*(Summary!$C$13="N")&gt;0," - excluded by your specials switch",""))</f>
        <v/>
      </c>
      <c r="J57" s="40">
        <f>IF($L57="","",IF((Override!$C$4="ON")*ISNUMBER(INDEX(Override!$G$13:$G$112,$N57))&gt;0,"stock overridden",""))</f>
        <v/>
      </c>
      <c r="L57" s="41">
        <f>IFERROR(IF(SMALL(Grids!$C$9:$BO$108,$M$7+48)&gt;=(Summary!$C$15+1)*1000000000,"",SMALL(Grids!$C$9:$BO$108,$M$7+48)),"")</f>
        <v/>
      </c>
      <c r="M57" s="41">
        <f>IF($L57="","",INT($L57/1000000000))</f>
        <v/>
      </c>
      <c r="N57" s="41">
        <f>IF($L57="","",INT(($L57-INT($L57/1000000)*1000000)/1000))</f>
        <v/>
      </c>
      <c r="O57" s="41">
        <f>IF($L57="","",$L57-INT($L57/1000)*1000)</f>
        <v/>
      </c>
      <c r="P57" s="41">
        <f>IF($L57="","",INT(($L57-INT($L57/1000000000)*1000000000)/10000000))</f>
        <v/>
      </c>
    </row>
    <row r="58">
      <c r="B58" s="36">
        <f>IF($L58="","",$M58)</f>
        <v/>
      </c>
      <c r="C58" s="16">
        <f>IF($L58="","",INDEX(HSI!$C$7:$C$106,$N58))</f>
        <v/>
      </c>
      <c r="D58" s="16">
        <f>IF($L58="","",INDEX(HSI!$D$7:$D$106,$N58))</f>
        <v/>
      </c>
      <c r="E58" s="37">
        <f>IF($L58="","",IF(INT($P58/10)=0,"TBA",IFERROR(INDEX(Grids!$BQ$9:$EC$108,$N58,$O58),"-")))</f>
        <v/>
      </c>
      <c r="F58" s="16">
        <f>IF($L58="","",INDEX(HSI!$F$7:$F$106,$N58))</f>
        <v/>
      </c>
      <c r="G58" s="37">
        <f>IF($L58="","",IF(INT($P58/10)=0,"TBA",IFERROR(INDEX(Grids!$EE$9:$GQ$108,$N58,$O58),"-")))</f>
        <v/>
      </c>
      <c r="H58" s="38">
        <f>IF($L58="","",SUM($G$10:$G58))</f>
        <v/>
      </c>
      <c r="I58" s="39">
        <f>IF($L58="","",IF(INT(($L58-INT($L58/10000000)*10000000)/1000000)=0,"Bloomberg projection",IF(INT($P58/10)=1,"Announced","ANNOUNCED - amount TBA"))&amp;IF(($P58-INT($P58/10)*10)=1," (special)","")&amp;IF((($P58-INT($P58/10)*10)=1)*(Summary!$C$13="N")&gt;0," - excluded by your specials switch",""))</f>
        <v/>
      </c>
      <c r="J58" s="40">
        <f>IF($L58="","",IF((Override!$C$4="ON")*ISNUMBER(INDEX(Override!$G$13:$G$112,$N58))&gt;0,"stock overridden",""))</f>
        <v/>
      </c>
      <c r="L58" s="41">
        <f>IFERROR(IF(SMALL(Grids!$C$9:$BO$108,$M$7+49)&gt;=(Summary!$C$15+1)*1000000000,"",SMALL(Grids!$C$9:$BO$108,$M$7+49)),"")</f>
        <v/>
      </c>
      <c r="M58" s="41">
        <f>IF($L58="","",INT($L58/1000000000))</f>
        <v/>
      </c>
      <c r="N58" s="41">
        <f>IF($L58="","",INT(($L58-INT($L58/1000000)*1000000)/1000))</f>
        <v/>
      </c>
      <c r="O58" s="41">
        <f>IF($L58="","",$L58-INT($L58/1000)*1000)</f>
        <v/>
      </c>
      <c r="P58" s="41">
        <f>IF($L58="","",INT(($L58-INT($L58/1000000000)*1000000000)/10000000))</f>
        <v/>
      </c>
    </row>
    <row r="59">
      <c r="B59" s="36">
        <f>IF($L59="","",$M59)</f>
        <v/>
      </c>
      <c r="C59" s="16">
        <f>IF($L59="","",INDEX(HSI!$C$7:$C$106,$N59))</f>
        <v/>
      </c>
      <c r="D59" s="16">
        <f>IF($L59="","",INDEX(HSI!$D$7:$D$106,$N59))</f>
        <v/>
      </c>
      <c r="E59" s="37">
        <f>IF($L59="","",IF(INT($P59/10)=0,"TBA",IFERROR(INDEX(Grids!$BQ$9:$EC$108,$N59,$O59),"-")))</f>
        <v/>
      </c>
      <c r="F59" s="16">
        <f>IF($L59="","",INDEX(HSI!$F$7:$F$106,$N59))</f>
        <v/>
      </c>
      <c r="G59" s="37">
        <f>IF($L59="","",IF(INT($P59/10)=0,"TBA",IFERROR(INDEX(Grids!$EE$9:$GQ$108,$N59,$O59),"-")))</f>
        <v/>
      </c>
      <c r="H59" s="38">
        <f>IF($L59="","",SUM($G$10:$G59))</f>
        <v/>
      </c>
      <c r="I59" s="39">
        <f>IF($L59="","",IF(INT(($L59-INT($L59/10000000)*10000000)/1000000)=0,"Bloomberg projection",IF(INT($P59/10)=1,"Announced","ANNOUNCED - amount TBA"))&amp;IF(($P59-INT($P59/10)*10)=1," (special)","")&amp;IF((($P59-INT($P59/10)*10)=1)*(Summary!$C$13="N")&gt;0," - excluded by your specials switch",""))</f>
        <v/>
      </c>
      <c r="J59" s="40">
        <f>IF($L59="","",IF((Override!$C$4="ON")*ISNUMBER(INDEX(Override!$G$13:$G$112,$N59))&gt;0,"stock overridden",""))</f>
        <v/>
      </c>
      <c r="L59" s="41">
        <f>IFERROR(IF(SMALL(Grids!$C$9:$BO$108,$M$7+50)&gt;=(Summary!$C$15+1)*1000000000,"",SMALL(Grids!$C$9:$BO$108,$M$7+50)),"")</f>
        <v/>
      </c>
      <c r="M59" s="41">
        <f>IF($L59="","",INT($L59/1000000000))</f>
        <v/>
      </c>
      <c r="N59" s="41">
        <f>IF($L59="","",INT(($L59-INT($L59/1000000)*1000000)/1000))</f>
        <v/>
      </c>
      <c r="O59" s="41">
        <f>IF($L59="","",$L59-INT($L59/1000)*1000)</f>
        <v/>
      </c>
      <c r="P59" s="41">
        <f>IF($L59="","",INT(($L59-INT($L59/1000000000)*1000000000)/10000000))</f>
        <v/>
      </c>
    </row>
    <row r="60">
      <c r="B60" s="36">
        <f>IF($L60="","",$M60)</f>
        <v/>
      </c>
      <c r="C60" s="16">
        <f>IF($L60="","",INDEX(HSI!$C$7:$C$106,$N60))</f>
        <v/>
      </c>
      <c r="D60" s="16">
        <f>IF($L60="","",INDEX(HSI!$D$7:$D$106,$N60))</f>
        <v/>
      </c>
      <c r="E60" s="37">
        <f>IF($L60="","",IF(INT($P60/10)=0,"TBA",IFERROR(INDEX(Grids!$BQ$9:$EC$108,$N60,$O60),"-")))</f>
        <v/>
      </c>
      <c r="F60" s="16">
        <f>IF($L60="","",INDEX(HSI!$F$7:$F$106,$N60))</f>
        <v/>
      </c>
      <c r="G60" s="37">
        <f>IF($L60="","",IF(INT($P60/10)=0,"TBA",IFERROR(INDEX(Grids!$EE$9:$GQ$108,$N60,$O60),"-")))</f>
        <v/>
      </c>
      <c r="H60" s="38">
        <f>IF($L60="","",SUM($G$10:$G60))</f>
        <v/>
      </c>
      <c r="I60" s="39">
        <f>IF($L60="","",IF(INT(($L60-INT($L60/10000000)*10000000)/1000000)=0,"Bloomberg projection",IF(INT($P60/10)=1,"Announced","ANNOUNCED - amount TBA"))&amp;IF(($P60-INT($P60/10)*10)=1," (special)","")&amp;IF((($P60-INT($P60/10)*10)=1)*(Summary!$C$13="N")&gt;0," - excluded by your specials switch",""))</f>
        <v/>
      </c>
      <c r="J60" s="40">
        <f>IF($L60="","",IF((Override!$C$4="ON")*ISNUMBER(INDEX(Override!$G$13:$G$112,$N60))&gt;0,"stock overridden",""))</f>
        <v/>
      </c>
      <c r="L60" s="41">
        <f>IFERROR(IF(SMALL(Grids!$C$9:$BO$108,$M$7+51)&gt;=(Summary!$C$15+1)*1000000000,"",SMALL(Grids!$C$9:$BO$108,$M$7+51)),"")</f>
        <v/>
      </c>
      <c r="M60" s="41">
        <f>IF($L60="","",INT($L60/1000000000))</f>
        <v/>
      </c>
      <c r="N60" s="41">
        <f>IF($L60="","",INT(($L60-INT($L60/1000000)*1000000)/1000))</f>
        <v/>
      </c>
      <c r="O60" s="41">
        <f>IF($L60="","",$L60-INT($L60/1000)*1000)</f>
        <v/>
      </c>
      <c r="P60" s="41">
        <f>IF($L60="","",INT(($L60-INT($L60/1000000000)*1000000000)/10000000))</f>
        <v/>
      </c>
    </row>
    <row r="61">
      <c r="B61" s="36">
        <f>IF($L61="","",$M61)</f>
        <v/>
      </c>
      <c r="C61" s="16">
        <f>IF($L61="","",INDEX(HSI!$C$7:$C$106,$N61))</f>
        <v/>
      </c>
      <c r="D61" s="16">
        <f>IF($L61="","",INDEX(HSI!$D$7:$D$106,$N61))</f>
        <v/>
      </c>
      <c r="E61" s="37">
        <f>IF($L61="","",IF(INT($P61/10)=0,"TBA",IFERROR(INDEX(Grids!$BQ$9:$EC$108,$N61,$O61),"-")))</f>
        <v/>
      </c>
      <c r="F61" s="16">
        <f>IF($L61="","",INDEX(HSI!$F$7:$F$106,$N61))</f>
        <v/>
      </c>
      <c r="G61" s="37">
        <f>IF($L61="","",IF(INT($P61/10)=0,"TBA",IFERROR(INDEX(Grids!$EE$9:$GQ$108,$N61,$O61),"-")))</f>
        <v/>
      </c>
      <c r="H61" s="38">
        <f>IF($L61="","",SUM($G$10:$G61))</f>
        <v/>
      </c>
      <c r="I61" s="39">
        <f>IF($L61="","",IF(INT(($L61-INT($L61/10000000)*10000000)/1000000)=0,"Bloomberg projection",IF(INT($P61/10)=1,"Announced","ANNOUNCED - amount TBA"))&amp;IF(($P61-INT($P61/10)*10)=1," (special)","")&amp;IF((($P61-INT($P61/10)*10)=1)*(Summary!$C$13="N")&gt;0," - excluded by your specials switch",""))</f>
        <v/>
      </c>
      <c r="J61" s="40">
        <f>IF($L61="","",IF((Override!$C$4="ON")*ISNUMBER(INDEX(Override!$G$13:$G$112,$N61))&gt;0,"stock overridden",""))</f>
        <v/>
      </c>
      <c r="L61" s="41">
        <f>IFERROR(IF(SMALL(Grids!$C$9:$BO$108,$M$7+52)&gt;=(Summary!$C$15+1)*1000000000,"",SMALL(Grids!$C$9:$BO$108,$M$7+52)),"")</f>
        <v/>
      </c>
      <c r="M61" s="41">
        <f>IF($L61="","",INT($L61/1000000000))</f>
        <v/>
      </c>
      <c r="N61" s="41">
        <f>IF($L61="","",INT(($L61-INT($L61/1000000)*1000000)/1000))</f>
        <v/>
      </c>
      <c r="O61" s="41">
        <f>IF($L61="","",$L61-INT($L61/1000)*1000)</f>
        <v/>
      </c>
      <c r="P61" s="41">
        <f>IF($L61="","",INT(($L61-INT($L61/1000000000)*1000000000)/10000000))</f>
        <v/>
      </c>
    </row>
    <row r="62">
      <c r="B62" s="36">
        <f>IF($L62="","",$M62)</f>
        <v/>
      </c>
      <c r="C62" s="16">
        <f>IF($L62="","",INDEX(HSI!$C$7:$C$106,$N62))</f>
        <v/>
      </c>
      <c r="D62" s="16">
        <f>IF($L62="","",INDEX(HSI!$D$7:$D$106,$N62))</f>
        <v/>
      </c>
      <c r="E62" s="37">
        <f>IF($L62="","",IF(INT($P62/10)=0,"TBA",IFERROR(INDEX(Grids!$BQ$9:$EC$108,$N62,$O62),"-")))</f>
        <v/>
      </c>
      <c r="F62" s="16">
        <f>IF($L62="","",INDEX(HSI!$F$7:$F$106,$N62))</f>
        <v/>
      </c>
      <c r="G62" s="37">
        <f>IF($L62="","",IF(INT($P62/10)=0,"TBA",IFERROR(INDEX(Grids!$EE$9:$GQ$108,$N62,$O62),"-")))</f>
        <v/>
      </c>
      <c r="H62" s="38">
        <f>IF($L62="","",SUM($G$10:$G62))</f>
        <v/>
      </c>
      <c r="I62" s="39">
        <f>IF($L62="","",IF(INT(($L62-INT($L62/10000000)*10000000)/1000000)=0,"Bloomberg projection",IF(INT($P62/10)=1,"Announced","ANNOUNCED - amount TBA"))&amp;IF(($P62-INT($P62/10)*10)=1," (special)","")&amp;IF((($P62-INT($P62/10)*10)=1)*(Summary!$C$13="N")&gt;0," - excluded by your specials switch",""))</f>
        <v/>
      </c>
      <c r="J62" s="40">
        <f>IF($L62="","",IF((Override!$C$4="ON")*ISNUMBER(INDEX(Override!$G$13:$G$112,$N62))&gt;0,"stock overridden",""))</f>
        <v/>
      </c>
      <c r="L62" s="41">
        <f>IFERROR(IF(SMALL(Grids!$C$9:$BO$108,$M$7+53)&gt;=(Summary!$C$15+1)*1000000000,"",SMALL(Grids!$C$9:$BO$108,$M$7+53)),"")</f>
        <v/>
      </c>
      <c r="M62" s="41">
        <f>IF($L62="","",INT($L62/1000000000))</f>
        <v/>
      </c>
      <c r="N62" s="41">
        <f>IF($L62="","",INT(($L62-INT($L62/1000000)*1000000)/1000))</f>
        <v/>
      </c>
      <c r="O62" s="41">
        <f>IF($L62="","",$L62-INT($L62/1000)*1000)</f>
        <v/>
      </c>
      <c r="P62" s="41">
        <f>IF($L62="","",INT(($L62-INT($L62/1000000000)*1000000000)/10000000))</f>
        <v/>
      </c>
    </row>
    <row r="63">
      <c r="B63" s="36">
        <f>IF($L63="","",$M63)</f>
        <v/>
      </c>
      <c r="C63" s="16">
        <f>IF($L63="","",INDEX(HSI!$C$7:$C$106,$N63))</f>
        <v/>
      </c>
      <c r="D63" s="16">
        <f>IF($L63="","",INDEX(HSI!$D$7:$D$106,$N63))</f>
        <v/>
      </c>
      <c r="E63" s="37">
        <f>IF($L63="","",IF(INT($P63/10)=0,"TBA",IFERROR(INDEX(Grids!$BQ$9:$EC$108,$N63,$O63),"-")))</f>
        <v/>
      </c>
      <c r="F63" s="16">
        <f>IF($L63="","",INDEX(HSI!$F$7:$F$106,$N63))</f>
        <v/>
      </c>
      <c r="G63" s="37">
        <f>IF($L63="","",IF(INT($P63/10)=0,"TBA",IFERROR(INDEX(Grids!$EE$9:$GQ$108,$N63,$O63),"-")))</f>
        <v/>
      </c>
      <c r="H63" s="38">
        <f>IF($L63="","",SUM($G$10:$G63))</f>
        <v/>
      </c>
      <c r="I63" s="39">
        <f>IF($L63="","",IF(INT(($L63-INT($L63/10000000)*10000000)/1000000)=0,"Bloomberg projection",IF(INT($P63/10)=1,"Announced","ANNOUNCED - amount TBA"))&amp;IF(($P63-INT($P63/10)*10)=1," (special)","")&amp;IF((($P63-INT($P63/10)*10)=1)*(Summary!$C$13="N")&gt;0," - excluded by your specials switch",""))</f>
        <v/>
      </c>
      <c r="J63" s="40">
        <f>IF($L63="","",IF((Override!$C$4="ON")*ISNUMBER(INDEX(Override!$G$13:$G$112,$N63))&gt;0,"stock overridden",""))</f>
        <v/>
      </c>
      <c r="L63" s="41">
        <f>IFERROR(IF(SMALL(Grids!$C$9:$BO$108,$M$7+54)&gt;=(Summary!$C$15+1)*1000000000,"",SMALL(Grids!$C$9:$BO$108,$M$7+54)),"")</f>
        <v/>
      </c>
      <c r="M63" s="41">
        <f>IF($L63="","",INT($L63/1000000000))</f>
        <v/>
      </c>
      <c r="N63" s="41">
        <f>IF($L63="","",INT(($L63-INT($L63/1000000)*1000000)/1000))</f>
        <v/>
      </c>
      <c r="O63" s="41">
        <f>IF($L63="","",$L63-INT($L63/1000)*1000)</f>
        <v/>
      </c>
      <c r="P63" s="41">
        <f>IF($L63="","",INT(($L63-INT($L63/1000000000)*1000000000)/10000000))</f>
        <v/>
      </c>
    </row>
    <row r="64">
      <c r="B64" s="36">
        <f>IF($L64="","",$M64)</f>
        <v/>
      </c>
      <c r="C64" s="16">
        <f>IF($L64="","",INDEX(HSI!$C$7:$C$106,$N64))</f>
        <v/>
      </c>
      <c r="D64" s="16">
        <f>IF($L64="","",INDEX(HSI!$D$7:$D$106,$N64))</f>
        <v/>
      </c>
      <c r="E64" s="37">
        <f>IF($L64="","",IF(INT($P64/10)=0,"TBA",IFERROR(INDEX(Grids!$BQ$9:$EC$108,$N64,$O64),"-")))</f>
        <v/>
      </c>
      <c r="F64" s="16">
        <f>IF($L64="","",INDEX(HSI!$F$7:$F$106,$N64))</f>
        <v/>
      </c>
      <c r="G64" s="37">
        <f>IF($L64="","",IF(INT($P64/10)=0,"TBA",IFERROR(INDEX(Grids!$EE$9:$GQ$108,$N64,$O64),"-")))</f>
        <v/>
      </c>
      <c r="H64" s="38">
        <f>IF($L64="","",SUM($G$10:$G64))</f>
        <v/>
      </c>
      <c r="I64" s="39">
        <f>IF($L64="","",IF(INT(($L64-INT($L64/10000000)*10000000)/1000000)=0,"Bloomberg projection",IF(INT($P64/10)=1,"Announced","ANNOUNCED - amount TBA"))&amp;IF(($P64-INT($P64/10)*10)=1," (special)","")&amp;IF((($P64-INT($P64/10)*10)=1)*(Summary!$C$13="N")&gt;0," - excluded by your specials switch",""))</f>
        <v/>
      </c>
      <c r="J64" s="40">
        <f>IF($L64="","",IF((Override!$C$4="ON")*ISNUMBER(INDEX(Override!$G$13:$G$112,$N64))&gt;0,"stock overridden",""))</f>
        <v/>
      </c>
      <c r="L64" s="41">
        <f>IFERROR(IF(SMALL(Grids!$C$9:$BO$108,$M$7+55)&gt;=(Summary!$C$15+1)*1000000000,"",SMALL(Grids!$C$9:$BO$108,$M$7+55)),"")</f>
        <v/>
      </c>
      <c r="M64" s="41">
        <f>IF($L64="","",INT($L64/1000000000))</f>
        <v/>
      </c>
      <c r="N64" s="41">
        <f>IF($L64="","",INT(($L64-INT($L64/1000000)*1000000)/1000))</f>
        <v/>
      </c>
      <c r="O64" s="41">
        <f>IF($L64="","",$L64-INT($L64/1000)*1000)</f>
        <v/>
      </c>
      <c r="P64" s="41">
        <f>IF($L64="","",INT(($L64-INT($L64/1000000000)*1000000000)/10000000))</f>
        <v/>
      </c>
    </row>
    <row r="65">
      <c r="B65" s="36">
        <f>IF($L65="","",$M65)</f>
        <v/>
      </c>
      <c r="C65" s="16">
        <f>IF($L65="","",INDEX(HSI!$C$7:$C$106,$N65))</f>
        <v/>
      </c>
      <c r="D65" s="16">
        <f>IF($L65="","",INDEX(HSI!$D$7:$D$106,$N65))</f>
        <v/>
      </c>
      <c r="E65" s="37">
        <f>IF($L65="","",IF(INT($P65/10)=0,"TBA",IFERROR(INDEX(Grids!$BQ$9:$EC$108,$N65,$O65),"-")))</f>
        <v/>
      </c>
      <c r="F65" s="16">
        <f>IF($L65="","",INDEX(HSI!$F$7:$F$106,$N65))</f>
        <v/>
      </c>
      <c r="G65" s="37">
        <f>IF($L65="","",IF(INT($P65/10)=0,"TBA",IFERROR(INDEX(Grids!$EE$9:$GQ$108,$N65,$O65),"-")))</f>
        <v/>
      </c>
      <c r="H65" s="38">
        <f>IF($L65="","",SUM($G$10:$G65))</f>
        <v/>
      </c>
      <c r="I65" s="39">
        <f>IF($L65="","",IF(INT(($L65-INT($L65/10000000)*10000000)/1000000)=0,"Bloomberg projection",IF(INT($P65/10)=1,"Announced","ANNOUNCED - amount TBA"))&amp;IF(($P65-INT($P65/10)*10)=1," (special)","")&amp;IF((($P65-INT($P65/10)*10)=1)*(Summary!$C$13="N")&gt;0," - excluded by your specials switch",""))</f>
        <v/>
      </c>
      <c r="J65" s="40">
        <f>IF($L65="","",IF((Override!$C$4="ON")*ISNUMBER(INDEX(Override!$G$13:$G$112,$N65))&gt;0,"stock overridden",""))</f>
        <v/>
      </c>
      <c r="L65" s="41">
        <f>IFERROR(IF(SMALL(Grids!$C$9:$BO$108,$M$7+56)&gt;=(Summary!$C$15+1)*1000000000,"",SMALL(Grids!$C$9:$BO$108,$M$7+56)),"")</f>
        <v/>
      </c>
      <c r="M65" s="41">
        <f>IF($L65="","",INT($L65/1000000000))</f>
        <v/>
      </c>
      <c r="N65" s="41">
        <f>IF($L65="","",INT(($L65-INT($L65/1000000)*1000000)/1000))</f>
        <v/>
      </c>
      <c r="O65" s="41">
        <f>IF($L65="","",$L65-INT($L65/1000)*1000)</f>
        <v/>
      </c>
      <c r="P65" s="41">
        <f>IF($L65="","",INT(($L65-INT($L65/1000000000)*1000000000)/10000000))</f>
        <v/>
      </c>
    </row>
    <row r="66">
      <c r="B66" s="36">
        <f>IF($L66="","",$M66)</f>
        <v/>
      </c>
      <c r="C66" s="16">
        <f>IF($L66="","",INDEX(HSI!$C$7:$C$106,$N66))</f>
        <v/>
      </c>
      <c r="D66" s="16">
        <f>IF($L66="","",INDEX(HSI!$D$7:$D$106,$N66))</f>
        <v/>
      </c>
      <c r="E66" s="37">
        <f>IF($L66="","",IF(INT($P66/10)=0,"TBA",IFERROR(INDEX(Grids!$BQ$9:$EC$108,$N66,$O66),"-")))</f>
        <v/>
      </c>
      <c r="F66" s="16">
        <f>IF($L66="","",INDEX(HSI!$F$7:$F$106,$N66))</f>
        <v/>
      </c>
      <c r="G66" s="37">
        <f>IF($L66="","",IF(INT($P66/10)=0,"TBA",IFERROR(INDEX(Grids!$EE$9:$GQ$108,$N66,$O66),"-")))</f>
        <v/>
      </c>
      <c r="H66" s="38">
        <f>IF($L66="","",SUM($G$10:$G66))</f>
        <v/>
      </c>
      <c r="I66" s="39">
        <f>IF($L66="","",IF(INT(($L66-INT($L66/10000000)*10000000)/1000000)=0,"Bloomberg projection",IF(INT($P66/10)=1,"Announced","ANNOUNCED - amount TBA"))&amp;IF(($P66-INT($P66/10)*10)=1," (special)","")&amp;IF((($P66-INT($P66/10)*10)=1)*(Summary!$C$13="N")&gt;0," - excluded by your specials switch",""))</f>
        <v/>
      </c>
      <c r="J66" s="40">
        <f>IF($L66="","",IF((Override!$C$4="ON")*ISNUMBER(INDEX(Override!$G$13:$G$112,$N66))&gt;0,"stock overridden",""))</f>
        <v/>
      </c>
      <c r="L66" s="41">
        <f>IFERROR(IF(SMALL(Grids!$C$9:$BO$108,$M$7+57)&gt;=(Summary!$C$15+1)*1000000000,"",SMALL(Grids!$C$9:$BO$108,$M$7+57)),"")</f>
        <v/>
      </c>
      <c r="M66" s="41">
        <f>IF($L66="","",INT($L66/1000000000))</f>
        <v/>
      </c>
      <c r="N66" s="41">
        <f>IF($L66="","",INT(($L66-INT($L66/1000000)*1000000)/1000))</f>
        <v/>
      </c>
      <c r="O66" s="41">
        <f>IF($L66="","",$L66-INT($L66/1000)*1000)</f>
        <v/>
      </c>
      <c r="P66" s="41">
        <f>IF($L66="","",INT(($L66-INT($L66/1000000000)*1000000000)/10000000))</f>
        <v/>
      </c>
    </row>
    <row r="67">
      <c r="B67" s="36">
        <f>IF($L67="","",$M67)</f>
        <v/>
      </c>
      <c r="C67" s="16">
        <f>IF($L67="","",INDEX(HSI!$C$7:$C$106,$N67))</f>
        <v/>
      </c>
      <c r="D67" s="16">
        <f>IF($L67="","",INDEX(HSI!$D$7:$D$106,$N67))</f>
        <v/>
      </c>
      <c r="E67" s="37">
        <f>IF($L67="","",IF(INT($P67/10)=0,"TBA",IFERROR(INDEX(Grids!$BQ$9:$EC$108,$N67,$O67),"-")))</f>
        <v/>
      </c>
      <c r="F67" s="16">
        <f>IF($L67="","",INDEX(HSI!$F$7:$F$106,$N67))</f>
        <v/>
      </c>
      <c r="G67" s="37">
        <f>IF($L67="","",IF(INT($P67/10)=0,"TBA",IFERROR(INDEX(Grids!$EE$9:$GQ$108,$N67,$O67),"-")))</f>
        <v/>
      </c>
      <c r="H67" s="38">
        <f>IF($L67="","",SUM($G$10:$G67))</f>
        <v/>
      </c>
      <c r="I67" s="39">
        <f>IF($L67="","",IF(INT(($L67-INT($L67/10000000)*10000000)/1000000)=0,"Bloomberg projection",IF(INT($P67/10)=1,"Announced","ANNOUNCED - amount TBA"))&amp;IF(($P67-INT($P67/10)*10)=1," (special)","")&amp;IF((($P67-INT($P67/10)*10)=1)*(Summary!$C$13="N")&gt;0," - excluded by your specials switch",""))</f>
        <v/>
      </c>
      <c r="J67" s="40">
        <f>IF($L67="","",IF((Override!$C$4="ON")*ISNUMBER(INDEX(Override!$G$13:$G$112,$N67))&gt;0,"stock overridden",""))</f>
        <v/>
      </c>
      <c r="L67" s="41">
        <f>IFERROR(IF(SMALL(Grids!$C$9:$BO$108,$M$7+58)&gt;=(Summary!$C$15+1)*1000000000,"",SMALL(Grids!$C$9:$BO$108,$M$7+58)),"")</f>
        <v/>
      </c>
      <c r="M67" s="41">
        <f>IF($L67="","",INT($L67/1000000000))</f>
        <v/>
      </c>
      <c r="N67" s="41">
        <f>IF($L67="","",INT(($L67-INT($L67/1000000)*1000000)/1000))</f>
        <v/>
      </c>
      <c r="O67" s="41">
        <f>IF($L67="","",$L67-INT($L67/1000)*1000)</f>
        <v/>
      </c>
      <c r="P67" s="41">
        <f>IF($L67="","",INT(($L67-INT($L67/1000000000)*1000000000)/10000000))</f>
        <v/>
      </c>
    </row>
    <row r="68">
      <c r="B68" s="36">
        <f>IF($L68="","",$M68)</f>
        <v/>
      </c>
      <c r="C68" s="16">
        <f>IF($L68="","",INDEX(HSI!$C$7:$C$106,$N68))</f>
        <v/>
      </c>
      <c r="D68" s="16">
        <f>IF($L68="","",INDEX(HSI!$D$7:$D$106,$N68))</f>
        <v/>
      </c>
      <c r="E68" s="37">
        <f>IF($L68="","",IF(INT($P68/10)=0,"TBA",IFERROR(INDEX(Grids!$BQ$9:$EC$108,$N68,$O68),"-")))</f>
        <v/>
      </c>
      <c r="F68" s="16">
        <f>IF($L68="","",INDEX(HSI!$F$7:$F$106,$N68))</f>
        <v/>
      </c>
      <c r="G68" s="37">
        <f>IF($L68="","",IF(INT($P68/10)=0,"TBA",IFERROR(INDEX(Grids!$EE$9:$GQ$108,$N68,$O68),"-")))</f>
        <v/>
      </c>
      <c r="H68" s="38">
        <f>IF($L68="","",SUM($G$10:$G68))</f>
        <v/>
      </c>
      <c r="I68" s="39">
        <f>IF($L68="","",IF(INT(($L68-INT($L68/10000000)*10000000)/1000000)=0,"Bloomberg projection",IF(INT($P68/10)=1,"Announced","ANNOUNCED - amount TBA"))&amp;IF(($P68-INT($P68/10)*10)=1," (special)","")&amp;IF((($P68-INT($P68/10)*10)=1)*(Summary!$C$13="N")&gt;0," - excluded by your specials switch",""))</f>
        <v/>
      </c>
      <c r="J68" s="40">
        <f>IF($L68="","",IF((Override!$C$4="ON")*ISNUMBER(INDEX(Override!$G$13:$G$112,$N68))&gt;0,"stock overridden",""))</f>
        <v/>
      </c>
      <c r="L68" s="41">
        <f>IFERROR(IF(SMALL(Grids!$C$9:$BO$108,$M$7+59)&gt;=(Summary!$C$15+1)*1000000000,"",SMALL(Grids!$C$9:$BO$108,$M$7+59)),"")</f>
        <v/>
      </c>
      <c r="M68" s="41">
        <f>IF($L68="","",INT($L68/1000000000))</f>
        <v/>
      </c>
      <c r="N68" s="41">
        <f>IF($L68="","",INT(($L68-INT($L68/1000000)*1000000)/1000))</f>
        <v/>
      </c>
      <c r="O68" s="41">
        <f>IF($L68="","",$L68-INT($L68/1000)*1000)</f>
        <v/>
      </c>
      <c r="P68" s="41">
        <f>IF($L68="","",INT(($L68-INT($L68/1000000000)*1000000000)/10000000))</f>
        <v/>
      </c>
    </row>
    <row r="69">
      <c r="B69" s="36">
        <f>IF($L69="","",$M69)</f>
        <v/>
      </c>
      <c r="C69" s="16">
        <f>IF($L69="","",INDEX(HSI!$C$7:$C$106,$N69))</f>
        <v/>
      </c>
      <c r="D69" s="16">
        <f>IF($L69="","",INDEX(HSI!$D$7:$D$106,$N69))</f>
        <v/>
      </c>
      <c r="E69" s="37">
        <f>IF($L69="","",IF(INT($P69/10)=0,"TBA",IFERROR(INDEX(Grids!$BQ$9:$EC$108,$N69,$O69),"-")))</f>
        <v/>
      </c>
      <c r="F69" s="16">
        <f>IF($L69="","",INDEX(HSI!$F$7:$F$106,$N69))</f>
        <v/>
      </c>
      <c r="G69" s="37">
        <f>IF($L69="","",IF(INT($P69/10)=0,"TBA",IFERROR(INDEX(Grids!$EE$9:$GQ$108,$N69,$O69),"-")))</f>
        <v/>
      </c>
      <c r="H69" s="38">
        <f>IF($L69="","",SUM($G$10:$G69))</f>
        <v/>
      </c>
      <c r="I69" s="39">
        <f>IF($L69="","",IF(INT(($L69-INT($L69/10000000)*10000000)/1000000)=0,"Bloomberg projection",IF(INT($P69/10)=1,"Announced","ANNOUNCED - amount TBA"))&amp;IF(($P69-INT($P69/10)*10)=1," (special)","")&amp;IF((($P69-INT($P69/10)*10)=1)*(Summary!$C$13="N")&gt;0," - excluded by your specials switch",""))</f>
        <v/>
      </c>
      <c r="J69" s="40">
        <f>IF($L69="","",IF((Override!$C$4="ON")*ISNUMBER(INDEX(Override!$G$13:$G$112,$N69))&gt;0,"stock overridden",""))</f>
        <v/>
      </c>
      <c r="L69" s="41">
        <f>IFERROR(IF(SMALL(Grids!$C$9:$BO$108,$M$7+60)&gt;=(Summary!$C$15+1)*1000000000,"",SMALL(Grids!$C$9:$BO$108,$M$7+60)),"")</f>
        <v/>
      </c>
      <c r="M69" s="41">
        <f>IF($L69="","",INT($L69/1000000000))</f>
        <v/>
      </c>
      <c r="N69" s="41">
        <f>IF($L69="","",INT(($L69-INT($L69/1000000)*1000000)/1000))</f>
        <v/>
      </c>
      <c r="O69" s="41">
        <f>IF($L69="","",$L69-INT($L69/1000)*1000)</f>
        <v/>
      </c>
      <c r="P69" s="41">
        <f>IF($L69="","",INT(($L69-INT($L69/1000000000)*1000000000)/10000000))</f>
        <v/>
      </c>
    </row>
    <row r="70">
      <c r="B70" s="36">
        <f>IF($L70="","",$M70)</f>
        <v/>
      </c>
      <c r="C70" s="16">
        <f>IF($L70="","",INDEX(HSI!$C$7:$C$106,$N70))</f>
        <v/>
      </c>
      <c r="D70" s="16">
        <f>IF($L70="","",INDEX(HSI!$D$7:$D$106,$N70))</f>
        <v/>
      </c>
      <c r="E70" s="37">
        <f>IF($L70="","",IF(INT($P70/10)=0,"TBA",IFERROR(INDEX(Grids!$BQ$9:$EC$108,$N70,$O70),"-")))</f>
        <v/>
      </c>
      <c r="F70" s="16">
        <f>IF($L70="","",INDEX(HSI!$F$7:$F$106,$N70))</f>
        <v/>
      </c>
      <c r="G70" s="37">
        <f>IF($L70="","",IF(INT($P70/10)=0,"TBA",IFERROR(INDEX(Grids!$EE$9:$GQ$108,$N70,$O70),"-")))</f>
        <v/>
      </c>
      <c r="H70" s="38">
        <f>IF($L70="","",SUM($G$10:$G70))</f>
        <v/>
      </c>
      <c r="I70" s="39">
        <f>IF($L70="","",IF(INT(($L70-INT($L70/10000000)*10000000)/1000000)=0,"Bloomberg projection",IF(INT($P70/10)=1,"Announced","ANNOUNCED - amount TBA"))&amp;IF(($P70-INT($P70/10)*10)=1," (special)","")&amp;IF((($P70-INT($P70/10)*10)=1)*(Summary!$C$13="N")&gt;0," - excluded by your specials switch",""))</f>
        <v/>
      </c>
      <c r="J70" s="40">
        <f>IF($L70="","",IF((Override!$C$4="ON")*ISNUMBER(INDEX(Override!$G$13:$G$112,$N70))&gt;0,"stock overridden",""))</f>
        <v/>
      </c>
      <c r="L70" s="41">
        <f>IFERROR(IF(SMALL(Grids!$C$9:$BO$108,$M$7+61)&gt;=(Summary!$C$15+1)*1000000000,"",SMALL(Grids!$C$9:$BO$108,$M$7+61)),"")</f>
        <v/>
      </c>
      <c r="M70" s="41">
        <f>IF($L70="","",INT($L70/1000000000))</f>
        <v/>
      </c>
      <c r="N70" s="41">
        <f>IF($L70="","",INT(($L70-INT($L70/1000000)*1000000)/1000))</f>
        <v/>
      </c>
      <c r="O70" s="41">
        <f>IF($L70="","",$L70-INT($L70/1000)*1000)</f>
        <v/>
      </c>
      <c r="P70" s="41">
        <f>IF($L70="","",INT(($L70-INT($L70/1000000000)*1000000000)/10000000))</f>
        <v/>
      </c>
    </row>
    <row r="71">
      <c r="B71" s="36">
        <f>IF($L71="","",$M71)</f>
        <v/>
      </c>
      <c r="C71" s="16">
        <f>IF($L71="","",INDEX(HSI!$C$7:$C$106,$N71))</f>
        <v/>
      </c>
      <c r="D71" s="16">
        <f>IF($L71="","",INDEX(HSI!$D$7:$D$106,$N71))</f>
        <v/>
      </c>
      <c r="E71" s="37">
        <f>IF($L71="","",IF(INT($P71/10)=0,"TBA",IFERROR(INDEX(Grids!$BQ$9:$EC$108,$N71,$O71),"-")))</f>
        <v/>
      </c>
      <c r="F71" s="16">
        <f>IF($L71="","",INDEX(HSI!$F$7:$F$106,$N71))</f>
        <v/>
      </c>
      <c r="G71" s="37">
        <f>IF($L71="","",IF(INT($P71/10)=0,"TBA",IFERROR(INDEX(Grids!$EE$9:$GQ$108,$N71,$O71),"-")))</f>
        <v/>
      </c>
      <c r="H71" s="38">
        <f>IF($L71="","",SUM($G$10:$G71))</f>
        <v/>
      </c>
      <c r="I71" s="39">
        <f>IF($L71="","",IF(INT(($L71-INT($L71/10000000)*10000000)/1000000)=0,"Bloomberg projection",IF(INT($P71/10)=1,"Announced","ANNOUNCED - amount TBA"))&amp;IF(($P71-INT($P71/10)*10)=1," (special)","")&amp;IF((($P71-INT($P71/10)*10)=1)*(Summary!$C$13="N")&gt;0," - excluded by your specials switch",""))</f>
        <v/>
      </c>
      <c r="J71" s="40">
        <f>IF($L71="","",IF((Override!$C$4="ON")*ISNUMBER(INDEX(Override!$G$13:$G$112,$N71))&gt;0,"stock overridden",""))</f>
        <v/>
      </c>
      <c r="L71" s="41">
        <f>IFERROR(IF(SMALL(Grids!$C$9:$BO$108,$M$7+62)&gt;=(Summary!$C$15+1)*1000000000,"",SMALL(Grids!$C$9:$BO$108,$M$7+62)),"")</f>
        <v/>
      </c>
      <c r="M71" s="41">
        <f>IF($L71="","",INT($L71/1000000000))</f>
        <v/>
      </c>
      <c r="N71" s="41">
        <f>IF($L71="","",INT(($L71-INT($L71/1000000)*1000000)/1000))</f>
        <v/>
      </c>
      <c r="O71" s="41">
        <f>IF($L71="","",$L71-INT($L71/1000)*1000)</f>
        <v/>
      </c>
      <c r="P71" s="41">
        <f>IF($L71="","",INT(($L71-INT($L71/1000000000)*1000000000)/10000000))</f>
        <v/>
      </c>
    </row>
    <row r="72">
      <c r="B72" s="36">
        <f>IF($L72="","",$M72)</f>
        <v/>
      </c>
      <c r="C72" s="16">
        <f>IF($L72="","",INDEX(HSI!$C$7:$C$106,$N72))</f>
        <v/>
      </c>
      <c r="D72" s="16">
        <f>IF($L72="","",INDEX(HSI!$D$7:$D$106,$N72))</f>
        <v/>
      </c>
      <c r="E72" s="37">
        <f>IF($L72="","",IF(INT($P72/10)=0,"TBA",IFERROR(INDEX(Grids!$BQ$9:$EC$108,$N72,$O72),"-")))</f>
        <v/>
      </c>
      <c r="F72" s="16">
        <f>IF($L72="","",INDEX(HSI!$F$7:$F$106,$N72))</f>
        <v/>
      </c>
      <c r="G72" s="37">
        <f>IF($L72="","",IF(INT($P72/10)=0,"TBA",IFERROR(INDEX(Grids!$EE$9:$GQ$108,$N72,$O72),"-")))</f>
        <v/>
      </c>
      <c r="H72" s="38">
        <f>IF($L72="","",SUM($G$10:$G72))</f>
        <v/>
      </c>
      <c r="I72" s="39">
        <f>IF($L72="","",IF(INT(($L72-INT($L72/10000000)*10000000)/1000000)=0,"Bloomberg projection",IF(INT($P72/10)=1,"Announced","ANNOUNCED - amount TBA"))&amp;IF(($P72-INT($P72/10)*10)=1," (special)","")&amp;IF((($P72-INT($P72/10)*10)=1)*(Summary!$C$13="N")&gt;0," - excluded by your specials switch",""))</f>
        <v/>
      </c>
      <c r="J72" s="40">
        <f>IF($L72="","",IF((Override!$C$4="ON")*ISNUMBER(INDEX(Override!$G$13:$G$112,$N72))&gt;0,"stock overridden",""))</f>
        <v/>
      </c>
      <c r="L72" s="41">
        <f>IFERROR(IF(SMALL(Grids!$C$9:$BO$108,$M$7+63)&gt;=(Summary!$C$15+1)*1000000000,"",SMALL(Grids!$C$9:$BO$108,$M$7+63)),"")</f>
        <v/>
      </c>
      <c r="M72" s="41">
        <f>IF($L72="","",INT($L72/1000000000))</f>
        <v/>
      </c>
      <c r="N72" s="41">
        <f>IF($L72="","",INT(($L72-INT($L72/1000000)*1000000)/1000))</f>
        <v/>
      </c>
      <c r="O72" s="41">
        <f>IF($L72="","",$L72-INT($L72/1000)*1000)</f>
        <v/>
      </c>
      <c r="P72" s="41">
        <f>IF($L72="","",INT(($L72-INT($L72/1000000000)*1000000000)/10000000))</f>
        <v/>
      </c>
    </row>
    <row r="73">
      <c r="B73" s="36">
        <f>IF($L73="","",$M73)</f>
        <v/>
      </c>
      <c r="C73" s="16">
        <f>IF($L73="","",INDEX(HSI!$C$7:$C$106,$N73))</f>
        <v/>
      </c>
      <c r="D73" s="16">
        <f>IF($L73="","",INDEX(HSI!$D$7:$D$106,$N73))</f>
        <v/>
      </c>
      <c r="E73" s="37">
        <f>IF($L73="","",IF(INT($P73/10)=0,"TBA",IFERROR(INDEX(Grids!$BQ$9:$EC$108,$N73,$O73),"-")))</f>
        <v/>
      </c>
      <c r="F73" s="16">
        <f>IF($L73="","",INDEX(HSI!$F$7:$F$106,$N73))</f>
        <v/>
      </c>
      <c r="G73" s="37">
        <f>IF($L73="","",IF(INT($P73/10)=0,"TBA",IFERROR(INDEX(Grids!$EE$9:$GQ$108,$N73,$O73),"-")))</f>
        <v/>
      </c>
      <c r="H73" s="38">
        <f>IF($L73="","",SUM($G$10:$G73))</f>
        <v/>
      </c>
      <c r="I73" s="39">
        <f>IF($L73="","",IF(INT(($L73-INT($L73/10000000)*10000000)/1000000)=0,"Bloomberg projection",IF(INT($P73/10)=1,"Announced","ANNOUNCED - amount TBA"))&amp;IF(($P73-INT($P73/10)*10)=1," (special)","")&amp;IF((($P73-INT($P73/10)*10)=1)*(Summary!$C$13="N")&gt;0," - excluded by your specials switch",""))</f>
        <v/>
      </c>
      <c r="J73" s="40">
        <f>IF($L73="","",IF((Override!$C$4="ON")*ISNUMBER(INDEX(Override!$G$13:$G$112,$N73))&gt;0,"stock overridden",""))</f>
        <v/>
      </c>
      <c r="L73" s="41">
        <f>IFERROR(IF(SMALL(Grids!$C$9:$BO$108,$M$7+64)&gt;=(Summary!$C$15+1)*1000000000,"",SMALL(Grids!$C$9:$BO$108,$M$7+64)),"")</f>
        <v/>
      </c>
      <c r="M73" s="41">
        <f>IF($L73="","",INT($L73/1000000000))</f>
        <v/>
      </c>
      <c r="N73" s="41">
        <f>IF($L73="","",INT(($L73-INT($L73/1000000)*1000000)/1000))</f>
        <v/>
      </c>
      <c r="O73" s="41">
        <f>IF($L73="","",$L73-INT($L73/1000)*1000)</f>
        <v/>
      </c>
      <c r="P73" s="41">
        <f>IF($L73="","",INT(($L73-INT($L73/1000000000)*1000000000)/10000000))</f>
        <v/>
      </c>
    </row>
    <row r="74">
      <c r="B74" s="36">
        <f>IF($L74="","",$M74)</f>
        <v/>
      </c>
      <c r="C74" s="16">
        <f>IF($L74="","",INDEX(HSI!$C$7:$C$106,$N74))</f>
        <v/>
      </c>
      <c r="D74" s="16">
        <f>IF($L74="","",INDEX(HSI!$D$7:$D$106,$N74))</f>
        <v/>
      </c>
      <c r="E74" s="37">
        <f>IF($L74="","",IF(INT($P74/10)=0,"TBA",IFERROR(INDEX(Grids!$BQ$9:$EC$108,$N74,$O74),"-")))</f>
        <v/>
      </c>
      <c r="F74" s="16">
        <f>IF($L74="","",INDEX(HSI!$F$7:$F$106,$N74))</f>
        <v/>
      </c>
      <c r="G74" s="37">
        <f>IF($L74="","",IF(INT($P74/10)=0,"TBA",IFERROR(INDEX(Grids!$EE$9:$GQ$108,$N74,$O74),"-")))</f>
        <v/>
      </c>
      <c r="H74" s="38">
        <f>IF($L74="","",SUM($G$10:$G74))</f>
        <v/>
      </c>
      <c r="I74" s="39">
        <f>IF($L74="","",IF(INT(($L74-INT($L74/10000000)*10000000)/1000000)=0,"Bloomberg projection",IF(INT($P74/10)=1,"Announced","ANNOUNCED - amount TBA"))&amp;IF(($P74-INT($P74/10)*10)=1," (special)","")&amp;IF((($P74-INT($P74/10)*10)=1)*(Summary!$C$13="N")&gt;0," - excluded by your specials switch",""))</f>
        <v/>
      </c>
      <c r="J74" s="40">
        <f>IF($L74="","",IF((Override!$C$4="ON")*ISNUMBER(INDEX(Override!$G$13:$G$112,$N74))&gt;0,"stock overridden",""))</f>
        <v/>
      </c>
      <c r="L74" s="41">
        <f>IFERROR(IF(SMALL(Grids!$C$9:$BO$108,$M$7+65)&gt;=(Summary!$C$15+1)*1000000000,"",SMALL(Grids!$C$9:$BO$108,$M$7+65)),"")</f>
        <v/>
      </c>
      <c r="M74" s="41">
        <f>IF($L74="","",INT($L74/1000000000))</f>
        <v/>
      </c>
      <c r="N74" s="41">
        <f>IF($L74="","",INT(($L74-INT($L74/1000000)*1000000)/1000))</f>
        <v/>
      </c>
      <c r="O74" s="41">
        <f>IF($L74="","",$L74-INT($L74/1000)*1000)</f>
        <v/>
      </c>
      <c r="P74" s="41">
        <f>IF($L74="","",INT(($L74-INT($L74/1000000000)*1000000000)/10000000))</f>
        <v/>
      </c>
    </row>
    <row r="75">
      <c r="B75" s="36">
        <f>IF($L75="","",$M75)</f>
        <v/>
      </c>
      <c r="C75" s="16">
        <f>IF($L75="","",INDEX(HSI!$C$7:$C$106,$N75))</f>
        <v/>
      </c>
      <c r="D75" s="16">
        <f>IF($L75="","",INDEX(HSI!$D$7:$D$106,$N75))</f>
        <v/>
      </c>
      <c r="E75" s="37">
        <f>IF($L75="","",IF(INT($P75/10)=0,"TBA",IFERROR(INDEX(Grids!$BQ$9:$EC$108,$N75,$O75),"-")))</f>
        <v/>
      </c>
      <c r="F75" s="16">
        <f>IF($L75="","",INDEX(HSI!$F$7:$F$106,$N75))</f>
        <v/>
      </c>
      <c r="G75" s="37">
        <f>IF($L75="","",IF(INT($P75/10)=0,"TBA",IFERROR(INDEX(Grids!$EE$9:$GQ$108,$N75,$O75),"-")))</f>
        <v/>
      </c>
      <c r="H75" s="38">
        <f>IF($L75="","",SUM($G$10:$G75))</f>
        <v/>
      </c>
      <c r="I75" s="39">
        <f>IF($L75="","",IF(INT(($L75-INT($L75/10000000)*10000000)/1000000)=0,"Bloomberg projection",IF(INT($P75/10)=1,"Announced","ANNOUNCED - amount TBA"))&amp;IF(($P75-INT($P75/10)*10)=1," (special)","")&amp;IF((($P75-INT($P75/10)*10)=1)*(Summary!$C$13="N")&gt;0," - excluded by your specials switch",""))</f>
        <v/>
      </c>
      <c r="J75" s="40">
        <f>IF($L75="","",IF((Override!$C$4="ON")*ISNUMBER(INDEX(Override!$G$13:$G$112,$N75))&gt;0,"stock overridden",""))</f>
        <v/>
      </c>
      <c r="L75" s="41">
        <f>IFERROR(IF(SMALL(Grids!$C$9:$BO$108,$M$7+66)&gt;=(Summary!$C$15+1)*1000000000,"",SMALL(Grids!$C$9:$BO$108,$M$7+66)),"")</f>
        <v/>
      </c>
      <c r="M75" s="41">
        <f>IF($L75="","",INT($L75/1000000000))</f>
        <v/>
      </c>
      <c r="N75" s="41">
        <f>IF($L75="","",INT(($L75-INT($L75/1000000)*1000000)/1000))</f>
        <v/>
      </c>
      <c r="O75" s="41">
        <f>IF($L75="","",$L75-INT($L75/1000)*1000)</f>
        <v/>
      </c>
      <c r="P75" s="41">
        <f>IF($L75="","",INT(($L75-INT($L75/1000000000)*1000000000)/10000000))</f>
        <v/>
      </c>
    </row>
    <row r="76">
      <c r="B76" s="36">
        <f>IF($L76="","",$M76)</f>
        <v/>
      </c>
      <c r="C76" s="16">
        <f>IF($L76="","",INDEX(HSI!$C$7:$C$106,$N76))</f>
        <v/>
      </c>
      <c r="D76" s="16">
        <f>IF($L76="","",INDEX(HSI!$D$7:$D$106,$N76))</f>
        <v/>
      </c>
      <c r="E76" s="37">
        <f>IF($L76="","",IF(INT($P76/10)=0,"TBA",IFERROR(INDEX(Grids!$BQ$9:$EC$108,$N76,$O76),"-")))</f>
        <v/>
      </c>
      <c r="F76" s="16">
        <f>IF($L76="","",INDEX(HSI!$F$7:$F$106,$N76))</f>
        <v/>
      </c>
      <c r="G76" s="37">
        <f>IF($L76="","",IF(INT($P76/10)=0,"TBA",IFERROR(INDEX(Grids!$EE$9:$GQ$108,$N76,$O76),"-")))</f>
        <v/>
      </c>
      <c r="H76" s="38">
        <f>IF($L76="","",SUM($G$10:$G76))</f>
        <v/>
      </c>
      <c r="I76" s="39">
        <f>IF($L76="","",IF(INT(($L76-INT($L76/10000000)*10000000)/1000000)=0,"Bloomberg projection",IF(INT($P76/10)=1,"Announced","ANNOUNCED - amount TBA"))&amp;IF(($P76-INT($P76/10)*10)=1," (special)","")&amp;IF((($P76-INT($P76/10)*10)=1)*(Summary!$C$13="N")&gt;0," - excluded by your specials switch",""))</f>
        <v/>
      </c>
      <c r="J76" s="40">
        <f>IF($L76="","",IF((Override!$C$4="ON")*ISNUMBER(INDEX(Override!$G$13:$G$112,$N76))&gt;0,"stock overridden",""))</f>
        <v/>
      </c>
      <c r="L76" s="41">
        <f>IFERROR(IF(SMALL(Grids!$C$9:$BO$108,$M$7+67)&gt;=(Summary!$C$15+1)*1000000000,"",SMALL(Grids!$C$9:$BO$108,$M$7+67)),"")</f>
        <v/>
      </c>
      <c r="M76" s="41">
        <f>IF($L76="","",INT($L76/1000000000))</f>
        <v/>
      </c>
      <c r="N76" s="41">
        <f>IF($L76="","",INT(($L76-INT($L76/1000000)*1000000)/1000))</f>
        <v/>
      </c>
      <c r="O76" s="41">
        <f>IF($L76="","",$L76-INT($L76/1000)*1000)</f>
        <v/>
      </c>
      <c r="P76" s="41">
        <f>IF($L76="","",INT(($L76-INT($L76/1000000000)*1000000000)/10000000))</f>
        <v/>
      </c>
    </row>
    <row r="77">
      <c r="B77" s="36">
        <f>IF($L77="","",$M77)</f>
        <v/>
      </c>
      <c r="C77" s="16">
        <f>IF($L77="","",INDEX(HSI!$C$7:$C$106,$N77))</f>
        <v/>
      </c>
      <c r="D77" s="16">
        <f>IF($L77="","",INDEX(HSI!$D$7:$D$106,$N77))</f>
        <v/>
      </c>
      <c r="E77" s="37">
        <f>IF($L77="","",IF(INT($P77/10)=0,"TBA",IFERROR(INDEX(Grids!$BQ$9:$EC$108,$N77,$O77),"-")))</f>
        <v/>
      </c>
      <c r="F77" s="16">
        <f>IF($L77="","",INDEX(HSI!$F$7:$F$106,$N77))</f>
        <v/>
      </c>
      <c r="G77" s="37">
        <f>IF($L77="","",IF(INT($P77/10)=0,"TBA",IFERROR(INDEX(Grids!$EE$9:$GQ$108,$N77,$O77),"-")))</f>
        <v/>
      </c>
      <c r="H77" s="38">
        <f>IF($L77="","",SUM($G$10:$G77))</f>
        <v/>
      </c>
      <c r="I77" s="39">
        <f>IF($L77="","",IF(INT(($L77-INT($L77/10000000)*10000000)/1000000)=0,"Bloomberg projection",IF(INT($P77/10)=1,"Announced","ANNOUNCED - amount TBA"))&amp;IF(($P77-INT($P77/10)*10)=1," (special)","")&amp;IF((($P77-INT($P77/10)*10)=1)*(Summary!$C$13="N")&gt;0," - excluded by your specials switch",""))</f>
        <v/>
      </c>
      <c r="J77" s="40">
        <f>IF($L77="","",IF((Override!$C$4="ON")*ISNUMBER(INDEX(Override!$G$13:$G$112,$N77))&gt;0,"stock overridden",""))</f>
        <v/>
      </c>
      <c r="L77" s="41">
        <f>IFERROR(IF(SMALL(Grids!$C$9:$BO$108,$M$7+68)&gt;=(Summary!$C$15+1)*1000000000,"",SMALL(Grids!$C$9:$BO$108,$M$7+68)),"")</f>
        <v/>
      </c>
      <c r="M77" s="41">
        <f>IF($L77="","",INT($L77/1000000000))</f>
        <v/>
      </c>
      <c r="N77" s="41">
        <f>IF($L77="","",INT(($L77-INT($L77/1000000)*1000000)/1000))</f>
        <v/>
      </c>
      <c r="O77" s="41">
        <f>IF($L77="","",$L77-INT($L77/1000)*1000)</f>
        <v/>
      </c>
      <c r="P77" s="41">
        <f>IF($L77="","",INT(($L77-INT($L77/1000000000)*1000000000)/10000000))</f>
        <v/>
      </c>
    </row>
    <row r="78">
      <c r="B78" s="36">
        <f>IF($L78="","",$M78)</f>
        <v/>
      </c>
      <c r="C78" s="16">
        <f>IF($L78="","",INDEX(HSI!$C$7:$C$106,$N78))</f>
        <v/>
      </c>
      <c r="D78" s="16">
        <f>IF($L78="","",INDEX(HSI!$D$7:$D$106,$N78))</f>
        <v/>
      </c>
      <c r="E78" s="37">
        <f>IF($L78="","",IF(INT($P78/10)=0,"TBA",IFERROR(INDEX(Grids!$BQ$9:$EC$108,$N78,$O78),"-")))</f>
        <v/>
      </c>
      <c r="F78" s="16">
        <f>IF($L78="","",INDEX(HSI!$F$7:$F$106,$N78))</f>
        <v/>
      </c>
      <c r="G78" s="37">
        <f>IF($L78="","",IF(INT($P78/10)=0,"TBA",IFERROR(INDEX(Grids!$EE$9:$GQ$108,$N78,$O78),"-")))</f>
        <v/>
      </c>
      <c r="H78" s="38">
        <f>IF($L78="","",SUM($G$10:$G78))</f>
        <v/>
      </c>
      <c r="I78" s="39">
        <f>IF($L78="","",IF(INT(($L78-INT($L78/10000000)*10000000)/1000000)=0,"Bloomberg projection",IF(INT($P78/10)=1,"Announced","ANNOUNCED - amount TBA"))&amp;IF(($P78-INT($P78/10)*10)=1," (special)","")&amp;IF((($P78-INT($P78/10)*10)=1)*(Summary!$C$13="N")&gt;0," - excluded by your specials switch",""))</f>
        <v/>
      </c>
      <c r="J78" s="40">
        <f>IF($L78="","",IF((Override!$C$4="ON")*ISNUMBER(INDEX(Override!$G$13:$G$112,$N78))&gt;0,"stock overridden",""))</f>
        <v/>
      </c>
      <c r="L78" s="41">
        <f>IFERROR(IF(SMALL(Grids!$C$9:$BO$108,$M$7+69)&gt;=(Summary!$C$15+1)*1000000000,"",SMALL(Grids!$C$9:$BO$108,$M$7+69)),"")</f>
        <v/>
      </c>
      <c r="M78" s="41">
        <f>IF($L78="","",INT($L78/1000000000))</f>
        <v/>
      </c>
      <c r="N78" s="41">
        <f>IF($L78="","",INT(($L78-INT($L78/1000000)*1000000)/1000))</f>
        <v/>
      </c>
      <c r="O78" s="41">
        <f>IF($L78="","",$L78-INT($L78/1000)*1000)</f>
        <v/>
      </c>
      <c r="P78" s="41">
        <f>IF($L78="","",INT(($L78-INT($L78/1000000000)*1000000000)/10000000))</f>
        <v/>
      </c>
    </row>
    <row r="79">
      <c r="B79" s="36">
        <f>IF($L79="","",$M79)</f>
        <v/>
      </c>
      <c r="C79" s="16">
        <f>IF($L79="","",INDEX(HSI!$C$7:$C$106,$N79))</f>
        <v/>
      </c>
      <c r="D79" s="16">
        <f>IF($L79="","",INDEX(HSI!$D$7:$D$106,$N79))</f>
        <v/>
      </c>
      <c r="E79" s="37">
        <f>IF($L79="","",IF(INT($P79/10)=0,"TBA",IFERROR(INDEX(Grids!$BQ$9:$EC$108,$N79,$O79),"-")))</f>
        <v/>
      </c>
      <c r="F79" s="16">
        <f>IF($L79="","",INDEX(HSI!$F$7:$F$106,$N79))</f>
        <v/>
      </c>
      <c r="G79" s="37">
        <f>IF($L79="","",IF(INT($P79/10)=0,"TBA",IFERROR(INDEX(Grids!$EE$9:$GQ$108,$N79,$O79),"-")))</f>
        <v/>
      </c>
      <c r="H79" s="38">
        <f>IF($L79="","",SUM($G$10:$G79))</f>
        <v/>
      </c>
      <c r="I79" s="39">
        <f>IF($L79="","",IF(INT(($L79-INT($L79/10000000)*10000000)/1000000)=0,"Bloomberg projection",IF(INT($P79/10)=1,"Announced","ANNOUNCED - amount TBA"))&amp;IF(($P79-INT($P79/10)*10)=1," (special)","")&amp;IF((($P79-INT($P79/10)*10)=1)*(Summary!$C$13="N")&gt;0," - excluded by your specials switch",""))</f>
        <v/>
      </c>
      <c r="J79" s="40">
        <f>IF($L79="","",IF((Override!$C$4="ON")*ISNUMBER(INDEX(Override!$G$13:$G$112,$N79))&gt;0,"stock overridden",""))</f>
        <v/>
      </c>
      <c r="L79" s="41">
        <f>IFERROR(IF(SMALL(Grids!$C$9:$BO$108,$M$7+70)&gt;=(Summary!$C$15+1)*1000000000,"",SMALL(Grids!$C$9:$BO$108,$M$7+70)),"")</f>
        <v/>
      </c>
      <c r="M79" s="41">
        <f>IF($L79="","",INT($L79/1000000000))</f>
        <v/>
      </c>
      <c r="N79" s="41">
        <f>IF($L79="","",INT(($L79-INT($L79/1000000)*1000000)/1000))</f>
        <v/>
      </c>
      <c r="O79" s="41">
        <f>IF($L79="","",$L79-INT($L79/1000)*1000)</f>
        <v/>
      </c>
      <c r="P79" s="41">
        <f>IF($L79="","",INT(($L79-INT($L79/1000000000)*1000000000)/10000000))</f>
        <v/>
      </c>
    </row>
    <row r="80">
      <c r="B80" s="36">
        <f>IF($L80="","",$M80)</f>
        <v/>
      </c>
      <c r="C80" s="16">
        <f>IF($L80="","",INDEX(HSI!$C$7:$C$106,$N80))</f>
        <v/>
      </c>
      <c r="D80" s="16">
        <f>IF($L80="","",INDEX(HSI!$D$7:$D$106,$N80))</f>
        <v/>
      </c>
      <c r="E80" s="37">
        <f>IF($L80="","",IF(INT($P80/10)=0,"TBA",IFERROR(INDEX(Grids!$BQ$9:$EC$108,$N80,$O80),"-")))</f>
        <v/>
      </c>
      <c r="F80" s="16">
        <f>IF($L80="","",INDEX(HSI!$F$7:$F$106,$N80))</f>
        <v/>
      </c>
      <c r="G80" s="37">
        <f>IF($L80="","",IF(INT($P80/10)=0,"TBA",IFERROR(INDEX(Grids!$EE$9:$GQ$108,$N80,$O80),"-")))</f>
        <v/>
      </c>
      <c r="H80" s="38">
        <f>IF($L80="","",SUM($G$10:$G80))</f>
        <v/>
      </c>
      <c r="I80" s="39">
        <f>IF($L80="","",IF(INT(($L80-INT($L80/10000000)*10000000)/1000000)=0,"Bloomberg projection",IF(INT($P80/10)=1,"Announced","ANNOUNCED - amount TBA"))&amp;IF(($P80-INT($P80/10)*10)=1," (special)","")&amp;IF((($P80-INT($P80/10)*10)=1)*(Summary!$C$13="N")&gt;0," - excluded by your specials switch",""))</f>
        <v/>
      </c>
      <c r="J80" s="40">
        <f>IF($L80="","",IF((Override!$C$4="ON")*ISNUMBER(INDEX(Override!$G$13:$G$112,$N80))&gt;0,"stock overridden",""))</f>
        <v/>
      </c>
      <c r="L80" s="41">
        <f>IFERROR(IF(SMALL(Grids!$C$9:$BO$108,$M$7+71)&gt;=(Summary!$C$15+1)*1000000000,"",SMALL(Grids!$C$9:$BO$108,$M$7+71)),"")</f>
        <v/>
      </c>
      <c r="M80" s="41">
        <f>IF($L80="","",INT($L80/1000000000))</f>
        <v/>
      </c>
      <c r="N80" s="41">
        <f>IF($L80="","",INT(($L80-INT($L80/1000000)*1000000)/1000))</f>
        <v/>
      </c>
      <c r="O80" s="41">
        <f>IF($L80="","",$L80-INT($L80/1000)*1000)</f>
        <v/>
      </c>
      <c r="P80" s="41">
        <f>IF($L80="","",INT(($L80-INT($L80/1000000000)*1000000000)/10000000))</f>
        <v/>
      </c>
    </row>
    <row r="81">
      <c r="B81" s="36">
        <f>IF($L81="","",$M81)</f>
        <v/>
      </c>
      <c r="C81" s="16">
        <f>IF($L81="","",INDEX(HSI!$C$7:$C$106,$N81))</f>
        <v/>
      </c>
      <c r="D81" s="16">
        <f>IF($L81="","",INDEX(HSI!$D$7:$D$106,$N81))</f>
        <v/>
      </c>
      <c r="E81" s="37">
        <f>IF($L81="","",IF(INT($P81/10)=0,"TBA",IFERROR(INDEX(Grids!$BQ$9:$EC$108,$N81,$O81),"-")))</f>
        <v/>
      </c>
      <c r="F81" s="16">
        <f>IF($L81="","",INDEX(HSI!$F$7:$F$106,$N81))</f>
        <v/>
      </c>
      <c r="G81" s="37">
        <f>IF($L81="","",IF(INT($P81/10)=0,"TBA",IFERROR(INDEX(Grids!$EE$9:$GQ$108,$N81,$O81),"-")))</f>
        <v/>
      </c>
      <c r="H81" s="38">
        <f>IF($L81="","",SUM($G$10:$G81))</f>
        <v/>
      </c>
      <c r="I81" s="39">
        <f>IF($L81="","",IF(INT(($L81-INT($L81/10000000)*10000000)/1000000)=0,"Bloomberg projection",IF(INT($P81/10)=1,"Announced","ANNOUNCED - amount TBA"))&amp;IF(($P81-INT($P81/10)*10)=1," (special)","")&amp;IF((($P81-INT($P81/10)*10)=1)*(Summary!$C$13="N")&gt;0," - excluded by your specials switch",""))</f>
        <v/>
      </c>
      <c r="J81" s="40">
        <f>IF($L81="","",IF((Override!$C$4="ON")*ISNUMBER(INDEX(Override!$G$13:$G$112,$N81))&gt;0,"stock overridden",""))</f>
        <v/>
      </c>
      <c r="L81" s="41">
        <f>IFERROR(IF(SMALL(Grids!$C$9:$BO$108,$M$7+72)&gt;=(Summary!$C$15+1)*1000000000,"",SMALL(Grids!$C$9:$BO$108,$M$7+72)),"")</f>
        <v/>
      </c>
      <c r="M81" s="41">
        <f>IF($L81="","",INT($L81/1000000000))</f>
        <v/>
      </c>
      <c r="N81" s="41">
        <f>IF($L81="","",INT(($L81-INT($L81/1000000)*1000000)/1000))</f>
        <v/>
      </c>
      <c r="O81" s="41">
        <f>IF($L81="","",$L81-INT($L81/1000)*1000)</f>
        <v/>
      </c>
      <c r="P81" s="41">
        <f>IF($L81="","",INT(($L81-INT($L81/1000000000)*1000000000)/10000000))</f>
        <v/>
      </c>
    </row>
    <row r="82">
      <c r="B82" s="36">
        <f>IF($L82="","",$M82)</f>
        <v/>
      </c>
      <c r="C82" s="16">
        <f>IF($L82="","",INDEX(HSI!$C$7:$C$106,$N82))</f>
        <v/>
      </c>
      <c r="D82" s="16">
        <f>IF($L82="","",INDEX(HSI!$D$7:$D$106,$N82))</f>
        <v/>
      </c>
      <c r="E82" s="37">
        <f>IF($L82="","",IF(INT($P82/10)=0,"TBA",IFERROR(INDEX(Grids!$BQ$9:$EC$108,$N82,$O82),"-")))</f>
        <v/>
      </c>
      <c r="F82" s="16">
        <f>IF($L82="","",INDEX(HSI!$F$7:$F$106,$N82))</f>
        <v/>
      </c>
      <c r="G82" s="37">
        <f>IF($L82="","",IF(INT($P82/10)=0,"TBA",IFERROR(INDEX(Grids!$EE$9:$GQ$108,$N82,$O82),"-")))</f>
        <v/>
      </c>
      <c r="H82" s="38">
        <f>IF($L82="","",SUM($G$10:$G82))</f>
        <v/>
      </c>
      <c r="I82" s="39">
        <f>IF($L82="","",IF(INT(($L82-INT($L82/10000000)*10000000)/1000000)=0,"Bloomberg projection",IF(INT($P82/10)=1,"Announced","ANNOUNCED - amount TBA"))&amp;IF(($P82-INT($P82/10)*10)=1," (special)","")&amp;IF((($P82-INT($P82/10)*10)=1)*(Summary!$C$13="N")&gt;0," - excluded by your specials switch",""))</f>
        <v/>
      </c>
      <c r="J82" s="40">
        <f>IF($L82="","",IF((Override!$C$4="ON")*ISNUMBER(INDEX(Override!$G$13:$G$112,$N82))&gt;0,"stock overridden",""))</f>
        <v/>
      </c>
      <c r="L82" s="41">
        <f>IFERROR(IF(SMALL(Grids!$C$9:$BO$108,$M$7+73)&gt;=(Summary!$C$15+1)*1000000000,"",SMALL(Grids!$C$9:$BO$108,$M$7+73)),"")</f>
        <v/>
      </c>
      <c r="M82" s="41">
        <f>IF($L82="","",INT($L82/1000000000))</f>
        <v/>
      </c>
      <c r="N82" s="41">
        <f>IF($L82="","",INT(($L82-INT($L82/1000000)*1000000)/1000))</f>
        <v/>
      </c>
      <c r="O82" s="41">
        <f>IF($L82="","",$L82-INT($L82/1000)*1000)</f>
        <v/>
      </c>
      <c r="P82" s="41">
        <f>IF($L82="","",INT(($L82-INT($L82/1000000000)*1000000000)/10000000))</f>
        <v/>
      </c>
    </row>
    <row r="83">
      <c r="B83" s="36">
        <f>IF($L83="","",$M83)</f>
        <v/>
      </c>
      <c r="C83" s="16">
        <f>IF($L83="","",INDEX(HSI!$C$7:$C$106,$N83))</f>
        <v/>
      </c>
      <c r="D83" s="16">
        <f>IF($L83="","",INDEX(HSI!$D$7:$D$106,$N83))</f>
        <v/>
      </c>
      <c r="E83" s="37">
        <f>IF($L83="","",IF(INT($P83/10)=0,"TBA",IFERROR(INDEX(Grids!$BQ$9:$EC$108,$N83,$O83),"-")))</f>
        <v/>
      </c>
      <c r="F83" s="16">
        <f>IF($L83="","",INDEX(HSI!$F$7:$F$106,$N83))</f>
        <v/>
      </c>
      <c r="G83" s="37">
        <f>IF($L83="","",IF(INT($P83/10)=0,"TBA",IFERROR(INDEX(Grids!$EE$9:$GQ$108,$N83,$O83),"-")))</f>
        <v/>
      </c>
      <c r="H83" s="38">
        <f>IF($L83="","",SUM($G$10:$G83))</f>
        <v/>
      </c>
      <c r="I83" s="39">
        <f>IF($L83="","",IF(INT(($L83-INT($L83/10000000)*10000000)/1000000)=0,"Bloomberg projection",IF(INT($P83/10)=1,"Announced","ANNOUNCED - amount TBA"))&amp;IF(($P83-INT($P83/10)*10)=1," (special)","")&amp;IF((($P83-INT($P83/10)*10)=1)*(Summary!$C$13="N")&gt;0," - excluded by your specials switch",""))</f>
        <v/>
      </c>
      <c r="J83" s="40">
        <f>IF($L83="","",IF((Override!$C$4="ON")*ISNUMBER(INDEX(Override!$G$13:$G$112,$N83))&gt;0,"stock overridden",""))</f>
        <v/>
      </c>
      <c r="L83" s="41">
        <f>IFERROR(IF(SMALL(Grids!$C$9:$BO$108,$M$7+74)&gt;=(Summary!$C$15+1)*1000000000,"",SMALL(Grids!$C$9:$BO$108,$M$7+74)),"")</f>
        <v/>
      </c>
      <c r="M83" s="41">
        <f>IF($L83="","",INT($L83/1000000000))</f>
        <v/>
      </c>
      <c r="N83" s="41">
        <f>IF($L83="","",INT(($L83-INT($L83/1000000)*1000000)/1000))</f>
        <v/>
      </c>
      <c r="O83" s="41">
        <f>IF($L83="","",$L83-INT($L83/1000)*1000)</f>
        <v/>
      </c>
      <c r="P83" s="41">
        <f>IF($L83="","",INT(($L83-INT($L83/1000000000)*1000000000)/10000000))</f>
        <v/>
      </c>
    </row>
    <row r="84">
      <c r="B84" s="36">
        <f>IF($L84="","",$M84)</f>
        <v/>
      </c>
      <c r="C84" s="16">
        <f>IF($L84="","",INDEX(HSI!$C$7:$C$106,$N84))</f>
        <v/>
      </c>
      <c r="D84" s="16">
        <f>IF($L84="","",INDEX(HSI!$D$7:$D$106,$N84))</f>
        <v/>
      </c>
      <c r="E84" s="37">
        <f>IF($L84="","",IF(INT($P84/10)=0,"TBA",IFERROR(INDEX(Grids!$BQ$9:$EC$108,$N84,$O84),"-")))</f>
        <v/>
      </c>
      <c r="F84" s="16">
        <f>IF($L84="","",INDEX(HSI!$F$7:$F$106,$N84))</f>
        <v/>
      </c>
      <c r="G84" s="37">
        <f>IF($L84="","",IF(INT($P84/10)=0,"TBA",IFERROR(INDEX(Grids!$EE$9:$GQ$108,$N84,$O84),"-")))</f>
        <v/>
      </c>
      <c r="H84" s="38">
        <f>IF($L84="","",SUM($G$10:$G84))</f>
        <v/>
      </c>
      <c r="I84" s="39">
        <f>IF($L84="","",IF(INT(($L84-INT($L84/10000000)*10000000)/1000000)=0,"Bloomberg projection",IF(INT($P84/10)=1,"Announced","ANNOUNCED - amount TBA"))&amp;IF(($P84-INT($P84/10)*10)=1," (special)","")&amp;IF((($P84-INT($P84/10)*10)=1)*(Summary!$C$13="N")&gt;0," - excluded by your specials switch",""))</f>
        <v/>
      </c>
      <c r="J84" s="40">
        <f>IF($L84="","",IF((Override!$C$4="ON")*ISNUMBER(INDEX(Override!$G$13:$G$112,$N84))&gt;0,"stock overridden",""))</f>
        <v/>
      </c>
      <c r="L84" s="41">
        <f>IFERROR(IF(SMALL(Grids!$C$9:$BO$108,$M$7+75)&gt;=(Summary!$C$15+1)*1000000000,"",SMALL(Grids!$C$9:$BO$108,$M$7+75)),"")</f>
        <v/>
      </c>
      <c r="M84" s="41">
        <f>IF($L84="","",INT($L84/1000000000))</f>
        <v/>
      </c>
      <c r="N84" s="41">
        <f>IF($L84="","",INT(($L84-INT($L84/1000000)*1000000)/1000))</f>
        <v/>
      </c>
      <c r="O84" s="41">
        <f>IF($L84="","",$L84-INT($L84/1000)*1000)</f>
        <v/>
      </c>
      <c r="P84" s="41">
        <f>IF($L84="","",INT(($L84-INT($L84/1000000000)*1000000000)/10000000))</f>
        <v/>
      </c>
    </row>
    <row r="85">
      <c r="B85" s="36">
        <f>IF($L85="","",$M85)</f>
        <v/>
      </c>
      <c r="C85" s="16">
        <f>IF($L85="","",INDEX(HSI!$C$7:$C$106,$N85))</f>
        <v/>
      </c>
      <c r="D85" s="16">
        <f>IF($L85="","",INDEX(HSI!$D$7:$D$106,$N85))</f>
        <v/>
      </c>
      <c r="E85" s="37">
        <f>IF($L85="","",IF(INT($P85/10)=0,"TBA",IFERROR(INDEX(Grids!$BQ$9:$EC$108,$N85,$O85),"-")))</f>
        <v/>
      </c>
      <c r="F85" s="16">
        <f>IF($L85="","",INDEX(HSI!$F$7:$F$106,$N85))</f>
        <v/>
      </c>
      <c r="G85" s="37">
        <f>IF($L85="","",IF(INT($P85/10)=0,"TBA",IFERROR(INDEX(Grids!$EE$9:$GQ$108,$N85,$O85),"-")))</f>
        <v/>
      </c>
      <c r="H85" s="38">
        <f>IF($L85="","",SUM($G$10:$G85))</f>
        <v/>
      </c>
      <c r="I85" s="39">
        <f>IF($L85="","",IF(INT(($L85-INT($L85/10000000)*10000000)/1000000)=0,"Bloomberg projection",IF(INT($P85/10)=1,"Announced","ANNOUNCED - amount TBA"))&amp;IF(($P85-INT($P85/10)*10)=1," (special)","")&amp;IF((($P85-INT($P85/10)*10)=1)*(Summary!$C$13="N")&gt;0," - excluded by your specials switch",""))</f>
        <v/>
      </c>
      <c r="J85" s="40">
        <f>IF($L85="","",IF((Override!$C$4="ON")*ISNUMBER(INDEX(Override!$G$13:$G$112,$N85))&gt;0,"stock overridden",""))</f>
        <v/>
      </c>
      <c r="L85" s="41">
        <f>IFERROR(IF(SMALL(Grids!$C$9:$BO$108,$M$7+76)&gt;=(Summary!$C$15+1)*1000000000,"",SMALL(Grids!$C$9:$BO$108,$M$7+76)),"")</f>
        <v/>
      </c>
      <c r="M85" s="41">
        <f>IF($L85="","",INT($L85/1000000000))</f>
        <v/>
      </c>
      <c r="N85" s="41">
        <f>IF($L85="","",INT(($L85-INT($L85/1000000)*1000000)/1000))</f>
        <v/>
      </c>
      <c r="O85" s="41">
        <f>IF($L85="","",$L85-INT($L85/1000)*1000)</f>
        <v/>
      </c>
      <c r="P85" s="41">
        <f>IF($L85="","",INT(($L85-INT($L85/1000000000)*1000000000)/10000000))</f>
        <v/>
      </c>
    </row>
    <row r="86">
      <c r="B86" s="36">
        <f>IF($L86="","",$M86)</f>
        <v/>
      </c>
      <c r="C86" s="16">
        <f>IF($L86="","",INDEX(HSI!$C$7:$C$106,$N86))</f>
        <v/>
      </c>
      <c r="D86" s="16">
        <f>IF($L86="","",INDEX(HSI!$D$7:$D$106,$N86))</f>
        <v/>
      </c>
      <c r="E86" s="37">
        <f>IF($L86="","",IF(INT($P86/10)=0,"TBA",IFERROR(INDEX(Grids!$BQ$9:$EC$108,$N86,$O86),"-")))</f>
        <v/>
      </c>
      <c r="F86" s="16">
        <f>IF($L86="","",INDEX(HSI!$F$7:$F$106,$N86))</f>
        <v/>
      </c>
      <c r="G86" s="37">
        <f>IF($L86="","",IF(INT($P86/10)=0,"TBA",IFERROR(INDEX(Grids!$EE$9:$GQ$108,$N86,$O86),"-")))</f>
        <v/>
      </c>
      <c r="H86" s="38">
        <f>IF($L86="","",SUM($G$10:$G86))</f>
        <v/>
      </c>
      <c r="I86" s="39">
        <f>IF($L86="","",IF(INT(($L86-INT($L86/10000000)*10000000)/1000000)=0,"Bloomberg projection",IF(INT($P86/10)=1,"Announced","ANNOUNCED - amount TBA"))&amp;IF(($P86-INT($P86/10)*10)=1," (special)","")&amp;IF((($P86-INT($P86/10)*10)=1)*(Summary!$C$13="N")&gt;0," - excluded by your specials switch",""))</f>
        <v/>
      </c>
      <c r="J86" s="40">
        <f>IF($L86="","",IF((Override!$C$4="ON")*ISNUMBER(INDEX(Override!$G$13:$G$112,$N86))&gt;0,"stock overridden",""))</f>
        <v/>
      </c>
      <c r="L86" s="41">
        <f>IFERROR(IF(SMALL(Grids!$C$9:$BO$108,$M$7+77)&gt;=(Summary!$C$15+1)*1000000000,"",SMALL(Grids!$C$9:$BO$108,$M$7+77)),"")</f>
        <v/>
      </c>
      <c r="M86" s="41">
        <f>IF($L86="","",INT($L86/1000000000))</f>
        <v/>
      </c>
      <c r="N86" s="41">
        <f>IF($L86="","",INT(($L86-INT($L86/1000000)*1000000)/1000))</f>
        <v/>
      </c>
      <c r="O86" s="41">
        <f>IF($L86="","",$L86-INT($L86/1000)*1000)</f>
        <v/>
      </c>
      <c r="P86" s="41">
        <f>IF($L86="","",INT(($L86-INT($L86/1000000000)*1000000000)/10000000))</f>
        <v/>
      </c>
    </row>
    <row r="87">
      <c r="B87" s="36">
        <f>IF($L87="","",$M87)</f>
        <v/>
      </c>
      <c r="C87" s="16">
        <f>IF($L87="","",INDEX(HSI!$C$7:$C$106,$N87))</f>
        <v/>
      </c>
      <c r="D87" s="16">
        <f>IF($L87="","",INDEX(HSI!$D$7:$D$106,$N87))</f>
        <v/>
      </c>
      <c r="E87" s="37">
        <f>IF($L87="","",IF(INT($P87/10)=0,"TBA",IFERROR(INDEX(Grids!$BQ$9:$EC$108,$N87,$O87),"-")))</f>
        <v/>
      </c>
      <c r="F87" s="16">
        <f>IF($L87="","",INDEX(HSI!$F$7:$F$106,$N87))</f>
        <v/>
      </c>
      <c r="G87" s="37">
        <f>IF($L87="","",IF(INT($P87/10)=0,"TBA",IFERROR(INDEX(Grids!$EE$9:$GQ$108,$N87,$O87),"-")))</f>
        <v/>
      </c>
      <c r="H87" s="38">
        <f>IF($L87="","",SUM($G$10:$G87))</f>
        <v/>
      </c>
      <c r="I87" s="39">
        <f>IF($L87="","",IF(INT(($L87-INT($L87/10000000)*10000000)/1000000)=0,"Bloomberg projection",IF(INT($P87/10)=1,"Announced","ANNOUNCED - amount TBA"))&amp;IF(($P87-INT($P87/10)*10)=1," (special)","")&amp;IF((($P87-INT($P87/10)*10)=1)*(Summary!$C$13="N")&gt;0," - excluded by your specials switch",""))</f>
        <v/>
      </c>
      <c r="J87" s="40">
        <f>IF($L87="","",IF((Override!$C$4="ON")*ISNUMBER(INDEX(Override!$G$13:$G$112,$N87))&gt;0,"stock overridden",""))</f>
        <v/>
      </c>
      <c r="L87" s="41">
        <f>IFERROR(IF(SMALL(Grids!$C$9:$BO$108,$M$7+78)&gt;=(Summary!$C$15+1)*1000000000,"",SMALL(Grids!$C$9:$BO$108,$M$7+78)),"")</f>
        <v/>
      </c>
      <c r="M87" s="41">
        <f>IF($L87="","",INT($L87/1000000000))</f>
        <v/>
      </c>
      <c r="N87" s="41">
        <f>IF($L87="","",INT(($L87-INT($L87/1000000)*1000000)/1000))</f>
        <v/>
      </c>
      <c r="O87" s="41">
        <f>IF($L87="","",$L87-INT($L87/1000)*1000)</f>
        <v/>
      </c>
      <c r="P87" s="41">
        <f>IF($L87="","",INT(($L87-INT($L87/1000000000)*1000000000)/10000000))</f>
        <v/>
      </c>
    </row>
    <row r="88">
      <c r="B88" s="36">
        <f>IF($L88="","",$M88)</f>
        <v/>
      </c>
      <c r="C88" s="16">
        <f>IF($L88="","",INDEX(HSI!$C$7:$C$106,$N88))</f>
        <v/>
      </c>
      <c r="D88" s="16">
        <f>IF($L88="","",INDEX(HSI!$D$7:$D$106,$N88))</f>
        <v/>
      </c>
      <c r="E88" s="37">
        <f>IF($L88="","",IF(INT($P88/10)=0,"TBA",IFERROR(INDEX(Grids!$BQ$9:$EC$108,$N88,$O88),"-")))</f>
        <v/>
      </c>
      <c r="F88" s="16">
        <f>IF($L88="","",INDEX(HSI!$F$7:$F$106,$N88))</f>
        <v/>
      </c>
      <c r="G88" s="37">
        <f>IF($L88="","",IF(INT($P88/10)=0,"TBA",IFERROR(INDEX(Grids!$EE$9:$GQ$108,$N88,$O88),"-")))</f>
        <v/>
      </c>
      <c r="H88" s="38">
        <f>IF($L88="","",SUM($G$10:$G88))</f>
        <v/>
      </c>
      <c r="I88" s="39">
        <f>IF($L88="","",IF(INT(($L88-INT($L88/10000000)*10000000)/1000000)=0,"Bloomberg projection",IF(INT($P88/10)=1,"Announced","ANNOUNCED - amount TBA"))&amp;IF(($P88-INT($P88/10)*10)=1," (special)","")&amp;IF((($P88-INT($P88/10)*10)=1)*(Summary!$C$13="N")&gt;0," - excluded by your specials switch",""))</f>
        <v/>
      </c>
      <c r="J88" s="40">
        <f>IF($L88="","",IF((Override!$C$4="ON")*ISNUMBER(INDEX(Override!$G$13:$G$112,$N88))&gt;0,"stock overridden",""))</f>
        <v/>
      </c>
      <c r="L88" s="41">
        <f>IFERROR(IF(SMALL(Grids!$C$9:$BO$108,$M$7+79)&gt;=(Summary!$C$15+1)*1000000000,"",SMALL(Grids!$C$9:$BO$108,$M$7+79)),"")</f>
        <v/>
      </c>
      <c r="M88" s="41">
        <f>IF($L88="","",INT($L88/1000000000))</f>
        <v/>
      </c>
      <c r="N88" s="41">
        <f>IF($L88="","",INT(($L88-INT($L88/1000000)*1000000)/1000))</f>
        <v/>
      </c>
      <c r="O88" s="41">
        <f>IF($L88="","",$L88-INT($L88/1000)*1000)</f>
        <v/>
      </c>
      <c r="P88" s="41">
        <f>IF($L88="","",INT(($L88-INT($L88/1000000000)*1000000000)/10000000))</f>
        <v/>
      </c>
    </row>
    <row r="89">
      <c r="B89" s="36">
        <f>IF($L89="","",$M89)</f>
        <v/>
      </c>
      <c r="C89" s="16">
        <f>IF($L89="","",INDEX(HSI!$C$7:$C$106,$N89))</f>
        <v/>
      </c>
      <c r="D89" s="16">
        <f>IF($L89="","",INDEX(HSI!$D$7:$D$106,$N89))</f>
        <v/>
      </c>
      <c r="E89" s="37">
        <f>IF($L89="","",IF(INT($P89/10)=0,"TBA",IFERROR(INDEX(Grids!$BQ$9:$EC$108,$N89,$O89),"-")))</f>
        <v/>
      </c>
      <c r="F89" s="16">
        <f>IF($L89="","",INDEX(HSI!$F$7:$F$106,$N89))</f>
        <v/>
      </c>
      <c r="G89" s="37">
        <f>IF($L89="","",IF(INT($P89/10)=0,"TBA",IFERROR(INDEX(Grids!$EE$9:$GQ$108,$N89,$O89),"-")))</f>
        <v/>
      </c>
      <c r="H89" s="38">
        <f>IF($L89="","",SUM($G$10:$G89))</f>
        <v/>
      </c>
      <c r="I89" s="39">
        <f>IF($L89="","",IF(INT(($L89-INT($L89/10000000)*10000000)/1000000)=0,"Bloomberg projection",IF(INT($P89/10)=1,"Announced","ANNOUNCED - amount TBA"))&amp;IF(($P89-INT($P89/10)*10)=1," (special)","")&amp;IF((($P89-INT($P89/10)*10)=1)*(Summary!$C$13="N")&gt;0," - excluded by your specials switch",""))</f>
        <v/>
      </c>
      <c r="J89" s="40">
        <f>IF($L89="","",IF((Override!$C$4="ON")*ISNUMBER(INDEX(Override!$G$13:$G$112,$N89))&gt;0,"stock overridden",""))</f>
        <v/>
      </c>
      <c r="L89" s="41">
        <f>IFERROR(IF(SMALL(Grids!$C$9:$BO$108,$M$7+80)&gt;=(Summary!$C$15+1)*1000000000,"",SMALL(Grids!$C$9:$BO$108,$M$7+80)),"")</f>
        <v/>
      </c>
      <c r="M89" s="41">
        <f>IF($L89="","",INT($L89/1000000000))</f>
        <v/>
      </c>
      <c r="N89" s="41">
        <f>IF($L89="","",INT(($L89-INT($L89/1000000)*1000000)/1000))</f>
        <v/>
      </c>
      <c r="O89" s="41">
        <f>IF($L89="","",$L89-INT($L89/1000)*1000)</f>
        <v/>
      </c>
      <c r="P89" s="41">
        <f>IF($L89="","",INT(($L89-INT($L89/1000000000)*1000000000)/10000000))</f>
        <v/>
      </c>
    </row>
    <row r="90">
      <c r="B90" s="36">
        <f>IF($L90="","",$M90)</f>
        <v/>
      </c>
      <c r="C90" s="16">
        <f>IF($L90="","",INDEX(HSI!$C$7:$C$106,$N90))</f>
        <v/>
      </c>
      <c r="D90" s="16">
        <f>IF($L90="","",INDEX(HSI!$D$7:$D$106,$N90))</f>
        <v/>
      </c>
      <c r="E90" s="37">
        <f>IF($L90="","",IF(INT($P90/10)=0,"TBA",IFERROR(INDEX(Grids!$BQ$9:$EC$108,$N90,$O90),"-")))</f>
        <v/>
      </c>
      <c r="F90" s="16">
        <f>IF($L90="","",INDEX(HSI!$F$7:$F$106,$N90))</f>
        <v/>
      </c>
      <c r="G90" s="37">
        <f>IF($L90="","",IF(INT($P90/10)=0,"TBA",IFERROR(INDEX(Grids!$EE$9:$GQ$108,$N90,$O90),"-")))</f>
        <v/>
      </c>
      <c r="H90" s="38">
        <f>IF($L90="","",SUM($G$10:$G90))</f>
        <v/>
      </c>
      <c r="I90" s="39">
        <f>IF($L90="","",IF(INT(($L90-INT($L90/10000000)*10000000)/1000000)=0,"Bloomberg projection",IF(INT($P90/10)=1,"Announced","ANNOUNCED - amount TBA"))&amp;IF(($P90-INT($P90/10)*10)=1," (special)","")&amp;IF((($P90-INT($P90/10)*10)=1)*(Summary!$C$13="N")&gt;0," - excluded by your specials switch",""))</f>
        <v/>
      </c>
      <c r="J90" s="40">
        <f>IF($L90="","",IF((Override!$C$4="ON")*ISNUMBER(INDEX(Override!$G$13:$G$112,$N90))&gt;0,"stock overridden",""))</f>
        <v/>
      </c>
      <c r="L90" s="41">
        <f>IFERROR(IF(SMALL(Grids!$C$9:$BO$108,$M$7+81)&gt;=(Summary!$C$15+1)*1000000000,"",SMALL(Grids!$C$9:$BO$108,$M$7+81)),"")</f>
        <v/>
      </c>
      <c r="M90" s="41">
        <f>IF($L90="","",INT($L90/1000000000))</f>
        <v/>
      </c>
      <c r="N90" s="41">
        <f>IF($L90="","",INT(($L90-INT($L90/1000000)*1000000)/1000))</f>
        <v/>
      </c>
      <c r="O90" s="41">
        <f>IF($L90="","",$L90-INT($L90/1000)*1000)</f>
        <v/>
      </c>
      <c r="P90" s="41">
        <f>IF($L90="","",INT(($L90-INT($L90/1000000000)*1000000000)/10000000))</f>
        <v/>
      </c>
    </row>
    <row r="91">
      <c r="B91" s="36">
        <f>IF($L91="","",$M91)</f>
        <v/>
      </c>
      <c r="C91" s="16">
        <f>IF($L91="","",INDEX(HSI!$C$7:$C$106,$N91))</f>
        <v/>
      </c>
      <c r="D91" s="16">
        <f>IF($L91="","",INDEX(HSI!$D$7:$D$106,$N91))</f>
        <v/>
      </c>
      <c r="E91" s="37">
        <f>IF($L91="","",IF(INT($P91/10)=0,"TBA",IFERROR(INDEX(Grids!$BQ$9:$EC$108,$N91,$O91),"-")))</f>
        <v/>
      </c>
      <c r="F91" s="16">
        <f>IF($L91="","",INDEX(HSI!$F$7:$F$106,$N91))</f>
        <v/>
      </c>
      <c r="G91" s="37">
        <f>IF($L91="","",IF(INT($P91/10)=0,"TBA",IFERROR(INDEX(Grids!$EE$9:$GQ$108,$N91,$O91),"-")))</f>
        <v/>
      </c>
      <c r="H91" s="38">
        <f>IF($L91="","",SUM($G$10:$G91))</f>
        <v/>
      </c>
      <c r="I91" s="39">
        <f>IF($L91="","",IF(INT(($L91-INT($L91/10000000)*10000000)/1000000)=0,"Bloomberg projection",IF(INT($P91/10)=1,"Announced","ANNOUNCED - amount TBA"))&amp;IF(($P91-INT($P91/10)*10)=1," (special)","")&amp;IF((($P91-INT($P91/10)*10)=1)*(Summary!$C$13="N")&gt;0," - excluded by your specials switch",""))</f>
        <v/>
      </c>
      <c r="J91" s="40">
        <f>IF($L91="","",IF((Override!$C$4="ON")*ISNUMBER(INDEX(Override!$G$13:$G$112,$N91))&gt;0,"stock overridden",""))</f>
        <v/>
      </c>
      <c r="L91" s="41">
        <f>IFERROR(IF(SMALL(Grids!$C$9:$BO$108,$M$7+82)&gt;=(Summary!$C$15+1)*1000000000,"",SMALL(Grids!$C$9:$BO$108,$M$7+82)),"")</f>
        <v/>
      </c>
      <c r="M91" s="41">
        <f>IF($L91="","",INT($L91/1000000000))</f>
        <v/>
      </c>
      <c r="N91" s="41">
        <f>IF($L91="","",INT(($L91-INT($L91/1000000)*1000000)/1000))</f>
        <v/>
      </c>
      <c r="O91" s="41">
        <f>IF($L91="","",$L91-INT($L91/1000)*1000)</f>
        <v/>
      </c>
      <c r="P91" s="41">
        <f>IF($L91="","",INT(($L91-INT($L91/1000000000)*1000000000)/10000000))</f>
        <v/>
      </c>
    </row>
    <row r="92">
      <c r="B92" s="36">
        <f>IF($L92="","",$M92)</f>
        <v/>
      </c>
      <c r="C92" s="16">
        <f>IF($L92="","",INDEX(HSI!$C$7:$C$106,$N92))</f>
        <v/>
      </c>
      <c r="D92" s="16">
        <f>IF($L92="","",INDEX(HSI!$D$7:$D$106,$N92))</f>
        <v/>
      </c>
      <c r="E92" s="37">
        <f>IF($L92="","",IF(INT($P92/10)=0,"TBA",IFERROR(INDEX(Grids!$BQ$9:$EC$108,$N92,$O92),"-")))</f>
        <v/>
      </c>
      <c r="F92" s="16">
        <f>IF($L92="","",INDEX(HSI!$F$7:$F$106,$N92))</f>
        <v/>
      </c>
      <c r="G92" s="37">
        <f>IF($L92="","",IF(INT($P92/10)=0,"TBA",IFERROR(INDEX(Grids!$EE$9:$GQ$108,$N92,$O92),"-")))</f>
        <v/>
      </c>
      <c r="H92" s="38">
        <f>IF($L92="","",SUM($G$10:$G92))</f>
        <v/>
      </c>
      <c r="I92" s="39">
        <f>IF($L92="","",IF(INT(($L92-INT($L92/10000000)*10000000)/1000000)=0,"Bloomberg projection",IF(INT($P92/10)=1,"Announced","ANNOUNCED - amount TBA"))&amp;IF(($P92-INT($P92/10)*10)=1," (special)","")&amp;IF((($P92-INT($P92/10)*10)=1)*(Summary!$C$13="N")&gt;0," - excluded by your specials switch",""))</f>
        <v/>
      </c>
      <c r="J92" s="40">
        <f>IF($L92="","",IF((Override!$C$4="ON")*ISNUMBER(INDEX(Override!$G$13:$G$112,$N92))&gt;0,"stock overridden",""))</f>
        <v/>
      </c>
      <c r="L92" s="41">
        <f>IFERROR(IF(SMALL(Grids!$C$9:$BO$108,$M$7+83)&gt;=(Summary!$C$15+1)*1000000000,"",SMALL(Grids!$C$9:$BO$108,$M$7+83)),"")</f>
        <v/>
      </c>
      <c r="M92" s="41">
        <f>IF($L92="","",INT($L92/1000000000))</f>
        <v/>
      </c>
      <c r="N92" s="41">
        <f>IF($L92="","",INT(($L92-INT($L92/1000000)*1000000)/1000))</f>
        <v/>
      </c>
      <c r="O92" s="41">
        <f>IF($L92="","",$L92-INT($L92/1000)*1000)</f>
        <v/>
      </c>
      <c r="P92" s="41">
        <f>IF($L92="","",INT(($L92-INT($L92/1000000000)*1000000000)/10000000))</f>
        <v/>
      </c>
    </row>
    <row r="93">
      <c r="B93" s="36">
        <f>IF($L93="","",$M93)</f>
        <v/>
      </c>
      <c r="C93" s="16">
        <f>IF($L93="","",INDEX(HSI!$C$7:$C$106,$N93))</f>
        <v/>
      </c>
      <c r="D93" s="16">
        <f>IF($L93="","",INDEX(HSI!$D$7:$D$106,$N93))</f>
        <v/>
      </c>
      <c r="E93" s="37">
        <f>IF($L93="","",IF(INT($P93/10)=0,"TBA",IFERROR(INDEX(Grids!$BQ$9:$EC$108,$N93,$O93),"-")))</f>
        <v/>
      </c>
      <c r="F93" s="16">
        <f>IF($L93="","",INDEX(HSI!$F$7:$F$106,$N93))</f>
        <v/>
      </c>
      <c r="G93" s="37">
        <f>IF($L93="","",IF(INT($P93/10)=0,"TBA",IFERROR(INDEX(Grids!$EE$9:$GQ$108,$N93,$O93),"-")))</f>
        <v/>
      </c>
      <c r="H93" s="38">
        <f>IF($L93="","",SUM($G$10:$G93))</f>
        <v/>
      </c>
      <c r="I93" s="39">
        <f>IF($L93="","",IF(INT(($L93-INT($L93/10000000)*10000000)/1000000)=0,"Bloomberg projection",IF(INT($P93/10)=1,"Announced","ANNOUNCED - amount TBA"))&amp;IF(($P93-INT($P93/10)*10)=1," (special)","")&amp;IF((($P93-INT($P93/10)*10)=1)*(Summary!$C$13="N")&gt;0," - excluded by your specials switch",""))</f>
        <v/>
      </c>
      <c r="J93" s="40">
        <f>IF($L93="","",IF((Override!$C$4="ON")*ISNUMBER(INDEX(Override!$G$13:$G$112,$N93))&gt;0,"stock overridden",""))</f>
        <v/>
      </c>
      <c r="L93" s="41">
        <f>IFERROR(IF(SMALL(Grids!$C$9:$BO$108,$M$7+84)&gt;=(Summary!$C$15+1)*1000000000,"",SMALL(Grids!$C$9:$BO$108,$M$7+84)),"")</f>
        <v/>
      </c>
      <c r="M93" s="41">
        <f>IF($L93="","",INT($L93/1000000000))</f>
        <v/>
      </c>
      <c r="N93" s="41">
        <f>IF($L93="","",INT(($L93-INT($L93/1000000)*1000000)/1000))</f>
        <v/>
      </c>
      <c r="O93" s="41">
        <f>IF($L93="","",$L93-INT($L93/1000)*1000)</f>
        <v/>
      </c>
      <c r="P93" s="41">
        <f>IF($L93="","",INT(($L93-INT($L93/1000000000)*1000000000)/10000000))</f>
        <v/>
      </c>
    </row>
    <row r="94">
      <c r="B94" s="36">
        <f>IF($L94="","",$M94)</f>
        <v/>
      </c>
      <c r="C94" s="16">
        <f>IF($L94="","",INDEX(HSI!$C$7:$C$106,$N94))</f>
        <v/>
      </c>
      <c r="D94" s="16">
        <f>IF($L94="","",INDEX(HSI!$D$7:$D$106,$N94))</f>
        <v/>
      </c>
      <c r="E94" s="37">
        <f>IF($L94="","",IF(INT($P94/10)=0,"TBA",IFERROR(INDEX(Grids!$BQ$9:$EC$108,$N94,$O94),"-")))</f>
        <v/>
      </c>
      <c r="F94" s="16">
        <f>IF($L94="","",INDEX(HSI!$F$7:$F$106,$N94))</f>
        <v/>
      </c>
      <c r="G94" s="37">
        <f>IF($L94="","",IF(INT($P94/10)=0,"TBA",IFERROR(INDEX(Grids!$EE$9:$GQ$108,$N94,$O94),"-")))</f>
        <v/>
      </c>
      <c r="H94" s="38">
        <f>IF($L94="","",SUM($G$10:$G94))</f>
        <v/>
      </c>
      <c r="I94" s="39">
        <f>IF($L94="","",IF(INT(($L94-INT($L94/10000000)*10000000)/1000000)=0,"Bloomberg projection",IF(INT($P94/10)=1,"Announced","ANNOUNCED - amount TBA"))&amp;IF(($P94-INT($P94/10)*10)=1," (special)","")&amp;IF((($P94-INT($P94/10)*10)=1)*(Summary!$C$13="N")&gt;0," - excluded by your specials switch",""))</f>
        <v/>
      </c>
      <c r="J94" s="40">
        <f>IF($L94="","",IF((Override!$C$4="ON")*ISNUMBER(INDEX(Override!$G$13:$G$112,$N94))&gt;0,"stock overridden",""))</f>
        <v/>
      </c>
      <c r="L94" s="41">
        <f>IFERROR(IF(SMALL(Grids!$C$9:$BO$108,$M$7+85)&gt;=(Summary!$C$15+1)*1000000000,"",SMALL(Grids!$C$9:$BO$108,$M$7+85)),"")</f>
        <v/>
      </c>
      <c r="M94" s="41">
        <f>IF($L94="","",INT($L94/1000000000))</f>
        <v/>
      </c>
      <c r="N94" s="41">
        <f>IF($L94="","",INT(($L94-INT($L94/1000000)*1000000)/1000))</f>
        <v/>
      </c>
      <c r="O94" s="41">
        <f>IF($L94="","",$L94-INT($L94/1000)*1000)</f>
        <v/>
      </c>
      <c r="P94" s="41">
        <f>IF($L94="","",INT(($L94-INT($L94/1000000000)*1000000000)/10000000))</f>
        <v/>
      </c>
    </row>
    <row r="95">
      <c r="B95" s="36">
        <f>IF($L95="","",$M95)</f>
        <v/>
      </c>
      <c r="C95" s="16">
        <f>IF($L95="","",INDEX(HSI!$C$7:$C$106,$N95))</f>
        <v/>
      </c>
      <c r="D95" s="16">
        <f>IF($L95="","",INDEX(HSI!$D$7:$D$106,$N95))</f>
        <v/>
      </c>
      <c r="E95" s="37">
        <f>IF($L95="","",IF(INT($P95/10)=0,"TBA",IFERROR(INDEX(Grids!$BQ$9:$EC$108,$N95,$O95),"-")))</f>
        <v/>
      </c>
      <c r="F95" s="16">
        <f>IF($L95="","",INDEX(HSI!$F$7:$F$106,$N95))</f>
        <v/>
      </c>
      <c r="G95" s="37">
        <f>IF($L95="","",IF(INT($P95/10)=0,"TBA",IFERROR(INDEX(Grids!$EE$9:$GQ$108,$N95,$O95),"-")))</f>
        <v/>
      </c>
      <c r="H95" s="38">
        <f>IF($L95="","",SUM($G$10:$G95))</f>
        <v/>
      </c>
      <c r="I95" s="39">
        <f>IF($L95="","",IF(INT(($L95-INT($L95/10000000)*10000000)/1000000)=0,"Bloomberg projection",IF(INT($P95/10)=1,"Announced","ANNOUNCED - amount TBA"))&amp;IF(($P95-INT($P95/10)*10)=1," (special)","")&amp;IF((($P95-INT($P95/10)*10)=1)*(Summary!$C$13="N")&gt;0," - excluded by your specials switch",""))</f>
        <v/>
      </c>
      <c r="J95" s="40">
        <f>IF($L95="","",IF((Override!$C$4="ON")*ISNUMBER(INDEX(Override!$G$13:$G$112,$N95))&gt;0,"stock overridden",""))</f>
        <v/>
      </c>
      <c r="L95" s="41">
        <f>IFERROR(IF(SMALL(Grids!$C$9:$BO$108,$M$7+86)&gt;=(Summary!$C$15+1)*1000000000,"",SMALL(Grids!$C$9:$BO$108,$M$7+86)),"")</f>
        <v/>
      </c>
      <c r="M95" s="41">
        <f>IF($L95="","",INT($L95/1000000000))</f>
        <v/>
      </c>
      <c r="N95" s="41">
        <f>IF($L95="","",INT(($L95-INT($L95/1000000)*1000000)/1000))</f>
        <v/>
      </c>
      <c r="O95" s="41">
        <f>IF($L95="","",$L95-INT($L95/1000)*1000)</f>
        <v/>
      </c>
      <c r="P95" s="41">
        <f>IF($L95="","",INT(($L95-INT($L95/1000000000)*1000000000)/10000000))</f>
        <v/>
      </c>
    </row>
    <row r="96">
      <c r="B96" s="36">
        <f>IF($L96="","",$M96)</f>
        <v/>
      </c>
      <c r="C96" s="16">
        <f>IF($L96="","",INDEX(HSI!$C$7:$C$106,$N96))</f>
        <v/>
      </c>
      <c r="D96" s="16">
        <f>IF($L96="","",INDEX(HSI!$D$7:$D$106,$N96))</f>
        <v/>
      </c>
      <c r="E96" s="37">
        <f>IF($L96="","",IF(INT($P96/10)=0,"TBA",IFERROR(INDEX(Grids!$BQ$9:$EC$108,$N96,$O96),"-")))</f>
        <v/>
      </c>
      <c r="F96" s="16">
        <f>IF($L96="","",INDEX(HSI!$F$7:$F$106,$N96))</f>
        <v/>
      </c>
      <c r="G96" s="37">
        <f>IF($L96="","",IF(INT($P96/10)=0,"TBA",IFERROR(INDEX(Grids!$EE$9:$GQ$108,$N96,$O96),"-")))</f>
        <v/>
      </c>
      <c r="H96" s="38">
        <f>IF($L96="","",SUM($G$10:$G96))</f>
        <v/>
      </c>
      <c r="I96" s="39">
        <f>IF($L96="","",IF(INT(($L96-INT($L96/10000000)*10000000)/1000000)=0,"Bloomberg projection",IF(INT($P96/10)=1,"Announced","ANNOUNCED - amount TBA"))&amp;IF(($P96-INT($P96/10)*10)=1," (special)","")&amp;IF((($P96-INT($P96/10)*10)=1)*(Summary!$C$13="N")&gt;0," - excluded by your specials switch",""))</f>
        <v/>
      </c>
      <c r="J96" s="40">
        <f>IF($L96="","",IF((Override!$C$4="ON")*ISNUMBER(INDEX(Override!$G$13:$G$112,$N96))&gt;0,"stock overridden",""))</f>
        <v/>
      </c>
      <c r="L96" s="41">
        <f>IFERROR(IF(SMALL(Grids!$C$9:$BO$108,$M$7+87)&gt;=(Summary!$C$15+1)*1000000000,"",SMALL(Grids!$C$9:$BO$108,$M$7+87)),"")</f>
        <v/>
      </c>
      <c r="M96" s="41">
        <f>IF($L96="","",INT($L96/1000000000))</f>
        <v/>
      </c>
      <c r="N96" s="41">
        <f>IF($L96="","",INT(($L96-INT($L96/1000000)*1000000)/1000))</f>
        <v/>
      </c>
      <c r="O96" s="41">
        <f>IF($L96="","",$L96-INT($L96/1000)*1000)</f>
        <v/>
      </c>
      <c r="P96" s="41">
        <f>IF($L96="","",INT(($L96-INT($L96/1000000000)*1000000000)/10000000))</f>
        <v/>
      </c>
    </row>
    <row r="97">
      <c r="B97" s="36">
        <f>IF($L97="","",$M97)</f>
        <v/>
      </c>
      <c r="C97" s="16">
        <f>IF($L97="","",INDEX(HSI!$C$7:$C$106,$N97))</f>
        <v/>
      </c>
      <c r="D97" s="16">
        <f>IF($L97="","",INDEX(HSI!$D$7:$D$106,$N97))</f>
        <v/>
      </c>
      <c r="E97" s="37">
        <f>IF($L97="","",IF(INT($P97/10)=0,"TBA",IFERROR(INDEX(Grids!$BQ$9:$EC$108,$N97,$O97),"-")))</f>
        <v/>
      </c>
      <c r="F97" s="16">
        <f>IF($L97="","",INDEX(HSI!$F$7:$F$106,$N97))</f>
        <v/>
      </c>
      <c r="G97" s="37">
        <f>IF($L97="","",IF(INT($P97/10)=0,"TBA",IFERROR(INDEX(Grids!$EE$9:$GQ$108,$N97,$O97),"-")))</f>
        <v/>
      </c>
      <c r="H97" s="38">
        <f>IF($L97="","",SUM($G$10:$G97))</f>
        <v/>
      </c>
      <c r="I97" s="39">
        <f>IF($L97="","",IF(INT(($L97-INT($L97/10000000)*10000000)/1000000)=0,"Bloomberg projection",IF(INT($P97/10)=1,"Announced","ANNOUNCED - amount TBA"))&amp;IF(($P97-INT($P97/10)*10)=1," (special)","")&amp;IF((($P97-INT($P97/10)*10)=1)*(Summary!$C$13="N")&gt;0," - excluded by your specials switch",""))</f>
        <v/>
      </c>
      <c r="J97" s="40">
        <f>IF($L97="","",IF((Override!$C$4="ON")*ISNUMBER(INDEX(Override!$G$13:$G$112,$N97))&gt;0,"stock overridden",""))</f>
        <v/>
      </c>
      <c r="L97" s="41">
        <f>IFERROR(IF(SMALL(Grids!$C$9:$BO$108,$M$7+88)&gt;=(Summary!$C$15+1)*1000000000,"",SMALL(Grids!$C$9:$BO$108,$M$7+88)),"")</f>
        <v/>
      </c>
      <c r="M97" s="41">
        <f>IF($L97="","",INT($L97/1000000000))</f>
        <v/>
      </c>
      <c r="N97" s="41">
        <f>IF($L97="","",INT(($L97-INT($L97/1000000)*1000000)/1000))</f>
        <v/>
      </c>
      <c r="O97" s="41">
        <f>IF($L97="","",$L97-INT($L97/1000)*1000)</f>
        <v/>
      </c>
      <c r="P97" s="41">
        <f>IF($L97="","",INT(($L97-INT($L97/1000000000)*1000000000)/10000000))</f>
        <v/>
      </c>
    </row>
    <row r="98">
      <c r="B98" s="36">
        <f>IF($L98="","",$M98)</f>
        <v/>
      </c>
      <c r="C98" s="16">
        <f>IF($L98="","",INDEX(HSI!$C$7:$C$106,$N98))</f>
        <v/>
      </c>
      <c r="D98" s="16">
        <f>IF($L98="","",INDEX(HSI!$D$7:$D$106,$N98))</f>
        <v/>
      </c>
      <c r="E98" s="37">
        <f>IF($L98="","",IF(INT($P98/10)=0,"TBA",IFERROR(INDEX(Grids!$BQ$9:$EC$108,$N98,$O98),"-")))</f>
        <v/>
      </c>
      <c r="F98" s="16">
        <f>IF($L98="","",INDEX(HSI!$F$7:$F$106,$N98))</f>
        <v/>
      </c>
      <c r="G98" s="37">
        <f>IF($L98="","",IF(INT($P98/10)=0,"TBA",IFERROR(INDEX(Grids!$EE$9:$GQ$108,$N98,$O98),"-")))</f>
        <v/>
      </c>
      <c r="H98" s="38">
        <f>IF($L98="","",SUM($G$10:$G98))</f>
        <v/>
      </c>
      <c r="I98" s="39">
        <f>IF($L98="","",IF(INT(($L98-INT($L98/10000000)*10000000)/1000000)=0,"Bloomberg projection",IF(INT($P98/10)=1,"Announced","ANNOUNCED - amount TBA"))&amp;IF(($P98-INT($P98/10)*10)=1," (special)","")&amp;IF((($P98-INT($P98/10)*10)=1)*(Summary!$C$13="N")&gt;0," - excluded by your specials switch",""))</f>
        <v/>
      </c>
      <c r="J98" s="40">
        <f>IF($L98="","",IF((Override!$C$4="ON")*ISNUMBER(INDEX(Override!$G$13:$G$112,$N98))&gt;0,"stock overridden",""))</f>
        <v/>
      </c>
      <c r="L98" s="41">
        <f>IFERROR(IF(SMALL(Grids!$C$9:$BO$108,$M$7+89)&gt;=(Summary!$C$15+1)*1000000000,"",SMALL(Grids!$C$9:$BO$108,$M$7+89)),"")</f>
        <v/>
      </c>
      <c r="M98" s="41">
        <f>IF($L98="","",INT($L98/1000000000))</f>
        <v/>
      </c>
      <c r="N98" s="41">
        <f>IF($L98="","",INT(($L98-INT($L98/1000000)*1000000)/1000))</f>
        <v/>
      </c>
      <c r="O98" s="41">
        <f>IF($L98="","",$L98-INT($L98/1000)*1000)</f>
        <v/>
      </c>
      <c r="P98" s="41">
        <f>IF($L98="","",INT(($L98-INT($L98/1000000000)*1000000000)/10000000))</f>
        <v/>
      </c>
    </row>
    <row r="99">
      <c r="B99" s="36">
        <f>IF($L99="","",$M99)</f>
        <v/>
      </c>
      <c r="C99" s="16">
        <f>IF($L99="","",INDEX(HSI!$C$7:$C$106,$N99))</f>
        <v/>
      </c>
      <c r="D99" s="16">
        <f>IF($L99="","",INDEX(HSI!$D$7:$D$106,$N99))</f>
        <v/>
      </c>
      <c r="E99" s="37">
        <f>IF($L99="","",IF(INT($P99/10)=0,"TBA",IFERROR(INDEX(Grids!$BQ$9:$EC$108,$N99,$O99),"-")))</f>
        <v/>
      </c>
      <c r="F99" s="16">
        <f>IF($L99="","",INDEX(HSI!$F$7:$F$106,$N99))</f>
        <v/>
      </c>
      <c r="G99" s="37">
        <f>IF($L99="","",IF(INT($P99/10)=0,"TBA",IFERROR(INDEX(Grids!$EE$9:$GQ$108,$N99,$O99),"-")))</f>
        <v/>
      </c>
      <c r="H99" s="38">
        <f>IF($L99="","",SUM($G$10:$G99))</f>
        <v/>
      </c>
      <c r="I99" s="39">
        <f>IF($L99="","",IF(INT(($L99-INT($L99/10000000)*10000000)/1000000)=0,"Bloomberg projection",IF(INT($P99/10)=1,"Announced","ANNOUNCED - amount TBA"))&amp;IF(($P99-INT($P99/10)*10)=1," (special)","")&amp;IF((($P99-INT($P99/10)*10)=1)*(Summary!$C$13="N")&gt;0," - excluded by your specials switch",""))</f>
        <v/>
      </c>
      <c r="J99" s="40">
        <f>IF($L99="","",IF((Override!$C$4="ON")*ISNUMBER(INDEX(Override!$G$13:$G$112,$N99))&gt;0,"stock overridden",""))</f>
        <v/>
      </c>
      <c r="L99" s="41">
        <f>IFERROR(IF(SMALL(Grids!$C$9:$BO$108,$M$7+90)&gt;=(Summary!$C$15+1)*1000000000,"",SMALL(Grids!$C$9:$BO$108,$M$7+90)),"")</f>
        <v/>
      </c>
      <c r="M99" s="41">
        <f>IF($L99="","",INT($L99/1000000000))</f>
        <v/>
      </c>
      <c r="N99" s="41">
        <f>IF($L99="","",INT(($L99-INT($L99/1000000)*1000000)/1000))</f>
        <v/>
      </c>
      <c r="O99" s="41">
        <f>IF($L99="","",$L99-INT($L99/1000)*1000)</f>
        <v/>
      </c>
      <c r="P99" s="41">
        <f>IF($L99="","",INT(($L99-INT($L99/1000000000)*1000000000)/10000000))</f>
        <v/>
      </c>
    </row>
    <row r="100">
      <c r="B100" s="36">
        <f>IF($L100="","",$M100)</f>
        <v/>
      </c>
      <c r="C100" s="16">
        <f>IF($L100="","",INDEX(HSI!$C$7:$C$106,$N100))</f>
        <v/>
      </c>
      <c r="D100" s="16">
        <f>IF($L100="","",INDEX(HSI!$D$7:$D$106,$N100))</f>
        <v/>
      </c>
      <c r="E100" s="37">
        <f>IF($L100="","",IF(INT($P100/10)=0,"TBA",IFERROR(INDEX(Grids!$BQ$9:$EC$108,$N100,$O100),"-")))</f>
        <v/>
      </c>
      <c r="F100" s="16">
        <f>IF($L100="","",INDEX(HSI!$F$7:$F$106,$N100))</f>
        <v/>
      </c>
      <c r="G100" s="37">
        <f>IF($L100="","",IF(INT($P100/10)=0,"TBA",IFERROR(INDEX(Grids!$EE$9:$GQ$108,$N100,$O100),"-")))</f>
        <v/>
      </c>
      <c r="H100" s="38">
        <f>IF($L100="","",SUM($G$10:$G100))</f>
        <v/>
      </c>
      <c r="I100" s="39">
        <f>IF($L100="","",IF(INT(($L100-INT($L100/10000000)*10000000)/1000000)=0,"Bloomberg projection",IF(INT($P100/10)=1,"Announced","ANNOUNCED - amount TBA"))&amp;IF(($P100-INT($P100/10)*10)=1," (special)","")&amp;IF((($P100-INT($P100/10)*10)=1)*(Summary!$C$13="N")&gt;0," - excluded by your specials switch",""))</f>
        <v/>
      </c>
      <c r="J100" s="40">
        <f>IF($L100="","",IF((Override!$C$4="ON")*ISNUMBER(INDEX(Override!$G$13:$G$112,$N100))&gt;0,"stock overridden",""))</f>
        <v/>
      </c>
      <c r="L100" s="41">
        <f>IFERROR(IF(SMALL(Grids!$C$9:$BO$108,$M$7+91)&gt;=(Summary!$C$15+1)*1000000000,"",SMALL(Grids!$C$9:$BO$108,$M$7+91)),"")</f>
        <v/>
      </c>
      <c r="M100" s="41">
        <f>IF($L100="","",INT($L100/1000000000))</f>
        <v/>
      </c>
      <c r="N100" s="41">
        <f>IF($L100="","",INT(($L100-INT($L100/1000000)*1000000)/1000))</f>
        <v/>
      </c>
      <c r="O100" s="41">
        <f>IF($L100="","",$L100-INT($L100/1000)*1000)</f>
        <v/>
      </c>
      <c r="P100" s="41">
        <f>IF($L100="","",INT(($L100-INT($L100/1000000000)*1000000000)/10000000))</f>
        <v/>
      </c>
    </row>
    <row r="101">
      <c r="B101" s="36">
        <f>IF($L101="","",$M101)</f>
        <v/>
      </c>
      <c r="C101" s="16">
        <f>IF($L101="","",INDEX(HSI!$C$7:$C$106,$N101))</f>
        <v/>
      </c>
      <c r="D101" s="16">
        <f>IF($L101="","",INDEX(HSI!$D$7:$D$106,$N101))</f>
        <v/>
      </c>
      <c r="E101" s="37">
        <f>IF($L101="","",IF(INT($P101/10)=0,"TBA",IFERROR(INDEX(Grids!$BQ$9:$EC$108,$N101,$O101),"-")))</f>
        <v/>
      </c>
      <c r="F101" s="16">
        <f>IF($L101="","",INDEX(HSI!$F$7:$F$106,$N101))</f>
        <v/>
      </c>
      <c r="G101" s="37">
        <f>IF($L101="","",IF(INT($P101/10)=0,"TBA",IFERROR(INDEX(Grids!$EE$9:$GQ$108,$N101,$O101),"-")))</f>
        <v/>
      </c>
      <c r="H101" s="38">
        <f>IF($L101="","",SUM($G$10:$G101))</f>
        <v/>
      </c>
      <c r="I101" s="39">
        <f>IF($L101="","",IF(INT(($L101-INT($L101/10000000)*10000000)/1000000)=0,"Bloomberg projection",IF(INT($P101/10)=1,"Announced","ANNOUNCED - amount TBA"))&amp;IF(($P101-INT($P101/10)*10)=1," (special)","")&amp;IF((($P101-INT($P101/10)*10)=1)*(Summary!$C$13="N")&gt;0," - excluded by your specials switch",""))</f>
        <v/>
      </c>
      <c r="J101" s="40">
        <f>IF($L101="","",IF((Override!$C$4="ON")*ISNUMBER(INDEX(Override!$G$13:$G$112,$N101))&gt;0,"stock overridden",""))</f>
        <v/>
      </c>
      <c r="L101" s="41">
        <f>IFERROR(IF(SMALL(Grids!$C$9:$BO$108,$M$7+92)&gt;=(Summary!$C$15+1)*1000000000,"",SMALL(Grids!$C$9:$BO$108,$M$7+92)),"")</f>
        <v/>
      </c>
      <c r="M101" s="41">
        <f>IF($L101="","",INT($L101/1000000000))</f>
        <v/>
      </c>
      <c r="N101" s="41">
        <f>IF($L101="","",INT(($L101-INT($L101/1000000)*1000000)/1000))</f>
        <v/>
      </c>
      <c r="O101" s="41">
        <f>IF($L101="","",$L101-INT($L101/1000)*1000)</f>
        <v/>
      </c>
      <c r="P101" s="41">
        <f>IF($L101="","",INT(($L101-INT($L101/1000000000)*1000000000)/10000000))</f>
        <v/>
      </c>
    </row>
    <row r="102">
      <c r="B102" s="36">
        <f>IF($L102="","",$M102)</f>
        <v/>
      </c>
      <c r="C102" s="16">
        <f>IF($L102="","",INDEX(HSI!$C$7:$C$106,$N102))</f>
        <v/>
      </c>
      <c r="D102" s="16">
        <f>IF($L102="","",INDEX(HSI!$D$7:$D$106,$N102))</f>
        <v/>
      </c>
      <c r="E102" s="37">
        <f>IF($L102="","",IF(INT($P102/10)=0,"TBA",IFERROR(INDEX(Grids!$BQ$9:$EC$108,$N102,$O102),"-")))</f>
        <v/>
      </c>
      <c r="F102" s="16">
        <f>IF($L102="","",INDEX(HSI!$F$7:$F$106,$N102))</f>
        <v/>
      </c>
      <c r="G102" s="37">
        <f>IF($L102="","",IF(INT($P102/10)=0,"TBA",IFERROR(INDEX(Grids!$EE$9:$GQ$108,$N102,$O102),"-")))</f>
        <v/>
      </c>
      <c r="H102" s="38">
        <f>IF($L102="","",SUM($G$10:$G102))</f>
        <v/>
      </c>
      <c r="I102" s="39">
        <f>IF($L102="","",IF(INT(($L102-INT($L102/10000000)*10000000)/1000000)=0,"Bloomberg projection",IF(INT($P102/10)=1,"Announced","ANNOUNCED - amount TBA"))&amp;IF(($P102-INT($P102/10)*10)=1," (special)","")&amp;IF((($P102-INT($P102/10)*10)=1)*(Summary!$C$13="N")&gt;0," - excluded by your specials switch",""))</f>
        <v/>
      </c>
      <c r="J102" s="40">
        <f>IF($L102="","",IF((Override!$C$4="ON")*ISNUMBER(INDEX(Override!$G$13:$G$112,$N102))&gt;0,"stock overridden",""))</f>
        <v/>
      </c>
      <c r="L102" s="41">
        <f>IFERROR(IF(SMALL(Grids!$C$9:$BO$108,$M$7+93)&gt;=(Summary!$C$15+1)*1000000000,"",SMALL(Grids!$C$9:$BO$108,$M$7+93)),"")</f>
        <v/>
      </c>
      <c r="M102" s="41">
        <f>IF($L102="","",INT($L102/1000000000))</f>
        <v/>
      </c>
      <c r="N102" s="41">
        <f>IF($L102="","",INT(($L102-INT($L102/1000000)*1000000)/1000))</f>
        <v/>
      </c>
      <c r="O102" s="41">
        <f>IF($L102="","",$L102-INT($L102/1000)*1000)</f>
        <v/>
      </c>
      <c r="P102" s="41">
        <f>IF($L102="","",INT(($L102-INT($L102/1000000000)*1000000000)/10000000))</f>
        <v/>
      </c>
    </row>
    <row r="103">
      <c r="B103" s="36">
        <f>IF($L103="","",$M103)</f>
        <v/>
      </c>
      <c r="C103" s="16">
        <f>IF($L103="","",INDEX(HSI!$C$7:$C$106,$N103))</f>
        <v/>
      </c>
      <c r="D103" s="16">
        <f>IF($L103="","",INDEX(HSI!$D$7:$D$106,$N103))</f>
        <v/>
      </c>
      <c r="E103" s="37">
        <f>IF($L103="","",IF(INT($P103/10)=0,"TBA",IFERROR(INDEX(Grids!$BQ$9:$EC$108,$N103,$O103),"-")))</f>
        <v/>
      </c>
      <c r="F103" s="16">
        <f>IF($L103="","",INDEX(HSI!$F$7:$F$106,$N103))</f>
        <v/>
      </c>
      <c r="G103" s="37">
        <f>IF($L103="","",IF(INT($P103/10)=0,"TBA",IFERROR(INDEX(Grids!$EE$9:$GQ$108,$N103,$O103),"-")))</f>
        <v/>
      </c>
      <c r="H103" s="38">
        <f>IF($L103="","",SUM($G$10:$G103))</f>
        <v/>
      </c>
      <c r="I103" s="39">
        <f>IF($L103="","",IF(INT(($L103-INT($L103/10000000)*10000000)/1000000)=0,"Bloomberg projection",IF(INT($P103/10)=1,"Announced","ANNOUNCED - amount TBA"))&amp;IF(($P103-INT($P103/10)*10)=1," (special)","")&amp;IF((($P103-INT($P103/10)*10)=1)*(Summary!$C$13="N")&gt;0," - excluded by your specials switch",""))</f>
        <v/>
      </c>
      <c r="J103" s="40">
        <f>IF($L103="","",IF((Override!$C$4="ON")*ISNUMBER(INDEX(Override!$G$13:$G$112,$N103))&gt;0,"stock overridden",""))</f>
        <v/>
      </c>
      <c r="L103" s="41">
        <f>IFERROR(IF(SMALL(Grids!$C$9:$BO$108,$M$7+94)&gt;=(Summary!$C$15+1)*1000000000,"",SMALL(Grids!$C$9:$BO$108,$M$7+94)),"")</f>
        <v/>
      </c>
      <c r="M103" s="41">
        <f>IF($L103="","",INT($L103/1000000000))</f>
        <v/>
      </c>
      <c r="N103" s="41">
        <f>IF($L103="","",INT(($L103-INT($L103/1000000)*1000000)/1000))</f>
        <v/>
      </c>
      <c r="O103" s="41">
        <f>IF($L103="","",$L103-INT($L103/1000)*1000)</f>
        <v/>
      </c>
      <c r="P103" s="41">
        <f>IF($L103="","",INT(($L103-INT($L103/1000000000)*1000000000)/10000000))</f>
        <v/>
      </c>
    </row>
    <row r="104">
      <c r="B104" s="36">
        <f>IF($L104="","",$M104)</f>
        <v/>
      </c>
      <c r="C104" s="16">
        <f>IF($L104="","",INDEX(HSI!$C$7:$C$106,$N104))</f>
        <v/>
      </c>
      <c r="D104" s="16">
        <f>IF($L104="","",INDEX(HSI!$D$7:$D$106,$N104))</f>
        <v/>
      </c>
      <c r="E104" s="37">
        <f>IF($L104="","",IF(INT($P104/10)=0,"TBA",IFERROR(INDEX(Grids!$BQ$9:$EC$108,$N104,$O104),"-")))</f>
        <v/>
      </c>
      <c r="F104" s="16">
        <f>IF($L104="","",INDEX(HSI!$F$7:$F$106,$N104))</f>
        <v/>
      </c>
      <c r="G104" s="37">
        <f>IF($L104="","",IF(INT($P104/10)=0,"TBA",IFERROR(INDEX(Grids!$EE$9:$GQ$108,$N104,$O104),"-")))</f>
        <v/>
      </c>
      <c r="H104" s="38">
        <f>IF($L104="","",SUM($G$10:$G104))</f>
        <v/>
      </c>
      <c r="I104" s="39">
        <f>IF($L104="","",IF(INT(($L104-INT($L104/10000000)*10000000)/1000000)=0,"Bloomberg projection",IF(INT($P104/10)=1,"Announced","ANNOUNCED - amount TBA"))&amp;IF(($P104-INT($P104/10)*10)=1," (special)","")&amp;IF((($P104-INT($P104/10)*10)=1)*(Summary!$C$13="N")&gt;0," - excluded by your specials switch",""))</f>
        <v/>
      </c>
      <c r="J104" s="40">
        <f>IF($L104="","",IF((Override!$C$4="ON")*ISNUMBER(INDEX(Override!$G$13:$G$112,$N104))&gt;0,"stock overridden",""))</f>
        <v/>
      </c>
      <c r="L104" s="41">
        <f>IFERROR(IF(SMALL(Grids!$C$9:$BO$108,$M$7+95)&gt;=(Summary!$C$15+1)*1000000000,"",SMALL(Grids!$C$9:$BO$108,$M$7+95)),"")</f>
        <v/>
      </c>
      <c r="M104" s="41">
        <f>IF($L104="","",INT($L104/1000000000))</f>
        <v/>
      </c>
      <c r="N104" s="41">
        <f>IF($L104="","",INT(($L104-INT($L104/1000000)*1000000)/1000))</f>
        <v/>
      </c>
      <c r="O104" s="41">
        <f>IF($L104="","",$L104-INT($L104/1000)*1000)</f>
        <v/>
      </c>
      <c r="P104" s="41">
        <f>IF($L104="","",INT(($L104-INT($L104/1000000000)*1000000000)/10000000))</f>
        <v/>
      </c>
    </row>
    <row r="105">
      <c r="B105" s="36">
        <f>IF($L105="","",$M105)</f>
        <v/>
      </c>
      <c r="C105" s="16">
        <f>IF($L105="","",INDEX(HSI!$C$7:$C$106,$N105))</f>
        <v/>
      </c>
      <c r="D105" s="16">
        <f>IF($L105="","",INDEX(HSI!$D$7:$D$106,$N105))</f>
        <v/>
      </c>
      <c r="E105" s="37">
        <f>IF($L105="","",IF(INT($P105/10)=0,"TBA",IFERROR(INDEX(Grids!$BQ$9:$EC$108,$N105,$O105),"-")))</f>
        <v/>
      </c>
      <c r="F105" s="16">
        <f>IF($L105="","",INDEX(HSI!$F$7:$F$106,$N105))</f>
        <v/>
      </c>
      <c r="G105" s="37">
        <f>IF($L105="","",IF(INT($P105/10)=0,"TBA",IFERROR(INDEX(Grids!$EE$9:$GQ$108,$N105,$O105),"-")))</f>
        <v/>
      </c>
      <c r="H105" s="38">
        <f>IF($L105="","",SUM($G$10:$G105))</f>
        <v/>
      </c>
      <c r="I105" s="39">
        <f>IF($L105="","",IF(INT(($L105-INT($L105/10000000)*10000000)/1000000)=0,"Bloomberg projection",IF(INT($P105/10)=1,"Announced","ANNOUNCED - amount TBA"))&amp;IF(($P105-INT($P105/10)*10)=1," (special)","")&amp;IF((($P105-INT($P105/10)*10)=1)*(Summary!$C$13="N")&gt;0," - excluded by your specials switch",""))</f>
        <v/>
      </c>
      <c r="J105" s="40">
        <f>IF($L105="","",IF((Override!$C$4="ON")*ISNUMBER(INDEX(Override!$G$13:$G$112,$N105))&gt;0,"stock overridden",""))</f>
        <v/>
      </c>
      <c r="L105" s="41">
        <f>IFERROR(IF(SMALL(Grids!$C$9:$BO$108,$M$7+96)&gt;=(Summary!$C$15+1)*1000000000,"",SMALL(Grids!$C$9:$BO$108,$M$7+96)),"")</f>
        <v/>
      </c>
      <c r="M105" s="41">
        <f>IF($L105="","",INT($L105/1000000000))</f>
        <v/>
      </c>
      <c r="N105" s="41">
        <f>IF($L105="","",INT(($L105-INT($L105/1000000)*1000000)/1000))</f>
        <v/>
      </c>
      <c r="O105" s="41">
        <f>IF($L105="","",$L105-INT($L105/1000)*1000)</f>
        <v/>
      </c>
      <c r="P105" s="41">
        <f>IF($L105="","",INT(($L105-INT($L105/1000000000)*1000000000)/10000000))</f>
        <v/>
      </c>
    </row>
    <row r="106">
      <c r="B106" s="36">
        <f>IF($L106="","",$M106)</f>
        <v/>
      </c>
      <c r="C106" s="16">
        <f>IF($L106="","",INDEX(HSI!$C$7:$C$106,$N106))</f>
        <v/>
      </c>
      <c r="D106" s="16">
        <f>IF($L106="","",INDEX(HSI!$D$7:$D$106,$N106))</f>
        <v/>
      </c>
      <c r="E106" s="37">
        <f>IF($L106="","",IF(INT($P106/10)=0,"TBA",IFERROR(INDEX(Grids!$BQ$9:$EC$108,$N106,$O106),"-")))</f>
        <v/>
      </c>
      <c r="F106" s="16">
        <f>IF($L106="","",INDEX(HSI!$F$7:$F$106,$N106))</f>
        <v/>
      </c>
      <c r="G106" s="37">
        <f>IF($L106="","",IF(INT($P106/10)=0,"TBA",IFERROR(INDEX(Grids!$EE$9:$GQ$108,$N106,$O106),"-")))</f>
        <v/>
      </c>
      <c r="H106" s="38">
        <f>IF($L106="","",SUM($G$10:$G106))</f>
        <v/>
      </c>
      <c r="I106" s="39">
        <f>IF($L106="","",IF(INT(($L106-INT($L106/10000000)*10000000)/1000000)=0,"Bloomberg projection",IF(INT($P106/10)=1,"Announced","ANNOUNCED - amount TBA"))&amp;IF(($P106-INT($P106/10)*10)=1," (special)","")&amp;IF((($P106-INT($P106/10)*10)=1)*(Summary!$C$13="N")&gt;0," - excluded by your specials switch",""))</f>
        <v/>
      </c>
      <c r="J106" s="40">
        <f>IF($L106="","",IF((Override!$C$4="ON")*ISNUMBER(INDEX(Override!$G$13:$G$112,$N106))&gt;0,"stock overridden",""))</f>
        <v/>
      </c>
      <c r="L106" s="41">
        <f>IFERROR(IF(SMALL(Grids!$C$9:$BO$108,$M$7+97)&gt;=(Summary!$C$15+1)*1000000000,"",SMALL(Grids!$C$9:$BO$108,$M$7+97)),"")</f>
        <v/>
      </c>
      <c r="M106" s="41">
        <f>IF($L106="","",INT($L106/1000000000))</f>
        <v/>
      </c>
      <c r="N106" s="41">
        <f>IF($L106="","",INT(($L106-INT($L106/1000000)*1000000)/1000))</f>
        <v/>
      </c>
      <c r="O106" s="41">
        <f>IF($L106="","",$L106-INT($L106/1000)*1000)</f>
        <v/>
      </c>
      <c r="P106" s="41">
        <f>IF($L106="","",INT(($L106-INT($L106/1000000000)*1000000000)/10000000))</f>
        <v/>
      </c>
    </row>
    <row r="107">
      <c r="B107" s="36">
        <f>IF($L107="","",$M107)</f>
        <v/>
      </c>
      <c r="C107" s="16">
        <f>IF($L107="","",INDEX(HSI!$C$7:$C$106,$N107))</f>
        <v/>
      </c>
      <c r="D107" s="16">
        <f>IF($L107="","",INDEX(HSI!$D$7:$D$106,$N107))</f>
        <v/>
      </c>
      <c r="E107" s="37">
        <f>IF($L107="","",IF(INT($P107/10)=0,"TBA",IFERROR(INDEX(Grids!$BQ$9:$EC$108,$N107,$O107),"-")))</f>
        <v/>
      </c>
      <c r="F107" s="16">
        <f>IF($L107="","",INDEX(HSI!$F$7:$F$106,$N107))</f>
        <v/>
      </c>
      <c r="G107" s="37">
        <f>IF($L107="","",IF(INT($P107/10)=0,"TBA",IFERROR(INDEX(Grids!$EE$9:$GQ$108,$N107,$O107),"-")))</f>
        <v/>
      </c>
      <c r="H107" s="38">
        <f>IF($L107="","",SUM($G$10:$G107))</f>
        <v/>
      </c>
      <c r="I107" s="39">
        <f>IF($L107="","",IF(INT(($L107-INT($L107/10000000)*10000000)/1000000)=0,"Bloomberg projection",IF(INT($P107/10)=1,"Announced","ANNOUNCED - amount TBA"))&amp;IF(($P107-INT($P107/10)*10)=1," (special)","")&amp;IF((($P107-INT($P107/10)*10)=1)*(Summary!$C$13="N")&gt;0," - excluded by your specials switch",""))</f>
        <v/>
      </c>
      <c r="J107" s="40">
        <f>IF($L107="","",IF((Override!$C$4="ON")*ISNUMBER(INDEX(Override!$G$13:$G$112,$N107))&gt;0,"stock overridden",""))</f>
        <v/>
      </c>
      <c r="L107" s="41">
        <f>IFERROR(IF(SMALL(Grids!$C$9:$BO$108,$M$7+98)&gt;=(Summary!$C$15+1)*1000000000,"",SMALL(Grids!$C$9:$BO$108,$M$7+98)),"")</f>
        <v/>
      </c>
      <c r="M107" s="41">
        <f>IF($L107="","",INT($L107/1000000000))</f>
        <v/>
      </c>
      <c r="N107" s="41">
        <f>IF($L107="","",INT(($L107-INT($L107/1000000)*1000000)/1000))</f>
        <v/>
      </c>
      <c r="O107" s="41">
        <f>IF($L107="","",$L107-INT($L107/1000)*1000)</f>
        <v/>
      </c>
      <c r="P107" s="41">
        <f>IF($L107="","",INT(($L107-INT($L107/1000000000)*1000000000)/10000000))</f>
        <v/>
      </c>
    </row>
    <row r="108">
      <c r="B108" s="36">
        <f>IF($L108="","",$M108)</f>
        <v/>
      </c>
      <c r="C108" s="16">
        <f>IF($L108="","",INDEX(HSI!$C$7:$C$106,$N108))</f>
        <v/>
      </c>
      <c r="D108" s="16">
        <f>IF($L108="","",INDEX(HSI!$D$7:$D$106,$N108))</f>
        <v/>
      </c>
      <c r="E108" s="37">
        <f>IF($L108="","",IF(INT($P108/10)=0,"TBA",IFERROR(INDEX(Grids!$BQ$9:$EC$108,$N108,$O108),"-")))</f>
        <v/>
      </c>
      <c r="F108" s="16">
        <f>IF($L108="","",INDEX(HSI!$F$7:$F$106,$N108))</f>
        <v/>
      </c>
      <c r="G108" s="37">
        <f>IF($L108="","",IF(INT($P108/10)=0,"TBA",IFERROR(INDEX(Grids!$EE$9:$GQ$108,$N108,$O108),"-")))</f>
        <v/>
      </c>
      <c r="H108" s="38">
        <f>IF($L108="","",SUM($G$10:$G108))</f>
        <v/>
      </c>
      <c r="I108" s="39">
        <f>IF($L108="","",IF(INT(($L108-INT($L108/10000000)*10000000)/1000000)=0,"Bloomberg projection",IF(INT($P108/10)=1,"Announced","ANNOUNCED - amount TBA"))&amp;IF(($P108-INT($P108/10)*10)=1," (special)","")&amp;IF((($P108-INT($P108/10)*10)=1)*(Summary!$C$13="N")&gt;0," - excluded by your specials switch",""))</f>
        <v/>
      </c>
      <c r="J108" s="40">
        <f>IF($L108="","",IF((Override!$C$4="ON")*ISNUMBER(INDEX(Override!$G$13:$G$112,$N108))&gt;0,"stock overridden",""))</f>
        <v/>
      </c>
      <c r="L108" s="41">
        <f>IFERROR(IF(SMALL(Grids!$C$9:$BO$108,$M$7+99)&gt;=(Summary!$C$15+1)*1000000000,"",SMALL(Grids!$C$9:$BO$108,$M$7+99)),"")</f>
        <v/>
      </c>
      <c r="M108" s="41">
        <f>IF($L108="","",INT($L108/1000000000))</f>
        <v/>
      </c>
      <c r="N108" s="41">
        <f>IF($L108="","",INT(($L108-INT($L108/1000000)*1000000)/1000))</f>
        <v/>
      </c>
      <c r="O108" s="41">
        <f>IF($L108="","",$L108-INT($L108/1000)*1000)</f>
        <v/>
      </c>
      <c r="P108" s="41">
        <f>IF($L108="","",INT(($L108-INT($L108/1000000000)*1000000000)/10000000))</f>
        <v/>
      </c>
    </row>
    <row r="109">
      <c r="B109" s="36">
        <f>IF($L109="","",$M109)</f>
        <v/>
      </c>
      <c r="C109" s="16">
        <f>IF($L109="","",INDEX(HSI!$C$7:$C$106,$N109))</f>
        <v/>
      </c>
      <c r="D109" s="16">
        <f>IF($L109="","",INDEX(HSI!$D$7:$D$106,$N109))</f>
        <v/>
      </c>
      <c r="E109" s="37">
        <f>IF($L109="","",IF(INT($P109/10)=0,"TBA",IFERROR(INDEX(Grids!$BQ$9:$EC$108,$N109,$O109),"-")))</f>
        <v/>
      </c>
      <c r="F109" s="16">
        <f>IF($L109="","",INDEX(HSI!$F$7:$F$106,$N109))</f>
        <v/>
      </c>
      <c r="G109" s="37">
        <f>IF($L109="","",IF(INT($P109/10)=0,"TBA",IFERROR(INDEX(Grids!$EE$9:$GQ$108,$N109,$O109),"-")))</f>
        <v/>
      </c>
      <c r="H109" s="38">
        <f>IF($L109="","",SUM($G$10:$G109))</f>
        <v/>
      </c>
      <c r="I109" s="39">
        <f>IF($L109="","",IF(INT(($L109-INT($L109/10000000)*10000000)/1000000)=0,"Bloomberg projection",IF(INT($P109/10)=1,"Announced","ANNOUNCED - amount TBA"))&amp;IF(($P109-INT($P109/10)*10)=1," (special)","")&amp;IF((($P109-INT($P109/10)*10)=1)*(Summary!$C$13="N")&gt;0," - excluded by your specials switch",""))</f>
        <v/>
      </c>
      <c r="J109" s="40">
        <f>IF($L109="","",IF((Override!$C$4="ON")*ISNUMBER(INDEX(Override!$G$13:$G$112,$N109))&gt;0,"stock overridden",""))</f>
        <v/>
      </c>
      <c r="L109" s="41">
        <f>IFERROR(IF(SMALL(Grids!$C$9:$BO$108,$M$7+100)&gt;=(Summary!$C$15+1)*1000000000,"",SMALL(Grids!$C$9:$BO$108,$M$7+100)),"")</f>
        <v/>
      </c>
      <c r="M109" s="41">
        <f>IF($L109="","",INT($L109/1000000000))</f>
        <v/>
      </c>
      <c r="N109" s="41">
        <f>IF($L109="","",INT(($L109-INT($L109/1000000)*1000000)/1000))</f>
        <v/>
      </c>
      <c r="O109" s="41">
        <f>IF($L109="","",$L109-INT($L109/1000)*1000)</f>
        <v/>
      </c>
      <c r="P109" s="41">
        <f>IF($L109="","",INT(($L109-INT($L109/1000000000)*1000000000)/10000000))</f>
        <v/>
      </c>
    </row>
    <row r="110">
      <c r="B110" s="36">
        <f>IF($L110="","",$M110)</f>
        <v/>
      </c>
      <c r="C110" s="16">
        <f>IF($L110="","",INDEX(HSI!$C$7:$C$106,$N110))</f>
        <v/>
      </c>
      <c r="D110" s="16">
        <f>IF($L110="","",INDEX(HSI!$D$7:$D$106,$N110))</f>
        <v/>
      </c>
      <c r="E110" s="37">
        <f>IF($L110="","",IF(INT($P110/10)=0,"TBA",IFERROR(INDEX(Grids!$BQ$9:$EC$108,$N110,$O110),"-")))</f>
        <v/>
      </c>
      <c r="F110" s="16">
        <f>IF($L110="","",INDEX(HSI!$F$7:$F$106,$N110))</f>
        <v/>
      </c>
      <c r="G110" s="37">
        <f>IF($L110="","",IF(INT($P110/10)=0,"TBA",IFERROR(INDEX(Grids!$EE$9:$GQ$108,$N110,$O110),"-")))</f>
        <v/>
      </c>
      <c r="H110" s="38">
        <f>IF($L110="","",SUM($G$10:$G110))</f>
        <v/>
      </c>
      <c r="I110" s="39">
        <f>IF($L110="","",IF(INT(($L110-INT($L110/10000000)*10000000)/1000000)=0,"Bloomberg projection",IF(INT($P110/10)=1,"Announced","ANNOUNCED - amount TBA"))&amp;IF(($P110-INT($P110/10)*10)=1," (special)","")&amp;IF((($P110-INT($P110/10)*10)=1)*(Summary!$C$13="N")&gt;0," - excluded by your specials switch",""))</f>
        <v/>
      </c>
      <c r="J110" s="40">
        <f>IF($L110="","",IF((Override!$C$4="ON")*ISNUMBER(INDEX(Override!$G$13:$G$112,$N110))&gt;0,"stock overridden",""))</f>
        <v/>
      </c>
      <c r="L110" s="41">
        <f>IFERROR(IF(SMALL(Grids!$C$9:$BO$108,$M$7+101)&gt;=(Summary!$C$15+1)*1000000000,"",SMALL(Grids!$C$9:$BO$108,$M$7+101)),"")</f>
        <v/>
      </c>
      <c r="M110" s="41">
        <f>IF($L110="","",INT($L110/1000000000))</f>
        <v/>
      </c>
      <c r="N110" s="41">
        <f>IF($L110="","",INT(($L110-INT($L110/1000000)*1000000)/1000))</f>
        <v/>
      </c>
      <c r="O110" s="41">
        <f>IF($L110="","",$L110-INT($L110/1000)*1000)</f>
        <v/>
      </c>
      <c r="P110" s="41">
        <f>IF($L110="","",INT(($L110-INT($L110/1000000000)*1000000000)/10000000))</f>
        <v/>
      </c>
    </row>
    <row r="111">
      <c r="B111" s="36">
        <f>IF($L111="","",$M111)</f>
        <v/>
      </c>
      <c r="C111" s="16">
        <f>IF($L111="","",INDEX(HSI!$C$7:$C$106,$N111))</f>
        <v/>
      </c>
      <c r="D111" s="16">
        <f>IF($L111="","",INDEX(HSI!$D$7:$D$106,$N111))</f>
        <v/>
      </c>
      <c r="E111" s="37">
        <f>IF($L111="","",IF(INT($P111/10)=0,"TBA",IFERROR(INDEX(Grids!$BQ$9:$EC$108,$N111,$O111),"-")))</f>
        <v/>
      </c>
      <c r="F111" s="16">
        <f>IF($L111="","",INDEX(HSI!$F$7:$F$106,$N111))</f>
        <v/>
      </c>
      <c r="G111" s="37">
        <f>IF($L111="","",IF(INT($P111/10)=0,"TBA",IFERROR(INDEX(Grids!$EE$9:$GQ$108,$N111,$O111),"-")))</f>
        <v/>
      </c>
      <c r="H111" s="38">
        <f>IF($L111="","",SUM($G$10:$G111))</f>
        <v/>
      </c>
      <c r="I111" s="39">
        <f>IF($L111="","",IF(INT(($L111-INT($L111/10000000)*10000000)/1000000)=0,"Bloomberg projection",IF(INT($P111/10)=1,"Announced","ANNOUNCED - amount TBA"))&amp;IF(($P111-INT($P111/10)*10)=1," (special)","")&amp;IF((($P111-INT($P111/10)*10)=1)*(Summary!$C$13="N")&gt;0," - excluded by your specials switch",""))</f>
        <v/>
      </c>
      <c r="J111" s="40">
        <f>IF($L111="","",IF((Override!$C$4="ON")*ISNUMBER(INDEX(Override!$G$13:$G$112,$N111))&gt;0,"stock overridden",""))</f>
        <v/>
      </c>
      <c r="L111" s="41">
        <f>IFERROR(IF(SMALL(Grids!$C$9:$BO$108,$M$7+102)&gt;=(Summary!$C$15+1)*1000000000,"",SMALL(Grids!$C$9:$BO$108,$M$7+102)),"")</f>
        <v/>
      </c>
      <c r="M111" s="41">
        <f>IF($L111="","",INT($L111/1000000000))</f>
        <v/>
      </c>
      <c r="N111" s="41">
        <f>IF($L111="","",INT(($L111-INT($L111/1000000)*1000000)/1000))</f>
        <v/>
      </c>
      <c r="O111" s="41">
        <f>IF($L111="","",$L111-INT($L111/1000)*1000)</f>
        <v/>
      </c>
      <c r="P111" s="41">
        <f>IF($L111="","",INT(($L111-INT($L111/1000000000)*1000000000)/10000000))</f>
        <v/>
      </c>
    </row>
    <row r="112">
      <c r="B112" s="36">
        <f>IF($L112="","",$M112)</f>
        <v/>
      </c>
      <c r="C112" s="16">
        <f>IF($L112="","",INDEX(HSI!$C$7:$C$106,$N112))</f>
        <v/>
      </c>
      <c r="D112" s="16">
        <f>IF($L112="","",INDEX(HSI!$D$7:$D$106,$N112))</f>
        <v/>
      </c>
      <c r="E112" s="37">
        <f>IF($L112="","",IF(INT($P112/10)=0,"TBA",IFERROR(INDEX(Grids!$BQ$9:$EC$108,$N112,$O112),"-")))</f>
        <v/>
      </c>
      <c r="F112" s="16">
        <f>IF($L112="","",INDEX(HSI!$F$7:$F$106,$N112))</f>
        <v/>
      </c>
      <c r="G112" s="37">
        <f>IF($L112="","",IF(INT($P112/10)=0,"TBA",IFERROR(INDEX(Grids!$EE$9:$GQ$108,$N112,$O112),"-")))</f>
        <v/>
      </c>
      <c r="H112" s="38">
        <f>IF($L112="","",SUM($G$10:$G112))</f>
        <v/>
      </c>
      <c r="I112" s="39">
        <f>IF($L112="","",IF(INT(($L112-INT($L112/10000000)*10000000)/1000000)=0,"Bloomberg projection",IF(INT($P112/10)=1,"Announced","ANNOUNCED - amount TBA"))&amp;IF(($P112-INT($P112/10)*10)=1," (special)","")&amp;IF((($P112-INT($P112/10)*10)=1)*(Summary!$C$13="N")&gt;0," - excluded by your specials switch",""))</f>
        <v/>
      </c>
      <c r="J112" s="40">
        <f>IF($L112="","",IF((Override!$C$4="ON")*ISNUMBER(INDEX(Override!$G$13:$G$112,$N112))&gt;0,"stock overridden",""))</f>
        <v/>
      </c>
      <c r="L112" s="41">
        <f>IFERROR(IF(SMALL(Grids!$C$9:$BO$108,$M$7+103)&gt;=(Summary!$C$15+1)*1000000000,"",SMALL(Grids!$C$9:$BO$108,$M$7+103)),"")</f>
        <v/>
      </c>
      <c r="M112" s="41">
        <f>IF($L112="","",INT($L112/1000000000))</f>
        <v/>
      </c>
      <c r="N112" s="41">
        <f>IF($L112="","",INT(($L112-INT($L112/1000000)*1000000)/1000))</f>
        <v/>
      </c>
      <c r="O112" s="41">
        <f>IF($L112="","",$L112-INT($L112/1000)*1000)</f>
        <v/>
      </c>
      <c r="P112" s="41">
        <f>IF($L112="","",INT(($L112-INT($L112/1000000000)*1000000000)/10000000))</f>
        <v/>
      </c>
    </row>
    <row r="113">
      <c r="B113" s="36">
        <f>IF($L113="","",$M113)</f>
        <v/>
      </c>
      <c r="C113" s="16">
        <f>IF($L113="","",INDEX(HSI!$C$7:$C$106,$N113))</f>
        <v/>
      </c>
      <c r="D113" s="16">
        <f>IF($L113="","",INDEX(HSI!$D$7:$D$106,$N113))</f>
        <v/>
      </c>
      <c r="E113" s="37">
        <f>IF($L113="","",IF(INT($P113/10)=0,"TBA",IFERROR(INDEX(Grids!$BQ$9:$EC$108,$N113,$O113),"-")))</f>
        <v/>
      </c>
      <c r="F113" s="16">
        <f>IF($L113="","",INDEX(HSI!$F$7:$F$106,$N113))</f>
        <v/>
      </c>
      <c r="G113" s="37">
        <f>IF($L113="","",IF(INT($P113/10)=0,"TBA",IFERROR(INDEX(Grids!$EE$9:$GQ$108,$N113,$O113),"-")))</f>
        <v/>
      </c>
      <c r="H113" s="38">
        <f>IF($L113="","",SUM($G$10:$G113))</f>
        <v/>
      </c>
      <c r="I113" s="39">
        <f>IF($L113="","",IF(INT(($L113-INT($L113/10000000)*10000000)/1000000)=0,"Bloomberg projection",IF(INT($P113/10)=1,"Announced","ANNOUNCED - amount TBA"))&amp;IF(($P113-INT($P113/10)*10)=1," (special)","")&amp;IF((($P113-INT($P113/10)*10)=1)*(Summary!$C$13="N")&gt;0," - excluded by your specials switch",""))</f>
        <v/>
      </c>
      <c r="J113" s="40">
        <f>IF($L113="","",IF((Override!$C$4="ON")*ISNUMBER(INDEX(Override!$G$13:$G$112,$N113))&gt;0,"stock overridden",""))</f>
        <v/>
      </c>
      <c r="L113" s="41">
        <f>IFERROR(IF(SMALL(Grids!$C$9:$BO$108,$M$7+104)&gt;=(Summary!$C$15+1)*1000000000,"",SMALL(Grids!$C$9:$BO$108,$M$7+104)),"")</f>
        <v/>
      </c>
      <c r="M113" s="41">
        <f>IF($L113="","",INT($L113/1000000000))</f>
        <v/>
      </c>
      <c r="N113" s="41">
        <f>IF($L113="","",INT(($L113-INT($L113/1000000)*1000000)/1000))</f>
        <v/>
      </c>
      <c r="O113" s="41">
        <f>IF($L113="","",$L113-INT($L113/1000)*1000)</f>
        <v/>
      </c>
      <c r="P113" s="41">
        <f>IF($L113="","",INT(($L113-INT($L113/1000000000)*1000000000)/10000000))</f>
        <v/>
      </c>
    </row>
    <row r="114">
      <c r="B114" s="36">
        <f>IF($L114="","",$M114)</f>
        <v/>
      </c>
      <c r="C114" s="16">
        <f>IF($L114="","",INDEX(HSI!$C$7:$C$106,$N114))</f>
        <v/>
      </c>
      <c r="D114" s="16">
        <f>IF($L114="","",INDEX(HSI!$D$7:$D$106,$N114))</f>
        <v/>
      </c>
      <c r="E114" s="37">
        <f>IF($L114="","",IF(INT($P114/10)=0,"TBA",IFERROR(INDEX(Grids!$BQ$9:$EC$108,$N114,$O114),"-")))</f>
        <v/>
      </c>
      <c r="F114" s="16">
        <f>IF($L114="","",INDEX(HSI!$F$7:$F$106,$N114))</f>
        <v/>
      </c>
      <c r="G114" s="37">
        <f>IF($L114="","",IF(INT($P114/10)=0,"TBA",IFERROR(INDEX(Grids!$EE$9:$GQ$108,$N114,$O114),"-")))</f>
        <v/>
      </c>
      <c r="H114" s="38">
        <f>IF($L114="","",SUM($G$10:$G114))</f>
        <v/>
      </c>
      <c r="I114" s="39">
        <f>IF($L114="","",IF(INT(($L114-INT($L114/10000000)*10000000)/1000000)=0,"Bloomberg projection",IF(INT($P114/10)=1,"Announced","ANNOUNCED - amount TBA"))&amp;IF(($P114-INT($P114/10)*10)=1," (special)","")&amp;IF((($P114-INT($P114/10)*10)=1)*(Summary!$C$13="N")&gt;0," - excluded by your specials switch",""))</f>
        <v/>
      </c>
      <c r="J114" s="40">
        <f>IF($L114="","",IF((Override!$C$4="ON")*ISNUMBER(INDEX(Override!$G$13:$G$112,$N114))&gt;0,"stock overridden",""))</f>
        <v/>
      </c>
      <c r="L114" s="41">
        <f>IFERROR(IF(SMALL(Grids!$C$9:$BO$108,$M$7+105)&gt;=(Summary!$C$15+1)*1000000000,"",SMALL(Grids!$C$9:$BO$108,$M$7+105)),"")</f>
        <v/>
      </c>
      <c r="M114" s="41">
        <f>IF($L114="","",INT($L114/1000000000))</f>
        <v/>
      </c>
      <c r="N114" s="41">
        <f>IF($L114="","",INT(($L114-INT($L114/1000000)*1000000)/1000))</f>
        <v/>
      </c>
      <c r="O114" s="41">
        <f>IF($L114="","",$L114-INT($L114/1000)*1000)</f>
        <v/>
      </c>
      <c r="P114" s="41">
        <f>IF($L114="","",INT(($L114-INT($L114/1000000000)*1000000000)/10000000))</f>
        <v/>
      </c>
    </row>
    <row r="115">
      <c r="B115" s="36">
        <f>IF($L115="","",$M115)</f>
        <v/>
      </c>
      <c r="C115" s="16">
        <f>IF($L115="","",INDEX(HSI!$C$7:$C$106,$N115))</f>
        <v/>
      </c>
      <c r="D115" s="16">
        <f>IF($L115="","",INDEX(HSI!$D$7:$D$106,$N115))</f>
        <v/>
      </c>
      <c r="E115" s="37">
        <f>IF($L115="","",IF(INT($P115/10)=0,"TBA",IFERROR(INDEX(Grids!$BQ$9:$EC$108,$N115,$O115),"-")))</f>
        <v/>
      </c>
      <c r="F115" s="16">
        <f>IF($L115="","",INDEX(HSI!$F$7:$F$106,$N115))</f>
        <v/>
      </c>
      <c r="G115" s="37">
        <f>IF($L115="","",IF(INT($P115/10)=0,"TBA",IFERROR(INDEX(Grids!$EE$9:$GQ$108,$N115,$O115),"-")))</f>
        <v/>
      </c>
      <c r="H115" s="38">
        <f>IF($L115="","",SUM($G$10:$G115))</f>
        <v/>
      </c>
      <c r="I115" s="39">
        <f>IF($L115="","",IF(INT(($L115-INT($L115/10000000)*10000000)/1000000)=0,"Bloomberg projection",IF(INT($P115/10)=1,"Announced","ANNOUNCED - amount TBA"))&amp;IF(($P115-INT($P115/10)*10)=1," (special)","")&amp;IF((($P115-INT($P115/10)*10)=1)*(Summary!$C$13="N")&gt;0," - excluded by your specials switch",""))</f>
        <v/>
      </c>
      <c r="J115" s="40">
        <f>IF($L115="","",IF((Override!$C$4="ON")*ISNUMBER(INDEX(Override!$G$13:$G$112,$N115))&gt;0,"stock overridden",""))</f>
        <v/>
      </c>
      <c r="L115" s="41">
        <f>IFERROR(IF(SMALL(Grids!$C$9:$BO$108,$M$7+106)&gt;=(Summary!$C$15+1)*1000000000,"",SMALL(Grids!$C$9:$BO$108,$M$7+106)),"")</f>
        <v/>
      </c>
      <c r="M115" s="41">
        <f>IF($L115="","",INT($L115/1000000000))</f>
        <v/>
      </c>
      <c r="N115" s="41">
        <f>IF($L115="","",INT(($L115-INT($L115/1000000)*1000000)/1000))</f>
        <v/>
      </c>
      <c r="O115" s="41">
        <f>IF($L115="","",$L115-INT($L115/1000)*1000)</f>
        <v/>
      </c>
      <c r="P115" s="41">
        <f>IF($L115="","",INT(($L115-INT($L115/1000000000)*1000000000)/10000000))</f>
        <v/>
      </c>
    </row>
    <row r="116">
      <c r="B116" s="36">
        <f>IF($L116="","",$M116)</f>
        <v/>
      </c>
      <c r="C116" s="16">
        <f>IF($L116="","",INDEX(HSI!$C$7:$C$106,$N116))</f>
        <v/>
      </c>
      <c r="D116" s="16">
        <f>IF($L116="","",INDEX(HSI!$D$7:$D$106,$N116))</f>
        <v/>
      </c>
      <c r="E116" s="37">
        <f>IF($L116="","",IF(INT($P116/10)=0,"TBA",IFERROR(INDEX(Grids!$BQ$9:$EC$108,$N116,$O116),"-")))</f>
        <v/>
      </c>
      <c r="F116" s="16">
        <f>IF($L116="","",INDEX(HSI!$F$7:$F$106,$N116))</f>
        <v/>
      </c>
      <c r="G116" s="37">
        <f>IF($L116="","",IF(INT($P116/10)=0,"TBA",IFERROR(INDEX(Grids!$EE$9:$GQ$108,$N116,$O116),"-")))</f>
        <v/>
      </c>
      <c r="H116" s="38">
        <f>IF($L116="","",SUM($G$10:$G116))</f>
        <v/>
      </c>
      <c r="I116" s="39">
        <f>IF($L116="","",IF(INT(($L116-INT($L116/10000000)*10000000)/1000000)=0,"Bloomberg projection",IF(INT($P116/10)=1,"Announced","ANNOUNCED - amount TBA"))&amp;IF(($P116-INT($P116/10)*10)=1," (special)","")&amp;IF((($P116-INT($P116/10)*10)=1)*(Summary!$C$13="N")&gt;0," - excluded by your specials switch",""))</f>
        <v/>
      </c>
      <c r="J116" s="40">
        <f>IF($L116="","",IF((Override!$C$4="ON")*ISNUMBER(INDEX(Override!$G$13:$G$112,$N116))&gt;0,"stock overridden",""))</f>
        <v/>
      </c>
      <c r="L116" s="41">
        <f>IFERROR(IF(SMALL(Grids!$C$9:$BO$108,$M$7+107)&gt;=(Summary!$C$15+1)*1000000000,"",SMALL(Grids!$C$9:$BO$108,$M$7+107)),"")</f>
        <v/>
      </c>
      <c r="M116" s="41">
        <f>IF($L116="","",INT($L116/1000000000))</f>
        <v/>
      </c>
      <c r="N116" s="41">
        <f>IF($L116="","",INT(($L116-INT($L116/1000000)*1000000)/1000))</f>
        <v/>
      </c>
      <c r="O116" s="41">
        <f>IF($L116="","",$L116-INT($L116/1000)*1000)</f>
        <v/>
      </c>
      <c r="P116" s="41">
        <f>IF($L116="","",INT(($L116-INT($L116/1000000000)*1000000000)/10000000))</f>
        <v/>
      </c>
    </row>
    <row r="117">
      <c r="B117" s="36">
        <f>IF($L117="","",$M117)</f>
        <v/>
      </c>
      <c r="C117" s="16">
        <f>IF($L117="","",INDEX(HSI!$C$7:$C$106,$N117))</f>
        <v/>
      </c>
      <c r="D117" s="16">
        <f>IF($L117="","",INDEX(HSI!$D$7:$D$106,$N117))</f>
        <v/>
      </c>
      <c r="E117" s="37">
        <f>IF($L117="","",IF(INT($P117/10)=0,"TBA",IFERROR(INDEX(Grids!$BQ$9:$EC$108,$N117,$O117),"-")))</f>
        <v/>
      </c>
      <c r="F117" s="16">
        <f>IF($L117="","",INDEX(HSI!$F$7:$F$106,$N117))</f>
        <v/>
      </c>
      <c r="G117" s="37">
        <f>IF($L117="","",IF(INT($P117/10)=0,"TBA",IFERROR(INDEX(Grids!$EE$9:$GQ$108,$N117,$O117),"-")))</f>
        <v/>
      </c>
      <c r="H117" s="38">
        <f>IF($L117="","",SUM($G$10:$G117))</f>
        <v/>
      </c>
      <c r="I117" s="39">
        <f>IF($L117="","",IF(INT(($L117-INT($L117/10000000)*10000000)/1000000)=0,"Bloomberg projection",IF(INT($P117/10)=1,"Announced","ANNOUNCED - amount TBA"))&amp;IF(($P117-INT($P117/10)*10)=1," (special)","")&amp;IF((($P117-INT($P117/10)*10)=1)*(Summary!$C$13="N")&gt;0," - excluded by your specials switch",""))</f>
        <v/>
      </c>
      <c r="J117" s="40">
        <f>IF($L117="","",IF((Override!$C$4="ON")*ISNUMBER(INDEX(Override!$G$13:$G$112,$N117))&gt;0,"stock overridden",""))</f>
        <v/>
      </c>
      <c r="L117" s="41">
        <f>IFERROR(IF(SMALL(Grids!$C$9:$BO$108,$M$7+108)&gt;=(Summary!$C$15+1)*1000000000,"",SMALL(Grids!$C$9:$BO$108,$M$7+108)),"")</f>
        <v/>
      </c>
      <c r="M117" s="41">
        <f>IF($L117="","",INT($L117/1000000000))</f>
        <v/>
      </c>
      <c r="N117" s="41">
        <f>IF($L117="","",INT(($L117-INT($L117/1000000)*1000000)/1000))</f>
        <v/>
      </c>
      <c r="O117" s="41">
        <f>IF($L117="","",$L117-INT($L117/1000)*1000)</f>
        <v/>
      </c>
      <c r="P117" s="41">
        <f>IF($L117="","",INT(($L117-INT($L117/1000000000)*1000000000)/10000000))</f>
        <v/>
      </c>
    </row>
    <row r="118">
      <c r="B118" s="36">
        <f>IF($L118="","",$M118)</f>
        <v/>
      </c>
      <c r="C118" s="16">
        <f>IF($L118="","",INDEX(HSI!$C$7:$C$106,$N118))</f>
        <v/>
      </c>
      <c r="D118" s="16">
        <f>IF($L118="","",INDEX(HSI!$D$7:$D$106,$N118))</f>
        <v/>
      </c>
      <c r="E118" s="37">
        <f>IF($L118="","",IF(INT($P118/10)=0,"TBA",IFERROR(INDEX(Grids!$BQ$9:$EC$108,$N118,$O118),"-")))</f>
        <v/>
      </c>
      <c r="F118" s="16">
        <f>IF($L118="","",INDEX(HSI!$F$7:$F$106,$N118))</f>
        <v/>
      </c>
      <c r="G118" s="37">
        <f>IF($L118="","",IF(INT($P118/10)=0,"TBA",IFERROR(INDEX(Grids!$EE$9:$GQ$108,$N118,$O118),"-")))</f>
        <v/>
      </c>
      <c r="H118" s="38">
        <f>IF($L118="","",SUM($G$10:$G118))</f>
        <v/>
      </c>
      <c r="I118" s="39">
        <f>IF($L118="","",IF(INT(($L118-INT($L118/10000000)*10000000)/1000000)=0,"Bloomberg projection",IF(INT($P118/10)=1,"Announced","ANNOUNCED - amount TBA"))&amp;IF(($P118-INT($P118/10)*10)=1," (special)","")&amp;IF((($P118-INT($P118/10)*10)=1)*(Summary!$C$13="N")&gt;0," - excluded by your specials switch",""))</f>
        <v/>
      </c>
      <c r="J118" s="40">
        <f>IF($L118="","",IF((Override!$C$4="ON")*ISNUMBER(INDEX(Override!$G$13:$G$112,$N118))&gt;0,"stock overridden",""))</f>
        <v/>
      </c>
      <c r="L118" s="41">
        <f>IFERROR(IF(SMALL(Grids!$C$9:$BO$108,$M$7+109)&gt;=(Summary!$C$15+1)*1000000000,"",SMALL(Grids!$C$9:$BO$108,$M$7+109)),"")</f>
        <v/>
      </c>
      <c r="M118" s="41">
        <f>IF($L118="","",INT($L118/1000000000))</f>
        <v/>
      </c>
      <c r="N118" s="41">
        <f>IF($L118="","",INT(($L118-INT($L118/1000000)*1000000)/1000))</f>
        <v/>
      </c>
      <c r="O118" s="41">
        <f>IF($L118="","",$L118-INT($L118/1000)*1000)</f>
        <v/>
      </c>
      <c r="P118" s="41">
        <f>IF($L118="","",INT(($L118-INT($L118/1000000000)*1000000000)/10000000))</f>
        <v/>
      </c>
    </row>
    <row r="119">
      <c r="B119" s="36">
        <f>IF($L119="","",$M119)</f>
        <v/>
      </c>
      <c r="C119" s="16">
        <f>IF($L119="","",INDEX(HSI!$C$7:$C$106,$N119))</f>
        <v/>
      </c>
      <c r="D119" s="16">
        <f>IF($L119="","",INDEX(HSI!$D$7:$D$106,$N119))</f>
        <v/>
      </c>
      <c r="E119" s="37">
        <f>IF($L119="","",IF(INT($P119/10)=0,"TBA",IFERROR(INDEX(Grids!$BQ$9:$EC$108,$N119,$O119),"-")))</f>
        <v/>
      </c>
      <c r="F119" s="16">
        <f>IF($L119="","",INDEX(HSI!$F$7:$F$106,$N119))</f>
        <v/>
      </c>
      <c r="G119" s="37">
        <f>IF($L119="","",IF(INT($P119/10)=0,"TBA",IFERROR(INDEX(Grids!$EE$9:$GQ$108,$N119,$O119),"-")))</f>
        <v/>
      </c>
      <c r="H119" s="38">
        <f>IF($L119="","",SUM($G$10:$G119))</f>
        <v/>
      </c>
      <c r="I119" s="39">
        <f>IF($L119="","",IF(INT(($L119-INT($L119/10000000)*10000000)/1000000)=0,"Bloomberg projection",IF(INT($P119/10)=1,"Announced","ANNOUNCED - amount TBA"))&amp;IF(($P119-INT($P119/10)*10)=1," (special)","")&amp;IF((($P119-INT($P119/10)*10)=1)*(Summary!$C$13="N")&gt;0," - excluded by your specials switch",""))</f>
        <v/>
      </c>
      <c r="J119" s="40">
        <f>IF($L119="","",IF((Override!$C$4="ON")*ISNUMBER(INDEX(Override!$G$13:$G$112,$N119))&gt;0,"stock overridden",""))</f>
        <v/>
      </c>
      <c r="L119" s="41">
        <f>IFERROR(IF(SMALL(Grids!$C$9:$BO$108,$M$7+110)&gt;=(Summary!$C$15+1)*1000000000,"",SMALL(Grids!$C$9:$BO$108,$M$7+110)),"")</f>
        <v/>
      </c>
      <c r="M119" s="41">
        <f>IF($L119="","",INT($L119/1000000000))</f>
        <v/>
      </c>
      <c r="N119" s="41">
        <f>IF($L119="","",INT(($L119-INT($L119/1000000)*1000000)/1000))</f>
        <v/>
      </c>
      <c r="O119" s="41">
        <f>IF($L119="","",$L119-INT($L119/1000)*1000)</f>
        <v/>
      </c>
      <c r="P119" s="41">
        <f>IF($L119="","",INT(($L119-INT($L119/1000000000)*1000000000)/10000000))</f>
        <v/>
      </c>
    </row>
    <row r="120">
      <c r="B120" s="36">
        <f>IF($L120="","",$M120)</f>
        <v/>
      </c>
      <c r="C120" s="16">
        <f>IF($L120="","",INDEX(HSI!$C$7:$C$106,$N120))</f>
        <v/>
      </c>
      <c r="D120" s="16">
        <f>IF($L120="","",INDEX(HSI!$D$7:$D$106,$N120))</f>
        <v/>
      </c>
      <c r="E120" s="37">
        <f>IF($L120="","",IF(INT($P120/10)=0,"TBA",IFERROR(INDEX(Grids!$BQ$9:$EC$108,$N120,$O120),"-")))</f>
        <v/>
      </c>
      <c r="F120" s="16">
        <f>IF($L120="","",INDEX(HSI!$F$7:$F$106,$N120))</f>
        <v/>
      </c>
      <c r="G120" s="37">
        <f>IF($L120="","",IF(INT($P120/10)=0,"TBA",IFERROR(INDEX(Grids!$EE$9:$GQ$108,$N120,$O120),"-")))</f>
        <v/>
      </c>
      <c r="H120" s="38">
        <f>IF($L120="","",SUM($G$10:$G120))</f>
        <v/>
      </c>
      <c r="I120" s="39">
        <f>IF($L120="","",IF(INT(($L120-INT($L120/10000000)*10000000)/1000000)=0,"Bloomberg projection",IF(INT($P120/10)=1,"Announced","ANNOUNCED - amount TBA"))&amp;IF(($P120-INT($P120/10)*10)=1," (special)","")&amp;IF((($P120-INT($P120/10)*10)=1)*(Summary!$C$13="N")&gt;0," - excluded by your specials switch",""))</f>
        <v/>
      </c>
      <c r="J120" s="40">
        <f>IF($L120="","",IF((Override!$C$4="ON")*ISNUMBER(INDEX(Override!$G$13:$G$112,$N120))&gt;0,"stock overridden",""))</f>
        <v/>
      </c>
      <c r="L120" s="41">
        <f>IFERROR(IF(SMALL(Grids!$C$9:$BO$108,$M$7+111)&gt;=(Summary!$C$15+1)*1000000000,"",SMALL(Grids!$C$9:$BO$108,$M$7+111)),"")</f>
        <v/>
      </c>
      <c r="M120" s="41">
        <f>IF($L120="","",INT($L120/1000000000))</f>
        <v/>
      </c>
      <c r="N120" s="41">
        <f>IF($L120="","",INT(($L120-INT($L120/1000000)*1000000)/1000))</f>
        <v/>
      </c>
      <c r="O120" s="41">
        <f>IF($L120="","",$L120-INT($L120/1000)*1000)</f>
        <v/>
      </c>
      <c r="P120" s="41">
        <f>IF($L120="","",INT(($L120-INT($L120/1000000000)*1000000000)/10000000))</f>
        <v/>
      </c>
    </row>
    <row r="121">
      <c r="B121" s="36">
        <f>IF($L121="","",$M121)</f>
        <v/>
      </c>
      <c r="C121" s="16">
        <f>IF($L121="","",INDEX(HSI!$C$7:$C$106,$N121))</f>
        <v/>
      </c>
      <c r="D121" s="16">
        <f>IF($L121="","",INDEX(HSI!$D$7:$D$106,$N121))</f>
        <v/>
      </c>
      <c r="E121" s="37">
        <f>IF($L121="","",IF(INT($P121/10)=0,"TBA",IFERROR(INDEX(Grids!$BQ$9:$EC$108,$N121,$O121),"-")))</f>
        <v/>
      </c>
      <c r="F121" s="16">
        <f>IF($L121="","",INDEX(HSI!$F$7:$F$106,$N121))</f>
        <v/>
      </c>
      <c r="G121" s="37">
        <f>IF($L121="","",IF(INT($P121/10)=0,"TBA",IFERROR(INDEX(Grids!$EE$9:$GQ$108,$N121,$O121),"-")))</f>
        <v/>
      </c>
      <c r="H121" s="38">
        <f>IF($L121="","",SUM($G$10:$G121))</f>
        <v/>
      </c>
      <c r="I121" s="39">
        <f>IF($L121="","",IF(INT(($L121-INT($L121/10000000)*10000000)/1000000)=0,"Bloomberg projection",IF(INT($P121/10)=1,"Announced","ANNOUNCED - amount TBA"))&amp;IF(($P121-INT($P121/10)*10)=1," (special)","")&amp;IF((($P121-INT($P121/10)*10)=1)*(Summary!$C$13="N")&gt;0," - excluded by your specials switch",""))</f>
        <v/>
      </c>
      <c r="J121" s="40">
        <f>IF($L121="","",IF((Override!$C$4="ON")*ISNUMBER(INDEX(Override!$G$13:$G$112,$N121))&gt;0,"stock overridden",""))</f>
        <v/>
      </c>
      <c r="L121" s="41">
        <f>IFERROR(IF(SMALL(Grids!$C$9:$BO$108,$M$7+112)&gt;=(Summary!$C$15+1)*1000000000,"",SMALL(Grids!$C$9:$BO$108,$M$7+112)),"")</f>
        <v/>
      </c>
      <c r="M121" s="41">
        <f>IF($L121="","",INT($L121/1000000000))</f>
        <v/>
      </c>
      <c r="N121" s="41">
        <f>IF($L121="","",INT(($L121-INT($L121/1000000)*1000000)/1000))</f>
        <v/>
      </c>
      <c r="O121" s="41">
        <f>IF($L121="","",$L121-INT($L121/1000)*1000)</f>
        <v/>
      </c>
      <c r="P121" s="41">
        <f>IF($L121="","",INT(($L121-INT($L121/1000000000)*1000000000)/10000000))</f>
        <v/>
      </c>
    </row>
    <row r="122">
      <c r="B122" s="36">
        <f>IF($L122="","",$M122)</f>
        <v/>
      </c>
      <c r="C122" s="16">
        <f>IF($L122="","",INDEX(HSI!$C$7:$C$106,$N122))</f>
        <v/>
      </c>
      <c r="D122" s="16">
        <f>IF($L122="","",INDEX(HSI!$D$7:$D$106,$N122))</f>
        <v/>
      </c>
      <c r="E122" s="37">
        <f>IF($L122="","",IF(INT($P122/10)=0,"TBA",IFERROR(INDEX(Grids!$BQ$9:$EC$108,$N122,$O122),"-")))</f>
        <v/>
      </c>
      <c r="F122" s="16">
        <f>IF($L122="","",INDEX(HSI!$F$7:$F$106,$N122))</f>
        <v/>
      </c>
      <c r="G122" s="37">
        <f>IF($L122="","",IF(INT($P122/10)=0,"TBA",IFERROR(INDEX(Grids!$EE$9:$GQ$108,$N122,$O122),"-")))</f>
        <v/>
      </c>
      <c r="H122" s="38">
        <f>IF($L122="","",SUM($G$10:$G122))</f>
        <v/>
      </c>
      <c r="I122" s="39">
        <f>IF($L122="","",IF(INT(($L122-INT($L122/10000000)*10000000)/1000000)=0,"Bloomberg projection",IF(INT($P122/10)=1,"Announced","ANNOUNCED - amount TBA"))&amp;IF(($P122-INT($P122/10)*10)=1," (special)","")&amp;IF((($P122-INT($P122/10)*10)=1)*(Summary!$C$13="N")&gt;0," - excluded by your specials switch",""))</f>
        <v/>
      </c>
      <c r="J122" s="40">
        <f>IF($L122="","",IF((Override!$C$4="ON")*ISNUMBER(INDEX(Override!$G$13:$G$112,$N122))&gt;0,"stock overridden",""))</f>
        <v/>
      </c>
      <c r="L122" s="41">
        <f>IFERROR(IF(SMALL(Grids!$C$9:$BO$108,$M$7+113)&gt;=(Summary!$C$15+1)*1000000000,"",SMALL(Grids!$C$9:$BO$108,$M$7+113)),"")</f>
        <v/>
      </c>
      <c r="M122" s="41">
        <f>IF($L122="","",INT($L122/1000000000))</f>
        <v/>
      </c>
      <c r="N122" s="41">
        <f>IF($L122="","",INT(($L122-INT($L122/1000000)*1000000)/1000))</f>
        <v/>
      </c>
      <c r="O122" s="41">
        <f>IF($L122="","",$L122-INT($L122/1000)*1000)</f>
        <v/>
      </c>
      <c r="P122" s="41">
        <f>IF($L122="","",INT(($L122-INT($L122/1000000000)*1000000000)/10000000))</f>
        <v/>
      </c>
    </row>
    <row r="123">
      <c r="B123" s="36">
        <f>IF($L123="","",$M123)</f>
        <v/>
      </c>
      <c r="C123" s="16">
        <f>IF($L123="","",INDEX(HSI!$C$7:$C$106,$N123))</f>
        <v/>
      </c>
      <c r="D123" s="16">
        <f>IF($L123="","",INDEX(HSI!$D$7:$D$106,$N123))</f>
        <v/>
      </c>
      <c r="E123" s="37">
        <f>IF($L123="","",IF(INT($P123/10)=0,"TBA",IFERROR(INDEX(Grids!$BQ$9:$EC$108,$N123,$O123),"-")))</f>
        <v/>
      </c>
      <c r="F123" s="16">
        <f>IF($L123="","",INDEX(HSI!$F$7:$F$106,$N123))</f>
        <v/>
      </c>
      <c r="G123" s="37">
        <f>IF($L123="","",IF(INT($P123/10)=0,"TBA",IFERROR(INDEX(Grids!$EE$9:$GQ$108,$N123,$O123),"-")))</f>
        <v/>
      </c>
      <c r="H123" s="38">
        <f>IF($L123="","",SUM($G$10:$G123))</f>
        <v/>
      </c>
      <c r="I123" s="39">
        <f>IF($L123="","",IF(INT(($L123-INT($L123/10000000)*10000000)/1000000)=0,"Bloomberg projection",IF(INT($P123/10)=1,"Announced","ANNOUNCED - amount TBA"))&amp;IF(($P123-INT($P123/10)*10)=1," (special)","")&amp;IF((($P123-INT($P123/10)*10)=1)*(Summary!$C$13="N")&gt;0," - excluded by your specials switch",""))</f>
        <v/>
      </c>
      <c r="J123" s="40">
        <f>IF($L123="","",IF((Override!$C$4="ON")*ISNUMBER(INDEX(Override!$G$13:$G$112,$N123))&gt;0,"stock overridden",""))</f>
        <v/>
      </c>
      <c r="L123" s="41">
        <f>IFERROR(IF(SMALL(Grids!$C$9:$BO$108,$M$7+114)&gt;=(Summary!$C$15+1)*1000000000,"",SMALL(Grids!$C$9:$BO$108,$M$7+114)),"")</f>
        <v/>
      </c>
      <c r="M123" s="41">
        <f>IF($L123="","",INT($L123/1000000000))</f>
        <v/>
      </c>
      <c r="N123" s="41">
        <f>IF($L123="","",INT(($L123-INT($L123/1000000)*1000000)/1000))</f>
        <v/>
      </c>
      <c r="O123" s="41">
        <f>IF($L123="","",$L123-INT($L123/1000)*1000)</f>
        <v/>
      </c>
      <c r="P123" s="41">
        <f>IF($L123="","",INT(($L123-INT($L123/1000000000)*1000000000)/10000000))</f>
        <v/>
      </c>
    </row>
    <row r="124">
      <c r="B124" s="36">
        <f>IF($L124="","",$M124)</f>
        <v/>
      </c>
      <c r="C124" s="16">
        <f>IF($L124="","",INDEX(HSI!$C$7:$C$106,$N124))</f>
        <v/>
      </c>
      <c r="D124" s="16">
        <f>IF($L124="","",INDEX(HSI!$D$7:$D$106,$N124))</f>
        <v/>
      </c>
      <c r="E124" s="37">
        <f>IF($L124="","",IF(INT($P124/10)=0,"TBA",IFERROR(INDEX(Grids!$BQ$9:$EC$108,$N124,$O124),"-")))</f>
        <v/>
      </c>
      <c r="F124" s="16">
        <f>IF($L124="","",INDEX(HSI!$F$7:$F$106,$N124))</f>
        <v/>
      </c>
      <c r="G124" s="37">
        <f>IF($L124="","",IF(INT($P124/10)=0,"TBA",IFERROR(INDEX(Grids!$EE$9:$GQ$108,$N124,$O124),"-")))</f>
        <v/>
      </c>
      <c r="H124" s="38">
        <f>IF($L124="","",SUM($G$10:$G124))</f>
        <v/>
      </c>
      <c r="I124" s="39">
        <f>IF($L124="","",IF(INT(($L124-INT($L124/10000000)*10000000)/1000000)=0,"Bloomberg projection",IF(INT($P124/10)=1,"Announced","ANNOUNCED - amount TBA"))&amp;IF(($P124-INT($P124/10)*10)=1," (special)","")&amp;IF((($P124-INT($P124/10)*10)=1)*(Summary!$C$13="N")&gt;0," - excluded by your specials switch",""))</f>
        <v/>
      </c>
      <c r="J124" s="40">
        <f>IF($L124="","",IF((Override!$C$4="ON")*ISNUMBER(INDEX(Override!$G$13:$G$112,$N124))&gt;0,"stock overridden",""))</f>
        <v/>
      </c>
      <c r="L124" s="41">
        <f>IFERROR(IF(SMALL(Grids!$C$9:$BO$108,$M$7+115)&gt;=(Summary!$C$15+1)*1000000000,"",SMALL(Grids!$C$9:$BO$108,$M$7+115)),"")</f>
        <v/>
      </c>
      <c r="M124" s="41">
        <f>IF($L124="","",INT($L124/1000000000))</f>
        <v/>
      </c>
      <c r="N124" s="41">
        <f>IF($L124="","",INT(($L124-INT($L124/1000000)*1000000)/1000))</f>
        <v/>
      </c>
      <c r="O124" s="41">
        <f>IF($L124="","",$L124-INT($L124/1000)*1000)</f>
        <v/>
      </c>
      <c r="P124" s="41">
        <f>IF($L124="","",INT(($L124-INT($L124/1000000000)*1000000000)/10000000))</f>
        <v/>
      </c>
    </row>
    <row r="125">
      <c r="B125" s="36">
        <f>IF($L125="","",$M125)</f>
        <v/>
      </c>
      <c r="C125" s="16">
        <f>IF($L125="","",INDEX(HSI!$C$7:$C$106,$N125))</f>
        <v/>
      </c>
      <c r="D125" s="16">
        <f>IF($L125="","",INDEX(HSI!$D$7:$D$106,$N125))</f>
        <v/>
      </c>
      <c r="E125" s="37">
        <f>IF($L125="","",IF(INT($P125/10)=0,"TBA",IFERROR(INDEX(Grids!$BQ$9:$EC$108,$N125,$O125),"-")))</f>
        <v/>
      </c>
      <c r="F125" s="16">
        <f>IF($L125="","",INDEX(HSI!$F$7:$F$106,$N125))</f>
        <v/>
      </c>
      <c r="G125" s="37">
        <f>IF($L125="","",IF(INT($P125/10)=0,"TBA",IFERROR(INDEX(Grids!$EE$9:$GQ$108,$N125,$O125),"-")))</f>
        <v/>
      </c>
      <c r="H125" s="38">
        <f>IF($L125="","",SUM($G$10:$G125))</f>
        <v/>
      </c>
      <c r="I125" s="39">
        <f>IF($L125="","",IF(INT(($L125-INT($L125/10000000)*10000000)/1000000)=0,"Bloomberg projection",IF(INT($P125/10)=1,"Announced","ANNOUNCED - amount TBA"))&amp;IF(($P125-INT($P125/10)*10)=1," (special)","")&amp;IF((($P125-INT($P125/10)*10)=1)*(Summary!$C$13="N")&gt;0," - excluded by your specials switch",""))</f>
        <v/>
      </c>
      <c r="J125" s="40">
        <f>IF($L125="","",IF((Override!$C$4="ON")*ISNUMBER(INDEX(Override!$G$13:$G$112,$N125))&gt;0,"stock overridden",""))</f>
        <v/>
      </c>
      <c r="L125" s="41">
        <f>IFERROR(IF(SMALL(Grids!$C$9:$BO$108,$M$7+116)&gt;=(Summary!$C$15+1)*1000000000,"",SMALL(Grids!$C$9:$BO$108,$M$7+116)),"")</f>
        <v/>
      </c>
      <c r="M125" s="41">
        <f>IF($L125="","",INT($L125/1000000000))</f>
        <v/>
      </c>
      <c r="N125" s="41">
        <f>IF($L125="","",INT(($L125-INT($L125/1000000)*1000000)/1000))</f>
        <v/>
      </c>
      <c r="O125" s="41">
        <f>IF($L125="","",$L125-INT($L125/1000)*1000)</f>
        <v/>
      </c>
      <c r="P125" s="41">
        <f>IF($L125="","",INT(($L125-INT($L125/1000000000)*1000000000)/10000000))</f>
        <v/>
      </c>
    </row>
    <row r="126">
      <c r="B126" s="36">
        <f>IF($L126="","",$M126)</f>
        <v/>
      </c>
      <c r="C126" s="16">
        <f>IF($L126="","",INDEX(HSI!$C$7:$C$106,$N126))</f>
        <v/>
      </c>
      <c r="D126" s="16">
        <f>IF($L126="","",INDEX(HSI!$D$7:$D$106,$N126))</f>
        <v/>
      </c>
      <c r="E126" s="37">
        <f>IF($L126="","",IF(INT($P126/10)=0,"TBA",IFERROR(INDEX(Grids!$BQ$9:$EC$108,$N126,$O126),"-")))</f>
        <v/>
      </c>
      <c r="F126" s="16">
        <f>IF($L126="","",INDEX(HSI!$F$7:$F$106,$N126))</f>
        <v/>
      </c>
      <c r="G126" s="37">
        <f>IF($L126="","",IF(INT($P126/10)=0,"TBA",IFERROR(INDEX(Grids!$EE$9:$GQ$108,$N126,$O126),"-")))</f>
        <v/>
      </c>
      <c r="H126" s="38">
        <f>IF($L126="","",SUM($G$10:$G126))</f>
        <v/>
      </c>
      <c r="I126" s="39">
        <f>IF($L126="","",IF(INT(($L126-INT($L126/10000000)*10000000)/1000000)=0,"Bloomberg projection",IF(INT($P126/10)=1,"Announced","ANNOUNCED - amount TBA"))&amp;IF(($P126-INT($P126/10)*10)=1," (special)","")&amp;IF((($P126-INT($P126/10)*10)=1)*(Summary!$C$13="N")&gt;0," - excluded by your specials switch",""))</f>
        <v/>
      </c>
      <c r="J126" s="40">
        <f>IF($L126="","",IF((Override!$C$4="ON")*ISNUMBER(INDEX(Override!$G$13:$G$112,$N126))&gt;0,"stock overridden",""))</f>
        <v/>
      </c>
      <c r="L126" s="41">
        <f>IFERROR(IF(SMALL(Grids!$C$9:$BO$108,$M$7+117)&gt;=(Summary!$C$15+1)*1000000000,"",SMALL(Grids!$C$9:$BO$108,$M$7+117)),"")</f>
        <v/>
      </c>
      <c r="M126" s="41">
        <f>IF($L126="","",INT($L126/1000000000))</f>
        <v/>
      </c>
      <c r="N126" s="41">
        <f>IF($L126="","",INT(($L126-INT($L126/1000000)*1000000)/1000))</f>
        <v/>
      </c>
      <c r="O126" s="41">
        <f>IF($L126="","",$L126-INT($L126/1000)*1000)</f>
        <v/>
      </c>
      <c r="P126" s="41">
        <f>IF($L126="","",INT(($L126-INT($L126/1000000000)*1000000000)/10000000))</f>
        <v/>
      </c>
    </row>
    <row r="127">
      <c r="B127" s="36">
        <f>IF($L127="","",$M127)</f>
        <v/>
      </c>
      <c r="C127" s="16">
        <f>IF($L127="","",INDEX(HSI!$C$7:$C$106,$N127))</f>
        <v/>
      </c>
      <c r="D127" s="16">
        <f>IF($L127="","",INDEX(HSI!$D$7:$D$106,$N127))</f>
        <v/>
      </c>
      <c r="E127" s="37">
        <f>IF($L127="","",IF(INT($P127/10)=0,"TBA",IFERROR(INDEX(Grids!$BQ$9:$EC$108,$N127,$O127),"-")))</f>
        <v/>
      </c>
      <c r="F127" s="16">
        <f>IF($L127="","",INDEX(HSI!$F$7:$F$106,$N127))</f>
        <v/>
      </c>
      <c r="G127" s="37">
        <f>IF($L127="","",IF(INT($P127/10)=0,"TBA",IFERROR(INDEX(Grids!$EE$9:$GQ$108,$N127,$O127),"-")))</f>
        <v/>
      </c>
      <c r="H127" s="38">
        <f>IF($L127="","",SUM($G$10:$G127))</f>
        <v/>
      </c>
      <c r="I127" s="39">
        <f>IF($L127="","",IF(INT(($L127-INT($L127/10000000)*10000000)/1000000)=0,"Bloomberg projection",IF(INT($P127/10)=1,"Announced","ANNOUNCED - amount TBA"))&amp;IF(($P127-INT($P127/10)*10)=1," (special)","")&amp;IF((($P127-INT($P127/10)*10)=1)*(Summary!$C$13="N")&gt;0," - excluded by your specials switch",""))</f>
        <v/>
      </c>
      <c r="J127" s="40">
        <f>IF($L127="","",IF((Override!$C$4="ON")*ISNUMBER(INDEX(Override!$G$13:$G$112,$N127))&gt;0,"stock overridden",""))</f>
        <v/>
      </c>
      <c r="L127" s="41">
        <f>IFERROR(IF(SMALL(Grids!$C$9:$BO$108,$M$7+118)&gt;=(Summary!$C$15+1)*1000000000,"",SMALL(Grids!$C$9:$BO$108,$M$7+118)),"")</f>
        <v/>
      </c>
      <c r="M127" s="41">
        <f>IF($L127="","",INT($L127/1000000000))</f>
        <v/>
      </c>
      <c r="N127" s="41">
        <f>IF($L127="","",INT(($L127-INT($L127/1000000)*1000000)/1000))</f>
        <v/>
      </c>
      <c r="O127" s="41">
        <f>IF($L127="","",$L127-INT($L127/1000)*1000)</f>
        <v/>
      </c>
      <c r="P127" s="41">
        <f>IF($L127="","",INT(($L127-INT($L127/1000000000)*1000000000)/10000000))</f>
        <v/>
      </c>
    </row>
    <row r="128">
      <c r="B128" s="36">
        <f>IF($L128="","",$M128)</f>
        <v/>
      </c>
      <c r="C128" s="16">
        <f>IF($L128="","",INDEX(HSI!$C$7:$C$106,$N128))</f>
        <v/>
      </c>
      <c r="D128" s="16">
        <f>IF($L128="","",INDEX(HSI!$D$7:$D$106,$N128))</f>
        <v/>
      </c>
      <c r="E128" s="37">
        <f>IF($L128="","",IF(INT($P128/10)=0,"TBA",IFERROR(INDEX(Grids!$BQ$9:$EC$108,$N128,$O128),"-")))</f>
        <v/>
      </c>
      <c r="F128" s="16">
        <f>IF($L128="","",INDEX(HSI!$F$7:$F$106,$N128))</f>
        <v/>
      </c>
      <c r="G128" s="37">
        <f>IF($L128="","",IF(INT($P128/10)=0,"TBA",IFERROR(INDEX(Grids!$EE$9:$GQ$108,$N128,$O128),"-")))</f>
        <v/>
      </c>
      <c r="H128" s="38">
        <f>IF($L128="","",SUM($G$10:$G128))</f>
        <v/>
      </c>
      <c r="I128" s="39">
        <f>IF($L128="","",IF(INT(($L128-INT($L128/10000000)*10000000)/1000000)=0,"Bloomberg projection",IF(INT($P128/10)=1,"Announced","ANNOUNCED - amount TBA"))&amp;IF(($P128-INT($P128/10)*10)=1," (special)","")&amp;IF((($P128-INT($P128/10)*10)=1)*(Summary!$C$13="N")&gt;0," - excluded by your specials switch",""))</f>
        <v/>
      </c>
      <c r="J128" s="40">
        <f>IF($L128="","",IF((Override!$C$4="ON")*ISNUMBER(INDEX(Override!$G$13:$G$112,$N128))&gt;0,"stock overridden",""))</f>
        <v/>
      </c>
      <c r="L128" s="41">
        <f>IFERROR(IF(SMALL(Grids!$C$9:$BO$108,$M$7+119)&gt;=(Summary!$C$15+1)*1000000000,"",SMALL(Grids!$C$9:$BO$108,$M$7+119)),"")</f>
        <v/>
      </c>
      <c r="M128" s="41">
        <f>IF($L128="","",INT($L128/1000000000))</f>
        <v/>
      </c>
      <c r="N128" s="41">
        <f>IF($L128="","",INT(($L128-INT($L128/1000000)*1000000)/1000))</f>
        <v/>
      </c>
      <c r="O128" s="41">
        <f>IF($L128="","",$L128-INT($L128/1000)*1000)</f>
        <v/>
      </c>
      <c r="P128" s="41">
        <f>IF($L128="","",INT(($L128-INT($L128/1000000000)*1000000000)/10000000))</f>
        <v/>
      </c>
    </row>
    <row r="129">
      <c r="B129" s="36">
        <f>IF($L129="","",$M129)</f>
        <v/>
      </c>
      <c r="C129" s="16">
        <f>IF($L129="","",INDEX(HSI!$C$7:$C$106,$N129))</f>
        <v/>
      </c>
      <c r="D129" s="16">
        <f>IF($L129="","",INDEX(HSI!$D$7:$D$106,$N129))</f>
        <v/>
      </c>
      <c r="E129" s="37">
        <f>IF($L129="","",IF(INT($P129/10)=0,"TBA",IFERROR(INDEX(Grids!$BQ$9:$EC$108,$N129,$O129),"-")))</f>
        <v/>
      </c>
      <c r="F129" s="16">
        <f>IF($L129="","",INDEX(HSI!$F$7:$F$106,$N129))</f>
        <v/>
      </c>
      <c r="G129" s="37">
        <f>IF($L129="","",IF(INT($P129/10)=0,"TBA",IFERROR(INDEX(Grids!$EE$9:$GQ$108,$N129,$O129),"-")))</f>
        <v/>
      </c>
      <c r="H129" s="38">
        <f>IF($L129="","",SUM($G$10:$G129))</f>
        <v/>
      </c>
      <c r="I129" s="39">
        <f>IF($L129="","",IF(INT(($L129-INT($L129/10000000)*10000000)/1000000)=0,"Bloomberg projection",IF(INT($P129/10)=1,"Announced","ANNOUNCED - amount TBA"))&amp;IF(($P129-INT($P129/10)*10)=1," (special)","")&amp;IF((($P129-INT($P129/10)*10)=1)*(Summary!$C$13="N")&gt;0," - excluded by your specials switch",""))</f>
        <v/>
      </c>
      <c r="J129" s="40">
        <f>IF($L129="","",IF((Override!$C$4="ON")*ISNUMBER(INDEX(Override!$G$13:$G$112,$N129))&gt;0,"stock overridden",""))</f>
        <v/>
      </c>
      <c r="L129" s="41">
        <f>IFERROR(IF(SMALL(Grids!$C$9:$BO$108,$M$7+120)&gt;=(Summary!$C$15+1)*1000000000,"",SMALL(Grids!$C$9:$BO$108,$M$7+120)),"")</f>
        <v/>
      </c>
      <c r="M129" s="41">
        <f>IF($L129="","",INT($L129/1000000000))</f>
        <v/>
      </c>
      <c r="N129" s="41">
        <f>IF($L129="","",INT(($L129-INT($L129/1000000)*1000000)/1000))</f>
        <v/>
      </c>
      <c r="O129" s="41">
        <f>IF($L129="","",$L129-INT($L129/1000)*1000)</f>
        <v/>
      </c>
      <c r="P129" s="41">
        <f>IF($L129="","",INT(($L129-INT($L129/1000000000)*1000000000)/10000000))</f>
        <v/>
      </c>
    </row>
    <row r="130">
      <c r="B130" s="36">
        <f>IF($L130="","",$M130)</f>
        <v/>
      </c>
      <c r="C130" s="16">
        <f>IF($L130="","",INDEX(HSI!$C$7:$C$106,$N130))</f>
        <v/>
      </c>
      <c r="D130" s="16">
        <f>IF($L130="","",INDEX(HSI!$D$7:$D$106,$N130))</f>
        <v/>
      </c>
      <c r="E130" s="37">
        <f>IF($L130="","",IF(INT($P130/10)=0,"TBA",IFERROR(INDEX(Grids!$BQ$9:$EC$108,$N130,$O130),"-")))</f>
        <v/>
      </c>
      <c r="F130" s="16">
        <f>IF($L130="","",INDEX(HSI!$F$7:$F$106,$N130))</f>
        <v/>
      </c>
      <c r="G130" s="37">
        <f>IF($L130="","",IF(INT($P130/10)=0,"TBA",IFERROR(INDEX(Grids!$EE$9:$GQ$108,$N130,$O130),"-")))</f>
        <v/>
      </c>
      <c r="H130" s="38">
        <f>IF($L130="","",SUM($G$10:$G130))</f>
        <v/>
      </c>
      <c r="I130" s="39">
        <f>IF($L130="","",IF(INT(($L130-INT($L130/10000000)*10000000)/1000000)=0,"Bloomberg projection",IF(INT($P130/10)=1,"Announced","ANNOUNCED - amount TBA"))&amp;IF(($P130-INT($P130/10)*10)=1," (special)","")&amp;IF((($P130-INT($P130/10)*10)=1)*(Summary!$C$13="N")&gt;0," - excluded by your specials switch",""))</f>
        <v/>
      </c>
      <c r="J130" s="40">
        <f>IF($L130="","",IF((Override!$C$4="ON")*ISNUMBER(INDEX(Override!$G$13:$G$112,$N130))&gt;0,"stock overridden",""))</f>
        <v/>
      </c>
      <c r="L130" s="41">
        <f>IFERROR(IF(SMALL(Grids!$C$9:$BO$108,$M$7+121)&gt;=(Summary!$C$15+1)*1000000000,"",SMALL(Grids!$C$9:$BO$108,$M$7+121)),"")</f>
        <v/>
      </c>
      <c r="M130" s="41">
        <f>IF($L130="","",INT($L130/1000000000))</f>
        <v/>
      </c>
      <c r="N130" s="41">
        <f>IF($L130="","",INT(($L130-INT($L130/1000000)*1000000)/1000))</f>
        <v/>
      </c>
      <c r="O130" s="41">
        <f>IF($L130="","",$L130-INT($L130/1000)*1000)</f>
        <v/>
      </c>
      <c r="P130" s="41">
        <f>IF($L130="","",INT(($L130-INT($L130/1000000000)*1000000000)/10000000))</f>
        <v/>
      </c>
    </row>
    <row r="131">
      <c r="B131" s="36">
        <f>IF($L131="","",$M131)</f>
        <v/>
      </c>
      <c r="C131" s="16">
        <f>IF($L131="","",INDEX(HSI!$C$7:$C$106,$N131))</f>
        <v/>
      </c>
      <c r="D131" s="16">
        <f>IF($L131="","",INDEX(HSI!$D$7:$D$106,$N131))</f>
        <v/>
      </c>
      <c r="E131" s="37">
        <f>IF($L131="","",IF(INT($P131/10)=0,"TBA",IFERROR(INDEX(Grids!$BQ$9:$EC$108,$N131,$O131),"-")))</f>
        <v/>
      </c>
      <c r="F131" s="16">
        <f>IF($L131="","",INDEX(HSI!$F$7:$F$106,$N131))</f>
        <v/>
      </c>
      <c r="G131" s="37">
        <f>IF($L131="","",IF(INT($P131/10)=0,"TBA",IFERROR(INDEX(Grids!$EE$9:$GQ$108,$N131,$O131),"-")))</f>
        <v/>
      </c>
      <c r="H131" s="38">
        <f>IF($L131="","",SUM($G$10:$G131))</f>
        <v/>
      </c>
      <c r="I131" s="39">
        <f>IF($L131="","",IF(INT(($L131-INT($L131/10000000)*10000000)/1000000)=0,"Bloomberg projection",IF(INT($P131/10)=1,"Announced","ANNOUNCED - amount TBA"))&amp;IF(($P131-INT($P131/10)*10)=1," (special)","")&amp;IF((($P131-INT($P131/10)*10)=1)*(Summary!$C$13="N")&gt;0," - excluded by your specials switch",""))</f>
        <v/>
      </c>
      <c r="J131" s="40">
        <f>IF($L131="","",IF((Override!$C$4="ON")*ISNUMBER(INDEX(Override!$G$13:$G$112,$N131))&gt;0,"stock overridden",""))</f>
        <v/>
      </c>
      <c r="L131" s="41">
        <f>IFERROR(IF(SMALL(Grids!$C$9:$BO$108,$M$7+122)&gt;=(Summary!$C$15+1)*1000000000,"",SMALL(Grids!$C$9:$BO$108,$M$7+122)),"")</f>
        <v/>
      </c>
      <c r="M131" s="41">
        <f>IF($L131="","",INT($L131/1000000000))</f>
        <v/>
      </c>
      <c r="N131" s="41">
        <f>IF($L131="","",INT(($L131-INT($L131/1000000)*1000000)/1000))</f>
        <v/>
      </c>
      <c r="O131" s="41">
        <f>IF($L131="","",$L131-INT($L131/1000)*1000)</f>
        <v/>
      </c>
      <c r="P131" s="41">
        <f>IF($L131="","",INT(($L131-INT($L131/1000000000)*1000000000)/10000000))</f>
        <v/>
      </c>
    </row>
    <row r="132">
      <c r="B132" s="36">
        <f>IF($L132="","",$M132)</f>
        <v/>
      </c>
      <c r="C132" s="16">
        <f>IF($L132="","",INDEX(HSI!$C$7:$C$106,$N132))</f>
        <v/>
      </c>
      <c r="D132" s="16">
        <f>IF($L132="","",INDEX(HSI!$D$7:$D$106,$N132))</f>
        <v/>
      </c>
      <c r="E132" s="37">
        <f>IF($L132="","",IF(INT($P132/10)=0,"TBA",IFERROR(INDEX(Grids!$BQ$9:$EC$108,$N132,$O132),"-")))</f>
        <v/>
      </c>
      <c r="F132" s="16">
        <f>IF($L132="","",INDEX(HSI!$F$7:$F$106,$N132))</f>
        <v/>
      </c>
      <c r="G132" s="37">
        <f>IF($L132="","",IF(INT($P132/10)=0,"TBA",IFERROR(INDEX(Grids!$EE$9:$GQ$108,$N132,$O132),"-")))</f>
        <v/>
      </c>
      <c r="H132" s="38">
        <f>IF($L132="","",SUM($G$10:$G132))</f>
        <v/>
      </c>
      <c r="I132" s="39">
        <f>IF($L132="","",IF(INT(($L132-INT($L132/10000000)*10000000)/1000000)=0,"Bloomberg projection",IF(INT($P132/10)=1,"Announced","ANNOUNCED - amount TBA"))&amp;IF(($P132-INT($P132/10)*10)=1," (special)","")&amp;IF((($P132-INT($P132/10)*10)=1)*(Summary!$C$13="N")&gt;0," - excluded by your specials switch",""))</f>
        <v/>
      </c>
      <c r="J132" s="40">
        <f>IF($L132="","",IF((Override!$C$4="ON")*ISNUMBER(INDEX(Override!$G$13:$G$112,$N132))&gt;0,"stock overridden",""))</f>
        <v/>
      </c>
      <c r="L132" s="41">
        <f>IFERROR(IF(SMALL(Grids!$C$9:$BO$108,$M$7+123)&gt;=(Summary!$C$15+1)*1000000000,"",SMALL(Grids!$C$9:$BO$108,$M$7+123)),"")</f>
        <v/>
      </c>
      <c r="M132" s="41">
        <f>IF($L132="","",INT($L132/1000000000))</f>
        <v/>
      </c>
      <c r="N132" s="41">
        <f>IF($L132="","",INT(($L132-INT($L132/1000000)*1000000)/1000))</f>
        <v/>
      </c>
      <c r="O132" s="41">
        <f>IF($L132="","",$L132-INT($L132/1000)*1000)</f>
        <v/>
      </c>
      <c r="P132" s="41">
        <f>IF($L132="","",INT(($L132-INT($L132/1000000000)*1000000000)/10000000))</f>
        <v/>
      </c>
    </row>
    <row r="133">
      <c r="B133" s="36">
        <f>IF($L133="","",$M133)</f>
        <v/>
      </c>
      <c r="C133" s="16">
        <f>IF($L133="","",INDEX(HSI!$C$7:$C$106,$N133))</f>
        <v/>
      </c>
      <c r="D133" s="16">
        <f>IF($L133="","",INDEX(HSI!$D$7:$D$106,$N133))</f>
        <v/>
      </c>
      <c r="E133" s="37">
        <f>IF($L133="","",IF(INT($P133/10)=0,"TBA",IFERROR(INDEX(Grids!$BQ$9:$EC$108,$N133,$O133),"-")))</f>
        <v/>
      </c>
      <c r="F133" s="16">
        <f>IF($L133="","",INDEX(HSI!$F$7:$F$106,$N133))</f>
        <v/>
      </c>
      <c r="G133" s="37">
        <f>IF($L133="","",IF(INT($P133/10)=0,"TBA",IFERROR(INDEX(Grids!$EE$9:$GQ$108,$N133,$O133),"-")))</f>
        <v/>
      </c>
      <c r="H133" s="38">
        <f>IF($L133="","",SUM($G$10:$G133))</f>
        <v/>
      </c>
      <c r="I133" s="39">
        <f>IF($L133="","",IF(INT(($L133-INT($L133/10000000)*10000000)/1000000)=0,"Bloomberg projection",IF(INT($P133/10)=1,"Announced","ANNOUNCED - amount TBA"))&amp;IF(($P133-INT($P133/10)*10)=1," (special)","")&amp;IF((($P133-INT($P133/10)*10)=1)*(Summary!$C$13="N")&gt;0," - excluded by your specials switch",""))</f>
        <v/>
      </c>
      <c r="J133" s="40">
        <f>IF($L133="","",IF((Override!$C$4="ON")*ISNUMBER(INDEX(Override!$G$13:$G$112,$N133))&gt;0,"stock overridden",""))</f>
        <v/>
      </c>
      <c r="L133" s="41">
        <f>IFERROR(IF(SMALL(Grids!$C$9:$BO$108,$M$7+124)&gt;=(Summary!$C$15+1)*1000000000,"",SMALL(Grids!$C$9:$BO$108,$M$7+124)),"")</f>
        <v/>
      </c>
      <c r="M133" s="41">
        <f>IF($L133="","",INT($L133/1000000000))</f>
        <v/>
      </c>
      <c r="N133" s="41">
        <f>IF($L133="","",INT(($L133-INT($L133/1000000)*1000000)/1000))</f>
        <v/>
      </c>
      <c r="O133" s="41">
        <f>IF($L133="","",$L133-INT($L133/1000)*1000)</f>
        <v/>
      </c>
      <c r="P133" s="41">
        <f>IF($L133="","",INT(($L133-INT($L133/1000000000)*1000000000)/10000000))</f>
        <v/>
      </c>
    </row>
    <row r="134">
      <c r="B134" s="36">
        <f>IF($L134="","",$M134)</f>
        <v/>
      </c>
      <c r="C134" s="16">
        <f>IF($L134="","",INDEX(HSI!$C$7:$C$106,$N134))</f>
        <v/>
      </c>
      <c r="D134" s="16">
        <f>IF($L134="","",INDEX(HSI!$D$7:$D$106,$N134))</f>
        <v/>
      </c>
      <c r="E134" s="37">
        <f>IF($L134="","",IF(INT($P134/10)=0,"TBA",IFERROR(INDEX(Grids!$BQ$9:$EC$108,$N134,$O134),"-")))</f>
        <v/>
      </c>
      <c r="F134" s="16">
        <f>IF($L134="","",INDEX(HSI!$F$7:$F$106,$N134))</f>
        <v/>
      </c>
      <c r="G134" s="37">
        <f>IF($L134="","",IF(INT($P134/10)=0,"TBA",IFERROR(INDEX(Grids!$EE$9:$GQ$108,$N134,$O134),"-")))</f>
        <v/>
      </c>
      <c r="H134" s="38">
        <f>IF($L134="","",SUM($G$10:$G134))</f>
        <v/>
      </c>
      <c r="I134" s="39">
        <f>IF($L134="","",IF(INT(($L134-INT($L134/10000000)*10000000)/1000000)=0,"Bloomberg projection",IF(INT($P134/10)=1,"Announced","ANNOUNCED - amount TBA"))&amp;IF(($P134-INT($P134/10)*10)=1," (special)","")&amp;IF((($P134-INT($P134/10)*10)=1)*(Summary!$C$13="N")&gt;0," - excluded by your specials switch",""))</f>
        <v/>
      </c>
      <c r="J134" s="40">
        <f>IF($L134="","",IF((Override!$C$4="ON")*ISNUMBER(INDEX(Override!$G$13:$G$112,$N134))&gt;0,"stock overridden",""))</f>
        <v/>
      </c>
      <c r="L134" s="41">
        <f>IFERROR(IF(SMALL(Grids!$C$9:$BO$108,$M$7+125)&gt;=(Summary!$C$15+1)*1000000000,"",SMALL(Grids!$C$9:$BO$108,$M$7+125)),"")</f>
        <v/>
      </c>
      <c r="M134" s="41">
        <f>IF($L134="","",INT($L134/1000000000))</f>
        <v/>
      </c>
      <c r="N134" s="41">
        <f>IF($L134="","",INT(($L134-INT($L134/1000000)*1000000)/1000))</f>
        <v/>
      </c>
      <c r="O134" s="41">
        <f>IF($L134="","",$L134-INT($L134/1000)*1000)</f>
        <v/>
      </c>
      <c r="P134" s="41">
        <f>IF($L134="","",INT(($L134-INT($L134/1000000000)*1000000000)/10000000))</f>
        <v/>
      </c>
    </row>
    <row r="135">
      <c r="B135" s="36">
        <f>IF($L135="","",$M135)</f>
        <v/>
      </c>
      <c r="C135" s="16">
        <f>IF($L135="","",INDEX(HSI!$C$7:$C$106,$N135))</f>
        <v/>
      </c>
      <c r="D135" s="16">
        <f>IF($L135="","",INDEX(HSI!$D$7:$D$106,$N135))</f>
        <v/>
      </c>
      <c r="E135" s="37">
        <f>IF($L135="","",IF(INT($P135/10)=0,"TBA",IFERROR(INDEX(Grids!$BQ$9:$EC$108,$N135,$O135),"-")))</f>
        <v/>
      </c>
      <c r="F135" s="16">
        <f>IF($L135="","",INDEX(HSI!$F$7:$F$106,$N135))</f>
        <v/>
      </c>
      <c r="G135" s="37">
        <f>IF($L135="","",IF(INT($P135/10)=0,"TBA",IFERROR(INDEX(Grids!$EE$9:$GQ$108,$N135,$O135),"-")))</f>
        <v/>
      </c>
      <c r="H135" s="38">
        <f>IF($L135="","",SUM($G$10:$G135))</f>
        <v/>
      </c>
      <c r="I135" s="39">
        <f>IF($L135="","",IF(INT(($L135-INT($L135/10000000)*10000000)/1000000)=0,"Bloomberg projection",IF(INT($P135/10)=1,"Announced","ANNOUNCED - amount TBA"))&amp;IF(($P135-INT($P135/10)*10)=1," (special)","")&amp;IF((($P135-INT($P135/10)*10)=1)*(Summary!$C$13="N")&gt;0," - excluded by your specials switch",""))</f>
        <v/>
      </c>
      <c r="J135" s="40">
        <f>IF($L135="","",IF((Override!$C$4="ON")*ISNUMBER(INDEX(Override!$G$13:$G$112,$N135))&gt;0,"stock overridden",""))</f>
        <v/>
      </c>
      <c r="L135" s="41">
        <f>IFERROR(IF(SMALL(Grids!$C$9:$BO$108,$M$7+126)&gt;=(Summary!$C$15+1)*1000000000,"",SMALL(Grids!$C$9:$BO$108,$M$7+126)),"")</f>
        <v/>
      </c>
      <c r="M135" s="41">
        <f>IF($L135="","",INT($L135/1000000000))</f>
        <v/>
      </c>
      <c r="N135" s="41">
        <f>IF($L135="","",INT(($L135-INT($L135/1000000)*1000000)/1000))</f>
        <v/>
      </c>
      <c r="O135" s="41">
        <f>IF($L135="","",$L135-INT($L135/1000)*1000)</f>
        <v/>
      </c>
      <c r="P135" s="41">
        <f>IF($L135="","",INT(($L135-INT($L135/1000000000)*1000000000)/10000000))</f>
        <v/>
      </c>
    </row>
    <row r="136">
      <c r="B136" s="36">
        <f>IF($L136="","",$M136)</f>
        <v/>
      </c>
      <c r="C136" s="16">
        <f>IF($L136="","",INDEX(HSI!$C$7:$C$106,$N136))</f>
        <v/>
      </c>
      <c r="D136" s="16">
        <f>IF($L136="","",INDEX(HSI!$D$7:$D$106,$N136))</f>
        <v/>
      </c>
      <c r="E136" s="37">
        <f>IF($L136="","",IF(INT($P136/10)=0,"TBA",IFERROR(INDEX(Grids!$BQ$9:$EC$108,$N136,$O136),"-")))</f>
        <v/>
      </c>
      <c r="F136" s="16">
        <f>IF($L136="","",INDEX(HSI!$F$7:$F$106,$N136))</f>
        <v/>
      </c>
      <c r="G136" s="37">
        <f>IF($L136="","",IF(INT($P136/10)=0,"TBA",IFERROR(INDEX(Grids!$EE$9:$GQ$108,$N136,$O136),"-")))</f>
        <v/>
      </c>
      <c r="H136" s="38">
        <f>IF($L136="","",SUM($G$10:$G136))</f>
        <v/>
      </c>
      <c r="I136" s="39">
        <f>IF($L136="","",IF(INT(($L136-INT($L136/10000000)*10000000)/1000000)=0,"Bloomberg projection",IF(INT($P136/10)=1,"Announced","ANNOUNCED - amount TBA"))&amp;IF(($P136-INT($P136/10)*10)=1," (special)","")&amp;IF((($P136-INT($P136/10)*10)=1)*(Summary!$C$13="N")&gt;0," - excluded by your specials switch",""))</f>
        <v/>
      </c>
      <c r="J136" s="40">
        <f>IF($L136="","",IF((Override!$C$4="ON")*ISNUMBER(INDEX(Override!$G$13:$G$112,$N136))&gt;0,"stock overridden",""))</f>
        <v/>
      </c>
      <c r="L136" s="41">
        <f>IFERROR(IF(SMALL(Grids!$C$9:$BO$108,$M$7+127)&gt;=(Summary!$C$15+1)*1000000000,"",SMALL(Grids!$C$9:$BO$108,$M$7+127)),"")</f>
        <v/>
      </c>
      <c r="M136" s="41">
        <f>IF($L136="","",INT($L136/1000000000))</f>
        <v/>
      </c>
      <c r="N136" s="41">
        <f>IF($L136="","",INT(($L136-INT($L136/1000000)*1000000)/1000))</f>
        <v/>
      </c>
      <c r="O136" s="41">
        <f>IF($L136="","",$L136-INT($L136/1000)*1000)</f>
        <v/>
      </c>
      <c r="P136" s="41">
        <f>IF($L136="","",INT(($L136-INT($L136/1000000000)*1000000000)/10000000))</f>
        <v/>
      </c>
    </row>
    <row r="137">
      <c r="B137" s="36">
        <f>IF($L137="","",$M137)</f>
        <v/>
      </c>
      <c r="C137" s="16">
        <f>IF($L137="","",INDEX(HSI!$C$7:$C$106,$N137))</f>
        <v/>
      </c>
      <c r="D137" s="16">
        <f>IF($L137="","",INDEX(HSI!$D$7:$D$106,$N137))</f>
        <v/>
      </c>
      <c r="E137" s="37">
        <f>IF($L137="","",IF(INT($P137/10)=0,"TBA",IFERROR(INDEX(Grids!$BQ$9:$EC$108,$N137,$O137),"-")))</f>
        <v/>
      </c>
      <c r="F137" s="16">
        <f>IF($L137="","",INDEX(HSI!$F$7:$F$106,$N137))</f>
        <v/>
      </c>
      <c r="G137" s="37">
        <f>IF($L137="","",IF(INT($P137/10)=0,"TBA",IFERROR(INDEX(Grids!$EE$9:$GQ$108,$N137,$O137),"-")))</f>
        <v/>
      </c>
      <c r="H137" s="38">
        <f>IF($L137="","",SUM($G$10:$G137))</f>
        <v/>
      </c>
      <c r="I137" s="39">
        <f>IF($L137="","",IF(INT(($L137-INT($L137/10000000)*10000000)/1000000)=0,"Bloomberg projection",IF(INT($P137/10)=1,"Announced","ANNOUNCED - amount TBA"))&amp;IF(($P137-INT($P137/10)*10)=1," (special)","")&amp;IF((($P137-INT($P137/10)*10)=1)*(Summary!$C$13="N")&gt;0," - excluded by your specials switch",""))</f>
        <v/>
      </c>
      <c r="J137" s="40">
        <f>IF($L137="","",IF((Override!$C$4="ON")*ISNUMBER(INDEX(Override!$G$13:$G$112,$N137))&gt;0,"stock overridden",""))</f>
        <v/>
      </c>
      <c r="L137" s="41">
        <f>IFERROR(IF(SMALL(Grids!$C$9:$BO$108,$M$7+128)&gt;=(Summary!$C$15+1)*1000000000,"",SMALL(Grids!$C$9:$BO$108,$M$7+128)),"")</f>
        <v/>
      </c>
      <c r="M137" s="41">
        <f>IF($L137="","",INT($L137/1000000000))</f>
        <v/>
      </c>
      <c r="N137" s="41">
        <f>IF($L137="","",INT(($L137-INT($L137/1000000)*1000000)/1000))</f>
        <v/>
      </c>
      <c r="O137" s="41">
        <f>IF($L137="","",$L137-INT($L137/1000)*1000)</f>
        <v/>
      </c>
      <c r="P137" s="41">
        <f>IF($L137="","",INT(($L137-INT($L137/1000000000)*1000000000)/10000000))</f>
        <v/>
      </c>
    </row>
    <row r="138">
      <c r="B138" s="36">
        <f>IF($L138="","",$M138)</f>
        <v/>
      </c>
      <c r="C138" s="16">
        <f>IF($L138="","",INDEX(HSI!$C$7:$C$106,$N138))</f>
        <v/>
      </c>
      <c r="D138" s="16">
        <f>IF($L138="","",INDEX(HSI!$D$7:$D$106,$N138))</f>
        <v/>
      </c>
      <c r="E138" s="37">
        <f>IF($L138="","",IF(INT($P138/10)=0,"TBA",IFERROR(INDEX(Grids!$BQ$9:$EC$108,$N138,$O138),"-")))</f>
        <v/>
      </c>
      <c r="F138" s="16">
        <f>IF($L138="","",INDEX(HSI!$F$7:$F$106,$N138))</f>
        <v/>
      </c>
      <c r="G138" s="37">
        <f>IF($L138="","",IF(INT($P138/10)=0,"TBA",IFERROR(INDEX(Grids!$EE$9:$GQ$108,$N138,$O138),"-")))</f>
        <v/>
      </c>
      <c r="H138" s="38">
        <f>IF($L138="","",SUM($G$10:$G138))</f>
        <v/>
      </c>
      <c r="I138" s="39">
        <f>IF($L138="","",IF(INT(($L138-INT($L138/10000000)*10000000)/1000000)=0,"Bloomberg projection",IF(INT($P138/10)=1,"Announced","ANNOUNCED - amount TBA"))&amp;IF(($P138-INT($P138/10)*10)=1," (special)","")&amp;IF((($P138-INT($P138/10)*10)=1)*(Summary!$C$13="N")&gt;0," - excluded by your specials switch",""))</f>
        <v/>
      </c>
      <c r="J138" s="40">
        <f>IF($L138="","",IF((Override!$C$4="ON")*ISNUMBER(INDEX(Override!$G$13:$G$112,$N138))&gt;0,"stock overridden",""))</f>
        <v/>
      </c>
      <c r="L138" s="41">
        <f>IFERROR(IF(SMALL(Grids!$C$9:$BO$108,$M$7+129)&gt;=(Summary!$C$15+1)*1000000000,"",SMALL(Grids!$C$9:$BO$108,$M$7+129)),"")</f>
        <v/>
      </c>
      <c r="M138" s="41">
        <f>IF($L138="","",INT($L138/1000000000))</f>
        <v/>
      </c>
      <c r="N138" s="41">
        <f>IF($L138="","",INT(($L138-INT($L138/1000000)*1000000)/1000))</f>
        <v/>
      </c>
      <c r="O138" s="41">
        <f>IF($L138="","",$L138-INT($L138/1000)*1000)</f>
        <v/>
      </c>
      <c r="P138" s="41">
        <f>IF($L138="","",INT(($L138-INT($L138/1000000000)*1000000000)/10000000))</f>
        <v/>
      </c>
    </row>
    <row r="139">
      <c r="B139" s="36">
        <f>IF($L139="","",$M139)</f>
        <v/>
      </c>
      <c r="C139" s="16">
        <f>IF($L139="","",INDEX(HSI!$C$7:$C$106,$N139))</f>
        <v/>
      </c>
      <c r="D139" s="16">
        <f>IF($L139="","",INDEX(HSI!$D$7:$D$106,$N139))</f>
        <v/>
      </c>
      <c r="E139" s="37">
        <f>IF($L139="","",IF(INT($P139/10)=0,"TBA",IFERROR(INDEX(Grids!$BQ$9:$EC$108,$N139,$O139),"-")))</f>
        <v/>
      </c>
      <c r="F139" s="16">
        <f>IF($L139="","",INDEX(HSI!$F$7:$F$106,$N139))</f>
        <v/>
      </c>
      <c r="G139" s="37">
        <f>IF($L139="","",IF(INT($P139/10)=0,"TBA",IFERROR(INDEX(Grids!$EE$9:$GQ$108,$N139,$O139),"-")))</f>
        <v/>
      </c>
      <c r="H139" s="38">
        <f>IF($L139="","",SUM($G$10:$G139))</f>
        <v/>
      </c>
      <c r="I139" s="39">
        <f>IF($L139="","",IF(INT(($L139-INT($L139/10000000)*10000000)/1000000)=0,"Bloomberg projection",IF(INT($P139/10)=1,"Announced","ANNOUNCED - amount TBA"))&amp;IF(($P139-INT($P139/10)*10)=1," (special)","")&amp;IF((($P139-INT($P139/10)*10)=1)*(Summary!$C$13="N")&gt;0," - excluded by your specials switch",""))</f>
        <v/>
      </c>
      <c r="J139" s="40">
        <f>IF($L139="","",IF((Override!$C$4="ON")*ISNUMBER(INDEX(Override!$G$13:$G$112,$N139))&gt;0,"stock overridden",""))</f>
        <v/>
      </c>
      <c r="L139" s="41">
        <f>IFERROR(IF(SMALL(Grids!$C$9:$BO$108,$M$7+130)&gt;=(Summary!$C$15+1)*1000000000,"",SMALL(Grids!$C$9:$BO$108,$M$7+130)),"")</f>
        <v/>
      </c>
      <c r="M139" s="41">
        <f>IF($L139="","",INT($L139/1000000000))</f>
        <v/>
      </c>
      <c r="N139" s="41">
        <f>IF($L139="","",INT(($L139-INT($L139/1000000)*1000000)/1000))</f>
        <v/>
      </c>
      <c r="O139" s="41">
        <f>IF($L139="","",$L139-INT($L139/1000)*1000)</f>
        <v/>
      </c>
      <c r="P139" s="41">
        <f>IF($L139="","",INT(($L139-INT($L139/1000000000)*1000000000)/10000000))</f>
        <v/>
      </c>
    </row>
    <row r="140">
      <c r="B140" s="36">
        <f>IF($L140="","",$M140)</f>
        <v/>
      </c>
      <c r="C140" s="16">
        <f>IF($L140="","",INDEX(HSI!$C$7:$C$106,$N140))</f>
        <v/>
      </c>
      <c r="D140" s="16">
        <f>IF($L140="","",INDEX(HSI!$D$7:$D$106,$N140))</f>
        <v/>
      </c>
      <c r="E140" s="37">
        <f>IF($L140="","",IF(INT($P140/10)=0,"TBA",IFERROR(INDEX(Grids!$BQ$9:$EC$108,$N140,$O140),"-")))</f>
        <v/>
      </c>
      <c r="F140" s="16">
        <f>IF($L140="","",INDEX(HSI!$F$7:$F$106,$N140))</f>
        <v/>
      </c>
      <c r="G140" s="37">
        <f>IF($L140="","",IF(INT($P140/10)=0,"TBA",IFERROR(INDEX(Grids!$EE$9:$GQ$108,$N140,$O140),"-")))</f>
        <v/>
      </c>
      <c r="H140" s="38">
        <f>IF($L140="","",SUM($G$10:$G140))</f>
        <v/>
      </c>
      <c r="I140" s="39">
        <f>IF($L140="","",IF(INT(($L140-INT($L140/10000000)*10000000)/1000000)=0,"Bloomberg projection",IF(INT($P140/10)=1,"Announced","ANNOUNCED - amount TBA"))&amp;IF(($P140-INT($P140/10)*10)=1," (special)","")&amp;IF((($P140-INT($P140/10)*10)=1)*(Summary!$C$13="N")&gt;0," - excluded by your specials switch",""))</f>
        <v/>
      </c>
      <c r="J140" s="40">
        <f>IF($L140="","",IF((Override!$C$4="ON")*ISNUMBER(INDEX(Override!$G$13:$G$112,$N140))&gt;0,"stock overridden",""))</f>
        <v/>
      </c>
      <c r="L140" s="41">
        <f>IFERROR(IF(SMALL(Grids!$C$9:$BO$108,$M$7+131)&gt;=(Summary!$C$15+1)*1000000000,"",SMALL(Grids!$C$9:$BO$108,$M$7+131)),"")</f>
        <v/>
      </c>
      <c r="M140" s="41">
        <f>IF($L140="","",INT($L140/1000000000))</f>
        <v/>
      </c>
      <c r="N140" s="41">
        <f>IF($L140="","",INT(($L140-INT($L140/1000000)*1000000)/1000))</f>
        <v/>
      </c>
      <c r="O140" s="41">
        <f>IF($L140="","",$L140-INT($L140/1000)*1000)</f>
        <v/>
      </c>
      <c r="P140" s="41">
        <f>IF($L140="","",INT(($L140-INT($L140/1000000000)*1000000000)/10000000))</f>
        <v/>
      </c>
    </row>
    <row r="141">
      <c r="B141" s="36">
        <f>IF($L141="","",$M141)</f>
        <v/>
      </c>
      <c r="C141" s="16">
        <f>IF($L141="","",INDEX(HSI!$C$7:$C$106,$N141))</f>
        <v/>
      </c>
      <c r="D141" s="16">
        <f>IF($L141="","",INDEX(HSI!$D$7:$D$106,$N141))</f>
        <v/>
      </c>
      <c r="E141" s="37">
        <f>IF($L141="","",IF(INT($P141/10)=0,"TBA",IFERROR(INDEX(Grids!$BQ$9:$EC$108,$N141,$O141),"-")))</f>
        <v/>
      </c>
      <c r="F141" s="16">
        <f>IF($L141="","",INDEX(HSI!$F$7:$F$106,$N141))</f>
        <v/>
      </c>
      <c r="G141" s="37">
        <f>IF($L141="","",IF(INT($P141/10)=0,"TBA",IFERROR(INDEX(Grids!$EE$9:$GQ$108,$N141,$O141),"-")))</f>
        <v/>
      </c>
      <c r="H141" s="38">
        <f>IF($L141="","",SUM($G$10:$G141))</f>
        <v/>
      </c>
      <c r="I141" s="39">
        <f>IF($L141="","",IF(INT(($L141-INT($L141/10000000)*10000000)/1000000)=0,"Bloomberg projection",IF(INT($P141/10)=1,"Announced","ANNOUNCED - amount TBA"))&amp;IF(($P141-INT($P141/10)*10)=1," (special)","")&amp;IF((($P141-INT($P141/10)*10)=1)*(Summary!$C$13="N")&gt;0," - excluded by your specials switch",""))</f>
        <v/>
      </c>
      <c r="J141" s="40">
        <f>IF($L141="","",IF((Override!$C$4="ON")*ISNUMBER(INDEX(Override!$G$13:$G$112,$N141))&gt;0,"stock overridden",""))</f>
        <v/>
      </c>
      <c r="L141" s="41">
        <f>IFERROR(IF(SMALL(Grids!$C$9:$BO$108,$M$7+132)&gt;=(Summary!$C$15+1)*1000000000,"",SMALL(Grids!$C$9:$BO$108,$M$7+132)),"")</f>
        <v/>
      </c>
      <c r="M141" s="41">
        <f>IF($L141="","",INT($L141/1000000000))</f>
        <v/>
      </c>
      <c r="N141" s="41">
        <f>IF($L141="","",INT(($L141-INT($L141/1000000)*1000000)/1000))</f>
        <v/>
      </c>
      <c r="O141" s="41">
        <f>IF($L141="","",$L141-INT($L141/1000)*1000)</f>
        <v/>
      </c>
      <c r="P141" s="41">
        <f>IF($L141="","",INT(($L141-INT($L141/1000000000)*1000000000)/10000000))</f>
        <v/>
      </c>
    </row>
    <row r="142">
      <c r="B142" s="36">
        <f>IF($L142="","",$M142)</f>
        <v/>
      </c>
      <c r="C142" s="16">
        <f>IF($L142="","",INDEX(HSI!$C$7:$C$106,$N142))</f>
        <v/>
      </c>
      <c r="D142" s="16">
        <f>IF($L142="","",INDEX(HSI!$D$7:$D$106,$N142))</f>
        <v/>
      </c>
      <c r="E142" s="37">
        <f>IF($L142="","",IF(INT($P142/10)=0,"TBA",IFERROR(INDEX(Grids!$BQ$9:$EC$108,$N142,$O142),"-")))</f>
        <v/>
      </c>
      <c r="F142" s="16">
        <f>IF($L142="","",INDEX(HSI!$F$7:$F$106,$N142))</f>
        <v/>
      </c>
      <c r="G142" s="37">
        <f>IF($L142="","",IF(INT($P142/10)=0,"TBA",IFERROR(INDEX(Grids!$EE$9:$GQ$108,$N142,$O142),"-")))</f>
        <v/>
      </c>
      <c r="H142" s="38">
        <f>IF($L142="","",SUM($G$10:$G142))</f>
        <v/>
      </c>
      <c r="I142" s="39">
        <f>IF($L142="","",IF(INT(($L142-INT($L142/10000000)*10000000)/1000000)=0,"Bloomberg projection",IF(INT($P142/10)=1,"Announced","ANNOUNCED - amount TBA"))&amp;IF(($P142-INT($P142/10)*10)=1," (special)","")&amp;IF((($P142-INT($P142/10)*10)=1)*(Summary!$C$13="N")&gt;0," - excluded by your specials switch",""))</f>
        <v/>
      </c>
      <c r="J142" s="40">
        <f>IF($L142="","",IF((Override!$C$4="ON")*ISNUMBER(INDEX(Override!$G$13:$G$112,$N142))&gt;0,"stock overridden",""))</f>
        <v/>
      </c>
      <c r="L142" s="41">
        <f>IFERROR(IF(SMALL(Grids!$C$9:$BO$108,$M$7+133)&gt;=(Summary!$C$15+1)*1000000000,"",SMALL(Grids!$C$9:$BO$108,$M$7+133)),"")</f>
        <v/>
      </c>
      <c r="M142" s="41">
        <f>IF($L142="","",INT($L142/1000000000))</f>
        <v/>
      </c>
      <c r="N142" s="41">
        <f>IF($L142="","",INT(($L142-INT($L142/1000000)*1000000)/1000))</f>
        <v/>
      </c>
      <c r="O142" s="41">
        <f>IF($L142="","",$L142-INT($L142/1000)*1000)</f>
        <v/>
      </c>
      <c r="P142" s="41">
        <f>IF($L142="","",INT(($L142-INT($L142/1000000000)*1000000000)/10000000))</f>
        <v/>
      </c>
    </row>
    <row r="143">
      <c r="B143" s="36">
        <f>IF($L143="","",$M143)</f>
        <v/>
      </c>
      <c r="C143" s="16">
        <f>IF($L143="","",INDEX(HSI!$C$7:$C$106,$N143))</f>
        <v/>
      </c>
      <c r="D143" s="16">
        <f>IF($L143="","",INDEX(HSI!$D$7:$D$106,$N143))</f>
        <v/>
      </c>
      <c r="E143" s="37">
        <f>IF($L143="","",IF(INT($P143/10)=0,"TBA",IFERROR(INDEX(Grids!$BQ$9:$EC$108,$N143,$O143),"-")))</f>
        <v/>
      </c>
      <c r="F143" s="16">
        <f>IF($L143="","",INDEX(HSI!$F$7:$F$106,$N143))</f>
        <v/>
      </c>
      <c r="G143" s="37">
        <f>IF($L143="","",IF(INT($P143/10)=0,"TBA",IFERROR(INDEX(Grids!$EE$9:$GQ$108,$N143,$O143),"-")))</f>
        <v/>
      </c>
      <c r="H143" s="38">
        <f>IF($L143="","",SUM($G$10:$G143))</f>
        <v/>
      </c>
      <c r="I143" s="39">
        <f>IF($L143="","",IF(INT(($L143-INT($L143/10000000)*10000000)/1000000)=0,"Bloomberg projection",IF(INT($P143/10)=1,"Announced","ANNOUNCED - amount TBA"))&amp;IF(($P143-INT($P143/10)*10)=1," (special)","")&amp;IF((($P143-INT($P143/10)*10)=1)*(Summary!$C$13="N")&gt;0," - excluded by your specials switch",""))</f>
        <v/>
      </c>
      <c r="J143" s="40">
        <f>IF($L143="","",IF((Override!$C$4="ON")*ISNUMBER(INDEX(Override!$G$13:$G$112,$N143))&gt;0,"stock overridden",""))</f>
        <v/>
      </c>
      <c r="L143" s="41">
        <f>IFERROR(IF(SMALL(Grids!$C$9:$BO$108,$M$7+134)&gt;=(Summary!$C$15+1)*1000000000,"",SMALL(Grids!$C$9:$BO$108,$M$7+134)),"")</f>
        <v/>
      </c>
      <c r="M143" s="41">
        <f>IF($L143="","",INT($L143/1000000000))</f>
        <v/>
      </c>
      <c r="N143" s="41">
        <f>IF($L143="","",INT(($L143-INT($L143/1000000)*1000000)/1000))</f>
        <v/>
      </c>
      <c r="O143" s="41">
        <f>IF($L143="","",$L143-INT($L143/1000)*1000)</f>
        <v/>
      </c>
      <c r="P143" s="41">
        <f>IF($L143="","",INT(($L143-INT($L143/1000000000)*1000000000)/10000000))</f>
        <v/>
      </c>
    </row>
    <row r="144">
      <c r="B144" s="36">
        <f>IF($L144="","",$M144)</f>
        <v/>
      </c>
      <c r="C144" s="16">
        <f>IF($L144="","",INDEX(HSI!$C$7:$C$106,$N144))</f>
        <v/>
      </c>
      <c r="D144" s="16">
        <f>IF($L144="","",INDEX(HSI!$D$7:$D$106,$N144))</f>
        <v/>
      </c>
      <c r="E144" s="37">
        <f>IF($L144="","",IF(INT($P144/10)=0,"TBA",IFERROR(INDEX(Grids!$BQ$9:$EC$108,$N144,$O144),"-")))</f>
        <v/>
      </c>
      <c r="F144" s="16">
        <f>IF($L144="","",INDEX(HSI!$F$7:$F$106,$N144))</f>
        <v/>
      </c>
      <c r="G144" s="37">
        <f>IF($L144="","",IF(INT($P144/10)=0,"TBA",IFERROR(INDEX(Grids!$EE$9:$GQ$108,$N144,$O144),"-")))</f>
        <v/>
      </c>
      <c r="H144" s="38">
        <f>IF($L144="","",SUM($G$10:$G144))</f>
        <v/>
      </c>
      <c r="I144" s="39">
        <f>IF($L144="","",IF(INT(($L144-INT($L144/10000000)*10000000)/1000000)=0,"Bloomberg projection",IF(INT($P144/10)=1,"Announced","ANNOUNCED - amount TBA"))&amp;IF(($P144-INT($P144/10)*10)=1," (special)","")&amp;IF((($P144-INT($P144/10)*10)=1)*(Summary!$C$13="N")&gt;0," - excluded by your specials switch",""))</f>
        <v/>
      </c>
      <c r="J144" s="40">
        <f>IF($L144="","",IF((Override!$C$4="ON")*ISNUMBER(INDEX(Override!$G$13:$G$112,$N144))&gt;0,"stock overridden",""))</f>
        <v/>
      </c>
      <c r="L144" s="41">
        <f>IFERROR(IF(SMALL(Grids!$C$9:$BO$108,$M$7+135)&gt;=(Summary!$C$15+1)*1000000000,"",SMALL(Grids!$C$9:$BO$108,$M$7+135)),"")</f>
        <v/>
      </c>
      <c r="M144" s="41">
        <f>IF($L144="","",INT($L144/1000000000))</f>
        <v/>
      </c>
      <c r="N144" s="41">
        <f>IF($L144="","",INT(($L144-INT($L144/1000000)*1000000)/1000))</f>
        <v/>
      </c>
      <c r="O144" s="41">
        <f>IF($L144="","",$L144-INT($L144/1000)*1000)</f>
        <v/>
      </c>
      <c r="P144" s="41">
        <f>IF($L144="","",INT(($L144-INT($L144/1000000000)*1000000000)/10000000))</f>
        <v/>
      </c>
    </row>
    <row r="145">
      <c r="B145" s="36">
        <f>IF($L145="","",$M145)</f>
        <v/>
      </c>
      <c r="C145" s="16">
        <f>IF($L145="","",INDEX(HSI!$C$7:$C$106,$N145))</f>
        <v/>
      </c>
      <c r="D145" s="16">
        <f>IF($L145="","",INDEX(HSI!$D$7:$D$106,$N145))</f>
        <v/>
      </c>
      <c r="E145" s="37">
        <f>IF($L145="","",IF(INT($P145/10)=0,"TBA",IFERROR(INDEX(Grids!$BQ$9:$EC$108,$N145,$O145),"-")))</f>
        <v/>
      </c>
      <c r="F145" s="16">
        <f>IF($L145="","",INDEX(HSI!$F$7:$F$106,$N145))</f>
        <v/>
      </c>
      <c r="G145" s="37">
        <f>IF($L145="","",IF(INT($P145/10)=0,"TBA",IFERROR(INDEX(Grids!$EE$9:$GQ$108,$N145,$O145),"-")))</f>
        <v/>
      </c>
      <c r="H145" s="38">
        <f>IF($L145="","",SUM($G$10:$G145))</f>
        <v/>
      </c>
      <c r="I145" s="39">
        <f>IF($L145="","",IF(INT(($L145-INT($L145/10000000)*10000000)/1000000)=0,"Bloomberg projection",IF(INT($P145/10)=1,"Announced","ANNOUNCED - amount TBA"))&amp;IF(($P145-INT($P145/10)*10)=1," (special)","")&amp;IF((($P145-INT($P145/10)*10)=1)*(Summary!$C$13="N")&gt;0," - excluded by your specials switch",""))</f>
        <v/>
      </c>
      <c r="J145" s="40">
        <f>IF($L145="","",IF((Override!$C$4="ON")*ISNUMBER(INDEX(Override!$G$13:$G$112,$N145))&gt;0,"stock overridden",""))</f>
        <v/>
      </c>
      <c r="L145" s="41">
        <f>IFERROR(IF(SMALL(Grids!$C$9:$BO$108,$M$7+136)&gt;=(Summary!$C$15+1)*1000000000,"",SMALL(Grids!$C$9:$BO$108,$M$7+136)),"")</f>
        <v/>
      </c>
      <c r="M145" s="41">
        <f>IF($L145="","",INT($L145/1000000000))</f>
        <v/>
      </c>
      <c r="N145" s="41">
        <f>IF($L145="","",INT(($L145-INT($L145/1000000)*1000000)/1000))</f>
        <v/>
      </c>
      <c r="O145" s="41">
        <f>IF($L145="","",$L145-INT($L145/1000)*1000)</f>
        <v/>
      </c>
      <c r="P145" s="41">
        <f>IF($L145="","",INT(($L145-INT($L145/1000000000)*1000000000)/10000000))</f>
        <v/>
      </c>
    </row>
    <row r="146">
      <c r="B146" s="36">
        <f>IF($L146="","",$M146)</f>
        <v/>
      </c>
      <c r="C146" s="16">
        <f>IF($L146="","",INDEX(HSI!$C$7:$C$106,$N146))</f>
        <v/>
      </c>
      <c r="D146" s="16">
        <f>IF($L146="","",INDEX(HSI!$D$7:$D$106,$N146))</f>
        <v/>
      </c>
      <c r="E146" s="37">
        <f>IF($L146="","",IF(INT($P146/10)=0,"TBA",IFERROR(INDEX(Grids!$BQ$9:$EC$108,$N146,$O146),"-")))</f>
        <v/>
      </c>
      <c r="F146" s="16">
        <f>IF($L146="","",INDEX(HSI!$F$7:$F$106,$N146))</f>
        <v/>
      </c>
      <c r="G146" s="37">
        <f>IF($L146="","",IF(INT($P146/10)=0,"TBA",IFERROR(INDEX(Grids!$EE$9:$GQ$108,$N146,$O146),"-")))</f>
        <v/>
      </c>
      <c r="H146" s="38">
        <f>IF($L146="","",SUM($G$10:$G146))</f>
        <v/>
      </c>
      <c r="I146" s="39">
        <f>IF($L146="","",IF(INT(($L146-INT($L146/10000000)*10000000)/1000000)=0,"Bloomberg projection",IF(INT($P146/10)=1,"Announced","ANNOUNCED - amount TBA"))&amp;IF(($P146-INT($P146/10)*10)=1," (special)","")&amp;IF((($P146-INT($P146/10)*10)=1)*(Summary!$C$13="N")&gt;0," - excluded by your specials switch",""))</f>
        <v/>
      </c>
      <c r="J146" s="40">
        <f>IF($L146="","",IF((Override!$C$4="ON")*ISNUMBER(INDEX(Override!$G$13:$G$112,$N146))&gt;0,"stock overridden",""))</f>
        <v/>
      </c>
      <c r="L146" s="41">
        <f>IFERROR(IF(SMALL(Grids!$C$9:$BO$108,$M$7+137)&gt;=(Summary!$C$15+1)*1000000000,"",SMALL(Grids!$C$9:$BO$108,$M$7+137)),"")</f>
        <v/>
      </c>
      <c r="M146" s="41">
        <f>IF($L146="","",INT($L146/1000000000))</f>
        <v/>
      </c>
      <c r="N146" s="41">
        <f>IF($L146="","",INT(($L146-INT($L146/1000000)*1000000)/1000))</f>
        <v/>
      </c>
      <c r="O146" s="41">
        <f>IF($L146="","",$L146-INT($L146/1000)*1000)</f>
        <v/>
      </c>
      <c r="P146" s="41">
        <f>IF($L146="","",INT(($L146-INT($L146/1000000000)*1000000000)/10000000))</f>
        <v/>
      </c>
    </row>
    <row r="147">
      <c r="B147" s="36">
        <f>IF($L147="","",$M147)</f>
        <v/>
      </c>
      <c r="C147" s="16">
        <f>IF($L147="","",INDEX(HSI!$C$7:$C$106,$N147))</f>
        <v/>
      </c>
      <c r="D147" s="16">
        <f>IF($L147="","",INDEX(HSI!$D$7:$D$106,$N147))</f>
        <v/>
      </c>
      <c r="E147" s="37">
        <f>IF($L147="","",IF(INT($P147/10)=0,"TBA",IFERROR(INDEX(Grids!$BQ$9:$EC$108,$N147,$O147),"-")))</f>
        <v/>
      </c>
      <c r="F147" s="16">
        <f>IF($L147="","",INDEX(HSI!$F$7:$F$106,$N147))</f>
        <v/>
      </c>
      <c r="G147" s="37">
        <f>IF($L147="","",IF(INT($P147/10)=0,"TBA",IFERROR(INDEX(Grids!$EE$9:$GQ$108,$N147,$O147),"-")))</f>
        <v/>
      </c>
      <c r="H147" s="38">
        <f>IF($L147="","",SUM($G$10:$G147))</f>
        <v/>
      </c>
      <c r="I147" s="39">
        <f>IF($L147="","",IF(INT(($L147-INT($L147/10000000)*10000000)/1000000)=0,"Bloomberg projection",IF(INT($P147/10)=1,"Announced","ANNOUNCED - amount TBA"))&amp;IF(($P147-INT($P147/10)*10)=1," (special)","")&amp;IF((($P147-INT($P147/10)*10)=1)*(Summary!$C$13="N")&gt;0," - excluded by your specials switch",""))</f>
        <v/>
      </c>
      <c r="J147" s="40">
        <f>IF($L147="","",IF((Override!$C$4="ON")*ISNUMBER(INDEX(Override!$G$13:$G$112,$N147))&gt;0,"stock overridden",""))</f>
        <v/>
      </c>
      <c r="L147" s="41">
        <f>IFERROR(IF(SMALL(Grids!$C$9:$BO$108,$M$7+138)&gt;=(Summary!$C$15+1)*1000000000,"",SMALL(Grids!$C$9:$BO$108,$M$7+138)),"")</f>
        <v/>
      </c>
      <c r="M147" s="41">
        <f>IF($L147="","",INT($L147/1000000000))</f>
        <v/>
      </c>
      <c r="N147" s="41">
        <f>IF($L147="","",INT(($L147-INT($L147/1000000)*1000000)/1000))</f>
        <v/>
      </c>
      <c r="O147" s="41">
        <f>IF($L147="","",$L147-INT($L147/1000)*1000)</f>
        <v/>
      </c>
      <c r="P147" s="41">
        <f>IF($L147="","",INT(($L147-INT($L147/1000000000)*1000000000)/10000000))</f>
        <v/>
      </c>
    </row>
    <row r="148">
      <c r="B148" s="36">
        <f>IF($L148="","",$M148)</f>
        <v/>
      </c>
      <c r="C148" s="16">
        <f>IF($L148="","",INDEX(HSI!$C$7:$C$106,$N148))</f>
        <v/>
      </c>
      <c r="D148" s="16">
        <f>IF($L148="","",INDEX(HSI!$D$7:$D$106,$N148))</f>
        <v/>
      </c>
      <c r="E148" s="37">
        <f>IF($L148="","",IF(INT($P148/10)=0,"TBA",IFERROR(INDEX(Grids!$BQ$9:$EC$108,$N148,$O148),"-")))</f>
        <v/>
      </c>
      <c r="F148" s="16">
        <f>IF($L148="","",INDEX(HSI!$F$7:$F$106,$N148))</f>
        <v/>
      </c>
      <c r="G148" s="37">
        <f>IF($L148="","",IF(INT($P148/10)=0,"TBA",IFERROR(INDEX(Grids!$EE$9:$GQ$108,$N148,$O148),"-")))</f>
        <v/>
      </c>
      <c r="H148" s="38">
        <f>IF($L148="","",SUM($G$10:$G148))</f>
        <v/>
      </c>
      <c r="I148" s="39">
        <f>IF($L148="","",IF(INT(($L148-INT($L148/10000000)*10000000)/1000000)=0,"Bloomberg projection",IF(INT($P148/10)=1,"Announced","ANNOUNCED - amount TBA"))&amp;IF(($P148-INT($P148/10)*10)=1," (special)","")&amp;IF((($P148-INT($P148/10)*10)=1)*(Summary!$C$13="N")&gt;0," - excluded by your specials switch",""))</f>
        <v/>
      </c>
      <c r="J148" s="40">
        <f>IF($L148="","",IF((Override!$C$4="ON")*ISNUMBER(INDEX(Override!$G$13:$G$112,$N148))&gt;0,"stock overridden",""))</f>
        <v/>
      </c>
      <c r="L148" s="41">
        <f>IFERROR(IF(SMALL(Grids!$C$9:$BO$108,$M$7+139)&gt;=(Summary!$C$15+1)*1000000000,"",SMALL(Grids!$C$9:$BO$108,$M$7+139)),"")</f>
        <v/>
      </c>
      <c r="M148" s="41">
        <f>IF($L148="","",INT($L148/1000000000))</f>
        <v/>
      </c>
      <c r="N148" s="41">
        <f>IF($L148="","",INT(($L148-INT($L148/1000000)*1000000)/1000))</f>
        <v/>
      </c>
      <c r="O148" s="41">
        <f>IF($L148="","",$L148-INT($L148/1000)*1000)</f>
        <v/>
      </c>
      <c r="P148" s="41">
        <f>IF($L148="","",INT(($L148-INT($L148/1000000000)*1000000000)/10000000))</f>
        <v/>
      </c>
    </row>
    <row r="149">
      <c r="B149" s="36">
        <f>IF($L149="","",$M149)</f>
        <v/>
      </c>
      <c r="C149" s="16">
        <f>IF($L149="","",INDEX(HSI!$C$7:$C$106,$N149))</f>
        <v/>
      </c>
      <c r="D149" s="16">
        <f>IF($L149="","",INDEX(HSI!$D$7:$D$106,$N149))</f>
        <v/>
      </c>
      <c r="E149" s="37">
        <f>IF($L149="","",IF(INT($P149/10)=0,"TBA",IFERROR(INDEX(Grids!$BQ$9:$EC$108,$N149,$O149),"-")))</f>
        <v/>
      </c>
      <c r="F149" s="16">
        <f>IF($L149="","",INDEX(HSI!$F$7:$F$106,$N149))</f>
        <v/>
      </c>
      <c r="G149" s="37">
        <f>IF($L149="","",IF(INT($P149/10)=0,"TBA",IFERROR(INDEX(Grids!$EE$9:$GQ$108,$N149,$O149),"-")))</f>
        <v/>
      </c>
      <c r="H149" s="38">
        <f>IF($L149="","",SUM($G$10:$G149))</f>
        <v/>
      </c>
      <c r="I149" s="39">
        <f>IF($L149="","",IF(INT(($L149-INT($L149/10000000)*10000000)/1000000)=0,"Bloomberg projection",IF(INT($P149/10)=1,"Announced","ANNOUNCED - amount TBA"))&amp;IF(($P149-INT($P149/10)*10)=1," (special)","")&amp;IF((($P149-INT($P149/10)*10)=1)*(Summary!$C$13="N")&gt;0," - excluded by your specials switch",""))</f>
        <v/>
      </c>
      <c r="J149" s="40">
        <f>IF($L149="","",IF((Override!$C$4="ON")*ISNUMBER(INDEX(Override!$G$13:$G$112,$N149))&gt;0,"stock overridden",""))</f>
        <v/>
      </c>
      <c r="L149" s="41">
        <f>IFERROR(IF(SMALL(Grids!$C$9:$BO$108,$M$7+140)&gt;=(Summary!$C$15+1)*1000000000,"",SMALL(Grids!$C$9:$BO$108,$M$7+140)),"")</f>
        <v/>
      </c>
      <c r="M149" s="41">
        <f>IF($L149="","",INT($L149/1000000000))</f>
        <v/>
      </c>
      <c r="N149" s="41">
        <f>IF($L149="","",INT(($L149-INT($L149/1000000)*1000000)/1000))</f>
        <v/>
      </c>
      <c r="O149" s="41">
        <f>IF($L149="","",$L149-INT($L149/1000)*1000)</f>
        <v/>
      </c>
      <c r="P149" s="41">
        <f>IF($L149="","",INT(($L149-INT($L149/1000000000)*1000000000)/10000000))</f>
        <v/>
      </c>
    </row>
    <row r="150">
      <c r="B150" s="36">
        <f>IF($L150="","",$M150)</f>
        <v/>
      </c>
      <c r="C150" s="16">
        <f>IF($L150="","",INDEX(HSI!$C$7:$C$106,$N150))</f>
        <v/>
      </c>
      <c r="D150" s="16">
        <f>IF($L150="","",INDEX(HSI!$D$7:$D$106,$N150))</f>
        <v/>
      </c>
      <c r="E150" s="37">
        <f>IF($L150="","",IF(INT($P150/10)=0,"TBA",IFERROR(INDEX(Grids!$BQ$9:$EC$108,$N150,$O150),"-")))</f>
        <v/>
      </c>
      <c r="F150" s="16">
        <f>IF($L150="","",INDEX(HSI!$F$7:$F$106,$N150))</f>
        <v/>
      </c>
      <c r="G150" s="37">
        <f>IF($L150="","",IF(INT($P150/10)=0,"TBA",IFERROR(INDEX(Grids!$EE$9:$GQ$108,$N150,$O150),"-")))</f>
        <v/>
      </c>
      <c r="H150" s="38">
        <f>IF($L150="","",SUM($G$10:$G150))</f>
        <v/>
      </c>
      <c r="I150" s="39">
        <f>IF($L150="","",IF(INT(($L150-INT($L150/10000000)*10000000)/1000000)=0,"Bloomberg projection",IF(INT($P150/10)=1,"Announced","ANNOUNCED - amount TBA"))&amp;IF(($P150-INT($P150/10)*10)=1," (special)","")&amp;IF((($P150-INT($P150/10)*10)=1)*(Summary!$C$13="N")&gt;0," - excluded by your specials switch",""))</f>
        <v/>
      </c>
      <c r="J150" s="40">
        <f>IF($L150="","",IF((Override!$C$4="ON")*ISNUMBER(INDEX(Override!$G$13:$G$112,$N150))&gt;0,"stock overridden",""))</f>
        <v/>
      </c>
      <c r="L150" s="41">
        <f>IFERROR(IF(SMALL(Grids!$C$9:$BO$108,$M$7+141)&gt;=(Summary!$C$15+1)*1000000000,"",SMALL(Grids!$C$9:$BO$108,$M$7+141)),"")</f>
        <v/>
      </c>
      <c r="M150" s="41">
        <f>IF($L150="","",INT($L150/1000000000))</f>
        <v/>
      </c>
      <c r="N150" s="41">
        <f>IF($L150="","",INT(($L150-INT($L150/1000000)*1000000)/1000))</f>
        <v/>
      </c>
      <c r="O150" s="41">
        <f>IF($L150="","",$L150-INT($L150/1000)*1000)</f>
        <v/>
      </c>
      <c r="P150" s="41">
        <f>IF($L150="","",INT(($L150-INT($L150/1000000000)*1000000000)/10000000))</f>
        <v/>
      </c>
    </row>
    <row r="151">
      <c r="B151" s="36">
        <f>IF($L151="","",$M151)</f>
        <v/>
      </c>
      <c r="C151" s="16">
        <f>IF($L151="","",INDEX(HSI!$C$7:$C$106,$N151))</f>
        <v/>
      </c>
      <c r="D151" s="16">
        <f>IF($L151="","",INDEX(HSI!$D$7:$D$106,$N151))</f>
        <v/>
      </c>
      <c r="E151" s="37">
        <f>IF($L151="","",IF(INT($P151/10)=0,"TBA",IFERROR(INDEX(Grids!$BQ$9:$EC$108,$N151,$O151),"-")))</f>
        <v/>
      </c>
      <c r="F151" s="16">
        <f>IF($L151="","",INDEX(HSI!$F$7:$F$106,$N151))</f>
        <v/>
      </c>
      <c r="G151" s="37">
        <f>IF($L151="","",IF(INT($P151/10)=0,"TBA",IFERROR(INDEX(Grids!$EE$9:$GQ$108,$N151,$O151),"-")))</f>
        <v/>
      </c>
      <c r="H151" s="38">
        <f>IF($L151="","",SUM($G$10:$G151))</f>
        <v/>
      </c>
      <c r="I151" s="39">
        <f>IF($L151="","",IF(INT(($L151-INT($L151/10000000)*10000000)/1000000)=0,"Bloomberg projection",IF(INT($P151/10)=1,"Announced","ANNOUNCED - amount TBA"))&amp;IF(($P151-INT($P151/10)*10)=1," (special)","")&amp;IF((($P151-INT($P151/10)*10)=1)*(Summary!$C$13="N")&gt;0," - excluded by your specials switch",""))</f>
        <v/>
      </c>
      <c r="J151" s="40">
        <f>IF($L151="","",IF((Override!$C$4="ON")*ISNUMBER(INDEX(Override!$G$13:$G$112,$N151))&gt;0,"stock overridden",""))</f>
        <v/>
      </c>
      <c r="L151" s="41">
        <f>IFERROR(IF(SMALL(Grids!$C$9:$BO$108,$M$7+142)&gt;=(Summary!$C$15+1)*1000000000,"",SMALL(Grids!$C$9:$BO$108,$M$7+142)),"")</f>
        <v/>
      </c>
      <c r="M151" s="41">
        <f>IF($L151="","",INT($L151/1000000000))</f>
        <v/>
      </c>
      <c r="N151" s="41">
        <f>IF($L151="","",INT(($L151-INT($L151/1000000)*1000000)/1000))</f>
        <v/>
      </c>
      <c r="O151" s="41">
        <f>IF($L151="","",$L151-INT($L151/1000)*1000)</f>
        <v/>
      </c>
      <c r="P151" s="41">
        <f>IF($L151="","",INT(($L151-INT($L151/1000000000)*1000000000)/10000000))</f>
        <v/>
      </c>
    </row>
    <row r="152">
      <c r="B152" s="36">
        <f>IF($L152="","",$M152)</f>
        <v/>
      </c>
      <c r="C152" s="16">
        <f>IF($L152="","",INDEX(HSI!$C$7:$C$106,$N152))</f>
        <v/>
      </c>
      <c r="D152" s="16">
        <f>IF($L152="","",INDEX(HSI!$D$7:$D$106,$N152))</f>
        <v/>
      </c>
      <c r="E152" s="37">
        <f>IF($L152="","",IF(INT($P152/10)=0,"TBA",IFERROR(INDEX(Grids!$BQ$9:$EC$108,$N152,$O152),"-")))</f>
        <v/>
      </c>
      <c r="F152" s="16">
        <f>IF($L152="","",INDEX(HSI!$F$7:$F$106,$N152))</f>
        <v/>
      </c>
      <c r="G152" s="37">
        <f>IF($L152="","",IF(INT($P152/10)=0,"TBA",IFERROR(INDEX(Grids!$EE$9:$GQ$108,$N152,$O152),"-")))</f>
        <v/>
      </c>
      <c r="H152" s="38">
        <f>IF($L152="","",SUM($G$10:$G152))</f>
        <v/>
      </c>
      <c r="I152" s="39">
        <f>IF($L152="","",IF(INT(($L152-INT($L152/10000000)*10000000)/1000000)=0,"Bloomberg projection",IF(INT($P152/10)=1,"Announced","ANNOUNCED - amount TBA"))&amp;IF(($P152-INT($P152/10)*10)=1," (special)","")&amp;IF((($P152-INT($P152/10)*10)=1)*(Summary!$C$13="N")&gt;0," - excluded by your specials switch",""))</f>
        <v/>
      </c>
      <c r="J152" s="40">
        <f>IF($L152="","",IF((Override!$C$4="ON")*ISNUMBER(INDEX(Override!$G$13:$G$112,$N152))&gt;0,"stock overridden",""))</f>
        <v/>
      </c>
      <c r="L152" s="41">
        <f>IFERROR(IF(SMALL(Grids!$C$9:$BO$108,$M$7+143)&gt;=(Summary!$C$15+1)*1000000000,"",SMALL(Grids!$C$9:$BO$108,$M$7+143)),"")</f>
        <v/>
      </c>
      <c r="M152" s="41">
        <f>IF($L152="","",INT($L152/1000000000))</f>
        <v/>
      </c>
      <c r="N152" s="41">
        <f>IF($L152="","",INT(($L152-INT($L152/1000000)*1000000)/1000))</f>
        <v/>
      </c>
      <c r="O152" s="41">
        <f>IF($L152="","",$L152-INT($L152/1000)*1000)</f>
        <v/>
      </c>
      <c r="P152" s="41">
        <f>IF($L152="","",INT(($L152-INT($L152/1000000000)*1000000000)/10000000))</f>
        <v/>
      </c>
    </row>
    <row r="153">
      <c r="B153" s="36">
        <f>IF($L153="","",$M153)</f>
        <v/>
      </c>
      <c r="C153" s="16">
        <f>IF($L153="","",INDEX(HSI!$C$7:$C$106,$N153))</f>
        <v/>
      </c>
      <c r="D153" s="16">
        <f>IF($L153="","",INDEX(HSI!$D$7:$D$106,$N153))</f>
        <v/>
      </c>
      <c r="E153" s="37">
        <f>IF($L153="","",IF(INT($P153/10)=0,"TBA",IFERROR(INDEX(Grids!$BQ$9:$EC$108,$N153,$O153),"-")))</f>
        <v/>
      </c>
      <c r="F153" s="16">
        <f>IF($L153="","",INDEX(HSI!$F$7:$F$106,$N153))</f>
        <v/>
      </c>
      <c r="G153" s="37">
        <f>IF($L153="","",IF(INT($P153/10)=0,"TBA",IFERROR(INDEX(Grids!$EE$9:$GQ$108,$N153,$O153),"-")))</f>
        <v/>
      </c>
      <c r="H153" s="38">
        <f>IF($L153="","",SUM($G$10:$G153))</f>
        <v/>
      </c>
      <c r="I153" s="39">
        <f>IF($L153="","",IF(INT(($L153-INT($L153/10000000)*10000000)/1000000)=0,"Bloomberg projection",IF(INT($P153/10)=1,"Announced","ANNOUNCED - amount TBA"))&amp;IF(($P153-INT($P153/10)*10)=1," (special)","")&amp;IF((($P153-INT($P153/10)*10)=1)*(Summary!$C$13="N")&gt;0," - excluded by your specials switch",""))</f>
        <v/>
      </c>
      <c r="J153" s="40">
        <f>IF($L153="","",IF((Override!$C$4="ON")*ISNUMBER(INDEX(Override!$G$13:$G$112,$N153))&gt;0,"stock overridden",""))</f>
        <v/>
      </c>
      <c r="L153" s="41">
        <f>IFERROR(IF(SMALL(Grids!$C$9:$BO$108,$M$7+144)&gt;=(Summary!$C$15+1)*1000000000,"",SMALL(Grids!$C$9:$BO$108,$M$7+144)),"")</f>
        <v/>
      </c>
      <c r="M153" s="41">
        <f>IF($L153="","",INT($L153/1000000000))</f>
        <v/>
      </c>
      <c r="N153" s="41">
        <f>IF($L153="","",INT(($L153-INT($L153/1000000)*1000000)/1000))</f>
        <v/>
      </c>
      <c r="O153" s="41">
        <f>IF($L153="","",$L153-INT($L153/1000)*1000)</f>
        <v/>
      </c>
      <c r="P153" s="41">
        <f>IF($L153="","",INT(($L153-INT($L153/1000000000)*1000000000)/10000000))</f>
        <v/>
      </c>
    </row>
    <row r="154">
      <c r="B154" s="36">
        <f>IF($L154="","",$M154)</f>
        <v/>
      </c>
      <c r="C154" s="16">
        <f>IF($L154="","",INDEX(HSI!$C$7:$C$106,$N154))</f>
        <v/>
      </c>
      <c r="D154" s="16">
        <f>IF($L154="","",INDEX(HSI!$D$7:$D$106,$N154))</f>
        <v/>
      </c>
      <c r="E154" s="37">
        <f>IF($L154="","",IF(INT($P154/10)=0,"TBA",IFERROR(INDEX(Grids!$BQ$9:$EC$108,$N154,$O154),"-")))</f>
        <v/>
      </c>
      <c r="F154" s="16">
        <f>IF($L154="","",INDEX(HSI!$F$7:$F$106,$N154))</f>
        <v/>
      </c>
      <c r="G154" s="37">
        <f>IF($L154="","",IF(INT($P154/10)=0,"TBA",IFERROR(INDEX(Grids!$EE$9:$GQ$108,$N154,$O154),"-")))</f>
        <v/>
      </c>
      <c r="H154" s="38">
        <f>IF($L154="","",SUM($G$10:$G154))</f>
        <v/>
      </c>
      <c r="I154" s="39">
        <f>IF($L154="","",IF(INT(($L154-INT($L154/10000000)*10000000)/1000000)=0,"Bloomberg projection",IF(INT($P154/10)=1,"Announced","ANNOUNCED - amount TBA"))&amp;IF(($P154-INT($P154/10)*10)=1," (special)","")&amp;IF((($P154-INT($P154/10)*10)=1)*(Summary!$C$13="N")&gt;0," - excluded by your specials switch",""))</f>
        <v/>
      </c>
      <c r="J154" s="40">
        <f>IF($L154="","",IF((Override!$C$4="ON")*ISNUMBER(INDEX(Override!$G$13:$G$112,$N154))&gt;0,"stock overridden",""))</f>
        <v/>
      </c>
      <c r="L154" s="41">
        <f>IFERROR(IF(SMALL(Grids!$C$9:$BO$108,$M$7+145)&gt;=(Summary!$C$15+1)*1000000000,"",SMALL(Grids!$C$9:$BO$108,$M$7+145)),"")</f>
        <v/>
      </c>
      <c r="M154" s="41">
        <f>IF($L154="","",INT($L154/1000000000))</f>
        <v/>
      </c>
      <c r="N154" s="41">
        <f>IF($L154="","",INT(($L154-INT($L154/1000000)*1000000)/1000))</f>
        <v/>
      </c>
      <c r="O154" s="41">
        <f>IF($L154="","",$L154-INT($L154/1000)*1000)</f>
        <v/>
      </c>
      <c r="P154" s="41">
        <f>IF($L154="","",INT(($L154-INT($L154/1000000000)*1000000000)/10000000))</f>
        <v/>
      </c>
    </row>
    <row r="155">
      <c r="B155" s="36">
        <f>IF($L155="","",$M155)</f>
        <v/>
      </c>
      <c r="C155" s="16">
        <f>IF($L155="","",INDEX(HSI!$C$7:$C$106,$N155))</f>
        <v/>
      </c>
      <c r="D155" s="16">
        <f>IF($L155="","",INDEX(HSI!$D$7:$D$106,$N155))</f>
        <v/>
      </c>
      <c r="E155" s="37">
        <f>IF($L155="","",IF(INT($P155/10)=0,"TBA",IFERROR(INDEX(Grids!$BQ$9:$EC$108,$N155,$O155),"-")))</f>
        <v/>
      </c>
      <c r="F155" s="16">
        <f>IF($L155="","",INDEX(HSI!$F$7:$F$106,$N155))</f>
        <v/>
      </c>
      <c r="G155" s="37">
        <f>IF($L155="","",IF(INT($P155/10)=0,"TBA",IFERROR(INDEX(Grids!$EE$9:$GQ$108,$N155,$O155),"-")))</f>
        <v/>
      </c>
      <c r="H155" s="38">
        <f>IF($L155="","",SUM($G$10:$G155))</f>
        <v/>
      </c>
      <c r="I155" s="39">
        <f>IF($L155="","",IF(INT(($L155-INT($L155/10000000)*10000000)/1000000)=0,"Bloomberg projection",IF(INT($P155/10)=1,"Announced","ANNOUNCED - amount TBA"))&amp;IF(($P155-INT($P155/10)*10)=1," (special)","")&amp;IF((($P155-INT($P155/10)*10)=1)*(Summary!$C$13="N")&gt;0," - excluded by your specials switch",""))</f>
        <v/>
      </c>
      <c r="J155" s="40">
        <f>IF($L155="","",IF((Override!$C$4="ON")*ISNUMBER(INDEX(Override!$G$13:$G$112,$N155))&gt;0,"stock overridden",""))</f>
        <v/>
      </c>
      <c r="L155" s="41">
        <f>IFERROR(IF(SMALL(Grids!$C$9:$BO$108,$M$7+146)&gt;=(Summary!$C$15+1)*1000000000,"",SMALL(Grids!$C$9:$BO$108,$M$7+146)),"")</f>
        <v/>
      </c>
      <c r="M155" s="41">
        <f>IF($L155="","",INT($L155/1000000000))</f>
        <v/>
      </c>
      <c r="N155" s="41">
        <f>IF($L155="","",INT(($L155-INT($L155/1000000)*1000000)/1000))</f>
        <v/>
      </c>
      <c r="O155" s="41">
        <f>IF($L155="","",$L155-INT($L155/1000)*1000)</f>
        <v/>
      </c>
      <c r="P155" s="41">
        <f>IF($L155="","",INT(($L155-INT($L155/1000000000)*1000000000)/10000000))</f>
        <v/>
      </c>
    </row>
    <row r="156">
      <c r="B156" s="36">
        <f>IF($L156="","",$M156)</f>
        <v/>
      </c>
      <c r="C156" s="16">
        <f>IF($L156="","",INDEX(HSI!$C$7:$C$106,$N156))</f>
        <v/>
      </c>
      <c r="D156" s="16">
        <f>IF($L156="","",INDEX(HSI!$D$7:$D$106,$N156))</f>
        <v/>
      </c>
      <c r="E156" s="37">
        <f>IF($L156="","",IF(INT($P156/10)=0,"TBA",IFERROR(INDEX(Grids!$BQ$9:$EC$108,$N156,$O156),"-")))</f>
        <v/>
      </c>
      <c r="F156" s="16">
        <f>IF($L156="","",INDEX(HSI!$F$7:$F$106,$N156))</f>
        <v/>
      </c>
      <c r="G156" s="37">
        <f>IF($L156="","",IF(INT($P156/10)=0,"TBA",IFERROR(INDEX(Grids!$EE$9:$GQ$108,$N156,$O156),"-")))</f>
        <v/>
      </c>
      <c r="H156" s="38">
        <f>IF($L156="","",SUM($G$10:$G156))</f>
        <v/>
      </c>
      <c r="I156" s="39">
        <f>IF($L156="","",IF(INT(($L156-INT($L156/10000000)*10000000)/1000000)=0,"Bloomberg projection",IF(INT($P156/10)=1,"Announced","ANNOUNCED - amount TBA"))&amp;IF(($P156-INT($P156/10)*10)=1," (special)","")&amp;IF((($P156-INT($P156/10)*10)=1)*(Summary!$C$13="N")&gt;0," - excluded by your specials switch",""))</f>
        <v/>
      </c>
      <c r="J156" s="40">
        <f>IF($L156="","",IF((Override!$C$4="ON")*ISNUMBER(INDEX(Override!$G$13:$G$112,$N156))&gt;0,"stock overridden",""))</f>
        <v/>
      </c>
      <c r="L156" s="41">
        <f>IFERROR(IF(SMALL(Grids!$C$9:$BO$108,$M$7+147)&gt;=(Summary!$C$15+1)*1000000000,"",SMALL(Grids!$C$9:$BO$108,$M$7+147)),"")</f>
        <v/>
      </c>
      <c r="M156" s="41">
        <f>IF($L156="","",INT($L156/1000000000))</f>
        <v/>
      </c>
      <c r="N156" s="41">
        <f>IF($L156="","",INT(($L156-INT($L156/1000000)*1000000)/1000))</f>
        <v/>
      </c>
      <c r="O156" s="41">
        <f>IF($L156="","",$L156-INT($L156/1000)*1000)</f>
        <v/>
      </c>
      <c r="P156" s="41">
        <f>IF($L156="","",INT(($L156-INT($L156/1000000000)*1000000000)/10000000))</f>
        <v/>
      </c>
    </row>
    <row r="157">
      <c r="B157" s="36">
        <f>IF($L157="","",$M157)</f>
        <v/>
      </c>
      <c r="C157" s="16">
        <f>IF($L157="","",INDEX(HSI!$C$7:$C$106,$N157))</f>
        <v/>
      </c>
      <c r="D157" s="16">
        <f>IF($L157="","",INDEX(HSI!$D$7:$D$106,$N157))</f>
        <v/>
      </c>
      <c r="E157" s="37">
        <f>IF($L157="","",IF(INT($P157/10)=0,"TBA",IFERROR(INDEX(Grids!$BQ$9:$EC$108,$N157,$O157),"-")))</f>
        <v/>
      </c>
      <c r="F157" s="16">
        <f>IF($L157="","",INDEX(HSI!$F$7:$F$106,$N157))</f>
        <v/>
      </c>
      <c r="G157" s="37">
        <f>IF($L157="","",IF(INT($P157/10)=0,"TBA",IFERROR(INDEX(Grids!$EE$9:$GQ$108,$N157,$O157),"-")))</f>
        <v/>
      </c>
      <c r="H157" s="38">
        <f>IF($L157="","",SUM($G$10:$G157))</f>
        <v/>
      </c>
      <c r="I157" s="39">
        <f>IF($L157="","",IF(INT(($L157-INT($L157/10000000)*10000000)/1000000)=0,"Bloomberg projection",IF(INT($P157/10)=1,"Announced","ANNOUNCED - amount TBA"))&amp;IF(($P157-INT($P157/10)*10)=1," (special)","")&amp;IF((($P157-INT($P157/10)*10)=1)*(Summary!$C$13="N")&gt;0," - excluded by your specials switch",""))</f>
        <v/>
      </c>
      <c r="J157" s="40">
        <f>IF($L157="","",IF((Override!$C$4="ON")*ISNUMBER(INDEX(Override!$G$13:$G$112,$N157))&gt;0,"stock overridden",""))</f>
        <v/>
      </c>
      <c r="L157" s="41">
        <f>IFERROR(IF(SMALL(Grids!$C$9:$BO$108,$M$7+148)&gt;=(Summary!$C$15+1)*1000000000,"",SMALL(Grids!$C$9:$BO$108,$M$7+148)),"")</f>
        <v/>
      </c>
      <c r="M157" s="41">
        <f>IF($L157="","",INT($L157/1000000000))</f>
        <v/>
      </c>
      <c r="N157" s="41">
        <f>IF($L157="","",INT(($L157-INT($L157/1000000)*1000000)/1000))</f>
        <v/>
      </c>
      <c r="O157" s="41">
        <f>IF($L157="","",$L157-INT($L157/1000)*1000)</f>
        <v/>
      </c>
      <c r="P157" s="41">
        <f>IF($L157="","",INT(($L157-INT($L157/1000000000)*1000000000)/10000000))</f>
        <v/>
      </c>
    </row>
    <row r="158">
      <c r="B158" s="36">
        <f>IF($L158="","",$M158)</f>
        <v/>
      </c>
      <c r="C158" s="16">
        <f>IF($L158="","",INDEX(HSI!$C$7:$C$106,$N158))</f>
        <v/>
      </c>
      <c r="D158" s="16">
        <f>IF($L158="","",INDEX(HSI!$D$7:$D$106,$N158))</f>
        <v/>
      </c>
      <c r="E158" s="37">
        <f>IF($L158="","",IF(INT($P158/10)=0,"TBA",IFERROR(INDEX(Grids!$BQ$9:$EC$108,$N158,$O158),"-")))</f>
        <v/>
      </c>
      <c r="F158" s="16">
        <f>IF($L158="","",INDEX(HSI!$F$7:$F$106,$N158))</f>
        <v/>
      </c>
      <c r="G158" s="37">
        <f>IF($L158="","",IF(INT($P158/10)=0,"TBA",IFERROR(INDEX(Grids!$EE$9:$GQ$108,$N158,$O158),"-")))</f>
        <v/>
      </c>
      <c r="H158" s="38">
        <f>IF($L158="","",SUM($G$10:$G158))</f>
        <v/>
      </c>
      <c r="I158" s="39">
        <f>IF($L158="","",IF(INT(($L158-INT($L158/10000000)*10000000)/1000000)=0,"Bloomberg projection",IF(INT($P158/10)=1,"Announced","ANNOUNCED - amount TBA"))&amp;IF(($P158-INT($P158/10)*10)=1," (special)","")&amp;IF((($P158-INT($P158/10)*10)=1)*(Summary!$C$13="N")&gt;0," - excluded by your specials switch",""))</f>
        <v/>
      </c>
      <c r="J158" s="40">
        <f>IF($L158="","",IF((Override!$C$4="ON")*ISNUMBER(INDEX(Override!$G$13:$G$112,$N158))&gt;0,"stock overridden",""))</f>
        <v/>
      </c>
      <c r="L158" s="41">
        <f>IFERROR(IF(SMALL(Grids!$C$9:$BO$108,$M$7+149)&gt;=(Summary!$C$15+1)*1000000000,"",SMALL(Grids!$C$9:$BO$108,$M$7+149)),"")</f>
        <v/>
      </c>
      <c r="M158" s="41">
        <f>IF($L158="","",INT($L158/1000000000))</f>
        <v/>
      </c>
      <c r="N158" s="41">
        <f>IF($L158="","",INT(($L158-INT($L158/1000000)*1000000)/1000))</f>
        <v/>
      </c>
      <c r="O158" s="41">
        <f>IF($L158="","",$L158-INT($L158/1000)*1000)</f>
        <v/>
      </c>
      <c r="P158" s="41">
        <f>IF($L158="","",INT(($L158-INT($L158/1000000000)*1000000000)/10000000))</f>
        <v/>
      </c>
    </row>
    <row r="159">
      <c r="B159" s="36">
        <f>IF($L159="","",$M159)</f>
        <v/>
      </c>
      <c r="C159" s="16">
        <f>IF($L159="","",INDEX(HSI!$C$7:$C$106,$N159))</f>
        <v/>
      </c>
      <c r="D159" s="16">
        <f>IF($L159="","",INDEX(HSI!$D$7:$D$106,$N159))</f>
        <v/>
      </c>
      <c r="E159" s="37">
        <f>IF($L159="","",IF(INT($P159/10)=0,"TBA",IFERROR(INDEX(Grids!$BQ$9:$EC$108,$N159,$O159),"-")))</f>
        <v/>
      </c>
      <c r="F159" s="16">
        <f>IF($L159="","",INDEX(HSI!$F$7:$F$106,$N159))</f>
        <v/>
      </c>
      <c r="G159" s="37">
        <f>IF($L159="","",IF(INT($P159/10)=0,"TBA",IFERROR(INDEX(Grids!$EE$9:$GQ$108,$N159,$O159),"-")))</f>
        <v/>
      </c>
      <c r="H159" s="38">
        <f>IF($L159="","",SUM($G$10:$G159))</f>
        <v/>
      </c>
      <c r="I159" s="39">
        <f>IF($L159="","",IF(INT(($L159-INT($L159/10000000)*10000000)/1000000)=0,"Bloomberg projection",IF(INT($P159/10)=1,"Announced","ANNOUNCED - amount TBA"))&amp;IF(($P159-INT($P159/10)*10)=1," (special)","")&amp;IF((($P159-INT($P159/10)*10)=1)*(Summary!$C$13="N")&gt;0," - excluded by your specials switch",""))</f>
        <v/>
      </c>
      <c r="J159" s="40">
        <f>IF($L159="","",IF((Override!$C$4="ON")*ISNUMBER(INDEX(Override!$G$13:$G$112,$N159))&gt;0,"stock overridden",""))</f>
        <v/>
      </c>
      <c r="L159" s="41">
        <f>IFERROR(IF(SMALL(Grids!$C$9:$BO$108,$M$7+150)&gt;=(Summary!$C$15+1)*1000000000,"",SMALL(Grids!$C$9:$BO$108,$M$7+150)),"")</f>
        <v/>
      </c>
      <c r="M159" s="41">
        <f>IF($L159="","",INT($L159/1000000000))</f>
        <v/>
      </c>
      <c r="N159" s="41">
        <f>IF($L159="","",INT(($L159-INT($L159/1000000)*1000000)/1000))</f>
        <v/>
      </c>
      <c r="O159" s="41">
        <f>IF($L159="","",$L159-INT($L159/1000)*1000)</f>
        <v/>
      </c>
      <c r="P159" s="41">
        <f>IF($L159="","",INT(($L159-INT($L159/1000000000)*1000000000)/10000000))</f>
        <v/>
      </c>
    </row>
    <row r="160">
      <c r="B160" s="36">
        <f>IF($L160="","",$M160)</f>
        <v/>
      </c>
      <c r="C160" s="16">
        <f>IF($L160="","",INDEX(HSI!$C$7:$C$106,$N160))</f>
        <v/>
      </c>
      <c r="D160" s="16">
        <f>IF($L160="","",INDEX(HSI!$D$7:$D$106,$N160))</f>
        <v/>
      </c>
      <c r="E160" s="37">
        <f>IF($L160="","",IF(INT($P160/10)=0,"TBA",IFERROR(INDEX(Grids!$BQ$9:$EC$108,$N160,$O160),"-")))</f>
        <v/>
      </c>
      <c r="F160" s="16">
        <f>IF($L160="","",INDEX(HSI!$F$7:$F$106,$N160))</f>
        <v/>
      </c>
      <c r="G160" s="37">
        <f>IF($L160="","",IF(INT($P160/10)=0,"TBA",IFERROR(INDEX(Grids!$EE$9:$GQ$108,$N160,$O160),"-")))</f>
        <v/>
      </c>
      <c r="H160" s="38">
        <f>IF($L160="","",SUM($G$10:$G160))</f>
        <v/>
      </c>
      <c r="I160" s="39">
        <f>IF($L160="","",IF(INT(($L160-INT($L160/10000000)*10000000)/1000000)=0,"Bloomberg projection",IF(INT($P160/10)=1,"Announced","ANNOUNCED - amount TBA"))&amp;IF(($P160-INT($P160/10)*10)=1," (special)","")&amp;IF((($P160-INT($P160/10)*10)=1)*(Summary!$C$13="N")&gt;0," - excluded by your specials switch",""))</f>
        <v/>
      </c>
      <c r="J160" s="40">
        <f>IF($L160="","",IF((Override!$C$4="ON")*ISNUMBER(INDEX(Override!$G$13:$G$112,$N160))&gt;0,"stock overridden",""))</f>
        <v/>
      </c>
      <c r="L160" s="41">
        <f>IFERROR(IF(SMALL(Grids!$C$9:$BO$108,$M$7+151)&gt;=(Summary!$C$15+1)*1000000000,"",SMALL(Grids!$C$9:$BO$108,$M$7+151)),"")</f>
        <v/>
      </c>
      <c r="M160" s="41">
        <f>IF($L160="","",INT($L160/1000000000))</f>
        <v/>
      </c>
      <c r="N160" s="41">
        <f>IF($L160="","",INT(($L160-INT($L160/1000000)*1000000)/1000))</f>
        <v/>
      </c>
      <c r="O160" s="41">
        <f>IF($L160="","",$L160-INT($L160/1000)*1000)</f>
        <v/>
      </c>
      <c r="P160" s="41">
        <f>IF($L160="","",INT(($L160-INT($L160/1000000000)*1000000000)/10000000))</f>
        <v/>
      </c>
    </row>
    <row r="161">
      <c r="B161" s="36">
        <f>IF($L161="","",$M161)</f>
        <v/>
      </c>
      <c r="C161" s="16">
        <f>IF($L161="","",INDEX(HSI!$C$7:$C$106,$N161))</f>
        <v/>
      </c>
      <c r="D161" s="16">
        <f>IF($L161="","",INDEX(HSI!$D$7:$D$106,$N161))</f>
        <v/>
      </c>
      <c r="E161" s="37">
        <f>IF($L161="","",IF(INT($P161/10)=0,"TBA",IFERROR(INDEX(Grids!$BQ$9:$EC$108,$N161,$O161),"-")))</f>
        <v/>
      </c>
      <c r="F161" s="16">
        <f>IF($L161="","",INDEX(HSI!$F$7:$F$106,$N161))</f>
        <v/>
      </c>
      <c r="G161" s="37">
        <f>IF($L161="","",IF(INT($P161/10)=0,"TBA",IFERROR(INDEX(Grids!$EE$9:$GQ$108,$N161,$O161),"-")))</f>
        <v/>
      </c>
      <c r="H161" s="38">
        <f>IF($L161="","",SUM($G$10:$G161))</f>
        <v/>
      </c>
      <c r="I161" s="39">
        <f>IF($L161="","",IF(INT(($L161-INT($L161/10000000)*10000000)/1000000)=0,"Bloomberg projection",IF(INT($P161/10)=1,"Announced","ANNOUNCED - amount TBA"))&amp;IF(($P161-INT($P161/10)*10)=1," (special)","")&amp;IF((($P161-INT($P161/10)*10)=1)*(Summary!$C$13="N")&gt;0," - excluded by your specials switch",""))</f>
        <v/>
      </c>
      <c r="J161" s="40">
        <f>IF($L161="","",IF((Override!$C$4="ON")*ISNUMBER(INDEX(Override!$G$13:$G$112,$N161))&gt;0,"stock overridden",""))</f>
        <v/>
      </c>
      <c r="L161" s="41">
        <f>IFERROR(IF(SMALL(Grids!$C$9:$BO$108,$M$7+152)&gt;=(Summary!$C$15+1)*1000000000,"",SMALL(Grids!$C$9:$BO$108,$M$7+152)),"")</f>
        <v/>
      </c>
      <c r="M161" s="41">
        <f>IF($L161="","",INT($L161/1000000000))</f>
        <v/>
      </c>
      <c r="N161" s="41">
        <f>IF($L161="","",INT(($L161-INT($L161/1000000)*1000000)/1000))</f>
        <v/>
      </c>
      <c r="O161" s="41">
        <f>IF($L161="","",$L161-INT($L161/1000)*1000)</f>
        <v/>
      </c>
      <c r="P161" s="41">
        <f>IF($L161="","",INT(($L161-INT($L161/1000000000)*1000000000)/10000000))</f>
        <v/>
      </c>
    </row>
    <row r="162">
      <c r="B162" s="36">
        <f>IF($L162="","",$M162)</f>
        <v/>
      </c>
      <c r="C162" s="16">
        <f>IF($L162="","",INDEX(HSI!$C$7:$C$106,$N162))</f>
        <v/>
      </c>
      <c r="D162" s="16">
        <f>IF($L162="","",INDEX(HSI!$D$7:$D$106,$N162))</f>
        <v/>
      </c>
      <c r="E162" s="37">
        <f>IF($L162="","",IF(INT($P162/10)=0,"TBA",IFERROR(INDEX(Grids!$BQ$9:$EC$108,$N162,$O162),"-")))</f>
        <v/>
      </c>
      <c r="F162" s="16">
        <f>IF($L162="","",INDEX(HSI!$F$7:$F$106,$N162))</f>
        <v/>
      </c>
      <c r="G162" s="37">
        <f>IF($L162="","",IF(INT($P162/10)=0,"TBA",IFERROR(INDEX(Grids!$EE$9:$GQ$108,$N162,$O162),"-")))</f>
        <v/>
      </c>
      <c r="H162" s="38">
        <f>IF($L162="","",SUM($G$10:$G162))</f>
        <v/>
      </c>
      <c r="I162" s="39">
        <f>IF($L162="","",IF(INT(($L162-INT($L162/10000000)*10000000)/1000000)=0,"Bloomberg projection",IF(INT($P162/10)=1,"Announced","ANNOUNCED - amount TBA"))&amp;IF(($P162-INT($P162/10)*10)=1," (special)","")&amp;IF((($P162-INT($P162/10)*10)=1)*(Summary!$C$13="N")&gt;0," - excluded by your specials switch",""))</f>
        <v/>
      </c>
      <c r="J162" s="40">
        <f>IF($L162="","",IF((Override!$C$4="ON")*ISNUMBER(INDEX(Override!$G$13:$G$112,$N162))&gt;0,"stock overridden",""))</f>
        <v/>
      </c>
      <c r="L162" s="41">
        <f>IFERROR(IF(SMALL(Grids!$C$9:$BO$108,$M$7+153)&gt;=(Summary!$C$15+1)*1000000000,"",SMALL(Grids!$C$9:$BO$108,$M$7+153)),"")</f>
        <v/>
      </c>
      <c r="M162" s="41">
        <f>IF($L162="","",INT($L162/1000000000))</f>
        <v/>
      </c>
      <c r="N162" s="41">
        <f>IF($L162="","",INT(($L162-INT($L162/1000000)*1000000)/1000))</f>
        <v/>
      </c>
      <c r="O162" s="41">
        <f>IF($L162="","",$L162-INT($L162/1000)*1000)</f>
        <v/>
      </c>
      <c r="P162" s="41">
        <f>IF($L162="","",INT(($L162-INT($L162/1000000000)*1000000000)/10000000))</f>
        <v/>
      </c>
    </row>
    <row r="163">
      <c r="B163" s="36">
        <f>IF($L163="","",$M163)</f>
        <v/>
      </c>
      <c r="C163" s="16">
        <f>IF($L163="","",INDEX(HSI!$C$7:$C$106,$N163))</f>
        <v/>
      </c>
      <c r="D163" s="16">
        <f>IF($L163="","",INDEX(HSI!$D$7:$D$106,$N163))</f>
        <v/>
      </c>
      <c r="E163" s="37">
        <f>IF($L163="","",IF(INT($P163/10)=0,"TBA",IFERROR(INDEX(Grids!$BQ$9:$EC$108,$N163,$O163),"-")))</f>
        <v/>
      </c>
      <c r="F163" s="16">
        <f>IF($L163="","",INDEX(HSI!$F$7:$F$106,$N163))</f>
        <v/>
      </c>
      <c r="G163" s="37">
        <f>IF($L163="","",IF(INT($P163/10)=0,"TBA",IFERROR(INDEX(Grids!$EE$9:$GQ$108,$N163,$O163),"-")))</f>
        <v/>
      </c>
      <c r="H163" s="38">
        <f>IF($L163="","",SUM($G$10:$G163))</f>
        <v/>
      </c>
      <c r="I163" s="39">
        <f>IF($L163="","",IF(INT(($L163-INT($L163/10000000)*10000000)/1000000)=0,"Bloomberg projection",IF(INT($P163/10)=1,"Announced","ANNOUNCED - amount TBA"))&amp;IF(($P163-INT($P163/10)*10)=1," (special)","")&amp;IF((($P163-INT($P163/10)*10)=1)*(Summary!$C$13="N")&gt;0," - excluded by your specials switch",""))</f>
        <v/>
      </c>
      <c r="J163" s="40">
        <f>IF($L163="","",IF((Override!$C$4="ON")*ISNUMBER(INDEX(Override!$G$13:$G$112,$N163))&gt;0,"stock overridden",""))</f>
        <v/>
      </c>
      <c r="L163" s="41">
        <f>IFERROR(IF(SMALL(Grids!$C$9:$BO$108,$M$7+154)&gt;=(Summary!$C$15+1)*1000000000,"",SMALL(Grids!$C$9:$BO$108,$M$7+154)),"")</f>
        <v/>
      </c>
      <c r="M163" s="41">
        <f>IF($L163="","",INT($L163/1000000000))</f>
        <v/>
      </c>
      <c r="N163" s="41">
        <f>IF($L163="","",INT(($L163-INT($L163/1000000)*1000000)/1000))</f>
        <v/>
      </c>
      <c r="O163" s="41">
        <f>IF($L163="","",$L163-INT($L163/1000)*1000)</f>
        <v/>
      </c>
      <c r="P163" s="41">
        <f>IF($L163="","",INT(($L163-INT($L163/1000000000)*1000000000)/10000000))</f>
        <v/>
      </c>
    </row>
    <row r="164">
      <c r="B164" s="36">
        <f>IF($L164="","",$M164)</f>
        <v/>
      </c>
      <c r="C164" s="16">
        <f>IF($L164="","",INDEX(HSI!$C$7:$C$106,$N164))</f>
        <v/>
      </c>
      <c r="D164" s="16">
        <f>IF($L164="","",INDEX(HSI!$D$7:$D$106,$N164))</f>
        <v/>
      </c>
      <c r="E164" s="37">
        <f>IF($L164="","",IF(INT($P164/10)=0,"TBA",IFERROR(INDEX(Grids!$BQ$9:$EC$108,$N164,$O164),"-")))</f>
        <v/>
      </c>
      <c r="F164" s="16">
        <f>IF($L164="","",INDEX(HSI!$F$7:$F$106,$N164))</f>
        <v/>
      </c>
      <c r="G164" s="37">
        <f>IF($L164="","",IF(INT($P164/10)=0,"TBA",IFERROR(INDEX(Grids!$EE$9:$GQ$108,$N164,$O164),"-")))</f>
        <v/>
      </c>
      <c r="H164" s="38">
        <f>IF($L164="","",SUM($G$10:$G164))</f>
        <v/>
      </c>
      <c r="I164" s="39">
        <f>IF($L164="","",IF(INT(($L164-INT($L164/10000000)*10000000)/1000000)=0,"Bloomberg projection",IF(INT($P164/10)=1,"Announced","ANNOUNCED - amount TBA"))&amp;IF(($P164-INT($P164/10)*10)=1," (special)","")&amp;IF((($P164-INT($P164/10)*10)=1)*(Summary!$C$13="N")&gt;0," - excluded by your specials switch",""))</f>
        <v/>
      </c>
      <c r="J164" s="40">
        <f>IF($L164="","",IF((Override!$C$4="ON")*ISNUMBER(INDEX(Override!$G$13:$G$112,$N164))&gt;0,"stock overridden",""))</f>
        <v/>
      </c>
      <c r="L164" s="41">
        <f>IFERROR(IF(SMALL(Grids!$C$9:$BO$108,$M$7+155)&gt;=(Summary!$C$15+1)*1000000000,"",SMALL(Grids!$C$9:$BO$108,$M$7+155)),"")</f>
        <v/>
      </c>
      <c r="M164" s="41">
        <f>IF($L164="","",INT($L164/1000000000))</f>
        <v/>
      </c>
      <c r="N164" s="41">
        <f>IF($L164="","",INT(($L164-INT($L164/1000000)*1000000)/1000))</f>
        <v/>
      </c>
      <c r="O164" s="41">
        <f>IF($L164="","",$L164-INT($L164/1000)*1000)</f>
        <v/>
      </c>
      <c r="P164" s="41">
        <f>IF($L164="","",INT(($L164-INT($L164/1000000000)*1000000000)/10000000))</f>
        <v/>
      </c>
    </row>
    <row r="165">
      <c r="B165" s="36">
        <f>IF($L165="","",$M165)</f>
        <v/>
      </c>
      <c r="C165" s="16">
        <f>IF($L165="","",INDEX(HSI!$C$7:$C$106,$N165))</f>
        <v/>
      </c>
      <c r="D165" s="16">
        <f>IF($L165="","",INDEX(HSI!$D$7:$D$106,$N165))</f>
        <v/>
      </c>
      <c r="E165" s="37">
        <f>IF($L165="","",IF(INT($P165/10)=0,"TBA",IFERROR(INDEX(Grids!$BQ$9:$EC$108,$N165,$O165),"-")))</f>
        <v/>
      </c>
      <c r="F165" s="16">
        <f>IF($L165="","",INDEX(HSI!$F$7:$F$106,$N165))</f>
        <v/>
      </c>
      <c r="G165" s="37">
        <f>IF($L165="","",IF(INT($P165/10)=0,"TBA",IFERROR(INDEX(Grids!$EE$9:$GQ$108,$N165,$O165),"-")))</f>
        <v/>
      </c>
      <c r="H165" s="38">
        <f>IF($L165="","",SUM($G$10:$G165))</f>
        <v/>
      </c>
      <c r="I165" s="39">
        <f>IF($L165="","",IF(INT(($L165-INT($L165/10000000)*10000000)/1000000)=0,"Bloomberg projection",IF(INT($P165/10)=1,"Announced","ANNOUNCED - amount TBA"))&amp;IF(($P165-INT($P165/10)*10)=1," (special)","")&amp;IF((($P165-INT($P165/10)*10)=1)*(Summary!$C$13="N")&gt;0," - excluded by your specials switch",""))</f>
        <v/>
      </c>
      <c r="J165" s="40">
        <f>IF($L165="","",IF((Override!$C$4="ON")*ISNUMBER(INDEX(Override!$G$13:$G$112,$N165))&gt;0,"stock overridden",""))</f>
        <v/>
      </c>
      <c r="L165" s="41">
        <f>IFERROR(IF(SMALL(Grids!$C$9:$BO$108,$M$7+156)&gt;=(Summary!$C$15+1)*1000000000,"",SMALL(Grids!$C$9:$BO$108,$M$7+156)),"")</f>
        <v/>
      </c>
      <c r="M165" s="41">
        <f>IF($L165="","",INT($L165/1000000000))</f>
        <v/>
      </c>
      <c r="N165" s="41">
        <f>IF($L165="","",INT(($L165-INT($L165/1000000)*1000000)/1000))</f>
        <v/>
      </c>
      <c r="O165" s="41">
        <f>IF($L165="","",$L165-INT($L165/1000)*1000)</f>
        <v/>
      </c>
      <c r="P165" s="41">
        <f>IF($L165="","",INT(($L165-INT($L165/1000000000)*1000000000)/10000000))</f>
        <v/>
      </c>
    </row>
    <row r="166">
      <c r="B166" s="36">
        <f>IF($L166="","",$M166)</f>
        <v/>
      </c>
      <c r="C166" s="16">
        <f>IF($L166="","",INDEX(HSI!$C$7:$C$106,$N166))</f>
        <v/>
      </c>
      <c r="D166" s="16">
        <f>IF($L166="","",INDEX(HSI!$D$7:$D$106,$N166))</f>
        <v/>
      </c>
      <c r="E166" s="37">
        <f>IF($L166="","",IF(INT($P166/10)=0,"TBA",IFERROR(INDEX(Grids!$BQ$9:$EC$108,$N166,$O166),"-")))</f>
        <v/>
      </c>
      <c r="F166" s="16">
        <f>IF($L166="","",INDEX(HSI!$F$7:$F$106,$N166))</f>
        <v/>
      </c>
      <c r="G166" s="37">
        <f>IF($L166="","",IF(INT($P166/10)=0,"TBA",IFERROR(INDEX(Grids!$EE$9:$GQ$108,$N166,$O166),"-")))</f>
        <v/>
      </c>
      <c r="H166" s="38">
        <f>IF($L166="","",SUM($G$10:$G166))</f>
        <v/>
      </c>
      <c r="I166" s="39">
        <f>IF($L166="","",IF(INT(($L166-INT($L166/10000000)*10000000)/1000000)=0,"Bloomberg projection",IF(INT($P166/10)=1,"Announced","ANNOUNCED - amount TBA"))&amp;IF(($P166-INT($P166/10)*10)=1," (special)","")&amp;IF((($P166-INT($P166/10)*10)=1)*(Summary!$C$13="N")&gt;0," - excluded by your specials switch",""))</f>
        <v/>
      </c>
      <c r="J166" s="40">
        <f>IF($L166="","",IF((Override!$C$4="ON")*ISNUMBER(INDEX(Override!$G$13:$G$112,$N166))&gt;0,"stock overridden",""))</f>
        <v/>
      </c>
      <c r="L166" s="41">
        <f>IFERROR(IF(SMALL(Grids!$C$9:$BO$108,$M$7+157)&gt;=(Summary!$C$15+1)*1000000000,"",SMALL(Grids!$C$9:$BO$108,$M$7+157)),"")</f>
        <v/>
      </c>
      <c r="M166" s="41">
        <f>IF($L166="","",INT($L166/1000000000))</f>
        <v/>
      </c>
      <c r="N166" s="41">
        <f>IF($L166="","",INT(($L166-INT($L166/1000000)*1000000)/1000))</f>
        <v/>
      </c>
      <c r="O166" s="41">
        <f>IF($L166="","",$L166-INT($L166/1000)*1000)</f>
        <v/>
      </c>
      <c r="P166" s="41">
        <f>IF($L166="","",INT(($L166-INT($L166/1000000000)*1000000000)/10000000))</f>
        <v/>
      </c>
    </row>
    <row r="167">
      <c r="B167" s="36">
        <f>IF($L167="","",$M167)</f>
        <v/>
      </c>
      <c r="C167" s="16">
        <f>IF($L167="","",INDEX(HSI!$C$7:$C$106,$N167))</f>
        <v/>
      </c>
      <c r="D167" s="16">
        <f>IF($L167="","",INDEX(HSI!$D$7:$D$106,$N167))</f>
        <v/>
      </c>
      <c r="E167" s="37">
        <f>IF($L167="","",IF(INT($P167/10)=0,"TBA",IFERROR(INDEX(Grids!$BQ$9:$EC$108,$N167,$O167),"-")))</f>
        <v/>
      </c>
      <c r="F167" s="16">
        <f>IF($L167="","",INDEX(HSI!$F$7:$F$106,$N167))</f>
        <v/>
      </c>
      <c r="G167" s="37">
        <f>IF($L167="","",IF(INT($P167/10)=0,"TBA",IFERROR(INDEX(Grids!$EE$9:$GQ$108,$N167,$O167),"-")))</f>
        <v/>
      </c>
      <c r="H167" s="38">
        <f>IF($L167="","",SUM($G$10:$G167))</f>
        <v/>
      </c>
      <c r="I167" s="39">
        <f>IF($L167="","",IF(INT(($L167-INT($L167/10000000)*10000000)/1000000)=0,"Bloomberg projection",IF(INT($P167/10)=1,"Announced","ANNOUNCED - amount TBA"))&amp;IF(($P167-INT($P167/10)*10)=1," (special)","")&amp;IF((($P167-INT($P167/10)*10)=1)*(Summary!$C$13="N")&gt;0," - excluded by your specials switch",""))</f>
        <v/>
      </c>
      <c r="J167" s="40">
        <f>IF($L167="","",IF((Override!$C$4="ON")*ISNUMBER(INDEX(Override!$G$13:$G$112,$N167))&gt;0,"stock overridden",""))</f>
        <v/>
      </c>
      <c r="L167" s="41">
        <f>IFERROR(IF(SMALL(Grids!$C$9:$BO$108,$M$7+158)&gt;=(Summary!$C$15+1)*1000000000,"",SMALL(Grids!$C$9:$BO$108,$M$7+158)),"")</f>
        <v/>
      </c>
      <c r="M167" s="41">
        <f>IF($L167="","",INT($L167/1000000000))</f>
        <v/>
      </c>
      <c r="N167" s="41">
        <f>IF($L167="","",INT(($L167-INT($L167/1000000)*1000000)/1000))</f>
        <v/>
      </c>
      <c r="O167" s="41">
        <f>IF($L167="","",$L167-INT($L167/1000)*1000)</f>
        <v/>
      </c>
      <c r="P167" s="41">
        <f>IF($L167="","",INT(($L167-INT($L167/1000000000)*1000000000)/10000000))</f>
        <v/>
      </c>
    </row>
    <row r="168">
      <c r="B168" s="36">
        <f>IF($L168="","",$M168)</f>
        <v/>
      </c>
      <c r="C168" s="16">
        <f>IF($L168="","",INDEX(HSI!$C$7:$C$106,$N168))</f>
        <v/>
      </c>
      <c r="D168" s="16">
        <f>IF($L168="","",INDEX(HSI!$D$7:$D$106,$N168))</f>
        <v/>
      </c>
      <c r="E168" s="37">
        <f>IF($L168="","",IF(INT($P168/10)=0,"TBA",IFERROR(INDEX(Grids!$BQ$9:$EC$108,$N168,$O168),"-")))</f>
        <v/>
      </c>
      <c r="F168" s="16">
        <f>IF($L168="","",INDEX(HSI!$F$7:$F$106,$N168))</f>
        <v/>
      </c>
      <c r="G168" s="37">
        <f>IF($L168="","",IF(INT($P168/10)=0,"TBA",IFERROR(INDEX(Grids!$EE$9:$GQ$108,$N168,$O168),"-")))</f>
        <v/>
      </c>
      <c r="H168" s="38">
        <f>IF($L168="","",SUM($G$10:$G168))</f>
        <v/>
      </c>
      <c r="I168" s="39">
        <f>IF($L168="","",IF(INT(($L168-INT($L168/10000000)*10000000)/1000000)=0,"Bloomberg projection",IF(INT($P168/10)=1,"Announced","ANNOUNCED - amount TBA"))&amp;IF(($P168-INT($P168/10)*10)=1," (special)","")&amp;IF((($P168-INT($P168/10)*10)=1)*(Summary!$C$13="N")&gt;0," - excluded by your specials switch",""))</f>
        <v/>
      </c>
      <c r="J168" s="40">
        <f>IF($L168="","",IF((Override!$C$4="ON")*ISNUMBER(INDEX(Override!$G$13:$G$112,$N168))&gt;0,"stock overridden",""))</f>
        <v/>
      </c>
      <c r="L168" s="41">
        <f>IFERROR(IF(SMALL(Grids!$C$9:$BO$108,$M$7+159)&gt;=(Summary!$C$15+1)*1000000000,"",SMALL(Grids!$C$9:$BO$108,$M$7+159)),"")</f>
        <v/>
      </c>
      <c r="M168" s="41">
        <f>IF($L168="","",INT($L168/1000000000))</f>
        <v/>
      </c>
      <c r="N168" s="41">
        <f>IF($L168="","",INT(($L168-INT($L168/1000000)*1000000)/1000))</f>
        <v/>
      </c>
      <c r="O168" s="41">
        <f>IF($L168="","",$L168-INT($L168/1000)*1000)</f>
        <v/>
      </c>
      <c r="P168" s="41">
        <f>IF($L168="","",INT(($L168-INT($L168/1000000000)*1000000000)/10000000))</f>
        <v/>
      </c>
    </row>
    <row r="169">
      <c r="B169" s="36">
        <f>IF($L169="","",$M169)</f>
        <v/>
      </c>
      <c r="C169" s="16">
        <f>IF($L169="","",INDEX(HSI!$C$7:$C$106,$N169))</f>
        <v/>
      </c>
      <c r="D169" s="16">
        <f>IF($L169="","",INDEX(HSI!$D$7:$D$106,$N169))</f>
        <v/>
      </c>
      <c r="E169" s="37">
        <f>IF($L169="","",IF(INT($P169/10)=0,"TBA",IFERROR(INDEX(Grids!$BQ$9:$EC$108,$N169,$O169),"-")))</f>
        <v/>
      </c>
      <c r="F169" s="16">
        <f>IF($L169="","",INDEX(HSI!$F$7:$F$106,$N169))</f>
        <v/>
      </c>
      <c r="G169" s="37">
        <f>IF($L169="","",IF(INT($P169/10)=0,"TBA",IFERROR(INDEX(Grids!$EE$9:$GQ$108,$N169,$O169),"-")))</f>
        <v/>
      </c>
      <c r="H169" s="38">
        <f>IF($L169="","",SUM($G$10:$G169))</f>
        <v/>
      </c>
      <c r="I169" s="39">
        <f>IF($L169="","",IF(INT(($L169-INT($L169/10000000)*10000000)/1000000)=0,"Bloomberg projection",IF(INT($P169/10)=1,"Announced","ANNOUNCED - amount TBA"))&amp;IF(($P169-INT($P169/10)*10)=1," (special)","")&amp;IF((($P169-INT($P169/10)*10)=1)*(Summary!$C$13="N")&gt;0," - excluded by your specials switch",""))</f>
        <v/>
      </c>
      <c r="J169" s="40">
        <f>IF($L169="","",IF((Override!$C$4="ON")*ISNUMBER(INDEX(Override!$G$13:$G$112,$N169))&gt;0,"stock overridden",""))</f>
        <v/>
      </c>
      <c r="L169" s="41">
        <f>IFERROR(IF(SMALL(Grids!$C$9:$BO$108,$M$7+160)&gt;=(Summary!$C$15+1)*1000000000,"",SMALL(Grids!$C$9:$BO$108,$M$7+160)),"")</f>
        <v/>
      </c>
      <c r="M169" s="41">
        <f>IF($L169="","",INT($L169/1000000000))</f>
        <v/>
      </c>
      <c r="N169" s="41">
        <f>IF($L169="","",INT(($L169-INT($L169/1000000)*1000000)/1000))</f>
        <v/>
      </c>
      <c r="O169" s="41">
        <f>IF($L169="","",$L169-INT($L169/1000)*1000)</f>
        <v/>
      </c>
      <c r="P169" s="41">
        <f>IF($L169="","",INT(($L169-INT($L169/1000000000)*1000000000)/10000000))</f>
        <v/>
      </c>
    </row>
    <row r="170">
      <c r="B170" s="36">
        <f>IF($L170="","",$M170)</f>
        <v/>
      </c>
      <c r="C170" s="16">
        <f>IF($L170="","",INDEX(HSI!$C$7:$C$106,$N170))</f>
        <v/>
      </c>
      <c r="D170" s="16">
        <f>IF($L170="","",INDEX(HSI!$D$7:$D$106,$N170))</f>
        <v/>
      </c>
      <c r="E170" s="37">
        <f>IF($L170="","",IF(INT($P170/10)=0,"TBA",IFERROR(INDEX(Grids!$BQ$9:$EC$108,$N170,$O170),"-")))</f>
        <v/>
      </c>
      <c r="F170" s="16">
        <f>IF($L170="","",INDEX(HSI!$F$7:$F$106,$N170))</f>
        <v/>
      </c>
      <c r="G170" s="37">
        <f>IF($L170="","",IF(INT($P170/10)=0,"TBA",IFERROR(INDEX(Grids!$EE$9:$GQ$108,$N170,$O170),"-")))</f>
        <v/>
      </c>
      <c r="H170" s="38">
        <f>IF($L170="","",SUM($G$10:$G170))</f>
        <v/>
      </c>
      <c r="I170" s="39">
        <f>IF($L170="","",IF(INT(($L170-INT($L170/10000000)*10000000)/1000000)=0,"Bloomberg projection",IF(INT($P170/10)=1,"Announced","ANNOUNCED - amount TBA"))&amp;IF(($P170-INT($P170/10)*10)=1," (special)","")&amp;IF((($P170-INT($P170/10)*10)=1)*(Summary!$C$13="N")&gt;0," - excluded by your specials switch",""))</f>
        <v/>
      </c>
      <c r="J170" s="40">
        <f>IF($L170="","",IF((Override!$C$4="ON")*ISNUMBER(INDEX(Override!$G$13:$G$112,$N170))&gt;0,"stock overridden",""))</f>
        <v/>
      </c>
      <c r="L170" s="41">
        <f>IFERROR(IF(SMALL(Grids!$C$9:$BO$108,$M$7+161)&gt;=(Summary!$C$15+1)*1000000000,"",SMALL(Grids!$C$9:$BO$108,$M$7+161)),"")</f>
        <v/>
      </c>
      <c r="M170" s="41">
        <f>IF($L170="","",INT($L170/1000000000))</f>
        <v/>
      </c>
      <c r="N170" s="41">
        <f>IF($L170="","",INT(($L170-INT($L170/1000000)*1000000)/1000))</f>
        <v/>
      </c>
      <c r="O170" s="41">
        <f>IF($L170="","",$L170-INT($L170/1000)*1000)</f>
        <v/>
      </c>
      <c r="P170" s="41">
        <f>IF($L170="","",INT(($L170-INT($L170/1000000000)*1000000000)/10000000))</f>
        <v/>
      </c>
    </row>
    <row r="171">
      <c r="B171" s="36">
        <f>IF($L171="","",$M171)</f>
        <v/>
      </c>
      <c r="C171" s="16">
        <f>IF($L171="","",INDEX(HSI!$C$7:$C$106,$N171))</f>
        <v/>
      </c>
      <c r="D171" s="16">
        <f>IF($L171="","",INDEX(HSI!$D$7:$D$106,$N171))</f>
        <v/>
      </c>
      <c r="E171" s="37">
        <f>IF($L171="","",IF(INT($P171/10)=0,"TBA",IFERROR(INDEX(Grids!$BQ$9:$EC$108,$N171,$O171),"-")))</f>
        <v/>
      </c>
      <c r="F171" s="16">
        <f>IF($L171="","",INDEX(HSI!$F$7:$F$106,$N171))</f>
        <v/>
      </c>
      <c r="G171" s="37">
        <f>IF($L171="","",IF(INT($P171/10)=0,"TBA",IFERROR(INDEX(Grids!$EE$9:$GQ$108,$N171,$O171),"-")))</f>
        <v/>
      </c>
      <c r="H171" s="38">
        <f>IF($L171="","",SUM($G$10:$G171))</f>
        <v/>
      </c>
      <c r="I171" s="39">
        <f>IF($L171="","",IF(INT(($L171-INT($L171/10000000)*10000000)/1000000)=0,"Bloomberg projection",IF(INT($P171/10)=1,"Announced","ANNOUNCED - amount TBA"))&amp;IF(($P171-INT($P171/10)*10)=1," (special)","")&amp;IF((($P171-INT($P171/10)*10)=1)*(Summary!$C$13="N")&gt;0," - excluded by your specials switch",""))</f>
        <v/>
      </c>
      <c r="J171" s="40">
        <f>IF($L171="","",IF((Override!$C$4="ON")*ISNUMBER(INDEX(Override!$G$13:$G$112,$N171))&gt;0,"stock overridden",""))</f>
        <v/>
      </c>
      <c r="L171" s="41">
        <f>IFERROR(IF(SMALL(Grids!$C$9:$BO$108,$M$7+162)&gt;=(Summary!$C$15+1)*1000000000,"",SMALL(Grids!$C$9:$BO$108,$M$7+162)),"")</f>
        <v/>
      </c>
      <c r="M171" s="41">
        <f>IF($L171="","",INT($L171/1000000000))</f>
        <v/>
      </c>
      <c r="N171" s="41">
        <f>IF($L171="","",INT(($L171-INT($L171/1000000)*1000000)/1000))</f>
        <v/>
      </c>
      <c r="O171" s="41">
        <f>IF($L171="","",$L171-INT($L171/1000)*1000)</f>
        <v/>
      </c>
      <c r="P171" s="41">
        <f>IF($L171="","",INT(($L171-INT($L171/1000000000)*1000000000)/10000000))</f>
        <v/>
      </c>
    </row>
    <row r="172">
      <c r="B172" s="36">
        <f>IF($L172="","",$M172)</f>
        <v/>
      </c>
      <c r="C172" s="16">
        <f>IF($L172="","",INDEX(HSI!$C$7:$C$106,$N172))</f>
        <v/>
      </c>
      <c r="D172" s="16">
        <f>IF($L172="","",INDEX(HSI!$D$7:$D$106,$N172))</f>
        <v/>
      </c>
      <c r="E172" s="37">
        <f>IF($L172="","",IF(INT($P172/10)=0,"TBA",IFERROR(INDEX(Grids!$BQ$9:$EC$108,$N172,$O172),"-")))</f>
        <v/>
      </c>
      <c r="F172" s="16">
        <f>IF($L172="","",INDEX(HSI!$F$7:$F$106,$N172))</f>
        <v/>
      </c>
      <c r="G172" s="37">
        <f>IF($L172="","",IF(INT($P172/10)=0,"TBA",IFERROR(INDEX(Grids!$EE$9:$GQ$108,$N172,$O172),"-")))</f>
        <v/>
      </c>
      <c r="H172" s="38">
        <f>IF($L172="","",SUM($G$10:$G172))</f>
        <v/>
      </c>
      <c r="I172" s="39">
        <f>IF($L172="","",IF(INT(($L172-INT($L172/10000000)*10000000)/1000000)=0,"Bloomberg projection",IF(INT($P172/10)=1,"Announced","ANNOUNCED - amount TBA"))&amp;IF(($P172-INT($P172/10)*10)=1," (special)","")&amp;IF((($P172-INT($P172/10)*10)=1)*(Summary!$C$13="N")&gt;0," - excluded by your specials switch",""))</f>
        <v/>
      </c>
      <c r="J172" s="40">
        <f>IF($L172="","",IF((Override!$C$4="ON")*ISNUMBER(INDEX(Override!$G$13:$G$112,$N172))&gt;0,"stock overridden",""))</f>
        <v/>
      </c>
      <c r="L172" s="41">
        <f>IFERROR(IF(SMALL(Grids!$C$9:$BO$108,$M$7+163)&gt;=(Summary!$C$15+1)*1000000000,"",SMALL(Grids!$C$9:$BO$108,$M$7+163)),"")</f>
        <v/>
      </c>
      <c r="M172" s="41">
        <f>IF($L172="","",INT($L172/1000000000))</f>
        <v/>
      </c>
      <c r="N172" s="41">
        <f>IF($L172="","",INT(($L172-INT($L172/1000000)*1000000)/1000))</f>
        <v/>
      </c>
      <c r="O172" s="41">
        <f>IF($L172="","",$L172-INT($L172/1000)*1000)</f>
        <v/>
      </c>
      <c r="P172" s="41">
        <f>IF($L172="","",INT(($L172-INT($L172/1000000000)*1000000000)/10000000))</f>
        <v/>
      </c>
    </row>
    <row r="173">
      <c r="B173" s="36">
        <f>IF($L173="","",$M173)</f>
        <v/>
      </c>
      <c r="C173" s="16">
        <f>IF($L173="","",INDEX(HSI!$C$7:$C$106,$N173))</f>
        <v/>
      </c>
      <c r="D173" s="16">
        <f>IF($L173="","",INDEX(HSI!$D$7:$D$106,$N173))</f>
        <v/>
      </c>
      <c r="E173" s="37">
        <f>IF($L173="","",IF(INT($P173/10)=0,"TBA",IFERROR(INDEX(Grids!$BQ$9:$EC$108,$N173,$O173),"-")))</f>
        <v/>
      </c>
      <c r="F173" s="16">
        <f>IF($L173="","",INDEX(HSI!$F$7:$F$106,$N173))</f>
        <v/>
      </c>
      <c r="G173" s="37">
        <f>IF($L173="","",IF(INT($P173/10)=0,"TBA",IFERROR(INDEX(Grids!$EE$9:$GQ$108,$N173,$O173),"-")))</f>
        <v/>
      </c>
      <c r="H173" s="38">
        <f>IF($L173="","",SUM($G$10:$G173))</f>
        <v/>
      </c>
      <c r="I173" s="39">
        <f>IF($L173="","",IF(INT(($L173-INT($L173/10000000)*10000000)/1000000)=0,"Bloomberg projection",IF(INT($P173/10)=1,"Announced","ANNOUNCED - amount TBA"))&amp;IF(($P173-INT($P173/10)*10)=1," (special)","")&amp;IF((($P173-INT($P173/10)*10)=1)*(Summary!$C$13="N")&gt;0," - excluded by your specials switch",""))</f>
        <v/>
      </c>
      <c r="J173" s="40">
        <f>IF($L173="","",IF((Override!$C$4="ON")*ISNUMBER(INDEX(Override!$G$13:$G$112,$N173))&gt;0,"stock overridden",""))</f>
        <v/>
      </c>
      <c r="L173" s="41">
        <f>IFERROR(IF(SMALL(Grids!$C$9:$BO$108,$M$7+164)&gt;=(Summary!$C$15+1)*1000000000,"",SMALL(Grids!$C$9:$BO$108,$M$7+164)),"")</f>
        <v/>
      </c>
      <c r="M173" s="41">
        <f>IF($L173="","",INT($L173/1000000000))</f>
        <v/>
      </c>
      <c r="N173" s="41">
        <f>IF($L173="","",INT(($L173-INT($L173/1000000)*1000000)/1000))</f>
        <v/>
      </c>
      <c r="O173" s="41">
        <f>IF($L173="","",$L173-INT($L173/1000)*1000)</f>
        <v/>
      </c>
      <c r="P173" s="41">
        <f>IF($L173="","",INT(($L173-INT($L173/1000000000)*1000000000)/10000000))</f>
        <v/>
      </c>
    </row>
    <row r="174">
      <c r="B174" s="36">
        <f>IF($L174="","",$M174)</f>
        <v/>
      </c>
      <c r="C174" s="16">
        <f>IF($L174="","",INDEX(HSI!$C$7:$C$106,$N174))</f>
        <v/>
      </c>
      <c r="D174" s="16">
        <f>IF($L174="","",INDEX(HSI!$D$7:$D$106,$N174))</f>
        <v/>
      </c>
      <c r="E174" s="37">
        <f>IF($L174="","",IF(INT($P174/10)=0,"TBA",IFERROR(INDEX(Grids!$BQ$9:$EC$108,$N174,$O174),"-")))</f>
        <v/>
      </c>
      <c r="F174" s="16">
        <f>IF($L174="","",INDEX(HSI!$F$7:$F$106,$N174))</f>
        <v/>
      </c>
      <c r="G174" s="37">
        <f>IF($L174="","",IF(INT($P174/10)=0,"TBA",IFERROR(INDEX(Grids!$EE$9:$GQ$108,$N174,$O174),"-")))</f>
        <v/>
      </c>
      <c r="H174" s="38">
        <f>IF($L174="","",SUM($G$10:$G174))</f>
        <v/>
      </c>
      <c r="I174" s="39">
        <f>IF($L174="","",IF(INT(($L174-INT($L174/10000000)*10000000)/1000000)=0,"Bloomberg projection",IF(INT($P174/10)=1,"Announced","ANNOUNCED - amount TBA"))&amp;IF(($P174-INT($P174/10)*10)=1," (special)","")&amp;IF((($P174-INT($P174/10)*10)=1)*(Summary!$C$13="N")&gt;0," - excluded by your specials switch",""))</f>
        <v/>
      </c>
      <c r="J174" s="40">
        <f>IF($L174="","",IF((Override!$C$4="ON")*ISNUMBER(INDEX(Override!$G$13:$G$112,$N174))&gt;0,"stock overridden",""))</f>
        <v/>
      </c>
      <c r="L174" s="41">
        <f>IFERROR(IF(SMALL(Grids!$C$9:$BO$108,$M$7+165)&gt;=(Summary!$C$15+1)*1000000000,"",SMALL(Grids!$C$9:$BO$108,$M$7+165)),"")</f>
        <v/>
      </c>
      <c r="M174" s="41">
        <f>IF($L174="","",INT($L174/1000000000))</f>
        <v/>
      </c>
      <c r="N174" s="41">
        <f>IF($L174="","",INT(($L174-INT($L174/1000000)*1000000)/1000))</f>
        <v/>
      </c>
      <c r="O174" s="41">
        <f>IF($L174="","",$L174-INT($L174/1000)*1000)</f>
        <v/>
      </c>
      <c r="P174" s="41">
        <f>IF($L174="","",INT(($L174-INT($L174/1000000000)*1000000000)/10000000))</f>
        <v/>
      </c>
    </row>
    <row r="175">
      <c r="B175" s="36">
        <f>IF($L175="","",$M175)</f>
        <v/>
      </c>
      <c r="C175" s="16">
        <f>IF($L175="","",INDEX(HSI!$C$7:$C$106,$N175))</f>
        <v/>
      </c>
      <c r="D175" s="16">
        <f>IF($L175="","",INDEX(HSI!$D$7:$D$106,$N175))</f>
        <v/>
      </c>
      <c r="E175" s="37">
        <f>IF($L175="","",IF(INT($P175/10)=0,"TBA",IFERROR(INDEX(Grids!$BQ$9:$EC$108,$N175,$O175),"-")))</f>
        <v/>
      </c>
      <c r="F175" s="16">
        <f>IF($L175="","",INDEX(HSI!$F$7:$F$106,$N175))</f>
        <v/>
      </c>
      <c r="G175" s="37">
        <f>IF($L175="","",IF(INT($P175/10)=0,"TBA",IFERROR(INDEX(Grids!$EE$9:$GQ$108,$N175,$O175),"-")))</f>
        <v/>
      </c>
      <c r="H175" s="38">
        <f>IF($L175="","",SUM($G$10:$G175))</f>
        <v/>
      </c>
      <c r="I175" s="39">
        <f>IF($L175="","",IF(INT(($L175-INT($L175/10000000)*10000000)/1000000)=0,"Bloomberg projection",IF(INT($P175/10)=1,"Announced","ANNOUNCED - amount TBA"))&amp;IF(($P175-INT($P175/10)*10)=1," (special)","")&amp;IF((($P175-INT($P175/10)*10)=1)*(Summary!$C$13="N")&gt;0," - excluded by your specials switch",""))</f>
        <v/>
      </c>
      <c r="J175" s="40">
        <f>IF($L175="","",IF((Override!$C$4="ON")*ISNUMBER(INDEX(Override!$G$13:$G$112,$N175))&gt;0,"stock overridden",""))</f>
        <v/>
      </c>
      <c r="L175" s="41">
        <f>IFERROR(IF(SMALL(Grids!$C$9:$BO$108,$M$7+166)&gt;=(Summary!$C$15+1)*1000000000,"",SMALL(Grids!$C$9:$BO$108,$M$7+166)),"")</f>
        <v/>
      </c>
      <c r="M175" s="41">
        <f>IF($L175="","",INT($L175/1000000000))</f>
        <v/>
      </c>
      <c r="N175" s="41">
        <f>IF($L175="","",INT(($L175-INT($L175/1000000)*1000000)/1000))</f>
        <v/>
      </c>
      <c r="O175" s="41">
        <f>IF($L175="","",$L175-INT($L175/1000)*1000)</f>
        <v/>
      </c>
      <c r="P175" s="41">
        <f>IF($L175="","",INT(($L175-INT($L175/1000000000)*1000000000)/10000000))</f>
        <v/>
      </c>
    </row>
    <row r="176">
      <c r="B176" s="36">
        <f>IF($L176="","",$M176)</f>
        <v/>
      </c>
      <c r="C176" s="16">
        <f>IF($L176="","",INDEX(HSI!$C$7:$C$106,$N176))</f>
        <v/>
      </c>
      <c r="D176" s="16">
        <f>IF($L176="","",INDEX(HSI!$D$7:$D$106,$N176))</f>
        <v/>
      </c>
      <c r="E176" s="37">
        <f>IF($L176="","",IF(INT($P176/10)=0,"TBA",IFERROR(INDEX(Grids!$BQ$9:$EC$108,$N176,$O176),"-")))</f>
        <v/>
      </c>
      <c r="F176" s="16">
        <f>IF($L176="","",INDEX(HSI!$F$7:$F$106,$N176))</f>
        <v/>
      </c>
      <c r="G176" s="37">
        <f>IF($L176="","",IF(INT($P176/10)=0,"TBA",IFERROR(INDEX(Grids!$EE$9:$GQ$108,$N176,$O176),"-")))</f>
        <v/>
      </c>
      <c r="H176" s="38">
        <f>IF($L176="","",SUM($G$10:$G176))</f>
        <v/>
      </c>
      <c r="I176" s="39">
        <f>IF($L176="","",IF(INT(($L176-INT($L176/10000000)*10000000)/1000000)=0,"Bloomberg projection",IF(INT($P176/10)=1,"Announced","ANNOUNCED - amount TBA"))&amp;IF(($P176-INT($P176/10)*10)=1," (special)","")&amp;IF((($P176-INT($P176/10)*10)=1)*(Summary!$C$13="N")&gt;0," - excluded by your specials switch",""))</f>
        <v/>
      </c>
      <c r="J176" s="40">
        <f>IF($L176="","",IF((Override!$C$4="ON")*ISNUMBER(INDEX(Override!$G$13:$G$112,$N176))&gt;0,"stock overridden",""))</f>
        <v/>
      </c>
      <c r="L176" s="41">
        <f>IFERROR(IF(SMALL(Grids!$C$9:$BO$108,$M$7+167)&gt;=(Summary!$C$15+1)*1000000000,"",SMALL(Grids!$C$9:$BO$108,$M$7+167)),"")</f>
        <v/>
      </c>
      <c r="M176" s="41">
        <f>IF($L176="","",INT($L176/1000000000))</f>
        <v/>
      </c>
      <c r="N176" s="41">
        <f>IF($L176="","",INT(($L176-INT($L176/1000000)*1000000)/1000))</f>
        <v/>
      </c>
      <c r="O176" s="41">
        <f>IF($L176="","",$L176-INT($L176/1000)*1000)</f>
        <v/>
      </c>
      <c r="P176" s="41">
        <f>IF($L176="","",INT(($L176-INT($L176/1000000000)*1000000000)/10000000))</f>
        <v/>
      </c>
    </row>
    <row r="177">
      <c r="B177" s="36">
        <f>IF($L177="","",$M177)</f>
        <v/>
      </c>
      <c r="C177" s="16">
        <f>IF($L177="","",INDEX(HSI!$C$7:$C$106,$N177))</f>
        <v/>
      </c>
      <c r="D177" s="16">
        <f>IF($L177="","",INDEX(HSI!$D$7:$D$106,$N177))</f>
        <v/>
      </c>
      <c r="E177" s="37">
        <f>IF($L177="","",IF(INT($P177/10)=0,"TBA",IFERROR(INDEX(Grids!$BQ$9:$EC$108,$N177,$O177),"-")))</f>
        <v/>
      </c>
      <c r="F177" s="16">
        <f>IF($L177="","",INDEX(HSI!$F$7:$F$106,$N177))</f>
        <v/>
      </c>
      <c r="G177" s="37">
        <f>IF($L177="","",IF(INT($P177/10)=0,"TBA",IFERROR(INDEX(Grids!$EE$9:$GQ$108,$N177,$O177),"-")))</f>
        <v/>
      </c>
      <c r="H177" s="38">
        <f>IF($L177="","",SUM($G$10:$G177))</f>
        <v/>
      </c>
      <c r="I177" s="39">
        <f>IF($L177="","",IF(INT(($L177-INT($L177/10000000)*10000000)/1000000)=0,"Bloomberg projection",IF(INT($P177/10)=1,"Announced","ANNOUNCED - amount TBA"))&amp;IF(($P177-INT($P177/10)*10)=1," (special)","")&amp;IF((($P177-INT($P177/10)*10)=1)*(Summary!$C$13="N")&gt;0," - excluded by your specials switch",""))</f>
        <v/>
      </c>
      <c r="J177" s="40">
        <f>IF($L177="","",IF((Override!$C$4="ON")*ISNUMBER(INDEX(Override!$G$13:$G$112,$N177))&gt;0,"stock overridden",""))</f>
        <v/>
      </c>
      <c r="L177" s="41">
        <f>IFERROR(IF(SMALL(Grids!$C$9:$BO$108,$M$7+168)&gt;=(Summary!$C$15+1)*1000000000,"",SMALL(Grids!$C$9:$BO$108,$M$7+168)),"")</f>
        <v/>
      </c>
      <c r="M177" s="41">
        <f>IF($L177="","",INT($L177/1000000000))</f>
        <v/>
      </c>
      <c r="N177" s="41">
        <f>IF($L177="","",INT(($L177-INT($L177/1000000)*1000000)/1000))</f>
        <v/>
      </c>
      <c r="O177" s="41">
        <f>IF($L177="","",$L177-INT($L177/1000)*1000)</f>
        <v/>
      </c>
      <c r="P177" s="41">
        <f>IF($L177="","",INT(($L177-INT($L177/1000000000)*1000000000)/10000000))</f>
        <v/>
      </c>
    </row>
    <row r="178">
      <c r="B178" s="36">
        <f>IF($L178="","",$M178)</f>
        <v/>
      </c>
      <c r="C178" s="16">
        <f>IF($L178="","",INDEX(HSI!$C$7:$C$106,$N178))</f>
        <v/>
      </c>
      <c r="D178" s="16">
        <f>IF($L178="","",INDEX(HSI!$D$7:$D$106,$N178))</f>
        <v/>
      </c>
      <c r="E178" s="37">
        <f>IF($L178="","",IF(INT($P178/10)=0,"TBA",IFERROR(INDEX(Grids!$BQ$9:$EC$108,$N178,$O178),"-")))</f>
        <v/>
      </c>
      <c r="F178" s="16">
        <f>IF($L178="","",INDEX(HSI!$F$7:$F$106,$N178))</f>
        <v/>
      </c>
      <c r="G178" s="37">
        <f>IF($L178="","",IF(INT($P178/10)=0,"TBA",IFERROR(INDEX(Grids!$EE$9:$GQ$108,$N178,$O178),"-")))</f>
        <v/>
      </c>
      <c r="H178" s="38">
        <f>IF($L178="","",SUM($G$10:$G178))</f>
        <v/>
      </c>
      <c r="I178" s="39">
        <f>IF($L178="","",IF(INT(($L178-INT($L178/10000000)*10000000)/1000000)=0,"Bloomberg projection",IF(INT($P178/10)=1,"Announced","ANNOUNCED - amount TBA"))&amp;IF(($P178-INT($P178/10)*10)=1," (special)","")&amp;IF((($P178-INT($P178/10)*10)=1)*(Summary!$C$13="N")&gt;0," - excluded by your specials switch",""))</f>
        <v/>
      </c>
      <c r="J178" s="40">
        <f>IF($L178="","",IF((Override!$C$4="ON")*ISNUMBER(INDEX(Override!$G$13:$G$112,$N178))&gt;0,"stock overridden",""))</f>
        <v/>
      </c>
      <c r="L178" s="41">
        <f>IFERROR(IF(SMALL(Grids!$C$9:$BO$108,$M$7+169)&gt;=(Summary!$C$15+1)*1000000000,"",SMALL(Grids!$C$9:$BO$108,$M$7+169)),"")</f>
        <v/>
      </c>
      <c r="M178" s="41">
        <f>IF($L178="","",INT($L178/1000000000))</f>
        <v/>
      </c>
      <c r="N178" s="41">
        <f>IF($L178="","",INT(($L178-INT($L178/1000000)*1000000)/1000))</f>
        <v/>
      </c>
      <c r="O178" s="41">
        <f>IF($L178="","",$L178-INT($L178/1000)*1000)</f>
        <v/>
      </c>
      <c r="P178" s="41">
        <f>IF($L178="","",INT(($L178-INT($L178/1000000000)*1000000000)/10000000))</f>
        <v/>
      </c>
    </row>
    <row r="179">
      <c r="B179" s="36">
        <f>IF($L179="","",$M179)</f>
        <v/>
      </c>
      <c r="C179" s="16">
        <f>IF($L179="","",INDEX(HSI!$C$7:$C$106,$N179))</f>
        <v/>
      </c>
      <c r="D179" s="16">
        <f>IF($L179="","",INDEX(HSI!$D$7:$D$106,$N179))</f>
        <v/>
      </c>
      <c r="E179" s="37">
        <f>IF($L179="","",IF(INT($P179/10)=0,"TBA",IFERROR(INDEX(Grids!$BQ$9:$EC$108,$N179,$O179),"-")))</f>
        <v/>
      </c>
      <c r="F179" s="16">
        <f>IF($L179="","",INDEX(HSI!$F$7:$F$106,$N179))</f>
        <v/>
      </c>
      <c r="G179" s="37">
        <f>IF($L179="","",IF(INT($P179/10)=0,"TBA",IFERROR(INDEX(Grids!$EE$9:$GQ$108,$N179,$O179),"-")))</f>
        <v/>
      </c>
      <c r="H179" s="38">
        <f>IF($L179="","",SUM($G$10:$G179))</f>
        <v/>
      </c>
      <c r="I179" s="39">
        <f>IF($L179="","",IF(INT(($L179-INT($L179/10000000)*10000000)/1000000)=0,"Bloomberg projection",IF(INT($P179/10)=1,"Announced","ANNOUNCED - amount TBA"))&amp;IF(($P179-INT($P179/10)*10)=1," (special)","")&amp;IF((($P179-INT($P179/10)*10)=1)*(Summary!$C$13="N")&gt;0," - excluded by your specials switch",""))</f>
        <v/>
      </c>
      <c r="J179" s="40">
        <f>IF($L179="","",IF((Override!$C$4="ON")*ISNUMBER(INDEX(Override!$G$13:$G$112,$N179))&gt;0,"stock overridden",""))</f>
        <v/>
      </c>
      <c r="L179" s="41">
        <f>IFERROR(IF(SMALL(Grids!$C$9:$BO$108,$M$7+170)&gt;=(Summary!$C$15+1)*1000000000,"",SMALL(Grids!$C$9:$BO$108,$M$7+170)),"")</f>
        <v/>
      </c>
      <c r="M179" s="41">
        <f>IF($L179="","",INT($L179/1000000000))</f>
        <v/>
      </c>
      <c r="N179" s="41">
        <f>IF($L179="","",INT(($L179-INT($L179/1000000)*1000000)/1000))</f>
        <v/>
      </c>
      <c r="O179" s="41">
        <f>IF($L179="","",$L179-INT($L179/1000)*1000)</f>
        <v/>
      </c>
      <c r="P179" s="41">
        <f>IF($L179="","",INT(($L179-INT($L179/1000000000)*1000000000)/10000000))</f>
        <v/>
      </c>
    </row>
    <row r="180">
      <c r="B180" s="36">
        <f>IF($L180="","",$M180)</f>
        <v/>
      </c>
      <c r="C180" s="16">
        <f>IF($L180="","",INDEX(HSI!$C$7:$C$106,$N180))</f>
        <v/>
      </c>
      <c r="D180" s="16">
        <f>IF($L180="","",INDEX(HSI!$D$7:$D$106,$N180))</f>
        <v/>
      </c>
      <c r="E180" s="37">
        <f>IF($L180="","",IF(INT($P180/10)=0,"TBA",IFERROR(INDEX(Grids!$BQ$9:$EC$108,$N180,$O180),"-")))</f>
        <v/>
      </c>
      <c r="F180" s="16">
        <f>IF($L180="","",INDEX(HSI!$F$7:$F$106,$N180))</f>
        <v/>
      </c>
      <c r="G180" s="37">
        <f>IF($L180="","",IF(INT($P180/10)=0,"TBA",IFERROR(INDEX(Grids!$EE$9:$GQ$108,$N180,$O180),"-")))</f>
        <v/>
      </c>
      <c r="H180" s="38">
        <f>IF($L180="","",SUM($G$10:$G180))</f>
        <v/>
      </c>
      <c r="I180" s="39">
        <f>IF($L180="","",IF(INT(($L180-INT($L180/10000000)*10000000)/1000000)=0,"Bloomberg projection",IF(INT($P180/10)=1,"Announced","ANNOUNCED - amount TBA"))&amp;IF(($P180-INT($P180/10)*10)=1," (special)","")&amp;IF((($P180-INT($P180/10)*10)=1)*(Summary!$C$13="N")&gt;0," - excluded by your specials switch",""))</f>
        <v/>
      </c>
      <c r="J180" s="40">
        <f>IF($L180="","",IF((Override!$C$4="ON")*ISNUMBER(INDEX(Override!$G$13:$G$112,$N180))&gt;0,"stock overridden",""))</f>
        <v/>
      </c>
      <c r="L180" s="41">
        <f>IFERROR(IF(SMALL(Grids!$C$9:$BO$108,$M$7+171)&gt;=(Summary!$C$15+1)*1000000000,"",SMALL(Grids!$C$9:$BO$108,$M$7+171)),"")</f>
        <v/>
      </c>
      <c r="M180" s="41">
        <f>IF($L180="","",INT($L180/1000000000))</f>
        <v/>
      </c>
      <c r="N180" s="41">
        <f>IF($L180="","",INT(($L180-INT($L180/1000000)*1000000)/1000))</f>
        <v/>
      </c>
      <c r="O180" s="41">
        <f>IF($L180="","",$L180-INT($L180/1000)*1000)</f>
        <v/>
      </c>
      <c r="P180" s="41">
        <f>IF($L180="","",INT(($L180-INT($L180/1000000000)*1000000000)/10000000))</f>
        <v/>
      </c>
    </row>
    <row r="181">
      <c r="B181" s="36">
        <f>IF($L181="","",$M181)</f>
        <v/>
      </c>
      <c r="C181" s="16">
        <f>IF($L181="","",INDEX(HSI!$C$7:$C$106,$N181))</f>
        <v/>
      </c>
      <c r="D181" s="16">
        <f>IF($L181="","",INDEX(HSI!$D$7:$D$106,$N181))</f>
        <v/>
      </c>
      <c r="E181" s="37">
        <f>IF($L181="","",IF(INT($P181/10)=0,"TBA",IFERROR(INDEX(Grids!$BQ$9:$EC$108,$N181,$O181),"-")))</f>
        <v/>
      </c>
      <c r="F181" s="16">
        <f>IF($L181="","",INDEX(HSI!$F$7:$F$106,$N181))</f>
        <v/>
      </c>
      <c r="G181" s="37">
        <f>IF($L181="","",IF(INT($P181/10)=0,"TBA",IFERROR(INDEX(Grids!$EE$9:$GQ$108,$N181,$O181),"-")))</f>
        <v/>
      </c>
      <c r="H181" s="38">
        <f>IF($L181="","",SUM($G$10:$G181))</f>
        <v/>
      </c>
      <c r="I181" s="39">
        <f>IF($L181="","",IF(INT(($L181-INT($L181/10000000)*10000000)/1000000)=0,"Bloomberg projection",IF(INT($P181/10)=1,"Announced","ANNOUNCED - amount TBA"))&amp;IF(($P181-INT($P181/10)*10)=1," (special)","")&amp;IF((($P181-INT($P181/10)*10)=1)*(Summary!$C$13="N")&gt;0," - excluded by your specials switch",""))</f>
        <v/>
      </c>
      <c r="J181" s="40">
        <f>IF($L181="","",IF((Override!$C$4="ON")*ISNUMBER(INDEX(Override!$G$13:$G$112,$N181))&gt;0,"stock overridden",""))</f>
        <v/>
      </c>
      <c r="L181" s="41">
        <f>IFERROR(IF(SMALL(Grids!$C$9:$BO$108,$M$7+172)&gt;=(Summary!$C$15+1)*1000000000,"",SMALL(Grids!$C$9:$BO$108,$M$7+172)),"")</f>
        <v/>
      </c>
      <c r="M181" s="41">
        <f>IF($L181="","",INT($L181/1000000000))</f>
        <v/>
      </c>
      <c r="N181" s="41">
        <f>IF($L181="","",INT(($L181-INT($L181/1000000)*1000000)/1000))</f>
        <v/>
      </c>
      <c r="O181" s="41">
        <f>IF($L181="","",$L181-INT($L181/1000)*1000)</f>
        <v/>
      </c>
      <c r="P181" s="41">
        <f>IF($L181="","",INT(($L181-INT($L181/1000000000)*1000000000)/10000000))</f>
        <v/>
      </c>
    </row>
    <row r="182">
      <c r="B182" s="36">
        <f>IF($L182="","",$M182)</f>
        <v/>
      </c>
      <c r="C182" s="16">
        <f>IF($L182="","",INDEX(HSI!$C$7:$C$106,$N182))</f>
        <v/>
      </c>
      <c r="D182" s="16">
        <f>IF($L182="","",INDEX(HSI!$D$7:$D$106,$N182))</f>
        <v/>
      </c>
      <c r="E182" s="37">
        <f>IF($L182="","",IF(INT($P182/10)=0,"TBA",IFERROR(INDEX(Grids!$BQ$9:$EC$108,$N182,$O182),"-")))</f>
        <v/>
      </c>
      <c r="F182" s="16">
        <f>IF($L182="","",INDEX(HSI!$F$7:$F$106,$N182))</f>
        <v/>
      </c>
      <c r="G182" s="37">
        <f>IF($L182="","",IF(INT($P182/10)=0,"TBA",IFERROR(INDEX(Grids!$EE$9:$GQ$108,$N182,$O182),"-")))</f>
        <v/>
      </c>
      <c r="H182" s="38">
        <f>IF($L182="","",SUM($G$10:$G182))</f>
        <v/>
      </c>
      <c r="I182" s="39">
        <f>IF($L182="","",IF(INT(($L182-INT($L182/10000000)*10000000)/1000000)=0,"Bloomberg projection",IF(INT($P182/10)=1,"Announced","ANNOUNCED - amount TBA"))&amp;IF(($P182-INT($P182/10)*10)=1," (special)","")&amp;IF((($P182-INT($P182/10)*10)=1)*(Summary!$C$13="N")&gt;0," - excluded by your specials switch",""))</f>
        <v/>
      </c>
      <c r="J182" s="40">
        <f>IF($L182="","",IF((Override!$C$4="ON")*ISNUMBER(INDEX(Override!$G$13:$G$112,$N182))&gt;0,"stock overridden",""))</f>
        <v/>
      </c>
      <c r="L182" s="41">
        <f>IFERROR(IF(SMALL(Grids!$C$9:$BO$108,$M$7+173)&gt;=(Summary!$C$15+1)*1000000000,"",SMALL(Grids!$C$9:$BO$108,$M$7+173)),"")</f>
        <v/>
      </c>
      <c r="M182" s="41">
        <f>IF($L182="","",INT($L182/1000000000))</f>
        <v/>
      </c>
      <c r="N182" s="41">
        <f>IF($L182="","",INT(($L182-INT($L182/1000000)*1000000)/1000))</f>
        <v/>
      </c>
      <c r="O182" s="41">
        <f>IF($L182="","",$L182-INT($L182/1000)*1000)</f>
        <v/>
      </c>
      <c r="P182" s="41">
        <f>IF($L182="","",INT(($L182-INT($L182/1000000000)*1000000000)/10000000))</f>
        <v/>
      </c>
    </row>
    <row r="183">
      <c r="B183" s="36">
        <f>IF($L183="","",$M183)</f>
        <v/>
      </c>
      <c r="C183" s="16">
        <f>IF($L183="","",INDEX(HSI!$C$7:$C$106,$N183))</f>
        <v/>
      </c>
      <c r="D183" s="16">
        <f>IF($L183="","",INDEX(HSI!$D$7:$D$106,$N183))</f>
        <v/>
      </c>
      <c r="E183" s="37">
        <f>IF($L183="","",IF(INT($P183/10)=0,"TBA",IFERROR(INDEX(Grids!$BQ$9:$EC$108,$N183,$O183),"-")))</f>
        <v/>
      </c>
      <c r="F183" s="16">
        <f>IF($L183="","",INDEX(HSI!$F$7:$F$106,$N183))</f>
        <v/>
      </c>
      <c r="G183" s="37">
        <f>IF($L183="","",IF(INT($P183/10)=0,"TBA",IFERROR(INDEX(Grids!$EE$9:$GQ$108,$N183,$O183),"-")))</f>
        <v/>
      </c>
      <c r="H183" s="38">
        <f>IF($L183="","",SUM($G$10:$G183))</f>
        <v/>
      </c>
      <c r="I183" s="39">
        <f>IF($L183="","",IF(INT(($L183-INT($L183/10000000)*10000000)/1000000)=0,"Bloomberg projection",IF(INT($P183/10)=1,"Announced","ANNOUNCED - amount TBA"))&amp;IF(($P183-INT($P183/10)*10)=1," (special)","")&amp;IF((($P183-INT($P183/10)*10)=1)*(Summary!$C$13="N")&gt;0," - excluded by your specials switch",""))</f>
        <v/>
      </c>
      <c r="J183" s="40">
        <f>IF($L183="","",IF((Override!$C$4="ON")*ISNUMBER(INDEX(Override!$G$13:$G$112,$N183))&gt;0,"stock overridden",""))</f>
        <v/>
      </c>
      <c r="L183" s="41">
        <f>IFERROR(IF(SMALL(Grids!$C$9:$BO$108,$M$7+174)&gt;=(Summary!$C$15+1)*1000000000,"",SMALL(Grids!$C$9:$BO$108,$M$7+174)),"")</f>
        <v/>
      </c>
      <c r="M183" s="41">
        <f>IF($L183="","",INT($L183/1000000000))</f>
        <v/>
      </c>
      <c r="N183" s="41">
        <f>IF($L183="","",INT(($L183-INT($L183/1000000)*1000000)/1000))</f>
        <v/>
      </c>
      <c r="O183" s="41">
        <f>IF($L183="","",$L183-INT($L183/1000)*1000)</f>
        <v/>
      </c>
      <c r="P183" s="41">
        <f>IF($L183="","",INT(($L183-INT($L183/1000000000)*1000000000)/10000000))</f>
        <v/>
      </c>
    </row>
    <row r="184">
      <c r="B184" s="36">
        <f>IF($L184="","",$M184)</f>
        <v/>
      </c>
      <c r="C184" s="16">
        <f>IF($L184="","",INDEX(HSI!$C$7:$C$106,$N184))</f>
        <v/>
      </c>
      <c r="D184" s="16">
        <f>IF($L184="","",INDEX(HSI!$D$7:$D$106,$N184))</f>
        <v/>
      </c>
      <c r="E184" s="37">
        <f>IF($L184="","",IF(INT($P184/10)=0,"TBA",IFERROR(INDEX(Grids!$BQ$9:$EC$108,$N184,$O184),"-")))</f>
        <v/>
      </c>
      <c r="F184" s="16">
        <f>IF($L184="","",INDEX(HSI!$F$7:$F$106,$N184))</f>
        <v/>
      </c>
      <c r="G184" s="37">
        <f>IF($L184="","",IF(INT($P184/10)=0,"TBA",IFERROR(INDEX(Grids!$EE$9:$GQ$108,$N184,$O184),"-")))</f>
        <v/>
      </c>
      <c r="H184" s="38">
        <f>IF($L184="","",SUM($G$10:$G184))</f>
        <v/>
      </c>
      <c r="I184" s="39">
        <f>IF($L184="","",IF(INT(($L184-INT($L184/10000000)*10000000)/1000000)=0,"Bloomberg projection",IF(INT($P184/10)=1,"Announced","ANNOUNCED - amount TBA"))&amp;IF(($P184-INT($P184/10)*10)=1," (special)","")&amp;IF((($P184-INT($P184/10)*10)=1)*(Summary!$C$13="N")&gt;0," - excluded by your specials switch",""))</f>
        <v/>
      </c>
      <c r="J184" s="40">
        <f>IF($L184="","",IF((Override!$C$4="ON")*ISNUMBER(INDEX(Override!$G$13:$G$112,$N184))&gt;0,"stock overridden",""))</f>
        <v/>
      </c>
      <c r="L184" s="41">
        <f>IFERROR(IF(SMALL(Grids!$C$9:$BO$108,$M$7+175)&gt;=(Summary!$C$15+1)*1000000000,"",SMALL(Grids!$C$9:$BO$108,$M$7+175)),"")</f>
        <v/>
      </c>
      <c r="M184" s="41">
        <f>IF($L184="","",INT($L184/1000000000))</f>
        <v/>
      </c>
      <c r="N184" s="41">
        <f>IF($L184="","",INT(($L184-INT($L184/1000000)*1000000)/1000))</f>
        <v/>
      </c>
      <c r="O184" s="41">
        <f>IF($L184="","",$L184-INT($L184/1000)*1000)</f>
        <v/>
      </c>
      <c r="P184" s="41">
        <f>IF($L184="","",INT(($L184-INT($L184/1000000000)*1000000000)/10000000))</f>
        <v/>
      </c>
    </row>
    <row r="185">
      <c r="B185" s="36">
        <f>IF($L185="","",$M185)</f>
        <v/>
      </c>
      <c r="C185" s="16">
        <f>IF($L185="","",INDEX(HSI!$C$7:$C$106,$N185))</f>
        <v/>
      </c>
      <c r="D185" s="16">
        <f>IF($L185="","",INDEX(HSI!$D$7:$D$106,$N185))</f>
        <v/>
      </c>
      <c r="E185" s="37">
        <f>IF($L185="","",IF(INT($P185/10)=0,"TBA",IFERROR(INDEX(Grids!$BQ$9:$EC$108,$N185,$O185),"-")))</f>
        <v/>
      </c>
      <c r="F185" s="16">
        <f>IF($L185="","",INDEX(HSI!$F$7:$F$106,$N185))</f>
        <v/>
      </c>
      <c r="G185" s="37">
        <f>IF($L185="","",IF(INT($P185/10)=0,"TBA",IFERROR(INDEX(Grids!$EE$9:$GQ$108,$N185,$O185),"-")))</f>
        <v/>
      </c>
      <c r="H185" s="38">
        <f>IF($L185="","",SUM($G$10:$G185))</f>
        <v/>
      </c>
      <c r="I185" s="39">
        <f>IF($L185="","",IF(INT(($L185-INT($L185/10000000)*10000000)/1000000)=0,"Bloomberg projection",IF(INT($P185/10)=1,"Announced","ANNOUNCED - amount TBA"))&amp;IF(($P185-INT($P185/10)*10)=1," (special)","")&amp;IF((($P185-INT($P185/10)*10)=1)*(Summary!$C$13="N")&gt;0," - excluded by your specials switch",""))</f>
        <v/>
      </c>
      <c r="J185" s="40">
        <f>IF($L185="","",IF((Override!$C$4="ON")*ISNUMBER(INDEX(Override!$G$13:$G$112,$N185))&gt;0,"stock overridden",""))</f>
        <v/>
      </c>
      <c r="L185" s="41">
        <f>IFERROR(IF(SMALL(Grids!$C$9:$BO$108,$M$7+176)&gt;=(Summary!$C$15+1)*1000000000,"",SMALL(Grids!$C$9:$BO$108,$M$7+176)),"")</f>
        <v/>
      </c>
      <c r="M185" s="41">
        <f>IF($L185="","",INT($L185/1000000000))</f>
        <v/>
      </c>
      <c r="N185" s="41">
        <f>IF($L185="","",INT(($L185-INT($L185/1000000)*1000000)/1000))</f>
        <v/>
      </c>
      <c r="O185" s="41">
        <f>IF($L185="","",$L185-INT($L185/1000)*1000)</f>
        <v/>
      </c>
      <c r="P185" s="41">
        <f>IF($L185="","",INT(($L185-INT($L185/1000000000)*1000000000)/10000000))</f>
        <v/>
      </c>
    </row>
    <row r="186">
      <c r="B186" s="36">
        <f>IF($L186="","",$M186)</f>
        <v/>
      </c>
      <c r="C186" s="16">
        <f>IF($L186="","",INDEX(HSI!$C$7:$C$106,$N186))</f>
        <v/>
      </c>
      <c r="D186" s="16">
        <f>IF($L186="","",INDEX(HSI!$D$7:$D$106,$N186))</f>
        <v/>
      </c>
      <c r="E186" s="37">
        <f>IF($L186="","",IF(INT($P186/10)=0,"TBA",IFERROR(INDEX(Grids!$BQ$9:$EC$108,$N186,$O186),"-")))</f>
        <v/>
      </c>
      <c r="F186" s="16">
        <f>IF($L186="","",INDEX(HSI!$F$7:$F$106,$N186))</f>
        <v/>
      </c>
      <c r="G186" s="37">
        <f>IF($L186="","",IF(INT($P186/10)=0,"TBA",IFERROR(INDEX(Grids!$EE$9:$GQ$108,$N186,$O186),"-")))</f>
        <v/>
      </c>
      <c r="H186" s="38">
        <f>IF($L186="","",SUM($G$10:$G186))</f>
        <v/>
      </c>
      <c r="I186" s="39">
        <f>IF($L186="","",IF(INT(($L186-INT($L186/10000000)*10000000)/1000000)=0,"Bloomberg projection",IF(INT($P186/10)=1,"Announced","ANNOUNCED - amount TBA"))&amp;IF(($P186-INT($P186/10)*10)=1," (special)","")&amp;IF((($P186-INT($P186/10)*10)=1)*(Summary!$C$13="N")&gt;0," - excluded by your specials switch",""))</f>
        <v/>
      </c>
      <c r="J186" s="40">
        <f>IF($L186="","",IF((Override!$C$4="ON")*ISNUMBER(INDEX(Override!$G$13:$G$112,$N186))&gt;0,"stock overridden",""))</f>
        <v/>
      </c>
      <c r="L186" s="41">
        <f>IFERROR(IF(SMALL(Grids!$C$9:$BO$108,$M$7+177)&gt;=(Summary!$C$15+1)*1000000000,"",SMALL(Grids!$C$9:$BO$108,$M$7+177)),"")</f>
        <v/>
      </c>
      <c r="M186" s="41">
        <f>IF($L186="","",INT($L186/1000000000))</f>
        <v/>
      </c>
      <c r="N186" s="41">
        <f>IF($L186="","",INT(($L186-INT($L186/1000000)*1000000)/1000))</f>
        <v/>
      </c>
      <c r="O186" s="41">
        <f>IF($L186="","",$L186-INT($L186/1000)*1000)</f>
        <v/>
      </c>
      <c r="P186" s="41">
        <f>IF($L186="","",INT(($L186-INT($L186/1000000000)*1000000000)/10000000))</f>
        <v/>
      </c>
    </row>
    <row r="187">
      <c r="B187" s="36">
        <f>IF($L187="","",$M187)</f>
        <v/>
      </c>
      <c r="C187" s="16">
        <f>IF($L187="","",INDEX(HSI!$C$7:$C$106,$N187))</f>
        <v/>
      </c>
      <c r="D187" s="16">
        <f>IF($L187="","",INDEX(HSI!$D$7:$D$106,$N187))</f>
        <v/>
      </c>
      <c r="E187" s="37">
        <f>IF($L187="","",IF(INT($P187/10)=0,"TBA",IFERROR(INDEX(Grids!$BQ$9:$EC$108,$N187,$O187),"-")))</f>
        <v/>
      </c>
      <c r="F187" s="16">
        <f>IF($L187="","",INDEX(HSI!$F$7:$F$106,$N187))</f>
        <v/>
      </c>
      <c r="G187" s="37">
        <f>IF($L187="","",IF(INT($P187/10)=0,"TBA",IFERROR(INDEX(Grids!$EE$9:$GQ$108,$N187,$O187),"-")))</f>
        <v/>
      </c>
      <c r="H187" s="38">
        <f>IF($L187="","",SUM($G$10:$G187))</f>
        <v/>
      </c>
      <c r="I187" s="39">
        <f>IF($L187="","",IF(INT(($L187-INT($L187/10000000)*10000000)/1000000)=0,"Bloomberg projection",IF(INT($P187/10)=1,"Announced","ANNOUNCED - amount TBA"))&amp;IF(($P187-INT($P187/10)*10)=1," (special)","")&amp;IF((($P187-INT($P187/10)*10)=1)*(Summary!$C$13="N")&gt;0," - excluded by your specials switch",""))</f>
        <v/>
      </c>
      <c r="J187" s="40">
        <f>IF($L187="","",IF((Override!$C$4="ON")*ISNUMBER(INDEX(Override!$G$13:$G$112,$N187))&gt;0,"stock overridden",""))</f>
        <v/>
      </c>
      <c r="L187" s="41">
        <f>IFERROR(IF(SMALL(Grids!$C$9:$BO$108,$M$7+178)&gt;=(Summary!$C$15+1)*1000000000,"",SMALL(Grids!$C$9:$BO$108,$M$7+178)),"")</f>
        <v/>
      </c>
      <c r="M187" s="41">
        <f>IF($L187="","",INT($L187/1000000000))</f>
        <v/>
      </c>
      <c r="N187" s="41">
        <f>IF($L187="","",INT(($L187-INT($L187/1000000)*1000000)/1000))</f>
        <v/>
      </c>
      <c r="O187" s="41">
        <f>IF($L187="","",$L187-INT($L187/1000)*1000)</f>
        <v/>
      </c>
      <c r="P187" s="41">
        <f>IF($L187="","",INT(($L187-INT($L187/1000000000)*1000000000)/10000000))</f>
        <v/>
      </c>
    </row>
    <row r="188">
      <c r="B188" s="36">
        <f>IF($L188="","",$M188)</f>
        <v/>
      </c>
      <c r="C188" s="16">
        <f>IF($L188="","",INDEX(HSI!$C$7:$C$106,$N188))</f>
        <v/>
      </c>
      <c r="D188" s="16">
        <f>IF($L188="","",INDEX(HSI!$D$7:$D$106,$N188))</f>
        <v/>
      </c>
      <c r="E188" s="37">
        <f>IF($L188="","",IF(INT($P188/10)=0,"TBA",IFERROR(INDEX(Grids!$BQ$9:$EC$108,$N188,$O188),"-")))</f>
        <v/>
      </c>
      <c r="F188" s="16">
        <f>IF($L188="","",INDEX(HSI!$F$7:$F$106,$N188))</f>
        <v/>
      </c>
      <c r="G188" s="37">
        <f>IF($L188="","",IF(INT($P188/10)=0,"TBA",IFERROR(INDEX(Grids!$EE$9:$GQ$108,$N188,$O188),"-")))</f>
        <v/>
      </c>
      <c r="H188" s="38">
        <f>IF($L188="","",SUM($G$10:$G188))</f>
        <v/>
      </c>
      <c r="I188" s="39">
        <f>IF($L188="","",IF(INT(($L188-INT($L188/10000000)*10000000)/1000000)=0,"Bloomberg projection",IF(INT($P188/10)=1,"Announced","ANNOUNCED - amount TBA"))&amp;IF(($P188-INT($P188/10)*10)=1," (special)","")&amp;IF((($P188-INT($P188/10)*10)=1)*(Summary!$C$13="N")&gt;0," - excluded by your specials switch",""))</f>
        <v/>
      </c>
      <c r="J188" s="40">
        <f>IF($L188="","",IF((Override!$C$4="ON")*ISNUMBER(INDEX(Override!$G$13:$G$112,$N188))&gt;0,"stock overridden",""))</f>
        <v/>
      </c>
      <c r="L188" s="41">
        <f>IFERROR(IF(SMALL(Grids!$C$9:$BO$108,$M$7+179)&gt;=(Summary!$C$15+1)*1000000000,"",SMALL(Grids!$C$9:$BO$108,$M$7+179)),"")</f>
        <v/>
      </c>
      <c r="M188" s="41">
        <f>IF($L188="","",INT($L188/1000000000))</f>
        <v/>
      </c>
      <c r="N188" s="41">
        <f>IF($L188="","",INT(($L188-INT($L188/1000000)*1000000)/1000))</f>
        <v/>
      </c>
      <c r="O188" s="41">
        <f>IF($L188="","",$L188-INT($L188/1000)*1000)</f>
        <v/>
      </c>
      <c r="P188" s="41">
        <f>IF($L188="","",INT(($L188-INT($L188/1000000000)*1000000000)/10000000))</f>
        <v/>
      </c>
    </row>
    <row r="189">
      <c r="B189" s="36">
        <f>IF($L189="","",$M189)</f>
        <v/>
      </c>
      <c r="C189" s="16">
        <f>IF($L189="","",INDEX(HSI!$C$7:$C$106,$N189))</f>
        <v/>
      </c>
      <c r="D189" s="16">
        <f>IF($L189="","",INDEX(HSI!$D$7:$D$106,$N189))</f>
        <v/>
      </c>
      <c r="E189" s="37">
        <f>IF($L189="","",IF(INT($P189/10)=0,"TBA",IFERROR(INDEX(Grids!$BQ$9:$EC$108,$N189,$O189),"-")))</f>
        <v/>
      </c>
      <c r="F189" s="16">
        <f>IF($L189="","",INDEX(HSI!$F$7:$F$106,$N189))</f>
        <v/>
      </c>
      <c r="G189" s="37">
        <f>IF($L189="","",IF(INT($P189/10)=0,"TBA",IFERROR(INDEX(Grids!$EE$9:$GQ$108,$N189,$O189),"-")))</f>
        <v/>
      </c>
      <c r="H189" s="38">
        <f>IF($L189="","",SUM($G$10:$G189))</f>
        <v/>
      </c>
      <c r="I189" s="39">
        <f>IF($L189="","",IF(INT(($L189-INT($L189/10000000)*10000000)/1000000)=0,"Bloomberg projection",IF(INT($P189/10)=1,"Announced","ANNOUNCED - amount TBA"))&amp;IF(($P189-INT($P189/10)*10)=1," (special)","")&amp;IF((($P189-INT($P189/10)*10)=1)*(Summary!$C$13="N")&gt;0," - excluded by your specials switch",""))</f>
        <v/>
      </c>
      <c r="J189" s="40">
        <f>IF($L189="","",IF((Override!$C$4="ON")*ISNUMBER(INDEX(Override!$G$13:$G$112,$N189))&gt;0,"stock overridden",""))</f>
        <v/>
      </c>
      <c r="L189" s="41">
        <f>IFERROR(IF(SMALL(Grids!$C$9:$BO$108,$M$7+180)&gt;=(Summary!$C$15+1)*1000000000,"",SMALL(Grids!$C$9:$BO$108,$M$7+180)),"")</f>
        <v/>
      </c>
      <c r="M189" s="41">
        <f>IF($L189="","",INT($L189/1000000000))</f>
        <v/>
      </c>
      <c r="N189" s="41">
        <f>IF($L189="","",INT(($L189-INT($L189/1000000)*1000000)/1000))</f>
        <v/>
      </c>
      <c r="O189" s="41">
        <f>IF($L189="","",$L189-INT($L189/1000)*1000)</f>
        <v/>
      </c>
      <c r="P189" s="41">
        <f>IF($L189="","",INT(($L189-INT($L189/1000000000)*1000000000)/10000000))</f>
        <v/>
      </c>
    </row>
    <row r="190">
      <c r="B190" s="36">
        <f>IF($L190="","",$M190)</f>
        <v/>
      </c>
      <c r="C190" s="16">
        <f>IF($L190="","",INDEX(HSI!$C$7:$C$106,$N190))</f>
        <v/>
      </c>
      <c r="D190" s="16">
        <f>IF($L190="","",INDEX(HSI!$D$7:$D$106,$N190))</f>
        <v/>
      </c>
      <c r="E190" s="37">
        <f>IF($L190="","",IF(INT($P190/10)=0,"TBA",IFERROR(INDEX(Grids!$BQ$9:$EC$108,$N190,$O190),"-")))</f>
        <v/>
      </c>
      <c r="F190" s="16">
        <f>IF($L190="","",INDEX(HSI!$F$7:$F$106,$N190))</f>
        <v/>
      </c>
      <c r="G190" s="37">
        <f>IF($L190="","",IF(INT($P190/10)=0,"TBA",IFERROR(INDEX(Grids!$EE$9:$GQ$108,$N190,$O190),"-")))</f>
        <v/>
      </c>
      <c r="H190" s="38">
        <f>IF($L190="","",SUM($G$10:$G190))</f>
        <v/>
      </c>
      <c r="I190" s="39">
        <f>IF($L190="","",IF(INT(($L190-INT($L190/10000000)*10000000)/1000000)=0,"Bloomberg projection",IF(INT($P190/10)=1,"Announced","ANNOUNCED - amount TBA"))&amp;IF(($P190-INT($P190/10)*10)=1," (special)","")&amp;IF((($P190-INT($P190/10)*10)=1)*(Summary!$C$13="N")&gt;0," - excluded by your specials switch",""))</f>
        <v/>
      </c>
      <c r="J190" s="40">
        <f>IF($L190="","",IF((Override!$C$4="ON")*ISNUMBER(INDEX(Override!$G$13:$G$112,$N190))&gt;0,"stock overridden",""))</f>
        <v/>
      </c>
      <c r="L190" s="41">
        <f>IFERROR(IF(SMALL(Grids!$C$9:$BO$108,$M$7+181)&gt;=(Summary!$C$15+1)*1000000000,"",SMALL(Grids!$C$9:$BO$108,$M$7+181)),"")</f>
        <v/>
      </c>
      <c r="M190" s="41">
        <f>IF($L190="","",INT($L190/1000000000))</f>
        <v/>
      </c>
      <c r="N190" s="41">
        <f>IF($L190="","",INT(($L190-INT($L190/1000000)*1000000)/1000))</f>
        <v/>
      </c>
      <c r="O190" s="41">
        <f>IF($L190="","",$L190-INT($L190/1000)*1000)</f>
        <v/>
      </c>
      <c r="P190" s="41">
        <f>IF($L190="","",INT(($L190-INT($L190/1000000000)*1000000000)/10000000))</f>
        <v/>
      </c>
    </row>
    <row r="191">
      <c r="B191" s="36">
        <f>IF($L191="","",$M191)</f>
        <v/>
      </c>
      <c r="C191" s="16">
        <f>IF($L191="","",INDEX(HSI!$C$7:$C$106,$N191))</f>
        <v/>
      </c>
      <c r="D191" s="16">
        <f>IF($L191="","",INDEX(HSI!$D$7:$D$106,$N191))</f>
        <v/>
      </c>
      <c r="E191" s="37">
        <f>IF($L191="","",IF(INT($P191/10)=0,"TBA",IFERROR(INDEX(Grids!$BQ$9:$EC$108,$N191,$O191),"-")))</f>
        <v/>
      </c>
      <c r="F191" s="16">
        <f>IF($L191="","",INDEX(HSI!$F$7:$F$106,$N191))</f>
        <v/>
      </c>
      <c r="G191" s="37">
        <f>IF($L191="","",IF(INT($P191/10)=0,"TBA",IFERROR(INDEX(Grids!$EE$9:$GQ$108,$N191,$O191),"-")))</f>
        <v/>
      </c>
      <c r="H191" s="38">
        <f>IF($L191="","",SUM($G$10:$G191))</f>
        <v/>
      </c>
      <c r="I191" s="39">
        <f>IF($L191="","",IF(INT(($L191-INT($L191/10000000)*10000000)/1000000)=0,"Bloomberg projection",IF(INT($P191/10)=1,"Announced","ANNOUNCED - amount TBA"))&amp;IF(($P191-INT($P191/10)*10)=1," (special)","")&amp;IF((($P191-INT($P191/10)*10)=1)*(Summary!$C$13="N")&gt;0," - excluded by your specials switch",""))</f>
        <v/>
      </c>
      <c r="J191" s="40">
        <f>IF($L191="","",IF((Override!$C$4="ON")*ISNUMBER(INDEX(Override!$G$13:$G$112,$N191))&gt;0,"stock overridden",""))</f>
        <v/>
      </c>
      <c r="L191" s="41">
        <f>IFERROR(IF(SMALL(Grids!$C$9:$BO$108,$M$7+182)&gt;=(Summary!$C$15+1)*1000000000,"",SMALL(Grids!$C$9:$BO$108,$M$7+182)),"")</f>
        <v/>
      </c>
      <c r="M191" s="41">
        <f>IF($L191="","",INT($L191/1000000000))</f>
        <v/>
      </c>
      <c r="N191" s="41">
        <f>IF($L191="","",INT(($L191-INT($L191/1000000)*1000000)/1000))</f>
        <v/>
      </c>
      <c r="O191" s="41">
        <f>IF($L191="","",$L191-INT($L191/1000)*1000)</f>
        <v/>
      </c>
      <c r="P191" s="41">
        <f>IF($L191="","",INT(($L191-INT($L191/1000000000)*1000000000)/10000000))</f>
        <v/>
      </c>
    </row>
    <row r="192">
      <c r="B192" s="36">
        <f>IF($L192="","",$M192)</f>
        <v/>
      </c>
      <c r="C192" s="16">
        <f>IF($L192="","",INDEX(HSI!$C$7:$C$106,$N192))</f>
        <v/>
      </c>
      <c r="D192" s="16">
        <f>IF($L192="","",INDEX(HSI!$D$7:$D$106,$N192))</f>
        <v/>
      </c>
      <c r="E192" s="37">
        <f>IF($L192="","",IF(INT($P192/10)=0,"TBA",IFERROR(INDEX(Grids!$BQ$9:$EC$108,$N192,$O192),"-")))</f>
        <v/>
      </c>
      <c r="F192" s="16">
        <f>IF($L192="","",INDEX(HSI!$F$7:$F$106,$N192))</f>
        <v/>
      </c>
      <c r="G192" s="37">
        <f>IF($L192="","",IF(INT($P192/10)=0,"TBA",IFERROR(INDEX(Grids!$EE$9:$GQ$108,$N192,$O192),"-")))</f>
        <v/>
      </c>
      <c r="H192" s="38">
        <f>IF($L192="","",SUM($G$10:$G192))</f>
        <v/>
      </c>
      <c r="I192" s="39">
        <f>IF($L192="","",IF(INT(($L192-INT($L192/10000000)*10000000)/1000000)=0,"Bloomberg projection",IF(INT($P192/10)=1,"Announced","ANNOUNCED - amount TBA"))&amp;IF(($P192-INT($P192/10)*10)=1," (special)","")&amp;IF((($P192-INT($P192/10)*10)=1)*(Summary!$C$13="N")&gt;0," - excluded by your specials switch",""))</f>
        <v/>
      </c>
      <c r="J192" s="40">
        <f>IF($L192="","",IF((Override!$C$4="ON")*ISNUMBER(INDEX(Override!$G$13:$G$112,$N192))&gt;0,"stock overridden",""))</f>
        <v/>
      </c>
      <c r="L192" s="41">
        <f>IFERROR(IF(SMALL(Grids!$C$9:$BO$108,$M$7+183)&gt;=(Summary!$C$15+1)*1000000000,"",SMALL(Grids!$C$9:$BO$108,$M$7+183)),"")</f>
        <v/>
      </c>
      <c r="M192" s="41">
        <f>IF($L192="","",INT($L192/1000000000))</f>
        <v/>
      </c>
      <c r="N192" s="41">
        <f>IF($L192="","",INT(($L192-INT($L192/1000000)*1000000)/1000))</f>
        <v/>
      </c>
      <c r="O192" s="41">
        <f>IF($L192="","",$L192-INT($L192/1000)*1000)</f>
        <v/>
      </c>
      <c r="P192" s="41">
        <f>IF($L192="","",INT(($L192-INT($L192/1000000000)*1000000000)/10000000))</f>
        <v/>
      </c>
    </row>
    <row r="193">
      <c r="B193" s="36">
        <f>IF($L193="","",$M193)</f>
        <v/>
      </c>
      <c r="C193" s="16">
        <f>IF($L193="","",INDEX(HSI!$C$7:$C$106,$N193))</f>
        <v/>
      </c>
      <c r="D193" s="16">
        <f>IF($L193="","",INDEX(HSI!$D$7:$D$106,$N193))</f>
        <v/>
      </c>
      <c r="E193" s="37">
        <f>IF($L193="","",IF(INT($P193/10)=0,"TBA",IFERROR(INDEX(Grids!$BQ$9:$EC$108,$N193,$O193),"-")))</f>
        <v/>
      </c>
      <c r="F193" s="16">
        <f>IF($L193="","",INDEX(HSI!$F$7:$F$106,$N193))</f>
        <v/>
      </c>
      <c r="G193" s="37">
        <f>IF($L193="","",IF(INT($P193/10)=0,"TBA",IFERROR(INDEX(Grids!$EE$9:$GQ$108,$N193,$O193),"-")))</f>
        <v/>
      </c>
      <c r="H193" s="38">
        <f>IF($L193="","",SUM($G$10:$G193))</f>
        <v/>
      </c>
      <c r="I193" s="39">
        <f>IF($L193="","",IF(INT(($L193-INT($L193/10000000)*10000000)/1000000)=0,"Bloomberg projection",IF(INT($P193/10)=1,"Announced","ANNOUNCED - amount TBA"))&amp;IF(($P193-INT($P193/10)*10)=1," (special)","")&amp;IF((($P193-INT($P193/10)*10)=1)*(Summary!$C$13="N")&gt;0," - excluded by your specials switch",""))</f>
        <v/>
      </c>
      <c r="J193" s="40">
        <f>IF($L193="","",IF((Override!$C$4="ON")*ISNUMBER(INDEX(Override!$G$13:$G$112,$N193))&gt;0,"stock overridden",""))</f>
        <v/>
      </c>
      <c r="L193" s="41">
        <f>IFERROR(IF(SMALL(Grids!$C$9:$BO$108,$M$7+184)&gt;=(Summary!$C$15+1)*1000000000,"",SMALL(Grids!$C$9:$BO$108,$M$7+184)),"")</f>
        <v/>
      </c>
      <c r="M193" s="41">
        <f>IF($L193="","",INT($L193/1000000000))</f>
        <v/>
      </c>
      <c r="N193" s="41">
        <f>IF($L193="","",INT(($L193-INT($L193/1000000)*1000000)/1000))</f>
        <v/>
      </c>
      <c r="O193" s="41">
        <f>IF($L193="","",$L193-INT($L193/1000)*1000)</f>
        <v/>
      </c>
      <c r="P193" s="41">
        <f>IF($L193="","",INT(($L193-INT($L193/1000000000)*1000000000)/10000000))</f>
        <v/>
      </c>
    </row>
    <row r="194">
      <c r="B194" s="36">
        <f>IF($L194="","",$M194)</f>
        <v/>
      </c>
      <c r="C194" s="16">
        <f>IF($L194="","",INDEX(HSI!$C$7:$C$106,$N194))</f>
        <v/>
      </c>
      <c r="D194" s="16">
        <f>IF($L194="","",INDEX(HSI!$D$7:$D$106,$N194))</f>
        <v/>
      </c>
      <c r="E194" s="37">
        <f>IF($L194="","",IF(INT($P194/10)=0,"TBA",IFERROR(INDEX(Grids!$BQ$9:$EC$108,$N194,$O194),"-")))</f>
        <v/>
      </c>
      <c r="F194" s="16">
        <f>IF($L194="","",INDEX(HSI!$F$7:$F$106,$N194))</f>
        <v/>
      </c>
      <c r="G194" s="37">
        <f>IF($L194="","",IF(INT($P194/10)=0,"TBA",IFERROR(INDEX(Grids!$EE$9:$GQ$108,$N194,$O194),"-")))</f>
        <v/>
      </c>
      <c r="H194" s="38">
        <f>IF($L194="","",SUM($G$10:$G194))</f>
        <v/>
      </c>
      <c r="I194" s="39">
        <f>IF($L194="","",IF(INT(($L194-INT($L194/10000000)*10000000)/1000000)=0,"Bloomberg projection",IF(INT($P194/10)=1,"Announced","ANNOUNCED - amount TBA"))&amp;IF(($P194-INT($P194/10)*10)=1," (special)","")&amp;IF((($P194-INT($P194/10)*10)=1)*(Summary!$C$13="N")&gt;0," - excluded by your specials switch",""))</f>
        <v/>
      </c>
      <c r="J194" s="40">
        <f>IF($L194="","",IF((Override!$C$4="ON")*ISNUMBER(INDEX(Override!$G$13:$G$112,$N194))&gt;0,"stock overridden",""))</f>
        <v/>
      </c>
      <c r="L194" s="41">
        <f>IFERROR(IF(SMALL(Grids!$C$9:$BO$108,$M$7+185)&gt;=(Summary!$C$15+1)*1000000000,"",SMALL(Grids!$C$9:$BO$108,$M$7+185)),"")</f>
        <v/>
      </c>
      <c r="M194" s="41">
        <f>IF($L194="","",INT($L194/1000000000))</f>
        <v/>
      </c>
      <c r="N194" s="41">
        <f>IF($L194="","",INT(($L194-INT($L194/1000000)*1000000)/1000))</f>
        <v/>
      </c>
      <c r="O194" s="41">
        <f>IF($L194="","",$L194-INT($L194/1000)*1000)</f>
        <v/>
      </c>
      <c r="P194" s="41">
        <f>IF($L194="","",INT(($L194-INT($L194/1000000000)*1000000000)/10000000))</f>
        <v/>
      </c>
    </row>
    <row r="195">
      <c r="B195" s="36">
        <f>IF($L195="","",$M195)</f>
        <v/>
      </c>
      <c r="C195" s="16">
        <f>IF($L195="","",INDEX(HSI!$C$7:$C$106,$N195))</f>
        <v/>
      </c>
      <c r="D195" s="16">
        <f>IF($L195="","",INDEX(HSI!$D$7:$D$106,$N195))</f>
        <v/>
      </c>
      <c r="E195" s="37">
        <f>IF($L195="","",IF(INT($P195/10)=0,"TBA",IFERROR(INDEX(Grids!$BQ$9:$EC$108,$N195,$O195),"-")))</f>
        <v/>
      </c>
      <c r="F195" s="16">
        <f>IF($L195="","",INDEX(HSI!$F$7:$F$106,$N195))</f>
        <v/>
      </c>
      <c r="G195" s="37">
        <f>IF($L195="","",IF(INT($P195/10)=0,"TBA",IFERROR(INDEX(Grids!$EE$9:$GQ$108,$N195,$O195),"-")))</f>
        <v/>
      </c>
      <c r="H195" s="38">
        <f>IF($L195="","",SUM($G$10:$G195))</f>
        <v/>
      </c>
      <c r="I195" s="39">
        <f>IF($L195="","",IF(INT(($L195-INT($L195/10000000)*10000000)/1000000)=0,"Bloomberg projection",IF(INT($P195/10)=1,"Announced","ANNOUNCED - amount TBA"))&amp;IF(($P195-INT($P195/10)*10)=1," (special)","")&amp;IF((($P195-INT($P195/10)*10)=1)*(Summary!$C$13="N")&gt;0," - excluded by your specials switch",""))</f>
        <v/>
      </c>
      <c r="J195" s="40">
        <f>IF($L195="","",IF((Override!$C$4="ON")*ISNUMBER(INDEX(Override!$G$13:$G$112,$N195))&gt;0,"stock overridden",""))</f>
        <v/>
      </c>
      <c r="L195" s="41">
        <f>IFERROR(IF(SMALL(Grids!$C$9:$BO$108,$M$7+186)&gt;=(Summary!$C$15+1)*1000000000,"",SMALL(Grids!$C$9:$BO$108,$M$7+186)),"")</f>
        <v/>
      </c>
      <c r="M195" s="41">
        <f>IF($L195="","",INT($L195/1000000000))</f>
        <v/>
      </c>
      <c r="N195" s="41">
        <f>IF($L195="","",INT(($L195-INT($L195/1000000)*1000000)/1000))</f>
        <v/>
      </c>
      <c r="O195" s="41">
        <f>IF($L195="","",$L195-INT($L195/1000)*1000)</f>
        <v/>
      </c>
      <c r="P195" s="41">
        <f>IF($L195="","",INT(($L195-INT($L195/1000000000)*1000000000)/10000000))</f>
        <v/>
      </c>
    </row>
    <row r="196">
      <c r="B196" s="36">
        <f>IF($L196="","",$M196)</f>
        <v/>
      </c>
      <c r="C196" s="16">
        <f>IF($L196="","",INDEX(HSI!$C$7:$C$106,$N196))</f>
        <v/>
      </c>
      <c r="D196" s="16">
        <f>IF($L196="","",INDEX(HSI!$D$7:$D$106,$N196))</f>
        <v/>
      </c>
      <c r="E196" s="37">
        <f>IF($L196="","",IF(INT($P196/10)=0,"TBA",IFERROR(INDEX(Grids!$BQ$9:$EC$108,$N196,$O196),"-")))</f>
        <v/>
      </c>
      <c r="F196" s="16">
        <f>IF($L196="","",INDEX(HSI!$F$7:$F$106,$N196))</f>
        <v/>
      </c>
      <c r="G196" s="37">
        <f>IF($L196="","",IF(INT($P196/10)=0,"TBA",IFERROR(INDEX(Grids!$EE$9:$GQ$108,$N196,$O196),"-")))</f>
        <v/>
      </c>
      <c r="H196" s="38">
        <f>IF($L196="","",SUM($G$10:$G196))</f>
        <v/>
      </c>
      <c r="I196" s="39">
        <f>IF($L196="","",IF(INT(($L196-INT($L196/10000000)*10000000)/1000000)=0,"Bloomberg projection",IF(INT($P196/10)=1,"Announced","ANNOUNCED - amount TBA"))&amp;IF(($P196-INT($P196/10)*10)=1," (special)","")&amp;IF((($P196-INT($P196/10)*10)=1)*(Summary!$C$13="N")&gt;0," - excluded by your specials switch",""))</f>
        <v/>
      </c>
      <c r="J196" s="40">
        <f>IF($L196="","",IF((Override!$C$4="ON")*ISNUMBER(INDEX(Override!$G$13:$G$112,$N196))&gt;0,"stock overridden",""))</f>
        <v/>
      </c>
      <c r="L196" s="41">
        <f>IFERROR(IF(SMALL(Grids!$C$9:$BO$108,$M$7+187)&gt;=(Summary!$C$15+1)*1000000000,"",SMALL(Grids!$C$9:$BO$108,$M$7+187)),"")</f>
        <v/>
      </c>
      <c r="M196" s="41">
        <f>IF($L196="","",INT($L196/1000000000))</f>
        <v/>
      </c>
      <c r="N196" s="41">
        <f>IF($L196="","",INT(($L196-INT($L196/1000000)*1000000)/1000))</f>
        <v/>
      </c>
      <c r="O196" s="41">
        <f>IF($L196="","",$L196-INT($L196/1000)*1000)</f>
        <v/>
      </c>
      <c r="P196" s="41">
        <f>IF($L196="","",INT(($L196-INT($L196/1000000000)*1000000000)/10000000))</f>
        <v/>
      </c>
    </row>
    <row r="197">
      <c r="B197" s="36">
        <f>IF($L197="","",$M197)</f>
        <v/>
      </c>
      <c r="C197" s="16">
        <f>IF($L197="","",INDEX(HSI!$C$7:$C$106,$N197))</f>
        <v/>
      </c>
      <c r="D197" s="16">
        <f>IF($L197="","",INDEX(HSI!$D$7:$D$106,$N197))</f>
        <v/>
      </c>
      <c r="E197" s="37">
        <f>IF($L197="","",IF(INT($P197/10)=0,"TBA",IFERROR(INDEX(Grids!$BQ$9:$EC$108,$N197,$O197),"-")))</f>
        <v/>
      </c>
      <c r="F197" s="16">
        <f>IF($L197="","",INDEX(HSI!$F$7:$F$106,$N197))</f>
        <v/>
      </c>
      <c r="G197" s="37">
        <f>IF($L197="","",IF(INT($P197/10)=0,"TBA",IFERROR(INDEX(Grids!$EE$9:$GQ$108,$N197,$O197),"-")))</f>
        <v/>
      </c>
      <c r="H197" s="38">
        <f>IF($L197="","",SUM($G$10:$G197))</f>
        <v/>
      </c>
      <c r="I197" s="39">
        <f>IF($L197="","",IF(INT(($L197-INT($L197/10000000)*10000000)/1000000)=0,"Bloomberg projection",IF(INT($P197/10)=1,"Announced","ANNOUNCED - amount TBA"))&amp;IF(($P197-INT($P197/10)*10)=1," (special)","")&amp;IF((($P197-INT($P197/10)*10)=1)*(Summary!$C$13="N")&gt;0," - excluded by your specials switch",""))</f>
        <v/>
      </c>
      <c r="J197" s="40">
        <f>IF($L197="","",IF((Override!$C$4="ON")*ISNUMBER(INDEX(Override!$G$13:$G$112,$N197))&gt;0,"stock overridden",""))</f>
        <v/>
      </c>
      <c r="L197" s="41">
        <f>IFERROR(IF(SMALL(Grids!$C$9:$BO$108,$M$7+188)&gt;=(Summary!$C$15+1)*1000000000,"",SMALL(Grids!$C$9:$BO$108,$M$7+188)),"")</f>
        <v/>
      </c>
      <c r="M197" s="41">
        <f>IF($L197="","",INT($L197/1000000000))</f>
        <v/>
      </c>
      <c r="N197" s="41">
        <f>IF($L197="","",INT(($L197-INT($L197/1000000)*1000000)/1000))</f>
        <v/>
      </c>
      <c r="O197" s="41">
        <f>IF($L197="","",$L197-INT($L197/1000)*1000)</f>
        <v/>
      </c>
      <c r="P197" s="41">
        <f>IF($L197="","",INT(($L197-INT($L197/1000000000)*1000000000)/10000000))</f>
        <v/>
      </c>
    </row>
    <row r="198">
      <c r="B198" s="36">
        <f>IF($L198="","",$M198)</f>
        <v/>
      </c>
      <c r="C198" s="16">
        <f>IF($L198="","",INDEX(HSI!$C$7:$C$106,$N198))</f>
        <v/>
      </c>
      <c r="D198" s="16">
        <f>IF($L198="","",INDEX(HSI!$D$7:$D$106,$N198))</f>
        <v/>
      </c>
      <c r="E198" s="37">
        <f>IF($L198="","",IF(INT($P198/10)=0,"TBA",IFERROR(INDEX(Grids!$BQ$9:$EC$108,$N198,$O198),"-")))</f>
        <v/>
      </c>
      <c r="F198" s="16">
        <f>IF($L198="","",INDEX(HSI!$F$7:$F$106,$N198))</f>
        <v/>
      </c>
      <c r="G198" s="37">
        <f>IF($L198="","",IF(INT($P198/10)=0,"TBA",IFERROR(INDEX(Grids!$EE$9:$GQ$108,$N198,$O198),"-")))</f>
        <v/>
      </c>
      <c r="H198" s="38">
        <f>IF($L198="","",SUM($G$10:$G198))</f>
        <v/>
      </c>
      <c r="I198" s="39">
        <f>IF($L198="","",IF(INT(($L198-INT($L198/10000000)*10000000)/1000000)=0,"Bloomberg projection",IF(INT($P198/10)=1,"Announced","ANNOUNCED - amount TBA"))&amp;IF(($P198-INT($P198/10)*10)=1," (special)","")&amp;IF((($P198-INT($P198/10)*10)=1)*(Summary!$C$13="N")&gt;0," - excluded by your specials switch",""))</f>
        <v/>
      </c>
      <c r="J198" s="40">
        <f>IF($L198="","",IF((Override!$C$4="ON")*ISNUMBER(INDEX(Override!$G$13:$G$112,$N198))&gt;0,"stock overridden",""))</f>
        <v/>
      </c>
      <c r="L198" s="41">
        <f>IFERROR(IF(SMALL(Grids!$C$9:$BO$108,$M$7+189)&gt;=(Summary!$C$15+1)*1000000000,"",SMALL(Grids!$C$9:$BO$108,$M$7+189)),"")</f>
        <v/>
      </c>
      <c r="M198" s="41">
        <f>IF($L198="","",INT($L198/1000000000))</f>
        <v/>
      </c>
      <c r="N198" s="41">
        <f>IF($L198="","",INT(($L198-INT($L198/1000000)*1000000)/1000))</f>
        <v/>
      </c>
      <c r="O198" s="41">
        <f>IF($L198="","",$L198-INT($L198/1000)*1000)</f>
        <v/>
      </c>
      <c r="P198" s="41">
        <f>IF($L198="","",INT(($L198-INT($L198/1000000000)*1000000000)/10000000))</f>
        <v/>
      </c>
    </row>
    <row r="199">
      <c r="B199" s="36">
        <f>IF($L199="","",$M199)</f>
        <v/>
      </c>
      <c r="C199" s="16">
        <f>IF($L199="","",INDEX(HSI!$C$7:$C$106,$N199))</f>
        <v/>
      </c>
      <c r="D199" s="16">
        <f>IF($L199="","",INDEX(HSI!$D$7:$D$106,$N199))</f>
        <v/>
      </c>
      <c r="E199" s="37">
        <f>IF($L199="","",IF(INT($P199/10)=0,"TBA",IFERROR(INDEX(Grids!$BQ$9:$EC$108,$N199,$O199),"-")))</f>
        <v/>
      </c>
      <c r="F199" s="16">
        <f>IF($L199="","",INDEX(HSI!$F$7:$F$106,$N199))</f>
        <v/>
      </c>
      <c r="G199" s="37">
        <f>IF($L199="","",IF(INT($P199/10)=0,"TBA",IFERROR(INDEX(Grids!$EE$9:$GQ$108,$N199,$O199),"-")))</f>
        <v/>
      </c>
      <c r="H199" s="38">
        <f>IF($L199="","",SUM($G$10:$G199))</f>
        <v/>
      </c>
      <c r="I199" s="39">
        <f>IF($L199="","",IF(INT(($L199-INT($L199/10000000)*10000000)/1000000)=0,"Bloomberg projection",IF(INT($P199/10)=1,"Announced","ANNOUNCED - amount TBA"))&amp;IF(($P199-INT($P199/10)*10)=1," (special)","")&amp;IF((($P199-INT($P199/10)*10)=1)*(Summary!$C$13="N")&gt;0," - excluded by your specials switch",""))</f>
        <v/>
      </c>
      <c r="J199" s="40">
        <f>IF($L199="","",IF((Override!$C$4="ON")*ISNUMBER(INDEX(Override!$G$13:$G$112,$N199))&gt;0,"stock overridden",""))</f>
        <v/>
      </c>
      <c r="L199" s="41">
        <f>IFERROR(IF(SMALL(Grids!$C$9:$BO$108,$M$7+190)&gt;=(Summary!$C$15+1)*1000000000,"",SMALL(Grids!$C$9:$BO$108,$M$7+190)),"")</f>
        <v/>
      </c>
      <c r="M199" s="41">
        <f>IF($L199="","",INT($L199/1000000000))</f>
        <v/>
      </c>
      <c r="N199" s="41">
        <f>IF($L199="","",INT(($L199-INT($L199/1000000)*1000000)/1000))</f>
        <v/>
      </c>
      <c r="O199" s="41">
        <f>IF($L199="","",$L199-INT($L199/1000)*1000)</f>
        <v/>
      </c>
      <c r="P199" s="41">
        <f>IF($L199="","",INT(($L199-INT($L199/1000000000)*1000000000)/10000000))</f>
        <v/>
      </c>
    </row>
    <row r="200">
      <c r="B200" s="36">
        <f>IF($L200="","",$M200)</f>
        <v/>
      </c>
      <c r="C200" s="16">
        <f>IF($L200="","",INDEX(HSI!$C$7:$C$106,$N200))</f>
        <v/>
      </c>
      <c r="D200" s="16">
        <f>IF($L200="","",INDEX(HSI!$D$7:$D$106,$N200))</f>
        <v/>
      </c>
      <c r="E200" s="37">
        <f>IF($L200="","",IF(INT($P200/10)=0,"TBA",IFERROR(INDEX(Grids!$BQ$9:$EC$108,$N200,$O200),"-")))</f>
        <v/>
      </c>
      <c r="F200" s="16">
        <f>IF($L200="","",INDEX(HSI!$F$7:$F$106,$N200))</f>
        <v/>
      </c>
      <c r="G200" s="37">
        <f>IF($L200="","",IF(INT($P200/10)=0,"TBA",IFERROR(INDEX(Grids!$EE$9:$GQ$108,$N200,$O200),"-")))</f>
        <v/>
      </c>
      <c r="H200" s="38">
        <f>IF($L200="","",SUM($G$10:$G200))</f>
        <v/>
      </c>
      <c r="I200" s="39">
        <f>IF($L200="","",IF(INT(($L200-INT($L200/10000000)*10000000)/1000000)=0,"Bloomberg projection",IF(INT($P200/10)=1,"Announced","ANNOUNCED - amount TBA"))&amp;IF(($P200-INT($P200/10)*10)=1," (special)","")&amp;IF((($P200-INT($P200/10)*10)=1)*(Summary!$C$13="N")&gt;0," - excluded by your specials switch",""))</f>
        <v/>
      </c>
      <c r="J200" s="40">
        <f>IF($L200="","",IF((Override!$C$4="ON")*ISNUMBER(INDEX(Override!$G$13:$G$112,$N200))&gt;0,"stock overridden",""))</f>
        <v/>
      </c>
      <c r="L200" s="41">
        <f>IFERROR(IF(SMALL(Grids!$C$9:$BO$108,$M$7+191)&gt;=(Summary!$C$15+1)*1000000000,"",SMALL(Grids!$C$9:$BO$108,$M$7+191)),"")</f>
        <v/>
      </c>
      <c r="M200" s="41">
        <f>IF($L200="","",INT($L200/1000000000))</f>
        <v/>
      </c>
      <c r="N200" s="41">
        <f>IF($L200="","",INT(($L200-INT($L200/1000000)*1000000)/1000))</f>
        <v/>
      </c>
      <c r="O200" s="41">
        <f>IF($L200="","",$L200-INT($L200/1000)*1000)</f>
        <v/>
      </c>
      <c r="P200" s="41">
        <f>IF($L200="","",INT(($L200-INT($L200/1000000000)*1000000000)/10000000))</f>
        <v/>
      </c>
    </row>
    <row r="201">
      <c r="B201" s="36">
        <f>IF($L201="","",$M201)</f>
        <v/>
      </c>
      <c r="C201" s="16">
        <f>IF($L201="","",INDEX(HSI!$C$7:$C$106,$N201))</f>
        <v/>
      </c>
      <c r="D201" s="16">
        <f>IF($L201="","",INDEX(HSI!$D$7:$D$106,$N201))</f>
        <v/>
      </c>
      <c r="E201" s="37">
        <f>IF($L201="","",IF(INT($P201/10)=0,"TBA",IFERROR(INDEX(Grids!$BQ$9:$EC$108,$N201,$O201),"-")))</f>
        <v/>
      </c>
      <c r="F201" s="16">
        <f>IF($L201="","",INDEX(HSI!$F$7:$F$106,$N201))</f>
        <v/>
      </c>
      <c r="G201" s="37">
        <f>IF($L201="","",IF(INT($P201/10)=0,"TBA",IFERROR(INDEX(Grids!$EE$9:$GQ$108,$N201,$O201),"-")))</f>
        <v/>
      </c>
      <c r="H201" s="38">
        <f>IF($L201="","",SUM($G$10:$G201))</f>
        <v/>
      </c>
      <c r="I201" s="39">
        <f>IF($L201="","",IF(INT(($L201-INT($L201/10000000)*10000000)/1000000)=0,"Bloomberg projection",IF(INT($P201/10)=1,"Announced","ANNOUNCED - amount TBA"))&amp;IF(($P201-INT($P201/10)*10)=1," (special)","")&amp;IF((($P201-INT($P201/10)*10)=1)*(Summary!$C$13="N")&gt;0," - excluded by your specials switch",""))</f>
        <v/>
      </c>
      <c r="J201" s="40">
        <f>IF($L201="","",IF((Override!$C$4="ON")*ISNUMBER(INDEX(Override!$G$13:$G$112,$N201))&gt;0,"stock overridden",""))</f>
        <v/>
      </c>
      <c r="L201" s="41">
        <f>IFERROR(IF(SMALL(Grids!$C$9:$BO$108,$M$7+192)&gt;=(Summary!$C$15+1)*1000000000,"",SMALL(Grids!$C$9:$BO$108,$M$7+192)),"")</f>
        <v/>
      </c>
      <c r="M201" s="41">
        <f>IF($L201="","",INT($L201/1000000000))</f>
        <v/>
      </c>
      <c r="N201" s="41">
        <f>IF($L201="","",INT(($L201-INT($L201/1000000)*1000000)/1000))</f>
        <v/>
      </c>
      <c r="O201" s="41">
        <f>IF($L201="","",$L201-INT($L201/1000)*1000)</f>
        <v/>
      </c>
      <c r="P201" s="41">
        <f>IF($L201="","",INT(($L201-INT($L201/1000000000)*1000000000)/10000000))</f>
        <v/>
      </c>
    </row>
    <row r="202">
      <c r="B202" s="36">
        <f>IF($L202="","",$M202)</f>
        <v/>
      </c>
      <c r="C202" s="16">
        <f>IF($L202="","",INDEX(HSI!$C$7:$C$106,$N202))</f>
        <v/>
      </c>
      <c r="D202" s="16">
        <f>IF($L202="","",INDEX(HSI!$D$7:$D$106,$N202))</f>
        <v/>
      </c>
      <c r="E202" s="37">
        <f>IF($L202="","",IF(INT($P202/10)=0,"TBA",IFERROR(INDEX(Grids!$BQ$9:$EC$108,$N202,$O202),"-")))</f>
        <v/>
      </c>
      <c r="F202" s="16">
        <f>IF($L202="","",INDEX(HSI!$F$7:$F$106,$N202))</f>
        <v/>
      </c>
      <c r="G202" s="37">
        <f>IF($L202="","",IF(INT($P202/10)=0,"TBA",IFERROR(INDEX(Grids!$EE$9:$GQ$108,$N202,$O202),"-")))</f>
        <v/>
      </c>
      <c r="H202" s="38">
        <f>IF($L202="","",SUM($G$10:$G202))</f>
        <v/>
      </c>
      <c r="I202" s="39">
        <f>IF($L202="","",IF(INT(($L202-INT($L202/10000000)*10000000)/1000000)=0,"Bloomberg projection",IF(INT($P202/10)=1,"Announced","ANNOUNCED - amount TBA"))&amp;IF(($P202-INT($P202/10)*10)=1," (special)","")&amp;IF((($P202-INT($P202/10)*10)=1)*(Summary!$C$13="N")&gt;0," - excluded by your specials switch",""))</f>
        <v/>
      </c>
      <c r="J202" s="40">
        <f>IF($L202="","",IF((Override!$C$4="ON")*ISNUMBER(INDEX(Override!$G$13:$G$112,$N202))&gt;0,"stock overridden",""))</f>
        <v/>
      </c>
      <c r="L202" s="41">
        <f>IFERROR(IF(SMALL(Grids!$C$9:$BO$108,$M$7+193)&gt;=(Summary!$C$15+1)*1000000000,"",SMALL(Grids!$C$9:$BO$108,$M$7+193)),"")</f>
        <v/>
      </c>
      <c r="M202" s="41">
        <f>IF($L202="","",INT($L202/1000000000))</f>
        <v/>
      </c>
      <c r="N202" s="41">
        <f>IF($L202="","",INT(($L202-INT($L202/1000000)*1000000)/1000))</f>
        <v/>
      </c>
      <c r="O202" s="41">
        <f>IF($L202="","",$L202-INT($L202/1000)*1000)</f>
        <v/>
      </c>
      <c r="P202" s="41">
        <f>IF($L202="","",INT(($L202-INT($L202/1000000000)*1000000000)/10000000))</f>
        <v/>
      </c>
    </row>
    <row r="203">
      <c r="B203" s="36">
        <f>IF($L203="","",$M203)</f>
        <v/>
      </c>
      <c r="C203" s="16">
        <f>IF($L203="","",INDEX(HSI!$C$7:$C$106,$N203))</f>
        <v/>
      </c>
      <c r="D203" s="16">
        <f>IF($L203="","",INDEX(HSI!$D$7:$D$106,$N203))</f>
        <v/>
      </c>
      <c r="E203" s="37">
        <f>IF($L203="","",IF(INT($P203/10)=0,"TBA",IFERROR(INDEX(Grids!$BQ$9:$EC$108,$N203,$O203),"-")))</f>
        <v/>
      </c>
      <c r="F203" s="16">
        <f>IF($L203="","",INDEX(HSI!$F$7:$F$106,$N203))</f>
        <v/>
      </c>
      <c r="G203" s="37">
        <f>IF($L203="","",IF(INT($P203/10)=0,"TBA",IFERROR(INDEX(Grids!$EE$9:$GQ$108,$N203,$O203),"-")))</f>
        <v/>
      </c>
      <c r="H203" s="38">
        <f>IF($L203="","",SUM($G$10:$G203))</f>
        <v/>
      </c>
      <c r="I203" s="39">
        <f>IF($L203="","",IF(INT(($L203-INT($L203/10000000)*10000000)/1000000)=0,"Bloomberg projection",IF(INT($P203/10)=1,"Announced","ANNOUNCED - amount TBA"))&amp;IF(($P203-INT($P203/10)*10)=1," (special)","")&amp;IF((($P203-INT($P203/10)*10)=1)*(Summary!$C$13="N")&gt;0," - excluded by your specials switch",""))</f>
        <v/>
      </c>
      <c r="J203" s="40">
        <f>IF($L203="","",IF((Override!$C$4="ON")*ISNUMBER(INDEX(Override!$G$13:$G$112,$N203))&gt;0,"stock overridden",""))</f>
        <v/>
      </c>
      <c r="L203" s="41">
        <f>IFERROR(IF(SMALL(Grids!$C$9:$BO$108,$M$7+194)&gt;=(Summary!$C$15+1)*1000000000,"",SMALL(Grids!$C$9:$BO$108,$M$7+194)),"")</f>
        <v/>
      </c>
      <c r="M203" s="41">
        <f>IF($L203="","",INT($L203/1000000000))</f>
        <v/>
      </c>
      <c r="N203" s="41">
        <f>IF($L203="","",INT(($L203-INT($L203/1000000)*1000000)/1000))</f>
        <v/>
      </c>
      <c r="O203" s="41">
        <f>IF($L203="","",$L203-INT($L203/1000)*1000)</f>
        <v/>
      </c>
      <c r="P203" s="41">
        <f>IF($L203="","",INT(($L203-INT($L203/1000000000)*1000000000)/10000000))</f>
        <v/>
      </c>
    </row>
    <row r="204">
      <c r="B204" s="36">
        <f>IF($L204="","",$M204)</f>
        <v/>
      </c>
      <c r="C204" s="16">
        <f>IF($L204="","",INDEX(HSI!$C$7:$C$106,$N204))</f>
        <v/>
      </c>
      <c r="D204" s="16">
        <f>IF($L204="","",INDEX(HSI!$D$7:$D$106,$N204))</f>
        <v/>
      </c>
      <c r="E204" s="37">
        <f>IF($L204="","",IF(INT($P204/10)=0,"TBA",IFERROR(INDEX(Grids!$BQ$9:$EC$108,$N204,$O204),"-")))</f>
        <v/>
      </c>
      <c r="F204" s="16">
        <f>IF($L204="","",INDEX(HSI!$F$7:$F$106,$N204))</f>
        <v/>
      </c>
      <c r="G204" s="37">
        <f>IF($L204="","",IF(INT($P204/10)=0,"TBA",IFERROR(INDEX(Grids!$EE$9:$GQ$108,$N204,$O204),"-")))</f>
        <v/>
      </c>
      <c r="H204" s="38">
        <f>IF($L204="","",SUM($G$10:$G204))</f>
        <v/>
      </c>
      <c r="I204" s="39">
        <f>IF($L204="","",IF(INT(($L204-INT($L204/10000000)*10000000)/1000000)=0,"Bloomberg projection",IF(INT($P204/10)=1,"Announced","ANNOUNCED - amount TBA"))&amp;IF(($P204-INT($P204/10)*10)=1," (special)","")&amp;IF((($P204-INT($P204/10)*10)=1)*(Summary!$C$13="N")&gt;0," - excluded by your specials switch",""))</f>
        <v/>
      </c>
      <c r="J204" s="40">
        <f>IF($L204="","",IF((Override!$C$4="ON")*ISNUMBER(INDEX(Override!$G$13:$G$112,$N204))&gt;0,"stock overridden",""))</f>
        <v/>
      </c>
      <c r="L204" s="41">
        <f>IFERROR(IF(SMALL(Grids!$C$9:$BO$108,$M$7+195)&gt;=(Summary!$C$15+1)*1000000000,"",SMALL(Grids!$C$9:$BO$108,$M$7+195)),"")</f>
        <v/>
      </c>
      <c r="M204" s="41">
        <f>IF($L204="","",INT($L204/1000000000))</f>
        <v/>
      </c>
      <c r="N204" s="41">
        <f>IF($L204="","",INT(($L204-INT($L204/1000000)*1000000)/1000))</f>
        <v/>
      </c>
      <c r="O204" s="41">
        <f>IF($L204="","",$L204-INT($L204/1000)*1000)</f>
        <v/>
      </c>
      <c r="P204" s="41">
        <f>IF($L204="","",INT(($L204-INT($L204/1000000000)*1000000000)/10000000))</f>
        <v/>
      </c>
    </row>
    <row r="205">
      <c r="B205" s="36">
        <f>IF($L205="","",$M205)</f>
        <v/>
      </c>
      <c r="C205" s="16">
        <f>IF($L205="","",INDEX(HSI!$C$7:$C$106,$N205))</f>
        <v/>
      </c>
      <c r="D205" s="16">
        <f>IF($L205="","",INDEX(HSI!$D$7:$D$106,$N205))</f>
        <v/>
      </c>
      <c r="E205" s="37">
        <f>IF($L205="","",IF(INT($P205/10)=0,"TBA",IFERROR(INDEX(Grids!$BQ$9:$EC$108,$N205,$O205),"-")))</f>
        <v/>
      </c>
      <c r="F205" s="16">
        <f>IF($L205="","",INDEX(HSI!$F$7:$F$106,$N205))</f>
        <v/>
      </c>
      <c r="G205" s="37">
        <f>IF($L205="","",IF(INT($P205/10)=0,"TBA",IFERROR(INDEX(Grids!$EE$9:$GQ$108,$N205,$O205),"-")))</f>
        <v/>
      </c>
      <c r="H205" s="38">
        <f>IF($L205="","",SUM($G$10:$G205))</f>
        <v/>
      </c>
      <c r="I205" s="39">
        <f>IF($L205="","",IF(INT(($L205-INT($L205/10000000)*10000000)/1000000)=0,"Bloomberg projection",IF(INT($P205/10)=1,"Announced","ANNOUNCED - amount TBA"))&amp;IF(($P205-INT($P205/10)*10)=1," (special)","")&amp;IF((($P205-INT($P205/10)*10)=1)*(Summary!$C$13="N")&gt;0," - excluded by your specials switch",""))</f>
        <v/>
      </c>
      <c r="J205" s="40">
        <f>IF($L205="","",IF((Override!$C$4="ON")*ISNUMBER(INDEX(Override!$G$13:$G$112,$N205))&gt;0,"stock overridden",""))</f>
        <v/>
      </c>
      <c r="L205" s="41">
        <f>IFERROR(IF(SMALL(Grids!$C$9:$BO$108,$M$7+196)&gt;=(Summary!$C$15+1)*1000000000,"",SMALL(Grids!$C$9:$BO$108,$M$7+196)),"")</f>
        <v/>
      </c>
      <c r="M205" s="41">
        <f>IF($L205="","",INT($L205/1000000000))</f>
        <v/>
      </c>
      <c r="N205" s="41">
        <f>IF($L205="","",INT(($L205-INT($L205/1000000)*1000000)/1000))</f>
        <v/>
      </c>
      <c r="O205" s="41">
        <f>IF($L205="","",$L205-INT($L205/1000)*1000)</f>
        <v/>
      </c>
      <c r="P205" s="41">
        <f>IF($L205="","",INT(($L205-INT($L205/1000000000)*1000000000)/10000000))</f>
        <v/>
      </c>
    </row>
    <row r="206">
      <c r="B206" s="36">
        <f>IF($L206="","",$M206)</f>
        <v/>
      </c>
      <c r="C206" s="16">
        <f>IF($L206="","",INDEX(HSI!$C$7:$C$106,$N206))</f>
        <v/>
      </c>
      <c r="D206" s="16">
        <f>IF($L206="","",INDEX(HSI!$D$7:$D$106,$N206))</f>
        <v/>
      </c>
      <c r="E206" s="37">
        <f>IF($L206="","",IF(INT($P206/10)=0,"TBA",IFERROR(INDEX(Grids!$BQ$9:$EC$108,$N206,$O206),"-")))</f>
        <v/>
      </c>
      <c r="F206" s="16">
        <f>IF($L206="","",INDEX(HSI!$F$7:$F$106,$N206))</f>
        <v/>
      </c>
      <c r="G206" s="37">
        <f>IF($L206="","",IF(INT($P206/10)=0,"TBA",IFERROR(INDEX(Grids!$EE$9:$GQ$108,$N206,$O206),"-")))</f>
        <v/>
      </c>
      <c r="H206" s="38">
        <f>IF($L206="","",SUM($G$10:$G206))</f>
        <v/>
      </c>
      <c r="I206" s="39">
        <f>IF($L206="","",IF(INT(($L206-INT($L206/10000000)*10000000)/1000000)=0,"Bloomberg projection",IF(INT($P206/10)=1,"Announced","ANNOUNCED - amount TBA"))&amp;IF(($P206-INT($P206/10)*10)=1," (special)","")&amp;IF((($P206-INT($P206/10)*10)=1)*(Summary!$C$13="N")&gt;0," - excluded by your specials switch",""))</f>
        <v/>
      </c>
      <c r="J206" s="40">
        <f>IF($L206="","",IF((Override!$C$4="ON")*ISNUMBER(INDEX(Override!$G$13:$G$112,$N206))&gt;0,"stock overridden",""))</f>
        <v/>
      </c>
      <c r="L206" s="41">
        <f>IFERROR(IF(SMALL(Grids!$C$9:$BO$108,$M$7+197)&gt;=(Summary!$C$15+1)*1000000000,"",SMALL(Grids!$C$9:$BO$108,$M$7+197)),"")</f>
        <v/>
      </c>
      <c r="M206" s="41">
        <f>IF($L206="","",INT($L206/1000000000))</f>
        <v/>
      </c>
      <c r="N206" s="41">
        <f>IF($L206="","",INT(($L206-INT($L206/1000000)*1000000)/1000))</f>
        <v/>
      </c>
      <c r="O206" s="41">
        <f>IF($L206="","",$L206-INT($L206/1000)*1000)</f>
        <v/>
      </c>
      <c r="P206" s="41">
        <f>IF($L206="","",INT(($L206-INT($L206/1000000000)*1000000000)/10000000))</f>
        <v/>
      </c>
    </row>
    <row r="207">
      <c r="B207" s="36">
        <f>IF($L207="","",$M207)</f>
        <v/>
      </c>
      <c r="C207" s="16">
        <f>IF($L207="","",INDEX(HSI!$C$7:$C$106,$N207))</f>
        <v/>
      </c>
      <c r="D207" s="16">
        <f>IF($L207="","",INDEX(HSI!$D$7:$D$106,$N207))</f>
        <v/>
      </c>
      <c r="E207" s="37">
        <f>IF($L207="","",IF(INT($P207/10)=0,"TBA",IFERROR(INDEX(Grids!$BQ$9:$EC$108,$N207,$O207),"-")))</f>
        <v/>
      </c>
      <c r="F207" s="16">
        <f>IF($L207="","",INDEX(HSI!$F$7:$F$106,$N207))</f>
        <v/>
      </c>
      <c r="G207" s="37">
        <f>IF($L207="","",IF(INT($P207/10)=0,"TBA",IFERROR(INDEX(Grids!$EE$9:$GQ$108,$N207,$O207),"-")))</f>
        <v/>
      </c>
      <c r="H207" s="38">
        <f>IF($L207="","",SUM($G$10:$G207))</f>
        <v/>
      </c>
      <c r="I207" s="39">
        <f>IF($L207="","",IF(INT(($L207-INT($L207/10000000)*10000000)/1000000)=0,"Bloomberg projection",IF(INT($P207/10)=1,"Announced","ANNOUNCED - amount TBA"))&amp;IF(($P207-INT($P207/10)*10)=1," (special)","")&amp;IF((($P207-INT($P207/10)*10)=1)*(Summary!$C$13="N")&gt;0," - excluded by your specials switch",""))</f>
        <v/>
      </c>
      <c r="J207" s="40">
        <f>IF($L207="","",IF((Override!$C$4="ON")*ISNUMBER(INDEX(Override!$G$13:$G$112,$N207))&gt;0,"stock overridden",""))</f>
        <v/>
      </c>
      <c r="L207" s="41">
        <f>IFERROR(IF(SMALL(Grids!$C$9:$BO$108,$M$7+198)&gt;=(Summary!$C$15+1)*1000000000,"",SMALL(Grids!$C$9:$BO$108,$M$7+198)),"")</f>
        <v/>
      </c>
      <c r="M207" s="41">
        <f>IF($L207="","",INT($L207/1000000000))</f>
        <v/>
      </c>
      <c r="N207" s="41">
        <f>IF($L207="","",INT(($L207-INT($L207/1000000)*1000000)/1000))</f>
        <v/>
      </c>
      <c r="O207" s="41">
        <f>IF($L207="","",$L207-INT($L207/1000)*1000)</f>
        <v/>
      </c>
      <c r="P207" s="41">
        <f>IF($L207="","",INT(($L207-INT($L207/1000000000)*1000000000)/10000000))</f>
        <v/>
      </c>
    </row>
    <row r="208">
      <c r="B208" s="36">
        <f>IF($L208="","",$M208)</f>
        <v/>
      </c>
      <c r="C208" s="16">
        <f>IF($L208="","",INDEX(HSI!$C$7:$C$106,$N208))</f>
        <v/>
      </c>
      <c r="D208" s="16">
        <f>IF($L208="","",INDEX(HSI!$D$7:$D$106,$N208))</f>
        <v/>
      </c>
      <c r="E208" s="37">
        <f>IF($L208="","",IF(INT($P208/10)=0,"TBA",IFERROR(INDEX(Grids!$BQ$9:$EC$108,$N208,$O208),"-")))</f>
        <v/>
      </c>
      <c r="F208" s="16">
        <f>IF($L208="","",INDEX(HSI!$F$7:$F$106,$N208))</f>
        <v/>
      </c>
      <c r="G208" s="37">
        <f>IF($L208="","",IF(INT($P208/10)=0,"TBA",IFERROR(INDEX(Grids!$EE$9:$GQ$108,$N208,$O208),"-")))</f>
        <v/>
      </c>
      <c r="H208" s="38">
        <f>IF($L208="","",SUM($G$10:$G208))</f>
        <v/>
      </c>
      <c r="I208" s="39">
        <f>IF($L208="","",IF(INT(($L208-INT($L208/10000000)*10000000)/1000000)=0,"Bloomberg projection",IF(INT($P208/10)=1,"Announced","ANNOUNCED - amount TBA"))&amp;IF(($P208-INT($P208/10)*10)=1," (special)","")&amp;IF((($P208-INT($P208/10)*10)=1)*(Summary!$C$13="N")&gt;0," - excluded by your specials switch",""))</f>
        <v/>
      </c>
      <c r="J208" s="40">
        <f>IF($L208="","",IF((Override!$C$4="ON")*ISNUMBER(INDEX(Override!$G$13:$G$112,$N208))&gt;0,"stock overridden",""))</f>
        <v/>
      </c>
      <c r="L208" s="41">
        <f>IFERROR(IF(SMALL(Grids!$C$9:$BO$108,$M$7+199)&gt;=(Summary!$C$15+1)*1000000000,"",SMALL(Grids!$C$9:$BO$108,$M$7+199)),"")</f>
        <v/>
      </c>
      <c r="M208" s="41">
        <f>IF($L208="","",INT($L208/1000000000))</f>
        <v/>
      </c>
      <c r="N208" s="41">
        <f>IF($L208="","",INT(($L208-INT($L208/1000000)*1000000)/1000))</f>
        <v/>
      </c>
      <c r="O208" s="41">
        <f>IF($L208="","",$L208-INT($L208/1000)*1000)</f>
        <v/>
      </c>
      <c r="P208" s="41">
        <f>IF($L208="","",INT(($L208-INT($L208/1000000000)*1000000000)/10000000))</f>
        <v/>
      </c>
    </row>
    <row r="209">
      <c r="B209" s="36">
        <f>IF($L209="","",$M209)</f>
        <v/>
      </c>
      <c r="C209" s="16">
        <f>IF($L209="","",INDEX(HSI!$C$7:$C$106,$N209))</f>
        <v/>
      </c>
      <c r="D209" s="16">
        <f>IF($L209="","",INDEX(HSI!$D$7:$D$106,$N209))</f>
        <v/>
      </c>
      <c r="E209" s="37">
        <f>IF($L209="","",IF(INT($P209/10)=0,"TBA",IFERROR(INDEX(Grids!$BQ$9:$EC$108,$N209,$O209),"-")))</f>
        <v/>
      </c>
      <c r="F209" s="16">
        <f>IF($L209="","",INDEX(HSI!$F$7:$F$106,$N209))</f>
        <v/>
      </c>
      <c r="G209" s="37">
        <f>IF($L209="","",IF(INT($P209/10)=0,"TBA",IFERROR(INDEX(Grids!$EE$9:$GQ$108,$N209,$O209),"-")))</f>
        <v/>
      </c>
      <c r="H209" s="38">
        <f>IF($L209="","",SUM($G$10:$G209))</f>
        <v/>
      </c>
      <c r="I209" s="39">
        <f>IF($L209="","",IF(INT(($L209-INT($L209/10000000)*10000000)/1000000)=0,"Bloomberg projection",IF(INT($P209/10)=1,"Announced","ANNOUNCED - amount TBA"))&amp;IF(($P209-INT($P209/10)*10)=1," (special)","")&amp;IF((($P209-INT($P209/10)*10)=1)*(Summary!$C$13="N")&gt;0," - excluded by your specials switch",""))</f>
        <v/>
      </c>
      <c r="J209" s="40">
        <f>IF($L209="","",IF((Override!$C$4="ON")*ISNUMBER(INDEX(Override!$G$13:$G$112,$N209))&gt;0,"stock overridden",""))</f>
        <v/>
      </c>
      <c r="L209" s="41">
        <f>IFERROR(IF(SMALL(Grids!$C$9:$BO$108,$M$7+200)&gt;=(Summary!$C$15+1)*1000000000,"",SMALL(Grids!$C$9:$BO$108,$M$7+200)),"")</f>
        <v/>
      </c>
      <c r="M209" s="41">
        <f>IF($L209="","",INT($L209/1000000000))</f>
        <v/>
      </c>
      <c r="N209" s="41">
        <f>IF($L209="","",INT(($L209-INT($L209/1000000)*1000000)/1000))</f>
        <v/>
      </c>
      <c r="O209" s="41">
        <f>IF($L209="","",$L209-INT($L209/1000)*1000)</f>
        <v/>
      </c>
      <c r="P209" s="41">
        <f>IF($L209="","",INT(($L209-INT($L209/1000000000)*1000000000)/10000000))</f>
        <v/>
      </c>
    </row>
    <row r="210">
      <c r="B210" s="36">
        <f>IF($L210="","",$M210)</f>
        <v/>
      </c>
      <c r="C210" s="16">
        <f>IF($L210="","",INDEX(HSI!$C$7:$C$106,$N210))</f>
        <v/>
      </c>
      <c r="D210" s="16">
        <f>IF($L210="","",INDEX(HSI!$D$7:$D$106,$N210))</f>
        <v/>
      </c>
      <c r="E210" s="37">
        <f>IF($L210="","",IF(INT($P210/10)=0,"TBA",IFERROR(INDEX(Grids!$BQ$9:$EC$108,$N210,$O210),"-")))</f>
        <v/>
      </c>
      <c r="F210" s="16">
        <f>IF($L210="","",INDEX(HSI!$F$7:$F$106,$N210))</f>
        <v/>
      </c>
      <c r="G210" s="37">
        <f>IF($L210="","",IF(INT($P210/10)=0,"TBA",IFERROR(INDEX(Grids!$EE$9:$GQ$108,$N210,$O210),"-")))</f>
        <v/>
      </c>
      <c r="H210" s="38">
        <f>IF($L210="","",SUM($G$10:$G210))</f>
        <v/>
      </c>
      <c r="I210" s="39">
        <f>IF($L210="","",IF(INT(($L210-INT($L210/10000000)*10000000)/1000000)=0,"Bloomberg projection",IF(INT($P210/10)=1,"Announced","ANNOUNCED - amount TBA"))&amp;IF(($P210-INT($P210/10)*10)=1," (special)","")&amp;IF((($P210-INT($P210/10)*10)=1)*(Summary!$C$13="N")&gt;0," - excluded by your specials switch",""))</f>
        <v/>
      </c>
      <c r="J210" s="40">
        <f>IF($L210="","",IF((Override!$C$4="ON")*ISNUMBER(INDEX(Override!$G$13:$G$112,$N210))&gt;0,"stock overridden",""))</f>
        <v/>
      </c>
      <c r="L210" s="41">
        <f>IFERROR(IF(SMALL(Grids!$C$9:$BO$108,$M$7+201)&gt;=(Summary!$C$15+1)*1000000000,"",SMALL(Grids!$C$9:$BO$108,$M$7+201)),"")</f>
        <v/>
      </c>
      <c r="M210" s="41">
        <f>IF($L210="","",INT($L210/1000000000))</f>
        <v/>
      </c>
      <c r="N210" s="41">
        <f>IF($L210="","",INT(($L210-INT($L210/1000000)*1000000)/1000))</f>
        <v/>
      </c>
      <c r="O210" s="41">
        <f>IF($L210="","",$L210-INT($L210/1000)*1000)</f>
        <v/>
      </c>
      <c r="P210" s="41">
        <f>IF($L210="","",INT(($L210-INT($L210/1000000000)*1000000000)/10000000))</f>
        <v/>
      </c>
    </row>
    <row r="211">
      <c r="B211" s="36">
        <f>IF($L211="","",$M211)</f>
        <v/>
      </c>
      <c r="C211" s="16">
        <f>IF($L211="","",INDEX(HSI!$C$7:$C$106,$N211))</f>
        <v/>
      </c>
      <c r="D211" s="16">
        <f>IF($L211="","",INDEX(HSI!$D$7:$D$106,$N211))</f>
        <v/>
      </c>
      <c r="E211" s="37">
        <f>IF($L211="","",IF(INT($P211/10)=0,"TBA",IFERROR(INDEX(Grids!$BQ$9:$EC$108,$N211,$O211),"-")))</f>
        <v/>
      </c>
      <c r="F211" s="16">
        <f>IF($L211="","",INDEX(HSI!$F$7:$F$106,$N211))</f>
        <v/>
      </c>
      <c r="G211" s="37">
        <f>IF($L211="","",IF(INT($P211/10)=0,"TBA",IFERROR(INDEX(Grids!$EE$9:$GQ$108,$N211,$O211),"-")))</f>
        <v/>
      </c>
      <c r="H211" s="38">
        <f>IF($L211="","",SUM($G$10:$G211))</f>
        <v/>
      </c>
      <c r="I211" s="39">
        <f>IF($L211="","",IF(INT(($L211-INT($L211/10000000)*10000000)/1000000)=0,"Bloomberg projection",IF(INT($P211/10)=1,"Announced","ANNOUNCED - amount TBA"))&amp;IF(($P211-INT($P211/10)*10)=1," (special)","")&amp;IF((($P211-INT($P211/10)*10)=1)*(Summary!$C$13="N")&gt;0," - excluded by your specials switch",""))</f>
        <v/>
      </c>
      <c r="J211" s="40">
        <f>IF($L211="","",IF((Override!$C$4="ON")*ISNUMBER(INDEX(Override!$G$13:$G$112,$N211))&gt;0,"stock overridden",""))</f>
        <v/>
      </c>
      <c r="L211" s="41">
        <f>IFERROR(IF(SMALL(Grids!$C$9:$BO$108,$M$7+202)&gt;=(Summary!$C$15+1)*1000000000,"",SMALL(Grids!$C$9:$BO$108,$M$7+202)),"")</f>
        <v/>
      </c>
      <c r="M211" s="41">
        <f>IF($L211="","",INT($L211/1000000000))</f>
        <v/>
      </c>
      <c r="N211" s="41">
        <f>IF($L211="","",INT(($L211-INT($L211/1000000)*1000000)/1000))</f>
        <v/>
      </c>
      <c r="O211" s="41">
        <f>IF($L211="","",$L211-INT($L211/1000)*1000)</f>
        <v/>
      </c>
      <c r="P211" s="41">
        <f>IF($L211="","",INT(($L211-INT($L211/1000000000)*1000000000)/10000000))</f>
        <v/>
      </c>
    </row>
    <row r="212">
      <c r="B212" s="36">
        <f>IF($L212="","",$M212)</f>
        <v/>
      </c>
      <c r="C212" s="16">
        <f>IF($L212="","",INDEX(HSI!$C$7:$C$106,$N212))</f>
        <v/>
      </c>
      <c r="D212" s="16">
        <f>IF($L212="","",INDEX(HSI!$D$7:$D$106,$N212))</f>
        <v/>
      </c>
      <c r="E212" s="37">
        <f>IF($L212="","",IF(INT($P212/10)=0,"TBA",IFERROR(INDEX(Grids!$BQ$9:$EC$108,$N212,$O212),"-")))</f>
        <v/>
      </c>
      <c r="F212" s="16">
        <f>IF($L212="","",INDEX(HSI!$F$7:$F$106,$N212))</f>
        <v/>
      </c>
      <c r="G212" s="37">
        <f>IF($L212="","",IF(INT($P212/10)=0,"TBA",IFERROR(INDEX(Grids!$EE$9:$GQ$108,$N212,$O212),"-")))</f>
        <v/>
      </c>
      <c r="H212" s="38">
        <f>IF($L212="","",SUM($G$10:$G212))</f>
        <v/>
      </c>
      <c r="I212" s="39">
        <f>IF($L212="","",IF(INT(($L212-INT($L212/10000000)*10000000)/1000000)=0,"Bloomberg projection",IF(INT($P212/10)=1,"Announced","ANNOUNCED - amount TBA"))&amp;IF(($P212-INT($P212/10)*10)=1," (special)","")&amp;IF((($P212-INT($P212/10)*10)=1)*(Summary!$C$13="N")&gt;0," - excluded by your specials switch",""))</f>
        <v/>
      </c>
      <c r="J212" s="40">
        <f>IF($L212="","",IF((Override!$C$4="ON")*ISNUMBER(INDEX(Override!$G$13:$G$112,$N212))&gt;0,"stock overridden",""))</f>
        <v/>
      </c>
      <c r="L212" s="41">
        <f>IFERROR(IF(SMALL(Grids!$C$9:$BO$108,$M$7+203)&gt;=(Summary!$C$15+1)*1000000000,"",SMALL(Grids!$C$9:$BO$108,$M$7+203)),"")</f>
        <v/>
      </c>
      <c r="M212" s="41">
        <f>IF($L212="","",INT($L212/1000000000))</f>
        <v/>
      </c>
      <c r="N212" s="41">
        <f>IF($L212="","",INT(($L212-INT($L212/1000000)*1000000)/1000))</f>
        <v/>
      </c>
      <c r="O212" s="41">
        <f>IF($L212="","",$L212-INT($L212/1000)*1000)</f>
        <v/>
      </c>
      <c r="P212" s="41">
        <f>IF($L212="","",INT(($L212-INT($L212/1000000000)*1000000000)/10000000))</f>
        <v/>
      </c>
    </row>
    <row r="213">
      <c r="B213" s="36">
        <f>IF($L213="","",$M213)</f>
        <v/>
      </c>
      <c r="C213" s="16">
        <f>IF($L213="","",INDEX(HSI!$C$7:$C$106,$N213))</f>
        <v/>
      </c>
      <c r="D213" s="16">
        <f>IF($L213="","",INDEX(HSI!$D$7:$D$106,$N213))</f>
        <v/>
      </c>
      <c r="E213" s="37">
        <f>IF($L213="","",IF(INT($P213/10)=0,"TBA",IFERROR(INDEX(Grids!$BQ$9:$EC$108,$N213,$O213),"-")))</f>
        <v/>
      </c>
      <c r="F213" s="16">
        <f>IF($L213="","",INDEX(HSI!$F$7:$F$106,$N213))</f>
        <v/>
      </c>
      <c r="G213" s="37">
        <f>IF($L213="","",IF(INT($P213/10)=0,"TBA",IFERROR(INDEX(Grids!$EE$9:$GQ$108,$N213,$O213),"-")))</f>
        <v/>
      </c>
      <c r="H213" s="38">
        <f>IF($L213="","",SUM($G$10:$G213))</f>
        <v/>
      </c>
      <c r="I213" s="39">
        <f>IF($L213="","",IF(INT(($L213-INT($L213/10000000)*10000000)/1000000)=0,"Bloomberg projection",IF(INT($P213/10)=1,"Announced","ANNOUNCED - amount TBA"))&amp;IF(($P213-INT($P213/10)*10)=1," (special)","")&amp;IF((($P213-INT($P213/10)*10)=1)*(Summary!$C$13="N")&gt;0," - excluded by your specials switch",""))</f>
        <v/>
      </c>
      <c r="J213" s="40">
        <f>IF($L213="","",IF((Override!$C$4="ON")*ISNUMBER(INDEX(Override!$G$13:$G$112,$N213))&gt;0,"stock overridden",""))</f>
        <v/>
      </c>
      <c r="L213" s="41">
        <f>IFERROR(IF(SMALL(Grids!$C$9:$BO$108,$M$7+204)&gt;=(Summary!$C$15+1)*1000000000,"",SMALL(Grids!$C$9:$BO$108,$M$7+204)),"")</f>
        <v/>
      </c>
      <c r="M213" s="41">
        <f>IF($L213="","",INT($L213/1000000000))</f>
        <v/>
      </c>
      <c r="N213" s="41">
        <f>IF($L213="","",INT(($L213-INT($L213/1000000)*1000000)/1000))</f>
        <v/>
      </c>
      <c r="O213" s="41">
        <f>IF($L213="","",$L213-INT($L213/1000)*1000)</f>
        <v/>
      </c>
      <c r="P213" s="41">
        <f>IF($L213="","",INT(($L213-INT($L213/1000000000)*1000000000)/10000000))</f>
        <v/>
      </c>
    </row>
    <row r="214">
      <c r="B214" s="36">
        <f>IF($L214="","",$M214)</f>
        <v/>
      </c>
      <c r="C214" s="16">
        <f>IF($L214="","",INDEX(HSI!$C$7:$C$106,$N214))</f>
        <v/>
      </c>
      <c r="D214" s="16">
        <f>IF($L214="","",INDEX(HSI!$D$7:$D$106,$N214))</f>
        <v/>
      </c>
      <c r="E214" s="37">
        <f>IF($L214="","",IF(INT($P214/10)=0,"TBA",IFERROR(INDEX(Grids!$BQ$9:$EC$108,$N214,$O214),"-")))</f>
        <v/>
      </c>
      <c r="F214" s="16">
        <f>IF($L214="","",INDEX(HSI!$F$7:$F$106,$N214))</f>
        <v/>
      </c>
      <c r="G214" s="37">
        <f>IF($L214="","",IF(INT($P214/10)=0,"TBA",IFERROR(INDEX(Grids!$EE$9:$GQ$108,$N214,$O214),"-")))</f>
        <v/>
      </c>
      <c r="H214" s="38">
        <f>IF($L214="","",SUM($G$10:$G214))</f>
        <v/>
      </c>
      <c r="I214" s="39">
        <f>IF($L214="","",IF(INT(($L214-INT($L214/10000000)*10000000)/1000000)=0,"Bloomberg projection",IF(INT($P214/10)=1,"Announced","ANNOUNCED - amount TBA"))&amp;IF(($P214-INT($P214/10)*10)=1," (special)","")&amp;IF((($P214-INT($P214/10)*10)=1)*(Summary!$C$13="N")&gt;0," - excluded by your specials switch",""))</f>
        <v/>
      </c>
      <c r="J214" s="40">
        <f>IF($L214="","",IF((Override!$C$4="ON")*ISNUMBER(INDEX(Override!$G$13:$G$112,$N214))&gt;0,"stock overridden",""))</f>
        <v/>
      </c>
      <c r="L214" s="41">
        <f>IFERROR(IF(SMALL(Grids!$C$9:$BO$108,$M$7+205)&gt;=(Summary!$C$15+1)*1000000000,"",SMALL(Grids!$C$9:$BO$108,$M$7+205)),"")</f>
        <v/>
      </c>
      <c r="M214" s="41">
        <f>IF($L214="","",INT($L214/1000000000))</f>
        <v/>
      </c>
      <c r="N214" s="41">
        <f>IF($L214="","",INT(($L214-INT($L214/1000000)*1000000)/1000))</f>
        <v/>
      </c>
      <c r="O214" s="41">
        <f>IF($L214="","",$L214-INT($L214/1000)*1000)</f>
        <v/>
      </c>
      <c r="P214" s="41">
        <f>IF($L214="","",INT(($L214-INT($L214/1000000000)*1000000000)/10000000))</f>
        <v/>
      </c>
    </row>
    <row r="215">
      <c r="B215" s="36">
        <f>IF($L215="","",$M215)</f>
        <v/>
      </c>
      <c r="C215" s="16">
        <f>IF($L215="","",INDEX(HSI!$C$7:$C$106,$N215))</f>
        <v/>
      </c>
      <c r="D215" s="16">
        <f>IF($L215="","",INDEX(HSI!$D$7:$D$106,$N215))</f>
        <v/>
      </c>
      <c r="E215" s="37">
        <f>IF($L215="","",IF(INT($P215/10)=0,"TBA",IFERROR(INDEX(Grids!$BQ$9:$EC$108,$N215,$O215),"-")))</f>
        <v/>
      </c>
      <c r="F215" s="16">
        <f>IF($L215="","",INDEX(HSI!$F$7:$F$106,$N215))</f>
        <v/>
      </c>
      <c r="G215" s="37">
        <f>IF($L215="","",IF(INT($P215/10)=0,"TBA",IFERROR(INDEX(Grids!$EE$9:$GQ$108,$N215,$O215),"-")))</f>
        <v/>
      </c>
      <c r="H215" s="38">
        <f>IF($L215="","",SUM($G$10:$G215))</f>
        <v/>
      </c>
      <c r="I215" s="39">
        <f>IF($L215="","",IF(INT(($L215-INT($L215/10000000)*10000000)/1000000)=0,"Bloomberg projection",IF(INT($P215/10)=1,"Announced","ANNOUNCED - amount TBA"))&amp;IF(($P215-INT($P215/10)*10)=1," (special)","")&amp;IF((($P215-INT($P215/10)*10)=1)*(Summary!$C$13="N")&gt;0," - excluded by your specials switch",""))</f>
        <v/>
      </c>
      <c r="J215" s="40">
        <f>IF($L215="","",IF((Override!$C$4="ON")*ISNUMBER(INDEX(Override!$G$13:$G$112,$N215))&gt;0,"stock overridden",""))</f>
        <v/>
      </c>
      <c r="L215" s="41">
        <f>IFERROR(IF(SMALL(Grids!$C$9:$BO$108,$M$7+206)&gt;=(Summary!$C$15+1)*1000000000,"",SMALL(Grids!$C$9:$BO$108,$M$7+206)),"")</f>
        <v/>
      </c>
      <c r="M215" s="41">
        <f>IF($L215="","",INT($L215/1000000000))</f>
        <v/>
      </c>
      <c r="N215" s="41">
        <f>IF($L215="","",INT(($L215-INT($L215/1000000)*1000000)/1000))</f>
        <v/>
      </c>
      <c r="O215" s="41">
        <f>IF($L215="","",$L215-INT($L215/1000)*1000)</f>
        <v/>
      </c>
      <c r="P215" s="41">
        <f>IF($L215="","",INT(($L215-INT($L215/1000000000)*1000000000)/10000000))</f>
        <v/>
      </c>
    </row>
    <row r="216">
      <c r="B216" s="36">
        <f>IF($L216="","",$M216)</f>
        <v/>
      </c>
      <c r="C216" s="16">
        <f>IF($L216="","",INDEX(HSI!$C$7:$C$106,$N216))</f>
        <v/>
      </c>
      <c r="D216" s="16">
        <f>IF($L216="","",INDEX(HSI!$D$7:$D$106,$N216))</f>
        <v/>
      </c>
      <c r="E216" s="37">
        <f>IF($L216="","",IF(INT($P216/10)=0,"TBA",IFERROR(INDEX(Grids!$BQ$9:$EC$108,$N216,$O216),"-")))</f>
        <v/>
      </c>
      <c r="F216" s="16">
        <f>IF($L216="","",INDEX(HSI!$F$7:$F$106,$N216))</f>
        <v/>
      </c>
      <c r="G216" s="37">
        <f>IF($L216="","",IF(INT($P216/10)=0,"TBA",IFERROR(INDEX(Grids!$EE$9:$GQ$108,$N216,$O216),"-")))</f>
        <v/>
      </c>
      <c r="H216" s="38">
        <f>IF($L216="","",SUM($G$10:$G216))</f>
        <v/>
      </c>
      <c r="I216" s="39">
        <f>IF($L216="","",IF(INT(($L216-INT($L216/10000000)*10000000)/1000000)=0,"Bloomberg projection",IF(INT($P216/10)=1,"Announced","ANNOUNCED - amount TBA"))&amp;IF(($P216-INT($P216/10)*10)=1," (special)","")&amp;IF((($P216-INT($P216/10)*10)=1)*(Summary!$C$13="N")&gt;0," - excluded by your specials switch",""))</f>
        <v/>
      </c>
      <c r="J216" s="40">
        <f>IF($L216="","",IF((Override!$C$4="ON")*ISNUMBER(INDEX(Override!$G$13:$G$112,$N216))&gt;0,"stock overridden",""))</f>
        <v/>
      </c>
      <c r="L216" s="41">
        <f>IFERROR(IF(SMALL(Grids!$C$9:$BO$108,$M$7+207)&gt;=(Summary!$C$15+1)*1000000000,"",SMALL(Grids!$C$9:$BO$108,$M$7+207)),"")</f>
        <v/>
      </c>
      <c r="M216" s="41">
        <f>IF($L216="","",INT($L216/1000000000))</f>
        <v/>
      </c>
      <c r="N216" s="41">
        <f>IF($L216="","",INT(($L216-INT($L216/1000000)*1000000)/1000))</f>
        <v/>
      </c>
      <c r="O216" s="41">
        <f>IF($L216="","",$L216-INT($L216/1000)*1000)</f>
        <v/>
      </c>
      <c r="P216" s="41">
        <f>IF($L216="","",INT(($L216-INT($L216/1000000000)*1000000000)/10000000))</f>
        <v/>
      </c>
    </row>
    <row r="217">
      <c r="B217" s="36">
        <f>IF($L217="","",$M217)</f>
        <v/>
      </c>
      <c r="C217" s="16">
        <f>IF($L217="","",INDEX(HSI!$C$7:$C$106,$N217))</f>
        <v/>
      </c>
      <c r="D217" s="16">
        <f>IF($L217="","",INDEX(HSI!$D$7:$D$106,$N217))</f>
        <v/>
      </c>
      <c r="E217" s="37">
        <f>IF($L217="","",IF(INT($P217/10)=0,"TBA",IFERROR(INDEX(Grids!$BQ$9:$EC$108,$N217,$O217),"-")))</f>
        <v/>
      </c>
      <c r="F217" s="16">
        <f>IF($L217="","",INDEX(HSI!$F$7:$F$106,$N217))</f>
        <v/>
      </c>
      <c r="G217" s="37">
        <f>IF($L217="","",IF(INT($P217/10)=0,"TBA",IFERROR(INDEX(Grids!$EE$9:$GQ$108,$N217,$O217),"-")))</f>
        <v/>
      </c>
      <c r="H217" s="38">
        <f>IF($L217="","",SUM($G$10:$G217))</f>
        <v/>
      </c>
      <c r="I217" s="39">
        <f>IF($L217="","",IF(INT(($L217-INT($L217/10000000)*10000000)/1000000)=0,"Bloomberg projection",IF(INT($P217/10)=1,"Announced","ANNOUNCED - amount TBA"))&amp;IF(($P217-INT($P217/10)*10)=1," (special)","")&amp;IF((($P217-INT($P217/10)*10)=1)*(Summary!$C$13="N")&gt;0," - excluded by your specials switch",""))</f>
        <v/>
      </c>
      <c r="J217" s="40">
        <f>IF($L217="","",IF((Override!$C$4="ON")*ISNUMBER(INDEX(Override!$G$13:$G$112,$N217))&gt;0,"stock overridden",""))</f>
        <v/>
      </c>
      <c r="L217" s="41">
        <f>IFERROR(IF(SMALL(Grids!$C$9:$BO$108,$M$7+208)&gt;=(Summary!$C$15+1)*1000000000,"",SMALL(Grids!$C$9:$BO$108,$M$7+208)),"")</f>
        <v/>
      </c>
      <c r="M217" s="41">
        <f>IF($L217="","",INT($L217/1000000000))</f>
        <v/>
      </c>
      <c r="N217" s="41">
        <f>IF($L217="","",INT(($L217-INT($L217/1000000)*1000000)/1000))</f>
        <v/>
      </c>
      <c r="O217" s="41">
        <f>IF($L217="","",$L217-INT($L217/1000)*1000)</f>
        <v/>
      </c>
      <c r="P217" s="41">
        <f>IF($L217="","",INT(($L217-INT($L217/1000000000)*1000000000)/10000000))</f>
        <v/>
      </c>
    </row>
    <row r="218">
      <c r="B218" s="36">
        <f>IF($L218="","",$M218)</f>
        <v/>
      </c>
      <c r="C218" s="16">
        <f>IF($L218="","",INDEX(HSI!$C$7:$C$106,$N218))</f>
        <v/>
      </c>
      <c r="D218" s="16">
        <f>IF($L218="","",INDEX(HSI!$D$7:$D$106,$N218))</f>
        <v/>
      </c>
      <c r="E218" s="37">
        <f>IF($L218="","",IF(INT($P218/10)=0,"TBA",IFERROR(INDEX(Grids!$BQ$9:$EC$108,$N218,$O218),"-")))</f>
        <v/>
      </c>
      <c r="F218" s="16">
        <f>IF($L218="","",INDEX(HSI!$F$7:$F$106,$N218))</f>
        <v/>
      </c>
      <c r="G218" s="37">
        <f>IF($L218="","",IF(INT($P218/10)=0,"TBA",IFERROR(INDEX(Grids!$EE$9:$GQ$108,$N218,$O218),"-")))</f>
        <v/>
      </c>
      <c r="H218" s="38">
        <f>IF($L218="","",SUM($G$10:$G218))</f>
        <v/>
      </c>
      <c r="I218" s="39">
        <f>IF($L218="","",IF(INT(($L218-INT($L218/10000000)*10000000)/1000000)=0,"Bloomberg projection",IF(INT($P218/10)=1,"Announced","ANNOUNCED - amount TBA"))&amp;IF(($P218-INT($P218/10)*10)=1," (special)","")&amp;IF((($P218-INT($P218/10)*10)=1)*(Summary!$C$13="N")&gt;0," - excluded by your specials switch",""))</f>
        <v/>
      </c>
      <c r="J218" s="40">
        <f>IF($L218="","",IF((Override!$C$4="ON")*ISNUMBER(INDEX(Override!$G$13:$G$112,$N218))&gt;0,"stock overridden",""))</f>
        <v/>
      </c>
      <c r="L218" s="41">
        <f>IFERROR(IF(SMALL(Grids!$C$9:$BO$108,$M$7+209)&gt;=(Summary!$C$15+1)*1000000000,"",SMALL(Grids!$C$9:$BO$108,$M$7+209)),"")</f>
        <v/>
      </c>
      <c r="M218" s="41">
        <f>IF($L218="","",INT($L218/1000000000))</f>
        <v/>
      </c>
      <c r="N218" s="41">
        <f>IF($L218="","",INT(($L218-INT($L218/1000000)*1000000)/1000))</f>
        <v/>
      </c>
      <c r="O218" s="41">
        <f>IF($L218="","",$L218-INT($L218/1000)*1000)</f>
        <v/>
      </c>
      <c r="P218" s="41">
        <f>IF($L218="","",INT(($L218-INT($L218/1000000000)*1000000000)/10000000))</f>
        <v/>
      </c>
    </row>
    <row r="219">
      <c r="B219" s="36">
        <f>IF($L219="","",$M219)</f>
        <v/>
      </c>
      <c r="C219" s="16">
        <f>IF($L219="","",INDEX(HSI!$C$7:$C$106,$N219))</f>
        <v/>
      </c>
      <c r="D219" s="16">
        <f>IF($L219="","",INDEX(HSI!$D$7:$D$106,$N219))</f>
        <v/>
      </c>
      <c r="E219" s="37">
        <f>IF($L219="","",IF(INT($P219/10)=0,"TBA",IFERROR(INDEX(Grids!$BQ$9:$EC$108,$N219,$O219),"-")))</f>
        <v/>
      </c>
      <c r="F219" s="16">
        <f>IF($L219="","",INDEX(HSI!$F$7:$F$106,$N219))</f>
        <v/>
      </c>
      <c r="G219" s="37">
        <f>IF($L219="","",IF(INT($P219/10)=0,"TBA",IFERROR(INDEX(Grids!$EE$9:$GQ$108,$N219,$O219),"-")))</f>
        <v/>
      </c>
      <c r="H219" s="38">
        <f>IF($L219="","",SUM($G$10:$G219))</f>
        <v/>
      </c>
      <c r="I219" s="39">
        <f>IF($L219="","",IF(INT(($L219-INT($L219/10000000)*10000000)/1000000)=0,"Bloomberg projection",IF(INT($P219/10)=1,"Announced","ANNOUNCED - amount TBA"))&amp;IF(($P219-INT($P219/10)*10)=1," (special)","")&amp;IF((($P219-INT($P219/10)*10)=1)*(Summary!$C$13="N")&gt;0," - excluded by your specials switch",""))</f>
        <v/>
      </c>
      <c r="J219" s="40">
        <f>IF($L219="","",IF((Override!$C$4="ON")*ISNUMBER(INDEX(Override!$G$13:$G$112,$N219))&gt;0,"stock overridden",""))</f>
        <v/>
      </c>
      <c r="L219" s="41">
        <f>IFERROR(IF(SMALL(Grids!$C$9:$BO$108,$M$7+210)&gt;=(Summary!$C$15+1)*1000000000,"",SMALL(Grids!$C$9:$BO$108,$M$7+210)),"")</f>
        <v/>
      </c>
      <c r="M219" s="41">
        <f>IF($L219="","",INT($L219/1000000000))</f>
        <v/>
      </c>
      <c r="N219" s="41">
        <f>IF($L219="","",INT(($L219-INT($L219/1000000)*1000000)/1000))</f>
        <v/>
      </c>
      <c r="O219" s="41">
        <f>IF($L219="","",$L219-INT($L219/1000)*1000)</f>
        <v/>
      </c>
      <c r="P219" s="41">
        <f>IF($L219="","",INT(($L219-INT($L219/1000000000)*1000000000)/10000000))</f>
        <v/>
      </c>
    </row>
    <row r="220">
      <c r="B220" s="36">
        <f>IF($L220="","",$M220)</f>
        <v/>
      </c>
      <c r="C220" s="16">
        <f>IF($L220="","",INDEX(HSI!$C$7:$C$106,$N220))</f>
        <v/>
      </c>
      <c r="D220" s="16">
        <f>IF($L220="","",INDEX(HSI!$D$7:$D$106,$N220))</f>
        <v/>
      </c>
      <c r="E220" s="37">
        <f>IF($L220="","",IF(INT($P220/10)=0,"TBA",IFERROR(INDEX(Grids!$BQ$9:$EC$108,$N220,$O220),"-")))</f>
        <v/>
      </c>
      <c r="F220" s="16">
        <f>IF($L220="","",INDEX(HSI!$F$7:$F$106,$N220))</f>
        <v/>
      </c>
      <c r="G220" s="37">
        <f>IF($L220="","",IF(INT($P220/10)=0,"TBA",IFERROR(INDEX(Grids!$EE$9:$GQ$108,$N220,$O220),"-")))</f>
        <v/>
      </c>
      <c r="H220" s="38">
        <f>IF($L220="","",SUM($G$10:$G220))</f>
        <v/>
      </c>
      <c r="I220" s="39">
        <f>IF($L220="","",IF(INT(($L220-INT($L220/10000000)*10000000)/1000000)=0,"Bloomberg projection",IF(INT($P220/10)=1,"Announced","ANNOUNCED - amount TBA"))&amp;IF(($P220-INT($P220/10)*10)=1," (special)","")&amp;IF((($P220-INT($P220/10)*10)=1)*(Summary!$C$13="N")&gt;0," - excluded by your specials switch",""))</f>
        <v/>
      </c>
      <c r="J220" s="40">
        <f>IF($L220="","",IF((Override!$C$4="ON")*ISNUMBER(INDEX(Override!$G$13:$G$112,$N220))&gt;0,"stock overridden",""))</f>
        <v/>
      </c>
      <c r="L220" s="41">
        <f>IFERROR(IF(SMALL(Grids!$C$9:$BO$108,$M$7+211)&gt;=(Summary!$C$15+1)*1000000000,"",SMALL(Grids!$C$9:$BO$108,$M$7+211)),"")</f>
        <v/>
      </c>
      <c r="M220" s="41">
        <f>IF($L220="","",INT($L220/1000000000))</f>
        <v/>
      </c>
      <c r="N220" s="41">
        <f>IF($L220="","",INT(($L220-INT($L220/1000000)*1000000)/1000))</f>
        <v/>
      </c>
      <c r="O220" s="41">
        <f>IF($L220="","",$L220-INT($L220/1000)*1000)</f>
        <v/>
      </c>
      <c r="P220" s="41">
        <f>IF($L220="","",INT(($L220-INT($L220/1000000000)*1000000000)/10000000))</f>
        <v/>
      </c>
    </row>
    <row r="221">
      <c r="B221" s="36">
        <f>IF($L221="","",$M221)</f>
        <v/>
      </c>
      <c r="C221" s="16">
        <f>IF($L221="","",INDEX(HSI!$C$7:$C$106,$N221))</f>
        <v/>
      </c>
      <c r="D221" s="16">
        <f>IF($L221="","",INDEX(HSI!$D$7:$D$106,$N221))</f>
        <v/>
      </c>
      <c r="E221" s="37">
        <f>IF($L221="","",IF(INT($P221/10)=0,"TBA",IFERROR(INDEX(Grids!$BQ$9:$EC$108,$N221,$O221),"-")))</f>
        <v/>
      </c>
      <c r="F221" s="16">
        <f>IF($L221="","",INDEX(HSI!$F$7:$F$106,$N221))</f>
        <v/>
      </c>
      <c r="G221" s="37">
        <f>IF($L221="","",IF(INT($P221/10)=0,"TBA",IFERROR(INDEX(Grids!$EE$9:$GQ$108,$N221,$O221),"-")))</f>
        <v/>
      </c>
      <c r="H221" s="38">
        <f>IF($L221="","",SUM($G$10:$G221))</f>
        <v/>
      </c>
      <c r="I221" s="39">
        <f>IF($L221="","",IF(INT(($L221-INT($L221/10000000)*10000000)/1000000)=0,"Bloomberg projection",IF(INT($P221/10)=1,"Announced","ANNOUNCED - amount TBA"))&amp;IF(($P221-INT($P221/10)*10)=1," (special)","")&amp;IF((($P221-INT($P221/10)*10)=1)*(Summary!$C$13="N")&gt;0," - excluded by your specials switch",""))</f>
        <v/>
      </c>
      <c r="J221" s="40">
        <f>IF($L221="","",IF((Override!$C$4="ON")*ISNUMBER(INDEX(Override!$G$13:$G$112,$N221))&gt;0,"stock overridden",""))</f>
        <v/>
      </c>
      <c r="L221" s="41">
        <f>IFERROR(IF(SMALL(Grids!$C$9:$BO$108,$M$7+212)&gt;=(Summary!$C$15+1)*1000000000,"",SMALL(Grids!$C$9:$BO$108,$M$7+212)),"")</f>
        <v/>
      </c>
      <c r="M221" s="41">
        <f>IF($L221="","",INT($L221/1000000000))</f>
        <v/>
      </c>
      <c r="N221" s="41">
        <f>IF($L221="","",INT(($L221-INT($L221/1000000)*1000000)/1000))</f>
        <v/>
      </c>
      <c r="O221" s="41">
        <f>IF($L221="","",$L221-INT($L221/1000)*1000)</f>
        <v/>
      </c>
      <c r="P221" s="41">
        <f>IF($L221="","",INT(($L221-INT($L221/1000000000)*1000000000)/10000000))</f>
        <v/>
      </c>
    </row>
    <row r="222">
      <c r="B222" s="36">
        <f>IF($L222="","",$M222)</f>
        <v/>
      </c>
      <c r="C222" s="16">
        <f>IF($L222="","",INDEX(HSI!$C$7:$C$106,$N222))</f>
        <v/>
      </c>
      <c r="D222" s="16">
        <f>IF($L222="","",INDEX(HSI!$D$7:$D$106,$N222))</f>
        <v/>
      </c>
      <c r="E222" s="37">
        <f>IF($L222="","",IF(INT($P222/10)=0,"TBA",IFERROR(INDEX(Grids!$BQ$9:$EC$108,$N222,$O222),"-")))</f>
        <v/>
      </c>
      <c r="F222" s="16">
        <f>IF($L222="","",INDEX(HSI!$F$7:$F$106,$N222))</f>
        <v/>
      </c>
      <c r="G222" s="37">
        <f>IF($L222="","",IF(INT($P222/10)=0,"TBA",IFERROR(INDEX(Grids!$EE$9:$GQ$108,$N222,$O222),"-")))</f>
        <v/>
      </c>
      <c r="H222" s="38">
        <f>IF($L222="","",SUM($G$10:$G222))</f>
        <v/>
      </c>
      <c r="I222" s="39">
        <f>IF($L222="","",IF(INT(($L222-INT($L222/10000000)*10000000)/1000000)=0,"Bloomberg projection",IF(INT($P222/10)=1,"Announced","ANNOUNCED - amount TBA"))&amp;IF(($P222-INT($P222/10)*10)=1," (special)","")&amp;IF((($P222-INT($P222/10)*10)=1)*(Summary!$C$13="N")&gt;0," - excluded by your specials switch",""))</f>
        <v/>
      </c>
      <c r="J222" s="40">
        <f>IF($L222="","",IF((Override!$C$4="ON")*ISNUMBER(INDEX(Override!$G$13:$G$112,$N222))&gt;0,"stock overridden",""))</f>
        <v/>
      </c>
      <c r="L222" s="41">
        <f>IFERROR(IF(SMALL(Grids!$C$9:$BO$108,$M$7+213)&gt;=(Summary!$C$15+1)*1000000000,"",SMALL(Grids!$C$9:$BO$108,$M$7+213)),"")</f>
        <v/>
      </c>
      <c r="M222" s="41">
        <f>IF($L222="","",INT($L222/1000000000))</f>
        <v/>
      </c>
      <c r="N222" s="41">
        <f>IF($L222="","",INT(($L222-INT($L222/1000000)*1000000)/1000))</f>
        <v/>
      </c>
      <c r="O222" s="41">
        <f>IF($L222="","",$L222-INT($L222/1000)*1000)</f>
        <v/>
      </c>
      <c r="P222" s="41">
        <f>IF($L222="","",INT(($L222-INT($L222/1000000000)*1000000000)/10000000))</f>
        <v/>
      </c>
    </row>
    <row r="223">
      <c r="B223" s="36">
        <f>IF($L223="","",$M223)</f>
        <v/>
      </c>
      <c r="C223" s="16">
        <f>IF($L223="","",INDEX(HSI!$C$7:$C$106,$N223))</f>
        <v/>
      </c>
      <c r="D223" s="16">
        <f>IF($L223="","",INDEX(HSI!$D$7:$D$106,$N223))</f>
        <v/>
      </c>
      <c r="E223" s="37">
        <f>IF($L223="","",IF(INT($P223/10)=0,"TBA",IFERROR(INDEX(Grids!$BQ$9:$EC$108,$N223,$O223),"-")))</f>
        <v/>
      </c>
      <c r="F223" s="16">
        <f>IF($L223="","",INDEX(HSI!$F$7:$F$106,$N223))</f>
        <v/>
      </c>
      <c r="G223" s="37">
        <f>IF($L223="","",IF(INT($P223/10)=0,"TBA",IFERROR(INDEX(Grids!$EE$9:$GQ$108,$N223,$O223),"-")))</f>
        <v/>
      </c>
      <c r="H223" s="38">
        <f>IF($L223="","",SUM($G$10:$G223))</f>
        <v/>
      </c>
      <c r="I223" s="39">
        <f>IF($L223="","",IF(INT(($L223-INT($L223/10000000)*10000000)/1000000)=0,"Bloomberg projection",IF(INT($P223/10)=1,"Announced","ANNOUNCED - amount TBA"))&amp;IF(($P223-INT($P223/10)*10)=1," (special)","")&amp;IF((($P223-INT($P223/10)*10)=1)*(Summary!$C$13="N")&gt;0," - excluded by your specials switch",""))</f>
        <v/>
      </c>
      <c r="J223" s="40">
        <f>IF($L223="","",IF((Override!$C$4="ON")*ISNUMBER(INDEX(Override!$G$13:$G$112,$N223))&gt;0,"stock overridden",""))</f>
        <v/>
      </c>
      <c r="L223" s="41">
        <f>IFERROR(IF(SMALL(Grids!$C$9:$BO$108,$M$7+214)&gt;=(Summary!$C$15+1)*1000000000,"",SMALL(Grids!$C$9:$BO$108,$M$7+214)),"")</f>
        <v/>
      </c>
      <c r="M223" s="41">
        <f>IF($L223="","",INT($L223/1000000000))</f>
        <v/>
      </c>
      <c r="N223" s="41">
        <f>IF($L223="","",INT(($L223-INT($L223/1000000)*1000000)/1000))</f>
        <v/>
      </c>
      <c r="O223" s="41">
        <f>IF($L223="","",$L223-INT($L223/1000)*1000)</f>
        <v/>
      </c>
      <c r="P223" s="41">
        <f>IF($L223="","",INT(($L223-INT($L223/1000000000)*1000000000)/10000000))</f>
        <v/>
      </c>
    </row>
    <row r="224">
      <c r="B224" s="36">
        <f>IF($L224="","",$M224)</f>
        <v/>
      </c>
      <c r="C224" s="16">
        <f>IF($L224="","",INDEX(HSI!$C$7:$C$106,$N224))</f>
        <v/>
      </c>
      <c r="D224" s="16">
        <f>IF($L224="","",INDEX(HSI!$D$7:$D$106,$N224))</f>
        <v/>
      </c>
      <c r="E224" s="37">
        <f>IF($L224="","",IF(INT($P224/10)=0,"TBA",IFERROR(INDEX(Grids!$BQ$9:$EC$108,$N224,$O224),"-")))</f>
        <v/>
      </c>
      <c r="F224" s="16">
        <f>IF($L224="","",INDEX(HSI!$F$7:$F$106,$N224))</f>
        <v/>
      </c>
      <c r="G224" s="37">
        <f>IF($L224="","",IF(INT($P224/10)=0,"TBA",IFERROR(INDEX(Grids!$EE$9:$GQ$108,$N224,$O224),"-")))</f>
        <v/>
      </c>
      <c r="H224" s="38">
        <f>IF($L224="","",SUM($G$10:$G224))</f>
        <v/>
      </c>
      <c r="I224" s="39">
        <f>IF($L224="","",IF(INT(($L224-INT($L224/10000000)*10000000)/1000000)=0,"Bloomberg projection",IF(INT($P224/10)=1,"Announced","ANNOUNCED - amount TBA"))&amp;IF(($P224-INT($P224/10)*10)=1," (special)","")&amp;IF((($P224-INT($P224/10)*10)=1)*(Summary!$C$13="N")&gt;0," - excluded by your specials switch",""))</f>
        <v/>
      </c>
      <c r="J224" s="40">
        <f>IF($L224="","",IF((Override!$C$4="ON")*ISNUMBER(INDEX(Override!$G$13:$G$112,$N224))&gt;0,"stock overridden",""))</f>
        <v/>
      </c>
      <c r="L224" s="41">
        <f>IFERROR(IF(SMALL(Grids!$C$9:$BO$108,$M$7+215)&gt;=(Summary!$C$15+1)*1000000000,"",SMALL(Grids!$C$9:$BO$108,$M$7+215)),"")</f>
        <v/>
      </c>
      <c r="M224" s="41">
        <f>IF($L224="","",INT($L224/1000000000))</f>
        <v/>
      </c>
      <c r="N224" s="41">
        <f>IF($L224="","",INT(($L224-INT($L224/1000000)*1000000)/1000))</f>
        <v/>
      </c>
      <c r="O224" s="41">
        <f>IF($L224="","",$L224-INT($L224/1000)*1000)</f>
        <v/>
      </c>
      <c r="P224" s="41">
        <f>IF($L224="","",INT(($L224-INT($L224/1000000000)*1000000000)/10000000))</f>
        <v/>
      </c>
    </row>
    <row r="225">
      <c r="B225" s="36">
        <f>IF($L225="","",$M225)</f>
        <v/>
      </c>
      <c r="C225" s="16">
        <f>IF($L225="","",INDEX(HSI!$C$7:$C$106,$N225))</f>
        <v/>
      </c>
      <c r="D225" s="16">
        <f>IF($L225="","",INDEX(HSI!$D$7:$D$106,$N225))</f>
        <v/>
      </c>
      <c r="E225" s="37">
        <f>IF($L225="","",IF(INT($P225/10)=0,"TBA",IFERROR(INDEX(Grids!$BQ$9:$EC$108,$N225,$O225),"-")))</f>
        <v/>
      </c>
      <c r="F225" s="16">
        <f>IF($L225="","",INDEX(HSI!$F$7:$F$106,$N225))</f>
        <v/>
      </c>
      <c r="G225" s="37">
        <f>IF($L225="","",IF(INT($P225/10)=0,"TBA",IFERROR(INDEX(Grids!$EE$9:$GQ$108,$N225,$O225),"-")))</f>
        <v/>
      </c>
      <c r="H225" s="38">
        <f>IF($L225="","",SUM($G$10:$G225))</f>
        <v/>
      </c>
      <c r="I225" s="39">
        <f>IF($L225="","",IF(INT(($L225-INT($L225/10000000)*10000000)/1000000)=0,"Bloomberg projection",IF(INT($P225/10)=1,"Announced","ANNOUNCED - amount TBA"))&amp;IF(($P225-INT($P225/10)*10)=1," (special)","")&amp;IF((($P225-INT($P225/10)*10)=1)*(Summary!$C$13="N")&gt;0," - excluded by your specials switch",""))</f>
        <v/>
      </c>
      <c r="J225" s="40">
        <f>IF($L225="","",IF((Override!$C$4="ON")*ISNUMBER(INDEX(Override!$G$13:$G$112,$N225))&gt;0,"stock overridden",""))</f>
        <v/>
      </c>
      <c r="L225" s="41">
        <f>IFERROR(IF(SMALL(Grids!$C$9:$BO$108,$M$7+216)&gt;=(Summary!$C$15+1)*1000000000,"",SMALL(Grids!$C$9:$BO$108,$M$7+216)),"")</f>
        <v/>
      </c>
      <c r="M225" s="41">
        <f>IF($L225="","",INT($L225/1000000000))</f>
        <v/>
      </c>
      <c r="N225" s="41">
        <f>IF($L225="","",INT(($L225-INT($L225/1000000)*1000000)/1000))</f>
        <v/>
      </c>
      <c r="O225" s="41">
        <f>IF($L225="","",$L225-INT($L225/1000)*1000)</f>
        <v/>
      </c>
      <c r="P225" s="41">
        <f>IF($L225="","",INT(($L225-INT($L225/1000000000)*1000000000)/10000000))</f>
        <v/>
      </c>
    </row>
    <row r="226">
      <c r="B226" s="36">
        <f>IF($L226="","",$M226)</f>
        <v/>
      </c>
      <c r="C226" s="16">
        <f>IF($L226="","",INDEX(HSI!$C$7:$C$106,$N226))</f>
        <v/>
      </c>
      <c r="D226" s="16">
        <f>IF($L226="","",INDEX(HSI!$D$7:$D$106,$N226))</f>
        <v/>
      </c>
      <c r="E226" s="37">
        <f>IF($L226="","",IF(INT($P226/10)=0,"TBA",IFERROR(INDEX(Grids!$BQ$9:$EC$108,$N226,$O226),"-")))</f>
        <v/>
      </c>
      <c r="F226" s="16">
        <f>IF($L226="","",INDEX(HSI!$F$7:$F$106,$N226))</f>
        <v/>
      </c>
      <c r="G226" s="37">
        <f>IF($L226="","",IF(INT($P226/10)=0,"TBA",IFERROR(INDEX(Grids!$EE$9:$GQ$108,$N226,$O226),"-")))</f>
        <v/>
      </c>
      <c r="H226" s="38">
        <f>IF($L226="","",SUM($G$10:$G226))</f>
        <v/>
      </c>
      <c r="I226" s="39">
        <f>IF($L226="","",IF(INT(($L226-INT($L226/10000000)*10000000)/1000000)=0,"Bloomberg projection",IF(INT($P226/10)=1,"Announced","ANNOUNCED - amount TBA"))&amp;IF(($P226-INT($P226/10)*10)=1," (special)","")&amp;IF((($P226-INT($P226/10)*10)=1)*(Summary!$C$13="N")&gt;0," - excluded by your specials switch",""))</f>
        <v/>
      </c>
      <c r="J226" s="40">
        <f>IF($L226="","",IF((Override!$C$4="ON")*ISNUMBER(INDEX(Override!$G$13:$G$112,$N226))&gt;0,"stock overridden",""))</f>
        <v/>
      </c>
      <c r="L226" s="41">
        <f>IFERROR(IF(SMALL(Grids!$C$9:$BO$108,$M$7+217)&gt;=(Summary!$C$15+1)*1000000000,"",SMALL(Grids!$C$9:$BO$108,$M$7+217)),"")</f>
        <v/>
      </c>
      <c r="M226" s="41">
        <f>IF($L226="","",INT($L226/1000000000))</f>
        <v/>
      </c>
      <c r="N226" s="41">
        <f>IF($L226="","",INT(($L226-INT($L226/1000000)*1000000)/1000))</f>
        <v/>
      </c>
      <c r="O226" s="41">
        <f>IF($L226="","",$L226-INT($L226/1000)*1000)</f>
        <v/>
      </c>
      <c r="P226" s="41">
        <f>IF($L226="","",INT(($L226-INT($L226/1000000000)*1000000000)/10000000))</f>
        <v/>
      </c>
    </row>
    <row r="227">
      <c r="B227" s="36">
        <f>IF($L227="","",$M227)</f>
        <v/>
      </c>
      <c r="C227" s="16">
        <f>IF($L227="","",INDEX(HSI!$C$7:$C$106,$N227))</f>
        <v/>
      </c>
      <c r="D227" s="16">
        <f>IF($L227="","",INDEX(HSI!$D$7:$D$106,$N227))</f>
        <v/>
      </c>
      <c r="E227" s="37">
        <f>IF($L227="","",IF(INT($P227/10)=0,"TBA",IFERROR(INDEX(Grids!$BQ$9:$EC$108,$N227,$O227),"-")))</f>
        <v/>
      </c>
      <c r="F227" s="16">
        <f>IF($L227="","",INDEX(HSI!$F$7:$F$106,$N227))</f>
        <v/>
      </c>
      <c r="G227" s="37">
        <f>IF($L227="","",IF(INT($P227/10)=0,"TBA",IFERROR(INDEX(Grids!$EE$9:$GQ$108,$N227,$O227),"-")))</f>
        <v/>
      </c>
      <c r="H227" s="38">
        <f>IF($L227="","",SUM($G$10:$G227))</f>
        <v/>
      </c>
      <c r="I227" s="39">
        <f>IF($L227="","",IF(INT(($L227-INT($L227/10000000)*10000000)/1000000)=0,"Bloomberg projection",IF(INT($P227/10)=1,"Announced","ANNOUNCED - amount TBA"))&amp;IF(($P227-INT($P227/10)*10)=1," (special)","")&amp;IF((($P227-INT($P227/10)*10)=1)*(Summary!$C$13="N")&gt;0," - excluded by your specials switch",""))</f>
        <v/>
      </c>
      <c r="J227" s="40">
        <f>IF($L227="","",IF((Override!$C$4="ON")*ISNUMBER(INDEX(Override!$G$13:$G$112,$N227))&gt;0,"stock overridden",""))</f>
        <v/>
      </c>
      <c r="L227" s="41">
        <f>IFERROR(IF(SMALL(Grids!$C$9:$BO$108,$M$7+218)&gt;=(Summary!$C$15+1)*1000000000,"",SMALL(Grids!$C$9:$BO$108,$M$7+218)),"")</f>
        <v/>
      </c>
      <c r="M227" s="41">
        <f>IF($L227="","",INT($L227/1000000000))</f>
        <v/>
      </c>
      <c r="N227" s="41">
        <f>IF($L227="","",INT(($L227-INT($L227/1000000)*1000000)/1000))</f>
        <v/>
      </c>
      <c r="O227" s="41">
        <f>IF($L227="","",$L227-INT($L227/1000)*1000)</f>
        <v/>
      </c>
      <c r="P227" s="41">
        <f>IF($L227="","",INT(($L227-INT($L227/1000000000)*1000000000)/10000000))</f>
        <v/>
      </c>
    </row>
    <row r="228">
      <c r="B228" s="36">
        <f>IF($L228="","",$M228)</f>
        <v/>
      </c>
      <c r="C228" s="16">
        <f>IF($L228="","",INDEX(HSI!$C$7:$C$106,$N228))</f>
        <v/>
      </c>
      <c r="D228" s="16">
        <f>IF($L228="","",INDEX(HSI!$D$7:$D$106,$N228))</f>
        <v/>
      </c>
      <c r="E228" s="37">
        <f>IF($L228="","",IF(INT($P228/10)=0,"TBA",IFERROR(INDEX(Grids!$BQ$9:$EC$108,$N228,$O228),"-")))</f>
        <v/>
      </c>
      <c r="F228" s="16">
        <f>IF($L228="","",INDEX(HSI!$F$7:$F$106,$N228))</f>
        <v/>
      </c>
      <c r="G228" s="37">
        <f>IF($L228="","",IF(INT($P228/10)=0,"TBA",IFERROR(INDEX(Grids!$EE$9:$GQ$108,$N228,$O228),"-")))</f>
        <v/>
      </c>
      <c r="H228" s="38">
        <f>IF($L228="","",SUM($G$10:$G228))</f>
        <v/>
      </c>
      <c r="I228" s="39">
        <f>IF($L228="","",IF(INT(($L228-INT($L228/10000000)*10000000)/1000000)=0,"Bloomberg projection",IF(INT($P228/10)=1,"Announced","ANNOUNCED - amount TBA"))&amp;IF(($P228-INT($P228/10)*10)=1," (special)","")&amp;IF((($P228-INT($P228/10)*10)=1)*(Summary!$C$13="N")&gt;0," - excluded by your specials switch",""))</f>
        <v/>
      </c>
      <c r="J228" s="40">
        <f>IF($L228="","",IF((Override!$C$4="ON")*ISNUMBER(INDEX(Override!$G$13:$G$112,$N228))&gt;0,"stock overridden",""))</f>
        <v/>
      </c>
      <c r="L228" s="41">
        <f>IFERROR(IF(SMALL(Grids!$C$9:$BO$108,$M$7+219)&gt;=(Summary!$C$15+1)*1000000000,"",SMALL(Grids!$C$9:$BO$108,$M$7+219)),"")</f>
        <v/>
      </c>
      <c r="M228" s="41">
        <f>IF($L228="","",INT($L228/1000000000))</f>
        <v/>
      </c>
      <c r="N228" s="41">
        <f>IF($L228="","",INT(($L228-INT($L228/1000000)*1000000)/1000))</f>
        <v/>
      </c>
      <c r="O228" s="41">
        <f>IF($L228="","",$L228-INT($L228/1000)*1000)</f>
        <v/>
      </c>
      <c r="P228" s="41">
        <f>IF($L228="","",INT(($L228-INT($L228/1000000000)*1000000000)/10000000))</f>
        <v/>
      </c>
    </row>
    <row r="229">
      <c r="B229" s="36">
        <f>IF($L229="","",$M229)</f>
        <v/>
      </c>
      <c r="C229" s="16">
        <f>IF($L229="","",INDEX(HSI!$C$7:$C$106,$N229))</f>
        <v/>
      </c>
      <c r="D229" s="16">
        <f>IF($L229="","",INDEX(HSI!$D$7:$D$106,$N229))</f>
        <v/>
      </c>
      <c r="E229" s="37">
        <f>IF($L229="","",IF(INT($P229/10)=0,"TBA",IFERROR(INDEX(Grids!$BQ$9:$EC$108,$N229,$O229),"-")))</f>
        <v/>
      </c>
      <c r="F229" s="16">
        <f>IF($L229="","",INDEX(HSI!$F$7:$F$106,$N229))</f>
        <v/>
      </c>
      <c r="G229" s="37">
        <f>IF($L229="","",IF(INT($P229/10)=0,"TBA",IFERROR(INDEX(Grids!$EE$9:$GQ$108,$N229,$O229),"-")))</f>
        <v/>
      </c>
      <c r="H229" s="38">
        <f>IF($L229="","",SUM($G$10:$G229))</f>
        <v/>
      </c>
      <c r="I229" s="39">
        <f>IF($L229="","",IF(INT(($L229-INT($L229/10000000)*10000000)/1000000)=0,"Bloomberg projection",IF(INT($P229/10)=1,"Announced","ANNOUNCED - amount TBA"))&amp;IF(($P229-INT($P229/10)*10)=1," (special)","")&amp;IF((($P229-INT($P229/10)*10)=1)*(Summary!$C$13="N")&gt;0," - excluded by your specials switch",""))</f>
        <v/>
      </c>
      <c r="J229" s="40">
        <f>IF($L229="","",IF((Override!$C$4="ON")*ISNUMBER(INDEX(Override!$G$13:$G$112,$N229))&gt;0,"stock overridden",""))</f>
        <v/>
      </c>
      <c r="L229" s="41">
        <f>IFERROR(IF(SMALL(Grids!$C$9:$BO$108,$M$7+220)&gt;=(Summary!$C$15+1)*1000000000,"",SMALL(Grids!$C$9:$BO$108,$M$7+220)),"")</f>
        <v/>
      </c>
      <c r="M229" s="41">
        <f>IF($L229="","",INT($L229/1000000000))</f>
        <v/>
      </c>
      <c r="N229" s="41">
        <f>IF($L229="","",INT(($L229-INT($L229/1000000)*1000000)/1000))</f>
        <v/>
      </c>
      <c r="O229" s="41">
        <f>IF($L229="","",$L229-INT($L229/1000)*1000)</f>
        <v/>
      </c>
      <c r="P229" s="41">
        <f>IF($L229="","",INT(($L229-INT($L229/1000000000)*1000000000)/10000000))</f>
        <v/>
      </c>
    </row>
    <row r="230">
      <c r="B230" s="36">
        <f>IF($L230="","",$M230)</f>
        <v/>
      </c>
      <c r="C230" s="16">
        <f>IF($L230="","",INDEX(HSI!$C$7:$C$106,$N230))</f>
        <v/>
      </c>
      <c r="D230" s="16">
        <f>IF($L230="","",INDEX(HSI!$D$7:$D$106,$N230))</f>
        <v/>
      </c>
      <c r="E230" s="37">
        <f>IF($L230="","",IF(INT($P230/10)=0,"TBA",IFERROR(INDEX(Grids!$BQ$9:$EC$108,$N230,$O230),"-")))</f>
        <v/>
      </c>
      <c r="F230" s="16">
        <f>IF($L230="","",INDEX(HSI!$F$7:$F$106,$N230))</f>
        <v/>
      </c>
      <c r="G230" s="37">
        <f>IF($L230="","",IF(INT($P230/10)=0,"TBA",IFERROR(INDEX(Grids!$EE$9:$GQ$108,$N230,$O230),"-")))</f>
        <v/>
      </c>
      <c r="H230" s="38">
        <f>IF($L230="","",SUM($G$10:$G230))</f>
        <v/>
      </c>
      <c r="I230" s="39">
        <f>IF($L230="","",IF(INT(($L230-INT($L230/10000000)*10000000)/1000000)=0,"Bloomberg projection",IF(INT($P230/10)=1,"Announced","ANNOUNCED - amount TBA"))&amp;IF(($P230-INT($P230/10)*10)=1," (special)","")&amp;IF((($P230-INT($P230/10)*10)=1)*(Summary!$C$13="N")&gt;0," - excluded by your specials switch",""))</f>
        <v/>
      </c>
      <c r="J230" s="40">
        <f>IF($L230="","",IF((Override!$C$4="ON")*ISNUMBER(INDEX(Override!$G$13:$G$112,$N230))&gt;0,"stock overridden",""))</f>
        <v/>
      </c>
      <c r="L230" s="41">
        <f>IFERROR(IF(SMALL(Grids!$C$9:$BO$108,$M$7+221)&gt;=(Summary!$C$15+1)*1000000000,"",SMALL(Grids!$C$9:$BO$108,$M$7+221)),"")</f>
        <v/>
      </c>
      <c r="M230" s="41">
        <f>IF($L230="","",INT($L230/1000000000))</f>
        <v/>
      </c>
      <c r="N230" s="41">
        <f>IF($L230="","",INT(($L230-INT($L230/1000000)*1000000)/1000))</f>
        <v/>
      </c>
      <c r="O230" s="41">
        <f>IF($L230="","",$L230-INT($L230/1000)*1000)</f>
        <v/>
      </c>
      <c r="P230" s="41">
        <f>IF($L230="","",INT(($L230-INT($L230/1000000000)*1000000000)/10000000))</f>
        <v/>
      </c>
    </row>
    <row r="231">
      <c r="B231" s="36">
        <f>IF($L231="","",$M231)</f>
        <v/>
      </c>
      <c r="C231" s="16">
        <f>IF($L231="","",INDEX(HSI!$C$7:$C$106,$N231))</f>
        <v/>
      </c>
      <c r="D231" s="16">
        <f>IF($L231="","",INDEX(HSI!$D$7:$D$106,$N231))</f>
        <v/>
      </c>
      <c r="E231" s="37">
        <f>IF($L231="","",IF(INT($P231/10)=0,"TBA",IFERROR(INDEX(Grids!$BQ$9:$EC$108,$N231,$O231),"-")))</f>
        <v/>
      </c>
      <c r="F231" s="16">
        <f>IF($L231="","",INDEX(HSI!$F$7:$F$106,$N231))</f>
        <v/>
      </c>
      <c r="G231" s="37">
        <f>IF($L231="","",IF(INT($P231/10)=0,"TBA",IFERROR(INDEX(Grids!$EE$9:$GQ$108,$N231,$O231),"-")))</f>
        <v/>
      </c>
      <c r="H231" s="38">
        <f>IF($L231="","",SUM($G$10:$G231))</f>
        <v/>
      </c>
      <c r="I231" s="39">
        <f>IF($L231="","",IF(INT(($L231-INT($L231/10000000)*10000000)/1000000)=0,"Bloomberg projection",IF(INT($P231/10)=1,"Announced","ANNOUNCED - amount TBA"))&amp;IF(($P231-INT($P231/10)*10)=1," (special)","")&amp;IF((($P231-INT($P231/10)*10)=1)*(Summary!$C$13="N")&gt;0," - excluded by your specials switch",""))</f>
        <v/>
      </c>
      <c r="J231" s="40">
        <f>IF($L231="","",IF((Override!$C$4="ON")*ISNUMBER(INDEX(Override!$G$13:$G$112,$N231))&gt;0,"stock overridden",""))</f>
        <v/>
      </c>
      <c r="L231" s="41">
        <f>IFERROR(IF(SMALL(Grids!$C$9:$BO$108,$M$7+222)&gt;=(Summary!$C$15+1)*1000000000,"",SMALL(Grids!$C$9:$BO$108,$M$7+222)),"")</f>
        <v/>
      </c>
      <c r="M231" s="41">
        <f>IF($L231="","",INT($L231/1000000000))</f>
        <v/>
      </c>
      <c r="N231" s="41">
        <f>IF($L231="","",INT(($L231-INT($L231/1000000)*1000000)/1000))</f>
        <v/>
      </c>
      <c r="O231" s="41">
        <f>IF($L231="","",$L231-INT($L231/1000)*1000)</f>
        <v/>
      </c>
      <c r="P231" s="41">
        <f>IF($L231="","",INT(($L231-INT($L231/1000000000)*1000000000)/10000000))</f>
        <v/>
      </c>
    </row>
    <row r="232">
      <c r="B232" s="36">
        <f>IF($L232="","",$M232)</f>
        <v/>
      </c>
      <c r="C232" s="16">
        <f>IF($L232="","",INDEX(HSI!$C$7:$C$106,$N232))</f>
        <v/>
      </c>
      <c r="D232" s="16">
        <f>IF($L232="","",INDEX(HSI!$D$7:$D$106,$N232))</f>
        <v/>
      </c>
      <c r="E232" s="37">
        <f>IF($L232="","",IF(INT($P232/10)=0,"TBA",IFERROR(INDEX(Grids!$BQ$9:$EC$108,$N232,$O232),"-")))</f>
        <v/>
      </c>
      <c r="F232" s="16">
        <f>IF($L232="","",INDEX(HSI!$F$7:$F$106,$N232))</f>
        <v/>
      </c>
      <c r="G232" s="37">
        <f>IF($L232="","",IF(INT($P232/10)=0,"TBA",IFERROR(INDEX(Grids!$EE$9:$GQ$108,$N232,$O232),"-")))</f>
        <v/>
      </c>
      <c r="H232" s="38">
        <f>IF($L232="","",SUM($G$10:$G232))</f>
        <v/>
      </c>
      <c r="I232" s="39">
        <f>IF($L232="","",IF(INT(($L232-INT($L232/10000000)*10000000)/1000000)=0,"Bloomberg projection",IF(INT($P232/10)=1,"Announced","ANNOUNCED - amount TBA"))&amp;IF(($P232-INT($P232/10)*10)=1," (special)","")&amp;IF((($P232-INT($P232/10)*10)=1)*(Summary!$C$13="N")&gt;0," - excluded by your specials switch",""))</f>
        <v/>
      </c>
      <c r="J232" s="40">
        <f>IF($L232="","",IF((Override!$C$4="ON")*ISNUMBER(INDEX(Override!$G$13:$G$112,$N232))&gt;0,"stock overridden",""))</f>
        <v/>
      </c>
      <c r="L232" s="41">
        <f>IFERROR(IF(SMALL(Grids!$C$9:$BO$108,$M$7+223)&gt;=(Summary!$C$15+1)*1000000000,"",SMALL(Grids!$C$9:$BO$108,$M$7+223)),"")</f>
        <v/>
      </c>
      <c r="M232" s="41">
        <f>IF($L232="","",INT($L232/1000000000))</f>
        <v/>
      </c>
      <c r="N232" s="41">
        <f>IF($L232="","",INT(($L232-INT($L232/1000000)*1000000)/1000))</f>
        <v/>
      </c>
      <c r="O232" s="41">
        <f>IF($L232="","",$L232-INT($L232/1000)*1000)</f>
        <v/>
      </c>
      <c r="P232" s="41">
        <f>IF($L232="","",INT(($L232-INT($L232/1000000000)*1000000000)/10000000))</f>
        <v/>
      </c>
    </row>
    <row r="233">
      <c r="B233" s="36">
        <f>IF($L233="","",$M233)</f>
        <v/>
      </c>
      <c r="C233" s="16">
        <f>IF($L233="","",INDEX(HSI!$C$7:$C$106,$N233))</f>
        <v/>
      </c>
      <c r="D233" s="16">
        <f>IF($L233="","",INDEX(HSI!$D$7:$D$106,$N233))</f>
        <v/>
      </c>
      <c r="E233" s="37">
        <f>IF($L233="","",IF(INT($P233/10)=0,"TBA",IFERROR(INDEX(Grids!$BQ$9:$EC$108,$N233,$O233),"-")))</f>
        <v/>
      </c>
      <c r="F233" s="16">
        <f>IF($L233="","",INDEX(HSI!$F$7:$F$106,$N233))</f>
        <v/>
      </c>
      <c r="G233" s="37">
        <f>IF($L233="","",IF(INT($P233/10)=0,"TBA",IFERROR(INDEX(Grids!$EE$9:$GQ$108,$N233,$O233),"-")))</f>
        <v/>
      </c>
      <c r="H233" s="38">
        <f>IF($L233="","",SUM($G$10:$G233))</f>
        <v/>
      </c>
      <c r="I233" s="39">
        <f>IF($L233="","",IF(INT(($L233-INT($L233/10000000)*10000000)/1000000)=0,"Bloomberg projection",IF(INT($P233/10)=1,"Announced","ANNOUNCED - amount TBA"))&amp;IF(($P233-INT($P233/10)*10)=1," (special)","")&amp;IF((($P233-INT($P233/10)*10)=1)*(Summary!$C$13="N")&gt;0," - excluded by your specials switch",""))</f>
        <v/>
      </c>
      <c r="J233" s="40">
        <f>IF($L233="","",IF((Override!$C$4="ON")*ISNUMBER(INDEX(Override!$G$13:$G$112,$N233))&gt;0,"stock overridden",""))</f>
        <v/>
      </c>
      <c r="L233" s="41">
        <f>IFERROR(IF(SMALL(Grids!$C$9:$BO$108,$M$7+224)&gt;=(Summary!$C$15+1)*1000000000,"",SMALL(Grids!$C$9:$BO$108,$M$7+224)),"")</f>
        <v/>
      </c>
      <c r="M233" s="41">
        <f>IF($L233="","",INT($L233/1000000000))</f>
        <v/>
      </c>
      <c r="N233" s="41">
        <f>IF($L233="","",INT(($L233-INT($L233/1000000)*1000000)/1000))</f>
        <v/>
      </c>
      <c r="O233" s="41">
        <f>IF($L233="","",$L233-INT($L233/1000)*1000)</f>
        <v/>
      </c>
      <c r="P233" s="41">
        <f>IF($L233="","",INT(($L233-INT($L233/1000000000)*1000000000)/10000000))</f>
        <v/>
      </c>
    </row>
    <row r="234">
      <c r="B234" s="36">
        <f>IF($L234="","",$M234)</f>
        <v/>
      </c>
      <c r="C234" s="16">
        <f>IF($L234="","",INDEX(HSI!$C$7:$C$106,$N234))</f>
        <v/>
      </c>
      <c r="D234" s="16">
        <f>IF($L234="","",INDEX(HSI!$D$7:$D$106,$N234))</f>
        <v/>
      </c>
      <c r="E234" s="37">
        <f>IF($L234="","",IF(INT($P234/10)=0,"TBA",IFERROR(INDEX(Grids!$BQ$9:$EC$108,$N234,$O234),"-")))</f>
        <v/>
      </c>
      <c r="F234" s="16">
        <f>IF($L234="","",INDEX(HSI!$F$7:$F$106,$N234))</f>
        <v/>
      </c>
      <c r="G234" s="37">
        <f>IF($L234="","",IF(INT($P234/10)=0,"TBA",IFERROR(INDEX(Grids!$EE$9:$GQ$108,$N234,$O234),"-")))</f>
        <v/>
      </c>
      <c r="H234" s="38">
        <f>IF($L234="","",SUM($G$10:$G234))</f>
        <v/>
      </c>
      <c r="I234" s="39">
        <f>IF($L234="","",IF(INT(($L234-INT($L234/10000000)*10000000)/1000000)=0,"Bloomberg projection",IF(INT($P234/10)=1,"Announced","ANNOUNCED - amount TBA"))&amp;IF(($P234-INT($P234/10)*10)=1," (special)","")&amp;IF((($P234-INT($P234/10)*10)=1)*(Summary!$C$13="N")&gt;0," - excluded by your specials switch",""))</f>
        <v/>
      </c>
      <c r="J234" s="40">
        <f>IF($L234="","",IF((Override!$C$4="ON")*ISNUMBER(INDEX(Override!$G$13:$G$112,$N234))&gt;0,"stock overridden",""))</f>
        <v/>
      </c>
      <c r="L234" s="41">
        <f>IFERROR(IF(SMALL(Grids!$C$9:$BO$108,$M$7+225)&gt;=(Summary!$C$15+1)*1000000000,"",SMALL(Grids!$C$9:$BO$108,$M$7+225)),"")</f>
        <v/>
      </c>
      <c r="M234" s="41">
        <f>IF($L234="","",INT($L234/1000000000))</f>
        <v/>
      </c>
      <c r="N234" s="41">
        <f>IF($L234="","",INT(($L234-INT($L234/1000000)*1000000)/1000))</f>
        <v/>
      </c>
      <c r="O234" s="41">
        <f>IF($L234="","",$L234-INT($L234/1000)*1000)</f>
        <v/>
      </c>
      <c r="P234" s="41">
        <f>IF($L234="","",INT(($L234-INT($L234/1000000000)*1000000000)/10000000))</f>
        <v/>
      </c>
    </row>
    <row r="235">
      <c r="B235" s="36">
        <f>IF($L235="","",$M235)</f>
        <v/>
      </c>
      <c r="C235" s="16">
        <f>IF($L235="","",INDEX(HSI!$C$7:$C$106,$N235))</f>
        <v/>
      </c>
      <c r="D235" s="16">
        <f>IF($L235="","",INDEX(HSI!$D$7:$D$106,$N235))</f>
        <v/>
      </c>
      <c r="E235" s="37">
        <f>IF($L235="","",IF(INT($P235/10)=0,"TBA",IFERROR(INDEX(Grids!$BQ$9:$EC$108,$N235,$O235),"-")))</f>
        <v/>
      </c>
      <c r="F235" s="16">
        <f>IF($L235="","",INDEX(HSI!$F$7:$F$106,$N235))</f>
        <v/>
      </c>
      <c r="G235" s="37">
        <f>IF($L235="","",IF(INT($P235/10)=0,"TBA",IFERROR(INDEX(Grids!$EE$9:$GQ$108,$N235,$O235),"-")))</f>
        <v/>
      </c>
      <c r="H235" s="38">
        <f>IF($L235="","",SUM($G$10:$G235))</f>
        <v/>
      </c>
      <c r="I235" s="39">
        <f>IF($L235="","",IF(INT(($L235-INT($L235/10000000)*10000000)/1000000)=0,"Bloomberg projection",IF(INT($P235/10)=1,"Announced","ANNOUNCED - amount TBA"))&amp;IF(($P235-INT($P235/10)*10)=1," (special)","")&amp;IF((($P235-INT($P235/10)*10)=1)*(Summary!$C$13="N")&gt;0," - excluded by your specials switch",""))</f>
        <v/>
      </c>
      <c r="J235" s="40">
        <f>IF($L235="","",IF((Override!$C$4="ON")*ISNUMBER(INDEX(Override!$G$13:$G$112,$N235))&gt;0,"stock overridden",""))</f>
        <v/>
      </c>
      <c r="L235" s="41">
        <f>IFERROR(IF(SMALL(Grids!$C$9:$BO$108,$M$7+226)&gt;=(Summary!$C$15+1)*1000000000,"",SMALL(Grids!$C$9:$BO$108,$M$7+226)),"")</f>
        <v/>
      </c>
      <c r="M235" s="41">
        <f>IF($L235="","",INT($L235/1000000000))</f>
        <v/>
      </c>
      <c r="N235" s="41">
        <f>IF($L235="","",INT(($L235-INT($L235/1000000)*1000000)/1000))</f>
        <v/>
      </c>
      <c r="O235" s="41">
        <f>IF($L235="","",$L235-INT($L235/1000)*1000)</f>
        <v/>
      </c>
      <c r="P235" s="41">
        <f>IF($L235="","",INT(($L235-INT($L235/1000000000)*1000000000)/10000000))</f>
        <v/>
      </c>
    </row>
    <row r="236">
      <c r="B236" s="36">
        <f>IF($L236="","",$M236)</f>
        <v/>
      </c>
      <c r="C236" s="16">
        <f>IF($L236="","",INDEX(HSI!$C$7:$C$106,$N236))</f>
        <v/>
      </c>
      <c r="D236" s="16">
        <f>IF($L236="","",INDEX(HSI!$D$7:$D$106,$N236))</f>
        <v/>
      </c>
      <c r="E236" s="37">
        <f>IF($L236="","",IF(INT($P236/10)=0,"TBA",IFERROR(INDEX(Grids!$BQ$9:$EC$108,$N236,$O236),"-")))</f>
        <v/>
      </c>
      <c r="F236" s="16">
        <f>IF($L236="","",INDEX(HSI!$F$7:$F$106,$N236))</f>
        <v/>
      </c>
      <c r="G236" s="37">
        <f>IF($L236="","",IF(INT($P236/10)=0,"TBA",IFERROR(INDEX(Grids!$EE$9:$GQ$108,$N236,$O236),"-")))</f>
        <v/>
      </c>
      <c r="H236" s="38">
        <f>IF($L236="","",SUM($G$10:$G236))</f>
        <v/>
      </c>
      <c r="I236" s="39">
        <f>IF($L236="","",IF(INT(($L236-INT($L236/10000000)*10000000)/1000000)=0,"Bloomberg projection",IF(INT($P236/10)=1,"Announced","ANNOUNCED - amount TBA"))&amp;IF(($P236-INT($P236/10)*10)=1," (special)","")&amp;IF((($P236-INT($P236/10)*10)=1)*(Summary!$C$13="N")&gt;0," - excluded by your specials switch",""))</f>
        <v/>
      </c>
      <c r="J236" s="40">
        <f>IF($L236="","",IF((Override!$C$4="ON")*ISNUMBER(INDEX(Override!$G$13:$G$112,$N236))&gt;0,"stock overridden",""))</f>
        <v/>
      </c>
      <c r="L236" s="41">
        <f>IFERROR(IF(SMALL(Grids!$C$9:$BO$108,$M$7+227)&gt;=(Summary!$C$15+1)*1000000000,"",SMALL(Grids!$C$9:$BO$108,$M$7+227)),"")</f>
        <v/>
      </c>
      <c r="M236" s="41">
        <f>IF($L236="","",INT($L236/1000000000))</f>
        <v/>
      </c>
      <c r="N236" s="41">
        <f>IF($L236="","",INT(($L236-INT($L236/1000000)*1000000)/1000))</f>
        <v/>
      </c>
      <c r="O236" s="41">
        <f>IF($L236="","",$L236-INT($L236/1000)*1000)</f>
        <v/>
      </c>
      <c r="P236" s="41">
        <f>IF($L236="","",INT(($L236-INT($L236/1000000000)*1000000000)/10000000))</f>
        <v/>
      </c>
    </row>
    <row r="237">
      <c r="B237" s="36">
        <f>IF($L237="","",$M237)</f>
        <v/>
      </c>
      <c r="C237" s="16">
        <f>IF($L237="","",INDEX(HSI!$C$7:$C$106,$N237))</f>
        <v/>
      </c>
      <c r="D237" s="16">
        <f>IF($L237="","",INDEX(HSI!$D$7:$D$106,$N237))</f>
        <v/>
      </c>
      <c r="E237" s="37">
        <f>IF($L237="","",IF(INT($P237/10)=0,"TBA",IFERROR(INDEX(Grids!$BQ$9:$EC$108,$N237,$O237),"-")))</f>
        <v/>
      </c>
      <c r="F237" s="16">
        <f>IF($L237="","",INDEX(HSI!$F$7:$F$106,$N237))</f>
        <v/>
      </c>
      <c r="G237" s="37">
        <f>IF($L237="","",IF(INT($P237/10)=0,"TBA",IFERROR(INDEX(Grids!$EE$9:$GQ$108,$N237,$O237),"-")))</f>
        <v/>
      </c>
      <c r="H237" s="38">
        <f>IF($L237="","",SUM($G$10:$G237))</f>
        <v/>
      </c>
      <c r="I237" s="39">
        <f>IF($L237="","",IF(INT(($L237-INT($L237/10000000)*10000000)/1000000)=0,"Bloomberg projection",IF(INT($P237/10)=1,"Announced","ANNOUNCED - amount TBA"))&amp;IF(($P237-INT($P237/10)*10)=1," (special)","")&amp;IF((($P237-INT($P237/10)*10)=1)*(Summary!$C$13="N")&gt;0," - excluded by your specials switch",""))</f>
        <v/>
      </c>
      <c r="J237" s="40">
        <f>IF($L237="","",IF((Override!$C$4="ON")*ISNUMBER(INDEX(Override!$G$13:$G$112,$N237))&gt;0,"stock overridden",""))</f>
        <v/>
      </c>
      <c r="L237" s="41">
        <f>IFERROR(IF(SMALL(Grids!$C$9:$BO$108,$M$7+228)&gt;=(Summary!$C$15+1)*1000000000,"",SMALL(Grids!$C$9:$BO$108,$M$7+228)),"")</f>
        <v/>
      </c>
      <c r="M237" s="41">
        <f>IF($L237="","",INT($L237/1000000000))</f>
        <v/>
      </c>
      <c r="N237" s="41">
        <f>IF($L237="","",INT(($L237-INT($L237/1000000)*1000000)/1000))</f>
        <v/>
      </c>
      <c r="O237" s="41">
        <f>IF($L237="","",$L237-INT($L237/1000)*1000)</f>
        <v/>
      </c>
      <c r="P237" s="41">
        <f>IF($L237="","",INT(($L237-INT($L237/1000000000)*1000000000)/10000000))</f>
        <v/>
      </c>
    </row>
    <row r="238">
      <c r="B238" s="36">
        <f>IF($L238="","",$M238)</f>
        <v/>
      </c>
      <c r="C238" s="16">
        <f>IF($L238="","",INDEX(HSI!$C$7:$C$106,$N238))</f>
        <v/>
      </c>
      <c r="D238" s="16">
        <f>IF($L238="","",INDEX(HSI!$D$7:$D$106,$N238))</f>
        <v/>
      </c>
      <c r="E238" s="37">
        <f>IF($L238="","",IF(INT($P238/10)=0,"TBA",IFERROR(INDEX(Grids!$BQ$9:$EC$108,$N238,$O238),"-")))</f>
        <v/>
      </c>
      <c r="F238" s="16">
        <f>IF($L238="","",INDEX(HSI!$F$7:$F$106,$N238))</f>
        <v/>
      </c>
      <c r="G238" s="37">
        <f>IF($L238="","",IF(INT($P238/10)=0,"TBA",IFERROR(INDEX(Grids!$EE$9:$GQ$108,$N238,$O238),"-")))</f>
        <v/>
      </c>
      <c r="H238" s="38">
        <f>IF($L238="","",SUM($G$10:$G238))</f>
        <v/>
      </c>
      <c r="I238" s="39">
        <f>IF($L238="","",IF(INT(($L238-INT($L238/10000000)*10000000)/1000000)=0,"Bloomberg projection",IF(INT($P238/10)=1,"Announced","ANNOUNCED - amount TBA"))&amp;IF(($P238-INT($P238/10)*10)=1," (special)","")&amp;IF((($P238-INT($P238/10)*10)=1)*(Summary!$C$13="N")&gt;0," - excluded by your specials switch",""))</f>
        <v/>
      </c>
      <c r="J238" s="40">
        <f>IF($L238="","",IF((Override!$C$4="ON")*ISNUMBER(INDEX(Override!$G$13:$G$112,$N238))&gt;0,"stock overridden",""))</f>
        <v/>
      </c>
      <c r="L238" s="41">
        <f>IFERROR(IF(SMALL(Grids!$C$9:$BO$108,$M$7+229)&gt;=(Summary!$C$15+1)*1000000000,"",SMALL(Grids!$C$9:$BO$108,$M$7+229)),"")</f>
        <v/>
      </c>
      <c r="M238" s="41">
        <f>IF($L238="","",INT($L238/1000000000))</f>
        <v/>
      </c>
      <c r="N238" s="41">
        <f>IF($L238="","",INT(($L238-INT($L238/1000000)*1000000)/1000))</f>
        <v/>
      </c>
      <c r="O238" s="41">
        <f>IF($L238="","",$L238-INT($L238/1000)*1000)</f>
        <v/>
      </c>
      <c r="P238" s="41">
        <f>IF($L238="","",INT(($L238-INT($L238/1000000000)*1000000000)/10000000))</f>
        <v/>
      </c>
    </row>
    <row r="239">
      <c r="B239" s="36">
        <f>IF($L239="","",$M239)</f>
        <v/>
      </c>
      <c r="C239" s="16">
        <f>IF($L239="","",INDEX(HSI!$C$7:$C$106,$N239))</f>
        <v/>
      </c>
      <c r="D239" s="16">
        <f>IF($L239="","",INDEX(HSI!$D$7:$D$106,$N239))</f>
        <v/>
      </c>
      <c r="E239" s="37">
        <f>IF($L239="","",IF(INT($P239/10)=0,"TBA",IFERROR(INDEX(Grids!$BQ$9:$EC$108,$N239,$O239),"-")))</f>
        <v/>
      </c>
      <c r="F239" s="16">
        <f>IF($L239="","",INDEX(HSI!$F$7:$F$106,$N239))</f>
        <v/>
      </c>
      <c r="G239" s="37">
        <f>IF($L239="","",IF(INT($P239/10)=0,"TBA",IFERROR(INDEX(Grids!$EE$9:$GQ$108,$N239,$O239),"-")))</f>
        <v/>
      </c>
      <c r="H239" s="38">
        <f>IF($L239="","",SUM($G$10:$G239))</f>
        <v/>
      </c>
      <c r="I239" s="39">
        <f>IF($L239="","",IF(INT(($L239-INT($L239/10000000)*10000000)/1000000)=0,"Bloomberg projection",IF(INT($P239/10)=1,"Announced","ANNOUNCED - amount TBA"))&amp;IF(($P239-INT($P239/10)*10)=1," (special)","")&amp;IF((($P239-INT($P239/10)*10)=1)*(Summary!$C$13="N")&gt;0," - excluded by your specials switch",""))</f>
        <v/>
      </c>
      <c r="J239" s="40">
        <f>IF($L239="","",IF((Override!$C$4="ON")*ISNUMBER(INDEX(Override!$G$13:$G$112,$N239))&gt;0,"stock overridden",""))</f>
        <v/>
      </c>
      <c r="L239" s="41">
        <f>IFERROR(IF(SMALL(Grids!$C$9:$BO$108,$M$7+230)&gt;=(Summary!$C$15+1)*1000000000,"",SMALL(Grids!$C$9:$BO$108,$M$7+230)),"")</f>
        <v/>
      </c>
      <c r="M239" s="41">
        <f>IF($L239="","",INT($L239/1000000000))</f>
        <v/>
      </c>
      <c r="N239" s="41">
        <f>IF($L239="","",INT(($L239-INT($L239/1000000)*1000000)/1000))</f>
        <v/>
      </c>
      <c r="O239" s="41">
        <f>IF($L239="","",$L239-INT($L239/1000)*1000)</f>
        <v/>
      </c>
      <c r="P239" s="41">
        <f>IF($L239="","",INT(($L239-INT($L239/1000000000)*1000000000)/10000000))</f>
        <v/>
      </c>
    </row>
    <row r="240">
      <c r="B240" s="36">
        <f>IF($L240="","",$M240)</f>
        <v/>
      </c>
      <c r="C240" s="16">
        <f>IF($L240="","",INDEX(HSI!$C$7:$C$106,$N240))</f>
        <v/>
      </c>
      <c r="D240" s="16">
        <f>IF($L240="","",INDEX(HSI!$D$7:$D$106,$N240))</f>
        <v/>
      </c>
      <c r="E240" s="37">
        <f>IF($L240="","",IF(INT($P240/10)=0,"TBA",IFERROR(INDEX(Grids!$BQ$9:$EC$108,$N240,$O240),"-")))</f>
        <v/>
      </c>
      <c r="F240" s="16">
        <f>IF($L240="","",INDEX(HSI!$F$7:$F$106,$N240))</f>
        <v/>
      </c>
      <c r="G240" s="37">
        <f>IF($L240="","",IF(INT($P240/10)=0,"TBA",IFERROR(INDEX(Grids!$EE$9:$GQ$108,$N240,$O240),"-")))</f>
        <v/>
      </c>
      <c r="H240" s="38">
        <f>IF($L240="","",SUM($G$10:$G240))</f>
        <v/>
      </c>
      <c r="I240" s="39">
        <f>IF($L240="","",IF(INT(($L240-INT($L240/10000000)*10000000)/1000000)=0,"Bloomberg projection",IF(INT($P240/10)=1,"Announced","ANNOUNCED - amount TBA"))&amp;IF(($P240-INT($P240/10)*10)=1," (special)","")&amp;IF((($P240-INT($P240/10)*10)=1)*(Summary!$C$13="N")&gt;0," - excluded by your specials switch",""))</f>
        <v/>
      </c>
      <c r="J240" s="40">
        <f>IF($L240="","",IF((Override!$C$4="ON")*ISNUMBER(INDEX(Override!$G$13:$G$112,$N240))&gt;0,"stock overridden",""))</f>
        <v/>
      </c>
      <c r="L240" s="41">
        <f>IFERROR(IF(SMALL(Grids!$C$9:$BO$108,$M$7+231)&gt;=(Summary!$C$15+1)*1000000000,"",SMALL(Grids!$C$9:$BO$108,$M$7+231)),"")</f>
        <v/>
      </c>
      <c r="M240" s="41">
        <f>IF($L240="","",INT($L240/1000000000))</f>
        <v/>
      </c>
      <c r="N240" s="41">
        <f>IF($L240="","",INT(($L240-INT($L240/1000000)*1000000)/1000))</f>
        <v/>
      </c>
      <c r="O240" s="41">
        <f>IF($L240="","",$L240-INT($L240/1000)*1000)</f>
        <v/>
      </c>
      <c r="P240" s="41">
        <f>IF($L240="","",INT(($L240-INT($L240/1000000000)*1000000000)/10000000))</f>
        <v/>
      </c>
    </row>
    <row r="241">
      <c r="B241" s="36">
        <f>IF($L241="","",$M241)</f>
        <v/>
      </c>
      <c r="C241" s="16">
        <f>IF($L241="","",INDEX(HSI!$C$7:$C$106,$N241))</f>
        <v/>
      </c>
      <c r="D241" s="16">
        <f>IF($L241="","",INDEX(HSI!$D$7:$D$106,$N241))</f>
        <v/>
      </c>
      <c r="E241" s="37">
        <f>IF($L241="","",IF(INT($P241/10)=0,"TBA",IFERROR(INDEX(Grids!$BQ$9:$EC$108,$N241,$O241),"-")))</f>
        <v/>
      </c>
      <c r="F241" s="16">
        <f>IF($L241="","",INDEX(HSI!$F$7:$F$106,$N241))</f>
        <v/>
      </c>
      <c r="G241" s="37">
        <f>IF($L241="","",IF(INT($P241/10)=0,"TBA",IFERROR(INDEX(Grids!$EE$9:$GQ$108,$N241,$O241),"-")))</f>
        <v/>
      </c>
      <c r="H241" s="38">
        <f>IF($L241="","",SUM($G$10:$G241))</f>
        <v/>
      </c>
      <c r="I241" s="39">
        <f>IF($L241="","",IF(INT(($L241-INT($L241/10000000)*10000000)/1000000)=0,"Bloomberg projection",IF(INT($P241/10)=1,"Announced","ANNOUNCED - amount TBA"))&amp;IF(($P241-INT($P241/10)*10)=1," (special)","")&amp;IF((($P241-INT($P241/10)*10)=1)*(Summary!$C$13="N")&gt;0," - excluded by your specials switch",""))</f>
        <v/>
      </c>
      <c r="J241" s="40">
        <f>IF($L241="","",IF((Override!$C$4="ON")*ISNUMBER(INDEX(Override!$G$13:$G$112,$N241))&gt;0,"stock overridden",""))</f>
        <v/>
      </c>
      <c r="L241" s="41">
        <f>IFERROR(IF(SMALL(Grids!$C$9:$BO$108,$M$7+232)&gt;=(Summary!$C$15+1)*1000000000,"",SMALL(Grids!$C$9:$BO$108,$M$7+232)),"")</f>
        <v/>
      </c>
      <c r="M241" s="41">
        <f>IF($L241="","",INT($L241/1000000000))</f>
        <v/>
      </c>
      <c r="N241" s="41">
        <f>IF($L241="","",INT(($L241-INT($L241/1000000)*1000000)/1000))</f>
        <v/>
      </c>
      <c r="O241" s="41">
        <f>IF($L241="","",$L241-INT($L241/1000)*1000)</f>
        <v/>
      </c>
      <c r="P241" s="41">
        <f>IF($L241="","",INT(($L241-INT($L241/1000000000)*1000000000)/10000000))</f>
        <v/>
      </c>
    </row>
    <row r="242">
      <c r="B242" s="36">
        <f>IF($L242="","",$M242)</f>
        <v/>
      </c>
      <c r="C242" s="16">
        <f>IF($L242="","",INDEX(HSI!$C$7:$C$106,$N242))</f>
        <v/>
      </c>
      <c r="D242" s="16">
        <f>IF($L242="","",INDEX(HSI!$D$7:$D$106,$N242))</f>
        <v/>
      </c>
      <c r="E242" s="37">
        <f>IF($L242="","",IF(INT($P242/10)=0,"TBA",IFERROR(INDEX(Grids!$BQ$9:$EC$108,$N242,$O242),"-")))</f>
        <v/>
      </c>
      <c r="F242" s="16">
        <f>IF($L242="","",INDEX(HSI!$F$7:$F$106,$N242))</f>
        <v/>
      </c>
      <c r="G242" s="37">
        <f>IF($L242="","",IF(INT($P242/10)=0,"TBA",IFERROR(INDEX(Grids!$EE$9:$GQ$108,$N242,$O242),"-")))</f>
        <v/>
      </c>
      <c r="H242" s="38">
        <f>IF($L242="","",SUM($G$10:$G242))</f>
        <v/>
      </c>
      <c r="I242" s="39">
        <f>IF($L242="","",IF(INT(($L242-INT($L242/10000000)*10000000)/1000000)=0,"Bloomberg projection",IF(INT($P242/10)=1,"Announced","ANNOUNCED - amount TBA"))&amp;IF(($P242-INT($P242/10)*10)=1," (special)","")&amp;IF((($P242-INT($P242/10)*10)=1)*(Summary!$C$13="N")&gt;0," - excluded by your specials switch",""))</f>
        <v/>
      </c>
      <c r="J242" s="40">
        <f>IF($L242="","",IF((Override!$C$4="ON")*ISNUMBER(INDEX(Override!$G$13:$G$112,$N242))&gt;0,"stock overridden",""))</f>
        <v/>
      </c>
      <c r="L242" s="41">
        <f>IFERROR(IF(SMALL(Grids!$C$9:$BO$108,$M$7+233)&gt;=(Summary!$C$15+1)*1000000000,"",SMALL(Grids!$C$9:$BO$108,$M$7+233)),"")</f>
        <v/>
      </c>
      <c r="M242" s="41">
        <f>IF($L242="","",INT($L242/1000000000))</f>
        <v/>
      </c>
      <c r="N242" s="41">
        <f>IF($L242="","",INT(($L242-INT($L242/1000000)*1000000)/1000))</f>
        <v/>
      </c>
      <c r="O242" s="41">
        <f>IF($L242="","",$L242-INT($L242/1000)*1000)</f>
        <v/>
      </c>
      <c r="P242" s="41">
        <f>IF($L242="","",INT(($L242-INT($L242/1000000000)*1000000000)/10000000))</f>
        <v/>
      </c>
    </row>
    <row r="243">
      <c r="B243" s="36">
        <f>IF($L243="","",$M243)</f>
        <v/>
      </c>
      <c r="C243" s="16">
        <f>IF($L243="","",INDEX(HSI!$C$7:$C$106,$N243))</f>
        <v/>
      </c>
      <c r="D243" s="16">
        <f>IF($L243="","",INDEX(HSI!$D$7:$D$106,$N243))</f>
        <v/>
      </c>
      <c r="E243" s="37">
        <f>IF($L243="","",IF(INT($P243/10)=0,"TBA",IFERROR(INDEX(Grids!$BQ$9:$EC$108,$N243,$O243),"-")))</f>
        <v/>
      </c>
      <c r="F243" s="16">
        <f>IF($L243="","",INDEX(HSI!$F$7:$F$106,$N243))</f>
        <v/>
      </c>
      <c r="G243" s="37">
        <f>IF($L243="","",IF(INT($P243/10)=0,"TBA",IFERROR(INDEX(Grids!$EE$9:$GQ$108,$N243,$O243),"-")))</f>
        <v/>
      </c>
      <c r="H243" s="38">
        <f>IF($L243="","",SUM($G$10:$G243))</f>
        <v/>
      </c>
      <c r="I243" s="39">
        <f>IF($L243="","",IF(INT(($L243-INT($L243/10000000)*10000000)/1000000)=0,"Bloomberg projection",IF(INT($P243/10)=1,"Announced","ANNOUNCED - amount TBA"))&amp;IF(($P243-INT($P243/10)*10)=1," (special)","")&amp;IF((($P243-INT($P243/10)*10)=1)*(Summary!$C$13="N")&gt;0," - excluded by your specials switch",""))</f>
        <v/>
      </c>
      <c r="J243" s="40">
        <f>IF($L243="","",IF((Override!$C$4="ON")*ISNUMBER(INDEX(Override!$G$13:$G$112,$N243))&gt;0,"stock overridden",""))</f>
        <v/>
      </c>
      <c r="L243" s="41">
        <f>IFERROR(IF(SMALL(Grids!$C$9:$BO$108,$M$7+234)&gt;=(Summary!$C$15+1)*1000000000,"",SMALL(Grids!$C$9:$BO$108,$M$7+234)),"")</f>
        <v/>
      </c>
      <c r="M243" s="41">
        <f>IF($L243="","",INT($L243/1000000000))</f>
        <v/>
      </c>
      <c r="N243" s="41">
        <f>IF($L243="","",INT(($L243-INT($L243/1000000)*1000000)/1000))</f>
        <v/>
      </c>
      <c r="O243" s="41">
        <f>IF($L243="","",$L243-INT($L243/1000)*1000)</f>
        <v/>
      </c>
      <c r="P243" s="41">
        <f>IF($L243="","",INT(($L243-INT($L243/1000000000)*1000000000)/10000000))</f>
        <v/>
      </c>
    </row>
    <row r="244">
      <c r="B244" s="36">
        <f>IF($L244="","",$M244)</f>
        <v/>
      </c>
      <c r="C244" s="16">
        <f>IF($L244="","",INDEX(HSI!$C$7:$C$106,$N244))</f>
        <v/>
      </c>
      <c r="D244" s="16">
        <f>IF($L244="","",INDEX(HSI!$D$7:$D$106,$N244))</f>
        <v/>
      </c>
      <c r="E244" s="37">
        <f>IF($L244="","",IF(INT($P244/10)=0,"TBA",IFERROR(INDEX(Grids!$BQ$9:$EC$108,$N244,$O244),"-")))</f>
        <v/>
      </c>
      <c r="F244" s="16">
        <f>IF($L244="","",INDEX(HSI!$F$7:$F$106,$N244))</f>
        <v/>
      </c>
      <c r="G244" s="37">
        <f>IF($L244="","",IF(INT($P244/10)=0,"TBA",IFERROR(INDEX(Grids!$EE$9:$GQ$108,$N244,$O244),"-")))</f>
        <v/>
      </c>
      <c r="H244" s="38">
        <f>IF($L244="","",SUM($G$10:$G244))</f>
        <v/>
      </c>
      <c r="I244" s="39">
        <f>IF($L244="","",IF(INT(($L244-INT($L244/10000000)*10000000)/1000000)=0,"Bloomberg projection",IF(INT($P244/10)=1,"Announced","ANNOUNCED - amount TBA"))&amp;IF(($P244-INT($P244/10)*10)=1," (special)","")&amp;IF((($P244-INT($P244/10)*10)=1)*(Summary!$C$13="N")&gt;0," - excluded by your specials switch",""))</f>
        <v/>
      </c>
      <c r="J244" s="40">
        <f>IF($L244="","",IF((Override!$C$4="ON")*ISNUMBER(INDEX(Override!$G$13:$G$112,$N244))&gt;0,"stock overridden",""))</f>
        <v/>
      </c>
      <c r="L244" s="41">
        <f>IFERROR(IF(SMALL(Grids!$C$9:$BO$108,$M$7+235)&gt;=(Summary!$C$15+1)*1000000000,"",SMALL(Grids!$C$9:$BO$108,$M$7+235)),"")</f>
        <v/>
      </c>
      <c r="M244" s="41">
        <f>IF($L244="","",INT($L244/1000000000))</f>
        <v/>
      </c>
      <c r="N244" s="41">
        <f>IF($L244="","",INT(($L244-INT($L244/1000000)*1000000)/1000))</f>
        <v/>
      </c>
      <c r="O244" s="41">
        <f>IF($L244="","",$L244-INT($L244/1000)*1000)</f>
        <v/>
      </c>
      <c r="P244" s="41">
        <f>IF($L244="","",INT(($L244-INT($L244/1000000000)*1000000000)/10000000))</f>
        <v/>
      </c>
    </row>
    <row r="245">
      <c r="B245" s="36">
        <f>IF($L245="","",$M245)</f>
        <v/>
      </c>
      <c r="C245" s="16">
        <f>IF($L245="","",INDEX(HSI!$C$7:$C$106,$N245))</f>
        <v/>
      </c>
      <c r="D245" s="16">
        <f>IF($L245="","",INDEX(HSI!$D$7:$D$106,$N245))</f>
        <v/>
      </c>
      <c r="E245" s="37">
        <f>IF($L245="","",IF(INT($P245/10)=0,"TBA",IFERROR(INDEX(Grids!$BQ$9:$EC$108,$N245,$O245),"-")))</f>
        <v/>
      </c>
      <c r="F245" s="16">
        <f>IF($L245="","",INDEX(HSI!$F$7:$F$106,$N245))</f>
        <v/>
      </c>
      <c r="G245" s="37">
        <f>IF($L245="","",IF(INT($P245/10)=0,"TBA",IFERROR(INDEX(Grids!$EE$9:$GQ$108,$N245,$O245),"-")))</f>
        <v/>
      </c>
      <c r="H245" s="38">
        <f>IF($L245="","",SUM($G$10:$G245))</f>
        <v/>
      </c>
      <c r="I245" s="39">
        <f>IF($L245="","",IF(INT(($L245-INT($L245/10000000)*10000000)/1000000)=0,"Bloomberg projection",IF(INT($P245/10)=1,"Announced","ANNOUNCED - amount TBA"))&amp;IF(($P245-INT($P245/10)*10)=1," (special)","")&amp;IF((($P245-INT($P245/10)*10)=1)*(Summary!$C$13="N")&gt;0," - excluded by your specials switch",""))</f>
        <v/>
      </c>
      <c r="J245" s="40">
        <f>IF($L245="","",IF((Override!$C$4="ON")*ISNUMBER(INDEX(Override!$G$13:$G$112,$N245))&gt;0,"stock overridden",""))</f>
        <v/>
      </c>
      <c r="L245" s="41">
        <f>IFERROR(IF(SMALL(Grids!$C$9:$BO$108,$M$7+236)&gt;=(Summary!$C$15+1)*1000000000,"",SMALL(Grids!$C$9:$BO$108,$M$7+236)),"")</f>
        <v/>
      </c>
      <c r="M245" s="41">
        <f>IF($L245="","",INT($L245/1000000000))</f>
        <v/>
      </c>
      <c r="N245" s="41">
        <f>IF($L245="","",INT(($L245-INT($L245/1000000)*1000000)/1000))</f>
        <v/>
      </c>
      <c r="O245" s="41">
        <f>IF($L245="","",$L245-INT($L245/1000)*1000)</f>
        <v/>
      </c>
      <c r="P245" s="41">
        <f>IF($L245="","",INT(($L245-INT($L245/1000000000)*1000000000)/10000000))</f>
        <v/>
      </c>
    </row>
    <row r="246">
      <c r="B246" s="36">
        <f>IF($L246="","",$M246)</f>
        <v/>
      </c>
      <c r="C246" s="16">
        <f>IF($L246="","",INDEX(HSI!$C$7:$C$106,$N246))</f>
        <v/>
      </c>
      <c r="D246" s="16">
        <f>IF($L246="","",INDEX(HSI!$D$7:$D$106,$N246))</f>
        <v/>
      </c>
      <c r="E246" s="37">
        <f>IF($L246="","",IF(INT($P246/10)=0,"TBA",IFERROR(INDEX(Grids!$BQ$9:$EC$108,$N246,$O246),"-")))</f>
        <v/>
      </c>
      <c r="F246" s="16">
        <f>IF($L246="","",INDEX(HSI!$F$7:$F$106,$N246))</f>
        <v/>
      </c>
      <c r="G246" s="37">
        <f>IF($L246="","",IF(INT($P246/10)=0,"TBA",IFERROR(INDEX(Grids!$EE$9:$GQ$108,$N246,$O246),"-")))</f>
        <v/>
      </c>
      <c r="H246" s="38">
        <f>IF($L246="","",SUM($G$10:$G246))</f>
        <v/>
      </c>
      <c r="I246" s="39">
        <f>IF($L246="","",IF(INT(($L246-INT($L246/10000000)*10000000)/1000000)=0,"Bloomberg projection",IF(INT($P246/10)=1,"Announced","ANNOUNCED - amount TBA"))&amp;IF(($P246-INT($P246/10)*10)=1," (special)","")&amp;IF((($P246-INT($P246/10)*10)=1)*(Summary!$C$13="N")&gt;0," - excluded by your specials switch",""))</f>
        <v/>
      </c>
      <c r="J246" s="40">
        <f>IF($L246="","",IF((Override!$C$4="ON")*ISNUMBER(INDEX(Override!$G$13:$G$112,$N246))&gt;0,"stock overridden",""))</f>
        <v/>
      </c>
      <c r="L246" s="41">
        <f>IFERROR(IF(SMALL(Grids!$C$9:$BO$108,$M$7+237)&gt;=(Summary!$C$15+1)*1000000000,"",SMALL(Grids!$C$9:$BO$108,$M$7+237)),"")</f>
        <v/>
      </c>
      <c r="M246" s="41">
        <f>IF($L246="","",INT($L246/1000000000))</f>
        <v/>
      </c>
      <c r="N246" s="41">
        <f>IF($L246="","",INT(($L246-INT($L246/1000000)*1000000)/1000))</f>
        <v/>
      </c>
      <c r="O246" s="41">
        <f>IF($L246="","",$L246-INT($L246/1000)*1000)</f>
        <v/>
      </c>
      <c r="P246" s="41">
        <f>IF($L246="","",INT(($L246-INT($L246/1000000000)*1000000000)/10000000))</f>
        <v/>
      </c>
    </row>
    <row r="247">
      <c r="B247" s="36">
        <f>IF($L247="","",$M247)</f>
        <v/>
      </c>
      <c r="C247" s="16">
        <f>IF($L247="","",INDEX(HSI!$C$7:$C$106,$N247))</f>
        <v/>
      </c>
      <c r="D247" s="16">
        <f>IF($L247="","",INDEX(HSI!$D$7:$D$106,$N247))</f>
        <v/>
      </c>
      <c r="E247" s="37">
        <f>IF($L247="","",IF(INT($P247/10)=0,"TBA",IFERROR(INDEX(Grids!$BQ$9:$EC$108,$N247,$O247),"-")))</f>
        <v/>
      </c>
      <c r="F247" s="16">
        <f>IF($L247="","",INDEX(HSI!$F$7:$F$106,$N247))</f>
        <v/>
      </c>
      <c r="G247" s="37">
        <f>IF($L247="","",IF(INT($P247/10)=0,"TBA",IFERROR(INDEX(Grids!$EE$9:$GQ$108,$N247,$O247),"-")))</f>
        <v/>
      </c>
      <c r="H247" s="38">
        <f>IF($L247="","",SUM($G$10:$G247))</f>
        <v/>
      </c>
      <c r="I247" s="39">
        <f>IF($L247="","",IF(INT(($L247-INT($L247/10000000)*10000000)/1000000)=0,"Bloomberg projection",IF(INT($P247/10)=1,"Announced","ANNOUNCED - amount TBA"))&amp;IF(($P247-INT($P247/10)*10)=1," (special)","")&amp;IF((($P247-INT($P247/10)*10)=1)*(Summary!$C$13="N")&gt;0," - excluded by your specials switch",""))</f>
        <v/>
      </c>
      <c r="J247" s="40">
        <f>IF($L247="","",IF((Override!$C$4="ON")*ISNUMBER(INDEX(Override!$G$13:$G$112,$N247))&gt;0,"stock overridden",""))</f>
        <v/>
      </c>
      <c r="L247" s="41">
        <f>IFERROR(IF(SMALL(Grids!$C$9:$BO$108,$M$7+238)&gt;=(Summary!$C$15+1)*1000000000,"",SMALL(Grids!$C$9:$BO$108,$M$7+238)),"")</f>
        <v/>
      </c>
      <c r="M247" s="41">
        <f>IF($L247="","",INT($L247/1000000000))</f>
        <v/>
      </c>
      <c r="N247" s="41">
        <f>IF($L247="","",INT(($L247-INT($L247/1000000)*1000000)/1000))</f>
        <v/>
      </c>
      <c r="O247" s="41">
        <f>IF($L247="","",$L247-INT($L247/1000)*1000)</f>
        <v/>
      </c>
      <c r="P247" s="41">
        <f>IF($L247="","",INT(($L247-INT($L247/1000000000)*1000000000)/10000000))</f>
        <v/>
      </c>
    </row>
    <row r="248">
      <c r="B248" s="36">
        <f>IF($L248="","",$M248)</f>
        <v/>
      </c>
      <c r="C248" s="16">
        <f>IF($L248="","",INDEX(HSI!$C$7:$C$106,$N248))</f>
        <v/>
      </c>
      <c r="D248" s="16">
        <f>IF($L248="","",INDEX(HSI!$D$7:$D$106,$N248))</f>
        <v/>
      </c>
      <c r="E248" s="37">
        <f>IF($L248="","",IF(INT($P248/10)=0,"TBA",IFERROR(INDEX(Grids!$BQ$9:$EC$108,$N248,$O248),"-")))</f>
        <v/>
      </c>
      <c r="F248" s="16">
        <f>IF($L248="","",INDEX(HSI!$F$7:$F$106,$N248))</f>
        <v/>
      </c>
      <c r="G248" s="37">
        <f>IF($L248="","",IF(INT($P248/10)=0,"TBA",IFERROR(INDEX(Grids!$EE$9:$GQ$108,$N248,$O248),"-")))</f>
        <v/>
      </c>
      <c r="H248" s="38">
        <f>IF($L248="","",SUM($G$10:$G248))</f>
        <v/>
      </c>
      <c r="I248" s="39">
        <f>IF($L248="","",IF(INT(($L248-INT($L248/10000000)*10000000)/1000000)=0,"Bloomberg projection",IF(INT($P248/10)=1,"Announced","ANNOUNCED - amount TBA"))&amp;IF(($P248-INT($P248/10)*10)=1," (special)","")&amp;IF((($P248-INT($P248/10)*10)=1)*(Summary!$C$13="N")&gt;0," - excluded by your specials switch",""))</f>
        <v/>
      </c>
      <c r="J248" s="40">
        <f>IF($L248="","",IF((Override!$C$4="ON")*ISNUMBER(INDEX(Override!$G$13:$G$112,$N248))&gt;0,"stock overridden",""))</f>
        <v/>
      </c>
      <c r="L248" s="41">
        <f>IFERROR(IF(SMALL(Grids!$C$9:$BO$108,$M$7+239)&gt;=(Summary!$C$15+1)*1000000000,"",SMALL(Grids!$C$9:$BO$108,$M$7+239)),"")</f>
        <v/>
      </c>
      <c r="M248" s="41">
        <f>IF($L248="","",INT($L248/1000000000))</f>
        <v/>
      </c>
      <c r="N248" s="41">
        <f>IF($L248="","",INT(($L248-INT($L248/1000000)*1000000)/1000))</f>
        <v/>
      </c>
      <c r="O248" s="41">
        <f>IF($L248="","",$L248-INT($L248/1000)*1000)</f>
        <v/>
      </c>
      <c r="P248" s="41">
        <f>IF($L248="","",INT(($L248-INT($L248/1000000000)*1000000000)/10000000))</f>
        <v/>
      </c>
    </row>
    <row r="249">
      <c r="B249" s="36">
        <f>IF($L249="","",$M249)</f>
        <v/>
      </c>
      <c r="C249" s="16">
        <f>IF($L249="","",INDEX(HSI!$C$7:$C$106,$N249))</f>
        <v/>
      </c>
      <c r="D249" s="16">
        <f>IF($L249="","",INDEX(HSI!$D$7:$D$106,$N249))</f>
        <v/>
      </c>
      <c r="E249" s="37">
        <f>IF($L249="","",IF(INT($P249/10)=0,"TBA",IFERROR(INDEX(Grids!$BQ$9:$EC$108,$N249,$O249),"-")))</f>
        <v/>
      </c>
      <c r="F249" s="16">
        <f>IF($L249="","",INDEX(HSI!$F$7:$F$106,$N249))</f>
        <v/>
      </c>
      <c r="G249" s="37">
        <f>IF($L249="","",IF(INT($P249/10)=0,"TBA",IFERROR(INDEX(Grids!$EE$9:$GQ$108,$N249,$O249),"-")))</f>
        <v/>
      </c>
      <c r="H249" s="38">
        <f>IF($L249="","",SUM($G$10:$G249))</f>
        <v/>
      </c>
      <c r="I249" s="39">
        <f>IF($L249="","",IF(INT(($L249-INT($L249/10000000)*10000000)/1000000)=0,"Bloomberg projection",IF(INT($P249/10)=1,"Announced","ANNOUNCED - amount TBA"))&amp;IF(($P249-INT($P249/10)*10)=1," (special)","")&amp;IF((($P249-INT($P249/10)*10)=1)*(Summary!$C$13="N")&gt;0," - excluded by your specials switch",""))</f>
        <v/>
      </c>
      <c r="J249" s="40">
        <f>IF($L249="","",IF((Override!$C$4="ON")*ISNUMBER(INDEX(Override!$G$13:$G$112,$N249))&gt;0,"stock overridden",""))</f>
        <v/>
      </c>
      <c r="L249" s="41">
        <f>IFERROR(IF(SMALL(Grids!$C$9:$BO$108,$M$7+240)&gt;=(Summary!$C$15+1)*1000000000,"",SMALL(Grids!$C$9:$BO$108,$M$7+240)),"")</f>
        <v/>
      </c>
      <c r="M249" s="41">
        <f>IF($L249="","",INT($L249/1000000000))</f>
        <v/>
      </c>
      <c r="N249" s="41">
        <f>IF($L249="","",INT(($L249-INT($L249/1000000)*1000000)/1000))</f>
        <v/>
      </c>
      <c r="O249" s="41">
        <f>IF($L249="","",$L249-INT($L249/1000)*1000)</f>
        <v/>
      </c>
      <c r="P249" s="41">
        <f>IF($L249="","",INT(($L249-INT($L249/1000000000)*1000000000)/10000000))</f>
        <v/>
      </c>
    </row>
    <row r="250">
      <c r="B250" s="36">
        <f>IF($L250="","",$M250)</f>
        <v/>
      </c>
      <c r="C250" s="16">
        <f>IF($L250="","",INDEX(HSI!$C$7:$C$106,$N250))</f>
        <v/>
      </c>
      <c r="D250" s="16">
        <f>IF($L250="","",INDEX(HSI!$D$7:$D$106,$N250))</f>
        <v/>
      </c>
      <c r="E250" s="37">
        <f>IF($L250="","",IF(INT($P250/10)=0,"TBA",IFERROR(INDEX(Grids!$BQ$9:$EC$108,$N250,$O250),"-")))</f>
        <v/>
      </c>
      <c r="F250" s="16">
        <f>IF($L250="","",INDEX(HSI!$F$7:$F$106,$N250))</f>
        <v/>
      </c>
      <c r="G250" s="37">
        <f>IF($L250="","",IF(INT($P250/10)=0,"TBA",IFERROR(INDEX(Grids!$EE$9:$GQ$108,$N250,$O250),"-")))</f>
        <v/>
      </c>
      <c r="H250" s="38">
        <f>IF($L250="","",SUM($G$10:$G250))</f>
        <v/>
      </c>
      <c r="I250" s="39">
        <f>IF($L250="","",IF(INT(($L250-INT($L250/10000000)*10000000)/1000000)=0,"Bloomberg projection",IF(INT($P250/10)=1,"Announced","ANNOUNCED - amount TBA"))&amp;IF(($P250-INT($P250/10)*10)=1," (special)","")&amp;IF((($P250-INT($P250/10)*10)=1)*(Summary!$C$13="N")&gt;0," - excluded by your specials switch",""))</f>
        <v/>
      </c>
      <c r="J250" s="40">
        <f>IF($L250="","",IF((Override!$C$4="ON")*ISNUMBER(INDEX(Override!$G$13:$G$112,$N250))&gt;0,"stock overridden",""))</f>
        <v/>
      </c>
      <c r="L250" s="41">
        <f>IFERROR(IF(SMALL(Grids!$C$9:$BO$108,$M$7+241)&gt;=(Summary!$C$15+1)*1000000000,"",SMALL(Grids!$C$9:$BO$108,$M$7+241)),"")</f>
        <v/>
      </c>
      <c r="M250" s="41">
        <f>IF($L250="","",INT($L250/1000000000))</f>
        <v/>
      </c>
      <c r="N250" s="41">
        <f>IF($L250="","",INT(($L250-INT($L250/1000000)*1000000)/1000))</f>
        <v/>
      </c>
      <c r="O250" s="41">
        <f>IF($L250="","",$L250-INT($L250/1000)*1000)</f>
        <v/>
      </c>
      <c r="P250" s="41">
        <f>IF($L250="","",INT(($L250-INT($L250/1000000000)*1000000000)/10000000))</f>
        <v/>
      </c>
    </row>
    <row r="251">
      <c r="B251" s="36">
        <f>IF($L251="","",$M251)</f>
        <v/>
      </c>
      <c r="C251" s="16">
        <f>IF($L251="","",INDEX(HSI!$C$7:$C$106,$N251))</f>
        <v/>
      </c>
      <c r="D251" s="16">
        <f>IF($L251="","",INDEX(HSI!$D$7:$D$106,$N251))</f>
        <v/>
      </c>
      <c r="E251" s="37">
        <f>IF($L251="","",IF(INT($P251/10)=0,"TBA",IFERROR(INDEX(Grids!$BQ$9:$EC$108,$N251,$O251),"-")))</f>
        <v/>
      </c>
      <c r="F251" s="16">
        <f>IF($L251="","",INDEX(HSI!$F$7:$F$106,$N251))</f>
        <v/>
      </c>
      <c r="G251" s="37">
        <f>IF($L251="","",IF(INT($P251/10)=0,"TBA",IFERROR(INDEX(Grids!$EE$9:$GQ$108,$N251,$O251),"-")))</f>
        <v/>
      </c>
      <c r="H251" s="38">
        <f>IF($L251="","",SUM($G$10:$G251))</f>
        <v/>
      </c>
      <c r="I251" s="39">
        <f>IF($L251="","",IF(INT(($L251-INT($L251/10000000)*10000000)/1000000)=0,"Bloomberg projection",IF(INT($P251/10)=1,"Announced","ANNOUNCED - amount TBA"))&amp;IF(($P251-INT($P251/10)*10)=1," (special)","")&amp;IF((($P251-INT($P251/10)*10)=1)*(Summary!$C$13="N")&gt;0," - excluded by your specials switch",""))</f>
        <v/>
      </c>
      <c r="J251" s="40">
        <f>IF($L251="","",IF((Override!$C$4="ON")*ISNUMBER(INDEX(Override!$G$13:$G$112,$N251))&gt;0,"stock overridden",""))</f>
        <v/>
      </c>
      <c r="L251" s="41">
        <f>IFERROR(IF(SMALL(Grids!$C$9:$BO$108,$M$7+242)&gt;=(Summary!$C$15+1)*1000000000,"",SMALL(Grids!$C$9:$BO$108,$M$7+242)),"")</f>
        <v/>
      </c>
      <c r="M251" s="41">
        <f>IF($L251="","",INT($L251/1000000000))</f>
        <v/>
      </c>
      <c r="N251" s="41">
        <f>IF($L251="","",INT(($L251-INT($L251/1000000)*1000000)/1000))</f>
        <v/>
      </c>
      <c r="O251" s="41">
        <f>IF($L251="","",$L251-INT($L251/1000)*1000)</f>
        <v/>
      </c>
      <c r="P251" s="41">
        <f>IF($L251="","",INT(($L251-INT($L251/1000000000)*1000000000)/10000000))</f>
        <v/>
      </c>
    </row>
    <row r="252">
      <c r="B252" s="36">
        <f>IF($L252="","",$M252)</f>
        <v/>
      </c>
      <c r="C252" s="16">
        <f>IF($L252="","",INDEX(HSI!$C$7:$C$106,$N252))</f>
        <v/>
      </c>
      <c r="D252" s="16">
        <f>IF($L252="","",INDEX(HSI!$D$7:$D$106,$N252))</f>
        <v/>
      </c>
      <c r="E252" s="37">
        <f>IF($L252="","",IF(INT($P252/10)=0,"TBA",IFERROR(INDEX(Grids!$BQ$9:$EC$108,$N252,$O252),"-")))</f>
        <v/>
      </c>
      <c r="F252" s="16">
        <f>IF($L252="","",INDEX(HSI!$F$7:$F$106,$N252))</f>
        <v/>
      </c>
      <c r="G252" s="37">
        <f>IF($L252="","",IF(INT($P252/10)=0,"TBA",IFERROR(INDEX(Grids!$EE$9:$GQ$108,$N252,$O252),"-")))</f>
        <v/>
      </c>
      <c r="H252" s="38">
        <f>IF($L252="","",SUM($G$10:$G252))</f>
        <v/>
      </c>
      <c r="I252" s="39">
        <f>IF($L252="","",IF(INT(($L252-INT($L252/10000000)*10000000)/1000000)=0,"Bloomberg projection",IF(INT($P252/10)=1,"Announced","ANNOUNCED - amount TBA"))&amp;IF(($P252-INT($P252/10)*10)=1," (special)","")&amp;IF((($P252-INT($P252/10)*10)=1)*(Summary!$C$13="N")&gt;0," - excluded by your specials switch",""))</f>
        <v/>
      </c>
      <c r="J252" s="40">
        <f>IF($L252="","",IF((Override!$C$4="ON")*ISNUMBER(INDEX(Override!$G$13:$G$112,$N252))&gt;0,"stock overridden",""))</f>
        <v/>
      </c>
      <c r="L252" s="41">
        <f>IFERROR(IF(SMALL(Grids!$C$9:$BO$108,$M$7+243)&gt;=(Summary!$C$15+1)*1000000000,"",SMALL(Grids!$C$9:$BO$108,$M$7+243)),"")</f>
        <v/>
      </c>
      <c r="M252" s="41">
        <f>IF($L252="","",INT($L252/1000000000))</f>
        <v/>
      </c>
      <c r="N252" s="41">
        <f>IF($L252="","",INT(($L252-INT($L252/1000000)*1000000)/1000))</f>
        <v/>
      </c>
      <c r="O252" s="41">
        <f>IF($L252="","",$L252-INT($L252/1000)*1000)</f>
        <v/>
      </c>
      <c r="P252" s="41">
        <f>IF($L252="","",INT(($L252-INT($L252/1000000000)*1000000000)/10000000))</f>
        <v/>
      </c>
    </row>
    <row r="253">
      <c r="B253" s="36">
        <f>IF($L253="","",$M253)</f>
        <v/>
      </c>
      <c r="C253" s="16">
        <f>IF($L253="","",INDEX(HSI!$C$7:$C$106,$N253))</f>
        <v/>
      </c>
      <c r="D253" s="16">
        <f>IF($L253="","",INDEX(HSI!$D$7:$D$106,$N253))</f>
        <v/>
      </c>
      <c r="E253" s="37">
        <f>IF($L253="","",IF(INT($P253/10)=0,"TBA",IFERROR(INDEX(Grids!$BQ$9:$EC$108,$N253,$O253),"-")))</f>
        <v/>
      </c>
      <c r="F253" s="16">
        <f>IF($L253="","",INDEX(HSI!$F$7:$F$106,$N253))</f>
        <v/>
      </c>
      <c r="G253" s="37">
        <f>IF($L253="","",IF(INT($P253/10)=0,"TBA",IFERROR(INDEX(Grids!$EE$9:$GQ$108,$N253,$O253),"-")))</f>
        <v/>
      </c>
      <c r="H253" s="38">
        <f>IF($L253="","",SUM($G$10:$G253))</f>
        <v/>
      </c>
      <c r="I253" s="39">
        <f>IF($L253="","",IF(INT(($L253-INT($L253/10000000)*10000000)/1000000)=0,"Bloomberg projection",IF(INT($P253/10)=1,"Announced","ANNOUNCED - amount TBA"))&amp;IF(($P253-INT($P253/10)*10)=1," (special)","")&amp;IF((($P253-INT($P253/10)*10)=1)*(Summary!$C$13="N")&gt;0," - excluded by your specials switch",""))</f>
        <v/>
      </c>
      <c r="J253" s="40">
        <f>IF($L253="","",IF((Override!$C$4="ON")*ISNUMBER(INDEX(Override!$G$13:$G$112,$N253))&gt;0,"stock overridden",""))</f>
        <v/>
      </c>
      <c r="L253" s="41">
        <f>IFERROR(IF(SMALL(Grids!$C$9:$BO$108,$M$7+244)&gt;=(Summary!$C$15+1)*1000000000,"",SMALL(Grids!$C$9:$BO$108,$M$7+244)),"")</f>
        <v/>
      </c>
      <c r="M253" s="41">
        <f>IF($L253="","",INT($L253/1000000000))</f>
        <v/>
      </c>
      <c r="N253" s="41">
        <f>IF($L253="","",INT(($L253-INT($L253/1000000)*1000000)/1000))</f>
        <v/>
      </c>
      <c r="O253" s="41">
        <f>IF($L253="","",$L253-INT($L253/1000)*1000)</f>
        <v/>
      </c>
      <c r="P253" s="41">
        <f>IF($L253="","",INT(($L253-INT($L253/1000000000)*1000000000)/10000000))</f>
        <v/>
      </c>
    </row>
    <row r="254">
      <c r="B254" s="36">
        <f>IF($L254="","",$M254)</f>
        <v/>
      </c>
      <c r="C254" s="16">
        <f>IF($L254="","",INDEX(HSI!$C$7:$C$106,$N254))</f>
        <v/>
      </c>
      <c r="D254" s="16">
        <f>IF($L254="","",INDEX(HSI!$D$7:$D$106,$N254))</f>
        <v/>
      </c>
      <c r="E254" s="37">
        <f>IF($L254="","",IF(INT($P254/10)=0,"TBA",IFERROR(INDEX(Grids!$BQ$9:$EC$108,$N254,$O254),"-")))</f>
        <v/>
      </c>
      <c r="F254" s="16">
        <f>IF($L254="","",INDEX(HSI!$F$7:$F$106,$N254))</f>
        <v/>
      </c>
      <c r="G254" s="37">
        <f>IF($L254="","",IF(INT($P254/10)=0,"TBA",IFERROR(INDEX(Grids!$EE$9:$GQ$108,$N254,$O254),"-")))</f>
        <v/>
      </c>
      <c r="H254" s="38">
        <f>IF($L254="","",SUM($G$10:$G254))</f>
        <v/>
      </c>
      <c r="I254" s="39">
        <f>IF($L254="","",IF(INT(($L254-INT($L254/10000000)*10000000)/1000000)=0,"Bloomberg projection",IF(INT($P254/10)=1,"Announced","ANNOUNCED - amount TBA"))&amp;IF(($P254-INT($P254/10)*10)=1," (special)","")&amp;IF((($P254-INT($P254/10)*10)=1)*(Summary!$C$13="N")&gt;0," - excluded by your specials switch",""))</f>
        <v/>
      </c>
      <c r="J254" s="40">
        <f>IF($L254="","",IF((Override!$C$4="ON")*ISNUMBER(INDEX(Override!$G$13:$G$112,$N254))&gt;0,"stock overridden",""))</f>
        <v/>
      </c>
      <c r="L254" s="41">
        <f>IFERROR(IF(SMALL(Grids!$C$9:$BO$108,$M$7+245)&gt;=(Summary!$C$15+1)*1000000000,"",SMALL(Grids!$C$9:$BO$108,$M$7+245)),"")</f>
        <v/>
      </c>
      <c r="M254" s="41">
        <f>IF($L254="","",INT($L254/1000000000))</f>
        <v/>
      </c>
      <c r="N254" s="41">
        <f>IF($L254="","",INT(($L254-INT($L254/1000000)*1000000)/1000))</f>
        <v/>
      </c>
      <c r="O254" s="41">
        <f>IF($L254="","",$L254-INT($L254/1000)*1000)</f>
        <v/>
      </c>
      <c r="P254" s="41">
        <f>IF($L254="","",INT(($L254-INT($L254/1000000000)*1000000000)/10000000))</f>
        <v/>
      </c>
    </row>
    <row r="255">
      <c r="B255" s="36">
        <f>IF($L255="","",$M255)</f>
        <v/>
      </c>
      <c r="C255" s="16">
        <f>IF($L255="","",INDEX(HSI!$C$7:$C$106,$N255))</f>
        <v/>
      </c>
      <c r="D255" s="16">
        <f>IF($L255="","",INDEX(HSI!$D$7:$D$106,$N255))</f>
        <v/>
      </c>
      <c r="E255" s="37">
        <f>IF($L255="","",IF(INT($P255/10)=0,"TBA",IFERROR(INDEX(Grids!$BQ$9:$EC$108,$N255,$O255),"-")))</f>
        <v/>
      </c>
      <c r="F255" s="16">
        <f>IF($L255="","",INDEX(HSI!$F$7:$F$106,$N255))</f>
        <v/>
      </c>
      <c r="G255" s="37">
        <f>IF($L255="","",IF(INT($P255/10)=0,"TBA",IFERROR(INDEX(Grids!$EE$9:$GQ$108,$N255,$O255),"-")))</f>
        <v/>
      </c>
      <c r="H255" s="38">
        <f>IF($L255="","",SUM($G$10:$G255))</f>
        <v/>
      </c>
      <c r="I255" s="39">
        <f>IF($L255="","",IF(INT(($L255-INT($L255/10000000)*10000000)/1000000)=0,"Bloomberg projection",IF(INT($P255/10)=1,"Announced","ANNOUNCED - amount TBA"))&amp;IF(($P255-INT($P255/10)*10)=1," (special)","")&amp;IF((($P255-INT($P255/10)*10)=1)*(Summary!$C$13="N")&gt;0," - excluded by your specials switch",""))</f>
        <v/>
      </c>
      <c r="J255" s="40">
        <f>IF($L255="","",IF((Override!$C$4="ON")*ISNUMBER(INDEX(Override!$G$13:$G$112,$N255))&gt;0,"stock overridden",""))</f>
        <v/>
      </c>
      <c r="L255" s="41">
        <f>IFERROR(IF(SMALL(Grids!$C$9:$BO$108,$M$7+246)&gt;=(Summary!$C$15+1)*1000000000,"",SMALL(Grids!$C$9:$BO$108,$M$7+246)),"")</f>
        <v/>
      </c>
      <c r="M255" s="41">
        <f>IF($L255="","",INT($L255/1000000000))</f>
        <v/>
      </c>
      <c r="N255" s="41">
        <f>IF($L255="","",INT(($L255-INT($L255/1000000)*1000000)/1000))</f>
        <v/>
      </c>
      <c r="O255" s="41">
        <f>IF($L255="","",$L255-INT($L255/1000)*1000)</f>
        <v/>
      </c>
      <c r="P255" s="41">
        <f>IF($L255="","",INT(($L255-INT($L255/1000000000)*1000000000)/10000000))</f>
        <v/>
      </c>
    </row>
    <row r="256">
      <c r="B256" s="36">
        <f>IF($L256="","",$M256)</f>
        <v/>
      </c>
      <c r="C256" s="16">
        <f>IF($L256="","",INDEX(HSI!$C$7:$C$106,$N256))</f>
        <v/>
      </c>
      <c r="D256" s="16">
        <f>IF($L256="","",INDEX(HSI!$D$7:$D$106,$N256))</f>
        <v/>
      </c>
      <c r="E256" s="37">
        <f>IF($L256="","",IF(INT($P256/10)=0,"TBA",IFERROR(INDEX(Grids!$BQ$9:$EC$108,$N256,$O256),"-")))</f>
        <v/>
      </c>
      <c r="F256" s="16">
        <f>IF($L256="","",INDEX(HSI!$F$7:$F$106,$N256))</f>
        <v/>
      </c>
      <c r="G256" s="37">
        <f>IF($L256="","",IF(INT($P256/10)=0,"TBA",IFERROR(INDEX(Grids!$EE$9:$GQ$108,$N256,$O256),"-")))</f>
        <v/>
      </c>
      <c r="H256" s="38">
        <f>IF($L256="","",SUM($G$10:$G256))</f>
        <v/>
      </c>
      <c r="I256" s="39">
        <f>IF($L256="","",IF(INT(($L256-INT($L256/10000000)*10000000)/1000000)=0,"Bloomberg projection",IF(INT($P256/10)=1,"Announced","ANNOUNCED - amount TBA"))&amp;IF(($P256-INT($P256/10)*10)=1," (special)","")&amp;IF((($P256-INT($P256/10)*10)=1)*(Summary!$C$13="N")&gt;0," - excluded by your specials switch",""))</f>
        <v/>
      </c>
      <c r="J256" s="40">
        <f>IF($L256="","",IF((Override!$C$4="ON")*ISNUMBER(INDEX(Override!$G$13:$G$112,$N256))&gt;0,"stock overridden",""))</f>
        <v/>
      </c>
      <c r="L256" s="41">
        <f>IFERROR(IF(SMALL(Grids!$C$9:$BO$108,$M$7+247)&gt;=(Summary!$C$15+1)*1000000000,"",SMALL(Grids!$C$9:$BO$108,$M$7+247)),"")</f>
        <v/>
      </c>
      <c r="M256" s="41">
        <f>IF($L256="","",INT($L256/1000000000))</f>
        <v/>
      </c>
      <c r="N256" s="41">
        <f>IF($L256="","",INT(($L256-INT($L256/1000000)*1000000)/1000))</f>
        <v/>
      </c>
      <c r="O256" s="41">
        <f>IF($L256="","",$L256-INT($L256/1000)*1000)</f>
        <v/>
      </c>
      <c r="P256" s="41">
        <f>IF($L256="","",INT(($L256-INT($L256/1000000000)*1000000000)/10000000))</f>
        <v/>
      </c>
    </row>
    <row r="257">
      <c r="B257" s="36">
        <f>IF($L257="","",$M257)</f>
        <v/>
      </c>
      <c r="C257" s="16">
        <f>IF($L257="","",INDEX(HSI!$C$7:$C$106,$N257))</f>
        <v/>
      </c>
      <c r="D257" s="16">
        <f>IF($L257="","",INDEX(HSI!$D$7:$D$106,$N257))</f>
        <v/>
      </c>
      <c r="E257" s="37">
        <f>IF($L257="","",IF(INT($P257/10)=0,"TBA",IFERROR(INDEX(Grids!$BQ$9:$EC$108,$N257,$O257),"-")))</f>
        <v/>
      </c>
      <c r="F257" s="16">
        <f>IF($L257="","",INDEX(HSI!$F$7:$F$106,$N257))</f>
        <v/>
      </c>
      <c r="G257" s="37">
        <f>IF($L257="","",IF(INT($P257/10)=0,"TBA",IFERROR(INDEX(Grids!$EE$9:$GQ$108,$N257,$O257),"-")))</f>
        <v/>
      </c>
      <c r="H257" s="38">
        <f>IF($L257="","",SUM($G$10:$G257))</f>
        <v/>
      </c>
      <c r="I257" s="39">
        <f>IF($L257="","",IF(INT(($L257-INT($L257/10000000)*10000000)/1000000)=0,"Bloomberg projection",IF(INT($P257/10)=1,"Announced","ANNOUNCED - amount TBA"))&amp;IF(($P257-INT($P257/10)*10)=1," (special)","")&amp;IF((($P257-INT($P257/10)*10)=1)*(Summary!$C$13="N")&gt;0," - excluded by your specials switch",""))</f>
        <v/>
      </c>
      <c r="J257" s="40">
        <f>IF($L257="","",IF((Override!$C$4="ON")*ISNUMBER(INDEX(Override!$G$13:$G$112,$N257))&gt;0,"stock overridden",""))</f>
        <v/>
      </c>
      <c r="L257" s="41">
        <f>IFERROR(IF(SMALL(Grids!$C$9:$BO$108,$M$7+248)&gt;=(Summary!$C$15+1)*1000000000,"",SMALL(Grids!$C$9:$BO$108,$M$7+248)),"")</f>
        <v/>
      </c>
      <c r="M257" s="41">
        <f>IF($L257="","",INT($L257/1000000000))</f>
        <v/>
      </c>
      <c r="N257" s="41">
        <f>IF($L257="","",INT(($L257-INT($L257/1000000)*1000000)/1000))</f>
        <v/>
      </c>
      <c r="O257" s="41">
        <f>IF($L257="","",$L257-INT($L257/1000)*1000)</f>
        <v/>
      </c>
      <c r="P257" s="41">
        <f>IF($L257="","",INT(($L257-INT($L257/1000000000)*1000000000)/10000000))</f>
        <v/>
      </c>
    </row>
    <row r="258">
      <c r="B258" s="36">
        <f>IF($L258="","",$M258)</f>
        <v/>
      </c>
      <c r="C258" s="16">
        <f>IF($L258="","",INDEX(HSI!$C$7:$C$106,$N258))</f>
        <v/>
      </c>
      <c r="D258" s="16">
        <f>IF($L258="","",INDEX(HSI!$D$7:$D$106,$N258))</f>
        <v/>
      </c>
      <c r="E258" s="37">
        <f>IF($L258="","",IF(INT($P258/10)=0,"TBA",IFERROR(INDEX(Grids!$BQ$9:$EC$108,$N258,$O258),"-")))</f>
        <v/>
      </c>
      <c r="F258" s="16">
        <f>IF($L258="","",INDEX(HSI!$F$7:$F$106,$N258))</f>
        <v/>
      </c>
      <c r="G258" s="37">
        <f>IF($L258="","",IF(INT($P258/10)=0,"TBA",IFERROR(INDEX(Grids!$EE$9:$GQ$108,$N258,$O258),"-")))</f>
        <v/>
      </c>
      <c r="H258" s="38">
        <f>IF($L258="","",SUM($G$10:$G258))</f>
        <v/>
      </c>
      <c r="I258" s="39">
        <f>IF($L258="","",IF(INT(($L258-INT($L258/10000000)*10000000)/1000000)=0,"Bloomberg projection",IF(INT($P258/10)=1,"Announced","ANNOUNCED - amount TBA"))&amp;IF(($P258-INT($P258/10)*10)=1," (special)","")&amp;IF((($P258-INT($P258/10)*10)=1)*(Summary!$C$13="N")&gt;0," - excluded by your specials switch",""))</f>
        <v/>
      </c>
      <c r="J258" s="40">
        <f>IF($L258="","",IF((Override!$C$4="ON")*ISNUMBER(INDEX(Override!$G$13:$G$112,$N258))&gt;0,"stock overridden",""))</f>
        <v/>
      </c>
      <c r="L258" s="41">
        <f>IFERROR(IF(SMALL(Grids!$C$9:$BO$108,$M$7+249)&gt;=(Summary!$C$15+1)*1000000000,"",SMALL(Grids!$C$9:$BO$108,$M$7+249)),"")</f>
        <v/>
      </c>
      <c r="M258" s="41">
        <f>IF($L258="","",INT($L258/1000000000))</f>
        <v/>
      </c>
      <c r="N258" s="41">
        <f>IF($L258="","",INT(($L258-INT($L258/1000000)*1000000)/1000))</f>
        <v/>
      </c>
      <c r="O258" s="41">
        <f>IF($L258="","",$L258-INT($L258/1000)*1000)</f>
        <v/>
      </c>
      <c r="P258" s="41">
        <f>IF($L258="","",INT(($L258-INT($L258/1000000000)*1000000000)/10000000))</f>
        <v/>
      </c>
    </row>
    <row r="259">
      <c r="B259" s="36">
        <f>IF($L259="","",$M259)</f>
        <v/>
      </c>
      <c r="C259" s="16">
        <f>IF($L259="","",INDEX(HSI!$C$7:$C$106,$N259))</f>
        <v/>
      </c>
      <c r="D259" s="16">
        <f>IF($L259="","",INDEX(HSI!$D$7:$D$106,$N259))</f>
        <v/>
      </c>
      <c r="E259" s="37">
        <f>IF($L259="","",IF(INT($P259/10)=0,"TBA",IFERROR(INDEX(Grids!$BQ$9:$EC$108,$N259,$O259),"-")))</f>
        <v/>
      </c>
      <c r="F259" s="16">
        <f>IF($L259="","",INDEX(HSI!$F$7:$F$106,$N259))</f>
        <v/>
      </c>
      <c r="G259" s="37">
        <f>IF($L259="","",IF(INT($P259/10)=0,"TBA",IFERROR(INDEX(Grids!$EE$9:$GQ$108,$N259,$O259),"-")))</f>
        <v/>
      </c>
      <c r="H259" s="38">
        <f>IF($L259="","",SUM($G$10:$G259))</f>
        <v/>
      </c>
      <c r="I259" s="39">
        <f>IF($L259="","",IF(INT(($L259-INT($L259/10000000)*10000000)/1000000)=0,"Bloomberg projection",IF(INT($P259/10)=1,"Announced","ANNOUNCED - amount TBA"))&amp;IF(($P259-INT($P259/10)*10)=1," (special)","")&amp;IF((($P259-INT($P259/10)*10)=1)*(Summary!$C$13="N")&gt;0," - excluded by your specials switch",""))</f>
        <v/>
      </c>
      <c r="J259" s="40">
        <f>IF($L259="","",IF((Override!$C$4="ON")*ISNUMBER(INDEX(Override!$G$13:$G$112,$N259))&gt;0,"stock overridden",""))</f>
        <v/>
      </c>
      <c r="L259" s="41">
        <f>IFERROR(IF(SMALL(Grids!$C$9:$BO$108,$M$7+250)&gt;=(Summary!$C$15+1)*1000000000,"",SMALL(Grids!$C$9:$BO$108,$M$7+250)),"")</f>
        <v/>
      </c>
      <c r="M259" s="41">
        <f>IF($L259="","",INT($L259/1000000000))</f>
        <v/>
      </c>
      <c r="N259" s="41">
        <f>IF($L259="","",INT(($L259-INT($L259/1000000)*1000000)/1000))</f>
        <v/>
      </c>
      <c r="O259" s="41">
        <f>IF($L259="","",$L259-INT($L259/1000)*1000)</f>
        <v/>
      </c>
      <c r="P259" s="41">
        <f>IF($L259="","",INT(($L259-INT($L259/1000000000)*1000000000)/10000000))</f>
        <v/>
      </c>
    </row>
    <row r="260">
      <c r="B260" s="36">
        <f>IF($L260="","",$M260)</f>
        <v/>
      </c>
      <c r="C260" s="16">
        <f>IF($L260="","",INDEX(HSI!$C$7:$C$106,$N260))</f>
        <v/>
      </c>
      <c r="D260" s="16">
        <f>IF($L260="","",INDEX(HSI!$D$7:$D$106,$N260))</f>
        <v/>
      </c>
      <c r="E260" s="37">
        <f>IF($L260="","",IF(INT($P260/10)=0,"TBA",IFERROR(INDEX(Grids!$BQ$9:$EC$108,$N260,$O260),"-")))</f>
        <v/>
      </c>
      <c r="F260" s="16">
        <f>IF($L260="","",INDEX(HSI!$F$7:$F$106,$N260))</f>
        <v/>
      </c>
      <c r="G260" s="37">
        <f>IF($L260="","",IF(INT($P260/10)=0,"TBA",IFERROR(INDEX(Grids!$EE$9:$GQ$108,$N260,$O260),"-")))</f>
        <v/>
      </c>
      <c r="H260" s="38">
        <f>IF($L260="","",SUM($G$10:$G260))</f>
        <v/>
      </c>
      <c r="I260" s="39">
        <f>IF($L260="","",IF(INT(($L260-INT($L260/10000000)*10000000)/1000000)=0,"Bloomberg projection",IF(INT($P260/10)=1,"Announced","ANNOUNCED - amount TBA"))&amp;IF(($P260-INT($P260/10)*10)=1," (special)","")&amp;IF((($P260-INT($P260/10)*10)=1)*(Summary!$C$13="N")&gt;0," - excluded by your specials switch",""))</f>
        <v/>
      </c>
      <c r="J260" s="40">
        <f>IF($L260="","",IF((Override!$C$4="ON")*ISNUMBER(INDEX(Override!$G$13:$G$112,$N260))&gt;0,"stock overridden",""))</f>
        <v/>
      </c>
      <c r="L260" s="41">
        <f>IFERROR(IF(SMALL(Grids!$C$9:$BO$108,$M$7+251)&gt;=(Summary!$C$15+1)*1000000000,"",SMALL(Grids!$C$9:$BO$108,$M$7+251)),"")</f>
        <v/>
      </c>
      <c r="M260" s="41">
        <f>IF($L260="","",INT($L260/1000000000))</f>
        <v/>
      </c>
      <c r="N260" s="41">
        <f>IF($L260="","",INT(($L260-INT($L260/1000000)*1000000)/1000))</f>
        <v/>
      </c>
      <c r="O260" s="41">
        <f>IF($L260="","",$L260-INT($L260/1000)*1000)</f>
        <v/>
      </c>
      <c r="P260" s="41">
        <f>IF($L260="","",INT(($L260-INT($L260/1000000000)*1000000000)/10000000))</f>
        <v/>
      </c>
    </row>
    <row r="261">
      <c r="B261" s="36">
        <f>IF($L261="","",$M261)</f>
        <v/>
      </c>
      <c r="C261" s="16">
        <f>IF($L261="","",INDEX(HSI!$C$7:$C$106,$N261))</f>
        <v/>
      </c>
      <c r="D261" s="16">
        <f>IF($L261="","",INDEX(HSI!$D$7:$D$106,$N261))</f>
        <v/>
      </c>
      <c r="E261" s="37">
        <f>IF($L261="","",IF(INT($P261/10)=0,"TBA",IFERROR(INDEX(Grids!$BQ$9:$EC$108,$N261,$O261),"-")))</f>
        <v/>
      </c>
      <c r="F261" s="16">
        <f>IF($L261="","",INDEX(HSI!$F$7:$F$106,$N261))</f>
        <v/>
      </c>
      <c r="G261" s="37">
        <f>IF($L261="","",IF(INT($P261/10)=0,"TBA",IFERROR(INDEX(Grids!$EE$9:$GQ$108,$N261,$O261),"-")))</f>
        <v/>
      </c>
      <c r="H261" s="38">
        <f>IF($L261="","",SUM($G$10:$G261))</f>
        <v/>
      </c>
      <c r="I261" s="39">
        <f>IF($L261="","",IF(INT(($L261-INT($L261/10000000)*10000000)/1000000)=0,"Bloomberg projection",IF(INT($P261/10)=1,"Announced","ANNOUNCED - amount TBA"))&amp;IF(($P261-INT($P261/10)*10)=1," (special)","")&amp;IF((($P261-INT($P261/10)*10)=1)*(Summary!$C$13="N")&gt;0," - excluded by your specials switch",""))</f>
        <v/>
      </c>
      <c r="J261" s="40">
        <f>IF($L261="","",IF((Override!$C$4="ON")*ISNUMBER(INDEX(Override!$G$13:$G$112,$N261))&gt;0,"stock overridden",""))</f>
        <v/>
      </c>
      <c r="L261" s="41">
        <f>IFERROR(IF(SMALL(Grids!$C$9:$BO$108,$M$7+252)&gt;=(Summary!$C$15+1)*1000000000,"",SMALL(Grids!$C$9:$BO$108,$M$7+252)),"")</f>
        <v/>
      </c>
      <c r="M261" s="41">
        <f>IF($L261="","",INT($L261/1000000000))</f>
        <v/>
      </c>
      <c r="N261" s="41">
        <f>IF($L261="","",INT(($L261-INT($L261/1000000)*1000000)/1000))</f>
        <v/>
      </c>
      <c r="O261" s="41">
        <f>IF($L261="","",$L261-INT($L261/1000)*1000)</f>
        <v/>
      </c>
      <c r="P261" s="41">
        <f>IF($L261="","",INT(($L261-INT($L261/1000000000)*1000000000)/10000000))</f>
        <v/>
      </c>
    </row>
    <row r="262">
      <c r="B262" s="36">
        <f>IF($L262="","",$M262)</f>
        <v/>
      </c>
      <c r="C262" s="16">
        <f>IF($L262="","",INDEX(HSI!$C$7:$C$106,$N262))</f>
        <v/>
      </c>
      <c r="D262" s="16">
        <f>IF($L262="","",INDEX(HSI!$D$7:$D$106,$N262))</f>
        <v/>
      </c>
      <c r="E262" s="37">
        <f>IF($L262="","",IF(INT($P262/10)=0,"TBA",IFERROR(INDEX(Grids!$BQ$9:$EC$108,$N262,$O262),"-")))</f>
        <v/>
      </c>
      <c r="F262" s="16">
        <f>IF($L262="","",INDEX(HSI!$F$7:$F$106,$N262))</f>
        <v/>
      </c>
      <c r="G262" s="37">
        <f>IF($L262="","",IF(INT($P262/10)=0,"TBA",IFERROR(INDEX(Grids!$EE$9:$GQ$108,$N262,$O262),"-")))</f>
        <v/>
      </c>
      <c r="H262" s="38">
        <f>IF($L262="","",SUM($G$10:$G262))</f>
        <v/>
      </c>
      <c r="I262" s="39">
        <f>IF($L262="","",IF(INT(($L262-INT($L262/10000000)*10000000)/1000000)=0,"Bloomberg projection",IF(INT($P262/10)=1,"Announced","ANNOUNCED - amount TBA"))&amp;IF(($P262-INT($P262/10)*10)=1," (special)","")&amp;IF((($P262-INT($P262/10)*10)=1)*(Summary!$C$13="N")&gt;0," - excluded by your specials switch",""))</f>
        <v/>
      </c>
      <c r="J262" s="40">
        <f>IF($L262="","",IF((Override!$C$4="ON")*ISNUMBER(INDEX(Override!$G$13:$G$112,$N262))&gt;0,"stock overridden",""))</f>
        <v/>
      </c>
      <c r="L262" s="41">
        <f>IFERROR(IF(SMALL(Grids!$C$9:$BO$108,$M$7+253)&gt;=(Summary!$C$15+1)*1000000000,"",SMALL(Grids!$C$9:$BO$108,$M$7+253)),"")</f>
        <v/>
      </c>
      <c r="M262" s="41">
        <f>IF($L262="","",INT($L262/1000000000))</f>
        <v/>
      </c>
      <c r="N262" s="41">
        <f>IF($L262="","",INT(($L262-INT($L262/1000000)*1000000)/1000))</f>
        <v/>
      </c>
      <c r="O262" s="41">
        <f>IF($L262="","",$L262-INT($L262/1000)*1000)</f>
        <v/>
      </c>
      <c r="P262" s="41">
        <f>IF($L262="","",INT(($L262-INT($L262/1000000000)*1000000000)/10000000))</f>
        <v/>
      </c>
    </row>
    <row r="263">
      <c r="B263" s="36">
        <f>IF($L263="","",$M263)</f>
        <v/>
      </c>
      <c r="C263" s="16">
        <f>IF($L263="","",INDEX(HSI!$C$7:$C$106,$N263))</f>
        <v/>
      </c>
      <c r="D263" s="16">
        <f>IF($L263="","",INDEX(HSI!$D$7:$D$106,$N263))</f>
        <v/>
      </c>
      <c r="E263" s="37">
        <f>IF($L263="","",IF(INT($P263/10)=0,"TBA",IFERROR(INDEX(Grids!$BQ$9:$EC$108,$N263,$O263),"-")))</f>
        <v/>
      </c>
      <c r="F263" s="16">
        <f>IF($L263="","",INDEX(HSI!$F$7:$F$106,$N263))</f>
        <v/>
      </c>
      <c r="G263" s="37">
        <f>IF($L263="","",IF(INT($P263/10)=0,"TBA",IFERROR(INDEX(Grids!$EE$9:$GQ$108,$N263,$O263),"-")))</f>
        <v/>
      </c>
      <c r="H263" s="38">
        <f>IF($L263="","",SUM($G$10:$G263))</f>
        <v/>
      </c>
      <c r="I263" s="39">
        <f>IF($L263="","",IF(INT(($L263-INT($L263/10000000)*10000000)/1000000)=0,"Bloomberg projection",IF(INT($P263/10)=1,"Announced","ANNOUNCED - amount TBA"))&amp;IF(($P263-INT($P263/10)*10)=1," (special)","")&amp;IF((($P263-INT($P263/10)*10)=1)*(Summary!$C$13="N")&gt;0," - excluded by your specials switch",""))</f>
        <v/>
      </c>
      <c r="J263" s="40">
        <f>IF($L263="","",IF((Override!$C$4="ON")*ISNUMBER(INDEX(Override!$G$13:$G$112,$N263))&gt;0,"stock overridden",""))</f>
        <v/>
      </c>
      <c r="L263" s="41">
        <f>IFERROR(IF(SMALL(Grids!$C$9:$BO$108,$M$7+254)&gt;=(Summary!$C$15+1)*1000000000,"",SMALL(Grids!$C$9:$BO$108,$M$7+254)),"")</f>
        <v/>
      </c>
      <c r="M263" s="41">
        <f>IF($L263="","",INT($L263/1000000000))</f>
        <v/>
      </c>
      <c r="N263" s="41">
        <f>IF($L263="","",INT(($L263-INT($L263/1000000)*1000000)/1000))</f>
        <v/>
      </c>
      <c r="O263" s="41">
        <f>IF($L263="","",$L263-INT($L263/1000)*1000)</f>
        <v/>
      </c>
      <c r="P263" s="41">
        <f>IF($L263="","",INT(($L263-INT($L263/1000000000)*1000000000)/10000000))</f>
        <v/>
      </c>
    </row>
    <row r="264">
      <c r="B264" s="36">
        <f>IF($L264="","",$M264)</f>
        <v/>
      </c>
      <c r="C264" s="16">
        <f>IF($L264="","",INDEX(HSI!$C$7:$C$106,$N264))</f>
        <v/>
      </c>
      <c r="D264" s="16">
        <f>IF($L264="","",INDEX(HSI!$D$7:$D$106,$N264))</f>
        <v/>
      </c>
      <c r="E264" s="37">
        <f>IF($L264="","",IF(INT($P264/10)=0,"TBA",IFERROR(INDEX(Grids!$BQ$9:$EC$108,$N264,$O264),"-")))</f>
        <v/>
      </c>
      <c r="F264" s="16">
        <f>IF($L264="","",INDEX(HSI!$F$7:$F$106,$N264))</f>
        <v/>
      </c>
      <c r="G264" s="37">
        <f>IF($L264="","",IF(INT($P264/10)=0,"TBA",IFERROR(INDEX(Grids!$EE$9:$GQ$108,$N264,$O264),"-")))</f>
        <v/>
      </c>
      <c r="H264" s="38">
        <f>IF($L264="","",SUM($G$10:$G264))</f>
        <v/>
      </c>
      <c r="I264" s="39">
        <f>IF($L264="","",IF(INT(($L264-INT($L264/10000000)*10000000)/1000000)=0,"Bloomberg projection",IF(INT($P264/10)=1,"Announced","ANNOUNCED - amount TBA"))&amp;IF(($P264-INT($P264/10)*10)=1," (special)","")&amp;IF((($P264-INT($P264/10)*10)=1)*(Summary!$C$13="N")&gt;0," - excluded by your specials switch",""))</f>
        <v/>
      </c>
      <c r="J264" s="40">
        <f>IF($L264="","",IF((Override!$C$4="ON")*ISNUMBER(INDEX(Override!$G$13:$G$112,$N264))&gt;0,"stock overridden",""))</f>
        <v/>
      </c>
      <c r="L264" s="41">
        <f>IFERROR(IF(SMALL(Grids!$C$9:$BO$108,$M$7+255)&gt;=(Summary!$C$15+1)*1000000000,"",SMALL(Grids!$C$9:$BO$108,$M$7+255)),"")</f>
        <v/>
      </c>
      <c r="M264" s="41">
        <f>IF($L264="","",INT($L264/1000000000))</f>
        <v/>
      </c>
      <c r="N264" s="41">
        <f>IF($L264="","",INT(($L264-INT($L264/1000000)*1000000)/1000))</f>
        <v/>
      </c>
      <c r="O264" s="41">
        <f>IF($L264="","",$L264-INT($L264/1000)*1000)</f>
        <v/>
      </c>
      <c r="P264" s="41">
        <f>IF($L264="","",INT(($L264-INT($L264/1000000000)*1000000000)/10000000))</f>
        <v/>
      </c>
    </row>
    <row r="265">
      <c r="B265" s="36">
        <f>IF($L265="","",$M265)</f>
        <v/>
      </c>
      <c r="C265" s="16">
        <f>IF($L265="","",INDEX(HSI!$C$7:$C$106,$N265))</f>
        <v/>
      </c>
      <c r="D265" s="16">
        <f>IF($L265="","",INDEX(HSI!$D$7:$D$106,$N265))</f>
        <v/>
      </c>
      <c r="E265" s="37">
        <f>IF($L265="","",IF(INT($P265/10)=0,"TBA",IFERROR(INDEX(Grids!$BQ$9:$EC$108,$N265,$O265),"-")))</f>
        <v/>
      </c>
      <c r="F265" s="16">
        <f>IF($L265="","",INDEX(HSI!$F$7:$F$106,$N265))</f>
        <v/>
      </c>
      <c r="G265" s="37">
        <f>IF($L265="","",IF(INT($P265/10)=0,"TBA",IFERROR(INDEX(Grids!$EE$9:$GQ$108,$N265,$O265),"-")))</f>
        <v/>
      </c>
      <c r="H265" s="38">
        <f>IF($L265="","",SUM($G$10:$G265))</f>
        <v/>
      </c>
      <c r="I265" s="39">
        <f>IF($L265="","",IF(INT(($L265-INT($L265/10000000)*10000000)/1000000)=0,"Bloomberg projection",IF(INT($P265/10)=1,"Announced","ANNOUNCED - amount TBA"))&amp;IF(($P265-INT($P265/10)*10)=1," (special)","")&amp;IF((($P265-INT($P265/10)*10)=1)*(Summary!$C$13="N")&gt;0," - excluded by your specials switch",""))</f>
        <v/>
      </c>
      <c r="J265" s="40">
        <f>IF($L265="","",IF((Override!$C$4="ON")*ISNUMBER(INDEX(Override!$G$13:$G$112,$N265))&gt;0,"stock overridden",""))</f>
        <v/>
      </c>
      <c r="L265" s="41">
        <f>IFERROR(IF(SMALL(Grids!$C$9:$BO$108,$M$7+256)&gt;=(Summary!$C$15+1)*1000000000,"",SMALL(Grids!$C$9:$BO$108,$M$7+256)),"")</f>
        <v/>
      </c>
      <c r="M265" s="41">
        <f>IF($L265="","",INT($L265/1000000000))</f>
        <v/>
      </c>
      <c r="N265" s="41">
        <f>IF($L265="","",INT(($L265-INT($L265/1000000)*1000000)/1000))</f>
        <v/>
      </c>
      <c r="O265" s="41">
        <f>IF($L265="","",$L265-INT($L265/1000)*1000)</f>
        <v/>
      </c>
      <c r="P265" s="41">
        <f>IF($L265="","",INT(($L265-INT($L265/1000000000)*1000000000)/10000000))</f>
        <v/>
      </c>
    </row>
    <row r="266">
      <c r="B266" s="36">
        <f>IF($L266="","",$M266)</f>
        <v/>
      </c>
      <c r="C266" s="16">
        <f>IF($L266="","",INDEX(HSI!$C$7:$C$106,$N266))</f>
        <v/>
      </c>
      <c r="D266" s="16">
        <f>IF($L266="","",INDEX(HSI!$D$7:$D$106,$N266))</f>
        <v/>
      </c>
      <c r="E266" s="37">
        <f>IF($L266="","",IF(INT($P266/10)=0,"TBA",IFERROR(INDEX(Grids!$BQ$9:$EC$108,$N266,$O266),"-")))</f>
        <v/>
      </c>
      <c r="F266" s="16">
        <f>IF($L266="","",INDEX(HSI!$F$7:$F$106,$N266))</f>
        <v/>
      </c>
      <c r="G266" s="37">
        <f>IF($L266="","",IF(INT($P266/10)=0,"TBA",IFERROR(INDEX(Grids!$EE$9:$GQ$108,$N266,$O266),"-")))</f>
        <v/>
      </c>
      <c r="H266" s="38">
        <f>IF($L266="","",SUM($G$10:$G266))</f>
        <v/>
      </c>
      <c r="I266" s="39">
        <f>IF($L266="","",IF(INT(($L266-INT($L266/10000000)*10000000)/1000000)=0,"Bloomberg projection",IF(INT($P266/10)=1,"Announced","ANNOUNCED - amount TBA"))&amp;IF(($P266-INT($P266/10)*10)=1," (special)","")&amp;IF((($P266-INT($P266/10)*10)=1)*(Summary!$C$13="N")&gt;0," - excluded by your specials switch",""))</f>
        <v/>
      </c>
      <c r="J266" s="40">
        <f>IF($L266="","",IF((Override!$C$4="ON")*ISNUMBER(INDEX(Override!$G$13:$G$112,$N266))&gt;0,"stock overridden",""))</f>
        <v/>
      </c>
      <c r="L266" s="41">
        <f>IFERROR(IF(SMALL(Grids!$C$9:$BO$108,$M$7+257)&gt;=(Summary!$C$15+1)*1000000000,"",SMALL(Grids!$C$9:$BO$108,$M$7+257)),"")</f>
        <v/>
      </c>
      <c r="M266" s="41">
        <f>IF($L266="","",INT($L266/1000000000))</f>
        <v/>
      </c>
      <c r="N266" s="41">
        <f>IF($L266="","",INT(($L266-INT($L266/1000000)*1000000)/1000))</f>
        <v/>
      </c>
      <c r="O266" s="41">
        <f>IF($L266="","",$L266-INT($L266/1000)*1000)</f>
        <v/>
      </c>
      <c r="P266" s="41">
        <f>IF($L266="","",INT(($L266-INT($L266/1000000000)*1000000000)/10000000))</f>
        <v/>
      </c>
    </row>
    <row r="267">
      <c r="B267" s="36">
        <f>IF($L267="","",$M267)</f>
        <v/>
      </c>
      <c r="C267" s="16">
        <f>IF($L267="","",INDEX(HSI!$C$7:$C$106,$N267))</f>
        <v/>
      </c>
      <c r="D267" s="16">
        <f>IF($L267="","",INDEX(HSI!$D$7:$D$106,$N267))</f>
        <v/>
      </c>
      <c r="E267" s="37">
        <f>IF($L267="","",IF(INT($P267/10)=0,"TBA",IFERROR(INDEX(Grids!$BQ$9:$EC$108,$N267,$O267),"-")))</f>
        <v/>
      </c>
      <c r="F267" s="16">
        <f>IF($L267="","",INDEX(HSI!$F$7:$F$106,$N267))</f>
        <v/>
      </c>
      <c r="G267" s="37">
        <f>IF($L267="","",IF(INT($P267/10)=0,"TBA",IFERROR(INDEX(Grids!$EE$9:$GQ$108,$N267,$O267),"-")))</f>
        <v/>
      </c>
      <c r="H267" s="38">
        <f>IF($L267="","",SUM($G$10:$G267))</f>
        <v/>
      </c>
      <c r="I267" s="39">
        <f>IF($L267="","",IF(INT(($L267-INT($L267/10000000)*10000000)/1000000)=0,"Bloomberg projection",IF(INT($P267/10)=1,"Announced","ANNOUNCED - amount TBA"))&amp;IF(($P267-INT($P267/10)*10)=1," (special)","")&amp;IF((($P267-INT($P267/10)*10)=1)*(Summary!$C$13="N")&gt;0," - excluded by your specials switch",""))</f>
        <v/>
      </c>
      <c r="J267" s="40">
        <f>IF($L267="","",IF((Override!$C$4="ON")*ISNUMBER(INDEX(Override!$G$13:$G$112,$N267))&gt;0,"stock overridden",""))</f>
        <v/>
      </c>
      <c r="L267" s="41">
        <f>IFERROR(IF(SMALL(Grids!$C$9:$BO$108,$M$7+258)&gt;=(Summary!$C$15+1)*1000000000,"",SMALL(Grids!$C$9:$BO$108,$M$7+258)),"")</f>
        <v/>
      </c>
      <c r="M267" s="41">
        <f>IF($L267="","",INT($L267/1000000000))</f>
        <v/>
      </c>
      <c r="N267" s="41">
        <f>IF($L267="","",INT(($L267-INT($L267/1000000)*1000000)/1000))</f>
        <v/>
      </c>
      <c r="O267" s="41">
        <f>IF($L267="","",$L267-INT($L267/1000)*1000)</f>
        <v/>
      </c>
      <c r="P267" s="41">
        <f>IF($L267="","",INT(($L267-INT($L267/1000000000)*1000000000)/10000000))</f>
        <v/>
      </c>
    </row>
    <row r="268">
      <c r="B268" s="36">
        <f>IF($L268="","",$M268)</f>
        <v/>
      </c>
      <c r="C268" s="16">
        <f>IF($L268="","",INDEX(HSI!$C$7:$C$106,$N268))</f>
        <v/>
      </c>
      <c r="D268" s="16">
        <f>IF($L268="","",INDEX(HSI!$D$7:$D$106,$N268))</f>
        <v/>
      </c>
      <c r="E268" s="37">
        <f>IF($L268="","",IF(INT($P268/10)=0,"TBA",IFERROR(INDEX(Grids!$BQ$9:$EC$108,$N268,$O268),"-")))</f>
        <v/>
      </c>
      <c r="F268" s="16">
        <f>IF($L268="","",INDEX(HSI!$F$7:$F$106,$N268))</f>
        <v/>
      </c>
      <c r="G268" s="37">
        <f>IF($L268="","",IF(INT($P268/10)=0,"TBA",IFERROR(INDEX(Grids!$EE$9:$GQ$108,$N268,$O268),"-")))</f>
        <v/>
      </c>
      <c r="H268" s="38">
        <f>IF($L268="","",SUM($G$10:$G268))</f>
        <v/>
      </c>
      <c r="I268" s="39">
        <f>IF($L268="","",IF(INT(($L268-INT($L268/10000000)*10000000)/1000000)=0,"Bloomberg projection",IF(INT($P268/10)=1,"Announced","ANNOUNCED - amount TBA"))&amp;IF(($P268-INT($P268/10)*10)=1," (special)","")&amp;IF((($P268-INT($P268/10)*10)=1)*(Summary!$C$13="N")&gt;0," - excluded by your specials switch",""))</f>
        <v/>
      </c>
      <c r="J268" s="40">
        <f>IF($L268="","",IF((Override!$C$4="ON")*ISNUMBER(INDEX(Override!$G$13:$G$112,$N268))&gt;0,"stock overridden",""))</f>
        <v/>
      </c>
      <c r="L268" s="41">
        <f>IFERROR(IF(SMALL(Grids!$C$9:$BO$108,$M$7+259)&gt;=(Summary!$C$15+1)*1000000000,"",SMALL(Grids!$C$9:$BO$108,$M$7+259)),"")</f>
        <v/>
      </c>
      <c r="M268" s="41">
        <f>IF($L268="","",INT($L268/1000000000))</f>
        <v/>
      </c>
      <c r="N268" s="41">
        <f>IF($L268="","",INT(($L268-INT($L268/1000000)*1000000)/1000))</f>
        <v/>
      </c>
      <c r="O268" s="41">
        <f>IF($L268="","",$L268-INT($L268/1000)*1000)</f>
        <v/>
      </c>
      <c r="P268" s="41">
        <f>IF($L268="","",INT(($L268-INT($L268/1000000000)*1000000000)/10000000))</f>
        <v/>
      </c>
    </row>
    <row r="269">
      <c r="B269" s="36">
        <f>IF($L269="","",$M269)</f>
        <v/>
      </c>
      <c r="C269" s="16">
        <f>IF($L269="","",INDEX(HSI!$C$7:$C$106,$N269))</f>
        <v/>
      </c>
      <c r="D269" s="16">
        <f>IF($L269="","",INDEX(HSI!$D$7:$D$106,$N269))</f>
        <v/>
      </c>
      <c r="E269" s="37">
        <f>IF($L269="","",IF(INT($P269/10)=0,"TBA",IFERROR(INDEX(Grids!$BQ$9:$EC$108,$N269,$O269),"-")))</f>
        <v/>
      </c>
      <c r="F269" s="16">
        <f>IF($L269="","",INDEX(HSI!$F$7:$F$106,$N269))</f>
        <v/>
      </c>
      <c r="G269" s="37">
        <f>IF($L269="","",IF(INT($P269/10)=0,"TBA",IFERROR(INDEX(Grids!$EE$9:$GQ$108,$N269,$O269),"-")))</f>
        <v/>
      </c>
      <c r="H269" s="38">
        <f>IF($L269="","",SUM($G$10:$G269))</f>
        <v/>
      </c>
      <c r="I269" s="39">
        <f>IF($L269="","",IF(INT(($L269-INT($L269/10000000)*10000000)/1000000)=0,"Bloomberg projection",IF(INT($P269/10)=1,"Announced","ANNOUNCED - amount TBA"))&amp;IF(($P269-INT($P269/10)*10)=1," (special)","")&amp;IF((($P269-INT($P269/10)*10)=1)*(Summary!$C$13="N")&gt;0," - excluded by your specials switch",""))</f>
        <v/>
      </c>
      <c r="J269" s="40">
        <f>IF($L269="","",IF((Override!$C$4="ON")*ISNUMBER(INDEX(Override!$G$13:$G$112,$N269))&gt;0,"stock overridden",""))</f>
        <v/>
      </c>
      <c r="L269" s="41">
        <f>IFERROR(IF(SMALL(Grids!$C$9:$BO$108,$M$7+260)&gt;=(Summary!$C$15+1)*1000000000,"",SMALL(Grids!$C$9:$BO$108,$M$7+260)),"")</f>
        <v/>
      </c>
      <c r="M269" s="41">
        <f>IF($L269="","",INT($L269/1000000000))</f>
        <v/>
      </c>
      <c r="N269" s="41">
        <f>IF($L269="","",INT(($L269-INT($L269/1000000)*1000000)/1000))</f>
        <v/>
      </c>
      <c r="O269" s="41">
        <f>IF($L269="","",$L269-INT($L269/1000)*1000)</f>
        <v/>
      </c>
      <c r="P269" s="41">
        <f>IF($L269="","",INT(($L269-INT($L269/1000000000)*1000000000)/10000000))</f>
        <v/>
      </c>
    </row>
    <row r="270">
      <c r="B270" s="36">
        <f>IF($L270="","",$M270)</f>
        <v/>
      </c>
      <c r="C270" s="16">
        <f>IF($L270="","",INDEX(HSI!$C$7:$C$106,$N270))</f>
        <v/>
      </c>
      <c r="D270" s="16">
        <f>IF($L270="","",INDEX(HSI!$D$7:$D$106,$N270))</f>
        <v/>
      </c>
      <c r="E270" s="37">
        <f>IF($L270="","",IF(INT($P270/10)=0,"TBA",IFERROR(INDEX(Grids!$BQ$9:$EC$108,$N270,$O270),"-")))</f>
        <v/>
      </c>
      <c r="F270" s="16">
        <f>IF($L270="","",INDEX(HSI!$F$7:$F$106,$N270))</f>
        <v/>
      </c>
      <c r="G270" s="37">
        <f>IF($L270="","",IF(INT($P270/10)=0,"TBA",IFERROR(INDEX(Grids!$EE$9:$GQ$108,$N270,$O270),"-")))</f>
        <v/>
      </c>
      <c r="H270" s="38">
        <f>IF($L270="","",SUM($G$10:$G270))</f>
        <v/>
      </c>
      <c r="I270" s="39">
        <f>IF($L270="","",IF(INT(($L270-INT($L270/10000000)*10000000)/1000000)=0,"Bloomberg projection",IF(INT($P270/10)=1,"Announced","ANNOUNCED - amount TBA"))&amp;IF(($P270-INT($P270/10)*10)=1," (special)","")&amp;IF((($P270-INT($P270/10)*10)=1)*(Summary!$C$13="N")&gt;0," - excluded by your specials switch",""))</f>
        <v/>
      </c>
      <c r="J270" s="40">
        <f>IF($L270="","",IF((Override!$C$4="ON")*ISNUMBER(INDEX(Override!$G$13:$G$112,$N270))&gt;0,"stock overridden",""))</f>
        <v/>
      </c>
      <c r="L270" s="41">
        <f>IFERROR(IF(SMALL(Grids!$C$9:$BO$108,$M$7+261)&gt;=(Summary!$C$15+1)*1000000000,"",SMALL(Grids!$C$9:$BO$108,$M$7+261)),"")</f>
        <v/>
      </c>
      <c r="M270" s="41">
        <f>IF($L270="","",INT($L270/1000000000))</f>
        <v/>
      </c>
      <c r="N270" s="41">
        <f>IF($L270="","",INT(($L270-INT($L270/1000000)*1000000)/1000))</f>
        <v/>
      </c>
      <c r="O270" s="41">
        <f>IF($L270="","",$L270-INT($L270/1000)*1000)</f>
        <v/>
      </c>
      <c r="P270" s="41">
        <f>IF($L270="","",INT(($L270-INT($L270/1000000000)*1000000000)/10000000))</f>
        <v/>
      </c>
    </row>
    <row r="271">
      <c r="B271" s="36">
        <f>IF($L271="","",$M271)</f>
        <v/>
      </c>
      <c r="C271" s="16">
        <f>IF($L271="","",INDEX(HSI!$C$7:$C$106,$N271))</f>
        <v/>
      </c>
      <c r="D271" s="16">
        <f>IF($L271="","",INDEX(HSI!$D$7:$D$106,$N271))</f>
        <v/>
      </c>
      <c r="E271" s="37">
        <f>IF($L271="","",IF(INT($P271/10)=0,"TBA",IFERROR(INDEX(Grids!$BQ$9:$EC$108,$N271,$O271),"-")))</f>
        <v/>
      </c>
      <c r="F271" s="16">
        <f>IF($L271="","",INDEX(HSI!$F$7:$F$106,$N271))</f>
        <v/>
      </c>
      <c r="G271" s="37">
        <f>IF($L271="","",IF(INT($P271/10)=0,"TBA",IFERROR(INDEX(Grids!$EE$9:$GQ$108,$N271,$O271),"-")))</f>
        <v/>
      </c>
      <c r="H271" s="38">
        <f>IF($L271="","",SUM($G$10:$G271))</f>
        <v/>
      </c>
      <c r="I271" s="39">
        <f>IF($L271="","",IF(INT(($L271-INT($L271/10000000)*10000000)/1000000)=0,"Bloomberg projection",IF(INT($P271/10)=1,"Announced","ANNOUNCED - amount TBA"))&amp;IF(($P271-INT($P271/10)*10)=1," (special)","")&amp;IF((($P271-INT($P271/10)*10)=1)*(Summary!$C$13="N")&gt;0," - excluded by your specials switch",""))</f>
        <v/>
      </c>
      <c r="J271" s="40">
        <f>IF($L271="","",IF((Override!$C$4="ON")*ISNUMBER(INDEX(Override!$G$13:$G$112,$N271))&gt;0,"stock overridden",""))</f>
        <v/>
      </c>
      <c r="L271" s="41">
        <f>IFERROR(IF(SMALL(Grids!$C$9:$BO$108,$M$7+262)&gt;=(Summary!$C$15+1)*1000000000,"",SMALL(Grids!$C$9:$BO$108,$M$7+262)),"")</f>
        <v/>
      </c>
      <c r="M271" s="41">
        <f>IF($L271="","",INT($L271/1000000000))</f>
        <v/>
      </c>
      <c r="N271" s="41">
        <f>IF($L271="","",INT(($L271-INT($L271/1000000)*1000000)/1000))</f>
        <v/>
      </c>
      <c r="O271" s="41">
        <f>IF($L271="","",$L271-INT($L271/1000)*1000)</f>
        <v/>
      </c>
      <c r="P271" s="41">
        <f>IF($L271="","",INT(($L271-INT($L271/1000000000)*1000000000)/10000000))</f>
        <v/>
      </c>
    </row>
    <row r="272">
      <c r="B272" s="36">
        <f>IF($L272="","",$M272)</f>
        <v/>
      </c>
      <c r="C272" s="16">
        <f>IF($L272="","",INDEX(HSI!$C$7:$C$106,$N272))</f>
        <v/>
      </c>
      <c r="D272" s="16">
        <f>IF($L272="","",INDEX(HSI!$D$7:$D$106,$N272))</f>
        <v/>
      </c>
      <c r="E272" s="37">
        <f>IF($L272="","",IF(INT($P272/10)=0,"TBA",IFERROR(INDEX(Grids!$BQ$9:$EC$108,$N272,$O272),"-")))</f>
        <v/>
      </c>
      <c r="F272" s="16">
        <f>IF($L272="","",INDEX(HSI!$F$7:$F$106,$N272))</f>
        <v/>
      </c>
      <c r="G272" s="37">
        <f>IF($L272="","",IF(INT($P272/10)=0,"TBA",IFERROR(INDEX(Grids!$EE$9:$GQ$108,$N272,$O272),"-")))</f>
        <v/>
      </c>
      <c r="H272" s="38">
        <f>IF($L272="","",SUM($G$10:$G272))</f>
        <v/>
      </c>
      <c r="I272" s="39">
        <f>IF($L272="","",IF(INT(($L272-INT($L272/10000000)*10000000)/1000000)=0,"Bloomberg projection",IF(INT($P272/10)=1,"Announced","ANNOUNCED - amount TBA"))&amp;IF(($P272-INT($P272/10)*10)=1," (special)","")&amp;IF((($P272-INT($P272/10)*10)=1)*(Summary!$C$13="N")&gt;0," - excluded by your specials switch",""))</f>
        <v/>
      </c>
      <c r="J272" s="40">
        <f>IF($L272="","",IF((Override!$C$4="ON")*ISNUMBER(INDEX(Override!$G$13:$G$112,$N272))&gt;0,"stock overridden",""))</f>
        <v/>
      </c>
      <c r="L272" s="41">
        <f>IFERROR(IF(SMALL(Grids!$C$9:$BO$108,$M$7+263)&gt;=(Summary!$C$15+1)*1000000000,"",SMALL(Grids!$C$9:$BO$108,$M$7+263)),"")</f>
        <v/>
      </c>
      <c r="M272" s="41">
        <f>IF($L272="","",INT($L272/1000000000))</f>
        <v/>
      </c>
      <c r="N272" s="41">
        <f>IF($L272="","",INT(($L272-INT($L272/1000000)*1000000)/1000))</f>
        <v/>
      </c>
      <c r="O272" s="41">
        <f>IF($L272="","",$L272-INT($L272/1000)*1000)</f>
        <v/>
      </c>
      <c r="P272" s="41">
        <f>IF($L272="","",INT(($L272-INT($L272/1000000000)*1000000000)/10000000))</f>
        <v/>
      </c>
    </row>
    <row r="273">
      <c r="B273" s="36">
        <f>IF($L273="","",$M273)</f>
        <v/>
      </c>
      <c r="C273" s="16">
        <f>IF($L273="","",INDEX(HSI!$C$7:$C$106,$N273))</f>
        <v/>
      </c>
      <c r="D273" s="16">
        <f>IF($L273="","",INDEX(HSI!$D$7:$D$106,$N273))</f>
        <v/>
      </c>
      <c r="E273" s="37">
        <f>IF($L273="","",IF(INT($P273/10)=0,"TBA",IFERROR(INDEX(Grids!$BQ$9:$EC$108,$N273,$O273),"-")))</f>
        <v/>
      </c>
      <c r="F273" s="16">
        <f>IF($L273="","",INDEX(HSI!$F$7:$F$106,$N273))</f>
        <v/>
      </c>
      <c r="G273" s="37">
        <f>IF($L273="","",IF(INT($P273/10)=0,"TBA",IFERROR(INDEX(Grids!$EE$9:$GQ$108,$N273,$O273),"-")))</f>
        <v/>
      </c>
      <c r="H273" s="38">
        <f>IF($L273="","",SUM($G$10:$G273))</f>
        <v/>
      </c>
      <c r="I273" s="39">
        <f>IF($L273="","",IF(INT(($L273-INT($L273/10000000)*10000000)/1000000)=0,"Bloomberg projection",IF(INT($P273/10)=1,"Announced","ANNOUNCED - amount TBA"))&amp;IF(($P273-INT($P273/10)*10)=1," (special)","")&amp;IF((($P273-INT($P273/10)*10)=1)*(Summary!$C$13="N")&gt;0," - excluded by your specials switch",""))</f>
        <v/>
      </c>
      <c r="J273" s="40">
        <f>IF($L273="","",IF((Override!$C$4="ON")*ISNUMBER(INDEX(Override!$G$13:$G$112,$N273))&gt;0,"stock overridden",""))</f>
        <v/>
      </c>
      <c r="L273" s="41">
        <f>IFERROR(IF(SMALL(Grids!$C$9:$BO$108,$M$7+264)&gt;=(Summary!$C$15+1)*1000000000,"",SMALL(Grids!$C$9:$BO$108,$M$7+264)),"")</f>
        <v/>
      </c>
      <c r="M273" s="41">
        <f>IF($L273="","",INT($L273/1000000000))</f>
        <v/>
      </c>
      <c r="N273" s="41">
        <f>IF($L273="","",INT(($L273-INT($L273/1000000)*1000000)/1000))</f>
        <v/>
      </c>
      <c r="O273" s="41">
        <f>IF($L273="","",$L273-INT($L273/1000)*1000)</f>
        <v/>
      </c>
      <c r="P273" s="41">
        <f>IF($L273="","",INT(($L273-INT($L273/1000000000)*1000000000)/10000000))</f>
        <v/>
      </c>
    </row>
    <row r="274">
      <c r="B274" s="36">
        <f>IF($L274="","",$M274)</f>
        <v/>
      </c>
      <c r="C274" s="16">
        <f>IF($L274="","",INDEX(HSI!$C$7:$C$106,$N274))</f>
        <v/>
      </c>
      <c r="D274" s="16">
        <f>IF($L274="","",INDEX(HSI!$D$7:$D$106,$N274))</f>
        <v/>
      </c>
      <c r="E274" s="37">
        <f>IF($L274="","",IF(INT($P274/10)=0,"TBA",IFERROR(INDEX(Grids!$BQ$9:$EC$108,$N274,$O274),"-")))</f>
        <v/>
      </c>
      <c r="F274" s="16">
        <f>IF($L274="","",INDEX(HSI!$F$7:$F$106,$N274))</f>
        <v/>
      </c>
      <c r="G274" s="37">
        <f>IF($L274="","",IF(INT($P274/10)=0,"TBA",IFERROR(INDEX(Grids!$EE$9:$GQ$108,$N274,$O274),"-")))</f>
        <v/>
      </c>
      <c r="H274" s="38">
        <f>IF($L274="","",SUM($G$10:$G274))</f>
        <v/>
      </c>
      <c r="I274" s="39">
        <f>IF($L274="","",IF(INT(($L274-INT($L274/10000000)*10000000)/1000000)=0,"Bloomberg projection",IF(INT($P274/10)=1,"Announced","ANNOUNCED - amount TBA"))&amp;IF(($P274-INT($P274/10)*10)=1," (special)","")&amp;IF((($P274-INT($P274/10)*10)=1)*(Summary!$C$13="N")&gt;0," - excluded by your specials switch",""))</f>
        <v/>
      </c>
      <c r="J274" s="40">
        <f>IF($L274="","",IF((Override!$C$4="ON")*ISNUMBER(INDEX(Override!$G$13:$G$112,$N274))&gt;0,"stock overridden",""))</f>
        <v/>
      </c>
      <c r="L274" s="41">
        <f>IFERROR(IF(SMALL(Grids!$C$9:$BO$108,$M$7+265)&gt;=(Summary!$C$15+1)*1000000000,"",SMALL(Grids!$C$9:$BO$108,$M$7+265)),"")</f>
        <v/>
      </c>
      <c r="M274" s="41">
        <f>IF($L274="","",INT($L274/1000000000))</f>
        <v/>
      </c>
      <c r="N274" s="41">
        <f>IF($L274="","",INT(($L274-INT($L274/1000000)*1000000)/1000))</f>
        <v/>
      </c>
      <c r="O274" s="41">
        <f>IF($L274="","",$L274-INT($L274/1000)*1000)</f>
        <v/>
      </c>
      <c r="P274" s="41">
        <f>IF($L274="","",INT(($L274-INT($L274/1000000000)*1000000000)/10000000))</f>
        <v/>
      </c>
    </row>
    <row r="275">
      <c r="B275" s="36">
        <f>IF($L275="","",$M275)</f>
        <v/>
      </c>
      <c r="C275" s="16">
        <f>IF($L275="","",INDEX(HSI!$C$7:$C$106,$N275))</f>
        <v/>
      </c>
      <c r="D275" s="16">
        <f>IF($L275="","",INDEX(HSI!$D$7:$D$106,$N275))</f>
        <v/>
      </c>
      <c r="E275" s="37">
        <f>IF($L275="","",IF(INT($P275/10)=0,"TBA",IFERROR(INDEX(Grids!$BQ$9:$EC$108,$N275,$O275),"-")))</f>
        <v/>
      </c>
      <c r="F275" s="16">
        <f>IF($L275="","",INDEX(HSI!$F$7:$F$106,$N275))</f>
        <v/>
      </c>
      <c r="G275" s="37">
        <f>IF($L275="","",IF(INT($P275/10)=0,"TBA",IFERROR(INDEX(Grids!$EE$9:$GQ$108,$N275,$O275),"-")))</f>
        <v/>
      </c>
      <c r="H275" s="38">
        <f>IF($L275="","",SUM($G$10:$G275))</f>
        <v/>
      </c>
      <c r="I275" s="39">
        <f>IF($L275="","",IF(INT(($L275-INT($L275/10000000)*10000000)/1000000)=0,"Bloomberg projection",IF(INT($P275/10)=1,"Announced","ANNOUNCED - amount TBA"))&amp;IF(($P275-INT($P275/10)*10)=1," (special)","")&amp;IF((($P275-INT($P275/10)*10)=1)*(Summary!$C$13="N")&gt;0," - excluded by your specials switch",""))</f>
        <v/>
      </c>
      <c r="J275" s="40">
        <f>IF($L275="","",IF((Override!$C$4="ON")*ISNUMBER(INDEX(Override!$G$13:$G$112,$N275))&gt;0,"stock overridden",""))</f>
        <v/>
      </c>
      <c r="L275" s="41">
        <f>IFERROR(IF(SMALL(Grids!$C$9:$BO$108,$M$7+266)&gt;=(Summary!$C$15+1)*1000000000,"",SMALL(Grids!$C$9:$BO$108,$M$7+266)),"")</f>
        <v/>
      </c>
      <c r="M275" s="41">
        <f>IF($L275="","",INT($L275/1000000000))</f>
        <v/>
      </c>
      <c r="N275" s="41">
        <f>IF($L275="","",INT(($L275-INT($L275/1000000)*1000000)/1000))</f>
        <v/>
      </c>
      <c r="O275" s="41">
        <f>IF($L275="","",$L275-INT($L275/1000)*1000)</f>
        <v/>
      </c>
      <c r="P275" s="41">
        <f>IF($L275="","",INT(($L275-INT($L275/1000000000)*1000000000)/10000000))</f>
        <v/>
      </c>
    </row>
    <row r="276">
      <c r="B276" s="36">
        <f>IF($L276="","",$M276)</f>
        <v/>
      </c>
      <c r="C276" s="16">
        <f>IF($L276="","",INDEX(HSI!$C$7:$C$106,$N276))</f>
        <v/>
      </c>
      <c r="D276" s="16">
        <f>IF($L276="","",INDEX(HSI!$D$7:$D$106,$N276))</f>
        <v/>
      </c>
      <c r="E276" s="37">
        <f>IF($L276="","",IF(INT($P276/10)=0,"TBA",IFERROR(INDEX(Grids!$BQ$9:$EC$108,$N276,$O276),"-")))</f>
        <v/>
      </c>
      <c r="F276" s="16">
        <f>IF($L276="","",INDEX(HSI!$F$7:$F$106,$N276))</f>
        <v/>
      </c>
      <c r="G276" s="37">
        <f>IF($L276="","",IF(INT($P276/10)=0,"TBA",IFERROR(INDEX(Grids!$EE$9:$GQ$108,$N276,$O276),"-")))</f>
        <v/>
      </c>
      <c r="H276" s="38">
        <f>IF($L276="","",SUM($G$10:$G276))</f>
        <v/>
      </c>
      <c r="I276" s="39">
        <f>IF($L276="","",IF(INT(($L276-INT($L276/10000000)*10000000)/1000000)=0,"Bloomberg projection",IF(INT($P276/10)=1,"Announced","ANNOUNCED - amount TBA"))&amp;IF(($P276-INT($P276/10)*10)=1," (special)","")&amp;IF((($P276-INT($P276/10)*10)=1)*(Summary!$C$13="N")&gt;0," - excluded by your specials switch",""))</f>
        <v/>
      </c>
      <c r="J276" s="40">
        <f>IF($L276="","",IF((Override!$C$4="ON")*ISNUMBER(INDEX(Override!$G$13:$G$112,$N276))&gt;0,"stock overridden",""))</f>
        <v/>
      </c>
      <c r="L276" s="41">
        <f>IFERROR(IF(SMALL(Grids!$C$9:$BO$108,$M$7+267)&gt;=(Summary!$C$15+1)*1000000000,"",SMALL(Grids!$C$9:$BO$108,$M$7+267)),"")</f>
        <v/>
      </c>
      <c r="M276" s="41">
        <f>IF($L276="","",INT($L276/1000000000))</f>
        <v/>
      </c>
      <c r="N276" s="41">
        <f>IF($L276="","",INT(($L276-INT($L276/1000000)*1000000)/1000))</f>
        <v/>
      </c>
      <c r="O276" s="41">
        <f>IF($L276="","",$L276-INT($L276/1000)*1000)</f>
        <v/>
      </c>
      <c r="P276" s="41">
        <f>IF($L276="","",INT(($L276-INT($L276/1000000000)*1000000000)/10000000))</f>
        <v/>
      </c>
    </row>
    <row r="277">
      <c r="B277" s="36">
        <f>IF($L277="","",$M277)</f>
        <v/>
      </c>
      <c r="C277" s="16">
        <f>IF($L277="","",INDEX(HSI!$C$7:$C$106,$N277))</f>
        <v/>
      </c>
      <c r="D277" s="16">
        <f>IF($L277="","",INDEX(HSI!$D$7:$D$106,$N277))</f>
        <v/>
      </c>
      <c r="E277" s="37">
        <f>IF($L277="","",IF(INT($P277/10)=0,"TBA",IFERROR(INDEX(Grids!$BQ$9:$EC$108,$N277,$O277),"-")))</f>
        <v/>
      </c>
      <c r="F277" s="16">
        <f>IF($L277="","",INDEX(HSI!$F$7:$F$106,$N277))</f>
        <v/>
      </c>
      <c r="G277" s="37">
        <f>IF($L277="","",IF(INT($P277/10)=0,"TBA",IFERROR(INDEX(Grids!$EE$9:$GQ$108,$N277,$O277),"-")))</f>
        <v/>
      </c>
      <c r="H277" s="38">
        <f>IF($L277="","",SUM($G$10:$G277))</f>
        <v/>
      </c>
      <c r="I277" s="39">
        <f>IF($L277="","",IF(INT(($L277-INT($L277/10000000)*10000000)/1000000)=0,"Bloomberg projection",IF(INT($P277/10)=1,"Announced","ANNOUNCED - amount TBA"))&amp;IF(($P277-INT($P277/10)*10)=1," (special)","")&amp;IF((($P277-INT($P277/10)*10)=1)*(Summary!$C$13="N")&gt;0," - excluded by your specials switch",""))</f>
        <v/>
      </c>
      <c r="J277" s="40">
        <f>IF($L277="","",IF((Override!$C$4="ON")*ISNUMBER(INDEX(Override!$G$13:$G$112,$N277))&gt;0,"stock overridden",""))</f>
        <v/>
      </c>
      <c r="L277" s="41">
        <f>IFERROR(IF(SMALL(Grids!$C$9:$BO$108,$M$7+268)&gt;=(Summary!$C$15+1)*1000000000,"",SMALL(Grids!$C$9:$BO$108,$M$7+268)),"")</f>
        <v/>
      </c>
      <c r="M277" s="41">
        <f>IF($L277="","",INT($L277/1000000000))</f>
        <v/>
      </c>
      <c r="N277" s="41">
        <f>IF($L277="","",INT(($L277-INT($L277/1000000)*1000000)/1000))</f>
        <v/>
      </c>
      <c r="O277" s="41">
        <f>IF($L277="","",$L277-INT($L277/1000)*1000)</f>
        <v/>
      </c>
      <c r="P277" s="41">
        <f>IF($L277="","",INT(($L277-INT($L277/1000000000)*1000000000)/10000000))</f>
        <v/>
      </c>
    </row>
    <row r="278">
      <c r="B278" s="36">
        <f>IF($L278="","",$M278)</f>
        <v/>
      </c>
      <c r="C278" s="16">
        <f>IF($L278="","",INDEX(HSI!$C$7:$C$106,$N278))</f>
        <v/>
      </c>
      <c r="D278" s="16">
        <f>IF($L278="","",INDEX(HSI!$D$7:$D$106,$N278))</f>
        <v/>
      </c>
      <c r="E278" s="37">
        <f>IF($L278="","",IF(INT($P278/10)=0,"TBA",IFERROR(INDEX(Grids!$BQ$9:$EC$108,$N278,$O278),"-")))</f>
        <v/>
      </c>
      <c r="F278" s="16">
        <f>IF($L278="","",INDEX(HSI!$F$7:$F$106,$N278))</f>
        <v/>
      </c>
      <c r="G278" s="37">
        <f>IF($L278="","",IF(INT($P278/10)=0,"TBA",IFERROR(INDEX(Grids!$EE$9:$GQ$108,$N278,$O278),"-")))</f>
        <v/>
      </c>
      <c r="H278" s="38">
        <f>IF($L278="","",SUM($G$10:$G278))</f>
        <v/>
      </c>
      <c r="I278" s="39">
        <f>IF($L278="","",IF(INT(($L278-INT($L278/10000000)*10000000)/1000000)=0,"Bloomberg projection",IF(INT($P278/10)=1,"Announced","ANNOUNCED - amount TBA"))&amp;IF(($P278-INT($P278/10)*10)=1," (special)","")&amp;IF((($P278-INT($P278/10)*10)=1)*(Summary!$C$13="N")&gt;0," - excluded by your specials switch",""))</f>
        <v/>
      </c>
      <c r="J278" s="40">
        <f>IF($L278="","",IF((Override!$C$4="ON")*ISNUMBER(INDEX(Override!$G$13:$G$112,$N278))&gt;0,"stock overridden",""))</f>
        <v/>
      </c>
      <c r="L278" s="41">
        <f>IFERROR(IF(SMALL(Grids!$C$9:$BO$108,$M$7+269)&gt;=(Summary!$C$15+1)*1000000000,"",SMALL(Grids!$C$9:$BO$108,$M$7+269)),"")</f>
        <v/>
      </c>
      <c r="M278" s="41">
        <f>IF($L278="","",INT($L278/1000000000))</f>
        <v/>
      </c>
      <c r="N278" s="41">
        <f>IF($L278="","",INT(($L278-INT($L278/1000000)*1000000)/1000))</f>
        <v/>
      </c>
      <c r="O278" s="41">
        <f>IF($L278="","",$L278-INT($L278/1000)*1000)</f>
        <v/>
      </c>
      <c r="P278" s="41">
        <f>IF($L278="","",INT(($L278-INT($L278/1000000000)*1000000000)/10000000))</f>
        <v/>
      </c>
    </row>
    <row r="279">
      <c r="B279" s="36">
        <f>IF($L279="","",$M279)</f>
        <v/>
      </c>
      <c r="C279" s="16">
        <f>IF($L279="","",INDEX(HSI!$C$7:$C$106,$N279))</f>
        <v/>
      </c>
      <c r="D279" s="16">
        <f>IF($L279="","",INDEX(HSI!$D$7:$D$106,$N279))</f>
        <v/>
      </c>
      <c r="E279" s="37">
        <f>IF($L279="","",IF(INT($P279/10)=0,"TBA",IFERROR(INDEX(Grids!$BQ$9:$EC$108,$N279,$O279),"-")))</f>
        <v/>
      </c>
      <c r="F279" s="16">
        <f>IF($L279="","",INDEX(HSI!$F$7:$F$106,$N279))</f>
        <v/>
      </c>
      <c r="G279" s="37">
        <f>IF($L279="","",IF(INT($P279/10)=0,"TBA",IFERROR(INDEX(Grids!$EE$9:$GQ$108,$N279,$O279),"-")))</f>
        <v/>
      </c>
      <c r="H279" s="38">
        <f>IF($L279="","",SUM($G$10:$G279))</f>
        <v/>
      </c>
      <c r="I279" s="39">
        <f>IF($L279="","",IF(INT(($L279-INT($L279/10000000)*10000000)/1000000)=0,"Bloomberg projection",IF(INT($P279/10)=1,"Announced","ANNOUNCED - amount TBA"))&amp;IF(($P279-INT($P279/10)*10)=1," (special)","")&amp;IF((($P279-INT($P279/10)*10)=1)*(Summary!$C$13="N")&gt;0," - excluded by your specials switch",""))</f>
        <v/>
      </c>
      <c r="J279" s="40">
        <f>IF($L279="","",IF((Override!$C$4="ON")*ISNUMBER(INDEX(Override!$G$13:$G$112,$N279))&gt;0,"stock overridden",""))</f>
        <v/>
      </c>
      <c r="L279" s="41">
        <f>IFERROR(IF(SMALL(Grids!$C$9:$BO$108,$M$7+270)&gt;=(Summary!$C$15+1)*1000000000,"",SMALL(Grids!$C$9:$BO$108,$M$7+270)),"")</f>
        <v/>
      </c>
      <c r="M279" s="41">
        <f>IF($L279="","",INT($L279/1000000000))</f>
        <v/>
      </c>
      <c r="N279" s="41">
        <f>IF($L279="","",INT(($L279-INT($L279/1000000)*1000000)/1000))</f>
        <v/>
      </c>
      <c r="O279" s="41">
        <f>IF($L279="","",$L279-INT($L279/1000)*1000)</f>
        <v/>
      </c>
      <c r="P279" s="41">
        <f>IF($L279="","",INT(($L279-INT($L279/1000000000)*1000000000)/10000000))</f>
        <v/>
      </c>
    </row>
    <row r="280">
      <c r="B280" s="36">
        <f>IF($L280="","",$M280)</f>
        <v/>
      </c>
      <c r="C280" s="16">
        <f>IF($L280="","",INDEX(HSI!$C$7:$C$106,$N280))</f>
        <v/>
      </c>
      <c r="D280" s="16">
        <f>IF($L280="","",INDEX(HSI!$D$7:$D$106,$N280))</f>
        <v/>
      </c>
      <c r="E280" s="37">
        <f>IF($L280="","",IF(INT($P280/10)=0,"TBA",IFERROR(INDEX(Grids!$BQ$9:$EC$108,$N280,$O280),"-")))</f>
        <v/>
      </c>
      <c r="F280" s="16">
        <f>IF($L280="","",INDEX(HSI!$F$7:$F$106,$N280))</f>
        <v/>
      </c>
      <c r="G280" s="37">
        <f>IF($L280="","",IF(INT($P280/10)=0,"TBA",IFERROR(INDEX(Grids!$EE$9:$GQ$108,$N280,$O280),"-")))</f>
        <v/>
      </c>
      <c r="H280" s="38">
        <f>IF($L280="","",SUM($G$10:$G280))</f>
        <v/>
      </c>
      <c r="I280" s="39">
        <f>IF($L280="","",IF(INT(($L280-INT($L280/10000000)*10000000)/1000000)=0,"Bloomberg projection",IF(INT($P280/10)=1,"Announced","ANNOUNCED - amount TBA"))&amp;IF(($P280-INT($P280/10)*10)=1," (special)","")&amp;IF((($P280-INT($P280/10)*10)=1)*(Summary!$C$13="N")&gt;0," - excluded by your specials switch",""))</f>
        <v/>
      </c>
      <c r="J280" s="40">
        <f>IF($L280="","",IF((Override!$C$4="ON")*ISNUMBER(INDEX(Override!$G$13:$G$112,$N280))&gt;0,"stock overridden",""))</f>
        <v/>
      </c>
      <c r="L280" s="41">
        <f>IFERROR(IF(SMALL(Grids!$C$9:$BO$108,$M$7+271)&gt;=(Summary!$C$15+1)*1000000000,"",SMALL(Grids!$C$9:$BO$108,$M$7+271)),"")</f>
        <v/>
      </c>
      <c r="M280" s="41">
        <f>IF($L280="","",INT($L280/1000000000))</f>
        <v/>
      </c>
      <c r="N280" s="41">
        <f>IF($L280="","",INT(($L280-INT($L280/1000000)*1000000)/1000))</f>
        <v/>
      </c>
      <c r="O280" s="41">
        <f>IF($L280="","",$L280-INT($L280/1000)*1000)</f>
        <v/>
      </c>
      <c r="P280" s="41">
        <f>IF($L280="","",INT(($L280-INT($L280/1000000000)*1000000000)/10000000))</f>
        <v/>
      </c>
    </row>
    <row r="281">
      <c r="B281" s="36">
        <f>IF($L281="","",$M281)</f>
        <v/>
      </c>
      <c r="C281" s="16">
        <f>IF($L281="","",INDEX(HSI!$C$7:$C$106,$N281))</f>
        <v/>
      </c>
      <c r="D281" s="16">
        <f>IF($L281="","",INDEX(HSI!$D$7:$D$106,$N281))</f>
        <v/>
      </c>
      <c r="E281" s="37">
        <f>IF($L281="","",IF(INT($P281/10)=0,"TBA",IFERROR(INDEX(Grids!$BQ$9:$EC$108,$N281,$O281),"-")))</f>
        <v/>
      </c>
      <c r="F281" s="16">
        <f>IF($L281="","",INDEX(HSI!$F$7:$F$106,$N281))</f>
        <v/>
      </c>
      <c r="G281" s="37">
        <f>IF($L281="","",IF(INT($P281/10)=0,"TBA",IFERROR(INDEX(Grids!$EE$9:$GQ$108,$N281,$O281),"-")))</f>
        <v/>
      </c>
      <c r="H281" s="38">
        <f>IF($L281="","",SUM($G$10:$G281))</f>
        <v/>
      </c>
      <c r="I281" s="39">
        <f>IF($L281="","",IF(INT(($L281-INT($L281/10000000)*10000000)/1000000)=0,"Bloomberg projection",IF(INT($P281/10)=1,"Announced","ANNOUNCED - amount TBA"))&amp;IF(($P281-INT($P281/10)*10)=1," (special)","")&amp;IF((($P281-INT($P281/10)*10)=1)*(Summary!$C$13="N")&gt;0," - excluded by your specials switch",""))</f>
        <v/>
      </c>
      <c r="J281" s="40">
        <f>IF($L281="","",IF((Override!$C$4="ON")*ISNUMBER(INDEX(Override!$G$13:$G$112,$N281))&gt;0,"stock overridden",""))</f>
        <v/>
      </c>
      <c r="L281" s="41">
        <f>IFERROR(IF(SMALL(Grids!$C$9:$BO$108,$M$7+272)&gt;=(Summary!$C$15+1)*1000000000,"",SMALL(Grids!$C$9:$BO$108,$M$7+272)),"")</f>
        <v/>
      </c>
      <c r="M281" s="41">
        <f>IF($L281="","",INT($L281/1000000000))</f>
        <v/>
      </c>
      <c r="N281" s="41">
        <f>IF($L281="","",INT(($L281-INT($L281/1000000)*1000000)/1000))</f>
        <v/>
      </c>
      <c r="O281" s="41">
        <f>IF($L281="","",$L281-INT($L281/1000)*1000)</f>
        <v/>
      </c>
      <c r="P281" s="41">
        <f>IF($L281="","",INT(($L281-INT($L281/1000000000)*1000000000)/10000000))</f>
        <v/>
      </c>
    </row>
    <row r="282">
      <c r="B282" s="36">
        <f>IF($L282="","",$M282)</f>
        <v/>
      </c>
      <c r="C282" s="16">
        <f>IF($L282="","",INDEX(HSI!$C$7:$C$106,$N282))</f>
        <v/>
      </c>
      <c r="D282" s="16">
        <f>IF($L282="","",INDEX(HSI!$D$7:$D$106,$N282))</f>
        <v/>
      </c>
      <c r="E282" s="37">
        <f>IF($L282="","",IF(INT($P282/10)=0,"TBA",IFERROR(INDEX(Grids!$BQ$9:$EC$108,$N282,$O282),"-")))</f>
        <v/>
      </c>
      <c r="F282" s="16">
        <f>IF($L282="","",INDEX(HSI!$F$7:$F$106,$N282))</f>
        <v/>
      </c>
      <c r="G282" s="37">
        <f>IF($L282="","",IF(INT($P282/10)=0,"TBA",IFERROR(INDEX(Grids!$EE$9:$GQ$108,$N282,$O282),"-")))</f>
        <v/>
      </c>
      <c r="H282" s="38">
        <f>IF($L282="","",SUM($G$10:$G282))</f>
        <v/>
      </c>
      <c r="I282" s="39">
        <f>IF($L282="","",IF(INT(($L282-INT($L282/10000000)*10000000)/1000000)=0,"Bloomberg projection",IF(INT($P282/10)=1,"Announced","ANNOUNCED - amount TBA"))&amp;IF(($P282-INT($P282/10)*10)=1," (special)","")&amp;IF((($P282-INT($P282/10)*10)=1)*(Summary!$C$13="N")&gt;0," - excluded by your specials switch",""))</f>
        <v/>
      </c>
      <c r="J282" s="40">
        <f>IF($L282="","",IF((Override!$C$4="ON")*ISNUMBER(INDEX(Override!$G$13:$G$112,$N282))&gt;0,"stock overridden",""))</f>
        <v/>
      </c>
      <c r="L282" s="41">
        <f>IFERROR(IF(SMALL(Grids!$C$9:$BO$108,$M$7+273)&gt;=(Summary!$C$15+1)*1000000000,"",SMALL(Grids!$C$9:$BO$108,$M$7+273)),"")</f>
        <v/>
      </c>
      <c r="M282" s="41">
        <f>IF($L282="","",INT($L282/1000000000))</f>
        <v/>
      </c>
      <c r="N282" s="41">
        <f>IF($L282="","",INT(($L282-INT($L282/1000000)*1000000)/1000))</f>
        <v/>
      </c>
      <c r="O282" s="41">
        <f>IF($L282="","",$L282-INT($L282/1000)*1000)</f>
        <v/>
      </c>
      <c r="P282" s="41">
        <f>IF($L282="","",INT(($L282-INT($L282/1000000000)*1000000000)/10000000))</f>
        <v/>
      </c>
    </row>
    <row r="283">
      <c r="B283" s="36">
        <f>IF($L283="","",$M283)</f>
        <v/>
      </c>
      <c r="C283" s="16">
        <f>IF($L283="","",INDEX(HSI!$C$7:$C$106,$N283))</f>
        <v/>
      </c>
      <c r="D283" s="16">
        <f>IF($L283="","",INDEX(HSI!$D$7:$D$106,$N283))</f>
        <v/>
      </c>
      <c r="E283" s="37">
        <f>IF($L283="","",IF(INT($P283/10)=0,"TBA",IFERROR(INDEX(Grids!$BQ$9:$EC$108,$N283,$O283),"-")))</f>
        <v/>
      </c>
      <c r="F283" s="16">
        <f>IF($L283="","",INDEX(HSI!$F$7:$F$106,$N283))</f>
        <v/>
      </c>
      <c r="G283" s="37">
        <f>IF($L283="","",IF(INT($P283/10)=0,"TBA",IFERROR(INDEX(Grids!$EE$9:$GQ$108,$N283,$O283),"-")))</f>
        <v/>
      </c>
      <c r="H283" s="38">
        <f>IF($L283="","",SUM($G$10:$G283))</f>
        <v/>
      </c>
      <c r="I283" s="39">
        <f>IF($L283="","",IF(INT(($L283-INT($L283/10000000)*10000000)/1000000)=0,"Bloomberg projection",IF(INT($P283/10)=1,"Announced","ANNOUNCED - amount TBA"))&amp;IF(($P283-INT($P283/10)*10)=1," (special)","")&amp;IF((($P283-INT($P283/10)*10)=1)*(Summary!$C$13="N")&gt;0," - excluded by your specials switch",""))</f>
        <v/>
      </c>
      <c r="J283" s="40">
        <f>IF($L283="","",IF((Override!$C$4="ON")*ISNUMBER(INDEX(Override!$G$13:$G$112,$N283))&gt;0,"stock overridden",""))</f>
        <v/>
      </c>
      <c r="L283" s="41">
        <f>IFERROR(IF(SMALL(Grids!$C$9:$BO$108,$M$7+274)&gt;=(Summary!$C$15+1)*1000000000,"",SMALL(Grids!$C$9:$BO$108,$M$7+274)),"")</f>
        <v/>
      </c>
      <c r="M283" s="41">
        <f>IF($L283="","",INT($L283/1000000000))</f>
        <v/>
      </c>
      <c r="N283" s="41">
        <f>IF($L283="","",INT(($L283-INT($L283/1000000)*1000000)/1000))</f>
        <v/>
      </c>
      <c r="O283" s="41">
        <f>IF($L283="","",$L283-INT($L283/1000)*1000)</f>
        <v/>
      </c>
      <c r="P283" s="41">
        <f>IF($L283="","",INT(($L283-INT($L283/1000000000)*1000000000)/10000000))</f>
        <v/>
      </c>
    </row>
    <row r="284">
      <c r="B284" s="36">
        <f>IF($L284="","",$M284)</f>
        <v/>
      </c>
      <c r="C284" s="16">
        <f>IF($L284="","",INDEX(HSI!$C$7:$C$106,$N284))</f>
        <v/>
      </c>
      <c r="D284" s="16">
        <f>IF($L284="","",INDEX(HSI!$D$7:$D$106,$N284))</f>
        <v/>
      </c>
      <c r="E284" s="37">
        <f>IF($L284="","",IF(INT($P284/10)=0,"TBA",IFERROR(INDEX(Grids!$BQ$9:$EC$108,$N284,$O284),"-")))</f>
        <v/>
      </c>
      <c r="F284" s="16">
        <f>IF($L284="","",INDEX(HSI!$F$7:$F$106,$N284))</f>
        <v/>
      </c>
      <c r="G284" s="37">
        <f>IF($L284="","",IF(INT($P284/10)=0,"TBA",IFERROR(INDEX(Grids!$EE$9:$GQ$108,$N284,$O284),"-")))</f>
        <v/>
      </c>
      <c r="H284" s="38">
        <f>IF($L284="","",SUM($G$10:$G284))</f>
        <v/>
      </c>
      <c r="I284" s="39">
        <f>IF($L284="","",IF(INT(($L284-INT($L284/10000000)*10000000)/1000000)=0,"Bloomberg projection",IF(INT($P284/10)=1,"Announced","ANNOUNCED - amount TBA"))&amp;IF(($P284-INT($P284/10)*10)=1," (special)","")&amp;IF((($P284-INT($P284/10)*10)=1)*(Summary!$C$13="N")&gt;0," - excluded by your specials switch",""))</f>
        <v/>
      </c>
      <c r="J284" s="40">
        <f>IF($L284="","",IF((Override!$C$4="ON")*ISNUMBER(INDEX(Override!$G$13:$G$112,$N284))&gt;0,"stock overridden",""))</f>
        <v/>
      </c>
      <c r="L284" s="41">
        <f>IFERROR(IF(SMALL(Grids!$C$9:$BO$108,$M$7+275)&gt;=(Summary!$C$15+1)*1000000000,"",SMALL(Grids!$C$9:$BO$108,$M$7+275)),"")</f>
        <v/>
      </c>
      <c r="M284" s="41">
        <f>IF($L284="","",INT($L284/1000000000))</f>
        <v/>
      </c>
      <c r="N284" s="41">
        <f>IF($L284="","",INT(($L284-INT($L284/1000000)*1000000)/1000))</f>
        <v/>
      </c>
      <c r="O284" s="41">
        <f>IF($L284="","",$L284-INT($L284/1000)*1000)</f>
        <v/>
      </c>
      <c r="P284" s="41">
        <f>IF($L284="","",INT(($L284-INT($L284/1000000000)*1000000000)/10000000))</f>
        <v/>
      </c>
    </row>
    <row r="285">
      <c r="B285" s="36">
        <f>IF($L285="","",$M285)</f>
        <v/>
      </c>
      <c r="C285" s="16">
        <f>IF($L285="","",INDEX(HSI!$C$7:$C$106,$N285))</f>
        <v/>
      </c>
      <c r="D285" s="16">
        <f>IF($L285="","",INDEX(HSI!$D$7:$D$106,$N285))</f>
        <v/>
      </c>
      <c r="E285" s="37">
        <f>IF($L285="","",IF(INT($P285/10)=0,"TBA",IFERROR(INDEX(Grids!$BQ$9:$EC$108,$N285,$O285),"-")))</f>
        <v/>
      </c>
      <c r="F285" s="16">
        <f>IF($L285="","",INDEX(HSI!$F$7:$F$106,$N285))</f>
        <v/>
      </c>
      <c r="G285" s="37">
        <f>IF($L285="","",IF(INT($P285/10)=0,"TBA",IFERROR(INDEX(Grids!$EE$9:$GQ$108,$N285,$O285),"-")))</f>
        <v/>
      </c>
      <c r="H285" s="38">
        <f>IF($L285="","",SUM($G$10:$G285))</f>
        <v/>
      </c>
      <c r="I285" s="39">
        <f>IF($L285="","",IF(INT(($L285-INT($L285/10000000)*10000000)/1000000)=0,"Bloomberg projection",IF(INT($P285/10)=1,"Announced","ANNOUNCED - amount TBA"))&amp;IF(($P285-INT($P285/10)*10)=1," (special)","")&amp;IF((($P285-INT($P285/10)*10)=1)*(Summary!$C$13="N")&gt;0," - excluded by your specials switch",""))</f>
        <v/>
      </c>
      <c r="J285" s="40">
        <f>IF($L285="","",IF((Override!$C$4="ON")*ISNUMBER(INDEX(Override!$G$13:$G$112,$N285))&gt;0,"stock overridden",""))</f>
        <v/>
      </c>
      <c r="L285" s="41">
        <f>IFERROR(IF(SMALL(Grids!$C$9:$BO$108,$M$7+276)&gt;=(Summary!$C$15+1)*1000000000,"",SMALL(Grids!$C$9:$BO$108,$M$7+276)),"")</f>
        <v/>
      </c>
      <c r="M285" s="41">
        <f>IF($L285="","",INT($L285/1000000000))</f>
        <v/>
      </c>
      <c r="N285" s="41">
        <f>IF($L285="","",INT(($L285-INT($L285/1000000)*1000000)/1000))</f>
        <v/>
      </c>
      <c r="O285" s="41">
        <f>IF($L285="","",$L285-INT($L285/1000)*1000)</f>
        <v/>
      </c>
      <c r="P285" s="41">
        <f>IF($L285="","",INT(($L285-INT($L285/1000000000)*1000000000)/10000000))</f>
        <v/>
      </c>
    </row>
    <row r="286">
      <c r="B286" s="36">
        <f>IF($L286="","",$M286)</f>
        <v/>
      </c>
      <c r="C286" s="16">
        <f>IF($L286="","",INDEX(HSI!$C$7:$C$106,$N286))</f>
        <v/>
      </c>
      <c r="D286" s="16">
        <f>IF($L286="","",INDEX(HSI!$D$7:$D$106,$N286))</f>
        <v/>
      </c>
      <c r="E286" s="37">
        <f>IF($L286="","",IF(INT($P286/10)=0,"TBA",IFERROR(INDEX(Grids!$BQ$9:$EC$108,$N286,$O286),"-")))</f>
        <v/>
      </c>
      <c r="F286" s="16">
        <f>IF($L286="","",INDEX(HSI!$F$7:$F$106,$N286))</f>
        <v/>
      </c>
      <c r="G286" s="37">
        <f>IF($L286="","",IF(INT($P286/10)=0,"TBA",IFERROR(INDEX(Grids!$EE$9:$GQ$108,$N286,$O286),"-")))</f>
        <v/>
      </c>
      <c r="H286" s="38">
        <f>IF($L286="","",SUM($G$10:$G286))</f>
        <v/>
      </c>
      <c r="I286" s="39">
        <f>IF($L286="","",IF(INT(($L286-INT($L286/10000000)*10000000)/1000000)=0,"Bloomberg projection",IF(INT($P286/10)=1,"Announced","ANNOUNCED - amount TBA"))&amp;IF(($P286-INT($P286/10)*10)=1," (special)","")&amp;IF((($P286-INT($P286/10)*10)=1)*(Summary!$C$13="N")&gt;0," - excluded by your specials switch",""))</f>
        <v/>
      </c>
      <c r="J286" s="40">
        <f>IF($L286="","",IF((Override!$C$4="ON")*ISNUMBER(INDEX(Override!$G$13:$G$112,$N286))&gt;0,"stock overridden",""))</f>
        <v/>
      </c>
      <c r="L286" s="41">
        <f>IFERROR(IF(SMALL(Grids!$C$9:$BO$108,$M$7+277)&gt;=(Summary!$C$15+1)*1000000000,"",SMALL(Grids!$C$9:$BO$108,$M$7+277)),"")</f>
        <v/>
      </c>
      <c r="M286" s="41">
        <f>IF($L286="","",INT($L286/1000000000))</f>
        <v/>
      </c>
      <c r="N286" s="41">
        <f>IF($L286="","",INT(($L286-INT($L286/1000000)*1000000)/1000))</f>
        <v/>
      </c>
      <c r="O286" s="41">
        <f>IF($L286="","",$L286-INT($L286/1000)*1000)</f>
        <v/>
      </c>
      <c r="P286" s="41">
        <f>IF($L286="","",INT(($L286-INT($L286/1000000000)*1000000000)/10000000))</f>
        <v/>
      </c>
    </row>
    <row r="287">
      <c r="B287" s="36">
        <f>IF($L287="","",$M287)</f>
        <v/>
      </c>
      <c r="C287" s="16">
        <f>IF($L287="","",INDEX(HSI!$C$7:$C$106,$N287))</f>
        <v/>
      </c>
      <c r="D287" s="16">
        <f>IF($L287="","",INDEX(HSI!$D$7:$D$106,$N287))</f>
        <v/>
      </c>
      <c r="E287" s="37">
        <f>IF($L287="","",IF(INT($P287/10)=0,"TBA",IFERROR(INDEX(Grids!$BQ$9:$EC$108,$N287,$O287),"-")))</f>
        <v/>
      </c>
      <c r="F287" s="16">
        <f>IF($L287="","",INDEX(HSI!$F$7:$F$106,$N287))</f>
        <v/>
      </c>
      <c r="G287" s="37">
        <f>IF($L287="","",IF(INT($P287/10)=0,"TBA",IFERROR(INDEX(Grids!$EE$9:$GQ$108,$N287,$O287),"-")))</f>
        <v/>
      </c>
      <c r="H287" s="38">
        <f>IF($L287="","",SUM($G$10:$G287))</f>
        <v/>
      </c>
      <c r="I287" s="39">
        <f>IF($L287="","",IF(INT(($L287-INT($L287/10000000)*10000000)/1000000)=0,"Bloomberg projection",IF(INT($P287/10)=1,"Announced","ANNOUNCED - amount TBA"))&amp;IF(($P287-INT($P287/10)*10)=1," (special)","")&amp;IF((($P287-INT($P287/10)*10)=1)*(Summary!$C$13="N")&gt;0," - excluded by your specials switch",""))</f>
        <v/>
      </c>
      <c r="J287" s="40">
        <f>IF($L287="","",IF((Override!$C$4="ON")*ISNUMBER(INDEX(Override!$G$13:$G$112,$N287))&gt;0,"stock overridden",""))</f>
        <v/>
      </c>
      <c r="L287" s="41">
        <f>IFERROR(IF(SMALL(Grids!$C$9:$BO$108,$M$7+278)&gt;=(Summary!$C$15+1)*1000000000,"",SMALL(Grids!$C$9:$BO$108,$M$7+278)),"")</f>
        <v/>
      </c>
      <c r="M287" s="41">
        <f>IF($L287="","",INT($L287/1000000000))</f>
        <v/>
      </c>
      <c r="N287" s="41">
        <f>IF($L287="","",INT(($L287-INT($L287/1000000)*1000000)/1000))</f>
        <v/>
      </c>
      <c r="O287" s="41">
        <f>IF($L287="","",$L287-INT($L287/1000)*1000)</f>
        <v/>
      </c>
      <c r="P287" s="41">
        <f>IF($L287="","",INT(($L287-INT($L287/1000000000)*1000000000)/10000000))</f>
        <v/>
      </c>
    </row>
    <row r="288">
      <c r="B288" s="36">
        <f>IF($L288="","",$M288)</f>
        <v/>
      </c>
      <c r="C288" s="16">
        <f>IF($L288="","",INDEX(HSI!$C$7:$C$106,$N288))</f>
        <v/>
      </c>
      <c r="D288" s="16">
        <f>IF($L288="","",INDEX(HSI!$D$7:$D$106,$N288))</f>
        <v/>
      </c>
      <c r="E288" s="37">
        <f>IF($L288="","",IF(INT($P288/10)=0,"TBA",IFERROR(INDEX(Grids!$BQ$9:$EC$108,$N288,$O288),"-")))</f>
        <v/>
      </c>
      <c r="F288" s="16">
        <f>IF($L288="","",INDEX(HSI!$F$7:$F$106,$N288))</f>
        <v/>
      </c>
      <c r="G288" s="37">
        <f>IF($L288="","",IF(INT($P288/10)=0,"TBA",IFERROR(INDEX(Grids!$EE$9:$GQ$108,$N288,$O288),"-")))</f>
        <v/>
      </c>
      <c r="H288" s="38">
        <f>IF($L288="","",SUM($G$10:$G288))</f>
        <v/>
      </c>
      <c r="I288" s="39">
        <f>IF($L288="","",IF(INT(($L288-INT($L288/10000000)*10000000)/1000000)=0,"Bloomberg projection",IF(INT($P288/10)=1,"Announced","ANNOUNCED - amount TBA"))&amp;IF(($P288-INT($P288/10)*10)=1," (special)","")&amp;IF((($P288-INT($P288/10)*10)=1)*(Summary!$C$13="N")&gt;0," - excluded by your specials switch",""))</f>
        <v/>
      </c>
      <c r="J288" s="40">
        <f>IF($L288="","",IF((Override!$C$4="ON")*ISNUMBER(INDEX(Override!$G$13:$G$112,$N288))&gt;0,"stock overridden",""))</f>
        <v/>
      </c>
      <c r="L288" s="41">
        <f>IFERROR(IF(SMALL(Grids!$C$9:$BO$108,$M$7+279)&gt;=(Summary!$C$15+1)*1000000000,"",SMALL(Grids!$C$9:$BO$108,$M$7+279)),"")</f>
        <v/>
      </c>
      <c r="M288" s="41">
        <f>IF($L288="","",INT($L288/1000000000))</f>
        <v/>
      </c>
      <c r="N288" s="41">
        <f>IF($L288="","",INT(($L288-INT($L288/1000000)*1000000)/1000))</f>
        <v/>
      </c>
      <c r="O288" s="41">
        <f>IF($L288="","",$L288-INT($L288/1000)*1000)</f>
        <v/>
      </c>
      <c r="P288" s="41">
        <f>IF($L288="","",INT(($L288-INT($L288/1000000000)*1000000000)/10000000))</f>
        <v/>
      </c>
    </row>
    <row r="289">
      <c r="B289" s="36">
        <f>IF($L289="","",$M289)</f>
        <v/>
      </c>
      <c r="C289" s="16">
        <f>IF($L289="","",INDEX(HSI!$C$7:$C$106,$N289))</f>
        <v/>
      </c>
      <c r="D289" s="16">
        <f>IF($L289="","",INDEX(HSI!$D$7:$D$106,$N289))</f>
        <v/>
      </c>
      <c r="E289" s="37">
        <f>IF($L289="","",IF(INT($P289/10)=0,"TBA",IFERROR(INDEX(Grids!$BQ$9:$EC$108,$N289,$O289),"-")))</f>
        <v/>
      </c>
      <c r="F289" s="16">
        <f>IF($L289="","",INDEX(HSI!$F$7:$F$106,$N289))</f>
        <v/>
      </c>
      <c r="G289" s="37">
        <f>IF($L289="","",IF(INT($P289/10)=0,"TBA",IFERROR(INDEX(Grids!$EE$9:$GQ$108,$N289,$O289),"-")))</f>
        <v/>
      </c>
      <c r="H289" s="38">
        <f>IF($L289="","",SUM($G$10:$G289))</f>
        <v/>
      </c>
      <c r="I289" s="39">
        <f>IF($L289="","",IF(INT(($L289-INT($L289/10000000)*10000000)/1000000)=0,"Bloomberg projection",IF(INT($P289/10)=1,"Announced","ANNOUNCED - amount TBA"))&amp;IF(($P289-INT($P289/10)*10)=1," (special)","")&amp;IF((($P289-INT($P289/10)*10)=1)*(Summary!$C$13="N")&gt;0," - excluded by your specials switch",""))</f>
        <v/>
      </c>
      <c r="J289" s="40">
        <f>IF($L289="","",IF((Override!$C$4="ON")*ISNUMBER(INDEX(Override!$G$13:$G$112,$N289))&gt;0,"stock overridden",""))</f>
        <v/>
      </c>
      <c r="L289" s="41">
        <f>IFERROR(IF(SMALL(Grids!$C$9:$BO$108,$M$7+280)&gt;=(Summary!$C$15+1)*1000000000,"",SMALL(Grids!$C$9:$BO$108,$M$7+280)),"")</f>
        <v/>
      </c>
      <c r="M289" s="41">
        <f>IF($L289="","",INT($L289/1000000000))</f>
        <v/>
      </c>
      <c r="N289" s="41">
        <f>IF($L289="","",INT(($L289-INT($L289/1000000)*1000000)/1000))</f>
        <v/>
      </c>
      <c r="O289" s="41">
        <f>IF($L289="","",$L289-INT($L289/1000)*1000)</f>
        <v/>
      </c>
      <c r="P289" s="41">
        <f>IF($L289="","",INT(($L289-INT($L289/1000000000)*1000000000)/10000000))</f>
        <v/>
      </c>
    </row>
    <row r="290">
      <c r="B290" s="36">
        <f>IF($L290="","",$M290)</f>
        <v/>
      </c>
      <c r="C290" s="16">
        <f>IF($L290="","",INDEX(HSI!$C$7:$C$106,$N290))</f>
        <v/>
      </c>
      <c r="D290" s="16">
        <f>IF($L290="","",INDEX(HSI!$D$7:$D$106,$N290))</f>
        <v/>
      </c>
      <c r="E290" s="37">
        <f>IF($L290="","",IF(INT($P290/10)=0,"TBA",IFERROR(INDEX(Grids!$BQ$9:$EC$108,$N290,$O290),"-")))</f>
        <v/>
      </c>
      <c r="F290" s="16">
        <f>IF($L290="","",INDEX(HSI!$F$7:$F$106,$N290))</f>
        <v/>
      </c>
      <c r="G290" s="37">
        <f>IF($L290="","",IF(INT($P290/10)=0,"TBA",IFERROR(INDEX(Grids!$EE$9:$GQ$108,$N290,$O290),"-")))</f>
        <v/>
      </c>
      <c r="H290" s="38">
        <f>IF($L290="","",SUM($G$10:$G290))</f>
        <v/>
      </c>
      <c r="I290" s="39">
        <f>IF($L290="","",IF(INT(($L290-INT($L290/10000000)*10000000)/1000000)=0,"Bloomberg projection",IF(INT($P290/10)=1,"Announced","ANNOUNCED - amount TBA"))&amp;IF(($P290-INT($P290/10)*10)=1," (special)","")&amp;IF((($P290-INT($P290/10)*10)=1)*(Summary!$C$13="N")&gt;0," - excluded by your specials switch",""))</f>
        <v/>
      </c>
      <c r="J290" s="40">
        <f>IF($L290="","",IF((Override!$C$4="ON")*ISNUMBER(INDEX(Override!$G$13:$G$112,$N290))&gt;0,"stock overridden",""))</f>
        <v/>
      </c>
      <c r="L290" s="41">
        <f>IFERROR(IF(SMALL(Grids!$C$9:$BO$108,$M$7+281)&gt;=(Summary!$C$15+1)*1000000000,"",SMALL(Grids!$C$9:$BO$108,$M$7+281)),"")</f>
        <v/>
      </c>
      <c r="M290" s="41">
        <f>IF($L290="","",INT($L290/1000000000))</f>
        <v/>
      </c>
      <c r="N290" s="41">
        <f>IF($L290="","",INT(($L290-INT($L290/1000000)*1000000)/1000))</f>
        <v/>
      </c>
      <c r="O290" s="41">
        <f>IF($L290="","",$L290-INT($L290/1000)*1000)</f>
        <v/>
      </c>
      <c r="P290" s="41">
        <f>IF($L290="","",INT(($L290-INT($L290/1000000000)*1000000000)/10000000))</f>
        <v/>
      </c>
    </row>
    <row r="291">
      <c r="B291" s="36">
        <f>IF($L291="","",$M291)</f>
        <v/>
      </c>
      <c r="C291" s="16">
        <f>IF($L291="","",INDEX(HSI!$C$7:$C$106,$N291))</f>
        <v/>
      </c>
      <c r="D291" s="16">
        <f>IF($L291="","",INDEX(HSI!$D$7:$D$106,$N291))</f>
        <v/>
      </c>
      <c r="E291" s="37">
        <f>IF($L291="","",IF(INT($P291/10)=0,"TBA",IFERROR(INDEX(Grids!$BQ$9:$EC$108,$N291,$O291),"-")))</f>
        <v/>
      </c>
      <c r="F291" s="16">
        <f>IF($L291="","",INDEX(HSI!$F$7:$F$106,$N291))</f>
        <v/>
      </c>
      <c r="G291" s="37">
        <f>IF($L291="","",IF(INT($P291/10)=0,"TBA",IFERROR(INDEX(Grids!$EE$9:$GQ$108,$N291,$O291),"-")))</f>
        <v/>
      </c>
      <c r="H291" s="38">
        <f>IF($L291="","",SUM($G$10:$G291))</f>
        <v/>
      </c>
      <c r="I291" s="39">
        <f>IF($L291="","",IF(INT(($L291-INT($L291/10000000)*10000000)/1000000)=0,"Bloomberg projection",IF(INT($P291/10)=1,"Announced","ANNOUNCED - amount TBA"))&amp;IF(($P291-INT($P291/10)*10)=1," (special)","")&amp;IF((($P291-INT($P291/10)*10)=1)*(Summary!$C$13="N")&gt;0," - excluded by your specials switch",""))</f>
        <v/>
      </c>
      <c r="J291" s="40">
        <f>IF($L291="","",IF((Override!$C$4="ON")*ISNUMBER(INDEX(Override!$G$13:$G$112,$N291))&gt;0,"stock overridden",""))</f>
        <v/>
      </c>
      <c r="L291" s="41">
        <f>IFERROR(IF(SMALL(Grids!$C$9:$BO$108,$M$7+282)&gt;=(Summary!$C$15+1)*1000000000,"",SMALL(Grids!$C$9:$BO$108,$M$7+282)),"")</f>
        <v/>
      </c>
      <c r="M291" s="41">
        <f>IF($L291="","",INT($L291/1000000000))</f>
        <v/>
      </c>
      <c r="N291" s="41">
        <f>IF($L291="","",INT(($L291-INT($L291/1000000)*1000000)/1000))</f>
        <v/>
      </c>
      <c r="O291" s="41">
        <f>IF($L291="","",$L291-INT($L291/1000)*1000)</f>
        <v/>
      </c>
      <c r="P291" s="41">
        <f>IF($L291="","",INT(($L291-INT($L291/1000000000)*1000000000)/10000000))</f>
        <v/>
      </c>
    </row>
    <row r="292">
      <c r="B292" s="36">
        <f>IF($L292="","",$M292)</f>
        <v/>
      </c>
      <c r="C292" s="16">
        <f>IF($L292="","",INDEX(HSI!$C$7:$C$106,$N292))</f>
        <v/>
      </c>
      <c r="D292" s="16">
        <f>IF($L292="","",INDEX(HSI!$D$7:$D$106,$N292))</f>
        <v/>
      </c>
      <c r="E292" s="37">
        <f>IF($L292="","",IF(INT($P292/10)=0,"TBA",IFERROR(INDEX(Grids!$BQ$9:$EC$108,$N292,$O292),"-")))</f>
        <v/>
      </c>
      <c r="F292" s="16">
        <f>IF($L292="","",INDEX(HSI!$F$7:$F$106,$N292))</f>
        <v/>
      </c>
      <c r="G292" s="37">
        <f>IF($L292="","",IF(INT($P292/10)=0,"TBA",IFERROR(INDEX(Grids!$EE$9:$GQ$108,$N292,$O292),"-")))</f>
        <v/>
      </c>
      <c r="H292" s="38">
        <f>IF($L292="","",SUM($G$10:$G292))</f>
        <v/>
      </c>
      <c r="I292" s="39">
        <f>IF($L292="","",IF(INT(($L292-INT($L292/10000000)*10000000)/1000000)=0,"Bloomberg projection",IF(INT($P292/10)=1,"Announced","ANNOUNCED - amount TBA"))&amp;IF(($P292-INT($P292/10)*10)=1," (special)","")&amp;IF((($P292-INT($P292/10)*10)=1)*(Summary!$C$13="N")&gt;0," - excluded by your specials switch",""))</f>
        <v/>
      </c>
      <c r="J292" s="40">
        <f>IF($L292="","",IF((Override!$C$4="ON")*ISNUMBER(INDEX(Override!$G$13:$G$112,$N292))&gt;0,"stock overridden",""))</f>
        <v/>
      </c>
      <c r="L292" s="41">
        <f>IFERROR(IF(SMALL(Grids!$C$9:$BO$108,$M$7+283)&gt;=(Summary!$C$15+1)*1000000000,"",SMALL(Grids!$C$9:$BO$108,$M$7+283)),"")</f>
        <v/>
      </c>
      <c r="M292" s="41">
        <f>IF($L292="","",INT($L292/1000000000))</f>
        <v/>
      </c>
      <c r="N292" s="41">
        <f>IF($L292="","",INT(($L292-INT($L292/1000000)*1000000)/1000))</f>
        <v/>
      </c>
      <c r="O292" s="41">
        <f>IF($L292="","",$L292-INT($L292/1000)*1000)</f>
        <v/>
      </c>
      <c r="P292" s="41">
        <f>IF($L292="","",INT(($L292-INT($L292/1000000000)*1000000000)/10000000))</f>
        <v/>
      </c>
    </row>
    <row r="293">
      <c r="B293" s="36">
        <f>IF($L293="","",$M293)</f>
        <v/>
      </c>
      <c r="C293" s="16">
        <f>IF($L293="","",INDEX(HSI!$C$7:$C$106,$N293))</f>
        <v/>
      </c>
      <c r="D293" s="16">
        <f>IF($L293="","",INDEX(HSI!$D$7:$D$106,$N293))</f>
        <v/>
      </c>
      <c r="E293" s="37">
        <f>IF($L293="","",IF(INT($P293/10)=0,"TBA",IFERROR(INDEX(Grids!$BQ$9:$EC$108,$N293,$O293),"-")))</f>
        <v/>
      </c>
      <c r="F293" s="16">
        <f>IF($L293="","",INDEX(HSI!$F$7:$F$106,$N293))</f>
        <v/>
      </c>
      <c r="G293" s="37">
        <f>IF($L293="","",IF(INT($P293/10)=0,"TBA",IFERROR(INDEX(Grids!$EE$9:$GQ$108,$N293,$O293),"-")))</f>
        <v/>
      </c>
      <c r="H293" s="38">
        <f>IF($L293="","",SUM($G$10:$G293))</f>
        <v/>
      </c>
      <c r="I293" s="39">
        <f>IF($L293="","",IF(INT(($L293-INT($L293/10000000)*10000000)/1000000)=0,"Bloomberg projection",IF(INT($P293/10)=1,"Announced","ANNOUNCED - amount TBA"))&amp;IF(($P293-INT($P293/10)*10)=1," (special)","")&amp;IF((($P293-INT($P293/10)*10)=1)*(Summary!$C$13="N")&gt;0," - excluded by your specials switch",""))</f>
        <v/>
      </c>
      <c r="J293" s="40">
        <f>IF($L293="","",IF((Override!$C$4="ON")*ISNUMBER(INDEX(Override!$G$13:$G$112,$N293))&gt;0,"stock overridden",""))</f>
        <v/>
      </c>
      <c r="L293" s="41">
        <f>IFERROR(IF(SMALL(Grids!$C$9:$BO$108,$M$7+284)&gt;=(Summary!$C$15+1)*1000000000,"",SMALL(Grids!$C$9:$BO$108,$M$7+284)),"")</f>
        <v/>
      </c>
      <c r="M293" s="41">
        <f>IF($L293="","",INT($L293/1000000000))</f>
        <v/>
      </c>
      <c r="N293" s="41">
        <f>IF($L293="","",INT(($L293-INT($L293/1000000)*1000000)/1000))</f>
        <v/>
      </c>
      <c r="O293" s="41">
        <f>IF($L293="","",$L293-INT($L293/1000)*1000)</f>
        <v/>
      </c>
      <c r="P293" s="41">
        <f>IF($L293="","",INT(($L293-INT($L293/1000000000)*1000000000)/10000000))</f>
        <v/>
      </c>
    </row>
    <row r="294">
      <c r="B294" s="36">
        <f>IF($L294="","",$M294)</f>
        <v/>
      </c>
      <c r="C294" s="16">
        <f>IF($L294="","",INDEX(HSI!$C$7:$C$106,$N294))</f>
        <v/>
      </c>
      <c r="D294" s="16">
        <f>IF($L294="","",INDEX(HSI!$D$7:$D$106,$N294))</f>
        <v/>
      </c>
      <c r="E294" s="37">
        <f>IF($L294="","",IF(INT($P294/10)=0,"TBA",IFERROR(INDEX(Grids!$BQ$9:$EC$108,$N294,$O294),"-")))</f>
        <v/>
      </c>
      <c r="F294" s="16">
        <f>IF($L294="","",INDEX(HSI!$F$7:$F$106,$N294))</f>
        <v/>
      </c>
      <c r="G294" s="37">
        <f>IF($L294="","",IF(INT($P294/10)=0,"TBA",IFERROR(INDEX(Grids!$EE$9:$GQ$108,$N294,$O294),"-")))</f>
        <v/>
      </c>
      <c r="H294" s="38">
        <f>IF($L294="","",SUM($G$10:$G294))</f>
        <v/>
      </c>
      <c r="I294" s="39">
        <f>IF($L294="","",IF(INT(($L294-INT($L294/10000000)*10000000)/1000000)=0,"Bloomberg projection",IF(INT($P294/10)=1,"Announced","ANNOUNCED - amount TBA"))&amp;IF(($P294-INT($P294/10)*10)=1," (special)","")&amp;IF((($P294-INT($P294/10)*10)=1)*(Summary!$C$13="N")&gt;0," - excluded by your specials switch",""))</f>
        <v/>
      </c>
      <c r="J294" s="40">
        <f>IF($L294="","",IF((Override!$C$4="ON")*ISNUMBER(INDEX(Override!$G$13:$G$112,$N294))&gt;0,"stock overridden",""))</f>
        <v/>
      </c>
      <c r="L294" s="41">
        <f>IFERROR(IF(SMALL(Grids!$C$9:$BO$108,$M$7+285)&gt;=(Summary!$C$15+1)*1000000000,"",SMALL(Grids!$C$9:$BO$108,$M$7+285)),"")</f>
        <v/>
      </c>
      <c r="M294" s="41">
        <f>IF($L294="","",INT($L294/1000000000))</f>
        <v/>
      </c>
      <c r="N294" s="41">
        <f>IF($L294="","",INT(($L294-INT($L294/1000000)*1000000)/1000))</f>
        <v/>
      </c>
      <c r="O294" s="41">
        <f>IF($L294="","",$L294-INT($L294/1000)*1000)</f>
        <v/>
      </c>
      <c r="P294" s="41">
        <f>IF($L294="","",INT(($L294-INT($L294/1000000000)*1000000000)/10000000))</f>
        <v/>
      </c>
    </row>
    <row r="295">
      <c r="B295" s="36">
        <f>IF($L295="","",$M295)</f>
        <v/>
      </c>
      <c r="C295" s="16">
        <f>IF($L295="","",INDEX(HSI!$C$7:$C$106,$N295))</f>
        <v/>
      </c>
      <c r="D295" s="16">
        <f>IF($L295="","",INDEX(HSI!$D$7:$D$106,$N295))</f>
        <v/>
      </c>
      <c r="E295" s="37">
        <f>IF($L295="","",IF(INT($P295/10)=0,"TBA",IFERROR(INDEX(Grids!$BQ$9:$EC$108,$N295,$O295),"-")))</f>
        <v/>
      </c>
      <c r="F295" s="16">
        <f>IF($L295="","",INDEX(HSI!$F$7:$F$106,$N295))</f>
        <v/>
      </c>
      <c r="G295" s="37">
        <f>IF($L295="","",IF(INT($P295/10)=0,"TBA",IFERROR(INDEX(Grids!$EE$9:$GQ$108,$N295,$O295),"-")))</f>
        <v/>
      </c>
      <c r="H295" s="38">
        <f>IF($L295="","",SUM($G$10:$G295))</f>
        <v/>
      </c>
      <c r="I295" s="39">
        <f>IF($L295="","",IF(INT(($L295-INT($L295/10000000)*10000000)/1000000)=0,"Bloomberg projection",IF(INT($P295/10)=1,"Announced","ANNOUNCED - amount TBA"))&amp;IF(($P295-INT($P295/10)*10)=1," (special)","")&amp;IF((($P295-INT($P295/10)*10)=1)*(Summary!$C$13="N")&gt;0," - excluded by your specials switch",""))</f>
        <v/>
      </c>
      <c r="J295" s="40">
        <f>IF($L295="","",IF((Override!$C$4="ON")*ISNUMBER(INDEX(Override!$G$13:$G$112,$N295))&gt;0,"stock overridden",""))</f>
        <v/>
      </c>
      <c r="L295" s="41">
        <f>IFERROR(IF(SMALL(Grids!$C$9:$BO$108,$M$7+286)&gt;=(Summary!$C$15+1)*1000000000,"",SMALL(Grids!$C$9:$BO$108,$M$7+286)),"")</f>
        <v/>
      </c>
      <c r="M295" s="41">
        <f>IF($L295="","",INT($L295/1000000000))</f>
        <v/>
      </c>
      <c r="N295" s="41">
        <f>IF($L295="","",INT(($L295-INT($L295/1000000)*1000000)/1000))</f>
        <v/>
      </c>
      <c r="O295" s="41">
        <f>IF($L295="","",$L295-INT($L295/1000)*1000)</f>
        <v/>
      </c>
      <c r="P295" s="41">
        <f>IF($L295="","",INT(($L295-INT($L295/1000000000)*1000000000)/10000000))</f>
        <v/>
      </c>
    </row>
    <row r="296">
      <c r="B296" s="36">
        <f>IF($L296="","",$M296)</f>
        <v/>
      </c>
      <c r="C296" s="16">
        <f>IF($L296="","",INDEX(HSI!$C$7:$C$106,$N296))</f>
        <v/>
      </c>
      <c r="D296" s="16">
        <f>IF($L296="","",INDEX(HSI!$D$7:$D$106,$N296))</f>
        <v/>
      </c>
      <c r="E296" s="37">
        <f>IF($L296="","",IF(INT($P296/10)=0,"TBA",IFERROR(INDEX(Grids!$BQ$9:$EC$108,$N296,$O296),"-")))</f>
        <v/>
      </c>
      <c r="F296" s="16">
        <f>IF($L296="","",INDEX(HSI!$F$7:$F$106,$N296))</f>
        <v/>
      </c>
      <c r="G296" s="37">
        <f>IF($L296="","",IF(INT($P296/10)=0,"TBA",IFERROR(INDEX(Grids!$EE$9:$GQ$108,$N296,$O296),"-")))</f>
        <v/>
      </c>
      <c r="H296" s="38">
        <f>IF($L296="","",SUM($G$10:$G296))</f>
        <v/>
      </c>
      <c r="I296" s="39">
        <f>IF($L296="","",IF(INT(($L296-INT($L296/10000000)*10000000)/1000000)=0,"Bloomberg projection",IF(INT($P296/10)=1,"Announced","ANNOUNCED - amount TBA"))&amp;IF(($P296-INT($P296/10)*10)=1," (special)","")&amp;IF((($P296-INT($P296/10)*10)=1)*(Summary!$C$13="N")&gt;0," - excluded by your specials switch",""))</f>
        <v/>
      </c>
      <c r="J296" s="40">
        <f>IF($L296="","",IF((Override!$C$4="ON")*ISNUMBER(INDEX(Override!$G$13:$G$112,$N296))&gt;0,"stock overridden",""))</f>
        <v/>
      </c>
      <c r="L296" s="41">
        <f>IFERROR(IF(SMALL(Grids!$C$9:$BO$108,$M$7+287)&gt;=(Summary!$C$15+1)*1000000000,"",SMALL(Grids!$C$9:$BO$108,$M$7+287)),"")</f>
        <v/>
      </c>
      <c r="M296" s="41">
        <f>IF($L296="","",INT($L296/1000000000))</f>
        <v/>
      </c>
      <c r="N296" s="41">
        <f>IF($L296="","",INT(($L296-INT($L296/1000000)*1000000)/1000))</f>
        <v/>
      </c>
      <c r="O296" s="41">
        <f>IF($L296="","",$L296-INT($L296/1000)*1000)</f>
        <v/>
      </c>
      <c r="P296" s="41">
        <f>IF($L296="","",INT(($L296-INT($L296/1000000000)*1000000000)/10000000))</f>
        <v/>
      </c>
    </row>
    <row r="297">
      <c r="B297" s="36">
        <f>IF($L297="","",$M297)</f>
        <v/>
      </c>
      <c r="C297" s="16">
        <f>IF($L297="","",INDEX(HSI!$C$7:$C$106,$N297))</f>
        <v/>
      </c>
      <c r="D297" s="16">
        <f>IF($L297="","",INDEX(HSI!$D$7:$D$106,$N297))</f>
        <v/>
      </c>
      <c r="E297" s="37">
        <f>IF($L297="","",IF(INT($P297/10)=0,"TBA",IFERROR(INDEX(Grids!$BQ$9:$EC$108,$N297,$O297),"-")))</f>
        <v/>
      </c>
      <c r="F297" s="16">
        <f>IF($L297="","",INDEX(HSI!$F$7:$F$106,$N297))</f>
        <v/>
      </c>
      <c r="G297" s="37">
        <f>IF($L297="","",IF(INT($P297/10)=0,"TBA",IFERROR(INDEX(Grids!$EE$9:$GQ$108,$N297,$O297),"-")))</f>
        <v/>
      </c>
      <c r="H297" s="38">
        <f>IF($L297="","",SUM($G$10:$G297))</f>
        <v/>
      </c>
      <c r="I297" s="39">
        <f>IF($L297="","",IF(INT(($L297-INT($L297/10000000)*10000000)/1000000)=0,"Bloomberg projection",IF(INT($P297/10)=1,"Announced","ANNOUNCED - amount TBA"))&amp;IF(($P297-INT($P297/10)*10)=1," (special)","")&amp;IF((($P297-INT($P297/10)*10)=1)*(Summary!$C$13="N")&gt;0," - excluded by your specials switch",""))</f>
        <v/>
      </c>
      <c r="J297" s="40">
        <f>IF($L297="","",IF((Override!$C$4="ON")*ISNUMBER(INDEX(Override!$G$13:$G$112,$N297))&gt;0,"stock overridden",""))</f>
        <v/>
      </c>
      <c r="L297" s="41">
        <f>IFERROR(IF(SMALL(Grids!$C$9:$BO$108,$M$7+288)&gt;=(Summary!$C$15+1)*1000000000,"",SMALL(Grids!$C$9:$BO$108,$M$7+288)),"")</f>
        <v/>
      </c>
      <c r="M297" s="41">
        <f>IF($L297="","",INT($L297/1000000000))</f>
        <v/>
      </c>
      <c r="N297" s="41">
        <f>IF($L297="","",INT(($L297-INT($L297/1000000)*1000000)/1000))</f>
        <v/>
      </c>
      <c r="O297" s="41">
        <f>IF($L297="","",$L297-INT($L297/1000)*1000)</f>
        <v/>
      </c>
      <c r="P297" s="41">
        <f>IF($L297="","",INT(($L297-INT($L297/1000000000)*1000000000)/10000000))</f>
        <v/>
      </c>
    </row>
    <row r="298">
      <c r="B298" s="36">
        <f>IF($L298="","",$M298)</f>
        <v/>
      </c>
      <c r="C298" s="16">
        <f>IF($L298="","",INDEX(HSI!$C$7:$C$106,$N298))</f>
        <v/>
      </c>
      <c r="D298" s="16">
        <f>IF($L298="","",INDEX(HSI!$D$7:$D$106,$N298))</f>
        <v/>
      </c>
      <c r="E298" s="37">
        <f>IF($L298="","",IF(INT($P298/10)=0,"TBA",IFERROR(INDEX(Grids!$BQ$9:$EC$108,$N298,$O298),"-")))</f>
        <v/>
      </c>
      <c r="F298" s="16">
        <f>IF($L298="","",INDEX(HSI!$F$7:$F$106,$N298))</f>
        <v/>
      </c>
      <c r="G298" s="37">
        <f>IF($L298="","",IF(INT($P298/10)=0,"TBA",IFERROR(INDEX(Grids!$EE$9:$GQ$108,$N298,$O298),"-")))</f>
        <v/>
      </c>
      <c r="H298" s="38">
        <f>IF($L298="","",SUM($G$10:$G298))</f>
        <v/>
      </c>
      <c r="I298" s="39">
        <f>IF($L298="","",IF(INT(($L298-INT($L298/10000000)*10000000)/1000000)=0,"Bloomberg projection",IF(INT($P298/10)=1,"Announced","ANNOUNCED - amount TBA"))&amp;IF(($P298-INT($P298/10)*10)=1," (special)","")&amp;IF((($P298-INT($P298/10)*10)=1)*(Summary!$C$13="N")&gt;0," - excluded by your specials switch",""))</f>
        <v/>
      </c>
      <c r="J298" s="40">
        <f>IF($L298="","",IF((Override!$C$4="ON")*ISNUMBER(INDEX(Override!$G$13:$G$112,$N298))&gt;0,"stock overridden",""))</f>
        <v/>
      </c>
      <c r="L298" s="41">
        <f>IFERROR(IF(SMALL(Grids!$C$9:$BO$108,$M$7+289)&gt;=(Summary!$C$15+1)*1000000000,"",SMALL(Grids!$C$9:$BO$108,$M$7+289)),"")</f>
        <v/>
      </c>
      <c r="M298" s="41">
        <f>IF($L298="","",INT($L298/1000000000))</f>
        <v/>
      </c>
      <c r="N298" s="41">
        <f>IF($L298="","",INT(($L298-INT($L298/1000000)*1000000)/1000))</f>
        <v/>
      </c>
      <c r="O298" s="41">
        <f>IF($L298="","",$L298-INT($L298/1000)*1000)</f>
        <v/>
      </c>
      <c r="P298" s="41">
        <f>IF($L298="","",INT(($L298-INT($L298/1000000000)*1000000000)/10000000))</f>
        <v/>
      </c>
    </row>
    <row r="299">
      <c r="B299" s="36">
        <f>IF($L299="","",$M299)</f>
        <v/>
      </c>
      <c r="C299" s="16">
        <f>IF($L299="","",INDEX(HSI!$C$7:$C$106,$N299))</f>
        <v/>
      </c>
      <c r="D299" s="16">
        <f>IF($L299="","",INDEX(HSI!$D$7:$D$106,$N299))</f>
        <v/>
      </c>
      <c r="E299" s="37">
        <f>IF($L299="","",IF(INT($P299/10)=0,"TBA",IFERROR(INDEX(Grids!$BQ$9:$EC$108,$N299,$O299),"-")))</f>
        <v/>
      </c>
      <c r="F299" s="16">
        <f>IF($L299="","",INDEX(HSI!$F$7:$F$106,$N299))</f>
        <v/>
      </c>
      <c r="G299" s="37">
        <f>IF($L299="","",IF(INT($P299/10)=0,"TBA",IFERROR(INDEX(Grids!$EE$9:$GQ$108,$N299,$O299),"-")))</f>
        <v/>
      </c>
      <c r="H299" s="38">
        <f>IF($L299="","",SUM($G$10:$G299))</f>
        <v/>
      </c>
      <c r="I299" s="39">
        <f>IF($L299="","",IF(INT(($L299-INT($L299/10000000)*10000000)/1000000)=0,"Bloomberg projection",IF(INT($P299/10)=1,"Announced","ANNOUNCED - amount TBA"))&amp;IF(($P299-INT($P299/10)*10)=1," (special)","")&amp;IF((($P299-INT($P299/10)*10)=1)*(Summary!$C$13="N")&gt;0," - excluded by your specials switch",""))</f>
        <v/>
      </c>
      <c r="J299" s="40">
        <f>IF($L299="","",IF((Override!$C$4="ON")*ISNUMBER(INDEX(Override!$G$13:$G$112,$N299))&gt;0,"stock overridden",""))</f>
        <v/>
      </c>
      <c r="L299" s="41">
        <f>IFERROR(IF(SMALL(Grids!$C$9:$BO$108,$M$7+290)&gt;=(Summary!$C$15+1)*1000000000,"",SMALL(Grids!$C$9:$BO$108,$M$7+290)),"")</f>
        <v/>
      </c>
      <c r="M299" s="41">
        <f>IF($L299="","",INT($L299/1000000000))</f>
        <v/>
      </c>
      <c r="N299" s="41">
        <f>IF($L299="","",INT(($L299-INT($L299/1000000)*1000000)/1000))</f>
        <v/>
      </c>
      <c r="O299" s="41">
        <f>IF($L299="","",$L299-INT($L299/1000)*1000)</f>
        <v/>
      </c>
      <c r="P299" s="41">
        <f>IF($L299="","",INT(($L299-INT($L299/1000000000)*1000000000)/10000000))</f>
        <v/>
      </c>
    </row>
    <row r="300">
      <c r="B300" s="36">
        <f>IF($L300="","",$M300)</f>
        <v/>
      </c>
      <c r="C300" s="16">
        <f>IF($L300="","",INDEX(HSI!$C$7:$C$106,$N300))</f>
        <v/>
      </c>
      <c r="D300" s="16">
        <f>IF($L300="","",INDEX(HSI!$D$7:$D$106,$N300))</f>
        <v/>
      </c>
      <c r="E300" s="37">
        <f>IF($L300="","",IF(INT($P300/10)=0,"TBA",IFERROR(INDEX(Grids!$BQ$9:$EC$108,$N300,$O300),"-")))</f>
        <v/>
      </c>
      <c r="F300" s="16">
        <f>IF($L300="","",INDEX(HSI!$F$7:$F$106,$N300))</f>
        <v/>
      </c>
      <c r="G300" s="37">
        <f>IF($L300="","",IF(INT($P300/10)=0,"TBA",IFERROR(INDEX(Grids!$EE$9:$GQ$108,$N300,$O300),"-")))</f>
        <v/>
      </c>
      <c r="H300" s="38">
        <f>IF($L300="","",SUM($G$10:$G300))</f>
        <v/>
      </c>
      <c r="I300" s="39">
        <f>IF($L300="","",IF(INT(($L300-INT($L300/10000000)*10000000)/1000000)=0,"Bloomberg projection",IF(INT($P300/10)=1,"Announced","ANNOUNCED - amount TBA"))&amp;IF(($P300-INT($P300/10)*10)=1," (special)","")&amp;IF((($P300-INT($P300/10)*10)=1)*(Summary!$C$13="N")&gt;0," - excluded by your specials switch",""))</f>
        <v/>
      </c>
      <c r="J300" s="40">
        <f>IF($L300="","",IF((Override!$C$4="ON")*ISNUMBER(INDEX(Override!$G$13:$G$112,$N300))&gt;0,"stock overridden",""))</f>
        <v/>
      </c>
      <c r="L300" s="41">
        <f>IFERROR(IF(SMALL(Grids!$C$9:$BO$108,$M$7+291)&gt;=(Summary!$C$15+1)*1000000000,"",SMALL(Grids!$C$9:$BO$108,$M$7+291)),"")</f>
        <v/>
      </c>
      <c r="M300" s="41">
        <f>IF($L300="","",INT($L300/1000000000))</f>
        <v/>
      </c>
      <c r="N300" s="41">
        <f>IF($L300="","",INT(($L300-INT($L300/1000000)*1000000)/1000))</f>
        <v/>
      </c>
      <c r="O300" s="41">
        <f>IF($L300="","",$L300-INT($L300/1000)*1000)</f>
        <v/>
      </c>
      <c r="P300" s="41">
        <f>IF($L300="","",INT(($L300-INT($L300/1000000000)*1000000000)/10000000))</f>
        <v/>
      </c>
    </row>
    <row r="301">
      <c r="B301" s="36">
        <f>IF($L301="","",$M301)</f>
        <v/>
      </c>
      <c r="C301" s="16">
        <f>IF($L301="","",INDEX(HSI!$C$7:$C$106,$N301))</f>
        <v/>
      </c>
      <c r="D301" s="16">
        <f>IF($L301="","",INDEX(HSI!$D$7:$D$106,$N301))</f>
        <v/>
      </c>
      <c r="E301" s="37">
        <f>IF($L301="","",IF(INT($P301/10)=0,"TBA",IFERROR(INDEX(Grids!$BQ$9:$EC$108,$N301,$O301),"-")))</f>
        <v/>
      </c>
      <c r="F301" s="16">
        <f>IF($L301="","",INDEX(HSI!$F$7:$F$106,$N301))</f>
        <v/>
      </c>
      <c r="G301" s="37">
        <f>IF($L301="","",IF(INT($P301/10)=0,"TBA",IFERROR(INDEX(Grids!$EE$9:$GQ$108,$N301,$O301),"-")))</f>
        <v/>
      </c>
      <c r="H301" s="38">
        <f>IF($L301="","",SUM($G$10:$G301))</f>
        <v/>
      </c>
      <c r="I301" s="39">
        <f>IF($L301="","",IF(INT(($L301-INT($L301/10000000)*10000000)/1000000)=0,"Bloomberg projection",IF(INT($P301/10)=1,"Announced","ANNOUNCED - amount TBA"))&amp;IF(($P301-INT($P301/10)*10)=1," (special)","")&amp;IF((($P301-INT($P301/10)*10)=1)*(Summary!$C$13="N")&gt;0," - excluded by your specials switch",""))</f>
        <v/>
      </c>
      <c r="J301" s="40">
        <f>IF($L301="","",IF((Override!$C$4="ON")*ISNUMBER(INDEX(Override!$G$13:$G$112,$N301))&gt;0,"stock overridden",""))</f>
        <v/>
      </c>
      <c r="L301" s="41">
        <f>IFERROR(IF(SMALL(Grids!$C$9:$BO$108,$M$7+292)&gt;=(Summary!$C$15+1)*1000000000,"",SMALL(Grids!$C$9:$BO$108,$M$7+292)),"")</f>
        <v/>
      </c>
      <c r="M301" s="41">
        <f>IF($L301="","",INT($L301/1000000000))</f>
        <v/>
      </c>
      <c r="N301" s="41">
        <f>IF($L301="","",INT(($L301-INT($L301/1000000)*1000000)/1000))</f>
        <v/>
      </c>
      <c r="O301" s="41">
        <f>IF($L301="","",$L301-INT($L301/1000)*1000)</f>
        <v/>
      </c>
      <c r="P301" s="41">
        <f>IF($L301="","",INT(($L301-INT($L301/1000000000)*1000000000)/10000000))</f>
        <v/>
      </c>
    </row>
    <row r="302">
      <c r="B302" s="36">
        <f>IF($L302="","",$M302)</f>
        <v/>
      </c>
      <c r="C302" s="16">
        <f>IF($L302="","",INDEX(HSI!$C$7:$C$106,$N302))</f>
        <v/>
      </c>
      <c r="D302" s="16">
        <f>IF($L302="","",INDEX(HSI!$D$7:$D$106,$N302))</f>
        <v/>
      </c>
      <c r="E302" s="37">
        <f>IF($L302="","",IF(INT($P302/10)=0,"TBA",IFERROR(INDEX(Grids!$BQ$9:$EC$108,$N302,$O302),"-")))</f>
        <v/>
      </c>
      <c r="F302" s="16">
        <f>IF($L302="","",INDEX(HSI!$F$7:$F$106,$N302))</f>
        <v/>
      </c>
      <c r="G302" s="37">
        <f>IF($L302="","",IF(INT($P302/10)=0,"TBA",IFERROR(INDEX(Grids!$EE$9:$GQ$108,$N302,$O302),"-")))</f>
        <v/>
      </c>
      <c r="H302" s="38">
        <f>IF($L302="","",SUM($G$10:$G302))</f>
        <v/>
      </c>
      <c r="I302" s="39">
        <f>IF($L302="","",IF(INT(($L302-INT($L302/10000000)*10000000)/1000000)=0,"Bloomberg projection",IF(INT($P302/10)=1,"Announced","ANNOUNCED - amount TBA"))&amp;IF(($P302-INT($P302/10)*10)=1," (special)","")&amp;IF((($P302-INT($P302/10)*10)=1)*(Summary!$C$13="N")&gt;0," - excluded by your specials switch",""))</f>
        <v/>
      </c>
      <c r="J302" s="40">
        <f>IF($L302="","",IF((Override!$C$4="ON")*ISNUMBER(INDEX(Override!$G$13:$G$112,$N302))&gt;0,"stock overridden",""))</f>
        <v/>
      </c>
      <c r="L302" s="41">
        <f>IFERROR(IF(SMALL(Grids!$C$9:$BO$108,$M$7+293)&gt;=(Summary!$C$15+1)*1000000000,"",SMALL(Grids!$C$9:$BO$108,$M$7+293)),"")</f>
        <v/>
      </c>
      <c r="M302" s="41">
        <f>IF($L302="","",INT($L302/1000000000))</f>
        <v/>
      </c>
      <c r="N302" s="41">
        <f>IF($L302="","",INT(($L302-INT($L302/1000000)*1000000)/1000))</f>
        <v/>
      </c>
      <c r="O302" s="41">
        <f>IF($L302="","",$L302-INT($L302/1000)*1000)</f>
        <v/>
      </c>
      <c r="P302" s="41">
        <f>IF($L302="","",INT(($L302-INT($L302/1000000000)*1000000000)/10000000))</f>
        <v/>
      </c>
    </row>
    <row r="303">
      <c r="B303" s="36">
        <f>IF($L303="","",$M303)</f>
        <v/>
      </c>
      <c r="C303" s="16">
        <f>IF($L303="","",INDEX(HSI!$C$7:$C$106,$N303))</f>
        <v/>
      </c>
      <c r="D303" s="16">
        <f>IF($L303="","",INDEX(HSI!$D$7:$D$106,$N303))</f>
        <v/>
      </c>
      <c r="E303" s="37">
        <f>IF($L303="","",IF(INT($P303/10)=0,"TBA",IFERROR(INDEX(Grids!$BQ$9:$EC$108,$N303,$O303),"-")))</f>
        <v/>
      </c>
      <c r="F303" s="16">
        <f>IF($L303="","",INDEX(HSI!$F$7:$F$106,$N303))</f>
        <v/>
      </c>
      <c r="G303" s="37">
        <f>IF($L303="","",IF(INT($P303/10)=0,"TBA",IFERROR(INDEX(Grids!$EE$9:$GQ$108,$N303,$O303),"-")))</f>
        <v/>
      </c>
      <c r="H303" s="38">
        <f>IF($L303="","",SUM($G$10:$G303))</f>
        <v/>
      </c>
      <c r="I303" s="39">
        <f>IF($L303="","",IF(INT(($L303-INT($L303/10000000)*10000000)/1000000)=0,"Bloomberg projection",IF(INT($P303/10)=1,"Announced","ANNOUNCED - amount TBA"))&amp;IF(($P303-INT($P303/10)*10)=1," (special)","")&amp;IF((($P303-INT($P303/10)*10)=1)*(Summary!$C$13="N")&gt;0," - excluded by your specials switch",""))</f>
        <v/>
      </c>
      <c r="J303" s="40">
        <f>IF($L303="","",IF((Override!$C$4="ON")*ISNUMBER(INDEX(Override!$G$13:$G$112,$N303))&gt;0,"stock overridden",""))</f>
        <v/>
      </c>
      <c r="L303" s="41">
        <f>IFERROR(IF(SMALL(Grids!$C$9:$BO$108,$M$7+294)&gt;=(Summary!$C$15+1)*1000000000,"",SMALL(Grids!$C$9:$BO$108,$M$7+294)),"")</f>
        <v/>
      </c>
      <c r="M303" s="41">
        <f>IF($L303="","",INT($L303/1000000000))</f>
        <v/>
      </c>
      <c r="N303" s="41">
        <f>IF($L303="","",INT(($L303-INT($L303/1000000)*1000000)/1000))</f>
        <v/>
      </c>
      <c r="O303" s="41">
        <f>IF($L303="","",$L303-INT($L303/1000)*1000)</f>
        <v/>
      </c>
      <c r="P303" s="41">
        <f>IF($L303="","",INT(($L303-INT($L303/1000000000)*1000000000)/10000000))</f>
        <v/>
      </c>
    </row>
    <row r="304">
      <c r="B304" s="36">
        <f>IF($L304="","",$M304)</f>
        <v/>
      </c>
      <c r="C304" s="16">
        <f>IF($L304="","",INDEX(HSI!$C$7:$C$106,$N304))</f>
        <v/>
      </c>
      <c r="D304" s="16">
        <f>IF($L304="","",INDEX(HSI!$D$7:$D$106,$N304))</f>
        <v/>
      </c>
      <c r="E304" s="37">
        <f>IF($L304="","",IF(INT($P304/10)=0,"TBA",IFERROR(INDEX(Grids!$BQ$9:$EC$108,$N304,$O304),"-")))</f>
        <v/>
      </c>
      <c r="F304" s="16">
        <f>IF($L304="","",INDEX(HSI!$F$7:$F$106,$N304))</f>
        <v/>
      </c>
      <c r="G304" s="37">
        <f>IF($L304="","",IF(INT($P304/10)=0,"TBA",IFERROR(INDEX(Grids!$EE$9:$GQ$108,$N304,$O304),"-")))</f>
        <v/>
      </c>
      <c r="H304" s="38">
        <f>IF($L304="","",SUM($G$10:$G304))</f>
        <v/>
      </c>
      <c r="I304" s="39">
        <f>IF($L304="","",IF(INT(($L304-INT($L304/10000000)*10000000)/1000000)=0,"Bloomberg projection",IF(INT($P304/10)=1,"Announced","ANNOUNCED - amount TBA"))&amp;IF(($P304-INT($P304/10)*10)=1," (special)","")&amp;IF((($P304-INT($P304/10)*10)=1)*(Summary!$C$13="N")&gt;0," - excluded by your specials switch",""))</f>
        <v/>
      </c>
      <c r="J304" s="40">
        <f>IF($L304="","",IF((Override!$C$4="ON")*ISNUMBER(INDEX(Override!$G$13:$G$112,$N304))&gt;0,"stock overridden",""))</f>
        <v/>
      </c>
      <c r="L304" s="41">
        <f>IFERROR(IF(SMALL(Grids!$C$9:$BO$108,$M$7+295)&gt;=(Summary!$C$15+1)*1000000000,"",SMALL(Grids!$C$9:$BO$108,$M$7+295)),"")</f>
        <v/>
      </c>
      <c r="M304" s="41">
        <f>IF($L304="","",INT($L304/1000000000))</f>
        <v/>
      </c>
      <c r="N304" s="41">
        <f>IF($L304="","",INT(($L304-INT($L304/1000000)*1000000)/1000))</f>
        <v/>
      </c>
      <c r="O304" s="41">
        <f>IF($L304="","",$L304-INT($L304/1000)*1000)</f>
        <v/>
      </c>
      <c r="P304" s="41">
        <f>IF($L304="","",INT(($L304-INT($L304/1000000000)*1000000000)/10000000))</f>
        <v/>
      </c>
    </row>
    <row r="305">
      <c r="B305" s="36">
        <f>IF($L305="","",$M305)</f>
        <v/>
      </c>
      <c r="C305" s="16">
        <f>IF($L305="","",INDEX(HSI!$C$7:$C$106,$N305))</f>
        <v/>
      </c>
      <c r="D305" s="16">
        <f>IF($L305="","",INDEX(HSI!$D$7:$D$106,$N305))</f>
        <v/>
      </c>
      <c r="E305" s="37">
        <f>IF($L305="","",IF(INT($P305/10)=0,"TBA",IFERROR(INDEX(Grids!$BQ$9:$EC$108,$N305,$O305),"-")))</f>
        <v/>
      </c>
      <c r="F305" s="16">
        <f>IF($L305="","",INDEX(HSI!$F$7:$F$106,$N305))</f>
        <v/>
      </c>
      <c r="G305" s="37">
        <f>IF($L305="","",IF(INT($P305/10)=0,"TBA",IFERROR(INDEX(Grids!$EE$9:$GQ$108,$N305,$O305),"-")))</f>
        <v/>
      </c>
      <c r="H305" s="38">
        <f>IF($L305="","",SUM($G$10:$G305))</f>
        <v/>
      </c>
      <c r="I305" s="39">
        <f>IF($L305="","",IF(INT(($L305-INT($L305/10000000)*10000000)/1000000)=0,"Bloomberg projection",IF(INT($P305/10)=1,"Announced","ANNOUNCED - amount TBA"))&amp;IF(($P305-INT($P305/10)*10)=1," (special)","")&amp;IF((($P305-INT($P305/10)*10)=1)*(Summary!$C$13="N")&gt;0," - excluded by your specials switch",""))</f>
        <v/>
      </c>
      <c r="J305" s="40">
        <f>IF($L305="","",IF((Override!$C$4="ON")*ISNUMBER(INDEX(Override!$G$13:$G$112,$N305))&gt;0,"stock overridden",""))</f>
        <v/>
      </c>
      <c r="L305" s="41">
        <f>IFERROR(IF(SMALL(Grids!$C$9:$BO$108,$M$7+296)&gt;=(Summary!$C$15+1)*1000000000,"",SMALL(Grids!$C$9:$BO$108,$M$7+296)),"")</f>
        <v/>
      </c>
      <c r="M305" s="41">
        <f>IF($L305="","",INT($L305/1000000000))</f>
        <v/>
      </c>
      <c r="N305" s="41">
        <f>IF($L305="","",INT(($L305-INT($L305/1000000)*1000000)/1000))</f>
        <v/>
      </c>
      <c r="O305" s="41">
        <f>IF($L305="","",$L305-INT($L305/1000)*1000)</f>
        <v/>
      </c>
      <c r="P305" s="41">
        <f>IF($L305="","",INT(($L305-INT($L305/1000000000)*1000000000)/10000000))</f>
        <v/>
      </c>
    </row>
    <row r="306">
      <c r="B306" s="36">
        <f>IF($L306="","",$M306)</f>
        <v/>
      </c>
      <c r="C306" s="16">
        <f>IF($L306="","",INDEX(HSI!$C$7:$C$106,$N306))</f>
        <v/>
      </c>
      <c r="D306" s="16">
        <f>IF($L306="","",INDEX(HSI!$D$7:$D$106,$N306))</f>
        <v/>
      </c>
      <c r="E306" s="37">
        <f>IF($L306="","",IF(INT($P306/10)=0,"TBA",IFERROR(INDEX(Grids!$BQ$9:$EC$108,$N306,$O306),"-")))</f>
        <v/>
      </c>
      <c r="F306" s="16">
        <f>IF($L306="","",INDEX(HSI!$F$7:$F$106,$N306))</f>
        <v/>
      </c>
      <c r="G306" s="37">
        <f>IF($L306="","",IF(INT($P306/10)=0,"TBA",IFERROR(INDEX(Grids!$EE$9:$GQ$108,$N306,$O306),"-")))</f>
        <v/>
      </c>
      <c r="H306" s="38">
        <f>IF($L306="","",SUM($G$10:$G306))</f>
        <v/>
      </c>
      <c r="I306" s="39">
        <f>IF($L306="","",IF(INT(($L306-INT($L306/10000000)*10000000)/1000000)=0,"Bloomberg projection",IF(INT($P306/10)=1,"Announced","ANNOUNCED - amount TBA"))&amp;IF(($P306-INT($P306/10)*10)=1," (special)","")&amp;IF((($P306-INT($P306/10)*10)=1)*(Summary!$C$13="N")&gt;0," - excluded by your specials switch",""))</f>
        <v/>
      </c>
      <c r="J306" s="40">
        <f>IF($L306="","",IF((Override!$C$4="ON")*ISNUMBER(INDEX(Override!$G$13:$G$112,$N306))&gt;0,"stock overridden",""))</f>
        <v/>
      </c>
      <c r="L306" s="41">
        <f>IFERROR(IF(SMALL(Grids!$C$9:$BO$108,$M$7+297)&gt;=(Summary!$C$15+1)*1000000000,"",SMALL(Grids!$C$9:$BO$108,$M$7+297)),"")</f>
        <v/>
      </c>
      <c r="M306" s="41">
        <f>IF($L306="","",INT($L306/1000000000))</f>
        <v/>
      </c>
      <c r="N306" s="41">
        <f>IF($L306="","",INT(($L306-INT($L306/1000000)*1000000)/1000))</f>
        <v/>
      </c>
      <c r="O306" s="41">
        <f>IF($L306="","",$L306-INT($L306/1000)*1000)</f>
        <v/>
      </c>
      <c r="P306" s="41">
        <f>IF($L306="","",INT(($L306-INT($L306/1000000000)*1000000000)/10000000))</f>
        <v/>
      </c>
    </row>
    <row r="307">
      <c r="B307" s="36">
        <f>IF($L307="","",$M307)</f>
        <v/>
      </c>
      <c r="C307" s="16">
        <f>IF($L307="","",INDEX(HSI!$C$7:$C$106,$N307))</f>
        <v/>
      </c>
      <c r="D307" s="16">
        <f>IF($L307="","",INDEX(HSI!$D$7:$D$106,$N307))</f>
        <v/>
      </c>
      <c r="E307" s="37">
        <f>IF($L307="","",IF(INT($P307/10)=0,"TBA",IFERROR(INDEX(Grids!$BQ$9:$EC$108,$N307,$O307),"-")))</f>
        <v/>
      </c>
      <c r="F307" s="16">
        <f>IF($L307="","",INDEX(HSI!$F$7:$F$106,$N307))</f>
        <v/>
      </c>
      <c r="G307" s="37">
        <f>IF($L307="","",IF(INT($P307/10)=0,"TBA",IFERROR(INDEX(Grids!$EE$9:$GQ$108,$N307,$O307),"-")))</f>
        <v/>
      </c>
      <c r="H307" s="38">
        <f>IF($L307="","",SUM($G$10:$G307))</f>
        <v/>
      </c>
      <c r="I307" s="39">
        <f>IF($L307="","",IF(INT(($L307-INT($L307/10000000)*10000000)/1000000)=0,"Bloomberg projection",IF(INT($P307/10)=1,"Announced","ANNOUNCED - amount TBA"))&amp;IF(($P307-INT($P307/10)*10)=1," (special)","")&amp;IF((($P307-INT($P307/10)*10)=1)*(Summary!$C$13="N")&gt;0," - excluded by your specials switch",""))</f>
        <v/>
      </c>
      <c r="J307" s="40">
        <f>IF($L307="","",IF((Override!$C$4="ON")*ISNUMBER(INDEX(Override!$G$13:$G$112,$N307))&gt;0,"stock overridden",""))</f>
        <v/>
      </c>
      <c r="L307" s="41">
        <f>IFERROR(IF(SMALL(Grids!$C$9:$BO$108,$M$7+298)&gt;=(Summary!$C$15+1)*1000000000,"",SMALL(Grids!$C$9:$BO$108,$M$7+298)),"")</f>
        <v/>
      </c>
      <c r="M307" s="41">
        <f>IF($L307="","",INT($L307/1000000000))</f>
        <v/>
      </c>
      <c r="N307" s="41">
        <f>IF($L307="","",INT(($L307-INT($L307/1000000)*1000000)/1000))</f>
        <v/>
      </c>
      <c r="O307" s="41">
        <f>IF($L307="","",$L307-INT($L307/1000)*1000)</f>
        <v/>
      </c>
      <c r="P307" s="41">
        <f>IF($L307="","",INT(($L307-INT($L307/1000000000)*1000000000)/10000000))</f>
        <v/>
      </c>
    </row>
    <row r="308">
      <c r="B308" s="36">
        <f>IF($L308="","",$M308)</f>
        <v/>
      </c>
      <c r="C308" s="16">
        <f>IF($L308="","",INDEX(HSI!$C$7:$C$106,$N308))</f>
        <v/>
      </c>
      <c r="D308" s="16">
        <f>IF($L308="","",INDEX(HSI!$D$7:$D$106,$N308))</f>
        <v/>
      </c>
      <c r="E308" s="37">
        <f>IF($L308="","",IF(INT($P308/10)=0,"TBA",IFERROR(INDEX(Grids!$BQ$9:$EC$108,$N308,$O308),"-")))</f>
        <v/>
      </c>
      <c r="F308" s="16">
        <f>IF($L308="","",INDEX(HSI!$F$7:$F$106,$N308))</f>
        <v/>
      </c>
      <c r="G308" s="37">
        <f>IF($L308="","",IF(INT($P308/10)=0,"TBA",IFERROR(INDEX(Grids!$EE$9:$GQ$108,$N308,$O308),"-")))</f>
        <v/>
      </c>
      <c r="H308" s="38">
        <f>IF($L308="","",SUM($G$10:$G308))</f>
        <v/>
      </c>
      <c r="I308" s="39">
        <f>IF($L308="","",IF(INT(($L308-INT($L308/10000000)*10000000)/1000000)=0,"Bloomberg projection",IF(INT($P308/10)=1,"Announced","ANNOUNCED - amount TBA"))&amp;IF(($P308-INT($P308/10)*10)=1," (special)","")&amp;IF((($P308-INT($P308/10)*10)=1)*(Summary!$C$13="N")&gt;0," - excluded by your specials switch",""))</f>
        <v/>
      </c>
      <c r="J308" s="40">
        <f>IF($L308="","",IF((Override!$C$4="ON")*ISNUMBER(INDEX(Override!$G$13:$G$112,$N308))&gt;0,"stock overridden",""))</f>
        <v/>
      </c>
      <c r="L308" s="41">
        <f>IFERROR(IF(SMALL(Grids!$C$9:$BO$108,$M$7+299)&gt;=(Summary!$C$15+1)*1000000000,"",SMALL(Grids!$C$9:$BO$108,$M$7+299)),"")</f>
        <v/>
      </c>
      <c r="M308" s="41">
        <f>IF($L308="","",INT($L308/1000000000))</f>
        <v/>
      </c>
      <c r="N308" s="41">
        <f>IF($L308="","",INT(($L308-INT($L308/1000000)*1000000)/1000))</f>
        <v/>
      </c>
      <c r="O308" s="41">
        <f>IF($L308="","",$L308-INT($L308/1000)*1000)</f>
        <v/>
      </c>
      <c r="P308" s="41">
        <f>IF($L308="","",INT(($L308-INT($L308/1000000000)*1000000000)/10000000))</f>
        <v/>
      </c>
    </row>
    <row r="309">
      <c r="B309" s="36">
        <f>IF($L309="","",$M309)</f>
        <v/>
      </c>
      <c r="C309" s="16">
        <f>IF($L309="","",INDEX(HSI!$C$7:$C$106,$N309))</f>
        <v/>
      </c>
      <c r="D309" s="16">
        <f>IF($L309="","",INDEX(HSI!$D$7:$D$106,$N309))</f>
        <v/>
      </c>
      <c r="E309" s="37">
        <f>IF($L309="","",IF(INT($P309/10)=0,"TBA",IFERROR(INDEX(Grids!$BQ$9:$EC$108,$N309,$O309),"-")))</f>
        <v/>
      </c>
      <c r="F309" s="16">
        <f>IF($L309="","",INDEX(HSI!$F$7:$F$106,$N309))</f>
        <v/>
      </c>
      <c r="G309" s="37">
        <f>IF($L309="","",IF(INT($P309/10)=0,"TBA",IFERROR(INDEX(Grids!$EE$9:$GQ$108,$N309,$O309),"-")))</f>
        <v/>
      </c>
      <c r="H309" s="38">
        <f>IF($L309="","",SUM($G$10:$G309))</f>
        <v/>
      </c>
      <c r="I309" s="39">
        <f>IF($L309="","",IF(INT(($L309-INT($L309/10000000)*10000000)/1000000)=0,"Bloomberg projection",IF(INT($P309/10)=1,"Announced","ANNOUNCED - amount TBA"))&amp;IF(($P309-INT($P309/10)*10)=1," (special)","")&amp;IF((($P309-INT($P309/10)*10)=1)*(Summary!$C$13="N")&gt;0," - excluded by your specials switch",""))</f>
        <v/>
      </c>
      <c r="J309" s="40">
        <f>IF($L309="","",IF((Override!$C$4="ON")*ISNUMBER(INDEX(Override!$G$13:$G$112,$N309))&gt;0,"stock overridden",""))</f>
        <v/>
      </c>
      <c r="L309" s="41">
        <f>IFERROR(IF(SMALL(Grids!$C$9:$BO$108,$M$7+300)&gt;=(Summary!$C$15+1)*1000000000,"",SMALL(Grids!$C$9:$BO$108,$M$7+300)),"")</f>
        <v/>
      </c>
      <c r="M309" s="41">
        <f>IF($L309="","",INT($L309/1000000000))</f>
        <v/>
      </c>
      <c r="N309" s="41">
        <f>IF($L309="","",INT(($L309-INT($L309/1000000)*1000000)/1000))</f>
        <v/>
      </c>
      <c r="O309" s="41">
        <f>IF($L309="","",$L309-INT($L309/1000)*1000)</f>
        <v/>
      </c>
      <c r="P309" s="41">
        <f>IF($L309="","",INT(($L309-INT($L309/1000000000)*1000000000)/10000000))</f>
        <v/>
      </c>
    </row>
    <row r="312">
      <c r="B312" s="3" t="inlineStr">
        <is>
          <t>Hang Seng TECH Index (HSTECH)</t>
        </is>
      </c>
      <c r="C312" s="4" t="n"/>
      <c r="D312" s="4" t="n"/>
      <c r="E312" s="4" t="n"/>
      <c r="F312" s="4" t="n"/>
      <c r="G312" s="4" t="n"/>
      <c r="H312" s="4" t="n"/>
      <c r="I312" s="4" t="n"/>
      <c r="J312" s="4" t="n"/>
    </row>
    <row r="313">
      <c r="B313" s="2" t="inlineStr">
        <is>
          <t>Events pending</t>
        </is>
      </c>
      <c r="C313" s="33">
        <f>COUNTIFS(Grids!$C$113:$BO$152,"&gt;="&amp;(Summary!$C$11+1)*1000000000,Grids!$C$113:$BO$152,"&lt;"&amp;(Summary!$C$15+1)*1000000000)</f>
        <v/>
      </c>
      <c r="D313" s="34">
        <f>IF($C$313&gt;120,"LIST TRUNCATED - showing the first 120. They are still counted in the model.","all of them are listed below")</f>
        <v/>
      </c>
      <c r="L313" s="2" t="inlineStr">
        <is>
          <t>offset</t>
        </is>
      </c>
      <c r="M313" s="35">
        <f>COUNTIF(Grids!$C$113:$BO$152,"&lt;"&amp;(Summary!$C$11+1)*1000000000)</f>
        <v/>
      </c>
    </row>
    <row r="315">
      <c r="B315" s="17" t="inlineStr">
        <is>
          <t>Ex-date</t>
        </is>
      </c>
      <c r="C315" s="17" t="inlineStr">
        <is>
          <t>Ticker</t>
        </is>
      </c>
      <c r="D315" s="17" t="inlineStr">
        <is>
          <t>Name</t>
        </is>
      </c>
      <c r="E315" s="17" t="inlineStr">
        <is>
          <t>DPS
(declared ccy)</t>
        </is>
      </c>
      <c r="F315" s="17" t="inlineStr">
        <is>
          <t>CCY</t>
        </is>
      </c>
      <c r="G315" s="17" t="inlineStr">
        <is>
          <t>Index
pts</t>
        </is>
      </c>
      <c r="H315" s="17" t="inlineStr">
        <is>
          <t>Cumulative
pts</t>
        </is>
      </c>
      <c r="I315" s="17" t="inlineStr">
        <is>
          <t>Status</t>
        </is>
      </c>
      <c r="J315" s="17" t="inlineStr">
        <is>
          <t>Your override?</t>
        </is>
      </c>
      <c r="L315" s="2" t="inlineStr">
        <is>
          <t>engine - ignore</t>
        </is>
      </c>
      <c r="M315" s="2" t="inlineStr">
        <is>
          <t>code</t>
        </is>
      </c>
      <c r="N315" s="2" t="inlineStr">
        <is>
          <t>stock</t>
        </is>
      </c>
      <c r="O315" s="2" t="inlineStr">
        <is>
          <t>slot</t>
        </is>
      </c>
      <c r="P315" s="2" t="inlineStr">
        <is>
          <t>amt/spc</t>
        </is>
      </c>
    </row>
    <row r="316">
      <c r="B316" s="36">
        <f>IF($L316="","",$M316)</f>
        <v/>
      </c>
      <c r="C316" s="16">
        <f>IF($L316="","",INDEX(HSTECH!$C$7:$C$46,$N316))</f>
        <v/>
      </c>
      <c r="D316" s="16">
        <f>IF($L316="","",INDEX(HSTECH!$D$7:$D$46,$N316))</f>
        <v/>
      </c>
      <c r="E316" s="37">
        <f>IF($L316="","",IF(INT($P316/10)=0,"TBA",IFERROR(INDEX(Grids!$BQ$113:$EC$152,$N316,$O316),"-")))</f>
        <v/>
      </c>
      <c r="F316" s="16">
        <f>IF($L316="","",INDEX(HSTECH!$F$7:$F$46,$N316))</f>
        <v/>
      </c>
      <c r="G316" s="37">
        <f>IF($L316="","",IF(INT($P316/10)=0,"TBA",IFERROR(INDEX(Grids!$EE$113:$GQ$152,$N316,$O316),"-")))</f>
        <v/>
      </c>
      <c r="H316" s="38">
        <f>IF($L316="","",SUM($G$316:$G316))</f>
        <v/>
      </c>
      <c r="I316" s="39">
        <f>IF($L316="","",IF(INT(($L316-INT($L316/10000000)*10000000)/1000000)=0,"Bloomberg projection",IF(INT($P316/10)=1,"Announced","ANNOUNCED - amount TBA"))&amp;IF(($P316-INT($P316/10)*10)=1," (special)","")&amp;IF((($P316-INT($P316/10)*10)=1)*(Summary!$C$13="N")&gt;0," - excluded by your specials switch",""))</f>
        <v/>
      </c>
      <c r="J316" s="40">
        <f>IF($L316="","",IF((Override!$C$4="ON")*ISNUMBER(INDEX(Override!$G$113:$G$152,$N316))&gt;0,"stock overridden",""))</f>
        <v/>
      </c>
      <c r="L316" s="41">
        <f>IFERROR(IF(SMALL(Grids!$C$113:$BO$152,$M$313+1)&gt;=(Summary!$C$15+1)*1000000000,"",SMALL(Grids!$C$113:$BO$152,$M$313+1)),"")</f>
        <v/>
      </c>
      <c r="M316" s="41">
        <f>IF($L316="","",INT($L316/1000000000))</f>
        <v/>
      </c>
      <c r="N316" s="41">
        <f>IF($L316="","",INT(($L316-INT($L316/1000000)*1000000)/1000))</f>
        <v/>
      </c>
      <c r="O316" s="41">
        <f>IF($L316="","",$L316-INT($L316/1000)*1000)</f>
        <v/>
      </c>
      <c r="P316" s="41">
        <f>IF($L316="","",INT(($L316-INT($L316/1000000000)*1000000000)/10000000))</f>
        <v/>
      </c>
    </row>
    <row r="317">
      <c r="B317" s="36">
        <f>IF($L317="","",$M317)</f>
        <v/>
      </c>
      <c r="C317" s="16">
        <f>IF($L317="","",INDEX(HSTECH!$C$7:$C$46,$N317))</f>
        <v/>
      </c>
      <c r="D317" s="16">
        <f>IF($L317="","",INDEX(HSTECH!$D$7:$D$46,$N317))</f>
        <v/>
      </c>
      <c r="E317" s="37">
        <f>IF($L317="","",IF(INT($P317/10)=0,"TBA",IFERROR(INDEX(Grids!$BQ$113:$EC$152,$N317,$O317),"-")))</f>
        <v/>
      </c>
      <c r="F317" s="16">
        <f>IF($L317="","",INDEX(HSTECH!$F$7:$F$46,$N317))</f>
        <v/>
      </c>
      <c r="G317" s="37">
        <f>IF($L317="","",IF(INT($P317/10)=0,"TBA",IFERROR(INDEX(Grids!$EE$113:$GQ$152,$N317,$O317),"-")))</f>
        <v/>
      </c>
      <c r="H317" s="38">
        <f>IF($L317="","",SUM($G$316:$G317))</f>
        <v/>
      </c>
      <c r="I317" s="39">
        <f>IF($L317="","",IF(INT(($L317-INT($L317/10000000)*10000000)/1000000)=0,"Bloomberg projection",IF(INT($P317/10)=1,"Announced","ANNOUNCED - amount TBA"))&amp;IF(($P317-INT($P317/10)*10)=1," (special)","")&amp;IF((($P317-INT($P317/10)*10)=1)*(Summary!$C$13="N")&gt;0," - excluded by your specials switch",""))</f>
        <v/>
      </c>
      <c r="J317" s="40">
        <f>IF($L317="","",IF((Override!$C$4="ON")*ISNUMBER(INDEX(Override!$G$113:$G$152,$N317))&gt;0,"stock overridden",""))</f>
        <v/>
      </c>
      <c r="L317" s="41">
        <f>IFERROR(IF(SMALL(Grids!$C$113:$BO$152,$M$313+2)&gt;=(Summary!$C$15+1)*1000000000,"",SMALL(Grids!$C$113:$BO$152,$M$313+2)),"")</f>
        <v/>
      </c>
      <c r="M317" s="41">
        <f>IF($L317="","",INT($L317/1000000000))</f>
        <v/>
      </c>
      <c r="N317" s="41">
        <f>IF($L317="","",INT(($L317-INT($L317/1000000)*1000000)/1000))</f>
        <v/>
      </c>
      <c r="O317" s="41">
        <f>IF($L317="","",$L317-INT($L317/1000)*1000)</f>
        <v/>
      </c>
      <c r="P317" s="41">
        <f>IF($L317="","",INT(($L317-INT($L317/1000000000)*1000000000)/10000000))</f>
        <v/>
      </c>
    </row>
    <row r="318">
      <c r="B318" s="36">
        <f>IF($L318="","",$M318)</f>
        <v/>
      </c>
      <c r="C318" s="16">
        <f>IF($L318="","",INDEX(HSTECH!$C$7:$C$46,$N318))</f>
        <v/>
      </c>
      <c r="D318" s="16">
        <f>IF($L318="","",INDEX(HSTECH!$D$7:$D$46,$N318))</f>
        <v/>
      </c>
      <c r="E318" s="37">
        <f>IF($L318="","",IF(INT($P318/10)=0,"TBA",IFERROR(INDEX(Grids!$BQ$113:$EC$152,$N318,$O318),"-")))</f>
        <v/>
      </c>
      <c r="F318" s="16">
        <f>IF($L318="","",INDEX(HSTECH!$F$7:$F$46,$N318))</f>
        <v/>
      </c>
      <c r="G318" s="37">
        <f>IF($L318="","",IF(INT($P318/10)=0,"TBA",IFERROR(INDEX(Grids!$EE$113:$GQ$152,$N318,$O318),"-")))</f>
        <v/>
      </c>
      <c r="H318" s="38">
        <f>IF($L318="","",SUM($G$316:$G318))</f>
        <v/>
      </c>
      <c r="I318" s="39">
        <f>IF($L318="","",IF(INT(($L318-INT($L318/10000000)*10000000)/1000000)=0,"Bloomberg projection",IF(INT($P318/10)=1,"Announced","ANNOUNCED - amount TBA"))&amp;IF(($P318-INT($P318/10)*10)=1," (special)","")&amp;IF((($P318-INT($P318/10)*10)=1)*(Summary!$C$13="N")&gt;0," - excluded by your specials switch",""))</f>
        <v/>
      </c>
      <c r="J318" s="40">
        <f>IF($L318="","",IF((Override!$C$4="ON")*ISNUMBER(INDEX(Override!$G$113:$G$152,$N318))&gt;0,"stock overridden",""))</f>
        <v/>
      </c>
      <c r="L318" s="41">
        <f>IFERROR(IF(SMALL(Grids!$C$113:$BO$152,$M$313+3)&gt;=(Summary!$C$15+1)*1000000000,"",SMALL(Grids!$C$113:$BO$152,$M$313+3)),"")</f>
        <v/>
      </c>
      <c r="M318" s="41">
        <f>IF($L318="","",INT($L318/1000000000))</f>
        <v/>
      </c>
      <c r="N318" s="41">
        <f>IF($L318="","",INT(($L318-INT($L318/1000000)*1000000)/1000))</f>
        <v/>
      </c>
      <c r="O318" s="41">
        <f>IF($L318="","",$L318-INT($L318/1000)*1000)</f>
        <v/>
      </c>
      <c r="P318" s="41">
        <f>IF($L318="","",INT(($L318-INT($L318/1000000000)*1000000000)/10000000))</f>
        <v/>
      </c>
    </row>
    <row r="319">
      <c r="B319" s="36">
        <f>IF($L319="","",$M319)</f>
        <v/>
      </c>
      <c r="C319" s="16">
        <f>IF($L319="","",INDEX(HSTECH!$C$7:$C$46,$N319))</f>
        <v/>
      </c>
      <c r="D319" s="16">
        <f>IF($L319="","",INDEX(HSTECH!$D$7:$D$46,$N319))</f>
        <v/>
      </c>
      <c r="E319" s="37">
        <f>IF($L319="","",IF(INT($P319/10)=0,"TBA",IFERROR(INDEX(Grids!$BQ$113:$EC$152,$N319,$O319),"-")))</f>
        <v/>
      </c>
      <c r="F319" s="16">
        <f>IF($L319="","",INDEX(HSTECH!$F$7:$F$46,$N319))</f>
        <v/>
      </c>
      <c r="G319" s="37">
        <f>IF($L319="","",IF(INT($P319/10)=0,"TBA",IFERROR(INDEX(Grids!$EE$113:$GQ$152,$N319,$O319),"-")))</f>
        <v/>
      </c>
      <c r="H319" s="38">
        <f>IF($L319="","",SUM($G$316:$G319))</f>
        <v/>
      </c>
      <c r="I319" s="39">
        <f>IF($L319="","",IF(INT(($L319-INT($L319/10000000)*10000000)/1000000)=0,"Bloomberg projection",IF(INT($P319/10)=1,"Announced","ANNOUNCED - amount TBA"))&amp;IF(($P319-INT($P319/10)*10)=1," (special)","")&amp;IF((($P319-INT($P319/10)*10)=1)*(Summary!$C$13="N")&gt;0," - excluded by your specials switch",""))</f>
        <v/>
      </c>
      <c r="J319" s="40">
        <f>IF($L319="","",IF((Override!$C$4="ON")*ISNUMBER(INDEX(Override!$G$113:$G$152,$N319))&gt;0,"stock overridden",""))</f>
        <v/>
      </c>
      <c r="L319" s="41">
        <f>IFERROR(IF(SMALL(Grids!$C$113:$BO$152,$M$313+4)&gt;=(Summary!$C$15+1)*1000000000,"",SMALL(Grids!$C$113:$BO$152,$M$313+4)),"")</f>
        <v/>
      </c>
      <c r="M319" s="41">
        <f>IF($L319="","",INT($L319/1000000000))</f>
        <v/>
      </c>
      <c r="N319" s="41">
        <f>IF($L319="","",INT(($L319-INT($L319/1000000)*1000000)/1000))</f>
        <v/>
      </c>
      <c r="O319" s="41">
        <f>IF($L319="","",$L319-INT($L319/1000)*1000)</f>
        <v/>
      </c>
      <c r="P319" s="41">
        <f>IF($L319="","",INT(($L319-INT($L319/1000000000)*1000000000)/10000000))</f>
        <v/>
      </c>
    </row>
    <row r="320">
      <c r="B320" s="36">
        <f>IF($L320="","",$M320)</f>
        <v/>
      </c>
      <c r="C320" s="16">
        <f>IF($L320="","",INDEX(HSTECH!$C$7:$C$46,$N320))</f>
        <v/>
      </c>
      <c r="D320" s="16">
        <f>IF($L320="","",INDEX(HSTECH!$D$7:$D$46,$N320))</f>
        <v/>
      </c>
      <c r="E320" s="37">
        <f>IF($L320="","",IF(INT($P320/10)=0,"TBA",IFERROR(INDEX(Grids!$BQ$113:$EC$152,$N320,$O320),"-")))</f>
        <v/>
      </c>
      <c r="F320" s="16">
        <f>IF($L320="","",INDEX(HSTECH!$F$7:$F$46,$N320))</f>
        <v/>
      </c>
      <c r="G320" s="37">
        <f>IF($L320="","",IF(INT($P320/10)=0,"TBA",IFERROR(INDEX(Grids!$EE$113:$GQ$152,$N320,$O320),"-")))</f>
        <v/>
      </c>
      <c r="H320" s="38">
        <f>IF($L320="","",SUM($G$316:$G320))</f>
        <v/>
      </c>
      <c r="I320" s="39">
        <f>IF($L320="","",IF(INT(($L320-INT($L320/10000000)*10000000)/1000000)=0,"Bloomberg projection",IF(INT($P320/10)=1,"Announced","ANNOUNCED - amount TBA"))&amp;IF(($P320-INT($P320/10)*10)=1," (special)","")&amp;IF((($P320-INT($P320/10)*10)=1)*(Summary!$C$13="N")&gt;0," - excluded by your specials switch",""))</f>
        <v/>
      </c>
      <c r="J320" s="40">
        <f>IF($L320="","",IF((Override!$C$4="ON")*ISNUMBER(INDEX(Override!$G$113:$G$152,$N320))&gt;0,"stock overridden",""))</f>
        <v/>
      </c>
      <c r="L320" s="41">
        <f>IFERROR(IF(SMALL(Grids!$C$113:$BO$152,$M$313+5)&gt;=(Summary!$C$15+1)*1000000000,"",SMALL(Grids!$C$113:$BO$152,$M$313+5)),"")</f>
        <v/>
      </c>
      <c r="M320" s="41">
        <f>IF($L320="","",INT($L320/1000000000))</f>
        <v/>
      </c>
      <c r="N320" s="41">
        <f>IF($L320="","",INT(($L320-INT($L320/1000000)*1000000)/1000))</f>
        <v/>
      </c>
      <c r="O320" s="41">
        <f>IF($L320="","",$L320-INT($L320/1000)*1000)</f>
        <v/>
      </c>
      <c r="P320" s="41">
        <f>IF($L320="","",INT(($L320-INT($L320/1000000000)*1000000000)/10000000))</f>
        <v/>
      </c>
    </row>
    <row r="321">
      <c r="B321" s="36">
        <f>IF($L321="","",$M321)</f>
        <v/>
      </c>
      <c r="C321" s="16">
        <f>IF($L321="","",INDEX(HSTECH!$C$7:$C$46,$N321))</f>
        <v/>
      </c>
      <c r="D321" s="16">
        <f>IF($L321="","",INDEX(HSTECH!$D$7:$D$46,$N321))</f>
        <v/>
      </c>
      <c r="E321" s="37">
        <f>IF($L321="","",IF(INT($P321/10)=0,"TBA",IFERROR(INDEX(Grids!$BQ$113:$EC$152,$N321,$O321),"-")))</f>
        <v/>
      </c>
      <c r="F321" s="16">
        <f>IF($L321="","",INDEX(HSTECH!$F$7:$F$46,$N321))</f>
        <v/>
      </c>
      <c r="G321" s="37">
        <f>IF($L321="","",IF(INT($P321/10)=0,"TBA",IFERROR(INDEX(Grids!$EE$113:$GQ$152,$N321,$O321),"-")))</f>
        <v/>
      </c>
      <c r="H321" s="38">
        <f>IF($L321="","",SUM($G$316:$G321))</f>
        <v/>
      </c>
      <c r="I321" s="39">
        <f>IF($L321="","",IF(INT(($L321-INT($L321/10000000)*10000000)/1000000)=0,"Bloomberg projection",IF(INT($P321/10)=1,"Announced","ANNOUNCED - amount TBA"))&amp;IF(($P321-INT($P321/10)*10)=1," (special)","")&amp;IF((($P321-INT($P321/10)*10)=1)*(Summary!$C$13="N")&gt;0," - excluded by your specials switch",""))</f>
        <v/>
      </c>
      <c r="J321" s="40">
        <f>IF($L321="","",IF((Override!$C$4="ON")*ISNUMBER(INDEX(Override!$G$113:$G$152,$N321))&gt;0,"stock overridden",""))</f>
        <v/>
      </c>
      <c r="L321" s="41">
        <f>IFERROR(IF(SMALL(Grids!$C$113:$BO$152,$M$313+6)&gt;=(Summary!$C$15+1)*1000000000,"",SMALL(Grids!$C$113:$BO$152,$M$313+6)),"")</f>
        <v/>
      </c>
      <c r="M321" s="41">
        <f>IF($L321="","",INT($L321/1000000000))</f>
        <v/>
      </c>
      <c r="N321" s="41">
        <f>IF($L321="","",INT(($L321-INT($L321/1000000)*1000000)/1000))</f>
        <v/>
      </c>
      <c r="O321" s="41">
        <f>IF($L321="","",$L321-INT($L321/1000)*1000)</f>
        <v/>
      </c>
      <c r="P321" s="41">
        <f>IF($L321="","",INT(($L321-INT($L321/1000000000)*1000000000)/10000000))</f>
        <v/>
      </c>
    </row>
    <row r="322">
      <c r="B322" s="36">
        <f>IF($L322="","",$M322)</f>
        <v/>
      </c>
      <c r="C322" s="16">
        <f>IF($L322="","",INDEX(HSTECH!$C$7:$C$46,$N322))</f>
        <v/>
      </c>
      <c r="D322" s="16">
        <f>IF($L322="","",INDEX(HSTECH!$D$7:$D$46,$N322))</f>
        <v/>
      </c>
      <c r="E322" s="37">
        <f>IF($L322="","",IF(INT($P322/10)=0,"TBA",IFERROR(INDEX(Grids!$BQ$113:$EC$152,$N322,$O322),"-")))</f>
        <v/>
      </c>
      <c r="F322" s="16">
        <f>IF($L322="","",INDEX(HSTECH!$F$7:$F$46,$N322))</f>
        <v/>
      </c>
      <c r="G322" s="37">
        <f>IF($L322="","",IF(INT($P322/10)=0,"TBA",IFERROR(INDEX(Grids!$EE$113:$GQ$152,$N322,$O322),"-")))</f>
        <v/>
      </c>
      <c r="H322" s="38">
        <f>IF($L322="","",SUM($G$316:$G322))</f>
        <v/>
      </c>
      <c r="I322" s="39">
        <f>IF($L322="","",IF(INT(($L322-INT($L322/10000000)*10000000)/1000000)=0,"Bloomberg projection",IF(INT($P322/10)=1,"Announced","ANNOUNCED - amount TBA"))&amp;IF(($P322-INT($P322/10)*10)=1," (special)","")&amp;IF((($P322-INT($P322/10)*10)=1)*(Summary!$C$13="N")&gt;0," - excluded by your specials switch",""))</f>
        <v/>
      </c>
      <c r="J322" s="40">
        <f>IF($L322="","",IF((Override!$C$4="ON")*ISNUMBER(INDEX(Override!$G$113:$G$152,$N322))&gt;0,"stock overridden",""))</f>
        <v/>
      </c>
      <c r="L322" s="41">
        <f>IFERROR(IF(SMALL(Grids!$C$113:$BO$152,$M$313+7)&gt;=(Summary!$C$15+1)*1000000000,"",SMALL(Grids!$C$113:$BO$152,$M$313+7)),"")</f>
        <v/>
      </c>
      <c r="M322" s="41">
        <f>IF($L322="","",INT($L322/1000000000))</f>
        <v/>
      </c>
      <c r="N322" s="41">
        <f>IF($L322="","",INT(($L322-INT($L322/1000000)*1000000)/1000))</f>
        <v/>
      </c>
      <c r="O322" s="41">
        <f>IF($L322="","",$L322-INT($L322/1000)*1000)</f>
        <v/>
      </c>
      <c r="P322" s="41">
        <f>IF($L322="","",INT(($L322-INT($L322/1000000000)*1000000000)/10000000))</f>
        <v/>
      </c>
    </row>
    <row r="323">
      <c r="B323" s="36">
        <f>IF($L323="","",$M323)</f>
        <v/>
      </c>
      <c r="C323" s="16">
        <f>IF($L323="","",INDEX(HSTECH!$C$7:$C$46,$N323))</f>
        <v/>
      </c>
      <c r="D323" s="16">
        <f>IF($L323="","",INDEX(HSTECH!$D$7:$D$46,$N323))</f>
        <v/>
      </c>
      <c r="E323" s="37">
        <f>IF($L323="","",IF(INT($P323/10)=0,"TBA",IFERROR(INDEX(Grids!$BQ$113:$EC$152,$N323,$O323),"-")))</f>
        <v/>
      </c>
      <c r="F323" s="16">
        <f>IF($L323="","",INDEX(HSTECH!$F$7:$F$46,$N323))</f>
        <v/>
      </c>
      <c r="G323" s="37">
        <f>IF($L323="","",IF(INT($P323/10)=0,"TBA",IFERROR(INDEX(Grids!$EE$113:$GQ$152,$N323,$O323),"-")))</f>
        <v/>
      </c>
      <c r="H323" s="38">
        <f>IF($L323="","",SUM($G$316:$G323))</f>
        <v/>
      </c>
      <c r="I323" s="39">
        <f>IF($L323="","",IF(INT(($L323-INT($L323/10000000)*10000000)/1000000)=0,"Bloomberg projection",IF(INT($P323/10)=1,"Announced","ANNOUNCED - amount TBA"))&amp;IF(($P323-INT($P323/10)*10)=1," (special)","")&amp;IF((($P323-INT($P323/10)*10)=1)*(Summary!$C$13="N")&gt;0," - excluded by your specials switch",""))</f>
        <v/>
      </c>
      <c r="J323" s="40">
        <f>IF($L323="","",IF((Override!$C$4="ON")*ISNUMBER(INDEX(Override!$G$113:$G$152,$N323))&gt;0,"stock overridden",""))</f>
        <v/>
      </c>
      <c r="L323" s="41">
        <f>IFERROR(IF(SMALL(Grids!$C$113:$BO$152,$M$313+8)&gt;=(Summary!$C$15+1)*1000000000,"",SMALL(Grids!$C$113:$BO$152,$M$313+8)),"")</f>
        <v/>
      </c>
      <c r="M323" s="41">
        <f>IF($L323="","",INT($L323/1000000000))</f>
        <v/>
      </c>
      <c r="N323" s="41">
        <f>IF($L323="","",INT(($L323-INT($L323/1000000)*1000000)/1000))</f>
        <v/>
      </c>
      <c r="O323" s="41">
        <f>IF($L323="","",$L323-INT($L323/1000)*1000)</f>
        <v/>
      </c>
      <c r="P323" s="41">
        <f>IF($L323="","",INT(($L323-INT($L323/1000000000)*1000000000)/10000000))</f>
        <v/>
      </c>
    </row>
    <row r="324">
      <c r="B324" s="36">
        <f>IF($L324="","",$M324)</f>
        <v/>
      </c>
      <c r="C324" s="16">
        <f>IF($L324="","",INDEX(HSTECH!$C$7:$C$46,$N324))</f>
        <v/>
      </c>
      <c r="D324" s="16">
        <f>IF($L324="","",INDEX(HSTECH!$D$7:$D$46,$N324))</f>
        <v/>
      </c>
      <c r="E324" s="37">
        <f>IF($L324="","",IF(INT($P324/10)=0,"TBA",IFERROR(INDEX(Grids!$BQ$113:$EC$152,$N324,$O324),"-")))</f>
        <v/>
      </c>
      <c r="F324" s="16">
        <f>IF($L324="","",INDEX(HSTECH!$F$7:$F$46,$N324))</f>
        <v/>
      </c>
      <c r="G324" s="37">
        <f>IF($L324="","",IF(INT($P324/10)=0,"TBA",IFERROR(INDEX(Grids!$EE$113:$GQ$152,$N324,$O324),"-")))</f>
        <v/>
      </c>
      <c r="H324" s="38">
        <f>IF($L324="","",SUM($G$316:$G324))</f>
        <v/>
      </c>
      <c r="I324" s="39">
        <f>IF($L324="","",IF(INT(($L324-INT($L324/10000000)*10000000)/1000000)=0,"Bloomberg projection",IF(INT($P324/10)=1,"Announced","ANNOUNCED - amount TBA"))&amp;IF(($P324-INT($P324/10)*10)=1," (special)","")&amp;IF((($P324-INT($P324/10)*10)=1)*(Summary!$C$13="N")&gt;0," - excluded by your specials switch",""))</f>
        <v/>
      </c>
      <c r="J324" s="40">
        <f>IF($L324="","",IF((Override!$C$4="ON")*ISNUMBER(INDEX(Override!$G$113:$G$152,$N324))&gt;0,"stock overridden",""))</f>
        <v/>
      </c>
      <c r="L324" s="41">
        <f>IFERROR(IF(SMALL(Grids!$C$113:$BO$152,$M$313+9)&gt;=(Summary!$C$15+1)*1000000000,"",SMALL(Grids!$C$113:$BO$152,$M$313+9)),"")</f>
        <v/>
      </c>
      <c r="M324" s="41">
        <f>IF($L324="","",INT($L324/1000000000))</f>
        <v/>
      </c>
      <c r="N324" s="41">
        <f>IF($L324="","",INT(($L324-INT($L324/1000000)*1000000)/1000))</f>
        <v/>
      </c>
      <c r="O324" s="41">
        <f>IF($L324="","",$L324-INT($L324/1000)*1000)</f>
        <v/>
      </c>
      <c r="P324" s="41">
        <f>IF($L324="","",INT(($L324-INT($L324/1000000000)*1000000000)/10000000))</f>
        <v/>
      </c>
    </row>
    <row r="325">
      <c r="B325" s="36">
        <f>IF($L325="","",$M325)</f>
        <v/>
      </c>
      <c r="C325" s="16">
        <f>IF($L325="","",INDEX(HSTECH!$C$7:$C$46,$N325))</f>
        <v/>
      </c>
      <c r="D325" s="16">
        <f>IF($L325="","",INDEX(HSTECH!$D$7:$D$46,$N325))</f>
        <v/>
      </c>
      <c r="E325" s="37">
        <f>IF($L325="","",IF(INT($P325/10)=0,"TBA",IFERROR(INDEX(Grids!$BQ$113:$EC$152,$N325,$O325),"-")))</f>
        <v/>
      </c>
      <c r="F325" s="16">
        <f>IF($L325="","",INDEX(HSTECH!$F$7:$F$46,$N325))</f>
        <v/>
      </c>
      <c r="G325" s="37">
        <f>IF($L325="","",IF(INT($P325/10)=0,"TBA",IFERROR(INDEX(Grids!$EE$113:$GQ$152,$N325,$O325),"-")))</f>
        <v/>
      </c>
      <c r="H325" s="38">
        <f>IF($L325="","",SUM($G$316:$G325))</f>
        <v/>
      </c>
      <c r="I325" s="39">
        <f>IF($L325="","",IF(INT(($L325-INT($L325/10000000)*10000000)/1000000)=0,"Bloomberg projection",IF(INT($P325/10)=1,"Announced","ANNOUNCED - amount TBA"))&amp;IF(($P325-INT($P325/10)*10)=1," (special)","")&amp;IF((($P325-INT($P325/10)*10)=1)*(Summary!$C$13="N")&gt;0," - excluded by your specials switch",""))</f>
        <v/>
      </c>
      <c r="J325" s="40">
        <f>IF($L325="","",IF((Override!$C$4="ON")*ISNUMBER(INDEX(Override!$G$113:$G$152,$N325))&gt;0,"stock overridden",""))</f>
        <v/>
      </c>
      <c r="L325" s="41">
        <f>IFERROR(IF(SMALL(Grids!$C$113:$BO$152,$M$313+10)&gt;=(Summary!$C$15+1)*1000000000,"",SMALL(Grids!$C$113:$BO$152,$M$313+10)),"")</f>
        <v/>
      </c>
      <c r="M325" s="41">
        <f>IF($L325="","",INT($L325/1000000000))</f>
        <v/>
      </c>
      <c r="N325" s="41">
        <f>IF($L325="","",INT(($L325-INT($L325/1000000)*1000000)/1000))</f>
        <v/>
      </c>
      <c r="O325" s="41">
        <f>IF($L325="","",$L325-INT($L325/1000)*1000)</f>
        <v/>
      </c>
      <c r="P325" s="41">
        <f>IF($L325="","",INT(($L325-INT($L325/1000000000)*1000000000)/10000000))</f>
        <v/>
      </c>
    </row>
    <row r="326">
      <c r="B326" s="36">
        <f>IF($L326="","",$M326)</f>
        <v/>
      </c>
      <c r="C326" s="16">
        <f>IF($L326="","",INDEX(HSTECH!$C$7:$C$46,$N326))</f>
        <v/>
      </c>
      <c r="D326" s="16">
        <f>IF($L326="","",INDEX(HSTECH!$D$7:$D$46,$N326))</f>
        <v/>
      </c>
      <c r="E326" s="37">
        <f>IF($L326="","",IF(INT($P326/10)=0,"TBA",IFERROR(INDEX(Grids!$BQ$113:$EC$152,$N326,$O326),"-")))</f>
        <v/>
      </c>
      <c r="F326" s="16">
        <f>IF($L326="","",INDEX(HSTECH!$F$7:$F$46,$N326))</f>
        <v/>
      </c>
      <c r="G326" s="37">
        <f>IF($L326="","",IF(INT($P326/10)=0,"TBA",IFERROR(INDEX(Grids!$EE$113:$GQ$152,$N326,$O326),"-")))</f>
        <v/>
      </c>
      <c r="H326" s="38">
        <f>IF($L326="","",SUM($G$316:$G326))</f>
        <v/>
      </c>
      <c r="I326" s="39">
        <f>IF($L326="","",IF(INT(($L326-INT($L326/10000000)*10000000)/1000000)=0,"Bloomberg projection",IF(INT($P326/10)=1,"Announced","ANNOUNCED - amount TBA"))&amp;IF(($P326-INT($P326/10)*10)=1," (special)","")&amp;IF((($P326-INT($P326/10)*10)=1)*(Summary!$C$13="N")&gt;0," - excluded by your specials switch",""))</f>
        <v/>
      </c>
      <c r="J326" s="40">
        <f>IF($L326="","",IF((Override!$C$4="ON")*ISNUMBER(INDEX(Override!$G$113:$G$152,$N326))&gt;0,"stock overridden",""))</f>
        <v/>
      </c>
      <c r="L326" s="41">
        <f>IFERROR(IF(SMALL(Grids!$C$113:$BO$152,$M$313+11)&gt;=(Summary!$C$15+1)*1000000000,"",SMALL(Grids!$C$113:$BO$152,$M$313+11)),"")</f>
        <v/>
      </c>
      <c r="M326" s="41">
        <f>IF($L326="","",INT($L326/1000000000))</f>
        <v/>
      </c>
      <c r="N326" s="41">
        <f>IF($L326="","",INT(($L326-INT($L326/1000000)*1000000)/1000))</f>
        <v/>
      </c>
      <c r="O326" s="41">
        <f>IF($L326="","",$L326-INT($L326/1000)*1000)</f>
        <v/>
      </c>
      <c r="P326" s="41">
        <f>IF($L326="","",INT(($L326-INT($L326/1000000000)*1000000000)/10000000))</f>
        <v/>
      </c>
    </row>
    <row r="327">
      <c r="B327" s="36">
        <f>IF($L327="","",$M327)</f>
        <v/>
      </c>
      <c r="C327" s="16">
        <f>IF($L327="","",INDEX(HSTECH!$C$7:$C$46,$N327))</f>
        <v/>
      </c>
      <c r="D327" s="16">
        <f>IF($L327="","",INDEX(HSTECH!$D$7:$D$46,$N327))</f>
        <v/>
      </c>
      <c r="E327" s="37">
        <f>IF($L327="","",IF(INT($P327/10)=0,"TBA",IFERROR(INDEX(Grids!$BQ$113:$EC$152,$N327,$O327),"-")))</f>
        <v/>
      </c>
      <c r="F327" s="16">
        <f>IF($L327="","",INDEX(HSTECH!$F$7:$F$46,$N327))</f>
        <v/>
      </c>
      <c r="G327" s="37">
        <f>IF($L327="","",IF(INT($P327/10)=0,"TBA",IFERROR(INDEX(Grids!$EE$113:$GQ$152,$N327,$O327),"-")))</f>
        <v/>
      </c>
      <c r="H327" s="38">
        <f>IF($L327="","",SUM($G$316:$G327))</f>
        <v/>
      </c>
      <c r="I327" s="39">
        <f>IF($L327="","",IF(INT(($L327-INT($L327/10000000)*10000000)/1000000)=0,"Bloomberg projection",IF(INT($P327/10)=1,"Announced","ANNOUNCED - amount TBA"))&amp;IF(($P327-INT($P327/10)*10)=1," (special)","")&amp;IF((($P327-INT($P327/10)*10)=1)*(Summary!$C$13="N")&gt;0," - excluded by your specials switch",""))</f>
        <v/>
      </c>
      <c r="J327" s="40">
        <f>IF($L327="","",IF((Override!$C$4="ON")*ISNUMBER(INDEX(Override!$G$113:$G$152,$N327))&gt;0,"stock overridden",""))</f>
        <v/>
      </c>
      <c r="L327" s="41">
        <f>IFERROR(IF(SMALL(Grids!$C$113:$BO$152,$M$313+12)&gt;=(Summary!$C$15+1)*1000000000,"",SMALL(Grids!$C$113:$BO$152,$M$313+12)),"")</f>
        <v/>
      </c>
      <c r="M327" s="41">
        <f>IF($L327="","",INT($L327/1000000000))</f>
        <v/>
      </c>
      <c r="N327" s="41">
        <f>IF($L327="","",INT(($L327-INT($L327/1000000)*1000000)/1000))</f>
        <v/>
      </c>
      <c r="O327" s="41">
        <f>IF($L327="","",$L327-INT($L327/1000)*1000)</f>
        <v/>
      </c>
      <c r="P327" s="41">
        <f>IF($L327="","",INT(($L327-INT($L327/1000000000)*1000000000)/10000000))</f>
        <v/>
      </c>
    </row>
    <row r="328">
      <c r="B328" s="36">
        <f>IF($L328="","",$M328)</f>
        <v/>
      </c>
      <c r="C328" s="16">
        <f>IF($L328="","",INDEX(HSTECH!$C$7:$C$46,$N328))</f>
        <v/>
      </c>
      <c r="D328" s="16">
        <f>IF($L328="","",INDEX(HSTECH!$D$7:$D$46,$N328))</f>
        <v/>
      </c>
      <c r="E328" s="37">
        <f>IF($L328="","",IF(INT($P328/10)=0,"TBA",IFERROR(INDEX(Grids!$BQ$113:$EC$152,$N328,$O328),"-")))</f>
        <v/>
      </c>
      <c r="F328" s="16">
        <f>IF($L328="","",INDEX(HSTECH!$F$7:$F$46,$N328))</f>
        <v/>
      </c>
      <c r="G328" s="37">
        <f>IF($L328="","",IF(INT($P328/10)=0,"TBA",IFERROR(INDEX(Grids!$EE$113:$GQ$152,$N328,$O328),"-")))</f>
        <v/>
      </c>
      <c r="H328" s="38">
        <f>IF($L328="","",SUM($G$316:$G328))</f>
        <v/>
      </c>
      <c r="I328" s="39">
        <f>IF($L328="","",IF(INT(($L328-INT($L328/10000000)*10000000)/1000000)=0,"Bloomberg projection",IF(INT($P328/10)=1,"Announced","ANNOUNCED - amount TBA"))&amp;IF(($P328-INT($P328/10)*10)=1," (special)","")&amp;IF((($P328-INT($P328/10)*10)=1)*(Summary!$C$13="N")&gt;0," - excluded by your specials switch",""))</f>
        <v/>
      </c>
      <c r="J328" s="40">
        <f>IF($L328="","",IF((Override!$C$4="ON")*ISNUMBER(INDEX(Override!$G$113:$G$152,$N328))&gt;0,"stock overridden",""))</f>
        <v/>
      </c>
      <c r="L328" s="41">
        <f>IFERROR(IF(SMALL(Grids!$C$113:$BO$152,$M$313+13)&gt;=(Summary!$C$15+1)*1000000000,"",SMALL(Grids!$C$113:$BO$152,$M$313+13)),"")</f>
        <v/>
      </c>
      <c r="M328" s="41">
        <f>IF($L328="","",INT($L328/1000000000))</f>
        <v/>
      </c>
      <c r="N328" s="41">
        <f>IF($L328="","",INT(($L328-INT($L328/1000000)*1000000)/1000))</f>
        <v/>
      </c>
      <c r="O328" s="41">
        <f>IF($L328="","",$L328-INT($L328/1000)*1000)</f>
        <v/>
      </c>
      <c r="P328" s="41">
        <f>IF($L328="","",INT(($L328-INT($L328/1000000000)*1000000000)/10000000))</f>
        <v/>
      </c>
    </row>
    <row r="329">
      <c r="B329" s="36">
        <f>IF($L329="","",$M329)</f>
        <v/>
      </c>
      <c r="C329" s="16">
        <f>IF($L329="","",INDEX(HSTECH!$C$7:$C$46,$N329))</f>
        <v/>
      </c>
      <c r="D329" s="16">
        <f>IF($L329="","",INDEX(HSTECH!$D$7:$D$46,$N329))</f>
        <v/>
      </c>
      <c r="E329" s="37">
        <f>IF($L329="","",IF(INT($P329/10)=0,"TBA",IFERROR(INDEX(Grids!$BQ$113:$EC$152,$N329,$O329),"-")))</f>
        <v/>
      </c>
      <c r="F329" s="16">
        <f>IF($L329="","",INDEX(HSTECH!$F$7:$F$46,$N329))</f>
        <v/>
      </c>
      <c r="G329" s="37">
        <f>IF($L329="","",IF(INT($P329/10)=0,"TBA",IFERROR(INDEX(Grids!$EE$113:$GQ$152,$N329,$O329),"-")))</f>
        <v/>
      </c>
      <c r="H329" s="38">
        <f>IF($L329="","",SUM($G$316:$G329))</f>
        <v/>
      </c>
      <c r="I329" s="39">
        <f>IF($L329="","",IF(INT(($L329-INT($L329/10000000)*10000000)/1000000)=0,"Bloomberg projection",IF(INT($P329/10)=1,"Announced","ANNOUNCED - amount TBA"))&amp;IF(($P329-INT($P329/10)*10)=1," (special)","")&amp;IF((($P329-INT($P329/10)*10)=1)*(Summary!$C$13="N")&gt;0," - excluded by your specials switch",""))</f>
        <v/>
      </c>
      <c r="J329" s="40">
        <f>IF($L329="","",IF((Override!$C$4="ON")*ISNUMBER(INDEX(Override!$G$113:$G$152,$N329))&gt;0,"stock overridden",""))</f>
        <v/>
      </c>
      <c r="L329" s="41">
        <f>IFERROR(IF(SMALL(Grids!$C$113:$BO$152,$M$313+14)&gt;=(Summary!$C$15+1)*1000000000,"",SMALL(Grids!$C$113:$BO$152,$M$313+14)),"")</f>
        <v/>
      </c>
      <c r="M329" s="41">
        <f>IF($L329="","",INT($L329/1000000000))</f>
        <v/>
      </c>
      <c r="N329" s="41">
        <f>IF($L329="","",INT(($L329-INT($L329/1000000)*1000000)/1000))</f>
        <v/>
      </c>
      <c r="O329" s="41">
        <f>IF($L329="","",$L329-INT($L329/1000)*1000)</f>
        <v/>
      </c>
      <c r="P329" s="41">
        <f>IF($L329="","",INT(($L329-INT($L329/1000000000)*1000000000)/10000000))</f>
        <v/>
      </c>
    </row>
    <row r="330">
      <c r="B330" s="36">
        <f>IF($L330="","",$M330)</f>
        <v/>
      </c>
      <c r="C330" s="16">
        <f>IF($L330="","",INDEX(HSTECH!$C$7:$C$46,$N330))</f>
        <v/>
      </c>
      <c r="D330" s="16">
        <f>IF($L330="","",INDEX(HSTECH!$D$7:$D$46,$N330))</f>
        <v/>
      </c>
      <c r="E330" s="37">
        <f>IF($L330="","",IF(INT($P330/10)=0,"TBA",IFERROR(INDEX(Grids!$BQ$113:$EC$152,$N330,$O330),"-")))</f>
        <v/>
      </c>
      <c r="F330" s="16">
        <f>IF($L330="","",INDEX(HSTECH!$F$7:$F$46,$N330))</f>
        <v/>
      </c>
      <c r="G330" s="37">
        <f>IF($L330="","",IF(INT($P330/10)=0,"TBA",IFERROR(INDEX(Grids!$EE$113:$GQ$152,$N330,$O330),"-")))</f>
        <v/>
      </c>
      <c r="H330" s="38">
        <f>IF($L330="","",SUM($G$316:$G330))</f>
        <v/>
      </c>
      <c r="I330" s="39">
        <f>IF($L330="","",IF(INT(($L330-INT($L330/10000000)*10000000)/1000000)=0,"Bloomberg projection",IF(INT($P330/10)=1,"Announced","ANNOUNCED - amount TBA"))&amp;IF(($P330-INT($P330/10)*10)=1," (special)","")&amp;IF((($P330-INT($P330/10)*10)=1)*(Summary!$C$13="N")&gt;0," - excluded by your specials switch",""))</f>
        <v/>
      </c>
      <c r="J330" s="40">
        <f>IF($L330="","",IF((Override!$C$4="ON")*ISNUMBER(INDEX(Override!$G$113:$G$152,$N330))&gt;0,"stock overridden",""))</f>
        <v/>
      </c>
      <c r="L330" s="41">
        <f>IFERROR(IF(SMALL(Grids!$C$113:$BO$152,$M$313+15)&gt;=(Summary!$C$15+1)*1000000000,"",SMALL(Grids!$C$113:$BO$152,$M$313+15)),"")</f>
        <v/>
      </c>
      <c r="M330" s="41">
        <f>IF($L330="","",INT($L330/1000000000))</f>
        <v/>
      </c>
      <c r="N330" s="41">
        <f>IF($L330="","",INT(($L330-INT($L330/1000000)*1000000)/1000))</f>
        <v/>
      </c>
      <c r="O330" s="41">
        <f>IF($L330="","",$L330-INT($L330/1000)*1000)</f>
        <v/>
      </c>
      <c r="P330" s="41">
        <f>IF($L330="","",INT(($L330-INT($L330/1000000000)*1000000000)/10000000))</f>
        <v/>
      </c>
    </row>
    <row r="331">
      <c r="B331" s="36">
        <f>IF($L331="","",$M331)</f>
        <v/>
      </c>
      <c r="C331" s="16">
        <f>IF($L331="","",INDEX(HSTECH!$C$7:$C$46,$N331))</f>
        <v/>
      </c>
      <c r="D331" s="16">
        <f>IF($L331="","",INDEX(HSTECH!$D$7:$D$46,$N331))</f>
        <v/>
      </c>
      <c r="E331" s="37">
        <f>IF($L331="","",IF(INT($P331/10)=0,"TBA",IFERROR(INDEX(Grids!$BQ$113:$EC$152,$N331,$O331),"-")))</f>
        <v/>
      </c>
      <c r="F331" s="16">
        <f>IF($L331="","",INDEX(HSTECH!$F$7:$F$46,$N331))</f>
        <v/>
      </c>
      <c r="G331" s="37">
        <f>IF($L331="","",IF(INT($P331/10)=0,"TBA",IFERROR(INDEX(Grids!$EE$113:$GQ$152,$N331,$O331),"-")))</f>
        <v/>
      </c>
      <c r="H331" s="38">
        <f>IF($L331="","",SUM($G$316:$G331))</f>
        <v/>
      </c>
      <c r="I331" s="39">
        <f>IF($L331="","",IF(INT(($L331-INT($L331/10000000)*10000000)/1000000)=0,"Bloomberg projection",IF(INT($P331/10)=1,"Announced","ANNOUNCED - amount TBA"))&amp;IF(($P331-INT($P331/10)*10)=1," (special)","")&amp;IF((($P331-INT($P331/10)*10)=1)*(Summary!$C$13="N")&gt;0," - excluded by your specials switch",""))</f>
        <v/>
      </c>
      <c r="J331" s="40">
        <f>IF($L331="","",IF((Override!$C$4="ON")*ISNUMBER(INDEX(Override!$G$113:$G$152,$N331))&gt;0,"stock overridden",""))</f>
        <v/>
      </c>
      <c r="L331" s="41">
        <f>IFERROR(IF(SMALL(Grids!$C$113:$BO$152,$M$313+16)&gt;=(Summary!$C$15+1)*1000000000,"",SMALL(Grids!$C$113:$BO$152,$M$313+16)),"")</f>
        <v/>
      </c>
      <c r="M331" s="41">
        <f>IF($L331="","",INT($L331/1000000000))</f>
        <v/>
      </c>
      <c r="N331" s="41">
        <f>IF($L331="","",INT(($L331-INT($L331/1000000)*1000000)/1000))</f>
        <v/>
      </c>
      <c r="O331" s="41">
        <f>IF($L331="","",$L331-INT($L331/1000)*1000)</f>
        <v/>
      </c>
      <c r="P331" s="41">
        <f>IF($L331="","",INT(($L331-INT($L331/1000000000)*1000000000)/10000000))</f>
        <v/>
      </c>
    </row>
    <row r="332">
      <c r="B332" s="36">
        <f>IF($L332="","",$M332)</f>
        <v/>
      </c>
      <c r="C332" s="16">
        <f>IF($L332="","",INDEX(HSTECH!$C$7:$C$46,$N332))</f>
        <v/>
      </c>
      <c r="D332" s="16">
        <f>IF($L332="","",INDEX(HSTECH!$D$7:$D$46,$N332))</f>
        <v/>
      </c>
      <c r="E332" s="37">
        <f>IF($L332="","",IF(INT($P332/10)=0,"TBA",IFERROR(INDEX(Grids!$BQ$113:$EC$152,$N332,$O332),"-")))</f>
        <v/>
      </c>
      <c r="F332" s="16">
        <f>IF($L332="","",INDEX(HSTECH!$F$7:$F$46,$N332))</f>
        <v/>
      </c>
      <c r="G332" s="37">
        <f>IF($L332="","",IF(INT($P332/10)=0,"TBA",IFERROR(INDEX(Grids!$EE$113:$GQ$152,$N332,$O332),"-")))</f>
        <v/>
      </c>
      <c r="H332" s="38">
        <f>IF($L332="","",SUM($G$316:$G332))</f>
        <v/>
      </c>
      <c r="I332" s="39">
        <f>IF($L332="","",IF(INT(($L332-INT($L332/10000000)*10000000)/1000000)=0,"Bloomberg projection",IF(INT($P332/10)=1,"Announced","ANNOUNCED - amount TBA"))&amp;IF(($P332-INT($P332/10)*10)=1," (special)","")&amp;IF((($P332-INT($P332/10)*10)=1)*(Summary!$C$13="N")&gt;0," - excluded by your specials switch",""))</f>
        <v/>
      </c>
      <c r="J332" s="40">
        <f>IF($L332="","",IF((Override!$C$4="ON")*ISNUMBER(INDEX(Override!$G$113:$G$152,$N332))&gt;0,"stock overridden",""))</f>
        <v/>
      </c>
      <c r="L332" s="41">
        <f>IFERROR(IF(SMALL(Grids!$C$113:$BO$152,$M$313+17)&gt;=(Summary!$C$15+1)*1000000000,"",SMALL(Grids!$C$113:$BO$152,$M$313+17)),"")</f>
        <v/>
      </c>
      <c r="M332" s="41">
        <f>IF($L332="","",INT($L332/1000000000))</f>
        <v/>
      </c>
      <c r="N332" s="41">
        <f>IF($L332="","",INT(($L332-INT($L332/1000000)*1000000)/1000))</f>
        <v/>
      </c>
      <c r="O332" s="41">
        <f>IF($L332="","",$L332-INT($L332/1000)*1000)</f>
        <v/>
      </c>
      <c r="P332" s="41">
        <f>IF($L332="","",INT(($L332-INT($L332/1000000000)*1000000000)/10000000))</f>
        <v/>
      </c>
    </row>
    <row r="333">
      <c r="B333" s="36">
        <f>IF($L333="","",$M333)</f>
        <v/>
      </c>
      <c r="C333" s="16">
        <f>IF($L333="","",INDEX(HSTECH!$C$7:$C$46,$N333))</f>
        <v/>
      </c>
      <c r="D333" s="16">
        <f>IF($L333="","",INDEX(HSTECH!$D$7:$D$46,$N333))</f>
        <v/>
      </c>
      <c r="E333" s="37">
        <f>IF($L333="","",IF(INT($P333/10)=0,"TBA",IFERROR(INDEX(Grids!$BQ$113:$EC$152,$N333,$O333),"-")))</f>
        <v/>
      </c>
      <c r="F333" s="16">
        <f>IF($L333="","",INDEX(HSTECH!$F$7:$F$46,$N333))</f>
        <v/>
      </c>
      <c r="G333" s="37">
        <f>IF($L333="","",IF(INT($P333/10)=0,"TBA",IFERROR(INDEX(Grids!$EE$113:$GQ$152,$N333,$O333),"-")))</f>
        <v/>
      </c>
      <c r="H333" s="38">
        <f>IF($L333="","",SUM($G$316:$G333))</f>
        <v/>
      </c>
      <c r="I333" s="39">
        <f>IF($L333="","",IF(INT(($L333-INT($L333/10000000)*10000000)/1000000)=0,"Bloomberg projection",IF(INT($P333/10)=1,"Announced","ANNOUNCED - amount TBA"))&amp;IF(($P333-INT($P333/10)*10)=1," (special)","")&amp;IF((($P333-INT($P333/10)*10)=1)*(Summary!$C$13="N")&gt;0," - excluded by your specials switch",""))</f>
        <v/>
      </c>
      <c r="J333" s="40">
        <f>IF($L333="","",IF((Override!$C$4="ON")*ISNUMBER(INDEX(Override!$G$113:$G$152,$N333))&gt;0,"stock overridden",""))</f>
        <v/>
      </c>
      <c r="L333" s="41">
        <f>IFERROR(IF(SMALL(Grids!$C$113:$BO$152,$M$313+18)&gt;=(Summary!$C$15+1)*1000000000,"",SMALL(Grids!$C$113:$BO$152,$M$313+18)),"")</f>
        <v/>
      </c>
      <c r="M333" s="41">
        <f>IF($L333="","",INT($L333/1000000000))</f>
        <v/>
      </c>
      <c r="N333" s="41">
        <f>IF($L333="","",INT(($L333-INT($L333/1000000)*1000000)/1000))</f>
        <v/>
      </c>
      <c r="O333" s="41">
        <f>IF($L333="","",$L333-INT($L333/1000)*1000)</f>
        <v/>
      </c>
      <c r="P333" s="41">
        <f>IF($L333="","",INT(($L333-INT($L333/1000000000)*1000000000)/10000000))</f>
        <v/>
      </c>
    </row>
    <row r="334">
      <c r="B334" s="36">
        <f>IF($L334="","",$M334)</f>
        <v/>
      </c>
      <c r="C334" s="16">
        <f>IF($L334="","",INDEX(HSTECH!$C$7:$C$46,$N334))</f>
        <v/>
      </c>
      <c r="D334" s="16">
        <f>IF($L334="","",INDEX(HSTECH!$D$7:$D$46,$N334))</f>
        <v/>
      </c>
      <c r="E334" s="37">
        <f>IF($L334="","",IF(INT($P334/10)=0,"TBA",IFERROR(INDEX(Grids!$BQ$113:$EC$152,$N334,$O334),"-")))</f>
        <v/>
      </c>
      <c r="F334" s="16">
        <f>IF($L334="","",INDEX(HSTECH!$F$7:$F$46,$N334))</f>
        <v/>
      </c>
      <c r="G334" s="37">
        <f>IF($L334="","",IF(INT($P334/10)=0,"TBA",IFERROR(INDEX(Grids!$EE$113:$GQ$152,$N334,$O334),"-")))</f>
        <v/>
      </c>
      <c r="H334" s="38">
        <f>IF($L334="","",SUM($G$316:$G334))</f>
        <v/>
      </c>
      <c r="I334" s="39">
        <f>IF($L334="","",IF(INT(($L334-INT($L334/10000000)*10000000)/1000000)=0,"Bloomberg projection",IF(INT($P334/10)=1,"Announced","ANNOUNCED - amount TBA"))&amp;IF(($P334-INT($P334/10)*10)=1," (special)","")&amp;IF((($P334-INT($P334/10)*10)=1)*(Summary!$C$13="N")&gt;0," - excluded by your specials switch",""))</f>
        <v/>
      </c>
      <c r="J334" s="40">
        <f>IF($L334="","",IF((Override!$C$4="ON")*ISNUMBER(INDEX(Override!$G$113:$G$152,$N334))&gt;0,"stock overridden",""))</f>
        <v/>
      </c>
      <c r="L334" s="41">
        <f>IFERROR(IF(SMALL(Grids!$C$113:$BO$152,$M$313+19)&gt;=(Summary!$C$15+1)*1000000000,"",SMALL(Grids!$C$113:$BO$152,$M$313+19)),"")</f>
        <v/>
      </c>
      <c r="M334" s="41">
        <f>IF($L334="","",INT($L334/1000000000))</f>
        <v/>
      </c>
      <c r="N334" s="41">
        <f>IF($L334="","",INT(($L334-INT($L334/1000000)*1000000)/1000))</f>
        <v/>
      </c>
      <c r="O334" s="41">
        <f>IF($L334="","",$L334-INT($L334/1000)*1000)</f>
        <v/>
      </c>
      <c r="P334" s="41">
        <f>IF($L334="","",INT(($L334-INT($L334/1000000000)*1000000000)/10000000))</f>
        <v/>
      </c>
    </row>
    <row r="335">
      <c r="B335" s="36">
        <f>IF($L335="","",$M335)</f>
        <v/>
      </c>
      <c r="C335" s="16">
        <f>IF($L335="","",INDEX(HSTECH!$C$7:$C$46,$N335))</f>
        <v/>
      </c>
      <c r="D335" s="16">
        <f>IF($L335="","",INDEX(HSTECH!$D$7:$D$46,$N335))</f>
        <v/>
      </c>
      <c r="E335" s="37">
        <f>IF($L335="","",IF(INT($P335/10)=0,"TBA",IFERROR(INDEX(Grids!$BQ$113:$EC$152,$N335,$O335),"-")))</f>
        <v/>
      </c>
      <c r="F335" s="16">
        <f>IF($L335="","",INDEX(HSTECH!$F$7:$F$46,$N335))</f>
        <v/>
      </c>
      <c r="G335" s="37">
        <f>IF($L335="","",IF(INT($P335/10)=0,"TBA",IFERROR(INDEX(Grids!$EE$113:$GQ$152,$N335,$O335),"-")))</f>
        <v/>
      </c>
      <c r="H335" s="38">
        <f>IF($L335="","",SUM($G$316:$G335))</f>
        <v/>
      </c>
      <c r="I335" s="39">
        <f>IF($L335="","",IF(INT(($L335-INT($L335/10000000)*10000000)/1000000)=0,"Bloomberg projection",IF(INT($P335/10)=1,"Announced","ANNOUNCED - amount TBA"))&amp;IF(($P335-INT($P335/10)*10)=1," (special)","")&amp;IF((($P335-INT($P335/10)*10)=1)*(Summary!$C$13="N")&gt;0," - excluded by your specials switch",""))</f>
        <v/>
      </c>
      <c r="J335" s="40">
        <f>IF($L335="","",IF((Override!$C$4="ON")*ISNUMBER(INDEX(Override!$G$113:$G$152,$N335))&gt;0,"stock overridden",""))</f>
        <v/>
      </c>
      <c r="L335" s="41">
        <f>IFERROR(IF(SMALL(Grids!$C$113:$BO$152,$M$313+20)&gt;=(Summary!$C$15+1)*1000000000,"",SMALL(Grids!$C$113:$BO$152,$M$313+20)),"")</f>
        <v/>
      </c>
      <c r="M335" s="41">
        <f>IF($L335="","",INT($L335/1000000000))</f>
        <v/>
      </c>
      <c r="N335" s="41">
        <f>IF($L335="","",INT(($L335-INT($L335/1000000)*1000000)/1000))</f>
        <v/>
      </c>
      <c r="O335" s="41">
        <f>IF($L335="","",$L335-INT($L335/1000)*1000)</f>
        <v/>
      </c>
      <c r="P335" s="41">
        <f>IF($L335="","",INT(($L335-INT($L335/1000000000)*1000000000)/10000000))</f>
        <v/>
      </c>
    </row>
    <row r="336">
      <c r="B336" s="36">
        <f>IF($L336="","",$M336)</f>
        <v/>
      </c>
      <c r="C336" s="16">
        <f>IF($L336="","",INDEX(HSTECH!$C$7:$C$46,$N336))</f>
        <v/>
      </c>
      <c r="D336" s="16">
        <f>IF($L336="","",INDEX(HSTECH!$D$7:$D$46,$N336))</f>
        <v/>
      </c>
      <c r="E336" s="37">
        <f>IF($L336="","",IF(INT($P336/10)=0,"TBA",IFERROR(INDEX(Grids!$BQ$113:$EC$152,$N336,$O336),"-")))</f>
        <v/>
      </c>
      <c r="F336" s="16">
        <f>IF($L336="","",INDEX(HSTECH!$F$7:$F$46,$N336))</f>
        <v/>
      </c>
      <c r="G336" s="37">
        <f>IF($L336="","",IF(INT($P336/10)=0,"TBA",IFERROR(INDEX(Grids!$EE$113:$GQ$152,$N336,$O336),"-")))</f>
        <v/>
      </c>
      <c r="H336" s="38">
        <f>IF($L336="","",SUM($G$316:$G336))</f>
        <v/>
      </c>
      <c r="I336" s="39">
        <f>IF($L336="","",IF(INT(($L336-INT($L336/10000000)*10000000)/1000000)=0,"Bloomberg projection",IF(INT($P336/10)=1,"Announced","ANNOUNCED - amount TBA"))&amp;IF(($P336-INT($P336/10)*10)=1," (special)","")&amp;IF((($P336-INT($P336/10)*10)=1)*(Summary!$C$13="N")&gt;0," - excluded by your specials switch",""))</f>
        <v/>
      </c>
      <c r="J336" s="40">
        <f>IF($L336="","",IF((Override!$C$4="ON")*ISNUMBER(INDEX(Override!$G$113:$G$152,$N336))&gt;0,"stock overridden",""))</f>
        <v/>
      </c>
      <c r="L336" s="41">
        <f>IFERROR(IF(SMALL(Grids!$C$113:$BO$152,$M$313+21)&gt;=(Summary!$C$15+1)*1000000000,"",SMALL(Grids!$C$113:$BO$152,$M$313+21)),"")</f>
        <v/>
      </c>
      <c r="M336" s="41">
        <f>IF($L336="","",INT($L336/1000000000))</f>
        <v/>
      </c>
      <c r="N336" s="41">
        <f>IF($L336="","",INT(($L336-INT($L336/1000000)*1000000)/1000))</f>
        <v/>
      </c>
      <c r="O336" s="41">
        <f>IF($L336="","",$L336-INT($L336/1000)*1000)</f>
        <v/>
      </c>
      <c r="P336" s="41">
        <f>IF($L336="","",INT(($L336-INT($L336/1000000000)*1000000000)/10000000))</f>
        <v/>
      </c>
    </row>
    <row r="337">
      <c r="B337" s="36">
        <f>IF($L337="","",$M337)</f>
        <v/>
      </c>
      <c r="C337" s="16">
        <f>IF($L337="","",INDEX(HSTECH!$C$7:$C$46,$N337))</f>
        <v/>
      </c>
      <c r="D337" s="16">
        <f>IF($L337="","",INDEX(HSTECH!$D$7:$D$46,$N337))</f>
        <v/>
      </c>
      <c r="E337" s="37">
        <f>IF($L337="","",IF(INT($P337/10)=0,"TBA",IFERROR(INDEX(Grids!$BQ$113:$EC$152,$N337,$O337),"-")))</f>
        <v/>
      </c>
      <c r="F337" s="16">
        <f>IF($L337="","",INDEX(HSTECH!$F$7:$F$46,$N337))</f>
        <v/>
      </c>
      <c r="G337" s="37">
        <f>IF($L337="","",IF(INT($P337/10)=0,"TBA",IFERROR(INDEX(Grids!$EE$113:$GQ$152,$N337,$O337),"-")))</f>
        <v/>
      </c>
      <c r="H337" s="38">
        <f>IF($L337="","",SUM($G$316:$G337))</f>
        <v/>
      </c>
      <c r="I337" s="39">
        <f>IF($L337="","",IF(INT(($L337-INT($L337/10000000)*10000000)/1000000)=0,"Bloomberg projection",IF(INT($P337/10)=1,"Announced","ANNOUNCED - amount TBA"))&amp;IF(($P337-INT($P337/10)*10)=1," (special)","")&amp;IF((($P337-INT($P337/10)*10)=1)*(Summary!$C$13="N")&gt;0," - excluded by your specials switch",""))</f>
        <v/>
      </c>
      <c r="J337" s="40">
        <f>IF($L337="","",IF((Override!$C$4="ON")*ISNUMBER(INDEX(Override!$G$113:$G$152,$N337))&gt;0,"stock overridden",""))</f>
        <v/>
      </c>
      <c r="L337" s="41">
        <f>IFERROR(IF(SMALL(Grids!$C$113:$BO$152,$M$313+22)&gt;=(Summary!$C$15+1)*1000000000,"",SMALL(Grids!$C$113:$BO$152,$M$313+22)),"")</f>
        <v/>
      </c>
      <c r="M337" s="41">
        <f>IF($L337="","",INT($L337/1000000000))</f>
        <v/>
      </c>
      <c r="N337" s="41">
        <f>IF($L337="","",INT(($L337-INT($L337/1000000)*1000000)/1000))</f>
        <v/>
      </c>
      <c r="O337" s="41">
        <f>IF($L337="","",$L337-INT($L337/1000)*1000)</f>
        <v/>
      </c>
      <c r="P337" s="41">
        <f>IF($L337="","",INT(($L337-INT($L337/1000000000)*1000000000)/10000000))</f>
        <v/>
      </c>
    </row>
    <row r="338">
      <c r="B338" s="36">
        <f>IF($L338="","",$M338)</f>
        <v/>
      </c>
      <c r="C338" s="16">
        <f>IF($L338="","",INDEX(HSTECH!$C$7:$C$46,$N338))</f>
        <v/>
      </c>
      <c r="D338" s="16">
        <f>IF($L338="","",INDEX(HSTECH!$D$7:$D$46,$N338))</f>
        <v/>
      </c>
      <c r="E338" s="37">
        <f>IF($L338="","",IF(INT($P338/10)=0,"TBA",IFERROR(INDEX(Grids!$BQ$113:$EC$152,$N338,$O338),"-")))</f>
        <v/>
      </c>
      <c r="F338" s="16">
        <f>IF($L338="","",INDEX(HSTECH!$F$7:$F$46,$N338))</f>
        <v/>
      </c>
      <c r="G338" s="37">
        <f>IF($L338="","",IF(INT($P338/10)=0,"TBA",IFERROR(INDEX(Grids!$EE$113:$GQ$152,$N338,$O338),"-")))</f>
        <v/>
      </c>
      <c r="H338" s="38">
        <f>IF($L338="","",SUM($G$316:$G338))</f>
        <v/>
      </c>
      <c r="I338" s="39">
        <f>IF($L338="","",IF(INT(($L338-INT($L338/10000000)*10000000)/1000000)=0,"Bloomberg projection",IF(INT($P338/10)=1,"Announced","ANNOUNCED - amount TBA"))&amp;IF(($P338-INT($P338/10)*10)=1," (special)","")&amp;IF((($P338-INT($P338/10)*10)=1)*(Summary!$C$13="N")&gt;0," - excluded by your specials switch",""))</f>
        <v/>
      </c>
      <c r="J338" s="40">
        <f>IF($L338="","",IF((Override!$C$4="ON")*ISNUMBER(INDEX(Override!$G$113:$G$152,$N338))&gt;0,"stock overridden",""))</f>
        <v/>
      </c>
      <c r="L338" s="41">
        <f>IFERROR(IF(SMALL(Grids!$C$113:$BO$152,$M$313+23)&gt;=(Summary!$C$15+1)*1000000000,"",SMALL(Grids!$C$113:$BO$152,$M$313+23)),"")</f>
        <v/>
      </c>
      <c r="M338" s="41">
        <f>IF($L338="","",INT($L338/1000000000))</f>
        <v/>
      </c>
      <c r="N338" s="41">
        <f>IF($L338="","",INT(($L338-INT($L338/1000000)*1000000)/1000))</f>
        <v/>
      </c>
      <c r="O338" s="41">
        <f>IF($L338="","",$L338-INT($L338/1000)*1000)</f>
        <v/>
      </c>
      <c r="P338" s="41">
        <f>IF($L338="","",INT(($L338-INT($L338/1000000000)*1000000000)/10000000))</f>
        <v/>
      </c>
    </row>
    <row r="339">
      <c r="B339" s="36">
        <f>IF($L339="","",$M339)</f>
        <v/>
      </c>
      <c r="C339" s="16">
        <f>IF($L339="","",INDEX(HSTECH!$C$7:$C$46,$N339))</f>
        <v/>
      </c>
      <c r="D339" s="16">
        <f>IF($L339="","",INDEX(HSTECH!$D$7:$D$46,$N339))</f>
        <v/>
      </c>
      <c r="E339" s="37">
        <f>IF($L339="","",IF(INT($P339/10)=0,"TBA",IFERROR(INDEX(Grids!$BQ$113:$EC$152,$N339,$O339),"-")))</f>
        <v/>
      </c>
      <c r="F339" s="16">
        <f>IF($L339="","",INDEX(HSTECH!$F$7:$F$46,$N339))</f>
        <v/>
      </c>
      <c r="G339" s="37">
        <f>IF($L339="","",IF(INT($P339/10)=0,"TBA",IFERROR(INDEX(Grids!$EE$113:$GQ$152,$N339,$O339),"-")))</f>
        <v/>
      </c>
      <c r="H339" s="38">
        <f>IF($L339="","",SUM($G$316:$G339))</f>
        <v/>
      </c>
      <c r="I339" s="39">
        <f>IF($L339="","",IF(INT(($L339-INT($L339/10000000)*10000000)/1000000)=0,"Bloomberg projection",IF(INT($P339/10)=1,"Announced","ANNOUNCED - amount TBA"))&amp;IF(($P339-INT($P339/10)*10)=1," (special)","")&amp;IF((($P339-INT($P339/10)*10)=1)*(Summary!$C$13="N")&gt;0," - excluded by your specials switch",""))</f>
        <v/>
      </c>
      <c r="J339" s="40">
        <f>IF($L339="","",IF((Override!$C$4="ON")*ISNUMBER(INDEX(Override!$G$113:$G$152,$N339))&gt;0,"stock overridden",""))</f>
        <v/>
      </c>
      <c r="L339" s="41">
        <f>IFERROR(IF(SMALL(Grids!$C$113:$BO$152,$M$313+24)&gt;=(Summary!$C$15+1)*1000000000,"",SMALL(Grids!$C$113:$BO$152,$M$313+24)),"")</f>
        <v/>
      </c>
      <c r="M339" s="41">
        <f>IF($L339="","",INT($L339/1000000000))</f>
        <v/>
      </c>
      <c r="N339" s="41">
        <f>IF($L339="","",INT(($L339-INT($L339/1000000)*1000000)/1000))</f>
        <v/>
      </c>
      <c r="O339" s="41">
        <f>IF($L339="","",$L339-INT($L339/1000)*1000)</f>
        <v/>
      </c>
      <c r="P339" s="41">
        <f>IF($L339="","",INT(($L339-INT($L339/1000000000)*1000000000)/10000000))</f>
        <v/>
      </c>
    </row>
    <row r="340">
      <c r="B340" s="36">
        <f>IF($L340="","",$M340)</f>
        <v/>
      </c>
      <c r="C340" s="16">
        <f>IF($L340="","",INDEX(HSTECH!$C$7:$C$46,$N340))</f>
        <v/>
      </c>
      <c r="D340" s="16">
        <f>IF($L340="","",INDEX(HSTECH!$D$7:$D$46,$N340))</f>
        <v/>
      </c>
      <c r="E340" s="37">
        <f>IF($L340="","",IF(INT($P340/10)=0,"TBA",IFERROR(INDEX(Grids!$BQ$113:$EC$152,$N340,$O340),"-")))</f>
        <v/>
      </c>
      <c r="F340" s="16">
        <f>IF($L340="","",INDEX(HSTECH!$F$7:$F$46,$N340))</f>
        <v/>
      </c>
      <c r="G340" s="37">
        <f>IF($L340="","",IF(INT($P340/10)=0,"TBA",IFERROR(INDEX(Grids!$EE$113:$GQ$152,$N340,$O340),"-")))</f>
        <v/>
      </c>
      <c r="H340" s="38">
        <f>IF($L340="","",SUM($G$316:$G340))</f>
        <v/>
      </c>
      <c r="I340" s="39">
        <f>IF($L340="","",IF(INT(($L340-INT($L340/10000000)*10000000)/1000000)=0,"Bloomberg projection",IF(INT($P340/10)=1,"Announced","ANNOUNCED - amount TBA"))&amp;IF(($P340-INT($P340/10)*10)=1," (special)","")&amp;IF((($P340-INT($P340/10)*10)=1)*(Summary!$C$13="N")&gt;0," - excluded by your specials switch",""))</f>
        <v/>
      </c>
      <c r="J340" s="40">
        <f>IF($L340="","",IF((Override!$C$4="ON")*ISNUMBER(INDEX(Override!$G$113:$G$152,$N340))&gt;0,"stock overridden",""))</f>
        <v/>
      </c>
      <c r="L340" s="41">
        <f>IFERROR(IF(SMALL(Grids!$C$113:$BO$152,$M$313+25)&gt;=(Summary!$C$15+1)*1000000000,"",SMALL(Grids!$C$113:$BO$152,$M$313+25)),"")</f>
        <v/>
      </c>
      <c r="M340" s="41">
        <f>IF($L340="","",INT($L340/1000000000))</f>
        <v/>
      </c>
      <c r="N340" s="41">
        <f>IF($L340="","",INT(($L340-INT($L340/1000000)*1000000)/1000))</f>
        <v/>
      </c>
      <c r="O340" s="41">
        <f>IF($L340="","",$L340-INT($L340/1000)*1000)</f>
        <v/>
      </c>
      <c r="P340" s="41">
        <f>IF($L340="","",INT(($L340-INT($L340/1000000000)*1000000000)/10000000))</f>
        <v/>
      </c>
    </row>
    <row r="341">
      <c r="B341" s="36">
        <f>IF($L341="","",$M341)</f>
        <v/>
      </c>
      <c r="C341" s="16">
        <f>IF($L341="","",INDEX(HSTECH!$C$7:$C$46,$N341))</f>
        <v/>
      </c>
      <c r="D341" s="16">
        <f>IF($L341="","",INDEX(HSTECH!$D$7:$D$46,$N341))</f>
        <v/>
      </c>
      <c r="E341" s="37">
        <f>IF($L341="","",IF(INT($P341/10)=0,"TBA",IFERROR(INDEX(Grids!$BQ$113:$EC$152,$N341,$O341),"-")))</f>
        <v/>
      </c>
      <c r="F341" s="16">
        <f>IF($L341="","",INDEX(HSTECH!$F$7:$F$46,$N341))</f>
        <v/>
      </c>
      <c r="G341" s="37">
        <f>IF($L341="","",IF(INT($P341/10)=0,"TBA",IFERROR(INDEX(Grids!$EE$113:$GQ$152,$N341,$O341),"-")))</f>
        <v/>
      </c>
      <c r="H341" s="38">
        <f>IF($L341="","",SUM($G$316:$G341))</f>
        <v/>
      </c>
      <c r="I341" s="39">
        <f>IF($L341="","",IF(INT(($L341-INT($L341/10000000)*10000000)/1000000)=0,"Bloomberg projection",IF(INT($P341/10)=1,"Announced","ANNOUNCED - amount TBA"))&amp;IF(($P341-INT($P341/10)*10)=1," (special)","")&amp;IF((($P341-INT($P341/10)*10)=1)*(Summary!$C$13="N")&gt;0," - excluded by your specials switch",""))</f>
        <v/>
      </c>
      <c r="J341" s="40">
        <f>IF($L341="","",IF((Override!$C$4="ON")*ISNUMBER(INDEX(Override!$G$113:$G$152,$N341))&gt;0,"stock overridden",""))</f>
        <v/>
      </c>
      <c r="L341" s="41">
        <f>IFERROR(IF(SMALL(Grids!$C$113:$BO$152,$M$313+26)&gt;=(Summary!$C$15+1)*1000000000,"",SMALL(Grids!$C$113:$BO$152,$M$313+26)),"")</f>
        <v/>
      </c>
      <c r="M341" s="41">
        <f>IF($L341="","",INT($L341/1000000000))</f>
        <v/>
      </c>
      <c r="N341" s="41">
        <f>IF($L341="","",INT(($L341-INT($L341/1000000)*1000000)/1000))</f>
        <v/>
      </c>
      <c r="O341" s="41">
        <f>IF($L341="","",$L341-INT($L341/1000)*1000)</f>
        <v/>
      </c>
      <c r="P341" s="41">
        <f>IF($L341="","",INT(($L341-INT($L341/1000000000)*1000000000)/10000000))</f>
        <v/>
      </c>
    </row>
    <row r="342">
      <c r="B342" s="36">
        <f>IF($L342="","",$M342)</f>
        <v/>
      </c>
      <c r="C342" s="16">
        <f>IF($L342="","",INDEX(HSTECH!$C$7:$C$46,$N342))</f>
        <v/>
      </c>
      <c r="D342" s="16">
        <f>IF($L342="","",INDEX(HSTECH!$D$7:$D$46,$N342))</f>
        <v/>
      </c>
      <c r="E342" s="37">
        <f>IF($L342="","",IF(INT($P342/10)=0,"TBA",IFERROR(INDEX(Grids!$BQ$113:$EC$152,$N342,$O342),"-")))</f>
        <v/>
      </c>
      <c r="F342" s="16">
        <f>IF($L342="","",INDEX(HSTECH!$F$7:$F$46,$N342))</f>
        <v/>
      </c>
      <c r="G342" s="37">
        <f>IF($L342="","",IF(INT($P342/10)=0,"TBA",IFERROR(INDEX(Grids!$EE$113:$GQ$152,$N342,$O342),"-")))</f>
        <v/>
      </c>
      <c r="H342" s="38">
        <f>IF($L342="","",SUM($G$316:$G342))</f>
        <v/>
      </c>
      <c r="I342" s="39">
        <f>IF($L342="","",IF(INT(($L342-INT($L342/10000000)*10000000)/1000000)=0,"Bloomberg projection",IF(INT($P342/10)=1,"Announced","ANNOUNCED - amount TBA"))&amp;IF(($P342-INT($P342/10)*10)=1," (special)","")&amp;IF((($P342-INT($P342/10)*10)=1)*(Summary!$C$13="N")&gt;0," - excluded by your specials switch",""))</f>
        <v/>
      </c>
      <c r="J342" s="40">
        <f>IF($L342="","",IF((Override!$C$4="ON")*ISNUMBER(INDEX(Override!$G$113:$G$152,$N342))&gt;0,"stock overridden",""))</f>
        <v/>
      </c>
      <c r="L342" s="41">
        <f>IFERROR(IF(SMALL(Grids!$C$113:$BO$152,$M$313+27)&gt;=(Summary!$C$15+1)*1000000000,"",SMALL(Grids!$C$113:$BO$152,$M$313+27)),"")</f>
        <v/>
      </c>
      <c r="M342" s="41">
        <f>IF($L342="","",INT($L342/1000000000))</f>
        <v/>
      </c>
      <c r="N342" s="41">
        <f>IF($L342="","",INT(($L342-INT($L342/1000000)*1000000)/1000))</f>
        <v/>
      </c>
      <c r="O342" s="41">
        <f>IF($L342="","",$L342-INT($L342/1000)*1000)</f>
        <v/>
      </c>
      <c r="P342" s="41">
        <f>IF($L342="","",INT(($L342-INT($L342/1000000000)*1000000000)/10000000))</f>
        <v/>
      </c>
    </row>
    <row r="343">
      <c r="B343" s="36">
        <f>IF($L343="","",$M343)</f>
        <v/>
      </c>
      <c r="C343" s="16">
        <f>IF($L343="","",INDEX(HSTECH!$C$7:$C$46,$N343))</f>
        <v/>
      </c>
      <c r="D343" s="16">
        <f>IF($L343="","",INDEX(HSTECH!$D$7:$D$46,$N343))</f>
        <v/>
      </c>
      <c r="E343" s="37">
        <f>IF($L343="","",IF(INT($P343/10)=0,"TBA",IFERROR(INDEX(Grids!$BQ$113:$EC$152,$N343,$O343),"-")))</f>
        <v/>
      </c>
      <c r="F343" s="16">
        <f>IF($L343="","",INDEX(HSTECH!$F$7:$F$46,$N343))</f>
        <v/>
      </c>
      <c r="G343" s="37">
        <f>IF($L343="","",IF(INT($P343/10)=0,"TBA",IFERROR(INDEX(Grids!$EE$113:$GQ$152,$N343,$O343),"-")))</f>
        <v/>
      </c>
      <c r="H343" s="38">
        <f>IF($L343="","",SUM($G$316:$G343))</f>
        <v/>
      </c>
      <c r="I343" s="39">
        <f>IF($L343="","",IF(INT(($L343-INT($L343/10000000)*10000000)/1000000)=0,"Bloomberg projection",IF(INT($P343/10)=1,"Announced","ANNOUNCED - amount TBA"))&amp;IF(($P343-INT($P343/10)*10)=1," (special)","")&amp;IF((($P343-INT($P343/10)*10)=1)*(Summary!$C$13="N")&gt;0," - excluded by your specials switch",""))</f>
        <v/>
      </c>
      <c r="J343" s="40">
        <f>IF($L343="","",IF((Override!$C$4="ON")*ISNUMBER(INDEX(Override!$G$113:$G$152,$N343))&gt;0,"stock overridden",""))</f>
        <v/>
      </c>
      <c r="L343" s="41">
        <f>IFERROR(IF(SMALL(Grids!$C$113:$BO$152,$M$313+28)&gt;=(Summary!$C$15+1)*1000000000,"",SMALL(Grids!$C$113:$BO$152,$M$313+28)),"")</f>
        <v/>
      </c>
      <c r="M343" s="41">
        <f>IF($L343="","",INT($L343/1000000000))</f>
        <v/>
      </c>
      <c r="N343" s="41">
        <f>IF($L343="","",INT(($L343-INT($L343/1000000)*1000000)/1000))</f>
        <v/>
      </c>
      <c r="O343" s="41">
        <f>IF($L343="","",$L343-INT($L343/1000)*1000)</f>
        <v/>
      </c>
      <c r="P343" s="41">
        <f>IF($L343="","",INT(($L343-INT($L343/1000000000)*1000000000)/10000000))</f>
        <v/>
      </c>
    </row>
    <row r="344">
      <c r="B344" s="36">
        <f>IF($L344="","",$M344)</f>
        <v/>
      </c>
      <c r="C344" s="16">
        <f>IF($L344="","",INDEX(HSTECH!$C$7:$C$46,$N344))</f>
        <v/>
      </c>
      <c r="D344" s="16">
        <f>IF($L344="","",INDEX(HSTECH!$D$7:$D$46,$N344))</f>
        <v/>
      </c>
      <c r="E344" s="37">
        <f>IF($L344="","",IF(INT($P344/10)=0,"TBA",IFERROR(INDEX(Grids!$BQ$113:$EC$152,$N344,$O344),"-")))</f>
        <v/>
      </c>
      <c r="F344" s="16">
        <f>IF($L344="","",INDEX(HSTECH!$F$7:$F$46,$N344))</f>
        <v/>
      </c>
      <c r="G344" s="37">
        <f>IF($L344="","",IF(INT($P344/10)=0,"TBA",IFERROR(INDEX(Grids!$EE$113:$GQ$152,$N344,$O344),"-")))</f>
        <v/>
      </c>
      <c r="H344" s="38">
        <f>IF($L344="","",SUM($G$316:$G344))</f>
        <v/>
      </c>
      <c r="I344" s="39">
        <f>IF($L344="","",IF(INT(($L344-INT($L344/10000000)*10000000)/1000000)=0,"Bloomberg projection",IF(INT($P344/10)=1,"Announced","ANNOUNCED - amount TBA"))&amp;IF(($P344-INT($P344/10)*10)=1," (special)","")&amp;IF((($P344-INT($P344/10)*10)=1)*(Summary!$C$13="N")&gt;0," - excluded by your specials switch",""))</f>
        <v/>
      </c>
      <c r="J344" s="40">
        <f>IF($L344="","",IF((Override!$C$4="ON")*ISNUMBER(INDEX(Override!$G$113:$G$152,$N344))&gt;0,"stock overridden",""))</f>
        <v/>
      </c>
      <c r="L344" s="41">
        <f>IFERROR(IF(SMALL(Grids!$C$113:$BO$152,$M$313+29)&gt;=(Summary!$C$15+1)*1000000000,"",SMALL(Grids!$C$113:$BO$152,$M$313+29)),"")</f>
        <v/>
      </c>
      <c r="M344" s="41">
        <f>IF($L344="","",INT($L344/1000000000))</f>
        <v/>
      </c>
      <c r="N344" s="41">
        <f>IF($L344="","",INT(($L344-INT($L344/1000000)*1000000)/1000))</f>
        <v/>
      </c>
      <c r="O344" s="41">
        <f>IF($L344="","",$L344-INT($L344/1000)*1000)</f>
        <v/>
      </c>
      <c r="P344" s="41">
        <f>IF($L344="","",INT(($L344-INT($L344/1000000000)*1000000000)/10000000))</f>
        <v/>
      </c>
    </row>
    <row r="345">
      <c r="B345" s="36">
        <f>IF($L345="","",$M345)</f>
        <v/>
      </c>
      <c r="C345" s="16">
        <f>IF($L345="","",INDEX(HSTECH!$C$7:$C$46,$N345))</f>
        <v/>
      </c>
      <c r="D345" s="16">
        <f>IF($L345="","",INDEX(HSTECH!$D$7:$D$46,$N345))</f>
        <v/>
      </c>
      <c r="E345" s="37">
        <f>IF($L345="","",IF(INT($P345/10)=0,"TBA",IFERROR(INDEX(Grids!$BQ$113:$EC$152,$N345,$O345),"-")))</f>
        <v/>
      </c>
      <c r="F345" s="16">
        <f>IF($L345="","",INDEX(HSTECH!$F$7:$F$46,$N345))</f>
        <v/>
      </c>
      <c r="G345" s="37">
        <f>IF($L345="","",IF(INT($P345/10)=0,"TBA",IFERROR(INDEX(Grids!$EE$113:$GQ$152,$N345,$O345),"-")))</f>
        <v/>
      </c>
      <c r="H345" s="38">
        <f>IF($L345="","",SUM($G$316:$G345))</f>
        <v/>
      </c>
      <c r="I345" s="39">
        <f>IF($L345="","",IF(INT(($L345-INT($L345/10000000)*10000000)/1000000)=0,"Bloomberg projection",IF(INT($P345/10)=1,"Announced","ANNOUNCED - amount TBA"))&amp;IF(($P345-INT($P345/10)*10)=1," (special)","")&amp;IF((($P345-INT($P345/10)*10)=1)*(Summary!$C$13="N")&gt;0," - excluded by your specials switch",""))</f>
        <v/>
      </c>
      <c r="J345" s="40">
        <f>IF($L345="","",IF((Override!$C$4="ON")*ISNUMBER(INDEX(Override!$G$113:$G$152,$N345))&gt;0,"stock overridden",""))</f>
        <v/>
      </c>
      <c r="L345" s="41">
        <f>IFERROR(IF(SMALL(Grids!$C$113:$BO$152,$M$313+30)&gt;=(Summary!$C$15+1)*1000000000,"",SMALL(Grids!$C$113:$BO$152,$M$313+30)),"")</f>
        <v/>
      </c>
      <c r="M345" s="41">
        <f>IF($L345="","",INT($L345/1000000000))</f>
        <v/>
      </c>
      <c r="N345" s="41">
        <f>IF($L345="","",INT(($L345-INT($L345/1000000)*1000000)/1000))</f>
        <v/>
      </c>
      <c r="O345" s="41">
        <f>IF($L345="","",$L345-INT($L345/1000)*1000)</f>
        <v/>
      </c>
      <c r="P345" s="41">
        <f>IF($L345="","",INT(($L345-INT($L345/1000000000)*1000000000)/10000000))</f>
        <v/>
      </c>
    </row>
    <row r="346">
      <c r="B346" s="36">
        <f>IF($L346="","",$M346)</f>
        <v/>
      </c>
      <c r="C346" s="16">
        <f>IF($L346="","",INDEX(HSTECH!$C$7:$C$46,$N346))</f>
        <v/>
      </c>
      <c r="D346" s="16">
        <f>IF($L346="","",INDEX(HSTECH!$D$7:$D$46,$N346))</f>
        <v/>
      </c>
      <c r="E346" s="37">
        <f>IF($L346="","",IF(INT($P346/10)=0,"TBA",IFERROR(INDEX(Grids!$BQ$113:$EC$152,$N346,$O346),"-")))</f>
        <v/>
      </c>
      <c r="F346" s="16">
        <f>IF($L346="","",INDEX(HSTECH!$F$7:$F$46,$N346))</f>
        <v/>
      </c>
      <c r="G346" s="37">
        <f>IF($L346="","",IF(INT($P346/10)=0,"TBA",IFERROR(INDEX(Grids!$EE$113:$GQ$152,$N346,$O346),"-")))</f>
        <v/>
      </c>
      <c r="H346" s="38">
        <f>IF($L346="","",SUM($G$316:$G346))</f>
        <v/>
      </c>
      <c r="I346" s="39">
        <f>IF($L346="","",IF(INT(($L346-INT($L346/10000000)*10000000)/1000000)=0,"Bloomberg projection",IF(INT($P346/10)=1,"Announced","ANNOUNCED - amount TBA"))&amp;IF(($P346-INT($P346/10)*10)=1," (special)","")&amp;IF((($P346-INT($P346/10)*10)=1)*(Summary!$C$13="N")&gt;0," - excluded by your specials switch",""))</f>
        <v/>
      </c>
      <c r="J346" s="40">
        <f>IF($L346="","",IF((Override!$C$4="ON")*ISNUMBER(INDEX(Override!$G$113:$G$152,$N346))&gt;0,"stock overridden",""))</f>
        <v/>
      </c>
      <c r="L346" s="41">
        <f>IFERROR(IF(SMALL(Grids!$C$113:$BO$152,$M$313+31)&gt;=(Summary!$C$15+1)*1000000000,"",SMALL(Grids!$C$113:$BO$152,$M$313+31)),"")</f>
        <v/>
      </c>
      <c r="M346" s="41">
        <f>IF($L346="","",INT($L346/1000000000))</f>
        <v/>
      </c>
      <c r="N346" s="41">
        <f>IF($L346="","",INT(($L346-INT($L346/1000000)*1000000)/1000))</f>
        <v/>
      </c>
      <c r="O346" s="41">
        <f>IF($L346="","",$L346-INT($L346/1000)*1000)</f>
        <v/>
      </c>
      <c r="P346" s="41">
        <f>IF($L346="","",INT(($L346-INT($L346/1000000000)*1000000000)/10000000))</f>
        <v/>
      </c>
    </row>
    <row r="347">
      <c r="B347" s="36">
        <f>IF($L347="","",$M347)</f>
        <v/>
      </c>
      <c r="C347" s="16">
        <f>IF($L347="","",INDEX(HSTECH!$C$7:$C$46,$N347))</f>
        <v/>
      </c>
      <c r="D347" s="16">
        <f>IF($L347="","",INDEX(HSTECH!$D$7:$D$46,$N347))</f>
        <v/>
      </c>
      <c r="E347" s="37">
        <f>IF($L347="","",IF(INT($P347/10)=0,"TBA",IFERROR(INDEX(Grids!$BQ$113:$EC$152,$N347,$O347),"-")))</f>
        <v/>
      </c>
      <c r="F347" s="16">
        <f>IF($L347="","",INDEX(HSTECH!$F$7:$F$46,$N347))</f>
        <v/>
      </c>
      <c r="G347" s="37">
        <f>IF($L347="","",IF(INT($P347/10)=0,"TBA",IFERROR(INDEX(Grids!$EE$113:$GQ$152,$N347,$O347),"-")))</f>
        <v/>
      </c>
      <c r="H347" s="38">
        <f>IF($L347="","",SUM($G$316:$G347))</f>
        <v/>
      </c>
      <c r="I347" s="39">
        <f>IF($L347="","",IF(INT(($L347-INT($L347/10000000)*10000000)/1000000)=0,"Bloomberg projection",IF(INT($P347/10)=1,"Announced","ANNOUNCED - amount TBA"))&amp;IF(($P347-INT($P347/10)*10)=1," (special)","")&amp;IF((($P347-INT($P347/10)*10)=1)*(Summary!$C$13="N")&gt;0," - excluded by your specials switch",""))</f>
        <v/>
      </c>
      <c r="J347" s="40">
        <f>IF($L347="","",IF((Override!$C$4="ON")*ISNUMBER(INDEX(Override!$G$113:$G$152,$N347))&gt;0,"stock overridden",""))</f>
        <v/>
      </c>
      <c r="L347" s="41">
        <f>IFERROR(IF(SMALL(Grids!$C$113:$BO$152,$M$313+32)&gt;=(Summary!$C$15+1)*1000000000,"",SMALL(Grids!$C$113:$BO$152,$M$313+32)),"")</f>
        <v/>
      </c>
      <c r="M347" s="41">
        <f>IF($L347="","",INT($L347/1000000000))</f>
        <v/>
      </c>
      <c r="N347" s="41">
        <f>IF($L347="","",INT(($L347-INT($L347/1000000)*1000000)/1000))</f>
        <v/>
      </c>
      <c r="O347" s="41">
        <f>IF($L347="","",$L347-INT($L347/1000)*1000)</f>
        <v/>
      </c>
      <c r="P347" s="41">
        <f>IF($L347="","",INT(($L347-INT($L347/1000000000)*1000000000)/10000000))</f>
        <v/>
      </c>
    </row>
    <row r="348">
      <c r="B348" s="36">
        <f>IF($L348="","",$M348)</f>
        <v/>
      </c>
      <c r="C348" s="16">
        <f>IF($L348="","",INDEX(HSTECH!$C$7:$C$46,$N348))</f>
        <v/>
      </c>
      <c r="D348" s="16">
        <f>IF($L348="","",INDEX(HSTECH!$D$7:$D$46,$N348))</f>
        <v/>
      </c>
      <c r="E348" s="37">
        <f>IF($L348="","",IF(INT($P348/10)=0,"TBA",IFERROR(INDEX(Grids!$BQ$113:$EC$152,$N348,$O348),"-")))</f>
        <v/>
      </c>
      <c r="F348" s="16">
        <f>IF($L348="","",INDEX(HSTECH!$F$7:$F$46,$N348))</f>
        <v/>
      </c>
      <c r="G348" s="37">
        <f>IF($L348="","",IF(INT($P348/10)=0,"TBA",IFERROR(INDEX(Grids!$EE$113:$GQ$152,$N348,$O348),"-")))</f>
        <v/>
      </c>
      <c r="H348" s="38">
        <f>IF($L348="","",SUM($G$316:$G348))</f>
        <v/>
      </c>
      <c r="I348" s="39">
        <f>IF($L348="","",IF(INT(($L348-INT($L348/10000000)*10000000)/1000000)=0,"Bloomberg projection",IF(INT($P348/10)=1,"Announced","ANNOUNCED - amount TBA"))&amp;IF(($P348-INT($P348/10)*10)=1," (special)","")&amp;IF((($P348-INT($P348/10)*10)=1)*(Summary!$C$13="N")&gt;0," - excluded by your specials switch",""))</f>
        <v/>
      </c>
      <c r="J348" s="40">
        <f>IF($L348="","",IF((Override!$C$4="ON")*ISNUMBER(INDEX(Override!$G$113:$G$152,$N348))&gt;0,"stock overridden",""))</f>
        <v/>
      </c>
      <c r="L348" s="41">
        <f>IFERROR(IF(SMALL(Grids!$C$113:$BO$152,$M$313+33)&gt;=(Summary!$C$15+1)*1000000000,"",SMALL(Grids!$C$113:$BO$152,$M$313+33)),"")</f>
        <v/>
      </c>
      <c r="M348" s="41">
        <f>IF($L348="","",INT($L348/1000000000))</f>
        <v/>
      </c>
      <c r="N348" s="41">
        <f>IF($L348="","",INT(($L348-INT($L348/1000000)*1000000)/1000))</f>
        <v/>
      </c>
      <c r="O348" s="41">
        <f>IF($L348="","",$L348-INT($L348/1000)*1000)</f>
        <v/>
      </c>
      <c r="P348" s="41">
        <f>IF($L348="","",INT(($L348-INT($L348/1000000000)*1000000000)/10000000))</f>
        <v/>
      </c>
    </row>
    <row r="349">
      <c r="B349" s="36">
        <f>IF($L349="","",$M349)</f>
        <v/>
      </c>
      <c r="C349" s="16">
        <f>IF($L349="","",INDEX(HSTECH!$C$7:$C$46,$N349))</f>
        <v/>
      </c>
      <c r="D349" s="16">
        <f>IF($L349="","",INDEX(HSTECH!$D$7:$D$46,$N349))</f>
        <v/>
      </c>
      <c r="E349" s="37">
        <f>IF($L349="","",IF(INT($P349/10)=0,"TBA",IFERROR(INDEX(Grids!$BQ$113:$EC$152,$N349,$O349),"-")))</f>
        <v/>
      </c>
      <c r="F349" s="16">
        <f>IF($L349="","",INDEX(HSTECH!$F$7:$F$46,$N349))</f>
        <v/>
      </c>
      <c r="G349" s="37">
        <f>IF($L349="","",IF(INT($P349/10)=0,"TBA",IFERROR(INDEX(Grids!$EE$113:$GQ$152,$N349,$O349),"-")))</f>
        <v/>
      </c>
      <c r="H349" s="38">
        <f>IF($L349="","",SUM($G$316:$G349))</f>
        <v/>
      </c>
      <c r="I349" s="39">
        <f>IF($L349="","",IF(INT(($L349-INT($L349/10000000)*10000000)/1000000)=0,"Bloomberg projection",IF(INT($P349/10)=1,"Announced","ANNOUNCED - amount TBA"))&amp;IF(($P349-INT($P349/10)*10)=1," (special)","")&amp;IF((($P349-INT($P349/10)*10)=1)*(Summary!$C$13="N")&gt;0," - excluded by your specials switch",""))</f>
        <v/>
      </c>
      <c r="J349" s="40">
        <f>IF($L349="","",IF((Override!$C$4="ON")*ISNUMBER(INDEX(Override!$G$113:$G$152,$N349))&gt;0,"stock overridden",""))</f>
        <v/>
      </c>
      <c r="L349" s="41">
        <f>IFERROR(IF(SMALL(Grids!$C$113:$BO$152,$M$313+34)&gt;=(Summary!$C$15+1)*1000000000,"",SMALL(Grids!$C$113:$BO$152,$M$313+34)),"")</f>
        <v/>
      </c>
      <c r="M349" s="41">
        <f>IF($L349="","",INT($L349/1000000000))</f>
        <v/>
      </c>
      <c r="N349" s="41">
        <f>IF($L349="","",INT(($L349-INT($L349/1000000)*1000000)/1000))</f>
        <v/>
      </c>
      <c r="O349" s="41">
        <f>IF($L349="","",$L349-INT($L349/1000)*1000)</f>
        <v/>
      </c>
      <c r="P349" s="41">
        <f>IF($L349="","",INT(($L349-INT($L349/1000000000)*1000000000)/10000000))</f>
        <v/>
      </c>
    </row>
    <row r="350">
      <c r="B350" s="36">
        <f>IF($L350="","",$M350)</f>
        <v/>
      </c>
      <c r="C350" s="16">
        <f>IF($L350="","",INDEX(HSTECH!$C$7:$C$46,$N350))</f>
        <v/>
      </c>
      <c r="D350" s="16">
        <f>IF($L350="","",INDEX(HSTECH!$D$7:$D$46,$N350))</f>
        <v/>
      </c>
      <c r="E350" s="37">
        <f>IF($L350="","",IF(INT($P350/10)=0,"TBA",IFERROR(INDEX(Grids!$BQ$113:$EC$152,$N350,$O350),"-")))</f>
        <v/>
      </c>
      <c r="F350" s="16">
        <f>IF($L350="","",INDEX(HSTECH!$F$7:$F$46,$N350))</f>
        <v/>
      </c>
      <c r="G350" s="37">
        <f>IF($L350="","",IF(INT($P350/10)=0,"TBA",IFERROR(INDEX(Grids!$EE$113:$GQ$152,$N350,$O350),"-")))</f>
        <v/>
      </c>
      <c r="H350" s="38">
        <f>IF($L350="","",SUM($G$316:$G350))</f>
        <v/>
      </c>
      <c r="I350" s="39">
        <f>IF($L350="","",IF(INT(($L350-INT($L350/10000000)*10000000)/1000000)=0,"Bloomberg projection",IF(INT($P350/10)=1,"Announced","ANNOUNCED - amount TBA"))&amp;IF(($P350-INT($P350/10)*10)=1," (special)","")&amp;IF((($P350-INT($P350/10)*10)=1)*(Summary!$C$13="N")&gt;0," - excluded by your specials switch",""))</f>
        <v/>
      </c>
      <c r="J350" s="40">
        <f>IF($L350="","",IF((Override!$C$4="ON")*ISNUMBER(INDEX(Override!$G$113:$G$152,$N350))&gt;0,"stock overridden",""))</f>
        <v/>
      </c>
      <c r="L350" s="41">
        <f>IFERROR(IF(SMALL(Grids!$C$113:$BO$152,$M$313+35)&gt;=(Summary!$C$15+1)*1000000000,"",SMALL(Grids!$C$113:$BO$152,$M$313+35)),"")</f>
        <v/>
      </c>
      <c r="M350" s="41">
        <f>IF($L350="","",INT($L350/1000000000))</f>
        <v/>
      </c>
      <c r="N350" s="41">
        <f>IF($L350="","",INT(($L350-INT($L350/1000000)*1000000)/1000))</f>
        <v/>
      </c>
      <c r="O350" s="41">
        <f>IF($L350="","",$L350-INT($L350/1000)*1000)</f>
        <v/>
      </c>
      <c r="P350" s="41">
        <f>IF($L350="","",INT(($L350-INT($L350/1000000000)*1000000000)/10000000))</f>
        <v/>
      </c>
    </row>
    <row r="351">
      <c r="B351" s="36">
        <f>IF($L351="","",$M351)</f>
        <v/>
      </c>
      <c r="C351" s="16">
        <f>IF($L351="","",INDEX(HSTECH!$C$7:$C$46,$N351))</f>
        <v/>
      </c>
      <c r="D351" s="16">
        <f>IF($L351="","",INDEX(HSTECH!$D$7:$D$46,$N351))</f>
        <v/>
      </c>
      <c r="E351" s="37">
        <f>IF($L351="","",IF(INT($P351/10)=0,"TBA",IFERROR(INDEX(Grids!$BQ$113:$EC$152,$N351,$O351),"-")))</f>
        <v/>
      </c>
      <c r="F351" s="16">
        <f>IF($L351="","",INDEX(HSTECH!$F$7:$F$46,$N351))</f>
        <v/>
      </c>
      <c r="G351" s="37">
        <f>IF($L351="","",IF(INT($P351/10)=0,"TBA",IFERROR(INDEX(Grids!$EE$113:$GQ$152,$N351,$O351),"-")))</f>
        <v/>
      </c>
      <c r="H351" s="38">
        <f>IF($L351="","",SUM($G$316:$G351))</f>
        <v/>
      </c>
      <c r="I351" s="39">
        <f>IF($L351="","",IF(INT(($L351-INT($L351/10000000)*10000000)/1000000)=0,"Bloomberg projection",IF(INT($P351/10)=1,"Announced","ANNOUNCED - amount TBA"))&amp;IF(($P351-INT($P351/10)*10)=1," (special)","")&amp;IF((($P351-INT($P351/10)*10)=1)*(Summary!$C$13="N")&gt;0," - excluded by your specials switch",""))</f>
        <v/>
      </c>
      <c r="J351" s="40">
        <f>IF($L351="","",IF((Override!$C$4="ON")*ISNUMBER(INDEX(Override!$G$113:$G$152,$N351))&gt;0,"stock overridden",""))</f>
        <v/>
      </c>
      <c r="L351" s="41">
        <f>IFERROR(IF(SMALL(Grids!$C$113:$BO$152,$M$313+36)&gt;=(Summary!$C$15+1)*1000000000,"",SMALL(Grids!$C$113:$BO$152,$M$313+36)),"")</f>
        <v/>
      </c>
      <c r="M351" s="41">
        <f>IF($L351="","",INT($L351/1000000000))</f>
        <v/>
      </c>
      <c r="N351" s="41">
        <f>IF($L351="","",INT(($L351-INT($L351/1000000)*1000000)/1000))</f>
        <v/>
      </c>
      <c r="O351" s="41">
        <f>IF($L351="","",$L351-INT($L351/1000)*1000)</f>
        <v/>
      </c>
      <c r="P351" s="41">
        <f>IF($L351="","",INT(($L351-INT($L351/1000000000)*1000000000)/10000000))</f>
        <v/>
      </c>
    </row>
    <row r="352">
      <c r="B352" s="36">
        <f>IF($L352="","",$M352)</f>
        <v/>
      </c>
      <c r="C352" s="16">
        <f>IF($L352="","",INDEX(HSTECH!$C$7:$C$46,$N352))</f>
        <v/>
      </c>
      <c r="D352" s="16">
        <f>IF($L352="","",INDEX(HSTECH!$D$7:$D$46,$N352))</f>
        <v/>
      </c>
      <c r="E352" s="37">
        <f>IF($L352="","",IF(INT($P352/10)=0,"TBA",IFERROR(INDEX(Grids!$BQ$113:$EC$152,$N352,$O352),"-")))</f>
        <v/>
      </c>
      <c r="F352" s="16">
        <f>IF($L352="","",INDEX(HSTECH!$F$7:$F$46,$N352))</f>
        <v/>
      </c>
      <c r="G352" s="37">
        <f>IF($L352="","",IF(INT($P352/10)=0,"TBA",IFERROR(INDEX(Grids!$EE$113:$GQ$152,$N352,$O352),"-")))</f>
        <v/>
      </c>
      <c r="H352" s="38">
        <f>IF($L352="","",SUM($G$316:$G352))</f>
        <v/>
      </c>
      <c r="I352" s="39">
        <f>IF($L352="","",IF(INT(($L352-INT($L352/10000000)*10000000)/1000000)=0,"Bloomberg projection",IF(INT($P352/10)=1,"Announced","ANNOUNCED - amount TBA"))&amp;IF(($P352-INT($P352/10)*10)=1," (special)","")&amp;IF((($P352-INT($P352/10)*10)=1)*(Summary!$C$13="N")&gt;0," - excluded by your specials switch",""))</f>
        <v/>
      </c>
      <c r="J352" s="40">
        <f>IF($L352="","",IF((Override!$C$4="ON")*ISNUMBER(INDEX(Override!$G$113:$G$152,$N352))&gt;0,"stock overridden",""))</f>
        <v/>
      </c>
      <c r="L352" s="41">
        <f>IFERROR(IF(SMALL(Grids!$C$113:$BO$152,$M$313+37)&gt;=(Summary!$C$15+1)*1000000000,"",SMALL(Grids!$C$113:$BO$152,$M$313+37)),"")</f>
        <v/>
      </c>
      <c r="M352" s="41">
        <f>IF($L352="","",INT($L352/1000000000))</f>
        <v/>
      </c>
      <c r="N352" s="41">
        <f>IF($L352="","",INT(($L352-INT($L352/1000000)*1000000)/1000))</f>
        <v/>
      </c>
      <c r="O352" s="41">
        <f>IF($L352="","",$L352-INT($L352/1000)*1000)</f>
        <v/>
      </c>
      <c r="P352" s="41">
        <f>IF($L352="","",INT(($L352-INT($L352/1000000000)*1000000000)/10000000))</f>
        <v/>
      </c>
    </row>
    <row r="353">
      <c r="B353" s="36">
        <f>IF($L353="","",$M353)</f>
        <v/>
      </c>
      <c r="C353" s="16">
        <f>IF($L353="","",INDEX(HSTECH!$C$7:$C$46,$N353))</f>
        <v/>
      </c>
      <c r="D353" s="16">
        <f>IF($L353="","",INDEX(HSTECH!$D$7:$D$46,$N353))</f>
        <v/>
      </c>
      <c r="E353" s="37">
        <f>IF($L353="","",IF(INT($P353/10)=0,"TBA",IFERROR(INDEX(Grids!$BQ$113:$EC$152,$N353,$O353),"-")))</f>
        <v/>
      </c>
      <c r="F353" s="16">
        <f>IF($L353="","",INDEX(HSTECH!$F$7:$F$46,$N353))</f>
        <v/>
      </c>
      <c r="G353" s="37">
        <f>IF($L353="","",IF(INT($P353/10)=0,"TBA",IFERROR(INDEX(Grids!$EE$113:$GQ$152,$N353,$O353),"-")))</f>
        <v/>
      </c>
      <c r="H353" s="38">
        <f>IF($L353="","",SUM($G$316:$G353))</f>
        <v/>
      </c>
      <c r="I353" s="39">
        <f>IF($L353="","",IF(INT(($L353-INT($L353/10000000)*10000000)/1000000)=0,"Bloomberg projection",IF(INT($P353/10)=1,"Announced","ANNOUNCED - amount TBA"))&amp;IF(($P353-INT($P353/10)*10)=1," (special)","")&amp;IF((($P353-INT($P353/10)*10)=1)*(Summary!$C$13="N")&gt;0," - excluded by your specials switch",""))</f>
        <v/>
      </c>
      <c r="J353" s="40">
        <f>IF($L353="","",IF((Override!$C$4="ON")*ISNUMBER(INDEX(Override!$G$113:$G$152,$N353))&gt;0,"stock overridden",""))</f>
        <v/>
      </c>
      <c r="L353" s="41">
        <f>IFERROR(IF(SMALL(Grids!$C$113:$BO$152,$M$313+38)&gt;=(Summary!$C$15+1)*1000000000,"",SMALL(Grids!$C$113:$BO$152,$M$313+38)),"")</f>
        <v/>
      </c>
      <c r="M353" s="41">
        <f>IF($L353="","",INT($L353/1000000000))</f>
        <v/>
      </c>
      <c r="N353" s="41">
        <f>IF($L353="","",INT(($L353-INT($L353/1000000)*1000000)/1000))</f>
        <v/>
      </c>
      <c r="O353" s="41">
        <f>IF($L353="","",$L353-INT($L353/1000)*1000)</f>
        <v/>
      </c>
      <c r="P353" s="41">
        <f>IF($L353="","",INT(($L353-INT($L353/1000000000)*1000000000)/10000000))</f>
        <v/>
      </c>
    </row>
    <row r="354">
      <c r="B354" s="36">
        <f>IF($L354="","",$M354)</f>
        <v/>
      </c>
      <c r="C354" s="16">
        <f>IF($L354="","",INDEX(HSTECH!$C$7:$C$46,$N354))</f>
        <v/>
      </c>
      <c r="D354" s="16">
        <f>IF($L354="","",INDEX(HSTECH!$D$7:$D$46,$N354))</f>
        <v/>
      </c>
      <c r="E354" s="37">
        <f>IF($L354="","",IF(INT($P354/10)=0,"TBA",IFERROR(INDEX(Grids!$BQ$113:$EC$152,$N354,$O354),"-")))</f>
        <v/>
      </c>
      <c r="F354" s="16">
        <f>IF($L354="","",INDEX(HSTECH!$F$7:$F$46,$N354))</f>
        <v/>
      </c>
      <c r="G354" s="37">
        <f>IF($L354="","",IF(INT($P354/10)=0,"TBA",IFERROR(INDEX(Grids!$EE$113:$GQ$152,$N354,$O354),"-")))</f>
        <v/>
      </c>
      <c r="H354" s="38">
        <f>IF($L354="","",SUM($G$316:$G354))</f>
        <v/>
      </c>
      <c r="I354" s="39">
        <f>IF($L354="","",IF(INT(($L354-INT($L354/10000000)*10000000)/1000000)=0,"Bloomberg projection",IF(INT($P354/10)=1,"Announced","ANNOUNCED - amount TBA"))&amp;IF(($P354-INT($P354/10)*10)=1," (special)","")&amp;IF((($P354-INT($P354/10)*10)=1)*(Summary!$C$13="N")&gt;0," - excluded by your specials switch",""))</f>
        <v/>
      </c>
      <c r="J354" s="40">
        <f>IF($L354="","",IF((Override!$C$4="ON")*ISNUMBER(INDEX(Override!$G$113:$G$152,$N354))&gt;0,"stock overridden",""))</f>
        <v/>
      </c>
      <c r="L354" s="41">
        <f>IFERROR(IF(SMALL(Grids!$C$113:$BO$152,$M$313+39)&gt;=(Summary!$C$15+1)*1000000000,"",SMALL(Grids!$C$113:$BO$152,$M$313+39)),"")</f>
        <v/>
      </c>
      <c r="M354" s="41">
        <f>IF($L354="","",INT($L354/1000000000))</f>
        <v/>
      </c>
      <c r="N354" s="41">
        <f>IF($L354="","",INT(($L354-INT($L354/1000000)*1000000)/1000))</f>
        <v/>
      </c>
      <c r="O354" s="41">
        <f>IF($L354="","",$L354-INT($L354/1000)*1000)</f>
        <v/>
      </c>
      <c r="P354" s="41">
        <f>IF($L354="","",INT(($L354-INT($L354/1000000000)*1000000000)/10000000))</f>
        <v/>
      </c>
    </row>
    <row r="355">
      <c r="B355" s="36">
        <f>IF($L355="","",$M355)</f>
        <v/>
      </c>
      <c r="C355" s="16">
        <f>IF($L355="","",INDEX(HSTECH!$C$7:$C$46,$N355))</f>
        <v/>
      </c>
      <c r="D355" s="16">
        <f>IF($L355="","",INDEX(HSTECH!$D$7:$D$46,$N355))</f>
        <v/>
      </c>
      <c r="E355" s="37">
        <f>IF($L355="","",IF(INT($P355/10)=0,"TBA",IFERROR(INDEX(Grids!$BQ$113:$EC$152,$N355,$O355),"-")))</f>
        <v/>
      </c>
      <c r="F355" s="16">
        <f>IF($L355="","",INDEX(HSTECH!$F$7:$F$46,$N355))</f>
        <v/>
      </c>
      <c r="G355" s="37">
        <f>IF($L355="","",IF(INT($P355/10)=0,"TBA",IFERROR(INDEX(Grids!$EE$113:$GQ$152,$N355,$O355),"-")))</f>
        <v/>
      </c>
      <c r="H355" s="38">
        <f>IF($L355="","",SUM($G$316:$G355))</f>
        <v/>
      </c>
      <c r="I355" s="39">
        <f>IF($L355="","",IF(INT(($L355-INT($L355/10000000)*10000000)/1000000)=0,"Bloomberg projection",IF(INT($P355/10)=1,"Announced","ANNOUNCED - amount TBA"))&amp;IF(($P355-INT($P355/10)*10)=1," (special)","")&amp;IF((($P355-INT($P355/10)*10)=1)*(Summary!$C$13="N")&gt;0," - excluded by your specials switch",""))</f>
        <v/>
      </c>
      <c r="J355" s="40">
        <f>IF($L355="","",IF((Override!$C$4="ON")*ISNUMBER(INDEX(Override!$G$113:$G$152,$N355))&gt;0,"stock overridden",""))</f>
        <v/>
      </c>
      <c r="L355" s="41">
        <f>IFERROR(IF(SMALL(Grids!$C$113:$BO$152,$M$313+40)&gt;=(Summary!$C$15+1)*1000000000,"",SMALL(Grids!$C$113:$BO$152,$M$313+40)),"")</f>
        <v/>
      </c>
      <c r="M355" s="41">
        <f>IF($L355="","",INT($L355/1000000000))</f>
        <v/>
      </c>
      <c r="N355" s="41">
        <f>IF($L355="","",INT(($L355-INT($L355/1000000)*1000000)/1000))</f>
        <v/>
      </c>
      <c r="O355" s="41">
        <f>IF($L355="","",$L355-INT($L355/1000)*1000)</f>
        <v/>
      </c>
      <c r="P355" s="41">
        <f>IF($L355="","",INT(($L355-INT($L355/1000000000)*1000000000)/10000000))</f>
        <v/>
      </c>
    </row>
    <row r="356">
      <c r="B356" s="36">
        <f>IF($L356="","",$M356)</f>
        <v/>
      </c>
      <c r="C356" s="16">
        <f>IF($L356="","",INDEX(HSTECH!$C$7:$C$46,$N356))</f>
        <v/>
      </c>
      <c r="D356" s="16">
        <f>IF($L356="","",INDEX(HSTECH!$D$7:$D$46,$N356))</f>
        <v/>
      </c>
      <c r="E356" s="37">
        <f>IF($L356="","",IF(INT($P356/10)=0,"TBA",IFERROR(INDEX(Grids!$BQ$113:$EC$152,$N356,$O356),"-")))</f>
        <v/>
      </c>
      <c r="F356" s="16">
        <f>IF($L356="","",INDEX(HSTECH!$F$7:$F$46,$N356))</f>
        <v/>
      </c>
      <c r="G356" s="37">
        <f>IF($L356="","",IF(INT($P356/10)=0,"TBA",IFERROR(INDEX(Grids!$EE$113:$GQ$152,$N356,$O356),"-")))</f>
        <v/>
      </c>
      <c r="H356" s="38">
        <f>IF($L356="","",SUM($G$316:$G356))</f>
        <v/>
      </c>
      <c r="I356" s="39">
        <f>IF($L356="","",IF(INT(($L356-INT($L356/10000000)*10000000)/1000000)=0,"Bloomberg projection",IF(INT($P356/10)=1,"Announced","ANNOUNCED - amount TBA"))&amp;IF(($P356-INT($P356/10)*10)=1," (special)","")&amp;IF((($P356-INT($P356/10)*10)=1)*(Summary!$C$13="N")&gt;0," - excluded by your specials switch",""))</f>
        <v/>
      </c>
      <c r="J356" s="40">
        <f>IF($L356="","",IF((Override!$C$4="ON")*ISNUMBER(INDEX(Override!$G$113:$G$152,$N356))&gt;0,"stock overridden",""))</f>
        <v/>
      </c>
      <c r="L356" s="41">
        <f>IFERROR(IF(SMALL(Grids!$C$113:$BO$152,$M$313+41)&gt;=(Summary!$C$15+1)*1000000000,"",SMALL(Grids!$C$113:$BO$152,$M$313+41)),"")</f>
        <v/>
      </c>
      <c r="M356" s="41">
        <f>IF($L356="","",INT($L356/1000000000))</f>
        <v/>
      </c>
      <c r="N356" s="41">
        <f>IF($L356="","",INT(($L356-INT($L356/1000000)*1000000)/1000))</f>
        <v/>
      </c>
      <c r="O356" s="41">
        <f>IF($L356="","",$L356-INT($L356/1000)*1000)</f>
        <v/>
      </c>
      <c r="P356" s="41">
        <f>IF($L356="","",INT(($L356-INT($L356/1000000000)*1000000000)/10000000))</f>
        <v/>
      </c>
    </row>
    <row r="357">
      <c r="B357" s="36">
        <f>IF($L357="","",$M357)</f>
        <v/>
      </c>
      <c r="C357" s="16">
        <f>IF($L357="","",INDEX(HSTECH!$C$7:$C$46,$N357))</f>
        <v/>
      </c>
      <c r="D357" s="16">
        <f>IF($L357="","",INDEX(HSTECH!$D$7:$D$46,$N357))</f>
        <v/>
      </c>
      <c r="E357" s="37">
        <f>IF($L357="","",IF(INT($P357/10)=0,"TBA",IFERROR(INDEX(Grids!$BQ$113:$EC$152,$N357,$O357),"-")))</f>
        <v/>
      </c>
      <c r="F357" s="16">
        <f>IF($L357="","",INDEX(HSTECH!$F$7:$F$46,$N357))</f>
        <v/>
      </c>
      <c r="G357" s="37">
        <f>IF($L357="","",IF(INT($P357/10)=0,"TBA",IFERROR(INDEX(Grids!$EE$113:$GQ$152,$N357,$O357),"-")))</f>
        <v/>
      </c>
      <c r="H357" s="38">
        <f>IF($L357="","",SUM($G$316:$G357))</f>
        <v/>
      </c>
      <c r="I357" s="39">
        <f>IF($L357="","",IF(INT(($L357-INT($L357/10000000)*10000000)/1000000)=0,"Bloomberg projection",IF(INT($P357/10)=1,"Announced","ANNOUNCED - amount TBA"))&amp;IF(($P357-INT($P357/10)*10)=1," (special)","")&amp;IF((($P357-INT($P357/10)*10)=1)*(Summary!$C$13="N")&gt;0," - excluded by your specials switch",""))</f>
        <v/>
      </c>
      <c r="J357" s="40">
        <f>IF($L357="","",IF((Override!$C$4="ON")*ISNUMBER(INDEX(Override!$G$113:$G$152,$N357))&gt;0,"stock overridden",""))</f>
        <v/>
      </c>
      <c r="L357" s="41">
        <f>IFERROR(IF(SMALL(Grids!$C$113:$BO$152,$M$313+42)&gt;=(Summary!$C$15+1)*1000000000,"",SMALL(Grids!$C$113:$BO$152,$M$313+42)),"")</f>
        <v/>
      </c>
      <c r="M357" s="41">
        <f>IF($L357="","",INT($L357/1000000000))</f>
        <v/>
      </c>
      <c r="N357" s="41">
        <f>IF($L357="","",INT(($L357-INT($L357/1000000)*1000000)/1000))</f>
        <v/>
      </c>
      <c r="O357" s="41">
        <f>IF($L357="","",$L357-INT($L357/1000)*1000)</f>
        <v/>
      </c>
      <c r="P357" s="41">
        <f>IF($L357="","",INT(($L357-INT($L357/1000000000)*1000000000)/10000000))</f>
        <v/>
      </c>
    </row>
    <row r="358">
      <c r="B358" s="36">
        <f>IF($L358="","",$M358)</f>
        <v/>
      </c>
      <c r="C358" s="16">
        <f>IF($L358="","",INDEX(HSTECH!$C$7:$C$46,$N358))</f>
        <v/>
      </c>
      <c r="D358" s="16">
        <f>IF($L358="","",INDEX(HSTECH!$D$7:$D$46,$N358))</f>
        <v/>
      </c>
      <c r="E358" s="37">
        <f>IF($L358="","",IF(INT($P358/10)=0,"TBA",IFERROR(INDEX(Grids!$BQ$113:$EC$152,$N358,$O358),"-")))</f>
        <v/>
      </c>
      <c r="F358" s="16">
        <f>IF($L358="","",INDEX(HSTECH!$F$7:$F$46,$N358))</f>
        <v/>
      </c>
      <c r="G358" s="37">
        <f>IF($L358="","",IF(INT($P358/10)=0,"TBA",IFERROR(INDEX(Grids!$EE$113:$GQ$152,$N358,$O358),"-")))</f>
        <v/>
      </c>
      <c r="H358" s="38">
        <f>IF($L358="","",SUM($G$316:$G358))</f>
        <v/>
      </c>
      <c r="I358" s="39">
        <f>IF($L358="","",IF(INT(($L358-INT($L358/10000000)*10000000)/1000000)=0,"Bloomberg projection",IF(INT($P358/10)=1,"Announced","ANNOUNCED - amount TBA"))&amp;IF(($P358-INT($P358/10)*10)=1," (special)","")&amp;IF((($P358-INT($P358/10)*10)=1)*(Summary!$C$13="N")&gt;0," - excluded by your specials switch",""))</f>
        <v/>
      </c>
      <c r="J358" s="40">
        <f>IF($L358="","",IF((Override!$C$4="ON")*ISNUMBER(INDEX(Override!$G$113:$G$152,$N358))&gt;0,"stock overridden",""))</f>
        <v/>
      </c>
      <c r="L358" s="41">
        <f>IFERROR(IF(SMALL(Grids!$C$113:$BO$152,$M$313+43)&gt;=(Summary!$C$15+1)*1000000000,"",SMALL(Grids!$C$113:$BO$152,$M$313+43)),"")</f>
        <v/>
      </c>
      <c r="M358" s="41">
        <f>IF($L358="","",INT($L358/1000000000))</f>
        <v/>
      </c>
      <c r="N358" s="41">
        <f>IF($L358="","",INT(($L358-INT($L358/1000000)*1000000)/1000))</f>
        <v/>
      </c>
      <c r="O358" s="41">
        <f>IF($L358="","",$L358-INT($L358/1000)*1000)</f>
        <v/>
      </c>
      <c r="P358" s="41">
        <f>IF($L358="","",INT(($L358-INT($L358/1000000000)*1000000000)/10000000))</f>
        <v/>
      </c>
    </row>
    <row r="359">
      <c r="B359" s="36">
        <f>IF($L359="","",$M359)</f>
        <v/>
      </c>
      <c r="C359" s="16">
        <f>IF($L359="","",INDEX(HSTECH!$C$7:$C$46,$N359))</f>
        <v/>
      </c>
      <c r="D359" s="16">
        <f>IF($L359="","",INDEX(HSTECH!$D$7:$D$46,$N359))</f>
        <v/>
      </c>
      <c r="E359" s="37">
        <f>IF($L359="","",IF(INT($P359/10)=0,"TBA",IFERROR(INDEX(Grids!$BQ$113:$EC$152,$N359,$O359),"-")))</f>
        <v/>
      </c>
      <c r="F359" s="16">
        <f>IF($L359="","",INDEX(HSTECH!$F$7:$F$46,$N359))</f>
        <v/>
      </c>
      <c r="G359" s="37">
        <f>IF($L359="","",IF(INT($P359/10)=0,"TBA",IFERROR(INDEX(Grids!$EE$113:$GQ$152,$N359,$O359),"-")))</f>
        <v/>
      </c>
      <c r="H359" s="38">
        <f>IF($L359="","",SUM($G$316:$G359))</f>
        <v/>
      </c>
      <c r="I359" s="39">
        <f>IF($L359="","",IF(INT(($L359-INT($L359/10000000)*10000000)/1000000)=0,"Bloomberg projection",IF(INT($P359/10)=1,"Announced","ANNOUNCED - amount TBA"))&amp;IF(($P359-INT($P359/10)*10)=1," (special)","")&amp;IF((($P359-INT($P359/10)*10)=1)*(Summary!$C$13="N")&gt;0," - excluded by your specials switch",""))</f>
        <v/>
      </c>
      <c r="J359" s="40">
        <f>IF($L359="","",IF((Override!$C$4="ON")*ISNUMBER(INDEX(Override!$G$113:$G$152,$N359))&gt;0,"stock overridden",""))</f>
        <v/>
      </c>
      <c r="L359" s="41">
        <f>IFERROR(IF(SMALL(Grids!$C$113:$BO$152,$M$313+44)&gt;=(Summary!$C$15+1)*1000000000,"",SMALL(Grids!$C$113:$BO$152,$M$313+44)),"")</f>
        <v/>
      </c>
      <c r="M359" s="41">
        <f>IF($L359="","",INT($L359/1000000000))</f>
        <v/>
      </c>
      <c r="N359" s="41">
        <f>IF($L359="","",INT(($L359-INT($L359/1000000)*1000000)/1000))</f>
        <v/>
      </c>
      <c r="O359" s="41">
        <f>IF($L359="","",$L359-INT($L359/1000)*1000)</f>
        <v/>
      </c>
      <c r="P359" s="41">
        <f>IF($L359="","",INT(($L359-INT($L359/1000000000)*1000000000)/10000000))</f>
        <v/>
      </c>
    </row>
    <row r="360">
      <c r="B360" s="36">
        <f>IF($L360="","",$M360)</f>
        <v/>
      </c>
      <c r="C360" s="16">
        <f>IF($L360="","",INDEX(HSTECH!$C$7:$C$46,$N360))</f>
        <v/>
      </c>
      <c r="D360" s="16">
        <f>IF($L360="","",INDEX(HSTECH!$D$7:$D$46,$N360))</f>
        <v/>
      </c>
      <c r="E360" s="37">
        <f>IF($L360="","",IF(INT($P360/10)=0,"TBA",IFERROR(INDEX(Grids!$BQ$113:$EC$152,$N360,$O360),"-")))</f>
        <v/>
      </c>
      <c r="F360" s="16">
        <f>IF($L360="","",INDEX(HSTECH!$F$7:$F$46,$N360))</f>
        <v/>
      </c>
      <c r="G360" s="37">
        <f>IF($L360="","",IF(INT($P360/10)=0,"TBA",IFERROR(INDEX(Grids!$EE$113:$GQ$152,$N360,$O360),"-")))</f>
        <v/>
      </c>
      <c r="H360" s="38">
        <f>IF($L360="","",SUM($G$316:$G360))</f>
        <v/>
      </c>
      <c r="I360" s="39">
        <f>IF($L360="","",IF(INT(($L360-INT($L360/10000000)*10000000)/1000000)=0,"Bloomberg projection",IF(INT($P360/10)=1,"Announced","ANNOUNCED - amount TBA"))&amp;IF(($P360-INT($P360/10)*10)=1," (special)","")&amp;IF((($P360-INT($P360/10)*10)=1)*(Summary!$C$13="N")&gt;0," - excluded by your specials switch",""))</f>
        <v/>
      </c>
      <c r="J360" s="40">
        <f>IF($L360="","",IF((Override!$C$4="ON")*ISNUMBER(INDEX(Override!$G$113:$G$152,$N360))&gt;0,"stock overridden",""))</f>
        <v/>
      </c>
      <c r="L360" s="41">
        <f>IFERROR(IF(SMALL(Grids!$C$113:$BO$152,$M$313+45)&gt;=(Summary!$C$15+1)*1000000000,"",SMALL(Grids!$C$113:$BO$152,$M$313+45)),"")</f>
        <v/>
      </c>
      <c r="M360" s="41">
        <f>IF($L360="","",INT($L360/1000000000))</f>
        <v/>
      </c>
      <c r="N360" s="41">
        <f>IF($L360="","",INT(($L360-INT($L360/1000000)*1000000)/1000))</f>
        <v/>
      </c>
      <c r="O360" s="41">
        <f>IF($L360="","",$L360-INT($L360/1000)*1000)</f>
        <v/>
      </c>
      <c r="P360" s="41">
        <f>IF($L360="","",INT(($L360-INT($L360/1000000000)*1000000000)/10000000))</f>
        <v/>
      </c>
    </row>
    <row r="361">
      <c r="B361" s="36">
        <f>IF($L361="","",$M361)</f>
        <v/>
      </c>
      <c r="C361" s="16">
        <f>IF($L361="","",INDEX(HSTECH!$C$7:$C$46,$N361))</f>
        <v/>
      </c>
      <c r="D361" s="16">
        <f>IF($L361="","",INDEX(HSTECH!$D$7:$D$46,$N361))</f>
        <v/>
      </c>
      <c r="E361" s="37">
        <f>IF($L361="","",IF(INT($P361/10)=0,"TBA",IFERROR(INDEX(Grids!$BQ$113:$EC$152,$N361,$O361),"-")))</f>
        <v/>
      </c>
      <c r="F361" s="16">
        <f>IF($L361="","",INDEX(HSTECH!$F$7:$F$46,$N361))</f>
        <v/>
      </c>
      <c r="G361" s="37">
        <f>IF($L361="","",IF(INT($P361/10)=0,"TBA",IFERROR(INDEX(Grids!$EE$113:$GQ$152,$N361,$O361),"-")))</f>
        <v/>
      </c>
      <c r="H361" s="38">
        <f>IF($L361="","",SUM($G$316:$G361))</f>
        <v/>
      </c>
      <c r="I361" s="39">
        <f>IF($L361="","",IF(INT(($L361-INT($L361/10000000)*10000000)/1000000)=0,"Bloomberg projection",IF(INT($P361/10)=1,"Announced","ANNOUNCED - amount TBA"))&amp;IF(($P361-INT($P361/10)*10)=1," (special)","")&amp;IF((($P361-INT($P361/10)*10)=1)*(Summary!$C$13="N")&gt;0," - excluded by your specials switch",""))</f>
        <v/>
      </c>
      <c r="J361" s="40">
        <f>IF($L361="","",IF((Override!$C$4="ON")*ISNUMBER(INDEX(Override!$G$113:$G$152,$N361))&gt;0,"stock overridden",""))</f>
        <v/>
      </c>
      <c r="L361" s="41">
        <f>IFERROR(IF(SMALL(Grids!$C$113:$BO$152,$M$313+46)&gt;=(Summary!$C$15+1)*1000000000,"",SMALL(Grids!$C$113:$BO$152,$M$313+46)),"")</f>
        <v/>
      </c>
      <c r="M361" s="41">
        <f>IF($L361="","",INT($L361/1000000000))</f>
        <v/>
      </c>
      <c r="N361" s="41">
        <f>IF($L361="","",INT(($L361-INT($L361/1000000)*1000000)/1000))</f>
        <v/>
      </c>
      <c r="O361" s="41">
        <f>IF($L361="","",$L361-INT($L361/1000)*1000)</f>
        <v/>
      </c>
      <c r="P361" s="41">
        <f>IF($L361="","",INT(($L361-INT($L361/1000000000)*1000000000)/10000000))</f>
        <v/>
      </c>
    </row>
    <row r="362">
      <c r="B362" s="36">
        <f>IF($L362="","",$M362)</f>
        <v/>
      </c>
      <c r="C362" s="16">
        <f>IF($L362="","",INDEX(HSTECH!$C$7:$C$46,$N362))</f>
        <v/>
      </c>
      <c r="D362" s="16">
        <f>IF($L362="","",INDEX(HSTECH!$D$7:$D$46,$N362))</f>
        <v/>
      </c>
      <c r="E362" s="37">
        <f>IF($L362="","",IF(INT($P362/10)=0,"TBA",IFERROR(INDEX(Grids!$BQ$113:$EC$152,$N362,$O362),"-")))</f>
        <v/>
      </c>
      <c r="F362" s="16">
        <f>IF($L362="","",INDEX(HSTECH!$F$7:$F$46,$N362))</f>
        <v/>
      </c>
      <c r="G362" s="37">
        <f>IF($L362="","",IF(INT($P362/10)=0,"TBA",IFERROR(INDEX(Grids!$EE$113:$GQ$152,$N362,$O362),"-")))</f>
        <v/>
      </c>
      <c r="H362" s="38">
        <f>IF($L362="","",SUM($G$316:$G362))</f>
        <v/>
      </c>
      <c r="I362" s="39">
        <f>IF($L362="","",IF(INT(($L362-INT($L362/10000000)*10000000)/1000000)=0,"Bloomberg projection",IF(INT($P362/10)=1,"Announced","ANNOUNCED - amount TBA"))&amp;IF(($P362-INT($P362/10)*10)=1," (special)","")&amp;IF((($P362-INT($P362/10)*10)=1)*(Summary!$C$13="N")&gt;0," - excluded by your specials switch",""))</f>
        <v/>
      </c>
      <c r="J362" s="40">
        <f>IF($L362="","",IF((Override!$C$4="ON")*ISNUMBER(INDEX(Override!$G$113:$G$152,$N362))&gt;0,"stock overridden",""))</f>
        <v/>
      </c>
      <c r="L362" s="41">
        <f>IFERROR(IF(SMALL(Grids!$C$113:$BO$152,$M$313+47)&gt;=(Summary!$C$15+1)*1000000000,"",SMALL(Grids!$C$113:$BO$152,$M$313+47)),"")</f>
        <v/>
      </c>
      <c r="M362" s="41">
        <f>IF($L362="","",INT($L362/1000000000))</f>
        <v/>
      </c>
      <c r="N362" s="41">
        <f>IF($L362="","",INT(($L362-INT($L362/1000000)*1000000)/1000))</f>
        <v/>
      </c>
      <c r="O362" s="41">
        <f>IF($L362="","",$L362-INT($L362/1000)*1000)</f>
        <v/>
      </c>
      <c r="P362" s="41">
        <f>IF($L362="","",INT(($L362-INT($L362/1000000000)*1000000000)/10000000))</f>
        <v/>
      </c>
    </row>
    <row r="363">
      <c r="B363" s="36">
        <f>IF($L363="","",$M363)</f>
        <v/>
      </c>
      <c r="C363" s="16">
        <f>IF($L363="","",INDEX(HSTECH!$C$7:$C$46,$N363))</f>
        <v/>
      </c>
      <c r="D363" s="16">
        <f>IF($L363="","",INDEX(HSTECH!$D$7:$D$46,$N363))</f>
        <v/>
      </c>
      <c r="E363" s="37">
        <f>IF($L363="","",IF(INT($P363/10)=0,"TBA",IFERROR(INDEX(Grids!$BQ$113:$EC$152,$N363,$O363),"-")))</f>
        <v/>
      </c>
      <c r="F363" s="16">
        <f>IF($L363="","",INDEX(HSTECH!$F$7:$F$46,$N363))</f>
        <v/>
      </c>
      <c r="G363" s="37">
        <f>IF($L363="","",IF(INT($P363/10)=0,"TBA",IFERROR(INDEX(Grids!$EE$113:$GQ$152,$N363,$O363),"-")))</f>
        <v/>
      </c>
      <c r="H363" s="38">
        <f>IF($L363="","",SUM($G$316:$G363))</f>
        <v/>
      </c>
      <c r="I363" s="39">
        <f>IF($L363="","",IF(INT(($L363-INT($L363/10000000)*10000000)/1000000)=0,"Bloomberg projection",IF(INT($P363/10)=1,"Announced","ANNOUNCED - amount TBA"))&amp;IF(($P363-INT($P363/10)*10)=1," (special)","")&amp;IF((($P363-INT($P363/10)*10)=1)*(Summary!$C$13="N")&gt;0," - excluded by your specials switch",""))</f>
        <v/>
      </c>
      <c r="J363" s="40">
        <f>IF($L363="","",IF((Override!$C$4="ON")*ISNUMBER(INDEX(Override!$G$113:$G$152,$N363))&gt;0,"stock overridden",""))</f>
        <v/>
      </c>
      <c r="L363" s="41">
        <f>IFERROR(IF(SMALL(Grids!$C$113:$BO$152,$M$313+48)&gt;=(Summary!$C$15+1)*1000000000,"",SMALL(Grids!$C$113:$BO$152,$M$313+48)),"")</f>
        <v/>
      </c>
      <c r="M363" s="41">
        <f>IF($L363="","",INT($L363/1000000000))</f>
        <v/>
      </c>
      <c r="N363" s="41">
        <f>IF($L363="","",INT(($L363-INT($L363/1000000)*1000000)/1000))</f>
        <v/>
      </c>
      <c r="O363" s="41">
        <f>IF($L363="","",$L363-INT($L363/1000)*1000)</f>
        <v/>
      </c>
      <c r="P363" s="41">
        <f>IF($L363="","",INT(($L363-INT($L363/1000000000)*1000000000)/10000000))</f>
        <v/>
      </c>
    </row>
    <row r="364">
      <c r="B364" s="36">
        <f>IF($L364="","",$M364)</f>
        <v/>
      </c>
      <c r="C364" s="16">
        <f>IF($L364="","",INDEX(HSTECH!$C$7:$C$46,$N364))</f>
        <v/>
      </c>
      <c r="D364" s="16">
        <f>IF($L364="","",INDEX(HSTECH!$D$7:$D$46,$N364))</f>
        <v/>
      </c>
      <c r="E364" s="37">
        <f>IF($L364="","",IF(INT($P364/10)=0,"TBA",IFERROR(INDEX(Grids!$BQ$113:$EC$152,$N364,$O364),"-")))</f>
        <v/>
      </c>
      <c r="F364" s="16">
        <f>IF($L364="","",INDEX(HSTECH!$F$7:$F$46,$N364))</f>
        <v/>
      </c>
      <c r="G364" s="37">
        <f>IF($L364="","",IF(INT($P364/10)=0,"TBA",IFERROR(INDEX(Grids!$EE$113:$GQ$152,$N364,$O364),"-")))</f>
        <v/>
      </c>
      <c r="H364" s="38">
        <f>IF($L364="","",SUM($G$316:$G364))</f>
        <v/>
      </c>
      <c r="I364" s="39">
        <f>IF($L364="","",IF(INT(($L364-INT($L364/10000000)*10000000)/1000000)=0,"Bloomberg projection",IF(INT($P364/10)=1,"Announced","ANNOUNCED - amount TBA"))&amp;IF(($P364-INT($P364/10)*10)=1," (special)","")&amp;IF((($P364-INT($P364/10)*10)=1)*(Summary!$C$13="N")&gt;0," - excluded by your specials switch",""))</f>
        <v/>
      </c>
      <c r="J364" s="40">
        <f>IF($L364="","",IF((Override!$C$4="ON")*ISNUMBER(INDEX(Override!$G$113:$G$152,$N364))&gt;0,"stock overridden",""))</f>
        <v/>
      </c>
      <c r="L364" s="41">
        <f>IFERROR(IF(SMALL(Grids!$C$113:$BO$152,$M$313+49)&gt;=(Summary!$C$15+1)*1000000000,"",SMALL(Grids!$C$113:$BO$152,$M$313+49)),"")</f>
        <v/>
      </c>
      <c r="M364" s="41">
        <f>IF($L364="","",INT($L364/1000000000))</f>
        <v/>
      </c>
      <c r="N364" s="41">
        <f>IF($L364="","",INT(($L364-INT($L364/1000000)*1000000)/1000))</f>
        <v/>
      </c>
      <c r="O364" s="41">
        <f>IF($L364="","",$L364-INT($L364/1000)*1000)</f>
        <v/>
      </c>
      <c r="P364" s="41">
        <f>IF($L364="","",INT(($L364-INT($L364/1000000000)*1000000000)/10000000))</f>
        <v/>
      </c>
    </row>
    <row r="365">
      <c r="B365" s="36">
        <f>IF($L365="","",$M365)</f>
        <v/>
      </c>
      <c r="C365" s="16">
        <f>IF($L365="","",INDEX(HSTECH!$C$7:$C$46,$N365))</f>
        <v/>
      </c>
      <c r="D365" s="16">
        <f>IF($L365="","",INDEX(HSTECH!$D$7:$D$46,$N365))</f>
        <v/>
      </c>
      <c r="E365" s="37">
        <f>IF($L365="","",IF(INT($P365/10)=0,"TBA",IFERROR(INDEX(Grids!$BQ$113:$EC$152,$N365,$O365),"-")))</f>
        <v/>
      </c>
      <c r="F365" s="16">
        <f>IF($L365="","",INDEX(HSTECH!$F$7:$F$46,$N365))</f>
        <v/>
      </c>
      <c r="G365" s="37">
        <f>IF($L365="","",IF(INT($P365/10)=0,"TBA",IFERROR(INDEX(Grids!$EE$113:$GQ$152,$N365,$O365),"-")))</f>
        <v/>
      </c>
      <c r="H365" s="38">
        <f>IF($L365="","",SUM($G$316:$G365))</f>
        <v/>
      </c>
      <c r="I365" s="39">
        <f>IF($L365="","",IF(INT(($L365-INT($L365/10000000)*10000000)/1000000)=0,"Bloomberg projection",IF(INT($P365/10)=1,"Announced","ANNOUNCED - amount TBA"))&amp;IF(($P365-INT($P365/10)*10)=1," (special)","")&amp;IF((($P365-INT($P365/10)*10)=1)*(Summary!$C$13="N")&gt;0," - excluded by your specials switch",""))</f>
        <v/>
      </c>
      <c r="J365" s="40">
        <f>IF($L365="","",IF((Override!$C$4="ON")*ISNUMBER(INDEX(Override!$G$113:$G$152,$N365))&gt;0,"stock overridden",""))</f>
        <v/>
      </c>
      <c r="L365" s="41">
        <f>IFERROR(IF(SMALL(Grids!$C$113:$BO$152,$M$313+50)&gt;=(Summary!$C$15+1)*1000000000,"",SMALL(Grids!$C$113:$BO$152,$M$313+50)),"")</f>
        <v/>
      </c>
      <c r="M365" s="41">
        <f>IF($L365="","",INT($L365/1000000000))</f>
        <v/>
      </c>
      <c r="N365" s="41">
        <f>IF($L365="","",INT(($L365-INT($L365/1000000)*1000000)/1000))</f>
        <v/>
      </c>
      <c r="O365" s="41">
        <f>IF($L365="","",$L365-INT($L365/1000)*1000)</f>
        <v/>
      </c>
      <c r="P365" s="41">
        <f>IF($L365="","",INT(($L365-INT($L365/1000000000)*1000000000)/10000000))</f>
        <v/>
      </c>
    </row>
    <row r="366">
      <c r="B366" s="36">
        <f>IF($L366="","",$M366)</f>
        <v/>
      </c>
      <c r="C366" s="16">
        <f>IF($L366="","",INDEX(HSTECH!$C$7:$C$46,$N366))</f>
        <v/>
      </c>
      <c r="D366" s="16">
        <f>IF($L366="","",INDEX(HSTECH!$D$7:$D$46,$N366))</f>
        <v/>
      </c>
      <c r="E366" s="37">
        <f>IF($L366="","",IF(INT($P366/10)=0,"TBA",IFERROR(INDEX(Grids!$BQ$113:$EC$152,$N366,$O366),"-")))</f>
        <v/>
      </c>
      <c r="F366" s="16">
        <f>IF($L366="","",INDEX(HSTECH!$F$7:$F$46,$N366))</f>
        <v/>
      </c>
      <c r="G366" s="37">
        <f>IF($L366="","",IF(INT($P366/10)=0,"TBA",IFERROR(INDEX(Grids!$EE$113:$GQ$152,$N366,$O366),"-")))</f>
        <v/>
      </c>
      <c r="H366" s="38">
        <f>IF($L366="","",SUM($G$316:$G366))</f>
        <v/>
      </c>
      <c r="I366" s="39">
        <f>IF($L366="","",IF(INT(($L366-INT($L366/10000000)*10000000)/1000000)=0,"Bloomberg projection",IF(INT($P366/10)=1,"Announced","ANNOUNCED - amount TBA"))&amp;IF(($P366-INT($P366/10)*10)=1," (special)","")&amp;IF((($P366-INT($P366/10)*10)=1)*(Summary!$C$13="N")&gt;0," - excluded by your specials switch",""))</f>
        <v/>
      </c>
      <c r="J366" s="40">
        <f>IF($L366="","",IF((Override!$C$4="ON")*ISNUMBER(INDEX(Override!$G$113:$G$152,$N366))&gt;0,"stock overridden",""))</f>
        <v/>
      </c>
      <c r="L366" s="41">
        <f>IFERROR(IF(SMALL(Grids!$C$113:$BO$152,$M$313+51)&gt;=(Summary!$C$15+1)*1000000000,"",SMALL(Grids!$C$113:$BO$152,$M$313+51)),"")</f>
        <v/>
      </c>
      <c r="M366" s="41">
        <f>IF($L366="","",INT($L366/1000000000))</f>
        <v/>
      </c>
      <c r="N366" s="41">
        <f>IF($L366="","",INT(($L366-INT($L366/1000000)*1000000)/1000))</f>
        <v/>
      </c>
      <c r="O366" s="41">
        <f>IF($L366="","",$L366-INT($L366/1000)*1000)</f>
        <v/>
      </c>
      <c r="P366" s="41">
        <f>IF($L366="","",INT(($L366-INT($L366/1000000000)*1000000000)/10000000))</f>
        <v/>
      </c>
    </row>
    <row r="367">
      <c r="B367" s="36">
        <f>IF($L367="","",$M367)</f>
        <v/>
      </c>
      <c r="C367" s="16">
        <f>IF($L367="","",INDEX(HSTECH!$C$7:$C$46,$N367))</f>
        <v/>
      </c>
      <c r="D367" s="16">
        <f>IF($L367="","",INDEX(HSTECH!$D$7:$D$46,$N367))</f>
        <v/>
      </c>
      <c r="E367" s="37">
        <f>IF($L367="","",IF(INT($P367/10)=0,"TBA",IFERROR(INDEX(Grids!$BQ$113:$EC$152,$N367,$O367),"-")))</f>
        <v/>
      </c>
      <c r="F367" s="16">
        <f>IF($L367="","",INDEX(HSTECH!$F$7:$F$46,$N367))</f>
        <v/>
      </c>
      <c r="G367" s="37">
        <f>IF($L367="","",IF(INT($P367/10)=0,"TBA",IFERROR(INDEX(Grids!$EE$113:$GQ$152,$N367,$O367),"-")))</f>
        <v/>
      </c>
      <c r="H367" s="38">
        <f>IF($L367="","",SUM($G$316:$G367))</f>
        <v/>
      </c>
      <c r="I367" s="39">
        <f>IF($L367="","",IF(INT(($L367-INT($L367/10000000)*10000000)/1000000)=0,"Bloomberg projection",IF(INT($P367/10)=1,"Announced","ANNOUNCED - amount TBA"))&amp;IF(($P367-INT($P367/10)*10)=1," (special)","")&amp;IF((($P367-INT($P367/10)*10)=1)*(Summary!$C$13="N")&gt;0," - excluded by your specials switch",""))</f>
        <v/>
      </c>
      <c r="J367" s="40">
        <f>IF($L367="","",IF((Override!$C$4="ON")*ISNUMBER(INDEX(Override!$G$113:$G$152,$N367))&gt;0,"stock overridden",""))</f>
        <v/>
      </c>
      <c r="L367" s="41">
        <f>IFERROR(IF(SMALL(Grids!$C$113:$BO$152,$M$313+52)&gt;=(Summary!$C$15+1)*1000000000,"",SMALL(Grids!$C$113:$BO$152,$M$313+52)),"")</f>
        <v/>
      </c>
      <c r="M367" s="41">
        <f>IF($L367="","",INT($L367/1000000000))</f>
        <v/>
      </c>
      <c r="N367" s="41">
        <f>IF($L367="","",INT(($L367-INT($L367/1000000)*1000000)/1000))</f>
        <v/>
      </c>
      <c r="O367" s="41">
        <f>IF($L367="","",$L367-INT($L367/1000)*1000)</f>
        <v/>
      </c>
      <c r="P367" s="41">
        <f>IF($L367="","",INT(($L367-INT($L367/1000000000)*1000000000)/10000000))</f>
        <v/>
      </c>
    </row>
    <row r="368">
      <c r="B368" s="36">
        <f>IF($L368="","",$M368)</f>
        <v/>
      </c>
      <c r="C368" s="16">
        <f>IF($L368="","",INDEX(HSTECH!$C$7:$C$46,$N368))</f>
        <v/>
      </c>
      <c r="D368" s="16">
        <f>IF($L368="","",INDEX(HSTECH!$D$7:$D$46,$N368))</f>
        <v/>
      </c>
      <c r="E368" s="37">
        <f>IF($L368="","",IF(INT($P368/10)=0,"TBA",IFERROR(INDEX(Grids!$BQ$113:$EC$152,$N368,$O368),"-")))</f>
        <v/>
      </c>
      <c r="F368" s="16">
        <f>IF($L368="","",INDEX(HSTECH!$F$7:$F$46,$N368))</f>
        <v/>
      </c>
      <c r="G368" s="37">
        <f>IF($L368="","",IF(INT($P368/10)=0,"TBA",IFERROR(INDEX(Grids!$EE$113:$GQ$152,$N368,$O368),"-")))</f>
        <v/>
      </c>
      <c r="H368" s="38">
        <f>IF($L368="","",SUM($G$316:$G368))</f>
        <v/>
      </c>
      <c r="I368" s="39">
        <f>IF($L368="","",IF(INT(($L368-INT($L368/10000000)*10000000)/1000000)=0,"Bloomberg projection",IF(INT($P368/10)=1,"Announced","ANNOUNCED - amount TBA"))&amp;IF(($P368-INT($P368/10)*10)=1," (special)","")&amp;IF((($P368-INT($P368/10)*10)=1)*(Summary!$C$13="N")&gt;0," - excluded by your specials switch",""))</f>
        <v/>
      </c>
      <c r="J368" s="40">
        <f>IF($L368="","",IF((Override!$C$4="ON")*ISNUMBER(INDEX(Override!$G$113:$G$152,$N368))&gt;0,"stock overridden",""))</f>
        <v/>
      </c>
      <c r="L368" s="41">
        <f>IFERROR(IF(SMALL(Grids!$C$113:$BO$152,$M$313+53)&gt;=(Summary!$C$15+1)*1000000000,"",SMALL(Grids!$C$113:$BO$152,$M$313+53)),"")</f>
        <v/>
      </c>
      <c r="M368" s="41">
        <f>IF($L368="","",INT($L368/1000000000))</f>
        <v/>
      </c>
      <c r="N368" s="41">
        <f>IF($L368="","",INT(($L368-INT($L368/1000000)*1000000)/1000))</f>
        <v/>
      </c>
      <c r="O368" s="41">
        <f>IF($L368="","",$L368-INT($L368/1000)*1000)</f>
        <v/>
      </c>
      <c r="P368" s="41">
        <f>IF($L368="","",INT(($L368-INT($L368/1000000000)*1000000000)/10000000))</f>
        <v/>
      </c>
    </row>
    <row r="369">
      <c r="B369" s="36">
        <f>IF($L369="","",$M369)</f>
        <v/>
      </c>
      <c r="C369" s="16">
        <f>IF($L369="","",INDEX(HSTECH!$C$7:$C$46,$N369))</f>
        <v/>
      </c>
      <c r="D369" s="16">
        <f>IF($L369="","",INDEX(HSTECH!$D$7:$D$46,$N369))</f>
        <v/>
      </c>
      <c r="E369" s="37">
        <f>IF($L369="","",IF(INT($P369/10)=0,"TBA",IFERROR(INDEX(Grids!$BQ$113:$EC$152,$N369,$O369),"-")))</f>
        <v/>
      </c>
      <c r="F369" s="16">
        <f>IF($L369="","",INDEX(HSTECH!$F$7:$F$46,$N369))</f>
        <v/>
      </c>
      <c r="G369" s="37">
        <f>IF($L369="","",IF(INT($P369/10)=0,"TBA",IFERROR(INDEX(Grids!$EE$113:$GQ$152,$N369,$O369),"-")))</f>
        <v/>
      </c>
      <c r="H369" s="38">
        <f>IF($L369="","",SUM($G$316:$G369))</f>
        <v/>
      </c>
      <c r="I369" s="39">
        <f>IF($L369="","",IF(INT(($L369-INT($L369/10000000)*10000000)/1000000)=0,"Bloomberg projection",IF(INT($P369/10)=1,"Announced","ANNOUNCED - amount TBA"))&amp;IF(($P369-INT($P369/10)*10)=1," (special)","")&amp;IF((($P369-INT($P369/10)*10)=1)*(Summary!$C$13="N")&gt;0," - excluded by your specials switch",""))</f>
        <v/>
      </c>
      <c r="J369" s="40">
        <f>IF($L369="","",IF((Override!$C$4="ON")*ISNUMBER(INDEX(Override!$G$113:$G$152,$N369))&gt;0,"stock overridden",""))</f>
        <v/>
      </c>
      <c r="L369" s="41">
        <f>IFERROR(IF(SMALL(Grids!$C$113:$BO$152,$M$313+54)&gt;=(Summary!$C$15+1)*1000000000,"",SMALL(Grids!$C$113:$BO$152,$M$313+54)),"")</f>
        <v/>
      </c>
      <c r="M369" s="41">
        <f>IF($L369="","",INT($L369/1000000000))</f>
        <v/>
      </c>
      <c r="N369" s="41">
        <f>IF($L369="","",INT(($L369-INT($L369/1000000)*1000000)/1000))</f>
        <v/>
      </c>
      <c r="O369" s="41">
        <f>IF($L369="","",$L369-INT($L369/1000)*1000)</f>
        <v/>
      </c>
      <c r="P369" s="41">
        <f>IF($L369="","",INT(($L369-INT($L369/1000000000)*1000000000)/10000000))</f>
        <v/>
      </c>
    </row>
    <row r="370">
      <c r="B370" s="36">
        <f>IF($L370="","",$M370)</f>
        <v/>
      </c>
      <c r="C370" s="16">
        <f>IF($L370="","",INDEX(HSTECH!$C$7:$C$46,$N370))</f>
        <v/>
      </c>
      <c r="D370" s="16">
        <f>IF($L370="","",INDEX(HSTECH!$D$7:$D$46,$N370))</f>
        <v/>
      </c>
      <c r="E370" s="37">
        <f>IF($L370="","",IF(INT($P370/10)=0,"TBA",IFERROR(INDEX(Grids!$BQ$113:$EC$152,$N370,$O370),"-")))</f>
        <v/>
      </c>
      <c r="F370" s="16">
        <f>IF($L370="","",INDEX(HSTECH!$F$7:$F$46,$N370))</f>
        <v/>
      </c>
      <c r="G370" s="37">
        <f>IF($L370="","",IF(INT($P370/10)=0,"TBA",IFERROR(INDEX(Grids!$EE$113:$GQ$152,$N370,$O370),"-")))</f>
        <v/>
      </c>
      <c r="H370" s="38">
        <f>IF($L370="","",SUM($G$316:$G370))</f>
        <v/>
      </c>
      <c r="I370" s="39">
        <f>IF($L370="","",IF(INT(($L370-INT($L370/10000000)*10000000)/1000000)=0,"Bloomberg projection",IF(INT($P370/10)=1,"Announced","ANNOUNCED - amount TBA"))&amp;IF(($P370-INT($P370/10)*10)=1," (special)","")&amp;IF((($P370-INT($P370/10)*10)=1)*(Summary!$C$13="N")&gt;0," - excluded by your specials switch",""))</f>
        <v/>
      </c>
      <c r="J370" s="40">
        <f>IF($L370="","",IF((Override!$C$4="ON")*ISNUMBER(INDEX(Override!$G$113:$G$152,$N370))&gt;0,"stock overridden",""))</f>
        <v/>
      </c>
      <c r="L370" s="41">
        <f>IFERROR(IF(SMALL(Grids!$C$113:$BO$152,$M$313+55)&gt;=(Summary!$C$15+1)*1000000000,"",SMALL(Grids!$C$113:$BO$152,$M$313+55)),"")</f>
        <v/>
      </c>
      <c r="M370" s="41">
        <f>IF($L370="","",INT($L370/1000000000))</f>
        <v/>
      </c>
      <c r="N370" s="41">
        <f>IF($L370="","",INT(($L370-INT($L370/1000000)*1000000)/1000))</f>
        <v/>
      </c>
      <c r="O370" s="41">
        <f>IF($L370="","",$L370-INT($L370/1000)*1000)</f>
        <v/>
      </c>
      <c r="P370" s="41">
        <f>IF($L370="","",INT(($L370-INT($L370/1000000000)*1000000000)/10000000))</f>
        <v/>
      </c>
    </row>
    <row r="371">
      <c r="B371" s="36">
        <f>IF($L371="","",$M371)</f>
        <v/>
      </c>
      <c r="C371" s="16">
        <f>IF($L371="","",INDEX(HSTECH!$C$7:$C$46,$N371))</f>
        <v/>
      </c>
      <c r="D371" s="16">
        <f>IF($L371="","",INDEX(HSTECH!$D$7:$D$46,$N371))</f>
        <v/>
      </c>
      <c r="E371" s="37">
        <f>IF($L371="","",IF(INT($P371/10)=0,"TBA",IFERROR(INDEX(Grids!$BQ$113:$EC$152,$N371,$O371),"-")))</f>
        <v/>
      </c>
      <c r="F371" s="16">
        <f>IF($L371="","",INDEX(HSTECH!$F$7:$F$46,$N371))</f>
        <v/>
      </c>
      <c r="G371" s="37">
        <f>IF($L371="","",IF(INT($P371/10)=0,"TBA",IFERROR(INDEX(Grids!$EE$113:$GQ$152,$N371,$O371),"-")))</f>
        <v/>
      </c>
      <c r="H371" s="38">
        <f>IF($L371="","",SUM($G$316:$G371))</f>
        <v/>
      </c>
      <c r="I371" s="39">
        <f>IF($L371="","",IF(INT(($L371-INT($L371/10000000)*10000000)/1000000)=0,"Bloomberg projection",IF(INT($P371/10)=1,"Announced","ANNOUNCED - amount TBA"))&amp;IF(($P371-INT($P371/10)*10)=1," (special)","")&amp;IF((($P371-INT($P371/10)*10)=1)*(Summary!$C$13="N")&gt;0," - excluded by your specials switch",""))</f>
        <v/>
      </c>
      <c r="J371" s="40">
        <f>IF($L371="","",IF((Override!$C$4="ON")*ISNUMBER(INDEX(Override!$G$113:$G$152,$N371))&gt;0,"stock overridden",""))</f>
        <v/>
      </c>
      <c r="L371" s="41">
        <f>IFERROR(IF(SMALL(Grids!$C$113:$BO$152,$M$313+56)&gt;=(Summary!$C$15+1)*1000000000,"",SMALL(Grids!$C$113:$BO$152,$M$313+56)),"")</f>
        <v/>
      </c>
      <c r="M371" s="41">
        <f>IF($L371="","",INT($L371/1000000000))</f>
        <v/>
      </c>
      <c r="N371" s="41">
        <f>IF($L371="","",INT(($L371-INT($L371/1000000)*1000000)/1000))</f>
        <v/>
      </c>
      <c r="O371" s="41">
        <f>IF($L371="","",$L371-INT($L371/1000)*1000)</f>
        <v/>
      </c>
      <c r="P371" s="41">
        <f>IF($L371="","",INT(($L371-INT($L371/1000000000)*1000000000)/10000000))</f>
        <v/>
      </c>
    </row>
    <row r="372">
      <c r="B372" s="36">
        <f>IF($L372="","",$M372)</f>
        <v/>
      </c>
      <c r="C372" s="16">
        <f>IF($L372="","",INDEX(HSTECH!$C$7:$C$46,$N372))</f>
        <v/>
      </c>
      <c r="D372" s="16">
        <f>IF($L372="","",INDEX(HSTECH!$D$7:$D$46,$N372))</f>
        <v/>
      </c>
      <c r="E372" s="37">
        <f>IF($L372="","",IF(INT($P372/10)=0,"TBA",IFERROR(INDEX(Grids!$BQ$113:$EC$152,$N372,$O372),"-")))</f>
        <v/>
      </c>
      <c r="F372" s="16">
        <f>IF($L372="","",INDEX(HSTECH!$F$7:$F$46,$N372))</f>
        <v/>
      </c>
      <c r="G372" s="37">
        <f>IF($L372="","",IF(INT($P372/10)=0,"TBA",IFERROR(INDEX(Grids!$EE$113:$GQ$152,$N372,$O372),"-")))</f>
        <v/>
      </c>
      <c r="H372" s="38">
        <f>IF($L372="","",SUM($G$316:$G372))</f>
        <v/>
      </c>
      <c r="I372" s="39">
        <f>IF($L372="","",IF(INT(($L372-INT($L372/10000000)*10000000)/1000000)=0,"Bloomberg projection",IF(INT($P372/10)=1,"Announced","ANNOUNCED - amount TBA"))&amp;IF(($P372-INT($P372/10)*10)=1," (special)","")&amp;IF((($P372-INT($P372/10)*10)=1)*(Summary!$C$13="N")&gt;0," - excluded by your specials switch",""))</f>
        <v/>
      </c>
      <c r="J372" s="40">
        <f>IF($L372="","",IF((Override!$C$4="ON")*ISNUMBER(INDEX(Override!$G$113:$G$152,$N372))&gt;0,"stock overridden",""))</f>
        <v/>
      </c>
      <c r="L372" s="41">
        <f>IFERROR(IF(SMALL(Grids!$C$113:$BO$152,$M$313+57)&gt;=(Summary!$C$15+1)*1000000000,"",SMALL(Grids!$C$113:$BO$152,$M$313+57)),"")</f>
        <v/>
      </c>
      <c r="M372" s="41">
        <f>IF($L372="","",INT($L372/1000000000))</f>
        <v/>
      </c>
      <c r="N372" s="41">
        <f>IF($L372="","",INT(($L372-INT($L372/1000000)*1000000)/1000))</f>
        <v/>
      </c>
      <c r="O372" s="41">
        <f>IF($L372="","",$L372-INT($L372/1000)*1000)</f>
        <v/>
      </c>
      <c r="P372" s="41">
        <f>IF($L372="","",INT(($L372-INT($L372/1000000000)*1000000000)/10000000))</f>
        <v/>
      </c>
    </row>
    <row r="373">
      <c r="B373" s="36">
        <f>IF($L373="","",$M373)</f>
        <v/>
      </c>
      <c r="C373" s="16">
        <f>IF($L373="","",INDEX(HSTECH!$C$7:$C$46,$N373))</f>
        <v/>
      </c>
      <c r="D373" s="16">
        <f>IF($L373="","",INDEX(HSTECH!$D$7:$D$46,$N373))</f>
        <v/>
      </c>
      <c r="E373" s="37">
        <f>IF($L373="","",IF(INT($P373/10)=0,"TBA",IFERROR(INDEX(Grids!$BQ$113:$EC$152,$N373,$O373),"-")))</f>
        <v/>
      </c>
      <c r="F373" s="16">
        <f>IF($L373="","",INDEX(HSTECH!$F$7:$F$46,$N373))</f>
        <v/>
      </c>
      <c r="G373" s="37">
        <f>IF($L373="","",IF(INT($P373/10)=0,"TBA",IFERROR(INDEX(Grids!$EE$113:$GQ$152,$N373,$O373),"-")))</f>
        <v/>
      </c>
      <c r="H373" s="38">
        <f>IF($L373="","",SUM($G$316:$G373))</f>
        <v/>
      </c>
      <c r="I373" s="39">
        <f>IF($L373="","",IF(INT(($L373-INT($L373/10000000)*10000000)/1000000)=0,"Bloomberg projection",IF(INT($P373/10)=1,"Announced","ANNOUNCED - amount TBA"))&amp;IF(($P373-INT($P373/10)*10)=1," (special)","")&amp;IF((($P373-INT($P373/10)*10)=1)*(Summary!$C$13="N")&gt;0," - excluded by your specials switch",""))</f>
        <v/>
      </c>
      <c r="J373" s="40">
        <f>IF($L373="","",IF((Override!$C$4="ON")*ISNUMBER(INDEX(Override!$G$113:$G$152,$N373))&gt;0,"stock overridden",""))</f>
        <v/>
      </c>
      <c r="L373" s="41">
        <f>IFERROR(IF(SMALL(Grids!$C$113:$BO$152,$M$313+58)&gt;=(Summary!$C$15+1)*1000000000,"",SMALL(Grids!$C$113:$BO$152,$M$313+58)),"")</f>
        <v/>
      </c>
      <c r="M373" s="41">
        <f>IF($L373="","",INT($L373/1000000000))</f>
        <v/>
      </c>
      <c r="N373" s="41">
        <f>IF($L373="","",INT(($L373-INT($L373/1000000)*1000000)/1000))</f>
        <v/>
      </c>
      <c r="O373" s="41">
        <f>IF($L373="","",$L373-INT($L373/1000)*1000)</f>
        <v/>
      </c>
      <c r="P373" s="41">
        <f>IF($L373="","",INT(($L373-INT($L373/1000000000)*1000000000)/10000000))</f>
        <v/>
      </c>
    </row>
    <row r="374">
      <c r="B374" s="36">
        <f>IF($L374="","",$M374)</f>
        <v/>
      </c>
      <c r="C374" s="16">
        <f>IF($L374="","",INDEX(HSTECH!$C$7:$C$46,$N374))</f>
        <v/>
      </c>
      <c r="D374" s="16">
        <f>IF($L374="","",INDEX(HSTECH!$D$7:$D$46,$N374))</f>
        <v/>
      </c>
      <c r="E374" s="37">
        <f>IF($L374="","",IF(INT($P374/10)=0,"TBA",IFERROR(INDEX(Grids!$BQ$113:$EC$152,$N374,$O374),"-")))</f>
        <v/>
      </c>
      <c r="F374" s="16">
        <f>IF($L374="","",INDEX(HSTECH!$F$7:$F$46,$N374))</f>
        <v/>
      </c>
      <c r="G374" s="37">
        <f>IF($L374="","",IF(INT($P374/10)=0,"TBA",IFERROR(INDEX(Grids!$EE$113:$GQ$152,$N374,$O374),"-")))</f>
        <v/>
      </c>
      <c r="H374" s="38">
        <f>IF($L374="","",SUM($G$316:$G374))</f>
        <v/>
      </c>
      <c r="I374" s="39">
        <f>IF($L374="","",IF(INT(($L374-INT($L374/10000000)*10000000)/1000000)=0,"Bloomberg projection",IF(INT($P374/10)=1,"Announced","ANNOUNCED - amount TBA"))&amp;IF(($P374-INT($P374/10)*10)=1," (special)","")&amp;IF((($P374-INT($P374/10)*10)=1)*(Summary!$C$13="N")&gt;0," - excluded by your specials switch",""))</f>
        <v/>
      </c>
      <c r="J374" s="40">
        <f>IF($L374="","",IF((Override!$C$4="ON")*ISNUMBER(INDEX(Override!$G$113:$G$152,$N374))&gt;0,"stock overridden",""))</f>
        <v/>
      </c>
      <c r="L374" s="41">
        <f>IFERROR(IF(SMALL(Grids!$C$113:$BO$152,$M$313+59)&gt;=(Summary!$C$15+1)*1000000000,"",SMALL(Grids!$C$113:$BO$152,$M$313+59)),"")</f>
        <v/>
      </c>
      <c r="M374" s="41">
        <f>IF($L374="","",INT($L374/1000000000))</f>
        <v/>
      </c>
      <c r="N374" s="41">
        <f>IF($L374="","",INT(($L374-INT($L374/1000000)*1000000)/1000))</f>
        <v/>
      </c>
      <c r="O374" s="41">
        <f>IF($L374="","",$L374-INT($L374/1000)*1000)</f>
        <v/>
      </c>
      <c r="P374" s="41">
        <f>IF($L374="","",INT(($L374-INT($L374/1000000000)*1000000000)/10000000))</f>
        <v/>
      </c>
    </row>
    <row r="375">
      <c r="B375" s="36">
        <f>IF($L375="","",$M375)</f>
        <v/>
      </c>
      <c r="C375" s="16">
        <f>IF($L375="","",INDEX(HSTECH!$C$7:$C$46,$N375))</f>
        <v/>
      </c>
      <c r="D375" s="16">
        <f>IF($L375="","",INDEX(HSTECH!$D$7:$D$46,$N375))</f>
        <v/>
      </c>
      <c r="E375" s="37">
        <f>IF($L375="","",IF(INT($P375/10)=0,"TBA",IFERROR(INDEX(Grids!$BQ$113:$EC$152,$N375,$O375),"-")))</f>
        <v/>
      </c>
      <c r="F375" s="16">
        <f>IF($L375="","",INDEX(HSTECH!$F$7:$F$46,$N375))</f>
        <v/>
      </c>
      <c r="G375" s="37">
        <f>IF($L375="","",IF(INT($P375/10)=0,"TBA",IFERROR(INDEX(Grids!$EE$113:$GQ$152,$N375,$O375),"-")))</f>
        <v/>
      </c>
      <c r="H375" s="38">
        <f>IF($L375="","",SUM($G$316:$G375))</f>
        <v/>
      </c>
      <c r="I375" s="39">
        <f>IF($L375="","",IF(INT(($L375-INT($L375/10000000)*10000000)/1000000)=0,"Bloomberg projection",IF(INT($P375/10)=1,"Announced","ANNOUNCED - amount TBA"))&amp;IF(($P375-INT($P375/10)*10)=1," (special)","")&amp;IF((($P375-INT($P375/10)*10)=1)*(Summary!$C$13="N")&gt;0," - excluded by your specials switch",""))</f>
        <v/>
      </c>
      <c r="J375" s="40">
        <f>IF($L375="","",IF((Override!$C$4="ON")*ISNUMBER(INDEX(Override!$G$113:$G$152,$N375))&gt;0,"stock overridden",""))</f>
        <v/>
      </c>
      <c r="L375" s="41">
        <f>IFERROR(IF(SMALL(Grids!$C$113:$BO$152,$M$313+60)&gt;=(Summary!$C$15+1)*1000000000,"",SMALL(Grids!$C$113:$BO$152,$M$313+60)),"")</f>
        <v/>
      </c>
      <c r="M375" s="41">
        <f>IF($L375="","",INT($L375/1000000000))</f>
        <v/>
      </c>
      <c r="N375" s="41">
        <f>IF($L375="","",INT(($L375-INT($L375/1000000)*1000000)/1000))</f>
        <v/>
      </c>
      <c r="O375" s="41">
        <f>IF($L375="","",$L375-INT($L375/1000)*1000)</f>
        <v/>
      </c>
      <c r="P375" s="41">
        <f>IF($L375="","",INT(($L375-INT($L375/1000000000)*1000000000)/10000000))</f>
        <v/>
      </c>
    </row>
    <row r="376">
      <c r="B376" s="36">
        <f>IF($L376="","",$M376)</f>
        <v/>
      </c>
      <c r="C376" s="16">
        <f>IF($L376="","",INDEX(HSTECH!$C$7:$C$46,$N376))</f>
        <v/>
      </c>
      <c r="D376" s="16">
        <f>IF($L376="","",INDEX(HSTECH!$D$7:$D$46,$N376))</f>
        <v/>
      </c>
      <c r="E376" s="37">
        <f>IF($L376="","",IF(INT($P376/10)=0,"TBA",IFERROR(INDEX(Grids!$BQ$113:$EC$152,$N376,$O376),"-")))</f>
        <v/>
      </c>
      <c r="F376" s="16">
        <f>IF($L376="","",INDEX(HSTECH!$F$7:$F$46,$N376))</f>
        <v/>
      </c>
      <c r="G376" s="37">
        <f>IF($L376="","",IF(INT($P376/10)=0,"TBA",IFERROR(INDEX(Grids!$EE$113:$GQ$152,$N376,$O376),"-")))</f>
        <v/>
      </c>
      <c r="H376" s="38">
        <f>IF($L376="","",SUM($G$316:$G376))</f>
        <v/>
      </c>
      <c r="I376" s="39">
        <f>IF($L376="","",IF(INT(($L376-INT($L376/10000000)*10000000)/1000000)=0,"Bloomberg projection",IF(INT($P376/10)=1,"Announced","ANNOUNCED - amount TBA"))&amp;IF(($P376-INT($P376/10)*10)=1," (special)","")&amp;IF((($P376-INT($P376/10)*10)=1)*(Summary!$C$13="N")&gt;0," - excluded by your specials switch",""))</f>
        <v/>
      </c>
      <c r="J376" s="40">
        <f>IF($L376="","",IF((Override!$C$4="ON")*ISNUMBER(INDEX(Override!$G$113:$G$152,$N376))&gt;0,"stock overridden",""))</f>
        <v/>
      </c>
      <c r="L376" s="41">
        <f>IFERROR(IF(SMALL(Grids!$C$113:$BO$152,$M$313+61)&gt;=(Summary!$C$15+1)*1000000000,"",SMALL(Grids!$C$113:$BO$152,$M$313+61)),"")</f>
        <v/>
      </c>
      <c r="M376" s="41">
        <f>IF($L376="","",INT($L376/1000000000))</f>
        <v/>
      </c>
      <c r="N376" s="41">
        <f>IF($L376="","",INT(($L376-INT($L376/1000000)*1000000)/1000))</f>
        <v/>
      </c>
      <c r="O376" s="41">
        <f>IF($L376="","",$L376-INT($L376/1000)*1000)</f>
        <v/>
      </c>
      <c r="P376" s="41">
        <f>IF($L376="","",INT(($L376-INT($L376/1000000000)*1000000000)/10000000))</f>
        <v/>
      </c>
    </row>
    <row r="377">
      <c r="B377" s="36">
        <f>IF($L377="","",$M377)</f>
        <v/>
      </c>
      <c r="C377" s="16">
        <f>IF($L377="","",INDEX(HSTECH!$C$7:$C$46,$N377))</f>
        <v/>
      </c>
      <c r="D377" s="16">
        <f>IF($L377="","",INDEX(HSTECH!$D$7:$D$46,$N377))</f>
        <v/>
      </c>
      <c r="E377" s="37">
        <f>IF($L377="","",IF(INT($P377/10)=0,"TBA",IFERROR(INDEX(Grids!$BQ$113:$EC$152,$N377,$O377),"-")))</f>
        <v/>
      </c>
      <c r="F377" s="16">
        <f>IF($L377="","",INDEX(HSTECH!$F$7:$F$46,$N377))</f>
        <v/>
      </c>
      <c r="G377" s="37">
        <f>IF($L377="","",IF(INT($P377/10)=0,"TBA",IFERROR(INDEX(Grids!$EE$113:$GQ$152,$N377,$O377),"-")))</f>
        <v/>
      </c>
      <c r="H377" s="38">
        <f>IF($L377="","",SUM($G$316:$G377))</f>
        <v/>
      </c>
      <c r="I377" s="39">
        <f>IF($L377="","",IF(INT(($L377-INT($L377/10000000)*10000000)/1000000)=0,"Bloomberg projection",IF(INT($P377/10)=1,"Announced","ANNOUNCED - amount TBA"))&amp;IF(($P377-INT($P377/10)*10)=1," (special)","")&amp;IF((($P377-INT($P377/10)*10)=1)*(Summary!$C$13="N")&gt;0," - excluded by your specials switch",""))</f>
        <v/>
      </c>
      <c r="J377" s="40">
        <f>IF($L377="","",IF((Override!$C$4="ON")*ISNUMBER(INDEX(Override!$G$113:$G$152,$N377))&gt;0,"stock overridden",""))</f>
        <v/>
      </c>
      <c r="L377" s="41">
        <f>IFERROR(IF(SMALL(Grids!$C$113:$BO$152,$M$313+62)&gt;=(Summary!$C$15+1)*1000000000,"",SMALL(Grids!$C$113:$BO$152,$M$313+62)),"")</f>
        <v/>
      </c>
      <c r="M377" s="41">
        <f>IF($L377="","",INT($L377/1000000000))</f>
        <v/>
      </c>
      <c r="N377" s="41">
        <f>IF($L377="","",INT(($L377-INT($L377/1000000)*1000000)/1000))</f>
        <v/>
      </c>
      <c r="O377" s="41">
        <f>IF($L377="","",$L377-INT($L377/1000)*1000)</f>
        <v/>
      </c>
      <c r="P377" s="41">
        <f>IF($L377="","",INT(($L377-INT($L377/1000000000)*1000000000)/10000000))</f>
        <v/>
      </c>
    </row>
    <row r="378">
      <c r="B378" s="36">
        <f>IF($L378="","",$M378)</f>
        <v/>
      </c>
      <c r="C378" s="16">
        <f>IF($L378="","",INDEX(HSTECH!$C$7:$C$46,$N378))</f>
        <v/>
      </c>
      <c r="D378" s="16">
        <f>IF($L378="","",INDEX(HSTECH!$D$7:$D$46,$N378))</f>
        <v/>
      </c>
      <c r="E378" s="37">
        <f>IF($L378="","",IF(INT($P378/10)=0,"TBA",IFERROR(INDEX(Grids!$BQ$113:$EC$152,$N378,$O378),"-")))</f>
        <v/>
      </c>
      <c r="F378" s="16">
        <f>IF($L378="","",INDEX(HSTECH!$F$7:$F$46,$N378))</f>
        <v/>
      </c>
      <c r="G378" s="37">
        <f>IF($L378="","",IF(INT($P378/10)=0,"TBA",IFERROR(INDEX(Grids!$EE$113:$GQ$152,$N378,$O378),"-")))</f>
        <v/>
      </c>
      <c r="H378" s="38">
        <f>IF($L378="","",SUM($G$316:$G378))</f>
        <v/>
      </c>
      <c r="I378" s="39">
        <f>IF($L378="","",IF(INT(($L378-INT($L378/10000000)*10000000)/1000000)=0,"Bloomberg projection",IF(INT($P378/10)=1,"Announced","ANNOUNCED - amount TBA"))&amp;IF(($P378-INT($P378/10)*10)=1," (special)","")&amp;IF((($P378-INT($P378/10)*10)=1)*(Summary!$C$13="N")&gt;0," - excluded by your specials switch",""))</f>
        <v/>
      </c>
      <c r="J378" s="40">
        <f>IF($L378="","",IF((Override!$C$4="ON")*ISNUMBER(INDEX(Override!$G$113:$G$152,$N378))&gt;0,"stock overridden",""))</f>
        <v/>
      </c>
      <c r="L378" s="41">
        <f>IFERROR(IF(SMALL(Grids!$C$113:$BO$152,$M$313+63)&gt;=(Summary!$C$15+1)*1000000000,"",SMALL(Grids!$C$113:$BO$152,$M$313+63)),"")</f>
        <v/>
      </c>
      <c r="M378" s="41">
        <f>IF($L378="","",INT($L378/1000000000))</f>
        <v/>
      </c>
      <c r="N378" s="41">
        <f>IF($L378="","",INT(($L378-INT($L378/1000000)*1000000)/1000))</f>
        <v/>
      </c>
      <c r="O378" s="41">
        <f>IF($L378="","",$L378-INT($L378/1000)*1000)</f>
        <v/>
      </c>
      <c r="P378" s="41">
        <f>IF($L378="","",INT(($L378-INT($L378/1000000000)*1000000000)/10000000))</f>
        <v/>
      </c>
    </row>
    <row r="379">
      <c r="B379" s="36">
        <f>IF($L379="","",$M379)</f>
        <v/>
      </c>
      <c r="C379" s="16">
        <f>IF($L379="","",INDEX(HSTECH!$C$7:$C$46,$N379))</f>
        <v/>
      </c>
      <c r="D379" s="16">
        <f>IF($L379="","",INDEX(HSTECH!$D$7:$D$46,$N379))</f>
        <v/>
      </c>
      <c r="E379" s="37">
        <f>IF($L379="","",IF(INT($P379/10)=0,"TBA",IFERROR(INDEX(Grids!$BQ$113:$EC$152,$N379,$O379),"-")))</f>
        <v/>
      </c>
      <c r="F379" s="16">
        <f>IF($L379="","",INDEX(HSTECH!$F$7:$F$46,$N379))</f>
        <v/>
      </c>
      <c r="G379" s="37">
        <f>IF($L379="","",IF(INT($P379/10)=0,"TBA",IFERROR(INDEX(Grids!$EE$113:$GQ$152,$N379,$O379),"-")))</f>
        <v/>
      </c>
      <c r="H379" s="38">
        <f>IF($L379="","",SUM($G$316:$G379))</f>
        <v/>
      </c>
      <c r="I379" s="39">
        <f>IF($L379="","",IF(INT(($L379-INT($L379/10000000)*10000000)/1000000)=0,"Bloomberg projection",IF(INT($P379/10)=1,"Announced","ANNOUNCED - amount TBA"))&amp;IF(($P379-INT($P379/10)*10)=1," (special)","")&amp;IF((($P379-INT($P379/10)*10)=1)*(Summary!$C$13="N")&gt;0," - excluded by your specials switch",""))</f>
        <v/>
      </c>
      <c r="J379" s="40">
        <f>IF($L379="","",IF((Override!$C$4="ON")*ISNUMBER(INDEX(Override!$G$113:$G$152,$N379))&gt;0,"stock overridden",""))</f>
        <v/>
      </c>
      <c r="L379" s="41">
        <f>IFERROR(IF(SMALL(Grids!$C$113:$BO$152,$M$313+64)&gt;=(Summary!$C$15+1)*1000000000,"",SMALL(Grids!$C$113:$BO$152,$M$313+64)),"")</f>
        <v/>
      </c>
      <c r="M379" s="41">
        <f>IF($L379="","",INT($L379/1000000000))</f>
        <v/>
      </c>
      <c r="N379" s="41">
        <f>IF($L379="","",INT(($L379-INT($L379/1000000)*1000000)/1000))</f>
        <v/>
      </c>
      <c r="O379" s="41">
        <f>IF($L379="","",$L379-INT($L379/1000)*1000)</f>
        <v/>
      </c>
      <c r="P379" s="41">
        <f>IF($L379="","",INT(($L379-INT($L379/1000000000)*1000000000)/10000000))</f>
        <v/>
      </c>
    </row>
    <row r="380">
      <c r="B380" s="36">
        <f>IF($L380="","",$M380)</f>
        <v/>
      </c>
      <c r="C380" s="16">
        <f>IF($L380="","",INDEX(HSTECH!$C$7:$C$46,$N380))</f>
        <v/>
      </c>
      <c r="D380" s="16">
        <f>IF($L380="","",INDEX(HSTECH!$D$7:$D$46,$N380))</f>
        <v/>
      </c>
      <c r="E380" s="37">
        <f>IF($L380="","",IF(INT($P380/10)=0,"TBA",IFERROR(INDEX(Grids!$BQ$113:$EC$152,$N380,$O380),"-")))</f>
        <v/>
      </c>
      <c r="F380" s="16">
        <f>IF($L380="","",INDEX(HSTECH!$F$7:$F$46,$N380))</f>
        <v/>
      </c>
      <c r="G380" s="37">
        <f>IF($L380="","",IF(INT($P380/10)=0,"TBA",IFERROR(INDEX(Grids!$EE$113:$GQ$152,$N380,$O380),"-")))</f>
        <v/>
      </c>
      <c r="H380" s="38">
        <f>IF($L380="","",SUM($G$316:$G380))</f>
        <v/>
      </c>
      <c r="I380" s="39">
        <f>IF($L380="","",IF(INT(($L380-INT($L380/10000000)*10000000)/1000000)=0,"Bloomberg projection",IF(INT($P380/10)=1,"Announced","ANNOUNCED - amount TBA"))&amp;IF(($P380-INT($P380/10)*10)=1," (special)","")&amp;IF((($P380-INT($P380/10)*10)=1)*(Summary!$C$13="N")&gt;0," - excluded by your specials switch",""))</f>
        <v/>
      </c>
      <c r="J380" s="40">
        <f>IF($L380="","",IF((Override!$C$4="ON")*ISNUMBER(INDEX(Override!$G$113:$G$152,$N380))&gt;0,"stock overridden",""))</f>
        <v/>
      </c>
      <c r="L380" s="41">
        <f>IFERROR(IF(SMALL(Grids!$C$113:$BO$152,$M$313+65)&gt;=(Summary!$C$15+1)*1000000000,"",SMALL(Grids!$C$113:$BO$152,$M$313+65)),"")</f>
        <v/>
      </c>
      <c r="M380" s="41">
        <f>IF($L380="","",INT($L380/1000000000))</f>
        <v/>
      </c>
      <c r="N380" s="41">
        <f>IF($L380="","",INT(($L380-INT($L380/1000000)*1000000)/1000))</f>
        <v/>
      </c>
      <c r="O380" s="41">
        <f>IF($L380="","",$L380-INT($L380/1000)*1000)</f>
        <v/>
      </c>
      <c r="P380" s="41">
        <f>IF($L380="","",INT(($L380-INT($L380/1000000000)*1000000000)/10000000))</f>
        <v/>
      </c>
    </row>
    <row r="381">
      <c r="B381" s="36">
        <f>IF($L381="","",$M381)</f>
        <v/>
      </c>
      <c r="C381" s="16">
        <f>IF($L381="","",INDEX(HSTECH!$C$7:$C$46,$N381))</f>
        <v/>
      </c>
      <c r="D381" s="16">
        <f>IF($L381="","",INDEX(HSTECH!$D$7:$D$46,$N381))</f>
        <v/>
      </c>
      <c r="E381" s="37">
        <f>IF($L381="","",IF(INT($P381/10)=0,"TBA",IFERROR(INDEX(Grids!$BQ$113:$EC$152,$N381,$O381),"-")))</f>
        <v/>
      </c>
      <c r="F381" s="16">
        <f>IF($L381="","",INDEX(HSTECH!$F$7:$F$46,$N381))</f>
        <v/>
      </c>
      <c r="G381" s="37">
        <f>IF($L381="","",IF(INT($P381/10)=0,"TBA",IFERROR(INDEX(Grids!$EE$113:$GQ$152,$N381,$O381),"-")))</f>
        <v/>
      </c>
      <c r="H381" s="38">
        <f>IF($L381="","",SUM($G$316:$G381))</f>
        <v/>
      </c>
      <c r="I381" s="39">
        <f>IF($L381="","",IF(INT(($L381-INT($L381/10000000)*10000000)/1000000)=0,"Bloomberg projection",IF(INT($P381/10)=1,"Announced","ANNOUNCED - amount TBA"))&amp;IF(($P381-INT($P381/10)*10)=1," (special)","")&amp;IF((($P381-INT($P381/10)*10)=1)*(Summary!$C$13="N")&gt;0," - excluded by your specials switch",""))</f>
        <v/>
      </c>
      <c r="J381" s="40">
        <f>IF($L381="","",IF((Override!$C$4="ON")*ISNUMBER(INDEX(Override!$G$113:$G$152,$N381))&gt;0,"stock overridden",""))</f>
        <v/>
      </c>
      <c r="L381" s="41">
        <f>IFERROR(IF(SMALL(Grids!$C$113:$BO$152,$M$313+66)&gt;=(Summary!$C$15+1)*1000000000,"",SMALL(Grids!$C$113:$BO$152,$M$313+66)),"")</f>
        <v/>
      </c>
      <c r="M381" s="41">
        <f>IF($L381="","",INT($L381/1000000000))</f>
        <v/>
      </c>
      <c r="N381" s="41">
        <f>IF($L381="","",INT(($L381-INT($L381/1000000)*1000000)/1000))</f>
        <v/>
      </c>
      <c r="O381" s="41">
        <f>IF($L381="","",$L381-INT($L381/1000)*1000)</f>
        <v/>
      </c>
      <c r="P381" s="41">
        <f>IF($L381="","",INT(($L381-INT($L381/1000000000)*1000000000)/10000000))</f>
        <v/>
      </c>
    </row>
    <row r="382">
      <c r="B382" s="36">
        <f>IF($L382="","",$M382)</f>
        <v/>
      </c>
      <c r="C382" s="16">
        <f>IF($L382="","",INDEX(HSTECH!$C$7:$C$46,$N382))</f>
        <v/>
      </c>
      <c r="D382" s="16">
        <f>IF($L382="","",INDEX(HSTECH!$D$7:$D$46,$N382))</f>
        <v/>
      </c>
      <c r="E382" s="37">
        <f>IF($L382="","",IF(INT($P382/10)=0,"TBA",IFERROR(INDEX(Grids!$BQ$113:$EC$152,$N382,$O382),"-")))</f>
        <v/>
      </c>
      <c r="F382" s="16">
        <f>IF($L382="","",INDEX(HSTECH!$F$7:$F$46,$N382))</f>
        <v/>
      </c>
      <c r="G382" s="37">
        <f>IF($L382="","",IF(INT($P382/10)=0,"TBA",IFERROR(INDEX(Grids!$EE$113:$GQ$152,$N382,$O382),"-")))</f>
        <v/>
      </c>
      <c r="H382" s="38">
        <f>IF($L382="","",SUM($G$316:$G382))</f>
        <v/>
      </c>
      <c r="I382" s="39">
        <f>IF($L382="","",IF(INT(($L382-INT($L382/10000000)*10000000)/1000000)=0,"Bloomberg projection",IF(INT($P382/10)=1,"Announced","ANNOUNCED - amount TBA"))&amp;IF(($P382-INT($P382/10)*10)=1," (special)","")&amp;IF((($P382-INT($P382/10)*10)=1)*(Summary!$C$13="N")&gt;0," - excluded by your specials switch",""))</f>
        <v/>
      </c>
      <c r="J382" s="40">
        <f>IF($L382="","",IF((Override!$C$4="ON")*ISNUMBER(INDEX(Override!$G$113:$G$152,$N382))&gt;0,"stock overridden",""))</f>
        <v/>
      </c>
      <c r="L382" s="41">
        <f>IFERROR(IF(SMALL(Grids!$C$113:$BO$152,$M$313+67)&gt;=(Summary!$C$15+1)*1000000000,"",SMALL(Grids!$C$113:$BO$152,$M$313+67)),"")</f>
        <v/>
      </c>
      <c r="M382" s="41">
        <f>IF($L382="","",INT($L382/1000000000))</f>
        <v/>
      </c>
      <c r="N382" s="41">
        <f>IF($L382="","",INT(($L382-INT($L382/1000000)*1000000)/1000))</f>
        <v/>
      </c>
      <c r="O382" s="41">
        <f>IF($L382="","",$L382-INT($L382/1000)*1000)</f>
        <v/>
      </c>
      <c r="P382" s="41">
        <f>IF($L382="","",INT(($L382-INT($L382/1000000000)*1000000000)/10000000))</f>
        <v/>
      </c>
    </row>
    <row r="383">
      <c r="B383" s="36">
        <f>IF($L383="","",$M383)</f>
        <v/>
      </c>
      <c r="C383" s="16">
        <f>IF($L383="","",INDEX(HSTECH!$C$7:$C$46,$N383))</f>
        <v/>
      </c>
      <c r="D383" s="16">
        <f>IF($L383="","",INDEX(HSTECH!$D$7:$D$46,$N383))</f>
        <v/>
      </c>
      <c r="E383" s="37">
        <f>IF($L383="","",IF(INT($P383/10)=0,"TBA",IFERROR(INDEX(Grids!$BQ$113:$EC$152,$N383,$O383),"-")))</f>
        <v/>
      </c>
      <c r="F383" s="16">
        <f>IF($L383="","",INDEX(HSTECH!$F$7:$F$46,$N383))</f>
        <v/>
      </c>
      <c r="G383" s="37">
        <f>IF($L383="","",IF(INT($P383/10)=0,"TBA",IFERROR(INDEX(Grids!$EE$113:$GQ$152,$N383,$O383),"-")))</f>
        <v/>
      </c>
      <c r="H383" s="38">
        <f>IF($L383="","",SUM($G$316:$G383))</f>
        <v/>
      </c>
      <c r="I383" s="39">
        <f>IF($L383="","",IF(INT(($L383-INT($L383/10000000)*10000000)/1000000)=0,"Bloomberg projection",IF(INT($P383/10)=1,"Announced","ANNOUNCED - amount TBA"))&amp;IF(($P383-INT($P383/10)*10)=1," (special)","")&amp;IF((($P383-INT($P383/10)*10)=1)*(Summary!$C$13="N")&gt;0," - excluded by your specials switch",""))</f>
        <v/>
      </c>
      <c r="J383" s="40">
        <f>IF($L383="","",IF((Override!$C$4="ON")*ISNUMBER(INDEX(Override!$G$113:$G$152,$N383))&gt;0,"stock overridden",""))</f>
        <v/>
      </c>
      <c r="L383" s="41">
        <f>IFERROR(IF(SMALL(Grids!$C$113:$BO$152,$M$313+68)&gt;=(Summary!$C$15+1)*1000000000,"",SMALL(Grids!$C$113:$BO$152,$M$313+68)),"")</f>
        <v/>
      </c>
      <c r="M383" s="41">
        <f>IF($L383="","",INT($L383/1000000000))</f>
        <v/>
      </c>
      <c r="N383" s="41">
        <f>IF($L383="","",INT(($L383-INT($L383/1000000)*1000000)/1000))</f>
        <v/>
      </c>
      <c r="O383" s="41">
        <f>IF($L383="","",$L383-INT($L383/1000)*1000)</f>
        <v/>
      </c>
      <c r="P383" s="41">
        <f>IF($L383="","",INT(($L383-INT($L383/1000000000)*1000000000)/10000000))</f>
        <v/>
      </c>
    </row>
    <row r="384">
      <c r="B384" s="36">
        <f>IF($L384="","",$M384)</f>
        <v/>
      </c>
      <c r="C384" s="16">
        <f>IF($L384="","",INDEX(HSTECH!$C$7:$C$46,$N384))</f>
        <v/>
      </c>
      <c r="D384" s="16">
        <f>IF($L384="","",INDEX(HSTECH!$D$7:$D$46,$N384))</f>
        <v/>
      </c>
      <c r="E384" s="37">
        <f>IF($L384="","",IF(INT($P384/10)=0,"TBA",IFERROR(INDEX(Grids!$BQ$113:$EC$152,$N384,$O384),"-")))</f>
        <v/>
      </c>
      <c r="F384" s="16">
        <f>IF($L384="","",INDEX(HSTECH!$F$7:$F$46,$N384))</f>
        <v/>
      </c>
      <c r="G384" s="37">
        <f>IF($L384="","",IF(INT($P384/10)=0,"TBA",IFERROR(INDEX(Grids!$EE$113:$GQ$152,$N384,$O384),"-")))</f>
        <v/>
      </c>
      <c r="H384" s="38">
        <f>IF($L384="","",SUM($G$316:$G384))</f>
        <v/>
      </c>
      <c r="I384" s="39">
        <f>IF($L384="","",IF(INT(($L384-INT($L384/10000000)*10000000)/1000000)=0,"Bloomberg projection",IF(INT($P384/10)=1,"Announced","ANNOUNCED - amount TBA"))&amp;IF(($P384-INT($P384/10)*10)=1," (special)","")&amp;IF((($P384-INT($P384/10)*10)=1)*(Summary!$C$13="N")&gt;0," - excluded by your specials switch",""))</f>
        <v/>
      </c>
      <c r="J384" s="40">
        <f>IF($L384="","",IF((Override!$C$4="ON")*ISNUMBER(INDEX(Override!$G$113:$G$152,$N384))&gt;0,"stock overridden",""))</f>
        <v/>
      </c>
      <c r="L384" s="41">
        <f>IFERROR(IF(SMALL(Grids!$C$113:$BO$152,$M$313+69)&gt;=(Summary!$C$15+1)*1000000000,"",SMALL(Grids!$C$113:$BO$152,$M$313+69)),"")</f>
        <v/>
      </c>
      <c r="M384" s="41">
        <f>IF($L384="","",INT($L384/1000000000))</f>
        <v/>
      </c>
      <c r="N384" s="41">
        <f>IF($L384="","",INT(($L384-INT($L384/1000000)*1000000)/1000))</f>
        <v/>
      </c>
      <c r="O384" s="41">
        <f>IF($L384="","",$L384-INT($L384/1000)*1000)</f>
        <v/>
      </c>
      <c r="P384" s="41">
        <f>IF($L384="","",INT(($L384-INT($L384/1000000000)*1000000000)/10000000))</f>
        <v/>
      </c>
    </row>
    <row r="385">
      <c r="B385" s="36">
        <f>IF($L385="","",$M385)</f>
        <v/>
      </c>
      <c r="C385" s="16">
        <f>IF($L385="","",INDEX(HSTECH!$C$7:$C$46,$N385))</f>
        <v/>
      </c>
      <c r="D385" s="16">
        <f>IF($L385="","",INDEX(HSTECH!$D$7:$D$46,$N385))</f>
        <v/>
      </c>
      <c r="E385" s="37">
        <f>IF($L385="","",IF(INT($P385/10)=0,"TBA",IFERROR(INDEX(Grids!$BQ$113:$EC$152,$N385,$O385),"-")))</f>
        <v/>
      </c>
      <c r="F385" s="16">
        <f>IF($L385="","",INDEX(HSTECH!$F$7:$F$46,$N385))</f>
        <v/>
      </c>
      <c r="G385" s="37">
        <f>IF($L385="","",IF(INT($P385/10)=0,"TBA",IFERROR(INDEX(Grids!$EE$113:$GQ$152,$N385,$O385),"-")))</f>
        <v/>
      </c>
      <c r="H385" s="38">
        <f>IF($L385="","",SUM($G$316:$G385))</f>
        <v/>
      </c>
      <c r="I385" s="39">
        <f>IF($L385="","",IF(INT(($L385-INT($L385/10000000)*10000000)/1000000)=0,"Bloomberg projection",IF(INT($P385/10)=1,"Announced","ANNOUNCED - amount TBA"))&amp;IF(($P385-INT($P385/10)*10)=1," (special)","")&amp;IF((($P385-INT($P385/10)*10)=1)*(Summary!$C$13="N")&gt;0," - excluded by your specials switch",""))</f>
        <v/>
      </c>
      <c r="J385" s="40">
        <f>IF($L385="","",IF((Override!$C$4="ON")*ISNUMBER(INDEX(Override!$G$113:$G$152,$N385))&gt;0,"stock overridden",""))</f>
        <v/>
      </c>
      <c r="L385" s="41">
        <f>IFERROR(IF(SMALL(Grids!$C$113:$BO$152,$M$313+70)&gt;=(Summary!$C$15+1)*1000000000,"",SMALL(Grids!$C$113:$BO$152,$M$313+70)),"")</f>
        <v/>
      </c>
      <c r="M385" s="41">
        <f>IF($L385="","",INT($L385/1000000000))</f>
        <v/>
      </c>
      <c r="N385" s="41">
        <f>IF($L385="","",INT(($L385-INT($L385/1000000)*1000000)/1000))</f>
        <v/>
      </c>
      <c r="O385" s="41">
        <f>IF($L385="","",$L385-INT($L385/1000)*1000)</f>
        <v/>
      </c>
      <c r="P385" s="41">
        <f>IF($L385="","",INT(($L385-INT($L385/1000000000)*1000000000)/10000000))</f>
        <v/>
      </c>
    </row>
    <row r="386">
      <c r="B386" s="36">
        <f>IF($L386="","",$M386)</f>
        <v/>
      </c>
      <c r="C386" s="16">
        <f>IF($L386="","",INDEX(HSTECH!$C$7:$C$46,$N386))</f>
        <v/>
      </c>
      <c r="D386" s="16">
        <f>IF($L386="","",INDEX(HSTECH!$D$7:$D$46,$N386))</f>
        <v/>
      </c>
      <c r="E386" s="37">
        <f>IF($L386="","",IF(INT($P386/10)=0,"TBA",IFERROR(INDEX(Grids!$BQ$113:$EC$152,$N386,$O386),"-")))</f>
        <v/>
      </c>
      <c r="F386" s="16">
        <f>IF($L386="","",INDEX(HSTECH!$F$7:$F$46,$N386))</f>
        <v/>
      </c>
      <c r="G386" s="37">
        <f>IF($L386="","",IF(INT($P386/10)=0,"TBA",IFERROR(INDEX(Grids!$EE$113:$GQ$152,$N386,$O386),"-")))</f>
        <v/>
      </c>
      <c r="H386" s="38">
        <f>IF($L386="","",SUM($G$316:$G386))</f>
        <v/>
      </c>
      <c r="I386" s="39">
        <f>IF($L386="","",IF(INT(($L386-INT($L386/10000000)*10000000)/1000000)=0,"Bloomberg projection",IF(INT($P386/10)=1,"Announced","ANNOUNCED - amount TBA"))&amp;IF(($P386-INT($P386/10)*10)=1," (special)","")&amp;IF((($P386-INT($P386/10)*10)=1)*(Summary!$C$13="N")&gt;0," - excluded by your specials switch",""))</f>
        <v/>
      </c>
      <c r="J386" s="40">
        <f>IF($L386="","",IF((Override!$C$4="ON")*ISNUMBER(INDEX(Override!$G$113:$G$152,$N386))&gt;0,"stock overridden",""))</f>
        <v/>
      </c>
      <c r="L386" s="41">
        <f>IFERROR(IF(SMALL(Grids!$C$113:$BO$152,$M$313+71)&gt;=(Summary!$C$15+1)*1000000000,"",SMALL(Grids!$C$113:$BO$152,$M$313+71)),"")</f>
        <v/>
      </c>
      <c r="M386" s="41">
        <f>IF($L386="","",INT($L386/1000000000))</f>
        <v/>
      </c>
      <c r="N386" s="41">
        <f>IF($L386="","",INT(($L386-INT($L386/1000000)*1000000)/1000))</f>
        <v/>
      </c>
      <c r="O386" s="41">
        <f>IF($L386="","",$L386-INT($L386/1000)*1000)</f>
        <v/>
      </c>
      <c r="P386" s="41">
        <f>IF($L386="","",INT(($L386-INT($L386/1000000000)*1000000000)/10000000))</f>
        <v/>
      </c>
    </row>
    <row r="387">
      <c r="B387" s="36">
        <f>IF($L387="","",$M387)</f>
        <v/>
      </c>
      <c r="C387" s="16">
        <f>IF($L387="","",INDEX(HSTECH!$C$7:$C$46,$N387))</f>
        <v/>
      </c>
      <c r="D387" s="16">
        <f>IF($L387="","",INDEX(HSTECH!$D$7:$D$46,$N387))</f>
        <v/>
      </c>
      <c r="E387" s="37">
        <f>IF($L387="","",IF(INT($P387/10)=0,"TBA",IFERROR(INDEX(Grids!$BQ$113:$EC$152,$N387,$O387),"-")))</f>
        <v/>
      </c>
      <c r="F387" s="16">
        <f>IF($L387="","",INDEX(HSTECH!$F$7:$F$46,$N387))</f>
        <v/>
      </c>
      <c r="G387" s="37">
        <f>IF($L387="","",IF(INT($P387/10)=0,"TBA",IFERROR(INDEX(Grids!$EE$113:$GQ$152,$N387,$O387),"-")))</f>
        <v/>
      </c>
      <c r="H387" s="38">
        <f>IF($L387="","",SUM($G$316:$G387))</f>
        <v/>
      </c>
      <c r="I387" s="39">
        <f>IF($L387="","",IF(INT(($L387-INT($L387/10000000)*10000000)/1000000)=0,"Bloomberg projection",IF(INT($P387/10)=1,"Announced","ANNOUNCED - amount TBA"))&amp;IF(($P387-INT($P387/10)*10)=1," (special)","")&amp;IF((($P387-INT($P387/10)*10)=1)*(Summary!$C$13="N")&gt;0," - excluded by your specials switch",""))</f>
        <v/>
      </c>
      <c r="J387" s="40">
        <f>IF($L387="","",IF((Override!$C$4="ON")*ISNUMBER(INDEX(Override!$G$113:$G$152,$N387))&gt;0,"stock overridden",""))</f>
        <v/>
      </c>
      <c r="L387" s="41">
        <f>IFERROR(IF(SMALL(Grids!$C$113:$BO$152,$M$313+72)&gt;=(Summary!$C$15+1)*1000000000,"",SMALL(Grids!$C$113:$BO$152,$M$313+72)),"")</f>
        <v/>
      </c>
      <c r="M387" s="41">
        <f>IF($L387="","",INT($L387/1000000000))</f>
        <v/>
      </c>
      <c r="N387" s="41">
        <f>IF($L387="","",INT(($L387-INT($L387/1000000)*1000000)/1000))</f>
        <v/>
      </c>
      <c r="O387" s="41">
        <f>IF($L387="","",$L387-INT($L387/1000)*1000)</f>
        <v/>
      </c>
      <c r="P387" s="41">
        <f>IF($L387="","",INT(($L387-INT($L387/1000000000)*1000000000)/10000000))</f>
        <v/>
      </c>
    </row>
    <row r="388">
      <c r="B388" s="36">
        <f>IF($L388="","",$M388)</f>
        <v/>
      </c>
      <c r="C388" s="16">
        <f>IF($L388="","",INDEX(HSTECH!$C$7:$C$46,$N388))</f>
        <v/>
      </c>
      <c r="D388" s="16">
        <f>IF($L388="","",INDEX(HSTECH!$D$7:$D$46,$N388))</f>
        <v/>
      </c>
      <c r="E388" s="37">
        <f>IF($L388="","",IF(INT($P388/10)=0,"TBA",IFERROR(INDEX(Grids!$BQ$113:$EC$152,$N388,$O388),"-")))</f>
        <v/>
      </c>
      <c r="F388" s="16">
        <f>IF($L388="","",INDEX(HSTECH!$F$7:$F$46,$N388))</f>
        <v/>
      </c>
      <c r="G388" s="37">
        <f>IF($L388="","",IF(INT($P388/10)=0,"TBA",IFERROR(INDEX(Grids!$EE$113:$GQ$152,$N388,$O388),"-")))</f>
        <v/>
      </c>
      <c r="H388" s="38">
        <f>IF($L388="","",SUM($G$316:$G388))</f>
        <v/>
      </c>
      <c r="I388" s="39">
        <f>IF($L388="","",IF(INT(($L388-INT($L388/10000000)*10000000)/1000000)=0,"Bloomberg projection",IF(INT($P388/10)=1,"Announced","ANNOUNCED - amount TBA"))&amp;IF(($P388-INT($P388/10)*10)=1," (special)","")&amp;IF((($P388-INT($P388/10)*10)=1)*(Summary!$C$13="N")&gt;0," - excluded by your specials switch",""))</f>
        <v/>
      </c>
      <c r="J388" s="40">
        <f>IF($L388="","",IF((Override!$C$4="ON")*ISNUMBER(INDEX(Override!$G$113:$G$152,$N388))&gt;0,"stock overridden",""))</f>
        <v/>
      </c>
      <c r="L388" s="41">
        <f>IFERROR(IF(SMALL(Grids!$C$113:$BO$152,$M$313+73)&gt;=(Summary!$C$15+1)*1000000000,"",SMALL(Grids!$C$113:$BO$152,$M$313+73)),"")</f>
        <v/>
      </c>
      <c r="M388" s="41">
        <f>IF($L388="","",INT($L388/1000000000))</f>
        <v/>
      </c>
      <c r="N388" s="41">
        <f>IF($L388="","",INT(($L388-INT($L388/1000000)*1000000)/1000))</f>
        <v/>
      </c>
      <c r="O388" s="41">
        <f>IF($L388="","",$L388-INT($L388/1000)*1000)</f>
        <v/>
      </c>
      <c r="P388" s="41">
        <f>IF($L388="","",INT(($L388-INT($L388/1000000000)*1000000000)/10000000))</f>
        <v/>
      </c>
    </row>
    <row r="389">
      <c r="B389" s="36">
        <f>IF($L389="","",$M389)</f>
        <v/>
      </c>
      <c r="C389" s="16">
        <f>IF($L389="","",INDEX(HSTECH!$C$7:$C$46,$N389))</f>
        <v/>
      </c>
      <c r="D389" s="16">
        <f>IF($L389="","",INDEX(HSTECH!$D$7:$D$46,$N389))</f>
        <v/>
      </c>
      <c r="E389" s="37">
        <f>IF($L389="","",IF(INT($P389/10)=0,"TBA",IFERROR(INDEX(Grids!$BQ$113:$EC$152,$N389,$O389),"-")))</f>
        <v/>
      </c>
      <c r="F389" s="16">
        <f>IF($L389="","",INDEX(HSTECH!$F$7:$F$46,$N389))</f>
        <v/>
      </c>
      <c r="G389" s="37">
        <f>IF($L389="","",IF(INT($P389/10)=0,"TBA",IFERROR(INDEX(Grids!$EE$113:$GQ$152,$N389,$O389),"-")))</f>
        <v/>
      </c>
      <c r="H389" s="38">
        <f>IF($L389="","",SUM($G$316:$G389))</f>
        <v/>
      </c>
      <c r="I389" s="39">
        <f>IF($L389="","",IF(INT(($L389-INT($L389/10000000)*10000000)/1000000)=0,"Bloomberg projection",IF(INT($P389/10)=1,"Announced","ANNOUNCED - amount TBA"))&amp;IF(($P389-INT($P389/10)*10)=1," (special)","")&amp;IF((($P389-INT($P389/10)*10)=1)*(Summary!$C$13="N")&gt;0," - excluded by your specials switch",""))</f>
        <v/>
      </c>
      <c r="J389" s="40">
        <f>IF($L389="","",IF((Override!$C$4="ON")*ISNUMBER(INDEX(Override!$G$113:$G$152,$N389))&gt;0,"stock overridden",""))</f>
        <v/>
      </c>
      <c r="L389" s="41">
        <f>IFERROR(IF(SMALL(Grids!$C$113:$BO$152,$M$313+74)&gt;=(Summary!$C$15+1)*1000000000,"",SMALL(Grids!$C$113:$BO$152,$M$313+74)),"")</f>
        <v/>
      </c>
      <c r="M389" s="41">
        <f>IF($L389="","",INT($L389/1000000000))</f>
        <v/>
      </c>
      <c r="N389" s="41">
        <f>IF($L389="","",INT(($L389-INT($L389/1000000)*1000000)/1000))</f>
        <v/>
      </c>
      <c r="O389" s="41">
        <f>IF($L389="","",$L389-INT($L389/1000)*1000)</f>
        <v/>
      </c>
      <c r="P389" s="41">
        <f>IF($L389="","",INT(($L389-INT($L389/1000000000)*1000000000)/10000000))</f>
        <v/>
      </c>
    </row>
    <row r="390">
      <c r="B390" s="36">
        <f>IF($L390="","",$M390)</f>
        <v/>
      </c>
      <c r="C390" s="16">
        <f>IF($L390="","",INDEX(HSTECH!$C$7:$C$46,$N390))</f>
        <v/>
      </c>
      <c r="D390" s="16">
        <f>IF($L390="","",INDEX(HSTECH!$D$7:$D$46,$N390))</f>
        <v/>
      </c>
      <c r="E390" s="37">
        <f>IF($L390="","",IF(INT($P390/10)=0,"TBA",IFERROR(INDEX(Grids!$BQ$113:$EC$152,$N390,$O390),"-")))</f>
        <v/>
      </c>
      <c r="F390" s="16">
        <f>IF($L390="","",INDEX(HSTECH!$F$7:$F$46,$N390))</f>
        <v/>
      </c>
      <c r="G390" s="37">
        <f>IF($L390="","",IF(INT($P390/10)=0,"TBA",IFERROR(INDEX(Grids!$EE$113:$GQ$152,$N390,$O390),"-")))</f>
        <v/>
      </c>
      <c r="H390" s="38">
        <f>IF($L390="","",SUM($G$316:$G390))</f>
        <v/>
      </c>
      <c r="I390" s="39">
        <f>IF($L390="","",IF(INT(($L390-INT($L390/10000000)*10000000)/1000000)=0,"Bloomberg projection",IF(INT($P390/10)=1,"Announced","ANNOUNCED - amount TBA"))&amp;IF(($P390-INT($P390/10)*10)=1," (special)","")&amp;IF((($P390-INT($P390/10)*10)=1)*(Summary!$C$13="N")&gt;0," - excluded by your specials switch",""))</f>
        <v/>
      </c>
      <c r="J390" s="40">
        <f>IF($L390="","",IF((Override!$C$4="ON")*ISNUMBER(INDEX(Override!$G$113:$G$152,$N390))&gt;0,"stock overridden",""))</f>
        <v/>
      </c>
      <c r="L390" s="41">
        <f>IFERROR(IF(SMALL(Grids!$C$113:$BO$152,$M$313+75)&gt;=(Summary!$C$15+1)*1000000000,"",SMALL(Grids!$C$113:$BO$152,$M$313+75)),"")</f>
        <v/>
      </c>
      <c r="M390" s="41">
        <f>IF($L390="","",INT($L390/1000000000))</f>
        <v/>
      </c>
      <c r="N390" s="41">
        <f>IF($L390="","",INT(($L390-INT($L390/1000000)*1000000)/1000))</f>
        <v/>
      </c>
      <c r="O390" s="41">
        <f>IF($L390="","",$L390-INT($L390/1000)*1000)</f>
        <v/>
      </c>
      <c r="P390" s="41">
        <f>IF($L390="","",INT(($L390-INT($L390/1000000000)*1000000000)/10000000))</f>
        <v/>
      </c>
    </row>
    <row r="391">
      <c r="B391" s="36">
        <f>IF($L391="","",$M391)</f>
        <v/>
      </c>
      <c r="C391" s="16">
        <f>IF($L391="","",INDEX(HSTECH!$C$7:$C$46,$N391))</f>
        <v/>
      </c>
      <c r="D391" s="16">
        <f>IF($L391="","",INDEX(HSTECH!$D$7:$D$46,$N391))</f>
        <v/>
      </c>
      <c r="E391" s="37">
        <f>IF($L391="","",IF(INT($P391/10)=0,"TBA",IFERROR(INDEX(Grids!$BQ$113:$EC$152,$N391,$O391),"-")))</f>
        <v/>
      </c>
      <c r="F391" s="16">
        <f>IF($L391="","",INDEX(HSTECH!$F$7:$F$46,$N391))</f>
        <v/>
      </c>
      <c r="G391" s="37">
        <f>IF($L391="","",IF(INT($P391/10)=0,"TBA",IFERROR(INDEX(Grids!$EE$113:$GQ$152,$N391,$O391),"-")))</f>
        <v/>
      </c>
      <c r="H391" s="38">
        <f>IF($L391="","",SUM($G$316:$G391))</f>
        <v/>
      </c>
      <c r="I391" s="39">
        <f>IF($L391="","",IF(INT(($L391-INT($L391/10000000)*10000000)/1000000)=0,"Bloomberg projection",IF(INT($P391/10)=1,"Announced","ANNOUNCED - amount TBA"))&amp;IF(($P391-INT($P391/10)*10)=1," (special)","")&amp;IF((($P391-INT($P391/10)*10)=1)*(Summary!$C$13="N")&gt;0," - excluded by your specials switch",""))</f>
        <v/>
      </c>
      <c r="J391" s="40">
        <f>IF($L391="","",IF((Override!$C$4="ON")*ISNUMBER(INDEX(Override!$G$113:$G$152,$N391))&gt;0,"stock overridden",""))</f>
        <v/>
      </c>
      <c r="L391" s="41">
        <f>IFERROR(IF(SMALL(Grids!$C$113:$BO$152,$M$313+76)&gt;=(Summary!$C$15+1)*1000000000,"",SMALL(Grids!$C$113:$BO$152,$M$313+76)),"")</f>
        <v/>
      </c>
      <c r="M391" s="41">
        <f>IF($L391="","",INT($L391/1000000000))</f>
        <v/>
      </c>
      <c r="N391" s="41">
        <f>IF($L391="","",INT(($L391-INT($L391/1000000)*1000000)/1000))</f>
        <v/>
      </c>
      <c r="O391" s="41">
        <f>IF($L391="","",$L391-INT($L391/1000)*1000)</f>
        <v/>
      </c>
      <c r="P391" s="41">
        <f>IF($L391="","",INT(($L391-INT($L391/1000000000)*1000000000)/10000000))</f>
        <v/>
      </c>
    </row>
    <row r="392">
      <c r="B392" s="36">
        <f>IF($L392="","",$M392)</f>
        <v/>
      </c>
      <c r="C392" s="16">
        <f>IF($L392="","",INDEX(HSTECH!$C$7:$C$46,$N392))</f>
        <v/>
      </c>
      <c r="D392" s="16">
        <f>IF($L392="","",INDEX(HSTECH!$D$7:$D$46,$N392))</f>
        <v/>
      </c>
      <c r="E392" s="37">
        <f>IF($L392="","",IF(INT($P392/10)=0,"TBA",IFERROR(INDEX(Grids!$BQ$113:$EC$152,$N392,$O392),"-")))</f>
        <v/>
      </c>
      <c r="F392" s="16">
        <f>IF($L392="","",INDEX(HSTECH!$F$7:$F$46,$N392))</f>
        <v/>
      </c>
      <c r="G392" s="37">
        <f>IF($L392="","",IF(INT($P392/10)=0,"TBA",IFERROR(INDEX(Grids!$EE$113:$GQ$152,$N392,$O392),"-")))</f>
        <v/>
      </c>
      <c r="H392" s="38">
        <f>IF($L392="","",SUM($G$316:$G392))</f>
        <v/>
      </c>
      <c r="I392" s="39">
        <f>IF($L392="","",IF(INT(($L392-INT($L392/10000000)*10000000)/1000000)=0,"Bloomberg projection",IF(INT($P392/10)=1,"Announced","ANNOUNCED - amount TBA"))&amp;IF(($P392-INT($P392/10)*10)=1," (special)","")&amp;IF((($P392-INT($P392/10)*10)=1)*(Summary!$C$13="N")&gt;0," - excluded by your specials switch",""))</f>
        <v/>
      </c>
      <c r="J392" s="40">
        <f>IF($L392="","",IF((Override!$C$4="ON")*ISNUMBER(INDEX(Override!$G$113:$G$152,$N392))&gt;0,"stock overridden",""))</f>
        <v/>
      </c>
      <c r="L392" s="41">
        <f>IFERROR(IF(SMALL(Grids!$C$113:$BO$152,$M$313+77)&gt;=(Summary!$C$15+1)*1000000000,"",SMALL(Grids!$C$113:$BO$152,$M$313+77)),"")</f>
        <v/>
      </c>
      <c r="M392" s="41">
        <f>IF($L392="","",INT($L392/1000000000))</f>
        <v/>
      </c>
      <c r="N392" s="41">
        <f>IF($L392="","",INT(($L392-INT($L392/1000000)*1000000)/1000))</f>
        <v/>
      </c>
      <c r="O392" s="41">
        <f>IF($L392="","",$L392-INT($L392/1000)*1000)</f>
        <v/>
      </c>
      <c r="P392" s="41">
        <f>IF($L392="","",INT(($L392-INT($L392/1000000000)*1000000000)/10000000))</f>
        <v/>
      </c>
    </row>
    <row r="393">
      <c r="B393" s="36">
        <f>IF($L393="","",$M393)</f>
        <v/>
      </c>
      <c r="C393" s="16">
        <f>IF($L393="","",INDEX(HSTECH!$C$7:$C$46,$N393))</f>
        <v/>
      </c>
      <c r="D393" s="16">
        <f>IF($L393="","",INDEX(HSTECH!$D$7:$D$46,$N393))</f>
        <v/>
      </c>
      <c r="E393" s="37">
        <f>IF($L393="","",IF(INT($P393/10)=0,"TBA",IFERROR(INDEX(Grids!$BQ$113:$EC$152,$N393,$O393),"-")))</f>
        <v/>
      </c>
      <c r="F393" s="16">
        <f>IF($L393="","",INDEX(HSTECH!$F$7:$F$46,$N393))</f>
        <v/>
      </c>
      <c r="G393" s="37">
        <f>IF($L393="","",IF(INT($P393/10)=0,"TBA",IFERROR(INDEX(Grids!$EE$113:$GQ$152,$N393,$O393),"-")))</f>
        <v/>
      </c>
      <c r="H393" s="38">
        <f>IF($L393="","",SUM($G$316:$G393))</f>
        <v/>
      </c>
      <c r="I393" s="39">
        <f>IF($L393="","",IF(INT(($L393-INT($L393/10000000)*10000000)/1000000)=0,"Bloomberg projection",IF(INT($P393/10)=1,"Announced","ANNOUNCED - amount TBA"))&amp;IF(($P393-INT($P393/10)*10)=1," (special)","")&amp;IF((($P393-INT($P393/10)*10)=1)*(Summary!$C$13="N")&gt;0," - excluded by your specials switch",""))</f>
        <v/>
      </c>
      <c r="J393" s="40">
        <f>IF($L393="","",IF((Override!$C$4="ON")*ISNUMBER(INDEX(Override!$G$113:$G$152,$N393))&gt;0,"stock overridden",""))</f>
        <v/>
      </c>
      <c r="L393" s="41">
        <f>IFERROR(IF(SMALL(Grids!$C$113:$BO$152,$M$313+78)&gt;=(Summary!$C$15+1)*1000000000,"",SMALL(Grids!$C$113:$BO$152,$M$313+78)),"")</f>
        <v/>
      </c>
      <c r="M393" s="41">
        <f>IF($L393="","",INT($L393/1000000000))</f>
        <v/>
      </c>
      <c r="N393" s="41">
        <f>IF($L393="","",INT(($L393-INT($L393/1000000)*1000000)/1000))</f>
        <v/>
      </c>
      <c r="O393" s="41">
        <f>IF($L393="","",$L393-INT($L393/1000)*1000)</f>
        <v/>
      </c>
      <c r="P393" s="41">
        <f>IF($L393="","",INT(($L393-INT($L393/1000000000)*1000000000)/10000000))</f>
        <v/>
      </c>
    </row>
    <row r="394">
      <c r="B394" s="36">
        <f>IF($L394="","",$M394)</f>
        <v/>
      </c>
      <c r="C394" s="16">
        <f>IF($L394="","",INDEX(HSTECH!$C$7:$C$46,$N394))</f>
        <v/>
      </c>
      <c r="D394" s="16">
        <f>IF($L394="","",INDEX(HSTECH!$D$7:$D$46,$N394))</f>
        <v/>
      </c>
      <c r="E394" s="37">
        <f>IF($L394="","",IF(INT($P394/10)=0,"TBA",IFERROR(INDEX(Grids!$BQ$113:$EC$152,$N394,$O394),"-")))</f>
        <v/>
      </c>
      <c r="F394" s="16">
        <f>IF($L394="","",INDEX(HSTECH!$F$7:$F$46,$N394))</f>
        <v/>
      </c>
      <c r="G394" s="37">
        <f>IF($L394="","",IF(INT($P394/10)=0,"TBA",IFERROR(INDEX(Grids!$EE$113:$GQ$152,$N394,$O394),"-")))</f>
        <v/>
      </c>
      <c r="H394" s="38">
        <f>IF($L394="","",SUM($G$316:$G394))</f>
        <v/>
      </c>
      <c r="I394" s="39">
        <f>IF($L394="","",IF(INT(($L394-INT($L394/10000000)*10000000)/1000000)=0,"Bloomberg projection",IF(INT($P394/10)=1,"Announced","ANNOUNCED - amount TBA"))&amp;IF(($P394-INT($P394/10)*10)=1," (special)","")&amp;IF((($P394-INT($P394/10)*10)=1)*(Summary!$C$13="N")&gt;0," - excluded by your specials switch",""))</f>
        <v/>
      </c>
      <c r="J394" s="40">
        <f>IF($L394="","",IF((Override!$C$4="ON")*ISNUMBER(INDEX(Override!$G$113:$G$152,$N394))&gt;0,"stock overridden",""))</f>
        <v/>
      </c>
      <c r="L394" s="41">
        <f>IFERROR(IF(SMALL(Grids!$C$113:$BO$152,$M$313+79)&gt;=(Summary!$C$15+1)*1000000000,"",SMALL(Grids!$C$113:$BO$152,$M$313+79)),"")</f>
        <v/>
      </c>
      <c r="M394" s="41">
        <f>IF($L394="","",INT($L394/1000000000))</f>
        <v/>
      </c>
      <c r="N394" s="41">
        <f>IF($L394="","",INT(($L394-INT($L394/1000000)*1000000)/1000))</f>
        <v/>
      </c>
      <c r="O394" s="41">
        <f>IF($L394="","",$L394-INT($L394/1000)*1000)</f>
        <v/>
      </c>
      <c r="P394" s="41">
        <f>IF($L394="","",INT(($L394-INT($L394/1000000000)*1000000000)/10000000))</f>
        <v/>
      </c>
    </row>
    <row r="395">
      <c r="B395" s="36">
        <f>IF($L395="","",$M395)</f>
        <v/>
      </c>
      <c r="C395" s="16">
        <f>IF($L395="","",INDEX(HSTECH!$C$7:$C$46,$N395))</f>
        <v/>
      </c>
      <c r="D395" s="16">
        <f>IF($L395="","",INDEX(HSTECH!$D$7:$D$46,$N395))</f>
        <v/>
      </c>
      <c r="E395" s="37">
        <f>IF($L395="","",IF(INT($P395/10)=0,"TBA",IFERROR(INDEX(Grids!$BQ$113:$EC$152,$N395,$O395),"-")))</f>
        <v/>
      </c>
      <c r="F395" s="16">
        <f>IF($L395="","",INDEX(HSTECH!$F$7:$F$46,$N395))</f>
        <v/>
      </c>
      <c r="G395" s="37">
        <f>IF($L395="","",IF(INT($P395/10)=0,"TBA",IFERROR(INDEX(Grids!$EE$113:$GQ$152,$N395,$O395),"-")))</f>
        <v/>
      </c>
      <c r="H395" s="38">
        <f>IF($L395="","",SUM($G$316:$G395))</f>
        <v/>
      </c>
      <c r="I395" s="39">
        <f>IF($L395="","",IF(INT(($L395-INT($L395/10000000)*10000000)/1000000)=0,"Bloomberg projection",IF(INT($P395/10)=1,"Announced","ANNOUNCED - amount TBA"))&amp;IF(($P395-INT($P395/10)*10)=1," (special)","")&amp;IF((($P395-INT($P395/10)*10)=1)*(Summary!$C$13="N")&gt;0," - excluded by your specials switch",""))</f>
        <v/>
      </c>
      <c r="J395" s="40">
        <f>IF($L395="","",IF((Override!$C$4="ON")*ISNUMBER(INDEX(Override!$G$113:$G$152,$N395))&gt;0,"stock overridden",""))</f>
        <v/>
      </c>
      <c r="L395" s="41">
        <f>IFERROR(IF(SMALL(Grids!$C$113:$BO$152,$M$313+80)&gt;=(Summary!$C$15+1)*1000000000,"",SMALL(Grids!$C$113:$BO$152,$M$313+80)),"")</f>
        <v/>
      </c>
      <c r="M395" s="41">
        <f>IF($L395="","",INT($L395/1000000000))</f>
        <v/>
      </c>
      <c r="N395" s="41">
        <f>IF($L395="","",INT(($L395-INT($L395/1000000)*1000000)/1000))</f>
        <v/>
      </c>
      <c r="O395" s="41">
        <f>IF($L395="","",$L395-INT($L395/1000)*1000)</f>
        <v/>
      </c>
      <c r="P395" s="41">
        <f>IF($L395="","",INT(($L395-INT($L395/1000000000)*1000000000)/10000000))</f>
        <v/>
      </c>
    </row>
    <row r="396">
      <c r="B396" s="36">
        <f>IF($L396="","",$M396)</f>
        <v/>
      </c>
      <c r="C396" s="16">
        <f>IF($L396="","",INDEX(HSTECH!$C$7:$C$46,$N396))</f>
        <v/>
      </c>
      <c r="D396" s="16">
        <f>IF($L396="","",INDEX(HSTECH!$D$7:$D$46,$N396))</f>
        <v/>
      </c>
      <c r="E396" s="37">
        <f>IF($L396="","",IF(INT($P396/10)=0,"TBA",IFERROR(INDEX(Grids!$BQ$113:$EC$152,$N396,$O396),"-")))</f>
        <v/>
      </c>
      <c r="F396" s="16">
        <f>IF($L396="","",INDEX(HSTECH!$F$7:$F$46,$N396))</f>
        <v/>
      </c>
      <c r="G396" s="37">
        <f>IF($L396="","",IF(INT($P396/10)=0,"TBA",IFERROR(INDEX(Grids!$EE$113:$GQ$152,$N396,$O396),"-")))</f>
        <v/>
      </c>
      <c r="H396" s="38">
        <f>IF($L396="","",SUM($G$316:$G396))</f>
        <v/>
      </c>
      <c r="I396" s="39">
        <f>IF($L396="","",IF(INT(($L396-INT($L396/10000000)*10000000)/1000000)=0,"Bloomberg projection",IF(INT($P396/10)=1,"Announced","ANNOUNCED - amount TBA"))&amp;IF(($P396-INT($P396/10)*10)=1," (special)","")&amp;IF((($P396-INT($P396/10)*10)=1)*(Summary!$C$13="N")&gt;0," - excluded by your specials switch",""))</f>
        <v/>
      </c>
      <c r="J396" s="40">
        <f>IF($L396="","",IF((Override!$C$4="ON")*ISNUMBER(INDEX(Override!$G$113:$G$152,$N396))&gt;0,"stock overridden",""))</f>
        <v/>
      </c>
      <c r="L396" s="41">
        <f>IFERROR(IF(SMALL(Grids!$C$113:$BO$152,$M$313+81)&gt;=(Summary!$C$15+1)*1000000000,"",SMALL(Grids!$C$113:$BO$152,$M$313+81)),"")</f>
        <v/>
      </c>
      <c r="M396" s="41">
        <f>IF($L396="","",INT($L396/1000000000))</f>
        <v/>
      </c>
      <c r="N396" s="41">
        <f>IF($L396="","",INT(($L396-INT($L396/1000000)*1000000)/1000))</f>
        <v/>
      </c>
      <c r="O396" s="41">
        <f>IF($L396="","",$L396-INT($L396/1000)*1000)</f>
        <v/>
      </c>
      <c r="P396" s="41">
        <f>IF($L396="","",INT(($L396-INT($L396/1000000000)*1000000000)/10000000))</f>
        <v/>
      </c>
    </row>
    <row r="397">
      <c r="B397" s="36">
        <f>IF($L397="","",$M397)</f>
        <v/>
      </c>
      <c r="C397" s="16">
        <f>IF($L397="","",INDEX(HSTECH!$C$7:$C$46,$N397))</f>
        <v/>
      </c>
      <c r="D397" s="16">
        <f>IF($L397="","",INDEX(HSTECH!$D$7:$D$46,$N397))</f>
        <v/>
      </c>
      <c r="E397" s="37">
        <f>IF($L397="","",IF(INT($P397/10)=0,"TBA",IFERROR(INDEX(Grids!$BQ$113:$EC$152,$N397,$O397),"-")))</f>
        <v/>
      </c>
      <c r="F397" s="16">
        <f>IF($L397="","",INDEX(HSTECH!$F$7:$F$46,$N397))</f>
        <v/>
      </c>
      <c r="G397" s="37">
        <f>IF($L397="","",IF(INT($P397/10)=0,"TBA",IFERROR(INDEX(Grids!$EE$113:$GQ$152,$N397,$O397),"-")))</f>
        <v/>
      </c>
      <c r="H397" s="38">
        <f>IF($L397="","",SUM($G$316:$G397))</f>
        <v/>
      </c>
      <c r="I397" s="39">
        <f>IF($L397="","",IF(INT(($L397-INT($L397/10000000)*10000000)/1000000)=0,"Bloomberg projection",IF(INT($P397/10)=1,"Announced","ANNOUNCED - amount TBA"))&amp;IF(($P397-INT($P397/10)*10)=1," (special)","")&amp;IF((($P397-INT($P397/10)*10)=1)*(Summary!$C$13="N")&gt;0," - excluded by your specials switch",""))</f>
        <v/>
      </c>
      <c r="J397" s="40">
        <f>IF($L397="","",IF((Override!$C$4="ON")*ISNUMBER(INDEX(Override!$G$113:$G$152,$N397))&gt;0,"stock overridden",""))</f>
        <v/>
      </c>
      <c r="L397" s="41">
        <f>IFERROR(IF(SMALL(Grids!$C$113:$BO$152,$M$313+82)&gt;=(Summary!$C$15+1)*1000000000,"",SMALL(Grids!$C$113:$BO$152,$M$313+82)),"")</f>
        <v/>
      </c>
      <c r="M397" s="41">
        <f>IF($L397="","",INT($L397/1000000000))</f>
        <v/>
      </c>
      <c r="N397" s="41">
        <f>IF($L397="","",INT(($L397-INT($L397/1000000)*1000000)/1000))</f>
        <v/>
      </c>
      <c r="O397" s="41">
        <f>IF($L397="","",$L397-INT($L397/1000)*1000)</f>
        <v/>
      </c>
      <c r="P397" s="41">
        <f>IF($L397="","",INT(($L397-INT($L397/1000000000)*1000000000)/10000000))</f>
        <v/>
      </c>
    </row>
    <row r="398">
      <c r="B398" s="36">
        <f>IF($L398="","",$M398)</f>
        <v/>
      </c>
      <c r="C398" s="16">
        <f>IF($L398="","",INDEX(HSTECH!$C$7:$C$46,$N398))</f>
        <v/>
      </c>
      <c r="D398" s="16">
        <f>IF($L398="","",INDEX(HSTECH!$D$7:$D$46,$N398))</f>
        <v/>
      </c>
      <c r="E398" s="37">
        <f>IF($L398="","",IF(INT($P398/10)=0,"TBA",IFERROR(INDEX(Grids!$BQ$113:$EC$152,$N398,$O398),"-")))</f>
        <v/>
      </c>
      <c r="F398" s="16">
        <f>IF($L398="","",INDEX(HSTECH!$F$7:$F$46,$N398))</f>
        <v/>
      </c>
      <c r="G398" s="37">
        <f>IF($L398="","",IF(INT($P398/10)=0,"TBA",IFERROR(INDEX(Grids!$EE$113:$GQ$152,$N398,$O398),"-")))</f>
        <v/>
      </c>
      <c r="H398" s="38">
        <f>IF($L398="","",SUM($G$316:$G398))</f>
        <v/>
      </c>
      <c r="I398" s="39">
        <f>IF($L398="","",IF(INT(($L398-INT($L398/10000000)*10000000)/1000000)=0,"Bloomberg projection",IF(INT($P398/10)=1,"Announced","ANNOUNCED - amount TBA"))&amp;IF(($P398-INT($P398/10)*10)=1," (special)","")&amp;IF((($P398-INT($P398/10)*10)=1)*(Summary!$C$13="N")&gt;0," - excluded by your specials switch",""))</f>
        <v/>
      </c>
      <c r="J398" s="40">
        <f>IF($L398="","",IF((Override!$C$4="ON")*ISNUMBER(INDEX(Override!$G$113:$G$152,$N398))&gt;0,"stock overridden",""))</f>
        <v/>
      </c>
      <c r="L398" s="41">
        <f>IFERROR(IF(SMALL(Grids!$C$113:$BO$152,$M$313+83)&gt;=(Summary!$C$15+1)*1000000000,"",SMALL(Grids!$C$113:$BO$152,$M$313+83)),"")</f>
        <v/>
      </c>
      <c r="M398" s="41">
        <f>IF($L398="","",INT($L398/1000000000))</f>
        <v/>
      </c>
      <c r="N398" s="41">
        <f>IF($L398="","",INT(($L398-INT($L398/1000000)*1000000)/1000))</f>
        <v/>
      </c>
      <c r="O398" s="41">
        <f>IF($L398="","",$L398-INT($L398/1000)*1000)</f>
        <v/>
      </c>
      <c r="P398" s="41">
        <f>IF($L398="","",INT(($L398-INT($L398/1000000000)*1000000000)/10000000))</f>
        <v/>
      </c>
    </row>
    <row r="399">
      <c r="B399" s="36">
        <f>IF($L399="","",$M399)</f>
        <v/>
      </c>
      <c r="C399" s="16">
        <f>IF($L399="","",INDEX(HSTECH!$C$7:$C$46,$N399))</f>
        <v/>
      </c>
      <c r="D399" s="16">
        <f>IF($L399="","",INDEX(HSTECH!$D$7:$D$46,$N399))</f>
        <v/>
      </c>
      <c r="E399" s="37">
        <f>IF($L399="","",IF(INT($P399/10)=0,"TBA",IFERROR(INDEX(Grids!$BQ$113:$EC$152,$N399,$O399),"-")))</f>
        <v/>
      </c>
      <c r="F399" s="16">
        <f>IF($L399="","",INDEX(HSTECH!$F$7:$F$46,$N399))</f>
        <v/>
      </c>
      <c r="G399" s="37">
        <f>IF($L399="","",IF(INT($P399/10)=0,"TBA",IFERROR(INDEX(Grids!$EE$113:$GQ$152,$N399,$O399),"-")))</f>
        <v/>
      </c>
      <c r="H399" s="38">
        <f>IF($L399="","",SUM($G$316:$G399))</f>
        <v/>
      </c>
      <c r="I399" s="39">
        <f>IF($L399="","",IF(INT(($L399-INT($L399/10000000)*10000000)/1000000)=0,"Bloomberg projection",IF(INT($P399/10)=1,"Announced","ANNOUNCED - amount TBA"))&amp;IF(($P399-INT($P399/10)*10)=1," (special)","")&amp;IF((($P399-INT($P399/10)*10)=1)*(Summary!$C$13="N")&gt;0," - excluded by your specials switch",""))</f>
        <v/>
      </c>
      <c r="J399" s="40">
        <f>IF($L399="","",IF((Override!$C$4="ON")*ISNUMBER(INDEX(Override!$G$113:$G$152,$N399))&gt;0,"stock overridden",""))</f>
        <v/>
      </c>
      <c r="L399" s="41">
        <f>IFERROR(IF(SMALL(Grids!$C$113:$BO$152,$M$313+84)&gt;=(Summary!$C$15+1)*1000000000,"",SMALL(Grids!$C$113:$BO$152,$M$313+84)),"")</f>
        <v/>
      </c>
      <c r="M399" s="41">
        <f>IF($L399="","",INT($L399/1000000000))</f>
        <v/>
      </c>
      <c r="N399" s="41">
        <f>IF($L399="","",INT(($L399-INT($L399/1000000)*1000000)/1000))</f>
        <v/>
      </c>
      <c r="O399" s="41">
        <f>IF($L399="","",$L399-INT($L399/1000)*1000)</f>
        <v/>
      </c>
      <c r="P399" s="41">
        <f>IF($L399="","",INT(($L399-INT($L399/1000000000)*1000000000)/10000000))</f>
        <v/>
      </c>
    </row>
    <row r="400">
      <c r="B400" s="36">
        <f>IF($L400="","",$M400)</f>
        <v/>
      </c>
      <c r="C400" s="16">
        <f>IF($L400="","",INDEX(HSTECH!$C$7:$C$46,$N400))</f>
        <v/>
      </c>
      <c r="D400" s="16">
        <f>IF($L400="","",INDEX(HSTECH!$D$7:$D$46,$N400))</f>
        <v/>
      </c>
      <c r="E400" s="37">
        <f>IF($L400="","",IF(INT($P400/10)=0,"TBA",IFERROR(INDEX(Grids!$BQ$113:$EC$152,$N400,$O400),"-")))</f>
        <v/>
      </c>
      <c r="F400" s="16">
        <f>IF($L400="","",INDEX(HSTECH!$F$7:$F$46,$N400))</f>
        <v/>
      </c>
      <c r="G400" s="37">
        <f>IF($L400="","",IF(INT($P400/10)=0,"TBA",IFERROR(INDEX(Grids!$EE$113:$GQ$152,$N400,$O400),"-")))</f>
        <v/>
      </c>
      <c r="H400" s="38">
        <f>IF($L400="","",SUM($G$316:$G400))</f>
        <v/>
      </c>
      <c r="I400" s="39">
        <f>IF($L400="","",IF(INT(($L400-INT($L400/10000000)*10000000)/1000000)=0,"Bloomberg projection",IF(INT($P400/10)=1,"Announced","ANNOUNCED - amount TBA"))&amp;IF(($P400-INT($P400/10)*10)=1," (special)","")&amp;IF((($P400-INT($P400/10)*10)=1)*(Summary!$C$13="N")&gt;0," - excluded by your specials switch",""))</f>
        <v/>
      </c>
      <c r="J400" s="40">
        <f>IF($L400="","",IF((Override!$C$4="ON")*ISNUMBER(INDEX(Override!$G$113:$G$152,$N400))&gt;0,"stock overridden",""))</f>
        <v/>
      </c>
      <c r="L400" s="41">
        <f>IFERROR(IF(SMALL(Grids!$C$113:$BO$152,$M$313+85)&gt;=(Summary!$C$15+1)*1000000000,"",SMALL(Grids!$C$113:$BO$152,$M$313+85)),"")</f>
        <v/>
      </c>
      <c r="M400" s="41">
        <f>IF($L400="","",INT($L400/1000000000))</f>
        <v/>
      </c>
      <c r="N400" s="41">
        <f>IF($L400="","",INT(($L400-INT($L400/1000000)*1000000)/1000))</f>
        <v/>
      </c>
      <c r="O400" s="41">
        <f>IF($L400="","",$L400-INT($L400/1000)*1000)</f>
        <v/>
      </c>
      <c r="P400" s="41">
        <f>IF($L400="","",INT(($L400-INT($L400/1000000000)*1000000000)/10000000))</f>
        <v/>
      </c>
    </row>
    <row r="401">
      <c r="B401" s="36">
        <f>IF($L401="","",$M401)</f>
        <v/>
      </c>
      <c r="C401" s="16">
        <f>IF($L401="","",INDEX(HSTECH!$C$7:$C$46,$N401))</f>
        <v/>
      </c>
      <c r="D401" s="16">
        <f>IF($L401="","",INDEX(HSTECH!$D$7:$D$46,$N401))</f>
        <v/>
      </c>
      <c r="E401" s="37">
        <f>IF($L401="","",IF(INT($P401/10)=0,"TBA",IFERROR(INDEX(Grids!$BQ$113:$EC$152,$N401,$O401),"-")))</f>
        <v/>
      </c>
      <c r="F401" s="16">
        <f>IF($L401="","",INDEX(HSTECH!$F$7:$F$46,$N401))</f>
        <v/>
      </c>
      <c r="G401" s="37">
        <f>IF($L401="","",IF(INT($P401/10)=0,"TBA",IFERROR(INDEX(Grids!$EE$113:$GQ$152,$N401,$O401),"-")))</f>
        <v/>
      </c>
      <c r="H401" s="38">
        <f>IF($L401="","",SUM($G$316:$G401))</f>
        <v/>
      </c>
      <c r="I401" s="39">
        <f>IF($L401="","",IF(INT(($L401-INT($L401/10000000)*10000000)/1000000)=0,"Bloomberg projection",IF(INT($P401/10)=1,"Announced","ANNOUNCED - amount TBA"))&amp;IF(($P401-INT($P401/10)*10)=1," (special)","")&amp;IF((($P401-INT($P401/10)*10)=1)*(Summary!$C$13="N")&gt;0," - excluded by your specials switch",""))</f>
        <v/>
      </c>
      <c r="J401" s="40">
        <f>IF($L401="","",IF((Override!$C$4="ON")*ISNUMBER(INDEX(Override!$G$113:$G$152,$N401))&gt;0,"stock overridden",""))</f>
        <v/>
      </c>
      <c r="L401" s="41">
        <f>IFERROR(IF(SMALL(Grids!$C$113:$BO$152,$M$313+86)&gt;=(Summary!$C$15+1)*1000000000,"",SMALL(Grids!$C$113:$BO$152,$M$313+86)),"")</f>
        <v/>
      </c>
      <c r="M401" s="41">
        <f>IF($L401="","",INT($L401/1000000000))</f>
        <v/>
      </c>
      <c r="N401" s="41">
        <f>IF($L401="","",INT(($L401-INT($L401/1000000)*1000000)/1000))</f>
        <v/>
      </c>
      <c r="O401" s="41">
        <f>IF($L401="","",$L401-INT($L401/1000)*1000)</f>
        <v/>
      </c>
      <c r="P401" s="41">
        <f>IF($L401="","",INT(($L401-INT($L401/1000000000)*1000000000)/10000000))</f>
        <v/>
      </c>
    </row>
    <row r="402">
      <c r="B402" s="36">
        <f>IF($L402="","",$M402)</f>
        <v/>
      </c>
      <c r="C402" s="16">
        <f>IF($L402="","",INDEX(HSTECH!$C$7:$C$46,$N402))</f>
        <v/>
      </c>
      <c r="D402" s="16">
        <f>IF($L402="","",INDEX(HSTECH!$D$7:$D$46,$N402))</f>
        <v/>
      </c>
      <c r="E402" s="37">
        <f>IF($L402="","",IF(INT($P402/10)=0,"TBA",IFERROR(INDEX(Grids!$BQ$113:$EC$152,$N402,$O402),"-")))</f>
        <v/>
      </c>
      <c r="F402" s="16">
        <f>IF($L402="","",INDEX(HSTECH!$F$7:$F$46,$N402))</f>
        <v/>
      </c>
      <c r="G402" s="37">
        <f>IF($L402="","",IF(INT($P402/10)=0,"TBA",IFERROR(INDEX(Grids!$EE$113:$GQ$152,$N402,$O402),"-")))</f>
        <v/>
      </c>
      <c r="H402" s="38">
        <f>IF($L402="","",SUM($G$316:$G402))</f>
        <v/>
      </c>
      <c r="I402" s="39">
        <f>IF($L402="","",IF(INT(($L402-INT($L402/10000000)*10000000)/1000000)=0,"Bloomberg projection",IF(INT($P402/10)=1,"Announced","ANNOUNCED - amount TBA"))&amp;IF(($P402-INT($P402/10)*10)=1," (special)","")&amp;IF((($P402-INT($P402/10)*10)=1)*(Summary!$C$13="N")&gt;0," - excluded by your specials switch",""))</f>
        <v/>
      </c>
      <c r="J402" s="40">
        <f>IF($L402="","",IF((Override!$C$4="ON")*ISNUMBER(INDEX(Override!$G$113:$G$152,$N402))&gt;0,"stock overridden",""))</f>
        <v/>
      </c>
      <c r="L402" s="41">
        <f>IFERROR(IF(SMALL(Grids!$C$113:$BO$152,$M$313+87)&gt;=(Summary!$C$15+1)*1000000000,"",SMALL(Grids!$C$113:$BO$152,$M$313+87)),"")</f>
        <v/>
      </c>
      <c r="M402" s="41">
        <f>IF($L402="","",INT($L402/1000000000))</f>
        <v/>
      </c>
      <c r="N402" s="41">
        <f>IF($L402="","",INT(($L402-INT($L402/1000000)*1000000)/1000))</f>
        <v/>
      </c>
      <c r="O402" s="41">
        <f>IF($L402="","",$L402-INT($L402/1000)*1000)</f>
        <v/>
      </c>
      <c r="P402" s="41">
        <f>IF($L402="","",INT(($L402-INT($L402/1000000000)*1000000000)/10000000))</f>
        <v/>
      </c>
    </row>
    <row r="403">
      <c r="B403" s="36">
        <f>IF($L403="","",$M403)</f>
        <v/>
      </c>
      <c r="C403" s="16">
        <f>IF($L403="","",INDEX(HSTECH!$C$7:$C$46,$N403))</f>
        <v/>
      </c>
      <c r="D403" s="16">
        <f>IF($L403="","",INDEX(HSTECH!$D$7:$D$46,$N403))</f>
        <v/>
      </c>
      <c r="E403" s="37">
        <f>IF($L403="","",IF(INT($P403/10)=0,"TBA",IFERROR(INDEX(Grids!$BQ$113:$EC$152,$N403,$O403),"-")))</f>
        <v/>
      </c>
      <c r="F403" s="16">
        <f>IF($L403="","",INDEX(HSTECH!$F$7:$F$46,$N403))</f>
        <v/>
      </c>
      <c r="G403" s="37">
        <f>IF($L403="","",IF(INT($P403/10)=0,"TBA",IFERROR(INDEX(Grids!$EE$113:$GQ$152,$N403,$O403),"-")))</f>
        <v/>
      </c>
      <c r="H403" s="38">
        <f>IF($L403="","",SUM($G$316:$G403))</f>
        <v/>
      </c>
      <c r="I403" s="39">
        <f>IF($L403="","",IF(INT(($L403-INT($L403/10000000)*10000000)/1000000)=0,"Bloomberg projection",IF(INT($P403/10)=1,"Announced","ANNOUNCED - amount TBA"))&amp;IF(($P403-INT($P403/10)*10)=1," (special)","")&amp;IF((($P403-INT($P403/10)*10)=1)*(Summary!$C$13="N")&gt;0," - excluded by your specials switch",""))</f>
        <v/>
      </c>
      <c r="J403" s="40">
        <f>IF($L403="","",IF((Override!$C$4="ON")*ISNUMBER(INDEX(Override!$G$113:$G$152,$N403))&gt;0,"stock overridden",""))</f>
        <v/>
      </c>
      <c r="L403" s="41">
        <f>IFERROR(IF(SMALL(Grids!$C$113:$BO$152,$M$313+88)&gt;=(Summary!$C$15+1)*1000000000,"",SMALL(Grids!$C$113:$BO$152,$M$313+88)),"")</f>
        <v/>
      </c>
      <c r="M403" s="41">
        <f>IF($L403="","",INT($L403/1000000000))</f>
        <v/>
      </c>
      <c r="N403" s="41">
        <f>IF($L403="","",INT(($L403-INT($L403/1000000)*1000000)/1000))</f>
        <v/>
      </c>
      <c r="O403" s="41">
        <f>IF($L403="","",$L403-INT($L403/1000)*1000)</f>
        <v/>
      </c>
      <c r="P403" s="41">
        <f>IF($L403="","",INT(($L403-INT($L403/1000000000)*1000000000)/10000000))</f>
        <v/>
      </c>
    </row>
    <row r="404">
      <c r="B404" s="36">
        <f>IF($L404="","",$M404)</f>
        <v/>
      </c>
      <c r="C404" s="16">
        <f>IF($L404="","",INDEX(HSTECH!$C$7:$C$46,$N404))</f>
        <v/>
      </c>
      <c r="D404" s="16">
        <f>IF($L404="","",INDEX(HSTECH!$D$7:$D$46,$N404))</f>
        <v/>
      </c>
      <c r="E404" s="37">
        <f>IF($L404="","",IF(INT($P404/10)=0,"TBA",IFERROR(INDEX(Grids!$BQ$113:$EC$152,$N404,$O404),"-")))</f>
        <v/>
      </c>
      <c r="F404" s="16">
        <f>IF($L404="","",INDEX(HSTECH!$F$7:$F$46,$N404))</f>
        <v/>
      </c>
      <c r="G404" s="37">
        <f>IF($L404="","",IF(INT($P404/10)=0,"TBA",IFERROR(INDEX(Grids!$EE$113:$GQ$152,$N404,$O404),"-")))</f>
        <v/>
      </c>
      <c r="H404" s="38">
        <f>IF($L404="","",SUM($G$316:$G404))</f>
        <v/>
      </c>
      <c r="I404" s="39">
        <f>IF($L404="","",IF(INT(($L404-INT($L404/10000000)*10000000)/1000000)=0,"Bloomberg projection",IF(INT($P404/10)=1,"Announced","ANNOUNCED - amount TBA"))&amp;IF(($P404-INT($P404/10)*10)=1," (special)","")&amp;IF((($P404-INT($P404/10)*10)=1)*(Summary!$C$13="N")&gt;0," - excluded by your specials switch",""))</f>
        <v/>
      </c>
      <c r="J404" s="40">
        <f>IF($L404="","",IF((Override!$C$4="ON")*ISNUMBER(INDEX(Override!$G$113:$G$152,$N404))&gt;0,"stock overridden",""))</f>
        <v/>
      </c>
      <c r="L404" s="41">
        <f>IFERROR(IF(SMALL(Grids!$C$113:$BO$152,$M$313+89)&gt;=(Summary!$C$15+1)*1000000000,"",SMALL(Grids!$C$113:$BO$152,$M$313+89)),"")</f>
        <v/>
      </c>
      <c r="M404" s="41">
        <f>IF($L404="","",INT($L404/1000000000))</f>
        <v/>
      </c>
      <c r="N404" s="41">
        <f>IF($L404="","",INT(($L404-INT($L404/1000000)*1000000)/1000))</f>
        <v/>
      </c>
      <c r="O404" s="41">
        <f>IF($L404="","",$L404-INT($L404/1000)*1000)</f>
        <v/>
      </c>
      <c r="P404" s="41">
        <f>IF($L404="","",INT(($L404-INT($L404/1000000000)*1000000000)/10000000))</f>
        <v/>
      </c>
    </row>
    <row r="405">
      <c r="B405" s="36">
        <f>IF($L405="","",$M405)</f>
        <v/>
      </c>
      <c r="C405" s="16">
        <f>IF($L405="","",INDEX(HSTECH!$C$7:$C$46,$N405))</f>
        <v/>
      </c>
      <c r="D405" s="16">
        <f>IF($L405="","",INDEX(HSTECH!$D$7:$D$46,$N405))</f>
        <v/>
      </c>
      <c r="E405" s="37">
        <f>IF($L405="","",IF(INT($P405/10)=0,"TBA",IFERROR(INDEX(Grids!$BQ$113:$EC$152,$N405,$O405),"-")))</f>
        <v/>
      </c>
      <c r="F405" s="16">
        <f>IF($L405="","",INDEX(HSTECH!$F$7:$F$46,$N405))</f>
        <v/>
      </c>
      <c r="G405" s="37">
        <f>IF($L405="","",IF(INT($P405/10)=0,"TBA",IFERROR(INDEX(Grids!$EE$113:$GQ$152,$N405,$O405),"-")))</f>
        <v/>
      </c>
      <c r="H405" s="38">
        <f>IF($L405="","",SUM($G$316:$G405))</f>
        <v/>
      </c>
      <c r="I405" s="39">
        <f>IF($L405="","",IF(INT(($L405-INT($L405/10000000)*10000000)/1000000)=0,"Bloomberg projection",IF(INT($P405/10)=1,"Announced","ANNOUNCED - amount TBA"))&amp;IF(($P405-INT($P405/10)*10)=1," (special)","")&amp;IF((($P405-INT($P405/10)*10)=1)*(Summary!$C$13="N")&gt;0," - excluded by your specials switch",""))</f>
        <v/>
      </c>
      <c r="J405" s="40">
        <f>IF($L405="","",IF((Override!$C$4="ON")*ISNUMBER(INDEX(Override!$G$113:$G$152,$N405))&gt;0,"stock overridden",""))</f>
        <v/>
      </c>
      <c r="L405" s="41">
        <f>IFERROR(IF(SMALL(Grids!$C$113:$BO$152,$M$313+90)&gt;=(Summary!$C$15+1)*1000000000,"",SMALL(Grids!$C$113:$BO$152,$M$313+90)),"")</f>
        <v/>
      </c>
      <c r="M405" s="41">
        <f>IF($L405="","",INT($L405/1000000000))</f>
        <v/>
      </c>
      <c r="N405" s="41">
        <f>IF($L405="","",INT(($L405-INT($L405/1000000)*1000000)/1000))</f>
        <v/>
      </c>
      <c r="O405" s="41">
        <f>IF($L405="","",$L405-INT($L405/1000)*1000)</f>
        <v/>
      </c>
      <c r="P405" s="41">
        <f>IF($L405="","",INT(($L405-INT($L405/1000000000)*1000000000)/10000000))</f>
        <v/>
      </c>
    </row>
    <row r="406">
      <c r="B406" s="36">
        <f>IF($L406="","",$M406)</f>
        <v/>
      </c>
      <c r="C406" s="16">
        <f>IF($L406="","",INDEX(HSTECH!$C$7:$C$46,$N406))</f>
        <v/>
      </c>
      <c r="D406" s="16">
        <f>IF($L406="","",INDEX(HSTECH!$D$7:$D$46,$N406))</f>
        <v/>
      </c>
      <c r="E406" s="37">
        <f>IF($L406="","",IF(INT($P406/10)=0,"TBA",IFERROR(INDEX(Grids!$BQ$113:$EC$152,$N406,$O406),"-")))</f>
        <v/>
      </c>
      <c r="F406" s="16">
        <f>IF($L406="","",INDEX(HSTECH!$F$7:$F$46,$N406))</f>
        <v/>
      </c>
      <c r="G406" s="37">
        <f>IF($L406="","",IF(INT($P406/10)=0,"TBA",IFERROR(INDEX(Grids!$EE$113:$GQ$152,$N406,$O406),"-")))</f>
        <v/>
      </c>
      <c r="H406" s="38">
        <f>IF($L406="","",SUM($G$316:$G406))</f>
        <v/>
      </c>
      <c r="I406" s="39">
        <f>IF($L406="","",IF(INT(($L406-INT($L406/10000000)*10000000)/1000000)=0,"Bloomberg projection",IF(INT($P406/10)=1,"Announced","ANNOUNCED - amount TBA"))&amp;IF(($P406-INT($P406/10)*10)=1," (special)","")&amp;IF((($P406-INT($P406/10)*10)=1)*(Summary!$C$13="N")&gt;0," - excluded by your specials switch",""))</f>
        <v/>
      </c>
      <c r="J406" s="40">
        <f>IF($L406="","",IF((Override!$C$4="ON")*ISNUMBER(INDEX(Override!$G$113:$G$152,$N406))&gt;0,"stock overridden",""))</f>
        <v/>
      </c>
      <c r="L406" s="41">
        <f>IFERROR(IF(SMALL(Grids!$C$113:$BO$152,$M$313+91)&gt;=(Summary!$C$15+1)*1000000000,"",SMALL(Grids!$C$113:$BO$152,$M$313+91)),"")</f>
        <v/>
      </c>
      <c r="M406" s="41">
        <f>IF($L406="","",INT($L406/1000000000))</f>
        <v/>
      </c>
      <c r="N406" s="41">
        <f>IF($L406="","",INT(($L406-INT($L406/1000000)*1000000)/1000))</f>
        <v/>
      </c>
      <c r="O406" s="41">
        <f>IF($L406="","",$L406-INT($L406/1000)*1000)</f>
        <v/>
      </c>
      <c r="P406" s="41">
        <f>IF($L406="","",INT(($L406-INT($L406/1000000000)*1000000000)/10000000))</f>
        <v/>
      </c>
    </row>
    <row r="407">
      <c r="B407" s="36">
        <f>IF($L407="","",$M407)</f>
        <v/>
      </c>
      <c r="C407" s="16">
        <f>IF($L407="","",INDEX(HSTECH!$C$7:$C$46,$N407))</f>
        <v/>
      </c>
      <c r="D407" s="16">
        <f>IF($L407="","",INDEX(HSTECH!$D$7:$D$46,$N407))</f>
        <v/>
      </c>
      <c r="E407" s="37">
        <f>IF($L407="","",IF(INT($P407/10)=0,"TBA",IFERROR(INDEX(Grids!$BQ$113:$EC$152,$N407,$O407),"-")))</f>
        <v/>
      </c>
      <c r="F407" s="16">
        <f>IF($L407="","",INDEX(HSTECH!$F$7:$F$46,$N407))</f>
        <v/>
      </c>
      <c r="G407" s="37">
        <f>IF($L407="","",IF(INT($P407/10)=0,"TBA",IFERROR(INDEX(Grids!$EE$113:$GQ$152,$N407,$O407),"-")))</f>
        <v/>
      </c>
      <c r="H407" s="38">
        <f>IF($L407="","",SUM($G$316:$G407))</f>
        <v/>
      </c>
      <c r="I407" s="39">
        <f>IF($L407="","",IF(INT(($L407-INT($L407/10000000)*10000000)/1000000)=0,"Bloomberg projection",IF(INT($P407/10)=1,"Announced","ANNOUNCED - amount TBA"))&amp;IF(($P407-INT($P407/10)*10)=1," (special)","")&amp;IF((($P407-INT($P407/10)*10)=1)*(Summary!$C$13="N")&gt;0," - excluded by your specials switch",""))</f>
        <v/>
      </c>
      <c r="J407" s="40">
        <f>IF($L407="","",IF((Override!$C$4="ON")*ISNUMBER(INDEX(Override!$G$113:$G$152,$N407))&gt;0,"stock overridden",""))</f>
        <v/>
      </c>
      <c r="L407" s="41">
        <f>IFERROR(IF(SMALL(Grids!$C$113:$BO$152,$M$313+92)&gt;=(Summary!$C$15+1)*1000000000,"",SMALL(Grids!$C$113:$BO$152,$M$313+92)),"")</f>
        <v/>
      </c>
      <c r="M407" s="41">
        <f>IF($L407="","",INT($L407/1000000000))</f>
        <v/>
      </c>
      <c r="N407" s="41">
        <f>IF($L407="","",INT(($L407-INT($L407/1000000)*1000000)/1000))</f>
        <v/>
      </c>
      <c r="O407" s="41">
        <f>IF($L407="","",$L407-INT($L407/1000)*1000)</f>
        <v/>
      </c>
      <c r="P407" s="41">
        <f>IF($L407="","",INT(($L407-INT($L407/1000000000)*1000000000)/10000000))</f>
        <v/>
      </c>
    </row>
    <row r="408">
      <c r="B408" s="36">
        <f>IF($L408="","",$M408)</f>
        <v/>
      </c>
      <c r="C408" s="16">
        <f>IF($L408="","",INDEX(HSTECH!$C$7:$C$46,$N408))</f>
        <v/>
      </c>
      <c r="D408" s="16">
        <f>IF($L408="","",INDEX(HSTECH!$D$7:$D$46,$N408))</f>
        <v/>
      </c>
      <c r="E408" s="37">
        <f>IF($L408="","",IF(INT($P408/10)=0,"TBA",IFERROR(INDEX(Grids!$BQ$113:$EC$152,$N408,$O408),"-")))</f>
        <v/>
      </c>
      <c r="F408" s="16">
        <f>IF($L408="","",INDEX(HSTECH!$F$7:$F$46,$N408))</f>
        <v/>
      </c>
      <c r="G408" s="37">
        <f>IF($L408="","",IF(INT($P408/10)=0,"TBA",IFERROR(INDEX(Grids!$EE$113:$GQ$152,$N408,$O408),"-")))</f>
        <v/>
      </c>
      <c r="H408" s="38">
        <f>IF($L408="","",SUM($G$316:$G408))</f>
        <v/>
      </c>
      <c r="I408" s="39">
        <f>IF($L408="","",IF(INT(($L408-INT($L408/10000000)*10000000)/1000000)=0,"Bloomberg projection",IF(INT($P408/10)=1,"Announced","ANNOUNCED - amount TBA"))&amp;IF(($P408-INT($P408/10)*10)=1," (special)","")&amp;IF((($P408-INT($P408/10)*10)=1)*(Summary!$C$13="N")&gt;0," - excluded by your specials switch",""))</f>
        <v/>
      </c>
      <c r="J408" s="40">
        <f>IF($L408="","",IF((Override!$C$4="ON")*ISNUMBER(INDEX(Override!$G$113:$G$152,$N408))&gt;0,"stock overridden",""))</f>
        <v/>
      </c>
      <c r="L408" s="41">
        <f>IFERROR(IF(SMALL(Grids!$C$113:$BO$152,$M$313+93)&gt;=(Summary!$C$15+1)*1000000000,"",SMALL(Grids!$C$113:$BO$152,$M$313+93)),"")</f>
        <v/>
      </c>
      <c r="M408" s="41">
        <f>IF($L408="","",INT($L408/1000000000))</f>
        <v/>
      </c>
      <c r="N408" s="41">
        <f>IF($L408="","",INT(($L408-INT($L408/1000000)*1000000)/1000))</f>
        <v/>
      </c>
      <c r="O408" s="41">
        <f>IF($L408="","",$L408-INT($L408/1000)*1000)</f>
        <v/>
      </c>
      <c r="P408" s="41">
        <f>IF($L408="","",INT(($L408-INT($L408/1000000000)*1000000000)/10000000))</f>
        <v/>
      </c>
    </row>
    <row r="409">
      <c r="B409" s="36">
        <f>IF($L409="","",$M409)</f>
        <v/>
      </c>
      <c r="C409" s="16">
        <f>IF($L409="","",INDEX(HSTECH!$C$7:$C$46,$N409))</f>
        <v/>
      </c>
      <c r="D409" s="16">
        <f>IF($L409="","",INDEX(HSTECH!$D$7:$D$46,$N409))</f>
        <v/>
      </c>
      <c r="E409" s="37">
        <f>IF($L409="","",IF(INT($P409/10)=0,"TBA",IFERROR(INDEX(Grids!$BQ$113:$EC$152,$N409,$O409),"-")))</f>
        <v/>
      </c>
      <c r="F409" s="16">
        <f>IF($L409="","",INDEX(HSTECH!$F$7:$F$46,$N409))</f>
        <v/>
      </c>
      <c r="G409" s="37">
        <f>IF($L409="","",IF(INT($P409/10)=0,"TBA",IFERROR(INDEX(Grids!$EE$113:$GQ$152,$N409,$O409),"-")))</f>
        <v/>
      </c>
      <c r="H409" s="38">
        <f>IF($L409="","",SUM($G$316:$G409))</f>
        <v/>
      </c>
      <c r="I409" s="39">
        <f>IF($L409="","",IF(INT(($L409-INT($L409/10000000)*10000000)/1000000)=0,"Bloomberg projection",IF(INT($P409/10)=1,"Announced","ANNOUNCED - amount TBA"))&amp;IF(($P409-INT($P409/10)*10)=1," (special)","")&amp;IF((($P409-INT($P409/10)*10)=1)*(Summary!$C$13="N")&gt;0," - excluded by your specials switch",""))</f>
        <v/>
      </c>
      <c r="J409" s="40">
        <f>IF($L409="","",IF((Override!$C$4="ON")*ISNUMBER(INDEX(Override!$G$113:$G$152,$N409))&gt;0,"stock overridden",""))</f>
        <v/>
      </c>
      <c r="L409" s="41">
        <f>IFERROR(IF(SMALL(Grids!$C$113:$BO$152,$M$313+94)&gt;=(Summary!$C$15+1)*1000000000,"",SMALL(Grids!$C$113:$BO$152,$M$313+94)),"")</f>
        <v/>
      </c>
      <c r="M409" s="41">
        <f>IF($L409="","",INT($L409/1000000000))</f>
        <v/>
      </c>
      <c r="N409" s="41">
        <f>IF($L409="","",INT(($L409-INT($L409/1000000)*1000000)/1000))</f>
        <v/>
      </c>
      <c r="O409" s="41">
        <f>IF($L409="","",$L409-INT($L409/1000)*1000)</f>
        <v/>
      </c>
      <c r="P409" s="41">
        <f>IF($L409="","",INT(($L409-INT($L409/1000000000)*1000000000)/10000000))</f>
        <v/>
      </c>
    </row>
    <row r="410">
      <c r="B410" s="36">
        <f>IF($L410="","",$M410)</f>
        <v/>
      </c>
      <c r="C410" s="16">
        <f>IF($L410="","",INDEX(HSTECH!$C$7:$C$46,$N410))</f>
        <v/>
      </c>
      <c r="D410" s="16">
        <f>IF($L410="","",INDEX(HSTECH!$D$7:$D$46,$N410))</f>
        <v/>
      </c>
      <c r="E410" s="37">
        <f>IF($L410="","",IF(INT($P410/10)=0,"TBA",IFERROR(INDEX(Grids!$BQ$113:$EC$152,$N410,$O410),"-")))</f>
        <v/>
      </c>
      <c r="F410" s="16">
        <f>IF($L410="","",INDEX(HSTECH!$F$7:$F$46,$N410))</f>
        <v/>
      </c>
      <c r="G410" s="37">
        <f>IF($L410="","",IF(INT($P410/10)=0,"TBA",IFERROR(INDEX(Grids!$EE$113:$GQ$152,$N410,$O410),"-")))</f>
        <v/>
      </c>
      <c r="H410" s="38">
        <f>IF($L410="","",SUM($G$316:$G410))</f>
        <v/>
      </c>
      <c r="I410" s="39">
        <f>IF($L410="","",IF(INT(($L410-INT($L410/10000000)*10000000)/1000000)=0,"Bloomberg projection",IF(INT($P410/10)=1,"Announced","ANNOUNCED - amount TBA"))&amp;IF(($P410-INT($P410/10)*10)=1," (special)","")&amp;IF((($P410-INT($P410/10)*10)=1)*(Summary!$C$13="N")&gt;0," - excluded by your specials switch",""))</f>
        <v/>
      </c>
      <c r="J410" s="40">
        <f>IF($L410="","",IF((Override!$C$4="ON")*ISNUMBER(INDEX(Override!$G$113:$G$152,$N410))&gt;0,"stock overridden",""))</f>
        <v/>
      </c>
      <c r="L410" s="41">
        <f>IFERROR(IF(SMALL(Grids!$C$113:$BO$152,$M$313+95)&gt;=(Summary!$C$15+1)*1000000000,"",SMALL(Grids!$C$113:$BO$152,$M$313+95)),"")</f>
        <v/>
      </c>
      <c r="M410" s="41">
        <f>IF($L410="","",INT($L410/1000000000))</f>
        <v/>
      </c>
      <c r="N410" s="41">
        <f>IF($L410="","",INT(($L410-INT($L410/1000000)*1000000)/1000))</f>
        <v/>
      </c>
      <c r="O410" s="41">
        <f>IF($L410="","",$L410-INT($L410/1000)*1000)</f>
        <v/>
      </c>
      <c r="P410" s="41">
        <f>IF($L410="","",INT(($L410-INT($L410/1000000000)*1000000000)/10000000))</f>
        <v/>
      </c>
    </row>
    <row r="411">
      <c r="B411" s="36">
        <f>IF($L411="","",$M411)</f>
        <v/>
      </c>
      <c r="C411" s="16">
        <f>IF($L411="","",INDEX(HSTECH!$C$7:$C$46,$N411))</f>
        <v/>
      </c>
      <c r="D411" s="16">
        <f>IF($L411="","",INDEX(HSTECH!$D$7:$D$46,$N411))</f>
        <v/>
      </c>
      <c r="E411" s="37">
        <f>IF($L411="","",IF(INT($P411/10)=0,"TBA",IFERROR(INDEX(Grids!$BQ$113:$EC$152,$N411,$O411),"-")))</f>
        <v/>
      </c>
      <c r="F411" s="16">
        <f>IF($L411="","",INDEX(HSTECH!$F$7:$F$46,$N411))</f>
        <v/>
      </c>
      <c r="G411" s="37">
        <f>IF($L411="","",IF(INT($P411/10)=0,"TBA",IFERROR(INDEX(Grids!$EE$113:$GQ$152,$N411,$O411),"-")))</f>
        <v/>
      </c>
      <c r="H411" s="38">
        <f>IF($L411="","",SUM($G$316:$G411))</f>
        <v/>
      </c>
      <c r="I411" s="39">
        <f>IF($L411="","",IF(INT(($L411-INT($L411/10000000)*10000000)/1000000)=0,"Bloomberg projection",IF(INT($P411/10)=1,"Announced","ANNOUNCED - amount TBA"))&amp;IF(($P411-INT($P411/10)*10)=1," (special)","")&amp;IF((($P411-INT($P411/10)*10)=1)*(Summary!$C$13="N")&gt;0," - excluded by your specials switch",""))</f>
        <v/>
      </c>
      <c r="J411" s="40">
        <f>IF($L411="","",IF((Override!$C$4="ON")*ISNUMBER(INDEX(Override!$G$113:$G$152,$N411))&gt;0,"stock overridden",""))</f>
        <v/>
      </c>
      <c r="L411" s="41">
        <f>IFERROR(IF(SMALL(Grids!$C$113:$BO$152,$M$313+96)&gt;=(Summary!$C$15+1)*1000000000,"",SMALL(Grids!$C$113:$BO$152,$M$313+96)),"")</f>
        <v/>
      </c>
      <c r="M411" s="41">
        <f>IF($L411="","",INT($L411/1000000000))</f>
        <v/>
      </c>
      <c r="N411" s="41">
        <f>IF($L411="","",INT(($L411-INT($L411/1000000)*1000000)/1000))</f>
        <v/>
      </c>
      <c r="O411" s="41">
        <f>IF($L411="","",$L411-INT($L411/1000)*1000)</f>
        <v/>
      </c>
      <c r="P411" s="41">
        <f>IF($L411="","",INT(($L411-INT($L411/1000000000)*1000000000)/10000000))</f>
        <v/>
      </c>
    </row>
    <row r="412">
      <c r="B412" s="36">
        <f>IF($L412="","",$M412)</f>
        <v/>
      </c>
      <c r="C412" s="16">
        <f>IF($L412="","",INDEX(HSTECH!$C$7:$C$46,$N412))</f>
        <v/>
      </c>
      <c r="D412" s="16">
        <f>IF($L412="","",INDEX(HSTECH!$D$7:$D$46,$N412))</f>
        <v/>
      </c>
      <c r="E412" s="37">
        <f>IF($L412="","",IF(INT($P412/10)=0,"TBA",IFERROR(INDEX(Grids!$BQ$113:$EC$152,$N412,$O412),"-")))</f>
        <v/>
      </c>
      <c r="F412" s="16">
        <f>IF($L412="","",INDEX(HSTECH!$F$7:$F$46,$N412))</f>
        <v/>
      </c>
      <c r="G412" s="37">
        <f>IF($L412="","",IF(INT($P412/10)=0,"TBA",IFERROR(INDEX(Grids!$EE$113:$GQ$152,$N412,$O412),"-")))</f>
        <v/>
      </c>
      <c r="H412" s="38">
        <f>IF($L412="","",SUM($G$316:$G412))</f>
        <v/>
      </c>
      <c r="I412" s="39">
        <f>IF($L412="","",IF(INT(($L412-INT($L412/10000000)*10000000)/1000000)=0,"Bloomberg projection",IF(INT($P412/10)=1,"Announced","ANNOUNCED - amount TBA"))&amp;IF(($P412-INT($P412/10)*10)=1," (special)","")&amp;IF((($P412-INT($P412/10)*10)=1)*(Summary!$C$13="N")&gt;0," - excluded by your specials switch",""))</f>
        <v/>
      </c>
      <c r="J412" s="40">
        <f>IF($L412="","",IF((Override!$C$4="ON")*ISNUMBER(INDEX(Override!$G$113:$G$152,$N412))&gt;0,"stock overridden",""))</f>
        <v/>
      </c>
      <c r="L412" s="41">
        <f>IFERROR(IF(SMALL(Grids!$C$113:$BO$152,$M$313+97)&gt;=(Summary!$C$15+1)*1000000000,"",SMALL(Grids!$C$113:$BO$152,$M$313+97)),"")</f>
        <v/>
      </c>
      <c r="M412" s="41">
        <f>IF($L412="","",INT($L412/1000000000))</f>
        <v/>
      </c>
      <c r="N412" s="41">
        <f>IF($L412="","",INT(($L412-INT($L412/1000000)*1000000)/1000))</f>
        <v/>
      </c>
      <c r="O412" s="41">
        <f>IF($L412="","",$L412-INT($L412/1000)*1000)</f>
        <v/>
      </c>
      <c r="P412" s="41">
        <f>IF($L412="","",INT(($L412-INT($L412/1000000000)*1000000000)/10000000))</f>
        <v/>
      </c>
    </row>
    <row r="413">
      <c r="B413" s="36">
        <f>IF($L413="","",$M413)</f>
        <v/>
      </c>
      <c r="C413" s="16">
        <f>IF($L413="","",INDEX(HSTECH!$C$7:$C$46,$N413))</f>
        <v/>
      </c>
      <c r="D413" s="16">
        <f>IF($L413="","",INDEX(HSTECH!$D$7:$D$46,$N413))</f>
        <v/>
      </c>
      <c r="E413" s="37">
        <f>IF($L413="","",IF(INT($P413/10)=0,"TBA",IFERROR(INDEX(Grids!$BQ$113:$EC$152,$N413,$O413),"-")))</f>
        <v/>
      </c>
      <c r="F413" s="16">
        <f>IF($L413="","",INDEX(HSTECH!$F$7:$F$46,$N413))</f>
        <v/>
      </c>
      <c r="G413" s="37">
        <f>IF($L413="","",IF(INT($P413/10)=0,"TBA",IFERROR(INDEX(Grids!$EE$113:$GQ$152,$N413,$O413),"-")))</f>
        <v/>
      </c>
      <c r="H413" s="38">
        <f>IF($L413="","",SUM($G$316:$G413))</f>
        <v/>
      </c>
      <c r="I413" s="39">
        <f>IF($L413="","",IF(INT(($L413-INT($L413/10000000)*10000000)/1000000)=0,"Bloomberg projection",IF(INT($P413/10)=1,"Announced","ANNOUNCED - amount TBA"))&amp;IF(($P413-INT($P413/10)*10)=1," (special)","")&amp;IF((($P413-INT($P413/10)*10)=1)*(Summary!$C$13="N")&gt;0," - excluded by your specials switch",""))</f>
        <v/>
      </c>
      <c r="J413" s="40">
        <f>IF($L413="","",IF((Override!$C$4="ON")*ISNUMBER(INDEX(Override!$G$113:$G$152,$N413))&gt;0,"stock overridden",""))</f>
        <v/>
      </c>
      <c r="L413" s="41">
        <f>IFERROR(IF(SMALL(Grids!$C$113:$BO$152,$M$313+98)&gt;=(Summary!$C$15+1)*1000000000,"",SMALL(Grids!$C$113:$BO$152,$M$313+98)),"")</f>
        <v/>
      </c>
      <c r="M413" s="41">
        <f>IF($L413="","",INT($L413/1000000000))</f>
        <v/>
      </c>
      <c r="N413" s="41">
        <f>IF($L413="","",INT(($L413-INT($L413/1000000)*1000000)/1000))</f>
        <v/>
      </c>
      <c r="O413" s="41">
        <f>IF($L413="","",$L413-INT($L413/1000)*1000)</f>
        <v/>
      </c>
      <c r="P413" s="41">
        <f>IF($L413="","",INT(($L413-INT($L413/1000000000)*1000000000)/10000000))</f>
        <v/>
      </c>
    </row>
    <row r="414">
      <c r="B414" s="36">
        <f>IF($L414="","",$M414)</f>
        <v/>
      </c>
      <c r="C414" s="16">
        <f>IF($L414="","",INDEX(HSTECH!$C$7:$C$46,$N414))</f>
        <v/>
      </c>
      <c r="D414" s="16">
        <f>IF($L414="","",INDEX(HSTECH!$D$7:$D$46,$N414))</f>
        <v/>
      </c>
      <c r="E414" s="37">
        <f>IF($L414="","",IF(INT($P414/10)=0,"TBA",IFERROR(INDEX(Grids!$BQ$113:$EC$152,$N414,$O414),"-")))</f>
        <v/>
      </c>
      <c r="F414" s="16">
        <f>IF($L414="","",INDEX(HSTECH!$F$7:$F$46,$N414))</f>
        <v/>
      </c>
      <c r="G414" s="37">
        <f>IF($L414="","",IF(INT($P414/10)=0,"TBA",IFERROR(INDEX(Grids!$EE$113:$GQ$152,$N414,$O414),"-")))</f>
        <v/>
      </c>
      <c r="H414" s="38">
        <f>IF($L414="","",SUM($G$316:$G414))</f>
        <v/>
      </c>
      <c r="I414" s="39">
        <f>IF($L414="","",IF(INT(($L414-INT($L414/10000000)*10000000)/1000000)=0,"Bloomberg projection",IF(INT($P414/10)=1,"Announced","ANNOUNCED - amount TBA"))&amp;IF(($P414-INT($P414/10)*10)=1," (special)","")&amp;IF((($P414-INT($P414/10)*10)=1)*(Summary!$C$13="N")&gt;0," - excluded by your specials switch",""))</f>
        <v/>
      </c>
      <c r="J414" s="40">
        <f>IF($L414="","",IF((Override!$C$4="ON")*ISNUMBER(INDEX(Override!$G$113:$G$152,$N414))&gt;0,"stock overridden",""))</f>
        <v/>
      </c>
      <c r="L414" s="41">
        <f>IFERROR(IF(SMALL(Grids!$C$113:$BO$152,$M$313+99)&gt;=(Summary!$C$15+1)*1000000000,"",SMALL(Grids!$C$113:$BO$152,$M$313+99)),"")</f>
        <v/>
      </c>
      <c r="M414" s="41">
        <f>IF($L414="","",INT($L414/1000000000))</f>
        <v/>
      </c>
      <c r="N414" s="41">
        <f>IF($L414="","",INT(($L414-INT($L414/1000000)*1000000)/1000))</f>
        <v/>
      </c>
      <c r="O414" s="41">
        <f>IF($L414="","",$L414-INT($L414/1000)*1000)</f>
        <v/>
      </c>
      <c r="P414" s="41">
        <f>IF($L414="","",INT(($L414-INT($L414/1000000000)*1000000000)/10000000))</f>
        <v/>
      </c>
    </row>
    <row r="415">
      <c r="B415" s="36">
        <f>IF($L415="","",$M415)</f>
        <v/>
      </c>
      <c r="C415" s="16">
        <f>IF($L415="","",INDEX(HSTECH!$C$7:$C$46,$N415))</f>
        <v/>
      </c>
      <c r="D415" s="16">
        <f>IF($L415="","",INDEX(HSTECH!$D$7:$D$46,$N415))</f>
        <v/>
      </c>
      <c r="E415" s="37">
        <f>IF($L415="","",IF(INT($P415/10)=0,"TBA",IFERROR(INDEX(Grids!$BQ$113:$EC$152,$N415,$O415),"-")))</f>
        <v/>
      </c>
      <c r="F415" s="16">
        <f>IF($L415="","",INDEX(HSTECH!$F$7:$F$46,$N415))</f>
        <v/>
      </c>
      <c r="G415" s="37">
        <f>IF($L415="","",IF(INT($P415/10)=0,"TBA",IFERROR(INDEX(Grids!$EE$113:$GQ$152,$N415,$O415),"-")))</f>
        <v/>
      </c>
      <c r="H415" s="38">
        <f>IF($L415="","",SUM($G$316:$G415))</f>
        <v/>
      </c>
      <c r="I415" s="39">
        <f>IF($L415="","",IF(INT(($L415-INT($L415/10000000)*10000000)/1000000)=0,"Bloomberg projection",IF(INT($P415/10)=1,"Announced","ANNOUNCED - amount TBA"))&amp;IF(($P415-INT($P415/10)*10)=1," (special)","")&amp;IF((($P415-INT($P415/10)*10)=1)*(Summary!$C$13="N")&gt;0," - excluded by your specials switch",""))</f>
        <v/>
      </c>
      <c r="J415" s="40">
        <f>IF($L415="","",IF((Override!$C$4="ON")*ISNUMBER(INDEX(Override!$G$113:$G$152,$N415))&gt;0,"stock overridden",""))</f>
        <v/>
      </c>
      <c r="L415" s="41">
        <f>IFERROR(IF(SMALL(Grids!$C$113:$BO$152,$M$313+100)&gt;=(Summary!$C$15+1)*1000000000,"",SMALL(Grids!$C$113:$BO$152,$M$313+100)),"")</f>
        <v/>
      </c>
      <c r="M415" s="41">
        <f>IF($L415="","",INT($L415/1000000000))</f>
        <v/>
      </c>
      <c r="N415" s="41">
        <f>IF($L415="","",INT(($L415-INT($L415/1000000)*1000000)/1000))</f>
        <v/>
      </c>
      <c r="O415" s="41">
        <f>IF($L415="","",$L415-INT($L415/1000)*1000)</f>
        <v/>
      </c>
      <c r="P415" s="41">
        <f>IF($L415="","",INT(($L415-INT($L415/1000000000)*1000000000)/10000000))</f>
        <v/>
      </c>
    </row>
    <row r="416">
      <c r="B416" s="36">
        <f>IF($L416="","",$M416)</f>
        <v/>
      </c>
      <c r="C416" s="16">
        <f>IF($L416="","",INDEX(HSTECH!$C$7:$C$46,$N416))</f>
        <v/>
      </c>
      <c r="D416" s="16">
        <f>IF($L416="","",INDEX(HSTECH!$D$7:$D$46,$N416))</f>
        <v/>
      </c>
      <c r="E416" s="37">
        <f>IF($L416="","",IF(INT($P416/10)=0,"TBA",IFERROR(INDEX(Grids!$BQ$113:$EC$152,$N416,$O416),"-")))</f>
        <v/>
      </c>
      <c r="F416" s="16">
        <f>IF($L416="","",INDEX(HSTECH!$F$7:$F$46,$N416))</f>
        <v/>
      </c>
      <c r="G416" s="37">
        <f>IF($L416="","",IF(INT($P416/10)=0,"TBA",IFERROR(INDEX(Grids!$EE$113:$GQ$152,$N416,$O416),"-")))</f>
        <v/>
      </c>
      <c r="H416" s="38">
        <f>IF($L416="","",SUM($G$316:$G416))</f>
        <v/>
      </c>
      <c r="I416" s="39">
        <f>IF($L416="","",IF(INT(($L416-INT($L416/10000000)*10000000)/1000000)=0,"Bloomberg projection",IF(INT($P416/10)=1,"Announced","ANNOUNCED - amount TBA"))&amp;IF(($P416-INT($P416/10)*10)=1," (special)","")&amp;IF((($P416-INT($P416/10)*10)=1)*(Summary!$C$13="N")&gt;0," - excluded by your specials switch",""))</f>
        <v/>
      </c>
      <c r="J416" s="40">
        <f>IF($L416="","",IF((Override!$C$4="ON")*ISNUMBER(INDEX(Override!$G$113:$G$152,$N416))&gt;0,"stock overridden",""))</f>
        <v/>
      </c>
      <c r="L416" s="41">
        <f>IFERROR(IF(SMALL(Grids!$C$113:$BO$152,$M$313+101)&gt;=(Summary!$C$15+1)*1000000000,"",SMALL(Grids!$C$113:$BO$152,$M$313+101)),"")</f>
        <v/>
      </c>
      <c r="M416" s="41">
        <f>IF($L416="","",INT($L416/1000000000))</f>
        <v/>
      </c>
      <c r="N416" s="41">
        <f>IF($L416="","",INT(($L416-INT($L416/1000000)*1000000)/1000))</f>
        <v/>
      </c>
      <c r="O416" s="41">
        <f>IF($L416="","",$L416-INT($L416/1000)*1000)</f>
        <v/>
      </c>
      <c r="P416" s="41">
        <f>IF($L416="","",INT(($L416-INT($L416/1000000000)*1000000000)/10000000))</f>
        <v/>
      </c>
    </row>
    <row r="417">
      <c r="B417" s="36">
        <f>IF($L417="","",$M417)</f>
        <v/>
      </c>
      <c r="C417" s="16">
        <f>IF($L417="","",INDEX(HSTECH!$C$7:$C$46,$N417))</f>
        <v/>
      </c>
      <c r="D417" s="16">
        <f>IF($L417="","",INDEX(HSTECH!$D$7:$D$46,$N417))</f>
        <v/>
      </c>
      <c r="E417" s="37">
        <f>IF($L417="","",IF(INT($P417/10)=0,"TBA",IFERROR(INDEX(Grids!$BQ$113:$EC$152,$N417,$O417),"-")))</f>
        <v/>
      </c>
      <c r="F417" s="16">
        <f>IF($L417="","",INDEX(HSTECH!$F$7:$F$46,$N417))</f>
        <v/>
      </c>
      <c r="G417" s="37">
        <f>IF($L417="","",IF(INT($P417/10)=0,"TBA",IFERROR(INDEX(Grids!$EE$113:$GQ$152,$N417,$O417),"-")))</f>
        <v/>
      </c>
      <c r="H417" s="38">
        <f>IF($L417="","",SUM($G$316:$G417))</f>
        <v/>
      </c>
      <c r="I417" s="39">
        <f>IF($L417="","",IF(INT(($L417-INT($L417/10000000)*10000000)/1000000)=0,"Bloomberg projection",IF(INT($P417/10)=1,"Announced","ANNOUNCED - amount TBA"))&amp;IF(($P417-INT($P417/10)*10)=1," (special)","")&amp;IF((($P417-INT($P417/10)*10)=1)*(Summary!$C$13="N")&gt;0," - excluded by your specials switch",""))</f>
        <v/>
      </c>
      <c r="J417" s="40">
        <f>IF($L417="","",IF((Override!$C$4="ON")*ISNUMBER(INDEX(Override!$G$113:$G$152,$N417))&gt;0,"stock overridden",""))</f>
        <v/>
      </c>
      <c r="L417" s="41">
        <f>IFERROR(IF(SMALL(Grids!$C$113:$BO$152,$M$313+102)&gt;=(Summary!$C$15+1)*1000000000,"",SMALL(Grids!$C$113:$BO$152,$M$313+102)),"")</f>
        <v/>
      </c>
      <c r="M417" s="41">
        <f>IF($L417="","",INT($L417/1000000000))</f>
        <v/>
      </c>
      <c r="N417" s="41">
        <f>IF($L417="","",INT(($L417-INT($L417/1000000)*1000000)/1000))</f>
        <v/>
      </c>
      <c r="O417" s="41">
        <f>IF($L417="","",$L417-INT($L417/1000)*1000)</f>
        <v/>
      </c>
      <c r="P417" s="41">
        <f>IF($L417="","",INT(($L417-INT($L417/1000000000)*1000000000)/10000000))</f>
        <v/>
      </c>
    </row>
    <row r="418">
      <c r="B418" s="36">
        <f>IF($L418="","",$M418)</f>
        <v/>
      </c>
      <c r="C418" s="16">
        <f>IF($L418="","",INDEX(HSTECH!$C$7:$C$46,$N418))</f>
        <v/>
      </c>
      <c r="D418" s="16">
        <f>IF($L418="","",INDEX(HSTECH!$D$7:$D$46,$N418))</f>
        <v/>
      </c>
      <c r="E418" s="37">
        <f>IF($L418="","",IF(INT($P418/10)=0,"TBA",IFERROR(INDEX(Grids!$BQ$113:$EC$152,$N418,$O418),"-")))</f>
        <v/>
      </c>
      <c r="F418" s="16">
        <f>IF($L418="","",INDEX(HSTECH!$F$7:$F$46,$N418))</f>
        <v/>
      </c>
      <c r="G418" s="37">
        <f>IF($L418="","",IF(INT($P418/10)=0,"TBA",IFERROR(INDEX(Grids!$EE$113:$GQ$152,$N418,$O418),"-")))</f>
        <v/>
      </c>
      <c r="H418" s="38">
        <f>IF($L418="","",SUM($G$316:$G418))</f>
        <v/>
      </c>
      <c r="I418" s="39">
        <f>IF($L418="","",IF(INT(($L418-INT($L418/10000000)*10000000)/1000000)=0,"Bloomberg projection",IF(INT($P418/10)=1,"Announced","ANNOUNCED - amount TBA"))&amp;IF(($P418-INT($P418/10)*10)=1," (special)","")&amp;IF((($P418-INT($P418/10)*10)=1)*(Summary!$C$13="N")&gt;0," - excluded by your specials switch",""))</f>
        <v/>
      </c>
      <c r="J418" s="40">
        <f>IF($L418="","",IF((Override!$C$4="ON")*ISNUMBER(INDEX(Override!$G$113:$G$152,$N418))&gt;0,"stock overridden",""))</f>
        <v/>
      </c>
      <c r="L418" s="41">
        <f>IFERROR(IF(SMALL(Grids!$C$113:$BO$152,$M$313+103)&gt;=(Summary!$C$15+1)*1000000000,"",SMALL(Grids!$C$113:$BO$152,$M$313+103)),"")</f>
        <v/>
      </c>
      <c r="M418" s="41">
        <f>IF($L418="","",INT($L418/1000000000))</f>
        <v/>
      </c>
      <c r="N418" s="41">
        <f>IF($L418="","",INT(($L418-INT($L418/1000000)*1000000)/1000))</f>
        <v/>
      </c>
      <c r="O418" s="41">
        <f>IF($L418="","",$L418-INT($L418/1000)*1000)</f>
        <v/>
      </c>
      <c r="P418" s="41">
        <f>IF($L418="","",INT(($L418-INT($L418/1000000000)*1000000000)/10000000))</f>
        <v/>
      </c>
    </row>
    <row r="419">
      <c r="B419" s="36">
        <f>IF($L419="","",$M419)</f>
        <v/>
      </c>
      <c r="C419" s="16">
        <f>IF($L419="","",INDEX(HSTECH!$C$7:$C$46,$N419))</f>
        <v/>
      </c>
      <c r="D419" s="16">
        <f>IF($L419="","",INDEX(HSTECH!$D$7:$D$46,$N419))</f>
        <v/>
      </c>
      <c r="E419" s="37">
        <f>IF($L419="","",IF(INT($P419/10)=0,"TBA",IFERROR(INDEX(Grids!$BQ$113:$EC$152,$N419,$O419),"-")))</f>
        <v/>
      </c>
      <c r="F419" s="16">
        <f>IF($L419="","",INDEX(HSTECH!$F$7:$F$46,$N419))</f>
        <v/>
      </c>
      <c r="G419" s="37">
        <f>IF($L419="","",IF(INT($P419/10)=0,"TBA",IFERROR(INDEX(Grids!$EE$113:$GQ$152,$N419,$O419),"-")))</f>
        <v/>
      </c>
      <c r="H419" s="38">
        <f>IF($L419="","",SUM($G$316:$G419))</f>
        <v/>
      </c>
      <c r="I419" s="39">
        <f>IF($L419="","",IF(INT(($L419-INT($L419/10000000)*10000000)/1000000)=0,"Bloomberg projection",IF(INT($P419/10)=1,"Announced","ANNOUNCED - amount TBA"))&amp;IF(($P419-INT($P419/10)*10)=1," (special)","")&amp;IF((($P419-INT($P419/10)*10)=1)*(Summary!$C$13="N")&gt;0," - excluded by your specials switch",""))</f>
        <v/>
      </c>
      <c r="J419" s="40">
        <f>IF($L419="","",IF((Override!$C$4="ON")*ISNUMBER(INDEX(Override!$G$113:$G$152,$N419))&gt;0,"stock overridden",""))</f>
        <v/>
      </c>
      <c r="L419" s="41">
        <f>IFERROR(IF(SMALL(Grids!$C$113:$BO$152,$M$313+104)&gt;=(Summary!$C$15+1)*1000000000,"",SMALL(Grids!$C$113:$BO$152,$M$313+104)),"")</f>
        <v/>
      </c>
      <c r="M419" s="41">
        <f>IF($L419="","",INT($L419/1000000000))</f>
        <v/>
      </c>
      <c r="N419" s="41">
        <f>IF($L419="","",INT(($L419-INT($L419/1000000)*1000000)/1000))</f>
        <v/>
      </c>
      <c r="O419" s="41">
        <f>IF($L419="","",$L419-INT($L419/1000)*1000)</f>
        <v/>
      </c>
      <c r="P419" s="41">
        <f>IF($L419="","",INT(($L419-INT($L419/1000000000)*1000000000)/10000000))</f>
        <v/>
      </c>
    </row>
    <row r="420">
      <c r="B420" s="36">
        <f>IF($L420="","",$M420)</f>
        <v/>
      </c>
      <c r="C420" s="16">
        <f>IF($L420="","",INDEX(HSTECH!$C$7:$C$46,$N420))</f>
        <v/>
      </c>
      <c r="D420" s="16">
        <f>IF($L420="","",INDEX(HSTECH!$D$7:$D$46,$N420))</f>
        <v/>
      </c>
      <c r="E420" s="37">
        <f>IF($L420="","",IF(INT($P420/10)=0,"TBA",IFERROR(INDEX(Grids!$BQ$113:$EC$152,$N420,$O420),"-")))</f>
        <v/>
      </c>
      <c r="F420" s="16">
        <f>IF($L420="","",INDEX(HSTECH!$F$7:$F$46,$N420))</f>
        <v/>
      </c>
      <c r="G420" s="37">
        <f>IF($L420="","",IF(INT($P420/10)=0,"TBA",IFERROR(INDEX(Grids!$EE$113:$GQ$152,$N420,$O420),"-")))</f>
        <v/>
      </c>
      <c r="H420" s="38">
        <f>IF($L420="","",SUM($G$316:$G420))</f>
        <v/>
      </c>
      <c r="I420" s="39">
        <f>IF($L420="","",IF(INT(($L420-INT($L420/10000000)*10000000)/1000000)=0,"Bloomberg projection",IF(INT($P420/10)=1,"Announced","ANNOUNCED - amount TBA"))&amp;IF(($P420-INT($P420/10)*10)=1," (special)","")&amp;IF((($P420-INT($P420/10)*10)=1)*(Summary!$C$13="N")&gt;0," - excluded by your specials switch",""))</f>
        <v/>
      </c>
      <c r="J420" s="40">
        <f>IF($L420="","",IF((Override!$C$4="ON")*ISNUMBER(INDEX(Override!$G$113:$G$152,$N420))&gt;0,"stock overridden",""))</f>
        <v/>
      </c>
      <c r="L420" s="41">
        <f>IFERROR(IF(SMALL(Grids!$C$113:$BO$152,$M$313+105)&gt;=(Summary!$C$15+1)*1000000000,"",SMALL(Grids!$C$113:$BO$152,$M$313+105)),"")</f>
        <v/>
      </c>
      <c r="M420" s="41">
        <f>IF($L420="","",INT($L420/1000000000))</f>
        <v/>
      </c>
      <c r="N420" s="41">
        <f>IF($L420="","",INT(($L420-INT($L420/1000000)*1000000)/1000))</f>
        <v/>
      </c>
      <c r="O420" s="41">
        <f>IF($L420="","",$L420-INT($L420/1000)*1000)</f>
        <v/>
      </c>
      <c r="P420" s="41">
        <f>IF($L420="","",INT(($L420-INT($L420/1000000000)*1000000000)/10000000))</f>
        <v/>
      </c>
    </row>
    <row r="421">
      <c r="B421" s="36">
        <f>IF($L421="","",$M421)</f>
        <v/>
      </c>
      <c r="C421" s="16">
        <f>IF($L421="","",INDEX(HSTECH!$C$7:$C$46,$N421))</f>
        <v/>
      </c>
      <c r="D421" s="16">
        <f>IF($L421="","",INDEX(HSTECH!$D$7:$D$46,$N421))</f>
        <v/>
      </c>
      <c r="E421" s="37">
        <f>IF($L421="","",IF(INT($P421/10)=0,"TBA",IFERROR(INDEX(Grids!$BQ$113:$EC$152,$N421,$O421),"-")))</f>
        <v/>
      </c>
      <c r="F421" s="16">
        <f>IF($L421="","",INDEX(HSTECH!$F$7:$F$46,$N421))</f>
        <v/>
      </c>
      <c r="G421" s="37">
        <f>IF($L421="","",IF(INT($P421/10)=0,"TBA",IFERROR(INDEX(Grids!$EE$113:$GQ$152,$N421,$O421),"-")))</f>
        <v/>
      </c>
      <c r="H421" s="38">
        <f>IF($L421="","",SUM($G$316:$G421))</f>
        <v/>
      </c>
      <c r="I421" s="39">
        <f>IF($L421="","",IF(INT(($L421-INT($L421/10000000)*10000000)/1000000)=0,"Bloomberg projection",IF(INT($P421/10)=1,"Announced","ANNOUNCED - amount TBA"))&amp;IF(($P421-INT($P421/10)*10)=1," (special)","")&amp;IF((($P421-INT($P421/10)*10)=1)*(Summary!$C$13="N")&gt;0," - excluded by your specials switch",""))</f>
        <v/>
      </c>
      <c r="J421" s="40">
        <f>IF($L421="","",IF((Override!$C$4="ON")*ISNUMBER(INDEX(Override!$G$113:$G$152,$N421))&gt;0,"stock overridden",""))</f>
        <v/>
      </c>
      <c r="L421" s="41">
        <f>IFERROR(IF(SMALL(Grids!$C$113:$BO$152,$M$313+106)&gt;=(Summary!$C$15+1)*1000000000,"",SMALL(Grids!$C$113:$BO$152,$M$313+106)),"")</f>
        <v/>
      </c>
      <c r="M421" s="41">
        <f>IF($L421="","",INT($L421/1000000000))</f>
        <v/>
      </c>
      <c r="N421" s="41">
        <f>IF($L421="","",INT(($L421-INT($L421/1000000)*1000000)/1000))</f>
        <v/>
      </c>
      <c r="O421" s="41">
        <f>IF($L421="","",$L421-INT($L421/1000)*1000)</f>
        <v/>
      </c>
      <c r="P421" s="41">
        <f>IF($L421="","",INT(($L421-INT($L421/1000000000)*1000000000)/10000000))</f>
        <v/>
      </c>
    </row>
    <row r="422">
      <c r="B422" s="36">
        <f>IF($L422="","",$M422)</f>
        <v/>
      </c>
      <c r="C422" s="16">
        <f>IF($L422="","",INDEX(HSTECH!$C$7:$C$46,$N422))</f>
        <v/>
      </c>
      <c r="D422" s="16">
        <f>IF($L422="","",INDEX(HSTECH!$D$7:$D$46,$N422))</f>
        <v/>
      </c>
      <c r="E422" s="37">
        <f>IF($L422="","",IF(INT($P422/10)=0,"TBA",IFERROR(INDEX(Grids!$BQ$113:$EC$152,$N422,$O422),"-")))</f>
        <v/>
      </c>
      <c r="F422" s="16">
        <f>IF($L422="","",INDEX(HSTECH!$F$7:$F$46,$N422))</f>
        <v/>
      </c>
      <c r="G422" s="37">
        <f>IF($L422="","",IF(INT($P422/10)=0,"TBA",IFERROR(INDEX(Grids!$EE$113:$GQ$152,$N422,$O422),"-")))</f>
        <v/>
      </c>
      <c r="H422" s="38">
        <f>IF($L422="","",SUM($G$316:$G422))</f>
        <v/>
      </c>
      <c r="I422" s="39">
        <f>IF($L422="","",IF(INT(($L422-INT($L422/10000000)*10000000)/1000000)=0,"Bloomberg projection",IF(INT($P422/10)=1,"Announced","ANNOUNCED - amount TBA"))&amp;IF(($P422-INT($P422/10)*10)=1," (special)","")&amp;IF((($P422-INT($P422/10)*10)=1)*(Summary!$C$13="N")&gt;0," - excluded by your specials switch",""))</f>
        <v/>
      </c>
      <c r="J422" s="40">
        <f>IF($L422="","",IF((Override!$C$4="ON")*ISNUMBER(INDEX(Override!$G$113:$G$152,$N422))&gt;0,"stock overridden",""))</f>
        <v/>
      </c>
      <c r="L422" s="41">
        <f>IFERROR(IF(SMALL(Grids!$C$113:$BO$152,$M$313+107)&gt;=(Summary!$C$15+1)*1000000000,"",SMALL(Grids!$C$113:$BO$152,$M$313+107)),"")</f>
        <v/>
      </c>
      <c r="M422" s="41">
        <f>IF($L422="","",INT($L422/1000000000))</f>
        <v/>
      </c>
      <c r="N422" s="41">
        <f>IF($L422="","",INT(($L422-INT($L422/1000000)*1000000)/1000))</f>
        <v/>
      </c>
      <c r="O422" s="41">
        <f>IF($L422="","",$L422-INT($L422/1000)*1000)</f>
        <v/>
      </c>
      <c r="P422" s="41">
        <f>IF($L422="","",INT(($L422-INT($L422/1000000000)*1000000000)/10000000))</f>
        <v/>
      </c>
    </row>
    <row r="423">
      <c r="B423" s="36">
        <f>IF($L423="","",$M423)</f>
        <v/>
      </c>
      <c r="C423" s="16">
        <f>IF($L423="","",INDEX(HSTECH!$C$7:$C$46,$N423))</f>
        <v/>
      </c>
      <c r="D423" s="16">
        <f>IF($L423="","",INDEX(HSTECH!$D$7:$D$46,$N423))</f>
        <v/>
      </c>
      <c r="E423" s="37">
        <f>IF($L423="","",IF(INT($P423/10)=0,"TBA",IFERROR(INDEX(Grids!$BQ$113:$EC$152,$N423,$O423),"-")))</f>
        <v/>
      </c>
      <c r="F423" s="16">
        <f>IF($L423="","",INDEX(HSTECH!$F$7:$F$46,$N423))</f>
        <v/>
      </c>
      <c r="G423" s="37">
        <f>IF($L423="","",IF(INT($P423/10)=0,"TBA",IFERROR(INDEX(Grids!$EE$113:$GQ$152,$N423,$O423),"-")))</f>
        <v/>
      </c>
      <c r="H423" s="38">
        <f>IF($L423="","",SUM($G$316:$G423))</f>
        <v/>
      </c>
      <c r="I423" s="39">
        <f>IF($L423="","",IF(INT(($L423-INT($L423/10000000)*10000000)/1000000)=0,"Bloomberg projection",IF(INT($P423/10)=1,"Announced","ANNOUNCED - amount TBA"))&amp;IF(($P423-INT($P423/10)*10)=1," (special)","")&amp;IF((($P423-INT($P423/10)*10)=1)*(Summary!$C$13="N")&gt;0," - excluded by your specials switch",""))</f>
        <v/>
      </c>
      <c r="J423" s="40">
        <f>IF($L423="","",IF((Override!$C$4="ON")*ISNUMBER(INDEX(Override!$G$113:$G$152,$N423))&gt;0,"stock overridden",""))</f>
        <v/>
      </c>
      <c r="L423" s="41">
        <f>IFERROR(IF(SMALL(Grids!$C$113:$BO$152,$M$313+108)&gt;=(Summary!$C$15+1)*1000000000,"",SMALL(Grids!$C$113:$BO$152,$M$313+108)),"")</f>
        <v/>
      </c>
      <c r="M423" s="41">
        <f>IF($L423="","",INT($L423/1000000000))</f>
        <v/>
      </c>
      <c r="N423" s="41">
        <f>IF($L423="","",INT(($L423-INT($L423/1000000)*1000000)/1000))</f>
        <v/>
      </c>
      <c r="O423" s="41">
        <f>IF($L423="","",$L423-INT($L423/1000)*1000)</f>
        <v/>
      </c>
      <c r="P423" s="41">
        <f>IF($L423="","",INT(($L423-INT($L423/1000000000)*1000000000)/10000000))</f>
        <v/>
      </c>
    </row>
    <row r="424">
      <c r="B424" s="36">
        <f>IF($L424="","",$M424)</f>
        <v/>
      </c>
      <c r="C424" s="16">
        <f>IF($L424="","",INDEX(HSTECH!$C$7:$C$46,$N424))</f>
        <v/>
      </c>
      <c r="D424" s="16">
        <f>IF($L424="","",INDEX(HSTECH!$D$7:$D$46,$N424))</f>
        <v/>
      </c>
      <c r="E424" s="37">
        <f>IF($L424="","",IF(INT($P424/10)=0,"TBA",IFERROR(INDEX(Grids!$BQ$113:$EC$152,$N424,$O424),"-")))</f>
        <v/>
      </c>
      <c r="F424" s="16">
        <f>IF($L424="","",INDEX(HSTECH!$F$7:$F$46,$N424))</f>
        <v/>
      </c>
      <c r="G424" s="37">
        <f>IF($L424="","",IF(INT($P424/10)=0,"TBA",IFERROR(INDEX(Grids!$EE$113:$GQ$152,$N424,$O424),"-")))</f>
        <v/>
      </c>
      <c r="H424" s="38">
        <f>IF($L424="","",SUM($G$316:$G424))</f>
        <v/>
      </c>
      <c r="I424" s="39">
        <f>IF($L424="","",IF(INT(($L424-INT($L424/10000000)*10000000)/1000000)=0,"Bloomberg projection",IF(INT($P424/10)=1,"Announced","ANNOUNCED - amount TBA"))&amp;IF(($P424-INT($P424/10)*10)=1," (special)","")&amp;IF((($P424-INT($P424/10)*10)=1)*(Summary!$C$13="N")&gt;0," - excluded by your specials switch",""))</f>
        <v/>
      </c>
      <c r="J424" s="40">
        <f>IF($L424="","",IF((Override!$C$4="ON")*ISNUMBER(INDEX(Override!$G$113:$G$152,$N424))&gt;0,"stock overridden",""))</f>
        <v/>
      </c>
      <c r="L424" s="41">
        <f>IFERROR(IF(SMALL(Grids!$C$113:$BO$152,$M$313+109)&gt;=(Summary!$C$15+1)*1000000000,"",SMALL(Grids!$C$113:$BO$152,$M$313+109)),"")</f>
        <v/>
      </c>
      <c r="M424" s="41">
        <f>IF($L424="","",INT($L424/1000000000))</f>
        <v/>
      </c>
      <c r="N424" s="41">
        <f>IF($L424="","",INT(($L424-INT($L424/1000000)*1000000)/1000))</f>
        <v/>
      </c>
      <c r="O424" s="41">
        <f>IF($L424="","",$L424-INT($L424/1000)*1000)</f>
        <v/>
      </c>
      <c r="P424" s="41">
        <f>IF($L424="","",INT(($L424-INT($L424/1000000000)*1000000000)/10000000))</f>
        <v/>
      </c>
    </row>
    <row r="425">
      <c r="B425" s="36">
        <f>IF($L425="","",$M425)</f>
        <v/>
      </c>
      <c r="C425" s="16">
        <f>IF($L425="","",INDEX(HSTECH!$C$7:$C$46,$N425))</f>
        <v/>
      </c>
      <c r="D425" s="16">
        <f>IF($L425="","",INDEX(HSTECH!$D$7:$D$46,$N425))</f>
        <v/>
      </c>
      <c r="E425" s="37">
        <f>IF($L425="","",IF(INT($P425/10)=0,"TBA",IFERROR(INDEX(Grids!$BQ$113:$EC$152,$N425,$O425),"-")))</f>
        <v/>
      </c>
      <c r="F425" s="16">
        <f>IF($L425="","",INDEX(HSTECH!$F$7:$F$46,$N425))</f>
        <v/>
      </c>
      <c r="G425" s="37">
        <f>IF($L425="","",IF(INT($P425/10)=0,"TBA",IFERROR(INDEX(Grids!$EE$113:$GQ$152,$N425,$O425),"-")))</f>
        <v/>
      </c>
      <c r="H425" s="38">
        <f>IF($L425="","",SUM($G$316:$G425))</f>
        <v/>
      </c>
      <c r="I425" s="39">
        <f>IF($L425="","",IF(INT(($L425-INT($L425/10000000)*10000000)/1000000)=0,"Bloomberg projection",IF(INT($P425/10)=1,"Announced","ANNOUNCED - amount TBA"))&amp;IF(($P425-INT($P425/10)*10)=1," (special)","")&amp;IF((($P425-INT($P425/10)*10)=1)*(Summary!$C$13="N")&gt;0," - excluded by your specials switch",""))</f>
        <v/>
      </c>
      <c r="J425" s="40">
        <f>IF($L425="","",IF((Override!$C$4="ON")*ISNUMBER(INDEX(Override!$G$113:$G$152,$N425))&gt;0,"stock overridden",""))</f>
        <v/>
      </c>
      <c r="L425" s="41">
        <f>IFERROR(IF(SMALL(Grids!$C$113:$BO$152,$M$313+110)&gt;=(Summary!$C$15+1)*1000000000,"",SMALL(Grids!$C$113:$BO$152,$M$313+110)),"")</f>
        <v/>
      </c>
      <c r="M425" s="41">
        <f>IF($L425="","",INT($L425/1000000000))</f>
        <v/>
      </c>
      <c r="N425" s="41">
        <f>IF($L425="","",INT(($L425-INT($L425/1000000)*1000000)/1000))</f>
        <v/>
      </c>
      <c r="O425" s="41">
        <f>IF($L425="","",$L425-INT($L425/1000)*1000)</f>
        <v/>
      </c>
      <c r="P425" s="41">
        <f>IF($L425="","",INT(($L425-INT($L425/1000000000)*1000000000)/10000000))</f>
        <v/>
      </c>
    </row>
    <row r="426">
      <c r="B426" s="36">
        <f>IF($L426="","",$M426)</f>
        <v/>
      </c>
      <c r="C426" s="16">
        <f>IF($L426="","",INDEX(HSTECH!$C$7:$C$46,$N426))</f>
        <v/>
      </c>
      <c r="D426" s="16">
        <f>IF($L426="","",INDEX(HSTECH!$D$7:$D$46,$N426))</f>
        <v/>
      </c>
      <c r="E426" s="37">
        <f>IF($L426="","",IF(INT($P426/10)=0,"TBA",IFERROR(INDEX(Grids!$BQ$113:$EC$152,$N426,$O426),"-")))</f>
        <v/>
      </c>
      <c r="F426" s="16">
        <f>IF($L426="","",INDEX(HSTECH!$F$7:$F$46,$N426))</f>
        <v/>
      </c>
      <c r="G426" s="37">
        <f>IF($L426="","",IF(INT($P426/10)=0,"TBA",IFERROR(INDEX(Grids!$EE$113:$GQ$152,$N426,$O426),"-")))</f>
        <v/>
      </c>
      <c r="H426" s="38">
        <f>IF($L426="","",SUM($G$316:$G426))</f>
        <v/>
      </c>
      <c r="I426" s="39">
        <f>IF($L426="","",IF(INT(($L426-INT($L426/10000000)*10000000)/1000000)=0,"Bloomberg projection",IF(INT($P426/10)=1,"Announced","ANNOUNCED - amount TBA"))&amp;IF(($P426-INT($P426/10)*10)=1," (special)","")&amp;IF((($P426-INT($P426/10)*10)=1)*(Summary!$C$13="N")&gt;0," - excluded by your specials switch",""))</f>
        <v/>
      </c>
      <c r="J426" s="40">
        <f>IF($L426="","",IF((Override!$C$4="ON")*ISNUMBER(INDEX(Override!$G$113:$G$152,$N426))&gt;0,"stock overridden",""))</f>
        <v/>
      </c>
      <c r="L426" s="41">
        <f>IFERROR(IF(SMALL(Grids!$C$113:$BO$152,$M$313+111)&gt;=(Summary!$C$15+1)*1000000000,"",SMALL(Grids!$C$113:$BO$152,$M$313+111)),"")</f>
        <v/>
      </c>
      <c r="M426" s="41">
        <f>IF($L426="","",INT($L426/1000000000))</f>
        <v/>
      </c>
      <c r="N426" s="41">
        <f>IF($L426="","",INT(($L426-INT($L426/1000000)*1000000)/1000))</f>
        <v/>
      </c>
      <c r="O426" s="41">
        <f>IF($L426="","",$L426-INT($L426/1000)*1000)</f>
        <v/>
      </c>
      <c r="P426" s="41">
        <f>IF($L426="","",INT(($L426-INT($L426/1000000000)*1000000000)/10000000))</f>
        <v/>
      </c>
    </row>
    <row r="427">
      <c r="B427" s="36">
        <f>IF($L427="","",$M427)</f>
        <v/>
      </c>
      <c r="C427" s="16">
        <f>IF($L427="","",INDEX(HSTECH!$C$7:$C$46,$N427))</f>
        <v/>
      </c>
      <c r="D427" s="16">
        <f>IF($L427="","",INDEX(HSTECH!$D$7:$D$46,$N427))</f>
        <v/>
      </c>
      <c r="E427" s="37">
        <f>IF($L427="","",IF(INT($P427/10)=0,"TBA",IFERROR(INDEX(Grids!$BQ$113:$EC$152,$N427,$O427),"-")))</f>
        <v/>
      </c>
      <c r="F427" s="16">
        <f>IF($L427="","",INDEX(HSTECH!$F$7:$F$46,$N427))</f>
        <v/>
      </c>
      <c r="G427" s="37">
        <f>IF($L427="","",IF(INT($P427/10)=0,"TBA",IFERROR(INDEX(Grids!$EE$113:$GQ$152,$N427,$O427),"-")))</f>
        <v/>
      </c>
      <c r="H427" s="38">
        <f>IF($L427="","",SUM($G$316:$G427))</f>
        <v/>
      </c>
      <c r="I427" s="39">
        <f>IF($L427="","",IF(INT(($L427-INT($L427/10000000)*10000000)/1000000)=0,"Bloomberg projection",IF(INT($P427/10)=1,"Announced","ANNOUNCED - amount TBA"))&amp;IF(($P427-INT($P427/10)*10)=1," (special)","")&amp;IF((($P427-INT($P427/10)*10)=1)*(Summary!$C$13="N")&gt;0," - excluded by your specials switch",""))</f>
        <v/>
      </c>
      <c r="J427" s="40">
        <f>IF($L427="","",IF((Override!$C$4="ON")*ISNUMBER(INDEX(Override!$G$113:$G$152,$N427))&gt;0,"stock overridden",""))</f>
        <v/>
      </c>
      <c r="L427" s="41">
        <f>IFERROR(IF(SMALL(Grids!$C$113:$BO$152,$M$313+112)&gt;=(Summary!$C$15+1)*1000000000,"",SMALL(Grids!$C$113:$BO$152,$M$313+112)),"")</f>
        <v/>
      </c>
      <c r="M427" s="41">
        <f>IF($L427="","",INT($L427/1000000000))</f>
        <v/>
      </c>
      <c r="N427" s="41">
        <f>IF($L427="","",INT(($L427-INT($L427/1000000)*1000000)/1000))</f>
        <v/>
      </c>
      <c r="O427" s="41">
        <f>IF($L427="","",$L427-INT($L427/1000)*1000)</f>
        <v/>
      </c>
      <c r="P427" s="41">
        <f>IF($L427="","",INT(($L427-INT($L427/1000000000)*1000000000)/10000000))</f>
        <v/>
      </c>
    </row>
    <row r="428">
      <c r="B428" s="36">
        <f>IF($L428="","",$M428)</f>
        <v/>
      </c>
      <c r="C428" s="16">
        <f>IF($L428="","",INDEX(HSTECH!$C$7:$C$46,$N428))</f>
        <v/>
      </c>
      <c r="D428" s="16">
        <f>IF($L428="","",INDEX(HSTECH!$D$7:$D$46,$N428))</f>
        <v/>
      </c>
      <c r="E428" s="37">
        <f>IF($L428="","",IF(INT($P428/10)=0,"TBA",IFERROR(INDEX(Grids!$BQ$113:$EC$152,$N428,$O428),"-")))</f>
        <v/>
      </c>
      <c r="F428" s="16">
        <f>IF($L428="","",INDEX(HSTECH!$F$7:$F$46,$N428))</f>
        <v/>
      </c>
      <c r="G428" s="37">
        <f>IF($L428="","",IF(INT($P428/10)=0,"TBA",IFERROR(INDEX(Grids!$EE$113:$GQ$152,$N428,$O428),"-")))</f>
        <v/>
      </c>
      <c r="H428" s="38">
        <f>IF($L428="","",SUM($G$316:$G428))</f>
        <v/>
      </c>
      <c r="I428" s="39">
        <f>IF($L428="","",IF(INT(($L428-INT($L428/10000000)*10000000)/1000000)=0,"Bloomberg projection",IF(INT($P428/10)=1,"Announced","ANNOUNCED - amount TBA"))&amp;IF(($P428-INT($P428/10)*10)=1," (special)","")&amp;IF((($P428-INT($P428/10)*10)=1)*(Summary!$C$13="N")&gt;0," - excluded by your specials switch",""))</f>
        <v/>
      </c>
      <c r="J428" s="40">
        <f>IF($L428="","",IF((Override!$C$4="ON")*ISNUMBER(INDEX(Override!$G$113:$G$152,$N428))&gt;0,"stock overridden",""))</f>
        <v/>
      </c>
      <c r="L428" s="41">
        <f>IFERROR(IF(SMALL(Grids!$C$113:$BO$152,$M$313+113)&gt;=(Summary!$C$15+1)*1000000000,"",SMALL(Grids!$C$113:$BO$152,$M$313+113)),"")</f>
        <v/>
      </c>
      <c r="M428" s="41">
        <f>IF($L428="","",INT($L428/1000000000))</f>
        <v/>
      </c>
      <c r="N428" s="41">
        <f>IF($L428="","",INT(($L428-INT($L428/1000000)*1000000)/1000))</f>
        <v/>
      </c>
      <c r="O428" s="41">
        <f>IF($L428="","",$L428-INT($L428/1000)*1000)</f>
        <v/>
      </c>
      <c r="P428" s="41">
        <f>IF($L428="","",INT(($L428-INT($L428/1000000000)*1000000000)/10000000))</f>
        <v/>
      </c>
    </row>
    <row r="429">
      <c r="B429" s="36">
        <f>IF($L429="","",$M429)</f>
        <v/>
      </c>
      <c r="C429" s="16">
        <f>IF($L429="","",INDEX(HSTECH!$C$7:$C$46,$N429))</f>
        <v/>
      </c>
      <c r="D429" s="16">
        <f>IF($L429="","",INDEX(HSTECH!$D$7:$D$46,$N429))</f>
        <v/>
      </c>
      <c r="E429" s="37">
        <f>IF($L429="","",IF(INT($P429/10)=0,"TBA",IFERROR(INDEX(Grids!$BQ$113:$EC$152,$N429,$O429),"-")))</f>
        <v/>
      </c>
      <c r="F429" s="16">
        <f>IF($L429="","",INDEX(HSTECH!$F$7:$F$46,$N429))</f>
        <v/>
      </c>
      <c r="G429" s="37">
        <f>IF($L429="","",IF(INT($P429/10)=0,"TBA",IFERROR(INDEX(Grids!$EE$113:$GQ$152,$N429,$O429),"-")))</f>
        <v/>
      </c>
      <c r="H429" s="38">
        <f>IF($L429="","",SUM($G$316:$G429))</f>
        <v/>
      </c>
      <c r="I429" s="39">
        <f>IF($L429="","",IF(INT(($L429-INT($L429/10000000)*10000000)/1000000)=0,"Bloomberg projection",IF(INT($P429/10)=1,"Announced","ANNOUNCED - amount TBA"))&amp;IF(($P429-INT($P429/10)*10)=1," (special)","")&amp;IF((($P429-INT($P429/10)*10)=1)*(Summary!$C$13="N")&gt;0," - excluded by your specials switch",""))</f>
        <v/>
      </c>
      <c r="J429" s="40">
        <f>IF($L429="","",IF((Override!$C$4="ON")*ISNUMBER(INDEX(Override!$G$113:$G$152,$N429))&gt;0,"stock overridden",""))</f>
        <v/>
      </c>
      <c r="L429" s="41">
        <f>IFERROR(IF(SMALL(Grids!$C$113:$BO$152,$M$313+114)&gt;=(Summary!$C$15+1)*1000000000,"",SMALL(Grids!$C$113:$BO$152,$M$313+114)),"")</f>
        <v/>
      </c>
      <c r="M429" s="41">
        <f>IF($L429="","",INT($L429/1000000000))</f>
        <v/>
      </c>
      <c r="N429" s="41">
        <f>IF($L429="","",INT(($L429-INT($L429/1000000)*1000000)/1000))</f>
        <v/>
      </c>
      <c r="O429" s="41">
        <f>IF($L429="","",$L429-INT($L429/1000)*1000)</f>
        <v/>
      </c>
      <c r="P429" s="41">
        <f>IF($L429="","",INT(($L429-INT($L429/1000000000)*1000000000)/10000000))</f>
        <v/>
      </c>
    </row>
    <row r="430">
      <c r="B430" s="36">
        <f>IF($L430="","",$M430)</f>
        <v/>
      </c>
      <c r="C430" s="16">
        <f>IF($L430="","",INDEX(HSTECH!$C$7:$C$46,$N430))</f>
        <v/>
      </c>
      <c r="D430" s="16">
        <f>IF($L430="","",INDEX(HSTECH!$D$7:$D$46,$N430))</f>
        <v/>
      </c>
      <c r="E430" s="37">
        <f>IF($L430="","",IF(INT($P430/10)=0,"TBA",IFERROR(INDEX(Grids!$BQ$113:$EC$152,$N430,$O430),"-")))</f>
        <v/>
      </c>
      <c r="F430" s="16">
        <f>IF($L430="","",INDEX(HSTECH!$F$7:$F$46,$N430))</f>
        <v/>
      </c>
      <c r="G430" s="37">
        <f>IF($L430="","",IF(INT($P430/10)=0,"TBA",IFERROR(INDEX(Grids!$EE$113:$GQ$152,$N430,$O430),"-")))</f>
        <v/>
      </c>
      <c r="H430" s="38">
        <f>IF($L430="","",SUM($G$316:$G430))</f>
        <v/>
      </c>
      <c r="I430" s="39">
        <f>IF($L430="","",IF(INT(($L430-INT($L430/10000000)*10000000)/1000000)=0,"Bloomberg projection",IF(INT($P430/10)=1,"Announced","ANNOUNCED - amount TBA"))&amp;IF(($P430-INT($P430/10)*10)=1," (special)","")&amp;IF((($P430-INT($P430/10)*10)=1)*(Summary!$C$13="N")&gt;0," - excluded by your specials switch",""))</f>
        <v/>
      </c>
      <c r="J430" s="40">
        <f>IF($L430="","",IF((Override!$C$4="ON")*ISNUMBER(INDEX(Override!$G$113:$G$152,$N430))&gt;0,"stock overridden",""))</f>
        <v/>
      </c>
      <c r="L430" s="41">
        <f>IFERROR(IF(SMALL(Grids!$C$113:$BO$152,$M$313+115)&gt;=(Summary!$C$15+1)*1000000000,"",SMALL(Grids!$C$113:$BO$152,$M$313+115)),"")</f>
        <v/>
      </c>
      <c r="M430" s="41">
        <f>IF($L430="","",INT($L430/1000000000))</f>
        <v/>
      </c>
      <c r="N430" s="41">
        <f>IF($L430="","",INT(($L430-INT($L430/1000000)*1000000)/1000))</f>
        <v/>
      </c>
      <c r="O430" s="41">
        <f>IF($L430="","",$L430-INT($L430/1000)*1000)</f>
        <v/>
      </c>
      <c r="P430" s="41">
        <f>IF($L430="","",INT(($L430-INT($L430/1000000000)*1000000000)/10000000))</f>
        <v/>
      </c>
    </row>
    <row r="431">
      <c r="B431" s="36">
        <f>IF($L431="","",$M431)</f>
        <v/>
      </c>
      <c r="C431" s="16">
        <f>IF($L431="","",INDEX(HSTECH!$C$7:$C$46,$N431))</f>
        <v/>
      </c>
      <c r="D431" s="16">
        <f>IF($L431="","",INDEX(HSTECH!$D$7:$D$46,$N431))</f>
        <v/>
      </c>
      <c r="E431" s="37">
        <f>IF($L431="","",IF(INT($P431/10)=0,"TBA",IFERROR(INDEX(Grids!$BQ$113:$EC$152,$N431,$O431),"-")))</f>
        <v/>
      </c>
      <c r="F431" s="16">
        <f>IF($L431="","",INDEX(HSTECH!$F$7:$F$46,$N431))</f>
        <v/>
      </c>
      <c r="G431" s="37">
        <f>IF($L431="","",IF(INT($P431/10)=0,"TBA",IFERROR(INDEX(Grids!$EE$113:$GQ$152,$N431,$O431),"-")))</f>
        <v/>
      </c>
      <c r="H431" s="38">
        <f>IF($L431="","",SUM($G$316:$G431))</f>
        <v/>
      </c>
      <c r="I431" s="39">
        <f>IF($L431="","",IF(INT(($L431-INT($L431/10000000)*10000000)/1000000)=0,"Bloomberg projection",IF(INT($P431/10)=1,"Announced","ANNOUNCED - amount TBA"))&amp;IF(($P431-INT($P431/10)*10)=1," (special)","")&amp;IF((($P431-INT($P431/10)*10)=1)*(Summary!$C$13="N")&gt;0," - excluded by your specials switch",""))</f>
        <v/>
      </c>
      <c r="J431" s="40">
        <f>IF($L431="","",IF((Override!$C$4="ON")*ISNUMBER(INDEX(Override!$G$113:$G$152,$N431))&gt;0,"stock overridden",""))</f>
        <v/>
      </c>
      <c r="L431" s="41">
        <f>IFERROR(IF(SMALL(Grids!$C$113:$BO$152,$M$313+116)&gt;=(Summary!$C$15+1)*1000000000,"",SMALL(Grids!$C$113:$BO$152,$M$313+116)),"")</f>
        <v/>
      </c>
      <c r="M431" s="41">
        <f>IF($L431="","",INT($L431/1000000000))</f>
        <v/>
      </c>
      <c r="N431" s="41">
        <f>IF($L431="","",INT(($L431-INT($L431/1000000)*1000000)/1000))</f>
        <v/>
      </c>
      <c r="O431" s="41">
        <f>IF($L431="","",$L431-INT($L431/1000)*1000)</f>
        <v/>
      </c>
      <c r="P431" s="41">
        <f>IF($L431="","",INT(($L431-INT($L431/1000000000)*1000000000)/10000000))</f>
        <v/>
      </c>
    </row>
    <row r="432">
      <c r="B432" s="36">
        <f>IF($L432="","",$M432)</f>
        <v/>
      </c>
      <c r="C432" s="16">
        <f>IF($L432="","",INDEX(HSTECH!$C$7:$C$46,$N432))</f>
        <v/>
      </c>
      <c r="D432" s="16">
        <f>IF($L432="","",INDEX(HSTECH!$D$7:$D$46,$N432))</f>
        <v/>
      </c>
      <c r="E432" s="37">
        <f>IF($L432="","",IF(INT($P432/10)=0,"TBA",IFERROR(INDEX(Grids!$BQ$113:$EC$152,$N432,$O432),"-")))</f>
        <v/>
      </c>
      <c r="F432" s="16">
        <f>IF($L432="","",INDEX(HSTECH!$F$7:$F$46,$N432))</f>
        <v/>
      </c>
      <c r="G432" s="37">
        <f>IF($L432="","",IF(INT($P432/10)=0,"TBA",IFERROR(INDEX(Grids!$EE$113:$GQ$152,$N432,$O432),"-")))</f>
        <v/>
      </c>
      <c r="H432" s="38">
        <f>IF($L432="","",SUM($G$316:$G432))</f>
        <v/>
      </c>
      <c r="I432" s="39">
        <f>IF($L432="","",IF(INT(($L432-INT($L432/10000000)*10000000)/1000000)=0,"Bloomberg projection",IF(INT($P432/10)=1,"Announced","ANNOUNCED - amount TBA"))&amp;IF(($P432-INT($P432/10)*10)=1," (special)","")&amp;IF((($P432-INT($P432/10)*10)=1)*(Summary!$C$13="N")&gt;0," - excluded by your specials switch",""))</f>
        <v/>
      </c>
      <c r="J432" s="40">
        <f>IF($L432="","",IF((Override!$C$4="ON")*ISNUMBER(INDEX(Override!$G$113:$G$152,$N432))&gt;0,"stock overridden",""))</f>
        <v/>
      </c>
      <c r="L432" s="41">
        <f>IFERROR(IF(SMALL(Grids!$C$113:$BO$152,$M$313+117)&gt;=(Summary!$C$15+1)*1000000000,"",SMALL(Grids!$C$113:$BO$152,$M$313+117)),"")</f>
        <v/>
      </c>
      <c r="M432" s="41">
        <f>IF($L432="","",INT($L432/1000000000))</f>
        <v/>
      </c>
      <c r="N432" s="41">
        <f>IF($L432="","",INT(($L432-INT($L432/1000000)*1000000)/1000))</f>
        <v/>
      </c>
      <c r="O432" s="41">
        <f>IF($L432="","",$L432-INT($L432/1000)*1000)</f>
        <v/>
      </c>
      <c r="P432" s="41">
        <f>IF($L432="","",INT(($L432-INT($L432/1000000000)*1000000000)/10000000))</f>
        <v/>
      </c>
    </row>
    <row r="433">
      <c r="B433" s="36">
        <f>IF($L433="","",$M433)</f>
        <v/>
      </c>
      <c r="C433" s="16">
        <f>IF($L433="","",INDEX(HSTECH!$C$7:$C$46,$N433))</f>
        <v/>
      </c>
      <c r="D433" s="16">
        <f>IF($L433="","",INDEX(HSTECH!$D$7:$D$46,$N433))</f>
        <v/>
      </c>
      <c r="E433" s="37">
        <f>IF($L433="","",IF(INT($P433/10)=0,"TBA",IFERROR(INDEX(Grids!$BQ$113:$EC$152,$N433,$O433),"-")))</f>
        <v/>
      </c>
      <c r="F433" s="16">
        <f>IF($L433="","",INDEX(HSTECH!$F$7:$F$46,$N433))</f>
        <v/>
      </c>
      <c r="G433" s="37">
        <f>IF($L433="","",IF(INT($P433/10)=0,"TBA",IFERROR(INDEX(Grids!$EE$113:$GQ$152,$N433,$O433),"-")))</f>
        <v/>
      </c>
      <c r="H433" s="38">
        <f>IF($L433="","",SUM($G$316:$G433))</f>
        <v/>
      </c>
      <c r="I433" s="39">
        <f>IF($L433="","",IF(INT(($L433-INT($L433/10000000)*10000000)/1000000)=0,"Bloomberg projection",IF(INT($P433/10)=1,"Announced","ANNOUNCED - amount TBA"))&amp;IF(($P433-INT($P433/10)*10)=1," (special)","")&amp;IF((($P433-INT($P433/10)*10)=1)*(Summary!$C$13="N")&gt;0," - excluded by your specials switch",""))</f>
        <v/>
      </c>
      <c r="J433" s="40">
        <f>IF($L433="","",IF((Override!$C$4="ON")*ISNUMBER(INDEX(Override!$G$113:$G$152,$N433))&gt;0,"stock overridden",""))</f>
        <v/>
      </c>
      <c r="L433" s="41">
        <f>IFERROR(IF(SMALL(Grids!$C$113:$BO$152,$M$313+118)&gt;=(Summary!$C$15+1)*1000000000,"",SMALL(Grids!$C$113:$BO$152,$M$313+118)),"")</f>
        <v/>
      </c>
      <c r="M433" s="41">
        <f>IF($L433="","",INT($L433/1000000000))</f>
        <v/>
      </c>
      <c r="N433" s="41">
        <f>IF($L433="","",INT(($L433-INT($L433/1000000)*1000000)/1000))</f>
        <v/>
      </c>
      <c r="O433" s="41">
        <f>IF($L433="","",$L433-INT($L433/1000)*1000)</f>
        <v/>
      </c>
      <c r="P433" s="41">
        <f>IF($L433="","",INT(($L433-INT($L433/1000000000)*1000000000)/10000000))</f>
        <v/>
      </c>
    </row>
    <row r="434">
      <c r="B434" s="36">
        <f>IF($L434="","",$M434)</f>
        <v/>
      </c>
      <c r="C434" s="16">
        <f>IF($L434="","",INDEX(HSTECH!$C$7:$C$46,$N434))</f>
        <v/>
      </c>
      <c r="D434" s="16">
        <f>IF($L434="","",INDEX(HSTECH!$D$7:$D$46,$N434))</f>
        <v/>
      </c>
      <c r="E434" s="37">
        <f>IF($L434="","",IF(INT($P434/10)=0,"TBA",IFERROR(INDEX(Grids!$BQ$113:$EC$152,$N434,$O434),"-")))</f>
        <v/>
      </c>
      <c r="F434" s="16">
        <f>IF($L434="","",INDEX(HSTECH!$F$7:$F$46,$N434))</f>
        <v/>
      </c>
      <c r="G434" s="37">
        <f>IF($L434="","",IF(INT($P434/10)=0,"TBA",IFERROR(INDEX(Grids!$EE$113:$GQ$152,$N434,$O434),"-")))</f>
        <v/>
      </c>
      <c r="H434" s="38">
        <f>IF($L434="","",SUM($G$316:$G434))</f>
        <v/>
      </c>
      <c r="I434" s="39">
        <f>IF($L434="","",IF(INT(($L434-INT($L434/10000000)*10000000)/1000000)=0,"Bloomberg projection",IF(INT($P434/10)=1,"Announced","ANNOUNCED - amount TBA"))&amp;IF(($P434-INT($P434/10)*10)=1," (special)","")&amp;IF((($P434-INT($P434/10)*10)=1)*(Summary!$C$13="N")&gt;0," - excluded by your specials switch",""))</f>
        <v/>
      </c>
      <c r="J434" s="40">
        <f>IF($L434="","",IF((Override!$C$4="ON")*ISNUMBER(INDEX(Override!$G$113:$G$152,$N434))&gt;0,"stock overridden",""))</f>
        <v/>
      </c>
      <c r="L434" s="41">
        <f>IFERROR(IF(SMALL(Grids!$C$113:$BO$152,$M$313+119)&gt;=(Summary!$C$15+1)*1000000000,"",SMALL(Grids!$C$113:$BO$152,$M$313+119)),"")</f>
        <v/>
      </c>
      <c r="M434" s="41">
        <f>IF($L434="","",INT($L434/1000000000))</f>
        <v/>
      </c>
      <c r="N434" s="41">
        <f>IF($L434="","",INT(($L434-INT($L434/1000000)*1000000)/1000))</f>
        <v/>
      </c>
      <c r="O434" s="41">
        <f>IF($L434="","",$L434-INT($L434/1000)*1000)</f>
        <v/>
      </c>
      <c r="P434" s="41">
        <f>IF($L434="","",INT(($L434-INT($L434/1000000000)*1000000000)/10000000))</f>
        <v/>
      </c>
    </row>
    <row r="435">
      <c r="B435" s="36">
        <f>IF($L435="","",$M435)</f>
        <v/>
      </c>
      <c r="C435" s="16">
        <f>IF($L435="","",INDEX(HSTECH!$C$7:$C$46,$N435))</f>
        <v/>
      </c>
      <c r="D435" s="16">
        <f>IF($L435="","",INDEX(HSTECH!$D$7:$D$46,$N435))</f>
        <v/>
      </c>
      <c r="E435" s="37">
        <f>IF($L435="","",IF(INT($P435/10)=0,"TBA",IFERROR(INDEX(Grids!$BQ$113:$EC$152,$N435,$O435),"-")))</f>
        <v/>
      </c>
      <c r="F435" s="16">
        <f>IF($L435="","",INDEX(HSTECH!$F$7:$F$46,$N435))</f>
        <v/>
      </c>
      <c r="G435" s="37">
        <f>IF($L435="","",IF(INT($P435/10)=0,"TBA",IFERROR(INDEX(Grids!$EE$113:$GQ$152,$N435,$O435),"-")))</f>
        <v/>
      </c>
      <c r="H435" s="38">
        <f>IF($L435="","",SUM($G$316:$G435))</f>
        <v/>
      </c>
      <c r="I435" s="39">
        <f>IF($L435="","",IF(INT(($L435-INT($L435/10000000)*10000000)/1000000)=0,"Bloomberg projection",IF(INT($P435/10)=1,"Announced","ANNOUNCED - amount TBA"))&amp;IF(($P435-INT($P435/10)*10)=1," (special)","")&amp;IF((($P435-INT($P435/10)*10)=1)*(Summary!$C$13="N")&gt;0," - excluded by your specials switch",""))</f>
        <v/>
      </c>
      <c r="J435" s="40">
        <f>IF($L435="","",IF((Override!$C$4="ON")*ISNUMBER(INDEX(Override!$G$113:$G$152,$N435))&gt;0,"stock overridden",""))</f>
        <v/>
      </c>
      <c r="L435" s="41">
        <f>IFERROR(IF(SMALL(Grids!$C$113:$BO$152,$M$313+120)&gt;=(Summary!$C$15+1)*1000000000,"",SMALL(Grids!$C$113:$BO$152,$M$313+120)),"")</f>
        <v/>
      </c>
      <c r="M435" s="41">
        <f>IF($L435="","",INT($L435/1000000000))</f>
        <v/>
      </c>
      <c r="N435" s="41">
        <f>IF($L435="","",INT(($L435-INT($L435/1000000)*1000000)/1000))</f>
        <v/>
      </c>
      <c r="O435" s="41">
        <f>IF($L435="","",$L435-INT($L435/1000)*1000)</f>
        <v/>
      </c>
      <c r="P435" s="41">
        <f>IF($L435="","",INT(($L435-INT($L435/1000000000)*1000000000)/10000000))</f>
        <v/>
      </c>
    </row>
    <row r="438">
      <c r="B438" s="3" t="inlineStr">
        <is>
          <t>Hang Seng China Enterprises (HSCEI)</t>
        </is>
      </c>
      <c r="C438" s="4" t="n"/>
      <c r="D438" s="4" t="n"/>
      <c r="E438" s="4" t="n"/>
      <c r="F438" s="4" t="n"/>
      <c r="G438" s="4" t="n"/>
      <c r="H438" s="4" t="n"/>
      <c r="I438" s="4" t="n"/>
      <c r="J438" s="4" t="n"/>
    </row>
    <row r="439">
      <c r="B439" s="2" t="inlineStr">
        <is>
          <t>Events pending</t>
        </is>
      </c>
      <c r="C439" s="33">
        <f>COUNTIFS(Grids!$C$157:$BO$216,"&gt;="&amp;(Summary!$C$11+1)*1000000000,Grids!$C$157:$BO$216,"&lt;"&amp;(Summary!$C$15+1)*1000000000)</f>
        <v/>
      </c>
      <c r="D439" s="34">
        <f>IF($C$439&gt;180,"LIST TRUNCATED - showing the first 180. They are still counted in the model.","all of them are listed below")</f>
        <v/>
      </c>
      <c r="L439" s="2" t="inlineStr">
        <is>
          <t>offset</t>
        </is>
      </c>
      <c r="M439" s="35">
        <f>COUNTIF(Grids!$C$157:$BO$216,"&lt;"&amp;(Summary!$C$11+1)*1000000000)</f>
        <v/>
      </c>
    </row>
    <row r="441">
      <c r="B441" s="17" t="inlineStr">
        <is>
          <t>Ex-date</t>
        </is>
      </c>
      <c r="C441" s="17" t="inlineStr">
        <is>
          <t>Ticker</t>
        </is>
      </c>
      <c r="D441" s="17" t="inlineStr">
        <is>
          <t>Name</t>
        </is>
      </c>
      <c r="E441" s="17" t="inlineStr">
        <is>
          <t>DPS
(declared ccy)</t>
        </is>
      </c>
      <c r="F441" s="17" t="inlineStr">
        <is>
          <t>CCY</t>
        </is>
      </c>
      <c r="G441" s="17" t="inlineStr">
        <is>
          <t>Index
pts</t>
        </is>
      </c>
      <c r="H441" s="17" t="inlineStr">
        <is>
          <t>Cumulative
pts</t>
        </is>
      </c>
      <c r="I441" s="17" t="inlineStr">
        <is>
          <t>Status</t>
        </is>
      </c>
      <c r="J441" s="17" t="inlineStr">
        <is>
          <t>Your override?</t>
        </is>
      </c>
      <c r="L441" s="2" t="inlineStr">
        <is>
          <t>engine - ignore</t>
        </is>
      </c>
      <c r="M441" s="2" t="inlineStr">
        <is>
          <t>code</t>
        </is>
      </c>
      <c r="N441" s="2" t="inlineStr">
        <is>
          <t>stock</t>
        </is>
      </c>
      <c r="O441" s="2" t="inlineStr">
        <is>
          <t>slot</t>
        </is>
      </c>
      <c r="P441" s="2" t="inlineStr">
        <is>
          <t>amt/spc</t>
        </is>
      </c>
    </row>
    <row r="442">
      <c r="B442" s="36">
        <f>IF($L442="","",$M442)</f>
        <v/>
      </c>
      <c r="C442" s="16">
        <f>IF($L442="","",INDEX(HSCEI!$C$7:$C$66,$N442))</f>
        <v/>
      </c>
      <c r="D442" s="16">
        <f>IF($L442="","",INDEX(HSCEI!$D$7:$D$66,$N442))</f>
        <v/>
      </c>
      <c r="E442" s="37">
        <f>IF($L442="","",IF(INT($P442/10)=0,"TBA",IFERROR(INDEX(Grids!$BQ$157:$EC$216,$N442,$O442),"-")))</f>
        <v/>
      </c>
      <c r="F442" s="16">
        <f>IF($L442="","",INDEX(HSCEI!$F$7:$F$66,$N442))</f>
        <v/>
      </c>
      <c r="G442" s="37">
        <f>IF($L442="","",IF(INT($P442/10)=0,"TBA",IFERROR(INDEX(Grids!$EE$157:$GQ$216,$N442,$O442),"-")))</f>
        <v/>
      </c>
      <c r="H442" s="38">
        <f>IF($L442="","",SUM($G$442:$G442))</f>
        <v/>
      </c>
      <c r="I442" s="39">
        <f>IF($L442="","",IF(INT(($L442-INT($L442/10000000)*10000000)/1000000)=0,"Bloomberg projection",IF(INT($P442/10)=1,"Announced","ANNOUNCED - amount TBA"))&amp;IF(($P442-INT($P442/10)*10)=1," (special)","")&amp;IF((($P442-INT($P442/10)*10)=1)*(Summary!$C$13="N")&gt;0," - excluded by your specials switch",""))</f>
        <v/>
      </c>
      <c r="J442" s="40">
        <f>IF($L442="","",IF((Override!$C$4="ON")*ISNUMBER(INDEX(Override!$G$153:$G$212,$N442))&gt;0,"stock overridden",""))</f>
        <v/>
      </c>
      <c r="L442" s="41">
        <f>IFERROR(IF(SMALL(Grids!$C$157:$BO$216,$M$439+1)&gt;=(Summary!$C$15+1)*1000000000,"",SMALL(Grids!$C$157:$BO$216,$M$439+1)),"")</f>
        <v/>
      </c>
      <c r="M442" s="41">
        <f>IF($L442="","",INT($L442/1000000000))</f>
        <v/>
      </c>
      <c r="N442" s="41">
        <f>IF($L442="","",INT(($L442-INT($L442/1000000)*1000000)/1000))</f>
        <v/>
      </c>
      <c r="O442" s="41">
        <f>IF($L442="","",$L442-INT($L442/1000)*1000)</f>
        <v/>
      </c>
      <c r="P442" s="41">
        <f>IF($L442="","",INT(($L442-INT($L442/1000000000)*1000000000)/10000000))</f>
        <v/>
      </c>
    </row>
    <row r="443">
      <c r="B443" s="36">
        <f>IF($L443="","",$M443)</f>
        <v/>
      </c>
      <c r="C443" s="16">
        <f>IF($L443="","",INDEX(HSCEI!$C$7:$C$66,$N443))</f>
        <v/>
      </c>
      <c r="D443" s="16">
        <f>IF($L443="","",INDEX(HSCEI!$D$7:$D$66,$N443))</f>
        <v/>
      </c>
      <c r="E443" s="37">
        <f>IF($L443="","",IF(INT($P443/10)=0,"TBA",IFERROR(INDEX(Grids!$BQ$157:$EC$216,$N443,$O443),"-")))</f>
        <v/>
      </c>
      <c r="F443" s="16">
        <f>IF($L443="","",INDEX(HSCEI!$F$7:$F$66,$N443))</f>
        <v/>
      </c>
      <c r="G443" s="37">
        <f>IF($L443="","",IF(INT($P443/10)=0,"TBA",IFERROR(INDEX(Grids!$EE$157:$GQ$216,$N443,$O443),"-")))</f>
        <v/>
      </c>
      <c r="H443" s="38">
        <f>IF($L443="","",SUM($G$442:$G443))</f>
        <v/>
      </c>
      <c r="I443" s="39">
        <f>IF($L443="","",IF(INT(($L443-INT($L443/10000000)*10000000)/1000000)=0,"Bloomberg projection",IF(INT($P443/10)=1,"Announced","ANNOUNCED - amount TBA"))&amp;IF(($P443-INT($P443/10)*10)=1," (special)","")&amp;IF((($P443-INT($P443/10)*10)=1)*(Summary!$C$13="N")&gt;0," - excluded by your specials switch",""))</f>
        <v/>
      </c>
      <c r="J443" s="40">
        <f>IF($L443="","",IF((Override!$C$4="ON")*ISNUMBER(INDEX(Override!$G$153:$G$212,$N443))&gt;0,"stock overridden",""))</f>
        <v/>
      </c>
      <c r="L443" s="41">
        <f>IFERROR(IF(SMALL(Grids!$C$157:$BO$216,$M$439+2)&gt;=(Summary!$C$15+1)*1000000000,"",SMALL(Grids!$C$157:$BO$216,$M$439+2)),"")</f>
        <v/>
      </c>
      <c r="M443" s="41">
        <f>IF($L443="","",INT($L443/1000000000))</f>
        <v/>
      </c>
      <c r="N443" s="41">
        <f>IF($L443="","",INT(($L443-INT($L443/1000000)*1000000)/1000))</f>
        <v/>
      </c>
      <c r="O443" s="41">
        <f>IF($L443="","",$L443-INT($L443/1000)*1000)</f>
        <v/>
      </c>
      <c r="P443" s="41">
        <f>IF($L443="","",INT(($L443-INT($L443/1000000000)*1000000000)/10000000))</f>
        <v/>
      </c>
    </row>
    <row r="444">
      <c r="B444" s="36">
        <f>IF($L444="","",$M444)</f>
        <v/>
      </c>
      <c r="C444" s="16">
        <f>IF($L444="","",INDEX(HSCEI!$C$7:$C$66,$N444))</f>
        <v/>
      </c>
      <c r="D444" s="16">
        <f>IF($L444="","",INDEX(HSCEI!$D$7:$D$66,$N444))</f>
        <v/>
      </c>
      <c r="E444" s="37">
        <f>IF($L444="","",IF(INT($P444/10)=0,"TBA",IFERROR(INDEX(Grids!$BQ$157:$EC$216,$N444,$O444),"-")))</f>
        <v/>
      </c>
      <c r="F444" s="16">
        <f>IF($L444="","",INDEX(HSCEI!$F$7:$F$66,$N444))</f>
        <v/>
      </c>
      <c r="G444" s="37">
        <f>IF($L444="","",IF(INT($P444/10)=0,"TBA",IFERROR(INDEX(Grids!$EE$157:$GQ$216,$N444,$O444),"-")))</f>
        <v/>
      </c>
      <c r="H444" s="38">
        <f>IF($L444="","",SUM($G$442:$G444))</f>
        <v/>
      </c>
      <c r="I444" s="39">
        <f>IF($L444="","",IF(INT(($L444-INT($L444/10000000)*10000000)/1000000)=0,"Bloomberg projection",IF(INT($P444/10)=1,"Announced","ANNOUNCED - amount TBA"))&amp;IF(($P444-INT($P444/10)*10)=1," (special)","")&amp;IF((($P444-INT($P444/10)*10)=1)*(Summary!$C$13="N")&gt;0," - excluded by your specials switch",""))</f>
        <v/>
      </c>
      <c r="J444" s="40">
        <f>IF($L444="","",IF((Override!$C$4="ON")*ISNUMBER(INDEX(Override!$G$153:$G$212,$N444))&gt;0,"stock overridden",""))</f>
        <v/>
      </c>
      <c r="L444" s="41">
        <f>IFERROR(IF(SMALL(Grids!$C$157:$BO$216,$M$439+3)&gt;=(Summary!$C$15+1)*1000000000,"",SMALL(Grids!$C$157:$BO$216,$M$439+3)),"")</f>
        <v/>
      </c>
      <c r="M444" s="41">
        <f>IF($L444="","",INT($L444/1000000000))</f>
        <v/>
      </c>
      <c r="N444" s="41">
        <f>IF($L444="","",INT(($L444-INT($L444/1000000)*1000000)/1000))</f>
        <v/>
      </c>
      <c r="O444" s="41">
        <f>IF($L444="","",$L444-INT($L444/1000)*1000)</f>
        <v/>
      </c>
      <c r="P444" s="41">
        <f>IF($L444="","",INT(($L444-INT($L444/1000000000)*1000000000)/10000000))</f>
        <v/>
      </c>
    </row>
    <row r="445">
      <c r="B445" s="36">
        <f>IF($L445="","",$M445)</f>
        <v/>
      </c>
      <c r="C445" s="16">
        <f>IF($L445="","",INDEX(HSCEI!$C$7:$C$66,$N445))</f>
        <v/>
      </c>
      <c r="D445" s="16">
        <f>IF($L445="","",INDEX(HSCEI!$D$7:$D$66,$N445))</f>
        <v/>
      </c>
      <c r="E445" s="37">
        <f>IF($L445="","",IF(INT($P445/10)=0,"TBA",IFERROR(INDEX(Grids!$BQ$157:$EC$216,$N445,$O445),"-")))</f>
        <v/>
      </c>
      <c r="F445" s="16">
        <f>IF($L445="","",INDEX(HSCEI!$F$7:$F$66,$N445))</f>
        <v/>
      </c>
      <c r="G445" s="37">
        <f>IF($L445="","",IF(INT($P445/10)=0,"TBA",IFERROR(INDEX(Grids!$EE$157:$GQ$216,$N445,$O445),"-")))</f>
        <v/>
      </c>
      <c r="H445" s="38">
        <f>IF($L445="","",SUM($G$442:$G445))</f>
        <v/>
      </c>
      <c r="I445" s="39">
        <f>IF($L445="","",IF(INT(($L445-INT($L445/10000000)*10000000)/1000000)=0,"Bloomberg projection",IF(INT($P445/10)=1,"Announced","ANNOUNCED - amount TBA"))&amp;IF(($P445-INT($P445/10)*10)=1," (special)","")&amp;IF((($P445-INT($P445/10)*10)=1)*(Summary!$C$13="N")&gt;0," - excluded by your specials switch",""))</f>
        <v/>
      </c>
      <c r="J445" s="40">
        <f>IF($L445="","",IF((Override!$C$4="ON")*ISNUMBER(INDEX(Override!$G$153:$G$212,$N445))&gt;0,"stock overridden",""))</f>
        <v/>
      </c>
      <c r="L445" s="41">
        <f>IFERROR(IF(SMALL(Grids!$C$157:$BO$216,$M$439+4)&gt;=(Summary!$C$15+1)*1000000000,"",SMALL(Grids!$C$157:$BO$216,$M$439+4)),"")</f>
        <v/>
      </c>
      <c r="M445" s="41">
        <f>IF($L445="","",INT($L445/1000000000))</f>
        <v/>
      </c>
      <c r="N445" s="41">
        <f>IF($L445="","",INT(($L445-INT($L445/1000000)*1000000)/1000))</f>
        <v/>
      </c>
      <c r="O445" s="41">
        <f>IF($L445="","",$L445-INT($L445/1000)*1000)</f>
        <v/>
      </c>
      <c r="P445" s="41">
        <f>IF($L445="","",INT(($L445-INT($L445/1000000000)*1000000000)/10000000))</f>
        <v/>
      </c>
    </row>
    <row r="446">
      <c r="B446" s="36">
        <f>IF($L446="","",$M446)</f>
        <v/>
      </c>
      <c r="C446" s="16">
        <f>IF($L446="","",INDEX(HSCEI!$C$7:$C$66,$N446))</f>
        <v/>
      </c>
      <c r="D446" s="16">
        <f>IF($L446="","",INDEX(HSCEI!$D$7:$D$66,$N446))</f>
        <v/>
      </c>
      <c r="E446" s="37">
        <f>IF($L446="","",IF(INT($P446/10)=0,"TBA",IFERROR(INDEX(Grids!$BQ$157:$EC$216,$N446,$O446),"-")))</f>
        <v/>
      </c>
      <c r="F446" s="16">
        <f>IF($L446="","",INDEX(HSCEI!$F$7:$F$66,$N446))</f>
        <v/>
      </c>
      <c r="G446" s="37">
        <f>IF($L446="","",IF(INT($P446/10)=0,"TBA",IFERROR(INDEX(Grids!$EE$157:$GQ$216,$N446,$O446),"-")))</f>
        <v/>
      </c>
      <c r="H446" s="38">
        <f>IF($L446="","",SUM($G$442:$G446))</f>
        <v/>
      </c>
      <c r="I446" s="39">
        <f>IF($L446="","",IF(INT(($L446-INT($L446/10000000)*10000000)/1000000)=0,"Bloomberg projection",IF(INT($P446/10)=1,"Announced","ANNOUNCED - amount TBA"))&amp;IF(($P446-INT($P446/10)*10)=1," (special)","")&amp;IF((($P446-INT($P446/10)*10)=1)*(Summary!$C$13="N")&gt;0," - excluded by your specials switch",""))</f>
        <v/>
      </c>
      <c r="J446" s="40">
        <f>IF($L446="","",IF((Override!$C$4="ON")*ISNUMBER(INDEX(Override!$G$153:$G$212,$N446))&gt;0,"stock overridden",""))</f>
        <v/>
      </c>
      <c r="L446" s="41">
        <f>IFERROR(IF(SMALL(Grids!$C$157:$BO$216,$M$439+5)&gt;=(Summary!$C$15+1)*1000000000,"",SMALL(Grids!$C$157:$BO$216,$M$439+5)),"")</f>
        <v/>
      </c>
      <c r="M446" s="41">
        <f>IF($L446="","",INT($L446/1000000000))</f>
        <v/>
      </c>
      <c r="N446" s="41">
        <f>IF($L446="","",INT(($L446-INT($L446/1000000)*1000000)/1000))</f>
        <v/>
      </c>
      <c r="O446" s="41">
        <f>IF($L446="","",$L446-INT($L446/1000)*1000)</f>
        <v/>
      </c>
      <c r="P446" s="41">
        <f>IF($L446="","",INT(($L446-INT($L446/1000000000)*1000000000)/10000000))</f>
        <v/>
      </c>
    </row>
    <row r="447">
      <c r="B447" s="36">
        <f>IF($L447="","",$M447)</f>
        <v/>
      </c>
      <c r="C447" s="16">
        <f>IF($L447="","",INDEX(HSCEI!$C$7:$C$66,$N447))</f>
        <v/>
      </c>
      <c r="D447" s="16">
        <f>IF($L447="","",INDEX(HSCEI!$D$7:$D$66,$N447))</f>
        <v/>
      </c>
      <c r="E447" s="37">
        <f>IF($L447="","",IF(INT($P447/10)=0,"TBA",IFERROR(INDEX(Grids!$BQ$157:$EC$216,$N447,$O447),"-")))</f>
        <v/>
      </c>
      <c r="F447" s="16">
        <f>IF($L447="","",INDEX(HSCEI!$F$7:$F$66,$N447))</f>
        <v/>
      </c>
      <c r="G447" s="37">
        <f>IF($L447="","",IF(INT($P447/10)=0,"TBA",IFERROR(INDEX(Grids!$EE$157:$GQ$216,$N447,$O447),"-")))</f>
        <v/>
      </c>
      <c r="H447" s="38">
        <f>IF($L447="","",SUM($G$442:$G447))</f>
        <v/>
      </c>
      <c r="I447" s="39">
        <f>IF($L447="","",IF(INT(($L447-INT($L447/10000000)*10000000)/1000000)=0,"Bloomberg projection",IF(INT($P447/10)=1,"Announced","ANNOUNCED - amount TBA"))&amp;IF(($P447-INT($P447/10)*10)=1," (special)","")&amp;IF((($P447-INT($P447/10)*10)=1)*(Summary!$C$13="N")&gt;0," - excluded by your specials switch",""))</f>
        <v/>
      </c>
      <c r="J447" s="40">
        <f>IF($L447="","",IF((Override!$C$4="ON")*ISNUMBER(INDEX(Override!$G$153:$G$212,$N447))&gt;0,"stock overridden",""))</f>
        <v/>
      </c>
      <c r="L447" s="41">
        <f>IFERROR(IF(SMALL(Grids!$C$157:$BO$216,$M$439+6)&gt;=(Summary!$C$15+1)*1000000000,"",SMALL(Grids!$C$157:$BO$216,$M$439+6)),"")</f>
        <v/>
      </c>
      <c r="M447" s="41">
        <f>IF($L447="","",INT($L447/1000000000))</f>
        <v/>
      </c>
      <c r="N447" s="41">
        <f>IF($L447="","",INT(($L447-INT($L447/1000000)*1000000)/1000))</f>
        <v/>
      </c>
      <c r="O447" s="41">
        <f>IF($L447="","",$L447-INT($L447/1000)*1000)</f>
        <v/>
      </c>
      <c r="P447" s="41">
        <f>IF($L447="","",INT(($L447-INT($L447/1000000000)*1000000000)/10000000))</f>
        <v/>
      </c>
    </row>
    <row r="448">
      <c r="B448" s="36">
        <f>IF($L448="","",$M448)</f>
        <v/>
      </c>
      <c r="C448" s="16">
        <f>IF($L448="","",INDEX(HSCEI!$C$7:$C$66,$N448))</f>
        <v/>
      </c>
      <c r="D448" s="16">
        <f>IF($L448="","",INDEX(HSCEI!$D$7:$D$66,$N448))</f>
        <v/>
      </c>
      <c r="E448" s="37">
        <f>IF($L448="","",IF(INT($P448/10)=0,"TBA",IFERROR(INDEX(Grids!$BQ$157:$EC$216,$N448,$O448),"-")))</f>
        <v/>
      </c>
      <c r="F448" s="16">
        <f>IF($L448="","",INDEX(HSCEI!$F$7:$F$66,$N448))</f>
        <v/>
      </c>
      <c r="G448" s="37">
        <f>IF($L448="","",IF(INT($P448/10)=0,"TBA",IFERROR(INDEX(Grids!$EE$157:$GQ$216,$N448,$O448),"-")))</f>
        <v/>
      </c>
      <c r="H448" s="38">
        <f>IF($L448="","",SUM($G$442:$G448))</f>
        <v/>
      </c>
      <c r="I448" s="39">
        <f>IF($L448="","",IF(INT(($L448-INT($L448/10000000)*10000000)/1000000)=0,"Bloomberg projection",IF(INT($P448/10)=1,"Announced","ANNOUNCED - amount TBA"))&amp;IF(($P448-INT($P448/10)*10)=1," (special)","")&amp;IF((($P448-INT($P448/10)*10)=1)*(Summary!$C$13="N")&gt;0," - excluded by your specials switch",""))</f>
        <v/>
      </c>
      <c r="J448" s="40">
        <f>IF($L448="","",IF((Override!$C$4="ON")*ISNUMBER(INDEX(Override!$G$153:$G$212,$N448))&gt;0,"stock overridden",""))</f>
        <v/>
      </c>
      <c r="L448" s="41">
        <f>IFERROR(IF(SMALL(Grids!$C$157:$BO$216,$M$439+7)&gt;=(Summary!$C$15+1)*1000000000,"",SMALL(Grids!$C$157:$BO$216,$M$439+7)),"")</f>
        <v/>
      </c>
      <c r="M448" s="41">
        <f>IF($L448="","",INT($L448/1000000000))</f>
        <v/>
      </c>
      <c r="N448" s="41">
        <f>IF($L448="","",INT(($L448-INT($L448/1000000)*1000000)/1000))</f>
        <v/>
      </c>
      <c r="O448" s="41">
        <f>IF($L448="","",$L448-INT($L448/1000)*1000)</f>
        <v/>
      </c>
      <c r="P448" s="41">
        <f>IF($L448="","",INT(($L448-INT($L448/1000000000)*1000000000)/10000000))</f>
        <v/>
      </c>
    </row>
    <row r="449">
      <c r="B449" s="36">
        <f>IF($L449="","",$M449)</f>
        <v/>
      </c>
      <c r="C449" s="16">
        <f>IF($L449="","",INDEX(HSCEI!$C$7:$C$66,$N449))</f>
        <v/>
      </c>
      <c r="D449" s="16">
        <f>IF($L449="","",INDEX(HSCEI!$D$7:$D$66,$N449))</f>
        <v/>
      </c>
      <c r="E449" s="37">
        <f>IF($L449="","",IF(INT($P449/10)=0,"TBA",IFERROR(INDEX(Grids!$BQ$157:$EC$216,$N449,$O449),"-")))</f>
        <v/>
      </c>
      <c r="F449" s="16">
        <f>IF($L449="","",INDEX(HSCEI!$F$7:$F$66,$N449))</f>
        <v/>
      </c>
      <c r="G449" s="37">
        <f>IF($L449="","",IF(INT($P449/10)=0,"TBA",IFERROR(INDEX(Grids!$EE$157:$GQ$216,$N449,$O449),"-")))</f>
        <v/>
      </c>
      <c r="H449" s="38">
        <f>IF($L449="","",SUM($G$442:$G449))</f>
        <v/>
      </c>
      <c r="I449" s="39">
        <f>IF($L449="","",IF(INT(($L449-INT($L449/10000000)*10000000)/1000000)=0,"Bloomberg projection",IF(INT($P449/10)=1,"Announced","ANNOUNCED - amount TBA"))&amp;IF(($P449-INT($P449/10)*10)=1," (special)","")&amp;IF((($P449-INT($P449/10)*10)=1)*(Summary!$C$13="N")&gt;0," - excluded by your specials switch",""))</f>
        <v/>
      </c>
      <c r="J449" s="40">
        <f>IF($L449="","",IF((Override!$C$4="ON")*ISNUMBER(INDEX(Override!$G$153:$G$212,$N449))&gt;0,"stock overridden",""))</f>
        <v/>
      </c>
      <c r="L449" s="41">
        <f>IFERROR(IF(SMALL(Grids!$C$157:$BO$216,$M$439+8)&gt;=(Summary!$C$15+1)*1000000000,"",SMALL(Grids!$C$157:$BO$216,$M$439+8)),"")</f>
        <v/>
      </c>
      <c r="M449" s="41">
        <f>IF($L449="","",INT($L449/1000000000))</f>
        <v/>
      </c>
      <c r="N449" s="41">
        <f>IF($L449="","",INT(($L449-INT($L449/1000000)*1000000)/1000))</f>
        <v/>
      </c>
      <c r="O449" s="41">
        <f>IF($L449="","",$L449-INT($L449/1000)*1000)</f>
        <v/>
      </c>
      <c r="P449" s="41">
        <f>IF($L449="","",INT(($L449-INT($L449/1000000000)*1000000000)/10000000))</f>
        <v/>
      </c>
    </row>
    <row r="450">
      <c r="B450" s="36">
        <f>IF($L450="","",$M450)</f>
        <v/>
      </c>
      <c r="C450" s="16">
        <f>IF($L450="","",INDEX(HSCEI!$C$7:$C$66,$N450))</f>
        <v/>
      </c>
      <c r="D450" s="16">
        <f>IF($L450="","",INDEX(HSCEI!$D$7:$D$66,$N450))</f>
        <v/>
      </c>
      <c r="E450" s="37">
        <f>IF($L450="","",IF(INT($P450/10)=0,"TBA",IFERROR(INDEX(Grids!$BQ$157:$EC$216,$N450,$O450),"-")))</f>
        <v/>
      </c>
      <c r="F450" s="16">
        <f>IF($L450="","",INDEX(HSCEI!$F$7:$F$66,$N450))</f>
        <v/>
      </c>
      <c r="G450" s="37">
        <f>IF($L450="","",IF(INT($P450/10)=0,"TBA",IFERROR(INDEX(Grids!$EE$157:$GQ$216,$N450,$O450),"-")))</f>
        <v/>
      </c>
      <c r="H450" s="38">
        <f>IF($L450="","",SUM($G$442:$G450))</f>
        <v/>
      </c>
      <c r="I450" s="39">
        <f>IF($L450="","",IF(INT(($L450-INT($L450/10000000)*10000000)/1000000)=0,"Bloomberg projection",IF(INT($P450/10)=1,"Announced","ANNOUNCED - amount TBA"))&amp;IF(($P450-INT($P450/10)*10)=1," (special)","")&amp;IF((($P450-INT($P450/10)*10)=1)*(Summary!$C$13="N")&gt;0," - excluded by your specials switch",""))</f>
        <v/>
      </c>
      <c r="J450" s="40">
        <f>IF($L450="","",IF((Override!$C$4="ON")*ISNUMBER(INDEX(Override!$G$153:$G$212,$N450))&gt;0,"stock overridden",""))</f>
        <v/>
      </c>
      <c r="L450" s="41">
        <f>IFERROR(IF(SMALL(Grids!$C$157:$BO$216,$M$439+9)&gt;=(Summary!$C$15+1)*1000000000,"",SMALL(Grids!$C$157:$BO$216,$M$439+9)),"")</f>
        <v/>
      </c>
      <c r="M450" s="41">
        <f>IF($L450="","",INT($L450/1000000000))</f>
        <v/>
      </c>
      <c r="N450" s="41">
        <f>IF($L450="","",INT(($L450-INT($L450/1000000)*1000000)/1000))</f>
        <v/>
      </c>
      <c r="O450" s="41">
        <f>IF($L450="","",$L450-INT($L450/1000)*1000)</f>
        <v/>
      </c>
      <c r="P450" s="41">
        <f>IF($L450="","",INT(($L450-INT($L450/1000000000)*1000000000)/10000000))</f>
        <v/>
      </c>
    </row>
    <row r="451">
      <c r="B451" s="36">
        <f>IF($L451="","",$M451)</f>
        <v/>
      </c>
      <c r="C451" s="16">
        <f>IF($L451="","",INDEX(HSCEI!$C$7:$C$66,$N451))</f>
        <v/>
      </c>
      <c r="D451" s="16">
        <f>IF($L451="","",INDEX(HSCEI!$D$7:$D$66,$N451))</f>
        <v/>
      </c>
      <c r="E451" s="37">
        <f>IF($L451="","",IF(INT($P451/10)=0,"TBA",IFERROR(INDEX(Grids!$BQ$157:$EC$216,$N451,$O451),"-")))</f>
        <v/>
      </c>
      <c r="F451" s="16">
        <f>IF($L451="","",INDEX(HSCEI!$F$7:$F$66,$N451))</f>
        <v/>
      </c>
      <c r="G451" s="37">
        <f>IF($L451="","",IF(INT($P451/10)=0,"TBA",IFERROR(INDEX(Grids!$EE$157:$GQ$216,$N451,$O451),"-")))</f>
        <v/>
      </c>
      <c r="H451" s="38">
        <f>IF($L451="","",SUM($G$442:$G451))</f>
        <v/>
      </c>
      <c r="I451" s="39">
        <f>IF($L451="","",IF(INT(($L451-INT($L451/10000000)*10000000)/1000000)=0,"Bloomberg projection",IF(INT($P451/10)=1,"Announced","ANNOUNCED - amount TBA"))&amp;IF(($P451-INT($P451/10)*10)=1," (special)","")&amp;IF((($P451-INT($P451/10)*10)=1)*(Summary!$C$13="N")&gt;0," - excluded by your specials switch",""))</f>
        <v/>
      </c>
      <c r="J451" s="40">
        <f>IF($L451="","",IF((Override!$C$4="ON")*ISNUMBER(INDEX(Override!$G$153:$G$212,$N451))&gt;0,"stock overridden",""))</f>
        <v/>
      </c>
      <c r="L451" s="41">
        <f>IFERROR(IF(SMALL(Grids!$C$157:$BO$216,$M$439+10)&gt;=(Summary!$C$15+1)*1000000000,"",SMALL(Grids!$C$157:$BO$216,$M$439+10)),"")</f>
        <v/>
      </c>
      <c r="M451" s="41">
        <f>IF($L451="","",INT($L451/1000000000))</f>
        <v/>
      </c>
      <c r="N451" s="41">
        <f>IF($L451="","",INT(($L451-INT($L451/1000000)*1000000)/1000))</f>
        <v/>
      </c>
      <c r="O451" s="41">
        <f>IF($L451="","",$L451-INT($L451/1000)*1000)</f>
        <v/>
      </c>
      <c r="P451" s="41">
        <f>IF($L451="","",INT(($L451-INT($L451/1000000000)*1000000000)/10000000))</f>
        <v/>
      </c>
    </row>
    <row r="452">
      <c r="B452" s="36">
        <f>IF($L452="","",$M452)</f>
        <v/>
      </c>
      <c r="C452" s="16">
        <f>IF($L452="","",INDEX(HSCEI!$C$7:$C$66,$N452))</f>
        <v/>
      </c>
      <c r="D452" s="16">
        <f>IF($L452="","",INDEX(HSCEI!$D$7:$D$66,$N452))</f>
        <v/>
      </c>
      <c r="E452" s="37">
        <f>IF($L452="","",IF(INT($P452/10)=0,"TBA",IFERROR(INDEX(Grids!$BQ$157:$EC$216,$N452,$O452),"-")))</f>
        <v/>
      </c>
      <c r="F452" s="16">
        <f>IF($L452="","",INDEX(HSCEI!$F$7:$F$66,$N452))</f>
        <v/>
      </c>
      <c r="G452" s="37">
        <f>IF($L452="","",IF(INT($P452/10)=0,"TBA",IFERROR(INDEX(Grids!$EE$157:$GQ$216,$N452,$O452),"-")))</f>
        <v/>
      </c>
      <c r="H452" s="38">
        <f>IF($L452="","",SUM($G$442:$G452))</f>
        <v/>
      </c>
      <c r="I452" s="39">
        <f>IF($L452="","",IF(INT(($L452-INT($L452/10000000)*10000000)/1000000)=0,"Bloomberg projection",IF(INT($P452/10)=1,"Announced","ANNOUNCED - amount TBA"))&amp;IF(($P452-INT($P452/10)*10)=1," (special)","")&amp;IF((($P452-INT($P452/10)*10)=1)*(Summary!$C$13="N")&gt;0," - excluded by your specials switch",""))</f>
        <v/>
      </c>
      <c r="J452" s="40">
        <f>IF($L452="","",IF((Override!$C$4="ON")*ISNUMBER(INDEX(Override!$G$153:$G$212,$N452))&gt;0,"stock overridden",""))</f>
        <v/>
      </c>
      <c r="L452" s="41">
        <f>IFERROR(IF(SMALL(Grids!$C$157:$BO$216,$M$439+11)&gt;=(Summary!$C$15+1)*1000000000,"",SMALL(Grids!$C$157:$BO$216,$M$439+11)),"")</f>
        <v/>
      </c>
      <c r="M452" s="41">
        <f>IF($L452="","",INT($L452/1000000000))</f>
        <v/>
      </c>
      <c r="N452" s="41">
        <f>IF($L452="","",INT(($L452-INT($L452/1000000)*1000000)/1000))</f>
        <v/>
      </c>
      <c r="O452" s="41">
        <f>IF($L452="","",$L452-INT($L452/1000)*1000)</f>
        <v/>
      </c>
      <c r="P452" s="41">
        <f>IF($L452="","",INT(($L452-INT($L452/1000000000)*1000000000)/10000000))</f>
        <v/>
      </c>
    </row>
    <row r="453">
      <c r="B453" s="36">
        <f>IF($L453="","",$M453)</f>
        <v/>
      </c>
      <c r="C453" s="16">
        <f>IF($L453="","",INDEX(HSCEI!$C$7:$C$66,$N453))</f>
        <v/>
      </c>
      <c r="D453" s="16">
        <f>IF($L453="","",INDEX(HSCEI!$D$7:$D$66,$N453))</f>
        <v/>
      </c>
      <c r="E453" s="37">
        <f>IF($L453="","",IF(INT($P453/10)=0,"TBA",IFERROR(INDEX(Grids!$BQ$157:$EC$216,$N453,$O453),"-")))</f>
        <v/>
      </c>
      <c r="F453" s="16">
        <f>IF($L453="","",INDEX(HSCEI!$F$7:$F$66,$N453))</f>
        <v/>
      </c>
      <c r="G453" s="37">
        <f>IF($L453="","",IF(INT($P453/10)=0,"TBA",IFERROR(INDEX(Grids!$EE$157:$GQ$216,$N453,$O453),"-")))</f>
        <v/>
      </c>
      <c r="H453" s="38">
        <f>IF($L453="","",SUM($G$442:$G453))</f>
        <v/>
      </c>
      <c r="I453" s="39">
        <f>IF($L453="","",IF(INT(($L453-INT($L453/10000000)*10000000)/1000000)=0,"Bloomberg projection",IF(INT($P453/10)=1,"Announced","ANNOUNCED - amount TBA"))&amp;IF(($P453-INT($P453/10)*10)=1," (special)","")&amp;IF((($P453-INT($P453/10)*10)=1)*(Summary!$C$13="N")&gt;0," - excluded by your specials switch",""))</f>
        <v/>
      </c>
      <c r="J453" s="40">
        <f>IF($L453="","",IF((Override!$C$4="ON")*ISNUMBER(INDEX(Override!$G$153:$G$212,$N453))&gt;0,"stock overridden",""))</f>
        <v/>
      </c>
      <c r="L453" s="41">
        <f>IFERROR(IF(SMALL(Grids!$C$157:$BO$216,$M$439+12)&gt;=(Summary!$C$15+1)*1000000000,"",SMALL(Grids!$C$157:$BO$216,$M$439+12)),"")</f>
        <v/>
      </c>
      <c r="M453" s="41">
        <f>IF($L453="","",INT($L453/1000000000))</f>
        <v/>
      </c>
      <c r="N453" s="41">
        <f>IF($L453="","",INT(($L453-INT($L453/1000000)*1000000)/1000))</f>
        <v/>
      </c>
      <c r="O453" s="41">
        <f>IF($L453="","",$L453-INT($L453/1000)*1000)</f>
        <v/>
      </c>
      <c r="P453" s="41">
        <f>IF($L453="","",INT(($L453-INT($L453/1000000000)*1000000000)/10000000))</f>
        <v/>
      </c>
    </row>
    <row r="454">
      <c r="B454" s="36">
        <f>IF($L454="","",$M454)</f>
        <v/>
      </c>
      <c r="C454" s="16">
        <f>IF($L454="","",INDEX(HSCEI!$C$7:$C$66,$N454))</f>
        <v/>
      </c>
      <c r="D454" s="16">
        <f>IF($L454="","",INDEX(HSCEI!$D$7:$D$66,$N454))</f>
        <v/>
      </c>
      <c r="E454" s="37">
        <f>IF($L454="","",IF(INT($P454/10)=0,"TBA",IFERROR(INDEX(Grids!$BQ$157:$EC$216,$N454,$O454),"-")))</f>
        <v/>
      </c>
      <c r="F454" s="16">
        <f>IF($L454="","",INDEX(HSCEI!$F$7:$F$66,$N454))</f>
        <v/>
      </c>
      <c r="G454" s="37">
        <f>IF($L454="","",IF(INT($P454/10)=0,"TBA",IFERROR(INDEX(Grids!$EE$157:$GQ$216,$N454,$O454),"-")))</f>
        <v/>
      </c>
      <c r="H454" s="38">
        <f>IF($L454="","",SUM($G$442:$G454))</f>
        <v/>
      </c>
      <c r="I454" s="39">
        <f>IF($L454="","",IF(INT(($L454-INT($L454/10000000)*10000000)/1000000)=0,"Bloomberg projection",IF(INT($P454/10)=1,"Announced","ANNOUNCED - amount TBA"))&amp;IF(($P454-INT($P454/10)*10)=1," (special)","")&amp;IF((($P454-INT($P454/10)*10)=1)*(Summary!$C$13="N")&gt;0," - excluded by your specials switch",""))</f>
        <v/>
      </c>
      <c r="J454" s="40">
        <f>IF($L454="","",IF((Override!$C$4="ON")*ISNUMBER(INDEX(Override!$G$153:$G$212,$N454))&gt;0,"stock overridden",""))</f>
        <v/>
      </c>
      <c r="L454" s="41">
        <f>IFERROR(IF(SMALL(Grids!$C$157:$BO$216,$M$439+13)&gt;=(Summary!$C$15+1)*1000000000,"",SMALL(Grids!$C$157:$BO$216,$M$439+13)),"")</f>
        <v/>
      </c>
      <c r="M454" s="41">
        <f>IF($L454="","",INT($L454/1000000000))</f>
        <v/>
      </c>
      <c r="N454" s="41">
        <f>IF($L454="","",INT(($L454-INT($L454/1000000)*1000000)/1000))</f>
        <v/>
      </c>
      <c r="O454" s="41">
        <f>IF($L454="","",$L454-INT($L454/1000)*1000)</f>
        <v/>
      </c>
      <c r="P454" s="41">
        <f>IF($L454="","",INT(($L454-INT($L454/1000000000)*1000000000)/10000000))</f>
        <v/>
      </c>
    </row>
    <row r="455">
      <c r="B455" s="36">
        <f>IF($L455="","",$M455)</f>
        <v/>
      </c>
      <c r="C455" s="16">
        <f>IF($L455="","",INDEX(HSCEI!$C$7:$C$66,$N455))</f>
        <v/>
      </c>
      <c r="D455" s="16">
        <f>IF($L455="","",INDEX(HSCEI!$D$7:$D$66,$N455))</f>
        <v/>
      </c>
      <c r="E455" s="37">
        <f>IF($L455="","",IF(INT($P455/10)=0,"TBA",IFERROR(INDEX(Grids!$BQ$157:$EC$216,$N455,$O455),"-")))</f>
        <v/>
      </c>
      <c r="F455" s="16">
        <f>IF($L455="","",INDEX(HSCEI!$F$7:$F$66,$N455))</f>
        <v/>
      </c>
      <c r="G455" s="37">
        <f>IF($L455="","",IF(INT($P455/10)=0,"TBA",IFERROR(INDEX(Grids!$EE$157:$GQ$216,$N455,$O455),"-")))</f>
        <v/>
      </c>
      <c r="H455" s="38">
        <f>IF($L455="","",SUM($G$442:$G455))</f>
        <v/>
      </c>
      <c r="I455" s="39">
        <f>IF($L455="","",IF(INT(($L455-INT($L455/10000000)*10000000)/1000000)=0,"Bloomberg projection",IF(INT($P455/10)=1,"Announced","ANNOUNCED - amount TBA"))&amp;IF(($P455-INT($P455/10)*10)=1," (special)","")&amp;IF((($P455-INT($P455/10)*10)=1)*(Summary!$C$13="N")&gt;0," - excluded by your specials switch",""))</f>
        <v/>
      </c>
      <c r="J455" s="40">
        <f>IF($L455="","",IF((Override!$C$4="ON")*ISNUMBER(INDEX(Override!$G$153:$G$212,$N455))&gt;0,"stock overridden",""))</f>
        <v/>
      </c>
      <c r="L455" s="41">
        <f>IFERROR(IF(SMALL(Grids!$C$157:$BO$216,$M$439+14)&gt;=(Summary!$C$15+1)*1000000000,"",SMALL(Grids!$C$157:$BO$216,$M$439+14)),"")</f>
        <v/>
      </c>
      <c r="M455" s="41">
        <f>IF($L455="","",INT($L455/1000000000))</f>
        <v/>
      </c>
      <c r="N455" s="41">
        <f>IF($L455="","",INT(($L455-INT($L455/1000000)*1000000)/1000))</f>
        <v/>
      </c>
      <c r="O455" s="41">
        <f>IF($L455="","",$L455-INT($L455/1000)*1000)</f>
        <v/>
      </c>
      <c r="P455" s="41">
        <f>IF($L455="","",INT(($L455-INT($L455/1000000000)*1000000000)/10000000))</f>
        <v/>
      </c>
    </row>
    <row r="456">
      <c r="B456" s="36">
        <f>IF($L456="","",$M456)</f>
        <v/>
      </c>
      <c r="C456" s="16">
        <f>IF($L456="","",INDEX(HSCEI!$C$7:$C$66,$N456))</f>
        <v/>
      </c>
      <c r="D456" s="16">
        <f>IF($L456="","",INDEX(HSCEI!$D$7:$D$66,$N456))</f>
        <v/>
      </c>
      <c r="E456" s="37">
        <f>IF($L456="","",IF(INT($P456/10)=0,"TBA",IFERROR(INDEX(Grids!$BQ$157:$EC$216,$N456,$O456),"-")))</f>
        <v/>
      </c>
      <c r="F456" s="16">
        <f>IF($L456="","",INDEX(HSCEI!$F$7:$F$66,$N456))</f>
        <v/>
      </c>
      <c r="G456" s="37">
        <f>IF($L456="","",IF(INT($P456/10)=0,"TBA",IFERROR(INDEX(Grids!$EE$157:$GQ$216,$N456,$O456),"-")))</f>
        <v/>
      </c>
      <c r="H456" s="38">
        <f>IF($L456="","",SUM($G$442:$G456))</f>
        <v/>
      </c>
      <c r="I456" s="39">
        <f>IF($L456="","",IF(INT(($L456-INT($L456/10000000)*10000000)/1000000)=0,"Bloomberg projection",IF(INT($P456/10)=1,"Announced","ANNOUNCED - amount TBA"))&amp;IF(($P456-INT($P456/10)*10)=1," (special)","")&amp;IF((($P456-INT($P456/10)*10)=1)*(Summary!$C$13="N")&gt;0," - excluded by your specials switch",""))</f>
        <v/>
      </c>
      <c r="J456" s="40">
        <f>IF($L456="","",IF((Override!$C$4="ON")*ISNUMBER(INDEX(Override!$G$153:$G$212,$N456))&gt;0,"stock overridden",""))</f>
        <v/>
      </c>
      <c r="L456" s="41">
        <f>IFERROR(IF(SMALL(Grids!$C$157:$BO$216,$M$439+15)&gt;=(Summary!$C$15+1)*1000000000,"",SMALL(Grids!$C$157:$BO$216,$M$439+15)),"")</f>
        <v/>
      </c>
      <c r="M456" s="41">
        <f>IF($L456="","",INT($L456/1000000000))</f>
        <v/>
      </c>
      <c r="N456" s="41">
        <f>IF($L456="","",INT(($L456-INT($L456/1000000)*1000000)/1000))</f>
        <v/>
      </c>
      <c r="O456" s="41">
        <f>IF($L456="","",$L456-INT($L456/1000)*1000)</f>
        <v/>
      </c>
      <c r="P456" s="41">
        <f>IF($L456="","",INT(($L456-INT($L456/1000000000)*1000000000)/10000000))</f>
        <v/>
      </c>
    </row>
    <row r="457">
      <c r="B457" s="36">
        <f>IF($L457="","",$M457)</f>
        <v/>
      </c>
      <c r="C457" s="16">
        <f>IF($L457="","",INDEX(HSCEI!$C$7:$C$66,$N457))</f>
        <v/>
      </c>
      <c r="D457" s="16">
        <f>IF($L457="","",INDEX(HSCEI!$D$7:$D$66,$N457))</f>
        <v/>
      </c>
      <c r="E457" s="37">
        <f>IF($L457="","",IF(INT($P457/10)=0,"TBA",IFERROR(INDEX(Grids!$BQ$157:$EC$216,$N457,$O457),"-")))</f>
        <v/>
      </c>
      <c r="F457" s="16">
        <f>IF($L457="","",INDEX(HSCEI!$F$7:$F$66,$N457))</f>
        <v/>
      </c>
      <c r="G457" s="37">
        <f>IF($L457="","",IF(INT($P457/10)=0,"TBA",IFERROR(INDEX(Grids!$EE$157:$GQ$216,$N457,$O457),"-")))</f>
        <v/>
      </c>
      <c r="H457" s="38">
        <f>IF($L457="","",SUM($G$442:$G457))</f>
        <v/>
      </c>
      <c r="I457" s="39">
        <f>IF($L457="","",IF(INT(($L457-INT($L457/10000000)*10000000)/1000000)=0,"Bloomberg projection",IF(INT($P457/10)=1,"Announced","ANNOUNCED - amount TBA"))&amp;IF(($P457-INT($P457/10)*10)=1," (special)","")&amp;IF((($P457-INT($P457/10)*10)=1)*(Summary!$C$13="N")&gt;0," - excluded by your specials switch",""))</f>
        <v/>
      </c>
      <c r="J457" s="40">
        <f>IF($L457="","",IF((Override!$C$4="ON")*ISNUMBER(INDEX(Override!$G$153:$G$212,$N457))&gt;0,"stock overridden",""))</f>
        <v/>
      </c>
      <c r="L457" s="41">
        <f>IFERROR(IF(SMALL(Grids!$C$157:$BO$216,$M$439+16)&gt;=(Summary!$C$15+1)*1000000000,"",SMALL(Grids!$C$157:$BO$216,$M$439+16)),"")</f>
        <v/>
      </c>
      <c r="M457" s="41">
        <f>IF($L457="","",INT($L457/1000000000))</f>
        <v/>
      </c>
      <c r="N457" s="41">
        <f>IF($L457="","",INT(($L457-INT($L457/1000000)*1000000)/1000))</f>
        <v/>
      </c>
      <c r="O457" s="41">
        <f>IF($L457="","",$L457-INT($L457/1000)*1000)</f>
        <v/>
      </c>
      <c r="P457" s="41">
        <f>IF($L457="","",INT(($L457-INT($L457/1000000000)*1000000000)/10000000))</f>
        <v/>
      </c>
    </row>
    <row r="458">
      <c r="B458" s="36">
        <f>IF($L458="","",$M458)</f>
        <v/>
      </c>
      <c r="C458" s="16">
        <f>IF($L458="","",INDEX(HSCEI!$C$7:$C$66,$N458))</f>
        <v/>
      </c>
      <c r="D458" s="16">
        <f>IF($L458="","",INDEX(HSCEI!$D$7:$D$66,$N458))</f>
        <v/>
      </c>
      <c r="E458" s="37">
        <f>IF($L458="","",IF(INT($P458/10)=0,"TBA",IFERROR(INDEX(Grids!$BQ$157:$EC$216,$N458,$O458),"-")))</f>
        <v/>
      </c>
      <c r="F458" s="16">
        <f>IF($L458="","",INDEX(HSCEI!$F$7:$F$66,$N458))</f>
        <v/>
      </c>
      <c r="G458" s="37">
        <f>IF($L458="","",IF(INT($P458/10)=0,"TBA",IFERROR(INDEX(Grids!$EE$157:$GQ$216,$N458,$O458),"-")))</f>
        <v/>
      </c>
      <c r="H458" s="38">
        <f>IF($L458="","",SUM($G$442:$G458))</f>
        <v/>
      </c>
      <c r="I458" s="39">
        <f>IF($L458="","",IF(INT(($L458-INT($L458/10000000)*10000000)/1000000)=0,"Bloomberg projection",IF(INT($P458/10)=1,"Announced","ANNOUNCED - amount TBA"))&amp;IF(($P458-INT($P458/10)*10)=1," (special)","")&amp;IF((($P458-INT($P458/10)*10)=1)*(Summary!$C$13="N")&gt;0," - excluded by your specials switch",""))</f>
        <v/>
      </c>
      <c r="J458" s="40">
        <f>IF($L458="","",IF((Override!$C$4="ON")*ISNUMBER(INDEX(Override!$G$153:$G$212,$N458))&gt;0,"stock overridden",""))</f>
        <v/>
      </c>
      <c r="L458" s="41">
        <f>IFERROR(IF(SMALL(Grids!$C$157:$BO$216,$M$439+17)&gt;=(Summary!$C$15+1)*1000000000,"",SMALL(Grids!$C$157:$BO$216,$M$439+17)),"")</f>
        <v/>
      </c>
      <c r="M458" s="41">
        <f>IF($L458="","",INT($L458/1000000000))</f>
        <v/>
      </c>
      <c r="N458" s="41">
        <f>IF($L458="","",INT(($L458-INT($L458/1000000)*1000000)/1000))</f>
        <v/>
      </c>
      <c r="O458" s="41">
        <f>IF($L458="","",$L458-INT($L458/1000)*1000)</f>
        <v/>
      </c>
      <c r="P458" s="41">
        <f>IF($L458="","",INT(($L458-INT($L458/1000000000)*1000000000)/10000000))</f>
        <v/>
      </c>
    </row>
    <row r="459">
      <c r="B459" s="36">
        <f>IF($L459="","",$M459)</f>
        <v/>
      </c>
      <c r="C459" s="16">
        <f>IF($L459="","",INDEX(HSCEI!$C$7:$C$66,$N459))</f>
        <v/>
      </c>
      <c r="D459" s="16">
        <f>IF($L459="","",INDEX(HSCEI!$D$7:$D$66,$N459))</f>
        <v/>
      </c>
      <c r="E459" s="37">
        <f>IF($L459="","",IF(INT($P459/10)=0,"TBA",IFERROR(INDEX(Grids!$BQ$157:$EC$216,$N459,$O459),"-")))</f>
        <v/>
      </c>
      <c r="F459" s="16">
        <f>IF($L459="","",INDEX(HSCEI!$F$7:$F$66,$N459))</f>
        <v/>
      </c>
      <c r="G459" s="37">
        <f>IF($L459="","",IF(INT($P459/10)=0,"TBA",IFERROR(INDEX(Grids!$EE$157:$GQ$216,$N459,$O459),"-")))</f>
        <v/>
      </c>
      <c r="H459" s="38">
        <f>IF($L459="","",SUM($G$442:$G459))</f>
        <v/>
      </c>
      <c r="I459" s="39">
        <f>IF($L459="","",IF(INT(($L459-INT($L459/10000000)*10000000)/1000000)=0,"Bloomberg projection",IF(INT($P459/10)=1,"Announced","ANNOUNCED - amount TBA"))&amp;IF(($P459-INT($P459/10)*10)=1," (special)","")&amp;IF((($P459-INT($P459/10)*10)=1)*(Summary!$C$13="N")&gt;0," - excluded by your specials switch",""))</f>
        <v/>
      </c>
      <c r="J459" s="40">
        <f>IF($L459="","",IF((Override!$C$4="ON")*ISNUMBER(INDEX(Override!$G$153:$G$212,$N459))&gt;0,"stock overridden",""))</f>
        <v/>
      </c>
      <c r="L459" s="41">
        <f>IFERROR(IF(SMALL(Grids!$C$157:$BO$216,$M$439+18)&gt;=(Summary!$C$15+1)*1000000000,"",SMALL(Grids!$C$157:$BO$216,$M$439+18)),"")</f>
        <v/>
      </c>
      <c r="M459" s="41">
        <f>IF($L459="","",INT($L459/1000000000))</f>
        <v/>
      </c>
      <c r="N459" s="41">
        <f>IF($L459="","",INT(($L459-INT($L459/1000000)*1000000)/1000))</f>
        <v/>
      </c>
      <c r="O459" s="41">
        <f>IF($L459="","",$L459-INT($L459/1000)*1000)</f>
        <v/>
      </c>
      <c r="P459" s="41">
        <f>IF($L459="","",INT(($L459-INT($L459/1000000000)*1000000000)/10000000))</f>
        <v/>
      </c>
    </row>
    <row r="460">
      <c r="B460" s="36">
        <f>IF($L460="","",$M460)</f>
        <v/>
      </c>
      <c r="C460" s="16">
        <f>IF($L460="","",INDEX(HSCEI!$C$7:$C$66,$N460))</f>
        <v/>
      </c>
      <c r="D460" s="16">
        <f>IF($L460="","",INDEX(HSCEI!$D$7:$D$66,$N460))</f>
        <v/>
      </c>
      <c r="E460" s="37">
        <f>IF($L460="","",IF(INT($P460/10)=0,"TBA",IFERROR(INDEX(Grids!$BQ$157:$EC$216,$N460,$O460),"-")))</f>
        <v/>
      </c>
      <c r="F460" s="16">
        <f>IF($L460="","",INDEX(HSCEI!$F$7:$F$66,$N460))</f>
        <v/>
      </c>
      <c r="G460" s="37">
        <f>IF($L460="","",IF(INT($P460/10)=0,"TBA",IFERROR(INDEX(Grids!$EE$157:$GQ$216,$N460,$O460),"-")))</f>
        <v/>
      </c>
      <c r="H460" s="38">
        <f>IF($L460="","",SUM($G$442:$G460))</f>
        <v/>
      </c>
      <c r="I460" s="39">
        <f>IF($L460="","",IF(INT(($L460-INT($L460/10000000)*10000000)/1000000)=0,"Bloomberg projection",IF(INT($P460/10)=1,"Announced","ANNOUNCED - amount TBA"))&amp;IF(($P460-INT($P460/10)*10)=1," (special)","")&amp;IF((($P460-INT($P460/10)*10)=1)*(Summary!$C$13="N")&gt;0," - excluded by your specials switch",""))</f>
        <v/>
      </c>
      <c r="J460" s="40">
        <f>IF($L460="","",IF((Override!$C$4="ON")*ISNUMBER(INDEX(Override!$G$153:$G$212,$N460))&gt;0,"stock overridden",""))</f>
        <v/>
      </c>
      <c r="L460" s="41">
        <f>IFERROR(IF(SMALL(Grids!$C$157:$BO$216,$M$439+19)&gt;=(Summary!$C$15+1)*1000000000,"",SMALL(Grids!$C$157:$BO$216,$M$439+19)),"")</f>
        <v/>
      </c>
      <c r="M460" s="41">
        <f>IF($L460="","",INT($L460/1000000000))</f>
        <v/>
      </c>
      <c r="N460" s="41">
        <f>IF($L460="","",INT(($L460-INT($L460/1000000)*1000000)/1000))</f>
        <v/>
      </c>
      <c r="O460" s="41">
        <f>IF($L460="","",$L460-INT($L460/1000)*1000)</f>
        <v/>
      </c>
      <c r="P460" s="41">
        <f>IF($L460="","",INT(($L460-INT($L460/1000000000)*1000000000)/10000000))</f>
        <v/>
      </c>
    </row>
    <row r="461">
      <c r="B461" s="36">
        <f>IF($L461="","",$M461)</f>
        <v/>
      </c>
      <c r="C461" s="16">
        <f>IF($L461="","",INDEX(HSCEI!$C$7:$C$66,$N461))</f>
        <v/>
      </c>
      <c r="D461" s="16">
        <f>IF($L461="","",INDEX(HSCEI!$D$7:$D$66,$N461))</f>
        <v/>
      </c>
      <c r="E461" s="37">
        <f>IF($L461="","",IF(INT($P461/10)=0,"TBA",IFERROR(INDEX(Grids!$BQ$157:$EC$216,$N461,$O461),"-")))</f>
        <v/>
      </c>
      <c r="F461" s="16">
        <f>IF($L461="","",INDEX(HSCEI!$F$7:$F$66,$N461))</f>
        <v/>
      </c>
      <c r="G461" s="37">
        <f>IF($L461="","",IF(INT($P461/10)=0,"TBA",IFERROR(INDEX(Grids!$EE$157:$GQ$216,$N461,$O461),"-")))</f>
        <v/>
      </c>
      <c r="H461" s="38">
        <f>IF($L461="","",SUM($G$442:$G461))</f>
        <v/>
      </c>
      <c r="I461" s="39">
        <f>IF($L461="","",IF(INT(($L461-INT($L461/10000000)*10000000)/1000000)=0,"Bloomberg projection",IF(INT($P461/10)=1,"Announced","ANNOUNCED - amount TBA"))&amp;IF(($P461-INT($P461/10)*10)=1," (special)","")&amp;IF((($P461-INT($P461/10)*10)=1)*(Summary!$C$13="N")&gt;0," - excluded by your specials switch",""))</f>
        <v/>
      </c>
      <c r="J461" s="40">
        <f>IF($L461="","",IF((Override!$C$4="ON")*ISNUMBER(INDEX(Override!$G$153:$G$212,$N461))&gt;0,"stock overridden",""))</f>
        <v/>
      </c>
      <c r="L461" s="41">
        <f>IFERROR(IF(SMALL(Grids!$C$157:$BO$216,$M$439+20)&gt;=(Summary!$C$15+1)*1000000000,"",SMALL(Grids!$C$157:$BO$216,$M$439+20)),"")</f>
        <v/>
      </c>
      <c r="M461" s="41">
        <f>IF($L461="","",INT($L461/1000000000))</f>
        <v/>
      </c>
      <c r="N461" s="41">
        <f>IF($L461="","",INT(($L461-INT($L461/1000000)*1000000)/1000))</f>
        <v/>
      </c>
      <c r="O461" s="41">
        <f>IF($L461="","",$L461-INT($L461/1000)*1000)</f>
        <v/>
      </c>
      <c r="P461" s="41">
        <f>IF($L461="","",INT(($L461-INT($L461/1000000000)*1000000000)/10000000))</f>
        <v/>
      </c>
    </row>
    <row r="462">
      <c r="B462" s="36">
        <f>IF($L462="","",$M462)</f>
        <v/>
      </c>
      <c r="C462" s="16">
        <f>IF($L462="","",INDEX(HSCEI!$C$7:$C$66,$N462))</f>
        <v/>
      </c>
      <c r="D462" s="16">
        <f>IF($L462="","",INDEX(HSCEI!$D$7:$D$66,$N462))</f>
        <v/>
      </c>
      <c r="E462" s="37">
        <f>IF($L462="","",IF(INT($P462/10)=0,"TBA",IFERROR(INDEX(Grids!$BQ$157:$EC$216,$N462,$O462),"-")))</f>
        <v/>
      </c>
      <c r="F462" s="16">
        <f>IF($L462="","",INDEX(HSCEI!$F$7:$F$66,$N462))</f>
        <v/>
      </c>
      <c r="G462" s="37">
        <f>IF($L462="","",IF(INT($P462/10)=0,"TBA",IFERROR(INDEX(Grids!$EE$157:$GQ$216,$N462,$O462),"-")))</f>
        <v/>
      </c>
      <c r="H462" s="38">
        <f>IF($L462="","",SUM($G$442:$G462))</f>
        <v/>
      </c>
      <c r="I462" s="39">
        <f>IF($L462="","",IF(INT(($L462-INT($L462/10000000)*10000000)/1000000)=0,"Bloomberg projection",IF(INT($P462/10)=1,"Announced","ANNOUNCED - amount TBA"))&amp;IF(($P462-INT($P462/10)*10)=1," (special)","")&amp;IF((($P462-INT($P462/10)*10)=1)*(Summary!$C$13="N")&gt;0," - excluded by your specials switch",""))</f>
        <v/>
      </c>
      <c r="J462" s="40">
        <f>IF($L462="","",IF((Override!$C$4="ON")*ISNUMBER(INDEX(Override!$G$153:$G$212,$N462))&gt;0,"stock overridden",""))</f>
        <v/>
      </c>
      <c r="L462" s="41">
        <f>IFERROR(IF(SMALL(Grids!$C$157:$BO$216,$M$439+21)&gt;=(Summary!$C$15+1)*1000000000,"",SMALL(Grids!$C$157:$BO$216,$M$439+21)),"")</f>
        <v/>
      </c>
      <c r="M462" s="41">
        <f>IF($L462="","",INT($L462/1000000000))</f>
        <v/>
      </c>
      <c r="N462" s="41">
        <f>IF($L462="","",INT(($L462-INT($L462/1000000)*1000000)/1000))</f>
        <v/>
      </c>
      <c r="O462" s="41">
        <f>IF($L462="","",$L462-INT($L462/1000)*1000)</f>
        <v/>
      </c>
      <c r="P462" s="41">
        <f>IF($L462="","",INT(($L462-INT($L462/1000000000)*1000000000)/10000000))</f>
        <v/>
      </c>
    </row>
    <row r="463">
      <c r="B463" s="36">
        <f>IF($L463="","",$M463)</f>
        <v/>
      </c>
      <c r="C463" s="16">
        <f>IF($L463="","",INDEX(HSCEI!$C$7:$C$66,$N463))</f>
        <v/>
      </c>
      <c r="D463" s="16">
        <f>IF($L463="","",INDEX(HSCEI!$D$7:$D$66,$N463))</f>
        <v/>
      </c>
      <c r="E463" s="37">
        <f>IF($L463="","",IF(INT($P463/10)=0,"TBA",IFERROR(INDEX(Grids!$BQ$157:$EC$216,$N463,$O463),"-")))</f>
        <v/>
      </c>
      <c r="F463" s="16">
        <f>IF($L463="","",INDEX(HSCEI!$F$7:$F$66,$N463))</f>
        <v/>
      </c>
      <c r="G463" s="37">
        <f>IF($L463="","",IF(INT($P463/10)=0,"TBA",IFERROR(INDEX(Grids!$EE$157:$GQ$216,$N463,$O463),"-")))</f>
        <v/>
      </c>
      <c r="H463" s="38">
        <f>IF($L463="","",SUM($G$442:$G463))</f>
        <v/>
      </c>
      <c r="I463" s="39">
        <f>IF($L463="","",IF(INT(($L463-INT($L463/10000000)*10000000)/1000000)=0,"Bloomberg projection",IF(INT($P463/10)=1,"Announced","ANNOUNCED - amount TBA"))&amp;IF(($P463-INT($P463/10)*10)=1," (special)","")&amp;IF((($P463-INT($P463/10)*10)=1)*(Summary!$C$13="N")&gt;0," - excluded by your specials switch",""))</f>
        <v/>
      </c>
      <c r="J463" s="40">
        <f>IF($L463="","",IF((Override!$C$4="ON")*ISNUMBER(INDEX(Override!$G$153:$G$212,$N463))&gt;0,"stock overridden",""))</f>
        <v/>
      </c>
      <c r="L463" s="41">
        <f>IFERROR(IF(SMALL(Grids!$C$157:$BO$216,$M$439+22)&gt;=(Summary!$C$15+1)*1000000000,"",SMALL(Grids!$C$157:$BO$216,$M$439+22)),"")</f>
        <v/>
      </c>
      <c r="M463" s="41">
        <f>IF($L463="","",INT($L463/1000000000))</f>
        <v/>
      </c>
      <c r="N463" s="41">
        <f>IF($L463="","",INT(($L463-INT($L463/1000000)*1000000)/1000))</f>
        <v/>
      </c>
      <c r="O463" s="41">
        <f>IF($L463="","",$L463-INT($L463/1000)*1000)</f>
        <v/>
      </c>
      <c r="P463" s="41">
        <f>IF($L463="","",INT(($L463-INT($L463/1000000000)*1000000000)/10000000))</f>
        <v/>
      </c>
    </row>
    <row r="464">
      <c r="B464" s="36">
        <f>IF($L464="","",$M464)</f>
        <v/>
      </c>
      <c r="C464" s="16">
        <f>IF($L464="","",INDEX(HSCEI!$C$7:$C$66,$N464))</f>
        <v/>
      </c>
      <c r="D464" s="16">
        <f>IF($L464="","",INDEX(HSCEI!$D$7:$D$66,$N464))</f>
        <v/>
      </c>
      <c r="E464" s="37">
        <f>IF($L464="","",IF(INT($P464/10)=0,"TBA",IFERROR(INDEX(Grids!$BQ$157:$EC$216,$N464,$O464),"-")))</f>
        <v/>
      </c>
      <c r="F464" s="16">
        <f>IF($L464="","",INDEX(HSCEI!$F$7:$F$66,$N464))</f>
        <v/>
      </c>
      <c r="G464" s="37">
        <f>IF($L464="","",IF(INT($P464/10)=0,"TBA",IFERROR(INDEX(Grids!$EE$157:$GQ$216,$N464,$O464),"-")))</f>
        <v/>
      </c>
      <c r="H464" s="38">
        <f>IF($L464="","",SUM($G$442:$G464))</f>
        <v/>
      </c>
      <c r="I464" s="39">
        <f>IF($L464="","",IF(INT(($L464-INT($L464/10000000)*10000000)/1000000)=0,"Bloomberg projection",IF(INT($P464/10)=1,"Announced","ANNOUNCED - amount TBA"))&amp;IF(($P464-INT($P464/10)*10)=1," (special)","")&amp;IF((($P464-INT($P464/10)*10)=1)*(Summary!$C$13="N")&gt;0," - excluded by your specials switch",""))</f>
        <v/>
      </c>
      <c r="J464" s="40">
        <f>IF($L464="","",IF((Override!$C$4="ON")*ISNUMBER(INDEX(Override!$G$153:$G$212,$N464))&gt;0,"stock overridden",""))</f>
        <v/>
      </c>
      <c r="L464" s="41">
        <f>IFERROR(IF(SMALL(Grids!$C$157:$BO$216,$M$439+23)&gt;=(Summary!$C$15+1)*1000000000,"",SMALL(Grids!$C$157:$BO$216,$M$439+23)),"")</f>
        <v/>
      </c>
      <c r="M464" s="41">
        <f>IF($L464="","",INT($L464/1000000000))</f>
        <v/>
      </c>
      <c r="N464" s="41">
        <f>IF($L464="","",INT(($L464-INT($L464/1000000)*1000000)/1000))</f>
        <v/>
      </c>
      <c r="O464" s="41">
        <f>IF($L464="","",$L464-INT($L464/1000)*1000)</f>
        <v/>
      </c>
      <c r="P464" s="41">
        <f>IF($L464="","",INT(($L464-INT($L464/1000000000)*1000000000)/10000000))</f>
        <v/>
      </c>
    </row>
    <row r="465">
      <c r="B465" s="36">
        <f>IF($L465="","",$M465)</f>
        <v/>
      </c>
      <c r="C465" s="16">
        <f>IF($L465="","",INDEX(HSCEI!$C$7:$C$66,$N465))</f>
        <v/>
      </c>
      <c r="D465" s="16">
        <f>IF($L465="","",INDEX(HSCEI!$D$7:$D$66,$N465))</f>
        <v/>
      </c>
      <c r="E465" s="37">
        <f>IF($L465="","",IF(INT($P465/10)=0,"TBA",IFERROR(INDEX(Grids!$BQ$157:$EC$216,$N465,$O465),"-")))</f>
        <v/>
      </c>
      <c r="F465" s="16">
        <f>IF($L465="","",INDEX(HSCEI!$F$7:$F$66,$N465))</f>
        <v/>
      </c>
      <c r="G465" s="37">
        <f>IF($L465="","",IF(INT($P465/10)=0,"TBA",IFERROR(INDEX(Grids!$EE$157:$GQ$216,$N465,$O465),"-")))</f>
        <v/>
      </c>
      <c r="H465" s="38">
        <f>IF($L465="","",SUM($G$442:$G465))</f>
        <v/>
      </c>
      <c r="I465" s="39">
        <f>IF($L465="","",IF(INT(($L465-INT($L465/10000000)*10000000)/1000000)=0,"Bloomberg projection",IF(INT($P465/10)=1,"Announced","ANNOUNCED - amount TBA"))&amp;IF(($P465-INT($P465/10)*10)=1," (special)","")&amp;IF((($P465-INT($P465/10)*10)=1)*(Summary!$C$13="N")&gt;0," - excluded by your specials switch",""))</f>
        <v/>
      </c>
      <c r="J465" s="40">
        <f>IF($L465="","",IF((Override!$C$4="ON")*ISNUMBER(INDEX(Override!$G$153:$G$212,$N465))&gt;0,"stock overridden",""))</f>
        <v/>
      </c>
      <c r="L465" s="41">
        <f>IFERROR(IF(SMALL(Grids!$C$157:$BO$216,$M$439+24)&gt;=(Summary!$C$15+1)*1000000000,"",SMALL(Grids!$C$157:$BO$216,$M$439+24)),"")</f>
        <v/>
      </c>
      <c r="M465" s="41">
        <f>IF($L465="","",INT($L465/1000000000))</f>
        <v/>
      </c>
      <c r="N465" s="41">
        <f>IF($L465="","",INT(($L465-INT($L465/1000000)*1000000)/1000))</f>
        <v/>
      </c>
      <c r="O465" s="41">
        <f>IF($L465="","",$L465-INT($L465/1000)*1000)</f>
        <v/>
      </c>
      <c r="P465" s="41">
        <f>IF($L465="","",INT(($L465-INT($L465/1000000000)*1000000000)/10000000))</f>
        <v/>
      </c>
    </row>
    <row r="466">
      <c r="B466" s="36">
        <f>IF($L466="","",$M466)</f>
        <v/>
      </c>
      <c r="C466" s="16">
        <f>IF($L466="","",INDEX(HSCEI!$C$7:$C$66,$N466))</f>
        <v/>
      </c>
      <c r="D466" s="16">
        <f>IF($L466="","",INDEX(HSCEI!$D$7:$D$66,$N466))</f>
        <v/>
      </c>
      <c r="E466" s="37">
        <f>IF($L466="","",IF(INT($P466/10)=0,"TBA",IFERROR(INDEX(Grids!$BQ$157:$EC$216,$N466,$O466),"-")))</f>
        <v/>
      </c>
      <c r="F466" s="16">
        <f>IF($L466="","",INDEX(HSCEI!$F$7:$F$66,$N466))</f>
        <v/>
      </c>
      <c r="G466" s="37">
        <f>IF($L466="","",IF(INT($P466/10)=0,"TBA",IFERROR(INDEX(Grids!$EE$157:$GQ$216,$N466,$O466),"-")))</f>
        <v/>
      </c>
      <c r="H466" s="38">
        <f>IF($L466="","",SUM($G$442:$G466))</f>
        <v/>
      </c>
      <c r="I466" s="39">
        <f>IF($L466="","",IF(INT(($L466-INT($L466/10000000)*10000000)/1000000)=0,"Bloomberg projection",IF(INT($P466/10)=1,"Announced","ANNOUNCED - amount TBA"))&amp;IF(($P466-INT($P466/10)*10)=1," (special)","")&amp;IF((($P466-INT($P466/10)*10)=1)*(Summary!$C$13="N")&gt;0," - excluded by your specials switch",""))</f>
        <v/>
      </c>
      <c r="J466" s="40">
        <f>IF($L466="","",IF((Override!$C$4="ON")*ISNUMBER(INDEX(Override!$G$153:$G$212,$N466))&gt;0,"stock overridden",""))</f>
        <v/>
      </c>
      <c r="L466" s="41">
        <f>IFERROR(IF(SMALL(Grids!$C$157:$BO$216,$M$439+25)&gt;=(Summary!$C$15+1)*1000000000,"",SMALL(Grids!$C$157:$BO$216,$M$439+25)),"")</f>
        <v/>
      </c>
      <c r="M466" s="41">
        <f>IF($L466="","",INT($L466/1000000000))</f>
        <v/>
      </c>
      <c r="N466" s="41">
        <f>IF($L466="","",INT(($L466-INT($L466/1000000)*1000000)/1000))</f>
        <v/>
      </c>
      <c r="O466" s="41">
        <f>IF($L466="","",$L466-INT($L466/1000)*1000)</f>
        <v/>
      </c>
      <c r="P466" s="41">
        <f>IF($L466="","",INT(($L466-INT($L466/1000000000)*1000000000)/10000000))</f>
        <v/>
      </c>
    </row>
    <row r="467">
      <c r="B467" s="36">
        <f>IF($L467="","",$M467)</f>
        <v/>
      </c>
      <c r="C467" s="16">
        <f>IF($L467="","",INDEX(HSCEI!$C$7:$C$66,$N467))</f>
        <v/>
      </c>
      <c r="D467" s="16">
        <f>IF($L467="","",INDEX(HSCEI!$D$7:$D$66,$N467))</f>
        <v/>
      </c>
      <c r="E467" s="37">
        <f>IF($L467="","",IF(INT($P467/10)=0,"TBA",IFERROR(INDEX(Grids!$BQ$157:$EC$216,$N467,$O467),"-")))</f>
        <v/>
      </c>
      <c r="F467" s="16">
        <f>IF($L467="","",INDEX(HSCEI!$F$7:$F$66,$N467))</f>
        <v/>
      </c>
      <c r="G467" s="37">
        <f>IF($L467="","",IF(INT($P467/10)=0,"TBA",IFERROR(INDEX(Grids!$EE$157:$GQ$216,$N467,$O467),"-")))</f>
        <v/>
      </c>
      <c r="H467" s="38">
        <f>IF($L467="","",SUM($G$442:$G467))</f>
        <v/>
      </c>
      <c r="I467" s="39">
        <f>IF($L467="","",IF(INT(($L467-INT($L467/10000000)*10000000)/1000000)=0,"Bloomberg projection",IF(INT($P467/10)=1,"Announced","ANNOUNCED - amount TBA"))&amp;IF(($P467-INT($P467/10)*10)=1," (special)","")&amp;IF((($P467-INT($P467/10)*10)=1)*(Summary!$C$13="N")&gt;0," - excluded by your specials switch",""))</f>
        <v/>
      </c>
      <c r="J467" s="40">
        <f>IF($L467="","",IF((Override!$C$4="ON")*ISNUMBER(INDEX(Override!$G$153:$G$212,$N467))&gt;0,"stock overridden",""))</f>
        <v/>
      </c>
      <c r="L467" s="41">
        <f>IFERROR(IF(SMALL(Grids!$C$157:$BO$216,$M$439+26)&gt;=(Summary!$C$15+1)*1000000000,"",SMALL(Grids!$C$157:$BO$216,$M$439+26)),"")</f>
        <v/>
      </c>
      <c r="M467" s="41">
        <f>IF($L467="","",INT($L467/1000000000))</f>
        <v/>
      </c>
      <c r="N467" s="41">
        <f>IF($L467="","",INT(($L467-INT($L467/1000000)*1000000)/1000))</f>
        <v/>
      </c>
      <c r="O467" s="41">
        <f>IF($L467="","",$L467-INT($L467/1000)*1000)</f>
        <v/>
      </c>
      <c r="P467" s="41">
        <f>IF($L467="","",INT(($L467-INT($L467/1000000000)*1000000000)/10000000))</f>
        <v/>
      </c>
    </row>
    <row r="468">
      <c r="B468" s="36">
        <f>IF($L468="","",$M468)</f>
        <v/>
      </c>
      <c r="C468" s="16">
        <f>IF($L468="","",INDEX(HSCEI!$C$7:$C$66,$N468))</f>
        <v/>
      </c>
      <c r="D468" s="16">
        <f>IF($L468="","",INDEX(HSCEI!$D$7:$D$66,$N468))</f>
        <v/>
      </c>
      <c r="E468" s="37">
        <f>IF($L468="","",IF(INT($P468/10)=0,"TBA",IFERROR(INDEX(Grids!$BQ$157:$EC$216,$N468,$O468),"-")))</f>
        <v/>
      </c>
      <c r="F468" s="16">
        <f>IF($L468="","",INDEX(HSCEI!$F$7:$F$66,$N468))</f>
        <v/>
      </c>
      <c r="G468" s="37">
        <f>IF($L468="","",IF(INT($P468/10)=0,"TBA",IFERROR(INDEX(Grids!$EE$157:$GQ$216,$N468,$O468),"-")))</f>
        <v/>
      </c>
      <c r="H468" s="38">
        <f>IF($L468="","",SUM($G$442:$G468))</f>
        <v/>
      </c>
      <c r="I468" s="39">
        <f>IF($L468="","",IF(INT(($L468-INT($L468/10000000)*10000000)/1000000)=0,"Bloomberg projection",IF(INT($P468/10)=1,"Announced","ANNOUNCED - amount TBA"))&amp;IF(($P468-INT($P468/10)*10)=1," (special)","")&amp;IF((($P468-INT($P468/10)*10)=1)*(Summary!$C$13="N")&gt;0," - excluded by your specials switch",""))</f>
        <v/>
      </c>
      <c r="J468" s="40">
        <f>IF($L468="","",IF((Override!$C$4="ON")*ISNUMBER(INDEX(Override!$G$153:$G$212,$N468))&gt;0,"stock overridden",""))</f>
        <v/>
      </c>
      <c r="L468" s="41">
        <f>IFERROR(IF(SMALL(Grids!$C$157:$BO$216,$M$439+27)&gt;=(Summary!$C$15+1)*1000000000,"",SMALL(Grids!$C$157:$BO$216,$M$439+27)),"")</f>
        <v/>
      </c>
      <c r="M468" s="41">
        <f>IF($L468="","",INT($L468/1000000000))</f>
        <v/>
      </c>
      <c r="N468" s="41">
        <f>IF($L468="","",INT(($L468-INT($L468/1000000)*1000000)/1000))</f>
        <v/>
      </c>
      <c r="O468" s="41">
        <f>IF($L468="","",$L468-INT($L468/1000)*1000)</f>
        <v/>
      </c>
      <c r="P468" s="41">
        <f>IF($L468="","",INT(($L468-INT($L468/1000000000)*1000000000)/10000000))</f>
        <v/>
      </c>
    </row>
    <row r="469">
      <c r="B469" s="36">
        <f>IF($L469="","",$M469)</f>
        <v/>
      </c>
      <c r="C469" s="16">
        <f>IF($L469="","",INDEX(HSCEI!$C$7:$C$66,$N469))</f>
        <v/>
      </c>
      <c r="D469" s="16">
        <f>IF($L469="","",INDEX(HSCEI!$D$7:$D$66,$N469))</f>
        <v/>
      </c>
      <c r="E469" s="37">
        <f>IF($L469="","",IF(INT($P469/10)=0,"TBA",IFERROR(INDEX(Grids!$BQ$157:$EC$216,$N469,$O469),"-")))</f>
        <v/>
      </c>
      <c r="F469" s="16">
        <f>IF($L469="","",INDEX(HSCEI!$F$7:$F$66,$N469))</f>
        <v/>
      </c>
      <c r="G469" s="37">
        <f>IF($L469="","",IF(INT($P469/10)=0,"TBA",IFERROR(INDEX(Grids!$EE$157:$GQ$216,$N469,$O469),"-")))</f>
        <v/>
      </c>
      <c r="H469" s="38">
        <f>IF($L469="","",SUM($G$442:$G469))</f>
        <v/>
      </c>
      <c r="I469" s="39">
        <f>IF($L469="","",IF(INT(($L469-INT($L469/10000000)*10000000)/1000000)=0,"Bloomberg projection",IF(INT($P469/10)=1,"Announced","ANNOUNCED - amount TBA"))&amp;IF(($P469-INT($P469/10)*10)=1," (special)","")&amp;IF((($P469-INT($P469/10)*10)=1)*(Summary!$C$13="N")&gt;0," - excluded by your specials switch",""))</f>
        <v/>
      </c>
      <c r="J469" s="40">
        <f>IF($L469="","",IF((Override!$C$4="ON")*ISNUMBER(INDEX(Override!$G$153:$G$212,$N469))&gt;0,"stock overridden",""))</f>
        <v/>
      </c>
      <c r="L469" s="41">
        <f>IFERROR(IF(SMALL(Grids!$C$157:$BO$216,$M$439+28)&gt;=(Summary!$C$15+1)*1000000000,"",SMALL(Grids!$C$157:$BO$216,$M$439+28)),"")</f>
        <v/>
      </c>
      <c r="M469" s="41">
        <f>IF($L469="","",INT($L469/1000000000))</f>
        <v/>
      </c>
      <c r="N469" s="41">
        <f>IF($L469="","",INT(($L469-INT($L469/1000000)*1000000)/1000))</f>
        <v/>
      </c>
      <c r="O469" s="41">
        <f>IF($L469="","",$L469-INT($L469/1000)*1000)</f>
        <v/>
      </c>
      <c r="P469" s="41">
        <f>IF($L469="","",INT(($L469-INT($L469/1000000000)*1000000000)/10000000))</f>
        <v/>
      </c>
    </row>
    <row r="470">
      <c r="B470" s="36">
        <f>IF($L470="","",$M470)</f>
        <v/>
      </c>
      <c r="C470" s="16">
        <f>IF($L470="","",INDEX(HSCEI!$C$7:$C$66,$N470))</f>
        <v/>
      </c>
      <c r="D470" s="16">
        <f>IF($L470="","",INDEX(HSCEI!$D$7:$D$66,$N470))</f>
        <v/>
      </c>
      <c r="E470" s="37">
        <f>IF($L470="","",IF(INT($P470/10)=0,"TBA",IFERROR(INDEX(Grids!$BQ$157:$EC$216,$N470,$O470),"-")))</f>
        <v/>
      </c>
      <c r="F470" s="16">
        <f>IF($L470="","",INDEX(HSCEI!$F$7:$F$66,$N470))</f>
        <v/>
      </c>
      <c r="G470" s="37">
        <f>IF($L470="","",IF(INT($P470/10)=0,"TBA",IFERROR(INDEX(Grids!$EE$157:$GQ$216,$N470,$O470),"-")))</f>
        <v/>
      </c>
      <c r="H470" s="38">
        <f>IF($L470="","",SUM($G$442:$G470))</f>
        <v/>
      </c>
      <c r="I470" s="39">
        <f>IF($L470="","",IF(INT(($L470-INT($L470/10000000)*10000000)/1000000)=0,"Bloomberg projection",IF(INT($P470/10)=1,"Announced","ANNOUNCED - amount TBA"))&amp;IF(($P470-INT($P470/10)*10)=1," (special)","")&amp;IF((($P470-INT($P470/10)*10)=1)*(Summary!$C$13="N")&gt;0," - excluded by your specials switch",""))</f>
        <v/>
      </c>
      <c r="J470" s="40">
        <f>IF($L470="","",IF((Override!$C$4="ON")*ISNUMBER(INDEX(Override!$G$153:$G$212,$N470))&gt;0,"stock overridden",""))</f>
        <v/>
      </c>
      <c r="L470" s="41">
        <f>IFERROR(IF(SMALL(Grids!$C$157:$BO$216,$M$439+29)&gt;=(Summary!$C$15+1)*1000000000,"",SMALL(Grids!$C$157:$BO$216,$M$439+29)),"")</f>
        <v/>
      </c>
      <c r="M470" s="41">
        <f>IF($L470="","",INT($L470/1000000000))</f>
        <v/>
      </c>
      <c r="N470" s="41">
        <f>IF($L470="","",INT(($L470-INT($L470/1000000)*1000000)/1000))</f>
        <v/>
      </c>
      <c r="O470" s="41">
        <f>IF($L470="","",$L470-INT($L470/1000)*1000)</f>
        <v/>
      </c>
      <c r="P470" s="41">
        <f>IF($L470="","",INT(($L470-INT($L470/1000000000)*1000000000)/10000000))</f>
        <v/>
      </c>
    </row>
    <row r="471">
      <c r="B471" s="36">
        <f>IF($L471="","",$M471)</f>
        <v/>
      </c>
      <c r="C471" s="16">
        <f>IF($L471="","",INDEX(HSCEI!$C$7:$C$66,$N471))</f>
        <v/>
      </c>
      <c r="D471" s="16">
        <f>IF($L471="","",INDEX(HSCEI!$D$7:$D$66,$N471))</f>
        <v/>
      </c>
      <c r="E471" s="37">
        <f>IF($L471="","",IF(INT($P471/10)=0,"TBA",IFERROR(INDEX(Grids!$BQ$157:$EC$216,$N471,$O471),"-")))</f>
        <v/>
      </c>
      <c r="F471" s="16">
        <f>IF($L471="","",INDEX(HSCEI!$F$7:$F$66,$N471))</f>
        <v/>
      </c>
      <c r="G471" s="37">
        <f>IF($L471="","",IF(INT($P471/10)=0,"TBA",IFERROR(INDEX(Grids!$EE$157:$GQ$216,$N471,$O471),"-")))</f>
        <v/>
      </c>
      <c r="H471" s="38">
        <f>IF($L471="","",SUM($G$442:$G471))</f>
        <v/>
      </c>
      <c r="I471" s="39">
        <f>IF($L471="","",IF(INT(($L471-INT($L471/10000000)*10000000)/1000000)=0,"Bloomberg projection",IF(INT($P471/10)=1,"Announced","ANNOUNCED - amount TBA"))&amp;IF(($P471-INT($P471/10)*10)=1," (special)","")&amp;IF((($P471-INT($P471/10)*10)=1)*(Summary!$C$13="N")&gt;0," - excluded by your specials switch",""))</f>
        <v/>
      </c>
      <c r="J471" s="40">
        <f>IF($L471="","",IF((Override!$C$4="ON")*ISNUMBER(INDEX(Override!$G$153:$G$212,$N471))&gt;0,"stock overridden",""))</f>
        <v/>
      </c>
      <c r="L471" s="41">
        <f>IFERROR(IF(SMALL(Grids!$C$157:$BO$216,$M$439+30)&gt;=(Summary!$C$15+1)*1000000000,"",SMALL(Grids!$C$157:$BO$216,$M$439+30)),"")</f>
        <v/>
      </c>
      <c r="M471" s="41">
        <f>IF($L471="","",INT($L471/1000000000))</f>
        <v/>
      </c>
      <c r="N471" s="41">
        <f>IF($L471="","",INT(($L471-INT($L471/1000000)*1000000)/1000))</f>
        <v/>
      </c>
      <c r="O471" s="41">
        <f>IF($L471="","",$L471-INT($L471/1000)*1000)</f>
        <v/>
      </c>
      <c r="P471" s="41">
        <f>IF($L471="","",INT(($L471-INT($L471/1000000000)*1000000000)/10000000))</f>
        <v/>
      </c>
    </row>
    <row r="472">
      <c r="B472" s="36">
        <f>IF($L472="","",$M472)</f>
        <v/>
      </c>
      <c r="C472" s="16">
        <f>IF($L472="","",INDEX(HSCEI!$C$7:$C$66,$N472))</f>
        <v/>
      </c>
      <c r="D472" s="16">
        <f>IF($L472="","",INDEX(HSCEI!$D$7:$D$66,$N472))</f>
        <v/>
      </c>
      <c r="E472" s="37">
        <f>IF($L472="","",IF(INT($P472/10)=0,"TBA",IFERROR(INDEX(Grids!$BQ$157:$EC$216,$N472,$O472),"-")))</f>
        <v/>
      </c>
      <c r="F472" s="16">
        <f>IF($L472="","",INDEX(HSCEI!$F$7:$F$66,$N472))</f>
        <v/>
      </c>
      <c r="G472" s="37">
        <f>IF($L472="","",IF(INT($P472/10)=0,"TBA",IFERROR(INDEX(Grids!$EE$157:$GQ$216,$N472,$O472),"-")))</f>
        <v/>
      </c>
      <c r="H472" s="38">
        <f>IF($L472="","",SUM($G$442:$G472))</f>
        <v/>
      </c>
      <c r="I472" s="39">
        <f>IF($L472="","",IF(INT(($L472-INT($L472/10000000)*10000000)/1000000)=0,"Bloomberg projection",IF(INT($P472/10)=1,"Announced","ANNOUNCED - amount TBA"))&amp;IF(($P472-INT($P472/10)*10)=1," (special)","")&amp;IF((($P472-INT($P472/10)*10)=1)*(Summary!$C$13="N")&gt;0," - excluded by your specials switch",""))</f>
        <v/>
      </c>
      <c r="J472" s="40">
        <f>IF($L472="","",IF((Override!$C$4="ON")*ISNUMBER(INDEX(Override!$G$153:$G$212,$N472))&gt;0,"stock overridden",""))</f>
        <v/>
      </c>
      <c r="L472" s="41">
        <f>IFERROR(IF(SMALL(Grids!$C$157:$BO$216,$M$439+31)&gt;=(Summary!$C$15+1)*1000000000,"",SMALL(Grids!$C$157:$BO$216,$M$439+31)),"")</f>
        <v/>
      </c>
      <c r="M472" s="41">
        <f>IF($L472="","",INT($L472/1000000000))</f>
        <v/>
      </c>
      <c r="N472" s="41">
        <f>IF($L472="","",INT(($L472-INT($L472/1000000)*1000000)/1000))</f>
        <v/>
      </c>
      <c r="O472" s="41">
        <f>IF($L472="","",$L472-INT($L472/1000)*1000)</f>
        <v/>
      </c>
      <c r="P472" s="41">
        <f>IF($L472="","",INT(($L472-INT($L472/1000000000)*1000000000)/10000000))</f>
        <v/>
      </c>
    </row>
    <row r="473">
      <c r="B473" s="36">
        <f>IF($L473="","",$M473)</f>
        <v/>
      </c>
      <c r="C473" s="16">
        <f>IF($L473="","",INDEX(HSCEI!$C$7:$C$66,$N473))</f>
        <v/>
      </c>
      <c r="D473" s="16">
        <f>IF($L473="","",INDEX(HSCEI!$D$7:$D$66,$N473))</f>
        <v/>
      </c>
      <c r="E473" s="37">
        <f>IF($L473="","",IF(INT($P473/10)=0,"TBA",IFERROR(INDEX(Grids!$BQ$157:$EC$216,$N473,$O473),"-")))</f>
        <v/>
      </c>
      <c r="F473" s="16">
        <f>IF($L473="","",INDEX(HSCEI!$F$7:$F$66,$N473))</f>
        <v/>
      </c>
      <c r="G473" s="37">
        <f>IF($L473="","",IF(INT($P473/10)=0,"TBA",IFERROR(INDEX(Grids!$EE$157:$GQ$216,$N473,$O473),"-")))</f>
        <v/>
      </c>
      <c r="H473" s="38">
        <f>IF($L473="","",SUM($G$442:$G473))</f>
        <v/>
      </c>
      <c r="I473" s="39">
        <f>IF($L473="","",IF(INT(($L473-INT($L473/10000000)*10000000)/1000000)=0,"Bloomberg projection",IF(INT($P473/10)=1,"Announced","ANNOUNCED - amount TBA"))&amp;IF(($P473-INT($P473/10)*10)=1," (special)","")&amp;IF((($P473-INT($P473/10)*10)=1)*(Summary!$C$13="N")&gt;0," - excluded by your specials switch",""))</f>
        <v/>
      </c>
      <c r="J473" s="40">
        <f>IF($L473="","",IF((Override!$C$4="ON")*ISNUMBER(INDEX(Override!$G$153:$G$212,$N473))&gt;0,"stock overridden",""))</f>
        <v/>
      </c>
      <c r="L473" s="41">
        <f>IFERROR(IF(SMALL(Grids!$C$157:$BO$216,$M$439+32)&gt;=(Summary!$C$15+1)*1000000000,"",SMALL(Grids!$C$157:$BO$216,$M$439+32)),"")</f>
        <v/>
      </c>
      <c r="M473" s="41">
        <f>IF($L473="","",INT($L473/1000000000))</f>
        <v/>
      </c>
      <c r="N473" s="41">
        <f>IF($L473="","",INT(($L473-INT($L473/1000000)*1000000)/1000))</f>
        <v/>
      </c>
      <c r="O473" s="41">
        <f>IF($L473="","",$L473-INT($L473/1000)*1000)</f>
        <v/>
      </c>
      <c r="P473" s="41">
        <f>IF($L473="","",INT(($L473-INT($L473/1000000000)*1000000000)/10000000))</f>
        <v/>
      </c>
    </row>
    <row r="474">
      <c r="B474" s="36">
        <f>IF($L474="","",$M474)</f>
        <v/>
      </c>
      <c r="C474" s="16">
        <f>IF($L474="","",INDEX(HSCEI!$C$7:$C$66,$N474))</f>
        <v/>
      </c>
      <c r="D474" s="16">
        <f>IF($L474="","",INDEX(HSCEI!$D$7:$D$66,$N474))</f>
        <v/>
      </c>
      <c r="E474" s="37">
        <f>IF($L474="","",IF(INT($P474/10)=0,"TBA",IFERROR(INDEX(Grids!$BQ$157:$EC$216,$N474,$O474),"-")))</f>
        <v/>
      </c>
      <c r="F474" s="16">
        <f>IF($L474="","",INDEX(HSCEI!$F$7:$F$66,$N474))</f>
        <v/>
      </c>
      <c r="G474" s="37">
        <f>IF($L474="","",IF(INT($P474/10)=0,"TBA",IFERROR(INDEX(Grids!$EE$157:$GQ$216,$N474,$O474),"-")))</f>
        <v/>
      </c>
      <c r="H474" s="38">
        <f>IF($L474="","",SUM($G$442:$G474))</f>
        <v/>
      </c>
      <c r="I474" s="39">
        <f>IF($L474="","",IF(INT(($L474-INT($L474/10000000)*10000000)/1000000)=0,"Bloomberg projection",IF(INT($P474/10)=1,"Announced","ANNOUNCED - amount TBA"))&amp;IF(($P474-INT($P474/10)*10)=1," (special)","")&amp;IF((($P474-INT($P474/10)*10)=1)*(Summary!$C$13="N")&gt;0," - excluded by your specials switch",""))</f>
        <v/>
      </c>
      <c r="J474" s="40">
        <f>IF($L474="","",IF((Override!$C$4="ON")*ISNUMBER(INDEX(Override!$G$153:$G$212,$N474))&gt;0,"stock overridden",""))</f>
        <v/>
      </c>
      <c r="L474" s="41">
        <f>IFERROR(IF(SMALL(Grids!$C$157:$BO$216,$M$439+33)&gt;=(Summary!$C$15+1)*1000000000,"",SMALL(Grids!$C$157:$BO$216,$M$439+33)),"")</f>
        <v/>
      </c>
      <c r="M474" s="41">
        <f>IF($L474="","",INT($L474/1000000000))</f>
        <v/>
      </c>
      <c r="N474" s="41">
        <f>IF($L474="","",INT(($L474-INT($L474/1000000)*1000000)/1000))</f>
        <v/>
      </c>
      <c r="O474" s="41">
        <f>IF($L474="","",$L474-INT($L474/1000)*1000)</f>
        <v/>
      </c>
      <c r="P474" s="41">
        <f>IF($L474="","",INT(($L474-INT($L474/1000000000)*1000000000)/10000000))</f>
        <v/>
      </c>
    </row>
    <row r="475">
      <c r="B475" s="36">
        <f>IF($L475="","",$M475)</f>
        <v/>
      </c>
      <c r="C475" s="16">
        <f>IF($L475="","",INDEX(HSCEI!$C$7:$C$66,$N475))</f>
        <v/>
      </c>
      <c r="D475" s="16">
        <f>IF($L475="","",INDEX(HSCEI!$D$7:$D$66,$N475))</f>
        <v/>
      </c>
      <c r="E475" s="37">
        <f>IF($L475="","",IF(INT($P475/10)=0,"TBA",IFERROR(INDEX(Grids!$BQ$157:$EC$216,$N475,$O475),"-")))</f>
        <v/>
      </c>
      <c r="F475" s="16">
        <f>IF($L475="","",INDEX(HSCEI!$F$7:$F$66,$N475))</f>
        <v/>
      </c>
      <c r="G475" s="37">
        <f>IF($L475="","",IF(INT($P475/10)=0,"TBA",IFERROR(INDEX(Grids!$EE$157:$GQ$216,$N475,$O475),"-")))</f>
        <v/>
      </c>
      <c r="H475" s="38">
        <f>IF($L475="","",SUM($G$442:$G475))</f>
        <v/>
      </c>
      <c r="I475" s="39">
        <f>IF($L475="","",IF(INT(($L475-INT($L475/10000000)*10000000)/1000000)=0,"Bloomberg projection",IF(INT($P475/10)=1,"Announced","ANNOUNCED - amount TBA"))&amp;IF(($P475-INT($P475/10)*10)=1," (special)","")&amp;IF((($P475-INT($P475/10)*10)=1)*(Summary!$C$13="N")&gt;0," - excluded by your specials switch",""))</f>
        <v/>
      </c>
      <c r="J475" s="40">
        <f>IF($L475="","",IF((Override!$C$4="ON")*ISNUMBER(INDEX(Override!$G$153:$G$212,$N475))&gt;0,"stock overridden",""))</f>
        <v/>
      </c>
      <c r="L475" s="41">
        <f>IFERROR(IF(SMALL(Grids!$C$157:$BO$216,$M$439+34)&gt;=(Summary!$C$15+1)*1000000000,"",SMALL(Grids!$C$157:$BO$216,$M$439+34)),"")</f>
        <v/>
      </c>
      <c r="M475" s="41">
        <f>IF($L475="","",INT($L475/1000000000))</f>
        <v/>
      </c>
      <c r="N475" s="41">
        <f>IF($L475="","",INT(($L475-INT($L475/1000000)*1000000)/1000))</f>
        <v/>
      </c>
      <c r="O475" s="41">
        <f>IF($L475="","",$L475-INT($L475/1000)*1000)</f>
        <v/>
      </c>
      <c r="P475" s="41">
        <f>IF($L475="","",INT(($L475-INT($L475/1000000000)*1000000000)/10000000))</f>
        <v/>
      </c>
    </row>
    <row r="476">
      <c r="B476" s="36">
        <f>IF($L476="","",$M476)</f>
        <v/>
      </c>
      <c r="C476" s="16">
        <f>IF($L476="","",INDEX(HSCEI!$C$7:$C$66,$N476))</f>
        <v/>
      </c>
      <c r="D476" s="16">
        <f>IF($L476="","",INDEX(HSCEI!$D$7:$D$66,$N476))</f>
        <v/>
      </c>
      <c r="E476" s="37">
        <f>IF($L476="","",IF(INT($P476/10)=0,"TBA",IFERROR(INDEX(Grids!$BQ$157:$EC$216,$N476,$O476),"-")))</f>
        <v/>
      </c>
      <c r="F476" s="16">
        <f>IF($L476="","",INDEX(HSCEI!$F$7:$F$66,$N476))</f>
        <v/>
      </c>
      <c r="G476" s="37">
        <f>IF($L476="","",IF(INT($P476/10)=0,"TBA",IFERROR(INDEX(Grids!$EE$157:$GQ$216,$N476,$O476),"-")))</f>
        <v/>
      </c>
      <c r="H476" s="38">
        <f>IF($L476="","",SUM($G$442:$G476))</f>
        <v/>
      </c>
      <c r="I476" s="39">
        <f>IF($L476="","",IF(INT(($L476-INT($L476/10000000)*10000000)/1000000)=0,"Bloomberg projection",IF(INT($P476/10)=1,"Announced","ANNOUNCED - amount TBA"))&amp;IF(($P476-INT($P476/10)*10)=1," (special)","")&amp;IF((($P476-INT($P476/10)*10)=1)*(Summary!$C$13="N")&gt;0," - excluded by your specials switch",""))</f>
        <v/>
      </c>
      <c r="J476" s="40">
        <f>IF($L476="","",IF((Override!$C$4="ON")*ISNUMBER(INDEX(Override!$G$153:$G$212,$N476))&gt;0,"stock overridden",""))</f>
        <v/>
      </c>
      <c r="L476" s="41">
        <f>IFERROR(IF(SMALL(Grids!$C$157:$BO$216,$M$439+35)&gt;=(Summary!$C$15+1)*1000000000,"",SMALL(Grids!$C$157:$BO$216,$M$439+35)),"")</f>
        <v/>
      </c>
      <c r="M476" s="41">
        <f>IF($L476="","",INT($L476/1000000000))</f>
        <v/>
      </c>
      <c r="N476" s="41">
        <f>IF($L476="","",INT(($L476-INT($L476/1000000)*1000000)/1000))</f>
        <v/>
      </c>
      <c r="O476" s="41">
        <f>IF($L476="","",$L476-INT($L476/1000)*1000)</f>
        <v/>
      </c>
      <c r="P476" s="41">
        <f>IF($L476="","",INT(($L476-INT($L476/1000000000)*1000000000)/10000000))</f>
        <v/>
      </c>
    </row>
    <row r="477">
      <c r="B477" s="36">
        <f>IF($L477="","",$M477)</f>
        <v/>
      </c>
      <c r="C477" s="16">
        <f>IF($L477="","",INDEX(HSCEI!$C$7:$C$66,$N477))</f>
        <v/>
      </c>
      <c r="D477" s="16">
        <f>IF($L477="","",INDEX(HSCEI!$D$7:$D$66,$N477))</f>
        <v/>
      </c>
      <c r="E477" s="37">
        <f>IF($L477="","",IF(INT($P477/10)=0,"TBA",IFERROR(INDEX(Grids!$BQ$157:$EC$216,$N477,$O477),"-")))</f>
        <v/>
      </c>
      <c r="F477" s="16">
        <f>IF($L477="","",INDEX(HSCEI!$F$7:$F$66,$N477))</f>
        <v/>
      </c>
      <c r="G477" s="37">
        <f>IF($L477="","",IF(INT($P477/10)=0,"TBA",IFERROR(INDEX(Grids!$EE$157:$GQ$216,$N477,$O477),"-")))</f>
        <v/>
      </c>
      <c r="H477" s="38">
        <f>IF($L477="","",SUM($G$442:$G477))</f>
        <v/>
      </c>
      <c r="I477" s="39">
        <f>IF($L477="","",IF(INT(($L477-INT($L477/10000000)*10000000)/1000000)=0,"Bloomberg projection",IF(INT($P477/10)=1,"Announced","ANNOUNCED - amount TBA"))&amp;IF(($P477-INT($P477/10)*10)=1," (special)","")&amp;IF((($P477-INT($P477/10)*10)=1)*(Summary!$C$13="N")&gt;0," - excluded by your specials switch",""))</f>
        <v/>
      </c>
      <c r="J477" s="40">
        <f>IF($L477="","",IF((Override!$C$4="ON")*ISNUMBER(INDEX(Override!$G$153:$G$212,$N477))&gt;0,"stock overridden",""))</f>
        <v/>
      </c>
      <c r="L477" s="41">
        <f>IFERROR(IF(SMALL(Grids!$C$157:$BO$216,$M$439+36)&gt;=(Summary!$C$15+1)*1000000000,"",SMALL(Grids!$C$157:$BO$216,$M$439+36)),"")</f>
        <v/>
      </c>
      <c r="M477" s="41">
        <f>IF($L477="","",INT($L477/1000000000))</f>
        <v/>
      </c>
      <c r="N477" s="41">
        <f>IF($L477="","",INT(($L477-INT($L477/1000000)*1000000)/1000))</f>
        <v/>
      </c>
      <c r="O477" s="41">
        <f>IF($L477="","",$L477-INT($L477/1000)*1000)</f>
        <v/>
      </c>
      <c r="P477" s="41">
        <f>IF($L477="","",INT(($L477-INT($L477/1000000000)*1000000000)/10000000))</f>
        <v/>
      </c>
    </row>
    <row r="478">
      <c r="B478" s="36">
        <f>IF($L478="","",$M478)</f>
        <v/>
      </c>
      <c r="C478" s="16">
        <f>IF($L478="","",INDEX(HSCEI!$C$7:$C$66,$N478))</f>
        <v/>
      </c>
      <c r="D478" s="16">
        <f>IF($L478="","",INDEX(HSCEI!$D$7:$D$66,$N478))</f>
        <v/>
      </c>
      <c r="E478" s="37">
        <f>IF($L478="","",IF(INT($P478/10)=0,"TBA",IFERROR(INDEX(Grids!$BQ$157:$EC$216,$N478,$O478),"-")))</f>
        <v/>
      </c>
      <c r="F478" s="16">
        <f>IF($L478="","",INDEX(HSCEI!$F$7:$F$66,$N478))</f>
        <v/>
      </c>
      <c r="G478" s="37">
        <f>IF($L478="","",IF(INT($P478/10)=0,"TBA",IFERROR(INDEX(Grids!$EE$157:$GQ$216,$N478,$O478),"-")))</f>
        <v/>
      </c>
      <c r="H478" s="38">
        <f>IF($L478="","",SUM($G$442:$G478))</f>
        <v/>
      </c>
      <c r="I478" s="39">
        <f>IF($L478="","",IF(INT(($L478-INT($L478/10000000)*10000000)/1000000)=0,"Bloomberg projection",IF(INT($P478/10)=1,"Announced","ANNOUNCED - amount TBA"))&amp;IF(($P478-INT($P478/10)*10)=1," (special)","")&amp;IF((($P478-INT($P478/10)*10)=1)*(Summary!$C$13="N")&gt;0," - excluded by your specials switch",""))</f>
        <v/>
      </c>
      <c r="J478" s="40">
        <f>IF($L478="","",IF((Override!$C$4="ON")*ISNUMBER(INDEX(Override!$G$153:$G$212,$N478))&gt;0,"stock overridden",""))</f>
        <v/>
      </c>
      <c r="L478" s="41">
        <f>IFERROR(IF(SMALL(Grids!$C$157:$BO$216,$M$439+37)&gt;=(Summary!$C$15+1)*1000000000,"",SMALL(Grids!$C$157:$BO$216,$M$439+37)),"")</f>
        <v/>
      </c>
      <c r="M478" s="41">
        <f>IF($L478="","",INT($L478/1000000000))</f>
        <v/>
      </c>
      <c r="N478" s="41">
        <f>IF($L478="","",INT(($L478-INT($L478/1000000)*1000000)/1000))</f>
        <v/>
      </c>
      <c r="O478" s="41">
        <f>IF($L478="","",$L478-INT($L478/1000)*1000)</f>
        <v/>
      </c>
      <c r="P478" s="41">
        <f>IF($L478="","",INT(($L478-INT($L478/1000000000)*1000000000)/10000000))</f>
        <v/>
      </c>
    </row>
    <row r="479">
      <c r="B479" s="36">
        <f>IF($L479="","",$M479)</f>
        <v/>
      </c>
      <c r="C479" s="16">
        <f>IF($L479="","",INDEX(HSCEI!$C$7:$C$66,$N479))</f>
        <v/>
      </c>
      <c r="D479" s="16">
        <f>IF($L479="","",INDEX(HSCEI!$D$7:$D$66,$N479))</f>
        <v/>
      </c>
      <c r="E479" s="37">
        <f>IF($L479="","",IF(INT($P479/10)=0,"TBA",IFERROR(INDEX(Grids!$BQ$157:$EC$216,$N479,$O479),"-")))</f>
        <v/>
      </c>
      <c r="F479" s="16">
        <f>IF($L479="","",INDEX(HSCEI!$F$7:$F$66,$N479))</f>
        <v/>
      </c>
      <c r="G479" s="37">
        <f>IF($L479="","",IF(INT($P479/10)=0,"TBA",IFERROR(INDEX(Grids!$EE$157:$GQ$216,$N479,$O479),"-")))</f>
        <v/>
      </c>
      <c r="H479" s="38">
        <f>IF($L479="","",SUM($G$442:$G479))</f>
        <v/>
      </c>
      <c r="I479" s="39">
        <f>IF($L479="","",IF(INT(($L479-INT($L479/10000000)*10000000)/1000000)=0,"Bloomberg projection",IF(INT($P479/10)=1,"Announced","ANNOUNCED - amount TBA"))&amp;IF(($P479-INT($P479/10)*10)=1," (special)","")&amp;IF((($P479-INT($P479/10)*10)=1)*(Summary!$C$13="N")&gt;0," - excluded by your specials switch",""))</f>
        <v/>
      </c>
      <c r="J479" s="40">
        <f>IF($L479="","",IF((Override!$C$4="ON")*ISNUMBER(INDEX(Override!$G$153:$G$212,$N479))&gt;0,"stock overridden",""))</f>
        <v/>
      </c>
      <c r="L479" s="41">
        <f>IFERROR(IF(SMALL(Grids!$C$157:$BO$216,$M$439+38)&gt;=(Summary!$C$15+1)*1000000000,"",SMALL(Grids!$C$157:$BO$216,$M$439+38)),"")</f>
        <v/>
      </c>
      <c r="M479" s="41">
        <f>IF($L479="","",INT($L479/1000000000))</f>
        <v/>
      </c>
      <c r="N479" s="41">
        <f>IF($L479="","",INT(($L479-INT($L479/1000000)*1000000)/1000))</f>
        <v/>
      </c>
      <c r="O479" s="41">
        <f>IF($L479="","",$L479-INT($L479/1000)*1000)</f>
        <v/>
      </c>
      <c r="P479" s="41">
        <f>IF($L479="","",INT(($L479-INT($L479/1000000000)*1000000000)/10000000))</f>
        <v/>
      </c>
    </row>
    <row r="480">
      <c r="B480" s="36">
        <f>IF($L480="","",$M480)</f>
        <v/>
      </c>
      <c r="C480" s="16">
        <f>IF($L480="","",INDEX(HSCEI!$C$7:$C$66,$N480))</f>
        <v/>
      </c>
      <c r="D480" s="16">
        <f>IF($L480="","",INDEX(HSCEI!$D$7:$D$66,$N480))</f>
        <v/>
      </c>
      <c r="E480" s="37">
        <f>IF($L480="","",IF(INT($P480/10)=0,"TBA",IFERROR(INDEX(Grids!$BQ$157:$EC$216,$N480,$O480),"-")))</f>
        <v/>
      </c>
      <c r="F480" s="16">
        <f>IF($L480="","",INDEX(HSCEI!$F$7:$F$66,$N480))</f>
        <v/>
      </c>
      <c r="G480" s="37">
        <f>IF($L480="","",IF(INT($P480/10)=0,"TBA",IFERROR(INDEX(Grids!$EE$157:$GQ$216,$N480,$O480),"-")))</f>
        <v/>
      </c>
      <c r="H480" s="38">
        <f>IF($L480="","",SUM($G$442:$G480))</f>
        <v/>
      </c>
      <c r="I480" s="39">
        <f>IF($L480="","",IF(INT(($L480-INT($L480/10000000)*10000000)/1000000)=0,"Bloomberg projection",IF(INT($P480/10)=1,"Announced","ANNOUNCED - amount TBA"))&amp;IF(($P480-INT($P480/10)*10)=1," (special)","")&amp;IF((($P480-INT($P480/10)*10)=1)*(Summary!$C$13="N")&gt;0," - excluded by your specials switch",""))</f>
        <v/>
      </c>
      <c r="J480" s="40">
        <f>IF($L480="","",IF((Override!$C$4="ON")*ISNUMBER(INDEX(Override!$G$153:$G$212,$N480))&gt;0,"stock overridden",""))</f>
        <v/>
      </c>
      <c r="L480" s="41">
        <f>IFERROR(IF(SMALL(Grids!$C$157:$BO$216,$M$439+39)&gt;=(Summary!$C$15+1)*1000000000,"",SMALL(Grids!$C$157:$BO$216,$M$439+39)),"")</f>
        <v/>
      </c>
      <c r="M480" s="41">
        <f>IF($L480="","",INT($L480/1000000000))</f>
        <v/>
      </c>
      <c r="N480" s="41">
        <f>IF($L480="","",INT(($L480-INT($L480/1000000)*1000000)/1000))</f>
        <v/>
      </c>
      <c r="O480" s="41">
        <f>IF($L480="","",$L480-INT($L480/1000)*1000)</f>
        <v/>
      </c>
      <c r="P480" s="41">
        <f>IF($L480="","",INT(($L480-INT($L480/1000000000)*1000000000)/10000000))</f>
        <v/>
      </c>
    </row>
    <row r="481">
      <c r="B481" s="36">
        <f>IF($L481="","",$M481)</f>
        <v/>
      </c>
      <c r="C481" s="16">
        <f>IF($L481="","",INDEX(HSCEI!$C$7:$C$66,$N481))</f>
        <v/>
      </c>
      <c r="D481" s="16">
        <f>IF($L481="","",INDEX(HSCEI!$D$7:$D$66,$N481))</f>
        <v/>
      </c>
      <c r="E481" s="37">
        <f>IF($L481="","",IF(INT($P481/10)=0,"TBA",IFERROR(INDEX(Grids!$BQ$157:$EC$216,$N481,$O481),"-")))</f>
        <v/>
      </c>
      <c r="F481" s="16">
        <f>IF($L481="","",INDEX(HSCEI!$F$7:$F$66,$N481))</f>
        <v/>
      </c>
      <c r="G481" s="37">
        <f>IF($L481="","",IF(INT($P481/10)=0,"TBA",IFERROR(INDEX(Grids!$EE$157:$GQ$216,$N481,$O481),"-")))</f>
        <v/>
      </c>
      <c r="H481" s="38">
        <f>IF($L481="","",SUM($G$442:$G481))</f>
        <v/>
      </c>
      <c r="I481" s="39">
        <f>IF($L481="","",IF(INT(($L481-INT($L481/10000000)*10000000)/1000000)=0,"Bloomberg projection",IF(INT($P481/10)=1,"Announced","ANNOUNCED - amount TBA"))&amp;IF(($P481-INT($P481/10)*10)=1," (special)","")&amp;IF((($P481-INT($P481/10)*10)=1)*(Summary!$C$13="N")&gt;0," - excluded by your specials switch",""))</f>
        <v/>
      </c>
      <c r="J481" s="40">
        <f>IF($L481="","",IF((Override!$C$4="ON")*ISNUMBER(INDEX(Override!$G$153:$G$212,$N481))&gt;0,"stock overridden",""))</f>
        <v/>
      </c>
      <c r="L481" s="41">
        <f>IFERROR(IF(SMALL(Grids!$C$157:$BO$216,$M$439+40)&gt;=(Summary!$C$15+1)*1000000000,"",SMALL(Grids!$C$157:$BO$216,$M$439+40)),"")</f>
        <v/>
      </c>
      <c r="M481" s="41">
        <f>IF($L481="","",INT($L481/1000000000))</f>
        <v/>
      </c>
      <c r="N481" s="41">
        <f>IF($L481="","",INT(($L481-INT($L481/1000000)*1000000)/1000))</f>
        <v/>
      </c>
      <c r="O481" s="41">
        <f>IF($L481="","",$L481-INT($L481/1000)*1000)</f>
        <v/>
      </c>
      <c r="P481" s="41">
        <f>IF($L481="","",INT(($L481-INT($L481/1000000000)*1000000000)/10000000))</f>
        <v/>
      </c>
    </row>
    <row r="482">
      <c r="B482" s="36">
        <f>IF($L482="","",$M482)</f>
        <v/>
      </c>
      <c r="C482" s="16">
        <f>IF($L482="","",INDEX(HSCEI!$C$7:$C$66,$N482))</f>
        <v/>
      </c>
      <c r="D482" s="16">
        <f>IF($L482="","",INDEX(HSCEI!$D$7:$D$66,$N482))</f>
        <v/>
      </c>
      <c r="E482" s="37">
        <f>IF($L482="","",IF(INT($P482/10)=0,"TBA",IFERROR(INDEX(Grids!$BQ$157:$EC$216,$N482,$O482),"-")))</f>
        <v/>
      </c>
      <c r="F482" s="16">
        <f>IF($L482="","",INDEX(HSCEI!$F$7:$F$66,$N482))</f>
        <v/>
      </c>
      <c r="G482" s="37">
        <f>IF($L482="","",IF(INT($P482/10)=0,"TBA",IFERROR(INDEX(Grids!$EE$157:$GQ$216,$N482,$O482),"-")))</f>
        <v/>
      </c>
      <c r="H482" s="38">
        <f>IF($L482="","",SUM($G$442:$G482))</f>
        <v/>
      </c>
      <c r="I482" s="39">
        <f>IF($L482="","",IF(INT(($L482-INT($L482/10000000)*10000000)/1000000)=0,"Bloomberg projection",IF(INT($P482/10)=1,"Announced","ANNOUNCED - amount TBA"))&amp;IF(($P482-INT($P482/10)*10)=1," (special)","")&amp;IF((($P482-INT($P482/10)*10)=1)*(Summary!$C$13="N")&gt;0," - excluded by your specials switch",""))</f>
        <v/>
      </c>
      <c r="J482" s="40">
        <f>IF($L482="","",IF((Override!$C$4="ON")*ISNUMBER(INDEX(Override!$G$153:$G$212,$N482))&gt;0,"stock overridden",""))</f>
        <v/>
      </c>
      <c r="L482" s="41">
        <f>IFERROR(IF(SMALL(Grids!$C$157:$BO$216,$M$439+41)&gt;=(Summary!$C$15+1)*1000000000,"",SMALL(Grids!$C$157:$BO$216,$M$439+41)),"")</f>
        <v/>
      </c>
      <c r="M482" s="41">
        <f>IF($L482="","",INT($L482/1000000000))</f>
        <v/>
      </c>
      <c r="N482" s="41">
        <f>IF($L482="","",INT(($L482-INT($L482/1000000)*1000000)/1000))</f>
        <v/>
      </c>
      <c r="O482" s="41">
        <f>IF($L482="","",$L482-INT($L482/1000)*1000)</f>
        <v/>
      </c>
      <c r="P482" s="41">
        <f>IF($L482="","",INT(($L482-INT($L482/1000000000)*1000000000)/10000000))</f>
        <v/>
      </c>
    </row>
    <row r="483">
      <c r="B483" s="36">
        <f>IF($L483="","",$M483)</f>
        <v/>
      </c>
      <c r="C483" s="16">
        <f>IF($L483="","",INDEX(HSCEI!$C$7:$C$66,$N483))</f>
        <v/>
      </c>
      <c r="D483" s="16">
        <f>IF($L483="","",INDEX(HSCEI!$D$7:$D$66,$N483))</f>
        <v/>
      </c>
      <c r="E483" s="37">
        <f>IF($L483="","",IF(INT($P483/10)=0,"TBA",IFERROR(INDEX(Grids!$BQ$157:$EC$216,$N483,$O483),"-")))</f>
        <v/>
      </c>
      <c r="F483" s="16">
        <f>IF($L483="","",INDEX(HSCEI!$F$7:$F$66,$N483))</f>
        <v/>
      </c>
      <c r="G483" s="37">
        <f>IF($L483="","",IF(INT($P483/10)=0,"TBA",IFERROR(INDEX(Grids!$EE$157:$GQ$216,$N483,$O483),"-")))</f>
        <v/>
      </c>
      <c r="H483" s="38">
        <f>IF($L483="","",SUM($G$442:$G483))</f>
        <v/>
      </c>
      <c r="I483" s="39">
        <f>IF($L483="","",IF(INT(($L483-INT($L483/10000000)*10000000)/1000000)=0,"Bloomberg projection",IF(INT($P483/10)=1,"Announced","ANNOUNCED - amount TBA"))&amp;IF(($P483-INT($P483/10)*10)=1," (special)","")&amp;IF((($P483-INT($P483/10)*10)=1)*(Summary!$C$13="N")&gt;0," - excluded by your specials switch",""))</f>
        <v/>
      </c>
      <c r="J483" s="40">
        <f>IF($L483="","",IF((Override!$C$4="ON")*ISNUMBER(INDEX(Override!$G$153:$G$212,$N483))&gt;0,"stock overridden",""))</f>
        <v/>
      </c>
      <c r="L483" s="41">
        <f>IFERROR(IF(SMALL(Grids!$C$157:$BO$216,$M$439+42)&gt;=(Summary!$C$15+1)*1000000000,"",SMALL(Grids!$C$157:$BO$216,$M$439+42)),"")</f>
        <v/>
      </c>
      <c r="M483" s="41">
        <f>IF($L483="","",INT($L483/1000000000))</f>
        <v/>
      </c>
      <c r="N483" s="41">
        <f>IF($L483="","",INT(($L483-INT($L483/1000000)*1000000)/1000))</f>
        <v/>
      </c>
      <c r="O483" s="41">
        <f>IF($L483="","",$L483-INT($L483/1000)*1000)</f>
        <v/>
      </c>
      <c r="P483" s="41">
        <f>IF($L483="","",INT(($L483-INT($L483/1000000000)*1000000000)/10000000))</f>
        <v/>
      </c>
    </row>
    <row r="484">
      <c r="B484" s="36">
        <f>IF($L484="","",$M484)</f>
        <v/>
      </c>
      <c r="C484" s="16">
        <f>IF($L484="","",INDEX(HSCEI!$C$7:$C$66,$N484))</f>
        <v/>
      </c>
      <c r="D484" s="16">
        <f>IF($L484="","",INDEX(HSCEI!$D$7:$D$66,$N484))</f>
        <v/>
      </c>
      <c r="E484" s="37">
        <f>IF($L484="","",IF(INT($P484/10)=0,"TBA",IFERROR(INDEX(Grids!$BQ$157:$EC$216,$N484,$O484),"-")))</f>
        <v/>
      </c>
      <c r="F484" s="16">
        <f>IF($L484="","",INDEX(HSCEI!$F$7:$F$66,$N484))</f>
        <v/>
      </c>
      <c r="G484" s="37">
        <f>IF($L484="","",IF(INT($P484/10)=0,"TBA",IFERROR(INDEX(Grids!$EE$157:$GQ$216,$N484,$O484),"-")))</f>
        <v/>
      </c>
      <c r="H484" s="38">
        <f>IF($L484="","",SUM($G$442:$G484))</f>
        <v/>
      </c>
      <c r="I484" s="39">
        <f>IF($L484="","",IF(INT(($L484-INT($L484/10000000)*10000000)/1000000)=0,"Bloomberg projection",IF(INT($P484/10)=1,"Announced","ANNOUNCED - amount TBA"))&amp;IF(($P484-INT($P484/10)*10)=1," (special)","")&amp;IF((($P484-INT($P484/10)*10)=1)*(Summary!$C$13="N")&gt;0," - excluded by your specials switch",""))</f>
        <v/>
      </c>
      <c r="J484" s="40">
        <f>IF($L484="","",IF((Override!$C$4="ON")*ISNUMBER(INDEX(Override!$G$153:$G$212,$N484))&gt;0,"stock overridden",""))</f>
        <v/>
      </c>
      <c r="L484" s="41">
        <f>IFERROR(IF(SMALL(Grids!$C$157:$BO$216,$M$439+43)&gt;=(Summary!$C$15+1)*1000000000,"",SMALL(Grids!$C$157:$BO$216,$M$439+43)),"")</f>
        <v/>
      </c>
      <c r="M484" s="41">
        <f>IF($L484="","",INT($L484/1000000000))</f>
        <v/>
      </c>
      <c r="N484" s="41">
        <f>IF($L484="","",INT(($L484-INT($L484/1000000)*1000000)/1000))</f>
        <v/>
      </c>
      <c r="O484" s="41">
        <f>IF($L484="","",$L484-INT($L484/1000)*1000)</f>
        <v/>
      </c>
      <c r="P484" s="41">
        <f>IF($L484="","",INT(($L484-INT($L484/1000000000)*1000000000)/10000000))</f>
        <v/>
      </c>
    </row>
    <row r="485">
      <c r="B485" s="36">
        <f>IF($L485="","",$M485)</f>
        <v/>
      </c>
      <c r="C485" s="16">
        <f>IF($L485="","",INDEX(HSCEI!$C$7:$C$66,$N485))</f>
        <v/>
      </c>
      <c r="D485" s="16">
        <f>IF($L485="","",INDEX(HSCEI!$D$7:$D$66,$N485))</f>
        <v/>
      </c>
      <c r="E485" s="37">
        <f>IF($L485="","",IF(INT($P485/10)=0,"TBA",IFERROR(INDEX(Grids!$BQ$157:$EC$216,$N485,$O485),"-")))</f>
        <v/>
      </c>
      <c r="F485" s="16">
        <f>IF($L485="","",INDEX(HSCEI!$F$7:$F$66,$N485))</f>
        <v/>
      </c>
      <c r="G485" s="37">
        <f>IF($L485="","",IF(INT($P485/10)=0,"TBA",IFERROR(INDEX(Grids!$EE$157:$GQ$216,$N485,$O485),"-")))</f>
        <v/>
      </c>
      <c r="H485" s="38">
        <f>IF($L485="","",SUM($G$442:$G485))</f>
        <v/>
      </c>
      <c r="I485" s="39">
        <f>IF($L485="","",IF(INT(($L485-INT($L485/10000000)*10000000)/1000000)=0,"Bloomberg projection",IF(INT($P485/10)=1,"Announced","ANNOUNCED - amount TBA"))&amp;IF(($P485-INT($P485/10)*10)=1," (special)","")&amp;IF((($P485-INT($P485/10)*10)=1)*(Summary!$C$13="N")&gt;0," - excluded by your specials switch",""))</f>
        <v/>
      </c>
      <c r="J485" s="40">
        <f>IF($L485="","",IF((Override!$C$4="ON")*ISNUMBER(INDEX(Override!$G$153:$G$212,$N485))&gt;0,"stock overridden",""))</f>
        <v/>
      </c>
      <c r="L485" s="41">
        <f>IFERROR(IF(SMALL(Grids!$C$157:$BO$216,$M$439+44)&gt;=(Summary!$C$15+1)*1000000000,"",SMALL(Grids!$C$157:$BO$216,$M$439+44)),"")</f>
        <v/>
      </c>
      <c r="M485" s="41">
        <f>IF($L485="","",INT($L485/1000000000))</f>
        <v/>
      </c>
      <c r="N485" s="41">
        <f>IF($L485="","",INT(($L485-INT($L485/1000000)*1000000)/1000))</f>
        <v/>
      </c>
      <c r="O485" s="41">
        <f>IF($L485="","",$L485-INT($L485/1000)*1000)</f>
        <v/>
      </c>
      <c r="P485" s="41">
        <f>IF($L485="","",INT(($L485-INT($L485/1000000000)*1000000000)/10000000))</f>
        <v/>
      </c>
    </row>
    <row r="486">
      <c r="B486" s="36">
        <f>IF($L486="","",$M486)</f>
        <v/>
      </c>
      <c r="C486" s="16">
        <f>IF($L486="","",INDEX(HSCEI!$C$7:$C$66,$N486))</f>
        <v/>
      </c>
      <c r="D486" s="16">
        <f>IF($L486="","",INDEX(HSCEI!$D$7:$D$66,$N486))</f>
        <v/>
      </c>
      <c r="E486" s="37">
        <f>IF($L486="","",IF(INT($P486/10)=0,"TBA",IFERROR(INDEX(Grids!$BQ$157:$EC$216,$N486,$O486),"-")))</f>
        <v/>
      </c>
      <c r="F486" s="16">
        <f>IF($L486="","",INDEX(HSCEI!$F$7:$F$66,$N486))</f>
        <v/>
      </c>
      <c r="G486" s="37">
        <f>IF($L486="","",IF(INT($P486/10)=0,"TBA",IFERROR(INDEX(Grids!$EE$157:$GQ$216,$N486,$O486),"-")))</f>
        <v/>
      </c>
      <c r="H486" s="38">
        <f>IF($L486="","",SUM($G$442:$G486))</f>
        <v/>
      </c>
      <c r="I486" s="39">
        <f>IF($L486="","",IF(INT(($L486-INT($L486/10000000)*10000000)/1000000)=0,"Bloomberg projection",IF(INT($P486/10)=1,"Announced","ANNOUNCED - amount TBA"))&amp;IF(($P486-INT($P486/10)*10)=1," (special)","")&amp;IF((($P486-INT($P486/10)*10)=1)*(Summary!$C$13="N")&gt;0," - excluded by your specials switch",""))</f>
        <v/>
      </c>
      <c r="J486" s="40">
        <f>IF($L486="","",IF((Override!$C$4="ON")*ISNUMBER(INDEX(Override!$G$153:$G$212,$N486))&gt;0,"stock overridden",""))</f>
        <v/>
      </c>
      <c r="L486" s="41">
        <f>IFERROR(IF(SMALL(Grids!$C$157:$BO$216,$M$439+45)&gt;=(Summary!$C$15+1)*1000000000,"",SMALL(Grids!$C$157:$BO$216,$M$439+45)),"")</f>
        <v/>
      </c>
      <c r="M486" s="41">
        <f>IF($L486="","",INT($L486/1000000000))</f>
        <v/>
      </c>
      <c r="N486" s="41">
        <f>IF($L486="","",INT(($L486-INT($L486/1000000)*1000000)/1000))</f>
        <v/>
      </c>
      <c r="O486" s="41">
        <f>IF($L486="","",$L486-INT($L486/1000)*1000)</f>
        <v/>
      </c>
      <c r="P486" s="41">
        <f>IF($L486="","",INT(($L486-INT($L486/1000000000)*1000000000)/10000000))</f>
        <v/>
      </c>
    </row>
    <row r="487">
      <c r="B487" s="36">
        <f>IF($L487="","",$M487)</f>
        <v/>
      </c>
      <c r="C487" s="16">
        <f>IF($L487="","",INDEX(HSCEI!$C$7:$C$66,$N487))</f>
        <v/>
      </c>
      <c r="D487" s="16">
        <f>IF($L487="","",INDEX(HSCEI!$D$7:$D$66,$N487))</f>
        <v/>
      </c>
      <c r="E487" s="37">
        <f>IF($L487="","",IF(INT($P487/10)=0,"TBA",IFERROR(INDEX(Grids!$BQ$157:$EC$216,$N487,$O487),"-")))</f>
        <v/>
      </c>
      <c r="F487" s="16">
        <f>IF($L487="","",INDEX(HSCEI!$F$7:$F$66,$N487))</f>
        <v/>
      </c>
      <c r="G487" s="37">
        <f>IF($L487="","",IF(INT($P487/10)=0,"TBA",IFERROR(INDEX(Grids!$EE$157:$GQ$216,$N487,$O487),"-")))</f>
        <v/>
      </c>
      <c r="H487" s="38">
        <f>IF($L487="","",SUM($G$442:$G487))</f>
        <v/>
      </c>
      <c r="I487" s="39">
        <f>IF($L487="","",IF(INT(($L487-INT($L487/10000000)*10000000)/1000000)=0,"Bloomberg projection",IF(INT($P487/10)=1,"Announced","ANNOUNCED - amount TBA"))&amp;IF(($P487-INT($P487/10)*10)=1," (special)","")&amp;IF((($P487-INT($P487/10)*10)=1)*(Summary!$C$13="N")&gt;0," - excluded by your specials switch",""))</f>
        <v/>
      </c>
      <c r="J487" s="40">
        <f>IF($L487="","",IF((Override!$C$4="ON")*ISNUMBER(INDEX(Override!$G$153:$G$212,$N487))&gt;0,"stock overridden",""))</f>
        <v/>
      </c>
      <c r="L487" s="41">
        <f>IFERROR(IF(SMALL(Grids!$C$157:$BO$216,$M$439+46)&gt;=(Summary!$C$15+1)*1000000000,"",SMALL(Grids!$C$157:$BO$216,$M$439+46)),"")</f>
        <v/>
      </c>
      <c r="M487" s="41">
        <f>IF($L487="","",INT($L487/1000000000))</f>
        <v/>
      </c>
      <c r="N487" s="41">
        <f>IF($L487="","",INT(($L487-INT($L487/1000000)*1000000)/1000))</f>
        <v/>
      </c>
      <c r="O487" s="41">
        <f>IF($L487="","",$L487-INT($L487/1000)*1000)</f>
        <v/>
      </c>
      <c r="P487" s="41">
        <f>IF($L487="","",INT(($L487-INT($L487/1000000000)*1000000000)/10000000))</f>
        <v/>
      </c>
    </row>
    <row r="488">
      <c r="B488" s="36">
        <f>IF($L488="","",$M488)</f>
        <v/>
      </c>
      <c r="C488" s="16">
        <f>IF($L488="","",INDEX(HSCEI!$C$7:$C$66,$N488))</f>
        <v/>
      </c>
      <c r="D488" s="16">
        <f>IF($L488="","",INDEX(HSCEI!$D$7:$D$66,$N488))</f>
        <v/>
      </c>
      <c r="E488" s="37">
        <f>IF($L488="","",IF(INT($P488/10)=0,"TBA",IFERROR(INDEX(Grids!$BQ$157:$EC$216,$N488,$O488),"-")))</f>
        <v/>
      </c>
      <c r="F488" s="16">
        <f>IF($L488="","",INDEX(HSCEI!$F$7:$F$66,$N488))</f>
        <v/>
      </c>
      <c r="G488" s="37">
        <f>IF($L488="","",IF(INT($P488/10)=0,"TBA",IFERROR(INDEX(Grids!$EE$157:$GQ$216,$N488,$O488),"-")))</f>
        <v/>
      </c>
      <c r="H488" s="38">
        <f>IF($L488="","",SUM($G$442:$G488))</f>
        <v/>
      </c>
      <c r="I488" s="39">
        <f>IF($L488="","",IF(INT(($L488-INT($L488/10000000)*10000000)/1000000)=0,"Bloomberg projection",IF(INT($P488/10)=1,"Announced","ANNOUNCED - amount TBA"))&amp;IF(($P488-INT($P488/10)*10)=1," (special)","")&amp;IF((($P488-INT($P488/10)*10)=1)*(Summary!$C$13="N")&gt;0," - excluded by your specials switch",""))</f>
        <v/>
      </c>
      <c r="J488" s="40">
        <f>IF($L488="","",IF((Override!$C$4="ON")*ISNUMBER(INDEX(Override!$G$153:$G$212,$N488))&gt;0,"stock overridden",""))</f>
        <v/>
      </c>
      <c r="L488" s="41">
        <f>IFERROR(IF(SMALL(Grids!$C$157:$BO$216,$M$439+47)&gt;=(Summary!$C$15+1)*1000000000,"",SMALL(Grids!$C$157:$BO$216,$M$439+47)),"")</f>
        <v/>
      </c>
      <c r="M488" s="41">
        <f>IF($L488="","",INT($L488/1000000000))</f>
        <v/>
      </c>
      <c r="N488" s="41">
        <f>IF($L488="","",INT(($L488-INT($L488/1000000)*1000000)/1000))</f>
        <v/>
      </c>
      <c r="O488" s="41">
        <f>IF($L488="","",$L488-INT($L488/1000)*1000)</f>
        <v/>
      </c>
      <c r="P488" s="41">
        <f>IF($L488="","",INT(($L488-INT($L488/1000000000)*1000000000)/10000000))</f>
        <v/>
      </c>
    </row>
    <row r="489">
      <c r="B489" s="36">
        <f>IF($L489="","",$M489)</f>
        <v/>
      </c>
      <c r="C489" s="16">
        <f>IF($L489="","",INDEX(HSCEI!$C$7:$C$66,$N489))</f>
        <v/>
      </c>
      <c r="D489" s="16">
        <f>IF($L489="","",INDEX(HSCEI!$D$7:$D$66,$N489))</f>
        <v/>
      </c>
      <c r="E489" s="37">
        <f>IF($L489="","",IF(INT($P489/10)=0,"TBA",IFERROR(INDEX(Grids!$BQ$157:$EC$216,$N489,$O489),"-")))</f>
        <v/>
      </c>
      <c r="F489" s="16">
        <f>IF($L489="","",INDEX(HSCEI!$F$7:$F$66,$N489))</f>
        <v/>
      </c>
      <c r="G489" s="37">
        <f>IF($L489="","",IF(INT($P489/10)=0,"TBA",IFERROR(INDEX(Grids!$EE$157:$GQ$216,$N489,$O489),"-")))</f>
        <v/>
      </c>
      <c r="H489" s="38">
        <f>IF($L489="","",SUM($G$442:$G489))</f>
        <v/>
      </c>
      <c r="I489" s="39">
        <f>IF($L489="","",IF(INT(($L489-INT($L489/10000000)*10000000)/1000000)=0,"Bloomberg projection",IF(INT($P489/10)=1,"Announced","ANNOUNCED - amount TBA"))&amp;IF(($P489-INT($P489/10)*10)=1," (special)","")&amp;IF((($P489-INT($P489/10)*10)=1)*(Summary!$C$13="N")&gt;0," - excluded by your specials switch",""))</f>
        <v/>
      </c>
      <c r="J489" s="40">
        <f>IF($L489="","",IF((Override!$C$4="ON")*ISNUMBER(INDEX(Override!$G$153:$G$212,$N489))&gt;0,"stock overridden",""))</f>
        <v/>
      </c>
      <c r="L489" s="41">
        <f>IFERROR(IF(SMALL(Grids!$C$157:$BO$216,$M$439+48)&gt;=(Summary!$C$15+1)*1000000000,"",SMALL(Grids!$C$157:$BO$216,$M$439+48)),"")</f>
        <v/>
      </c>
      <c r="M489" s="41">
        <f>IF($L489="","",INT($L489/1000000000))</f>
        <v/>
      </c>
      <c r="N489" s="41">
        <f>IF($L489="","",INT(($L489-INT($L489/1000000)*1000000)/1000))</f>
        <v/>
      </c>
      <c r="O489" s="41">
        <f>IF($L489="","",$L489-INT($L489/1000)*1000)</f>
        <v/>
      </c>
      <c r="P489" s="41">
        <f>IF($L489="","",INT(($L489-INT($L489/1000000000)*1000000000)/10000000))</f>
        <v/>
      </c>
    </row>
    <row r="490">
      <c r="B490" s="36">
        <f>IF($L490="","",$M490)</f>
        <v/>
      </c>
      <c r="C490" s="16">
        <f>IF($L490="","",INDEX(HSCEI!$C$7:$C$66,$N490))</f>
        <v/>
      </c>
      <c r="D490" s="16">
        <f>IF($L490="","",INDEX(HSCEI!$D$7:$D$66,$N490))</f>
        <v/>
      </c>
      <c r="E490" s="37">
        <f>IF($L490="","",IF(INT($P490/10)=0,"TBA",IFERROR(INDEX(Grids!$BQ$157:$EC$216,$N490,$O490),"-")))</f>
        <v/>
      </c>
      <c r="F490" s="16">
        <f>IF($L490="","",INDEX(HSCEI!$F$7:$F$66,$N490))</f>
        <v/>
      </c>
      <c r="G490" s="37">
        <f>IF($L490="","",IF(INT($P490/10)=0,"TBA",IFERROR(INDEX(Grids!$EE$157:$GQ$216,$N490,$O490),"-")))</f>
        <v/>
      </c>
      <c r="H490" s="38">
        <f>IF($L490="","",SUM($G$442:$G490))</f>
        <v/>
      </c>
      <c r="I490" s="39">
        <f>IF($L490="","",IF(INT(($L490-INT($L490/10000000)*10000000)/1000000)=0,"Bloomberg projection",IF(INT($P490/10)=1,"Announced","ANNOUNCED - amount TBA"))&amp;IF(($P490-INT($P490/10)*10)=1," (special)","")&amp;IF((($P490-INT($P490/10)*10)=1)*(Summary!$C$13="N")&gt;0," - excluded by your specials switch",""))</f>
        <v/>
      </c>
      <c r="J490" s="40">
        <f>IF($L490="","",IF((Override!$C$4="ON")*ISNUMBER(INDEX(Override!$G$153:$G$212,$N490))&gt;0,"stock overridden",""))</f>
        <v/>
      </c>
      <c r="L490" s="41">
        <f>IFERROR(IF(SMALL(Grids!$C$157:$BO$216,$M$439+49)&gt;=(Summary!$C$15+1)*1000000000,"",SMALL(Grids!$C$157:$BO$216,$M$439+49)),"")</f>
        <v/>
      </c>
      <c r="M490" s="41">
        <f>IF($L490="","",INT($L490/1000000000))</f>
        <v/>
      </c>
      <c r="N490" s="41">
        <f>IF($L490="","",INT(($L490-INT($L490/1000000)*1000000)/1000))</f>
        <v/>
      </c>
      <c r="O490" s="41">
        <f>IF($L490="","",$L490-INT($L490/1000)*1000)</f>
        <v/>
      </c>
      <c r="P490" s="41">
        <f>IF($L490="","",INT(($L490-INT($L490/1000000000)*1000000000)/10000000))</f>
        <v/>
      </c>
    </row>
    <row r="491">
      <c r="B491" s="36">
        <f>IF($L491="","",$M491)</f>
        <v/>
      </c>
      <c r="C491" s="16">
        <f>IF($L491="","",INDEX(HSCEI!$C$7:$C$66,$N491))</f>
        <v/>
      </c>
      <c r="D491" s="16">
        <f>IF($L491="","",INDEX(HSCEI!$D$7:$D$66,$N491))</f>
        <v/>
      </c>
      <c r="E491" s="37">
        <f>IF($L491="","",IF(INT($P491/10)=0,"TBA",IFERROR(INDEX(Grids!$BQ$157:$EC$216,$N491,$O491),"-")))</f>
        <v/>
      </c>
      <c r="F491" s="16">
        <f>IF($L491="","",INDEX(HSCEI!$F$7:$F$66,$N491))</f>
        <v/>
      </c>
      <c r="G491" s="37">
        <f>IF($L491="","",IF(INT($P491/10)=0,"TBA",IFERROR(INDEX(Grids!$EE$157:$GQ$216,$N491,$O491),"-")))</f>
        <v/>
      </c>
      <c r="H491" s="38">
        <f>IF($L491="","",SUM($G$442:$G491))</f>
        <v/>
      </c>
      <c r="I491" s="39">
        <f>IF($L491="","",IF(INT(($L491-INT($L491/10000000)*10000000)/1000000)=0,"Bloomberg projection",IF(INT($P491/10)=1,"Announced","ANNOUNCED - amount TBA"))&amp;IF(($P491-INT($P491/10)*10)=1," (special)","")&amp;IF((($P491-INT($P491/10)*10)=1)*(Summary!$C$13="N")&gt;0," - excluded by your specials switch",""))</f>
        <v/>
      </c>
      <c r="J491" s="40">
        <f>IF($L491="","",IF((Override!$C$4="ON")*ISNUMBER(INDEX(Override!$G$153:$G$212,$N491))&gt;0,"stock overridden",""))</f>
        <v/>
      </c>
      <c r="L491" s="41">
        <f>IFERROR(IF(SMALL(Grids!$C$157:$BO$216,$M$439+50)&gt;=(Summary!$C$15+1)*1000000000,"",SMALL(Grids!$C$157:$BO$216,$M$439+50)),"")</f>
        <v/>
      </c>
      <c r="M491" s="41">
        <f>IF($L491="","",INT($L491/1000000000))</f>
        <v/>
      </c>
      <c r="N491" s="41">
        <f>IF($L491="","",INT(($L491-INT($L491/1000000)*1000000)/1000))</f>
        <v/>
      </c>
      <c r="O491" s="41">
        <f>IF($L491="","",$L491-INT($L491/1000)*1000)</f>
        <v/>
      </c>
      <c r="P491" s="41">
        <f>IF($L491="","",INT(($L491-INT($L491/1000000000)*1000000000)/10000000))</f>
        <v/>
      </c>
    </row>
    <row r="492">
      <c r="B492" s="36">
        <f>IF($L492="","",$M492)</f>
        <v/>
      </c>
      <c r="C492" s="16">
        <f>IF($L492="","",INDEX(HSCEI!$C$7:$C$66,$N492))</f>
        <v/>
      </c>
      <c r="D492" s="16">
        <f>IF($L492="","",INDEX(HSCEI!$D$7:$D$66,$N492))</f>
        <v/>
      </c>
      <c r="E492" s="37">
        <f>IF($L492="","",IF(INT($P492/10)=0,"TBA",IFERROR(INDEX(Grids!$BQ$157:$EC$216,$N492,$O492),"-")))</f>
        <v/>
      </c>
      <c r="F492" s="16">
        <f>IF($L492="","",INDEX(HSCEI!$F$7:$F$66,$N492))</f>
        <v/>
      </c>
      <c r="G492" s="37">
        <f>IF($L492="","",IF(INT($P492/10)=0,"TBA",IFERROR(INDEX(Grids!$EE$157:$GQ$216,$N492,$O492),"-")))</f>
        <v/>
      </c>
      <c r="H492" s="38">
        <f>IF($L492="","",SUM($G$442:$G492))</f>
        <v/>
      </c>
      <c r="I492" s="39">
        <f>IF($L492="","",IF(INT(($L492-INT($L492/10000000)*10000000)/1000000)=0,"Bloomberg projection",IF(INT($P492/10)=1,"Announced","ANNOUNCED - amount TBA"))&amp;IF(($P492-INT($P492/10)*10)=1," (special)","")&amp;IF((($P492-INT($P492/10)*10)=1)*(Summary!$C$13="N")&gt;0," - excluded by your specials switch",""))</f>
        <v/>
      </c>
      <c r="J492" s="40">
        <f>IF($L492="","",IF((Override!$C$4="ON")*ISNUMBER(INDEX(Override!$G$153:$G$212,$N492))&gt;0,"stock overridden",""))</f>
        <v/>
      </c>
      <c r="L492" s="41">
        <f>IFERROR(IF(SMALL(Grids!$C$157:$BO$216,$M$439+51)&gt;=(Summary!$C$15+1)*1000000000,"",SMALL(Grids!$C$157:$BO$216,$M$439+51)),"")</f>
        <v/>
      </c>
      <c r="M492" s="41">
        <f>IF($L492="","",INT($L492/1000000000))</f>
        <v/>
      </c>
      <c r="N492" s="41">
        <f>IF($L492="","",INT(($L492-INT($L492/1000000)*1000000)/1000))</f>
        <v/>
      </c>
      <c r="O492" s="41">
        <f>IF($L492="","",$L492-INT($L492/1000)*1000)</f>
        <v/>
      </c>
      <c r="P492" s="41">
        <f>IF($L492="","",INT(($L492-INT($L492/1000000000)*1000000000)/10000000))</f>
        <v/>
      </c>
    </row>
    <row r="493">
      <c r="B493" s="36">
        <f>IF($L493="","",$M493)</f>
        <v/>
      </c>
      <c r="C493" s="16">
        <f>IF($L493="","",INDEX(HSCEI!$C$7:$C$66,$N493))</f>
        <v/>
      </c>
      <c r="D493" s="16">
        <f>IF($L493="","",INDEX(HSCEI!$D$7:$D$66,$N493))</f>
        <v/>
      </c>
      <c r="E493" s="37">
        <f>IF($L493="","",IF(INT($P493/10)=0,"TBA",IFERROR(INDEX(Grids!$BQ$157:$EC$216,$N493,$O493),"-")))</f>
        <v/>
      </c>
      <c r="F493" s="16">
        <f>IF($L493="","",INDEX(HSCEI!$F$7:$F$66,$N493))</f>
        <v/>
      </c>
      <c r="G493" s="37">
        <f>IF($L493="","",IF(INT($P493/10)=0,"TBA",IFERROR(INDEX(Grids!$EE$157:$GQ$216,$N493,$O493),"-")))</f>
        <v/>
      </c>
      <c r="H493" s="38">
        <f>IF($L493="","",SUM($G$442:$G493))</f>
        <v/>
      </c>
      <c r="I493" s="39">
        <f>IF($L493="","",IF(INT(($L493-INT($L493/10000000)*10000000)/1000000)=0,"Bloomberg projection",IF(INT($P493/10)=1,"Announced","ANNOUNCED - amount TBA"))&amp;IF(($P493-INT($P493/10)*10)=1," (special)","")&amp;IF((($P493-INT($P493/10)*10)=1)*(Summary!$C$13="N")&gt;0," - excluded by your specials switch",""))</f>
        <v/>
      </c>
      <c r="J493" s="40">
        <f>IF($L493="","",IF((Override!$C$4="ON")*ISNUMBER(INDEX(Override!$G$153:$G$212,$N493))&gt;0,"stock overridden",""))</f>
        <v/>
      </c>
      <c r="L493" s="41">
        <f>IFERROR(IF(SMALL(Grids!$C$157:$BO$216,$M$439+52)&gt;=(Summary!$C$15+1)*1000000000,"",SMALL(Grids!$C$157:$BO$216,$M$439+52)),"")</f>
        <v/>
      </c>
      <c r="M493" s="41">
        <f>IF($L493="","",INT($L493/1000000000))</f>
        <v/>
      </c>
      <c r="N493" s="41">
        <f>IF($L493="","",INT(($L493-INT($L493/1000000)*1000000)/1000))</f>
        <v/>
      </c>
      <c r="O493" s="41">
        <f>IF($L493="","",$L493-INT($L493/1000)*1000)</f>
        <v/>
      </c>
      <c r="P493" s="41">
        <f>IF($L493="","",INT(($L493-INT($L493/1000000000)*1000000000)/10000000))</f>
        <v/>
      </c>
    </row>
    <row r="494">
      <c r="B494" s="36">
        <f>IF($L494="","",$M494)</f>
        <v/>
      </c>
      <c r="C494" s="16">
        <f>IF($L494="","",INDEX(HSCEI!$C$7:$C$66,$N494))</f>
        <v/>
      </c>
      <c r="D494" s="16">
        <f>IF($L494="","",INDEX(HSCEI!$D$7:$D$66,$N494))</f>
        <v/>
      </c>
      <c r="E494" s="37">
        <f>IF($L494="","",IF(INT($P494/10)=0,"TBA",IFERROR(INDEX(Grids!$BQ$157:$EC$216,$N494,$O494),"-")))</f>
        <v/>
      </c>
      <c r="F494" s="16">
        <f>IF($L494="","",INDEX(HSCEI!$F$7:$F$66,$N494))</f>
        <v/>
      </c>
      <c r="G494" s="37">
        <f>IF($L494="","",IF(INT($P494/10)=0,"TBA",IFERROR(INDEX(Grids!$EE$157:$GQ$216,$N494,$O494),"-")))</f>
        <v/>
      </c>
      <c r="H494" s="38">
        <f>IF($L494="","",SUM($G$442:$G494))</f>
        <v/>
      </c>
      <c r="I494" s="39">
        <f>IF($L494="","",IF(INT(($L494-INT($L494/10000000)*10000000)/1000000)=0,"Bloomberg projection",IF(INT($P494/10)=1,"Announced","ANNOUNCED - amount TBA"))&amp;IF(($P494-INT($P494/10)*10)=1," (special)","")&amp;IF((($P494-INT($P494/10)*10)=1)*(Summary!$C$13="N")&gt;0," - excluded by your specials switch",""))</f>
        <v/>
      </c>
      <c r="J494" s="40">
        <f>IF($L494="","",IF((Override!$C$4="ON")*ISNUMBER(INDEX(Override!$G$153:$G$212,$N494))&gt;0,"stock overridden",""))</f>
        <v/>
      </c>
      <c r="L494" s="41">
        <f>IFERROR(IF(SMALL(Grids!$C$157:$BO$216,$M$439+53)&gt;=(Summary!$C$15+1)*1000000000,"",SMALL(Grids!$C$157:$BO$216,$M$439+53)),"")</f>
        <v/>
      </c>
      <c r="M494" s="41">
        <f>IF($L494="","",INT($L494/1000000000))</f>
        <v/>
      </c>
      <c r="N494" s="41">
        <f>IF($L494="","",INT(($L494-INT($L494/1000000)*1000000)/1000))</f>
        <v/>
      </c>
      <c r="O494" s="41">
        <f>IF($L494="","",$L494-INT($L494/1000)*1000)</f>
        <v/>
      </c>
      <c r="P494" s="41">
        <f>IF($L494="","",INT(($L494-INT($L494/1000000000)*1000000000)/10000000))</f>
        <v/>
      </c>
    </row>
    <row r="495">
      <c r="B495" s="36">
        <f>IF($L495="","",$M495)</f>
        <v/>
      </c>
      <c r="C495" s="16">
        <f>IF($L495="","",INDEX(HSCEI!$C$7:$C$66,$N495))</f>
        <v/>
      </c>
      <c r="D495" s="16">
        <f>IF($L495="","",INDEX(HSCEI!$D$7:$D$66,$N495))</f>
        <v/>
      </c>
      <c r="E495" s="37">
        <f>IF($L495="","",IF(INT($P495/10)=0,"TBA",IFERROR(INDEX(Grids!$BQ$157:$EC$216,$N495,$O495),"-")))</f>
        <v/>
      </c>
      <c r="F495" s="16">
        <f>IF($L495="","",INDEX(HSCEI!$F$7:$F$66,$N495))</f>
        <v/>
      </c>
      <c r="G495" s="37">
        <f>IF($L495="","",IF(INT($P495/10)=0,"TBA",IFERROR(INDEX(Grids!$EE$157:$GQ$216,$N495,$O495),"-")))</f>
        <v/>
      </c>
      <c r="H495" s="38">
        <f>IF($L495="","",SUM($G$442:$G495))</f>
        <v/>
      </c>
      <c r="I495" s="39">
        <f>IF($L495="","",IF(INT(($L495-INT($L495/10000000)*10000000)/1000000)=0,"Bloomberg projection",IF(INT($P495/10)=1,"Announced","ANNOUNCED - amount TBA"))&amp;IF(($P495-INT($P495/10)*10)=1," (special)","")&amp;IF((($P495-INT($P495/10)*10)=1)*(Summary!$C$13="N")&gt;0," - excluded by your specials switch",""))</f>
        <v/>
      </c>
      <c r="J495" s="40">
        <f>IF($L495="","",IF((Override!$C$4="ON")*ISNUMBER(INDEX(Override!$G$153:$G$212,$N495))&gt;0,"stock overridden",""))</f>
        <v/>
      </c>
      <c r="L495" s="41">
        <f>IFERROR(IF(SMALL(Grids!$C$157:$BO$216,$M$439+54)&gt;=(Summary!$C$15+1)*1000000000,"",SMALL(Grids!$C$157:$BO$216,$M$439+54)),"")</f>
        <v/>
      </c>
      <c r="M495" s="41">
        <f>IF($L495="","",INT($L495/1000000000))</f>
        <v/>
      </c>
      <c r="N495" s="41">
        <f>IF($L495="","",INT(($L495-INT($L495/1000000)*1000000)/1000))</f>
        <v/>
      </c>
      <c r="O495" s="41">
        <f>IF($L495="","",$L495-INT($L495/1000)*1000)</f>
        <v/>
      </c>
      <c r="P495" s="41">
        <f>IF($L495="","",INT(($L495-INT($L495/1000000000)*1000000000)/10000000))</f>
        <v/>
      </c>
    </row>
    <row r="496">
      <c r="B496" s="36">
        <f>IF($L496="","",$M496)</f>
        <v/>
      </c>
      <c r="C496" s="16">
        <f>IF($L496="","",INDEX(HSCEI!$C$7:$C$66,$N496))</f>
        <v/>
      </c>
      <c r="D496" s="16">
        <f>IF($L496="","",INDEX(HSCEI!$D$7:$D$66,$N496))</f>
        <v/>
      </c>
      <c r="E496" s="37">
        <f>IF($L496="","",IF(INT($P496/10)=0,"TBA",IFERROR(INDEX(Grids!$BQ$157:$EC$216,$N496,$O496),"-")))</f>
        <v/>
      </c>
      <c r="F496" s="16">
        <f>IF($L496="","",INDEX(HSCEI!$F$7:$F$66,$N496))</f>
        <v/>
      </c>
      <c r="G496" s="37">
        <f>IF($L496="","",IF(INT($P496/10)=0,"TBA",IFERROR(INDEX(Grids!$EE$157:$GQ$216,$N496,$O496),"-")))</f>
        <v/>
      </c>
      <c r="H496" s="38">
        <f>IF($L496="","",SUM($G$442:$G496))</f>
        <v/>
      </c>
      <c r="I496" s="39">
        <f>IF($L496="","",IF(INT(($L496-INT($L496/10000000)*10000000)/1000000)=0,"Bloomberg projection",IF(INT($P496/10)=1,"Announced","ANNOUNCED - amount TBA"))&amp;IF(($P496-INT($P496/10)*10)=1," (special)","")&amp;IF((($P496-INT($P496/10)*10)=1)*(Summary!$C$13="N")&gt;0," - excluded by your specials switch",""))</f>
        <v/>
      </c>
      <c r="J496" s="40">
        <f>IF($L496="","",IF((Override!$C$4="ON")*ISNUMBER(INDEX(Override!$G$153:$G$212,$N496))&gt;0,"stock overridden",""))</f>
        <v/>
      </c>
      <c r="L496" s="41">
        <f>IFERROR(IF(SMALL(Grids!$C$157:$BO$216,$M$439+55)&gt;=(Summary!$C$15+1)*1000000000,"",SMALL(Grids!$C$157:$BO$216,$M$439+55)),"")</f>
        <v/>
      </c>
      <c r="M496" s="41">
        <f>IF($L496="","",INT($L496/1000000000))</f>
        <v/>
      </c>
      <c r="N496" s="41">
        <f>IF($L496="","",INT(($L496-INT($L496/1000000)*1000000)/1000))</f>
        <v/>
      </c>
      <c r="O496" s="41">
        <f>IF($L496="","",$L496-INT($L496/1000)*1000)</f>
        <v/>
      </c>
      <c r="P496" s="41">
        <f>IF($L496="","",INT(($L496-INT($L496/1000000000)*1000000000)/10000000))</f>
        <v/>
      </c>
    </row>
    <row r="497">
      <c r="B497" s="36">
        <f>IF($L497="","",$M497)</f>
        <v/>
      </c>
      <c r="C497" s="16">
        <f>IF($L497="","",INDEX(HSCEI!$C$7:$C$66,$N497))</f>
        <v/>
      </c>
      <c r="D497" s="16">
        <f>IF($L497="","",INDEX(HSCEI!$D$7:$D$66,$N497))</f>
        <v/>
      </c>
      <c r="E497" s="37">
        <f>IF($L497="","",IF(INT($P497/10)=0,"TBA",IFERROR(INDEX(Grids!$BQ$157:$EC$216,$N497,$O497),"-")))</f>
        <v/>
      </c>
      <c r="F497" s="16">
        <f>IF($L497="","",INDEX(HSCEI!$F$7:$F$66,$N497))</f>
        <v/>
      </c>
      <c r="G497" s="37">
        <f>IF($L497="","",IF(INT($P497/10)=0,"TBA",IFERROR(INDEX(Grids!$EE$157:$GQ$216,$N497,$O497),"-")))</f>
        <v/>
      </c>
      <c r="H497" s="38">
        <f>IF($L497="","",SUM($G$442:$G497))</f>
        <v/>
      </c>
      <c r="I497" s="39">
        <f>IF($L497="","",IF(INT(($L497-INT($L497/10000000)*10000000)/1000000)=0,"Bloomberg projection",IF(INT($P497/10)=1,"Announced","ANNOUNCED - amount TBA"))&amp;IF(($P497-INT($P497/10)*10)=1," (special)","")&amp;IF((($P497-INT($P497/10)*10)=1)*(Summary!$C$13="N")&gt;0," - excluded by your specials switch",""))</f>
        <v/>
      </c>
      <c r="J497" s="40">
        <f>IF($L497="","",IF((Override!$C$4="ON")*ISNUMBER(INDEX(Override!$G$153:$G$212,$N497))&gt;0,"stock overridden",""))</f>
        <v/>
      </c>
      <c r="L497" s="41">
        <f>IFERROR(IF(SMALL(Grids!$C$157:$BO$216,$M$439+56)&gt;=(Summary!$C$15+1)*1000000000,"",SMALL(Grids!$C$157:$BO$216,$M$439+56)),"")</f>
        <v/>
      </c>
      <c r="M497" s="41">
        <f>IF($L497="","",INT($L497/1000000000))</f>
        <v/>
      </c>
      <c r="N497" s="41">
        <f>IF($L497="","",INT(($L497-INT($L497/1000000)*1000000)/1000))</f>
        <v/>
      </c>
      <c r="O497" s="41">
        <f>IF($L497="","",$L497-INT($L497/1000)*1000)</f>
        <v/>
      </c>
      <c r="P497" s="41">
        <f>IF($L497="","",INT(($L497-INT($L497/1000000000)*1000000000)/10000000))</f>
        <v/>
      </c>
    </row>
    <row r="498">
      <c r="B498" s="36">
        <f>IF($L498="","",$M498)</f>
        <v/>
      </c>
      <c r="C498" s="16">
        <f>IF($L498="","",INDEX(HSCEI!$C$7:$C$66,$N498))</f>
        <v/>
      </c>
      <c r="D498" s="16">
        <f>IF($L498="","",INDEX(HSCEI!$D$7:$D$66,$N498))</f>
        <v/>
      </c>
      <c r="E498" s="37">
        <f>IF($L498="","",IF(INT($P498/10)=0,"TBA",IFERROR(INDEX(Grids!$BQ$157:$EC$216,$N498,$O498),"-")))</f>
        <v/>
      </c>
      <c r="F498" s="16">
        <f>IF($L498="","",INDEX(HSCEI!$F$7:$F$66,$N498))</f>
        <v/>
      </c>
      <c r="G498" s="37">
        <f>IF($L498="","",IF(INT($P498/10)=0,"TBA",IFERROR(INDEX(Grids!$EE$157:$GQ$216,$N498,$O498),"-")))</f>
        <v/>
      </c>
      <c r="H498" s="38">
        <f>IF($L498="","",SUM($G$442:$G498))</f>
        <v/>
      </c>
      <c r="I498" s="39">
        <f>IF($L498="","",IF(INT(($L498-INT($L498/10000000)*10000000)/1000000)=0,"Bloomberg projection",IF(INT($P498/10)=1,"Announced","ANNOUNCED - amount TBA"))&amp;IF(($P498-INT($P498/10)*10)=1," (special)","")&amp;IF((($P498-INT($P498/10)*10)=1)*(Summary!$C$13="N")&gt;0," - excluded by your specials switch",""))</f>
        <v/>
      </c>
      <c r="J498" s="40">
        <f>IF($L498="","",IF((Override!$C$4="ON")*ISNUMBER(INDEX(Override!$G$153:$G$212,$N498))&gt;0,"stock overridden",""))</f>
        <v/>
      </c>
      <c r="L498" s="41">
        <f>IFERROR(IF(SMALL(Grids!$C$157:$BO$216,$M$439+57)&gt;=(Summary!$C$15+1)*1000000000,"",SMALL(Grids!$C$157:$BO$216,$M$439+57)),"")</f>
        <v/>
      </c>
      <c r="M498" s="41">
        <f>IF($L498="","",INT($L498/1000000000))</f>
        <v/>
      </c>
      <c r="N498" s="41">
        <f>IF($L498="","",INT(($L498-INT($L498/1000000)*1000000)/1000))</f>
        <v/>
      </c>
      <c r="O498" s="41">
        <f>IF($L498="","",$L498-INT($L498/1000)*1000)</f>
        <v/>
      </c>
      <c r="P498" s="41">
        <f>IF($L498="","",INT(($L498-INT($L498/1000000000)*1000000000)/10000000))</f>
        <v/>
      </c>
    </row>
    <row r="499">
      <c r="B499" s="36">
        <f>IF($L499="","",$M499)</f>
        <v/>
      </c>
      <c r="C499" s="16">
        <f>IF($L499="","",INDEX(HSCEI!$C$7:$C$66,$N499))</f>
        <v/>
      </c>
      <c r="D499" s="16">
        <f>IF($L499="","",INDEX(HSCEI!$D$7:$D$66,$N499))</f>
        <v/>
      </c>
      <c r="E499" s="37">
        <f>IF($L499="","",IF(INT($P499/10)=0,"TBA",IFERROR(INDEX(Grids!$BQ$157:$EC$216,$N499,$O499),"-")))</f>
        <v/>
      </c>
      <c r="F499" s="16">
        <f>IF($L499="","",INDEX(HSCEI!$F$7:$F$66,$N499))</f>
        <v/>
      </c>
      <c r="G499" s="37">
        <f>IF($L499="","",IF(INT($P499/10)=0,"TBA",IFERROR(INDEX(Grids!$EE$157:$GQ$216,$N499,$O499),"-")))</f>
        <v/>
      </c>
      <c r="H499" s="38">
        <f>IF($L499="","",SUM($G$442:$G499))</f>
        <v/>
      </c>
      <c r="I499" s="39">
        <f>IF($L499="","",IF(INT(($L499-INT($L499/10000000)*10000000)/1000000)=0,"Bloomberg projection",IF(INT($P499/10)=1,"Announced","ANNOUNCED - amount TBA"))&amp;IF(($P499-INT($P499/10)*10)=1," (special)","")&amp;IF((($P499-INT($P499/10)*10)=1)*(Summary!$C$13="N")&gt;0," - excluded by your specials switch",""))</f>
        <v/>
      </c>
      <c r="J499" s="40">
        <f>IF($L499="","",IF((Override!$C$4="ON")*ISNUMBER(INDEX(Override!$G$153:$G$212,$N499))&gt;0,"stock overridden",""))</f>
        <v/>
      </c>
      <c r="L499" s="41">
        <f>IFERROR(IF(SMALL(Grids!$C$157:$BO$216,$M$439+58)&gt;=(Summary!$C$15+1)*1000000000,"",SMALL(Grids!$C$157:$BO$216,$M$439+58)),"")</f>
        <v/>
      </c>
      <c r="M499" s="41">
        <f>IF($L499="","",INT($L499/1000000000))</f>
        <v/>
      </c>
      <c r="N499" s="41">
        <f>IF($L499="","",INT(($L499-INT($L499/1000000)*1000000)/1000))</f>
        <v/>
      </c>
      <c r="O499" s="41">
        <f>IF($L499="","",$L499-INT($L499/1000)*1000)</f>
        <v/>
      </c>
      <c r="P499" s="41">
        <f>IF($L499="","",INT(($L499-INT($L499/1000000000)*1000000000)/10000000))</f>
        <v/>
      </c>
    </row>
    <row r="500">
      <c r="B500" s="36">
        <f>IF($L500="","",$M500)</f>
        <v/>
      </c>
      <c r="C500" s="16">
        <f>IF($L500="","",INDEX(HSCEI!$C$7:$C$66,$N500))</f>
        <v/>
      </c>
      <c r="D500" s="16">
        <f>IF($L500="","",INDEX(HSCEI!$D$7:$D$66,$N500))</f>
        <v/>
      </c>
      <c r="E500" s="37">
        <f>IF($L500="","",IF(INT($P500/10)=0,"TBA",IFERROR(INDEX(Grids!$BQ$157:$EC$216,$N500,$O500),"-")))</f>
        <v/>
      </c>
      <c r="F500" s="16">
        <f>IF($L500="","",INDEX(HSCEI!$F$7:$F$66,$N500))</f>
        <v/>
      </c>
      <c r="G500" s="37">
        <f>IF($L500="","",IF(INT($P500/10)=0,"TBA",IFERROR(INDEX(Grids!$EE$157:$GQ$216,$N500,$O500),"-")))</f>
        <v/>
      </c>
      <c r="H500" s="38">
        <f>IF($L500="","",SUM($G$442:$G500))</f>
        <v/>
      </c>
      <c r="I500" s="39">
        <f>IF($L500="","",IF(INT(($L500-INT($L500/10000000)*10000000)/1000000)=0,"Bloomberg projection",IF(INT($P500/10)=1,"Announced","ANNOUNCED - amount TBA"))&amp;IF(($P500-INT($P500/10)*10)=1," (special)","")&amp;IF((($P500-INT($P500/10)*10)=1)*(Summary!$C$13="N")&gt;0," - excluded by your specials switch",""))</f>
        <v/>
      </c>
      <c r="J500" s="40">
        <f>IF($L500="","",IF((Override!$C$4="ON")*ISNUMBER(INDEX(Override!$G$153:$G$212,$N500))&gt;0,"stock overridden",""))</f>
        <v/>
      </c>
      <c r="L500" s="41">
        <f>IFERROR(IF(SMALL(Grids!$C$157:$BO$216,$M$439+59)&gt;=(Summary!$C$15+1)*1000000000,"",SMALL(Grids!$C$157:$BO$216,$M$439+59)),"")</f>
        <v/>
      </c>
      <c r="M500" s="41">
        <f>IF($L500="","",INT($L500/1000000000))</f>
        <v/>
      </c>
      <c r="N500" s="41">
        <f>IF($L500="","",INT(($L500-INT($L500/1000000)*1000000)/1000))</f>
        <v/>
      </c>
      <c r="O500" s="41">
        <f>IF($L500="","",$L500-INT($L500/1000)*1000)</f>
        <v/>
      </c>
      <c r="P500" s="41">
        <f>IF($L500="","",INT(($L500-INT($L500/1000000000)*1000000000)/10000000))</f>
        <v/>
      </c>
    </row>
    <row r="501">
      <c r="B501" s="36">
        <f>IF($L501="","",$M501)</f>
        <v/>
      </c>
      <c r="C501" s="16">
        <f>IF($L501="","",INDEX(HSCEI!$C$7:$C$66,$N501))</f>
        <v/>
      </c>
      <c r="D501" s="16">
        <f>IF($L501="","",INDEX(HSCEI!$D$7:$D$66,$N501))</f>
        <v/>
      </c>
      <c r="E501" s="37">
        <f>IF($L501="","",IF(INT($P501/10)=0,"TBA",IFERROR(INDEX(Grids!$BQ$157:$EC$216,$N501,$O501),"-")))</f>
        <v/>
      </c>
      <c r="F501" s="16">
        <f>IF($L501="","",INDEX(HSCEI!$F$7:$F$66,$N501))</f>
        <v/>
      </c>
      <c r="G501" s="37">
        <f>IF($L501="","",IF(INT($P501/10)=0,"TBA",IFERROR(INDEX(Grids!$EE$157:$GQ$216,$N501,$O501),"-")))</f>
        <v/>
      </c>
      <c r="H501" s="38">
        <f>IF($L501="","",SUM($G$442:$G501))</f>
        <v/>
      </c>
      <c r="I501" s="39">
        <f>IF($L501="","",IF(INT(($L501-INT($L501/10000000)*10000000)/1000000)=0,"Bloomberg projection",IF(INT($P501/10)=1,"Announced","ANNOUNCED - amount TBA"))&amp;IF(($P501-INT($P501/10)*10)=1," (special)","")&amp;IF((($P501-INT($P501/10)*10)=1)*(Summary!$C$13="N")&gt;0," - excluded by your specials switch",""))</f>
        <v/>
      </c>
      <c r="J501" s="40">
        <f>IF($L501="","",IF((Override!$C$4="ON")*ISNUMBER(INDEX(Override!$G$153:$G$212,$N501))&gt;0,"stock overridden",""))</f>
        <v/>
      </c>
      <c r="L501" s="41">
        <f>IFERROR(IF(SMALL(Grids!$C$157:$BO$216,$M$439+60)&gt;=(Summary!$C$15+1)*1000000000,"",SMALL(Grids!$C$157:$BO$216,$M$439+60)),"")</f>
        <v/>
      </c>
      <c r="M501" s="41">
        <f>IF($L501="","",INT($L501/1000000000))</f>
        <v/>
      </c>
      <c r="N501" s="41">
        <f>IF($L501="","",INT(($L501-INT($L501/1000000)*1000000)/1000))</f>
        <v/>
      </c>
      <c r="O501" s="41">
        <f>IF($L501="","",$L501-INT($L501/1000)*1000)</f>
        <v/>
      </c>
      <c r="P501" s="41">
        <f>IF($L501="","",INT(($L501-INT($L501/1000000000)*1000000000)/10000000))</f>
        <v/>
      </c>
    </row>
    <row r="502">
      <c r="B502" s="36">
        <f>IF($L502="","",$M502)</f>
        <v/>
      </c>
      <c r="C502" s="16">
        <f>IF($L502="","",INDEX(HSCEI!$C$7:$C$66,$N502))</f>
        <v/>
      </c>
      <c r="D502" s="16">
        <f>IF($L502="","",INDEX(HSCEI!$D$7:$D$66,$N502))</f>
        <v/>
      </c>
      <c r="E502" s="37">
        <f>IF($L502="","",IF(INT($P502/10)=0,"TBA",IFERROR(INDEX(Grids!$BQ$157:$EC$216,$N502,$O502),"-")))</f>
        <v/>
      </c>
      <c r="F502" s="16">
        <f>IF($L502="","",INDEX(HSCEI!$F$7:$F$66,$N502))</f>
        <v/>
      </c>
      <c r="G502" s="37">
        <f>IF($L502="","",IF(INT($P502/10)=0,"TBA",IFERROR(INDEX(Grids!$EE$157:$GQ$216,$N502,$O502),"-")))</f>
        <v/>
      </c>
      <c r="H502" s="38">
        <f>IF($L502="","",SUM($G$442:$G502))</f>
        <v/>
      </c>
      <c r="I502" s="39">
        <f>IF($L502="","",IF(INT(($L502-INT($L502/10000000)*10000000)/1000000)=0,"Bloomberg projection",IF(INT($P502/10)=1,"Announced","ANNOUNCED - amount TBA"))&amp;IF(($P502-INT($P502/10)*10)=1," (special)","")&amp;IF((($P502-INT($P502/10)*10)=1)*(Summary!$C$13="N")&gt;0," - excluded by your specials switch",""))</f>
        <v/>
      </c>
      <c r="J502" s="40">
        <f>IF($L502="","",IF((Override!$C$4="ON")*ISNUMBER(INDEX(Override!$G$153:$G$212,$N502))&gt;0,"stock overridden",""))</f>
        <v/>
      </c>
      <c r="L502" s="41">
        <f>IFERROR(IF(SMALL(Grids!$C$157:$BO$216,$M$439+61)&gt;=(Summary!$C$15+1)*1000000000,"",SMALL(Grids!$C$157:$BO$216,$M$439+61)),"")</f>
        <v/>
      </c>
      <c r="M502" s="41">
        <f>IF($L502="","",INT($L502/1000000000))</f>
        <v/>
      </c>
      <c r="N502" s="41">
        <f>IF($L502="","",INT(($L502-INT($L502/1000000)*1000000)/1000))</f>
        <v/>
      </c>
      <c r="O502" s="41">
        <f>IF($L502="","",$L502-INT($L502/1000)*1000)</f>
        <v/>
      </c>
      <c r="P502" s="41">
        <f>IF($L502="","",INT(($L502-INT($L502/1000000000)*1000000000)/10000000))</f>
        <v/>
      </c>
    </row>
    <row r="503">
      <c r="B503" s="36">
        <f>IF($L503="","",$M503)</f>
        <v/>
      </c>
      <c r="C503" s="16">
        <f>IF($L503="","",INDEX(HSCEI!$C$7:$C$66,$N503))</f>
        <v/>
      </c>
      <c r="D503" s="16">
        <f>IF($L503="","",INDEX(HSCEI!$D$7:$D$66,$N503))</f>
        <v/>
      </c>
      <c r="E503" s="37">
        <f>IF($L503="","",IF(INT($P503/10)=0,"TBA",IFERROR(INDEX(Grids!$BQ$157:$EC$216,$N503,$O503),"-")))</f>
        <v/>
      </c>
      <c r="F503" s="16">
        <f>IF($L503="","",INDEX(HSCEI!$F$7:$F$66,$N503))</f>
        <v/>
      </c>
      <c r="G503" s="37">
        <f>IF($L503="","",IF(INT($P503/10)=0,"TBA",IFERROR(INDEX(Grids!$EE$157:$GQ$216,$N503,$O503),"-")))</f>
        <v/>
      </c>
      <c r="H503" s="38">
        <f>IF($L503="","",SUM($G$442:$G503))</f>
        <v/>
      </c>
      <c r="I503" s="39">
        <f>IF($L503="","",IF(INT(($L503-INT($L503/10000000)*10000000)/1000000)=0,"Bloomberg projection",IF(INT($P503/10)=1,"Announced","ANNOUNCED - amount TBA"))&amp;IF(($P503-INT($P503/10)*10)=1," (special)","")&amp;IF((($P503-INT($P503/10)*10)=1)*(Summary!$C$13="N")&gt;0," - excluded by your specials switch",""))</f>
        <v/>
      </c>
      <c r="J503" s="40">
        <f>IF($L503="","",IF((Override!$C$4="ON")*ISNUMBER(INDEX(Override!$G$153:$G$212,$N503))&gt;0,"stock overridden",""))</f>
        <v/>
      </c>
      <c r="L503" s="41">
        <f>IFERROR(IF(SMALL(Grids!$C$157:$BO$216,$M$439+62)&gt;=(Summary!$C$15+1)*1000000000,"",SMALL(Grids!$C$157:$BO$216,$M$439+62)),"")</f>
        <v/>
      </c>
      <c r="M503" s="41">
        <f>IF($L503="","",INT($L503/1000000000))</f>
        <v/>
      </c>
      <c r="N503" s="41">
        <f>IF($L503="","",INT(($L503-INT($L503/1000000)*1000000)/1000))</f>
        <v/>
      </c>
      <c r="O503" s="41">
        <f>IF($L503="","",$L503-INT($L503/1000)*1000)</f>
        <v/>
      </c>
      <c r="P503" s="41">
        <f>IF($L503="","",INT(($L503-INT($L503/1000000000)*1000000000)/10000000))</f>
        <v/>
      </c>
    </row>
    <row r="504">
      <c r="B504" s="36">
        <f>IF($L504="","",$M504)</f>
        <v/>
      </c>
      <c r="C504" s="16">
        <f>IF($L504="","",INDEX(HSCEI!$C$7:$C$66,$N504))</f>
        <v/>
      </c>
      <c r="D504" s="16">
        <f>IF($L504="","",INDEX(HSCEI!$D$7:$D$66,$N504))</f>
        <v/>
      </c>
      <c r="E504" s="37">
        <f>IF($L504="","",IF(INT($P504/10)=0,"TBA",IFERROR(INDEX(Grids!$BQ$157:$EC$216,$N504,$O504),"-")))</f>
        <v/>
      </c>
      <c r="F504" s="16">
        <f>IF($L504="","",INDEX(HSCEI!$F$7:$F$66,$N504))</f>
        <v/>
      </c>
      <c r="G504" s="37">
        <f>IF($L504="","",IF(INT($P504/10)=0,"TBA",IFERROR(INDEX(Grids!$EE$157:$GQ$216,$N504,$O504),"-")))</f>
        <v/>
      </c>
      <c r="H504" s="38">
        <f>IF($L504="","",SUM($G$442:$G504))</f>
        <v/>
      </c>
      <c r="I504" s="39">
        <f>IF($L504="","",IF(INT(($L504-INT($L504/10000000)*10000000)/1000000)=0,"Bloomberg projection",IF(INT($P504/10)=1,"Announced","ANNOUNCED - amount TBA"))&amp;IF(($P504-INT($P504/10)*10)=1," (special)","")&amp;IF((($P504-INT($P504/10)*10)=1)*(Summary!$C$13="N")&gt;0," - excluded by your specials switch",""))</f>
        <v/>
      </c>
      <c r="J504" s="40">
        <f>IF($L504="","",IF((Override!$C$4="ON")*ISNUMBER(INDEX(Override!$G$153:$G$212,$N504))&gt;0,"stock overridden",""))</f>
        <v/>
      </c>
      <c r="L504" s="41">
        <f>IFERROR(IF(SMALL(Grids!$C$157:$BO$216,$M$439+63)&gt;=(Summary!$C$15+1)*1000000000,"",SMALL(Grids!$C$157:$BO$216,$M$439+63)),"")</f>
        <v/>
      </c>
      <c r="M504" s="41">
        <f>IF($L504="","",INT($L504/1000000000))</f>
        <v/>
      </c>
      <c r="N504" s="41">
        <f>IF($L504="","",INT(($L504-INT($L504/1000000)*1000000)/1000))</f>
        <v/>
      </c>
      <c r="O504" s="41">
        <f>IF($L504="","",$L504-INT($L504/1000)*1000)</f>
        <v/>
      </c>
      <c r="P504" s="41">
        <f>IF($L504="","",INT(($L504-INT($L504/1000000000)*1000000000)/10000000))</f>
        <v/>
      </c>
    </row>
    <row r="505">
      <c r="B505" s="36">
        <f>IF($L505="","",$M505)</f>
        <v/>
      </c>
      <c r="C505" s="16">
        <f>IF($L505="","",INDEX(HSCEI!$C$7:$C$66,$N505))</f>
        <v/>
      </c>
      <c r="D505" s="16">
        <f>IF($L505="","",INDEX(HSCEI!$D$7:$D$66,$N505))</f>
        <v/>
      </c>
      <c r="E505" s="37">
        <f>IF($L505="","",IF(INT($P505/10)=0,"TBA",IFERROR(INDEX(Grids!$BQ$157:$EC$216,$N505,$O505),"-")))</f>
        <v/>
      </c>
      <c r="F505" s="16">
        <f>IF($L505="","",INDEX(HSCEI!$F$7:$F$66,$N505))</f>
        <v/>
      </c>
      <c r="G505" s="37">
        <f>IF($L505="","",IF(INT($P505/10)=0,"TBA",IFERROR(INDEX(Grids!$EE$157:$GQ$216,$N505,$O505),"-")))</f>
        <v/>
      </c>
      <c r="H505" s="38">
        <f>IF($L505="","",SUM($G$442:$G505))</f>
        <v/>
      </c>
      <c r="I505" s="39">
        <f>IF($L505="","",IF(INT(($L505-INT($L505/10000000)*10000000)/1000000)=0,"Bloomberg projection",IF(INT($P505/10)=1,"Announced","ANNOUNCED - amount TBA"))&amp;IF(($P505-INT($P505/10)*10)=1," (special)","")&amp;IF((($P505-INT($P505/10)*10)=1)*(Summary!$C$13="N")&gt;0," - excluded by your specials switch",""))</f>
        <v/>
      </c>
      <c r="J505" s="40">
        <f>IF($L505="","",IF((Override!$C$4="ON")*ISNUMBER(INDEX(Override!$G$153:$G$212,$N505))&gt;0,"stock overridden",""))</f>
        <v/>
      </c>
      <c r="L505" s="41">
        <f>IFERROR(IF(SMALL(Grids!$C$157:$BO$216,$M$439+64)&gt;=(Summary!$C$15+1)*1000000000,"",SMALL(Grids!$C$157:$BO$216,$M$439+64)),"")</f>
        <v/>
      </c>
      <c r="M505" s="41">
        <f>IF($L505="","",INT($L505/1000000000))</f>
        <v/>
      </c>
      <c r="N505" s="41">
        <f>IF($L505="","",INT(($L505-INT($L505/1000000)*1000000)/1000))</f>
        <v/>
      </c>
      <c r="O505" s="41">
        <f>IF($L505="","",$L505-INT($L505/1000)*1000)</f>
        <v/>
      </c>
      <c r="P505" s="41">
        <f>IF($L505="","",INT(($L505-INT($L505/1000000000)*1000000000)/10000000))</f>
        <v/>
      </c>
    </row>
    <row r="506">
      <c r="B506" s="36">
        <f>IF($L506="","",$M506)</f>
        <v/>
      </c>
      <c r="C506" s="16">
        <f>IF($L506="","",INDEX(HSCEI!$C$7:$C$66,$N506))</f>
        <v/>
      </c>
      <c r="D506" s="16">
        <f>IF($L506="","",INDEX(HSCEI!$D$7:$D$66,$N506))</f>
        <v/>
      </c>
      <c r="E506" s="37">
        <f>IF($L506="","",IF(INT($P506/10)=0,"TBA",IFERROR(INDEX(Grids!$BQ$157:$EC$216,$N506,$O506),"-")))</f>
        <v/>
      </c>
      <c r="F506" s="16">
        <f>IF($L506="","",INDEX(HSCEI!$F$7:$F$66,$N506))</f>
        <v/>
      </c>
      <c r="G506" s="37">
        <f>IF($L506="","",IF(INT($P506/10)=0,"TBA",IFERROR(INDEX(Grids!$EE$157:$GQ$216,$N506,$O506),"-")))</f>
        <v/>
      </c>
      <c r="H506" s="38">
        <f>IF($L506="","",SUM($G$442:$G506))</f>
        <v/>
      </c>
      <c r="I506" s="39">
        <f>IF($L506="","",IF(INT(($L506-INT($L506/10000000)*10000000)/1000000)=0,"Bloomberg projection",IF(INT($P506/10)=1,"Announced","ANNOUNCED - amount TBA"))&amp;IF(($P506-INT($P506/10)*10)=1," (special)","")&amp;IF((($P506-INT($P506/10)*10)=1)*(Summary!$C$13="N")&gt;0," - excluded by your specials switch",""))</f>
        <v/>
      </c>
      <c r="J506" s="40">
        <f>IF($L506="","",IF((Override!$C$4="ON")*ISNUMBER(INDEX(Override!$G$153:$G$212,$N506))&gt;0,"stock overridden",""))</f>
        <v/>
      </c>
      <c r="L506" s="41">
        <f>IFERROR(IF(SMALL(Grids!$C$157:$BO$216,$M$439+65)&gt;=(Summary!$C$15+1)*1000000000,"",SMALL(Grids!$C$157:$BO$216,$M$439+65)),"")</f>
        <v/>
      </c>
      <c r="M506" s="41">
        <f>IF($L506="","",INT($L506/1000000000))</f>
        <v/>
      </c>
      <c r="N506" s="41">
        <f>IF($L506="","",INT(($L506-INT($L506/1000000)*1000000)/1000))</f>
        <v/>
      </c>
      <c r="O506" s="41">
        <f>IF($L506="","",$L506-INT($L506/1000)*1000)</f>
        <v/>
      </c>
      <c r="P506" s="41">
        <f>IF($L506="","",INT(($L506-INT($L506/1000000000)*1000000000)/10000000))</f>
        <v/>
      </c>
    </row>
    <row r="507">
      <c r="B507" s="36">
        <f>IF($L507="","",$M507)</f>
        <v/>
      </c>
      <c r="C507" s="16">
        <f>IF($L507="","",INDEX(HSCEI!$C$7:$C$66,$N507))</f>
        <v/>
      </c>
      <c r="D507" s="16">
        <f>IF($L507="","",INDEX(HSCEI!$D$7:$D$66,$N507))</f>
        <v/>
      </c>
      <c r="E507" s="37">
        <f>IF($L507="","",IF(INT($P507/10)=0,"TBA",IFERROR(INDEX(Grids!$BQ$157:$EC$216,$N507,$O507),"-")))</f>
        <v/>
      </c>
      <c r="F507" s="16">
        <f>IF($L507="","",INDEX(HSCEI!$F$7:$F$66,$N507))</f>
        <v/>
      </c>
      <c r="G507" s="37">
        <f>IF($L507="","",IF(INT($P507/10)=0,"TBA",IFERROR(INDEX(Grids!$EE$157:$GQ$216,$N507,$O507),"-")))</f>
        <v/>
      </c>
      <c r="H507" s="38">
        <f>IF($L507="","",SUM($G$442:$G507))</f>
        <v/>
      </c>
      <c r="I507" s="39">
        <f>IF($L507="","",IF(INT(($L507-INT($L507/10000000)*10000000)/1000000)=0,"Bloomberg projection",IF(INT($P507/10)=1,"Announced","ANNOUNCED - amount TBA"))&amp;IF(($P507-INT($P507/10)*10)=1," (special)","")&amp;IF((($P507-INT($P507/10)*10)=1)*(Summary!$C$13="N")&gt;0," - excluded by your specials switch",""))</f>
        <v/>
      </c>
      <c r="J507" s="40">
        <f>IF($L507="","",IF((Override!$C$4="ON")*ISNUMBER(INDEX(Override!$G$153:$G$212,$N507))&gt;0,"stock overridden",""))</f>
        <v/>
      </c>
      <c r="L507" s="41">
        <f>IFERROR(IF(SMALL(Grids!$C$157:$BO$216,$M$439+66)&gt;=(Summary!$C$15+1)*1000000000,"",SMALL(Grids!$C$157:$BO$216,$M$439+66)),"")</f>
        <v/>
      </c>
      <c r="M507" s="41">
        <f>IF($L507="","",INT($L507/1000000000))</f>
        <v/>
      </c>
      <c r="N507" s="41">
        <f>IF($L507="","",INT(($L507-INT($L507/1000000)*1000000)/1000))</f>
        <v/>
      </c>
      <c r="O507" s="41">
        <f>IF($L507="","",$L507-INT($L507/1000)*1000)</f>
        <v/>
      </c>
      <c r="P507" s="41">
        <f>IF($L507="","",INT(($L507-INT($L507/1000000000)*1000000000)/10000000))</f>
        <v/>
      </c>
    </row>
    <row r="508">
      <c r="B508" s="36">
        <f>IF($L508="","",$M508)</f>
        <v/>
      </c>
      <c r="C508" s="16">
        <f>IF($L508="","",INDEX(HSCEI!$C$7:$C$66,$N508))</f>
        <v/>
      </c>
      <c r="D508" s="16">
        <f>IF($L508="","",INDEX(HSCEI!$D$7:$D$66,$N508))</f>
        <v/>
      </c>
      <c r="E508" s="37">
        <f>IF($L508="","",IF(INT($P508/10)=0,"TBA",IFERROR(INDEX(Grids!$BQ$157:$EC$216,$N508,$O508),"-")))</f>
        <v/>
      </c>
      <c r="F508" s="16">
        <f>IF($L508="","",INDEX(HSCEI!$F$7:$F$66,$N508))</f>
        <v/>
      </c>
      <c r="G508" s="37">
        <f>IF($L508="","",IF(INT($P508/10)=0,"TBA",IFERROR(INDEX(Grids!$EE$157:$GQ$216,$N508,$O508),"-")))</f>
        <v/>
      </c>
      <c r="H508" s="38">
        <f>IF($L508="","",SUM($G$442:$G508))</f>
        <v/>
      </c>
      <c r="I508" s="39">
        <f>IF($L508="","",IF(INT(($L508-INT($L508/10000000)*10000000)/1000000)=0,"Bloomberg projection",IF(INT($P508/10)=1,"Announced","ANNOUNCED - amount TBA"))&amp;IF(($P508-INT($P508/10)*10)=1," (special)","")&amp;IF((($P508-INT($P508/10)*10)=1)*(Summary!$C$13="N")&gt;0," - excluded by your specials switch",""))</f>
        <v/>
      </c>
      <c r="J508" s="40">
        <f>IF($L508="","",IF((Override!$C$4="ON")*ISNUMBER(INDEX(Override!$G$153:$G$212,$N508))&gt;0,"stock overridden",""))</f>
        <v/>
      </c>
      <c r="L508" s="41">
        <f>IFERROR(IF(SMALL(Grids!$C$157:$BO$216,$M$439+67)&gt;=(Summary!$C$15+1)*1000000000,"",SMALL(Grids!$C$157:$BO$216,$M$439+67)),"")</f>
        <v/>
      </c>
      <c r="M508" s="41">
        <f>IF($L508="","",INT($L508/1000000000))</f>
        <v/>
      </c>
      <c r="N508" s="41">
        <f>IF($L508="","",INT(($L508-INT($L508/1000000)*1000000)/1000))</f>
        <v/>
      </c>
      <c r="O508" s="41">
        <f>IF($L508="","",$L508-INT($L508/1000)*1000)</f>
        <v/>
      </c>
      <c r="P508" s="41">
        <f>IF($L508="","",INT(($L508-INT($L508/1000000000)*1000000000)/10000000))</f>
        <v/>
      </c>
    </row>
    <row r="509">
      <c r="B509" s="36">
        <f>IF($L509="","",$M509)</f>
        <v/>
      </c>
      <c r="C509" s="16">
        <f>IF($L509="","",INDEX(HSCEI!$C$7:$C$66,$N509))</f>
        <v/>
      </c>
      <c r="D509" s="16">
        <f>IF($L509="","",INDEX(HSCEI!$D$7:$D$66,$N509))</f>
        <v/>
      </c>
      <c r="E509" s="37">
        <f>IF($L509="","",IF(INT($P509/10)=0,"TBA",IFERROR(INDEX(Grids!$BQ$157:$EC$216,$N509,$O509),"-")))</f>
        <v/>
      </c>
      <c r="F509" s="16">
        <f>IF($L509="","",INDEX(HSCEI!$F$7:$F$66,$N509))</f>
        <v/>
      </c>
      <c r="G509" s="37">
        <f>IF($L509="","",IF(INT($P509/10)=0,"TBA",IFERROR(INDEX(Grids!$EE$157:$GQ$216,$N509,$O509),"-")))</f>
        <v/>
      </c>
      <c r="H509" s="38">
        <f>IF($L509="","",SUM($G$442:$G509))</f>
        <v/>
      </c>
      <c r="I509" s="39">
        <f>IF($L509="","",IF(INT(($L509-INT($L509/10000000)*10000000)/1000000)=0,"Bloomberg projection",IF(INT($P509/10)=1,"Announced","ANNOUNCED - amount TBA"))&amp;IF(($P509-INT($P509/10)*10)=1," (special)","")&amp;IF((($P509-INT($P509/10)*10)=1)*(Summary!$C$13="N")&gt;0," - excluded by your specials switch",""))</f>
        <v/>
      </c>
      <c r="J509" s="40">
        <f>IF($L509="","",IF((Override!$C$4="ON")*ISNUMBER(INDEX(Override!$G$153:$G$212,$N509))&gt;0,"stock overridden",""))</f>
        <v/>
      </c>
      <c r="L509" s="41">
        <f>IFERROR(IF(SMALL(Grids!$C$157:$BO$216,$M$439+68)&gt;=(Summary!$C$15+1)*1000000000,"",SMALL(Grids!$C$157:$BO$216,$M$439+68)),"")</f>
        <v/>
      </c>
      <c r="M509" s="41">
        <f>IF($L509="","",INT($L509/1000000000))</f>
        <v/>
      </c>
      <c r="N509" s="41">
        <f>IF($L509="","",INT(($L509-INT($L509/1000000)*1000000)/1000))</f>
        <v/>
      </c>
      <c r="O509" s="41">
        <f>IF($L509="","",$L509-INT($L509/1000)*1000)</f>
        <v/>
      </c>
      <c r="P509" s="41">
        <f>IF($L509="","",INT(($L509-INT($L509/1000000000)*1000000000)/10000000))</f>
        <v/>
      </c>
    </row>
    <row r="510">
      <c r="B510" s="36">
        <f>IF($L510="","",$M510)</f>
        <v/>
      </c>
      <c r="C510" s="16">
        <f>IF($L510="","",INDEX(HSCEI!$C$7:$C$66,$N510))</f>
        <v/>
      </c>
      <c r="D510" s="16">
        <f>IF($L510="","",INDEX(HSCEI!$D$7:$D$66,$N510))</f>
        <v/>
      </c>
      <c r="E510" s="37">
        <f>IF($L510="","",IF(INT($P510/10)=0,"TBA",IFERROR(INDEX(Grids!$BQ$157:$EC$216,$N510,$O510),"-")))</f>
        <v/>
      </c>
      <c r="F510" s="16">
        <f>IF($L510="","",INDEX(HSCEI!$F$7:$F$66,$N510))</f>
        <v/>
      </c>
      <c r="G510" s="37">
        <f>IF($L510="","",IF(INT($P510/10)=0,"TBA",IFERROR(INDEX(Grids!$EE$157:$GQ$216,$N510,$O510),"-")))</f>
        <v/>
      </c>
      <c r="H510" s="38">
        <f>IF($L510="","",SUM($G$442:$G510))</f>
        <v/>
      </c>
      <c r="I510" s="39">
        <f>IF($L510="","",IF(INT(($L510-INT($L510/10000000)*10000000)/1000000)=0,"Bloomberg projection",IF(INT($P510/10)=1,"Announced","ANNOUNCED - amount TBA"))&amp;IF(($P510-INT($P510/10)*10)=1," (special)","")&amp;IF((($P510-INT($P510/10)*10)=1)*(Summary!$C$13="N")&gt;0," - excluded by your specials switch",""))</f>
        <v/>
      </c>
      <c r="J510" s="40">
        <f>IF($L510="","",IF((Override!$C$4="ON")*ISNUMBER(INDEX(Override!$G$153:$G$212,$N510))&gt;0,"stock overridden",""))</f>
        <v/>
      </c>
      <c r="L510" s="41">
        <f>IFERROR(IF(SMALL(Grids!$C$157:$BO$216,$M$439+69)&gt;=(Summary!$C$15+1)*1000000000,"",SMALL(Grids!$C$157:$BO$216,$M$439+69)),"")</f>
        <v/>
      </c>
      <c r="M510" s="41">
        <f>IF($L510="","",INT($L510/1000000000))</f>
        <v/>
      </c>
      <c r="N510" s="41">
        <f>IF($L510="","",INT(($L510-INT($L510/1000000)*1000000)/1000))</f>
        <v/>
      </c>
      <c r="O510" s="41">
        <f>IF($L510="","",$L510-INT($L510/1000)*1000)</f>
        <v/>
      </c>
      <c r="P510" s="41">
        <f>IF($L510="","",INT(($L510-INT($L510/1000000000)*1000000000)/10000000))</f>
        <v/>
      </c>
    </row>
    <row r="511">
      <c r="B511" s="36">
        <f>IF($L511="","",$M511)</f>
        <v/>
      </c>
      <c r="C511" s="16">
        <f>IF($L511="","",INDEX(HSCEI!$C$7:$C$66,$N511))</f>
        <v/>
      </c>
      <c r="D511" s="16">
        <f>IF($L511="","",INDEX(HSCEI!$D$7:$D$66,$N511))</f>
        <v/>
      </c>
      <c r="E511" s="37">
        <f>IF($L511="","",IF(INT($P511/10)=0,"TBA",IFERROR(INDEX(Grids!$BQ$157:$EC$216,$N511,$O511),"-")))</f>
        <v/>
      </c>
      <c r="F511" s="16">
        <f>IF($L511="","",INDEX(HSCEI!$F$7:$F$66,$N511))</f>
        <v/>
      </c>
      <c r="G511" s="37">
        <f>IF($L511="","",IF(INT($P511/10)=0,"TBA",IFERROR(INDEX(Grids!$EE$157:$GQ$216,$N511,$O511),"-")))</f>
        <v/>
      </c>
      <c r="H511" s="38">
        <f>IF($L511="","",SUM($G$442:$G511))</f>
        <v/>
      </c>
      <c r="I511" s="39">
        <f>IF($L511="","",IF(INT(($L511-INT($L511/10000000)*10000000)/1000000)=0,"Bloomberg projection",IF(INT($P511/10)=1,"Announced","ANNOUNCED - amount TBA"))&amp;IF(($P511-INT($P511/10)*10)=1," (special)","")&amp;IF((($P511-INT($P511/10)*10)=1)*(Summary!$C$13="N")&gt;0," - excluded by your specials switch",""))</f>
        <v/>
      </c>
      <c r="J511" s="40">
        <f>IF($L511="","",IF((Override!$C$4="ON")*ISNUMBER(INDEX(Override!$G$153:$G$212,$N511))&gt;0,"stock overridden",""))</f>
        <v/>
      </c>
      <c r="L511" s="41">
        <f>IFERROR(IF(SMALL(Grids!$C$157:$BO$216,$M$439+70)&gt;=(Summary!$C$15+1)*1000000000,"",SMALL(Grids!$C$157:$BO$216,$M$439+70)),"")</f>
        <v/>
      </c>
      <c r="M511" s="41">
        <f>IF($L511="","",INT($L511/1000000000))</f>
        <v/>
      </c>
      <c r="N511" s="41">
        <f>IF($L511="","",INT(($L511-INT($L511/1000000)*1000000)/1000))</f>
        <v/>
      </c>
      <c r="O511" s="41">
        <f>IF($L511="","",$L511-INT($L511/1000)*1000)</f>
        <v/>
      </c>
      <c r="P511" s="41">
        <f>IF($L511="","",INT(($L511-INT($L511/1000000000)*1000000000)/10000000))</f>
        <v/>
      </c>
    </row>
    <row r="512">
      <c r="B512" s="36">
        <f>IF($L512="","",$M512)</f>
        <v/>
      </c>
      <c r="C512" s="16">
        <f>IF($L512="","",INDEX(HSCEI!$C$7:$C$66,$N512))</f>
        <v/>
      </c>
      <c r="D512" s="16">
        <f>IF($L512="","",INDEX(HSCEI!$D$7:$D$66,$N512))</f>
        <v/>
      </c>
      <c r="E512" s="37">
        <f>IF($L512="","",IF(INT($P512/10)=0,"TBA",IFERROR(INDEX(Grids!$BQ$157:$EC$216,$N512,$O512),"-")))</f>
        <v/>
      </c>
      <c r="F512" s="16">
        <f>IF($L512="","",INDEX(HSCEI!$F$7:$F$66,$N512))</f>
        <v/>
      </c>
      <c r="G512" s="37">
        <f>IF($L512="","",IF(INT($P512/10)=0,"TBA",IFERROR(INDEX(Grids!$EE$157:$GQ$216,$N512,$O512),"-")))</f>
        <v/>
      </c>
      <c r="H512" s="38">
        <f>IF($L512="","",SUM($G$442:$G512))</f>
        <v/>
      </c>
      <c r="I512" s="39">
        <f>IF($L512="","",IF(INT(($L512-INT($L512/10000000)*10000000)/1000000)=0,"Bloomberg projection",IF(INT($P512/10)=1,"Announced","ANNOUNCED - amount TBA"))&amp;IF(($P512-INT($P512/10)*10)=1," (special)","")&amp;IF((($P512-INT($P512/10)*10)=1)*(Summary!$C$13="N")&gt;0," - excluded by your specials switch",""))</f>
        <v/>
      </c>
      <c r="J512" s="40">
        <f>IF($L512="","",IF((Override!$C$4="ON")*ISNUMBER(INDEX(Override!$G$153:$G$212,$N512))&gt;0,"stock overridden",""))</f>
        <v/>
      </c>
      <c r="L512" s="41">
        <f>IFERROR(IF(SMALL(Grids!$C$157:$BO$216,$M$439+71)&gt;=(Summary!$C$15+1)*1000000000,"",SMALL(Grids!$C$157:$BO$216,$M$439+71)),"")</f>
        <v/>
      </c>
      <c r="M512" s="41">
        <f>IF($L512="","",INT($L512/1000000000))</f>
        <v/>
      </c>
      <c r="N512" s="41">
        <f>IF($L512="","",INT(($L512-INT($L512/1000000)*1000000)/1000))</f>
        <v/>
      </c>
      <c r="O512" s="41">
        <f>IF($L512="","",$L512-INT($L512/1000)*1000)</f>
        <v/>
      </c>
      <c r="P512" s="41">
        <f>IF($L512="","",INT(($L512-INT($L512/1000000000)*1000000000)/10000000))</f>
        <v/>
      </c>
    </row>
    <row r="513">
      <c r="B513" s="36">
        <f>IF($L513="","",$M513)</f>
        <v/>
      </c>
      <c r="C513" s="16">
        <f>IF($L513="","",INDEX(HSCEI!$C$7:$C$66,$N513))</f>
        <v/>
      </c>
      <c r="D513" s="16">
        <f>IF($L513="","",INDEX(HSCEI!$D$7:$D$66,$N513))</f>
        <v/>
      </c>
      <c r="E513" s="37">
        <f>IF($L513="","",IF(INT($P513/10)=0,"TBA",IFERROR(INDEX(Grids!$BQ$157:$EC$216,$N513,$O513),"-")))</f>
        <v/>
      </c>
      <c r="F513" s="16">
        <f>IF($L513="","",INDEX(HSCEI!$F$7:$F$66,$N513))</f>
        <v/>
      </c>
      <c r="G513" s="37">
        <f>IF($L513="","",IF(INT($P513/10)=0,"TBA",IFERROR(INDEX(Grids!$EE$157:$GQ$216,$N513,$O513),"-")))</f>
        <v/>
      </c>
      <c r="H513" s="38">
        <f>IF($L513="","",SUM($G$442:$G513))</f>
        <v/>
      </c>
      <c r="I513" s="39">
        <f>IF($L513="","",IF(INT(($L513-INT($L513/10000000)*10000000)/1000000)=0,"Bloomberg projection",IF(INT($P513/10)=1,"Announced","ANNOUNCED - amount TBA"))&amp;IF(($P513-INT($P513/10)*10)=1," (special)","")&amp;IF((($P513-INT($P513/10)*10)=1)*(Summary!$C$13="N")&gt;0," - excluded by your specials switch",""))</f>
        <v/>
      </c>
      <c r="J513" s="40">
        <f>IF($L513="","",IF((Override!$C$4="ON")*ISNUMBER(INDEX(Override!$G$153:$G$212,$N513))&gt;0,"stock overridden",""))</f>
        <v/>
      </c>
      <c r="L513" s="41">
        <f>IFERROR(IF(SMALL(Grids!$C$157:$BO$216,$M$439+72)&gt;=(Summary!$C$15+1)*1000000000,"",SMALL(Grids!$C$157:$BO$216,$M$439+72)),"")</f>
        <v/>
      </c>
      <c r="M513" s="41">
        <f>IF($L513="","",INT($L513/1000000000))</f>
        <v/>
      </c>
      <c r="N513" s="41">
        <f>IF($L513="","",INT(($L513-INT($L513/1000000)*1000000)/1000))</f>
        <v/>
      </c>
      <c r="O513" s="41">
        <f>IF($L513="","",$L513-INT($L513/1000)*1000)</f>
        <v/>
      </c>
      <c r="P513" s="41">
        <f>IF($L513="","",INT(($L513-INT($L513/1000000000)*1000000000)/10000000))</f>
        <v/>
      </c>
    </row>
    <row r="514">
      <c r="B514" s="36">
        <f>IF($L514="","",$M514)</f>
        <v/>
      </c>
      <c r="C514" s="16">
        <f>IF($L514="","",INDEX(HSCEI!$C$7:$C$66,$N514))</f>
        <v/>
      </c>
      <c r="D514" s="16">
        <f>IF($L514="","",INDEX(HSCEI!$D$7:$D$66,$N514))</f>
        <v/>
      </c>
      <c r="E514" s="37">
        <f>IF($L514="","",IF(INT($P514/10)=0,"TBA",IFERROR(INDEX(Grids!$BQ$157:$EC$216,$N514,$O514),"-")))</f>
        <v/>
      </c>
      <c r="F514" s="16">
        <f>IF($L514="","",INDEX(HSCEI!$F$7:$F$66,$N514))</f>
        <v/>
      </c>
      <c r="G514" s="37">
        <f>IF($L514="","",IF(INT($P514/10)=0,"TBA",IFERROR(INDEX(Grids!$EE$157:$GQ$216,$N514,$O514),"-")))</f>
        <v/>
      </c>
      <c r="H514" s="38">
        <f>IF($L514="","",SUM($G$442:$G514))</f>
        <v/>
      </c>
      <c r="I514" s="39">
        <f>IF($L514="","",IF(INT(($L514-INT($L514/10000000)*10000000)/1000000)=0,"Bloomberg projection",IF(INT($P514/10)=1,"Announced","ANNOUNCED - amount TBA"))&amp;IF(($P514-INT($P514/10)*10)=1," (special)","")&amp;IF((($P514-INT($P514/10)*10)=1)*(Summary!$C$13="N")&gt;0," - excluded by your specials switch",""))</f>
        <v/>
      </c>
      <c r="J514" s="40">
        <f>IF($L514="","",IF((Override!$C$4="ON")*ISNUMBER(INDEX(Override!$G$153:$G$212,$N514))&gt;0,"stock overridden",""))</f>
        <v/>
      </c>
      <c r="L514" s="41">
        <f>IFERROR(IF(SMALL(Grids!$C$157:$BO$216,$M$439+73)&gt;=(Summary!$C$15+1)*1000000000,"",SMALL(Grids!$C$157:$BO$216,$M$439+73)),"")</f>
        <v/>
      </c>
      <c r="M514" s="41">
        <f>IF($L514="","",INT($L514/1000000000))</f>
        <v/>
      </c>
      <c r="N514" s="41">
        <f>IF($L514="","",INT(($L514-INT($L514/1000000)*1000000)/1000))</f>
        <v/>
      </c>
      <c r="O514" s="41">
        <f>IF($L514="","",$L514-INT($L514/1000)*1000)</f>
        <v/>
      </c>
      <c r="P514" s="41">
        <f>IF($L514="","",INT(($L514-INT($L514/1000000000)*1000000000)/10000000))</f>
        <v/>
      </c>
    </row>
    <row r="515">
      <c r="B515" s="36">
        <f>IF($L515="","",$M515)</f>
        <v/>
      </c>
      <c r="C515" s="16">
        <f>IF($L515="","",INDEX(HSCEI!$C$7:$C$66,$N515))</f>
        <v/>
      </c>
      <c r="D515" s="16">
        <f>IF($L515="","",INDEX(HSCEI!$D$7:$D$66,$N515))</f>
        <v/>
      </c>
      <c r="E515" s="37">
        <f>IF($L515="","",IF(INT($P515/10)=0,"TBA",IFERROR(INDEX(Grids!$BQ$157:$EC$216,$N515,$O515),"-")))</f>
        <v/>
      </c>
      <c r="F515" s="16">
        <f>IF($L515="","",INDEX(HSCEI!$F$7:$F$66,$N515))</f>
        <v/>
      </c>
      <c r="G515" s="37">
        <f>IF($L515="","",IF(INT($P515/10)=0,"TBA",IFERROR(INDEX(Grids!$EE$157:$GQ$216,$N515,$O515),"-")))</f>
        <v/>
      </c>
      <c r="H515" s="38">
        <f>IF($L515="","",SUM($G$442:$G515))</f>
        <v/>
      </c>
      <c r="I515" s="39">
        <f>IF($L515="","",IF(INT(($L515-INT($L515/10000000)*10000000)/1000000)=0,"Bloomberg projection",IF(INT($P515/10)=1,"Announced","ANNOUNCED - amount TBA"))&amp;IF(($P515-INT($P515/10)*10)=1," (special)","")&amp;IF((($P515-INT($P515/10)*10)=1)*(Summary!$C$13="N")&gt;0," - excluded by your specials switch",""))</f>
        <v/>
      </c>
      <c r="J515" s="40">
        <f>IF($L515="","",IF((Override!$C$4="ON")*ISNUMBER(INDEX(Override!$G$153:$G$212,$N515))&gt;0,"stock overridden",""))</f>
        <v/>
      </c>
      <c r="L515" s="41">
        <f>IFERROR(IF(SMALL(Grids!$C$157:$BO$216,$M$439+74)&gt;=(Summary!$C$15+1)*1000000000,"",SMALL(Grids!$C$157:$BO$216,$M$439+74)),"")</f>
        <v/>
      </c>
      <c r="M515" s="41">
        <f>IF($L515="","",INT($L515/1000000000))</f>
        <v/>
      </c>
      <c r="N515" s="41">
        <f>IF($L515="","",INT(($L515-INT($L515/1000000)*1000000)/1000))</f>
        <v/>
      </c>
      <c r="O515" s="41">
        <f>IF($L515="","",$L515-INT($L515/1000)*1000)</f>
        <v/>
      </c>
      <c r="P515" s="41">
        <f>IF($L515="","",INT(($L515-INT($L515/1000000000)*1000000000)/10000000))</f>
        <v/>
      </c>
    </row>
    <row r="516">
      <c r="B516" s="36">
        <f>IF($L516="","",$M516)</f>
        <v/>
      </c>
      <c r="C516" s="16">
        <f>IF($L516="","",INDEX(HSCEI!$C$7:$C$66,$N516))</f>
        <v/>
      </c>
      <c r="D516" s="16">
        <f>IF($L516="","",INDEX(HSCEI!$D$7:$D$66,$N516))</f>
        <v/>
      </c>
      <c r="E516" s="37">
        <f>IF($L516="","",IF(INT($P516/10)=0,"TBA",IFERROR(INDEX(Grids!$BQ$157:$EC$216,$N516,$O516),"-")))</f>
        <v/>
      </c>
      <c r="F516" s="16">
        <f>IF($L516="","",INDEX(HSCEI!$F$7:$F$66,$N516))</f>
        <v/>
      </c>
      <c r="G516" s="37">
        <f>IF($L516="","",IF(INT($P516/10)=0,"TBA",IFERROR(INDEX(Grids!$EE$157:$GQ$216,$N516,$O516),"-")))</f>
        <v/>
      </c>
      <c r="H516" s="38">
        <f>IF($L516="","",SUM($G$442:$G516))</f>
        <v/>
      </c>
      <c r="I516" s="39">
        <f>IF($L516="","",IF(INT(($L516-INT($L516/10000000)*10000000)/1000000)=0,"Bloomberg projection",IF(INT($P516/10)=1,"Announced","ANNOUNCED - amount TBA"))&amp;IF(($P516-INT($P516/10)*10)=1," (special)","")&amp;IF((($P516-INT($P516/10)*10)=1)*(Summary!$C$13="N")&gt;0," - excluded by your specials switch",""))</f>
        <v/>
      </c>
      <c r="J516" s="40">
        <f>IF($L516="","",IF((Override!$C$4="ON")*ISNUMBER(INDEX(Override!$G$153:$G$212,$N516))&gt;0,"stock overridden",""))</f>
        <v/>
      </c>
      <c r="L516" s="41">
        <f>IFERROR(IF(SMALL(Grids!$C$157:$BO$216,$M$439+75)&gt;=(Summary!$C$15+1)*1000000000,"",SMALL(Grids!$C$157:$BO$216,$M$439+75)),"")</f>
        <v/>
      </c>
      <c r="M516" s="41">
        <f>IF($L516="","",INT($L516/1000000000))</f>
        <v/>
      </c>
      <c r="N516" s="41">
        <f>IF($L516="","",INT(($L516-INT($L516/1000000)*1000000)/1000))</f>
        <v/>
      </c>
      <c r="O516" s="41">
        <f>IF($L516="","",$L516-INT($L516/1000)*1000)</f>
        <v/>
      </c>
      <c r="P516" s="41">
        <f>IF($L516="","",INT(($L516-INT($L516/1000000000)*1000000000)/10000000))</f>
        <v/>
      </c>
    </row>
    <row r="517">
      <c r="B517" s="36">
        <f>IF($L517="","",$M517)</f>
        <v/>
      </c>
      <c r="C517" s="16">
        <f>IF($L517="","",INDEX(HSCEI!$C$7:$C$66,$N517))</f>
        <v/>
      </c>
      <c r="D517" s="16">
        <f>IF($L517="","",INDEX(HSCEI!$D$7:$D$66,$N517))</f>
        <v/>
      </c>
      <c r="E517" s="37">
        <f>IF($L517="","",IF(INT($P517/10)=0,"TBA",IFERROR(INDEX(Grids!$BQ$157:$EC$216,$N517,$O517),"-")))</f>
        <v/>
      </c>
      <c r="F517" s="16">
        <f>IF($L517="","",INDEX(HSCEI!$F$7:$F$66,$N517))</f>
        <v/>
      </c>
      <c r="G517" s="37">
        <f>IF($L517="","",IF(INT($P517/10)=0,"TBA",IFERROR(INDEX(Grids!$EE$157:$GQ$216,$N517,$O517),"-")))</f>
        <v/>
      </c>
      <c r="H517" s="38">
        <f>IF($L517="","",SUM($G$442:$G517))</f>
        <v/>
      </c>
      <c r="I517" s="39">
        <f>IF($L517="","",IF(INT(($L517-INT($L517/10000000)*10000000)/1000000)=0,"Bloomberg projection",IF(INT($P517/10)=1,"Announced","ANNOUNCED - amount TBA"))&amp;IF(($P517-INT($P517/10)*10)=1," (special)","")&amp;IF((($P517-INT($P517/10)*10)=1)*(Summary!$C$13="N")&gt;0," - excluded by your specials switch",""))</f>
        <v/>
      </c>
      <c r="J517" s="40">
        <f>IF($L517="","",IF((Override!$C$4="ON")*ISNUMBER(INDEX(Override!$G$153:$G$212,$N517))&gt;0,"stock overridden",""))</f>
        <v/>
      </c>
      <c r="L517" s="41">
        <f>IFERROR(IF(SMALL(Grids!$C$157:$BO$216,$M$439+76)&gt;=(Summary!$C$15+1)*1000000000,"",SMALL(Grids!$C$157:$BO$216,$M$439+76)),"")</f>
        <v/>
      </c>
      <c r="M517" s="41">
        <f>IF($L517="","",INT($L517/1000000000))</f>
        <v/>
      </c>
      <c r="N517" s="41">
        <f>IF($L517="","",INT(($L517-INT($L517/1000000)*1000000)/1000))</f>
        <v/>
      </c>
      <c r="O517" s="41">
        <f>IF($L517="","",$L517-INT($L517/1000)*1000)</f>
        <v/>
      </c>
      <c r="P517" s="41">
        <f>IF($L517="","",INT(($L517-INT($L517/1000000000)*1000000000)/10000000))</f>
        <v/>
      </c>
    </row>
    <row r="518">
      <c r="B518" s="36">
        <f>IF($L518="","",$M518)</f>
        <v/>
      </c>
      <c r="C518" s="16">
        <f>IF($L518="","",INDEX(HSCEI!$C$7:$C$66,$N518))</f>
        <v/>
      </c>
      <c r="D518" s="16">
        <f>IF($L518="","",INDEX(HSCEI!$D$7:$D$66,$N518))</f>
        <v/>
      </c>
      <c r="E518" s="37">
        <f>IF($L518="","",IF(INT($P518/10)=0,"TBA",IFERROR(INDEX(Grids!$BQ$157:$EC$216,$N518,$O518),"-")))</f>
        <v/>
      </c>
      <c r="F518" s="16">
        <f>IF($L518="","",INDEX(HSCEI!$F$7:$F$66,$N518))</f>
        <v/>
      </c>
      <c r="G518" s="37">
        <f>IF($L518="","",IF(INT($P518/10)=0,"TBA",IFERROR(INDEX(Grids!$EE$157:$GQ$216,$N518,$O518),"-")))</f>
        <v/>
      </c>
      <c r="H518" s="38">
        <f>IF($L518="","",SUM($G$442:$G518))</f>
        <v/>
      </c>
      <c r="I518" s="39">
        <f>IF($L518="","",IF(INT(($L518-INT($L518/10000000)*10000000)/1000000)=0,"Bloomberg projection",IF(INT($P518/10)=1,"Announced","ANNOUNCED - amount TBA"))&amp;IF(($P518-INT($P518/10)*10)=1," (special)","")&amp;IF((($P518-INT($P518/10)*10)=1)*(Summary!$C$13="N")&gt;0," - excluded by your specials switch",""))</f>
        <v/>
      </c>
      <c r="J518" s="40">
        <f>IF($L518="","",IF((Override!$C$4="ON")*ISNUMBER(INDEX(Override!$G$153:$G$212,$N518))&gt;0,"stock overridden",""))</f>
        <v/>
      </c>
      <c r="L518" s="41">
        <f>IFERROR(IF(SMALL(Grids!$C$157:$BO$216,$M$439+77)&gt;=(Summary!$C$15+1)*1000000000,"",SMALL(Grids!$C$157:$BO$216,$M$439+77)),"")</f>
        <v/>
      </c>
      <c r="M518" s="41">
        <f>IF($L518="","",INT($L518/1000000000))</f>
        <v/>
      </c>
      <c r="N518" s="41">
        <f>IF($L518="","",INT(($L518-INT($L518/1000000)*1000000)/1000))</f>
        <v/>
      </c>
      <c r="O518" s="41">
        <f>IF($L518="","",$L518-INT($L518/1000)*1000)</f>
        <v/>
      </c>
      <c r="P518" s="41">
        <f>IF($L518="","",INT(($L518-INT($L518/1000000000)*1000000000)/10000000))</f>
        <v/>
      </c>
    </row>
    <row r="519">
      <c r="B519" s="36">
        <f>IF($L519="","",$M519)</f>
        <v/>
      </c>
      <c r="C519" s="16">
        <f>IF($L519="","",INDEX(HSCEI!$C$7:$C$66,$N519))</f>
        <v/>
      </c>
      <c r="D519" s="16">
        <f>IF($L519="","",INDEX(HSCEI!$D$7:$D$66,$N519))</f>
        <v/>
      </c>
      <c r="E519" s="37">
        <f>IF($L519="","",IF(INT($P519/10)=0,"TBA",IFERROR(INDEX(Grids!$BQ$157:$EC$216,$N519,$O519),"-")))</f>
        <v/>
      </c>
      <c r="F519" s="16">
        <f>IF($L519="","",INDEX(HSCEI!$F$7:$F$66,$N519))</f>
        <v/>
      </c>
      <c r="G519" s="37">
        <f>IF($L519="","",IF(INT($P519/10)=0,"TBA",IFERROR(INDEX(Grids!$EE$157:$GQ$216,$N519,$O519),"-")))</f>
        <v/>
      </c>
      <c r="H519" s="38">
        <f>IF($L519="","",SUM($G$442:$G519))</f>
        <v/>
      </c>
      <c r="I519" s="39">
        <f>IF($L519="","",IF(INT(($L519-INT($L519/10000000)*10000000)/1000000)=0,"Bloomberg projection",IF(INT($P519/10)=1,"Announced","ANNOUNCED - amount TBA"))&amp;IF(($P519-INT($P519/10)*10)=1," (special)","")&amp;IF((($P519-INT($P519/10)*10)=1)*(Summary!$C$13="N")&gt;0," - excluded by your specials switch",""))</f>
        <v/>
      </c>
      <c r="J519" s="40">
        <f>IF($L519="","",IF((Override!$C$4="ON")*ISNUMBER(INDEX(Override!$G$153:$G$212,$N519))&gt;0,"stock overridden",""))</f>
        <v/>
      </c>
      <c r="L519" s="41">
        <f>IFERROR(IF(SMALL(Grids!$C$157:$BO$216,$M$439+78)&gt;=(Summary!$C$15+1)*1000000000,"",SMALL(Grids!$C$157:$BO$216,$M$439+78)),"")</f>
        <v/>
      </c>
      <c r="M519" s="41">
        <f>IF($L519="","",INT($L519/1000000000))</f>
        <v/>
      </c>
      <c r="N519" s="41">
        <f>IF($L519="","",INT(($L519-INT($L519/1000000)*1000000)/1000))</f>
        <v/>
      </c>
      <c r="O519" s="41">
        <f>IF($L519="","",$L519-INT($L519/1000)*1000)</f>
        <v/>
      </c>
      <c r="P519" s="41">
        <f>IF($L519="","",INT(($L519-INT($L519/1000000000)*1000000000)/10000000))</f>
        <v/>
      </c>
    </row>
    <row r="520">
      <c r="B520" s="36">
        <f>IF($L520="","",$M520)</f>
        <v/>
      </c>
      <c r="C520" s="16">
        <f>IF($L520="","",INDEX(HSCEI!$C$7:$C$66,$N520))</f>
        <v/>
      </c>
      <c r="D520" s="16">
        <f>IF($L520="","",INDEX(HSCEI!$D$7:$D$66,$N520))</f>
        <v/>
      </c>
      <c r="E520" s="37">
        <f>IF($L520="","",IF(INT($P520/10)=0,"TBA",IFERROR(INDEX(Grids!$BQ$157:$EC$216,$N520,$O520),"-")))</f>
        <v/>
      </c>
      <c r="F520" s="16">
        <f>IF($L520="","",INDEX(HSCEI!$F$7:$F$66,$N520))</f>
        <v/>
      </c>
      <c r="G520" s="37">
        <f>IF($L520="","",IF(INT($P520/10)=0,"TBA",IFERROR(INDEX(Grids!$EE$157:$GQ$216,$N520,$O520),"-")))</f>
        <v/>
      </c>
      <c r="H520" s="38">
        <f>IF($L520="","",SUM($G$442:$G520))</f>
        <v/>
      </c>
      <c r="I520" s="39">
        <f>IF($L520="","",IF(INT(($L520-INT($L520/10000000)*10000000)/1000000)=0,"Bloomberg projection",IF(INT($P520/10)=1,"Announced","ANNOUNCED - amount TBA"))&amp;IF(($P520-INT($P520/10)*10)=1," (special)","")&amp;IF((($P520-INT($P520/10)*10)=1)*(Summary!$C$13="N")&gt;0," - excluded by your specials switch",""))</f>
        <v/>
      </c>
      <c r="J520" s="40">
        <f>IF($L520="","",IF((Override!$C$4="ON")*ISNUMBER(INDEX(Override!$G$153:$G$212,$N520))&gt;0,"stock overridden",""))</f>
        <v/>
      </c>
      <c r="L520" s="41">
        <f>IFERROR(IF(SMALL(Grids!$C$157:$BO$216,$M$439+79)&gt;=(Summary!$C$15+1)*1000000000,"",SMALL(Grids!$C$157:$BO$216,$M$439+79)),"")</f>
        <v/>
      </c>
      <c r="M520" s="41">
        <f>IF($L520="","",INT($L520/1000000000))</f>
        <v/>
      </c>
      <c r="N520" s="41">
        <f>IF($L520="","",INT(($L520-INT($L520/1000000)*1000000)/1000))</f>
        <v/>
      </c>
      <c r="O520" s="41">
        <f>IF($L520="","",$L520-INT($L520/1000)*1000)</f>
        <v/>
      </c>
      <c r="P520" s="41">
        <f>IF($L520="","",INT(($L520-INT($L520/1000000000)*1000000000)/10000000))</f>
        <v/>
      </c>
    </row>
    <row r="521">
      <c r="B521" s="36">
        <f>IF($L521="","",$M521)</f>
        <v/>
      </c>
      <c r="C521" s="16">
        <f>IF($L521="","",INDEX(HSCEI!$C$7:$C$66,$N521))</f>
        <v/>
      </c>
      <c r="D521" s="16">
        <f>IF($L521="","",INDEX(HSCEI!$D$7:$D$66,$N521))</f>
        <v/>
      </c>
      <c r="E521" s="37">
        <f>IF($L521="","",IF(INT($P521/10)=0,"TBA",IFERROR(INDEX(Grids!$BQ$157:$EC$216,$N521,$O521),"-")))</f>
        <v/>
      </c>
      <c r="F521" s="16">
        <f>IF($L521="","",INDEX(HSCEI!$F$7:$F$66,$N521))</f>
        <v/>
      </c>
      <c r="G521" s="37">
        <f>IF($L521="","",IF(INT($P521/10)=0,"TBA",IFERROR(INDEX(Grids!$EE$157:$GQ$216,$N521,$O521),"-")))</f>
        <v/>
      </c>
      <c r="H521" s="38">
        <f>IF($L521="","",SUM($G$442:$G521))</f>
        <v/>
      </c>
      <c r="I521" s="39">
        <f>IF($L521="","",IF(INT(($L521-INT($L521/10000000)*10000000)/1000000)=0,"Bloomberg projection",IF(INT($P521/10)=1,"Announced","ANNOUNCED - amount TBA"))&amp;IF(($P521-INT($P521/10)*10)=1," (special)","")&amp;IF((($P521-INT($P521/10)*10)=1)*(Summary!$C$13="N")&gt;0," - excluded by your specials switch",""))</f>
        <v/>
      </c>
      <c r="J521" s="40">
        <f>IF($L521="","",IF((Override!$C$4="ON")*ISNUMBER(INDEX(Override!$G$153:$G$212,$N521))&gt;0,"stock overridden",""))</f>
        <v/>
      </c>
      <c r="L521" s="41">
        <f>IFERROR(IF(SMALL(Grids!$C$157:$BO$216,$M$439+80)&gt;=(Summary!$C$15+1)*1000000000,"",SMALL(Grids!$C$157:$BO$216,$M$439+80)),"")</f>
        <v/>
      </c>
      <c r="M521" s="41">
        <f>IF($L521="","",INT($L521/1000000000))</f>
        <v/>
      </c>
      <c r="N521" s="41">
        <f>IF($L521="","",INT(($L521-INT($L521/1000000)*1000000)/1000))</f>
        <v/>
      </c>
      <c r="O521" s="41">
        <f>IF($L521="","",$L521-INT($L521/1000)*1000)</f>
        <v/>
      </c>
      <c r="P521" s="41">
        <f>IF($L521="","",INT(($L521-INT($L521/1000000000)*1000000000)/10000000))</f>
        <v/>
      </c>
    </row>
    <row r="522">
      <c r="B522" s="36">
        <f>IF($L522="","",$M522)</f>
        <v/>
      </c>
      <c r="C522" s="16">
        <f>IF($L522="","",INDEX(HSCEI!$C$7:$C$66,$N522))</f>
        <v/>
      </c>
      <c r="D522" s="16">
        <f>IF($L522="","",INDEX(HSCEI!$D$7:$D$66,$N522))</f>
        <v/>
      </c>
      <c r="E522" s="37">
        <f>IF($L522="","",IF(INT($P522/10)=0,"TBA",IFERROR(INDEX(Grids!$BQ$157:$EC$216,$N522,$O522),"-")))</f>
        <v/>
      </c>
      <c r="F522" s="16">
        <f>IF($L522="","",INDEX(HSCEI!$F$7:$F$66,$N522))</f>
        <v/>
      </c>
      <c r="G522" s="37">
        <f>IF($L522="","",IF(INT($P522/10)=0,"TBA",IFERROR(INDEX(Grids!$EE$157:$GQ$216,$N522,$O522),"-")))</f>
        <v/>
      </c>
      <c r="H522" s="38">
        <f>IF($L522="","",SUM($G$442:$G522))</f>
        <v/>
      </c>
      <c r="I522" s="39">
        <f>IF($L522="","",IF(INT(($L522-INT($L522/10000000)*10000000)/1000000)=0,"Bloomberg projection",IF(INT($P522/10)=1,"Announced","ANNOUNCED - amount TBA"))&amp;IF(($P522-INT($P522/10)*10)=1," (special)","")&amp;IF((($P522-INT($P522/10)*10)=1)*(Summary!$C$13="N")&gt;0," - excluded by your specials switch",""))</f>
        <v/>
      </c>
      <c r="J522" s="40">
        <f>IF($L522="","",IF((Override!$C$4="ON")*ISNUMBER(INDEX(Override!$G$153:$G$212,$N522))&gt;0,"stock overridden",""))</f>
        <v/>
      </c>
      <c r="L522" s="41">
        <f>IFERROR(IF(SMALL(Grids!$C$157:$BO$216,$M$439+81)&gt;=(Summary!$C$15+1)*1000000000,"",SMALL(Grids!$C$157:$BO$216,$M$439+81)),"")</f>
        <v/>
      </c>
      <c r="M522" s="41">
        <f>IF($L522="","",INT($L522/1000000000))</f>
        <v/>
      </c>
      <c r="N522" s="41">
        <f>IF($L522="","",INT(($L522-INT($L522/1000000)*1000000)/1000))</f>
        <v/>
      </c>
      <c r="O522" s="41">
        <f>IF($L522="","",$L522-INT($L522/1000)*1000)</f>
        <v/>
      </c>
      <c r="P522" s="41">
        <f>IF($L522="","",INT(($L522-INT($L522/1000000000)*1000000000)/10000000))</f>
        <v/>
      </c>
    </row>
    <row r="523">
      <c r="B523" s="36">
        <f>IF($L523="","",$M523)</f>
        <v/>
      </c>
      <c r="C523" s="16">
        <f>IF($L523="","",INDEX(HSCEI!$C$7:$C$66,$N523))</f>
        <v/>
      </c>
      <c r="D523" s="16">
        <f>IF($L523="","",INDEX(HSCEI!$D$7:$D$66,$N523))</f>
        <v/>
      </c>
      <c r="E523" s="37">
        <f>IF($L523="","",IF(INT($P523/10)=0,"TBA",IFERROR(INDEX(Grids!$BQ$157:$EC$216,$N523,$O523),"-")))</f>
        <v/>
      </c>
      <c r="F523" s="16">
        <f>IF($L523="","",INDEX(HSCEI!$F$7:$F$66,$N523))</f>
        <v/>
      </c>
      <c r="G523" s="37">
        <f>IF($L523="","",IF(INT($P523/10)=0,"TBA",IFERROR(INDEX(Grids!$EE$157:$GQ$216,$N523,$O523),"-")))</f>
        <v/>
      </c>
      <c r="H523" s="38">
        <f>IF($L523="","",SUM($G$442:$G523))</f>
        <v/>
      </c>
      <c r="I523" s="39">
        <f>IF($L523="","",IF(INT(($L523-INT($L523/10000000)*10000000)/1000000)=0,"Bloomberg projection",IF(INT($P523/10)=1,"Announced","ANNOUNCED - amount TBA"))&amp;IF(($P523-INT($P523/10)*10)=1," (special)","")&amp;IF((($P523-INT($P523/10)*10)=1)*(Summary!$C$13="N")&gt;0," - excluded by your specials switch",""))</f>
        <v/>
      </c>
      <c r="J523" s="40">
        <f>IF($L523="","",IF((Override!$C$4="ON")*ISNUMBER(INDEX(Override!$G$153:$G$212,$N523))&gt;0,"stock overridden",""))</f>
        <v/>
      </c>
      <c r="L523" s="41">
        <f>IFERROR(IF(SMALL(Grids!$C$157:$BO$216,$M$439+82)&gt;=(Summary!$C$15+1)*1000000000,"",SMALL(Grids!$C$157:$BO$216,$M$439+82)),"")</f>
        <v/>
      </c>
      <c r="M523" s="41">
        <f>IF($L523="","",INT($L523/1000000000))</f>
        <v/>
      </c>
      <c r="N523" s="41">
        <f>IF($L523="","",INT(($L523-INT($L523/1000000)*1000000)/1000))</f>
        <v/>
      </c>
      <c r="O523" s="41">
        <f>IF($L523="","",$L523-INT($L523/1000)*1000)</f>
        <v/>
      </c>
      <c r="P523" s="41">
        <f>IF($L523="","",INT(($L523-INT($L523/1000000000)*1000000000)/10000000))</f>
        <v/>
      </c>
    </row>
    <row r="524">
      <c r="B524" s="36">
        <f>IF($L524="","",$M524)</f>
        <v/>
      </c>
      <c r="C524" s="16">
        <f>IF($L524="","",INDEX(HSCEI!$C$7:$C$66,$N524))</f>
        <v/>
      </c>
      <c r="D524" s="16">
        <f>IF($L524="","",INDEX(HSCEI!$D$7:$D$66,$N524))</f>
        <v/>
      </c>
      <c r="E524" s="37">
        <f>IF($L524="","",IF(INT($P524/10)=0,"TBA",IFERROR(INDEX(Grids!$BQ$157:$EC$216,$N524,$O524),"-")))</f>
        <v/>
      </c>
      <c r="F524" s="16">
        <f>IF($L524="","",INDEX(HSCEI!$F$7:$F$66,$N524))</f>
        <v/>
      </c>
      <c r="G524" s="37">
        <f>IF($L524="","",IF(INT($P524/10)=0,"TBA",IFERROR(INDEX(Grids!$EE$157:$GQ$216,$N524,$O524),"-")))</f>
        <v/>
      </c>
      <c r="H524" s="38">
        <f>IF($L524="","",SUM($G$442:$G524))</f>
        <v/>
      </c>
      <c r="I524" s="39">
        <f>IF($L524="","",IF(INT(($L524-INT($L524/10000000)*10000000)/1000000)=0,"Bloomberg projection",IF(INT($P524/10)=1,"Announced","ANNOUNCED - amount TBA"))&amp;IF(($P524-INT($P524/10)*10)=1," (special)","")&amp;IF((($P524-INT($P524/10)*10)=1)*(Summary!$C$13="N")&gt;0," - excluded by your specials switch",""))</f>
        <v/>
      </c>
      <c r="J524" s="40">
        <f>IF($L524="","",IF((Override!$C$4="ON")*ISNUMBER(INDEX(Override!$G$153:$G$212,$N524))&gt;0,"stock overridden",""))</f>
        <v/>
      </c>
      <c r="L524" s="41">
        <f>IFERROR(IF(SMALL(Grids!$C$157:$BO$216,$M$439+83)&gt;=(Summary!$C$15+1)*1000000000,"",SMALL(Grids!$C$157:$BO$216,$M$439+83)),"")</f>
        <v/>
      </c>
      <c r="M524" s="41">
        <f>IF($L524="","",INT($L524/1000000000))</f>
        <v/>
      </c>
      <c r="N524" s="41">
        <f>IF($L524="","",INT(($L524-INT($L524/1000000)*1000000)/1000))</f>
        <v/>
      </c>
      <c r="O524" s="41">
        <f>IF($L524="","",$L524-INT($L524/1000)*1000)</f>
        <v/>
      </c>
      <c r="P524" s="41">
        <f>IF($L524="","",INT(($L524-INT($L524/1000000000)*1000000000)/10000000))</f>
        <v/>
      </c>
    </row>
    <row r="525">
      <c r="B525" s="36">
        <f>IF($L525="","",$M525)</f>
        <v/>
      </c>
      <c r="C525" s="16">
        <f>IF($L525="","",INDEX(HSCEI!$C$7:$C$66,$N525))</f>
        <v/>
      </c>
      <c r="D525" s="16">
        <f>IF($L525="","",INDEX(HSCEI!$D$7:$D$66,$N525))</f>
        <v/>
      </c>
      <c r="E525" s="37">
        <f>IF($L525="","",IF(INT($P525/10)=0,"TBA",IFERROR(INDEX(Grids!$BQ$157:$EC$216,$N525,$O525),"-")))</f>
        <v/>
      </c>
      <c r="F525" s="16">
        <f>IF($L525="","",INDEX(HSCEI!$F$7:$F$66,$N525))</f>
        <v/>
      </c>
      <c r="G525" s="37">
        <f>IF($L525="","",IF(INT($P525/10)=0,"TBA",IFERROR(INDEX(Grids!$EE$157:$GQ$216,$N525,$O525),"-")))</f>
        <v/>
      </c>
      <c r="H525" s="38">
        <f>IF($L525="","",SUM($G$442:$G525))</f>
        <v/>
      </c>
      <c r="I525" s="39">
        <f>IF($L525="","",IF(INT(($L525-INT($L525/10000000)*10000000)/1000000)=0,"Bloomberg projection",IF(INT($P525/10)=1,"Announced","ANNOUNCED - amount TBA"))&amp;IF(($P525-INT($P525/10)*10)=1," (special)","")&amp;IF((($P525-INT($P525/10)*10)=1)*(Summary!$C$13="N")&gt;0," - excluded by your specials switch",""))</f>
        <v/>
      </c>
      <c r="J525" s="40">
        <f>IF($L525="","",IF((Override!$C$4="ON")*ISNUMBER(INDEX(Override!$G$153:$G$212,$N525))&gt;0,"stock overridden",""))</f>
        <v/>
      </c>
      <c r="L525" s="41">
        <f>IFERROR(IF(SMALL(Grids!$C$157:$BO$216,$M$439+84)&gt;=(Summary!$C$15+1)*1000000000,"",SMALL(Grids!$C$157:$BO$216,$M$439+84)),"")</f>
        <v/>
      </c>
      <c r="M525" s="41">
        <f>IF($L525="","",INT($L525/1000000000))</f>
        <v/>
      </c>
      <c r="N525" s="41">
        <f>IF($L525="","",INT(($L525-INT($L525/1000000)*1000000)/1000))</f>
        <v/>
      </c>
      <c r="O525" s="41">
        <f>IF($L525="","",$L525-INT($L525/1000)*1000)</f>
        <v/>
      </c>
      <c r="P525" s="41">
        <f>IF($L525="","",INT(($L525-INT($L525/1000000000)*1000000000)/10000000))</f>
        <v/>
      </c>
    </row>
    <row r="526">
      <c r="B526" s="36">
        <f>IF($L526="","",$M526)</f>
        <v/>
      </c>
      <c r="C526" s="16">
        <f>IF($L526="","",INDEX(HSCEI!$C$7:$C$66,$N526))</f>
        <v/>
      </c>
      <c r="D526" s="16">
        <f>IF($L526="","",INDEX(HSCEI!$D$7:$D$66,$N526))</f>
        <v/>
      </c>
      <c r="E526" s="37">
        <f>IF($L526="","",IF(INT($P526/10)=0,"TBA",IFERROR(INDEX(Grids!$BQ$157:$EC$216,$N526,$O526),"-")))</f>
        <v/>
      </c>
      <c r="F526" s="16">
        <f>IF($L526="","",INDEX(HSCEI!$F$7:$F$66,$N526))</f>
        <v/>
      </c>
      <c r="G526" s="37">
        <f>IF($L526="","",IF(INT($P526/10)=0,"TBA",IFERROR(INDEX(Grids!$EE$157:$GQ$216,$N526,$O526),"-")))</f>
        <v/>
      </c>
      <c r="H526" s="38">
        <f>IF($L526="","",SUM($G$442:$G526))</f>
        <v/>
      </c>
      <c r="I526" s="39">
        <f>IF($L526="","",IF(INT(($L526-INT($L526/10000000)*10000000)/1000000)=0,"Bloomberg projection",IF(INT($P526/10)=1,"Announced","ANNOUNCED - amount TBA"))&amp;IF(($P526-INT($P526/10)*10)=1," (special)","")&amp;IF((($P526-INT($P526/10)*10)=1)*(Summary!$C$13="N")&gt;0," - excluded by your specials switch",""))</f>
        <v/>
      </c>
      <c r="J526" s="40">
        <f>IF($L526="","",IF((Override!$C$4="ON")*ISNUMBER(INDEX(Override!$G$153:$G$212,$N526))&gt;0,"stock overridden",""))</f>
        <v/>
      </c>
      <c r="L526" s="41">
        <f>IFERROR(IF(SMALL(Grids!$C$157:$BO$216,$M$439+85)&gt;=(Summary!$C$15+1)*1000000000,"",SMALL(Grids!$C$157:$BO$216,$M$439+85)),"")</f>
        <v/>
      </c>
      <c r="M526" s="41">
        <f>IF($L526="","",INT($L526/1000000000))</f>
        <v/>
      </c>
      <c r="N526" s="41">
        <f>IF($L526="","",INT(($L526-INT($L526/1000000)*1000000)/1000))</f>
        <v/>
      </c>
      <c r="O526" s="41">
        <f>IF($L526="","",$L526-INT($L526/1000)*1000)</f>
        <v/>
      </c>
      <c r="P526" s="41">
        <f>IF($L526="","",INT(($L526-INT($L526/1000000000)*1000000000)/10000000))</f>
        <v/>
      </c>
    </row>
    <row r="527">
      <c r="B527" s="36">
        <f>IF($L527="","",$M527)</f>
        <v/>
      </c>
      <c r="C527" s="16">
        <f>IF($L527="","",INDEX(HSCEI!$C$7:$C$66,$N527))</f>
        <v/>
      </c>
      <c r="D527" s="16">
        <f>IF($L527="","",INDEX(HSCEI!$D$7:$D$66,$N527))</f>
        <v/>
      </c>
      <c r="E527" s="37">
        <f>IF($L527="","",IF(INT($P527/10)=0,"TBA",IFERROR(INDEX(Grids!$BQ$157:$EC$216,$N527,$O527),"-")))</f>
        <v/>
      </c>
      <c r="F527" s="16">
        <f>IF($L527="","",INDEX(HSCEI!$F$7:$F$66,$N527))</f>
        <v/>
      </c>
      <c r="G527" s="37">
        <f>IF($L527="","",IF(INT($P527/10)=0,"TBA",IFERROR(INDEX(Grids!$EE$157:$GQ$216,$N527,$O527),"-")))</f>
        <v/>
      </c>
      <c r="H527" s="38">
        <f>IF($L527="","",SUM($G$442:$G527))</f>
        <v/>
      </c>
      <c r="I527" s="39">
        <f>IF($L527="","",IF(INT(($L527-INT($L527/10000000)*10000000)/1000000)=0,"Bloomberg projection",IF(INT($P527/10)=1,"Announced","ANNOUNCED - amount TBA"))&amp;IF(($P527-INT($P527/10)*10)=1," (special)","")&amp;IF((($P527-INT($P527/10)*10)=1)*(Summary!$C$13="N")&gt;0," - excluded by your specials switch",""))</f>
        <v/>
      </c>
      <c r="J527" s="40">
        <f>IF($L527="","",IF((Override!$C$4="ON")*ISNUMBER(INDEX(Override!$G$153:$G$212,$N527))&gt;0,"stock overridden",""))</f>
        <v/>
      </c>
      <c r="L527" s="41">
        <f>IFERROR(IF(SMALL(Grids!$C$157:$BO$216,$M$439+86)&gt;=(Summary!$C$15+1)*1000000000,"",SMALL(Grids!$C$157:$BO$216,$M$439+86)),"")</f>
        <v/>
      </c>
      <c r="M527" s="41">
        <f>IF($L527="","",INT($L527/1000000000))</f>
        <v/>
      </c>
      <c r="N527" s="41">
        <f>IF($L527="","",INT(($L527-INT($L527/1000000)*1000000)/1000))</f>
        <v/>
      </c>
      <c r="O527" s="41">
        <f>IF($L527="","",$L527-INT($L527/1000)*1000)</f>
        <v/>
      </c>
      <c r="P527" s="41">
        <f>IF($L527="","",INT(($L527-INT($L527/1000000000)*1000000000)/10000000))</f>
        <v/>
      </c>
    </row>
    <row r="528">
      <c r="B528" s="36">
        <f>IF($L528="","",$M528)</f>
        <v/>
      </c>
      <c r="C528" s="16">
        <f>IF($L528="","",INDEX(HSCEI!$C$7:$C$66,$N528))</f>
        <v/>
      </c>
      <c r="D528" s="16">
        <f>IF($L528="","",INDEX(HSCEI!$D$7:$D$66,$N528))</f>
        <v/>
      </c>
      <c r="E528" s="37">
        <f>IF($L528="","",IF(INT($P528/10)=0,"TBA",IFERROR(INDEX(Grids!$BQ$157:$EC$216,$N528,$O528),"-")))</f>
        <v/>
      </c>
      <c r="F528" s="16">
        <f>IF($L528="","",INDEX(HSCEI!$F$7:$F$66,$N528))</f>
        <v/>
      </c>
      <c r="G528" s="37">
        <f>IF($L528="","",IF(INT($P528/10)=0,"TBA",IFERROR(INDEX(Grids!$EE$157:$GQ$216,$N528,$O528),"-")))</f>
        <v/>
      </c>
      <c r="H528" s="38">
        <f>IF($L528="","",SUM($G$442:$G528))</f>
        <v/>
      </c>
      <c r="I528" s="39">
        <f>IF($L528="","",IF(INT(($L528-INT($L528/10000000)*10000000)/1000000)=0,"Bloomberg projection",IF(INT($P528/10)=1,"Announced","ANNOUNCED - amount TBA"))&amp;IF(($P528-INT($P528/10)*10)=1," (special)","")&amp;IF((($P528-INT($P528/10)*10)=1)*(Summary!$C$13="N")&gt;0," - excluded by your specials switch",""))</f>
        <v/>
      </c>
      <c r="J528" s="40">
        <f>IF($L528="","",IF((Override!$C$4="ON")*ISNUMBER(INDEX(Override!$G$153:$G$212,$N528))&gt;0,"stock overridden",""))</f>
        <v/>
      </c>
      <c r="L528" s="41">
        <f>IFERROR(IF(SMALL(Grids!$C$157:$BO$216,$M$439+87)&gt;=(Summary!$C$15+1)*1000000000,"",SMALL(Grids!$C$157:$BO$216,$M$439+87)),"")</f>
        <v/>
      </c>
      <c r="M528" s="41">
        <f>IF($L528="","",INT($L528/1000000000))</f>
        <v/>
      </c>
      <c r="N528" s="41">
        <f>IF($L528="","",INT(($L528-INT($L528/1000000)*1000000)/1000))</f>
        <v/>
      </c>
      <c r="O528" s="41">
        <f>IF($L528="","",$L528-INT($L528/1000)*1000)</f>
        <v/>
      </c>
      <c r="P528" s="41">
        <f>IF($L528="","",INT(($L528-INT($L528/1000000000)*1000000000)/10000000))</f>
        <v/>
      </c>
    </row>
    <row r="529">
      <c r="B529" s="36">
        <f>IF($L529="","",$M529)</f>
        <v/>
      </c>
      <c r="C529" s="16">
        <f>IF($L529="","",INDEX(HSCEI!$C$7:$C$66,$N529))</f>
        <v/>
      </c>
      <c r="D529" s="16">
        <f>IF($L529="","",INDEX(HSCEI!$D$7:$D$66,$N529))</f>
        <v/>
      </c>
      <c r="E529" s="37">
        <f>IF($L529="","",IF(INT($P529/10)=0,"TBA",IFERROR(INDEX(Grids!$BQ$157:$EC$216,$N529,$O529),"-")))</f>
        <v/>
      </c>
      <c r="F529" s="16">
        <f>IF($L529="","",INDEX(HSCEI!$F$7:$F$66,$N529))</f>
        <v/>
      </c>
      <c r="G529" s="37">
        <f>IF($L529="","",IF(INT($P529/10)=0,"TBA",IFERROR(INDEX(Grids!$EE$157:$GQ$216,$N529,$O529),"-")))</f>
        <v/>
      </c>
      <c r="H529" s="38">
        <f>IF($L529="","",SUM($G$442:$G529))</f>
        <v/>
      </c>
      <c r="I529" s="39">
        <f>IF($L529="","",IF(INT(($L529-INT($L529/10000000)*10000000)/1000000)=0,"Bloomberg projection",IF(INT($P529/10)=1,"Announced","ANNOUNCED - amount TBA"))&amp;IF(($P529-INT($P529/10)*10)=1," (special)","")&amp;IF((($P529-INT($P529/10)*10)=1)*(Summary!$C$13="N")&gt;0," - excluded by your specials switch",""))</f>
        <v/>
      </c>
      <c r="J529" s="40">
        <f>IF($L529="","",IF((Override!$C$4="ON")*ISNUMBER(INDEX(Override!$G$153:$G$212,$N529))&gt;0,"stock overridden",""))</f>
        <v/>
      </c>
      <c r="L529" s="41">
        <f>IFERROR(IF(SMALL(Grids!$C$157:$BO$216,$M$439+88)&gt;=(Summary!$C$15+1)*1000000000,"",SMALL(Grids!$C$157:$BO$216,$M$439+88)),"")</f>
        <v/>
      </c>
      <c r="M529" s="41">
        <f>IF($L529="","",INT($L529/1000000000))</f>
        <v/>
      </c>
      <c r="N529" s="41">
        <f>IF($L529="","",INT(($L529-INT($L529/1000000)*1000000)/1000))</f>
        <v/>
      </c>
      <c r="O529" s="41">
        <f>IF($L529="","",$L529-INT($L529/1000)*1000)</f>
        <v/>
      </c>
      <c r="P529" s="41">
        <f>IF($L529="","",INT(($L529-INT($L529/1000000000)*1000000000)/10000000))</f>
        <v/>
      </c>
    </row>
    <row r="530">
      <c r="B530" s="36">
        <f>IF($L530="","",$M530)</f>
        <v/>
      </c>
      <c r="C530" s="16">
        <f>IF($L530="","",INDEX(HSCEI!$C$7:$C$66,$N530))</f>
        <v/>
      </c>
      <c r="D530" s="16">
        <f>IF($L530="","",INDEX(HSCEI!$D$7:$D$66,$N530))</f>
        <v/>
      </c>
      <c r="E530" s="37">
        <f>IF($L530="","",IF(INT($P530/10)=0,"TBA",IFERROR(INDEX(Grids!$BQ$157:$EC$216,$N530,$O530),"-")))</f>
        <v/>
      </c>
      <c r="F530" s="16">
        <f>IF($L530="","",INDEX(HSCEI!$F$7:$F$66,$N530))</f>
        <v/>
      </c>
      <c r="G530" s="37">
        <f>IF($L530="","",IF(INT($P530/10)=0,"TBA",IFERROR(INDEX(Grids!$EE$157:$GQ$216,$N530,$O530),"-")))</f>
        <v/>
      </c>
      <c r="H530" s="38">
        <f>IF($L530="","",SUM($G$442:$G530))</f>
        <v/>
      </c>
      <c r="I530" s="39">
        <f>IF($L530="","",IF(INT(($L530-INT($L530/10000000)*10000000)/1000000)=0,"Bloomberg projection",IF(INT($P530/10)=1,"Announced","ANNOUNCED - amount TBA"))&amp;IF(($P530-INT($P530/10)*10)=1," (special)","")&amp;IF((($P530-INT($P530/10)*10)=1)*(Summary!$C$13="N")&gt;0," - excluded by your specials switch",""))</f>
        <v/>
      </c>
      <c r="J530" s="40">
        <f>IF($L530="","",IF((Override!$C$4="ON")*ISNUMBER(INDEX(Override!$G$153:$G$212,$N530))&gt;0,"stock overridden",""))</f>
        <v/>
      </c>
      <c r="L530" s="41">
        <f>IFERROR(IF(SMALL(Grids!$C$157:$BO$216,$M$439+89)&gt;=(Summary!$C$15+1)*1000000000,"",SMALL(Grids!$C$157:$BO$216,$M$439+89)),"")</f>
        <v/>
      </c>
      <c r="M530" s="41">
        <f>IF($L530="","",INT($L530/1000000000))</f>
        <v/>
      </c>
      <c r="N530" s="41">
        <f>IF($L530="","",INT(($L530-INT($L530/1000000)*1000000)/1000))</f>
        <v/>
      </c>
      <c r="O530" s="41">
        <f>IF($L530="","",$L530-INT($L530/1000)*1000)</f>
        <v/>
      </c>
      <c r="P530" s="41">
        <f>IF($L530="","",INT(($L530-INT($L530/1000000000)*1000000000)/10000000))</f>
        <v/>
      </c>
    </row>
    <row r="531">
      <c r="B531" s="36">
        <f>IF($L531="","",$M531)</f>
        <v/>
      </c>
      <c r="C531" s="16">
        <f>IF($L531="","",INDEX(HSCEI!$C$7:$C$66,$N531))</f>
        <v/>
      </c>
      <c r="D531" s="16">
        <f>IF($L531="","",INDEX(HSCEI!$D$7:$D$66,$N531))</f>
        <v/>
      </c>
      <c r="E531" s="37">
        <f>IF($L531="","",IF(INT($P531/10)=0,"TBA",IFERROR(INDEX(Grids!$BQ$157:$EC$216,$N531,$O531),"-")))</f>
        <v/>
      </c>
      <c r="F531" s="16">
        <f>IF($L531="","",INDEX(HSCEI!$F$7:$F$66,$N531))</f>
        <v/>
      </c>
      <c r="G531" s="37">
        <f>IF($L531="","",IF(INT($P531/10)=0,"TBA",IFERROR(INDEX(Grids!$EE$157:$GQ$216,$N531,$O531),"-")))</f>
        <v/>
      </c>
      <c r="H531" s="38">
        <f>IF($L531="","",SUM($G$442:$G531))</f>
        <v/>
      </c>
      <c r="I531" s="39">
        <f>IF($L531="","",IF(INT(($L531-INT($L531/10000000)*10000000)/1000000)=0,"Bloomberg projection",IF(INT($P531/10)=1,"Announced","ANNOUNCED - amount TBA"))&amp;IF(($P531-INT($P531/10)*10)=1," (special)","")&amp;IF((($P531-INT($P531/10)*10)=1)*(Summary!$C$13="N")&gt;0," - excluded by your specials switch",""))</f>
        <v/>
      </c>
      <c r="J531" s="40">
        <f>IF($L531="","",IF((Override!$C$4="ON")*ISNUMBER(INDEX(Override!$G$153:$G$212,$N531))&gt;0,"stock overridden",""))</f>
        <v/>
      </c>
      <c r="L531" s="41">
        <f>IFERROR(IF(SMALL(Grids!$C$157:$BO$216,$M$439+90)&gt;=(Summary!$C$15+1)*1000000000,"",SMALL(Grids!$C$157:$BO$216,$M$439+90)),"")</f>
        <v/>
      </c>
      <c r="M531" s="41">
        <f>IF($L531="","",INT($L531/1000000000))</f>
        <v/>
      </c>
      <c r="N531" s="41">
        <f>IF($L531="","",INT(($L531-INT($L531/1000000)*1000000)/1000))</f>
        <v/>
      </c>
      <c r="O531" s="41">
        <f>IF($L531="","",$L531-INT($L531/1000)*1000)</f>
        <v/>
      </c>
      <c r="P531" s="41">
        <f>IF($L531="","",INT(($L531-INT($L531/1000000000)*1000000000)/10000000))</f>
        <v/>
      </c>
    </row>
    <row r="532">
      <c r="B532" s="36">
        <f>IF($L532="","",$M532)</f>
        <v/>
      </c>
      <c r="C532" s="16">
        <f>IF($L532="","",INDEX(HSCEI!$C$7:$C$66,$N532))</f>
        <v/>
      </c>
      <c r="D532" s="16">
        <f>IF($L532="","",INDEX(HSCEI!$D$7:$D$66,$N532))</f>
        <v/>
      </c>
      <c r="E532" s="37">
        <f>IF($L532="","",IF(INT($P532/10)=0,"TBA",IFERROR(INDEX(Grids!$BQ$157:$EC$216,$N532,$O532),"-")))</f>
        <v/>
      </c>
      <c r="F532" s="16">
        <f>IF($L532="","",INDEX(HSCEI!$F$7:$F$66,$N532))</f>
        <v/>
      </c>
      <c r="G532" s="37">
        <f>IF($L532="","",IF(INT($P532/10)=0,"TBA",IFERROR(INDEX(Grids!$EE$157:$GQ$216,$N532,$O532),"-")))</f>
        <v/>
      </c>
      <c r="H532" s="38">
        <f>IF($L532="","",SUM($G$442:$G532))</f>
        <v/>
      </c>
      <c r="I532" s="39">
        <f>IF($L532="","",IF(INT(($L532-INT($L532/10000000)*10000000)/1000000)=0,"Bloomberg projection",IF(INT($P532/10)=1,"Announced","ANNOUNCED - amount TBA"))&amp;IF(($P532-INT($P532/10)*10)=1," (special)","")&amp;IF((($P532-INT($P532/10)*10)=1)*(Summary!$C$13="N")&gt;0," - excluded by your specials switch",""))</f>
        <v/>
      </c>
      <c r="J532" s="40">
        <f>IF($L532="","",IF((Override!$C$4="ON")*ISNUMBER(INDEX(Override!$G$153:$G$212,$N532))&gt;0,"stock overridden",""))</f>
        <v/>
      </c>
      <c r="L532" s="41">
        <f>IFERROR(IF(SMALL(Grids!$C$157:$BO$216,$M$439+91)&gt;=(Summary!$C$15+1)*1000000000,"",SMALL(Grids!$C$157:$BO$216,$M$439+91)),"")</f>
        <v/>
      </c>
      <c r="M532" s="41">
        <f>IF($L532="","",INT($L532/1000000000))</f>
        <v/>
      </c>
      <c r="N532" s="41">
        <f>IF($L532="","",INT(($L532-INT($L532/1000000)*1000000)/1000))</f>
        <v/>
      </c>
      <c r="O532" s="41">
        <f>IF($L532="","",$L532-INT($L532/1000)*1000)</f>
        <v/>
      </c>
      <c r="P532" s="41">
        <f>IF($L532="","",INT(($L532-INT($L532/1000000000)*1000000000)/10000000))</f>
        <v/>
      </c>
    </row>
    <row r="533">
      <c r="B533" s="36">
        <f>IF($L533="","",$M533)</f>
        <v/>
      </c>
      <c r="C533" s="16">
        <f>IF($L533="","",INDEX(HSCEI!$C$7:$C$66,$N533))</f>
        <v/>
      </c>
      <c r="D533" s="16">
        <f>IF($L533="","",INDEX(HSCEI!$D$7:$D$66,$N533))</f>
        <v/>
      </c>
      <c r="E533" s="37">
        <f>IF($L533="","",IF(INT($P533/10)=0,"TBA",IFERROR(INDEX(Grids!$BQ$157:$EC$216,$N533,$O533),"-")))</f>
        <v/>
      </c>
      <c r="F533" s="16">
        <f>IF($L533="","",INDEX(HSCEI!$F$7:$F$66,$N533))</f>
        <v/>
      </c>
      <c r="G533" s="37">
        <f>IF($L533="","",IF(INT($P533/10)=0,"TBA",IFERROR(INDEX(Grids!$EE$157:$GQ$216,$N533,$O533),"-")))</f>
        <v/>
      </c>
      <c r="H533" s="38">
        <f>IF($L533="","",SUM($G$442:$G533))</f>
        <v/>
      </c>
      <c r="I533" s="39">
        <f>IF($L533="","",IF(INT(($L533-INT($L533/10000000)*10000000)/1000000)=0,"Bloomberg projection",IF(INT($P533/10)=1,"Announced","ANNOUNCED - amount TBA"))&amp;IF(($P533-INT($P533/10)*10)=1," (special)","")&amp;IF((($P533-INT($P533/10)*10)=1)*(Summary!$C$13="N")&gt;0," - excluded by your specials switch",""))</f>
        <v/>
      </c>
      <c r="J533" s="40">
        <f>IF($L533="","",IF((Override!$C$4="ON")*ISNUMBER(INDEX(Override!$G$153:$G$212,$N533))&gt;0,"stock overridden",""))</f>
        <v/>
      </c>
      <c r="L533" s="41">
        <f>IFERROR(IF(SMALL(Grids!$C$157:$BO$216,$M$439+92)&gt;=(Summary!$C$15+1)*1000000000,"",SMALL(Grids!$C$157:$BO$216,$M$439+92)),"")</f>
        <v/>
      </c>
      <c r="M533" s="41">
        <f>IF($L533="","",INT($L533/1000000000))</f>
        <v/>
      </c>
      <c r="N533" s="41">
        <f>IF($L533="","",INT(($L533-INT($L533/1000000)*1000000)/1000))</f>
        <v/>
      </c>
      <c r="O533" s="41">
        <f>IF($L533="","",$L533-INT($L533/1000)*1000)</f>
        <v/>
      </c>
      <c r="P533" s="41">
        <f>IF($L533="","",INT(($L533-INT($L533/1000000000)*1000000000)/10000000))</f>
        <v/>
      </c>
    </row>
    <row r="534">
      <c r="B534" s="36">
        <f>IF($L534="","",$M534)</f>
        <v/>
      </c>
      <c r="C534" s="16">
        <f>IF($L534="","",INDEX(HSCEI!$C$7:$C$66,$N534))</f>
        <v/>
      </c>
      <c r="D534" s="16">
        <f>IF($L534="","",INDEX(HSCEI!$D$7:$D$66,$N534))</f>
        <v/>
      </c>
      <c r="E534" s="37">
        <f>IF($L534="","",IF(INT($P534/10)=0,"TBA",IFERROR(INDEX(Grids!$BQ$157:$EC$216,$N534,$O534),"-")))</f>
        <v/>
      </c>
      <c r="F534" s="16">
        <f>IF($L534="","",INDEX(HSCEI!$F$7:$F$66,$N534))</f>
        <v/>
      </c>
      <c r="G534" s="37">
        <f>IF($L534="","",IF(INT($P534/10)=0,"TBA",IFERROR(INDEX(Grids!$EE$157:$GQ$216,$N534,$O534),"-")))</f>
        <v/>
      </c>
      <c r="H534" s="38">
        <f>IF($L534="","",SUM($G$442:$G534))</f>
        <v/>
      </c>
      <c r="I534" s="39">
        <f>IF($L534="","",IF(INT(($L534-INT($L534/10000000)*10000000)/1000000)=0,"Bloomberg projection",IF(INT($P534/10)=1,"Announced","ANNOUNCED - amount TBA"))&amp;IF(($P534-INT($P534/10)*10)=1," (special)","")&amp;IF((($P534-INT($P534/10)*10)=1)*(Summary!$C$13="N")&gt;0," - excluded by your specials switch",""))</f>
        <v/>
      </c>
      <c r="J534" s="40">
        <f>IF($L534="","",IF((Override!$C$4="ON")*ISNUMBER(INDEX(Override!$G$153:$G$212,$N534))&gt;0,"stock overridden",""))</f>
        <v/>
      </c>
      <c r="L534" s="41">
        <f>IFERROR(IF(SMALL(Grids!$C$157:$BO$216,$M$439+93)&gt;=(Summary!$C$15+1)*1000000000,"",SMALL(Grids!$C$157:$BO$216,$M$439+93)),"")</f>
        <v/>
      </c>
      <c r="M534" s="41">
        <f>IF($L534="","",INT($L534/1000000000))</f>
        <v/>
      </c>
      <c r="N534" s="41">
        <f>IF($L534="","",INT(($L534-INT($L534/1000000)*1000000)/1000))</f>
        <v/>
      </c>
      <c r="O534" s="41">
        <f>IF($L534="","",$L534-INT($L534/1000)*1000)</f>
        <v/>
      </c>
      <c r="P534" s="41">
        <f>IF($L534="","",INT(($L534-INT($L534/1000000000)*1000000000)/10000000))</f>
        <v/>
      </c>
    </row>
    <row r="535">
      <c r="B535" s="36">
        <f>IF($L535="","",$M535)</f>
        <v/>
      </c>
      <c r="C535" s="16">
        <f>IF($L535="","",INDEX(HSCEI!$C$7:$C$66,$N535))</f>
        <v/>
      </c>
      <c r="D535" s="16">
        <f>IF($L535="","",INDEX(HSCEI!$D$7:$D$66,$N535))</f>
        <v/>
      </c>
      <c r="E535" s="37">
        <f>IF($L535="","",IF(INT($P535/10)=0,"TBA",IFERROR(INDEX(Grids!$BQ$157:$EC$216,$N535,$O535),"-")))</f>
        <v/>
      </c>
      <c r="F535" s="16">
        <f>IF($L535="","",INDEX(HSCEI!$F$7:$F$66,$N535))</f>
        <v/>
      </c>
      <c r="G535" s="37">
        <f>IF($L535="","",IF(INT($P535/10)=0,"TBA",IFERROR(INDEX(Grids!$EE$157:$GQ$216,$N535,$O535),"-")))</f>
        <v/>
      </c>
      <c r="H535" s="38">
        <f>IF($L535="","",SUM($G$442:$G535))</f>
        <v/>
      </c>
      <c r="I535" s="39">
        <f>IF($L535="","",IF(INT(($L535-INT($L535/10000000)*10000000)/1000000)=0,"Bloomberg projection",IF(INT($P535/10)=1,"Announced","ANNOUNCED - amount TBA"))&amp;IF(($P535-INT($P535/10)*10)=1," (special)","")&amp;IF((($P535-INT($P535/10)*10)=1)*(Summary!$C$13="N")&gt;0," - excluded by your specials switch",""))</f>
        <v/>
      </c>
      <c r="J535" s="40">
        <f>IF($L535="","",IF((Override!$C$4="ON")*ISNUMBER(INDEX(Override!$G$153:$G$212,$N535))&gt;0,"stock overridden",""))</f>
        <v/>
      </c>
      <c r="L535" s="41">
        <f>IFERROR(IF(SMALL(Grids!$C$157:$BO$216,$M$439+94)&gt;=(Summary!$C$15+1)*1000000000,"",SMALL(Grids!$C$157:$BO$216,$M$439+94)),"")</f>
        <v/>
      </c>
      <c r="M535" s="41">
        <f>IF($L535="","",INT($L535/1000000000))</f>
        <v/>
      </c>
      <c r="N535" s="41">
        <f>IF($L535="","",INT(($L535-INT($L535/1000000)*1000000)/1000))</f>
        <v/>
      </c>
      <c r="O535" s="41">
        <f>IF($L535="","",$L535-INT($L535/1000)*1000)</f>
        <v/>
      </c>
      <c r="P535" s="41">
        <f>IF($L535="","",INT(($L535-INT($L535/1000000000)*1000000000)/10000000))</f>
        <v/>
      </c>
    </row>
    <row r="536">
      <c r="B536" s="36">
        <f>IF($L536="","",$M536)</f>
        <v/>
      </c>
      <c r="C536" s="16">
        <f>IF($L536="","",INDEX(HSCEI!$C$7:$C$66,$N536))</f>
        <v/>
      </c>
      <c r="D536" s="16">
        <f>IF($L536="","",INDEX(HSCEI!$D$7:$D$66,$N536))</f>
        <v/>
      </c>
      <c r="E536" s="37">
        <f>IF($L536="","",IF(INT($P536/10)=0,"TBA",IFERROR(INDEX(Grids!$BQ$157:$EC$216,$N536,$O536),"-")))</f>
        <v/>
      </c>
      <c r="F536" s="16">
        <f>IF($L536="","",INDEX(HSCEI!$F$7:$F$66,$N536))</f>
        <v/>
      </c>
      <c r="G536" s="37">
        <f>IF($L536="","",IF(INT($P536/10)=0,"TBA",IFERROR(INDEX(Grids!$EE$157:$GQ$216,$N536,$O536),"-")))</f>
        <v/>
      </c>
      <c r="H536" s="38">
        <f>IF($L536="","",SUM($G$442:$G536))</f>
        <v/>
      </c>
      <c r="I536" s="39">
        <f>IF($L536="","",IF(INT(($L536-INT($L536/10000000)*10000000)/1000000)=0,"Bloomberg projection",IF(INT($P536/10)=1,"Announced","ANNOUNCED - amount TBA"))&amp;IF(($P536-INT($P536/10)*10)=1," (special)","")&amp;IF((($P536-INT($P536/10)*10)=1)*(Summary!$C$13="N")&gt;0," - excluded by your specials switch",""))</f>
        <v/>
      </c>
      <c r="J536" s="40">
        <f>IF($L536="","",IF((Override!$C$4="ON")*ISNUMBER(INDEX(Override!$G$153:$G$212,$N536))&gt;0,"stock overridden",""))</f>
        <v/>
      </c>
      <c r="L536" s="41">
        <f>IFERROR(IF(SMALL(Grids!$C$157:$BO$216,$M$439+95)&gt;=(Summary!$C$15+1)*1000000000,"",SMALL(Grids!$C$157:$BO$216,$M$439+95)),"")</f>
        <v/>
      </c>
      <c r="M536" s="41">
        <f>IF($L536="","",INT($L536/1000000000))</f>
        <v/>
      </c>
      <c r="N536" s="41">
        <f>IF($L536="","",INT(($L536-INT($L536/1000000)*1000000)/1000))</f>
        <v/>
      </c>
      <c r="O536" s="41">
        <f>IF($L536="","",$L536-INT($L536/1000)*1000)</f>
        <v/>
      </c>
      <c r="P536" s="41">
        <f>IF($L536="","",INT(($L536-INT($L536/1000000000)*1000000000)/10000000))</f>
        <v/>
      </c>
    </row>
    <row r="537">
      <c r="B537" s="36">
        <f>IF($L537="","",$M537)</f>
        <v/>
      </c>
      <c r="C537" s="16">
        <f>IF($L537="","",INDEX(HSCEI!$C$7:$C$66,$N537))</f>
        <v/>
      </c>
      <c r="D537" s="16">
        <f>IF($L537="","",INDEX(HSCEI!$D$7:$D$66,$N537))</f>
        <v/>
      </c>
      <c r="E537" s="37">
        <f>IF($L537="","",IF(INT($P537/10)=0,"TBA",IFERROR(INDEX(Grids!$BQ$157:$EC$216,$N537,$O537),"-")))</f>
        <v/>
      </c>
      <c r="F537" s="16">
        <f>IF($L537="","",INDEX(HSCEI!$F$7:$F$66,$N537))</f>
        <v/>
      </c>
      <c r="G537" s="37">
        <f>IF($L537="","",IF(INT($P537/10)=0,"TBA",IFERROR(INDEX(Grids!$EE$157:$GQ$216,$N537,$O537),"-")))</f>
        <v/>
      </c>
      <c r="H537" s="38">
        <f>IF($L537="","",SUM($G$442:$G537))</f>
        <v/>
      </c>
      <c r="I537" s="39">
        <f>IF($L537="","",IF(INT(($L537-INT($L537/10000000)*10000000)/1000000)=0,"Bloomberg projection",IF(INT($P537/10)=1,"Announced","ANNOUNCED - amount TBA"))&amp;IF(($P537-INT($P537/10)*10)=1," (special)","")&amp;IF((($P537-INT($P537/10)*10)=1)*(Summary!$C$13="N")&gt;0," - excluded by your specials switch",""))</f>
        <v/>
      </c>
      <c r="J537" s="40">
        <f>IF($L537="","",IF((Override!$C$4="ON")*ISNUMBER(INDEX(Override!$G$153:$G$212,$N537))&gt;0,"stock overridden",""))</f>
        <v/>
      </c>
      <c r="L537" s="41">
        <f>IFERROR(IF(SMALL(Grids!$C$157:$BO$216,$M$439+96)&gt;=(Summary!$C$15+1)*1000000000,"",SMALL(Grids!$C$157:$BO$216,$M$439+96)),"")</f>
        <v/>
      </c>
      <c r="M537" s="41">
        <f>IF($L537="","",INT($L537/1000000000))</f>
        <v/>
      </c>
      <c r="N537" s="41">
        <f>IF($L537="","",INT(($L537-INT($L537/1000000)*1000000)/1000))</f>
        <v/>
      </c>
      <c r="O537" s="41">
        <f>IF($L537="","",$L537-INT($L537/1000)*1000)</f>
        <v/>
      </c>
      <c r="P537" s="41">
        <f>IF($L537="","",INT(($L537-INT($L537/1000000000)*1000000000)/10000000))</f>
        <v/>
      </c>
    </row>
    <row r="538">
      <c r="B538" s="36">
        <f>IF($L538="","",$M538)</f>
        <v/>
      </c>
      <c r="C538" s="16">
        <f>IF($L538="","",INDEX(HSCEI!$C$7:$C$66,$N538))</f>
        <v/>
      </c>
      <c r="D538" s="16">
        <f>IF($L538="","",INDEX(HSCEI!$D$7:$D$66,$N538))</f>
        <v/>
      </c>
      <c r="E538" s="37">
        <f>IF($L538="","",IF(INT($P538/10)=0,"TBA",IFERROR(INDEX(Grids!$BQ$157:$EC$216,$N538,$O538),"-")))</f>
        <v/>
      </c>
      <c r="F538" s="16">
        <f>IF($L538="","",INDEX(HSCEI!$F$7:$F$66,$N538))</f>
        <v/>
      </c>
      <c r="G538" s="37">
        <f>IF($L538="","",IF(INT($P538/10)=0,"TBA",IFERROR(INDEX(Grids!$EE$157:$GQ$216,$N538,$O538),"-")))</f>
        <v/>
      </c>
      <c r="H538" s="38">
        <f>IF($L538="","",SUM($G$442:$G538))</f>
        <v/>
      </c>
      <c r="I538" s="39">
        <f>IF($L538="","",IF(INT(($L538-INT($L538/10000000)*10000000)/1000000)=0,"Bloomberg projection",IF(INT($P538/10)=1,"Announced","ANNOUNCED - amount TBA"))&amp;IF(($P538-INT($P538/10)*10)=1," (special)","")&amp;IF((($P538-INT($P538/10)*10)=1)*(Summary!$C$13="N")&gt;0," - excluded by your specials switch",""))</f>
        <v/>
      </c>
      <c r="J538" s="40">
        <f>IF($L538="","",IF((Override!$C$4="ON")*ISNUMBER(INDEX(Override!$G$153:$G$212,$N538))&gt;0,"stock overridden",""))</f>
        <v/>
      </c>
      <c r="L538" s="41">
        <f>IFERROR(IF(SMALL(Grids!$C$157:$BO$216,$M$439+97)&gt;=(Summary!$C$15+1)*1000000000,"",SMALL(Grids!$C$157:$BO$216,$M$439+97)),"")</f>
        <v/>
      </c>
      <c r="M538" s="41">
        <f>IF($L538="","",INT($L538/1000000000))</f>
        <v/>
      </c>
      <c r="N538" s="41">
        <f>IF($L538="","",INT(($L538-INT($L538/1000000)*1000000)/1000))</f>
        <v/>
      </c>
      <c r="O538" s="41">
        <f>IF($L538="","",$L538-INT($L538/1000)*1000)</f>
        <v/>
      </c>
      <c r="P538" s="41">
        <f>IF($L538="","",INT(($L538-INT($L538/1000000000)*1000000000)/10000000))</f>
        <v/>
      </c>
    </row>
    <row r="539">
      <c r="B539" s="36">
        <f>IF($L539="","",$M539)</f>
        <v/>
      </c>
      <c r="C539" s="16">
        <f>IF($L539="","",INDEX(HSCEI!$C$7:$C$66,$N539))</f>
        <v/>
      </c>
      <c r="D539" s="16">
        <f>IF($L539="","",INDEX(HSCEI!$D$7:$D$66,$N539))</f>
        <v/>
      </c>
      <c r="E539" s="37">
        <f>IF($L539="","",IF(INT($P539/10)=0,"TBA",IFERROR(INDEX(Grids!$BQ$157:$EC$216,$N539,$O539),"-")))</f>
        <v/>
      </c>
      <c r="F539" s="16">
        <f>IF($L539="","",INDEX(HSCEI!$F$7:$F$66,$N539))</f>
        <v/>
      </c>
      <c r="G539" s="37">
        <f>IF($L539="","",IF(INT($P539/10)=0,"TBA",IFERROR(INDEX(Grids!$EE$157:$GQ$216,$N539,$O539),"-")))</f>
        <v/>
      </c>
      <c r="H539" s="38">
        <f>IF($L539="","",SUM($G$442:$G539))</f>
        <v/>
      </c>
      <c r="I539" s="39">
        <f>IF($L539="","",IF(INT(($L539-INT($L539/10000000)*10000000)/1000000)=0,"Bloomberg projection",IF(INT($P539/10)=1,"Announced","ANNOUNCED - amount TBA"))&amp;IF(($P539-INT($P539/10)*10)=1," (special)","")&amp;IF((($P539-INT($P539/10)*10)=1)*(Summary!$C$13="N")&gt;0," - excluded by your specials switch",""))</f>
        <v/>
      </c>
      <c r="J539" s="40">
        <f>IF($L539="","",IF((Override!$C$4="ON")*ISNUMBER(INDEX(Override!$G$153:$G$212,$N539))&gt;0,"stock overridden",""))</f>
        <v/>
      </c>
      <c r="L539" s="41">
        <f>IFERROR(IF(SMALL(Grids!$C$157:$BO$216,$M$439+98)&gt;=(Summary!$C$15+1)*1000000000,"",SMALL(Grids!$C$157:$BO$216,$M$439+98)),"")</f>
        <v/>
      </c>
      <c r="M539" s="41">
        <f>IF($L539="","",INT($L539/1000000000))</f>
        <v/>
      </c>
      <c r="N539" s="41">
        <f>IF($L539="","",INT(($L539-INT($L539/1000000)*1000000)/1000))</f>
        <v/>
      </c>
      <c r="O539" s="41">
        <f>IF($L539="","",$L539-INT($L539/1000)*1000)</f>
        <v/>
      </c>
      <c r="P539" s="41">
        <f>IF($L539="","",INT(($L539-INT($L539/1000000000)*1000000000)/10000000))</f>
        <v/>
      </c>
    </row>
    <row r="540">
      <c r="B540" s="36">
        <f>IF($L540="","",$M540)</f>
        <v/>
      </c>
      <c r="C540" s="16">
        <f>IF($L540="","",INDEX(HSCEI!$C$7:$C$66,$N540))</f>
        <v/>
      </c>
      <c r="D540" s="16">
        <f>IF($L540="","",INDEX(HSCEI!$D$7:$D$66,$N540))</f>
        <v/>
      </c>
      <c r="E540" s="37">
        <f>IF($L540="","",IF(INT($P540/10)=0,"TBA",IFERROR(INDEX(Grids!$BQ$157:$EC$216,$N540,$O540),"-")))</f>
        <v/>
      </c>
      <c r="F540" s="16">
        <f>IF($L540="","",INDEX(HSCEI!$F$7:$F$66,$N540))</f>
        <v/>
      </c>
      <c r="G540" s="37">
        <f>IF($L540="","",IF(INT($P540/10)=0,"TBA",IFERROR(INDEX(Grids!$EE$157:$GQ$216,$N540,$O540),"-")))</f>
        <v/>
      </c>
      <c r="H540" s="38">
        <f>IF($L540="","",SUM($G$442:$G540))</f>
        <v/>
      </c>
      <c r="I540" s="39">
        <f>IF($L540="","",IF(INT(($L540-INT($L540/10000000)*10000000)/1000000)=0,"Bloomberg projection",IF(INT($P540/10)=1,"Announced","ANNOUNCED - amount TBA"))&amp;IF(($P540-INT($P540/10)*10)=1," (special)","")&amp;IF((($P540-INT($P540/10)*10)=1)*(Summary!$C$13="N")&gt;0," - excluded by your specials switch",""))</f>
        <v/>
      </c>
      <c r="J540" s="40">
        <f>IF($L540="","",IF((Override!$C$4="ON")*ISNUMBER(INDEX(Override!$G$153:$G$212,$N540))&gt;0,"stock overridden",""))</f>
        <v/>
      </c>
      <c r="L540" s="41">
        <f>IFERROR(IF(SMALL(Grids!$C$157:$BO$216,$M$439+99)&gt;=(Summary!$C$15+1)*1000000000,"",SMALL(Grids!$C$157:$BO$216,$M$439+99)),"")</f>
        <v/>
      </c>
      <c r="M540" s="41">
        <f>IF($L540="","",INT($L540/1000000000))</f>
        <v/>
      </c>
      <c r="N540" s="41">
        <f>IF($L540="","",INT(($L540-INT($L540/1000000)*1000000)/1000))</f>
        <v/>
      </c>
      <c r="O540" s="41">
        <f>IF($L540="","",$L540-INT($L540/1000)*1000)</f>
        <v/>
      </c>
      <c r="P540" s="41">
        <f>IF($L540="","",INT(($L540-INT($L540/1000000000)*1000000000)/10000000))</f>
        <v/>
      </c>
    </row>
    <row r="541">
      <c r="B541" s="36">
        <f>IF($L541="","",$M541)</f>
        <v/>
      </c>
      <c r="C541" s="16">
        <f>IF($L541="","",INDEX(HSCEI!$C$7:$C$66,$N541))</f>
        <v/>
      </c>
      <c r="D541" s="16">
        <f>IF($L541="","",INDEX(HSCEI!$D$7:$D$66,$N541))</f>
        <v/>
      </c>
      <c r="E541" s="37">
        <f>IF($L541="","",IF(INT($P541/10)=0,"TBA",IFERROR(INDEX(Grids!$BQ$157:$EC$216,$N541,$O541),"-")))</f>
        <v/>
      </c>
      <c r="F541" s="16">
        <f>IF($L541="","",INDEX(HSCEI!$F$7:$F$66,$N541))</f>
        <v/>
      </c>
      <c r="G541" s="37">
        <f>IF($L541="","",IF(INT($P541/10)=0,"TBA",IFERROR(INDEX(Grids!$EE$157:$GQ$216,$N541,$O541),"-")))</f>
        <v/>
      </c>
      <c r="H541" s="38">
        <f>IF($L541="","",SUM($G$442:$G541))</f>
        <v/>
      </c>
      <c r="I541" s="39">
        <f>IF($L541="","",IF(INT(($L541-INT($L541/10000000)*10000000)/1000000)=0,"Bloomberg projection",IF(INT($P541/10)=1,"Announced","ANNOUNCED - amount TBA"))&amp;IF(($P541-INT($P541/10)*10)=1," (special)","")&amp;IF((($P541-INT($P541/10)*10)=1)*(Summary!$C$13="N")&gt;0," - excluded by your specials switch",""))</f>
        <v/>
      </c>
      <c r="J541" s="40">
        <f>IF($L541="","",IF((Override!$C$4="ON")*ISNUMBER(INDEX(Override!$G$153:$G$212,$N541))&gt;0,"stock overridden",""))</f>
        <v/>
      </c>
      <c r="L541" s="41">
        <f>IFERROR(IF(SMALL(Grids!$C$157:$BO$216,$M$439+100)&gt;=(Summary!$C$15+1)*1000000000,"",SMALL(Grids!$C$157:$BO$216,$M$439+100)),"")</f>
        <v/>
      </c>
      <c r="M541" s="41">
        <f>IF($L541="","",INT($L541/1000000000))</f>
        <v/>
      </c>
      <c r="N541" s="41">
        <f>IF($L541="","",INT(($L541-INT($L541/1000000)*1000000)/1000))</f>
        <v/>
      </c>
      <c r="O541" s="41">
        <f>IF($L541="","",$L541-INT($L541/1000)*1000)</f>
        <v/>
      </c>
      <c r="P541" s="41">
        <f>IF($L541="","",INT(($L541-INT($L541/1000000000)*1000000000)/10000000))</f>
        <v/>
      </c>
    </row>
    <row r="542">
      <c r="B542" s="36">
        <f>IF($L542="","",$M542)</f>
        <v/>
      </c>
      <c r="C542" s="16">
        <f>IF($L542="","",INDEX(HSCEI!$C$7:$C$66,$N542))</f>
        <v/>
      </c>
      <c r="D542" s="16">
        <f>IF($L542="","",INDEX(HSCEI!$D$7:$D$66,$N542))</f>
        <v/>
      </c>
      <c r="E542" s="37">
        <f>IF($L542="","",IF(INT($P542/10)=0,"TBA",IFERROR(INDEX(Grids!$BQ$157:$EC$216,$N542,$O542),"-")))</f>
        <v/>
      </c>
      <c r="F542" s="16">
        <f>IF($L542="","",INDEX(HSCEI!$F$7:$F$66,$N542))</f>
        <v/>
      </c>
      <c r="G542" s="37">
        <f>IF($L542="","",IF(INT($P542/10)=0,"TBA",IFERROR(INDEX(Grids!$EE$157:$GQ$216,$N542,$O542),"-")))</f>
        <v/>
      </c>
      <c r="H542" s="38">
        <f>IF($L542="","",SUM($G$442:$G542))</f>
        <v/>
      </c>
      <c r="I542" s="39">
        <f>IF($L542="","",IF(INT(($L542-INT($L542/10000000)*10000000)/1000000)=0,"Bloomberg projection",IF(INT($P542/10)=1,"Announced","ANNOUNCED - amount TBA"))&amp;IF(($P542-INT($P542/10)*10)=1," (special)","")&amp;IF((($P542-INT($P542/10)*10)=1)*(Summary!$C$13="N")&gt;0," - excluded by your specials switch",""))</f>
        <v/>
      </c>
      <c r="J542" s="40">
        <f>IF($L542="","",IF((Override!$C$4="ON")*ISNUMBER(INDEX(Override!$G$153:$G$212,$N542))&gt;0,"stock overridden",""))</f>
        <v/>
      </c>
      <c r="L542" s="41">
        <f>IFERROR(IF(SMALL(Grids!$C$157:$BO$216,$M$439+101)&gt;=(Summary!$C$15+1)*1000000000,"",SMALL(Grids!$C$157:$BO$216,$M$439+101)),"")</f>
        <v/>
      </c>
      <c r="M542" s="41">
        <f>IF($L542="","",INT($L542/1000000000))</f>
        <v/>
      </c>
      <c r="N542" s="41">
        <f>IF($L542="","",INT(($L542-INT($L542/1000000)*1000000)/1000))</f>
        <v/>
      </c>
      <c r="O542" s="41">
        <f>IF($L542="","",$L542-INT($L542/1000)*1000)</f>
        <v/>
      </c>
      <c r="P542" s="41">
        <f>IF($L542="","",INT(($L542-INT($L542/1000000000)*1000000000)/10000000))</f>
        <v/>
      </c>
    </row>
    <row r="543">
      <c r="B543" s="36">
        <f>IF($L543="","",$M543)</f>
        <v/>
      </c>
      <c r="C543" s="16">
        <f>IF($L543="","",INDEX(HSCEI!$C$7:$C$66,$N543))</f>
        <v/>
      </c>
      <c r="D543" s="16">
        <f>IF($L543="","",INDEX(HSCEI!$D$7:$D$66,$N543))</f>
        <v/>
      </c>
      <c r="E543" s="37">
        <f>IF($L543="","",IF(INT($P543/10)=0,"TBA",IFERROR(INDEX(Grids!$BQ$157:$EC$216,$N543,$O543),"-")))</f>
        <v/>
      </c>
      <c r="F543" s="16">
        <f>IF($L543="","",INDEX(HSCEI!$F$7:$F$66,$N543))</f>
        <v/>
      </c>
      <c r="G543" s="37">
        <f>IF($L543="","",IF(INT($P543/10)=0,"TBA",IFERROR(INDEX(Grids!$EE$157:$GQ$216,$N543,$O543),"-")))</f>
        <v/>
      </c>
      <c r="H543" s="38">
        <f>IF($L543="","",SUM($G$442:$G543))</f>
        <v/>
      </c>
      <c r="I543" s="39">
        <f>IF($L543="","",IF(INT(($L543-INT($L543/10000000)*10000000)/1000000)=0,"Bloomberg projection",IF(INT($P543/10)=1,"Announced","ANNOUNCED - amount TBA"))&amp;IF(($P543-INT($P543/10)*10)=1," (special)","")&amp;IF((($P543-INT($P543/10)*10)=1)*(Summary!$C$13="N")&gt;0," - excluded by your specials switch",""))</f>
        <v/>
      </c>
      <c r="J543" s="40">
        <f>IF($L543="","",IF((Override!$C$4="ON")*ISNUMBER(INDEX(Override!$G$153:$G$212,$N543))&gt;0,"stock overridden",""))</f>
        <v/>
      </c>
      <c r="L543" s="41">
        <f>IFERROR(IF(SMALL(Grids!$C$157:$BO$216,$M$439+102)&gt;=(Summary!$C$15+1)*1000000000,"",SMALL(Grids!$C$157:$BO$216,$M$439+102)),"")</f>
        <v/>
      </c>
      <c r="M543" s="41">
        <f>IF($L543="","",INT($L543/1000000000))</f>
        <v/>
      </c>
      <c r="N543" s="41">
        <f>IF($L543="","",INT(($L543-INT($L543/1000000)*1000000)/1000))</f>
        <v/>
      </c>
      <c r="O543" s="41">
        <f>IF($L543="","",$L543-INT($L543/1000)*1000)</f>
        <v/>
      </c>
      <c r="P543" s="41">
        <f>IF($L543="","",INT(($L543-INT($L543/1000000000)*1000000000)/10000000))</f>
        <v/>
      </c>
    </row>
    <row r="544">
      <c r="B544" s="36">
        <f>IF($L544="","",$M544)</f>
        <v/>
      </c>
      <c r="C544" s="16">
        <f>IF($L544="","",INDEX(HSCEI!$C$7:$C$66,$N544))</f>
        <v/>
      </c>
      <c r="D544" s="16">
        <f>IF($L544="","",INDEX(HSCEI!$D$7:$D$66,$N544))</f>
        <v/>
      </c>
      <c r="E544" s="37">
        <f>IF($L544="","",IF(INT($P544/10)=0,"TBA",IFERROR(INDEX(Grids!$BQ$157:$EC$216,$N544,$O544),"-")))</f>
        <v/>
      </c>
      <c r="F544" s="16">
        <f>IF($L544="","",INDEX(HSCEI!$F$7:$F$66,$N544))</f>
        <v/>
      </c>
      <c r="G544" s="37">
        <f>IF($L544="","",IF(INT($P544/10)=0,"TBA",IFERROR(INDEX(Grids!$EE$157:$GQ$216,$N544,$O544),"-")))</f>
        <v/>
      </c>
      <c r="H544" s="38">
        <f>IF($L544="","",SUM($G$442:$G544))</f>
        <v/>
      </c>
      <c r="I544" s="39">
        <f>IF($L544="","",IF(INT(($L544-INT($L544/10000000)*10000000)/1000000)=0,"Bloomberg projection",IF(INT($P544/10)=1,"Announced","ANNOUNCED - amount TBA"))&amp;IF(($P544-INT($P544/10)*10)=1," (special)","")&amp;IF((($P544-INT($P544/10)*10)=1)*(Summary!$C$13="N")&gt;0," - excluded by your specials switch",""))</f>
        <v/>
      </c>
      <c r="J544" s="40">
        <f>IF($L544="","",IF((Override!$C$4="ON")*ISNUMBER(INDEX(Override!$G$153:$G$212,$N544))&gt;0,"stock overridden",""))</f>
        <v/>
      </c>
      <c r="L544" s="41">
        <f>IFERROR(IF(SMALL(Grids!$C$157:$BO$216,$M$439+103)&gt;=(Summary!$C$15+1)*1000000000,"",SMALL(Grids!$C$157:$BO$216,$M$439+103)),"")</f>
        <v/>
      </c>
      <c r="M544" s="41">
        <f>IF($L544="","",INT($L544/1000000000))</f>
        <v/>
      </c>
      <c r="N544" s="41">
        <f>IF($L544="","",INT(($L544-INT($L544/1000000)*1000000)/1000))</f>
        <v/>
      </c>
      <c r="O544" s="41">
        <f>IF($L544="","",$L544-INT($L544/1000)*1000)</f>
        <v/>
      </c>
      <c r="P544" s="41">
        <f>IF($L544="","",INT(($L544-INT($L544/1000000000)*1000000000)/10000000))</f>
        <v/>
      </c>
    </row>
    <row r="545">
      <c r="B545" s="36">
        <f>IF($L545="","",$M545)</f>
        <v/>
      </c>
      <c r="C545" s="16">
        <f>IF($L545="","",INDEX(HSCEI!$C$7:$C$66,$N545))</f>
        <v/>
      </c>
      <c r="D545" s="16">
        <f>IF($L545="","",INDEX(HSCEI!$D$7:$D$66,$N545))</f>
        <v/>
      </c>
      <c r="E545" s="37">
        <f>IF($L545="","",IF(INT($P545/10)=0,"TBA",IFERROR(INDEX(Grids!$BQ$157:$EC$216,$N545,$O545),"-")))</f>
        <v/>
      </c>
      <c r="F545" s="16">
        <f>IF($L545="","",INDEX(HSCEI!$F$7:$F$66,$N545))</f>
        <v/>
      </c>
      <c r="G545" s="37">
        <f>IF($L545="","",IF(INT($P545/10)=0,"TBA",IFERROR(INDEX(Grids!$EE$157:$GQ$216,$N545,$O545),"-")))</f>
        <v/>
      </c>
      <c r="H545" s="38">
        <f>IF($L545="","",SUM($G$442:$G545))</f>
        <v/>
      </c>
      <c r="I545" s="39">
        <f>IF($L545="","",IF(INT(($L545-INT($L545/10000000)*10000000)/1000000)=0,"Bloomberg projection",IF(INT($P545/10)=1,"Announced","ANNOUNCED - amount TBA"))&amp;IF(($P545-INT($P545/10)*10)=1," (special)","")&amp;IF((($P545-INT($P545/10)*10)=1)*(Summary!$C$13="N")&gt;0," - excluded by your specials switch",""))</f>
        <v/>
      </c>
      <c r="J545" s="40">
        <f>IF($L545="","",IF((Override!$C$4="ON")*ISNUMBER(INDEX(Override!$G$153:$G$212,$N545))&gt;0,"stock overridden",""))</f>
        <v/>
      </c>
      <c r="L545" s="41">
        <f>IFERROR(IF(SMALL(Grids!$C$157:$BO$216,$M$439+104)&gt;=(Summary!$C$15+1)*1000000000,"",SMALL(Grids!$C$157:$BO$216,$M$439+104)),"")</f>
        <v/>
      </c>
      <c r="M545" s="41">
        <f>IF($L545="","",INT($L545/1000000000))</f>
        <v/>
      </c>
      <c r="N545" s="41">
        <f>IF($L545="","",INT(($L545-INT($L545/1000000)*1000000)/1000))</f>
        <v/>
      </c>
      <c r="O545" s="41">
        <f>IF($L545="","",$L545-INT($L545/1000)*1000)</f>
        <v/>
      </c>
      <c r="P545" s="41">
        <f>IF($L545="","",INT(($L545-INT($L545/1000000000)*1000000000)/10000000))</f>
        <v/>
      </c>
    </row>
    <row r="546">
      <c r="B546" s="36">
        <f>IF($L546="","",$M546)</f>
        <v/>
      </c>
      <c r="C546" s="16">
        <f>IF($L546="","",INDEX(HSCEI!$C$7:$C$66,$N546))</f>
        <v/>
      </c>
      <c r="D546" s="16">
        <f>IF($L546="","",INDEX(HSCEI!$D$7:$D$66,$N546))</f>
        <v/>
      </c>
      <c r="E546" s="37">
        <f>IF($L546="","",IF(INT($P546/10)=0,"TBA",IFERROR(INDEX(Grids!$BQ$157:$EC$216,$N546,$O546),"-")))</f>
        <v/>
      </c>
      <c r="F546" s="16">
        <f>IF($L546="","",INDEX(HSCEI!$F$7:$F$66,$N546))</f>
        <v/>
      </c>
      <c r="G546" s="37">
        <f>IF($L546="","",IF(INT($P546/10)=0,"TBA",IFERROR(INDEX(Grids!$EE$157:$GQ$216,$N546,$O546),"-")))</f>
        <v/>
      </c>
      <c r="H546" s="38">
        <f>IF($L546="","",SUM($G$442:$G546))</f>
        <v/>
      </c>
      <c r="I546" s="39">
        <f>IF($L546="","",IF(INT(($L546-INT($L546/10000000)*10000000)/1000000)=0,"Bloomberg projection",IF(INT($P546/10)=1,"Announced","ANNOUNCED - amount TBA"))&amp;IF(($P546-INT($P546/10)*10)=1," (special)","")&amp;IF((($P546-INT($P546/10)*10)=1)*(Summary!$C$13="N")&gt;0," - excluded by your specials switch",""))</f>
        <v/>
      </c>
      <c r="J546" s="40">
        <f>IF($L546="","",IF((Override!$C$4="ON")*ISNUMBER(INDEX(Override!$G$153:$G$212,$N546))&gt;0,"stock overridden",""))</f>
        <v/>
      </c>
      <c r="L546" s="41">
        <f>IFERROR(IF(SMALL(Grids!$C$157:$BO$216,$M$439+105)&gt;=(Summary!$C$15+1)*1000000000,"",SMALL(Grids!$C$157:$BO$216,$M$439+105)),"")</f>
        <v/>
      </c>
      <c r="M546" s="41">
        <f>IF($L546="","",INT($L546/1000000000))</f>
        <v/>
      </c>
      <c r="N546" s="41">
        <f>IF($L546="","",INT(($L546-INT($L546/1000000)*1000000)/1000))</f>
        <v/>
      </c>
      <c r="O546" s="41">
        <f>IF($L546="","",$L546-INT($L546/1000)*1000)</f>
        <v/>
      </c>
      <c r="P546" s="41">
        <f>IF($L546="","",INT(($L546-INT($L546/1000000000)*1000000000)/10000000))</f>
        <v/>
      </c>
    </row>
    <row r="547">
      <c r="B547" s="36">
        <f>IF($L547="","",$M547)</f>
        <v/>
      </c>
      <c r="C547" s="16">
        <f>IF($L547="","",INDEX(HSCEI!$C$7:$C$66,$N547))</f>
        <v/>
      </c>
      <c r="D547" s="16">
        <f>IF($L547="","",INDEX(HSCEI!$D$7:$D$66,$N547))</f>
        <v/>
      </c>
      <c r="E547" s="37">
        <f>IF($L547="","",IF(INT($P547/10)=0,"TBA",IFERROR(INDEX(Grids!$BQ$157:$EC$216,$N547,$O547),"-")))</f>
        <v/>
      </c>
      <c r="F547" s="16">
        <f>IF($L547="","",INDEX(HSCEI!$F$7:$F$66,$N547))</f>
        <v/>
      </c>
      <c r="G547" s="37">
        <f>IF($L547="","",IF(INT($P547/10)=0,"TBA",IFERROR(INDEX(Grids!$EE$157:$GQ$216,$N547,$O547),"-")))</f>
        <v/>
      </c>
      <c r="H547" s="38">
        <f>IF($L547="","",SUM($G$442:$G547))</f>
        <v/>
      </c>
      <c r="I547" s="39">
        <f>IF($L547="","",IF(INT(($L547-INT($L547/10000000)*10000000)/1000000)=0,"Bloomberg projection",IF(INT($P547/10)=1,"Announced","ANNOUNCED - amount TBA"))&amp;IF(($P547-INT($P547/10)*10)=1," (special)","")&amp;IF((($P547-INT($P547/10)*10)=1)*(Summary!$C$13="N")&gt;0," - excluded by your specials switch",""))</f>
        <v/>
      </c>
      <c r="J547" s="40">
        <f>IF($L547="","",IF((Override!$C$4="ON")*ISNUMBER(INDEX(Override!$G$153:$G$212,$N547))&gt;0,"stock overridden",""))</f>
        <v/>
      </c>
      <c r="L547" s="41">
        <f>IFERROR(IF(SMALL(Grids!$C$157:$BO$216,$M$439+106)&gt;=(Summary!$C$15+1)*1000000000,"",SMALL(Grids!$C$157:$BO$216,$M$439+106)),"")</f>
        <v/>
      </c>
      <c r="M547" s="41">
        <f>IF($L547="","",INT($L547/1000000000))</f>
        <v/>
      </c>
      <c r="N547" s="41">
        <f>IF($L547="","",INT(($L547-INT($L547/1000000)*1000000)/1000))</f>
        <v/>
      </c>
      <c r="O547" s="41">
        <f>IF($L547="","",$L547-INT($L547/1000)*1000)</f>
        <v/>
      </c>
      <c r="P547" s="41">
        <f>IF($L547="","",INT(($L547-INT($L547/1000000000)*1000000000)/10000000))</f>
        <v/>
      </c>
    </row>
    <row r="548">
      <c r="B548" s="36">
        <f>IF($L548="","",$M548)</f>
        <v/>
      </c>
      <c r="C548" s="16">
        <f>IF($L548="","",INDEX(HSCEI!$C$7:$C$66,$N548))</f>
        <v/>
      </c>
      <c r="D548" s="16">
        <f>IF($L548="","",INDEX(HSCEI!$D$7:$D$66,$N548))</f>
        <v/>
      </c>
      <c r="E548" s="37">
        <f>IF($L548="","",IF(INT($P548/10)=0,"TBA",IFERROR(INDEX(Grids!$BQ$157:$EC$216,$N548,$O548),"-")))</f>
        <v/>
      </c>
      <c r="F548" s="16">
        <f>IF($L548="","",INDEX(HSCEI!$F$7:$F$66,$N548))</f>
        <v/>
      </c>
      <c r="G548" s="37">
        <f>IF($L548="","",IF(INT($P548/10)=0,"TBA",IFERROR(INDEX(Grids!$EE$157:$GQ$216,$N548,$O548),"-")))</f>
        <v/>
      </c>
      <c r="H548" s="38">
        <f>IF($L548="","",SUM($G$442:$G548))</f>
        <v/>
      </c>
      <c r="I548" s="39">
        <f>IF($L548="","",IF(INT(($L548-INT($L548/10000000)*10000000)/1000000)=0,"Bloomberg projection",IF(INT($P548/10)=1,"Announced","ANNOUNCED - amount TBA"))&amp;IF(($P548-INT($P548/10)*10)=1," (special)","")&amp;IF((($P548-INT($P548/10)*10)=1)*(Summary!$C$13="N")&gt;0," - excluded by your specials switch",""))</f>
        <v/>
      </c>
      <c r="J548" s="40">
        <f>IF($L548="","",IF((Override!$C$4="ON")*ISNUMBER(INDEX(Override!$G$153:$G$212,$N548))&gt;0,"stock overridden",""))</f>
        <v/>
      </c>
      <c r="L548" s="41">
        <f>IFERROR(IF(SMALL(Grids!$C$157:$BO$216,$M$439+107)&gt;=(Summary!$C$15+1)*1000000000,"",SMALL(Grids!$C$157:$BO$216,$M$439+107)),"")</f>
        <v/>
      </c>
      <c r="M548" s="41">
        <f>IF($L548="","",INT($L548/1000000000))</f>
        <v/>
      </c>
      <c r="N548" s="41">
        <f>IF($L548="","",INT(($L548-INT($L548/1000000)*1000000)/1000))</f>
        <v/>
      </c>
      <c r="O548" s="41">
        <f>IF($L548="","",$L548-INT($L548/1000)*1000)</f>
        <v/>
      </c>
      <c r="P548" s="41">
        <f>IF($L548="","",INT(($L548-INT($L548/1000000000)*1000000000)/10000000))</f>
        <v/>
      </c>
    </row>
    <row r="549">
      <c r="B549" s="36">
        <f>IF($L549="","",$M549)</f>
        <v/>
      </c>
      <c r="C549" s="16">
        <f>IF($L549="","",INDEX(HSCEI!$C$7:$C$66,$N549))</f>
        <v/>
      </c>
      <c r="D549" s="16">
        <f>IF($L549="","",INDEX(HSCEI!$D$7:$D$66,$N549))</f>
        <v/>
      </c>
      <c r="E549" s="37">
        <f>IF($L549="","",IF(INT($P549/10)=0,"TBA",IFERROR(INDEX(Grids!$BQ$157:$EC$216,$N549,$O549),"-")))</f>
        <v/>
      </c>
      <c r="F549" s="16">
        <f>IF($L549="","",INDEX(HSCEI!$F$7:$F$66,$N549))</f>
        <v/>
      </c>
      <c r="G549" s="37">
        <f>IF($L549="","",IF(INT($P549/10)=0,"TBA",IFERROR(INDEX(Grids!$EE$157:$GQ$216,$N549,$O549),"-")))</f>
        <v/>
      </c>
      <c r="H549" s="38">
        <f>IF($L549="","",SUM($G$442:$G549))</f>
        <v/>
      </c>
      <c r="I549" s="39">
        <f>IF($L549="","",IF(INT(($L549-INT($L549/10000000)*10000000)/1000000)=0,"Bloomberg projection",IF(INT($P549/10)=1,"Announced","ANNOUNCED - amount TBA"))&amp;IF(($P549-INT($P549/10)*10)=1," (special)","")&amp;IF((($P549-INT($P549/10)*10)=1)*(Summary!$C$13="N")&gt;0," - excluded by your specials switch",""))</f>
        <v/>
      </c>
      <c r="J549" s="40">
        <f>IF($L549="","",IF((Override!$C$4="ON")*ISNUMBER(INDEX(Override!$G$153:$G$212,$N549))&gt;0,"stock overridden",""))</f>
        <v/>
      </c>
      <c r="L549" s="41">
        <f>IFERROR(IF(SMALL(Grids!$C$157:$BO$216,$M$439+108)&gt;=(Summary!$C$15+1)*1000000000,"",SMALL(Grids!$C$157:$BO$216,$M$439+108)),"")</f>
        <v/>
      </c>
      <c r="M549" s="41">
        <f>IF($L549="","",INT($L549/1000000000))</f>
        <v/>
      </c>
      <c r="N549" s="41">
        <f>IF($L549="","",INT(($L549-INT($L549/1000000)*1000000)/1000))</f>
        <v/>
      </c>
      <c r="O549" s="41">
        <f>IF($L549="","",$L549-INT($L549/1000)*1000)</f>
        <v/>
      </c>
      <c r="P549" s="41">
        <f>IF($L549="","",INT(($L549-INT($L549/1000000000)*1000000000)/10000000))</f>
        <v/>
      </c>
    </row>
    <row r="550">
      <c r="B550" s="36">
        <f>IF($L550="","",$M550)</f>
        <v/>
      </c>
      <c r="C550" s="16">
        <f>IF($L550="","",INDEX(HSCEI!$C$7:$C$66,$N550))</f>
        <v/>
      </c>
      <c r="D550" s="16">
        <f>IF($L550="","",INDEX(HSCEI!$D$7:$D$66,$N550))</f>
        <v/>
      </c>
      <c r="E550" s="37">
        <f>IF($L550="","",IF(INT($P550/10)=0,"TBA",IFERROR(INDEX(Grids!$BQ$157:$EC$216,$N550,$O550),"-")))</f>
        <v/>
      </c>
      <c r="F550" s="16">
        <f>IF($L550="","",INDEX(HSCEI!$F$7:$F$66,$N550))</f>
        <v/>
      </c>
      <c r="G550" s="37">
        <f>IF($L550="","",IF(INT($P550/10)=0,"TBA",IFERROR(INDEX(Grids!$EE$157:$GQ$216,$N550,$O550),"-")))</f>
        <v/>
      </c>
      <c r="H550" s="38">
        <f>IF($L550="","",SUM($G$442:$G550))</f>
        <v/>
      </c>
      <c r="I550" s="39">
        <f>IF($L550="","",IF(INT(($L550-INT($L550/10000000)*10000000)/1000000)=0,"Bloomberg projection",IF(INT($P550/10)=1,"Announced","ANNOUNCED - amount TBA"))&amp;IF(($P550-INT($P550/10)*10)=1," (special)","")&amp;IF((($P550-INT($P550/10)*10)=1)*(Summary!$C$13="N")&gt;0," - excluded by your specials switch",""))</f>
        <v/>
      </c>
      <c r="J550" s="40">
        <f>IF($L550="","",IF((Override!$C$4="ON")*ISNUMBER(INDEX(Override!$G$153:$G$212,$N550))&gt;0,"stock overridden",""))</f>
        <v/>
      </c>
      <c r="L550" s="41">
        <f>IFERROR(IF(SMALL(Grids!$C$157:$BO$216,$M$439+109)&gt;=(Summary!$C$15+1)*1000000000,"",SMALL(Grids!$C$157:$BO$216,$M$439+109)),"")</f>
        <v/>
      </c>
      <c r="M550" s="41">
        <f>IF($L550="","",INT($L550/1000000000))</f>
        <v/>
      </c>
      <c r="N550" s="41">
        <f>IF($L550="","",INT(($L550-INT($L550/1000000)*1000000)/1000))</f>
        <v/>
      </c>
      <c r="O550" s="41">
        <f>IF($L550="","",$L550-INT($L550/1000)*1000)</f>
        <v/>
      </c>
      <c r="P550" s="41">
        <f>IF($L550="","",INT(($L550-INT($L550/1000000000)*1000000000)/10000000))</f>
        <v/>
      </c>
    </row>
    <row r="551">
      <c r="B551" s="36">
        <f>IF($L551="","",$M551)</f>
        <v/>
      </c>
      <c r="C551" s="16">
        <f>IF($L551="","",INDEX(HSCEI!$C$7:$C$66,$N551))</f>
        <v/>
      </c>
      <c r="D551" s="16">
        <f>IF($L551="","",INDEX(HSCEI!$D$7:$D$66,$N551))</f>
        <v/>
      </c>
      <c r="E551" s="37">
        <f>IF($L551="","",IF(INT($P551/10)=0,"TBA",IFERROR(INDEX(Grids!$BQ$157:$EC$216,$N551,$O551),"-")))</f>
        <v/>
      </c>
      <c r="F551" s="16">
        <f>IF($L551="","",INDEX(HSCEI!$F$7:$F$66,$N551))</f>
        <v/>
      </c>
      <c r="G551" s="37">
        <f>IF($L551="","",IF(INT($P551/10)=0,"TBA",IFERROR(INDEX(Grids!$EE$157:$GQ$216,$N551,$O551),"-")))</f>
        <v/>
      </c>
      <c r="H551" s="38">
        <f>IF($L551="","",SUM($G$442:$G551))</f>
        <v/>
      </c>
      <c r="I551" s="39">
        <f>IF($L551="","",IF(INT(($L551-INT($L551/10000000)*10000000)/1000000)=0,"Bloomberg projection",IF(INT($P551/10)=1,"Announced","ANNOUNCED - amount TBA"))&amp;IF(($P551-INT($P551/10)*10)=1," (special)","")&amp;IF((($P551-INT($P551/10)*10)=1)*(Summary!$C$13="N")&gt;0," - excluded by your specials switch",""))</f>
        <v/>
      </c>
      <c r="J551" s="40">
        <f>IF($L551="","",IF((Override!$C$4="ON")*ISNUMBER(INDEX(Override!$G$153:$G$212,$N551))&gt;0,"stock overridden",""))</f>
        <v/>
      </c>
      <c r="L551" s="41">
        <f>IFERROR(IF(SMALL(Grids!$C$157:$BO$216,$M$439+110)&gt;=(Summary!$C$15+1)*1000000000,"",SMALL(Grids!$C$157:$BO$216,$M$439+110)),"")</f>
        <v/>
      </c>
      <c r="M551" s="41">
        <f>IF($L551="","",INT($L551/1000000000))</f>
        <v/>
      </c>
      <c r="N551" s="41">
        <f>IF($L551="","",INT(($L551-INT($L551/1000000)*1000000)/1000))</f>
        <v/>
      </c>
      <c r="O551" s="41">
        <f>IF($L551="","",$L551-INT($L551/1000)*1000)</f>
        <v/>
      </c>
      <c r="P551" s="41">
        <f>IF($L551="","",INT(($L551-INT($L551/1000000000)*1000000000)/10000000))</f>
        <v/>
      </c>
    </row>
    <row r="552">
      <c r="B552" s="36">
        <f>IF($L552="","",$M552)</f>
        <v/>
      </c>
      <c r="C552" s="16">
        <f>IF($L552="","",INDEX(HSCEI!$C$7:$C$66,$N552))</f>
        <v/>
      </c>
      <c r="D552" s="16">
        <f>IF($L552="","",INDEX(HSCEI!$D$7:$D$66,$N552))</f>
        <v/>
      </c>
      <c r="E552" s="37">
        <f>IF($L552="","",IF(INT($P552/10)=0,"TBA",IFERROR(INDEX(Grids!$BQ$157:$EC$216,$N552,$O552),"-")))</f>
        <v/>
      </c>
      <c r="F552" s="16">
        <f>IF($L552="","",INDEX(HSCEI!$F$7:$F$66,$N552))</f>
        <v/>
      </c>
      <c r="G552" s="37">
        <f>IF($L552="","",IF(INT($P552/10)=0,"TBA",IFERROR(INDEX(Grids!$EE$157:$GQ$216,$N552,$O552),"-")))</f>
        <v/>
      </c>
      <c r="H552" s="38">
        <f>IF($L552="","",SUM($G$442:$G552))</f>
        <v/>
      </c>
      <c r="I552" s="39">
        <f>IF($L552="","",IF(INT(($L552-INT($L552/10000000)*10000000)/1000000)=0,"Bloomberg projection",IF(INT($P552/10)=1,"Announced","ANNOUNCED - amount TBA"))&amp;IF(($P552-INT($P552/10)*10)=1," (special)","")&amp;IF((($P552-INT($P552/10)*10)=1)*(Summary!$C$13="N")&gt;0," - excluded by your specials switch",""))</f>
        <v/>
      </c>
      <c r="J552" s="40">
        <f>IF($L552="","",IF((Override!$C$4="ON")*ISNUMBER(INDEX(Override!$G$153:$G$212,$N552))&gt;0,"stock overridden",""))</f>
        <v/>
      </c>
      <c r="L552" s="41">
        <f>IFERROR(IF(SMALL(Grids!$C$157:$BO$216,$M$439+111)&gt;=(Summary!$C$15+1)*1000000000,"",SMALL(Grids!$C$157:$BO$216,$M$439+111)),"")</f>
        <v/>
      </c>
      <c r="M552" s="41">
        <f>IF($L552="","",INT($L552/1000000000))</f>
        <v/>
      </c>
      <c r="N552" s="41">
        <f>IF($L552="","",INT(($L552-INT($L552/1000000)*1000000)/1000))</f>
        <v/>
      </c>
      <c r="O552" s="41">
        <f>IF($L552="","",$L552-INT($L552/1000)*1000)</f>
        <v/>
      </c>
      <c r="P552" s="41">
        <f>IF($L552="","",INT(($L552-INT($L552/1000000000)*1000000000)/10000000))</f>
        <v/>
      </c>
    </row>
    <row r="553">
      <c r="B553" s="36">
        <f>IF($L553="","",$M553)</f>
        <v/>
      </c>
      <c r="C553" s="16">
        <f>IF($L553="","",INDEX(HSCEI!$C$7:$C$66,$N553))</f>
        <v/>
      </c>
      <c r="D553" s="16">
        <f>IF($L553="","",INDEX(HSCEI!$D$7:$D$66,$N553))</f>
        <v/>
      </c>
      <c r="E553" s="37">
        <f>IF($L553="","",IF(INT($P553/10)=0,"TBA",IFERROR(INDEX(Grids!$BQ$157:$EC$216,$N553,$O553),"-")))</f>
        <v/>
      </c>
      <c r="F553" s="16">
        <f>IF($L553="","",INDEX(HSCEI!$F$7:$F$66,$N553))</f>
        <v/>
      </c>
      <c r="G553" s="37">
        <f>IF($L553="","",IF(INT($P553/10)=0,"TBA",IFERROR(INDEX(Grids!$EE$157:$GQ$216,$N553,$O553),"-")))</f>
        <v/>
      </c>
      <c r="H553" s="38">
        <f>IF($L553="","",SUM($G$442:$G553))</f>
        <v/>
      </c>
      <c r="I553" s="39">
        <f>IF($L553="","",IF(INT(($L553-INT($L553/10000000)*10000000)/1000000)=0,"Bloomberg projection",IF(INT($P553/10)=1,"Announced","ANNOUNCED - amount TBA"))&amp;IF(($P553-INT($P553/10)*10)=1," (special)","")&amp;IF((($P553-INT($P553/10)*10)=1)*(Summary!$C$13="N")&gt;0," - excluded by your specials switch",""))</f>
        <v/>
      </c>
      <c r="J553" s="40">
        <f>IF($L553="","",IF((Override!$C$4="ON")*ISNUMBER(INDEX(Override!$G$153:$G$212,$N553))&gt;0,"stock overridden",""))</f>
        <v/>
      </c>
      <c r="L553" s="41">
        <f>IFERROR(IF(SMALL(Grids!$C$157:$BO$216,$M$439+112)&gt;=(Summary!$C$15+1)*1000000000,"",SMALL(Grids!$C$157:$BO$216,$M$439+112)),"")</f>
        <v/>
      </c>
      <c r="M553" s="41">
        <f>IF($L553="","",INT($L553/1000000000))</f>
        <v/>
      </c>
      <c r="N553" s="41">
        <f>IF($L553="","",INT(($L553-INT($L553/1000000)*1000000)/1000))</f>
        <v/>
      </c>
      <c r="O553" s="41">
        <f>IF($L553="","",$L553-INT($L553/1000)*1000)</f>
        <v/>
      </c>
      <c r="P553" s="41">
        <f>IF($L553="","",INT(($L553-INT($L553/1000000000)*1000000000)/10000000))</f>
        <v/>
      </c>
    </row>
    <row r="554">
      <c r="B554" s="36">
        <f>IF($L554="","",$M554)</f>
        <v/>
      </c>
      <c r="C554" s="16">
        <f>IF($L554="","",INDEX(HSCEI!$C$7:$C$66,$N554))</f>
        <v/>
      </c>
      <c r="D554" s="16">
        <f>IF($L554="","",INDEX(HSCEI!$D$7:$D$66,$N554))</f>
        <v/>
      </c>
      <c r="E554" s="37">
        <f>IF($L554="","",IF(INT($P554/10)=0,"TBA",IFERROR(INDEX(Grids!$BQ$157:$EC$216,$N554,$O554),"-")))</f>
        <v/>
      </c>
      <c r="F554" s="16">
        <f>IF($L554="","",INDEX(HSCEI!$F$7:$F$66,$N554))</f>
        <v/>
      </c>
      <c r="G554" s="37">
        <f>IF($L554="","",IF(INT($P554/10)=0,"TBA",IFERROR(INDEX(Grids!$EE$157:$GQ$216,$N554,$O554),"-")))</f>
        <v/>
      </c>
      <c r="H554" s="38">
        <f>IF($L554="","",SUM($G$442:$G554))</f>
        <v/>
      </c>
      <c r="I554" s="39">
        <f>IF($L554="","",IF(INT(($L554-INT($L554/10000000)*10000000)/1000000)=0,"Bloomberg projection",IF(INT($P554/10)=1,"Announced","ANNOUNCED - amount TBA"))&amp;IF(($P554-INT($P554/10)*10)=1," (special)","")&amp;IF((($P554-INT($P554/10)*10)=1)*(Summary!$C$13="N")&gt;0," - excluded by your specials switch",""))</f>
        <v/>
      </c>
      <c r="J554" s="40">
        <f>IF($L554="","",IF((Override!$C$4="ON")*ISNUMBER(INDEX(Override!$G$153:$G$212,$N554))&gt;0,"stock overridden",""))</f>
        <v/>
      </c>
      <c r="L554" s="41">
        <f>IFERROR(IF(SMALL(Grids!$C$157:$BO$216,$M$439+113)&gt;=(Summary!$C$15+1)*1000000000,"",SMALL(Grids!$C$157:$BO$216,$M$439+113)),"")</f>
        <v/>
      </c>
      <c r="M554" s="41">
        <f>IF($L554="","",INT($L554/1000000000))</f>
        <v/>
      </c>
      <c r="N554" s="41">
        <f>IF($L554="","",INT(($L554-INT($L554/1000000)*1000000)/1000))</f>
        <v/>
      </c>
      <c r="O554" s="41">
        <f>IF($L554="","",$L554-INT($L554/1000)*1000)</f>
        <v/>
      </c>
      <c r="P554" s="41">
        <f>IF($L554="","",INT(($L554-INT($L554/1000000000)*1000000000)/10000000))</f>
        <v/>
      </c>
    </row>
    <row r="555">
      <c r="B555" s="36">
        <f>IF($L555="","",$M555)</f>
        <v/>
      </c>
      <c r="C555" s="16">
        <f>IF($L555="","",INDEX(HSCEI!$C$7:$C$66,$N555))</f>
        <v/>
      </c>
      <c r="D555" s="16">
        <f>IF($L555="","",INDEX(HSCEI!$D$7:$D$66,$N555))</f>
        <v/>
      </c>
      <c r="E555" s="37">
        <f>IF($L555="","",IF(INT($P555/10)=0,"TBA",IFERROR(INDEX(Grids!$BQ$157:$EC$216,$N555,$O555),"-")))</f>
        <v/>
      </c>
      <c r="F555" s="16">
        <f>IF($L555="","",INDEX(HSCEI!$F$7:$F$66,$N555))</f>
        <v/>
      </c>
      <c r="G555" s="37">
        <f>IF($L555="","",IF(INT($P555/10)=0,"TBA",IFERROR(INDEX(Grids!$EE$157:$GQ$216,$N555,$O555),"-")))</f>
        <v/>
      </c>
      <c r="H555" s="38">
        <f>IF($L555="","",SUM($G$442:$G555))</f>
        <v/>
      </c>
      <c r="I555" s="39">
        <f>IF($L555="","",IF(INT(($L555-INT($L555/10000000)*10000000)/1000000)=0,"Bloomberg projection",IF(INT($P555/10)=1,"Announced","ANNOUNCED - amount TBA"))&amp;IF(($P555-INT($P555/10)*10)=1," (special)","")&amp;IF((($P555-INT($P555/10)*10)=1)*(Summary!$C$13="N")&gt;0," - excluded by your specials switch",""))</f>
        <v/>
      </c>
      <c r="J555" s="40">
        <f>IF($L555="","",IF((Override!$C$4="ON")*ISNUMBER(INDEX(Override!$G$153:$G$212,$N555))&gt;0,"stock overridden",""))</f>
        <v/>
      </c>
      <c r="L555" s="41">
        <f>IFERROR(IF(SMALL(Grids!$C$157:$BO$216,$M$439+114)&gt;=(Summary!$C$15+1)*1000000000,"",SMALL(Grids!$C$157:$BO$216,$M$439+114)),"")</f>
        <v/>
      </c>
      <c r="M555" s="41">
        <f>IF($L555="","",INT($L555/1000000000))</f>
        <v/>
      </c>
      <c r="N555" s="41">
        <f>IF($L555="","",INT(($L555-INT($L555/1000000)*1000000)/1000))</f>
        <v/>
      </c>
      <c r="O555" s="41">
        <f>IF($L555="","",$L555-INT($L555/1000)*1000)</f>
        <v/>
      </c>
      <c r="P555" s="41">
        <f>IF($L555="","",INT(($L555-INT($L555/1000000000)*1000000000)/10000000))</f>
        <v/>
      </c>
    </row>
    <row r="556">
      <c r="B556" s="36">
        <f>IF($L556="","",$M556)</f>
        <v/>
      </c>
      <c r="C556" s="16">
        <f>IF($L556="","",INDEX(HSCEI!$C$7:$C$66,$N556))</f>
        <v/>
      </c>
      <c r="D556" s="16">
        <f>IF($L556="","",INDEX(HSCEI!$D$7:$D$66,$N556))</f>
        <v/>
      </c>
      <c r="E556" s="37">
        <f>IF($L556="","",IF(INT($P556/10)=0,"TBA",IFERROR(INDEX(Grids!$BQ$157:$EC$216,$N556,$O556),"-")))</f>
        <v/>
      </c>
      <c r="F556" s="16">
        <f>IF($L556="","",INDEX(HSCEI!$F$7:$F$66,$N556))</f>
        <v/>
      </c>
      <c r="G556" s="37">
        <f>IF($L556="","",IF(INT($P556/10)=0,"TBA",IFERROR(INDEX(Grids!$EE$157:$GQ$216,$N556,$O556),"-")))</f>
        <v/>
      </c>
      <c r="H556" s="38">
        <f>IF($L556="","",SUM($G$442:$G556))</f>
        <v/>
      </c>
      <c r="I556" s="39">
        <f>IF($L556="","",IF(INT(($L556-INT($L556/10000000)*10000000)/1000000)=0,"Bloomberg projection",IF(INT($P556/10)=1,"Announced","ANNOUNCED - amount TBA"))&amp;IF(($P556-INT($P556/10)*10)=1," (special)","")&amp;IF((($P556-INT($P556/10)*10)=1)*(Summary!$C$13="N")&gt;0," - excluded by your specials switch",""))</f>
        <v/>
      </c>
      <c r="J556" s="40">
        <f>IF($L556="","",IF((Override!$C$4="ON")*ISNUMBER(INDEX(Override!$G$153:$G$212,$N556))&gt;0,"stock overridden",""))</f>
        <v/>
      </c>
      <c r="L556" s="41">
        <f>IFERROR(IF(SMALL(Grids!$C$157:$BO$216,$M$439+115)&gt;=(Summary!$C$15+1)*1000000000,"",SMALL(Grids!$C$157:$BO$216,$M$439+115)),"")</f>
        <v/>
      </c>
      <c r="M556" s="41">
        <f>IF($L556="","",INT($L556/1000000000))</f>
        <v/>
      </c>
      <c r="N556" s="41">
        <f>IF($L556="","",INT(($L556-INT($L556/1000000)*1000000)/1000))</f>
        <v/>
      </c>
      <c r="O556" s="41">
        <f>IF($L556="","",$L556-INT($L556/1000)*1000)</f>
        <v/>
      </c>
      <c r="P556" s="41">
        <f>IF($L556="","",INT(($L556-INT($L556/1000000000)*1000000000)/10000000))</f>
        <v/>
      </c>
    </row>
    <row r="557">
      <c r="B557" s="36">
        <f>IF($L557="","",$M557)</f>
        <v/>
      </c>
      <c r="C557" s="16">
        <f>IF($L557="","",INDEX(HSCEI!$C$7:$C$66,$N557))</f>
        <v/>
      </c>
      <c r="D557" s="16">
        <f>IF($L557="","",INDEX(HSCEI!$D$7:$D$66,$N557))</f>
        <v/>
      </c>
      <c r="E557" s="37">
        <f>IF($L557="","",IF(INT($P557/10)=0,"TBA",IFERROR(INDEX(Grids!$BQ$157:$EC$216,$N557,$O557),"-")))</f>
        <v/>
      </c>
      <c r="F557" s="16">
        <f>IF($L557="","",INDEX(HSCEI!$F$7:$F$66,$N557))</f>
        <v/>
      </c>
      <c r="G557" s="37">
        <f>IF($L557="","",IF(INT($P557/10)=0,"TBA",IFERROR(INDEX(Grids!$EE$157:$GQ$216,$N557,$O557),"-")))</f>
        <v/>
      </c>
      <c r="H557" s="38">
        <f>IF($L557="","",SUM($G$442:$G557))</f>
        <v/>
      </c>
      <c r="I557" s="39">
        <f>IF($L557="","",IF(INT(($L557-INT($L557/10000000)*10000000)/1000000)=0,"Bloomberg projection",IF(INT($P557/10)=1,"Announced","ANNOUNCED - amount TBA"))&amp;IF(($P557-INT($P557/10)*10)=1," (special)","")&amp;IF((($P557-INT($P557/10)*10)=1)*(Summary!$C$13="N")&gt;0," - excluded by your specials switch",""))</f>
        <v/>
      </c>
      <c r="J557" s="40">
        <f>IF($L557="","",IF((Override!$C$4="ON")*ISNUMBER(INDEX(Override!$G$153:$G$212,$N557))&gt;0,"stock overridden",""))</f>
        <v/>
      </c>
      <c r="L557" s="41">
        <f>IFERROR(IF(SMALL(Grids!$C$157:$BO$216,$M$439+116)&gt;=(Summary!$C$15+1)*1000000000,"",SMALL(Grids!$C$157:$BO$216,$M$439+116)),"")</f>
        <v/>
      </c>
      <c r="M557" s="41">
        <f>IF($L557="","",INT($L557/1000000000))</f>
        <v/>
      </c>
      <c r="N557" s="41">
        <f>IF($L557="","",INT(($L557-INT($L557/1000000)*1000000)/1000))</f>
        <v/>
      </c>
      <c r="O557" s="41">
        <f>IF($L557="","",$L557-INT($L557/1000)*1000)</f>
        <v/>
      </c>
      <c r="P557" s="41">
        <f>IF($L557="","",INT(($L557-INT($L557/1000000000)*1000000000)/10000000))</f>
        <v/>
      </c>
    </row>
    <row r="558">
      <c r="B558" s="36">
        <f>IF($L558="","",$M558)</f>
        <v/>
      </c>
      <c r="C558" s="16">
        <f>IF($L558="","",INDEX(HSCEI!$C$7:$C$66,$N558))</f>
        <v/>
      </c>
      <c r="D558" s="16">
        <f>IF($L558="","",INDEX(HSCEI!$D$7:$D$66,$N558))</f>
        <v/>
      </c>
      <c r="E558" s="37">
        <f>IF($L558="","",IF(INT($P558/10)=0,"TBA",IFERROR(INDEX(Grids!$BQ$157:$EC$216,$N558,$O558),"-")))</f>
        <v/>
      </c>
      <c r="F558" s="16">
        <f>IF($L558="","",INDEX(HSCEI!$F$7:$F$66,$N558))</f>
        <v/>
      </c>
      <c r="G558" s="37">
        <f>IF($L558="","",IF(INT($P558/10)=0,"TBA",IFERROR(INDEX(Grids!$EE$157:$GQ$216,$N558,$O558),"-")))</f>
        <v/>
      </c>
      <c r="H558" s="38">
        <f>IF($L558="","",SUM($G$442:$G558))</f>
        <v/>
      </c>
      <c r="I558" s="39">
        <f>IF($L558="","",IF(INT(($L558-INT($L558/10000000)*10000000)/1000000)=0,"Bloomberg projection",IF(INT($P558/10)=1,"Announced","ANNOUNCED - amount TBA"))&amp;IF(($P558-INT($P558/10)*10)=1," (special)","")&amp;IF((($P558-INT($P558/10)*10)=1)*(Summary!$C$13="N")&gt;0," - excluded by your specials switch",""))</f>
        <v/>
      </c>
      <c r="J558" s="40">
        <f>IF($L558="","",IF((Override!$C$4="ON")*ISNUMBER(INDEX(Override!$G$153:$G$212,$N558))&gt;0,"stock overridden",""))</f>
        <v/>
      </c>
      <c r="L558" s="41">
        <f>IFERROR(IF(SMALL(Grids!$C$157:$BO$216,$M$439+117)&gt;=(Summary!$C$15+1)*1000000000,"",SMALL(Grids!$C$157:$BO$216,$M$439+117)),"")</f>
        <v/>
      </c>
      <c r="M558" s="41">
        <f>IF($L558="","",INT($L558/1000000000))</f>
        <v/>
      </c>
      <c r="N558" s="41">
        <f>IF($L558="","",INT(($L558-INT($L558/1000000)*1000000)/1000))</f>
        <v/>
      </c>
      <c r="O558" s="41">
        <f>IF($L558="","",$L558-INT($L558/1000)*1000)</f>
        <v/>
      </c>
      <c r="P558" s="41">
        <f>IF($L558="","",INT(($L558-INT($L558/1000000000)*1000000000)/10000000))</f>
        <v/>
      </c>
    </row>
    <row r="559">
      <c r="B559" s="36">
        <f>IF($L559="","",$M559)</f>
        <v/>
      </c>
      <c r="C559" s="16">
        <f>IF($L559="","",INDEX(HSCEI!$C$7:$C$66,$N559))</f>
        <v/>
      </c>
      <c r="D559" s="16">
        <f>IF($L559="","",INDEX(HSCEI!$D$7:$D$66,$N559))</f>
        <v/>
      </c>
      <c r="E559" s="37">
        <f>IF($L559="","",IF(INT($P559/10)=0,"TBA",IFERROR(INDEX(Grids!$BQ$157:$EC$216,$N559,$O559),"-")))</f>
        <v/>
      </c>
      <c r="F559" s="16">
        <f>IF($L559="","",INDEX(HSCEI!$F$7:$F$66,$N559))</f>
        <v/>
      </c>
      <c r="G559" s="37">
        <f>IF($L559="","",IF(INT($P559/10)=0,"TBA",IFERROR(INDEX(Grids!$EE$157:$GQ$216,$N559,$O559),"-")))</f>
        <v/>
      </c>
      <c r="H559" s="38">
        <f>IF($L559="","",SUM($G$442:$G559))</f>
        <v/>
      </c>
      <c r="I559" s="39">
        <f>IF($L559="","",IF(INT(($L559-INT($L559/10000000)*10000000)/1000000)=0,"Bloomberg projection",IF(INT($P559/10)=1,"Announced","ANNOUNCED - amount TBA"))&amp;IF(($P559-INT($P559/10)*10)=1," (special)","")&amp;IF((($P559-INT($P559/10)*10)=1)*(Summary!$C$13="N")&gt;0," - excluded by your specials switch",""))</f>
        <v/>
      </c>
      <c r="J559" s="40">
        <f>IF($L559="","",IF((Override!$C$4="ON")*ISNUMBER(INDEX(Override!$G$153:$G$212,$N559))&gt;0,"stock overridden",""))</f>
        <v/>
      </c>
      <c r="L559" s="41">
        <f>IFERROR(IF(SMALL(Grids!$C$157:$BO$216,$M$439+118)&gt;=(Summary!$C$15+1)*1000000000,"",SMALL(Grids!$C$157:$BO$216,$M$439+118)),"")</f>
        <v/>
      </c>
      <c r="M559" s="41">
        <f>IF($L559="","",INT($L559/1000000000))</f>
        <v/>
      </c>
      <c r="N559" s="41">
        <f>IF($L559="","",INT(($L559-INT($L559/1000000)*1000000)/1000))</f>
        <v/>
      </c>
      <c r="O559" s="41">
        <f>IF($L559="","",$L559-INT($L559/1000)*1000)</f>
        <v/>
      </c>
      <c r="P559" s="41">
        <f>IF($L559="","",INT(($L559-INT($L559/1000000000)*1000000000)/10000000))</f>
        <v/>
      </c>
    </row>
    <row r="560">
      <c r="B560" s="36">
        <f>IF($L560="","",$M560)</f>
        <v/>
      </c>
      <c r="C560" s="16">
        <f>IF($L560="","",INDEX(HSCEI!$C$7:$C$66,$N560))</f>
        <v/>
      </c>
      <c r="D560" s="16">
        <f>IF($L560="","",INDEX(HSCEI!$D$7:$D$66,$N560))</f>
        <v/>
      </c>
      <c r="E560" s="37">
        <f>IF($L560="","",IF(INT($P560/10)=0,"TBA",IFERROR(INDEX(Grids!$BQ$157:$EC$216,$N560,$O560),"-")))</f>
        <v/>
      </c>
      <c r="F560" s="16">
        <f>IF($L560="","",INDEX(HSCEI!$F$7:$F$66,$N560))</f>
        <v/>
      </c>
      <c r="G560" s="37">
        <f>IF($L560="","",IF(INT($P560/10)=0,"TBA",IFERROR(INDEX(Grids!$EE$157:$GQ$216,$N560,$O560),"-")))</f>
        <v/>
      </c>
      <c r="H560" s="38">
        <f>IF($L560="","",SUM($G$442:$G560))</f>
        <v/>
      </c>
      <c r="I560" s="39">
        <f>IF($L560="","",IF(INT(($L560-INT($L560/10000000)*10000000)/1000000)=0,"Bloomberg projection",IF(INT($P560/10)=1,"Announced","ANNOUNCED - amount TBA"))&amp;IF(($P560-INT($P560/10)*10)=1," (special)","")&amp;IF((($P560-INT($P560/10)*10)=1)*(Summary!$C$13="N")&gt;0," - excluded by your specials switch",""))</f>
        <v/>
      </c>
      <c r="J560" s="40">
        <f>IF($L560="","",IF((Override!$C$4="ON")*ISNUMBER(INDEX(Override!$G$153:$G$212,$N560))&gt;0,"stock overridden",""))</f>
        <v/>
      </c>
      <c r="L560" s="41">
        <f>IFERROR(IF(SMALL(Grids!$C$157:$BO$216,$M$439+119)&gt;=(Summary!$C$15+1)*1000000000,"",SMALL(Grids!$C$157:$BO$216,$M$439+119)),"")</f>
        <v/>
      </c>
      <c r="M560" s="41">
        <f>IF($L560="","",INT($L560/1000000000))</f>
        <v/>
      </c>
      <c r="N560" s="41">
        <f>IF($L560="","",INT(($L560-INT($L560/1000000)*1000000)/1000))</f>
        <v/>
      </c>
      <c r="O560" s="41">
        <f>IF($L560="","",$L560-INT($L560/1000)*1000)</f>
        <v/>
      </c>
      <c r="P560" s="41">
        <f>IF($L560="","",INT(($L560-INT($L560/1000000000)*1000000000)/10000000))</f>
        <v/>
      </c>
    </row>
    <row r="561">
      <c r="B561" s="36">
        <f>IF($L561="","",$M561)</f>
        <v/>
      </c>
      <c r="C561" s="16">
        <f>IF($L561="","",INDEX(HSCEI!$C$7:$C$66,$N561))</f>
        <v/>
      </c>
      <c r="D561" s="16">
        <f>IF($L561="","",INDEX(HSCEI!$D$7:$D$66,$N561))</f>
        <v/>
      </c>
      <c r="E561" s="37">
        <f>IF($L561="","",IF(INT($P561/10)=0,"TBA",IFERROR(INDEX(Grids!$BQ$157:$EC$216,$N561,$O561),"-")))</f>
        <v/>
      </c>
      <c r="F561" s="16">
        <f>IF($L561="","",INDEX(HSCEI!$F$7:$F$66,$N561))</f>
        <v/>
      </c>
      <c r="G561" s="37">
        <f>IF($L561="","",IF(INT($P561/10)=0,"TBA",IFERROR(INDEX(Grids!$EE$157:$GQ$216,$N561,$O561),"-")))</f>
        <v/>
      </c>
      <c r="H561" s="38">
        <f>IF($L561="","",SUM($G$442:$G561))</f>
        <v/>
      </c>
      <c r="I561" s="39">
        <f>IF($L561="","",IF(INT(($L561-INT($L561/10000000)*10000000)/1000000)=0,"Bloomberg projection",IF(INT($P561/10)=1,"Announced","ANNOUNCED - amount TBA"))&amp;IF(($P561-INT($P561/10)*10)=1," (special)","")&amp;IF((($P561-INT($P561/10)*10)=1)*(Summary!$C$13="N")&gt;0," - excluded by your specials switch",""))</f>
        <v/>
      </c>
      <c r="J561" s="40">
        <f>IF($L561="","",IF((Override!$C$4="ON")*ISNUMBER(INDEX(Override!$G$153:$G$212,$N561))&gt;0,"stock overridden",""))</f>
        <v/>
      </c>
      <c r="L561" s="41">
        <f>IFERROR(IF(SMALL(Grids!$C$157:$BO$216,$M$439+120)&gt;=(Summary!$C$15+1)*1000000000,"",SMALL(Grids!$C$157:$BO$216,$M$439+120)),"")</f>
        <v/>
      </c>
      <c r="M561" s="41">
        <f>IF($L561="","",INT($L561/1000000000))</f>
        <v/>
      </c>
      <c r="N561" s="41">
        <f>IF($L561="","",INT(($L561-INT($L561/1000000)*1000000)/1000))</f>
        <v/>
      </c>
      <c r="O561" s="41">
        <f>IF($L561="","",$L561-INT($L561/1000)*1000)</f>
        <v/>
      </c>
      <c r="P561" s="41">
        <f>IF($L561="","",INT(($L561-INT($L561/1000000000)*1000000000)/10000000))</f>
        <v/>
      </c>
    </row>
    <row r="562">
      <c r="B562" s="36">
        <f>IF($L562="","",$M562)</f>
        <v/>
      </c>
      <c r="C562" s="16">
        <f>IF($L562="","",INDEX(HSCEI!$C$7:$C$66,$N562))</f>
        <v/>
      </c>
      <c r="D562" s="16">
        <f>IF($L562="","",INDEX(HSCEI!$D$7:$D$66,$N562))</f>
        <v/>
      </c>
      <c r="E562" s="37">
        <f>IF($L562="","",IF(INT($P562/10)=0,"TBA",IFERROR(INDEX(Grids!$BQ$157:$EC$216,$N562,$O562),"-")))</f>
        <v/>
      </c>
      <c r="F562" s="16">
        <f>IF($L562="","",INDEX(HSCEI!$F$7:$F$66,$N562))</f>
        <v/>
      </c>
      <c r="G562" s="37">
        <f>IF($L562="","",IF(INT($P562/10)=0,"TBA",IFERROR(INDEX(Grids!$EE$157:$GQ$216,$N562,$O562),"-")))</f>
        <v/>
      </c>
      <c r="H562" s="38">
        <f>IF($L562="","",SUM($G$442:$G562))</f>
        <v/>
      </c>
      <c r="I562" s="39">
        <f>IF($L562="","",IF(INT(($L562-INT($L562/10000000)*10000000)/1000000)=0,"Bloomberg projection",IF(INT($P562/10)=1,"Announced","ANNOUNCED - amount TBA"))&amp;IF(($P562-INT($P562/10)*10)=1," (special)","")&amp;IF((($P562-INT($P562/10)*10)=1)*(Summary!$C$13="N")&gt;0," - excluded by your specials switch",""))</f>
        <v/>
      </c>
      <c r="J562" s="40">
        <f>IF($L562="","",IF((Override!$C$4="ON")*ISNUMBER(INDEX(Override!$G$153:$G$212,$N562))&gt;0,"stock overridden",""))</f>
        <v/>
      </c>
      <c r="L562" s="41">
        <f>IFERROR(IF(SMALL(Grids!$C$157:$BO$216,$M$439+121)&gt;=(Summary!$C$15+1)*1000000000,"",SMALL(Grids!$C$157:$BO$216,$M$439+121)),"")</f>
        <v/>
      </c>
      <c r="M562" s="41">
        <f>IF($L562="","",INT($L562/1000000000))</f>
        <v/>
      </c>
      <c r="N562" s="41">
        <f>IF($L562="","",INT(($L562-INT($L562/1000000)*1000000)/1000))</f>
        <v/>
      </c>
      <c r="O562" s="41">
        <f>IF($L562="","",$L562-INT($L562/1000)*1000)</f>
        <v/>
      </c>
      <c r="P562" s="41">
        <f>IF($L562="","",INT(($L562-INT($L562/1000000000)*1000000000)/10000000))</f>
        <v/>
      </c>
    </row>
    <row r="563">
      <c r="B563" s="36">
        <f>IF($L563="","",$M563)</f>
        <v/>
      </c>
      <c r="C563" s="16">
        <f>IF($L563="","",INDEX(HSCEI!$C$7:$C$66,$N563))</f>
        <v/>
      </c>
      <c r="D563" s="16">
        <f>IF($L563="","",INDEX(HSCEI!$D$7:$D$66,$N563))</f>
        <v/>
      </c>
      <c r="E563" s="37">
        <f>IF($L563="","",IF(INT($P563/10)=0,"TBA",IFERROR(INDEX(Grids!$BQ$157:$EC$216,$N563,$O563),"-")))</f>
        <v/>
      </c>
      <c r="F563" s="16">
        <f>IF($L563="","",INDEX(HSCEI!$F$7:$F$66,$N563))</f>
        <v/>
      </c>
      <c r="G563" s="37">
        <f>IF($L563="","",IF(INT($P563/10)=0,"TBA",IFERROR(INDEX(Grids!$EE$157:$GQ$216,$N563,$O563),"-")))</f>
        <v/>
      </c>
      <c r="H563" s="38">
        <f>IF($L563="","",SUM($G$442:$G563))</f>
        <v/>
      </c>
      <c r="I563" s="39">
        <f>IF($L563="","",IF(INT(($L563-INT($L563/10000000)*10000000)/1000000)=0,"Bloomberg projection",IF(INT($P563/10)=1,"Announced","ANNOUNCED - amount TBA"))&amp;IF(($P563-INT($P563/10)*10)=1," (special)","")&amp;IF((($P563-INT($P563/10)*10)=1)*(Summary!$C$13="N")&gt;0," - excluded by your specials switch",""))</f>
        <v/>
      </c>
      <c r="J563" s="40">
        <f>IF($L563="","",IF((Override!$C$4="ON")*ISNUMBER(INDEX(Override!$G$153:$G$212,$N563))&gt;0,"stock overridden",""))</f>
        <v/>
      </c>
      <c r="L563" s="41">
        <f>IFERROR(IF(SMALL(Grids!$C$157:$BO$216,$M$439+122)&gt;=(Summary!$C$15+1)*1000000000,"",SMALL(Grids!$C$157:$BO$216,$M$439+122)),"")</f>
        <v/>
      </c>
      <c r="M563" s="41">
        <f>IF($L563="","",INT($L563/1000000000))</f>
        <v/>
      </c>
      <c r="N563" s="41">
        <f>IF($L563="","",INT(($L563-INT($L563/1000000)*1000000)/1000))</f>
        <v/>
      </c>
      <c r="O563" s="41">
        <f>IF($L563="","",$L563-INT($L563/1000)*1000)</f>
        <v/>
      </c>
      <c r="P563" s="41">
        <f>IF($L563="","",INT(($L563-INT($L563/1000000000)*1000000000)/10000000))</f>
        <v/>
      </c>
    </row>
    <row r="564">
      <c r="B564" s="36">
        <f>IF($L564="","",$M564)</f>
        <v/>
      </c>
      <c r="C564" s="16">
        <f>IF($L564="","",INDEX(HSCEI!$C$7:$C$66,$N564))</f>
        <v/>
      </c>
      <c r="D564" s="16">
        <f>IF($L564="","",INDEX(HSCEI!$D$7:$D$66,$N564))</f>
        <v/>
      </c>
      <c r="E564" s="37">
        <f>IF($L564="","",IF(INT($P564/10)=0,"TBA",IFERROR(INDEX(Grids!$BQ$157:$EC$216,$N564,$O564),"-")))</f>
        <v/>
      </c>
      <c r="F564" s="16">
        <f>IF($L564="","",INDEX(HSCEI!$F$7:$F$66,$N564))</f>
        <v/>
      </c>
      <c r="G564" s="37">
        <f>IF($L564="","",IF(INT($P564/10)=0,"TBA",IFERROR(INDEX(Grids!$EE$157:$GQ$216,$N564,$O564),"-")))</f>
        <v/>
      </c>
      <c r="H564" s="38">
        <f>IF($L564="","",SUM($G$442:$G564))</f>
        <v/>
      </c>
      <c r="I564" s="39">
        <f>IF($L564="","",IF(INT(($L564-INT($L564/10000000)*10000000)/1000000)=0,"Bloomberg projection",IF(INT($P564/10)=1,"Announced","ANNOUNCED - amount TBA"))&amp;IF(($P564-INT($P564/10)*10)=1," (special)","")&amp;IF((($P564-INT($P564/10)*10)=1)*(Summary!$C$13="N")&gt;0," - excluded by your specials switch",""))</f>
        <v/>
      </c>
      <c r="J564" s="40">
        <f>IF($L564="","",IF((Override!$C$4="ON")*ISNUMBER(INDEX(Override!$G$153:$G$212,$N564))&gt;0,"stock overridden",""))</f>
        <v/>
      </c>
      <c r="L564" s="41">
        <f>IFERROR(IF(SMALL(Grids!$C$157:$BO$216,$M$439+123)&gt;=(Summary!$C$15+1)*1000000000,"",SMALL(Grids!$C$157:$BO$216,$M$439+123)),"")</f>
        <v/>
      </c>
      <c r="M564" s="41">
        <f>IF($L564="","",INT($L564/1000000000))</f>
        <v/>
      </c>
      <c r="N564" s="41">
        <f>IF($L564="","",INT(($L564-INT($L564/1000000)*1000000)/1000))</f>
        <v/>
      </c>
      <c r="O564" s="41">
        <f>IF($L564="","",$L564-INT($L564/1000)*1000)</f>
        <v/>
      </c>
      <c r="P564" s="41">
        <f>IF($L564="","",INT(($L564-INT($L564/1000000000)*1000000000)/10000000))</f>
        <v/>
      </c>
    </row>
    <row r="565">
      <c r="B565" s="36">
        <f>IF($L565="","",$M565)</f>
        <v/>
      </c>
      <c r="C565" s="16">
        <f>IF($L565="","",INDEX(HSCEI!$C$7:$C$66,$N565))</f>
        <v/>
      </c>
      <c r="D565" s="16">
        <f>IF($L565="","",INDEX(HSCEI!$D$7:$D$66,$N565))</f>
        <v/>
      </c>
      <c r="E565" s="37">
        <f>IF($L565="","",IF(INT($P565/10)=0,"TBA",IFERROR(INDEX(Grids!$BQ$157:$EC$216,$N565,$O565),"-")))</f>
        <v/>
      </c>
      <c r="F565" s="16">
        <f>IF($L565="","",INDEX(HSCEI!$F$7:$F$66,$N565))</f>
        <v/>
      </c>
      <c r="G565" s="37">
        <f>IF($L565="","",IF(INT($P565/10)=0,"TBA",IFERROR(INDEX(Grids!$EE$157:$GQ$216,$N565,$O565),"-")))</f>
        <v/>
      </c>
      <c r="H565" s="38">
        <f>IF($L565="","",SUM($G$442:$G565))</f>
        <v/>
      </c>
      <c r="I565" s="39">
        <f>IF($L565="","",IF(INT(($L565-INT($L565/10000000)*10000000)/1000000)=0,"Bloomberg projection",IF(INT($P565/10)=1,"Announced","ANNOUNCED - amount TBA"))&amp;IF(($P565-INT($P565/10)*10)=1," (special)","")&amp;IF((($P565-INT($P565/10)*10)=1)*(Summary!$C$13="N")&gt;0," - excluded by your specials switch",""))</f>
        <v/>
      </c>
      <c r="J565" s="40">
        <f>IF($L565="","",IF((Override!$C$4="ON")*ISNUMBER(INDEX(Override!$G$153:$G$212,$N565))&gt;0,"stock overridden",""))</f>
        <v/>
      </c>
      <c r="L565" s="41">
        <f>IFERROR(IF(SMALL(Grids!$C$157:$BO$216,$M$439+124)&gt;=(Summary!$C$15+1)*1000000000,"",SMALL(Grids!$C$157:$BO$216,$M$439+124)),"")</f>
        <v/>
      </c>
      <c r="M565" s="41">
        <f>IF($L565="","",INT($L565/1000000000))</f>
        <v/>
      </c>
      <c r="N565" s="41">
        <f>IF($L565="","",INT(($L565-INT($L565/1000000)*1000000)/1000))</f>
        <v/>
      </c>
      <c r="O565" s="41">
        <f>IF($L565="","",$L565-INT($L565/1000)*1000)</f>
        <v/>
      </c>
      <c r="P565" s="41">
        <f>IF($L565="","",INT(($L565-INT($L565/1000000000)*1000000000)/10000000))</f>
        <v/>
      </c>
    </row>
    <row r="566">
      <c r="B566" s="36">
        <f>IF($L566="","",$M566)</f>
        <v/>
      </c>
      <c r="C566" s="16">
        <f>IF($L566="","",INDEX(HSCEI!$C$7:$C$66,$N566))</f>
        <v/>
      </c>
      <c r="D566" s="16">
        <f>IF($L566="","",INDEX(HSCEI!$D$7:$D$66,$N566))</f>
        <v/>
      </c>
      <c r="E566" s="37">
        <f>IF($L566="","",IF(INT($P566/10)=0,"TBA",IFERROR(INDEX(Grids!$BQ$157:$EC$216,$N566,$O566),"-")))</f>
        <v/>
      </c>
      <c r="F566" s="16">
        <f>IF($L566="","",INDEX(HSCEI!$F$7:$F$66,$N566))</f>
        <v/>
      </c>
      <c r="G566" s="37">
        <f>IF($L566="","",IF(INT($P566/10)=0,"TBA",IFERROR(INDEX(Grids!$EE$157:$GQ$216,$N566,$O566),"-")))</f>
        <v/>
      </c>
      <c r="H566" s="38">
        <f>IF($L566="","",SUM($G$442:$G566))</f>
        <v/>
      </c>
      <c r="I566" s="39">
        <f>IF($L566="","",IF(INT(($L566-INT($L566/10000000)*10000000)/1000000)=0,"Bloomberg projection",IF(INT($P566/10)=1,"Announced","ANNOUNCED - amount TBA"))&amp;IF(($P566-INT($P566/10)*10)=1," (special)","")&amp;IF((($P566-INT($P566/10)*10)=1)*(Summary!$C$13="N")&gt;0," - excluded by your specials switch",""))</f>
        <v/>
      </c>
      <c r="J566" s="40">
        <f>IF($L566="","",IF((Override!$C$4="ON")*ISNUMBER(INDEX(Override!$G$153:$G$212,$N566))&gt;0,"stock overridden",""))</f>
        <v/>
      </c>
      <c r="L566" s="41">
        <f>IFERROR(IF(SMALL(Grids!$C$157:$BO$216,$M$439+125)&gt;=(Summary!$C$15+1)*1000000000,"",SMALL(Grids!$C$157:$BO$216,$M$439+125)),"")</f>
        <v/>
      </c>
      <c r="M566" s="41">
        <f>IF($L566="","",INT($L566/1000000000))</f>
        <v/>
      </c>
      <c r="N566" s="41">
        <f>IF($L566="","",INT(($L566-INT($L566/1000000)*1000000)/1000))</f>
        <v/>
      </c>
      <c r="O566" s="41">
        <f>IF($L566="","",$L566-INT($L566/1000)*1000)</f>
        <v/>
      </c>
      <c r="P566" s="41">
        <f>IF($L566="","",INT(($L566-INT($L566/1000000000)*1000000000)/10000000))</f>
        <v/>
      </c>
    </row>
    <row r="567">
      <c r="B567" s="36">
        <f>IF($L567="","",$M567)</f>
        <v/>
      </c>
      <c r="C567" s="16">
        <f>IF($L567="","",INDEX(HSCEI!$C$7:$C$66,$N567))</f>
        <v/>
      </c>
      <c r="D567" s="16">
        <f>IF($L567="","",INDEX(HSCEI!$D$7:$D$66,$N567))</f>
        <v/>
      </c>
      <c r="E567" s="37">
        <f>IF($L567="","",IF(INT($P567/10)=0,"TBA",IFERROR(INDEX(Grids!$BQ$157:$EC$216,$N567,$O567),"-")))</f>
        <v/>
      </c>
      <c r="F567" s="16">
        <f>IF($L567="","",INDEX(HSCEI!$F$7:$F$66,$N567))</f>
        <v/>
      </c>
      <c r="G567" s="37">
        <f>IF($L567="","",IF(INT($P567/10)=0,"TBA",IFERROR(INDEX(Grids!$EE$157:$GQ$216,$N567,$O567),"-")))</f>
        <v/>
      </c>
      <c r="H567" s="38">
        <f>IF($L567="","",SUM($G$442:$G567))</f>
        <v/>
      </c>
      <c r="I567" s="39">
        <f>IF($L567="","",IF(INT(($L567-INT($L567/10000000)*10000000)/1000000)=0,"Bloomberg projection",IF(INT($P567/10)=1,"Announced","ANNOUNCED - amount TBA"))&amp;IF(($P567-INT($P567/10)*10)=1," (special)","")&amp;IF((($P567-INT($P567/10)*10)=1)*(Summary!$C$13="N")&gt;0," - excluded by your specials switch",""))</f>
        <v/>
      </c>
      <c r="J567" s="40">
        <f>IF($L567="","",IF((Override!$C$4="ON")*ISNUMBER(INDEX(Override!$G$153:$G$212,$N567))&gt;0,"stock overridden",""))</f>
        <v/>
      </c>
      <c r="L567" s="41">
        <f>IFERROR(IF(SMALL(Grids!$C$157:$BO$216,$M$439+126)&gt;=(Summary!$C$15+1)*1000000000,"",SMALL(Grids!$C$157:$BO$216,$M$439+126)),"")</f>
        <v/>
      </c>
      <c r="M567" s="41">
        <f>IF($L567="","",INT($L567/1000000000))</f>
        <v/>
      </c>
      <c r="N567" s="41">
        <f>IF($L567="","",INT(($L567-INT($L567/1000000)*1000000)/1000))</f>
        <v/>
      </c>
      <c r="O567" s="41">
        <f>IF($L567="","",$L567-INT($L567/1000)*1000)</f>
        <v/>
      </c>
      <c r="P567" s="41">
        <f>IF($L567="","",INT(($L567-INT($L567/1000000000)*1000000000)/10000000))</f>
        <v/>
      </c>
    </row>
    <row r="568">
      <c r="B568" s="36">
        <f>IF($L568="","",$M568)</f>
        <v/>
      </c>
      <c r="C568" s="16">
        <f>IF($L568="","",INDEX(HSCEI!$C$7:$C$66,$N568))</f>
        <v/>
      </c>
      <c r="D568" s="16">
        <f>IF($L568="","",INDEX(HSCEI!$D$7:$D$66,$N568))</f>
        <v/>
      </c>
      <c r="E568" s="37">
        <f>IF($L568="","",IF(INT($P568/10)=0,"TBA",IFERROR(INDEX(Grids!$BQ$157:$EC$216,$N568,$O568),"-")))</f>
        <v/>
      </c>
      <c r="F568" s="16">
        <f>IF($L568="","",INDEX(HSCEI!$F$7:$F$66,$N568))</f>
        <v/>
      </c>
      <c r="G568" s="37">
        <f>IF($L568="","",IF(INT($P568/10)=0,"TBA",IFERROR(INDEX(Grids!$EE$157:$GQ$216,$N568,$O568),"-")))</f>
        <v/>
      </c>
      <c r="H568" s="38">
        <f>IF($L568="","",SUM($G$442:$G568))</f>
        <v/>
      </c>
      <c r="I568" s="39">
        <f>IF($L568="","",IF(INT(($L568-INT($L568/10000000)*10000000)/1000000)=0,"Bloomberg projection",IF(INT($P568/10)=1,"Announced","ANNOUNCED - amount TBA"))&amp;IF(($P568-INT($P568/10)*10)=1," (special)","")&amp;IF((($P568-INT($P568/10)*10)=1)*(Summary!$C$13="N")&gt;0," - excluded by your specials switch",""))</f>
        <v/>
      </c>
      <c r="J568" s="40">
        <f>IF($L568="","",IF((Override!$C$4="ON")*ISNUMBER(INDEX(Override!$G$153:$G$212,$N568))&gt;0,"stock overridden",""))</f>
        <v/>
      </c>
      <c r="L568" s="41">
        <f>IFERROR(IF(SMALL(Grids!$C$157:$BO$216,$M$439+127)&gt;=(Summary!$C$15+1)*1000000000,"",SMALL(Grids!$C$157:$BO$216,$M$439+127)),"")</f>
        <v/>
      </c>
      <c r="M568" s="41">
        <f>IF($L568="","",INT($L568/1000000000))</f>
        <v/>
      </c>
      <c r="N568" s="41">
        <f>IF($L568="","",INT(($L568-INT($L568/1000000)*1000000)/1000))</f>
        <v/>
      </c>
      <c r="O568" s="41">
        <f>IF($L568="","",$L568-INT($L568/1000)*1000)</f>
        <v/>
      </c>
      <c r="P568" s="41">
        <f>IF($L568="","",INT(($L568-INT($L568/1000000000)*1000000000)/10000000))</f>
        <v/>
      </c>
    </row>
    <row r="569">
      <c r="B569" s="36">
        <f>IF($L569="","",$M569)</f>
        <v/>
      </c>
      <c r="C569" s="16">
        <f>IF($L569="","",INDEX(HSCEI!$C$7:$C$66,$N569))</f>
        <v/>
      </c>
      <c r="D569" s="16">
        <f>IF($L569="","",INDEX(HSCEI!$D$7:$D$66,$N569))</f>
        <v/>
      </c>
      <c r="E569" s="37">
        <f>IF($L569="","",IF(INT($P569/10)=0,"TBA",IFERROR(INDEX(Grids!$BQ$157:$EC$216,$N569,$O569),"-")))</f>
        <v/>
      </c>
      <c r="F569" s="16">
        <f>IF($L569="","",INDEX(HSCEI!$F$7:$F$66,$N569))</f>
        <v/>
      </c>
      <c r="G569" s="37">
        <f>IF($L569="","",IF(INT($P569/10)=0,"TBA",IFERROR(INDEX(Grids!$EE$157:$GQ$216,$N569,$O569),"-")))</f>
        <v/>
      </c>
      <c r="H569" s="38">
        <f>IF($L569="","",SUM($G$442:$G569))</f>
        <v/>
      </c>
      <c r="I569" s="39">
        <f>IF($L569="","",IF(INT(($L569-INT($L569/10000000)*10000000)/1000000)=0,"Bloomberg projection",IF(INT($P569/10)=1,"Announced","ANNOUNCED - amount TBA"))&amp;IF(($P569-INT($P569/10)*10)=1," (special)","")&amp;IF((($P569-INT($P569/10)*10)=1)*(Summary!$C$13="N")&gt;0," - excluded by your specials switch",""))</f>
        <v/>
      </c>
      <c r="J569" s="40">
        <f>IF($L569="","",IF((Override!$C$4="ON")*ISNUMBER(INDEX(Override!$G$153:$G$212,$N569))&gt;0,"stock overridden",""))</f>
        <v/>
      </c>
      <c r="L569" s="41">
        <f>IFERROR(IF(SMALL(Grids!$C$157:$BO$216,$M$439+128)&gt;=(Summary!$C$15+1)*1000000000,"",SMALL(Grids!$C$157:$BO$216,$M$439+128)),"")</f>
        <v/>
      </c>
      <c r="M569" s="41">
        <f>IF($L569="","",INT($L569/1000000000))</f>
        <v/>
      </c>
      <c r="N569" s="41">
        <f>IF($L569="","",INT(($L569-INT($L569/1000000)*1000000)/1000))</f>
        <v/>
      </c>
      <c r="O569" s="41">
        <f>IF($L569="","",$L569-INT($L569/1000)*1000)</f>
        <v/>
      </c>
      <c r="P569" s="41">
        <f>IF($L569="","",INT(($L569-INT($L569/1000000000)*1000000000)/10000000))</f>
        <v/>
      </c>
    </row>
    <row r="570">
      <c r="B570" s="36">
        <f>IF($L570="","",$M570)</f>
        <v/>
      </c>
      <c r="C570" s="16">
        <f>IF($L570="","",INDEX(HSCEI!$C$7:$C$66,$N570))</f>
        <v/>
      </c>
      <c r="D570" s="16">
        <f>IF($L570="","",INDEX(HSCEI!$D$7:$D$66,$N570))</f>
        <v/>
      </c>
      <c r="E570" s="37">
        <f>IF($L570="","",IF(INT($P570/10)=0,"TBA",IFERROR(INDEX(Grids!$BQ$157:$EC$216,$N570,$O570),"-")))</f>
        <v/>
      </c>
      <c r="F570" s="16">
        <f>IF($L570="","",INDEX(HSCEI!$F$7:$F$66,$N570))</f>
        <v/>
      </c>
      <c r="G570" s="37">
        <f>IF($L570="","",IF(INT($P570/10)=0,"TBA",IFERROR(INDEX(Grids!$EE$157:$GQ$216,$N570,$O570),"-")))</f>
        <v/>
      </c>
      <c r="H570" s="38">
        <f>IF($L570="","",SUM($G$442:$G570))</f>
        <v/>
      </c>
      <c r="I570" s="39">
        <f>IF($L570="","",IF(INT(($L570-INT($L570/10000000)*10000000)/1000000)=0,"Bloomberg projection",IF(INT($P570/10)=1,"Announced","ANNOUNCED - amount TBA"))&amp;IF(($P570-INT($P570/10)*10)=1," (special)","")&amp;IF((($P570-INT($P570/10)*10)=1)*(Summary!$C$13="N")&gt;0," - excluded by your specials switch",""))</f>
        <v/>
      </c>
      <c r="J570" s="40">
        <f>IF($L570="","",IF((Override!$C$4="ON")*ISNUMBER(INDEX(Override!$G$153:$G$212,$N570))&gt;0,"stock overridden",""))</f>
        <v/>
      </c>
      <c r="L570" s="41">
        <f>IFERROR(IF(SMALL(Grids!$C$157:$BO$216,$M$439+129)&gt;=(Summary!$C$15+1)*1000000000,"",SMALL(Grids!$C$157:$BO$216,$M$439+129)),"")</f>
        <v/>
      </c>
      <c r="M570" s="41">
        <f>IF($L570="","",INT($L570/1000000000))</f>
        <v/>
      </c>
      <c r="N570" s="41">
        <f>IF($L570="","",INT(($L570-INT($L570/1000000)*1000000)/1000))</f>
        <v/>
      </c>
      <c r="O570" s="41">
        <f>IF($L570="","",$L570-INT($L570/1000)*1000)</f>
        <v/>
      </c>
      <c r="P570" s="41">
        <f>IF($L570="","",INT(($L570-INT($L570/1000000000)*1000000000)/10000000))</f>
        <v/>
      </c>
    </row>
    <row r="571">
      <c r="B571" s="36">
        <f>IF($L571="","",$M571)</f>
        <v/>
      </c>
      <c r="C571" s="16">
        <f>IF($L571="","",INDEX(HSCEI!$C$7:$C$66,$N571))</f>
        <v/>
      </c>
      <c r="D571" s="16">
        <f>IF($L571="","",INDEX(HSCEI!$D$7:$D$66,$N571))</f>
        <v/>
      </c>
      <c r="E571" s="37">
        <f>IF($L571="","",IF(INT($P571/10)=0,"TBA",IFERROR(INDEX(Grids!$BQ$157:$EC$216,$N571,$O571),"-")))</f>
        <v/>
      </c>
      <c r="F571" s="16">
        <f>IF($L571="","",INDEX(HSCEI!$F$7:$F$66,$N571))</f>
        <v/>
      </c>
      <c r="G571" s="37">
        <f>IF($L571="","",IF(INT($P571/10)=0,"TBA",IFERROR(INDEX(Grids!$EE$157:$GQ$216,$N571,$O571),"-")))</f>
        <v/>
      </c>
      <c r="H571" s="38">
        <f>IF($L571="","",SUM($G$442:$G571))</f>
        <v/>
      </c>
      <c r="I571" s="39">
        <f>IF($L571="","",IF(INT(($L571-INT($L571/10000000)*10000000)/1000000)=0,"Bloomberg projection",IF(INT($P571/10)=1,"Announced","ANNOUNCED - amount TBA"))&amp;IF(($P571-INT($P571/10)*10)=1," (special)","")&amp;IF((($P571-INT($P571/10)*10)=1)*(Summary!$C$13="N")&gt;0," - excluded by your specials switch",""))</f>
        <v/>
      </c>
      <c r="J571" s="40">
        <f>IF($L571="","",IF((Override!$C$4="ON")*ISNUMBER(INDEX(Override!$G$153:$G$212,$N571))&gt;0,"stock overridden",""))</f>
        <v/>
      </c>
      <c r="L571" s="41">
        <f>IFERROR(IF(SMALL(Grids!$C$157:$BO$216,$M$439+130)&gt;=(Summary!$C$15+1)*1000000000,"",SMALL(Grids!$C$157:$BO$216,$M$439+130)),"")</f>
        <v/>
      </c>
      <c r="M571" s="41">
        <f>IF($L571="","",INT($L571/1000000000))</f>
        <v/>
      </c>
      <c r="N571" s="41">
        <f>IF($L571="","",INT(($L571-INT($L571/1000000)*1000000)/1000))</f>
        <v/>
      </c>
      <c r="O571" s="41">
        <f>IF($L571="","",$L571-INT($L571/1000)*1000)</f>
        <v/>
      </c>
      <c r="P571" s="41">
        <f>IF($L571="","",INT(($L571-INT($L571/1000000000)*1000000000)/10000000))</f>
        <v/>
      </c>
    </row>
    <row r="572">
      <c r="B572" s="36">
        <f>IF($L572="","",$M572)</f>
        <v/>
      </c>
      <c r="C572" s="16">
        <f>IF($L572="","",INDEX(HSCEI!$C$7:$C$66,$N572))</f>
        <v/>
      </c>
      <c r="D572" s="16">
        <f>IF($L572="","",INDEX(HSCEI!$D$7:$D$66,$N572))</f>
        <v/>
      </c>
      <c r="E572" s="37">
        <f>IF($L572="","",IF(INT($P572/10)=0,"TBA",IFERROR(INDEX(Grids!$BQ$157:$EC$216,$N572,$O572),"-")))</f>
        <v/>
      </c>
      <c r="F572" s="16">
        <f>IF($L572="","",INDEX(HSCEI!$F$7:$F$66,$N572))</f>
        <v/>
      </c>
      <c r="G572" s="37">
        <f>IF($L572="","",IF(INT($P572/10)=0,"TBA",IFERROR(INDEX(Grids!$EE$157:$GQ$216,$N572,$O572),"-")))</f>
        <v/>
      </c>
      <c r="H572" s="38">
        <f>IF($L572="","",SUM($G$442:$G572))</f>
        <v/>
      </c>
      <c r="I572" s="39">
        <f>IF($L572="","",IF(INT(($L572-INT($L572/10000000)*10000000)/1000000)=0,"Bloomberg projection",IF(INT($P572/10)=1,"Announced","ANNOUNCED - amount TBA"))&amp;IF(($P572-INT($P572/10)*10)=1," (special)","")&amp;IF((($P572-INT($P572/10)*10)=1)*(Summary!$C$13="N")&gt;0," - excluded by your specials switch",""))</f>
        <v/>
      </c>
      <c r="J572" s="40">
        <f>IF($L572="","",IF((Override!$C$4="ON")*ISNUMBER(INDEX(Override!$G$153:$G$212,$N572))&gt;0,"stock overridden",""))</f>
        <v/>
      </c>
      <c r="L572" s="41">
        <f>IFERROR(IF(SMALL(Grids!$C$157:$BO$216,$M$439+131)&gt;=(Summary!$C$15+1)*1000000000,"",SMALL(Grids!$C$157:$BO$216,$M$439+131)),"")</f>
        <v/>
      </c>
      <c r="M572" s="41">
        <f>IF($L572="","",INT($L572/1000000000))</f>
        <v/>
      </c>
      <c r="N572" s="41">
        <f>IF($L572="","",INT(($L572-INT($L572/1000000)*1000000)/1000))</f>
        <v/>
      </c>
      <c r="O572" s="41">
        <f>IF($L572="","",$L572-INT($L572/1000)*1000)</f>
        <v/>
      </c>
      <c r="P572" s="41">
        <f>IF($L572="","",INT(($L572-INT($L572/1000000000)*1000000000)/10000000))</f>
        <v/>
      </c>
    </row>
    <row r="573">
      <c r="B573" s="36">
        <f>IF($L573="","",$M573)</f>
        <v/>
      </c>
      <c r="C573" s="16">
        <f>IF($L573="","",INDEX(HSCEI!$C$7:$C$66,$N573))</f>
        <v/>
      </c>
      <c r="D573" s="16">
        <f>IF($L573="","",INDEX(HSCEI!$D$7:$D$66,$N573))</f>
        <v/>
      </c>
      <c r="E573" s="37">
        <f>IF($L573="","",IF(INT($P573/10)=0,"TBA",IFERROR(INDEX(Grids!$BQ$157:$EC$216,$N573,$O573),"-")))</f>
        <v/>
      </c>
      <c r="F573" s="16">
        <f>IF($L573="","",INDEX(HSCEI!$F$7:$F$66,$N573))</f>
        <v/>
      </c>
      <c r="G573" s="37">
        <f>IF($L573="","",IF(INT($P573/10)=0,"TBA",IFERROR(INDEX(Grids!$EE$157:$GQ$216,$N573,$O573),"-")))</f>
        <v/>
      </c>
      <c r="H573" s="38">
        <f>IF($L573="","",SUM($G$442:$G573))</f>
        <v/>
      </c>
      <c r="I573" s="39">
        <f>IF($L573="","",IF(INT(($L573-INT($L573/10000000)*10000000)/1000000)=0,"Bloomberg projection",IF(INT($P573/10)=1,"Announced","ANNOUNCED - amount TBA"))&amp;IF(($P573-INT($P573/10)*10)=1," (special)","")&amp;IF((($P573-INT($P573/10)*10)=1)*(Summary!$C$13="N")&gt;0," - excluded by your specials switch",""))</f>
        <v/>
      </c>
      <c r="J573" s="40">
        <f>IF($L573="","",IF((Override!$C$4="ON")*ISNUMBER(INDEX(Override!$G$153:$G$212,$N573))&gt;0,"stock overridden",""))</f>
        <v/>
      </c>
      <c r="L573" s="41">
        <f>IFERROR(IF(SMALL(Grids!$C$157:$BO$216,$M$439+132)&gt;=(Summary!$C$15+1)*1000000000,"",SMALL(Grids!$C$157:$BO$216,$M$439+132)),"")</f>
        <v/>
      </c>
      <c r="M573" s="41">
        <f>IF($L573="","",INT($L573/1000000000))</f>
        <v/>
      </c>
      <c r="N573" s="41">
        <f>IF($L573="","",INT(($L573-INT($L573/1000000)*1000000)/1000))</f>
        <v/>
      </c>
      <c r="O573" s="41">
        <f>IF($L573="","",$L573-INT($L573/1000)*1000)</f>
        <v/>
      </c>
      <c r="P573" s="41">
        <f>IF($L573="","",INT(($L573-INT($L573/1000000000)*1000000000)/10000000))</f>
        <v/>
      </c>
    </row>
    <row r="574">
      <c r="B574" s="36">
        <f>IF($L574="","",$M574)</f>
        <v/>
      </c>
      <c r="C574" s="16">
        <f>IF($L574="","",INDEX(HSCEI!$C$7:$C$66,$N574))</f>
        <v/>
      </c>
      <c r="D574" s="16">
        <f>IF($L574="","",INDEX(HSCEI!$D$7:$D$66,$N574))</f>
        <v/>
      </c>
      <c r="E574" s="37">
        <f>IF($L574="","",IF(INT($P574/10)=0,"TBA",IFERROR(INDEX(Grids!$BQ$157:$EC$216,$N574,$O574),"-")))</f>
        <v/>
      </c>
      <c r="F574" s="16">
        <f>IF($L574="","",INDEX(HSCEI!$F$7:$F$66,$N574))</f>
        <v/>
      </c>
      <c r="G574" s="37">
        <f>IF($L574="","",IF(INT($P574/10)=0,"TBA",IFERROR(INDEX(Grids!$EE$157:$GQ$216,$N574,$O574),"-")))</f>
        <v/>
      </c>
      <c r="H574" s="38">
        <f>IF($L574="","",SUM($G$442:$G574))</f>
        <v/>
      </c>
      <c r="I574" s="39">
        <f>IF($L574="","",IF(INT(($L574-INT($L574/10000000)*10000000)/1000000)=0,"Bloomberg projection",IF(INT($P574/10)=1,"Announced","ANNOUNCED - amount TBA"))&amp;IF(($P574-INT($P574/10)*10)=1," (special)","")&amp;IF((($P574-INT($P574/10)*10)=1)*(Summary!$C$13="N")&gt;0," - excluded by your specials switch",""))</f>
        <v/>
      </c>
      <c r="J574" s="40">
        <f>IF($L574="","",IF((Override!$C$4="ON")*ISNUMBER(INDEX(Override!$G$153:$G$212,$N574))&gt;0,"stock overridden",""))</f>
        <v/>
      </c>
      <c r="L574" s="41">
        <f>IFERROR(IF(SMALL(Grids!$C$157:$BO$216,$M$439+133)&gt;=(Summary!$C$15+1)*1000000000,"",SMALL(Grids!$C$157:$BO$216,$M$439+133)),"")</f>
        <v/>
      </c>
      <c r="M574" s="41">
        <f>IF($L574="","",INT($L574/1000000000))</f>
        <v/>
      </c>
      <c r="N574" s="41">
        <f>IF($L574="","",INT(($L574-INT($L574/1000000)*1000000)/1000))</f>
        <v/>
      </c>
      <c r="O574" s="41">
        <f>IF($L574="","",$L574-INT($L574/1000)*1000)</f>
        <v/>
      </c>
      <c r="P574" s="41">
        <f>IF($L574="","",INT(($L574-INT($L574/1000000000)*1000000000)/10000000))</f>
        <v/>
      </c>
    </row>
    <row r="575">
      <c r="B575" s="36">
        <f>IF($L575="","",$M575)</f>
        <v/>
      </c>
      <c r="C575" s="16">
        <f>IF($L575="","",INDEX(HSCEI!$C$7:$C$66,$N575))</f>
        <v/>
      </c>
      <c r="D575" s="16">
        <f>IF($L575="","",INDEX(HSCEI!$D$7:$D$66,$N575))</f>
        <v/>
      </c>
      <c r="E575" s="37">
        <f>IF($L575="","",IF(INT($P575/10)=0,"TBA",IFERROR(INDEX(Grids!$BQ$157:$EC$216,$N575,$O575),"-")))</f>
        <v/>
      </c>
      <c r="F575" s="16">
        <f>IF($L575="","",INDEX(HSCEI!$F$7:$F$66,$N575))</f>
        <v/>
      </c>
      <c r="G575" s="37">
        <f>IF($L575="","",IF(INT($P575/10)=0,"TBA",IFERROR(INDEX(Grids!$EE$157:$GQ$216,$N575,$O575),"-")))</f>
        <v/>
      </c>
      <c r="H575" s="38">
        <f>IF($L575="","",SUM($G$442:$G575))</f>
        <v/>
      </c>
      <c r="I575" s="39">
        <f>IF($L575="","",IF(INT(($L575-INT($L575/10000000)*10000000)/1000000)=0,"Bloomberg projection",IF(INT($P575/10)=1,"Announced","ANNOUNCED - amount TBA"))&amp;IF(($P575-INT($P575/10)*10)=1," (special)","")&amp;IF((($P575-INT($P575/10)*10)=1)*(Summary!$C$13="N")&gt;0," - excluded by your specials switch",""))</f>
        <v/>
      </c>
      <c r="J575" s="40">
        <f>IF($L575="","",IF((Override!$C$4="ON")*ISNUMBER(INDEX(Override!$G$153:$G$212,$N575))&gt;0,"stock overridden",""))</f>
        <v/>
      </c>
      <c r="L575" s="41">
        <f>IFERROR(IF(SMALL(Grids!$C$157:$BO$216,$M$439+134)&gt;=(Summary!$C$15+1)*1000000000,"",SMALL(Grids!$C$157:$BO$216,$M$439+134)),"")</f>
        <v/>
      </c>
      <c r="M575" s="41">
        <f>IF($L575="","",INT($L575/1000000000))</f>
        <v/>
      </c>
      <c r="N575" s="41">
        <f>IF($L575="","",INT(($L575-INT($L575/1000000)*1000000)/1000))</f>
        <v/>
      </c>
      <c r="O575" s="41">
        <f>IF($L575="","",$L575-INT($L575/1000)*1000)</f>
        <v/>
      </c>
      <c r="P575" s="41">
        <f>IF($L575="","",INT(($L575-INT($L575/1000000000)*1000000000)/10000000))</f>
        <v/>
      </c>
    </row>
    <row r="576">
      <c r="B576" s="36">
        <f>IF($L576="","",$M576)</f>
        <v/>
      </c>
      <c r="C576" s="16">
        <f>IF($L576="","",INDEX(HSCEI!$C$7:$C$66,$N576))</f>
        <v/>
      </c>
      <c r="D576" s="16">
        <f>IF($L576="","",INDEX(HSCEI!$D$7:$D$66,$N576))</f>
        <v/>
      </c>
      <c r="E576" s="37">
        <f>IF($L576="","",IF(INT($P576/10)=0,"TBA",IFERROR(INDEX(Grids!$BQ$157:$EC$216,$N576,$O576),"-")))</f>
        <v/>
      </c>
      <c r="F576" s="16">
        <f>IF($L576="","",INDEX(HSCEI!$F$7:$F$66,$N576))</f>
        <v/>
      </c>
      <c r="G576" s="37">
        <f>IF($L576="","",IF(INT($P576/10)=0,"TBA",IFERROR(INDEX(Grids!$EE$157:$GQ$216,$N576,$O576),"-")))</f>
        <v/>
      </c>
      <c r="H576" s="38">
        <f>IF($L576="","",SUM($G$442:$G576))</f>
        <v/>
      </c>
      <c r="I576" s="39">
        <f>IF($L576="","",IF(INT(($L576-INT($L576/10000000)*10000000)/1000000)=0,"Bloomberg projection",IF(INT($P576/10)=1,"Announced","ANNOUNCED - amount TBA"))&amp;IF(($P576-INT($P576/10)*10)=1," (special)","")&amp;IF((($P576-INT($P576/10)*10)=1)*(Summary!$C$13="N")&gt;0," - excluded by your specials switch",""))</f>
        <v/>
      </c>
      <c r="J576" s="40">
        <f>IF($L576="","",IF((Override!$C$4="ON")*ISNUMBER(INDEX(Override!$G$153:$G$212,$N576))&gt;0,"stock overridden",""))</f>
        <v/>
      </c>
      <c r="L576" s="41">
        <f>IFERROR(IF(SMALL(Grids!$C$157:$BO$216,$M$439+135)&gt;=(Summary!$C$15+1)*1000000000,"",SMALL(Grids!$C$157:$BO$216,$M$439+135)),"")</f>
        <v/>
      </c>
      <c r="M576" s="41">
        <f>IF($L576="","",INT($L576/1000000000))</f>
        <v/>
      </c>
      <c r="N576" s="41">
        <f>IF($L576="","",INT(($L576-INT($L576/1000000)*1000000)/1000))</f>
        <v/>
      </c>
      <c r="O576" s="41">
        <f>IF($L576="","",$L576-INT($L576/1000)*1000)</f>
        <v/>
      </c>
      <c r="P576" s="41">
        <f>IF($L576="","",INT(($L576-INT($L576/1000000000)*1000000000)/10000000))</f>
        <v/>
      </c>
    </row>
    <row r="577">
      <c r="B577" s="36">
        <f>IF($L577="","",$M577)</f>
        <v/>
      </c>
      <c r="C577" s="16">
        <f>IF($L577="","",INDEX(HSCEI!$C$7:$C$66,$N577))</f>
        <v/>
      </c>
      <c r="D577" s="16">
        <f>IF($L577="","",INDEX(HSCEI!$D$7:$D$66,$N577))</f>
        <v/>
      </c>
      <c r="E577" s="37">
        <f>IF($L577="","",IF(INT($P577/10)=0,"TBA",IFERROR(INDEX(Grids!$BQ$157:$EC$216,$N577,$O577),"-")))</f>
        <v/>
      </c>
      <c r="F577" s="16">
        <f>IF($L577="","",INDEX(HSCEI!$F$7:$F$66,$N577))</f>
        <v/>
      </c>
      <c r="G577" s="37">
        <f>IF($L577="","",IF(INT($P577/10)=0,"TBA",IFERROR(INDEX(Grids!$EE$157:$GQ$216,$N577,$O577),"-")))</f>
        <v/>
      </c>
      <c r="H577" s="38">
        <f>IF($L577="","",SUM($G$442:$G577))</f>
        <v/>
      </c>
      <c r="I577" s="39">
        <f>IF($L577="","",IF(INT(($L577-INT($L577/10000000)*10000000)/1000000)=0,"Bloomberg projection",IF(INT($P577/10)=1,"Announced","ANNOUNCED - amount TBA"))&amp;IF(($P577-INT($P577/10)*10)=1," (special)","")&amp;IF((($P577-INT($P577/10)*10)=1)*(Summary!$C$13="N")&gt;0," - excluded by your specials switch",""))</f>
        <v/>
      </c>
      <c r="J577" s="40">
        <f>IF($L577="","",IF((Override!$C$4="ON")*ISNUMBER(INDEX(Override!$G$153:$G$212,$N577))&gt;0,"stock overridden",""))</f>
        <v/>
      </c>
      <c r="L577" s="41">
        <f>IFERROR(IF(SMALL(Grids!$C$157:$BO$216,$M$439+136)&gt;=(Summary!$C$15+1)*1000000000,"",SMALL(Grids!$C$157:$BO$216,$M$439+136)),"")</f>
        <v/>
      </c>
      <c r="M577" s="41">
        <f>IF($L577="","",INT($L577/1000000000))</f>
        <v/>
      </c>
      <c r="N577" s="41">
        <f>IF($L577="","",INT(($L577-INT($L577/1000000)*1000000)/1000))</f>
        <v/>
      </c>
      <c r="O577" s="41">
        <f>IF($L577="","",$L577-INT($L577/1000)*1000)</f>
        <v/>
      </c>
      <c r="P577" s="41">
        <f>IF($L577="","",INT(($L577-INT($L577/1000000000)*1000000000)/10000000))</f>
        <v/>
      </c>
    </row>
    <row r="578">
      <c r="B578" s="36">
        <f>IF($L578="","",$M578)</f>
        <v/>
      </c>
      <c r="C578" s="16">
        <f>IF($L578="","",INDEX(HSCEI!$C$7:$C$66,$N578))</f>
        <v/>
      </c>
      <c r="D578" s="16">
        <f>IF($L578="","",INDEX(HSCEI!$D$7:$D$66,$N578))</f>
        <v/>
      </c>
      <c r="E578" s="37">
        <f>IF($L578="","",IF(INT($P578/10)=0,"TBA",IFERROR(INDEX(Grids!$BQ$157:$EC$216,$N578,$O578),"-")))</f>
        <v/>
      </c>
      <c r="F578" s="16">
        <f>IF($L578="","",INDEX(HSCEI!$F$7:$F$66,$N578))</f>
        <v/>
      </c>
      <c r="G578" s="37">
        <f>IF($L578="","",IF(INT($P578/10)=0,"TBA",IFERROR(INDEX(Grids!$EE$157:$GQ$216,$N578,$O578),"-")))</f>
        <v/>
      </c>
      <c r="H578" s="38">
        <f>IF($L578="","",SUM($G$442:$G578))</f>
        <v/>
      </c>
      <c r="I578" s="39">
        <f>IF($L578="","",IF(INT(($L578-INT($L578/10000000)*10000000)/1000000)=0,"Bloomberg projection",IF(INT($P578/10)=1,"Announced","ANNOUNCED - amount TBA"))&amp;IF(($P578-INT($P578/10)*10)=1," (special)","")&amp;IF((($P578-INT($P578/10)*10)=1)*(Summary!$C$13="N")&gt;0," - excluded by your specials switch",""))</f>
        <v/>
      </c>
      <c r="J578" s="40">
        <f>IF($L578="","",IF((Override!$C$4="ON")*ISNUMBER(INDEX(Override!$G$153:$G$212,$N578))&gt;0,"stock overridden",""))</f>
        <v/>
      </c>
      <c r="L578" s="41">
        <f>IFERROR(IF(SMALL(Grids!$C$157:$BO$216,$M$439+137)&gt;=(Summary!$C$15+1)*1000000000,"",SMALL(Grids!$C$157:$BO$216,$M$439+137)),"")</f>
        <v/>
      </c>
      <c r="M578" s="41">
        <f>IF($L578="","",INT($L578/1000000000))</f>
        <v/>
      </c>
      <c r="N578" s="41">
        <f>IF($L578="","",INT(($L578-INT($L578/1000000)*1000000)/1000))</f>
        <v/>
      </c>
      <c r="O578" s="41">
        <f>IF($L578="","",$L578-INT($L578/1000)*1000)</f>
        <v/>
      </c>
      <c r="P578" s="41">
        <f>IF($L578="","",INT(($L578-INT($L578/1000000000)*1000000000)/10000000))</f>
        <v/>
      </c>
    </row>
    <row r="579">
      <c r="B579" s="36">
        <f>IF($L579="","",$M579)</f>
        <v/>
      </c>
      <c r="C579" s="16">
        <f>IF($L579="","",INDEX(HSCEI!$C$7:$C$66,$N579))</f>
        <v/>
      </c>
      <c r="D579" s="16">
        <f>IF($L579="","",INDEX(HSCEI!$D$7:$D$66,$N579))</f>
        <v/>
      </c>
      <c r="E579" s="37">
        <f>IF($L579="","",IF(INT($P579/10)=0,"TBA",IFERROR(INDEX(Grids!$BQ$157:$EC$216,$N579,$O579),"-")))</f>
        <v/>
      </c>
      <c r="F579" s="16">
        <f>IF($L579="","",INDEX(HSCEI!$F$7:$F$66,$N579))</f>
        <v/>
      </c>
      <c r="G579" s="37">
        <f>IF($L579="","",IF(INT($P579/10)=0,"TBA",IFERROR(INDEX(Grids!$EE$157:$GQ$216,$N579,$O579),"-")))</f>
        <v/>
      </c>
      <c r="H579" s="38">
        <f>IF($L579="","",SUM($G$442:$G579))</f>
        <v/>
      </c>
      <c r="I579" s="39">
        <f>IF($L579="","",IF(INT(($L579-INT($L579/10000000)*10000000)/1000000)=0,"Bloomberg projection",IF(INT($P579/10)=1,"Announced","ANNOUNCED - amount TBA"))&amp;IF(($P579-INT($P579/10)*10)=1," (special)","")&amp;IF((($P579-INT($P579/10)*10)=1)*(Summary!$C$13="N")&gt;0," - excluded by your specials switch",""))</f>
        <v/>
      </c>
      <c r="J579" s="40">
        <f>IF($L579="","",IF((Override!$C$4="ON")*ISNUMBER(INDEX(Override!$G$153:$G$212,$N579))&gt;0,"stock overridden",""))</f>
        <v/>
      </c>
      <c r="L579" s="41">
        <f>IFERROR(IF(SMALL(Grids!$C$157:$BO$216,$M$439+138)&gt;=(Summary!$C$15+1)*1000000000,"",SMALL(Grids!$C$157:$BO$216,$M$439+138)),"")</f>
        <v/>
      </c>
      <c r="M579" s="41">
        <f>IF($L579="","",INT($L579/1000000000))</f>
        <v/>
      </c>
      <c r="N579" s="41">
        <f>IF($L579="","",INT(($L579-INT($L579/1000000)*1000000)/1000))</f>
        <v/>
      </c>
      <c r="O579" s="41">
        <f>IF($L579="","",$L579-INT($L579/1000)*1000)</f>
        <v/>
      </c>
      <c r="P579" s="41">
        <f>IF($L579="","",INT(($L579-INT($L579/1000000000)*1000000000)/10000000))</f>
        <v/>
      </c>
    </row>
    <row r="580">
      <c r="B580" s="36">
        <f>IF($L580="","",$M580)</f>
        <v/>
      </c>
      <c r="C580" s="16">
        <f>IF($L580="","",INDEX(HSCEI!$C$7:$C$66,$N580))</f>
        <v/>
      </c>
      <c r="D580" s="16">
        <f>IF($L580="","",INDEX(HSCEI!$D$7:$D$66,$N580))</f>
        <v/>
      </c>
      <c r="E580" s="37">
        <f>IF($L580="","",IF(INT($P580/10)=0,"TBA",IFERROR(INDEX(Grids!$BQ$157:$EC$216,$N580,$O580),"-")))</f>
        <v/>
      </c>
      <c r="F580" s="16">
        <f>IF($L580="","",INDEX(HSCEI!$F$7:$F$66,$N580))</f>
        <v/>
      </c>
      <c r="G580" s="37">
        <f>IF($L580="","",IF(INT($P580/10)=0,"TBA",IFERROR(INDEX(Grids!$EE$157:$GQ$216,$N580,$O580),"-")))</f>
        <v/>
      </c>
      <c r="H580" s="38">
        <f>IF($L580="","",SUM($G$442:$G580))</f>
        <v/>
      </c>
      <c r="I580" s="39">
        <f>IF($L580="","",IF(INT(($L580-INT($L580/10000000)*10000000)/1000000)=0,"Bloomberg projection",IF(INT($P580/10)=1,"Announced","ANNOUNCED - amount TBA"))&amp;IF(($P580-INT($P580/10)*10)=1," (special)","")&amp;IF((($P580-INT($P580/10)*10)=1)*(Summary!$C$13="N")&gt;0," - excluded by your specials switch",""))</f>
        <v/>
      </c>
      <c r="J580" s="40">
        <f>IF($L580="","",IF((Override!$C$4="ON")*ISNUMBER(INDEX(Override!$G$153:$G$212,$N580))&gt;0,"stock overridden",""))</f>
        <v/>
      </c>
      <c r="L580" s="41">
        <f>IFERROR(IF(SMALL(Grids!$C$157:$BO$216,$M$439+139)&gt;=(Summary!$C$15+1)*1000000000,"",SMALL(Grids!$C$157:$BO$216,$M$439+139)),"")</f>
        <v/>
      </c>
      <c r="M580" s="41">
        <f>IF($L580="","",INT($L580/1000000000))</f>
        <v/>
      </c>
      <c r="N580" s="41">
        <f>IF($L580="","",INT(($L580-INT($L580/1000000)*1000000)/1000))</f>
        <v/>
      </c>
      <c r="O580" s="41">
        <f>IF($L580="","",$L580-INT($L580/1000)*1000)</f>
        <v/>
      </c>
      <c r="P580" s="41">
        <f>IF($L580="","",INT(($L580-INT($L580/1000000000)*1000000000)/10000000))</f>
        <v/>
      </c>
    </row>
    <row r="581">
      <c r="B581" s="36">
        <f>IF($L581="","",$M581)</f>
        <v/>
      </c>
      <c r="C581" s="16">
        <f>IF($L581="","",INDEX(HSCEI!$C$7:$C$66,$N581))</f>
        <v/>
      </c>
      <c r="D581" s="16">
        <f>IF($L581="","",INDEX(HSCEI!$D$7:$D$66,$N581))</f>
        <v/>
      </c>
      <c r="E581" s="37">
        <f>IF($L581="","",IF(INT($P581/10)=0,"TBA",IFERROR(INDEX(Grids!$BQ$157:$EC$216,$N581,$O581),"-")))</f>
        <v/>
      </c>
      <c r="F581" s="16">
        <f>IF($L581="","",INDEX(HSCEI!$F$7:$F$66,$N581))</f>
        <v/>
      </c>
      <c r="G581" s="37">
        <f>IF($L581="","",IF(INT($P581/10)=0,"TBA",IFERROR(INDEX(Grids!$EE$157:$GQ$216,$N581,$O581),"-")))</f>
        <v/>
      </c>
      <c r="H581" s="38">
        <f>IF($L581="","",SUM($G$442:$G581))</f>
        <v/>
      </c>
      <c r="I581" s="39">
        <f>IF($L581="","",IF(INT(($L581-INT($L581/10000000)*10000000)/1000000)=0,"Bloomberg projection",IF(INT($P581/10)=1,"Announced","ANNOUNCED - amount TBA"))&amp;IF(($P581-INT($P581/10)*10)=1," (special)","")&amp;IF((($P581-INT($P581/10)*10)=1)*(Summary!$C$13="N")&gt;0," - excluded by your specials switch",""))</f>
        <v/>
      </c>
      <c r="J581" s="40">
        <f>IF($L581="","",IF((Override!$C$4="ON")*ISNUMBER(INDEX(Override!$G$153:$G$212,$N581))&gt;0,"stock overridden",""))</f>
        <v/>
      </c>
      <c r="L581" s="41">
        <f>IFERROR(IF(SMALL(Grids!$C$157:$BO$216,$M$439+140)&gt;=(Summary!$C$15+1)*1000000000,"",SMALL(Grids!$C$157:$BO$216,$M$439+140)),"")</f>
        <v/>
      </c>
      <c r="M581" s="41">
        <f>IF($L581="","",INT($L581/1000000000))</f>
        <v/>
      </c>
      <c r="N581" s="41">
        <f>IF($L581="","",INT(($L581-INT($L581/1000000)*1000000)/1000))</f>
        <v/>
      </c>
      <c r="O581" s="41">
        <f>IF($L581="","",$L581-INT($L581/1000)*1000)</f>
        <v/>
      </c>
      <c r="P581" s="41">
        <f>IF($L581="","",INT(($L581-INT($L581/1000000000)*1000000000)/10000000))</f>
        <v/>
      </c>
    </row>
    <row r="582">
      <c r="B582" s="36">
        <f>IF($L582="","",$M582)</f>
        <v/>
      </c>
      <c r="C582" s="16">
        <f>IF($L582="","",INDEX(HSCEI!$C$7:$C$66,$N582))</f>
        <v/>
      </c>
      <c r="D582" s="16">
        <f>IF($L582="","",INDEX(HSCEI!$D$7:$D$66,$N582))</f>
        <v/>
      </c>
      <c r="E582" s="37">
        <f>IF($L582="","",IF(INT($P582/10)=0,"TBA",IFERROR(INDEX(Grids!$BQ$157:$EC$216,$N582,$O582),"-")))</f>
        <v/>
      </c>
      <c r="F582" s="16">
        <f>IF($L582="","",INDEX(HSCEI!$F$7:$F$66,$N582))</f>
        <v/>
      </c>
      <c r="G582" s="37">
        <f>IF($L582="","",IF(INT($P582/10)=0,"TBA",IFERROR(INDEX(Grids!$EE$157:$GQ$216,$N582,$O582),"-")))</f>
        <v/>
      </c>
      <c r="H582" s="38">
        <f>IF($L582="","",SUM($G$442:$G582))</f>
        <v/>
      </c>
      <c r="I582" s="39">
        <f>IF($L582="","",IF(INT(($L582-INT($L582/10000000)*10000000)/1000000)=0,"Bloomberg projection",IF(INT($P582/10)=1,"Announced","ANNOUNCED - amount TBA"))&amp;IF(($P582-INT($P582/10)*10)=1," (special)","")&amp;IF((($P582-INT($P582/10)*10)=1)*(Summary!$C$13="N")&gt;0," - excluded by your specials switch",""))</f>
        <v/>
      </c>
      <c r="J582" s="40">
        <f>IF($L582="","",IF((Override!$C$4="ON")*ISNUMBER(INDEX(Override!$G$153:$G$212,$N582))&gt;0,"stock overridden",""))</f>
        <v/>
      </c>
      <c r="L582" s="41">
        <f>IFERROR(IF(SMALL(Grids!$C$157:$BO$216,$M$439+141)&gt;=(Summary!$C$15+1)*1000000000,"",SMALL(Grids!$C$157:$BO$216,$M$439+141)),"")</f>
        <v/>
      </c>
      <c r="M582" s="41">
        <f>IF($L582="","",INT($L582/1000000000))</f>
        <v/>
      </c>
      <c r="N582" s="41">
        <f>IF($L582="","",INT(($L582-INT($L582/1000000)*1000000)/1000))</f>
        <v/>
      </c>
      <c r="O582" s="41">
        <f>IF($L582="","",$L582-INT($L582/1000)*1000)</f>
        <v/>
      </c>
      <c r="P582" s="41">
        <f>IF($L582="","",INT(($L582-INT($L582/1000000000)*1000000000)/10000000))</f>
        <v/>
      </c>
    </row>
    <row r="583">
      <c r="B583" s="36">
        <f>IF($L583="","",$M583)</f>
        <v/>
      </c>
      <c r="C583" s="16">
        <f>IF($L583="","",INDEX(HSCEI!$C$7:$C$66,$N583))</f>
        <v/>
      </c>
      <c r="D583" s="16">
        <f>IF($L583="","",INDEX(HSCEI!$D$7:$D$66,$N583))</f>
        <v/>
      </c>
      <c r="E583" s="37">
        <f>IF($L583="","",IF(INT($P583/10)=0,"TBA",IFERROR(INDEX(Grids!$BQ$157:$EC$216,$N583,$O583),"-")))</f>
        <v/>
      </c>
      <c r="F583" s="16">
        <f>IF($L583="","",INDEX(HSCEI!$F$7:$F$66,$N583))</f>
        <v/>
      </c>
      <c r="G583" s="37">
        <f>IF($L583="","",IF(INT($P583/10)=0,"TBA",IFERROR(INDEX(Grids!$EE$157:$GQ$216,$N583,$O583),"-")))</f>
        <v/>
      </c>
      <c r="H583" s="38">
        <f>IF($L583="","",SUM($G$442:$G583))</f>
        <v/>
      </c>
      <c r="I583" s="39">
        <f>IF($L583="","",IF(INT(($L583-INT($L583/10000000)*10000000)/1000000)=0,"Bloomberg projection",IF(INT($P583/10)=1,"Announced","ANNOUNCED - amount TBA"))&amp;IF(($P583-INT($P583/10)*10)=1," (special)","")&amp;IF((($P583-INT($P583/10)*10)=1)*(Summary!$C$13="N")&gt;0," - excluded by your specials switch",""))</f>
        <v/>
      </c>
      <c r="J583" s="40">
        <f>IF($L583="","",IF((Override!$C$4="ON")*ISNUMBER(INDEX(Override!$G$153:$G$212,$N583))&gt;0,"stock overridden",""))</f>
        <v/>
      </c>
      <c r="L583" s="41">
        <f>IFERROR(IF(SMALL(Grids!$C$157:$BO$216,$M$439+142)&gt;=(Summary!$C$15+1)*1000000000,"",SMALL(Grids!$C$157:$BO$216,$M$439+142)),"")</f>
        <v/>
      </c>
      <c r="M583" s="41">
        <f>IF($L583="","",INT($L583/1000000000))</f>
        <v/>
      </c>
      <c r="N583" s="41">
        <f>IF($L583="","",INT(($L583-INT($L583/1000000)*1000000)/1000))</f>
        <v/>
      </c>
      <c r="O583" s="41">
        <f>IF($L583="","",$L583-INT($L583/1000)*1000)</f>
        <v/>
      </c>
      <c r="P583" s="41">
        <f>IF($L583="","",INT(($L583-INT($L583/1000000000)*1000000000)/10000000))</f>
        <v/>
      </c>
    </row>
    <row r="584">
      <c r="B584" s="36">
        <f>IF($L584="","",$M584)</f>
        <v/>
      </c>
      <c r="C584" s="16">
        <f>IF($L584="","",INDEX(HSCEI!$C$7:$C$66,$N584))</f>
        <v/>
      </c>
      <c r="D584" s="16">
        <f>IF($L584="","",INDEX(HSCEI!$D$7:$D$66,$N584))</f>
        <v/>
      </c>
      <c r="E584" s="37">
        <f>IF($L584="","",IF(INT($P584/10)=0,"TBA",IFERROR(INDEX(Grids!$BQ$157:$EC$216,$N584,$O584),"-")))</f>
        <v/>
      </c>
      <c r="F584" s="16">
        <f>IF($L584="","",INDEX(HSCEI!$F$7:$F$66,$N584))</f>
        <v/>
      </c>
      <c r="G584" s="37">
        <f>IF($L584="","",IF(INT($P584/10)=0,"TBA",IFERROR(INDEX(Grids!$EE$157:$GQ$216,$N584,$O584),"-")))</f>
        <v/>
      </c>
      <c r="H584" s="38">
        <f>IF($L584="","",SUM($G$442:$G584))</f>
        <v/>
      </c>
      <c r="I584" s="39">
        <f>IF($L584="","",IF(INT(($L584-INT($L584/10000000)*10000000)/1000000)=0,"Bloomberg projection",IF(INT($P584/10)=1,"Announced","ANNOUNCED - amount TBA"))&amp;IF(($P584-INT($P584/10)*10)=1," (special)","")&amp;IF((($P584-INT($P584/10)*10)=1)*(Summary!$C$13="N")&gt;0," - excluded by your specials switch",""))</f>
        <v/>
      </c>
      <c r="J584" s="40">
        <f>IF($L584="","",IF((Override!$C$4="ON")*ISNUMBER(INDEX(Override!$G$153:$G$212,$N584))&gt;0,"stock overridden",""))</f>
        <v/>
      </c>
      <c r="L584" s="41">
        <f>IFERROR(IF(SMALL(Grids!$C$157:$BO$216,$M$439+143)&gt;=(Summary!$C$15+1)*1000000000,"",SMALL(Grids!$C$157:$BO$216,$M$439+143)),"")</f>
        <v/>
      </c>
      <c r="M584" s="41">
        <f>IF($L584="","",INT($L584/1000000000))</f>
        <v/>
      </c>
      <c r="N584" s="41">
        <f>IF($L584="","",INT(($L584-INT($L584/1000000)*1000000)/1000))</f>
        <v/>
      </c>
      <c r="O584" s="41">
        <f>IF($L584="","",$L584-INT($L584/1000)*1000)</f>
        <v/>
      </c>
      <c r="P584" s="41">
        <f>IF($L584="","",INT(($L584-INT($L584/1000000000)*1000000000)/10000000))</f>
        <v/>
      </c>
    </row>
    <row r="585">
      <c r="B585" s="36">
        <f>IF($L585="","",$M585)</f>
        <v/>
      </c>
      <c r="C585" s="16">
        <f>IF($L585="","",INDEX(HSCEI!$C$7:$C$66,$N585))</f>
        <v/>
      </c>
      <c r="D585" s="16">
        <f>IF($L585="","",INDEX(HSCEI!$D$7:$D$66,$N585))</f>
        <v/>
      </c>
      <c r="E585" s="37">
        <f>IF($L585="","",IF(INT($P585/10)=0,"TBA",IFERROR(INDEX(Grids!$BQ$157:$EC$216,$N585,$O585),"-")))</f>
        <v/>
      </c>
      <c r="F585" s="16">
        <f>IF($L585="","",INDEX(HSCEI!$F$7:$F$66,$N585))</f>
        <v/>
      </c>
      <c r="G585" s="37">
        <f>IF($L585="","",IF(INT($P585/10)=0,"TBA",IFERROR(INDEX(Grids!$EE$157:$GQ$216,$N585,$O585),"-")))</f>
        <v/>
      </c>
      <c r="H585" s="38">
        <f>IF($L585="","",SUM($G$442:$G585))</f>
        <v/>
      </c>
      <c r="I585" s="39">
        <f>IF($L585="","",IF(INT(($L585-INT($L585/10000000)*10000000)/1000000)=0,"Bloomberg projection",IF(INT($P585/10)=1,"Announced","ANNOUNCED - amount TBA"))&amp;IF(($P585-INT($P585/10)*10)=1," (special)","")&amp;IF((($P585-INT($P585/10)*10)=1)*(Summary!$C$13="N")&gt;0," - excluded by your specials switch",""))</f>
        <v/>
      </c>
      <c r="J585" s="40">
        <f>IF($L585="","",IF((Override!$C$4="ON")*ISNUMBER(INDEX(Override!$G$153:$G$212,$N585))&gt;0,"stock overridden",""))</f>
        <v/>
      </c>
      <c r="L585" s="41">
        <f>IFERROR(IF(SMALL(Grids!$C$157:$BO$216,$M$439+144)&gt;=(Summary!$C$15+1)*1000000000,"",SMALL(Grids!$C$157:$BO$216,$M$439+144)),"")</f>
        <v/>
      </c>
      <c r="M585" s="41">
        <f>IF($L585="","",INT($L585/1000000000))</f>
        <v/>
      </c>
      <c r="N585" s="41">
        <f>IF($L585="","",INT(($L585-INT($L585/1000000)*1000000)/1000))</f>
        <v/>
      </c>
      <c r="O585" s="41">
        <f>IF($L585="","",$L585-INT($L585/1000)*1000)</f>
        <v/>
      </c>
      <c r="P585" s="41">
        <f>IF($L585="","",INT(($L585-INT($L585/1000000000)*1000000000)/10000000))</f>
        <v/>
      </c>
    </row>
    <row r="586">
      <c r="B586" s="36">
        <f>IF($L586="","",$M586)</f>
        <v/>
      </c>
      <c r="C586" s="16">
        <f>IF($L586="","",INDEX(HSCEI!$C$7:$C$66,$N586))</f>
        <v/>
      </c>
      <c r="D586" s="16">
        <f>IF($L586="","",INDEX(HSCEI!$D$7:$D$66,$N586))</f>
        <v/>
      </c>
      <c r="E586" s="37">
        <f>IF($L586="","",IF(INT($P586/10)=0,"TBA",IFERROR(INDEX(Grids!$BQ$157:$EC$216,$N586,$O586),"-")))</f>
        <v/>
      </c>
      <c r="F586" s="16">
        <f>IF($L586="","",INDEX(HSCEI!$F$7:$F$66,$N586))</f>
        <v/>
      </c>
      <c r="G586" s="37">
        <f>IF($L586="","",IF(INT($P586/10)=0,"TBA",IFERROR(INDEX(Grids!$EE$157:$GQ$216,$N586,$O586),"-")))</f>
        <v/>
      </c>
      <c r="H586" s="38">
        <f>IF($L586="","",SUM($G$442:$G586))</f>
        <v/>
      </c>
      <c r="I586" s="39">
        <f>IF($L586="","",IF(INT(($L586-INT($L586/10000000)*10000000)/1000000)=0,"Bloomberg projection",IF(INT($P586/10)=1,"Announced","ANNOUNCED - amount TBA"))&amp;IF(($P586-INT($P586/10)*10)=1," (special)","")&amp;IF((($P586-INT($P586/10)*10)=1)*(Summary!$C$13="N")&gt;0," - excluded by your specials switch",""))</f>
        <v/>
      </c>
      <c r="J586" s="40">
        <f>IF($L586="","",IF((Override!$C$4="ON")*ISNUMBER(INDEX(Override!$G$153:$G$212,$N586))&gt;0,"stock overridden",""))</f>
        <v/>
      </c>
      <c r="L586" s="41">
        <f>IFERROR(IF(SMALL(Grids!$C$157:$BO$216,$M$439+145)&gt;=(Summary!$C$15+1)*1000000000,"",SMALL(Grids!$C$157:$BO$216,$M$439+145)),"")</f>
        <v/>
      </c>
      <c r="M586" s="41">
        <f>IF($L586="","",INT($L586/1000000000))</f>
        <v/>
      </c>
      <c r="N586" s="41">
        <f>IF($L586="","",INT(($L586-INT($L586/1000000)*1000000)/1000))</f>
        <v/>
      </c>
      <c r="O586" s="41">
        <f>IF($L586="","",$L586-INT($L586/1000)*1000)</f>
        <v/>
      </c>
      <c r="P586" s="41">
        <f>IF($L586="","",INT(($L586-INT($L586/1000000000)*1000000000)/10000000))</f>
        <v/>
      </c>
    </row>
    <row r="587">
      <c r="B587" s="36">
        <f>IF($L587="","",$M587)</f>
        <v/>
      </c>
      <c r="C587" s="16">
        <f>IF($L587="","",INDEX(HSCEI!$C$7:$C$66,$N587))</f>
        <v/>
      </c>
      <c r="D587" s="16">
        <f>IF($L587="","",INDEX(HSCEI!$D$7:$D$66,$N587))</f>
        <v/>
      </c>
      <c r="E587" s="37">
        <f>IF($L587="","",IF(INT($P587/10)=0,"TBA",IFERROR(INDEX(Grids!$BQ$157:$EC$216,$N587,$O587),"-")))</f>
        <v/>
      </c>
      <c r="F587" s="16">
        <f>IF($L587="","",INDEX(HSCEI!$F$7:$F$66,$N587))</f>
        <v/>
      </c>
      <c r="G587" s="37">
        <f>IF($L587="","",IF(INT($P587/10)=0,"TBA",IFERROR(INDEX(Grids!$EE$157:$GQ$216,$N587,$O587),"-")))</f>
        <v/>
      </c>
      <c r="H587" s="38">
        <f>IF($L587="","",SUM($G$442:$G587))</f>
        <v/>
      </c>
      <c r="I587" s="39">
        <f>IF($L587="","",IF(INT(($L587-INT($L587/10000000)*10000000)/1000000)=0,"Bloomberg projection",IF(INT($P587/10)=1,"Announced","ANNOUNCED - amount TBA"))&amp;IF(($P587-INT($P587/10)*10)=1," (special)","")&amp;IF((($P587-INT($P587/10)*10)=1)*(Summary!$C$13="N")&gt;0," - excluded by your specials switch",""))</f>
        <v/>
      </c>
      <c r="J587" s="40">
        <f>IF($L587="","",IF((Override!$C$4="ON")*ISNUMBER(INDEX(Override!$G$153:$G$212,$N587))&gt;0,"stock overridden",""))</f>
        <v/>
      </c>
      <c r="L587" s="41">
        <f>IFERROR(IF(SMALL(Grids!$C$157:$BO$216,$M$439+146)&gt;=(Summary!$C$15+1)*1000000000,"",SMALL(Grids!$C$157:$BO$216,$M$439+146)),"")</f>
        <v/>
      </c>
      <c r="M587" s="41">
        <f>IF($L587="","",INT($L587/1000000000))</f>
        <v/>
      </c>
      <c r="N587" s="41">
        <f>IF($L587="","",INT(($L587-INT($L587/1000000)*1000000)/1000))</f>
        <v/>
      </c>
      <c r="O587" s="41">
        <f>IF($L587="","",$L587-INT($L587/1000)*1000)</f>
        <v/>
      </c>
      <c r="P587" s="41">
        <f>IF($L587="","",INT(($L587-INT($L587/1000000000)*1000000000)/10000000))</f>
        <v/>
      </c>
    </row>
    <row r="588">
      <c r="B588" s="36">
        <f>IF($L588="","",$M588)</f>
        <v/>
      </c>
      <c r="C588" s="16">
        <f>IF($L588="","",INDEX(HSCEI!$C$7:$C$66,$N588))</f>
        <v/>
      </c>
      <c r="D588" s="16">
        <f>IF($L588="","",INDEX(HSCEI!$D$7:$D$66,$N588))</f>
        <v/>
      </c>
      <c r="E588" s="37">
        <f>IF($L588="","",IF(INT($P588/10)=0,"TBA",IFERROR(INDEX(Grids!$BQ$157:$EC$216,$N588,$O588),"-")))</f>
        <v/>
      </c>
      <c r="F588" s="16">
        <f>IF($L588="","",INDEX(HSCEI!$F$7:$F$66,$N588))</f>
        <v/>
      </c>
      <c r="G588" s="37">
        <f>IF($L588="","",IF(INT($P588/10)=0,"TBA",IFERROR(INDEX(Grids!$EE$157:$GQ$216,$N588,$O588),"-")))</f>
        <v/>
      </c>
      <c r="H588" s="38">
        <f>IF($L588="","",SUM($G$442:$G588))</f>
        <v/>
      </c>
      <c r="I588" s="39">
        <f>IF($L588="","",IF(INT(($L588-INT($L588/10000000)*10000000)/1000000)=0,"Bloomberg projection",IF(INT($P588/10)=1,"Announced","ANNOUNCED - amount TBA"))&amp;IF(($P588-INT($P588/10)*10)=1," (special)","")&amp;IF((($P588-INT($P588/10)*10)=1)*(Summary!$C$13="N")&gt;0," - excluded by your specials switch",""))</f>
        <v/>
      </c>
      <c r="J588" s="40">
        <f>IF($L588="","",IF((Override!$C$4="ON")*ISNUMBER(INDEX(Override!$G$153:$G$212,$N588))&gt;0,"stock overridden",""))</f>
        <v/>
      </c>
      <c r="L588" s="41">
        <f>IFERROR(IF(SMALL(Grids!$C$157:$BO$216,$M$439+147)&gt;=(Summary!$C$15+1)*1000000000,"",SMALL(Grids!$C$157:$BO$216,$M$439+147)),"")</f>
        <v/>
      </c>
      <c r="M588" s="41">
        <f>IF($L588="","",INT($L588/1000000000))</f>
        <v/>
      </c>
      <c r="N588" s="41">
        <f>IF($L588="","",INT(($L588-INT($L588/1000000)*1000000)/1000))</f>
        <v/>
      </c>
      <c r="O588" s="41">
        <f>IF($L588="","",$L588-INT($L588/1000)*1000)</f>
        <v/>
      </c>
      <c r="P588" s="41">
        <f>IF($L588="","",INT(($L588-INT($L588/1000000000)*1000000000)/10000000))</f>
        <v/>
      </c>
    </row>
    <row r="589">
      <c r="B589" s="36">
        <f>IF($L589="","",$M589)</f>
        <v/>
      </c>
      <c r="C589" s="16">
        <f>IF($L589="","",INDEX(HSCEI!$C$7:$C$66,$N589))</f>
        <v/>
      </c>
      <c r="D589" s="16">
        <f>IF($L589="","",INDEX(HSCEI!$D$7:$D$66,$N589))</f>
        <v/>
      </c>
      <c r="E589" s="37">
        <f>IF($L589="","",IF(INT($P589/10)=0,"TBA",IFERROR(INDEX(Grids!$BQ$157:$EC$216,$N589,$O589),"-")))</f>
        <v/>
      </c>
      <c r="F589" s="16">
        <f>IF($L589="","",INDEX(HSCEI!$F$7:$F$66,$N589))</f>
        <v/>
      </c>
      <c r="G589" s="37">
        <f>IF($L589="","",IF(INT($P589/10)=0,"TBA",IFERROR(INDEX(Grids!$EE$157:$GQ$216,$N589,$O589),"-")))</f>
        <v/>
      </c>
      <c r="H589" s="38">
        <f>IF($L589="","",SUM($G$442:$G589))</f>
        <v/>
      </c>
      <c r="I589" s="39">
        <f>IF($L589="","",IF(INT(($L589-INT($L589/10000000)*10000000)/1000000)=0,"Bloomberg projection",IF(INT($P589/10)=1,"Announced","ANNOUNCED - amount TBA"))&amp;IF(($P589-INT($P589/10)*10)=1," (special)","")&amp;IF((($P589-INT($P589/10)*10)=1)*(Summary!$C$13="N")&gt;0," - excluded by your specials switch",""))</f>
        <v/>
      </c>
      <c r="J589" s="40">
        <f>IF($L589="","",IF((Override!$C$4="ON")*ISNUMBER(INDEX(Override!$G$153:$G$212,$N589))&gt;0,"stock overridden",""))</f>
        <v/>
      </c>
      <c r="L589" s="41">
        <f>IFERROR(IF(SMALL(Grids!$C$157:$BO$216,$M$439+148)&gt;=(Summary!$C$15+1)*1000000000,"",SMALL(Grids!$C$157:$BO$216,$M$439+148)),"")</f>
        <v/>
      </c>
      <c r="M589" s="41">
        <f>IF($L589="","",INT($L589/1000000000))</f>
        <v/>
      </c>
      <c r="N589" s="41">
        <f>IF($L589="","",INT(($L589-INT($L589/1000000)*1000000)/1000))</f>
        <v/>
      </c>
      <c r="O589" s="41">
        <f>IF($L589="","",$L589-INT($L589/1000)*1000)</f>
        <v/>
      </c>
      <c r="P589" s="41">
        <f>IF($L589="","",INT(($L589-INT($L589/1000000000)*1000000000)/10000000))</f>
        <v/>
      </c>
    </row>
    <row r="590">
      <c r="B590" s="36">
        <f>IF($L590="","",$M590)</f>
        <v/>
      </c>
      <c r="C590" s="16">
        <f>IF($L590="","",INDEX(HSCEI!$C$7:$C$66,$N590))</f>
        <v/>
      </c>
      <c r="D590" s="16">
        <f>IF($L590="","",INDEX(HSCEI!$D$7:$D$66,$N590))</f>
        <v/>
      </c>
      <c r="E590" s="37">
        <f>IF($L590="","",IF(INT($P590/10)=0,"TBA",IFERROR(INDEX(Grids!$BQ$157:$EC$216,$N590,$O590),"-")))</f>
        <v/>
      </c>
      <c r="F590" s="16">
        <f>IF($L590="","",INDEX(HSCEI!$F$7:$F$66,$N590))</f>
        <v/>
      </c>
      <c r="G590" s="37">
        <f>IF($L590="","",IF(INT($P590/10)=0,"TBA",IFERROR(INDEX(Grids!$EE$157:$GQ$216,$N590,$O590),"-")))</f>
        <v/>
      </c>
      <c r="H590" s="38">
        <f>IF($L590="","",SUM($G$442:$G590))</f>
        <v/>
      </c>
      <c r="I590" s="39">
        <f>IF($L590="","",IF(INT(($L590-INT($L590/10000000)*10000000)/1000000)=0,"Bloomberg projection",IF(INT($P590/10)=1,"Announced","ANNOUNCED - amount TBA"))&amp;IF(($P590-INT($P590/10)*10)=1," (special)","")&amp;IF((($P590-INT($P590/10)*10)=1)*(Summary!$C$13="N")&gt;0," - excluded by your specials switch",""))</f>
        <v/>
      </c>
      <c r="J590" s="40">
        <f>IF($L590="","",IF((Override!$C$4="ON")*ISNUMBER(INDEX(Override!$G$153:$G$212,$N590))&gt;0,"stock overridden",""))</f>
        <v/>
      </c>
      <c r="L590" s="41">
        <f>IFERROR(IF(SMALL(Grids!$C$157:$BO$216,$M$439+149)&gt;=(Summary!$C$15+1)*1000000000,"",SMALL(Grids!$C$157:$BO$216,$M$439+149)),"")</f>
        <v/>
      </c>
      <c r="M590" s="41">
        <f>IF($L590="","",INT($L590/1000000000))</f>
        <v/>
      </c>
      <c r="N590" s="41">
        <f>IF($L590="","",INT(($L590-INT($L590/1000000)*1000000)/1000))</f>
        <v/>
      </c>
      <c r="O590" s="41">
        <f>IF($L590="","",$L590-INT($L590/1000)*1000)</f>
        <v/>
      </c>
      <c r="P590" s="41">
        <f>IF($L590="","",INT(($L590-INT($L590/1000000000)*1000000000)/10000000))</f>
        <v/>
      </c>
    </row>
    <row r="591">
      <c r="B591" s="36">
        <f>IF($L591="","",$M591)</f>
        <v/>
      </c>
      <c r="C591" s="16">
        <f>IF($L591="","",INDEX(HSCEI!$C$7:$C$66,$N591))</f>
        <v/>
      </c>
      <c r="D591" s="16">
        <f>IF($L591="","",INDEX(HSCEI!$D$7:$D$66,$N591))</f>
        <v/>
      </c>
      <c r="E591" s="37">
        <f>IF($L591="","",IF(INT($P591/10)=0,"TBA",IFERROR(INDEX(Grids!$BQ$157:$EC$216,$N591,$O591),"-")))</f>
        <v/>
      </c>
      <c r="F591" s="16">
        <f>IF($L591="","",INDEX(HSCEI!$F$7:$F$66,$N591))</f>
        <v/>
      </c>
      <c r="G591" s="37">
        <f>IF($L591="","",IF(INT($P591/10)=0,"TBA",IFERROR(INDEX(Grids!$EE$157:$GQ$216,$N591,$O591),"-")))</f>
        <v/>
      </c>
      <c r="H591" s="38">
        <f>IF($L591="","",SUM($G$442:$G591))</f>
        <v/>
      </c>
      <c r="I591" s="39">
        <f>IF($L591="","",IF(INT(($L591-INT($L591/10000000)*10000000)/1000000)=0,"Bloomberg projection",IF(INT($P591/10)=1,"Announced","ANNOUNCED - amount TBA"))&amp;IF(($P591-INT($P591/10)*10)=1," (special)","")&amp;IF((($P591-INT($P591/10)*10)=1)*(Summary!$C$13="N")&gt;0," - excluded by your specials switch",""))</f>
        <v/>
      </c>
      <c r="J591" s="40">
        <f>IF($L591="","",IF((Override!$C$4="ON")*ISNUMBER(INDEX(Override!$G$153:$G$212,$N591))&gt;0,"stock overridden",""))</f>
        <v/>
      </c>
      <c r="L591" s="41">
        <f>IFERROR(IF(SMALL(Grids!$C$157:$BO$216,$M$439+150)&gt;=(Summary!$C$15+1)*1000000000,"",SMALL(Grids!$C$157:$BO$216,$M$439+150)),"")</f>
        <v/>
      </c>
      <c r="M591" s="41">
        <f>IF($L591="","",INT($L591/1000000000))</f>
        <v/>
      </c>
      <c r="N591" s="41">
        <f>IF($L591="","",INT(($L591-INT($L591/1000000)*1000000)/1000))</f>
        <v/>
      </c>
      <c r="O591" s="41">
        <f>IF($L591="","",$L591-INT($L591/1000)*1000)</f>
        <v/>
      </c>
      <c r="P591" s="41">
        <f>IF($L591="","",INT(($L591-INT($L591/1000000000)*1000000000)/10000000))</f>
        <v/>
      </c>
    </row>
    <row r="592">
      <c r="B592" s="36">
        <f>IF($L592="","",$M592)</f>
        <v/>
      </c>
      <c r="C592" s="16">
        <f>IF($L592="","",INDEX(HSCEI!$C$7:$C$66,$N592))</f>
        <v/>
      </c>
      <c r="D592" s="16">
        <f>IF($L592="","",INDEX(HSCEI!$D$7:$D$66,$N592))</f>
        <v/>
      </c>
      <c r="E592" s="37">
        <f>IF($L592="","",IF(INT($P592/10)=0,"TBA",IFERROR(INDEX(Grids!$BQ$157:$EC$216,$N592,$O592),"-")))</f>
        <v/>
      </c>
      <c r="F592" s="16">
        <f>IF($L592="","",INDEX(HSCEI!$F$7:$F$66,$N592))</f>
        <v/>
      </c>
      <c r="G592" s="37">
        <f>IF($L592="","",IF(INT($P592/10)=0,"TBA",IFERROR(INDEX(Grids!$EE$157:$GQ$216,$N592,$O592),"-")))</f>
        <v/>
      </c>
      <c r="H592" s="38">
        <f>IF($L592="","",SUM($G$442:$G592))</f>
        <v/>
      </c>
      <c r="I592" s="39">
        <f>IF($L592="","",IF(INT(($L592-INT($L592/10000000)*10000000)/1000000)=0,"Bloomberg projection",IF(INT($P592/10)=1,"Announced","ANNOUNCED - amount TBA"))&amp;IF(($P592-INT($P592/10)*10)=1," (special)","")&amp;IF((($P592-INT($P592/10)*10)=1)*(Summary!$C$13="N")&gt;0," - excluded by your specials switch",""))</f>
        <v/>
      </c>
      <c r="J592" s="40">
        <f>IF($L592="","",IF((Override!$C$4="ON")*ISNUMBER(INDEX(Override!$G$153:$G$212,$N592))&gt;0,"stock overridden",""))</f>
        <v/>
      </c>
      <c r="L592" s="41">
        <f>IFERROR(IF(SMALL(Grids!$C$157:$BO$216,$M$439+151)&gt;=(Summary!$C$15+1)*1000000000,"",SMALL(Grids!$C$157:$BO$216,$M$439+151)),"")</f>
        <v/>
      </c>
      <c r="M592" s="41">
        <f>IF($L592="","",INT($L592/1000000000))</f>
        <v/>
      </c>
      <c r="N592" s="41">
        <f>IF($L592="","",INT(($L592-INT($L592/1000000)*1000000)/1000))</f>
        <v/>
      </c>
      <c r="O592" s="41">
        <f>IF($L592="","",$L592-INT($L592/1000)*1000)</f>
        <v/>
      </c>
      <c r="P592" s="41">
        <f>IF($L592="","",INT(($L592-INT($L592/1000000000)*1000000000)/10000000))</f>
        <v/>
      </c>
    </row>
    <row r="593">
      <c r="B593" s="36">
        <f>IF($L593="","",$M593)</f>
        <v/>
      </c>
      <c r="C593" s="16">
        <f>IF($L593="","",INDEX(HSCEI!$C$7:$C$66,$N593))</f>
        <v/>
      </c>
      <c r="D593" s="16">
        <f>IF($L593="","",INDEX(HSCEI!$D$7:$D$66,$N593))</f>
        <v/>
      </c>
      <c r="E593" s="37">
        <f>IF($L593="","",IF(INT($P593/10)=0,"TBA",IFERROR(INDEX(Grids!$BQ$157:$EC$216,$N593,$O593),"-")))</f>
        <v/>
      </c>
      <c r="F593" s="16">
        <f>IF($L593="","",INDEX(HSCEI!$F$7:$F$66,$N593))</f>
        <v/>
      </c>
      <c r="G593" s="37">
        <f>IF($L593="","",IF(INT($P593/10)=0,"TBA",IFERROR(INDEX(Grids!$EE$157:$GQ$216,$N593,$O593),"-")))</f>
        <v/>
      </c>
      <c r="H593" s="38">
        <f>IF($L593="","",SUM($G$442:$G593))</f>
        <v/>
      </c>
      <c r="I593" s="39">
        <f>IF($L593="","",IF(INT(($L593-INT($L593/10000000)*10000000)/1000000)=0,"Bloomberg projection",IF(INT($P593/10)=1,"Announced","ANNOUNCED - amount TBA"))&amp;IF(($P593-INT($P593/10)*10)=1," (special)","")&amp;IF((($P593-INT($P593/10)*10)=1)*(Summary!$C$13="N")&gt;0," - excluded by your specials switch",""))</f>
        <v/>
      </c>
      <c r="J593" s="40">
        <f>IF($L593="","",IF((Override!$C$4="ON")*ISNUMBER(INDEX(Override!$G$153:$G$212,$N593))&gt;0,"stock overridden",""))</f>
        <v/>
      </c>
      <c r="L593" s="41">
        <f>IFERROR(IF(SMALL(Grids!$C$157:$BO$216,$M$439+152)&gt;=(Summary!$C$15+1)*1000000000,"",SMALL(Grids!$C$157:$BO$216,$M$439+152)),"")</f>
        <v/>
      </c>
      <c r="M593" s="41">
        <f>IF($L593="","",INT($L593/1000000000))</f>
        <v/>
      </c>
      <c r="N593" s="41">
        <f>IF($L593="","",INT(($L593-INT($L593/1000000)*1000000)/1000))</f>
        <v/>
      </c>
      <c r="O593" s="41">
        <f>IF($L593="","",$L593-INT($L593/1000)*1000)</f>
        <v/>
      </c>
      <c r="P593" s="41">
        <f>IF($L593="","",INT(($L593-INT($L593/1000000000)*1000000000)/10000000))</f>
        <v/>
      </c>
    </row>
    <row r="594">
      <c r="B594" s="36">
        <f>IF($L594="","",$M594)</f>
        <v/>
      </c>
      <c r="C594" s="16">
        <f>IF($L594="","",INDEX(HSCEI!$C$7:$C$66,$N594))</f>
        <v/>
      </c>
      <c r="D594" s="16">
        <f>IF($L594="","",INDEX(HSCEI!$D$7:$D$66,$N594))</f>
        <v/>
      </c>
      <c r="E594" s="37">
        <f>IF($L594="","",IF(INT($P594/10)=0,"TBA",IFERROR(INDEX(Grids!$BQ$157:$EC$216,$N594,$O594),"-")))</f>
        <v/>
      </c>
      <c r="F594" s="16">
        <f>IF($L594="","",INDEX(HSCEI!$F$7:$F$66,$N594))</f>
        <v/>
      </c>
      <c r="G594" s="37">
        <f>IF($L594="","",IF(INT($P594/10)=0,"TBA",IFERROR(INDEX(Grids!$EE$157:$GQ$216,$N594,$O594),"-")))</f>
        <v/>
      </c>
      <c r="H594" s="38">
        <f>IF($L594="","",SUM($G$442:$G594))</f>
        <v/>
      </c>
      <c r="I594" s="39">
        <f>IF($L594="","",IF(INT(($L594-INT($L594/10000000)*10000000)/1000000)=0,"Bloomberg projection",IF(INT($P594/10)=1,"Announced","ANNOUNCED - amount TBA"))&amp;IF(($P594-INT($P594/10)*10)=1," (special)","")&amp;IF((($P594-INT($P594/10)*10)=1)*(Summary!$C$13="N")&gt;0," - excluded by your specials switch",""))</f>
        <v/>
      </c>
      <c r="J594" s="40">
        <f>IF($L594="","",IF((Override!$C$4="ON")*ISNUMBER(INDEX(Override!$G$153:$G$212,$N594))&gt;0,"stock overridden",""))</f>
        <v/>
      </c>
      <c r="L594" s="41">
        <f>IFERROR(IF(SMALL(Grids!$C$157:$BO$216,$M$439+153)&gt;=(Summary!$C$15+1)*1000000000,"",SMALL(Grids!$C$157:$BO$216,$M$439+153)),"")</f>
        <v/>
      </c>
      <c r="M594" s="41">
        <f>IF($L594="","",INT($L594/1000000000))</f>
        <v/>
      </c>
      <c r="N594" s="41">
        <f>IF($L594="","",INT(($L594-INT($L594/1000000)*1000000)/1000))</f>
        <v/>
      </c>
      <c r="O594" s="41">
        <f>IF($L594="","",$L594-INT($L594/1000)*1000)</f>
        <v/>
      </c>
      <c r="P594" s="41">
        <f>IF($L594="","",INT(($L594-INT($L594/1000000000)*1000000000)/10000000))</f>
        <v/>
      </c>
    </row>
    <row r="595">
      <c r="B595" s="36">
        <f>IF($L595="","",$M595)</f>
        <v/>
      </c>
      <c r="C595" s="16">
        <f>IF($L595="","",INDEX(HSCEI!$C$7:$C$66,$N595))</f>
        <v/>
      </c>
      <c r="D595" s="16">
        <f>IF($L595="","",INDEX(HSCEI!$D$7:$D$66,$N595))</f>
        <v/>
      </c>
      <c r="E595" s="37">
        <f>IF($L595="","",IF(INT($P595/10)=0,"TBA",IFERROR(INDEX(Grids!$BQ$157:$EC$216,$N595,$O595),"-")))</f>
        <v/>
      </c>
      <c r="F595" s="16">
        <f>IF($L595="","",INDEX(HSCEI!$F$7:$F$66,$N595))</f>
        <v/>
      </c>
      <c r="G595" s="37">
        <f>IF($L595="","",IF(INT($P595/10)=0,"TBA",IFERROR(INDEX(Grids!$EE$157:$GQ$216,$N595,$O595),"-")))</f>
        <v/>
      </c>
      <c r="H595" s="38">
        <f>IF($L595="","",SUM($G$442:$G595))</f>
        <v/>
      </c>
      <c r="I595" s="39">
        <f>IF($L595="","",IF(INT(($L595-INT($L595/10000000)*10000000)/1000000)=0,"Bloomberg projection",IF(INT($P595/10)=1,"Announced","ANNOUNCED - amount TBA"))&amp;IF(($P595-INT($P595/10)*10)=1," (special)","")&amp;IF((($P595-INT($P595/10)*10)=1)*(Summary!$C$13="N")&gt;0," - excluded by your specials switch",""))</f>
        <v/>
      </c>
      <c r="J595" s="40">
        <f>IF($L595="","",IF((Override!$C$4="ON")*ISNUMBER(INDEX(Override!$G$153:$G$212,$N595))&gt;0,"stock overridden",""))</f>
        <v/>
      </c>
      <c r="L595" s="41">
        <f>IFERROR(IF(SMALL(Grids!$C$157:$BO$216,$M$439+154)&gt;=(Summary!$C$15+1)*1000000000,"",SMALL(Grids!$C$157:$BO$216,$M$439+154)),"")</f>
        <v/>
      </c>
      <c r="M595" s="41">
        <f>IF($L595="","",INT($L595/1000000000))</f>
        <v/>
      </c>
      <c r="N595" s="41">
        <f>IF($L595="","",INT(($L595-INT($L595/1000000)*1000000)/1000))</f>
        <v/>
      </c>
      <c r="O595" s="41">
        <f>IF($L595="","",$L595-INT($L595/1000)*1000)</f>
        <v/>
      </c>
      <c r="P595" s="41">
        <f>IF($L595="","",INT(($L595-INT($L595/1000000000)*1000000000)/10000000))</f>
        <v/>
      </c>
    </row>
    <row r="596">
      <c r="B596" s="36">
        <f>IF($L596="","",$M596)</f>
        <v/>
      </c>
      <c r="C596" s="16">
        <f>IF($L596="","",INDEX(HSCEI!$C$7:$C$66,$N596))</f>
        <v/>
      </c>
      <c r="D596" s="16">
        <f>IF($L596="","",INDEX(HSCEI!$D$7:$D$66,$N596))</f>
        <v/>
      </c>
      <c r="E596" s="37">
        <f>IF($L596="","",IF(INT($P596/10)=0,"TBA",IFERROR(INDEX(Grids!$BQ$157:$EC$216,$N596,$O596),"-")))</f>
        <v/>
      </c>
      <c r="F596" s="16">
        <f>IF($L596="","",INDEX(HSCEI!$F$7:$F$66,$N596))</f>
        <v/>
      </c>
      <c r="G596" s="37">
        <f>IF($L596="","",IF(INT($P596/10)=0,"TBA",IFERROR(INDEX(Grids!$EE$157:$GQ$216,$N596,$O596),"-")))</f>
        <v/>
      </c>
      <c r="H596" s="38">
        <f>IF($L596="","",SUM($G$442:$G596))</f>
        <v/>
      </c>
      <c r="I596" s="39">
        <f>IF($L596="","",IF(INT(($L596-INT($L596/10000000)*10000000)/1000000)=0,"Bloomberg projection",IF(INT($P596/10)=1,"Announced","ANNOUNCED - amount TBA"))&amp;IF(($P596-INT($P596/10)*10)=1," (special)","")&amp;IF((($P596-INT($P596/10)*10)=1)*(Summary!$C$13="N")&gt;0," - excluded by your specials switch",""))</f>
        <v/>
      </c>
      <c r="J596" s="40">
        <f>IF($L596="","",IF((Override!$C$4="ON")*ISNUMBER(INDEX(Override!$G$153:$G$212,$N596))&gt;0,"stock overridden",""))</f>
        <v/>
      </c>
      <c r="L596" s="41">
        <f>IFERROR(IF(SMALL(Grids!$C$157:$BO$216,$M$439+155)&gt;=(Summary!$C$15+1)*1000000000,"",SMALL(Grids!$C$157:$BO$216,$M$439+155)),"")</f>
        <v/>
      </c>
      <c r="M596" s="41">
        <f>IF($L596="","",INT($L596/1000000000))</f>
        <v/>
      </c>
      <c r="N596" s="41">
        <f>IF($L596="","",INT(($L596-INT($L596/1000000)*1000000)/1000))</f>
        <v/>
      </c>
      <c r="O596" s="41">
        <f>IF($L596="","",$L596-INT($L596/1000)*1000)</f>
        <v/>
      </c>
      <c r="P596" s="41">
        <f>IF($L596="","",INT(($L596-INT($L596/1000000000)*1000000000)/10000000))</f>
        <v/>
      </c>
    </row>
    <row r="597">
      <c r="B597" s="36">
        <f>IF($L597="","",$M597)</f>
        <v/>
      </c>
      <c r="C597" s="16">
        <f>IF($L597="","",INDEX(HSCEI!$C$7:$C$66,$N597))</f>
        <v/>
      </c>
      <c r="D597" s="16">
        <f>IF($L597="","",INDEX(HSCEI!$D$7:$D$66,$N597))</f>
        <v/>
      </c>
      <c r="E597" s="37">
        <f>IF($L597="","",IF(INT($P597/10)=0,"TBA",IFERROR(INDEX(Grids!$BQ$157:$EC$216,$N597,$O597),"-")))</f>
        <v/>
      </c>
      <c r="F597" s="16">
        <f>IF($L597="","",INDEX(HSCEI!$F$7:$F$66,$N597))</f>
        <v/>
      </c>
      <c r="G597" s="37">
        <f>IF($L597="","",IF(INT($P597/10)=0,"TBA",IFERROR(INDEX(Grids!$EE$157:$GQ$216,$N597,$O597),"-")))</f>
        <v/>
      </c>
      <c r="H597" s="38">
        <f>IF($L597="","",SUM($G$442:$G597))</f>
        <v/>
      </c>
      <c r="I597" s="39">
        <f>IF($L597="","",IF(INT(($L597-INT($L597/10000000)*10000000)/1000000)=0,"Bloomberg projection",IF(INT($P597/10)=1,"Announced","ANNOUNCED - amount TBA"))&amp;IF(($P597-INT($P597/10)*10)=1," (special)","")&amp;IF((($P597-INT($P597/10)*10)=1)*(Summary!$C$13="N")&gt;0," - excluded by your specials switch",""))</f>
        <v/>
      </c>
      <c r="J597" s="40">
        <f>IF($L597="","",IF((Override!$C$4="ON")*ISNUMBER(INDEX(Override!$G$153:$G$212,$N597))&gt;0,"stock overridden",""))</f>
        <v/>
      </c>
      <c r="L597" s="41">
        <f>IFERROR(IF(SMALL(Grids!$C$157:$BO$216,$M$439+156)&gt;=(Summary!$C$15+1)*1000000000,"",SMALL(Grids!$C$157:$BO$216,$M$439+156)),"")</f>
        <v/>
      </c>
      <c r="M597" s="41">
        <f>IF($L597="","",INT($L597/1000000000))</f>
        <v/>
      </c>
      <c r="N597" s="41">
        <f>IF($L597="","",INT(($L597-INT($L597/1000000)*1000000)/1000))</f>
        <v/>
      </c>
      <c r="O597" s="41">
        <f>IF($L597="","",$L597-INT($L597/1000)*1000)</f>
        <v/>
      </c>
      <c r="P597" s="41">
        <f>IF($L597="","",INT(($L597-INT($L597/1000000000)*1000000000)/10000000))</f>
        <v/>
      </c>
    </row>
    <row r="598">
      <c r="B598" s="36">
        <f>IF($L598="","",$M598)</f>
        <v/>
      </c>
      <c r="C598" s="16">
        <f>IF($L598="","",INDEX(HSCEI!$C$7:$C$66,$N598))</f>
        <v/>
      </c>
      <c r="D598" s="16">
        <f>IF($L598="","",INDEX(HSCEI!$D$7:$D$66,$N598))</f>
        <v/>
      </c>
      <c r="E598" s="37">
        <f>IF($L598="","",IF(INT($P598/10)=0,"TBA",IFERROR(INDEX(Grids!$BQ$157:$EC$216,$N598,$O598),"-")))</f>
        <v/>
      </c>
      <c r="F598" s="16">
        <f>IF($L598="","",INDEX(HSCEI!$F$7:$F$66,$N598))</f>
        <v/>
      </c>
      <c r="G598" s="37">
        <f>IF($L598="","",IF(INT($P598/10)=0,"TBA",IFERROR(INDEX(Grids!$EE$157:$GQ$216,$N598,$O598),"-")))</f>
        <v/>
      </c>
      <c r="H598" s="38">
        <f>IF($L598="","",SUM($G$442:$G598))</f>
        <v/>
      </c>
      <c r="I598" s="39">
        <f>IF($L598="","",IF(INT(($L598-INT($L598/10000000)*10000000)/1000000)=0,"Bloomberg projection",IF(INT($P598/10)=1,"Announced","ANNOUNCED - amount TBA"))&amp;IF(($P598-INT($P598/10)*10)=1," (special)","")&amp;IF((($P598-INT($P598/10)*10)=1)*(Summary!$C$13="N")&gt;0," - excluded by your specials switch",""))</f>
        <v/>
      </c>
      <c r="J598" s="40">
        <f>IF($L598="","",IF((Override!$C$4="ON")*ISNUMBER(INDEX(Override!$G$153:$G$212,$N598))&gt;0,"stock overridden",""))</f>
        <v/>
      </c>
      <c r="L598" s="41">
        <f>IFERROR(IF(SMALL(Grids!$C$157:$BO$216,$M$439+157)&gt;=(Summary!$C$15+1)*1000000000,"",SMALL(Grids!$C$157:$BO$216,$M$439+157)),"")</f>
        <v/>
      </c>
      <c r="M598" s="41">
        <f>IF($L598="","",INT($L598/1000000000))</f>
        <v/>
      </c>
      <c r="N598" s="41">
        <f>IF($L598="","",INT(($L598-INT($L598/1000000)*1000000)/1000))</f>
        <v/>
      </c>
      <c r="O598" s="41">
        <f>IF($L598="","",$L598-INT($L598/1000)*1000)</f>
        <v/>
      </c>
      <c r="P598" s="41">
        <f>IF($L598="","",INT(($L598-INT($L598/1000000000)*1000000000)/10000000))</f>
        <v/>
      </c>
    </row>
    <row r="599">
      <c r="B599" s="36">
        <f>IF($L599="","",$M599)</f>
        <v/>
      </c>
      <c r="C599" s="16">
        <f>IF($L599="","",INDEX(HSCEI!$C$7:$C$66,$N599))</f>
        <v/>
      </c>
      <c r="D599" s="16">
        <f>IF($L599="","",INDEX(HSCEI!$D$7:$D$66,$N599))</f>
        <v/>
      </c>
      <c r="E599" s="37">
        <f>IF($L599="","",IF(INT($P599/10)=0,"TBA",IFERROR(INDEX(Grids!$BQ$157:$EC$216,$N599,$O599),"-")))</f>
        <v/>
      </c>
      <c r="F599" s="16">
        <f>IF($L599="","",INDEX(HSCEI!$F$7:$F$66,$N599))</f>
        <v/>
      </c>
      <c r="G599" s="37">
        <f>IF($L599="","",IF(INT($P599/10)=0,"TBA",IFERROR(INDEX(Grids!$EE$157:$GQ$216,$N599,$O599),"-")))</f>
        <v/>
      </c>
      <c r="H599" s="38">
        <f>IF($L599="","",SUM($G$442:$G599))</f>
        <v/>
      </c>
      <c r="I599" s="39">
        <f>IF($L599="","",IF(INT(($L599-INT($L599/10000000)*10000000)/1000000)=0,"Bloomberg projection",IF(INT($P599/10)=1,"Announced","ANNOUNCED - amount TBA"))&amp;IF(($P599-INT($P599/10)*10)=1," (special)","")&amp;IF((($P599-INT($P599/10)*10)=1)*(Summary!$C$13="N")&gt;0," - excluded by your specials switch",""))</f>
        <v/>
      </c>
      <c r="J599" s="40">
        <f>IF($L599="","",IF((Override!$C$4="ON")*ISNUMBER(INDEX(Override!$G$153:$G$212,$N599))&gt;0,"stock overridden",""))</f>
        <v/>
      </c>
      <c r="L599" s="41">
        <f>IFERROR(IF(SMALL(Grids!$C$157:$BO$216,$M$439+158)&gt;=(Summary!$C$15+1)*1000000000,"",SMALL(Grids!$C$157:$BO$216,$M$439+158)),"")</f>
        <v/>
      </c>
      <c r="M599" s="41">
        <f>IF($L599="","",INT($L599/1000000000))</f>
        <v/>
      </c>
      <c r="N599" s="41">
        <f>IF($L599="","",INT(($L599-INT($L599/1000000)*1000000)/1000))</f>
        <v/>
      </c>
      <c r="O599" s="41">
        <f>IF($L599="","",$L599-INT($L599/1000)*1000)</f>
        <v/>
      </c>
      <c r="P599" s="41">
        <f>IF($L599="","",INT(($L599-INT($L599/1000000000)*1000000000)/10000000))</f>
        <v/>
      </c>
    </row>
    <row r="600">
      <c r="B600" s="36">
        <f>IF($L600="","",$M600)</f>
        <v/>
      </c>
      <c r="C600" s="16">
        <f>IF($L600="","",INDEX(HSCEI!$C$7:$C$66,$N600))</f>
        <v/>
      </c>
      <c r="D600" s="16">
        <f>IF($L600="","",INDEX(HSCEI!$D$7:$D$66,$N600))</f>
        <v/>
      </c>
      <c r="E600" s="37">
        <f>IF($L600="","",IF(INT($P600/10)=0,"TBA",IFERROR(INDEX(Grids!$BQ$157:$EC$216,$N600,$O600),"-")))</f>
        <v/>
      </c>
      <c r="F600" s="16">
        <f>IF($L600="","",INDEX(HSCEI!$F$7:$F$66,$N600))</f>
        <v/>
      </c>
      <c r="G600" s="37">
        <f>IF($L600="","",IF(INT($P600/10)=0,"TBA",IFERROR(INDEX(Grids!$EE$157:$GQ$216,$N600,$O600),"-")))</f>
        <v/>
      </c>
      <c r="H600" s="38">
        <f>IF($L600="","",SUM($G$442:$G600))</f>
        <v/>
      </c>
      <c r="I600" s="39">
        <f>IF($L600="","",IF(INT(($L600-INT($L600/10000000)*10000000)/1000000)=0,"Bloomberg projection",IF(INT($P600/10)=1,"Announced","ANNOUNCED - amount TBA"))&amp;IF(($P600-INT($P600/10)*10)=1," (special)","")&amp;IF((($P600-INT($P600/10)*10)=1)*(Summary!$C$13="N")&gt;0," - excluded by your specials switch",""))</f>
        <v/>
      </c>
      <c r="J600" s="40">
        <f>IF($L600="","",IF((Override!$C$4="ON")*ISNUMBER(INDEX(Override!$G$153:$G$212,$N600))&gt;0,"stock overridden",""))</f>
        <v/>
      </c>
      <c r="L600" s="41">
        <f>IFERROR(IF(SMALL(Grids!$C$157:$BO$216,$M$439+159)&gt;=(Summary!$C$15+1)*1000000000,"",SMALL(Grids!$C$157:$BO$216,$M$439+159)),"")</f>
        <v/>
      </c>
      <c r="M600" s="41">
        <f>IF($L600="","",INT($L600/1000000000))</f>
        <v/>
      </c>
      <c r="N600" s="41">
        <f>IF($L600="","",INT(($L600-INT($L600/1000000)*1000000)/1000))</f>
        <v/>
      </c>
      <c r="O600" s="41">
        <f>IF($L600="","",$L600-INT($L600/1000)*1000)</f>
        <v/>
      </c>
      <c r="P600" s="41">
        <f>IF($L600="","",INT(($L600-INT($L600/1000000000)*1000000000)/10000000))</f>
        <v/>
      </c>
    </row>
    <row r="601">
      <c r="B601" s="36">
        <f>IF($L601="","",$M601)</f>
        <v/>
      </c>
      <c r="C601" s="16">
        <f>IF($L601="","",INDEX(HSCEI!$C$7:$C$66,$N601))</f>
        <v/>
      </c>
      <c r="D601" s="16">
        <f>IF($L601="","",INDEX(HSCEI!$D$7:$D$66,$N601))</f>
        <v/>
      </c>
      <c r="E601" s="37">
        <f>IF($L601="","",IF(INT($P601/10)=0,"TBA",IFERROR(INDEX(Grids!$BQ$157:$EC$216,$N601,$O601),"-")))</f>
        <v/>
      </c>
      <c r="F601" s="16">
        <f>IF($L601="","",INDEX(HSCEI!$F$7:$F$66,$N601))</f>
        <v/>
      </c>
      <c r="G601" s="37">
        <f>IF($L601="","",IF(INT($P601/10)=0,"TBA",IFERROR(INDEX(Grids!$EE$157:$GQ$216,$N601,$O601),"-")))</f>
        <v/>
      </c>
      <c r="H601" s="38">
        <f>IF($L601="","",SUM($G$442:$G601))</f>
        <v/>
      </c>
      <c r="I601" s="39">
        <f>IF($L601="","",IF(INT(($L601-INT($L601/10000000)*10000000)/1000000)=0,"Bloomberg projection",IF(INT($P601/10)=1,"Announced","ANNOUNCED - amount TBA"))&amp;IF(($P601-INT($P601/10)*10)=1," (special)","")&amp;IF((($P601-INT($P601/10)*10)=1)*(Summary!$C$13="N")&gt;0," - excluded by your specials switch",""))</f>
        <v/>
      </c>
      <c r="J601" s="40">
        <f>IF($L601="","",IF((Override!$C$4="ON")*ISNUMBER(INDEX(Override!$G$153:$G$212,$N601))&gt;0,"stock overridden",""))</f>
        <v/>
      </c>
      <c r="L601" s="41">
        <f>IFERROR(IF(SMALL(Grids!$C$157:$BO$216,$M$439+160)&gt;=(Summary!$C$15+1)*1000000000,"",SMALL(Grids!$C$157:$BO$216,$M$439+160)),"")</f>
        <v/>
      </c>
      <c r="M601" s="41">
        <f>IF($L601="","",INT($L601/1000000000))</f>
        <v/>
      </c>
      <c r="N601" s="41">
        <f>IF($L601="","",INT(($L601-INT($L601/1000000)*1000000)/1000))</f>
        <v/>
      </c>
      <c r="O601" s="41">
        <f>IF($L601="","",$L601-INT($L601/1000)*1000)</f>
        <v/>
      </c>
      <c r="P601" s="41">
        <f>IF($L601="","",INT(($L601-INT($L601/1000000000)*1000000000)/10000000))</f>
        <v/>
      </c>
    </row>
    <row r="602">
      <c r="B602" s="36">
        <f>IF($L602="","",$M602)</f>
        <v/>
      </c>
      <c r="C602" s="16">
        <f>IF($L602="","",INDEX(HSCEI!$C$7:$C$66,$N602))</f>
        <v/>
      </c>
      <c r="D602" s="16">
        <f>IF($L602="","",INDEX(HSCEI!$D$7:$D$66,$N602))</f>
        <v/>
      </c>
      <c r="E602" s="37">
        <f>IF($L602="","",IF(INT($P602/10)=0,"TBA",IFERROR(INDEX(Grids!$BQ$157:$EC$216,$N602,$O602),"-")))</f>
        <v/>
      </c>
      <c r="F602" s="16">
        <f>IF($L602="","",INDEX(HSCEI!$F$7:$F$66,$N602))</f>
        <v/>
      </c>
      <c r="G602" s="37">
        <f>IF($L602="","",IF(INT($P602/10)=0,"TBA",IFERROR(INDEX(Grids!$EE$157:$GQ$216,$N602,$O602),"-")))</f>
        <v/>
      </c>
      <c r="H602" s="38">
        <f>IF($L602="","",SUM($G$442:$G602))</f>
        <v/>
      </c>
      <c r="I602" s="39">
        <f>IF($L602="","",IF(INT(($L602-INT($L602/10000000)*10000000)/1000000)=0,"Bloomberg projection",IF(INT($P602/10)=1,"Announced","ANNOUNCED - amount TBA"))&amp;IF(($P602-INT($P602/10)*10)=1," (special)","")&amp;IF((($P602-INT($P602/10)*10)=1)*(Summary!$C$13="N")&gt;0," - excluded by your specials switch",""))</f>
        <v/>
      </c>
      <c r="J602" s="40">
        <f>IF($L602="","",IF((Override!$C$4="ON")*ISNUMBER(INDEX(Override!$G$153:$G$212,$N602))&gt;0,"stock overridden",""))</f>
        <v/>
      </c>
      <c r="L602" s="41">
        <f>IFERROR(IF(SMALL(Grids!$C$157:$BO$216,$M$439+161)&gt;=(Summary!$C$15+1)*1000000000,"",SMALL(Grids!$C$157:$BO$216,$M$439+161)),"")</f>
        <v/>
      </c>
      <c r="M602" s="41">
        <f>IF($L602="","",INT($L602/1000000000))</f>
        <v/>
      </c>
      <c r="N602" s="41">
        <f>IF($L602="","",INT(($L602-INT($L602/1000000)*1000000)/1000))</f>
        <v/>
      </c>
      <c r="O602" s="41">
        <f>IF($L602="","",$L602-INT($L602/1000)*1000)</f>
        <v/>
      </c>
      <c r="P602" s="41">
        <f>IF($L602="","",INT(($L602-INT($L602/1000000000)*1000000000)/10000000))</f>
        <v/>
      </c>
    </row>
    <row r="603">
      <c r="B603" s="36">
        <f>IF($L603="","",$M603)</f>
        <v/>
      </c>
      <c r="C603" s="16">
        <f>IF($L603="","",INDEX(HSCEI!$C$7:$C$66,$N603))</f>
        <v/>
      </c>
      <c r="D603" s="16">
        <f>IF($L603="","",INDEX(HSCEI!$D$7:$D$66,$N603))</f>
        <v/>
      </c>
      <c r="E603" s="37">
        <f>IF($L603="","",IF(INT($P603/10)=0,"TBA",IFERROR(INDEX(Grids!$BQ$157:$EC$216,$N603,$O603),"-")))</f>
        <v/>
      </c>
      <c r="F603" s="16">
        <f>IF($L603="","",INDEX(HSCEI!$F$7:$F$66,$N603))</f>
        <v/>
      </c>
      <c r="G603" s="37">
        <f>IF($L603="","",IF(INT($P603/10)=0,"TBA",IFERROR(INDEX(Grids!$EE$157:$GQ$216,$N603,$O603),"-")))</f>
        <v/>
      </c>
      <c r="H603" s="38">
        <f>IF($L603="","",SUM($G$442:$G603))</f>
        <v/>
      </c>
      <c r="I603" s="39">
        <f>IF($L603="","",IF(INT(($L603-INT($L603/10000000)*10000000)/1000000)=0,"Bloomberg projection",IF(INT($P603/10)=1,"Announced","ANNOUNCED - amount TBA"))&amp;IF(($P603-INT($P603/10)*10)=1," (special)","")&amp;IF((($P603-INT($P603/10)*10)=1)*(Summary!$C$13="N")&gt;0," - excluded by your specials switch",""))</f>
        <v/>
      </c>
      <c r="J603" s="40">
        <f>IF($L603="","",IF((Override!$C$4="ON")*ISNUMBER(INDEX(Override!$G$153:$G$212,$N603))&gt;0,"stock overridden",""))</f>
        <v/>
      </c>
      <c r="L603" s="41">
        <f>IFERROR(IF(SMALL(Grids!$C$157:$BO$216,$M$439+162)&gt;=(Summary!$C$15+1)*1000000000,"",SMALL(Grids!$C$157:$BO$216,$M$439+162)),"")</f>
        <v/>
      </c>
      <c r="M603" s="41">
        <f>IF($L603="","",INT($L603/1000000000))</f>
        <v/>
      </c>
      <c r="N603" s="41">
        <f>IF($L603="","",INT(($L603-INT($L603/1000000)*1000000)/1000))</f>
        <v/>
      </c>
      <c r="O603" s="41">
        <f>IF($L603="","",$L603-INT($L603/1000)*1000)</f>
        <v/>
      </c>
      <c r="P603" s="41">
        <f>IF($L603="","",INT(($L603-INT($L603/1000000000)*1000000000)/10000000))</f>
        <v/>
      </c>
    </row>
    <row r="604">
      <c r="B604" s="36">
        <f>IF($L604="","",$M604)</f>
        <v/>
      </c>
      <c r="C604" s="16">
        <f>IF($L604="","",INDEX(HSCEI!$C$7:$C$66,$N604))</f>
        <v/>
      </c>
      <c r="D604" s="16">
        <f>IF($L604="","",INDEX(HSCEI!$D$7:$D$66,$N604))</f>
        <v/>
      </c>
      <c r="E604" s="37">
        <f>IF($L604="","",IF(INT($P604/10)=0,"TBA",IFERROR(INDEX(Grids!$BQ$157:$EC$216,$N604,$O604),"-")))</f>
        <v/>
      </c>
      <c r="F604" s="16">
        <f>IF($L604="","",INDEX(HSCEI!$F$7:$F$66,$N604))</f>
        <v/>
      </c>
      <c r="G604" s="37">
        <f>IF($L604="","",IF(INT($P604/10)=0,"TBA",IFERROR(INDEX(Grids!$EE$157:$GQ$216,$N604,$O604),"-")))</f>
        <v/>
      </c>
      <c r="H604" s="38">
        <f>IF($L604="","",SUM($G$442:$G604))</f>
        <v/>
      </c>
      <c r="I604" s="39">
        <f>IF($L604="","",IF(INT(($L604-INT($L604/10000000)*10000000)/1000000)=0,"Bloomberg projection",IF(INT($P604/10)=1,"Announced","ANNOUNCED - amount TBA"))&amp;IF(($P604-INT($P604/10)*10)=1," (special)","")&amp;IF((($P604-INT($P604/10)*10)=1)*(Summary!$C$13="N")&gt;0," - excluded by your specials switch",""))</f>
        <v/>
      </c>
      <c r="J604" s="40">
        <f>IF($L604="","",IF((Override!$C$4="ON")*ISNUMBER(INDEX(Override!$G$153:$G$212,$N604))&gt;0,"stock overridden",""))</f>
        <v/>
      </c>
      <c r="L604" s="41">
        <f>IFERROR(IF(SMALL(Grids!$C$157:$BO$216,$M$439+163)&gt;=(Summary!$C$15+1)*1000000000,"",SMALL(Grids!$C$157:$BO$216,$M$439+163)),"")</f>
        <v/>
      </c>
      <c r="M604" s="41">
        <f>IF($L604="","",INT($L604/1000000000))</f>
        <v/>
      </c>
      <c r="N604" s="41">
        <f>IF($L604="","",INT(($L604-INT($L604/1000000)*1000000)/1000))</f>
        <v/>
      </c>
      <c r="O604" s="41">
        <f>IF($L604="","",$L604-INT($L604/1000)*1000)</f>
        <v/>
      </c>
      <c r="P604" s="41">
        <f>IF($L604="","",INT(($L604-INT($L604/1000000000)*1000000000)/10000000))</f>
        <v/>
      </c>
    </row>
    <row r="605">
      <c r="B605" s="36">
        <f>IF($L605="","",$M605)</f>
        <v/>
      </c>
      <c r="C605" s="16">
        <f>IF($L605="","",INDEX(HSCEI!$C$7:$C$66,$N605))</f>
        <v/>
      </c>
      <c r="D605" s="16">
        <f>IF($L605="","",INDEX(HSCEI!$D$7:$D$66,$N605))</f>
        <v/>
      </c>
      <c r="E605" s="37">
        <f>IF($L605="","",IF(INT($P605/10)=0,"TBA",IFERROR(INDEX(Grids!$BQ$157:$EC$216,$N605,$O605),"-")))</f>
        <v/>
      </c>
      <c r="F605" s="16">
        <f>IF($L605="","",INDEX(HSCEI!$F$7:$F$66,$N605))</f>
        <v/>
      </c>
      <c r="G605" s="37">
        <f>IF($L605="","",IF(INT($P605/10)=0,"TBA",IFERROR(INDEX(Grids!$EE$157:$GQ$216,$N605,$O605),"-")))</f>
        <v/>
      </c>
      <c r="H605" s="38">
        <f>IF($L605="","",SUM($G$442:$G605))</f>
        <v/>
      </c>
      <c r="I605" s="39">
        <f>IF($L605="","",IF(INT(($L605-INT($L605/10000000)*10000000)/1000000)=0,"Bloomberg projection",IF(INT($P605/10)=1,"Announced","ANNOUNCED - amount TBA"))&amp;IF(($P605-INT($P605/10)*10)=1," (special)","")&amp;IF((($P605-INT($P605/10)*10)=1)*(Summary!$C$13="N")&gt;0," - excluded by your specials switch",""))</f>
        <v/>
      </c>
      <c r="J605" s="40">
        <f>IF($L605="","",IF((Override!$C$4="ON")*ISNUMBER(INDEX(Override!$G$153:$G$212,$N605))&gt;0,"stock overridden",""))</f>
        <v/>
      </c>
      <c r="L605" s="41">
        <f>IFERROR(IF(SMALL(Grids!$C$157:$BO$216,$M$439+164)&gt;=(Summary!$C$15+1)*1000000000,"",SMALL(Grids!$C$157:$BO$216,$M$439+164)),"")</f>
        <v/>
      </c>
      <c r="M605" s="41">
        <f>IF($L605="","",INT($L605/1000000000))</f>
        <v/>
      </c>
      <c r="N605" s="41">
        <f>IF($L605="","",INT(($L605-INT($L605/1000000)*1000000)/1000))</f>
        <v/>
      </c>
      <c r="O605" s="41">
        <f>IF($L605="","",$L605-INT($L605/1000)*1000)</f>
        <v/>
      </c>
      <c r="P605" s="41">
        <f>IF($L605="","",INT(($L605-INT($L605/1000000000)*1000000000)/10000000))</f>
        <v/>
      </c>
    </row>
    <row r="606">
      <c r="B606" s="36">
        <f>IF($L606="","",$M606)</f>
        <v/>
      </c>
      <c r="C606" s="16">
        <f>IF($L606="","",INDEX(HSCEI!$C$7:$C$66,$N606))</f>
        <v/>
      </c>
      <c r="D606" s="16">
        <f>IF($L606="","",INDEX(HSCEI!$D$7:$D$66,$N606))</f>
        <v/>
      </c>
      <c r="E606" s="37">
        <f>IF($L606="","",IF(INT($P606/10)=0,"TBA",IFERROR(INDEX(Grids!$BQ$157:$EC$216,$N606,$O606),"-")))</f>
        <v/>
      </c>
      <c r="F606" s="16">
        <f>IF($L606="","",INDEX(HSCEI!$F$7:$F$66,$N606))</f>
        <v/>
      </c>
      <c r="G606" s="37">
        <f>IF($L606="","",IF(INT($P606/10)=0,"TBA",IFERROR(INDEX(Grids!$EE$157:$GQ$216,$N606,$O606),"-")))</f>
        <v/>
      </c>
      <c r="H606" s="38">
        <f>IF($L606="","",SUM($G$442:$G606))</f>
        <v/>
      </c>
      <c r="I606" s="39">
        <f>IF($L606="","",IF(INT(($L606-INT($L606/10000000)*10000000)/1000000)=0,"Bloomberg projection",IF(INT($P606/10)=1,"Announced","ANNOUNCED - amount TBA"))&amp;IF(($P606-INT($P606/10)*10)=1," (special)","")&amp;IF((($P606-INT($P606/10)*10)=1)*(Summary!$C$13="N")&gt;0," - excluded by your specials switch",""))</f>
        <v/>
      </c>
      <c r="J606" s="40">
        <f>IF($L606="","",IF((Override!$C$4="ON")*ISNUMBER(INDEX(Override!$G$153:$G$212,$N606))&gt;0,"stock overridden",""))</f>
        <v/>
      </c>
      <c r="L606" s="41">
        <f>IFERROR(IF(SMALL(Grids!$C$157:$BO$216,$M$439+165)&gt;=(Summary!$C$15+1)*1000000000,"",SMALL(Grids!$C$157:$BO$216,$M$439+165)),"")</f>
        <v/>
      </c>
      <c r="M606" s="41">
        <f>IF($L606="","",INT($L606/1000000000))</f>
        <v/>
      </c>
      <c r="N606" s="41">
        <f>IF($L606="","",INT(($L606-INT($L606/1000000)*1000000)/1000))</f>
        <v/>
      </c>
      <c r="O606" s="41">
        <f>IF($L606="","",$L606-INT($L606/1000)*1000)</f>
        <v/>
      </c>
      <c r="P606" s="41">
        <f>IF($L606="","",INT(($L606-INT($L606/1000000000)*1000000000)/10000000))</f>
        <v/>
      </c>
    </row>
    <row r="607">
      <c r="B607" s="36">
        <f>IF($L607="","",$M607)</f>
        <v/>
      </c>
      <c r="C607" s="16">
        <f>IF($L607="","",INDEX(HSCEI!$C$7:$C$66,$N607))</f>
        <v/>
      </c>
      <c r="D607" s="16">
        <f>IF($L607="","",INDEX(HSCEI!$D$7:$D$66,$N607))</f>
        <v/>
      </c>
      <c r="E607" s="37">
        <f>IF($L607="","",IF(INT($P607/10)=0,"TBA",IFERROR(INDEX(Grids!$BQ$157:$EC$216,$N607,$O607),"-")))</f>
        <v/>
      </c>
      <c r="F607" s="16">
        <f>IF($L607="","",INDEX(HSCEI!$F$7:$F$66,$N607))</f>
        <v/>
      </c>
      <c r="G607" s="37">
        <f>IF($L607="","",IF(INT($P607/10)=0,"TBA",IFERROR(INDEX(Grids!$EE$157:$GQ$216,$N607,$O607),"-")))</f>
        <v/>
      </c>
      <c r="H607" s="38">
        <f>IF($L607="","",SUM($G$442:$G607))</f>
        <v/>
      </c>
      <c r="I607" s="39">
        <f>IF($L607="","",IF(INT(($L607-INT($L607/10000000)*10000000)/1000000)=0,"Bloomberg projection",IF(INT($P607/10)=1,"Announced","ANNOUNCED - amount TBA"))&amp;IF(($P607-INT($P607/10)*10)=1," (special)","")&amp;IF((($P607-INT($P607/10)*10)=1)*(Summary!$C$13="N")&gt;0," - excluded by your specials switch",""))</f>
        <v/>
      </c>
      <c r="J607" s="40">
        <f>IF($L607="","",IF((Override!$C$4="ON")*ISNUMBER(INDEX(Override!$G$153:$G$212,$N607))&gt;0,"stock overridden",""))</f>
        <v/>
      </c>
      <c r="L607" s="41">
        <f>IFERROR(IF(SMALL(Grids!$C$157:$BO$216,$M$439+166)&gt;=(Summary!$C$15+1)*1000000000,"",SMALL(Grids!$C$157:$BO$216,$M$439+166)),"")</f>
        <v/>
      </c>
      <c r="M607" s="41">
        <f>IF($L607="","",INT($L607/1000000000))</f>
        <v/>
      </c>
      <c r="N607" s="41">
        <f>IF($L607="","",INT(($L607-INT($L607/1000000)*1000000)/1000))</f>
        <v/>
      </c>
      <c r="O607" s="41">
        <f>IF($L607="","",$L607-INT($L607/1000)*1000)</f>
        <v/>
      </c>
      <c r="P607" s="41">
        <f>IF($L607="","",INT(($L607-INT($L607/1000000000)*1000000000)/10000000))</f>
        <v/>
      </c>
    </row>
    <row r="608">
      <c r="B608" s="36">
        <f>IF($L608="","",$M608)</f>
        <v/>
      </c>
      <c r="C608" s="16">
        <f>IF($L608="","",INDEX(HSCEI!$C$7:$C$66,$N608))</f>
        <v/>
      </c>
      <c r="D608" s="16">
        <f>IF($L608="","",INDEX(HSCEI!$D$7:$D$66,$N608))</f>
        <v/>
      </c>
      <c r="E608" s="37">
        <f>IF($L608="","",IF(INT($P608/10)=0,"TBA",IFERROR(INDEX(Grids!$BQ$157:$EC$216,$N608,$O608),"-")))</f>
        <v/>
      </c>
      <c r="F608" s="16">
        <f>IF($L608="","",INDEX(HSCEI!$F$7:$F$66,$N608))</f>
        <v/>
      </c>
      <c r="G608" s="37">
        <f>IF($L608="","",IF(INT($P608/10)=0,"TBA",IFERROR(INDEX(Grids!$EE$157:$GQ$216,$N608,$O608),"-")))</f>
        <v/>
      </c>
      <c r="H608" s="38">
        <f>IF($L608="","",SUM($G$442:$G608))</f>
        <v/>
      </c>
      <c r="I608" s="39">
        <f>IF($L608="","",IF(INT(($L608-INT($L608/10000000)*10000000)/1000000)=0,"Bloomberg projection",IF(INT($P608/10)=1,"Announced","ANNOUNCED - amount TBA"))&amp;IF(($P608-INT($P608/10)*10)=1," (special)","")&amp;IF((($P608-INT($P608/10)*10)=1)*(Summary!$C$13="N")&gt;0," - excluded by your specials switch",""))</f>
        <v/>
      </c>
      <c r="J608" s="40">
        <f>IF($L608="","",IF((Override!$C$4="ON")*ISNUMBER(INDEX(Override!$G$153:$G$212,$N608))&gt;0,"stock overridden",""))</f>
        <v/>
      </c>
      <c r="L608" s="41">
        <f>IFERROR(IF(SMALL(Grids!$C$157:$BO$216,$M$439+167)&gt;=(Summary!$C$15+1)*1000000000,"",SMALL(Grids!$C$157:$BO$216,$M$439+167)),"")</f>
        <v/>
      </c>
      <c r="M608" s="41">
        <f>IF($L608="","",INT($L608/1000000000))</f>
        <v/>
      </c>
      <c r="N608" s="41">
        <f>IF($L608="","",INT(($L608-INT($L608/1000000)*1000000)/1000))</f>
        <v/>
      </c>
      <c r="O608" s="41">
        <f>IF($L608="","",$L608-INT($L608/1000)*1000)</f>
        <v/>
      </c>
      <c r="P608" s="41">
        <f>IF($L608="","",INT(($L608-INT($L608/1000000000)*1000000000)/10000000))</f>
        <v/>
      </c>
    </row>
    <row r="609">
      <c r="B609" s="36">
        <f>IF($L609="","",$M609)</f>
        <v/>
      </c>
      <c r="C609" s="16">
        <f>IF($L609="","",INDEX(HSCEI!$C$7:$C$66,$N609))</f>
        <v/>
      </c>
      <c r="D609" s="16">
        <f>IF($L609="","",INDEX(HSCEI!$D$7:$D$66,$N609))</f>
        <v/>
      </c>
      <c r="E609" s="37">
        <f>IF($L609="","",IF(INT($P609/10)=0,"TBA",IFERROR(INDEX(Grids!$BQ$157:$EC$216,$N609,$O609),"-")))</f>
        <v/>
      </c>
      <c r="F609" s="16">
        <f>IF($L609="","",INDEX(HSCEI!$F$7:$F$66,$N609))</f>
        <v/>
      </c>
      <c r="G609" s="37">
        <f>IF($L609="","",IF(INT($P609/10)=0,"TBA",IFERROR(INDEX(Grids!$EE$157:$GQ$216,$N609,$O609),"-")))</f>
        <v/>
      </c>
      <c r="H609" s="38">
        <f>IF($L609="","",SUM($G$442:$G609))</f>
        <v/>
      </c>
      <c r="I609" s="39">
        <f>IF($L609="","",IF(INT(($L609-INT($L609/10000000)*10000000)/1000000)=0,"Bloomberg projection",IF(INT($P609/10)=1,"Announced","ANNOUNCED - amount TBA"))&amp;IF(($P609-INT($P609/10)*10)=1," (special)","")&amp;IF((($P609-INT($P609/10)*10)=1)*(Summary!$C$13="N")&gt;0," - excluded by your specials switch",""))</f>
        <v/>
      </c>
      <c r="J609" s="40">
        <f>IF($L609="","",IF((Override!$C$4="ON")*ISNUMBER(INDEX(Override!$G$153:$G$212,$N609))&gt;0,"stock overridden",""))</f>
        <v/>
      </c>
      <c r="L609" s="41">
        <f>IFERROR(IF(SMALL(Grids!$C$157:$BO$216,$M$439+168)&gt;=(Summary!$C$15+1)*1000000000,"",SMALL(Grids!$C$157:$BO$216,$M$439+168)),"")</f>
        <v/>
      </c>
      <c r="M609" s="41">
        <f>IF($L609="","",INT($L609/1000000000))</f>
        <v/>
      </c>
      <c r="N609" s="41">
        <f>IF($L609="","",INT(($L609-INT($L609/1000000)*1000000)/1000))</f>
        <v/>
      </c>
      <c r="O609" s="41">
        <f>IF($L609="","",$L609-INT($L609/1000)*1000)</f>
        <v/>
      </c>
      <c r="P609" s="41">
        <f>IF($L609="","",INT(($L609-INT($L609/1000000000)*1000000000)/10000000))</f>
        <v/>
      </c>
    </row>
    <row r="610">
      <c r="B610" s="36">
        <f>IF($L610="","",$M610)</f>
        <v/>
      </c>
      <c r="C610" s="16">
        <f>IF($L610="","",INDEX(HSCEI!$C$7:$C$66,$N610))</f>
        <v/>
      </c>
      <c r="D610" s="16">
        <f>IF($L610="","",INDEX(HSCEI!$D$7:$D$66,$N610))</f>
        <v/>
      </c>
      <c r="E610" s="37">
        <f>IF($L610="","",IF(INT($P610/10)=0,"TBA",IFERROR(INDEX(Grids!$BQ$157:$EC$216,$N610,$O610),"-")))</f>
        <v/>
      </c>
      <c r="F610" s="16">
        <f>IF($L610="","",INDEX(HSCEI!$F$7:$F$66,$N610))</f>
        <v/>
      </c>
      <c r="G610" s="37">
        <f>IF($L610="","",IF(INT($P610/10)=0,"TBA",IFERROR(INDEX(Grids!$EE$157:$GQ$216,$N610,$O610),"-")))</f>
        <v/>
      </c>
      <c r="H610" s="38">
        <f>IF($L610="","",SUM($G$442:$G610))</f>
        <v/>
      </c>
      <c r="I610" s="39">
        <f>IF($L610="","",IF(INT(($L610-INT($L610/10000000)*10000000)/1000000)=0,"Bloomberg projection",IF(INT($P610/10)=1,"Announced","ANNOUNCED - amount TBA"))&amp;IF(($P610-INT($P610/10)*10)=1," (special)","")&amp;IF((($P610-INT($P610/10)*10)=1)*(Summary!$C$13="N")&gt;0," - excluded by your specials switch",""))</f>
        <v/>
      </c>
      <c r="J610" s="40">
        <f>IF($L610="","",IF((Override!$C$4="ON")*ISNUMBER(INDEX(Override!$G$153:$G$212,$N610))&gt;0,"stock overridden",""))</f>
        <v/>
      </c>
      <c r="L610" s="41">
        <f>IFERROR(IF(SMALL(Grids!$C$157:$BO$216,$M$439+169)&gt;=(Summary!$C$15+1)*1000000000,"",SMALL(Grids!$C$157:$BO$216,$M$439+169)),"")</f>
        <v/>
      </c>
      <c r="M610" s="41">
        <f>IF($L610="","",INT($L610/1000000000))</f>
        <v/>
      </c>
      <c r="N610" s="41">
        <f>IF($L610="","",INT(($L610-INT($L610/1000000)*1000000)/1000))</f>
        <v/>
      </c>
      <c r="O610" s="41">
        <f>IF($L610="","",$L610-INT($L610/1000)*1000)</f>
        <v/>
      </c>
      <c r="P610" s="41">
        <f>IF($L610="","",INT(($L610-INT($L610/1000000000)*1000000000)/10000000))</f>
        <v/>
      </c>
    </row>
    <row r="611">
      <c r="B611" s="36">
        <f>IF($L611="","",$M611)</f>
        <v/>
      </c>
      <c r="C611" s="16">
        <f>IF($L611="","",INDEX(HSCEI!$C$7:$C$66,$N611))</f>
        <v/>
      </c>
      <c r="D611" s="16">
        <f>IF($L611="","",INDEX(HSCEI!$D$7:$D$66,$N611))</f>
        <v/>
      </c>
      <c r="E611" s="37">
        <f>IF($L611="","",IF(INT($P611/10)=0,"TBA",IFERROR(INDEX(Grids!$BQ$157:$EC$216,$N611,$O611),"-")))</f>
        <v/>
      </c>
      <c r="F611" s="16">
        <f>IF($L611="","",INDEX(HSCEI!$F$7:$F$66,$N611))</f>
        <v/>
      </c>
      <c r="G611" s="37">
        <f>IF($L611="","",IF(INT($P611/10)=0,"TBA",IFERROR(INDEX(Grids!$EE$157:$GQ$216,$N611,$O611),"-")))</f>
        <v/>
      </c>
      <c r="H611" s="38">
        <f>IF($L611="","",SUM($G$442:$G611))</f>
        <v/>
      </c>
      <c r="I611" s="39">
        <f>IF($L611="","",IF(INT(($L611-INT($L611/10000000)*10000000)/1000000)=0,"Bloomberg projection",IF(INT($P611/10)=1,"Announced","ANNOUNCED - amount TBA"))&amp;IF(($P611-INT($P611/10)*10)=1," (special)","")&amp;IF((($P611-INT($P611/10)*10)=1)*(Summary!$C$13="N")&gt;0," - excluded by your specials switch",""))</f>
        <v/>
      </c>
      <c r="J611" s="40">
        <f>IF($L611="","",IF((Override!$C$4="ON")*ISNUMBER(INDEX(Override!$G$153:$G$212,$N611))&gt;0,"stock overridden",""))</f>
        <v/>
      </c>
      <c r="L611" s="41">
        <f>IFERROR(IF(SMALL(Grids!$C$157:$BO$216,$M$439+170)&gt;=(Summary!$C$15+1)*1000000000,"",SMALL(Grids!$C$157:$BO$216,$M$439+170)),"")</f>
        <v/>
      </c>
      <c r="M611" s="41">
        <f>IF($L611="","",INT($L611/1000000000))</f>
        <v/>
      </c>
      <c r="N611" s="41">
        <f>IF($L611="","",INT(($L611-INT($L611/1000000)*1000000)/1000))</f>
        <v/>
      </c>
      <c r="O611" s="41">
        <f>IF($L611="","",$L611-INT($L611/1000)*1000)</f>
        <v/>
      </c>
      <c r="P611" s="41">
        <f>IF($L611="","",INT(($L611-INT($L611/1000000000)*1000000000)/10000000))</f>
        <v/>
      </c>
    </row>
    <row r="612">
      <c r="B612" s="36">
        <f>IF($L612="","",$M612)</f>
        <v/>
      </c>
      <c r="C612" s="16">
        <f>IF($L612="","",INDEX(HSCEI!$C$7:$C$66,$N612))</f>
        <v/>
      </c>
      <c r="D612" s="16">
        <f>IF($L612="","",INDEX(HSCEI!$D$7:$D$66,$N612))</f>
        <v/>
      </c>
      <c r="E612" s="37">
        <f>IF($L612="","",IF(INT($P612/10)=0,"TBA",IFERROR(INDEX(Grids!$BQ$157:$EC$216,$N612,$O612),"-")))</f>
        <v/>
      </c>
      <c r="F612" s="16">
        <f>IF($L612="","",INDEX(HSCEI!$F$7:$F$66,$N612))</f>
        <v/>
      </c>
      <c r="G612" s="37">
        <f>IF($L612="","",IF(INT($P612/10)=0,"TBA",IFERROR(INDEX(Grids!$EE$157:$GQ$216,$N612,$O612),"-")))</f>
        <v/>
      </c>
      <c r="H612" s="38">
        <f>IF($L612="","",SUM($G$442:$G612))</f>
        <v/>
      </c>
      <c r="I612" s="39">
        <f>IF($L612="","",IF(INT(($L612-INT($L612/10000000)*10000000)/1000000)=0,"Bloomberg projection",IF(INT($P612/10)=1,"Announced","ANNOUNCED - amount TBA"))&amp;IF(($P612-INT($P612/10)*10)=1," (special)","")&amp;IF((($P612-INT($P612/10)*10)=1)*(Summary!$C$13="N")&gt;0," - excluded by your specials switch",""))</f>
        <v/>
      </c>
      <c r="J612" s="40">
        <f>IF($L612="","",IF((Override!$C$4="ON")*ISNUMBER(INDEX(Override!$G$153:$G$212,$N612))&gt;0,"stock overridden",""))</f>
        <v/>
      </c>
      <c r="L612" s="41">
        <f>IFERROR(IF(SMALL(Grids!$C$157:$BO$216,$M$439+171)&gt;=(Summary!$C$15+1)*1000000000,"",SMALL(Grids!$C$157:$BO$216,$M$439+171)),"")</f>
        <v/>
      </c>
      <c r="M612" s="41">
        <f>IF($L612="","",INT($L612/1000000000))</f>
        <v/>
      </c>
      <c r="N612" s="41">
        <f>IF($L612="","",INT(($L612-INT($L612/1000000)*1000000)/1000))</f>
        <v/>
      </c>
      <c r="O612" s="41">
        <f>IF($L612="","",$L612-INT($L612/1000)*1000)</f>
        <v/>
      </c>
      <c r="P612" s="41">
        <f>IF($L612="","",INT(($L612-INT($L612/1000000000)*1000000000)/10000000))</f>
        <v/>
      </c>
    </row>
    <row r="613">
      <c r="B613" s="36">
        <f>IF($L613="","",$M613)</f>
        <v/>
      </c>
      <c r="C613" s="16">
        <f>IF($L613="","",INDEX(HSCEI!$C$7:$C$66,$N613))</f>
        <v/>
      </c>
      <c r="D613" s="16">
        <f>IF($L613="","",INDEX(HSCEI!$D$7:$D$66,$N613))</f>
        <v/>
      </c>
      <c r="E613" s="37">
        <f>IF($L613="","",IF(INT($P613/10)=0,"TBA",IFERROR(INDEX(Grids!$BQ$157:$EC$216,$N613,$O613),"-")))</f>
        <v/>
      </c>
      <c r="F613" s="16">
        <f>IF($L613="","",INDEX(HSCEI!$F$7:$F$66,$N613))</f>
        <v/>
      </c>
      <c r="G613" s="37">
        <f>IF($L613="","",IF(INT($P613/10)=0,"TBA",IFERROR(INDEX(Grids!$EE$157:$GQ$216,$N613,$O613),"-")))</f>
        <v/>
      </c>
      <c r="H613" s="38">
        <f>IF($L613="","",SUM($G$442:$G613))</f>
        <v/>
      </c>
      <c r="I613" s="39">
        <f>IF($L613="","",IF(INT(($L613-INT($L613/10000000)*10000000)/1000000)=0,"Bloomberg projection",IF(INT($P613/10)=1,"Announced","ANNOUNCED - amount TBA"))&amp;IF(($P613-INT($P613/10)*10)=1," (special)","")&amp;IF((($P613-INT($P613/10)*10)=1)*(Summary!$C$13="N")&gt;0," - excluded by your specials switch",""))</f>
        <v/>
      </c>
      <c r="J613" s="40">
        <f>IF($L613="","",IF((Override!$C$4="ON")*ISNUMBER(INDEX(Override!$G$153:$G$212,$N613))&gt;0,"stock overridden",""))</f>
        <v/>
      </c>
      <c r="L613" s="41">
        <f>IFERROR(IF(SMALL(Grids!$C$157:$BO$216,$M$439+172)&gt;=(Summary!$C$15+1)*1000000000,"",SMALL(Grids!$C$157:$BO$216,$M$439+172)),"")</f>
        <v/>
      </c>
      <c r="M613" s="41">
        <f>IF($L613="","",INT($L613/1000000000))</f>
        <v/>
      </c>
      <c r="N613" s="41">
        <f>IF($L613="","",INT(($L613-INT($L613/1000000)*1000000)/1000))</f>
        <v/>
      </c>
      <c r="O613" s="41">
        <f>IF($L613="","",$L613-INT($L613/1000)*1000)</f>
        <v/>
      </c>
      <c r="P613" s="41">
        <f>IF($L613="","",INT(($L613-INT($L613/1000000000)*1000000000)/10000000))</f>
        <v/>
      </c>
    </row>
    <row r="614">
      <c r="B614" s="36">
        <f>IF($L614="","",$M614)</f>
        <v/>
      </c>
      <c r="C614" s="16">
        <f>IF($L614="","",INDEX(HSCEI!$C$7:$C$66,$N614))</f>
        <v/>
      </c>
      <c r="D614" s="16">
        <f>IF($L614="","",INDEX(HSCEI!$D$7:$D$66,$N614))</f>
        <v/>
      </c>
      <c r="E614" s="37">
        <f>IF($L614="","",IF(INT($P614/10)=0,"TBA",IFERROR(INDEX(Grids!$BQ$157:$EC$216,$N614,$O614),"-")))</f>
        <v/>
      </c>
      <c r="F614" s="16">
        <f>IF($L614="","",INDEX(HSCEI!$F$7:$F$66,$N614))</f>
        <v/>
      </c>
      <c r="G614" s="37">
        <f>IF($L614="","",IF(INT($P614/10)=0,"TBA",IFERROR(INDEX(Grids!$EE$157:$GQ$216,$N614,$O614),"-")))</f>
        <v/>
      </c>
      <c r="H614" s="38">
        <f>IF($L614="","",SUM($G$442:$G614))</f>
        <v/>
      </c>
      <c r="I614" s="39">
        <f>IF($L614="","",IF(INT(($L614-INT($L614/10000000)*10000000)/1000000)=0,"Bloomberg projection",IF(INT($P614/10)=1,"Announced","ANNOUNCED - amount TBA"))&amp;IF(($P614-INT($P614/10)*10)=1," (special)","")&amp;IF((($P614-INT($P614/10)*10)=1)*(Summary!$C$13="N")&gt;0," - excluded by your specials switch",""))</f>
        <v/>
      </c>
      <c r="J614" s="40">
        <f>IF($L614="","",IF((Override!$C$4="ON")*ISNUMBER(INDEX(Override!$G$153:$G$212,$N614))&gt;0,"stock overridden",""))</f>
        <v/>
      </c>
      <c r="L614" s="41">
        <f>IFERROR(IF(SMALL(Grids!$C$157:$BO$216,$M$439+173)&gt;=(Summary!$C$15+1)*1000000000,"",SMALL(Grids!$C$157:$BO$216,$M$439+173)),"")</f>
        <v/>
      </c>
      <c r="M614" s="41">
        <f>IF($L614="","",INT($L614/1000000000))</f>
        <v/>
      </c>
      <c r="N614" s="41">
        <f>IF($L614="","",INT(($L614-INT($L614/1000000)*1000000)/1000))</f>
        <v/>
      </c>
      <c r="O614" s="41">
        <f>IF($L614="","",$L614-INT($L614/1000)*1000)</f>
        <v/>
      </c>
      <c r="P614" s="41">
        <f>IF($L614="","",INT(($L614-INT($L614/1000000000)*1000000000)/10000000))</f>
        <v/>
      </c>
    </row>
    <row r="615">
      <c r="B615" s="36">
        <f>IF($L615="","",$M615)</f>
        <v/>
      </c>
      <c r="C615" s="16">
        <f>IF($L615="","",INDEX(HSCEI!$C$7:$C$66,$N615))</f>
        <v/>
      </c>
      <c r="D615" s="16">
        <f>IF($L615="","",INDEX(HSCEI!$D$7:$D$66,$N615))</f>
        <v/>
      </c>
      <c r="E615" s="37">
        <f>IF($L615="","",IF(INT($P615/10)=0,"TBA",IFERROR(INDEX(Grids!$BQ$157:$EC$216,$N615,$O615),"-")))</f>
        <v/>
      </c>
      <c r="F615" s="16">
        <f>IF($L615="","",INDEX(HSCEI!$F$7:$F$66,$N615))</f>
        <v/>
      </c>
      <c r="G615" s="37">
        <f>IF($L615="","",IF(INT($P615/10)=0,"TBA",IFERROR(INDEX(Grids!$EE$157:$GQ$216,$N615,$O615),"-")))</f>
        <v/>
      </c>
      <c r="H615" s="38">
        <f>IF($L615="","",SUM($G$442:$G615))</f>
        <v/>
      </c>
      <c r="I615" s="39">
        <f>IF($L615="","",IF(INT(($L615-INT($L615/10000000)*10000000)/1000000)=0,"Bloomberg projection",IF(INT($P615/10)=1,"Announced","ANNOUNCED - amount TBA"))&amp;IF(($P615-INT($P615/10)*10)=1," (special)","")&amp;IF((($P615-INT($P615/10)*10)=1)*(Summary!$C$13="N")&gt;0," - excluded by your specials switch",""))</f>
        <v/>
      </c>
      <c r="J615" s="40">
        <f>IF($L615="","",IF((Override!$C$4="ON")*ISNUMBER(INDEX(Override!$G$153:$G$212,$N615))&gt;0,"stock overridden",""))</f>
        <v/>
      </c>
      <c r="L615" s="41">
        <f>IFERROR(IF(SMALL(Grids!$C$157:$BO$216,$M$439+174)&gt;=(Summary!$C$15+1)*1000000000,"",SMALL(Grids!$C$157:$BO$216,$M$439+174)),"")</f>
        <v/>
      </c>
      <c r="M615" s="41">
        <f>IF($L615="","",INT($L615/1000000000))</f>
        <v/>
      </c>
      <c r="N615" s="41">
        <f>IF($L615="","",INT(($L615-INT($L615/1000000)*1000000)/1000))</f>
        <v/>
      </c>
      <c r="O615" s="41">
        <f>IF($L615="","",$L615-INT($L615/1000)*1000)</f>
        <v/>
      </c>
      <c r="P615" s="41">
        <f>IF($L615="","",INT(($L615-INT($L615/1000000000)*1000000000)/10000000))</f>
        <v/>
      </c>
    </row>
    <row r="616">
      <c r="B616" s="36">
        <f>IF($L616="","",$M616)</f>
        <v/>
      </c>
      <c r="C616" s="16">
        <f>IF($L616="","",INDEX(HSCEI!$C$7:$C$66,$N616))</f>
        <v/>
      </c>
      <c r="D616" s="16">
        <f>IF($L616="","",INDEX(HSCEI!$D$7:$D$66,$N616))</f>
        <v/>
      </c>
      <c r="E616" s="37">
        <f>IF($L616="","",IF(INT($P616/10)=0,"TBA",IFERROR(INDEX(Grids!$BQ$157:$EC$216,$N616,$O616),"-")))</f>
        <v/>
      </c>
      <c r="F616" s="16">
        <f>IF($L616="","",INDEX(HSCEI!$F$7:$F$66,$N616))</f>
        <v/>
      </c>
      <c r="G616" s="37">
        <f>IF($L616="","",IF(INT($P616/10)=0,"TBA",IFERROR(INDEX(Grids!$EE$157:$GQ$216,$N616,$O616),"-")))</f>
        <v/>
      </c>
      <c r="H616" s="38">
        <f>IF($L616="","",SUM($G$442:$G616))</f>
        <v/>
      </c>
      <c r="I616" s="39">
        <f>IF($L616="","",IF(INT(($L616-INT($L616/10000000)*10000000)/1000000)=0,"Bloomberg projection",IF(INT($P616/10)=1,"Announced","ANNOUNCED - amount TBA"))&amp;IF(($P616-INT($P616/10)*10)=1," (special)","")&amp;IF((($P616-INT($P616/10)*10)=1)*(Summary!$C$13="N")&gt;0," - excluded by your specials switch",""))</f>
        <v/>
      </c>
      <c r="J616" s="40">
        <f>IF($L616="","",IF((Override!$C$4="ON")*ISNUMBER(INDEX(Override!$G$153:$G$212,$N616))&gt;0,"stock overridden",""))</f>
        <v/>
      </c>
      <c r="L616" s="41">
        <f>IFERROR(IF(SMALL(Grids!$C$157:$BO$216,$M$439+175)&gt;=(Summary!$C$15+1)*1000000000,"",SMALL(Grids!$C$157:$BO$216,$M$439+175)),"")</f>
        <v/>
      </c>
      <c r="M616" s="41">
        <f>IF($L616="","",INT($L616/1000000000))</f>
        <v/>
      </c>
      <c r="N616" s="41">
        <f>IF($L616="","",INT(($L616-INT($L616/1000000)*1000000)/1000))</f>
        <v/>
      </c>
      <c r="O616" s="41">
        <f>IF($L616="","",$L616-INT($L616/1000)*1000)</f>
        <v/>
      </c>
      <c r="P616" s="41">
        <f>IF($L616="","",INT(($L616-INT($L616/1000000000)*1000000000)/10000000))</f>
        <v/>
      </c>
    </row>
    <row r="617">
      <c r="B617" s="36">
        <f>IF($L617="","",$M617)</f>
        <v/>
      </c>
      <c r="C617" s="16">
        <f>IF($L617="","",INDEX(HSCEI!$C$7:$C$66,$N617))</f>
        <v/>
      </c>
      <c r="D617" s="16">
        <f>IF($L617="","",INDEX(HSCEI!$D$7:$D$66,$N617))</f>
        <v/>
      </c>
      <c r="E617" s="37">
        <f>IF($L617="","",IF(INT($P617/10)=0,"TBA",IFERROR(INDEX(Grids!$BQ$157:$EC$216,$N617,$O617),"-")))</f>
        <v/>
      </c>
      <c r="F617" s="16">
        <f>IF($L617="","",INDEX(HSCEI!$F$7:$F$66,$N617))</f>
        <v/>
      </c>
      <c r="G617" s="37">
        <f>IF($L617="","",IF(INT($P617/10)=0,"TBA",IFERROR(INDEX(Grids!$EE$157:$GQ$216,$N617,$O617),"-")))</f>
        <v/>
      </c>
      <c r="H617" s="38">
        <f>IF($L617="","",SUM($G$442:$G617))</f>
        <v/>
      </c>
      <c r="I617" s="39">
        <f>IF($L617="","",IF(INT(($L617-INT($L617/10000000)*10000000)/1000000)=0,"Bloomberg projection",IF(INT($P617/10)=1,"Announced","ANNOUNCED - amount TBA"))&amp;IF(($P617-INT($P617/10)*10)=1," (special)","")&amp;IF((($P617-INT($P617/10)*10)=1)*(Summary!$C$13="N")&gt;0," - excluded by your specials switch",""))</f>
        <v/>
      </c>
      <c r="J617" s="40">
        <f>IF($L617="","",IF((Override!$C$4="ON")*ISNUMBER(INDEX(Override!$G$153:$G$212,$N617))&gt;0,"stock overridden",""))</f>
        <v/>
      </c>
      <c r="L617" s="41">
        <f>IFERROR(IF(SMALL(Grids!$C$157:$BO$216,$M$439+176)&gt;=(Summary!$C$15+1)*1000000000,"",SMALL(Grids!$C$157:$BO$216,$M$439+176)),"")</f>
        <v/>
      </c>
      <c r="M617" s="41">
        <f>IF($L617="","",INT($L617/1000000000))</f>
        <v/>
      </c>
      <c r="N617" s="41">
        <f>IF($L617="","",INT(($L617-INT($L617/1000000)*1000000)/1000))</f>
        <v/>
      </c>
      <c r="O617" s="41">
        <f>IF($L617="","",$L617-INT($L617/1000)*1000)</f>
        <v/>
      </c>
      <c r="P617" s="41">
        <f>IF($L617="","",INT(($L617-INT($L617/1000000000)*1000000000)/10000000))</f>
        <v/>
      </c>
    </row>
    <row r="618">
      <c r="B618" s="36">
        <f>IF($L618="","",$M618)</f>
        <v/>
      </c>
      <c r="C618" s="16">
        <f>IF($L618="","",INDEX(HSCEI!$C$7:$C$66,$N618))</f>
        <v/>
      </c>
      <c r="D618" s="16">
        <f>IF($L618="","",INDEX(HSCEI!$D$7:$D$66,$N618))</f>
        <v/>
      </c>
      <c r="E618" s="37">
        <f>IF($L618="","",IF(INT($P618/10)=0,"TBA",IFERROR(INDEX(Grids!$BQ$157:$EC$216,$N618,$O618),"-")))</f>
        <v/>
      </c>
      <c r="F618" s="16">
        <f>IF($L618="","",INDEX(HSCEI!$F$7:$F$66,$N618))</f>
        <v/>
      </c>
      <c r="G618" s="37">
        <f>IF($L618="","",IF(INT($P618/10)=0,"TBA",IFERROR(INDEX(Grids!$EE$157:$GQ$216,$N618,$O618),"-")))</f>
        <v/>
      </c>
      <c r="H618" s="38">
        <f>IF($L618="","",SUM($G$442:$G618))</f>
        <v/>
      </c>
      <c r="I618" s="39">
        <f>IF($L618="","",IF(INT(($L618-INT($L618/10000000)*10000000)/1000000)=0,"Bloomberg projection",IF(INT($P618/10)=1,"Announced","ANNOUNCED - amount TBA"))&amp;IF(($P618-INT($P618/10)*10)=1," (special)","")&amp;IF((($P618-INT($P618/10)*10)=1)*(Summary!$C$13="N")&gt;0," - excluded by your specials switch",""))</f>
        <v/>
      </c>
      <c r="J618" s="40">
        <f>IF($L618="","",IF((Override!$C$4="ON")*ISNUMBER(INDEX(Override!$G$153:$G$212,$N618))&gt;0,"stock overridden",""))</f>
        <v/>
      </c>
      <c r="L618" s="41">
        <f>IFERROR(IF(SMALL(Grids!$C$157:$BO$216,$M$439+177)&gt;=(Summary!$C$15+1)*1000000000,"",SMALL(Grids!$C$157:$BO$216,$M$439+177)),"")</f>
        <v/>
      </c>
      <c r="M618" s="41">
        <f>IF($L618="","",INT($L618/1000000000))</f>
        <v/>
      </c>
      <c r="N618" s="41">
        <f>IF($L618="","",INT(($L618-INT($L618/1000000)*1000000)/1000))</f>
        <v/>
      </c>
      <c r="O618" s="41">
        <f>IF($L618="","",$L618-INT($L618/1000)*1000)</f>
        <v/>
      </c>
      <c r="P618" s="41">
        <f>IF($L618="","",INT(($L618-INT($L618/1000000000)*1000000000)/10000000))</f>
        <v/>
      </c>
    </row>
    <row r="619">
      <c r="B619" s="36">
        <f>IF($L619="","",$M619)</f>
        <v/>
      </c>
      <c r="C619" s="16">
        <f>IF($L619="","",INDEX(HSCEI!$C$7:$C$66,$N619))</f>
        <v/>
      </c>
      <c r="D619" s="16">
        <f>IF($L619="","",INDEX(HSCEI!$D$7:$D$66,$N619))</f>
        <v/>
      </c>
      <c r="E619" s="37">
        <f>IF($L619="","",IF(INT($P619/10)=0,"TBA",IFERROR(INDEX(Grids!$BQ$157:$EC$216,$N619,$O619),"-")))</f>
        <v/>
      </c>
      <c r="F619" s="16">
        <f>IF($L619="","",INDEX(HSCEI!$F$7:$F$66,$N619))</f>
        <v/>
      </c>
      <c r="G619" s="37">
        <f>IF($L619="","",IF(INT($P619/10)=0,"TBA",IFERROR(INDEX(Grids!$EE$157:$GQ$216,$N619,$O619),"-")))</f>
        <v/>
      </c>
      <c r="H619" s="38">
        <f>IF($L619="","",SUM($G$442:$G619))</f>
        <v/>
      </c>
      <c r="I619" s="39">
        <f>IF($L619="","",IF(INT(($L619-INT($L619/10000000)*10000000)/1000000)=0,"Bloomberg projection",IF(INT($P619/10)=1,"Announced","ANNOUNCED - amount TBA"))&amp;IF(($P619-INT($P619/10)*10)=1," (special)","")&amp;IF((($P619-INT($P619/10)*10)=1)*(Summary!$C$13="N")&gt;0," - excluded by your specials switch",""))</f>
        <v/>
      </c>
      <c r="J619" s="40">
        <f>IF($L619="","",IF((Override!$C$4="ON")*ISNUMBER(INDEX(Override!$G$153:$G$212,$N619))&gt;0,"stock overridden",""))</f>
        <v/>
      </c>
      <c r="L619" s="41">
        <f>IFERROR(IF(SMALL(Grids!$C$157:$BO$216,$M$439+178)&gt;=(Summary!$C$15+1)*1000000000,"",SMALL(Grids!$C$157:$BO$216,$M$439+178)),"")</f>
        <v/>
      </c>
      <c r="M619" s="41">
        <f>IF($L619="","",INT($L619/1000000000))</f>
        <v/>
      </c>
      <c r="N619" s="41">
        <f>IF($L619="","",INT(($L619-INT($L619/1000000)*1000000)/1000))</f>
        <v/>
      </c>
      <c r="O619" s="41">
        <f>IF($L619="","",$L619-INT($L619/1000)*1000)</f>
        <v/>
      </c>
      <c r="P619" s="41">
        <f>IF($L619="","",INT(($L619-INT($L619/1000000000)*1000000000)/10000000))</f>
        <v/>
      </c>
    </row>
    <row r="620">
      <c r="B620" s="36">
        <f>IF($L620="","",$M620)</f>
        <v/>
      </c>
      <c r="C620" s="16">
        <f>IF($L620="","",INDEX(HSCEI!$C$7:$C$66,$N620))</f>
        <v/>
      </c>
      <c r="D620" s="16">
        <f>IF($L620="","",INDEX(HSCEI!$D$7:$D$66,$N620))</f>
        <v/>
      </c>
      <c r="E620" s="37">
        <f>IF($L620="","",IF(INT($P620/10)=0,"TBA",IFERROR(INDEX(Grids!$BQ$157:$EC$216,$N620,$O620),"-")))</f>
        <v/>
      </c>
      <c r="F620" s="16">
        <f>IF($L620="","",INDEX(HSCEI!$F$7:$F$66,$N620))</f>
        <v/>
      </c>
      <c r="G620" s="37">
        <f>IF($L620="","",IF(INT($P620/10)=0,"TBA",IFERROR(INDEX(Grids!$EE$157:$GQ$216,$N620,$O620),"-")))</f>
        <v/>
      </c>
      <c r="H620" s="38">
        <f>IF($L620="","",SUM($G$442:$G620))</f>
        <v/>
      </c>
      <c r="I620" s="39">
        <f>IF($L620="","",IF(INT(($L620-INT($L620/10000000)*10000000)/1000000)=0,"Bloomberg projection",IF(INT($P620/10)=1,"Announced","ANNOUNCED - amount TBA"))&amp;IF(($P620-INT($P620/10)*10)=1," (special)","")&amp;IF((($P620-INT($P620/10)*10)=1)*(Summary!$C$13="N")&gt;0," - excluded by your specials switch",""))</f>
        <v/>
      </c>
      <c r="J620" s="40">
        <f>IF($L620="","",IF((Override!$C$4="ON")*ISNUMBER(INDEX(Override!$G$153:$G$212,$N620))&gt;0,"stock overridden",""))</f>
        <v/>
      </c>
      <c r="L620" s="41">
        <f>IFERROR(IF(SMALL(Grids!$C$157:$BO$216,$M$439+179)&gt;=(Summary!$C$15+1)*1000000000,"",SMALL(Grids!$C$157:$BO$216,$M$439+179)),"")</f>
        <v/>
      </c>
      <c r="M620" s="41">
        <f>IF($L620="","",INT($L620/1000000000))</f>
        <v/>
      </c>
      <c r="N620" s="41">
        <f>IF($L620="","",INT(($L620-INT($L620/1000000)*1000000)/1000))</f>
        <v/>
      </c>
      <c r="O620" s="41">
        <f>IF($L620="","",$L620-INT($L620/1000)*1000)</f>
        <v/>
      </c>
      <c r="P620" s="41">
        <f>IF($L620="","",INT(($L620-INT($L620/1000000000)*1000000000)/10000000))</f>
        <v/>
      </c>
    </row>
    <row r="621">
      <c r="B621" s="36">
        <f>IF($L621="","",$M621)</f>
        <v/>
      </c>
      <c r="C621" s="16">
        <f>IF($L621="","",INDEX(HSCEI!$C$7:$C$66,$N621))</f>
        <v/>
      </c>
      <c r="D621" s="16">
        <f>IF($L621="","",INDEX(HSCEI!$D$7:$D$66,$N621))</f>
        <v/>
      </c>
      <c r="E621" s="37">
        <f>IF($L621="","",IF(INT($P621/10)=0,"TBA",IFERROR(INDEX(Grids!$BQ$157:$EC$216,$N621,$O621),"-")))</f>
        <v/>
      </c>
      <c r="F621" s="16">
        <f>IF($L621="","",INDEX(HSCEI!$F$7:$F$66,$N621))</f>
        <v/>
      </c>
      <c r="G621" s="37">
        <f>IF($L621="","",IF(INT($P621/10)=0,"TBA",IFERROR(INDEX(Grids!$EE$157:$GQ$216,$N621,$O621),"-")))</f>
        <v/>
      </c>
      <c r="H621" s="38">
        <f>IF($L621="","",SUM($G$442:$G621))</f>
        <v/>
      </c>
      <c r="I621" s="39">
        <f>IF($L621="","",IF(INT(($L621-INT($L621/10000000)*10000000)/1000000)=0,"Bloomberg projection",IF(INT($P621/10)=1,"Announced","ANNOUNCED - amount TBA"))&amp;IF(($P621-INT($P621/10)*10)=1," (special)","")&amp;IF((($P621-INT($P621/10)*10)=1)*(Summary!$C$13="N")&gt;0," - excluded by your specials switch",""))</f>
        <v/>
      </c>
      <c r="J621" s="40">
        <f>IF($L621="","",IF((Override!$C$4="ON")*ISNUMBER(INDEX(Override!$G$153:$G$212,$N621))&gt;0,"stock overridden",""))</f>
        <v/>
      </c>
      <c r="L621" s="41">
        <f>IFERROR(IF(SMALL(Grids!$C$157:$BO$216,$M$439+180)&gt;=(Summary!$C$15+1)*1000000000,"",SMALL(Grids!$C$157:$BO$216,$M$439+180)),"")</f>
        <v/>
      </c>
      <c r="M621" s="41">
        <f>IF($L621="","",INT($L621/1000000000))</f>
        <v/>
      </c>
      <c r="N621" s="41">
        <f>IF($L621="","",INT(($L621-INT($L621/1000000)*1000000)/1000))</f>
        <v/>
      </c>
      <c r="O621" s="41">
        <f>IF($L621="","",$L621-INT($L621/1000)*1000)</f>
        <v/>
      </c>
      <c r="P621" s="41">
        <f>IF($L621="","",INT(($L621-INT($L621/1000000000)*1000000000)/10000000))</f>
        <v/>
      </c>
    </row>
  </sheetData>
  <conditionalFormatting sqref="I10:I309">
    <cfRule type="expression" priority="1" dxfId="0">
      <formula>ISNUMBER(SEARCH("TBA",$I10))</formula>
    </cfRule>
  </conditionalFormatting>
  <conditionalFormatting sqref="I316:I435">
    <cfRule type="expression" priority="2" dxfId="0">
      <formula>ISNUMBER(SEARCH("TBA",$I316))</formula>
    </cfRule>
  </conditionalFormatting>
  <conditionalFormatting sqref="I442:I621">
    <cfRule type="expression" priority="3" dxfId="0">
      <formula>ISNUMBER(SEARCH("TBA",$I442))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B1:P395"/>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1" customWidth="1" min="3" max="3"/>
    <col width="11" customWidth="1" min="4" max="4"/>
    <col width="11" customWidth="1" min="5" max="5"/>
    <col width="11" customWidth="1" min="6" max="6"/>
    <col width="11" customWidth="1" min="7" max="7"/>
    <col width="11" customWidth="1" min="8" max="8"/>
    <col width="3" customWidth="1" min="9" max="9"/>
    <col width="9" customWidth="1" min="10" max="10"/>
    <col width="11" customWidth="1" min="11" max="11"/>
    <col width="11" customWidth="1" min="12" max="12"/>
    <col width="11" customWidth="1" min="13" max="13"/>
    <col width="11" customWidth="1" min="14" max="14"/>
    <col width="11" customWidth="1" min="15" max="15"/>
    <col width="11" customWidth="1" min="16" max="16"/>
  </cols>
  <sheetData>
    <row r="1">
      <c r="B1" s="1" t="inlineStr">
        <is>
          <t>DIVIDEND FLOW - WHEN THE POINTS GO EX</t>
        </is>
      </c>
    </row>
    <row r="2">
      <c r="B2" s="2" t="inlineStr">
        <is>
          <t>Year Y by ex-date. Everything up to the valuation date is realized, everything after it is still to come. Bloomberg's event view (plus your specials switch).</t>
        </is>
      </c>
    </row>
    <row r="4">
      <c r="B4" s="6" t="inlineStr">
        <is>
          <t>Year</t>
        </is>
      </c>
      <c r="C4" s="42">
        <f>Summary!$C$12</f>
        <v/>
      </c>
      <c r="D4" s="6" t="inlineStr">
        <is>
          <t>Valuation</t>
        </is>
      </c>
      <c r="E4" s="43">
        <f>Summary!$C$11</f>
        <v/>
      </c>
    </row>
    <row r="6">
      <c r="B6" s="3" t="inlineStr">
        <is>
          <t>YEAR TOTALS (index points)</t>
        </is>
      </c>
      <c r="C6" s="4" t="n"/>
      <c r="D6" s="4" t="n"/>
      <c r="E6" s="4" t="n"/>
      <c r="F6" s="4" t="n"/>
      <c r="G6" s="4" t="n"/>
      <c r="H6" s="4" t="n"/>
    </row>
    <row r="7">
      <c r="C7" s="2" t="inlineStr">
        <is>
          <t>Realized</t>
        </is>
      </c>
      <c r="D7" s="2" t="inlineStr">
        <is>
          <t>Still to come</t>
        </is>
      </c>
      <c r="E7" s="2" t="inlineStr">
        <is>
          <t>YEAR TOTAL</t>
        </is>
      </c>
      <c r="J7" s="3" t="inlineStr">
        <is>
          <t>BY MONTH (realized vs still to come)</t>
        </is>
      </c>
      <c r="K7" s="4" t="n"/>
      <c r="L7" s="4" t="n"/>
      <c r="M7" s="4" t="n"/>
      <c r="N7" s="4" t="n"/>
      <c r="O7" s="4" t="n"/>
      <c r="P7" s="4" t="n"/>
    </row>
    <row r="8">
      <c r="B8" s="10" t="inlineStr">
        <is>
          <t>HSI</t>
        </is>
      </c>
      <c r="C8" s="19">
        <f>HSI!$O$5</f>
        <v/>
      </c>
      <c r="D8" s="19">
        <f>HSI!$P$5</f>
        <v/>
      </c>
      <c r="E8" s="44">
        <f>HSI!$Q$5</f>
        <v/>
      </c>
      <c r="J8" s="17" t="inlineStr">
        <is>
          <t>Month</t>
        </is>
      </c>
      <c r="K8" s="17" t="inlineStr">
        <is>
          <t>HSI
realized</t>
        </is>
      </c>
      <c r="L8" s="17" t="inlineStr">
        <is>
          <t>HSI
to come</t>
        </is>
      </c>
      <c r="M8" s="17" t="inlineStr">
        <is>
          <t>HSTECH
realized</t>
        </is>
      </c>
      <c r="N8" s="17" t="inlineStr">
        <is>
          <t>HSTECH
to come</t>
        </is>
      </c>
      <c r="O8" s="17" t="inlineStr">
        <is>
          <t>HSCEI
realized</t>
        </is>
      </c>
      <c r="P8" s="17" t="inlineStr">
        <is>
          <t>HSCEI
to come</t>
        </is>
      </c>
    </row>
    <row r="9">
      <c r="B9" s="10" t="inlineStr">
        <is>
          <t>HSTECH</t>
        </is>
      </c>
      <c r="C9" s="19">
        <f>HSTECH!$O$5</f>
        <v/>
      </c>
      <c r="D9" s="19">
        <f>HSTECH!$P$5</f>
        <v/>
      </c>
      <c r="E9" s="44">
        <f>HSTECH!$Q$5</f>
        <v/>
      </c>
      <c r="J9" s="39">
        <f>TEXT(DATE(Summary!$C$12,1,1),"mmm")</f>
        <v/>
      </c>
      <c r="K9" s="45">
        <f>SUMIFS($C$26:$C$395,$B$26:$B$395,"&gt;="&amp;DATE(Summary!$C$12,1,1),$B$26:$B$395,"&lt;"&amp;DATE(Summary!$C$12+(1=12),MOD(1,12)+1,1),$B$26:$B$395,"&lt;="&amp;Summary!$C$11)</f>
        <v/>
      </c>
      <c r="L9" s="45">
        <f>SUMIFS($C$26:$C$395,$B$26:$B$395,"&gt;="&amp;DATE(Summary!$C$12,1,1),$B$26:$B$395,"&lt;"&amp;DATE(Summary!$C$12+(1=12),MOD(1,12)+1,1),$B$26:$B$395,"&gt;"&amp;Summary!$C$11)</f>
        <v/>
      </c>
      <c r="M9" s="45">
        <f>SUMIFS($D$26:$D$395,$B$26:$B$395,"&gt;="&amp;DATE(Summary!$C$12,1,1),$B$26:$B$395,"&lt;"&amp;DATE(Summary!$C$12+(1=12),MOD(1,12)+1,1),$B$26:$B$395,"&lt;="&amp;Summary!$C$11)</f>
        <v/>
      </c>
      <c r="N9" s="45">
        <f>SUMIFS($D$26:$D$395,$B$26:$B$395,"&gt;="&amp;DATE(Summary!$C$12,1,1),$B$26:$B$395,"&lt;"&amp;DATE(Summary!$C$12+(1=12),MOD(1,12)+1,1),$B$26:$B$395,"&gt;"&amp;Summary!$C$11)</f>
        <v/>
      </c>
      <c r="O9" s="45">
        <f>SUMIFS($E$26:$E$395,$B$26:$B$395,"&gt;="&amp;DATE(Summary!$C$12,1,1),$B$26:$B$395,"&lt;"&amp;DATE(Summary!$C$12+(1=12),MOD(1,12)+1,1),$B$26:$B$395,"&lt;="&amp;Summary!$C$11)</f>
        <v/>
      </c>
      <c r="P9" s="45">
        <f>SUMIFS($E$26:$E$395,$B$26:$B$395,"&gt;="&amp;DATE(Summary!$C$12,1,1),$B$26:$B$395,"&lt;"&amp;DATE(Summary!$C$12+(1=12),MOD(1,12)+1,1),$B$26:$B$395,"&gt;"&amp;Summary!$C$11)</f>
        <v/>
      </c>
    </row>
    <row r="10">
      <c r="B10" s="10" t="inlineStr">
        <is>
          <t>HSCEI</t>
        </is>
      </c>
      <c r="C10" s="19">
        <f>HSCEI!$O$5</f>
        <v/>
      </c>
      <c r="D10" s="19">
        <f>HSCEI!$P$5</f>
        <v/>
      </c>
      <c r="E10" s="44">
        <f>HSCEI!$Q$5</f>
        <v/>
      </c>
      <c r="J10" s="39">
        <f>TEXT(DATE(Summary!$C$12,2,1),"mmm")</f>
        <v/>
      </c>
      <c r="K10" s="45">
        <f>SUMIFS($C$26:$C$395,$B$26:$B$395,"&gt;="&amp;DATE(Summary!$C$12,2,1),$B$26:$B$395,"&lt;"&amp;DATE(Summary!$C$12+(2=12),MOD(2,12)+1,1),$B$26:$B$395,"&lt;="&amp;Summary!$C$11)</f>
        <v/>
      </c>
      <c r="L10" s="45">
        <f>SUMIFS($C$26:$C$395,$B$26:$B$395,"&gt;="&amp;DATE(Summary!$C$12,2,1),$B$26:$B$395,"&lt;"&amp;DATE(Summary!$C$12+(2=12),MOD(2,12)+1,1),$B$26:$B$395,"&gt;"&amp;Summary!$C$11)</f>
        <v/>
      </c>
      <c r="M10" s="45">
        <f>SUMIFS($D$26:$D$395,$B$26:$B$395,"&gt;="&amp;DATE(Summary!$C$12,2,1),$B$26:$B$395,"&lt;"&amp;DATE(Summary!$C$12+(2=12),MOD(2,12)+1,1),$B$26:$B$395,"&lt;="&amp;Summary!$C$11)</f>
        <v/>
      </c>
      <c r="N10" s="45">
        <f>SUMIFS($D$26:$D$395,$B$26:$B$395,"&gt;="&amp;DATE(Summary!$C$12,2,1),$B$26:$B$395,"&lt;"&amp;DATE(Summary!$C$12+(2=12),MOD(2,12)+1,1),$B$26:$B$395,"&gt;"&amp;Summary!$C$11)</f>
        <v/>
      </c>
      <c r="O10" s="45">
        <f>SUMIFS($E$26:$E$395,$B$26:$B$395,"&gt;="&amp;DATE(Summary!$C$12,2,1),$B$26:$B$395,"&lt;"&amp;DATE(Summary!$C$12+(2=12),MOD(2,12)+1,1),$B$26:$B$395,"&lt;="&amp;Summary!$C$11)</f>
        <v/>
      </c>
      <c r="P10" s="45">
        <f>SUMIFS($E$26:$E$395,$B$26:$B$395,"&gt;="&amp;DATE(Summary!$C$12,2,1),$B$26:$B$395,"&lt;"&amp;DATE(Summary!$C$12+(2=12),MOD(2,12)+1,1),$B$26:$B$395,"&gt;"&amp;Summary!$C$11)</f>
        <v/>
      </c>
    </row>
    <row r="11">
      <c r="J11" s="39">
        <f>TEXT(DATE(Summary!$C$12,3,1),"mmm")</f>
        <v/>
      </c>
      <c r="K11" s="45">
        <f>SUMIFS($C$26:$C$395,$B$26:$B$395,"&gt;="&amp;DATE(Summary!$C$12,3,1),$B$26:$B$395,"&lt;"&amp;DATE(Summary!$C$12+(3=12),MOD(3,12)+1,1),$B$26:$B$395,"&lt;="&amp;Summary!$C$11)</f>
        <v/>
      </c>
      <c r="L11" s="45">
        <f>SUMIFS($C$26:$C$395,$B$26:$B$395,"&gt;="&amp;DATE(Summary!$C$12,3,1),$B$26:$B$395,"&lt;"&amp;DATE(Summary!$C$12+(3=12),MOD(3,12)+1,1),$B$26:$B$395,"&gt;"&amp;Summary!$C$11)</f>
        <v/>
      </c>
      <c r="M11" s="45">
        <f>SUMIFS($D$26:$D$395,$B$26:$B$395,"&gt;="&amp;DATE(Summary!$C$12,3,1),$B$26:$B$395,"&lt;"&amp;DATE(Summary!$C$12+(3=12),MOD(3,12)+1,1),$B$26:$B$395,"&lt;="&amp;Summary!$C$11)</f>
        <v/>
      </c>
      <c r="N11" s="45">
        <f>SUMIFS($D$26:$D$395,$B$26:$B$395,"&gt;="&amp;DATE(Summary!$C$12,3,1),$B$26:$B$395,"&lt;"&amp;DATE(Summary!$C$12+(3=12),MOD(3,12)+1,1),$B$26:$B$395,"&gt;"&amp;Summary!$C$11)</f>
        <v/>
      </c>
      <c r="O11" s="45">
        <f>SUMIFS($E$26:$E$395,$B$26:$B$395,"&gt;="&amp;DATE(Summary!$C$12,3,1),$B$26:$B$395,"&lt;"&amp;DATE(Summary!$C$12+(3=12),MOD(3,12)+1,1),$B$26:$B$395,"&lt;="&amp;Summary!$C$11)</f>
        <v/>
      </c>
      <c r="P11" s="45">
        <f>SUMIFS($E$26:$E$395,$B$26:$B$395,"&gt;="&amp;DATE(Summary!$C$12,3,1),$B$26:$B$395,"&lt;"&amp;DATE(Summary!$C$12+(3=12),MOD(3,12)+1,1),$B$26:$B$395,"&gt;"&amp;Summary!$C$11)</f>
        <v/>
      </c>
    </row>
    <row r="12">
      <c r="J12" s="39">
        <f>TEXT(DATE(Summary!$C$12,4,1),"mmm")</f>
        <v/>
      </c>
      <c r="K12" s="45">
        <f>SUMIFS($C$26:$C$395,$B$26:$B$395,"&gt;="&amp;DATE(Summary!$C$12,4,1),$B$26:$B$395,"&lt;"&amp;DATE(Summary!$C$12+(4=12),MOD(4,12)+1,1),$B$26:$B$395,"&lt;="&amp;Summary!$C$11)</f>
        <v/>
      </c>
      <c r="L12" s="45">
        <f>SUMIFS($C$26:$C$395,$B$26:$B$395,"&gt;="&amp;DATE(Summary!$C$12,4,1),$B$26:$B$395,"&lt;"&amp;DATE(Summary!$C$12+(4=12),MOD(4,12)+1,1),$B$26:$B$395,"&gt;"&amp;Summary!$C$11)</f>
        <v/>
      </c>
      <c r="M12" s="45">
        <f>SUMIFS($D$26:$D$395,$B$26:$B$395,"&gt;="&amp;DATE(Summary!$C$12,4,1),$B$26:$B$395,"&lt;"&amp;DATE(Summary!$C$12+(4=12),MOD(4,12)+1,1),$B$26:$B$395,"&lt;="&amp;Summary!$C$11)</f>
        <v/>
      </c>
      <c r="N12" s="45">
        <f>SUMIFS($D$26:$D$395,$B$26:$B$395,"&gt;="&amp;DATE(Summary!$C$12,4,1),$B$26:$B$395,"&lt;"&amp;DATE(Summary!$C$12+(4=12),MOD(4,12)+1,1),$B$26:$B$395,"&gt;"&amp;Summary!$C$11)</f>
        <v/>
      </c>
      <c r="O12" s="45">
        <f>SUMIFS($E$26:$E$395,$B$26:$B$395,"&gt;="&amp;DATE(Summary!$C$12,4,1),$B$26:$B$395,"&lt;"&amp;DATE(Summary!$C$12+(4=12),MOD(4,12)+1,1),$B$26:$B$395,"&lt;="&amp;Summary!$C$11)</f>
        <v/>
      </c>
      <c r="P12" s="45">
        <f>SUMIFS($E$26:$E$395,$B$26:$B$395,"&gt;="&amp;DATE(Summary!$C$12,4,1),$B$26:$B$395,"&lt;"&amp;DATE(Summary!$C$12+(4=12),MOD(4,12)+1,1),$B$26:$B$395,"&gt;"&amp;Summary!$C$11)</f>
        <v/>
      </c>
    </row>
    <row r="13">
      <c r="J13" s="39">
        <f>TEXT(DATE(Summary!$C$12,5,1),"mmm")</f>
        <v/>
      </c>
      <c r="K13" s="45">
        <f>SUMIFS($C$26:$C$395,$B$26:$B$395,"&gt;="&amp;DATE(Summary!$C$12,5,1),$B$26:$B$395,"&lt;"&amp;DATE(Summary!$C$12+(5=12),MOD(5,12)+1,1),$B$26:$B$395,"&lt;="&amp;Summary!$C$11)</f>
        <v/>
      </c>
      <c r="L13" s="45">
        <f>SUMIFS($C$26:$C$395,$B$26:$B$395,"&gt;="&amp;DATE(Summary!$C$12,5,1),$B$26:$B$395,"&lt;"&amp;DATE(Summary!$C$12+(5=12),MOD(5,12)+1,1),$B$26:$B$395,"&gt;"&amp;Summary!$C$11)</f>
        <v/>
      </c>
      <c r="M13" s="45">
        <f>SUMIFS($D$26:$D$395,$B$26:$B$395,"&gt;="&amp;DATE(Summary!$C$12,5,1),$B$26:$B$395,"&lt;"&amp;DATE(Summary!$C$12+(5=12),MOD(5,12)+1,1),$B$26:$B$395,"&lt;="&amp;Summary!$C$11)</f>
        <v/>
      </c>
      <c r="N13" s="45">
        <f>SUMIFS($D$26:$D$395,$B$26:$B$395,"&gt;="&amp;DATE(Summary!$C$12,5,1),$B$26:$B$395,"&lt;"&amp;DATE(Summary!$C$12+(5=12),MOD(5,12)+1,1),$B$26:$B$395,"&gt;"&amp;Summary!$C$11)</f>
        <v/>
      </c>
      <c r="O13" s="45">
        <f>SUMIFS($E$26:$E$395,$B$26:$B$395,"&gt;="&amp;DATE(Summary!$C$12,5,1),$B$26:$B$395,"&lt;"&amp;DATE(Summary!$C$12+(5=12),MOD(5,12)+1,1),$B$26:$B$395,"&lt;="&amp;Summary!$C$11)</f>
        <v/>
      </c>
      <c r="P13" s="45">
        <f>SUMIFS($E$26:$E$395,$B$26:$B$395,"&gt;="&amp;DATE(Summary!$C$12,5,1),$B$26:$B$395,"&lt;"&amp;DATE(Summary!$C$12+(5=12),MOD(5,12)+1,1),$B$26:$B$395,"&gt;"&amp;Summary!$C$11)</f>
        <v/>
      </c>
    </row>
    <row r="14">
      <c r="J14" s="39">
        <f>TEXT(DATE(Summary!$C$12,6,1),"mmm")</f>
        <v/>
      </c>
      <c r="K14" s="45">
        <f>SUMIFS($C$26:$C$395,$B$26:$B$395,"&gt;="&amp;DATE(Summary!$C$12,6,1),$B$26:$B$395,"&lt;"&amp;DATE(Summary!$C$12+(6=12),MOD(6,12)+1,1),$B$26:$B$395,"&lt;="&amp;Summary!$C$11)</f>
        <v/>
      </c>
      <c r="L14" s="45">
        <f>SUMIFS($C$26:$C$395,$B$26:$B$395,"&gt;="&amp;DATE(Summary!$C$12,6,1),$B$26:$B$395,"&lt;"&amp;DATE(Summary!$C$12+(6=12),MOD(6,12)+1,1),$B$26:$B$395,"&gt;"&amp;Summary!$C$11)</f>
        <v/>
      </c>
      <c r="M14" s="45">
        <f>SUMIFS($D$26:$D$395,$B$26:$B$395,"&gt;="&amp;DATE(Summary!$C$12,6,1),$B$26:$B$395,"&lt;"&amp;DATE(Summary!$C$12+(6=12),MOD(6,12)+1,1),$B$26:$B$395,"&lt;="&amp;Summary!$C$11)</f>
        <v/>
      </c>
      <c r="N14" s="45">
        <f>SUMIFS($D$26:$D$395,$B$26:$B$395,"&gt;="&amp;DATE(Summary!$C$12,6,1),$B$26:$B$395,"&lt;"&amp;DATE(Summary!$C$12+(6=12),MOD(6,12)+1,1),$B$26:$B$395,"&gt;"&amp;Summary!$C$11)</f>
        <v/>
      </c>
      <c r="O14" s="45">
        <f>SUMIFS($E$26:$E$395,$B$26:$B$395,"&gt;="&amp;DATE(Summary!$C$12,6,1),$B$26:$B$395,"&lt;"&amp;DATE(Summary!$C$12+(6=12),MOD(6,12)+1,1),$B$26:$B$395,"&lt;="&amp;Summary!$C$11)</f>
        <v/>
      </c>
      <c r="P14" s="45">
        <f>SUMIFS($E$26:$E$395,$B$26:$B$395,"&gt;="&amp;DATE(Summary!$C$12,6,1),$B$26:$B$395,"&lt;"&amp;DATE(Summary!$C$12+(6=12),MOD(6,12)+1,1),$B$26:$B$395,"&gt;"&amp;Summary!$C$11)</f>
        <v/>
      </c>
    </row>
    <row r="15">
      <c r="J15" s="39">
        <f>TEXT(DATE(Summary!$C$12,7,1),"mmm")</f>
        <v/>
      </c>
      <c r="K15" s="45">
        <f>SUMIFS($C$26:$C$395,$B$26:$B$395,"&gt;="&amp;DATE(Summary!$C$12,7,1),$B$26:$B$395,"&lt;"&amp;DATE(Summary!$C$12+(7=12),MOD(7,12)+1,1),$B$26:$B$395,"&lt;="&amp;Summary!$C$11)</f>
        <v/>
      </c>
      <c r="L15" s="45">
        <f>SUMIFS($C$26:$C$395,$B$26:$B$395,"&gt;="&amp;DATE(Summary!$C$12,7,1),$B$26:$B$395,"&lt;"&amp;DATE(Summary!$C$12+(7=12),MOD(7,12)+1,1),$B$26:$B$395,"&gt;"&amp;Summary!$C$11)</f>
        <v/>
      </c>
      <c r="M15" s="45">
        <f>SUMIFS($D$26:$D$395,$B$26:$B$395,"&gt;="&amp;DATE(Summary!$C$12,7,1),$B$26:$B$395,"&lt;"&amp;DATE(Summary!$C$12+(7=12),MOD(7,12)+1,1),$B$26:$B$395,"&lt;="&amp;Summary!$C$11)</f>
        <v/>
      </c>
      <c r="N15" s="45">
        <f>SUMIFS($D$26:$D$395,$B$26:$B$395,"&gt;="&amp;DATE(Summary!$C$12,7,1),$B$26:$B$395,"&lt;"&amp;DATE(Summary!$C$12+(7=12),MOD(7,12)+1,1),$B$26:$B$395,"&gt;"&amp;Summary!$C$11)</f>
        <v/>
      </c>
      <c r="O15" s="45">
        <f>SUMIFS($E$26:$E$395,$B$26:$B$395,"&gt;="&amp;DATE(Summary!$C$12,7,1),$B$26:$B$395,"&lt;"&amp;DATE(Summary!$C$12+(7=12),MOD(7,12)+1,1),$B$26:$B$395,"&lt;="&amp;Summary!$C$11)</f>
        <v/>
      </c>
      <c r="P15" s="45">
        <f>SUMIFS($E$26:$E$395,$B$26:$B$395,"&gt;="&amp;DATE(Summary!$C$12,7,1),$B$26:$B$395,"&lt;"&amp;DATE(Summary!$C$12+(7=12),MOD(7,12)+1,1),$B$26:$B$395,"&gt;"&amp;Summary!$C$11)</f>
        <v/>
      </c>
    </row>
    <row r="16">
      <c r="J16" s="39">
        <f>TEXT(DATE(Summary!$C$12,8,1),"mmm")</f>
        <v/>
      </c>
      <c r="K16" s="45">
        <f>SUMIFS($C$26:$C$395,$B$26:$B$395,"&gt;="&amp;DATE(Summary!$C$12,8,1),$B$26:$B$395,"&lt;"&amp;DATE(Summary!$C$12+(8=12),MOD(8,12)+1,1),$B$26:$B$395,"&lt;="&amp;Summary!$C$11)</f>
        <v/>
      </c>
      <c r="L16" s="45">
        <f>SUMIFS($C$26:$C$395,$B$26:$B$395,"&gt;="&amp;DATE(Summary!$C$12,8,1),$B$26:$B$395,"&lt;"&amp;DATE(Summary!$C$12+(8=12),MOD(8,12)+1,1),$B$26:$B$395,"&gt;"&amp;Summary!$C$11)</f>
        <v/>
      </c>
      <c r="M16" s="45">
        <f>SUMIFS($D$26:$D$395,$B$26:$B$395,"&gt;="&amp;DATE(Summary!$C$12,8,1),$B$26:$B$395,"&lt;"&amp;DATE(Summary!$C$12+(8=12),MOD(8,12)+1,1),$B$26:$B$395,"&lt;="&amp;Summary!$C$11)</f>
        <v/>
      </c>
      <c r="N16" s="45">
        <f>SUMIFS($D$26:$D$395,$B$26:$B$395,"&gt;="&amp;DATE(Summary!$C$12,8,1),$B$26:$B$395,"&lt;"&amp;DATE(Summary!$C$12+(8=12),MOD(8,12)+1,1),$B$26:$B$395,"&gt;"&amp;Summary!$C$11)</f>
        <v/>
      </c>
      <c r="O16" s="45">
        <f>SUMIFS($E$26:$E$395,$B$26:$B$395,"&gt;="&amp;DATE(Summary!$C$12,8,1),$B$26:$B$395,"&lt;"&amp;DATE(Summary!$C$12+(8=12),MOD(8,12)+1,1),$B$26:$B$395,"&lt;="&amp;Summary!$C$11)</f>
        <v/>
      </c>
      <c r="P16" s="45">
        <f>SUMIFS($E$26:$E$395,$B$26:$B$395,"&gt;="&amp;DATE(Summary!$C$12,8,1),$B$26:$B$395,"&lt;"&amp;DATE(Summary!$C$12+(8=12),MOD(8,12)+1,1),$B$26:$B$395,"&gt;"&amp;Summary!$C$11)</f>
        <v/>
      </c>
    </row>
    <row r="17">
      <c r="J17" s="39">
        <f>TEXT(DATE(Summary!$C$12,9,1),"mmm")</f>
        <v/>
      </c>
      <c r="K17" s="45">
        <f>SUMIFS($C$26:$C$395,$B$26:$B$395,"&gt;="&amp;DATE(Summary!$C$12,9,1),$B$26:$B$395,"&lt;"&amp;DATE(Summary!$C$12+(9=12),MOD(9,12)+1,1),$B$26:$B$395,"&lt;="&amp;Summary!$C$11)</f>
        <v/>
      </c>
      <c r="L17" s="45">
        <f>SUMIFS($C$26:$C$395,$B$26:$B$395,"&gt;="&amp;DATE(Summary!$C$12,9,1),$B$26:$B$395,"&lt;"&amp;DATE(Summary!$C$12+(9=12),MOD(9,12)+1,1),$B$26:$B$395,"&gt;"&amp;Summary!$C$11)</f>
        <v/>
      </c>
      <c r="M17" s="45">
        <f>SUMIFS($D$26:$D$395,$B$26:$B$395,"&gt;="&amp;DATE(Summary!$C$12,9,1),$B$26:$B$395,"&lt;"&amp;DATE(Summary!$C$12+(9=12),MOD(9,12)+1,1),$B$26:$B$395,"&lt;="&amp;Summary!$C$11)</f>
        <v/>
      </c>
      <c r="N17" s="45">
        <f>SUMIFS($D$26:$D$395,$B$26:$B$395,"&gt;="&amp;DATE(Summary!$C$12,9,1),$B$26:$B$395,"&lt;"&amp;DATE(Summary!$C$12+(9=12),MOD(9,12)+1,1),$B$26:$B$395,"&gt;"&amp;Summary!$C$11)</f>
        <v/>
      </c>
      <c r="O17" s="45">
        <f>SUMIFS($E$26:$E$395,$B$26:$B$395,"&gt;="&amp;DATE(Summary!$C$12,9,1),$B$26:$B$395,"&lt;"&amp;DATE(Summary!$C$12+(9=12),MOD(9,12)+1,1),$B$26:$B$395,"&lt;="&amp;Summary!$C$11)</f>
        <v/>
      </c>
      <c r="P17" s="45">
        <f>SUMIFS($E$26:$E$395,$B$26:$B$395,"&gt;="&amp;DATE(Summary!$C$12,9,1),$B$26:$B$395,"&lt;"&amp;DATE(Summary!$C$12+(9=12),MOD(9,12)+1,1),$B$26:$B$395,"&gt;"&amp;Summary!$C$11)</f>
        <v/>
      </c>
    </row>
    <row r="18">
      <c r="J18" s="39">
        <f>TEXT(DATE(Summary!$C$12,10,1),"mmm")</f>
        <v/>
      </c>
      <c r="K18" s="45">
        <f>SUMIFS($C$26:$C$395,$B$26:$B$395,"&gt;="&amp;DATE(Summary!$C$12,10,1),$B$26:$B$395,"&lt;"&amp;DATE(Summary!$C$12+(10=12),MOD(10,12)+1,1),$B$26:$B$395,"&lt;="&amp;Summary!$C$11)</f>
        <v/>
      </c>
      <c r="L18" s="45">
        <f>SUMIFS($C$26:$C$395,$B$26:$B$395,"&gt;="&amp;DATE(Summary!$C$12,10,1),$B$26:$B$395,"&lt;"&amp;DATE(Summary!$C$12+(10=12),MOD(10,12)+1,1),$B$26:$B$395,"&gt;"&amp;Summary!$C$11)</f>
        <v/>
      </c>
      <c r="M18" s="45">
        <f>SUMIFS($D$26:$D$395,$B$26:$B$395,"&gt;="&amp;DATE(Summary!$C$12,10,1),$B$26:$B$395,"&lt;"&amp;DATE(Summary!$C$12+(10=12),MOD(10,12)+1,1),$B$26:$B$395,"&lt;="&amp;Summary!$C$11)</f>
        <v/>
      </c>
      <c r="N18" s="45">
        <f>SUMIFS($D$26:$D$395,$B$26:$B$395,"&gt;="&amp;DATE(Summary!$C$12,10,1),$B$26:$B$395,"&lt;"&amp;DATE(Summary!$C$12+(10=12),MOD(10,12)+1,1),$B$26:$B$395,"&gt;"&amp;Summary!$C$11)</f>
        <v/>
      </c>
      <c r="O18" s="45">
        <f>SUMIFS($E$26:$E$395,$B$26:$B$395,"&gt;="&amp;DATE(Summary!$C$12,10,1),$B$26:$B$395,"&lt;"&amp;DATE(Summary!$C$12+(10=12),MOD(10,12)+1,1),$B$26:$B$395,"&lt;="&amp;Summary!$C$11)</f>
        <v/>
      </c>
      <c r="P18" s="45">
        <f>SUMIFS($E$26:$E$395,$B$26:$B$395,"&gt;="&amp;DATE(Summary!$C$12,10,1),$B$26:$B$395,"&lt;"&amp;DATE(Summary!$C$12+(10=12),MOD(10,12)+1,1),$B$26:$B$395,"&gt;"&amp;Summary!$C$11)</f>
        <v/>
      </c>
    </row>
    <row r="19">
      <c r="J19" s="39">
        <f>TEXT(DATE(Summary!$C$12,11,1),"mmm")</f>
        <v/>
      </c>
      <c r="K19" s="45">
        <f>SUMIFS($C$26:$C$395,$B$26:$B$395,"&gt;="&amp;DATE(Summary!$C$12,11,1),$B$26:$B$395,"&lt;"&amp;DATE(Summary!$C$12+(11=12),MOD(11,12)+1,1),$B$26:$B$395,"&lt;="&amp;Summary!$C$11)</f>
        <v/>
      </c>
      <c r="L19" s="45">
        <f>SUMIFS($C$26:$C$395,$B$26:$B$395,"&gt;="&amp;DATE(Summary!$C$12,11,1),$B$26:$B$395,"&lt;"&amp;DATE(Summary!$C$12+(11=12),MOD(11,12)+1,1),$B$26:$B$395,"&gt;"&amp;Summary!$C$11)</f>
        <v/>
      </c>
      <c r="M19" s="45">
        <f>SUMIFS($D$26:$D$395,$B$26:$B$395,"&gt;="&amp;DATE(Summary!$C$12,11,1),$B$26:$B$395,"&lt;"&amp;DATE(Summary!$C$12+(11=12),MOD(11,12)+1,1),$B$26:$B$395,"&lt;="&amp;Summary!$C$11)</f>
        <v/>
      </c>
      <c r="N19" s="45">
        <f>SUMIFS($D$26:$D$395,$B$26:$B$395,"&gt;="&amp;DATE(Summary!$C$12,11,1),$B$26:$B$395,"&lt;"&amp;DATE(Summary!$C$12+(11=12),MOD(11,12)+1,1),$B$26:$B$395,"&gt;"&amp;Summary!$C$11)</f>
        <v/>
      </c>
      <c r="O19" s="45">
        <f>SUMIFS($E$26:$E$395,$B$26:$B$395,"&gt;="&amp;DATE(Summary!$C$12,11,1),$B$26:$B$395,"&lt;"&amp;DATE(Summary!$C$12+(11=12),MOD(11,12)+1,1),$B$26:$B$395,"&lt;="&amp;Summary!$C$11)</f>
        <v/>
      </c>
      <c r="P19" s="45">
        <f>SUMIFS($E$26:$E$395,$B$26:$B$395,"&gt;="&amp;DATE(Summary!$C$12,11,1),$B$26:$B$395,"&lt;"&amp;DATE(Summary!$C$12+(11=12),MOD(11,12)+1,1),$B$26:$B$395,"&gt;"&amp;Summary!$C$11)</f>
        <v/>
      </c>
    </row>
    <row r="20">
      <c r="J20" s="39">
        <f>TEXT(DATE(Summary!$C$12,12,1),"mmm")</f>
        <v/>
      </c>
      <c r="K20" s="45">
        <f>SUMIFS($C$26:$C$395,$B$26:$B$395,"&gt;="&amp;DATE(Summary!$C$12,12,1),$B$26:$B$395,"&lt;"&amp;DATE(Summary!$C$12+(12=12),MOD(12,12)+1,1),$B$26:$B$395,"&lt;="&amp;Summary!$C$11)</f>
        <v/>
      </c>
      <c r="L20" s="45">
        <f>SUMIFS($C$26:$C$395,$B$26:$B$395,"&gt;="&amp;DATE(Summary!$C$12,12,1),$B$26:$B$395,"&lt;"&amp;DATE(Summary!$C$12+(12=12),MOD(12,12)+1,1),$B$26:$B$395,"&gt;"&amp;Summary!$C$11)</f>
        <v/>
      </c>
      <c r="M20" s="45">
        <f>SUMIFS($D$26:$D$395,$B$26:$B$395,"&gt;="&amp;DATE(Summary!$C$12,12,1),$B$26:$B$395,"&lt;"&amp;DATE(Summary!$C$12+(12=12),MOD(12,12)+1,1),$B$26:$B$395,"&lt;="&amp;Summary!$C$11)</f>
        <v/>
      </c>
      <c r="N20" s="45">
        <f>SUMIFS($D$26:$D$395,$B$26:$B$395,"&gt;="&amp;DATE(Summary!$C$12,12,1),$B$26:$B$395,"&lt;"&amp;DATE(Summary!$C$12+(12=12),MOD(12,12)+1,1),$B$26:$B$395,"&gt;"&amp;Summary!$C$11)</f>
        <v/>
      </c>
      <c r="O20" s="45">
        <f>SUMIFS($E$26:$E$395,$B$26:$B$395,"&gt;="&amp;DATE(Summary!$C$12,12,1),$B$26:$B$395,"&lt;"&amp;DATE(Summary!$C$12+(12=12),MOD(12,12)+1,1),$B$26:$B$395,"&lt;="&amp;Summary!$C$11)</f>
        <v/>
      </c>
      <c r="P20" s="45">
        <f>SUMIFS($E$26:$E$395,$B$26:$B$395,"&gt;="&amp;DATE(Summary!$C$12,12,1),$B$26:$B$395,"&lt;"&amp;DATE(Summary!$C$12+(12=12),MOD(12,12)+1,1),$B$26:$B$395,"&gt;"&amp;Summary!$C$11)</f>
        <v/>
      </c>
    </row>
    <row r="24">
      <c r="B24" s="3" t="inlineStr">
        <is>
          <t>BY DAY</t>
        </is>
      </c>
      <c r="C24" s="4" t="n"/>
      <c r="D24" s="4" t="n"/>
      <c r="E24" s="4" t="n"/>
      <c r="F24" s="4" t="n"/>
      <c r="G24" s="4" t="n"/>
      <c r="H24" s="4" t="n"/>
    </row>
    <row r="25">
      <c r="B25" s="17" t="inlineStr">
        <is>
          <t>Date</t>
        </is>
      </c>
      <c r="C25" s="17" t="inlineStr">
        <is>
          <t>HSI
pts</t>
        </is>
      </c>
      <c r="D25" s="17" t="inlineStr">
        <is>
          <t>HSTECH
pts</t>
        </is>
      </c>
      <c r="E25" s="17" t="inlineStr">
        <is>
          <t>HSCEI
pts</t>
        </is>
      </c>
      <c r="F25" s="17" t="inlineStr">
        <is>
          <t>HSI
cumulative</t>
        </is>
      </c>
      <c r="G25" s="17" t="inlineStr">
        <is>
          <t>HSTECH
cumulative</t>
        </is>
      </c>
      <c r="H25" s="17" t="inlineStr">
        <is>
          <t>HSCEI
cumulative</t>
        </is>
      </c>
    </row>
    <row r="26">
      <c r="B26" s="46">
        <f>IF(DATE(Summary!$C$12,1,1)+0&gt;DATE(Summary!$C$12,12,31),"",DATE(Summary!$C$12,1,1)+0)</f>
        <v/>
      </c>
      <c r="C26" s="47">
        <f>IF($B26="","",SUMIFS(Grids!$EE$9:$GQ$108,Grids!$C$9:$BO$108,"&gt;="&amp;$B26*1000000000,Grids!$C$9:$BO$108,"&lt;"&amp;($B26+1)*1000000000))</f>
        <v/>
      </c>
      <c r="D26" s="47">
        <f>IF($B26="","",SUMIFS(Grids!$EE$113:$GQ$152,Grids!$C$113:$BO$152,"&gt;="&amp;$B26*1000000000,Grids!$C$113:$BO$152,"&lt;"&amp;($B26+1)*1000000000))</f>
        <v/>
      </c>
      <c r="E26" s="47">
        <f>IF($B26="","",SUMIFS(Grids!$EE$157:$GQ$216,Grids!$C$157:$BO$216,"&gt;="&amp;$B26*1000000000,Grids!$C$157:$BO$216,"&lt;"&amp;($B26+1)*1000000000))</f>
        <v/>
      </c>
      <c r="F26" s="48">
        <f>IF($B26="","",SUM($C$26:$C26))</f>
        <v/>
      </c>
      <c r="G26" s="48">
        <f>IF($B26="","",SUM($D$26:$D26))</f>
        <v/>
      </c>
      <c r="H26" s="48">
        <f>IF($B26="","",SUM($E$26:$E26))</f>
        <v/>
      </c>
    </row>
    <row r="27">
      <c r="B27" s="46">
        <f>IF(DATE(Summary!$C$12,1,1)+1&gt;DATE(Summary!$C$12,12,31),"",DATE(Summary!$C$12,1,1)+1)</f>
        <v/>
      </c>
      <c r="C27" s="47">
        <f>IF($B27="","",SUMIFS(Grids!$EE$9:$GQ$108,Grids!$C$9:$BO$108,"&gt;="&amp;$B27*1000000000,Grids!$C$9:$BO$108,"&lt;"&amp;($B27+1)*1000000000))</f>
        <v/>
      </c>
      <c r="D27" s="47">
        <f>IF($B27="","",SUMIFS(Grids!$EE$113:$GQ$152,Grids!$C$113:$BO$152,"&gt;="&amp;$B27*1000000000,Grids!$C$113:$BO$152,"&lt;"&amp;($B27+1)*1000000000))</f>
        <v/>
      </c>
      <c r="E27" s="47">
        <f>IF($B27="","",SUMIFS(Grids!$EE$157:$GQ$216,Grids!$C$157:$BO$216,"&gt;="&amp;$B27*1000000000,Grids!$C$157:$BO$216,"&lt;"&amp;($B27+1)*1000000000))</f>
        <v/>
      </c>
      <c r="F27" s="48">
        <f>IF($B27="","",SUM($C$26:$C27))</f>
        <v/>
      </c>
      <c r="G27" s="48">
        <f>IF($B27="","",SUM($D$26:$D27))</f>
        <v/>
      </c>
      <c r="H27" s="48">
        <f>IF($B27="","",SUM($E$26:$E27))</f>
        <v/>
      </c>
    </row>
    <row r="28">
      <c r="B28" s="46">
        <f>IF(DATE(Summary!$C$12,1,1)+2&gt;DATE(Summary!$C$12,12,31),"",DATE(Summary!$C$12,1,1)+2)</f>
        <v/>
      </c>
      <c r="C28" s="47">
        <f>IF($B28="","",SUMIFS(Grids!$EE$9:$GQ$108,Grids!$C$9:$BO$108,"&gt;="&amp;$B28*1000000000,Grids!$C$9:$BO$108,"&lt;"&amp;($B28+1)*1000000000))</f>
        <v/>
      </c>
      <c r="D28" s="47">
        <f>IF($B28="","",SUMIFS(Grids!$EE$113:$GQ$152,Grids!$C$113:$BO$152,"&gt;="&amp;$B28*1000000000,Grids!$C$113:$BO$152,"&lt;"&amp;($B28+1)*1000000000))</f>
        <v/>
      </c>
      <c r="E28" s="47">
        <f>IF($B28="","",SUMIFS(Grids!$EE$157:$GQ$216,Grids!$C$157:$BO$216,"&gt;="&amp;$B28*1000000000,Grids!$C$157:$BO$216,"&lt;"&amp;($B28+1)*1000000000))</f>
        <v/>
      </c>
      <c r="F28" s="48">
        <f>IF($B28="","",SUM($C$26:$C28))</f>
        <v/>
      </c>
      <c r="G28" s="48">
        <f>IF($B28="","",SUM($D$26:$D28))</f>
        <v/>
      </c>
      <c r="H28" s="48">
        <f>IF($B28="","",SUM($E$26:$E28))</f>
        <v/>
      </c>
    </row>
    <row r="29">
      <c r="B29" s="46">
        <f>IF(DATE(Summary!$C$12,1,1)+3&gt;DATE(Summary!$C$12,12,31),"",DATE(Summary!$C$12,1,1)+3)</f>
        <v/>
      </c>
      <c r="C29" s="47">
        <f>IF($B29="","",SUMIFS(Grids!$EE$9:$GQ$108,Grids!$C$9:$BO$108,"&gt;="&amp;$B29*1000000000,Grids!$C$9:$BO$108,"&lt;"&amp;($B29+1)*1000000000))</f>
        <v/>
      </c>
      <c r="D29" s="47">
        <f>IF($B29="","",SUMIFS(Grids!$EE$113:$GQ$152,Grids!$C$113:$BO$152,"&gt;="&amp;$B29*1000000000,Grids!$C$113:$BO$152,"&lt;"&amp;($B29+1)*1000000000))</f>
        <v/>
      </c>
      <c r="E29" s="47">
        <f>IF($B29="","",SUMIFS(Grids!$EE$157:$GQ$216,Grids!$C$157:$BO$216,"&gt;="&amp;$B29*1000000000,Grids!$C$157:$BO$216,"&lt;"&amp;($B29+1)*1000000000))</f>
        <v/>
      </c>
      <c r="F29" s="48">
        <f>IF($B29="","",SUM($C$26:$C29))</f>
        <v/>
      </c>
      <c r="G29" s="48">
        <f>IF($B29="","",SUM($D$26:$D29))</f>
        <v/>
      </c>
      <c r="H29" s="48">
        <f>IF($B29="","",SUM($E$26:$E29))</f>
        <v/>
      </c>
    </row>
    <row r="30">
      <c r="B30" s="46">
        <f>IF(DATE(Summary!$C$12,1,1)+4&gt;DATE(Summary!$C$12,12,31),"",DATE(Summary!$C$12,1,1)+4)</f>
        <v/>
      </c>
      <c r="C30" s="47">
        <f>IF($B30="","",SUMIFS(Grids!$EE$9:$GQ$108,Grids!$C$9:$BO$108,"&gt;="&amp;$B30*1000000000,Grids!$C$9:$BO$108,"&lt;"&amp;($B30+1)*1000000000))</f>
        <v/>
      </c>
      <c r="D30" s="47">
        <f>IF($B30="","",SUMIFS(Grids!$EE$113:$GQ$152,Grids!$C$113:$BO$152,"&gt;="&amp;$B30*1000000000,Grids!$C$113:$BO$152,"&lt;"&amp;($B30+1)*1000000000))</f>
        <v/>
      </c>
      <c r="E30" s="47">
        <f>IF($B30="","",SUMIFS(Grids!$EE$157:$GQ$216,Grids!$C$157:$BO$216,"&gt;="&amp;$B30*1000000000,Grids!$C$157:$BO$216,"&lt;"&amp;($B30+1)*1000000000))</f>
        <v/>
      </c>
      <c r="F30" s="48">
        <f>IF($B30="","",SUM($C$26:$C30))</f>
        <v/>
      </c>
      <c r="G30" s="48">
        <f>IF($B30="","",SUM($D$26:$D30))</f>
        <v/>
      </c>
      <c r="H30" s="48">
        <f>IF($B30="","",SUM($E$26:$E30))</f>
        <v/>
      </c>
    </row>
    <row r="31">
      <c r="B31" s="46">
        <f>IF(DATE(Summary!$C$12,1,1)+5&gt;DATE(Summary!$C$12,12,31),"",DATE(Summary!$C$12,1,1)+5)</f>
        <v/>
      </c>
      <c r="C31" s="47">
        <f>IF($B31="","",SUMIFS(Grids!$EE$9:$GQ$108,Grids!$C$9:$BO$108,"&gt;="&amp;$B31*1000000000,Grids!$C$9:$BO$108,"&lt;"&amp;($B31+1)*1000000000))</f>
        <v/>
      </c>
      <c r="D31" s="47">
        <f>IF($B31="","",SUMIFS(Grids!$EE$113:$GQ$152,Grids!$C$113:$BO$152,"&gt;="&amp;$B31*1000000000,Grids!$C$113:$BO$152,"&lt;"&amp;($B31+1)*1000000000))</f>
        <v/>
      </c>
      <c r="E31" s="47">
        <f>IF($B31="","",SUMIFS(Grids!$EE$157:$GQ$216,Grids!$C$157:$BO$216,"&gt;="&amp;$B31*1000000000,Grids!$C$157:$BO$216,"&lt;"&amp;($B31+1)*1000000000))</f>
        <v/>
      </c>
      <c r="F31" s="48">
        <f>IF($B31="","",SUM($C$26:$C31))</f>
        <v/>
      </c>
      <c r="G31" s="48">
        <f>IF($B31="","",SUM($D$26:$D31))</f>
        <v/>
      </c>
      <c r="H31" s="48">
        <f>IF($B31="","",SUM($E$26:$E31))</f>
        <v/>
      </c>
    </row>
    <row r="32">
      <c r="B32" s="46">
        <f>IF(DATE(Summary!$C$12,1,1)+6&gt;DATE(Summary!$C$12,12,31),"",DATE(Summary!$C$12,1,1)+6)</f>
        <v/>
      </c>
      <c r="C32" s="47">
        <f>IF($B32="","",SUMIFS(Grids!$EE$9:$GQ$108,Grids!$C$9:$BO$108,"&gt;="&amp;$B32*1000000000,Grids!$C$9:$BO$108,"&lt;"&amp;($B32+1)*1000000000))</f>
        <v/>
      </c>
      <c r="D32" s="47">
        <f>IF($B32="","",SUMIFS(Grids!$EE$113:$GQ$152,Grids!$C$113:$BO$152,"&gt;="&amp;$B32*1000000000,Grids!$C$113:$BO$152,"&lt;"&amp;($B32+1)*1000000000))</f>
        <v/>
      </c>
      <c r="E32" s="47">
        <f>IF($B32="","",SUMIFS(Grids!$EE$157:$GQ$216,Grids!$C$157:$BO$216,"&gt;="&amp;$B32*1000000000,Grids!$C$157:$BO$216,"&lt;"&amp;($B32+1)*1000000000))</f>
        <v/>
      </c>
      <c r="F32" s="48">
        <f>IF($B32="","",SUM($C$26:$C32))</f>
        <v/>
      </c>
      <c r="G32" s="48">
        <f>IF($B32="","",SUM($D$26:$D32))</f>
        <v/>
      </c>
      <c r="H32" s="48">
        <f>IF($B32="","",SUM($E$26:$E32))</f>
        <v/>
      </c>
    </row>
    <row r="33">
      <c r="B33" s="46">
        <f>IF(DATE(Summary!$C$12,1,1)+7&gt;DATE(Summary!$C$12,12,31),"",DATE(Summary!$C$12,1,1)+7)</f>
        <v/>
      </c>
      <c r="C33" s="47">
        <f>IF($B33="","",SUMIFS(Grids!$EE$9:$GQ$108,Grids!$C$9:$BO$108,"&gt;="&amp;$B33*1000000000,Grids!$C$9:$BO$108,"&lt;"&amp;($B33+1)*1000000000))</f>
        <v/>
      </c>
      <c r="D33" s="47">
        <f>IF($B33="","",SUMIFS(Grids!$EE$113:$GQ$152,Grids!$C$113:$BO$152,"&gt;="&amp;$B33*1000000000,Grids!$C$113:$BO$152,"&lt;"&amp;($B33+1)*1000000000))</f>
        <v/>
      </c>
      <c r="E33" s="47">
        <f>IF($B33="","",SUMIFS(Grids!$EE$157:$GQ$216,Grids!$C$157:$BO$216,"&gt;="&amp;$B33*1000000000,Grids!$C$157:$BO$216,"&lt;"&amp;($B33+1)*1000000000))</f>
        <v/>
      </c>
      <c r="F33" s="48">
        <f>IF($B33="","",SUM($C$26:$C33))</f>
        <v/>
      </c>
      <c r="G33" s="48">
        <f>IF($B33="","",SUM($D$26:$D33))</f>
        <v/>
      </c>
      <c r="H33" s="48">
        <f>IF($B33="","",SUM($E$26:$E33))</f>
        <v/>
      </c>
    </row>
    <row r="34">
      <c r="B34" s="46">
        <f>IF(DATE(Summary!$C$12,1,1)+8&gt;DATE(Summary!$C$12,12,31),"",DATE(Summary!$C$12,1,1)+8)</f>
        <v/>
      </c>
      <c r="C34" s="47">
        <f>IF($B34="","",SUMIFS(Grids!$EE$9:$GQ$108,Grids!$C$9:$BO$108,"&gt;="&amp;$B34*1000000000,Grids!$C$9:$BO$108,"&lt;"&amp;($B34+1)*1000000000))</f>
        <v/>
      </c>
      <c r="D34" s="47">
        <f>IF($B34="","",SUMIFS(Grids!$EE$113:$GQ$152,Grids!$C$113:$BO$152,"&gt;="&amp;$B34*1000000000,Grids!$C$113:$BO$152,"&lt;"&amp;($B34+1)*1000000000))</f>
        <v/>
      </c>
      <c r="E34" s="47">
        <f>IF($B34="","",SUMIFS(Grids!$EE$157:$GQ$216,Grids!$C$157:$BO$216,"&gt;="&amp;$B34*1000000000,Grids!$C$157:$BO$216,"&lt;"&amp;($B34+1)*1000000000))</f>
        <v/>
      </c>
      <c r="F34" s="48">
        <f>IF($B34="","",SUM($C$26:$C34))</f>
        <v/>
      </c>
      <c r="G34" s="48">
        <f>IF($B34="","",SUM($D$26:$D34))</f>
        <v/>
      </c>
      <c r="H34" s="48">
        <f>IF($B34="","",SUM($E$26:$E34))</f>
        <v/>
      </c>
    </row>
    <row r="35">
      <c r="B35" s="46">
        <f>IF(DATE(Summary!$C$12,1,1)+9&gt;DATE(Summary!$C$12,12,31),"",DATE(Summary!$C$12,1,1)+9)</f>
        <v/>
      </c>
      <c r="C35" s="47">
        <f>IF($B35="","",SUMIFS(Grids!$EE$9:$GQ$108,Grids!$C$9:$BO$108,"&gt;="&amp;$B35*1000000000,Grids!$C$9:$BO$108,"&lt;"&amp;($B35+1)*1000000000))</f>
        <v/>
      </c>
      <c r="D35" s="47">
        <f>IF($B35="","",SUMIFS(Grids!$EE$113:$GQ$152,Grids!$C$113:$BO$152,"&gt;="&amp;$B35*1000000000,Grids!$C$113:$BO$152,"&lt;"&amp;($B35+1)*1000000000))</f>
        <v/>
      </c>
      <c r="E35" s="47">
        <f>IF($B35="","",SUMIFS(Grids!$EE$157:$GQ$216,Grids!$C$157:$BO$216,"&gt;="&amp;$B35*1000000000,Grids!$C$157:$BO$216,"&lt;"&amp;($B35+1)*1000000000))</f>
        <v/>
      </c>
      <c r="F35" s="48">
        <f>IF($B35="","",SUM($C$26:$C35))</f>
        <v/>
      </c>
      <c r="G35" s="48">
        <f>IF($B35="","",SUM($D$26:$D35))</f>
        <v/>
      </c>
      <c r="H35" s="48">
        <f>IF($B35="","",SUM($E$26:$E35))</f>
        <v/>
      </c>
    </row>
    <row r="36">
      <c r="B36" s="46">
        <f>IF(DATE(Summary!$C$12,1,1)+10&gt;DATE(Summary!$C$12,12,31),"",DATE(Summary!$C$12,1,1)+10)</f>
        <v/>
      </c>
      <c r="C36" s="47">
        <f>IF($B36="","",SUMIFS(Grids!$EE$9:$GQ$108,Grids!$C$9:$BO$108,"&gt;="&amp;$B36*1000000000,Grids!$C$9:$BO$108,"&lt;"&amp;($B36+1)*1000000000))</f>
        <v/>
      </c>
      <c r="D36" s="47">
        <f>IF($B36="","",SUMIFS(Grids!$EE$113:$GQ$152,Grids!$C$113:$BO$152,"&gt;="&amp;$B36*1000000000,Grids!$C$113:$BO$152,"&lt;"&amp;($B36+1)*1000000000))</f>
        <v/>
      </c>
      <c r="E36" s="47">
        <f>IF($B36="","",SUMIFS(Grids!$EE$157:$GQ$216,Grids!$C$157:$BO$216,"&gt;="&amp;$B36*1000000000,Grids!$C$157:$BO$216,"&lt;"&amp;($B36+1)*1000000000))</f>
        <v/>
      </c>
      <c r="F36" s="48">
        <f>IF($B36="","",SUM($C$26:$C36))</f>
        <v/>
      </c>
      <c r="G36" s="48">
        <f>IF($B36="","",SUM($D$26:$D36))</f>
        <v/>
      </c>
      <c r="H36" s="48">
        <f>IF($B36="","",SUM($E$26:$E36))</f>
        <v/>
      </c>
    </row>
    <row r="37">
      <c r="B37" s="46">
        <f>IF(DATE(Summary!$C$12,1,1)+11&gt;DATE(Summary!$C$12,12,31),"",DATE(Summary!$C$12,1,1)+11)</f>
        <v/>
      </c>
      <c r="C37" s="47">
        <f>IF($B37="","",SUMIFS(Grids!$EE$9:$GQ$108,Grids!$C$9:$BO$108,"&gt;="&amp;$B37*1000000000,Grids!$C$9:$BO$108,"&lt;"&amp;($B37+1)*1000000000))</f>
        <v/>
      </c>
      <c r="D37" s="47">
        <f>IF($B37="","",SUMIFS(Grids!$EE$113:$GQ$152,Grids!$C$113:$BO$152,"&gt;="&amp;$B37*1000000000,Grids!$C$113:$BO$152,"&lt;"&amp;($B37+1)*1000000000))</f>
        <v/>
      </c>
      <c r="E37" s="47">
        <f>IF($B37="","",SUMIFS(Grids!$EE$157:$GQ$216,Grids!$C$157:$BO$216,"&gt;="&amp;$B37*1000000000,Grids!$C$157:$BO$216,"&lt;"&amp;($B37+1)*1000000000))</f>
        <v/>
      </c>
      <c r="F37" s="48">
        <f>IF($B37="","",SUM($C$26:$C37))</f>
        <v/>
      </c>
      <c r="G37" s="48">
        <f>IF($B37="","",SUM($D$26:$D37))</f>
        <v/>
      </c>
      <c r="H37" s="48">
        <f>IF($B37="","",SUM($E$26:$E37))</f>
        <v/>
      </c>
    </row>
    <row r="38">
      <c r="B38" s="46">
        <f>IF(DATE(Summary!$C$12,1,1)+12&gt;DATE(Summary!$C$12,12,31),"",DATE(Summary!$C$12,1,1)+12)</f>
        <v/>
      </c>
      <c r="C38" s="47">
        <f>IF($B38="","",SUMIFS(Grids!$EE$9:$GQ$108,Grids!$C$9:$BO$108,"&gt;="&amp;$B38*1000000000,Grids!$C$9:$BO$108,"&lt;"&amp;($B38+1)*1000000000))</f>
        <v/>
      </c>
      <c r="D38" s="47">
        <f>IF($B38="","",SUMIFS(Grids!$EE$113:$GQ$152,Grids!$C$113:$BO$152,"&gt;="&amp;$B38*1000000000,Grids!$C$113:$BO$152,"&lt;"&amp;($B38+1)*1000000000))</f>
        <v/>
      </c>
      <c r="E38" s="47">
        <f>IF($B38="","",SUMIFS(Grids!$EE$157:$GQ$216,Grids!$C$157:$BO$216,"&gt;="&amp;$B38*1000000000,Grids!$C$157:$BO$216,"&lt;"&amp;($B38+1)*1000000000))</f>
        <v/>
      </c>
      <c r="F38" s="48">
        <f>IF($B38="","",SUM($C$26:$C38))</f>
        <v/>
      </c>
      <c r="G38" s="48">
        <f>IF($B38="","",SUM($D$26:$D38))</f>
        <v/>
      </c>
      <c r="H38" s="48">
        <f>IF($B38="","",SUM($E$26:$E38))</f>
        <v/>
      </c>
    </row>
    <row r="39">
      <c r="B39" s="46">
        <f>IF(DATE(Summary!$C$12,1,1)+13&gt;DATE(Summary!$C$12,12,31),"",DATE(Summary!$C$12,1,1)+13)</f>
        <v/>
      </c>
      <c r="C39" s="47">
        <f>IF($B39="","",SUMIFS(Grids!$EE$9:$GQ$108,Grids!$C$9:$BO$108,"&gt;="&amp;$B39*1000000000,Grids!$C$9:$BO$108,"&lt;"&amp;($B39+1)*1000000000))</f>
        <v/>
      </c>
      <c r="D39" s="47">
        <f>IF($B39="","",SUMIFS(Grids!$EE$113:$GQ$152,Grids!$C$113:$BO$152,"&gt;="&amp;$B39*1000000000,Grids!$C$113:$BO$152,"&lt;"&amp;($B39+1)*1000000000))</f>
        <v/>
      </c>
      <c r="E39" s="47">
        <f>IF($B39="","",SUMIFS(Grids!$EE$157:$GQ$216,Grids!$C$157:$BO$216,"&gt;="&amp;$B39*1000000000,Grids!$C$157:$BO$216,"&lt;"&amp;($B39+1)*1000000000))</f>
        <v/>
      </c>
      <c r="F39" s="48">
        <f>IF($B39="","",SUM($C$26:$C39))</f>
        <v/>
      </c>
      <c r="G39" s="48">
        <f>IF($B39="","",SUM($D$26:$D39))</f>
        <v/>
      </c>
      <c r="H39" s="48">
        <f>IF($B39="","",SUM($E$26:$E39))</f>
        <v/>
      </c>
    </row>
    <row r="40">
      <c r="B40" s="46">
        <f>IF(DATE(Summary!$C$12,1,1)+14&gt;DATE(Summary!$C$12,12,31),"",DATE(Summary!$C$12,1,1)+14)</f>
        <v/>
      </c>
      <c r="C40" s="47">
        <f>IF($B40="","",SUMIFS(Grids!$EE$9:$GQ$108,Grids!$C$9:$BO$108,"&gt;="&amp;$B40*1000000000,Grids!$C$9:$BO$108,"&lt;"&amp;($B40+1)*1000000000))</f>
        <v/>
      </c>
      <c r="D40" s="47">
        <f>IF($B40="","",SUMIFS(Grids!$EE$113:$GQ$152,Grids!$C$113:$BO$152,"&gt;="&amp;$B40*1000000000,Grids!$C$113:$BO$152,"&lt;"&amp;($B40+1)*1000000000))</f>
        <v/>
      </c>
      <c r="E40" s="47">
        <f>IF($B40="","",SUMIFS(Grids!$EE$157:$GQ$216,Grids!$C$157:$BO$216,"&gt;="&amp;$B40*1000000000,Grids!$C$157:$BO$216,"&lt;"&amp;($B40+1)*1000000000))</f>
        <v/>
      </c>
      <c r="F40" s="48">
        <f>IF($B40="","",SUM($C$26:$C40))</f>
        <v/>
      </c>
      <c r="G40" s="48">
        <f>IF($B40="","",SUM($D$26:$D40))</f>
        <v/>
      </c>
      <c r="H40" s="48">
        <f>IF($B40="","",SUM($E$26:$E40))</f>
        <v/>
      </c>
    </row>
    <row r="41">
      <c r="B41" s="46">
        <f>IF(DATE(Summary!$C$12,1,1)+15&gt;DATE(Summary!$C$12,12,31),"",DATE(Summary!$C$12,1,1)+15)</f>
        <v/>
      </c>
      <c r="C41" s="47">
        <f>IF($B41="","",SUMIFS(Grids!$EE$9:$GQ$108,Grids!$C$9:$BO$108,"&gt;="&amp;$B41*1000000000,Grids!$C$9:$BO$108,"&lt;"&amp;($B41+1)*1000000000))</f>
        <v/>
      </c>
      <c r="D41" s="47">
        <f>IF($B41="","",SUMIFS(Grids!$EE$113:$GQ$152,Grids!$C$113:$BO$152,"&gt;="&amp;$B41*1000000000,Grids!$C$113:$BO$152,"&lt;"&amp;($B41+1)*1000000000))</f>
        <v/>
      </c>
      <c r="E41" s="47">
        <f>IF($B41="","",SUMIFS(Grids!$EE$157:$GQ$216,Grids!$C$157:$BO$216,"&gt;="&amp;$B41*1000000000,Grids!$C$157:$BO$216,"&lt;"&amp;($B41+1)*1000000000))</f>
        <v/>
      </c>
      <c r="F41" s="48">
        <f>IF($B41="","",SUM($C$26:$C41))</f>
        <v/>
      </c>
      <c r="G41" s="48">
        <f>IF($B41="","",SUM($D$26:$D41))</f>
        <v/>
      </c>
      <c r="H41" s="48">
        <f>IF($B41="","",SUM($E$26:$E41))</f>
        <v/>
      </c>
    </row>
    <row r="42">
      <c r="B42" s="46">
        <f>IF(DATE(Summary!$C$12,1,1)+16&gt;DATE(Summary!$C$12,12,31),"",DATE(Summary!$C$12,1,1)+16)</f>
        <v/>
      </c>
      <c r="C42" s="47">
        <f>IF($B42="","",SUMIFS(Grids!$EE$9:$GQ$108,Grids!$C$9:$BO$108,"&gt;="&amp;$B42*1000000000,Grids!$C$9:$BO$108,"&lt;"&amp;($B42+1)*1000000000))</f>
        <v/>
      </c>
      <c r="D42" s="47">
        <f>IF($B42="","",SUMIFS(Grids!$EE$113:$GQ$152,Grids!$C$113:$BO$152,"&gt;="&amp;$B42*1000000000,Grids!$C$113:$BO$152,"&lt;"&amp;($B42+1)*1000000000))</f>
        <v/>
      </c>
      <c r="E42" s="47">
        <f>IF($B42="","",SUMIFS(Grids!$EE$157:$GQ$216,Grids!$C$157:$BO$216,"&gt;="&amp;$B42*1000000000,Grids!$C$157:$BO$216,"&lt;"&amp;($B42+1)*1000000000))</f>
        <v/>
      </c>
      <c r="F42" s="48">
        <f>IF($B42="","",SUM($C$26:$C42))</f>
        <v/>
      </c>
      <c r="G42" s="48">
        <f>IF($B42="","",SUM($D$26:$D42))</f>
        <v/>
      </c>
      <c r="H42" s="48">
        <f>IF($B42="","",SUM($E$26:$E42))</f>
        <v/>
      </c>
    </row>
    <row r="43">
      <c r="B43" s="46">
        <f>IF(DATE(Summary!$C$12,1,1)+17&gt;DATE(Summary!$C$12,12,31),"",DATE(Summary!$C$12,1,1)+17)</f>
        <v/>
      </c>
      <c r="C43" s="47">
        <f>IF($B43="","",SUMIFS(Grids!$EE$9:$GQ$108,Grids!$C$9:$BO$108,"&gt;="&amp;$B43*1000000000,Grids!$C$9:$BO$108,"&lt;"&amp;($B43+1)*1000000000))</f>
        <v/>
      </c>
      <c r="D43" s="47">
        <f>IF($B43="","",SUMIFS(Grids!$EE$113:$GQ$152,Grids!$C$113:$BO$152,"&gt;="&amp;$B43*1000000000,Grids!$C$113:$BO$152,"&lt;"&amp;($B43+1)*1000000000))</f>
        <v/>
      </c>
      <c r="E43" s="47">
        <f>IF($B43="","",SUMIFS(Grids!$EE$157:$GQ$216,Grids!$C$157:$BO$216,"&gt;="&amp;$B43*1000000000,Grids!$C$157:$BO$216,"&lt;"&amp;($B43+1)*1000000000))</f>
        <v/>
      </c>
      <c r="F43" s="48">
        <f>IF($B43="","",SUM($C$26:$C43))</f>
        <v/>
      </c>
      <c r="G43" s="48">
        <f>IF($B43="","",SUM($D$26:$D43))</f>
        <v/>
      </c>
      <c r="H43" s="48">
        <f>IF($B43="","",SUM($E$26:$E43))</f>
        <v/>
      </c>
    </row>
    <row r="44">
      <c r="B44" s="46">
        <f>IF(DATE(Summary!$C$12,1,1)+18&gt;DATE(Summary!$C$12,12,31),"",DATE(Summary!$C$12,1,1)+18)</f>
        <v/>
      </c>
      <c r="C44" s="47">
        <f>IF($B44="","",SUMIFS(Grids!$EE$9:$GQ$108,Grids!$C$9:$BO$108,"&gt;="&amp;$B44*1000000000,Grids!$C$9:$BO$108,"&lt;"&amp;($B44+1)*1000000000))</f>
        <v/>
      </c>
      <c r="D44" s="47">
        <f>IF($B44="","",SUMIFS(Grids!$EE$113:$GQ$152,Grids!$C$113:$BO$152,"&gt;="&amp;$B44*1000000000,Grids!$C$113:$BO$152,"&lt;"&amp;($B44+1)*1000000000))</f>
        <v/>
      </c>
      <c r="E44" s="47">
        <f>IF($B44="","",SUMIFS(Grids!$EE$157:$GQ$216,Grids!$C$157:$BO$216,"&gt;="&amp;$B44*1000000000,Grids!$C$157:$BO$216,"&lt;"&amp;($B44+1)*1000000000))</f>
        <v/>
      </c>
      <c r="F44" s="48">
        <f>IF($B44="","",SUM($C$26:$C44))</f>
        <v/>
      </c>
      <c r="G44" s="48">
        <f>IF($B44="","",SUM($D$26:$D44))</f>
        <v/>
      </c>
      <c r="H44" s="48">
        <f>IF($B44="","",SUM($E$26:$E44))</f>
        <v/>
      </c>
    </row>
    <row r="45">
      <c r="B45" s="46">
        <f>IF(DATE(Summary!$C$12,1,1)+19&gt;DATE(Summary!$C$12,12,31),"",DATE(Summary!$C$12,1,1)+19)</f>
        <v/>
      </c>
      <c r="C45" s="47">
        <f>IF($B45="","",SUMIFS(Grids!$EE$9:$GQ$108,Grids!$C$9:$BO$108,"&gt;="&amp;$B45*1000000000,Grids!$C$9:$BO$108,"&lt;"&amp;($B45+1)*1000000000))</f>
        <v/>
      </c>
      <c r="D45" s="47">
        <f>IF($B45="","",SUMIFS(Grids!$EE$113:$GQ$152,Grids!$C$113:$BO$152,"&gt;="&amp;$B45*1000000000,Grids!$C$113:$BO$152,"&lt;"&amp;($B45+1)*1000000000))</f>
        <v/>
      </c>
      <c r="E45" s="47">
        <f>IF($B45="","",SUMIFS(Grids!$EE$157:$GQ$216,Grids!$C$157:$BO$216,"&gt;="&amp;$B45*1000000000,Grids!$C$157:$BO$216,"&lt;"&amp;($B45+1)*1000000000))</f>
        <v/>
      </c>
      <c r="F45" s="48">
        <f>IF($B45="","",SUM($C$26:$C45))</f>
        <v/>
      </c>
      <c r="G45" s="48">
        <f>IF($B45="","",SUM($D$26:$D45))</f>
        <v/>
      </c>
      <c r="H45" s="48">
        <f>IF($B45="","",SUM($E$26:$E45))</f>
        <v/>
      </c>
    </row>
    <row r="46">
      <c r="B46" s="46">
        <f>IF(DATE(Summary!$C$12,1,1)+20&gt;DATE(Summary!$C$12,12,31),"",DATE(Summary!$C$12,1,1)+20)</f>
        <v/>
      </c>
      <c r="C46" s="47">
        <f>IF($B46="","",SUMIFS(Grids!$EE$9:$GQ$108,Grids!$C$9:$BO$108,"&gt;="&amp;$B46*1000000000,Grids!$C$9:$BO$108,"&lt;"&amp;($B46+1)*1000000000))</f>
        <v/>
      </c>
      <c r="D46" s="47">
        <f>IF($B46="","",SUMIFS(Grids!$EE$113:$GQ$152,Grids!$C$113:$BO$152,"&gt;="&amp;$B46*1000000000,Grids!$C$113:$BO$152,"&lt;"&amp;($B46+1)*1000000000))</f>
        <v/>
      </c>
      <c r="E46" s="47">
        <f>IF($B46="","",SUMIFS(Grids!$EE$157:$GQ$216,Grids!$C$157:$BO$216,"&gt;="&amp;$B46*1000000000,Grids!$C$157:$BO$216,"&lt;"&amp;($B46+1)*1000000000))</f>
        <v/>
      </c>
      <c r="F46" s="48">
        <f>IF($B46="","",SUM($C$26:$C46))</f>
        <v/>
      </c>
      <c r="G46" s="48">
        <f>IF($B46="","",SUM($D$26:$D46))</f>
        <v/>
      </c>
      <c r="H46" s="48">
        <f>IF($B46="","",SUM($E$26:$E46))</f>
        <v/>
      </c>
    </row>
    <row r="47">
      <c r="B47" s="46">
        <f>IF(DATE(Summary!$C$12,1,1)+21&gt;DATE(Summary!$C$12,12,31),"",DATE(Summary!$C$12,1,1)+21)</f>
        <v/>
      </c>
      <c r="C47" s="47">
        <f>IF($B47="","",SUMIFS(Grids!$EE$9:$GQ$108,Grids!$C$9:$BO$108,"&gt;="&amp;$B47*1000000000,Grids!$C$9:$BO$108,"&lt;"&amp;($B47+1)*1000000000))</f>
        <v/>
      </c>
      <c r="D47" s="47">
        <f>IF($B47="","",SUMIFS(Grids!$EE$113:$GQ$152,Grids!$C$113:$BO$152,"&gt;="&amp;$B47*1000000000,Grids!$C$113:$BO$152,"&lt;"&amp;($B47+1)*1000000000))</f>
        <v/>
      </c>
      <c r="E47" s="47">
        <f>IF($B47="","",SUMIFS(Grids!$EE$157:$GQ$216,Grids!$C$157:$BO$216,"&gt;="&amp;$B47*1000000000,Grids!$C$157:$BO$216,"&lt;"&amp;($B47+1)*1000000000))</f>
        <v/>
      </c>
      <c r="F47" s="48">
        <f>IF($B47="","",SUM($C$26:$C47))</f>
        <v/>
      </c>
      <c r="G47" s="48">
        <f>IF($B47="","",SUM($D$26:$D47))</f>
        <v/>
      </c>
      <c r="H47" s="48">
        <f>IF($B47="","",SUM($E$26:$E47))</f>
        <v/>
      </c>
    </row>
    <row r="48">
      <c r="B48" s="46">
        <f>IF(DATE(Summary!$C$12,1,1)+22&gt;DATE(Summary!$C$12,12,31),"",DATE(Summary!$C$12,1,1)+22)</f>
        <v/>
      </c>
      <c r="C48" s="47">
        <f>IF($B48="","",SUMIFS(Grids!$EE$9:$GQ$108,Grids!$C$9:$BO$108,"&gt;="&amp;$B48*1000000000,Grids!$C$9:$BO$108,"&lt;"&amp;($B48+1)*1000000000))</f>
        <v/>
      </c>
      <c r="D48" s="47">
        <f>IF($B48="","",SUMIFS(Grids!$EE$113:$GQ$152,Grids!$C$113:$BO$152,"&gt;="&amp;$B48*1000000000,Grids!$C$113:$BO$152,"&lt;"&amp;($B48+1)*1000000000))</f>
        <v/>
      </c>
      <c r="E48" s="47">
        <f>IF($B48="","",SUMIFS(Grids!$EE$157:$GQ$216,Grids!$C$157:$BO$216,"&gt;="&amp;$B48*1000000000,Grids!$C$157:$BO$216,"&lt;"&amp;($B48+1)*1000000000))</f>
        <v/>
      </c>
      <c r="F48" s="48">
        <f>IF($B48="","",SUM($C$26:$C48))</f>
        <v/>
      </c>
      <c r="G48" s="48">
        <f>IF($B48="","",SUM($D$26:$D48))</f>
        <v/>
      </c>
      <c r="H48" s="48">
        <f>IF($B48="","",SUM($E$26:$E48))</f>
        <v/>
      </c>
    </row>
    <row r="49">
      <c r="B49" s="46">
        <f>IF(DATE(Summary!$C$12,1,1)+23&gt;DATE(Summary!$C$12,12,31),"",DATE(Summary!$C$12,1,1)+23)</f>
        <v/>
      </c>
      <c r="C49" s="47">
        <f>IF($B49="","",SUMIFS(Grids!$EE$9:$GQ$108,Grids!$C$9:$BO$108,"&gt;="&amp;$B49*1000000000,Grids!$C$9:$BO$108,"&lt;"&amp;($B49+1)*1000000000))</f>
        <v/>
      </c>
      <c r="D49" s="47">
        <f>IF($B49="","",SUMIFS(Grids!$EE$113:$GQ$152,Grids!$C$113:$BO$152,"&gt;="&amp;$B49*1000000000,Grids!$C$113:$BO$152,"&lt;"&amp;($B49+1)*1000000000))</f>
        <v/>
      </c>
      <c r="E49" s="47">
        <f>IF($B49="","",SUMIFS(Grids!$EE$157:$GQ$216,Grids!$C$157:$BO$216,"&gt;="&amp;$B49*1000000000,Grids!$C$157:$BO$216,"&lt;"&amp;($B49+1)*1000000000))</f>
        <v/>
      </c>
      <c r="F49" s="48">
        <f>IF($B49="","",SUM($C$26:$C49))</f>
        <v/>
      </c>
      <c r="G49" s="48">
        <f>IF($B49="","",SUM($D$26:$D49))</f>
        <v/>
      </c>
      <c r="H49" s="48">
        <f>IF($B49="","",SUM($E$26:$E49))</f>
        <v/>
      </c>
    </row>
    <row r="50">
      <c r="B50" s="46">
        <f>IF(DATE(Summary!$C$12,1,1)+24&gt;DATE(Summary!$C$12,12,31),"",DATE(Summary!$C$12,1,1)+24)</f>
        <v/>
      </c>
      <c r="C50" s="47">
        <f>IF($B50="","",SUMIFS(Grids!$EE$9:$GQ$108,Grids!$C$9:$BO$108,"&gt;="&amp;$B50*1000000000,Grids!$C$9:$BO$108,"&lt;"&amp;($B50+1)*1000000000))</f>
        <v/>
      </c>
      <c r="D50" s="47">
        <f>IF($B50="","",SUMIFS(Grids!$EE$113:$GQ$152,Grids!$C$113:$BO$152,"&gt;="&amp;$B50*1000000000,Grids!$C$113:$BO$152,"&lt;"&amp;($B50+1)*1000000000))</f>
        <v/>
      </c>
      <c r="E50" s="47">
        <f>IF($B50="","",SUMIFS(Grids!$EE$157:$GQ$216,Grids!$C$157:$BO$216,"&gt;="&amp;$B50*1000000000,Grids!$C$157:$BO$216,"&lt;"&amp;($B50+1)*1000000000))</f>
        <v/>
      </c>
      <c r="F50" s="48">
        <f>IF($B50="","",SUM($C$26:$C50))</f>
        <v/>
      </c>
      <c r="G50" s="48">
        <f>IF($B50="","",SUM($D$26:$D50))</f>
        <v/>
      </c>
      <c r="H50" s="48">
        <f>IF($B50="","",SUM($E$26:$E50))</f>
        <v/>
      </c>
    </row>
    <row r="51">
      <c r="B51" s="46">
        <f>IF(DATE(Summary!$C$12,1,1)+25&gt;DATE(Summary!$C$12,12,31),"",DATE(Summary!$C$12,1,1)+25)</f>
        <v/>
      </c>
      <c r="C51" s="47">
        <f>IF($B51="","",SUMIFS(Grids!$EE$9:$GQ$108,Grids!$C$9:$BO$108,"&gt;="&amp;$B51*1000000000,Grids!$C$9:$BO$108,"&lt;"&amp;($B51+1)*1000000000))</f>
        <v/>
      </c>
      <c r="D51" s="47">
        <f>IF($B51="","",SUMIFS(Grids!$EE$113:$GQ$152,Grids!$C$113:$BO$152,"&gt;="&amp;$B51*1000000000,Grids!$C$113:$BO$152,"&lt;"&amp;($B51+1)*1000000000))</f>
        <v/>
      </c>
      <c r="E51" s="47">
        <f>IF($B51="","",SUMIFS(Grids!$EE$157:$GQ$216,Grids!$C$157:$BO$216,"&gt;="&amp;$B51*1000000000,Grids!$C$157:$BO$216,"&lt;"&amp;($B51+1)*1000000000))</f>
        <v/>
      </c>
      <c r="F51" s="48">
        <f>IF($B51="","",SUM($C$26:$C51))</f>
        <v/>
      </c>
      <c r="G51" s="48">
        <f>IF($B51="","",SUM($D$26:$D51))</f>
        <v/>
      </c>
      <c r="H51" s="48">
        <f>IF($B51="","",SUM($E$26:$E51))</f>
        <v/>
      </c>
    </row>
    <row r="52">
      <c r="B52" s="46">
        <f>IF(DATE(Summary!$C$12,1,1)+26&gt;DATE(Summary!$C$12,12,31),"",DATE(Summary!$C$12,1,1)+26)</f>
        <v/>
      </c>
      <c r="C52" s="47">
        <f>IF($B52="","",SUMIFS(Grids!$EE$9:$GQ$108,Grids!$C$9:$BO$108,"&gt;="&amp;$B52*1000000000,Grids!$C$9:$BO$108,"&lt;"&amp;($B52+1)*1000000000))</f>
        <v/>
      </c>
      <c r="D52" s="47">
        <f>IF($B52="","",SUMIFS(Grids!$EE$113:$GQ$152,Grids!$C$113:$BO$152,"&gt;="&amp;$B52*1000000000,Grids!$C$113:$BO$152,"&lt;"&amp;($B52+1)*1000000000))</f>
        <v/>
      </c>
      <c r="E52" s="47">
        <f>IF($B52="","",SUMIFS(Grids!$EE$157:$GQ$216,Grids!$C$157:$BO$216,"&gt;="&amp;$B52*1000000000,Grids!$C$157:$BO$216,"&lt;"&amp;($B52+1)*1000000000))</f>
        <v/>
      </c>
      <c r="F52" s="48">
        <f>IF($B52="","",SUM($C$26:$C52))</f>
        <v/>
      </c>
      <c r="G52" s="48">
        <f>IF($B52="","",SUM($D$26:$D52))</f>
        <v/>
      </c>
      <c r="H52" s="48">
        <f>IF($B52="","",SUM($E$26:$E52))</f>
        <v/>
      </c>
    </row>
    <row r="53">
      <c r="B53" s="46">
        <f>IF(DATE(Summary!$C$12,1,1)+27&gt;DATE(Summary!$C$12,12,31),"",DATE(Summary!$C$12,1,1)+27)</f>
        <v/>
      </c>
      <c r="C53" s="47">
        <f>IF($B53="","",SUMIFS(Grids!$EE$9:$GQ$108,Grids!$C$9:$BO$108,"&gt;="&amp;$B53*1000000000,Grids!$C$9:$BO$108,"&lt;"&amp;($B53+1)*1000000000))</f>
        <v/>
      </c>
      <c r="D53" s="47">
        <f>IF($B53="","",SUMIFS(Grids!$EE$113:$GQ$152,Grids!$C$113:$BO$152,"&gt;="&amp;$B53*1000000000,Grids!$C$113:$BO$152,"&lt;"&amp;($B53+1)*1000000000))</f>
        <v/>
      </c>
      <c r="E53" s="47">
        <f>IF($B53="","",SUMIFS(Grids!$EE$157:$GQ$216,Grids!$C$157:$BO$216,"&gt;="&amp;$B53*1000000000,Grids!$C$157:$BO$216,"&lt;"&amp;($B53+1)*1000000000))</f>
        <v/>
      </c>
      <c r="F53" s="48">
        <f>IF($B53="","",SUM($C$26:$C53))</f>
        <v/>
      </c>
      <c r="G53" s="48">
        <f>IF($B53="","",SUM($D$26:$D53))</f>
        <v/>
      </c>
      <c r="H53" s="48">
        <f>IF($B53="","",SUM($E$26:$E53))</f>
        <v/>
      </c>
    </row>
    <row r="54">
      <c r="B54" s="46">
        <f>IF(DATE(Summary!$C$12,1,1)+28&gt;DATE(Summary!$C$12,12,31),"",DATE(Summary!$C$12,1,1)+28)</f>
        <v/>
      </c>
      <c r="C54" s="47">
        <f>IF($B54="","",SUMIFS(Grids!$EE$9:$GQ$108,Grids!$C$9:$BO$108,"&gt;="&amp;$B54*1000000000,Grids!$C$9:$BO$108,"&lt;"&amp;($B54+1)*1000000000))</f>
        <v/>
      </c>
      <c r="D54" s="47">
        <f>IF($B54="","",SUMIFS(Grids!$EE$113:$GQ$152,Grids!$C$113:$BO$152,"&gt;="&amp;$B54*1000000000,Grids!$C$113:$BO$152,"&lt;"&amp;($B54+1)*1000000000))</f>
        <v/>
      </c>
      <c r="E54" s="47">
        <f>IF($B54="","",SUMIFS(Grids!$EE$157:$GQ$216,Grids!$C$157:$BO$216,"&gt;="&amp;$B54*1000000000,Grids!$C$157:$BO$216,"&lt;"&amp;($B54+1)*1000000000))</f>
        <v/>
      </c>
      <c r="F54" s="48">
        <f>IF($B54="","",SUM($C$26:$C54))</f>
        <v/>
      </c>
      <c r="G54" s="48">
        <f>IF($B54="","",SUM($D$26:$D54))</f>
        <v/>
      </c>
      <c r="H54" s="48">
        <f>IF($B54="","",SUM($E$26:$E54))</f>
        <v/>
      </c>
    </row>
    <row r="55">
      <c r="B55" s="46">
        <f>IF(DATE(Summary!$C$12,1,1)+29&gt;DATE(Summary!$C$12,12,31),"",DATE(Summary!$C$12,1,1)+29)</f>
        <v/>
      </c>
      <c r="C55" s="47">
        <f>IF($B55="","",SUMIFS(Grids!$EE$9:$GQ$108,Grids!$C$9:$BO$108,"&gt;="&amp;$B55*1000000000,Grids!$C$9:$BO$108,"&lt;"&amp;($B55+1)*1000000000))</f>
        <v/>
      </c>
      <c r="D55" s="47">
        <f>IF($B55="","",SUMIFS(Grids!$EE$113:$GQ$152,Grids!$C$113:$BO$152,"&gt;="&amp;$B55*1000000000,Grids!$C$113:$BO$152,"&lt;"&amp;($B55+1)*1000000000))</f>
        <v/>
      </c>
      <c r="E55" s="47">
        <f>IF($B55="","",SUMIFS(Grids!$EE$157:$GQ$216,Grids!$C$157:$BO$216,"&gt;="&amp;$B55*1000000000,Grids!$C$157:$BO$216,"&lt;"&amp;($B55+1)*1000000000))</f>
        <v/>
      </c>
      <c r="F55" s="48">
        <f>IF($B55="","",SUM($C$26:$C55))</f>
        <v/>
      </c>
      <c r="G55" s="48">
        <f>IF($B55="","",SUM($D$26:$D55))</f>
        <v/>
      </c>
      <c r="H55" s="48">
        <f>IF($B55="","",SUM($E$26:$E55))</f>
        <v/>
      </c>
    </row>
    <row r="56">
      <c r="B56" s="46">
        <f>IF(DATE(Summary!$C$12,1,1)+30&gt;DATE(Summary!$C$12,12,31),"",DATE(Summary!$C$12,1,1)+30)</f>
        <v/>
      </c>
      <c r="C56" s="47">
        <f>IF($B56="","",SUMIFS(Grids!$EE$9:$GQ$108,Grids!$C$9:$BO$108,"&gt;="&amp;$B56*1000000000,Grids!$C$9:$BO$108,"&lt;"&amp;($B56+1)*1000000000))</f>
        <v/>
      </c>
      <c r="D56" s="47">
        <f>IF($B56="","",SUMIFS(Grids!$EE$113:$GQ$152,Grids!$C$113:$BO$152,"&gt;="&amp;$B56*1000000000,Grids!$C$113:$BO$152,"&lt;"&amp;($B56+1)*1000000000))</f>
        <v/>
      </c>
      <c r="E56" s="47">
        <f>IF($B56="","",SUMIFS(Grids!$EE$157:$GQ$216,Grids!$C$157:$BO$216,"&gt;="&amp;$B56*1000000000,Grids!$C$157:$BO$216,"&lt;"&amp;($B56+1)*1000000000))</f>
        <v/>
      </c>
      <c r="F56" s="48">
        <f>IF($B56="","",SUM($C$26:$C56))</f>
        <v/>
      </c>
      <c r="G56" s="48">
        <f>IF($B56="","",SUM($D$26:$D56))</f>
        <v/>
      </c>
      <c r="H56" s="48">
        <f>IF($B56="","",SUM($E$26:$E56))</f>
        <v/>
      </c>
    </row>
    <row r="57">
      <c r="B57" s="46">
        <f>IF(DATE(Summary!$C$12,1,1)+31&gt;DATE(Summary!$C$12,12,31),"",DATE(Summary!$C$12,1,1)+31)</f>
        <v/>
      </c>
      <c r="C57" s="47">
        <f>IF($B57="","",SUMIFS(Grids!$EE$9:$GQ$108,Grids!$C$9:$BO$108,"&gt;="&amp;$B57*1000000000,Grids!$C$9:$BO$108,"&lt;"&amp;($B57+1)*1000000000))</f>
        <v/>
      </c>
      <c r="D57" s="47">
        <f>IF($B57="","",SUMIFS(Grids!$EE$113:$GQ$152,Grids!$C$113:$BO$152,"&gt;="&amp;$B57*1000000000,Grids!$C$113:$BO$152,"&lt;"&amp;($B57+1)*1000000000))</f>
        <v/>
      </c>
      <c r="E57" s="47">
        <f>IF($B57="","",SUMIFS(Grids!$EE$157:$GQ$216,Grids!$C$157:$BO$216,"&gt;="&amp;$B57*1000000000,Grids!$C$157:$BO$216,"&lt;"&amp;($B57+1)*1000000000))</f>
        <v/>
      </c>
      <c r="F57" s="48">
        <f>IF($B57="","",SUM($C$26:$C57))</f>
        <v/>
      </c>
      <c r="G57" s="48">
        <f>IF($B57="","",SUM($D$26:$D57))</f>
        <v/>
      </c>
      <c r="H57" s="48">
        <f>IF($B57="","",SUM($E$26:$E57))</f>
        <v/>
      </c>
    </row>
    <row r="58">
      <c r="B58" s="46">
        <f>IF(DATE(Summary!$C$12,1,1)+32&gt;DATE(Summary!$C$12,12,31),"",DATE(Summary!$C$12,1,1)+32)</f>
        <v/>
      </c>
      <c r="C58" s="47">
        <f>IF($B58="","",SUMIFS(Grids!$EE$9:$GQ$108,Grids!$C$9:$BO$108,"&gt;="&amp;$B58*1000000000,Grids!$C$9:$BO$108,"&lt;"&amp;($B58+1)*1000000000))</f>
        <v/>
      </c>
      <c r="D58" s="47">
        <f>IF($B58="","",SUMIFS(Grids!$EE$113:$GQ$152,Grids!$C$113:$BO$152,"&gt;="&amp;$B58*1000000000,Grids!$C$113:$BO$152,"&lt;"&amp;($B58+1)*1000000000))</f>
        <v/>
      </c>
      <c r="E58" s="47">
        <f>IF($B58="","",SUMIFS(Grids!$EE$157:$GQ$216,Grids!$C$157:$BO$216,"&gt;="&amp;$B58*1000000000,Grids!$C$157:$BO$216,"&lt;"&amp;($B58+1)*1000000000))</f>
        <v/>
      </c>
      <c r="F58" s="48">
        <f>IF($B58="","",SUM($C$26:$C58))</f>
        <v/>
      </c>
      <c r="G58" s="48">
        <f>IF($B58="","",SUM($D$26:$D58))</f>
        <v/>
      </c>
      <c r="H58" s="48">
        <f>IF($B58="","",SUM($E$26:$E58))</f>
        <v/>
      </c>
    </row>
    <row r="59">
      <c r="B59" s="46">
        <f>IF(DATE(Summary!$C$12,1,1)+33&gt;DATE(Summary!$C$12,12,31),"",DATE(Summary!$C$12,1,1)+33)</f>
        <v/>
      </c>
      <c r="C59" s="47">
        <f>IF($B59="","",SUMIFS(Grids!$EE$9:$GQ$108,Grids!$C$9:$BO$108,"&gt;="&amp;$B59*1000000000,Grids!$C$9:$BO$108,"&lt;"&amp;($B59+1)*1000000000))</f>
        <v/>
      </c>
      <c r="D59" s="47">
        <f>IF($B59="","",SUMIFS(Grids!$EE$113:$GQ$152,Grids!$C$113:$BO$152,"&gt;="&amp;$B59*1000000000,Grids!$C$113:$BO$152,"&lt;"&amp;($B59+1)*1000000000))</f>
        <v/>
      </c>
      <c r="E59" s="47">
        <f>IF($B59="","",SUMIFS(Grids!$EE$157:$GQ$216,Grids!$C$157:$BO$216,"&gt;="&amp;$B59*1000000000,Grids!$C$157:$BO$216,"&lt;"&amp;($B59+1)*1000000000))</f>
        <v/>
      </c>
      <c r="F59" s="48">
        <f>IF($B59="","",SUM($C$26:$C59))</f>
        <v/>
      </c>
      <c r="G59" s="48">
        <f>IF($B59="","",SUM($D$26:$D59))</f>
        <v/>
      </c>
      <c r="H59" s="48">
        <f>IF($B59="","",SUM($E$26:$E59))</f>
        <v/>
      </c>
    </row>
    <row r="60">
      <c r="B60" s="46">
        <f>IF(DATE(Summary!$C$12,1,1)+34&gt;DATE(Summary!$C$12,12,31),"",DATE(Summary!$C$12,1,1)+34)</f>
        <v/>
      </c>
      <c r="C60" s="47">
        <f>IF($B60="","",SUMIFS(Grids!$EE$9:$GQ$108,Grids!$C$9:$BO$108,"&gt;="&amp;$B60*1000000000,Grids!$C$9:$BO$108,"&lt;"&amp;($B60+1)*1000000000))</f>
        <v/>
      </c>
      <c r="D60" s="47">
        <f>IF($B60="","",SUMIFS(Grids!$EE$113:$GQ$152,Grids!$C$113:$BO$152,"&gt;="&amp;$B60*1000000000,Grids!$C$113:$BO$152,"&lt;"&amp;($B60+1)*1000000000))</f>
        <v/>
      </c>
      <c r="E60" s="47">
        <f>IF($B60="","",SUMIFS(Grids!$EE$157:$GQ$216,Grids!$C$157:$BO$216,"&gt;="&amp;$B60*1000000000,Grids!$C$157:$BO$216,"&lt;"&amp;($B60+1)*1000000000))</f>
        <v/>
      </c>
      <c r="F60" s="48">
        <f>IF($B60="","",SUM($C$26:$C60))</f>
        <v/>
      </c>
      <c r="G60" s="48">
        <f>IF($B60="","",SUM($D$26:$D60))</f>
        <v/>
      </c>
      <c r="H60" s="48">
        <f>IF($B60="","",SUM($E$26:$E60))</f>
        <v/>
      </c>
    </row>
    <row r="61">
      <c r="B61" s="46">
        <f>IF(DATE(Summary!$C$12,1,1)+35&gt;DATE(Summary!$C$12,12,31),"",DATE(Summary!$C$12,1,1)+35)</f>
        <v/>
      </c>
      <c r="C61" s="47">
        <f>IF($B61="","",SUMIFS(Grids!$EE$9:$GQ$108,Grids!$C$9:$BO$108,"&gt;="&amp;$B61*1000000000,Grids!$C$9:$BO$108,"&lt;"&amp;($B61+1)*1000000000))</f>
        <v/>
      </c>
      <c r="D61" s="47">
        <f>IF($B61="","",SUMIFS(Grids!$EE$113:$GQ$152,Grids!$C$113:$BO$152,"&gt;="&amp;$B61*1000000000,Grids!$C$113:$BO$152,"&lt;"&amp;($B61+1)*1000000000))</f>
        <v/>
      </c>
      <c r="E61" s="47">
        <f>IF($B61="","",SUMIFS(Grids!$EE$157:$GQ$216,Grids!$C$157:$BO$216,"&gt;="&amp;$B61*1000000000,Grids!$C$157:$BO$216,"&lt;"&amp;($B61+1)*1000000000))</f>
        <v/>
      </c>
      <c r="F61" s="48">
        <f>IF($B61="","",SUM($C$26:$C61))</f>
        <v/>
      </c>
      <c r="G61" s="48">
        <f>IF($B61="","",SUM($D$26:$D61))</f>
        <v/>
      </c>
      <c r="H61" s="48">
        <f>IF($B61="","",SUM($E$26:$E61))</f>
        <v/>
      </c>
    </row>
    <row r="62">
      <c r="B62" s="46">
        <f>IF(DATE(Summary!$C$12,1,1)+36&gt;DATE(Summary!$C$12,12,31),"",DATE(Summary!$C$12,1,1)+36)</f>
        <v/>
      </c>
      <c r="C62" s="47">
        <f>IF($B62="","",SUMIFS(Grids!$EE$9:$GQ$108,Grids!$C$9:$BO$108,"&gt;="&amp;$B62*1000000000,Grids!$C$9:$BO$108,"&lt;"&amp;($B62+1)*1000000000))</f>
        <v/>
      </c>
      <c r="D62" s="47">
        <f>IF($B62="","",SUMIFS(Grids!$EE$113:$GQ$152,Grids!$C$113:$BO$152,"&gt;="&amp;$B62*1000000000,Grids!$C$113:$BO$152,"&lt;"&amp;($B62+1)*1000000000))</f>
        <v/>
      </c>
      <c r="E62" s="47">
        <f>IF($B62="","",SUMIFS(Grids!$EE$157:$GQ$216,Grids!$C$157:$BO$216,"&gt;="&amp;$B62*1000000000,Grids!$C$157:$BO$216,"&lt;"&amp;($B62+1)*1000000000))</f>
        <v/>
      </c>
      <c r="F62" s="48">
        <f>IF($B62="","",SUM($C$26:$C62))</f>
        <v/>
      </c>
      <c r="G62" s="48">
        <f>IF($B62="","",SUM($D$26:$D62))</f>
        <v/>
      </c>
      <c r="H62" s="48">
        <f>IF($B62="","",SUM($E$26:$E62))</f>
        <v/>
      </c>
    </row>
    <row r="63">
      <c r="B63" s="46">
        <f>IF(DATE(Summary!$C$12,1,1)+37&gt;DATE(Summary!$C$12,12,31),"",DATE(Summary!$C$12,1,1)+37)</f>
        <v/>
      </c>
      <c r="C63" s="47">
        <f>IF($B63="","",SUMIFS(Grids!$EE$9:$GQ$108,Grids!$C$9:$BO$108,"&gt;="&amp;$B63*1000000000,Grids!$C$9:$BO$108,"&lt;"&amp;($B63+1)*1000000000))</f>
        <v/>
      </c>
      <c r="D63" s="47">
        <f>IF($B63="","",SUMIFS(Grids!$EE$113:$GQ$152,Grids!$C$113:$BO$152,"&gt;="&amp;$B63*1000000000,Grids!$C$113:$BO$152,"&lt;"&amp;($B63+1)*1000000000))</f>
        <v/>
      </c>
      <c r="E63" s="47">
        <f>IF($B63="","",SUMIFS(Grids!$EE$157:$GQ$216,Grids!$C$157:$BO$216,"&gt;="&amp;$B63*1000000000,Grids!$C$157:$BO$216,"&lt;"&amp;($B63+1)*1000000000))</f>
        <v/>
      </c>
      <c r="F63" s="48">
        <f>IF($B63="","",SUM($C$26:$C63))</f>
        <v/>
      </c>
      <c r="G63" s="48">
        <f>IF($B63="","",SUM($D$26:$D63))</f>
        <v/>
      </c>
      <c r="H63" s="48">
        <f>IF($B63="","",SUM($E$26:$E63))</f>
        <v/>
      </c>
    </row>
    <row r="64">
      <c r="B64" s="46">
        <f>IF(DATE(Summary!$C$12,1,1)+38&gt;DATE(Summary!$C$12,12,31),"",DATE(Summary!$C$12,1,1)+38)</f>
        <v/>
      </c>
      <c r="C64" s="47">
        <f>IF($B64="","",SUMIFS(Grids!$EE$9:$GQ$108,Grids!$C$9:$BO$108,"&gt;="&amp;$B64*1000000000,Grids!$C$9:$BO$108,"&lt;"&amp;($B64+1)*1000000000))</f>
        <v/>
      </c>
      <c r="D64" s="47">
        <f>IF($B64="","",SUMIFS(Grids!$EE$113:$GQ$152,Grids!$C$113:$BO$152,"&gt;="&amp;$B64*1000000000,Grids!$C$113:$BO$152,"&lt;"&amp;($B64+1)*1000000000))</f>
        <v/>
      </c>
      <c r="E64" s="47">
        <f>IF($B64="","",SUMIFS(Grids!$EE$157:$GQ$216,Grids!$C$157:$BO$216,"&gt;="&amp;$B64*1000000000,Grids!$C$157:$BO$216,"&lt;"&amp;($B64+1)*1000000000))</f>
        <v/>
      </c>
      <c r="F64" s="48">
        <f>IF($B64="","",SUM($C$26:$C64))</f>
        <v/>
      </c>
      <c r="G64" s="48">
        <f>IF($B64="","",SUM($D$26:$D64))</f>
        <v/>
      </c>
      <c r="H64" s="48">
        <f>IF($B64="","",SUM($E$26:$E64))</f>
        <v/>
      </c>
    </row>
    <row r="65">
      <c r="B65" s="46">
        <f>IF(DATE(Summary!$C$12,1,1)+39&gt;DATE(Summary!$C$12,12,31),"",DATE(Summary!$C$12,1,1)+39)</f>
        <v/>
      </c>
      <c r="C65" s="47">
        <f>IF($B65="","",SUMIFS(Grids!$EE$9:$GQ$108,Grids!$C$9:$BO$108,"&gt;="&amp;$B65*1000000000,Grids!$C$9:$BO$108,"&lt;"&amp;($B65+1)*1000000000))</f>
        <v/>
      </c>
      <c r="D65" s="47">
        <f>IF($B65="","",SUMIFS(Grids!$EE$113:$GQ$152,Grids!$C$113:$BO$152,"&gt;="&amp;$B65*1000000000,Grids!$C$113:$BO$152,"&lt;"&amp;($B65+1)*1000000000))</f>
        <v/>
      </c>
      <c r="E65" s="47">
        <f>IF($B65="","",SUMIFS(Grids!$EE$157:$GQ$216,Grids!$C$157:$BO$216,"&gt;="&amp;$B65*1000000000,Grids!$C$157:$BO$216,"&lt;"&amp;($B65+1)*1000000000))</f>
        <v/>
      </c>
      <c r="F65" s="48">
        <f>IF($B65="","",SUM($C$26:$C65))</f>
        <v/>
      </c>
      <c r="G65" s="48">
        <f>IF($B65="","",SUM($D$26:$D65))</f>
        <v/>
      </c>
      <c r="H65" s="48">
        <f>IF($B65="","",SUM($E$26:$E65))</f>
        <v/>
      </c>
    </row>
    <row r="66">
      <c r="B66" s="46">
        <f>IF(DATE(Summary!$C$12,1,1)+40&gt;DATE(Summary!$C$12,12,31),"",DATE(Summary!$C$12,1,1)+40)</f>
        <v/>
      </c>
      <c r="C66" s="47">
        <f>IF($B66="","",SUMIFS(Grids!$EE$9:$GQ$108,Grids!$C$9:$BO$108,"&gt;="&amp;$B66*1000000000,Grids!$C$9:$BO$108,"&lt;"&amp;($B66+1)*1000000000))</f>
        <v/>
      </c>
      <c r="D66" s="47">
        <f>IF($B66="","",SUMIFS(Grids!$EE$113:$GQ$152,Grids!$C$113:$BO$152,"&gt;="&amp;$B66*1000000000,Grids!$C$113:$BO$152,"&lt;"&amp;($B66+1)*1000000000))</f>
        <v/>
      </c>
      <c r="E66" s="47">
        <f>IF($B66="","",SUMIFS(Grids!$EE$157:$GQ$216,Grids!$C$157:$BO$216,"&gt;="&amp;$B66*1000000000,Grids!$C$157:$BO$216,"&lt;"&amp;($B66+1)*1000000000))</f>
        <v/>
      </c>
      <c r="F66" s="48">
        <f>IF($B66="","",SUM($C$26:$C66))</f>
        <v/>
      </c>
      <c r="G66" s="48">
        <f>IF($B66="","",SUM($D$26:$D66))</f>
        <v/>
      </c>
      <c r="H66" s="48">
        <f>IF($B66="","",SUM($E$26:$E66))</f>
        <v/>
      </c>
    </row>
    <row r="67">
      <c r="B67" s="46">
        <f>IF(DATE(Summary!$C$12,1,1)+41&gt;DATE(Summary!$C$12,12,31),"",DATE(Summary!$C$12,1,1)+41)</f>
        <v/>
      </c>
      <c r="C67" s="47">
        <f>IF($B67="","",SUMIFS(Grids!$EE$9:$GQ$108,Grids!$C$9:$BO$108,"&gt;="&amp;$B67*1000000000,Grids!$C$9:$BO$108,"&lt;"&amp;($B67+1)*1000000000))</f>
        <v/>
      </c>
      <c r="D67" s="47">
        <f>IF($B67="","",SUMIFS(Grids!$EE$113:$GQ$152,Grids!$C$113:$BO$152,"&gt;="&amp;$B67*1000000000,Grids!$C$113:$BO$152,"&lt;"&amp;($B67+1)*1000000000))</f>
        <v/>
      </c>
      <c r="E67" s="47">
        <f>IF($B67="","",SUMIFS(Grids!$EE$157:$GQ$216,Grids!$C$157:$BO$216,"&gt;="&amp;$B67*1000000000,Grids!$C$157:$BO$216,"&lt;"&amp;($B67+1)*1000000000))</f>
        <v/>
      </c>
      <c r="F67" s="48">
        <f>IF($B67="","",SUM($C$26:$C67))</f>
        <v/>
      </c>
      <c r="G67" s="48">
        <f>IF($B67="","",SUM($D$26:$D67))</f>
        <v/>
      </c>
      <c r="H67" s="48">
        <f>IF($B67="","",SUM($E$26:$E67))</f>
        <v/>
      </c>
    </row>
    <row r="68">
      <c r="B68" s="46">
        <f>IF(DATE(Summary!$C$12,1,1)+42&gt;DATE(Summary!$C$12,12,31),"",DATE(Summary!$C$12,1,1)+42)</f>
        <v/>
      </c>
      <c r="C68" s="47">
        <f>IF($B68="","",SUMIFS(Grids!$EE$9:$GQ$108,Grids!$C$9:$BO$108,"&gt;="&amp;$B68*1000000000,Grids!$C$9:$BO$108,"&lt;"&amp;($B68+1)*1000000000))</f>
        <v/>
      </c>
      <c r="D68" s="47">
        <f>IF($B68="","",SUMIFS(Grids!$EE$113:$GQ$152,Grids!$C$113:$BO$152,"&gt;="&amp;$B68*1000000000,Grids!$C$113:$BO$152,"&lt;"&amp;($B68+1)*1000000000))</f>
        <v/>
      </c>
      <c r="E68" s="47">
        <f>IF($B68="","",SUMIFS(Grids!$EE$157:$GQ$216,Grids!$C$157:$BO$216,"&gt;="&amp;$B68*1000000000,Grids!$C$157:$BO$216,"&lt;"&amp;($B68+1)*1000000000))</f>
        <v/>
      </c>
      <c r="F68" s="48">
        <f>IF($B68="","",SUM($C$26:$C68))</f>
        <v/>
      </c>
      <c r="G68" s="48">
        <f>IF($B68="","",SUM($D$26:$D68))</f>
        <v/>
      </c>
      <c r="H68" s="48">
        <f>IF($B68="","",SUM($E$26:$E68))</f>
        <v/>
      </c>
    </row>
    <row r="69">
      <c r="B69" s="46">
        <f>IF(DATE(Summary!$C$12,1,1)+43&gt;DATE(Summary!$C$12,12,31),"",DATE(Summary!$C$12,1,1)+43)</f>
        <v/>
      </c>
      <c r="C69" s="47">
        <f>IF($B69="","",SUMIFS(Grids!$EE$9:$GQ$108,Grids!$C$9:$BO$108,"&gt;="&amp;$B69*1000000000,Grids!$C$9:$BO$108,"&lt;"&amp;($B69+1)*1000000000))</f>
        <v/>
      </c>
      <c r="D69" s="47">
        <f>IF($B69="","",SUMIFS(Grids!$EE$113:$GQ$152,Grids!$C$113:$BO$152,"&gt;="&amp;$B69*1000000000,Grids!$C$113:$BO$152,"&lt;"&amp;($B69+1)*1000000000))</f>
        <v/>
      </c>
      <c r="E69" s="47">
        <f>IF($B69="","",SUMIFS(Grids!$EE$157:$GQ$216,Grids!$C$157:$BO$216,"&gt;="&amp;$B69*1000000000,Grids!$C$157:$BO$216,"&lt;"&amp;($B69+1)*1000000000))</f>
        <v/>
      </c>
      <c r="F69" s="48">
        <f>IF($B69="","",SUM($C$26:$C69))</f>
        <v/>
      </c>
      <c r="G69" s="48">
        <f>IF($B69="","",SUM($D$26:$D69))</f>
        <v/>
      </c>
      <c r="H69" s="48">
        <f>IF($B69="","",SUM($E$26:$E69))</f>
        <v/>
      </c>
    </row>
    <row r="70">
      <c r="B70" s="46">
        <f>IF(DATE(Summary!$C$12,1,1)+44&gt;DATE(Summary!$C$12,12,31),"",DATE(Summary!$C$12,1,1)+44)</f>
        <v/>
      </c>
      <c r="C70" s="47">
        <f>IF($B70="","",SUMIFS(Grids!$EE$9:$GQ$108,Grids!$C$9:$BO$108,"&gt;="&amp;$B70*1000000000,Grids!$C$9:$BO$108,"&lt;"&amp;($B70+1)*1000000000))</f>
        <v/>
      </c>
      <c r="D70" s="47">
        <f>IF($B70="","",SUMIFS(Grids!$EE$113:$GQ$152,Grids!$C$113:$BO$152,"&gt;="&amp;$B70*1000000000,Grids!$C$113:$BO$152,"&lt;"&amp;($B70+1)*1000000000))</f>
        <v/>
      </c>
      <c r="E70" s="47">
        <f>IF($B70="","",SUMIFS(Grids!$EE$157:$GQ$216,Grids!$C$157:$BO$216,"&gt;="&amp;$B70*1000000000,Grids!$C$157:$BO$216,"&lt;"&amp;($B70+1)*1000000000))</f>
        <v/>
      </c>
      <c r="F70" s="48">
        <f>IF($B70="","",SUM($C$26:$C70))</f>
        <v/>
      </c>
      <c r="G70" s="48">
        <f>IF($B70="","",SUM($D$26:$D70))</f>
        <v/>
      </c>
      <c r="H70" s="48">
        <f>IF($B70="","",SUM($E$26:$E70))</f>
        <v/>
      </c>
    </row>
    <row r="71">
      <c r="B71" s="46">
        <f>IF(DATE(Summary!$C$12,1,1)+45&gt;DATE(Summary!$C$12,12,31),"",DATE(Summary!$C$12,1,1)+45)</f>
        <v/>
      </c>
      <c r="C71" s="47">
        <f>IF($B71="","",SUMIFS(Grids!$EE$9:$GQ$108,Grids!$C$9:$BO$108,"&gt;="&amp;$B71*1000000000,Grids!$C$9:$BO$108,"&lt;"&amp;($B71+1)*1000000000))</f>
        <v/>
      </c>
      <c r="D71" s="47">
        <f>IF($B71="","",SUMIFS(Grids!$EE$113:$GQ$152,Grids!$C$113:$BO$152,"&gt;="&amp;$B71*1000000000,Grids!$C$113:$BO$152,"&lt;"&amp;($B71+1)*1000000000))</f>
        <v/>
      </c>
      <c r="E71" s="47">
        <f>IF($B71="","",SUMIFS(Grids!$EE$157:$GQ$216,Grids!$C$157:$BO$216,"&gt;="&amp;$B71*1000000000,Grids!$C$157:$BO$216,"&lt;"&amp;($B71+1)*1000000000))</f>
        <v/>
      </c>
      <c r="F71" s="48">
        <f>IF($B71="","",SUM($C$26:$C71))</f>
        <v/>
      </c>
      <c r="G71" s="48">
        <f>IF($B71="","",SUM($D$26:$D71))</f>
        <v/>
      </c>
      <c r="H71" s="48">
        <f>IF($B71="","",SUM($E$26:$E71))</f>
        <v/>
      </c>
    </row>
    <row r="72">
      <c r="B72" s="46">
        <f>IF(DATE(Summary!$C$12,1,1)+46&gt;DATE(Summary!$C$12,12,31),"",DATE(Summary!$C$12,1,1)+46)</f>
        <v/>
      </c>
      <c r="C72" s="47">
        <f>IF($B72="","",SUMIFS(Grids!$EE$9:$GQ$108,Grids!$C$9:$BO$108,"&gt;="&amp;$B72*1000000000,Grids!$C$9:$BO$108,"&lt;"&amp;($B72+1)*1000000000))</f>
        <v/>
      </c>
      <c r="D72" s="47">
        <f>IF($B72="","",SUMIFS(Grids!$EE$113:$GQ$152,Grids!$C$113:$BO$152,"&gt;="&amp;$B72*1000000000,Grids!$C$113:$BO$152,"&lt;"&amp;($B72+1)*1000000000))</f>
        <v/>
      </c>
      <c r="E72" s="47">
        <f>IF($B72="","",SUMIFS(Grids!$EE$157:$GQ$216,Grids!$C$157:$BO$216,"&gt;="&amp;$B72*1000000000,Grids!$C$157:$BO$216,"&lt;"&amp;($B72+1)*1000000000))</f>
        <v/>
      </c>
      <c r="F72" s="48">
        <f>IF($B72="","",SUM($C$26:$C72))</f>
        <v/>
      </c>
      <c r="G72" s="48">
        <f>IF($B72="","",SUM($D$26:$D72))</f>
        <v/>
      </c>
      <c r="H72" s="48">
        <f>IF($B72="","",SUM($E$26:$E72))</f>
        <v/>
      </c>
    </row>
    <row r="73">
      <c r="B73" s="46">
        <f>IF(DATE(Summary!$C$12,1,1)+47&gt;DATE(Summary!$C$12,12,31),"",DATE(Summary!$C$12,1,1)+47)</f>
        <v/>
      </c>
      <c r="C73" s="47">
        <f>IF($B73="","",SUMIFS(Grids!$EE$9:$GQ$108,Grids!$C$9:$BO$108,"&gt;="&amp;$B73*1000000000,Grids!$C$9:$BO$108,"&lt;"&amp;($B73+1)*1000000000))</f>
        <v/>
      </c>
      <c r="D73" s="47">
        <f>IF($B73="","",SUMIFS(Grids!$EE$113:$GQ$152,Grids!$C$113:$BO$152,"&gt;="&amp;$B73*1000000000,Grids!$C$113:$BO$152,"&lt;"&amp;($B73+1)*1000000000))</f>
        <v/>
      </c>
      <c r="E73" s="47">
        <f>IF($B73="","",SUMIFS(Grids!$EE$157:$GQ$216,Grids!$C$157:$BO$216,"&gt;="&amp;$B73*1000000000,Grids!$C$157:$BO$216,"&lt;"&amp;($B73+1)*1000000000))</f>
        <v/>
      </c>
      <c r="F73" s="48">
        <f>IF($B73="","",SUM($C$26:$C73))</f>
        <v/>
      </c>
      <c r="G73" s="48">
        <f>IF($B73="","",SUM($D$26:$D73))</f>
        <v/>
      </c>
      <c r="H73" s="48">
        <f>IF($B73="","",SUM($E$26:$E73))</f>
        <v/>
      </c>
    </row>
    <row r="74">
      <c r="B74" s="46">
        <f>IF(DATE(Summary!$C$12,1,1)+48&gt;DATE(Summary!$C$12,12,31),"",DATE(Summary!$C$12,1,1)+48)</f>
        <v/>
      </c>
      <c r="C74" s="47">
        <f>IF($B74="","",SUMIFS(Grids!$EE$9:$GQ$108,Grids!$C$9:$BO$108,"&gt;="&amp;$B74*1000000000,Grids!$C$9:$BO$108,"&lt;"&amp;($B74+1)*1000000000))</f>
        <v/>
      </c>
      <c r="D74" s="47">
        <f>IF($B74="","",SUMIFS(Grids!$EE$113:$GQ$152,Grids!$C$113:$BO$152,"&gt;="&amp;$B74*1000000000,Grids!$C$113:$BO$152,"&lt;"&amp;($B74+1)*1000000000))</f>
        <v/>
      </c>
      <c r="E74" s="47">
        <f>IF($B74="","",SUMIFS(Grids!$EE$157:$GQ$216,Grids!$C$157:$BO$216,"&gt;="&amp;$B74*1000000000,Grids!$C$157:$BO$216,"&lt;"&amp;($B74+1)*1000000000))</f>
        <v/>
      </c>
      <c r="F74" s="48">
        <f>IF($B74="","",SUM($C$26:$C74))</f>
        <v/>
      </c>
      <c r="G74" s="48">
        <f>IF($B74="","",SUM($D$26:$D74))</f>
        <v/>
      </c>
      <c r="H74" s="48">
        <f>IF($B74="","",SUM($E$26:$E74))</f>
        <v/>
      </c>
    </row>
    <row r="75">
      <c r="B75" s="46">
        <f>IF(DATE(Summary!$C$12,1,1)+49&gt;DATE(Summary!$C$12,12,31),"",DATE(Summary!$C$12,1,1)+49)</f>
        <v/>
      </c>
      <c r="C75" s="47">
        <f>IF($B75="","",SUMIFS(Grids!$EE$9:$GQ$108,Grids!$C$9:$BO$108,"&gt;="&amp;$B75*1000000000,Grids!$C$9:$BO$108,"&lt;"&amp;($B75+1)*1000000000))</f>
        <v/>
      </c>
      <c r="D75" s="47">
        <f>IF($B75="","",SUMIFS(Grids!$EE$113:$GQ$152,Grids!$C$113:$BO$152,"&gt;="&amp;$B75*1000000000,Grids!$C$113:$BO$152,"&lt;"&amp;($B75+1)*1000000000))</f>
        <v/>
      </c>
      <c r="E75" s="47">
        <f>IF($B75="","",SUMIFS(Grids!$EE$157:$GQ$216,Grids!$C$157:$BO$216,"&gt;="&amp;$B75*1000000000,Grids!$C$157:$BO$216,"&lt;"&amp;($B75+1)*1000000000))</f>
        <v/>
      </c>
      <c r="F75" s="48">
        <f>IF($B75="","",SUM($C$26:$C75))</f>
        <v/>
      </c>
      <c r="G75" s="48">
        <f>IF($B75="","",SUM($D$26:$D75))</f>
        <v/>
      </c>
      <c r="H75" s="48">
        <f>IF($B75="","",SUM($E$26:$E75))</f>
        <v/>
      </c>
    </row>
    <row r="76">
      <c r="B76" s="46">
        <f>IF(DATE(Summary!$C$12,1,1)+50&gt;DATE(Summary!$C$12,12,31),"",DATE(Summary!$C$12,1,1)+50)</f>
        <v/>
      </c>
      <c r="C76" s="47">
        <f>IF($B76="","",SUMIFS(Grids!$EE$9:$GQ$108,Grids!$C$9:$BO$108,"&gt;="&amp;$B76*1000000000,Grids!$C$9:$BO$108,"&lt;"&amp;($B76+1)*1000000000))</f>
        <v/>
      </c>
      <c r="D76" s="47">
        <f>IF($B76="","",SUMIFS(Grids!$EE$113:$GQ$152,Grids!$C$113:$BO$152,"&gt;="&amp;$B76*1000000000,Grids!$C$113:$BO$152,"&lt;"&amp;($B76+1)*1000000000))</f>
        <v/>
      </c>
      <c r="E76" s="47">
        <f>IF($B76="","",SUMIFS(Grids!$EE$157:$GQ$216,Grids!$C$157:$BO$216,"&gt;="&amp;$B76*1000000000,Grids!$C$157:$BO$216,"&lt;"&amp;($B76+1)*1000000000))</f>
        <v/>
      </c>
      <c r="F76" s="48">
        <f>IF($B76="","",SUM($C$26:$C76))</f>
        <v/>
      </c>
      <c r="G76" s="48">
        <f>IF($B76="","",SUM($D$26:$D76))</f>
        <v/>
      </c>
      <c r="H76" s="48">
        <f>IF($B76="","",SUM($E$26:$E76))</f>
        <v/>
      </c>
    </row>
    <row r="77">
      <c r="B77" s="46">
        <f>IF(DATE(Summary!$C$12,1,1)+51&gt;DATE(Summary!$C$12,12,31),"",DATE(Summary!$C$12,1,1)+51)</f>
        <v/>
      </c>
      <c r="C77" s="47">
        <f>IF($B77="","",SUMIFS(Grids!$EE$9:$GQ$108,Grids!$C$9:$BO$108,"&gt;="&amp;$B77*1000000000,Grids!$C$9:$BO$108,"&lt;"&amp;($B77+1)*1000000000))</f>
        <v/>
      </c>
      <c r="D77" s="47">
        <f>IF($B77="","",SUMIFS(Grids!$EE$113:$GQ$152,Grids!$C$113:$BO$152,"&gt;="&amp;$B77*1000000000,Grids!$C$113:$BO$152,"&lt;"&amp;($B77+1)*1000000000))</f>
        <v/>
      </c>
      <c r="E77" s="47">
        <f>IF($B77="","",SUMIFS(Grids!$EE$157:$GQ$216,Grids!$C$157:$BO$216,"&gt;="&amp;$B77*1000000000,Grids!$C$157:$BO$216,"&lt;"&amp;($B77+1)*1000000000))</f>
        <v/>
      </c>
      <c r="F77" s="48">
        <f>IF($B77="","",SUM($C$26:$C77))</f>
        <v/>
      </c>
      <c r="G77" s="48">
        <f>IF($B77="","",SUM($D$26:$D77))</f>
        <v/>
      </c>
      <c r="H77" s="48">
        <f>IF($B77="","",SUM($E$26:$E77))</f>
        <v/>
      </c>
    </row>
    <row r="78">
      <c r="B78" s="46">
        <f>IF(DATE(Summary!$C$12,1,1)+52&gt;DATE(Summary!$C$12,12,31),"",DATE(Summary!$C$12,1,1)+52)</f>
        <v/>
      </c>
      <c r="C78" s="47">
        <f>IF($B78="","",SUMIFS(Grids!$EE$9:$GQ$108,Grids!$C$9:$BO$108,"&gt;="&amp;$B78*1000000000,Grids!$C$9:$BO$108,"&lt;"&amp;($B78+1)*1000000000))</f>
        <v/>
      </c>
      <c r="D78" s="47">
        <f>IF($B78="","",SUMIFS(Grids!$EE$113:$GQ$152,Grids!$C$113:$BO$152,"&gt;="&amp;$B78*1000000000,Grids!$C$113:$BO$152,"&lt;"&amp;($B78+1)*1000000000))</f>
        <v/>
      </c>
      <c r="E78" s="47">
        <f>IF($B78="","",SUMIFS(Grids!$EE$157:$GQ$216,Grids!$C$157:$BO$216,"&gt;="&amp;$B78*1000000000,Grids!$C$157:$BO$216,"&lt;"&amp;($B78+1)*1000000000))</f>
        <v/>
      </c>
      <c r="F78" s="48">
        <f>IF($B78="","",SUM($C$26:$C78))</f>
        <v/>
      </c>
      <c r="G78" s="48">
        <f>IF($B78="","",SUM($D$26:$D78))</f>
        <v/>
      </c>
      <c r="H78" s="48">
        <f>IF($B78="","",SUM($E$26:$E78))</f>
        <v/>
      </c>
    </row>
    <row r="79">
      <c r="B79" s="46">
        <f>IF(DATE(Summary!$C$12,1,1)+53&gt;DATE(Summary!$C$12,12,31),"",DATE(Summary!$C$12,1,1)+53)</f>
        <v/>
      </c>
      <c r="C79" s="47">
        <f>IF($B79="","",SUMIFS(Grids!$EE$9:$GQ$108,Grids!$C$9:$BO$108,"&gt;="&amp;$B79*1000000000,Grids!$C$9:$BO$108,"&lt;"&amp;($B79+1)*1000000000))</f>
        <v/>
      </c>
      <c r="D79" s="47">
        <f>IF($B79="","",SUMIFS(Grids!$EE$113:$GQ$152,Grids!$C$113:$BO$152,"&gt;="&amp;$B79*1000000000,Grids!$C$113:$BO$152,"&lt;"&amp;($B79+1)*1000000000))</f>
        <v/>
      </c>
      <c r="E79" s="47">
        <f>IF($B79="","",SUMIFS(Grids!$EE$157:$GQ$216,Grids!$C$157:$BO$216,"&gt;="&amp;$B79*1000000000,Grids!$C$157:$BO$216,"&lt;"&amp;($B79+1)*1000000000))</f>
        <v/>
      </c>
      <c r="F79" s="48">
        <f>IF($B79="","",SUM($C$26:$C79))</f>
        <v/>
      </c>
      <c r="G79" s="48">
        <f>IF($B79="","",SUM($D$26:$D79))</f>
        <v/>
      </c>
      <c r="H79" s="48">
        <f>IF($B79="","",SUM($E$26:$E79))</f>
        <v/>
      </c>
    </row>
    <row r="80">
      <c r="B80" s="46">
        <f>IF(DATE(Summary!$C$12,1,1)+54&gt;DATE(Summary!$C$12,12,31),"",DATE(Summary!$C$12,1,1)+54)</f>
        <v/>
      </c>
      <c r="C80" s="47">
        <f>IF($B80="","",SUMIFS(Grids!$EE$9:$GQ$108,Grids!$C$9:$BO$108,"&gt;="&amp;$B80*1000000000,Grids!$C$9:$BO$108,"&lt;"&amp;($B80+1)*1000000000))</f>
        <v/>
      </c>
      <c r="D80" s="47">
        <f>IF($B80="","",SUMIFS(Grids!$EE$113:$GQ$152,Grids!$C$113:$BO$152,"&gt;="&amp;$B80*1000000000,Grids!$C$113:$BO$152,"&lt;"&amp;($B80+1)*1000000000))</f>
        <v/>
      </c>
      <c r="E80" s="47">
        <f>IF($B80="","",SUMIFS(Grids!$EE$157:$GQ$216,Grids!$C$157:$BO$216,"&gt;="&amp;$B80*1000000000,Grids!$C$157:$BO$216,"&lt;"&amp;($B80+1)*1000000000))</f>
        <v/>
      </c>
      <c r="F80" s="48">
        <f>IF($B80="","",SUM($C$26:$C80))</f>
        <v/>
      </c>
      <c r="G80" s="48">
        <f>IF($B80="","",SUM($D$26:$D80))</f>
        <v/>
      </c>
      <c r="H80" s="48">
        <f>IF($B80="","",SUM($E$26:$E80))</f>
        <v/>
      </c>
    </row>
    <row r="81">
      <c r="B81" s="46">
        <f>IF(DATE(Summary!$C$12,1,1)+55&gt;DATE(Summary!$C$12,12,31),"",DATE(Summary!$C$12,1,1)+55)</f>
        <v/>
      </c>
      <c r="C81" s="47">
        <f>IF($B81="","",SUMIFS(Grids!$EE$9:$GQ$108,Grids!$C$9:$BO$108,"&gt;="&amp;$B81*1000000000,Grids!$C$9:$BO$108,"&lt;"&amp;($B81+1)*1000000000))</f>
        <v/>
      </c>
      <c r="D81" s="47">
        <f>IF($B81="","",SUMIFS(Grids!$EE$113:$GQ$152,Grids!$C$113:$BO$152,"&gt;="&amp;$B81*1000000000,Grids!$C$113:$BO$152,"&lt;"&amp;($B81+1)*1000000000))</f>
        <v/>
      </c>
      <c r="E81" s="47">
        <f>IF($B81="","",SUMIFS(Grids!$EE$157:$GQ$216,Grids!$C$157:$BO$216,"&gt;="&amp;$B81*1000000000,Grids!$C$157:$BO$216,"&lt;"&amp;($B81+1)*1000000000))</f>
        <v/>
      </c>
      <c r="F81" s="48">
        <f>IF($B81="","",SUM($C$26:$C81))</f>
        <v/>
      </c>
      <c r="G81" s="48">
        <f>IF($B81="","",SUM($D$26:$D81))</f>
        <v/>
      </c>
      <c r="H81" s="48">
        <f>IF($B81="","",SUM($E$26:$E81))</f>
        <v/>
      </c>
    </row>
    <row r="82">
      <c r="B82" s="46">
        <f>IF(DATE(Summary!$C$12,1,1)+56&gt;DATE(Summary!$C$12,12,31),"",DATE(Summary!$C$12,1,1)+56)</f>
        <v/>
      </c>
      <c r="C82" s="47">
        <f>IF($B82="","",SUMIFS(Grids!$EE$9:$GQ$108,Grids!$C$9:$BO$108,"&gt;="&amp;$B82*1000000000,Grids!$C$9:$BO$108,"&lt;"&amp;($B82+1)*1000000000))</f>
        <v/>
      </c>
      <c r="D82" s="47">
        <f>IF($B82="","",SUMIFS(Grids!$EE$113:$GQ$152,Grids!$C$113:$BO$152,"&gt;="&amp;$B82*1000000000,Grids!$C$113:$BO$152,"&lt;"&amp;($B82+1)*1000000000))</f>
        <v/>
      </c>
      <c r="E82" s="47">
        <f>IF($B82="","",SUMIFS(Grids!$EE$157:$GQ$216,Grids!$C$157:$BO$216,"&gt;="&amp;$B82*1000000000,Grids!$C$157:$BO$216,"&lt;"&amp;($B82+1)*1000000000))</f>
        <v/>
      </c>
      <c r="F82" s="48">
        <f>IF($B82="","",SUM($C$26:$C82))</f>
        <v/>
      </c>
      <c r="G82" s="48">
        <f>IF($B82="","",SUM($D$26:$D82))</f>
        <v/>
      </c>
      <c r="H82" s="48">
        <f>IF($B82="","",SUM($E$26:$E82))</f>
        <v/>
      </c>
    </row>
    <row r="83">
      <c r="B83" s="46">
        <f>IF(DATE(Summary!$C$12,1,1)+57&gt;DATE(Summary!$C$12,12,31),"",DATE(Summary!$C$12,1,1)+57)</f>
        <v/>
      </c>
      <c r="C83" s="47">
        <f>IF($B83="","",SUMIFS(Grids!$EE$9:$GQ$108,Grids!$C$9:$BO$108,"&gt;="&amp;$B83*1000000000,Grids!$C$9:$BO$108,"&lt;"&amp;($B83+1)*1000000000))</f>
        <v/>
      </c>
      <c r="D83" s="47">
        <f>IF($B83="","",SUMIFS(Grids!$EE$113:$GQ$152,Grids!$C$113:$BO$152,"&gt;="&amp;$B83*1000000000,Grids!$C$113:$BO$152,"&lt;"&amp;($B83+1)*1000000000))</f>
        <v/>
      </c>
      <c r="E83" s="47">
        <f>IF($B83="","",SUMIFS(Grids!$EE$157:$GQ$216,Grids!$C$157:$BO$216,"&gt;="&amp;$B83*1000000000,Grids!$C$157:$BO$216,"&lt;"&amp;($B83+1)*1000000000))</f>
        <v/>
      </c>
      <c r="F83" s="48">
        <f>IF($B83="","",SUM($C$26:$C83))</f>
        <v/>
      </c>
      <c r="G83" s="48">
        <f>IF($B83="","",SUM($D$26:$D83))</f>
        <v/>
      </c>
      <c r="H83" s="48">
        <f>IF($B83="","",SUM($E$26:$E83))</f>
        <v/>
      </c>
    </row>
    <row r="84">
      <c r="B84" s="46">
        <f>IF(DATE(Summary!$C$12,1,1)+58&gt;DATE(Summary!$C$12,12,31),"",DATE(Summary!$C$12,1,1)+58)</f>
        <v/>
      </c>
      <c r="C84" s="47">
        <f>IF($B84="","",SUMIFS(Grids!$EE$9:$GQ$108,Grids!$C$9:$BO$108,"&gt;="&amp;$B84*1000000000,Grids!$C$9:$BO$108,"&lt;"&amp;($B84+1)*1000000000))</f>
        <v/>
      </c>
      <c r="D84" s="47">
        <f>IF($B84="","",SUMIFS(Grids!$EE$113:$GQ$152,Grids!$C$113:$BO$152,"&gt;="&amp;$B84*1000000000,Grids!$C$113:$BO$152,"&lt;"&amp;($B84+1)*1000000000))</f>
        <v/>
      </c>
      <c r="E84" s="47">
        <f>IF($B84="","",SUMIFS(Grids!$EE$157:$GQ$216,Grids!$C$157:$BO$216,"&gt;="&amp;$B84*1000000000,Grids!$C$157:$BO$216,"&lt;"&amp;($B84+1)*1000000000))</f>
        <v/>
      </c>
      <c r="F84" s="48">
        <f>IF($B84="","",SUM($C$26:$C84))</f>
        <v/>
      </c>
      <c r="G84" s="48">
        <f>IF($B84="","",SUM($D$26:$D84))</f>
        <v/>
      </c>
      <c r="H84" s="48">
        <f>IF($B84="","",SUM($E$26:$E84))</f>
        <v/>
      </c>
    </row>
    <row r="85">
      <c r="B85" s="46">
        <f>IF(DATE(Summary!$C$12,1,1)+59&gt;DATE(Summary!$C$12,12,31),"",DATE(Summary!$C$12,1,1)+59)</f>
        <v/>
      </c>
      <c r="C85" s="47">
        <f>IF($B85="","",SUMIFS(Grids!$EE$9:$GQ$108,Grids!$C$9:$BO$108,"&gt;="&amp;$B85*1000000000,Grids!$C$9:$BO$108,"&lt;"&amp;($B85+1)*1000000000))</f>
        <v/>
      </c>
      <c r="D85" s="47">
        <f>IF($B85="","",SUMIFS(Grids!$EE$113:$GQ$152,Grids!$C$113:$BO$152,"&gt;="&amp;$B85*1000000000,Grids!$C$113:$BO$152,"&lt;"&amp;($B85+1)*1000000000))</f>
        <v/>
      </c>
      <c r="E85" s="47">
        <f>IF($B85="","",SUMIFS(Grids!$EE$157:$GQ$216,Grids!$C$157:$BO$216,"&gt;="&amp;$B85*1000000000,Grids!$C$157:$BO$216,"&lt;"&amp;($B85+1)*1000000000))</f>
        <v/>
      </c>
      <c r="F85" s="48">
        <f>IF($B85="","",SUM($C$26:$C85))</f>
        <v/>
      </c>
      <c r="G85" s="48">
        <f>IF($B85="","",SUM($D$26:$D85))</f>
        <v/>
      </c>
      <c r="H85" s="48">
        <f>IF($B85="","",SUM($E$26:$E85))</f>
        <v/>
      </c>
    </row>
    <row r="86">
      <c r="B86" s="46">
        <f>IF(DATE(Summary!$C$12,1,1)+60&gt;DATE(Summary!$C$12,12,31),"",DATE(Summary!$C$12,1,1)+60)</f>
        <v/>
      </c>
      <c r="C86" s="47">
        <f>IF($B86="","",SUMIFS(Grids!$EE$9:$GQ$108,Grids!$C$9:$BO$108,"&gt;="&amp;$B86*1000000000,Grids!$C$9:$BO$108,"&lt;"&amp;($B86+1)*1000000000))</f>
        <v/>
      </c>
      <c r="D86" s="47">
        <f>IF($B86="","",SUMIFS(Grids!$EE$113:$GQ$152,Grids!$C$113:$BO$152,"&gt;="&amp;$B86*1000000000,Grids!$C$113:$BO$152,"&lt;"&amp;($B86+1)*1000000000))</f>
        <v/>
      </c>
      <c r="E86" s="47">
        <f>IF($B86="","",SUMIFS(Grids!$EE$157:$GQ$216,Grids!$C$157:$BO$216,"&gt;="&amp;$B86*1000000000,Grids!$C$157:$BO$216,"&lt;"&amp;($B86+1)*1000000000))</f>
        <v/>
      </c>
      <c r="F86" s="48">
        <f>IF($B86="","",SUM($C$26:$C86))</f>
        <v/>
      </c>
      <c r="G86" s="48">
        <f>IF($B86="","",SUM($D$26:$D86))</f>
        <v/>
      </c>
      <c r="H86" s="48">
        <f>IF($B86="","",SUM($E$26:$E86))</f>
        <v/>
      </c>
    </row>
    <row r="87">
      <c r="B87" s="46">
        <f>IF(DATE(Summary!$C$12,1,1)+61&gt;DATE(Summary!$C$12,12,31),"",DATE(Summary!$C$12,1,1)+61)</f>
        <v/>
      </c>
      <c r="C87" s="47">
        <f>IF($B87="","",SUMIFS(Grids!$EE$9:$GQ$108,Grids!$C$9:$BO$108,"&gt;="&amp;$B87*1000000000,Grids!$C$9:$BO$108,"&lt;"&amp;($B87+1)*1000000000))</f>
        <v/>
      </c>
      <c r="D87" s="47">
        <f>IF($B87="","",SUMIFS(Grids!$EE$113:$GQ$152,Grids!$C$113:$BO$152,"&gt;="&amp;$B87*1000000000,Grids!$C$113:$BO$152,"&lt;"&amp;($B87+1)*1000000000))</f>
        <v/>
      </c>
      <c r="E87" s="47">
        <f>IF($B87="","",SUMIFS(Grids!$EE$157:$GQ$216,Grids!$C$157:$BO$216,"&gt;="&amp;$B87*1000000000,Grids!$C$157:$BO$216,"&lt;"&amp;($B87+1)*1000000000))</f>
        <v/>
      </c>
      <c r="F87" s="48">
        <f>IF($B87="","",SUM($C$26:$C87))</f>
        <v/>
      </c>
      <c r="G87" s="48">
        <f>IF($B87="","",SUM($D$26:$D87))</f>
        <v/>
      </c>
      <c r="H87" s="48">
        <f>IF($B87="","",SUM($E$26:$E87))</f>
        <v/>
      </c>
    </row>
    <row r="88">
      <c r="B88" s="46">
        <f>IF(DATE(Summary!$C$12,1,1)+62&gt;DATE(Summary!$C$12,12,31),"",DATE(Summary!$C$12,1,1)+62)</f>
        <v/>
      </c>
      <c r="C88" s="47">
        <f>IF($B88="","",SUMIFS(Grids!$EE$9:$GQ$108,Grids!$C$9:$BO$108,"&gt;="&amp;$B88*1000000000,Grids!$C$9:$BO$108,"&lt;"&amp;($B88+1)*1000000000))</f>
        <v/>
      </c>
      <c r="D88" s="47">
        <f>IF($B88="","",SUMIFS(Grids!$EE$113:$GQ$152,Grids!$C$113:$BO$152,"&gt;="&amp;$B88*1000000000,Grids!$C$113:$BO$152,"&lt;"&amp;($B88+1)*1000000000))</f>
        <v/>
      </c>
      <c r="E88" s="47">
        <f>IF($B88="","",SUMIFS(Grids!$EE$157:$GQ$216,Grids!$C$157:$BO$216,"&gt;="&amp;$B88*1000000000,Grids!$C$157:$BO$216,"&lt;"&amp;($B88+1)*1000000000))</f>
        <v/>
      </c>
      <c r="F88" s="48">
        <f>IF($B88="","",SUM($C$26:$C88))</f>
        <v/>
      </c>
      <c r="G88" s="48">
        <f>IF($B88="","",SUM($D$26:$D88))</f>
        <v/>
      </c>
      <c r="H88" s="48">
        <f>IF($B88="","",SUM($E$26:$E88))</f>
        <v/>
      </c>
    </row>
    <row r="89">
      <c r="B89" s="46">
        <f>IF(DATE(Summary!$C$12,1,1)+63&gt;DATE(Summary!$C$12,12,31),"",DATE(Summary!$C$12,1,1)+63)</f>
        <v/>
      </c>
      <c r="C89" s="47">
        <f>IF($B89="","",SUMIFS(Grids!$EE$9:$GQ$108,Grids!$C$9:$BO$108,"&gt;="&amp;$B89*1000000000,Grids!$C$9:$BO$108,"&lt;"&amp;($B89+1)*1000000000))</f>
        <v/>
      </c>
      <c r="D89" s="47">
        <f>IF($B89="","",SUMIFS(Grids!$EE$113:$GQ$152,Grids!$C$113:$BO$152,"&gt;="&amp;$B89*1000000000,Grids!$C$113:$BO$152,"&lt;"&amp;($B89+1)*1000000000))</f>
        <v/>
      </c>
      <c r="E89" s="47">
        <f>IF($B89="","",SUMIFS(Grids!$EE$157:$GQ$216,Grids!$C$157:$BO$216,"&gt;="&amp;$B89*1000000000,Grids!$C$157:$BO$216,"&lt;"&amp;($B89+1)*1000000000))</f>
        <v/>
      </c>
      <c r="F89" s="48">
        <f>IF($B89="","",SUM($C$26:$C89))</f>
        <v/>
      </c>
      <c r="G89" s="48">
        <f>IF($B89="","",SUM($D$26:$D89))</f>
        <v/>
      </c>
      <c r="H89" s="48">
        <f>IF($B89="","",SUM($E$26:$E89))</f>
        <v/>
      </c>
    </row>
    <row r="90">
      <c r="B90" s="46">
        <f>IF(DATE(Summary!$C$12,1,1)+64&gt;DATE(Summary!$C$12,12,31),"",DATE(Summary!$C$12,1,1)+64)</f>
        <v/>
      </c>
      <c r="C90" s="47">
        <f>IF($B90="","",SUMIFS(Grids!$EE$9:$GQ$108,Grids!$C$9:$BO$108,"&gt;="&amp;$B90*1000000000,Grids!$C$9:$BO$108,"&lt;"&amp;($B90+1)*1000000000))</f>
        <v/>
      </c>
      <c r="D90" s="47">
        <f>IF($B90="","",SUMIFS(Grids!$EE$113:$GQ$152,Grids!$C$113:$BO$152,"&gt;="&amp;$B90*1000000000,Grids!$C$113:$BO$152,"&lt;"&amp;($B90+1)*1000000000))</f>
        <v/>
      </c>
      <c r="E90" s="47">
        <f>IF($B90="","",SUMIFS(Grids!$EE$157:$GQ$216,Grids!$C$157:$BO$216,"&gt;="&amp;$B90*1000000000,Grids!$C$157:$BO$216,"&lt;"&amp;($B90+1)*1000000000))</f>
        <v/>
      </c>
      <c r="F90" s="48">
        <f>IF($B90="","",SUM($C$26:$C90))</f>
        <v/>
      </c>
      <c r="G90" s="48">
        <f>IF($B90="","",SUM($D$26:$D90))</f>
        <v/>
      </c>
      <c r="H90" s="48">
        <f>IF($B90="","",SUM($E$26:$E90))</f>
        <v/>
      </c>
    </row>
    <row r="91">
      <c r="B91" s="46">
        <f>IF(DATE(Summary!$C$12,1,1)+65&gt;DATE(Summary!$C$12,12,31),"",DATE(Summary!$C$12,1,1)+65)</f>
        <v/>
      </c>
      <c r="C91" s="47">
        <f>IF($B91="","",SUMIFS(Grids!$EE$9:$GQ$108,Grids!$C$9:$BO$108,"&gt;="&amp;$B91*1000000000,Grids!$C$9:$BO$108,"&lt;"&amp;($B91+1)*1000000000))</f>
        <v/>
      </c>
      <c r="D91" s="47">
        <f>IF($B91="","",SUMIFS(Grids!$EE$113:$GQ$152,Grids!$C$113:$BO$152,"&gt;="&amp;$B91*1000000000,Grids!$C$113:$BO$152,"&lt;"&amp;($B91+1)*1000000000))</f>
        <v/>
      </c>
      <c r="E91" s="47">
        <f>IF($B91="","",SUMIFS(Grids!$EE$157:$GQ$216,Grids!$C$157:$BO$216,"&gt;="&amp;$B91*1000000000,Grids!$C$157:$BO$216,"&lt;"&amp;($B91+1)*1000000000))</f>
        <v/>
      </c>
      <c r="F91" s="48">
        <f>IF($B91="","",SUM($C$26:$C91))</f>
        <v/>
      </c>
      <c r="G91" s="48">
        <f>IF($B91="","",SUM($D$26:$D91))</f>
        <v/>
      </c>
      <c r="H91" s="48">
        <f>IF($B91="","",SUM($E$26:$E91))</f>
        <v/>
      </c>
    </row>
    <row r="92">
      <c r="B92" s="46">
        <f>IF(DATE(Summary!$C$12,1,1)+66&gt;DATE(Summary!$C$12,12,31),"",DATE(Summary!$C$12,1,1)+66)</f>
        <v/>
      </c>
      <c r="C92" s="47">
        <f>IF($B92="","",SUMIFS(Grids!$EE$9:$GQ$108,Grids!$C$9:$BO$108,"&gt;="&amp;$B92*1000000000,Grids!$C$9:$BO$108,"&lt;"&amp;($B92+1)*1000000000))</f>
        <v/>
      </c>
      <c r="D92" s="47">
        <f>IF($B92="","",SUMIFS(Grids!$EE$113:$GQ$152,Grids!$C$113:$BO$152,"&gt;="&amp;$B92*1000000000,Grids!$C$113:$BO$152,"&lt;"&amp;($B92+1)*1000000000))</f>
        <v/>
      </c>
      <c r="E92" s="47">
        <f>IF($B92="","",SUMIFS(Grids!$EE$157:$GQ$216,Grids!$C$157:$BO$216,"&gt;="&amp;$B92*1000000000,Grids!$C$157:$BO$216,"&lt;"&amp;($B92+1)*1000000000))</f>
        <v/>
      </c>
      <c r="F92" s="48">
        <f>IF($B92="","",SUM($C$26:$C92))</f>
        <v/>
      </c>
      <c r="G92" s="48">
        <f>IF($B92="","",SUM($D$26:$D92))</f>
        <v/>
      </c>
      <c r="H92" s="48">
        <f>IF($B92="","",SUM($E$26:$E92))</f>
        <v/>
      </c>
    </row>
    <row r="93">
      <c r="B93" s="46">
        <f>IF(DATE(Summary!$C$12,1,1)+67&gt;DATE(Summary!$C$12,12,31),"",DATE(Summary!$C$12,1,1)+67)</f>
        <v/>
      </c>
      <c r="C93" s="47">
        <f>IF($B93="","",SUMIFS(Grids!$EE$9:$GQ$108,Grids!$C$9:$BO$108,"&gt;="&amp;$B93*1000000000,Grids!$C$9:$BO$108,"&lt;"&amp;($B93+1)*1000000000))</f>
        <v/>
      </c>
      <c r="D93" s="47">
        <f>IF($B93="","",SUMIFS(Grids!$EE$113:$GQ$152,Grids!$C$113:$BO$152,"&gt;="&amp;$B93*1000000000,Grids!$C$113:$BO$152,"&lt;"&amp;($B93+1)*1000000000))</f>
        <v/>
      </c>
      <c r="E93" s="47">
        <f>IF($B93="","",SUMIFS(Grids!$EE$157:$GQ$216,Grids!$C$157:$BO$216,"&gt;="&amp;$B93*1000000000,Grids!$C$157:$BO$216,"&lt;"&amp;($B93+1)*1000000000))</f>
        <v/>
      </c>
      <c r="F93" s="48">
        <f>IF($B93="","",SUM($C$26:$C93))</f>
        <v/>
      </c>
      <c r="G93" s="48">
        <f>IF($B93="","",SUM($D$26:$D93))</f>
        <v/>
      </c>
      <c r="H93" s="48">
        <f>IF($B93="","",SUM($E$26:$E93))</f>
        <v/>
      </c>
    </row>
    <row r="94">
      <c r="B94" s="46">
        <f>IF(DATE(Summary!$C$12,1,1)+68&gt;DATE(Summary!$C$12,12,31),"",DATE(Summary!$C$12,1,1)+68)</f>
        <v/>
      </c>
      <c r="C94" s="47">
        <f>IF($B94="","",SUMIFS(Grids!$EE$9:$GQ$108,Grids!$C$9:$BO$108,"&gt;="&amp;$B94*1000000000,Grids!$C$9:$BO$108,"&lt;"&amp;($B94+1)*1000000000))</f>
        <v/>
      </c>
      <c r="D94" s="47">
        <f>IF($B94="","",SUMIFS(Grids!$EE$113:$GQ$152,Grids!$C$113:$BO$152,"&gt;="&amp;$B94*1000000000,Grids!$C$113:$BO$152,"&lt;"&amp;($B94+1)*1000000000))</f>
        <v/>
      </c>
      <c r="E94" s="47">
        <f>IF($B94="","",SUMIFS(Grids!$EE$157:$GQ$216,Grids!$C$157:$BO$216,"&gt;="&amp;$B94*1000000000,Grids!$C$157:$BO$216,"&lt;"&amp;($B94+1)*1000000000))</f>
        <v/>
      </c>
      <c r="F94" s="48">
        <f>IF($B94="","",SUM($C$26:$C94))</f>
        <v/>
      </c>
      <c r="G94" s="48">
        <f>IF($B94="","",SUM($D$26:$D94))</f>
        <v/>
      </c>
      <c r="H94" s="48">
        <f>IF($B94="","",SUM($E$26:$E94))</f>
        <v/>
      </c>
    </row>
    <row r="95">
      <c r="B95" s="46">
        <f>IF(DATE(Summary!$C$12,1,1)+69&gt;DATE(Summary!$C$12,12,31),"",DATE(Summary!$C$12,1,1)+69)</f>
        <v/>
      </c>
      <c r="C95" s="47">
        <f>IF($B95="","",SUMIFS(Grids!$EE$9:$GQ$108,Grids!$C$9:$BO$108,"&gt;="&amp;$B95*1000000000,Grids!$C$9:$BO$108,"&lt;"&amp;($B95+1)*1000000000))</f>
        <v/>
      </c>
      <c r="D95" s="47">
        <f>IF($B95="","",SUMIFS(Grids!$EE$113:$GQ$152,Grids!$C$113:$BO$152,"&gt;="&amp;$B95*1000000000,Grids!$C$113:$BO$152,"&lt;"&amp;($B95+1)*1000000000))</f>
        <v/>
      </c>
      <c r="E95" s="47">
        <f>IF($B95="","",SUMIFS(Grids!$EE$157:$GQ$216,Grids!$C$157:$BO$216,"&gt;="&amp;$B95*1000000000,Grids!$C$157:$BO$216,"&lt;"&amp;($B95+1)*1000000000))</f>
        <v/>
      </c>
      <c r="F95" s="48">
        <f>IF($B95="","",SUM($C$26:$C95))</f>
        <v/>
      </c>
      <c r="G95" s="48">
        <f>IF($B95="","",SUM($D$26:$D95))</f>
        <v/>
      </c>
      <c r="H95" s="48">
        <f>IF($B95="","",SUM($E$26:$E95))</f>
        <v/>
      </c>
    </row>
    <row r="96">
      <c r="B96" s="46">
        <f>IF(DATE(Summary!$C$12,1,1)+70&gt;DATE(Summary!$C$12,12,31),"",DATE(Summary!$C$12,1,1)+70)</f>
        <v/>
      </c>
      <c r="C96" s="47">
        <f>IF($B96="","",SUMIFS(Grids!$EE$9:$GQ$108,Grids!$C$9:$BO$108,"&gt;="&amp;$B96*1000000000,Grids!$C$9:$BO$108,"&lt;"&amp;($B96+1)*1000000000))</f>
        <v/>
      </c>
      <c r="D96" s="47">
        <f>IF($B96="","",SUMIFS(Grids!$EE$113:$GQ$152,Grids!$C$113:$BO$152,"&gt;="&amp;$B96*1000000000,Grids!$C$113:$BO$152,"&lt;"&amp;($B96+1)*1000000000))</f>
        <v/>
      </c>
      <c r="E96" s="47">
        <f>IF($B96="","",SUMIFS(Grids!$EE$157:$GQ$216,Grids!$C$157:$BO$216,"&gt;="&amp;$B96*1000000000,Grids!$C$157:$BO$216,"&lt;"&amp;($B96+1)*1000000000))</f>
        <v/>
      </c>
      <c r="F96" s="48">
        <f>IF($B96="","",SUM($C$26:$C96))</f>
        <v/>
      </c>
      <c r="G96" s="48">
        <f>IF($B96="","",SUM($D$26:$D96))</f>
        <v/>
      </c>
      <c r="H96" s="48">
        <f>IF($B96="","",SUM($E$26:$E96))</f>
        <v/>
      </c>
    </row>
    <row r="97">
      <c r="B97" s="46">
        <f>IF(DATE(Summary!$C$12,1,1)+71&gt;DATE(Summary!$C$12,12,31),"",DATE(Summary!$C$12,1,1)+71)</f>
        <v/>
      </c>
      <c r="C97" s="47">
        <f>IF($B97="","",SUMIFS(Grids!$EE$9:$GQ$108,Grids!$C$9:$BO$108,"&gt;="&amp;$B97*1000000000,Grids!$C$9:$BO$108,"&lt;"&amp;($B97+1)*1000000000))</f>
        <v/>
      </c>
      <c r="D97" s="47">
        <f>IF($B97="","",SUMIFS(Grids!$EE$113:$GQ$152,Grids!$C$113:$BO$152,"&gt;="&amp;$B97*1000000000,Grids!$C$113:$BO$152,"&lt;"&amp;($B97+1)*1000000000))</f>
        <v/>
      </c>
      <c r="E97" s="47">
        <f>IF($B97="","",SUMIFS(Grids!$EE$157:$GQ$216,Grids!$C$157:$BO$216,"&gt;="&amp;$B97*1000000000,Grids!$C$157:$BO$216,"&lt;"&amp;($B97+1)*1000000000))</f>
        <v/>
      </c>
      <c r="F97" s="48">
        <f>IF($B97="","",SUM($C$26:$C97))</f>
        <v/>
      </c>
      <c r="G97" s="48">
        <f>IF($B97="","",SUM($D$26:$D97))</f>
        <v/>
      </c>
      <c r="H97" s="48">
        <f>IF($B97="","",SUM($E$26:$E97))</f>
        <v/>
      </c>
    </row>
    <row r="98">
      <c r="B98" s="46">
        <f>IF(DATE(Summary!$C$12,1,1)+72&gt;DATE(Summary!$C$12,12,31),"",DATE(Summary!$C$12,1,1)+72)</f>
        <v/>
      </c>
      <c r="C98" s="47">
        <f>IF($B98="","",SUMIFS(Grids!$EE$9:$GQ$108,Grids!$C$9:$BO$108,"&gt;="&amp;$B98*1000000000,Grids!$C$9:$BO$108,"&lt;"&amp;($B98+1)*1000000000))</f>
        <v/>
      </c>
      <c r="D98" s="47">
        <f>IF($B98="","",SUMIFS(Grids!$EE$113:$GQ$152,Grids!$C$113:$BO$152,"&gt;="&amp;$B98*1000000000,Grids!$C$113:$BO$152,"&lt;"&amp;($B98+1)*1000000000))</f>
        <v/>
      </c>
      <c r="E98" s="47">
        <f>IF($B98="","",SUMIFS(Grids!$EE$157:$GQ$216,Grids!$C$157:$BO$216,"&gt;="&amp;$B98*1000000000,Grids!$C$157:$BO$216,"&lt;"&amp;($B98+1)*1000000000))</f>
        <v/>
      </c>
      <c r="F98" s="48">
        <f>IF($B98="","",SUM($C$26:$C98))</f>
        <v/>
      </c>
      <c r="G98" s="48">
        <f>IF($B98="","",SUM($D$26:$D98))</f>
        <v/>
      </c>
      <c r="H98" s="48">
        <f>IF($B98="","",SUM($E$26:$E98))</f>
        <v/>
      </c>
    </row>
    <row r="99">
      <c r="B99" s="46">
        <f>IF(DATE(Summary!$C$12,1,1)+73&gt;DATE(Summary!$C$12,12,31),"",DATE(Summary!$C$12,1,1)+73)</f>
        <v/>
      </c>
      <c r="C99" s="47">
        <f>IF($B99="","",SUMIFS(Grids!$EE$9:$GQ$108,Grids!$C$9:$BO$108,"&gt;="&amp;$B99*1000000000,Grids!$C$9:$BO$108,"&lt;"&amp;($B99+1)*1000000000))</f>
        <v/>
      </c>
      <c r="D99" s="47">
        <f>IF($B99="","",SUMIFS(Grids!$EE$113:$GQ$152,Grids!$C$113:$BO$152,"&gt;="&amp;$B99*1000000000,Grids!$C$113:$BO$152,"&lt;"&amp;($B99+1)*1000000000))</f>
        <v/>
      </c>
      <c r="E99" s="47">
        <f>IF($B99="","",SUMIFS(Grids!$EE$157:$GQ$216,Grids!$C$157:$BO$216,"&gt;="&amp;$B99*1000000000,Grids!$C$157:$BO$216,"&lt;"&amp;($B99+1)*1000000000))</f>
        <v/>
      </c>
      <c r="F99" s="48">
        <f>IF($B99="","",SUM($C$26:$C99))</f>
        <v/>
      </c>
      <c r="G99" s="48">
        <f>IF($B99="","",SUM($D$26:$D99))</f>
        <v/>
      </c>
      <c r="H99" s="48">
        <f>IF($B99="","",SUM($E$26:$E99))</f>
        <v/>
      </c>
    </row>
    <row r="100">
      <c r="B100" s="46">
        <f>IF(DATE(Summary!$C$12,1,1)+74&gt;DATE(Summary!$C$12,12,31),"",DATE(Summary!$C$12,1,1)+74)</f>
        <v/>
      </c>
      <c r="C100" s="47">
        <f>IF($B100="","",SUMIFS(Grids!$EE$9:$GQ$108,Grids!$C$9:$BO$108,"&gt;="&amp;$B100*1000000000,Grids!$C$9:$BO$108,"&lt;"&amp;($B100+1)*1000000000))</f>
        <v/>
      </c>
      <c r="D100" s="47">
        <f>IF($B100="","",SUMIFS(Grids!$EE$113:$GQ$152,Grids!$C$113:$BO$152,"&gt;="&amp;$B100*1000000000,Grids!$C$113:$BO$152,"&lt;"&amp;($B100+1)*1000000000))</f>
        <v/>
      </c>
      <c r="E100" s="47">
        <f>IF($B100="","",SUMIFS(Grids!$EE$157:$GQ$216,Grids!$C$157:$BO$216,"&gt;="&amp;$B100*1000000000,Grids!$C$157:$BO$216,"&lt;"&amp;($B100+1)*1000000000))</f>
        <v/>
      </c>
      <c r="F100" s="48">
        <f>IF($B100="","",SUM($C$26:$C100))</f>
        <v/>
      </c>
      <c r="G100" s="48">
        <f>IF($B100="","",SUM($D$26:$D100))</f>
        <v/>
      </c>
      <c r="H100" s="48">
        <f>IF($B100="","",SUM($E$26:$E100))</f>
        <v/>
      </c>
    </row>
    <row r="101">
      <c r="B101" s="46">
        <f>IF(DATE(Summary!$C$12,1,1)+75&gt;DATE(Summary!$C$12,12,31),"",DATE(Summary!$C$12,1,1)+75)</f>
        <v/>
      </c>
      <c r="C101" s="47">
        <f>IF($B101="","",SUMIFS(Grids!$EE$9:$GQ$108,Grids!$C$9:$BO$108,"&gt;="&amp;$B101*1000000000,Grids!$C$9:$BO$108,"&lt;"&amp;($B101+1)*1000000000))</f>
        <v/>
      </c>
      <c r="D101" s="47">
        <f>IF($B101="","",SUMIFS(Grids!$EE$113:$GQ$152,Grids!$C$113:$BO$152,"&gt;="&amp;$B101*1000000000,Grids!$C$113:$BO$152,"&lt;"&amp;($B101+1)*1000000000))</f>
        <v/>
      </c>
      <c r="E101" s="47">
        <f>IF($B101="","",SUMIFS(Grids!$EE$157:$GQ$216,Grids!$C$157:$BO$216,"&gt;="&amp;$B101*1000000000,Grids!$C$157:$BO$216,"&lt;"&amp;($B101+1)*1000000000))</f>
        <v/>
      </c>
      <c r="F101" s="48">
        <f>IF($B101="","",SUM($C$26:$C101))</f>
        <v/>
      </c>
      <c r="G101" s="48">
        <f>IF($B101="","",SUM($D$26:$D101))</f>
        <v/>
      </c>
      <c r="H101" s="48">
        <f>IF($B101="","",SUM($E$26:$E101))</f>
        <v/>
      </c>
    </row>
    <row r="102">
      <c r="B102" s="46">
        <f>IF(DATE(Summary!$C$12,1,1)+76&gt;DATE(Summary!$C$12,12,31),"",DATE(Summary!$C$12,1,1)+76)</f>
        <v/>
      </c>
      <c r="C102" s="47">
        <f>IF($B102="","",SUMIFS(Grids!$EE$9:$GQ$108,Grids!$C$9:$BO$108,"&gt;="&amp;$B102*1000000000,Grids!$C$9:$BO$108,"&lt;"&amp;($B102+1)*1000000000))</f>
        <v/>
      </c>
      <c r="D102" s="47">
        <f>IF($B102="","",SUMIFS(Grids!$EE$113:$GQ$152,Grids!$C$113:$BO$152,"&gt;="&amp;$B102*1000000000,Grids!$C$113:$BO$152,"&lt;"&amp;($B102+1)*1000000000))</f>
        <v/>
      </c>
      <c r="E102" s="47">
        <f>IF($B102="","",SUMIFS(Grids!$EE$157:$GQ$216,Grids!$C$157:$BO$216,"&gt;="&amp;$B102*1000000000,Grids!$C$157:$BO$216,"&lt;"&amp;($B102+1)*1000000000))</f>
        <v/>
      </c>
      <c r="F102" s="48">
        <f>IF($B102="","",SUM($C$26:$C102))</f>
        <v/>
      </c>
      <c r="G102" s="48">
        <f>IF($B102="","",SUM($D$26:$D102))</f>
        <v/>
      </c>
      <c r="H102" s="48">
        <f>IF($B102="","",SUM($E$26:$E102))</f>
        <v/>
      </c>
    </row>
    <row r="103">
      <c r="B103" s="46">
        <f>IF(DATE(Summary!$C$12,1,1)+77&gt;DATE(Summary!$C$12,12,31),"",DATE(Summary!$C$12,1,1)+77)</f>
        <v/>
      </c>
      <c r="C103" s="47">
        <f>IF($B103="","",SUMIFS(Grids!$EE$9:$GQ$108,Grids!$C$9:$BO$108,"&gt;="&amp;$B103*1000000000,Grids!$C$9:$BO$108,"&lt;"&amp;($B103+1)*1000000000))</f>
        <v/>
      </c>
      <c r="D103" s="47">
        <f>IF($B103="","",SUMIFS(Grids!$EE$113:$GQ$152,Grids!$C$113:$BO$152,"&gt;="&amp;$B103*1000000000,Grids!$C$113:$BO$152,"&lt;"&amp;($B103+1)*1000000000))</f>
        <v/>
      </c>
      <c r="E103" s="47">
        <f>IF($B103="","",SUMIFS(Grids!$EE$157:$GQ$216,Grids!$C$157:$BO$216,"&gt;="&amp;$B103*1000000000,Grids!$C$157:$BO$216,"&lt;"&amp;($B103+1)*1000000000))</f>
        <v/>
      </c>
      <c r="F103" s="48">
        <f>IF($B103="","",SUM($C$26:$C103))</f>
        <v/>
      </c>
      <c r="G103" s="48">
        <f>IF($B103="","",SUM($D$26:$D103))</f>
        <v/>
      </c>
      <c r="H103" s="48">
        <f>IF($B103="","",SUM($E$26:$E103))</f>
        <v/>
      </c>
    </row>
    <row r="104">
      <c r="B104" s="46">
        <f>IF(DATE(Summary!$C$12,1,1)+78&gt;DATE(Summary!$C$12,12,31),"",DATE(Summary!$C$12,1,1)+78)</f>
        <v/>
      </c>
      <c r="C104" s="47">
        <f>IF($B104="","",SUMIFS(Grids!$EE$9:$GQ$108,Grids!$C$9:$BO$108,"&gt;="&amp;$B104*1000000000,Grids!$C$9:$BO$108,"&lt;"&amp;($B104+1)*1000000000))</f>
        <v/>
      </c>
      <c r="D104" s="47">
        <f>IF($B104="","",SUMIFS(Grids!$EE$113:$GQ$152,Grids!$C$113:$BO$152,"&gt;="&amp;$B104*1000000000,Grids!$C$113:$BO$152,"&lt;"&amp;($B104+1)*1000000000))</f>
        <v/>
      </c>
      <c r="E104" s="47">
        <f>IF($B104="","",SUMIFS(Grids!$EE$157:$GQ$216,Grids!$C$157:$BO$216,"&gt;="&amp;$B104*1000000000,Grids!$C$157:$BO$216,"&lt;"&amp;($B104+1)*1000000000))</f>
        <v/>
      </c>
      <c r="F104" s="48">
        <f>IF($B104="","",SUM($C$26:$C104))</f>
        <v/>
      </c>
      <c r="G104" s="48">
        <f>IF($B104="","",SUM($D$26:$D104))</f>
        <v/>
      </c>
      <c r="H104" s="48">
        <f>IF($B104="","",SUM($E$26:$E104))</f>
        <v/>
      </c>
    </row>
    <row r="105">
      <c r="B105" s="46">
        <f>IF(DATE(Summary!$C$12,1,1)+79&gt;DATE(Summary!$C$12,12,31),"",DATE(Summary!$C$12,1,1)+79)</f>
        <v/>
      </c>
      <c r="C105" s="47">
        <f>IF($B105="","",SUMIFS(Grids!$EE$9:$GQ$108,Grids!$C$9:$BO$108,"&gt;="&amp;$B105*1000000000,Grids!$C$9:$BO$108,"&lt;"&amp;($B105+1)*1000000000))</f>
        <v/>
      </c>
      <c r="D105" s="47">
        <f>IF($B105="","",SUMIFS(Grids!$EE$113:$GQ$152,Grids!$C$113:$BO$152,"&gt;="&amp;$B105*1000000000,Grids!$C$113:$BO$152,"&lt;"&amp;($B105+1)*1000000000))</f>
        <v/>
      </c>
      <c r="E105" s="47">
        <f>IF($B105="","",SUMIFS(Grids!$EE$157:$GQ$216,Grids!$C$157:$BO$216,"&gt;="&amp;$B105*1000000000,Grids!$C$157:$BO$216,"&lt;"&amp;($B105+1)*1000000000))</f>
        <v/>
      </c>
      <c r="F105" s="48">
        <f>IF($B105="","",SUM($C$26:$C105))</f>
        <v/>
      </c>
      <c r="G105" s="48">
        <f>IF($B105="","",SUM($D$26:$D105))</f>
        <v/>
      </c>
      <c r="H105" s="48">
        <f>IF($B105="","",SUM($E$26:$E105))</f>
        <v/>
      </c>
    </row>
    <row r="106">
      <c r="B106" s="46">
        <f>IF(DATE(Summary!$C$12,1,1)+80&gt;DATE(Summary!$C$12,12,31),"",DATE(Summary!$C$12,1,1)+80)</f>
        <v/>
      </c>
      <c r="C106" s="47">
        <f>IF($B106="","",SUMIFS(Grids!$EE$9:$GQ$108,Grids!$C$9:$BO$108,"&gt;="&amp;$B106*1000000000,Grids!$C$9:$BO$108,"&lt;"&amp;($B106+1)*1000000000))</f>
        <v/>
      </c>
      <c r="D106" s="47">
        <f>IF($B106="","",SUMIFS(Grids!$EE$113:$GQ$152,Grids!$C$113:$BO$152,"&gt;="&amp;$B106*1000000000,Grids!$C$113:$BO$152,"&lt;"&amp;($B106+1)*1000000000))</f>
        <v/>
      </c>
      <c r="E106" s="47">
        <f>IF($B106="","",SUMIFS(Grids!$EE$157:$GQ$216,Grids!$C$157:$BO$216,"&gt;="&amp;$B106*1000000000,Grids!$C$157:$BO$216,"&lt;"&amp;($B106+1)*1000000000))</f>
        <v/>
      </c>
      <c r="F106" s="48">
        <f>IF($B106="","",SUM($C$26:$C106))</f>
        <v/>
      </c>
      <c r="G106" s="48">
        <f>IF($B106="","",SUM($D$26:$D106))</f>
        <v/>
      </c>
      <c r="H106" s="48">
        <f>IF($B106="","",SUM($E$26:$E106))</f>
        <v/>
      </c>
    </row>
    <row r="107">
      <c r="B107" s="46">
        <f>IF(DATE(Summary!$C$12,1,1)+81&gt;DATE(Summary!$C$12,12,31),"",DATE(Summary!$C$12,1,1)+81)</f>
        <v/>
      </c>
      <c r="C107" s="47">
        <f>IF($B107="","",SUMIFS(Grids!$EE$9:$GQ$108,Grids!$C$9:$BO$108,"&gt;="&amp;$B107*1000000000,Grids!$C$9:$BO$108,"&lt;"&amp;($B107+1)*1000000000))</f>
        <v/>
      </c>
      <c r="D107" s="47">
        <f>IF($B107="","",SUMIFS(Grids!$EE$113:$GQ$152,Grids!$C$113:$BO$152,"&gt;="&amp;$B107*1000000000,Grids!$C$113:$BO$152,"&lt;"&amp;($B107+1)*1000000000))</f>
        <v/>
      </c>
      <c r="E107" s="47">
        <f>IF($B107="","",SUMIFS(Grids!$EE$157:$GQ$216,Grids!$C$157:$BO$216,"&gt;="&amp;$B107*1000000000,Grids!$C$157:$BO$216,"&lt;"&amp;($B107+1)*1000000000))</f>
        <v/>
      </c>
      <c r="F107" s="48">
        <f>IF($B107="","",SUM($C$26:$C107))</f>
        <v/>
      </c>
      <c r="G107" s="48">
        <f>IF($B107="","",SUM($D$26:$D107))</f>
        <v/>
      </c>
      <c r="H107" s="48">
        <f>IF($B107="","",SUM($E$26:$E107))</f>
        <v/>
      </c>
    </row>
    <row r="108">
      <c r="B108" s="46">
        <f>IF(DATE(Summary!$C$12,1,1)+82&gt;DATE(Summary!$C$12,12,31),"",DATE(Summary!$C$12,1,1)+82)</f>
        <v/>
      </c>
      <c r="C108" s="47">
        <f>IF($B108="","",SUMIFS(Grids!$EE$9:$GQ$108,Grids!$C$9:$BO$108,"&gt;="&amp;$B108*1000000000,Grids!$C$9:$BO$108,"&lt;"&amp;($B108+1)*1000000000))</f>
        <v/>
      </c>
      <c r="D108" s="47">
        <f>IF($B108="","",SUMIFS(Grids!$EE$113:$GQ$152,Grids!$C$113:$BO$152,"&gt;="&amp;$B108*1000000000,Grids!$C$113:$BO$152,"&lt;"&amp;($B108+1)*1000000000))</f>
        <v/>
      </c>
      <c r="E108" s="47">
        <f>IF($B108="","",SUMIFS(Grids!$EE$157:$GQ$216,Grids!$C$157:$BO$216,"&gt;="&amp;$B108*1000000000,Grids!$C$157:$BO$216,"&lt;"&amp;($B108+1)*1000000000))</f>
        <v/>
      </c>
      <c r="F108" s="48">
        <f>IF($B108="","",SUM($C$26:$C108))</f>
        <v/>
      </c>
      <c r="G108" s="48">
        <f>IF($B108="","",SUM($D$26:$D108))</f>
        <v/>
      </c>
      <c r="H108" s="48">
        <f>IF($B108="","",SUM($E$26:$E108))</f>
        <v/>
      </c>
    </row>
    <row r="109">
      <c r="B109" s="46">
        <f>IF(DATE(Summary!$C$12,1,1)+83&gt;DATE(Summary!$C$12,12,31),"",DATE(Summary!$C$12,1,1)+83)</f>
        <v/>
      </c>
      <c r="C109" s="47">
        <f>IF($B109="","",SUMIFS(Grids!$EE$9:$GQ$108,Grids!$C$9:$BO$108,"&gt;="&amp;$B109*1000000000,Grids!$C$9:$BO$108,"&lt;"&amp;($B109+1)*1000000000))</f>
        <v/>
      </c>
      <c r="D109" s="47">
        <f>IF($B109="","",SUMIFS(Grids!$EE$113:$GQ$152,Grids!$C$113:$BO$152,"&gt;="&amp;$B109*1000000000,Grids!$C$113:$BO$152,"&lt;"&amp;($B109+1)*1000000000))</f>
        <v/>
      </c>
      <c r="E109" s="47">
        <f>IF($B109="","",SUMIFS(Grids!$EE$157:$GQ$216,Grids!$C$157:$BO$216,"&gt;="&amp;$B109*1000000000,Grids!$C$157:$BO$216,"&lt;"&amp;($B109+1)*1000000000))</f>
        <v/>
      </c>
      <c r="F109" s="48">
        <f>IF($B109="","",SUM($C$26:$C109))</f>
        <v/>
      </c>
      <c r="G109" s="48">
        <f>IF($B109="","",SUM($D$26:$D109))</f>
        <v/>
      </c>
      <c r="H109" s="48">
        <f>IF($B109="","",SUM($E$26:$E109))</f>
        <v/>
      </c>
    </row>
    <row r="110">
      <c r="B110" s="46">
        <f>IF(DATE(Summary!$C$12,1,1)+84&gt;DATE(Summary!$C$12,12,31),"",DATE(Summary!$C$12,1,1)+84)</f>
        <v/>
      </c>
      <c r="C110" s="47">
        <f>IF($B110="","",SUMIFS(Grids!$EE$9:$GQ$108,Grids!$C$9:$BO$108,"&gt;="&amp;$B110*1000000000,Grids!$C$9:$BO$108,"&lt;"&amp;($B110+1)*1000000000))</f>
        <v/>
      </c>
      <c r="D110" s="47">
        <f>IF($B110="","",SUMIFS(Grids!$EE$113:$GQ$152,Grids!$C$113:$BO$152,"&gt;="&amp;$B110*1000000000,Grids!$C$113:$BO$152,"&lt;"&amp;($B110+1)*1000000000))</f>
        <v/>
      </c>
      <c r="E110" s="47">
        <f>IF($B110="","",SUMIFS(Grids!$EE$157:$GQ$216,Grids!$C$157:$BO$216,"&gt;="&amp;$B110*1000000000,Grids!$C$157:$BO$216,"&lt;"&amp;($B110+1)*1000000000))</f>
        <v/>
      </c>
      <c r="F110" s="48">
        <f>IF($B110="","",SUM($C$26:$C110))</f>
        <v/>
      </c>
      <c r="G110" s="48">
        <f>IF($B110="","",SUM($D$26:$D110))</f>
        <v/>
      </c>
      <c r="H110" s="48">
        <f>IF($B110="","",SUM($E$26:$E110))</f>
        <v/>
      </c>
    </row>
    <row r="111">
      <c r="B111" s="46">
        <f>IF(DATE(Summary!$C$12,1,1)+85&gt;DATE(Summary!$C$12,12,31),"",DATE(Summary!$C$12,1,1)+85)</f>
        <v/>
      </c>
      <c r="C111" s="47">
        <f>IF($B111="","",SUMIFS(Grids!$EE$9:$GQ$108,Grids!$C$9:$BO$108,"&gt;="&amp;$B111*1000000000,Grids!$C$9:$BO$108,"&lt;"&amp;($B111+1)*1000000000))</f>
        <v/>
      </c>
      <c r="D111" s="47">
        <f>IF($B111="","",SUMIFS(Grids!$EE$113:$GQ$152,Grids!$C$113:$BO$152,"&gt;="&amp;$B111*1000000000,Grids!$C$113:$BO$152,"&lt;"&amp;($B111+1)*1000000000))</f>
        <v/>
      </c>
      <c r="E111" s="47">
        <f>IF($B111="","",SUMIFS(Grids!$EE$157:$GQ$216,Grids!$C$157:$BO$216,"&gt;="&amp;$B111*1000000000,Grids!$C$157:$BO$216,"&lt;"&amp;($B111+1)*1000000000))</f>
        <v/>
      </c>
      <c r="F111" s="48">
        <f>IF($B111="","",SUM($C$26:$C111))</f>
        <v/>
      </c>
      <c r="G111" s="48">
        <f>IF($B111="","",SUM($D$26:$D111))</f>
        <v/>
      </c>
      <c r="H111" s="48">
        <f>IF($B111="","",SUM($E$26:$E111))</f>
        <v/>
      </c>
    </row>
    <row r="112">
      <c r="B112" s="46">
        <f>IF(DATE(Summary!$C$12,1,1)+86&gt;DATE(Summary!$C$12,12,31),"",DATE(Summary!$C$12,1,1)+86)</f>
        <v/>
      </c>
      <c r="C112" s="47">
        <f>IF($B112="","",SUMIFS(Grids!$EE$9:$GQ$108,Grids!$C$9:$BO$108,"&gt;="&amp;$B112*1000000000,Grids!$C$9:$BO$108,"&lt;"&amp;($B112+1)*1000000000))</f>
        <v/>
      </c>
      <c r="D112" s="47">
        <f>IF($B112="","",SUMIFS(Grids!$EE$113:$GQ$152,Grids!$C$113:$BO$152,"&gt;="&amp;$B112*1000000000,Grids!$C$113:$BO$152,"&lt;"&amp;($B112+1)*1000000000))</f>
        <v/>
      </c>
      <c r="E112" s="47">
        <f>IF($B112="","",SUMIFS(Grids!$EE$157:$GQ$216,Grids!$C$157:$BO$216,"&gt;="&amp;$B112*1000000000,Grids!$C$157:$BO$216,"&lt;"&amp;($B112+1)*1000000000))</f>
        <v/>
      </c>
      <c r="F112" s="48">
        <f>IF($B112="","",SUM($C$26:$C112))</f>
        <v/>
      </c>
      <c r="G112" s="48">
        <f>IF($B112="","",SUM($D$26:$D112))</f>
        <v/>
      </c>
      <c r="H112" s="48">
        <f>IF($B112="","",SUM($E$26:$E112))</f>
        <v/>
      </c>
    </row>
    <row r="113">
      <c r="B113" s="46">
        <f>IF(DATE(Summary!$C$12,1,1)+87&gt;DATE(Summary!$C$12,12,31),"",DATE(Summary!$C$12,1,1)+87)</f>
        <v/>
      </c>
      <c r="C113" s="47">
        <f>IF($B113="","",SUMIFS(Grids!$EE$9:$GQ$108,Grids!$C$9:$BO$108,"&gt;="&amp;$B113*1000000000,Grids!$C$9:$BO$108,"&lt;"&amp;($B113+1)*1000000000))</f>
        <v/>
      </c>
      <c r="D113" s="47">
        <f>IF($B113="","",SUMIFS(Grids!$EE$113:$GQ$152,Grids!$C$113:$BO$152,"&gt;="&amp;$B113*1000000000,Grids!$C$113:$BO$152,"&lt;"&amp;($B113+1)*1000000000))</f>
        <v/>
      </c>
      <c r="E113" s="47">
        <f>IF($B113="","",SUMIFS(Grids!$EE$157:$GQ$216,Grids!$C$157:$BO$216,"&gt;="&amp;$B113*1000000000,Grids!$C$157:$BO$216,"&lt;"&amp;($B113+1)*1000000000))</f>
        <v/>
      </c>
      <c r="F113" s="48">
        <f>IF($B113="","",SUM($C$26:$C113))</f>
        <v/>
      </c>
      <c r="G113" s="48">
        <f>IF($B113="","",SUM($D$26:$D113))</f>
        <v/>
      </c>
      <c r="H113" s="48">
        <f>IF($B113="","",SUM($E$26:$E113))</f>
        <v/>
      </c>
    </row>
    <row r="114">
      <c r="B114" s="46">
        <f>IF(DATE(Summary!$C$12,1,1)+88&gt;DATE(Summary!$C$12,12,31),"",DATE(Summary!$C$12,1,1)+88)</f>
        <v/>
      </c>
      <c r="C114" s="47">
        <f>IF($B114="","",SUMIFS(Grids!$EE$9:$GQ$108,Grids!$C$9:$BO$108,"&gt;="&amp;$B114*1000000000,Grids!$C$9:$BO$108,"&lt;"&amp;($B114+1)*1000000000))</f>
        <v/>
      </c>
      <c r="D114" s="47">
        <f>IF($B114="","",SUMIFS(Grids!$EE$113:$GQ$152,Grids!$C$113:$BO$152,"&gt;="&amp;$B114*1000000000,Grids!$C$113:$BO$152,"&lt;"&amp;($B114+1)*1000000000))</f>
        <v/>
      </c>
      <c r="E114" s="47">
        <f>IF($B114="","",SUMIFS(Grids!$EE$157:$GQ$216,Grids!$C$157:$BO$216,"&gt;="&amp;$B114*1000000000,Grids!$C$157:$BO$216,"&lt;"&amp;($B114+1)*1000000000))</f>
        <v/>
      </c>
      <c r="F114" s="48">
        <f>IF($B114="","",SUM($C$26:$C114))</f>
        <v/>
      </c>
      <c r="G114" s="48">
        <f>IF($B114="","",SUM($D$26:$D114))</f>
        <v/>
      </c>
      <c r="H114" s="48">
        <f>IF($B114="","",SUM($E$26:$E114))</f>
        <v/>
      </c>
    </row>
    <row r="115">
      <c r="B115" s="46">
        <f>IF(DATE(Summary!$C$12,1,1)+89&gt;DATE(Summary!$C$12,12,31),"",DATE(Summary!$C$12,1,1)+89)</f>
        <v/>
      </c>
      <c r="C115" s="47">
        <f>IF($B115="","",SUMIFS(Grids!$EE$9:$GQ$108,Grids!$C$9:$BO$108,"&gt;="&amp;$B115*1000000000,Grids!$C$9:$BO$108,"&lt;"&amp;($B115+1)*1000000000))</f>
        <v/>
      </c>
      <c r="D115" s="47">
        <f>IF($B115="","",SUMIFS(Grids!$EE$113:$GQ$152,Grids!$C$113:$BO$152,"&gt;="&amp;$B115*1000000000,Grids!$C$113:$BO$152,"&lt;"&amp;($B115+1)*1000000000))</f>
        <v/>
      </c>
      <c r="E115" s="47">
        <f>IF($B115="","",SUMIFS(Grids!$EE$157:$GQ$216,Grids!$C$157:$BO$216,"&gt;="&amp;$B115*1000000000,Grids!$C$157:$BO$216,"&lt;"&amp;($B115+1)*1000000000))</f>
        <v/>
      </c>
      <c r="F115" s="48">
        <f>IF($B115="","",SUM($C$26:$C115))</f>
        <v/>
      </c>
      <c r="G115" s="48">
        <f>IF($B115="","",SUM($D$26:$D115))</f>
        <v/>
      </c>
      <c r="H115" s="48">
        <f>IF($B115="","",SUM($E$26:$E115))</f>
        <v/>
      </c>
    </row>
    <row r="116">
      <c r="B116" s="46">
        <f>IF(DATE(Summary!$C$12,1,1)+90&gt;DATE(Summary!$C$12,12,31),"",DATE(Summary!$C$12,1,1)+90)</f>
        <v/>
      </c>
      <c r="C116" s="47">
        <f>IF($B116="","",SUMIFS(Grids!$EE$9:$GQ$108,Grids!$C$9:$BO$108,"&gt;="&amp;$B116*1000000000,Grids!$C$9:$BO$108,"&lt;"&amp;($B116+1)*1000000000))</f>
        <v/>
      </c>
      <c r="D116" s="47">
        <f>IF($B116="","",SUMIFS(Grids!$EE$113:$GQ$152,Grids!$C$113:$BO$152,"&gt;="&amp;$B116*1000000000,Grids!$C$113:$BO$152,"&lt;"&amp;($B116+1)*1000000000))</f>
        <v/>
      </c>
      <c r="E116" s="47">
        <f>IF($B116="","",SUMIFS(Grids!$EE$157:$GQ$216,Grids!$C$157:$BO$216,"&gt;="&amp;$B116*1000000000,Grids!$C$157:$BO$216,"&lt;"&amp;($B116+1)*1000000000))</f>
        <v/>
      </c>
      <c r="F116" s="48">
        <f>IF($B116="","",SUM($C$26:$C116))</f>
        <v/>
      </c>
      <c r="G116" s="48">
        <f>IF($B116="","",SUM($D$26:$D116))</f>
        <v/>
      </c>
      <c r="H116" s="48">
        <f>IF($B116="","",SUM($E$26:$E116))</f>
        <v/>
      </c>
    </row>
    <row r="117">
      <c r="B117" s="46">
        <f>IF(DATE(Summary!$C$12,1,1)+91&gt;DATE(Summary!$C$12,12,31),"",DATE(Summary!$C$12,1,1)+91)</f>
        <v/>
      </c>
      <c r="C117" s="47">
        <f>IF($B117="","",SUMIFS(Grids!$EE$9:$GQ$108,Grids!$C$9:$BO$108,"&gt;="&amp;$B117*1000000000,Grids!$C$9:$BO$108,"&lt;"&amp;($B117+1)*1000000000))</f>
        <v/>
      </c>
      <c r="D117" s="47">
        <f>IF($B117="","",SUMIFS(Grids!$EE$113:$GQ$152,Grids!$C$113:$BO$152,"&gt;="&amp;$B117*1000000000,Grids!$C$113:$BO$152,"&lt;"&amp;($B117+1)*1000000000))</f>
        <v/>
      </c>
      <c r="E117" s="47">
        <f>IF($B117="","",SUMIFS(Grids!$EE$157:$GQ$216,Grids!$C$157:$BO$216,"&gt;="&amp;$B117*1000000000,Grids!$C$157:$BO$216,"&lt;"&amp;($B117+1)*1000000000))</f>
        <v/>
      </c>
      <c r="F117" s="48">
        <f>IF($B117="","",SUM($C$26:$C117))</f>
        <v/>
      </c>
      <c r="G117" s="48">
        <f>IF($B117="","",SUM($D$26:$D117))</f>
        <v/>
      </c>
      <c r="H117" s="48">
        <f>IF($B117="","",SUM($E$26:$E117))</f>
        <v/>
      </c>
    </row>
    <row r="118">
      <c r="B118" s="46">
        <f>IF(DATE(Summary!$C$12,1,1)+92&gt;DATE(Summary!$C$12,12,31),"",DATE(Summary!$C$12,1,1)+92)</f>
        <v/>
      </c>
      <c r="C118" s="47">
        <f>IF($B118="","",SUMIFS(Grids!$EE$9:$GQ$108,Grids!$C$9:$BO$108,"&gt;="&amp;$B118*1000000000,Grids!$C$9:$BO$108,"&lt;"&amp;($B118+1)*1000000000))</f>
        <v/>
      </c>
      <c r="D118" s="47">
        <f>IF($B118="","",SUMIFS(Grids!$EE$113:$GQ$152,Grids!$C$113:$BO$152,"&gt;="&amp;$B118*1000000000,Grids!$C$113:$BO$152,"&lt;"&amp;($B118+1)*1000000000))</f>
        <v/>
      </c>
      <c r="E118" s="47">
        <f>IF($B118="","",SUMIFS(Grids!$EE$157:$GQ$216,Grids!$C$157:$BO$216,"&gt;="&amp;$B118*1000000000,Grids!$C$157:$BO$216,"&lt;"&amp;($B118+1)*1000000000))</f>
        <v/>
      </c>
      <c r="F118" s="48">
        <f>IF($B118="","",SUM($C$26:$C118))</f>
        <v/>
      </c>
      <c r="G118" s="48">
        <f>IF($B118="","",SUM($D$26:$D118))</f>
        <v/>
      </c>
      <c r="H118" s="48">
        <f>IF($B118="","",SUM($E$26:$E118))</f>
        <v/>
      </c>
    </row>
    <row r="119">
      <c r="B119" s="46">
        <f>IF(DATE(Summary!$C$12,1,1)+93&gt;DATE(Summary!$C$12,12,31),"",DATE(Summary!$C$12,1,1)+93)</f>
        <v/>
      </c>
      <c r="C119" s="47">
        <f>IF($B119="","",SUMIFS(Grids!$EE$9:$GQ$108,Grids!$C$9:$BO$108,"&gt;="&amp;$B119*1000000000,Grids!$C$9:$BO$108,"&lt;"&amp;($B119+1)*1000000000))</f>
        <v/>
      </c>
      <c r="D119" s="47">
        <f>IF($B119="","",SUMIFS(Grids!$EE$113:$GQ$152,Grids!$C$113:$BO$152,"&gt;="&amp;$B119*1000000000,Grids!$C$113:$BO$152,"&lt;"&amp;($B119+1)*1000000000))</f>
        <v/>
      </c>
      <c r="E119" s="47">
        <f>IF($B119="","",SUMIFS(Grids!$EE$157:$GQ$216,Grids!$C$157:$BO$216,"&gt;="&amp;$B119*1000000000,Grids!$C$157:$BO$216,"&lt;"&amp;($B119+1)*1000000000))</f>
        <v/>
      </c>
      <c r="F119" s="48">
        <f>IF($B119="","",SUM($C$26:$C119))</f>
        <v/>
      </c>
      <c r="G119" s="48">
        <f>IF($B119="","",SUM($D$26:$D119))</f>
        <v/>
      </c>
      <c r="H119" s="48">
        <f>IF($B119="","",SUM($E$26:$E119))</f>
        <v/>
      </c>
    </row>
    <row r="120">
      <c r="B120" s="46">
        <f>IF(DATE(Summary!$C$12,1,1)+94&gt;DATE(Summary!$C$12,12,31),"",DATE(Summary!$C$12,1,1)+94)</f>
        <v/>
      </c>
      <c r="C120" s="47">
        <f>IF($B120="","",SUMIFS(Grids!$EE$9:$GQ$108,Grids!$C$9:$BO$108,"&gt;="&amp;$B120*1000000000,Grids!$C$9:$BO$108,"&lt;"&amp;($B120+1)*1000000000))</f>
        <v/>
      </c>
      <c r="D120" s="47">
        <f>IF($B120="","",SUMIFS(Grids!$EE$113:$GQ$152,Grids!$C$113:$BO$152,"&gt;="&amp;$B120*1000000000,Grids!$C$113:$BO$152,"&lt;"&amp;($B120+1)*1000000000))</f>
        <v/>
      </c>
      <c r="E120" s="47">
        <f>IF($B120="","",SUMIFS(Grids!$EE$157:$GQ$216,Grids!$C$157:$BO$216,"&gt;="&amp;$B120*1000000000,Grids!$C$157:$BO$216,"&lt;"&amp;($B120+1)*1000000000))</f>
        <v/>
      </c>
      <c r="F120" s="48">
        <f>IF($B120="","",SUM($C$26:$C120))</f>
        <v/>
      </c>
      <c r="G120" s="48">
        <f>IF($B120="","",SUM($D$26:$D120))</f>
        <v/>
      </c>
      <c r="H120" s="48">
        <f>IF($B120="","",SUM($E$26:$E120))</f>
        <v/>
      </c>
    </row>
    <row r="121">
      <c r="B121" s="46">
        <f>IF(DATE(Summary!$C$12,1,1)+95&gt;DATE(Summary!$C$12,12,31),"",DATE(Summary!$C$12,1,1)+95)</f>
        <v/>
      </c>
      <c r="C121" s="47">
        <f>IF($B121="","",SUMIFS(Grids!$EE$9:$GQ$108,Grids!$C$9:$BO$108,"&gt;="&amp;$B121*1000000000,Grids!$C$9:$BO$108,"&lt;"&amp;($B121+1)*1000000000))</f>
        <v/>
      </c>
      <c r="D121" s="47">
        <f>IF($B121="","",SUMIFS(Grids!$EE$113:$GQ$152,Grids!$C$113:$BO$152,"&gt;="&amp;$B121*1000000000,Grids!$C$113:$BO$152,"&lt;"&amp;($B121+1)*1000000000))</f>
        <v/>
      </c>
      <c r="E121" s="47">
        <f>IF($B121="","",SUMIFS(Grids!$EE$157:$GQ$216,Grids!$C$157:$BO$216,"&gt;="&amp;$B121*1000000000,Grids!$C$157:$BO$216,"&lt;"&amp;($B121+1)*1000000000))</f>
        <v/>
      </c>
      <c r="F121" s="48">
        <f>IF($B121="","",SUM($C$26:$C121))</f>
        <v/>
      </c>
      <c r="G121" s="48">
        <f>IF($B121="","",SUM($D$26:$D121))</f>
        <v/>
      </c>
      <c r="H121" s="48">
        <f>IF($B121="","",SUM($E$26:$E121))</f>
        <v/>
      </c>
    </row>
    <row r="122">
      <c r="B122" s="46">
        <f>IF(DATE(Summary!$C$12,1,1)+96&gt;DATE(Summary!$C$12,12,31),"",DATE(Summary!$C$12,1,1)+96)</f>
        <v/>
      </c>
      <c r="C122" s="47">
        <f>IF($B122="","",SUMIFS(Grids!$EE$9:$GQ$108,Grids!$C$9:$BO$108,"&gt;="&amp;$B122*1000000000,Grids!$C$9:$BO$108,"&lt;"&amp;($B122+1)*1000000000))</f>
        <v/>
      </c>
      <c r="D122" s="47">
        <f>IF($B122="","",SUMIFS(Grids!$EE$113:$GQ$152,Grids!$C$113:$BO$152,"&gt;="&amp;$B122*1000000000,Grids!$C$113:$BO$152,"&lt;"&amp;($B122+1)*1000000000))</f>
        <v/>
      </c>
      <c r="E122" s="47">
        <f>IF($B122="","",SUMIFS(Grids!$EE$157:$GQ$216,Grids!$C$157:$BO$216,"&gt;="&amp;$B122*1000000000,Grids!$C$157:$BO$216,"&lt;"&amp;($B122+1)*1000000000))</f>
        <v/>
      </c>
      <c r="F122" s="48">
        <f>IF($B122="","",SUM($C$26:$C122))</f>
        <v/>
      </c>
      <c r="G122" s="48">
        <f>IF($B122="","",SUM($D$26:$D122))</f>
        <v/>
      </c>
      <c r="H122" s="48">
        <f>IF($B122="","",SUM($E$26:$E122))</f>
        <v/>
      </c>
    </row>
    <row r="123">
      <c r="B123" s="46">
        <f>IF(DATE(Summary!$C$12,1,1)+97&gt;DATE(Summary!$C$12,12,31),"",DATE(Summary!$C$12,1,1)+97)</f>
        <v/>
      </c>
      <c r="C123" s="47">
        <f>IF($B123="","",SUMIFS(Grids!$EE$9:$GQ$108,Grids!$C$9:$BO$108,"&gt;="&amp;$B123*1000000000,Grids!$C$9:$BO$108,"&lt;"&amp;($B123+1)*1000000000))</f>
        <v/>
      </c>
      <c r="D123" s="47">
        <f>IF($B123="","",SUMIFS(Grids!$EE$113:$GQ$152,Grids!$C$113:$BO$152,"&gt;="&amp;$B123*1000000000,Grids!$C$113:$BO$152,"&lt;"&amp;($B123+1)*1000000000))</f>
        <v/>
      </c>
      <c r="E123" s="47">
        <f>IF($B123="","",SUMIFS(Grids!$EE$157:$GQ$216,Grids!$C$157:$BO$216,"&gt;="&amp;$B123*1000000000,Grids!$C$157:$BO$216,"&lt;"&amp;($B123+1)*1000000000))</f>
        <v/>
      </c>
      <c r="F123" s="48">
        <f>IF($B123="","",SUM($C$26:$C123))</f>
        <v/>
      </c>
      <c r="G123" s="48">
        <f>IF($B123="","",SUM($D$26:$D123))</f>
        <v/>
      </c>
      <c r="H123" s="48">
        <f>IF($B123="","",SUM($E$26:$E123))</f>
        <v/>
      </c>
    </row>
    <row r="124">
      <c r="B124" s="46">
        <f>IF(DATE(Summary!$C$12,1,1)+98&gt;DATE(Summary!$C$12,12,31),"",DATE(Summary!$C$12,1,1)+98)</f>
        <v/>
      </c>
      <c r="C124" s="47">
        <f>IF($B124="","",SUMIFS(Grids!$EE$9:$GQ$108,Grids!$C$9:$BO$108,"&gt;="&amp;$B124*1000000000,Grids!$C$9:$BO$108,"&lt;"&amp;($B124+1)*1000000000))</f>
        <v/>
      </c>
      <c r="D124" s="47">
        <f>IF($B124="","",SUMIFS(Grids!$EE$113:$GQ$152,Grids!$C$113:$BO$152,"&gt;="&amp;$B124*1000000000,Grids!$C$113:$BO$152,"&lt;"&amp;($B124+1)*1000000000))</f>
        <v/>
      </c>
      <c r="E124" s="47">
        <f>IF($B124="","",SUMIFS(Grids!$EE$157:$GQ$216,Grids!$C$157:$BO$216,"&gt;="&amp;$B124*1000000000,Grids!$C$157:$BO$216,"&lt;"&amp;($B124+1)*1000000000))</f>
        <v/>
      </c>
      <c r="F124" s="48">
        <f>IF($B124="","",SUM($C$26:$C124))</f>
        <v/>
      </c>
      <c r="G124" s="48">
        <f>IF($B124="","",SUM($D$26:$D124))</f>
        <v/>
      </c>
      <c r="H124" s="48">
        <f>IF($B124="","",SUM($E$26:$E124))</f>
        <v/>
      </c>
    </row>
    <row r="125">
      <c r="B125" s="46">
        <f>IF(DATE(Summary!$C$12,1,1)+99&gt;DATE(Summary!$C$12,12,31),"",DATE(Summary!$C$12,1,1)+99)</f>
        <v/>
      </c>
      <c r="C125" s="47">
        <f>IF($B125="","",SUMIFS(Grids!$EE$9:$GQ$108,Grids!$C$9:$BO$108,"&gt;="&amp;$B125*1000000000,Grids!$C$9:$BO$108,"&lt;"&amp;($B125+1)*1000000000))</f>
        <v/>
      </c>
      <c r="D125" s="47">
        <f>IF($B125="","",SUMIFS(Grids!$EE$113:$GQ$152,Grids!$C$113:$BO$152,"&gt;="&amp;$B125*1000000000,Grids!$C$113:$BO$152,"&lt;"&amp;($B125+1)*1000000000))</f>
        <v/>
      </c>
      <c r="E125" s="47">
        <f>IF($B125="","",SUMIFS(Grids!$EE$157:$GQ$216,Grids!$C$157:$BO$216,"&gt;="&amp;$B125*1000000000,Grids!$C$157:$BO$216,"&lt;"&amp;($B125+1)*1000000000))</f>
        <v/>
      </c>
      <c r="F125" s="48">
        <f>IF($B125="","",SUM($C$26:$C125))</f>
        <v/>
      </c>
      <c r="G125" s="48">
        <f>IF($B125="","",SUM($D$26:$D125))</f>
        <v/>
      </c>
      <c r="H125" s="48">
        <f>IF($B125="","",SUM($E$26:$E125))</f>
        <v/>
      </c>
    </row>
    <row r="126">
      <c r="B126" s="46">
        <f>IF(DATE(Summary!$C$12,1,1)+100&gt;DATE(Summary!$C$12,12,31),"",DATE(Summary!$C$12,1,1)+100)</f>
        <v/>
      </c>
      <c r="C126" s="47">
        <f>IF($B126="","",SUMIFS(Grids!$EE$9:$GQ$108,Grids!$C$9:$BO$108,"&gt;="&amp;$B126*1000000000,Grids!$C$9:$BO$108,"&lt;"&amp;($B126+1)*1000000000))</f>
        <v/>
      </c>
      <c r="D126" s="47">
        <f>IF($B126="","",SUMIFS(Grids!$EE$113:$GQ$152,Grids!$C$113:$BO$152,"&gt;="&amp;$B126*1000000000,Grids!$C$113:$BO$152,"&lt;"&amp;($B126+1)*1000000000))</f>
        <v/>
      </c>
      <c r="E126" s="47">
        <f>IF($B126="","",SUMIFS(Grids!$EE$157:$GQ$216,Grids!$C$157:$BO$216,"&gt;="&amp;$B126*1000000000,Grids!$C$157:$BO$216,"&lt;"&amp;($B126+1)*1000000000))</f>
        <v/>
      </c>
      <c r="F126" s="48">
        <f>IF($B126="","",SUM($C$26:$C126))</f>
        <v/>
      </c>
      <c r="G126" s="48">
        <f>IF($B126="","",SUM($D$26:$D126))</f>
        <v/>
      </c>
      <c r="H126" s="48">
        <f>IF($B126="","",SUM($E$26:$E126))</f>
        <v/>
      </c>
    </row>
    <row r="127">
      <c r="B127" s="46">
        <f>IF(DATE(Summary!$C$12,1,1)+101&gt;DATE(Summary!$C$12,12,31),"",DATE(Summary!$C$12,1,1)+101)</f>
        <v/>
      </c>
      <c r="C127" s="47">
        <f>IF($B127="","",SUMIFS(Grids!$EE$9:$GQ$108,Grids!$C$9:$BO$108,"&gt;="&amp;$B127*1000000000,Grids!$C$9:$BO$108,"&lt;"&amp;($B127+1)*1000000000))</f>
        <v/>
      </c>
      <c r="D127" s="47">
        <f>IF($B127="","",SUMIFS(Grids!$EE$113:$GQ$152,Grids!$C$113:$BO$152,"&gt;="&amp;$B127*1000000000,Grids!$C$113:$BO$152,"&lt;"&amp;($B127+1)*1000000000))</f>
        <v/>
      </c>
      <c r="E127" s="47">
        <f>IF($B127="","",SUMIFS(Grids!$EE$157:$GQ$216,Grids!$C$157:$BO$216,"&gt;="&amp;$B127*1000000000,Grids!$C$157:$BO$216,"&lt;"&amp;($B127+1)*1000000000))</f>
        <v/>
      </c>
      <c r="F127" s="48">
        <f>IF($B127="","",SUM($C$26:$C127))</f>
        <v/>
      </c>
      <c r="G127" s="48">
        <f>IF($B127="","",SUM($D$26:$D127))</f>
        <v/>
      </c>
      <c r="H127" s="48">
        <f>IF($B127="","",SUM($E$26:$E127))</f>
        <v/>
      </c>
    </row>
    <row r="128">
      <c r="B128" s="46">
        <f>IF(DATE(Summary!$C$12,1,1)+102&gt;DATE(Summary!$C$12,12,31),"",DATE(Summary!$C$12,1,1)+102)</f>
        <v/>
      </c>
      <c r="C128" s="47">
        <f>IF($B128="","",SUMIFS(Grids!$EE$9:$GQ$108,Grids!$C$9:$BO$108,"&gt;="&amp;$B128*1000000000,Grids!$C$9:$BO$108,"&lt;"&amp;($B128+1)*1000000000))</f>
        <v/>
      </c>
      <c r="D128" s="47">
        <f>IF($B128="","",SUMIFS(Grids!$EE$113:$GQ$152,Grids!$C$113:$BO$152,"&gt;="&amp;$B128*1000000000,Grids!$C$113:$BO$152,"&lt;"&amp;($B128+1)*1000000000))</f>
        <v/>
      </c>
      <c r="E128" s="47">
        <f>IF($B128="","",SUMIFS(Grids!$EE$157:$GQ$216,Grids!$C$157:$BO$216,"&gt;="&amp;$B128*1000000000,Grids!$C$157:$BO$216,"&lt;"&amp;($B128+1)*1000000000))</f>
        <v/>
      </c>
      <c r="F128" s="48">
        <f>IF($B128="","",SUM($C$26:$C128))</f>
        <v/>
      </c>
      <c r="G128" s="48">
        <f>IF($B128="","",SUM($D$26:$D128))</f>
        <v/>
      </c>
      <c r="H128" s="48">
        <f>IF($B128="","",SUM($E$26:$E128))</f>
        <v/>
      </c>
    </row>
    <row r="129">
      <c r="B129" s="46">
        <f>IF(DATE(Summary!$C$12,1,1)+103&gt;DATE(Summary!$C$12,12,31),"",DATE(Summary!$C$12,1,1)+103)</f>
        <v/>
      </c>
      <c r="C129" s="47">
        <f>IF($B129="","",SUMIFS(Grids!$EE$9:$GQ$108,Grids!$C$9:$BO$108,"&gt;="&amp;$B129*1000000000,Grids!$C$9:$BO$108,"&lt;"&amp;($B129+1)*1000000000))</f>
        <v/>
      </c>
      <c r="D129" s="47">
        <f>IF($B129="","",SUMIFS(Grids!$EE$113:$GQ$152,Grids!$C$113:$BO$152,"&gt;="&amp;$B129*1000000000,Grids!$C$113:$BO$152,"&lt;"&amp;($B129+1)*1000000000))</f>
        <v/>
      </c>
      <c r="E129" s="47">
        <f>IF($B129="","",SUMIFS(Grids!$EE$157:$GQ$216,Grids!$C$157:$BO$216,"&gt;="&amp;$B129*1000000000,Grids!$C$157:$BO$216,"&lt;"&amp;($B129+1)*1000000000))</f>
        <v/>
      </c>
      <c r="F129" s="48">
        <f>IF($B129="","",SUM($C$26:$C129))</f>
        <v/>
      </c>
      <c r="G129" s="48">
        <f>IF($B129="","",SUM($D$26:$D129))</f>
        <v/>
      </c>
      <c r="H129" s="48">
        <f>IF($B129="","",SUM($E$26:$E129))</f>
        <v/>
      </c>
    </row>
    <row r="130">
      <c r="B130" s="46">
        <f>IF(DATE(Summary!$C$12,1,1)+104&gt;DATE(Summary!$C$12,12,31),"",DATE(Summary!$C$12,1,1)+104)</f>
        <v/>
      </c>
      <c r="C130" s="47">
        <f>IF($B130="","",SUMIFS(Grids!$EE$9:$GQ$108,Grids!$C$9:$BO$108,"&gt;="&amp;$B130*1000000000,Grids!$C$9:$BO$108,"&lt;"&amp;($B130+1)*1000000000))</f>
        <v/>
      </c>
      <c r="D130" s="47">
        <f>IF($B130="","",SUMIFS(Grids!$EE$113:$GQ$152,Grids!$C$113:$BO$152,"&gt;="&amp;$B130*1000000000,Grids!$C$113:$BO$152,"&lt;"&amp;($B130+1)*1000000000))</f>
        <v/>
      </c>
      <c r="E130" s="47">
        <f>IF($B130="","",SUMIFS(Grids!$EE$157:$GQ$216,Grids!$C$157:$BO$216,"&gt;="&amp;$B130*1000000000,Grids!$C$157:$BO$216,"&lt;"&amp;($B130+1)*1000000000))</f>
        <v/>
      </c>
      <c r="F130" s="48">
        <f>IF($B130="","",SUM($C$26:$C130))</f>
        <v/>
      </c>
      <c r="G130" s="48">
        <f>IF($B130="","",SUM($D$26:$D130))</f>
        <v/>
      </c>
      <c r="H130" s="48">
        <f>IF($B130="","",SUM($E$26:$E130))</f>
        <v/>
      </c>
    </row>
    <row r="131">
      <c r="B131" s="46">
        <f>IF(DATE(Summary!$C$12,1,1)+105&gt;DATE(Summary!$C$12,12,31),"",DATE(Summary!$C$12,1,1)+105)</f>
        <v/>
      </c>
      <c r="C131" s="47">
        <f>IF($B131="","",SUMIFS(Grids!$EE$9:$GQ$108,Grids!$C$9:$BO$108,"&gt;="&amp;$B131*1000000000,Grids!$C$9:$BO$108,"&lt;"&amp;($B131+1)*1000000000))</f>
        <v/>
      </c>
      <c r="D131" s="47">
        <f>IF($B131="","",SUMIFS(Grids!$EE$113:$GQ$152,Grids!$C$113:$BO$152,"&gt;="&amp;$B131*1000000000,Grids!$C$113:$BO$152,"&lt;"&amp;($B131+1)*1000000000))</f>
        <v/>
      </c>
      <c r="E131" s="47">
        <f>IF($B131="","",SUMIFS(Grids!$EE$157:$GQ$216,Grids!$C$157:$BO$216,"&gt;="&amp;$B131*1000000000,Grids!$C$157:$BO$216,"&lt;"&amp;($B131+1)*1000000000))</f>
        <v/>
      </c>
      <c r="F131" s="48">
        <f>IF($B131="","",SUM($C$26:$C131))</f>
        <v/>
      </c>
      <c r="G131" s="48">
        <f>IF($B131="","",SUM($D$26:$D131))</f>
        <v/>
      </c>
      <c r="H131" s="48">
        <f>IF($B131="","",SUM($E$26:$E131))</f>
        <v/>
      </c>
    </row>
    <row r="132">
      <c r="B132" s="46">
        <f>IF(DATE(Summary!$C$12,1,1)+106&gt;DATE(Summary!$C$12,12,31),"",DATE(Summary!$C$12,1,1)+106)</f>
        <v/>
      </c>
      <c r="C132" s="47">
        <f>IF($B132="","",SUMIFS(Grids!$EE$9:$GQ$108,Grids!$C$9:$BO$108,"&gt;="&amp;$B132*1000000000,Grids!$C$9:$BO$108,"&lt;"&amp;($B132+1)*1000000000))</f>
        <v/>
      </c>
      <c r="D132" s="47">
        <f>IF($B132="","",SUMIFS(Grids!$EE$113:$GQ$152,Grids!$C$113:$BO$152,"&gt;="&amp;$B132*1000000000,Grids!$C$113:$BO$152,"&lt;"&amp;($B132+1)*1000000000))</f>
        <v/>
      </c>
      <c r="E132" s="47">
        <f>IF($B132="","",SUMIFS(Grids!$EE$157:$GQ$216,Grids!$C$157:$BO$216,"&gt;="&amp;$B132*1000000000,Grids!$C$157:$BO$216,"&lt;"&amp;($B132+1)*1000000000))</f>
        <v/>
      </c>
      <c r="F132" s="48">
        <f>IF($B132="","",SUM($C$26:$C132))</f>
        <v/>
      </c>
      <c r="G132" s="48">
        <f>IF($B132="","",SUM($D$26:$D132))</f>
        <v/>
      </c>
      <c r="H132" s="48">
        <f>IF($B132="","",SUM($E$26:$E132))</f>
        <v/>
      </c>
    </row>
    <row r="133">
      <c r="B133" s="46">
        <f>IF(DATE(Summary!$C$12,1,1)+107&gt;DATE(Summary!$C$12,12,31),"",DATE(Summary!$C$12,1,1)+107)</f>
        <v/>
      </c>
      <c r="C133" s="47">
        <f>IF($B133="","",SUMIFS(Grids!$EE$9:$GQ$108,Grids!$C$9:$BO$108,"&gt;="&amp;$B133*1000000000,Grids!$C$9:$BO$108,"&lt;"&amp;($B133+1)*1000000000))</f>
        <v/>
      </c>
      <c r="D133" s="47">
        <f>IF($B133="","",SUMIFS(Grids!$EE$113:$GQ$152,Grids!$C$113:$BO$152,"&gt;="&amp;$B133*1000000000,Grids!$C$113:$BO$152,"&lt;"&amp;($B133+1)*1000000000))</f>
        <v/>
      </c>
      <c r="E133" s="47">
        <f>IF($B133="","",SUMIFS(Grids!$EE$157:$GQ$216,Grids!$C$157:$BO$216,"&gt;="&amp;$B133*1000000000,Grids!$C$157:$BO$216,"&lt;"&amp;($B133+1)*1000000000))</f>
        <v/>
      </c>
      <c r="F133" s="48">
        <f>IF($B133="","",SUM($C$26:$C133))</f>
        <v/>
      </c>
      <c r="G133" s="48">
        <f>IF($B133="","",SUM($D$26:$D133))</f>
        <v/>
      </c>
      <c r="H133" s="48">
        <f>IF($B133="","",SUM($E$26:$E133))</f>
        <v/>
      </c>
    </row>
    <row r="134">
      <c r="B134" s="46">
        <f>IF(DATE(Summary!$C$12,1,1)+108&gt;DATE(Summary!$C$12,12,31),"",DATE(Summary!$C$12,1,1)+108)</f>
        <v/>
      </c>
      <c r="C134" s="47">
        <f>IF($B134="","",SUMIFS(Grids!$EE$9:$GQ$108,Grids!$C$9:$BO$108,"&gt;="&amp;$B134*1000000000,Grids!$C$9:$BO$108,"&lt;"&amp;($B134+1)*1000000000))</f>
        <v/>
      </c>
      <c r="D134" s="47">
        <f>IF($B134="","",SUMIFS(Grids!$EE$113:$GQ$152,Grids!$C$113:$BO$152,"&gt;="&amp;$B134*1000000000,Grids!$C$113:$BO$152,"&lt;"&amp;($B134+1)*1000000000))</f>
        <v/>
      </c>
      <c r="E134" s="47">
        <f>IF($B134="","",SUMIFS(Grids!$EE$157:$GQ$216,Grids!$C$157:$BO$216,"&gt;="&amp;$B134*1000000000,Grids!$C$157:$BO$216,"&lt;"&amp;($B134+1)*1000000000))</f>
        <v/>
      </c>
      <c r="F134" s="48">
        <f>IF($B134="","",SUM($C$26:$C134))</f>
        <v/>
      </c>
      <c r="G134" s="48">
        <f>IF($B134="","",SUM($D$26:$D134))</f>
        <v/>
      </c>
      <c r="H134" s="48">
        <f>IF($B134="","",SUM($E$26:$E134))</f>
        <v/>
      </c>
    </row>
    <row r="135">
      <c r="B135" s="46">
        <f>IF(DATE(Summary!$C$12,1,1)+109&gt;DATE(Summary!$C$12,12,31),"",DATE(Summary!$C$12,1,1)+109)</f>
        <v/>
      </c>
      <c r="C135" s="47">
        <f>IF($B135="","",SUMIFS(Grids!$EE$9:$GQ$108,Grids!$C$9:$BO$108,"&gt;="&amp;$B135*1000000000,Grids!$C$9:$BO$108,"&lt;"&amp;($B135+1)*1000000000))</f>
        <v/>
      </c>
      <c r="D135" s="47">
        <f>IF($B135="","",SUMIFS(Grids!$EE$113:$GQ$152,Grids!$C$113:$BO$152,"&gt;="&amp;$B135*1000000000,Grids!$C$113:$BO$152,"&lt;"&amp;($B135+1)*1000000000))</f>
        <v/>
      </c>
      <c r="E135" s="47">
        <f>IF($B135="","",SUMIFS(Grids!$EE$157:$GQ$216,Grids!$C$157:$BO$216,"&gt;="&amp;$B135*1000000000,Grids!$C$157:$BO$216,"&lt;"&amp;($B135+1)*1000000000))</f>
        <v/>
      </c>
      <c r="F135" s="48">
        <f>IF($B135="","",SUM($C$26:$C135))</f>
        <v/>
      </c>
      <c r="G135" s="48">
        <f>IF($B135="","",SUM($D$26:$D135))</f>
        <v/>
      </c>
      <c r="H135" s="48">
        <f>IF($B135="","",SUM($E$26:$E135))</f>
        <v/>
      </c>
    </row>
    <row r="136">
      <c r="B136" s="46">
        <f>IF(DATE(Summary!$C$12,1,1)+110&gt;DATE(Summary!$C$12,12,31),"",DATE(Summary!$C$12,1,1)+110)</f>
        <v/>
      </c>
      <c r="C136" s="47">
        <f>IF($B136="","",SUMIFS(Grids!$EE$9:$GQ$108,Grids!$C$9:$BO$108,"&gt;="&amp;$B136*1000000000,Grids!$C$9:$BO$108,"&lt;"&amp;($B136+1)*1000000000))</f>
        <v/>
      </c>
      <c r="D136" s="47">
        <f>IF($B136="","",SUMIFS(Grids!$EE$113:$GQ$152,Grids!$C$113:$BO$152,"&gt;="&amp;$B136*1000000000,Grids!$C$113:$BO$152,"&lt;"&amp;($B136+1)*1000000000))</f>
        <v/>
      </c>
      <c r="E136" s="47">
        <f>IF($B136="","",SUMIFS(Grids!$EE$157:$GQ$216,Grids!$C$157:$BO$216,"&gt;="&amp;$B136*1000000000,Grids!$C$157:$BO$216,"&lt;"&amp;($B136+1)*1000000000))</f>
        <v/>
      </c>
      <c r="F136" s="48">
        <f>IF($B136="","",SUM($C$26:$C136))</f>
        <v/>
      </c>
      <c r="G136" s="48">
        <f>IF($B136="","",SUM($D$26:$D136))</f>
        <v/>
      </c>
      <c r="H136" s="48">
        <f>IF($B136="","",SUM($E$26:$E136))</f>
        <v/>
      </c>
    </row>
    <row r="137">
      <c r="B137" s="46">
        <f>IF(DATE(Summary!$C$12,1,1)+111&gt;DATE(Summary!$C$12,12,31),"",DATE(Summary!$C$12,1,1)+111)</f>
        <v/>
      </c>
      <c r="C137" s="47">
        <f>IF($B137="","",SUMIFS(Grids!$EE$9:$GQ$108,Grids!$C$9:$BO$108,"&gt;="&amp;$B137*1000000000,Grids!$C$9:$BO$108,"&lt;"&amp;($B137+1)*1000000000))</f>
        <v/>
      </c>
      <c r="D137" s="47">
        <f>IF($B137="","",SUMIFS(Grids!$EE$113:$GQ$152,Grids!$C$113:$BO$152,"&gt;="&amp;$B137*1000000000,Grids!$C$113:$BO$152,"&lt;"&amp;($B137+1)*1000000000))</f>
        <v/>
      </c>
      <c r="E137" s="47">
        <f>IF($B137="","",SUMIFS(Grids!$EE$157:$GQ$216,Grids!$C$157:$BO$216,"&gt;="&amp;$B137*1000000000,Grids!$C$157:$BO$216,"&lt;"&amp;($B137+1)*1000000000))</f>
        <v/>
      </c>
      <c r="F137" s="48">
        <f>IF($B137="","",SUM($C$26:$C137))</f>
        <v/>
      </c>
      <c r="G137" s="48">
        <f>IF($B137="","",SUM($D$26:$D137))</f>
        <v/>
      </c>
      <c r="H137" s="48">
        <f>IF($B137="","",SUM($E$26:$E137))</f>
        <v/>
      </c>
    </row>
    <row r="138">
      <c r="B138" s="46">
        <f>IF(DATE(Summary!$C$12,1,1)+112&gt;DATE(Summary!$C$12,12,31),"",DATE(Summary!$C$12,1,1)+112)</f>
        <v/>
      </c>
      <c r="C138" s="47">
        <f>IF($B138="","",SUMIFS(Grids!$EE$9:$GQ$108,Grids!$C$9:$BO$108,"&gt;="&amp;$B138*1000000000,Grids!$C$9:$BO$108,"&lt;"&amp;($B138+1)*1000000000))</f>
        <v/>
      </c>
      <c r="D138" s="47">
        <f>IF($B138="","",SUMIFS(Grids!$EE$113:$GQ$152,Grids!$C$113:$BO$152,"&gt;="&amp;$B138*1000000000,Grids!$C$113:$BO$152,"&lt;"&amp;($B138+1)*1000000000))</f>
        <v/>
      </c>
      <c r="E138" s="47">
        <f>IF($B138="","",SUMIFS(Grids!$EE$157:$GQ$216,Grids!$C$157:$BO$216,"&gt;="&amp;$B138*1000000000,Grids!$C$157:$BO$216,"&lt;"&amp;($B138+1)*1000000000))</f>
        <v/>
      </c>
      <c r="F138" s="48">
        <f>IF($B138="","",SUM($C$26:$C138))</f>
        <v/>
      </c>
      <c r="G138" s="48">
        <f>IF($B138="","",SUM($D$26:$D138))</f>
        <v/>
      </c>
      <c r="H138" s="48">
        <f>IF($B138="","",SUM($E$26:$E138))</f>
        <v/>
      </c>
    </row>
    <row r="139">
      <c r="B139" s="46">
        <f>IF(DATE(Summary!$C$12,1,1)+113&gt;DATE(Summary!$C$12,12,31),"",DATE(Summary!$C$12,1,1)+113)</f>
        <v/>
      </c>
      <c r="C139" s="47">
        <f>IF($B139="","",SUMIFS(Grids!$EE$9:$GQ$108,Grids!$C$9:$BO$108,"&gt;="&amp;$B139*1000000000,Grids!$C$9:$BO$108,"&lt;"&amp;($B139+1)*1000000000))</f>
        <v/>
      </c>
      <c r="D139" s="47">
        <f>IF($B139="","",SUMIFS(Grids!$EE$113:$GQ$152,Grids!$C$113:$BO$152,"&gt;="&amp;$B139*1000000000,Grids!$C$113:$BO$152,"&lt;"&amp;($B139+1)*1000000000))</f>
        <v/>
      </c>
      <c r="E139" s="47">
        <f>IF($B139="","",SUMIFS(Grids!$EE$157:$GQ$216,Grids!$C$157:$BO$216,"&gt;="&amp;$B139*1000000000,Grids!$C$157:$BO$216,"&lt;"&amp;($B139+1)*1000000000))</f>
        <v/>
      </c>
      <c r="F139" s="48">
        <f>IF($B139="","",SUM($C$26:$C139))</f>
        <v/>
      </c>
      <c r="G139" s="48">
        <f>IF($B139="","",SUM($D$26:$D139))</f>
        <v/>
      </c>
      <c r="H139" s="48">
        <f>IF($B139="","",SUM($E$26:$E139))</f>
        <v/>
      </c>
    </row>
    <row r="140">
      <c r="B140" s="46">
        <f>IF(DATE(Summary!$C$12,1,1)+114&gt;DATE(Summary!$C$12,12,31),"",DATE(Summary!$C$12,1,1)+114)</f>
        <v/>
      </c>
      <c r="C140" s="47">
        <f>IF($B140="","",SUMIFS(Grids!$EE$9:$GQ$108,Grids!$C$9:$BO$108,"&gt;="&amp;$B140*1000000000,Grids!$C$9:$BO$108,"&lt;"&amp;($B140+1)*1000000000))</f>
        <v/>
      </c>
      <c r="D140" s="47">
        <f>IF($B140="","",SUMIFS(Grids!$EE$113:$GQ$152,Grids!$C$113:$BO$152,"&gt;="&amp;$B140*1000000000,Grids!$C$113:$BO$152,"&lt;"&amp;($B140+1)*1000000000))</f>
        <v/>
      </c>
      <c r="E140" s="47">
        <f>IF($B140="","",SUMIFS(Grids!$EE$157:$GQ$216,Grids!$C$157:$BO$216,"&gt;="&amp;$B140*1000000000,Grids!$C$157:$BO$216,"&lt;"&amp;($B140+1)*1000000000))</f>
        <v/>
      </c>
      <c r="F140" s="48">
        <f>IF($B140="","",SUM($C$26:$C140))</f>
        <v/>
      </c>
      <c r="G140" s="48">
        <f>IF($B140="","",SUM($D$26:$D140))</f>
        <v/>
      </c>
      <c r="H140" s="48">
        <f>IF($B140="","",SUM($E$26:$E140))</f>
        <v/>
      </c>
    </row>
    <row r="141">
      <c r="B141" s="46">
        <f>IF(DATE(Summary!$C$12,1,1)+115&gt;DATE(Summary!$C$12,12,31),"",DATE(Summary!$C$12,1,1)+115)</f>
        <v/>
      </c>
      <c r="C141" s="47">
        <f>IF($B141="","",SUMIFS(Grids!$EE$9:$GQ$108,Grids!$C$9:$BO$108,"&gt;="&amp;$B141*1000000000,Grids!$C$9:$BO$108,"&lt;"&amp;($B141+1)*1000000000))</f>
        <v/>
      </c>
      <c r="D141" s="47">
        <f>IF($B141="","",SUMIFS(Grids!$EE$113:$GQ$152,Grids!$C$113:$BO$152,"&gt;="&amp;$B141*1000000000,Grids!$C$113:$BO$152,"&lt;"&amp;($B141+1)*1000000000))</f>
        <v/>
      </c>
      <c r="E141" s="47">
        <f>IF($B141="","",SUMIFS(Grids!$EE$157:$GQ$216,Grids!$C$157:$BO$216,"&gt;="&amp;$B141*1000000000,Grids!$C$157:$BO$216,"&lt;"&amp;($B141+1)*1000000000))</f>
        <v/>
      </c>
      <c r="F141" s="48">
        <f>IF($B141="","",SUM($C$26:$C141))</f>
        <v/>
      </c>
      <c r="G141" s="48">
        <f>IF($B141="","",SUM($D$26:$D141))</f>
        <v/>
      </c>
      <c r="H141" s="48">
        <f>IF($B141="","",SUM($E$26:$E141))</f>
        <v/>
      </c>
    </row>
    <row r="142">
      <c r="B142" s="46">
        <f>IF(DATE(Summary!$C$12,1,1)+116&gt;DATE(Summary!$C$12,12,31),"",DATE(Summary!$C$12,1,1)+116)</f>
        <v/>
      </c>
      <c r="C142" s="47">
        <f>IF($B142="","",SUMIFS(Grids!$EE$9:$GQ$108,Grids!$C$9:$BO$108,"&gt;="&amp;$B142*1000000000,Grids!$C$9:$BO$108,"&lt;"&amp;($B142+1)*1000000000))</f>
        <v/>
      </c>
      <c r="D142" s="47">
        <f>IF($B142="","",SUMIFS(Grids!$EE$113:$GQ$152,Grids!$C$113:$BO$152,"&gt;="&amp;$B142*1000000000,Grids!$C$113:$BO$152,"&lt;"&amp;($B142+1)*1000000000))</f>
        <v/>
      </c>
      <c r="E142" s="47">
        <f>IF($B142="","",SUMIFS(Grids!$EE$157:$GQ$216,Grids!$C$157:$BO$216,"&gt;="&amp;$B142*1000000000,Grids!$C$157:$BO$216,"&lt;"&amp;($B142+1)*1000000000))</f>
        <v/>
      </c>
      <c r="F142" s="48">
        <f>IF($B142="","",SUM($C$26:$C142))</f>
        <v/>
      </c>
      <c r="G142" s="48">
        <f>IF($B142="","",SUM($D$26:$D142))</f>
        <v/>
      </c>
      <c r="H142" s="48">
        <f>IF($B142="","",SUM($E$26:$E142))</f>
        <v/>
      </c>
    </row>
    <row r="143">
      <c r="B143" s="46">
        <f>IF(DATE(Summary!$C$12,1,1)+117&gt;DATE(Summary!$C$12,12,31),"",DATE(Summary!$C$12,1,1)+117)</f>
        <v/>
      </c>
      <c r="C143" s="47">
        <f>IF($B143="","",SUMIFS(Grids!$EE$9:$GQ$108,Grids!$C$9:$BO$108,"&gt;="&amp;$B143*1000000000,Grids!$C$9:$BO$108,"&lt;"&amp;($B143+1)*1000000000))</f>
        <v/>
      </c>
      <c r="D143" s="47">
        <f>IF($B143="","",SUMIFS(Grids!$EE$113:$GQ$152,Grids!$C$113:$BO$152,"&gt;="&amp;$B143*1000000000,Grids!$C$113:$BO$152,"&lt;"&amp;($B143+1)*1000000000))</f>
        <v/>
      </c>
      <c r="E143" s="47">
        <f>IF($B143="","",SUMIFS(Grids!$EE$157:$GQ$216,Grids!$C$157:$BO$216,"&gt;="&amp;$B143*1000000000,Grids!$C$157:$BO$216,"&lt;"&amp;($B143+1)*1000000000))</f>
        <v/>
      </c>
      <c r="F143" s="48">
        <f>IF($B143="","",SUM($C$26:$C143))</f>
        <v/>
      </c>
      <c r="G143" s="48">
        <f>IF($B143="","",SUM($D$26:$D143))</f>
        <v/>
      </c>
      <c r="H143" s="48">
        <f>IF($B143="","",SUM($E$26:$E143))</f>
        <v/>
      </c>
    </row>
    <row r="144">
      <c r="B144" s="46">
        <f>IF(DATE(Summary!$C$12,1,1)+118&gt;DATE(Summary!$C$12,12,31),"",DATE(Summary!$C$12,1,1)+118)</f>
        <v/>
      </c>
      <c r="C144" s="47">
        <f>IF($B144="","",SUMIFS(Grids!$EE$9:$GQ$108,Grids!$C$9:$BO$108,"&gt;="&amp;$B144*1000000000,Grids!$C$9:$BO$108,"&lt;"&amp;($B144+1)*1000000000))</f>
        <v/>
      </c>
      <c r="D144" s="47">
        <f>IF($B144="","",SUMIFS(Grids!$EE$113:$GQ$152,Grids!$C$113:$BO$152,"&gt;="&amp;$B144*1000000000,Grids!$C$113:$BO$152,"&lt;"&amp;($B144+1)*1000000000))</f>
        <v/>
      </c>
      <c r="E144" s="47">
        <f>IF($B144="","",SUMIFS(Grids!$EE$157:$GQ$216,Grids!$C$157:$BO$216,"&gt;="&amp;$B144*1000000000,Grids!$C$157:$BO$216,"&lt;"&amp;($B144+1)*1000000000))</f>
        <v/>
      </c>
      <c r="F144" s="48">
        <f>IF($B144="","",SUM($C$26:$C144))</f>
        <v/>
      </c>
      <c r="G144" s="48">
        <f>IF($B144="","",SUM($D$26:$D144))</f>
        <v/>
      </c>
      <c r="H144" s="48">
        <f>IF($B144="","",SUM($E$26:$E144))</f>
        <v/>
      </c>
    </row>
    <row r="145">
      <c r="B145" s="46">
        <f>IF(DATE(Summary!$C$12,1,1)+119&gt;DATE(Summary!$C$12,12,31),"",DATE(Summary!$C$12,1,1)+119)</f>
        <v/>
      </c>
      <c r="C145" s="47">
        <f>IF($B145="","",SUMIFS(Grids!$EE$9:$GQ$108,Grids!$C$9:$BO$108,"&gt;="&amp;$B145*1000000000,Grids!$C$9:$BO$108,"&lt;"&amp;($B145+1)*1000000000))</f>
        <v/>
      </c>
      <c r="D145" s="47">
        <f>IF($B145="","",SUMIFS(Grids!$EE$113:$GQ$152,Grids!$C$113:$BO$152,"&gt;="&amp;$B145*1000000000,Grids!$C$113:$BO$152,"&lt;"&amp;($B145+1)*1000000000))</f>
        <v/>
      </c>
      <c r="E145" s="47">
        <f>IF($B145="","",SUMIFS(Grids!$EE$157:$GQ$216,Grids!$C$157:$BO$216,"&gt;="&amp;$B145*1000000000,Grids!$C$157:$BO$216,"&lt;"&amp;($B145+1)*1000000000))</f>
        <v/>
      </c>
      <c r="F145" s="48">
        <f>IF($B145="","",SUM($C$26:$C145))</f>
        <v/>
      </c>
      <c r="G145" s="48">
        <f>IF($B145="","",SUM($D$26:$D145))</f>
        <v/>
      </c>
      <c r="H145" s="48">
        <f>IF($B145="","",SUM($E$26:$E145))</f>
        <v/>
      </c>
    </row>
    <row r="146">
      <c r="B146" s="46">
        <f>IF(DATE(Summary!$C$12,1,1)+120&gt;DATE(Summary!$C$12,12,31),"",DATE(Summary!$C$12,1,1)+120)</f>
        <v/>
      </c>
      <c r="C146" s="47">
        <f>IF($B146="","",SUMIFS(Grids!$EE$9:$GQ$108,Grids!$C$9:$BO$108,"&gt;="&amp;$B146*1000000000,Grids!$C$9:$BO$108,"&lt;"&amp;($B146+1)*1000000000))</f>
        <v/>
      </c>
      <c r="D146" s="47">
        <f>IF($B146="","",SUMIFS(Grids!$EE$113:$GQ$152,Grids!$C$113:$BO$152,"&gt;="&amp;$B146*1000000000,Grids!$C$113:$BO$152,"&lt;"&amp;($B146+1)*1000000000))</f>
        <v/>
      </c>
      <c r="E146" s="47">
        <f>IF($B146="","",SUMIFS(Grids!$EE$157:$GQ$216,Grids!$C$157:$BO$216,"&gt;="&amp;$B146*1000000000,Grids!$C$157:$BO$216,"&lt;"&amp;($B146+1)*1000000000))</f>
        <v/>
      </c>
      <c r="F146" s="48">
        <f>IF($B146="","",SUM($C$26:$C146))</f>
        <v/>
      </c>
      <c r="G146" s="48">
        <f>IF($B146="","",SUM($D$26:$D146))</f>
        <v/>
      </c>
      <c r="H146" s="48">
        <f>IF($B146="","",SUM($E$26:$E146))</f>
        <v/>
      </c>
    </row>
    <row r="147">
      <c r="B147" s="46">
        <f>IF(DATE(Summary!$C$12,1,1)+121&gt;DATE(Summary!$C$12,12,31),"",DATE(Summary!$C$12,1,1)+121)</f>
        <v/>
      </c>
      <c r="C147" s="47">
        <f>IF($B147="","",SUMIFS(Grids!$EE$9:$GQ$108,Grids!$C$9:$BO$108,"&gt;="&amp;$B147*1000000000,Grids!$C$9:$BO$108,"&lt;"&amp;($B147+1)*1000000000))</f>
        <v/>
      </c>
      <c r="D147" s="47">
        <f>IF($B147="","",SUMIFS(Grids!$EE$113:$GQ$152,Grids!$C$113:$BO$152,"&gt;="&amp;$B147*1000000000,Grids!$C$113:$BO$152,"&lt;"&amp;($B147+1)*1000000000))</f>
        <v/>
      </c>
      <c r="E147" s="47">
        <f>IF($B147="","",SUMIFS(Grids!$EE$157:$GQ$216,Grids!$C$157:$BO$216,"&gt;="&amp;$B147*1000000000,Grids!$C$157:$BO$216,"&lt;"&amp;($B147+1)*1000000000))</f>
        <v/>
      </c>
      <c r="F147" s="48">
        <f>IF($B147="","",SUM($C$26:$C147))</f>
        <v/>
      </c>
      <c r="G147" s="48">
        <f>IF($B147="","",SUM($D$26:$D147))</f>
        <v/>
      </c>
      <c r="H147" s="48">
        <f>IF($B147="","",SUM($E$26:$E147))</f>
        <v/>
      </c>
    </row>
    <row r="148">
      <c r="B148" s="46">
        <f>IF(DATE(Summary!$C$12,1,1)+122&gt;DATE(Summary!$C$12,12,31),"",DATE(Summary!$C$12,1,1)+122)</f>
        <v/>
      </c>
      <c r="C148" s="47">
        <f>IF($B148="","",SUMIFS(Grids!$EE$9:$GQ$108,Grids!$C$9:$BO$108,"&gt;="&amp;$B148*1000000000,Grids!$C$9:$BO$108,"&lt;"&amp;($B148+1)*1000000000))</f>
        <v/>
      </c>
      <c r="D148" s="47">
        <f>IF($B148="","",SUMIFS(Grids!$EE$113:$GQ$152,Grids!$C$113:$BO$152,"&gt;="&amp;$B148*1000000000,Grids!$C$113:$BO$152,"&lt;"&amp;($B148+1)*1000000000))</f>
        <v/>
      </c>
      <c r="E148" s="47">
        <f>IF($B148="","",SUMIFS(Grids!$EE$157:$GQ$216,Grids!$C$157:$BO$216,"&gt;="&amp;$B148*1000000000,Grids!$C$157:$BO$216,"&lt;"&amp;($B148+1)*1000000000))</f>
        <v/>
      </c>
      <c r="F148" s="48">
        <f>IF($B148="","",SUM($C$26:$C148))</f>
        <v/>
      </c>
      <c r="G148" s="48">
        <f>IF($B148="","",SUM($D$26:$D148))</f>
        <v/>
      </c>
      <c r="H148" s="48">
        <f>IF($B148="","",SUM($E$26:$E148))</f>
        <v/>
      </c>
    </row>
    <row r="149">
      <c r="B149" s="46">
        <f>IF(DATE(Summary!$C$12,1,1)+123&gt;DATE(Summary!$C$12,12,31),"",DATE(Summary!$C$12,1,1)+123)</f>
        <v/>
      </c>
      <c r="C149" s="47">
        <f>IF($B149="","",SUMIFS(Grids!$EE$9:$GQ$108,Grids!$C$9:$BO$108,"&gt;="&amp;$B149*1000000000,Grids!$C$9:$BO$108,"&lt;"&amp;($B149+1)*1000000000))</f>
        <v/>
      </c>
      <c r="D149" s="47">
        <f>IF($B149="","",SUMIFS(Grids!$EE$113:$GQ$152,Grids!$C$113:$BO$152,"&gt;="&amp;$B149*1000000000,Grids!$C$113:$BO$152,"&lt;"&amp;($B149+1)*1000000000))</f>
        <v/>
      </c>
      <c r="E149" s="47">
        <f>IF($B149="","",SUMIFS(Grids!$EE$157:$GQ$216,Grids!$C$157:$BO$216,"&gt;="&amp;$B149*1000000000,Grids!$C$157:$BO$216,"&lt;"&amp;($B149+1)*1000000000))</f>
        <v/>
      </c>
      <c r="F149" s="48">
        <f>IF($B149="","",SUM($C$26:$C149))</f>
        <v/>
      </c>
      <c r="G149" s="48">
        <f>IF($B149="","",SUM($D$26:$D149))</f>
        <v/>
      </c>
      <c r="H149" s="48">
        <f>IF($B149="","",SUM($E$26:$E149))</f>
        <v/>
      </c>
    </row>
    <row r="150">
      <c r="B150" s="46">
        <f>IF(DATE(Summary!$C$12,1,1)+124&gt;DATE(Summary!$C$12,12,31),"",DATE(Summary!$C$12,1,1)+124)</f>
        <v/>
      </c>
      <c r="C150" s="47">
        <f>IF($B150="","",SUMIFS(Grids!$EE$9:$GQ$108,Grids!$C$9:$BO$108,"&gt;="&amp;$B150*1000000000,Grids!$C$9:$BO$108,"&lt;"&amp;($B150+1)*1000000000))</f>
        <v/>
      </c>
      <c r="D150" s="47">
        <f>IF($B150="","",SUMIFS(Grids!$EE$113:$GQ$152,Grids!$C$113:$BO$152,"&gt;="&amp;$B150*1000000000,Grids!$C$113:$BO$152,"&lt;"&amp;($B150+1)*1000000000))</f>
        <v/>
      </c>
      <c r="E150" s="47">
        <f>IF($B150="","",SUMIFS(Grids!$EE$157:$GQ$216,Grids!$C$157:$BO$216,"&gt;="&amp;$B150*1000000000,Grids!$C$157:$BO$216,"&lt;"&amp;($B150+1)*1000000000))</f>
        <v/>
      </c>
      <c r="F150" s="48">
        <f>IF($B150="","",SUM($C$26:$C150))</f>
        <v/>
      </c>
      <c r="G150" s="48">
        <f>IF($B150="","",SUM($D$26:$D150))</f>
        <v/>
      </c>
      <c r="H150" s="48">
        <f>IF($B150="","",SUM($E$26:$E150))</f>
        <v/>
      </c>
    </row>
    <row r="151">
      <c r="B151" s="46">
        <f>IF(DATE(Summary!$C$12,1,1)+125&gt;DATE(Summary!$C$12,12,31),"",DATE(Summary!$C$12,1,1)+125)</f>
        <v/>
      </c>
      <c r="C151" s="47">
        <f>IF($B151="","",SUMIFS(Grids!$EE$9:$GQ$108,Grids!$C$9:$BO$108,"&gt;="&amp;$B151*1000000000,Grids!$C$9:$BO$108,"&lt;"&amp;($B151+1)*1000000000))</f>
        <v/>
      </c>
      <c r="D151" s="47">
        <f>IF($B151="","",SUMIFS(Grids!$EE$113:$GQ$152,Grids!$C$113:$BO$152,"&gt;="&amp;$B151*1000000000,Grids!$C$113:$BO$152,"&lt;"&amp;($B151+1)*1000000000))</f>
        <v/>
      </c>
      <c r="E151" s="47">
        <f>IF($B151="","",SUMIFS(Grids!$EE$157:$GQ$216,Grids!$C$157:$BO$216,"&gt;="&amp;$B151*1000000000,Grids!$C$157:$BO$216,"&lt;"&amp;($B151+1)*1000000000))</f>
        <v/>
      </c>
      <c r="F151" s="48">
        <f>IF($B151="","",SUM($C$26:$C151))</f>
        <v/>
      </c>
      <c r="G151" s="48">
        <f>IF($B151="","",SUM($D$26:$D151))</f>
        <v/>
      </c>
      <c r="H151" s="48">
        <f>IF($B151="","",SUM($E$26:$E151))</f>
        <v/>
      </c>
    </row>
    <row r="152">
      <c r="B152" s="46">
        <f>IF(DATE(Summary!$C$12,1,1)+126&gt;DATE(Summary!$C$12,12,31),"",DATE(Summary!$C$12,1,1)+126)</f>
        <v/>
      </c>
      <c r="C152" s="47">
        <f>IF($B152="","",SUMIFS(Grids!$EE$9:$GQ$108,Grids!$C$9:$BO$108,"&gt;="&amp;$B152*1000000000,Grids!$C$9:$BO$108,"&lt;"&amp;($B152+1)*1000000000))</f>
        <v/>
      </c>
      <c r="D152" s="47">
        <f>IF($B152="","",SUMIFS(Grids!$EE$113:$GQ$152,Grids!$C$113:$BO$152,"&gt;="&amp;$B152*1000000000,Grids!$C$113:$BO$152,"&lt;"&amp;($B152+1)*1000000000))</f>
        <v/>
      </c>
      <c r="E152" s="47">
        <f>IF($B152="","",SUMIFS(Grids!$EE$157:$GQ$216,Grids!$C$157:$BO$216,"&gt;="&amp;$B152*1000000000,Grids!$C$157:$BO$216,"&lt;"&amp;($B152+1)*1000000000))</f>
        <v/>
      </c>
      <c r="F152" s="48">
        <f>IF($B152="","",SUM($C$26:$C152))</f>
        <v/>
      </c>
      <c r="G152" s="48">
        <f>IF($B152="","",SUM($D$26:$D152))</f>
        <v/>
      </c>
      <c r="H152" s="48">
        <f>IF($B152="","",SUM($E$26:$E152))</f>
        <v/>
      </c>
    </row>
    <row r="153">
      <c r="B153" s="46">
        <f>IF(DATE(Summary!$C$12,1,1)+127&gt;DATE(Summary!$C$12,12,31),"",DATE(Summary!$C$12,1,1)+127)</f>
        <v/>
      </c>
      <c r="C153" s="47">
        <f>IF($B153="","",SUMIFS(Grids!$EE$9:$GQ$108,Grids!$C$9:$BO$108,"&gt;="&amp;$B153*1000000000,Grids!$C$9:$BO$108,"&lt;"&amp;($B153+1)*1000000000))</f>
        <v/>
      </c>
      <c r="D153" s="47">
        <f>IF($B153="","",SUMIFS(Grids!$EE$113:$GQ$152,Grids!$C$113:$BO$152,"&gt;="&amp;$B153*1000000000,Grids!$C$113:$BO$152,"&lt;"&amp;($B153+1)*1000000000))</f>
        <v/>
      </c>
      <c r="E153" s="47">
        <f>IF($B153="","",SUMIFS(Grids!$EE$157:$GQ$216,Grids!$C$157:$BO$216,"&gt;="&amp;$B153*1000000000,Grids!$C$157:$BO$216,"&lt;"&amp;($B153+1)*1000000000))</f>
        <v/>
      </c>
      <c r="F153" s="48">
        <f>IF($B153="","",SUM($C$26:$C153))</f>
        <v/>
      </c>
      <c r="G153" s="48">
        <f>IF($B153="","",SUM($D$26:$D153))</f>
        <v/>
      </c>
      <c r="H153" s="48">
        <f>IF($B153="","",SUM($E$26:$E153))</f>
        <v/>
      </c>
    </row>
    <row r="154">
      <c r="B154" s="46">
        <f>IF(DATE(Summary!$C$12,1,1)+128&gt;DATE(Summary!$C$12,12,31),"",DATE(Summary!$C$12,1,1)+128)</f>
        <v/>
      </c>
      <c r="C154" s="47">
        <f>IF($B154="","",SUMIFS(Grids!$EE$9:$GQ$108,Grids!$C$9:$BO$108,"&gt;="&amp;$B154*1000000000,Grids!$C$9:$BO$108,"&lt;"&amp;($B154+1)*1000000000))</f>
        <v/>
      </c>
      <c r="D154" s="47">
        <f>IF($B154="","",SUMIFS(Grids!$EE$113:$GQ$152,Grids!$C$113:$BO$152,"&gt;="&amp;$B154*1000000000,Grids!$C$113:$BO$152,"&lt;"&amp;($B154+1)*1000000000))</f>
        <v/>
      </c>
      <c r="E154" s="47">
        <f>IF($B154="","",SUMIFS(Grids!$EE$157:$GQ$216,Grids!$C$157:$BO$216,"&gt;="&amp;$B154*1000000000,Grids!$C$157:$BO$216,"&lt;"&amp;($B154+1)*1000000000))</f>
        <v/>
      </c>
      <c r="F154" s="48">
        <f>IF($B154="","",SUM($C$26:$C154))</f>
        <v/>
      </c>
      <c r="G154" s="48">
        <f>IF($B154="","",SUM($D$26:$D154))</f>
        <v/>
      </c>
      <c r="H154" s="48">
        <f>IF($B154="","",SUM($E$26:$E154))</f>
        <v/>
      </c>
    </row>
    <row r="155">
      <c r="B155" s="46">
        <f>IF(DATE(Summary!$C$12,1,1)+129&gt;DATE(Summary!$C$12,12,31),"",DATE(Summary!$C$12,1,1)+129)</f>
        <v/>
      </c>
      <c r="C155" s="47">
        <f>IF($B155="","",SUMIFS(Grids!$EE$9:$GQ$108,Grids!$C$9:$BO$108,"&gt;="&amp;$B155*1000000000,Grids!$C$9:$BO$108,"&lt;"&amp;($B155+1)*1000000000))</f>
        <v/>
      </c>
      <c r="D155" s="47">
        <f>IF($B155="","",SUMIFS(Grids!$EE$113:$GQ$152,Grids!$C$113:$BO$152,"&gt;="&amp;$B155*1000000000,Grids!$C$113:$BO$152,"&lt;"&amp;($B155+1)*1000000000))</f>
        <v/>
      </c>
      <c r="E155" s="47">
        <f>IF($B155="","",SUMIFS(Grids!$EE$157:$GQ$216,Grids!$C$157:$BO$216,"&gt;="&amp;$B155*1000000000,Grids!$C$157:$BO$216,"&lt;"&amp;($B155+1)*1000000000))</f>
        <v/>
      </c>
      <c r="F155" s="48">
        <f>IF($B155="","",SUM($C$26:$C155))</f>
        <v/>
      </c>
      <c r="G155" s="48">
        <f>IF($B155="","",SUM($D$26:$D155))</f>
        <v/>
      </c>
      <c r="H155" s="48">
        <f>IF($B155="","",SUM($E$26:$E155))</f>
        <v/>
      </c>
    </row>
    <row r="156">
      <c r="B156" s="46">
        <f>IF(DATE(Summary!$C$12,1,1)+130&gt;DATE(Summary!$C$12,12,31),"",DATE(Summary!$C$12,1,1)+130)</f>
        <v/>
      </c>
      <c r="C156" s="47">
        <f>IF($B156="","",SUMIFS(Grids!$EE$9:$GQ$108,Grids!$C$9:$BO$108,"&gt;="&amp;$B156*1000000000,Grids!$C$9:$BO$108,"&lt;"&amp;($B156+1)*1000000000))</f>
        <v/>
      </c>
      <c r="D156" s="47">
        <f>IF($B156="","",SUMIFS(Grids!$EE$113:$GQ$152,Grids!$C$113:$BO$152,"&gt;="&amp;$B156*1000000000,Grids!$C$113:$BO$152,"&lt;"&amp;($B156+1)*1000000000))</f>
        <v/>
      </c>
      <c r="E156" s="47">
        <f>IF($B156="","",SUMIFS(Grids!$EE$157:$GQ$216,Grids!$C$157:$BO$216,"&gt;="&amp;$B156*1000000000,Grids!$C$157:$BO$216,"&lt;"&amp;($B156+1)*1000000000))</f>
        <v/>
      </c>
      <c r="F156" s="48">
        <f>IF($B156="","",SUM($C$26:$C156))</f>
        <v/>
      </c>
      <c r="G156" s="48">
        <f>IF($B156="","",SUM($D$26:$D156))</f>
        <v/>
      </c>
      <c r="H156" s="48">
        <f>IF($B156="","",SUM($E$26:$E156))</f>
        <v/>
      </c>
    </row>
    <row r="157">
      <c r="B157" s="46">
        <f>IF(DATE(Summary!$C$12,1,1)+131&gt;DATE(Summary!$C$12,12,31),"",DATE(Summary!$C$12,1,1)+131)</f>
        <v/>
      </c>
      <c r="C157" s="47">
        <f>IF($B157="","",SUMIFS(Grids!$EE$9:$GQ$108,Grids!$C$9:$BO$108,"&gt;="&amp;$B157*1000000000,Grids!$C$9:$BO$108,"&lt;"&amp;($B157+1)*1000000000))</f>
        <v/>
      </c>
      <c r="D157" s="47">
        <f>IF($B157="","",SUMIFS(Grids!$EE$113:$GQ$152,Grids!$C$113:$BO$152,"&gt;="&amp;$B157*1000000000,Grids!$C$113:$BO$152,"&lt;"&amp;($B157+1)*1000000000))</f>
        <v/>
      </c>
      <c r="E157" s="47">
        <f>IF($B157="","",SUMIFS(Grids!$EE$157:$GQ$216,Grids!$C$157:$BO$216,"&gt;="&amp;$B157*1000000000,Grids!$C$157:$BO$216,"&lt;"&amp;($B157+1)*1000000000))</f>
        <v/>
      </c>
      <c r="F157" s="48">
        <f>IF($B157="","",SUM($C$26:$C157))</f>
        <v/>
      </c>
      <c r="G157" s="48">
        <f>IF($B157="","",SUM($D$26:$D157))</f>
        <v/>
      </c>
      <c r="H157" s="48">
        <f>IF($B157="","",SUM($E$26:$E157))</f>
        <v/>
      </c>
    </row>
    <row r="158">
      <c r="B158" s="46">
        <f>IF(DATE(Summary!$C$12,1,1)+132&gt;DATE(Summary!$C$12,12,31),"",DATE(Summary!$C$12,1,1)+132)</f>
        <v/>
      </c>
      <c r="C158" s="47">
        <f>IF($B158="","",SUMIFS(Grids!$EE$9:$GQ$108,Grids!$C$9:$BO$108,"&gt;="&amp;$B158*1000000000,Grids!$C$9:$BO$108,"&lt;"&amp;($B158+1)*1000000000))</f>
        <v/>
      </c>
      <c r="D158" s="47">
        <f>IF($B158="","",SUMIFS(Grids!$EE$113:$GQ$152,Grids!$C$113:$BO$152,"&gt;="&amp;$B158*1000000000,Grids!$C$113:$BO$152,"&lt;"&amp;($B158+1)*1000000000))</f>
        <v/>
      </c>
      <c r="E158" s="47">
        <f>IF($B158="","",SUMIFS(Grids!$EE$157:$GQ$216,Grids!$C$157:$BO$216,"&gt;="&amp;$B158*1000000000,Grids!$C$157:$BO$216,"&lt;"&amp;($B158+1)*1000000000))</f>
        <v/>
      </c>
      <c r="F158" s="48">
        <f>IF($B158="","",SUM($C$26:$C158))</f>
        <v/>
      </c>
      <c r="G158" s="48">
        <f>IF($B158="","",SUM($D$26:$D158))</f>
        <v/>
      </c>
      <c r="H158" s="48">
        <f>IF($B158="","",SUM($E$26:$E158))</f>
        <v/>
      </c>
    </row>
    <row r="159">
      <c r="B159" s="46">
        <f>IF(DATE(Summary!$C$12,1,1)+133&gt;DATE(Summary!$C$12,12,31),"",DATE(Summary!$C$12,1,1)+133)</f>
        <v/>
      </c>
      <c r="C159" s="47">
        <f>IF($B159="","",SUMIFS(Grids!$EE$9:$GQ$108,Grids!$C$9:$BO$108,"&gt;="&amp;$B159*1000000000,Grids!$C$9:$BO$108,"&lt;"&amp;($B159+1)*1000000000))</f>
        <v/>
      </c>
      <c r="D159" s="47">
        <f>IF($B159="","",SUMIFS(Grids!$EE$113:$GQ$152,Grids!$C$113:$BO$152,"&gt;="&amp;$B159*1000000000,Grids!$C$113:$BO$152,"&lt;"&amp;($B159+1)*1000000000))</f>
        <v/>
      </c>
      <c r="E159" s="47">
        <f>IF($B159="","",SUMIFS(Grids!$EE$157:$GQ$216,Grids!$C$157:$BO$216,"&gt;="&amp;$B159*1000000000,Grids!$C$157:$BO$216,"&lt;"&amp;($B159+1)*1000000000))</f>
        <v/>
      </c>
      <c r="F159" s="48">
        <f>IF($B159="","",SUM($C$26:$C159))</f>
        <v/>
      </c>
      <c r="G159" s="48">
        <f>IF($B159="","",SUM($D$26:$D159))</f>
        <v/>
      </c>
      <c r="H159" s="48">
        <f>IF($B159="","",SUM($E$26:$E159))</f>
        <v/>
      </c>
    </row>
    <row r="160">
      <c r="B160" s="46">
        <f>IF(DATE(Summary!$C$12,1,1)+134&gt;DATE(Summary!$C$12,12,31),"",DATE(Summary!$C$12,1,1)+134)</f>
        <v/>
      </c>
      <c r="C160" s="47">
        <f>IF($B160="","",SUMIFS(Grids!$EE$9:$GQ$108,Grids!$C$9:$BO$108,"&gt;="&amp;$B160*1000000000,Grids!$C$9:$BO$108,"&lt;"&amp;($B160+1)*1000000000))</f>
        <v/>
      </c>
      <c r="D160" s="47">
        <f>IF($B160="","",SUMIFS(Grids!$EE$113:$GQ$152,Grids!$C$113:$BO$152,"&gt;="&amp;$B160*1000000000,Grids!$C$113:$BO$152,"&lt;"&amp;($B160+1)*1000000000))</f>
        <v/>
      </c>
      <c r="E160" s="47">
        <f>IF($B160="","",SUMIFS(Grids!$EE$157:$GQ$216,Grids!$C$157:$BO$216,"&gt;="&amp;$B160*1000000000,Grids!$C$157:$BO$216,"&lt;"&amp;($B160+1)*1000000000))</f>
        <v/>
      </c>
      <c r="F160" s="48">
        <f>IF($B160="","",SUM($C$26:$C160))</f>
        <v/>
      </c>
      <c r="G160" s="48">
        <f>IF($B160="","",SUM($D$26:$D160))</f>
        <v/>
      </c>
      <c r="H160" s="48">
        <f>IF($B160="","",SUM($E$26:$E160))</f>
        <v/>
      </c>
    </row>
    <row r="161">
      <c r="B161" s="46">
        <f>IF(DATE(Summary!$C$12,1,1)+135&gt;DATE(Summary!$C$12,12,31),"",DATE(Summary!$C$12,1,1)+135)</f>
        <v/>
      </c>
      <c r="C161" s="47">
        <f>IF($B161="","",SUMIFS(Grids!$EE$9:$GQ$108,Grids!$C$9:$BO$108,"&gt;="&amp;$B161*1000000000,Grids!$C$9:$BO$108,"&lt;"&amp;($B161+1)*1000000000))</f>
        <v/>
      </c>
      <c r="D161" s="47">
        <f>IF($B161="","",SUMIFS(Grids!$EE$113:$GQ$152,Grids!$C$113:$BO$152,"&gt;="&amp;$B161*1000000000,Grids!$C$113:$BO$152,"&lt;"&amp;($B161+1)*1000000000))</f>
        <v/>
      </c>
      <c r="E161" s="47">
        <f>IF($B161="","",SUMIFS(Grids!$EE$157:$GQ$216,Grids!$C$157:$BO$216,"&gt;="&amp;$B161*1000000000,Grids!$C$157:$BO$216,"&lt;"&amp;($B161+1)*1000000000))</f>
        <v/>
      </c>
      <c r="F161" s="48">
        <f>IF($B161="","",SUM($C$26:$C161))</f>
        <v/>
      </c>
      <c r="G161" s="48">
        <f>IF($B161="","",SUM($D$26:$D161))</f>
        <v/>
      </c>
      <c r="H161" s="48">
        <f>IF($B161="","",SUM($E$26:$E161))</f>
        <v/>
      </c>
    </row>
    <row r="162">
      <c r="B162" s="46">
        <f>IF(DATE(Summary!$C$12,1,1)+136&gt;DATE(Summary!$C$12,12,31),"",DATE(Summary!$C$12,1,1)+136)</f>
        <v/>
      </c>
      <c r="C162" s="47">
        <f>IF($B162="","",SUMIFS(Grids!$EE$9:$GQ$108,Grids!$C$9:$BO$108,"&gt;="&amp;$B162*1000000000,Grids!$C$9:$BO$108,"&lt;"&amp;($B162+1)*1000000000))</f>
        <v/>
      </c>
      <c r="D162" s="47">
        <f>IF($B162="","",SUMIFS(Grids!$EE$113:$GQ$152,Grids!$C$113:$BO$152,"&gt;="&amp;$B162*1000000000,Grids!$C$113:$BO$152,"&lt;"&amp;($B162+1)*1000000000))</f>
        <v/>
      </c>
      <c r="E162" s="47">
        <f>IF($B162="","",SUMIFS(Grids!$EE$157:$GQ$216,Grids!$C$157:$BO$216,"&gt;="&amp;$B162*1000000000,Grids!$C$157:$BO$216,"&lt;"&amp;($B162+1)*1000000000))</f>
        <v/>
      </c>
      <c r="F162" s="48">
        <f>IF($B162="","",SUM($C$26:$C162))</f>
        <v/>
      </c>
      <c r="G162" s="48">
        <f>IF($B162="","",SUM($D$26:$D162))</f>
        <v/>
      </c>
      <c r="H162" s="48">
        <f>IF($B162="","",SUM($E$26:$E162))</f>
        <v/>
      </c>
    </row>
    <row r="163">
      <c r="B163" s="46">
        <f>IF(DATE(Summary!$C$12,1,1)+137&gt;DATE(Summary!$C$12,12,31),"",DATE(Summary!$C$12,1,1)+137)</f>
        <v/>
      </c>
      <c r="C163" s="47">
        <f>IF($B163="","",SUMIFS(Grids!$EE$9:$GQ$108,Grids!$C$9:$BO$108,"&gt;="&amp;$B163*1000000000,Grids!$C$9:$BO$108,"&lt;"&amp;($B163+1)*1000000000))</f>
        <v/>
      </c>
      <c r="D163" s="47">
        <f>IF($B163="","",SUMIFS(Grids!$EE$113:$GQ$152,Grids!$C$113:$BO$152,"&gt;="&amp;$B163*1000000000,Grids!$C$113:$BO$152,"&lt;"&amp;($B163+1)*1000000000))</f>
        <v/>
      </c>
      <c r="E163" s="47">
        <f>IF($B163="","",SUMIFS(Grids!$EE$157:$GQ$216,Grids!$C$157:$BO$216,"&gt;="&amp;$B163*1000000000,Grids!$C$157:$BO$216,"&lt;"&amp;($B163+1)*1000000000))</f>
        <v/>
      </c>
      <c r="F163" s="48">
        <f>IF($B163="","",SUM($C$26:$C163))</f>
        <v/>
      </c>
      <c r="G163" s="48">
        <f>IF($B163="","",SUM($D$26:$D163))</f>
        <v/>
      </c>
      <c r="H163" s="48">
        <f>IF($B163="","",SUM($E$26:$E163))</f>
        <v/>
      </c>
    </row>
    <row r="164">
      <c r="B164" s="46">
        <f>IF(DATE(Summary!$C$12,1,1)+138&gt;DATE(Summary!$C$12,12,31),"",DATE(Summary!$C$12,1,1)+138)</f>
        <v/>
      </c>
      <c r="C164" s="47">
        <f>IF($B164="","",SUMIFS(Grids!$EE$9:$GQ$108,Grids!$C$9:$BO$108,"&gt;="&amp;$B164*1000000000,Grids!$C$9:$BO$108,"&lt;"&amp;($B164+1)*1000000000))</f>
        <v/>
      </c>
      <c r="D164" s="47">
        <f>IF($B164="","",SUMIFS(Grids!$EE$113:$GQ$152,Grids!$C$113:$BO$152,"&gt;="&amp;$B164*1000000000,Grids!$C$113:$BO$152,"&lt;"&amp;($B164+1)*1000000000))</f>
        <v/>
      </c>
      <c r="E164" s="47">
        <f>IF($B164="","",SUMIFS(Grids!$EE$157:$GQ$216,Grids!$C$157:$BO$216,"&gt;="&amp;$B164*1000000000,Grids!$C$157:$BO$216,"&lt;"&amp;($B164+1)*1000000000))</f>
        <v/>
      </c>
      <c r="F164" s="48">
        <f>IF($B164="","",SUM($C$26:$C164))</f>
        <v/>
      </c>
      <c r="G164" s="48">
        <f>IF($B164="","",SUM($D$26:$D164))</f>
        <v/>
      </c>
      <c r="H164" s="48">
        <f>IF($B164="","",SUM($E$26:$E164))</f>
        <v/>
      </c>
    </row>
    <row r="165">
      <c r="B165" s="46">
        <f>IF(DATE(Summary!$C$12,1,1)+139&gt;DATE(Summary!$C$12,12,31),"",DATE(Summary!$C$12,1,1)+139)</f>
        <v/>
      </c>
      <c r="C165" s="47">
        <f>IF($B165="","",SUMIFS(Grids!$EE$9:$GQ$108,Grids!$C$9:$BO$108,"&gt;="&amp;$B165*1000000000,Grids!$C$9:$BO$108,"&lt;"&amp;($B165+1)*1000000000))</f>
        <v/>
      </c>
      <c r="D165" s="47">
        <f>IF($B165="","",SUMIFS(Grids!$EE$113:$GQ$152,Grids!$C$113:$BO$152,"&gt;="&amp;$B165*1000000000,Grids!$C$113:$BO$152,"&lt;"&amp;($B165+1)*1000000000))</f>
        <v/>
      </c>
      <c r="E165" s="47">
        <f>IF($B165="","",SUMIFS(Grids!$EE$157:$GQ$216,Grids!$C$157:$BO$216,"&gt;="&amp;$B165*1000000000,Grids!$C$157:$BO$216,"&lt;"&amp;($B165+1)*1000000000))</f>
        <v/>
      </c>
      <c r="F165" s="48">
        <f>IF($B165="","",SUM($C$26:$C165))</f>
        <v/>
      </c>
      <c r="G165" s="48">
        <f>IF($B165="","",SUM($D$26:$D165))</f>
        <v/>
      </c>
      <c r="H165" s="48">
        <f>IF($B165="","",SUM($E$26:$E165))</f>
        <v/>
      </c>
    </row>
    <row r="166">
      <c r="B166" s="46">
        <f>IF(DATE(Summary!$C$12,1,1)+140&gt;DATE(Summary!$C$12,12,31),"",DATE(Summary!$C$12,1,1)+140)</f>
        <v/>
      </c>
      <c r="C166" s="47">
        <f>IF($B166="","",SUMIFS(Grids!$EE$9:$GQ$108,Grids!$C$9:$BO$108,"&gt;="&amp;$B166*1000000000,Grids!$C$9:$BO$108,"&lt;"&amp;($B166+1)*1000000000))</f>
        <v/>
      </c>
      <c r="D166" s="47">
        <f>IF($B166="","",SUMIFS(Grids!$EE$113:$GQ$152,Grids!$C$113:$BO$152,"&gt;="&amp;$B166*1000000000,Grids!$C$113:$BO$152,"&lt;"&amp;($B166+1)*1000000000))</f>
        <v/>
      </c>
      <c r="E166" s="47">
        <f>IF($B166="","",SUMIFS(Grids!$EE$157:$GQ$216,Grids!$C$157:$BO$216,"&gt;="&amp;$B166*1000000000,Grids!$C$157:$BO$216,"&lt;"&amp;($B166+1)*1000000000))</f>
        <v/>
      </c>
      <c r="F166" s="48">
        <f>IF($B166="","",SUM($C$26:$C166))</f>
        <v/>
      </c>
      <c r="G166" s="48">
        <f>IF($B166="","",SUM($D$26:$D166))</f>
        <v/>
      </c>
      <c r="H166" s="48">
        <f>IF($B166="","",SUM($E$26:$E166))</f>
        <v/>
      </c>
    </row>
    <row r="167">
      <c r="B167" s="46">
        <f>IF(DATE(Summary!$C$12,1,1)+141&gt;DATE(Summary!$C$12,12,31),"",DATE(Summary!$C$12,1,1)+141)</f>
        <v/>
      </c>
      <c r="C167" s="47">
        <f>IF($B167="","",SUMIFS(Grids!$EE$9:$GQ$108,Grids!$C$9:$BO$108,"&gt;="&amp;$B167*1000000000,Grids!$C$9:$BO$108,"&lt;"&amp;($B167+1)*1000000000))</f>
        <v/>
      </c>
      <c r="D167" s="47">
        <f>IF($B167="","",SUMIFS(Grids!$EE$113:$GQ$152,Grids!$C$113:$BO$152,"&gt;="&amp;$B167*1000000000,Grids!$C$113:$BO$152,"&lt;"&amp;($B167+1)*1000000000))</f>
        <v/>
      </c>
      <c r="E167" s="47">
        <f>IF($B167="","",SUMIFS(Grids!$EE$157:$GQ$216,Grids!$C$157:$BO$216,"&gt;="&amp;$B167*1000000000,Grids!$C$157:$BO$216,"&lt;"&amp;($B167+1)*1000000000))</f>
        <v/>
      </c>
      <c r="F167" s="48">
        <f>IF($B167="","",SUM($C$26:$C167))</f>
        <v/>
      </c>
      <c r="G167" s="48">
        <f>IF($B167="","",SUM($D$26:$D167))</f>
        <v/>
      </c>
      <c r="H167" s="48">
        <f>IF($B167="","",SUM($E$26:$E167))</f>
        <v/>
      </c>
    </row>
    <row r="168">
      <c r="B168" s="46">
        <f>IF(DATE(Summary!$C$12,1,1)+142&gt;DATE(Summary!$C$12,12,31),"",DATE(Summary!$C$12,1,1)+142)</f>
        <v/>
      </c>
      <c r="C168" s="47">
        <f>IF($B168="","",SUMIFS(Grids!$EE$9:$GQ$108,Grids!$C$9:$BO$108,"&gt;="&amp;$B168*1000000000,Grids!$C$9:$BO$108,"&lt;"&amp;($B168+1)*1000000000))</f>
        <v/>
      </c>
      <c r="D168" s="47">
        <f>IF($B168="","",SUMIFS(Grids!$EE$113:$GQ$152,Grids!$C$113:$BO$152,"&gt;="&amp;$B168*1000000000,Grids!$C$113:$BO$152,"&lt;"&amp;($B168+1)*1000000000))</f>
        <v/>
      </c>
      <c r="E168" s="47">
        <f>IF($B168="","",SUMIFS(Grids!$EE$157:$GQ$216,Grids!$C$157:$BO$216,"&gt;="&amp;$B168*1000000000,Grids!$C$157:$BO$216,"&lt;"&amp;($B168+1)*1000000000))</f>
        <v/>
      </c>
      <c r="F168" s="48">
        <f>IF($B168="","",SUM($C$26:$C168))</f>
        <v/>
      </c>
      <c r="G168" s="48">
        <f>IF($B168="","",SUM($D$26:$D168))</f>
        <v/>
      </c>
      <c r="H168" s="48">
        <f>IF($B168="","",SUM($E$26:$E168))</f>
        <v/>
      </c>
    </row>
    <row r="169">
      <c r="B169" s="46">
        <f>IF(DATE(Summary!$C$12,1,1)+143&gt;DATE(Summary!$C$12,12,31),"",DATE(Summary!$C$12,1,1)+143)</f>
        <v/>
      </c>
      <c r="C169" s="47">
        <f>IF($B169="","",SUMIFS(Grids!$EE$9:$GQ$108,Grids!$C$9:$BO$108,"&gt;="&amp;$B169*1000000000,Grids!$C$9:$BO$108,"&lt;"&amp;($B169+1)*1000000000))</f>
        <v/>
      </c>
      <c r="D169" s="47">
        <f>IF($B169="","",SUMIFS(Grids!$EE$113:$GQ$152,Grids!$C$113:$BO$152,"&gt;="&amp;$B169*1000000000,Grids!$C$113:$BO$152,"&lt;"&amp;($B169+1)*1000000000))</f>
        <v/>
      </c>
      <c r="E169" s="47">
        <f>IF($B169="","",SUMIFS(Grids!$EE$157:$GQ$216,Grids!$C$157:$BO$216,"&gt;="&amp;$B169*1000000000,Grids!$C$157:$BO$216,"&lt;"&amp;($B169+1)*1000000000))</f>
        <v/>
      </c>
      <c r="F169" s="48">
        <f>IF($B169="","",SUM($C$26:$C169))</f>
        <v/>
      </c>
      <c r="G169" s="48">
        <f>IF($B169="","",SUM($D$26:$D169))</f>
        <v/>
      </c>
      <c r="H169" s="48">
        <f>IF($B169="","",SUM($E$26:$E169))</f>
        <v/>
      </c>
    </row>
    <row r="170">
      <c r="B170" s="46">
        <f>IF(DATE(Summary!$C$12,1,1)+144&gt;DATE(Summary!$C$12,12,31),"",DATE(Summary!$C$12,1,1)+144)</f>
        <v/>
      </c>
      <c r="C170" s="47">
        <f>IF($B170="","",SUMIFS(Grids!$EE$9:$GQ$108,Grids!$C$9:$BO$108,"&gt;="&amp;$B170*1000000000,Grids!$C$9:$BO$108,"&lt;"&amp;($B170+1)*1000000000))</f>
        <v/>
      </c>
      <c r="D170" s="47">
        <f>IF($B170="","",SUMIFS(Grids!$EE$113:$GQ$152,Grids!$C$113:$BO$152,"&gt;="&amp;$B170*1000000000,Grids!$C$113:$BO$152,"&lt;"&amp;($B170+1)*1000000000))</f>
        <v/>
      </c>
      <c r="E170" s="47">
        <f>IF($B170="","",SUMIFS(Grids!$EE$157:$GQ$216,Grids!$C$157:$BO$216,"&gt;="&amp;$B170*1000000000,Grids!$C$157:$BO$216,"&lt;"&amp;($B170+1)*1000000000))</f>
        <v/>
      </c>
      <c r="F170" s="48">
        <f>IF($B170="","",SUM($C$26:$C170))</f>
        <v/>
      </c>
      <c r="G170" s="48">
        <f>IF($B170="","",SUM($D$26:$D170))</f>
        <v/>
      </c>
      <c r="H170" s="48">
        <f>IF($B170="","",SUM($E$26:$E170))</f>
        <v/>
      </c>
    </row>
    <row r="171">
      <c r="B171" s="46">
        <f>IF(DATE(Summary!$C$12,1,1)+145&gt;DATE(Summary!$C$12,12,31),"",DATE(Summary!$C$12,1,1)+145)</f>
        <v/>
      </c>
      <c r="C171" s="47">
        <f>IF($B171="","",SUMIFS(Grids!$EE$9:$GQ$108,Grids!$C$9:$BO$108,"&gt;="&amp;$B171*1000000000,Grids!$C$9:$BO$108,"&lt;"&amp;($B171+1)*1000000000))</f>
        <v/>
      </c>
      <c r="D171" s="47">
        <f>IF($B171="","",SUMIFS(Grids!$EE$113:$GQ$152,Grids!$C$113:$BO$152,"&gt;="&amp;$B171*1000000000,Grids!$C$113:$BO$152,"&lt;"&amp;($B171+1)*1000000000))</f>
        <v/>
      </c>
      <c r="E171" s="47">
        <f>IF($B171="","",SUMIFS(Grids!$EE$157:$GQ$216,Grids!$C$157:$BO$216,"&gt;="&amp;$B171*1000000000,Grids!$C$157:$BO$216,"&lt;"&amp;($B171+1)*1000000000))</f>
        <v/>
      </c>
      <c r="F171" s="48">
        <f>IF($B171="","",SUM($C$26:$C171))</f>
        <v/>
      </c>
      <c r="G171" s="48">
        <f>IF($B171="","",SUM($D$26:$D171))</f>
        <v/>
      </c>
      <c r="H171" s="48">
        <f>IF($B171="","",SUM($E$26:$E171))</f>
        <v/>
      </c>
    </row>
    <row r="172">
      <c r="B172" s="46">
        <f>IF(DATE(Summary!$C$12,1,1)+146&gt;DATE(Summary!$C$12,12,31),"",DATE(Summary!$C$12,1,1)+146)</f>
        <v/>
      </c>
      <c r="C172" s="47">
        <f>IF($B172="","",SUMIFS(Grids!$EE$9:$GQ$108,Grids!$C$9:$BO$108,"&gt;="&amp;$B172*1000000000,Grids!$C$9:$BO$108,"&lt;"&amp;($B172+1)*1000000000))</f>
        <v/>
      </c>
      <c r="D172" s="47">
        <f>IF($B172="","",SUMIFS(Grids!$EE$113:$GQ$152,Grids!$C$113:$BO$152,"&gt;="&amp;$B172*1000000000,Grids!$C$113:$BO$152,"&lt;"&amp;($B172+1)*1000000000))</f>
        <v/>
      </c>
      <c r="E172" s="47">
        <f>IF($B172="","",SUMIFS(Grids!$EE$157:$GQ$216,Grids!$C$157:$BO$216,"&gt;="&amp;$B172*1000000000,Grids!$C$157:$BO$216,"&lt;"&amp;($B172+1)*1000000000))</f>
        <v/>
      </c>
      <c r="F172" s="48">
        <f>IF($B172="","",SUM($C$26:$C172))</f>
        <v/>
      </c>
      <c r="G172" s="48">
        <f>IF($B172="","",SUM($D$26:$D172))</f>
        <v/>
      </c>
      <c r="H172" s="48">
        <f>IF($B172="","",SUM($E$26:$E172))</f>
        <v/>
      </c>
    </row>
    <row r="173">
      <c r="B173" s="46">
        <f>IF(DATE(Summary!$C$12,1,1)+147&gt;DATE(Summary!$C$12,12,31),"",DATE(Summary!$C$12,1,1)+147)</f>
        <v/>
      </c>
      <c r="C173" s="47">
        <f>IF($B173="","",SUMIFS(Grids!$EE$9:$GQ$108,Grids!$C$9:$BO$108,"&gt;="&amp;$B173*1000000000,Grids!$C$9:$BO$108,"&lt;"&amp;($B173+1)*1000000000))</f>
        <v/>
      </c>
      <c r="D173" s="47">
        <f>IF($B173="","",SUMIFS(Grids!$EE$113:$GQ$152,Grids!$C$113:$BO$152,"&gt;="&amp;$B173*1000000000,Grids!$C$113:$BO$152,"&lt;"&amp;($B173+1)*1000000000))</f>
        <v/>
      </c>
      <c r="E173" s="47">
        <f>IF($B173="","",SUMIFS(Grids!$EE$157:$GQ$216,Grids!$C$157:$BO$216,"&gt;="&amp;$B173*1000000000,Grids!$C$157:$BO$216,"&lt;"&amp;($B173+1)*1000000000))</f>
        <v/>
      </c>
      <c r="F173" s="48">
        <f>IF($B173="","",SUM($C$26:$C173))</f>
        <v/>
      </c>
      <c r="G173" s="48">
        <f>IF($B173="","",SUM($D$26:$D173))</f>
        <v/>
      </c>
      <c r="H173" s="48">
        <f>IF($B173="","",SUM($E$26:$E173))</f>
        <v/>
      </c>
    </row>
    <row r="174">
      <c r="B174" s="46">
        <f>IF(DATE(Summary!$C$12,1,1)+148&gt;DATE(Summary!$C$12,12,31),"",DATE(Summary!$C$12,1,1)+148)</f>
        <v/>
      </c>
      <c r="C174" s="47">
        <f>IF($B174="","",SUMIFS(Grids!$EE$9:$GQ$108,Grids!$C$9:$BO$108,"&gt;="&amp;$B174*1000000000,Grids!$C$9:$BO$108,"&lt;"&amp;($B174+1)*1000000000))</f>
        <v/>
      </c>
      <c r="D174" s="47">
        <f>IF($B174="","",SUMIFS(Grids!$EE$113:$GQ$152,Grids!$C$113:$BO$152,"&gt;="&amp;$B174*1000000000,Grids!$C$113:$BO$152,"&lt;"&amp;($B174+1)*1000000000))</f>
        <v/>
      </c>
      <c r="E174" s="47">
        <f>IF($B174="","",SUMIFS(Grids!$EE$157:$GQ$216,Grids!$C$157:$BO$216,"&gt;="&amp;$B174*1000000000,Grids!$C$157:$BO$216,"&lt;"&amp;($B174+1)*1000000000))</f>
        <v/>
      </c>
      <c r="F174" s="48">
        <f>IF($B174="","",SUM($C$26:$C174))</f>
        <v/>
      </c>
      <c r="G174" s="48">
        <f>IF($B174="","",SUM($D$26:$D174))</f>
        <v/>
      </c>
      <c r="H174" s="48">
        <f>IF($B174="","",SUM($E$26:$E174))</f>
        <v/>
      </c>
    </row>
    <row r="175">
      <c r="B175" s="46">
        <f>IF(DATE(Summary!$C$12,1,1)+149&gt;DATE(Summary!$C$12,12,31),"",DATE(Summary!$C$12,1,1)+149)</f>
        <v/>
      </c>
      <c r="C175" s="47">
        <f>IF($B175="","",SUMIFS(Grids!$EE$9:$GQ$108,Grids!$C$9:$BO$108,"&gt;="&amp;$B175*1000000000,Grids!$C$9:$BO$108,"&lt;"&amp;($B175+1)*1000000000))</f>
        <v/>
      </c>
      <c r="D175" s="47">
        <f>IF($B175="","",SUMIFS(Grids!$EE$113:$GQ$152,Grids!$C$113:$BO$152,"&gt;="&amp;$B175*1000000000,Grids!$C$113:$BO$152,"&lt;"&amp;($B175+1)*1000000000))</f>
        <v/>
      </c>
      <c r="E175" s="47">
        <f>IF($B175="","",SUMIFS(Grids!$EE$157:$GQ$216,Grids!$C$157:$BO$216,"&gt;="&amp;$B175*1000000000,Grids!$C$157:$BO$216,"&lt;"&amp;($B175+1)*1000000000))</f>
        <v/>
      </c>
      <c r="F175" s="48">
        <f>IF($B175="","",SUM($C$26:$C175))</f>
        <v/>
      </c>
      <c r="G175" s="48">
        <f>IF($B175="","",SUM($D$26:$D175))</f>
        <v/>
      </c>
      <c r="H175" s="48">
        <f>IF($B175="","",SUM($E$26:$E175))</f>
        <v/>
      </c>
    </row>
    <row r="176">
      <c r="B176" s="46">
        <f>IF(DATE(Summary!$C$12,1,1)+150&gt;DATE(Summary!$C$12,12,31),"",DATE(Summary!$C$12,1,1)+150)</f>
        <v/>
      </c>
      <c r="C176" s="47">
        <f>IF($B176="","",SUMIFS(Grids!$EE$9:$GQ$108,Grids!$C$9:$BO$108,"&gt;="&amp;$B176*1000000000,Grids!$C$9:$BO$108,"&lt;"&amp;($B176+1)*1000000000))</f>
        <v/>
      </c>
      <c r="D176" s="47">
        <f>IF($B176="","",SUMIFS(Grids!$EE$113:$GQ$152,Grids!$C$113:$BO$152,"&gt;="&amp;$B176*1000000000,Grids!$C$113:$BO$152,"&lt;"&amp;($B176+1)*1000000000))</f>
        <v/>
      </c>
      <c r="E176" s="47">
        <f>IF($B176="","",SUMIFS(Grids!$EE$157:$GQ$216,Grids!$C$157:$BO$216,"&gt;="&amp;$B176*1000000000,Grids!$C$157:$BO$216,"&lt;"&amp;($B176+1)*1000000000))</f>
        <v/>
      </c>
      <c r="F176" s="48">
        <f>IF($B176="","",SUM($C$26:$C176))</f>
        <v/>
      </c>
      <c r="G176" s="48">
        <f>IF($B176="","",SUM($D$26:$D176))</f>
        <v/>
      </c>
      <c r="H176" s="48">
        <f>IF($B176="","",SUM($E$26:$E176))</f>
        <v/>
      </c>
    </row>
    <row r="177">
      <c r="B177" s="46">
        <f>IF(DATE(Summary!$C$12,1,1)+151&gt;DATE(Summary!$C$12,12,31),"",DATE(Summary!$C$12,1,1)+151)</f>
        <v/>
      </c>
      <c r="C177" s="47">
        <f>IF($B177="","",SUMIFS(Grids!$EE$9:$GQ$108,Grids!$C$9:$BO$108,"&gt;="&amp;$B177*1000000000,Grids!$C$9:$BO$108,"&lt;"&amp;($B177+1)*1000000000))</f>
        <v/>
      </c>
      <c r="D177" s="47">
        <f>IF($B177="","",SUMIFS(Grids!$EE$113:$GQ$152,Grids!$C$113:$BO$152,"&gt;="&amp;$B177*1000000000,Grids!$C$113:$BO$152,"&lt;"&amp;($B177+1)*1000000000))</f>
        <v/>
      </c>
      <c r="E177" s="47">
        <f>IF($B177="","",SUMIFS(Grids!$EE$157:$GQ$216,Grids!$C$157:$BO$216,"&gt;="&amp;$B177*1000000000,Grids!$C$157:$BO$216,"&lt;"&amp;($B177+1)*1000000000))</f>
        <v/>
      </c>
      <c r="F177" s="48">
        <f>IF($B177="","",SUM($C$26:$C177))</f>
        <v/>
      </c>
      <c r="G177" s="48">
        <f>IF($B177="","",SUM($D$26:$D177))</f>
        <v/>
      </c>
      <c r="H177" s="48">
        <f>IF($B177="","",SUM($E$26:$E177))</f>
        <v/>
      </c>
    </row>
    <row r="178">
      <c r="B178" s="46">
        <f>IF(DATE(Summary!$C$12,1,1)+152&gt;DATE(Summary!$C$12,12,31),"",DATE(Summary!$C$12,1,1)+152)</f>
        <v/>
      </c>
      <c r="C178" s="47">
        <f>IF($B178="","",SUMIFS(Grids!$EE$9:$GQ$108,Grids!$C$9:$BO$108,"&gt;="&amp;$B178*1000000000,Grids!$C$9:$BO$108,"&lt;"&amp;($B178+1)*1000000000))</f>
        <v/>
      </c>
      <c r="D178" s="47">
        <f>IF($B178="","",SUMIFS(Grids!$EE$113:$GQ$152,Grids!$C$113:$BO$152,"&gt;="&amp;$B178*1000000000,Grids!$C$113:$BO$152,"&lt;"&amp;($B178+1)*1000000000))</f>
        <v/>
      </c>
      <c r="E178" s="47">
        <f>IF($B178="","",SUMIFS(Grids!$EE$157:$GQ$216,Grids!$C$157:$BO$216,"&gt;="&amp;$B178*1000000000,Grids!$C$157:$BO$216,"&lt;"&amp;($B178+1)*1000000000))</f>
        <v/>
      </c>
      <c r="F178" s="48">
        <f>IF($B178="","",SUM($C$26:$C178))</f>
        <v/>
      </c>
      <c r="G178" s="48">
        <f>IF($B178="","",SUM($D$26:$D178))</f>
        <v/>
      </c>
      <c r="H178" s="48">
        <f>IF($B178="","",SUM($E$26:$E178))</f>
        <v/>
      </c>
    </row>
    <row r="179">
      <c r="B179" s="46">
        <f>IF(DATE(Summary!$C$12,1,1)+153&gt;DATE(Summary!$C$12,12,31),"",DATE(Summary!$C$12,1,1)+153)</f>
        <v/>
      </c>
      <c r="C179" s="47">
        <f>IF($B179="","",SUMIFS(Grids!$EE$9:$GQ$108,Grids!$C$9:$BO$108,"&gt;="&amp;$B179*1000000000,Grids!$C$9:$BO$108,"&lt;"&amp;($B179+1)*1000000000))</f>
        <v/>
      </c>
      <c r="D179" s="47">
        <f>IF($B179="","",SUMIFS(Grids!$EE$113:$GQ$152,Grids!$C$113:$BO$152,"&gt;="&amp;$B179*1000000000,Grids!$C$113:$BO$152,"&lt;"&amp;($B179+1)*1000000000))</f>
        <v/>
      </c>
      <c r="E179" s="47">
        <f>IF($B179="","",SUMIFS(Grids!$EE$157:$GQ$216,Grids!$C$157:$BO$216,"&gt;="&amp;$B179*1000000000,Grids!$C$157:$BO$216,"&lt;"&amp;($B179+1)*1000000000))</f>
        <v/>
      </c>
      <c r="F179" s="48">
        <f>IF($B179="","",SUM($C$26:$C179))</f>
        <v/>
      </c>
      <c r="G179" s="48">
        <f>IF($B179="","",SUM($D$26:$D179))</f>
        <v/>
      </c>
      <c r="H179" s="48">
        <f>IF($B179="","",SUM($E$26:$E179))</f>
        <v/>
      </c>
    </row>
    <row r="180">
      <c r="B180" s="46">
        <f>IF(DATE(Summary!$C$12,1,1)+154&gt;DATE(Summary!$C$12,12,31),"",DATE(Summary!$C$12,1,1)+154)</f>
        <v/>
      </c>
      <c r="C180" s="47">
        <f>IF($B180="","",SUMIFS(Grids!$EE$9:$GQ$108,Grids!$C$9:$BO$108,"&gt;="&amp;$B180*1000000000,Grids!$C$9:$BO$108,"&lt;"&amp;($B180+1)*1000000000))</f>
        <v/>
      </c>
      <c r="D180" s="47">
        <f>IF($B180="","",SUMIFS(Grids!$EE$113:$GQ$152,Grids!$C$113:$BO$152,"&gt;="&amp;$B180*1000000000,Grids!$C$113:$BO$152,"&lt;"&amp;($B180+1)*1000000000))</f>
        <v/>
      </c>
      <c r="E180" s="47">
        <f>IF($B180="","",SUMIFS(Grids!$EE$157:$GQ$216,Grids!$C$157:$BO$216,"&gt;="&amp;$B180*1000000000,Grids!$C$157:$BO$216,"&lt;"&amp;($B180+1)*1000000000))</f>
        <v/>
      </c>
      <c r="F180" s="48">
        <f>IF($B180="","",SUM($C$26:$C180))</f>
        <v/>
      </c>
      <c r="G180" s="48">
        <f>IF($B180="","",SUM($D$26:$D180))</f>
        <v/>
      </c>
      <c r="H180" s="48">
        <f>IF($B180="","",SUM($E$26:$E180))</f>
        <v/>
      </c>
    </row>
    <row r="181">
      <c r="B181" s="46">
        <f>IF(DATE(Summary!$C$12,1,1)+155&gt;DATE(Summary!$C$12,12,31),"",DATE(Summary!$C$12,1,1)+155)</f>
        <v/>
      </c>
      <c r="C181" s="47">
        <f>IF($B181="","",SUMIFS(Grids!$EE$9:$GQ$108,Grids!$C$9:$BO$108,"&gt;="&amp;$B181*1000000000,Grids!$C$9:$BO$108,"&lt;"&amp;($B181+1)*1000000000))</f>
        <v/>
      </c>
      <c r="D181" s="47">
        <f>IF($B181="","",SUMIFS(Grids!$EE$113:$GQ$152,Grids!$C$113:$BO$152,"&gt;="&amp;$B181*1000000000,Grids!$C$113:$BO$152,"&lt;"&amp;($B181+1)*1000000000))</f>
        <v/>
      </c>
      <c r="E181" s="47">
        <f>IF($B181="","",SUMIFS(Grids!$EE$157:$GQ$216,Grids!$C$157:$BO$216,"&gt;="&amp;$B181*1000000000,Grids!$C$157:$BO$216,"&lt;"&amp;($B181+1)*1000000000))</f>
        <v/>
      </c>
      <c r="F181" s="48">
        <f>IF($B181="","",SUM($C$26:$C181))</f>
        <v/>
      </c>
      <c r="G181" s="48">
        <f>IF($B181="","",SUM($D$26:$D181))</f>
        <v/>
      </c>
      <c r="H181" s="48">
        <f>IF($B181="","",SUM($E$26:$E181))</f>
        <v/>
      </c>
    </row>
    <row r="182">
      <c r="B182" s="46">
        <f>IF(DATE(Summary!$C$12,1,1)+156&gt;DATE(Summary!$C$12,12,31),"",DATE(Summary!$C$12,1,1)+156)</f>
        <v/>
      </c>
      <c r="C182" s="47">
        <f>IF($B182="","",SUMIFS(Grids!$EE$9:$GQ$108,Grids!$C$9:$BO$108,"&gt;="&amp;$B182*1000000000,Grids!$C$9:$BO$108,"&lt;"&amp;($B182+1)*1000000000))</f>
        <v/>
      </c>
      <c r="D182" s="47">
        <f>IF($B182="","",SUMIFS(Grids!$EE$113:$GQ$152,Grids!$C$113:$BO$152,"&gt;="&amp;$B182*1000000000,Grids!$C$113:$BO$152,"&lt;"&amp;($B182+1)*1000000000))</f>
        <v/>
      </c>
      <c r="E182" s="47">
        <f>IF($B182="","",SUMIFS(Grids!$EE$157:$GQ$216,Grids!$C$157:$BO$216,"&gt;="&amp;$B182*1000000000,Grids!$C$157:$BO$216,"&lt;"&amp;($B182+1)*1000000000))</f>
        <v/>
      </c>
      <c r="F182" s="48">
        <f>IF($B182="","",SUM($C$26:$C182))</f>
        <v/>
      </c>
      <c r="G182" s="48">
        <f>IF($B182="","",SUM($D$26:$D182))</f>
        <v/>
      </c>
      <c r="H182" s="48">
        <f>IF($B182="","",SUM($E$26:$E182))</f>
        <v/>
      </c>
    </row>
    <row r="183">
      <c r="B183" s="46">
        <f>IF(DATE(Summary!$C$12,1,1)+157&gt;DATE(Summary!$C$12,12,31),"",DATE(Summary!$C$12,1,1)+157)</f>
        <v/>
      </c>
      <c r="C183" s="47">
        <f>IF($B183="","",SUMIFS(Grids!$EE$9:$GQ$108,Grids!$C$9:$BO$108,"&gt;="&amp;$B183*1000000000,Grids!$C$9:$BO$108,"&lt;"&amp;($B183+1)*1000000000))</f>
        <v/>
      </c>
      <c r="D183" s="47">
        <f>IF($B183="","",SUMIFS(Grids!$EE$113:$GQ$152,Grids!$C$113:$BO$152,"&gt;="&amp;$B183*1000000000,Grids!$C$113:$BO$152,"&lt;"&amp;($B183+1)*1000000000))</f>
        <v/>
      </c>
      <c r="E183" s="47">
        <f>IF($B183="","",SUMIFS(Grids!$EE$157:$GQ$216,Grids!$C$157:$BO$216,"&gt;="&amp;$B183*1000000000,Grids!$C$157:$BO$216,"&lt;"&amp;($B183+1)*1000000000))</f>
        <v/>
      </c>
      <c r="F183" s="48">
        <f>IF($B183="","",SUM($C$26:$C183))</f>
        <v/>
      </c>
      <c r="G183" s="48">
        <f>IF($B183="","",SUM($D$26:$D183))</f>
        <v/>
      </c>
      <c r="H183" s="48">
        <f>IF($B183="","",SUM($E$26:$E183))</f>
        <v/>
      </c>
    </row>
    <row r="184">
      <c r="B184" s="46">
        <f>IF(DATE(Summary!$C$12,1,1)+158&gt;DATE(Summary!$C$12,12,31),"",DATE(Summary!$C$12,1,1)+158)</f>
        <v/>
      </c>
      <c r="C184" s="47">
        <f>IF($B184="","",SUMIFS(Grids!$EE$9:$GQ$108,Grids!$C$9:$BO$108,"&gt;="&amp;$B184*1000000000,Grids!$C$9:$BO$108,"&lt;"&amp;($B184+1)*1000000000))</f>
        <v/>
      </c>
      <c r="D184" s="47">
        <f>IF($B184="","",SUMIFS(Grids!$EE$113:$GQ$152,Grids!$C$113:$BO$152,"&gt;="&amp;$B184*1000000000,Grids!$C$113:$BO$152,"&lt;"&amp;($B184+1)*1000000000))</f>
        <v/>
      </c>
      <c r="E184" s="47">
        <f>IF($B184="","",SUMIFS(Grids!$EE$157:$GQ$216,Grids!$C$157:$BO$216,"&gt;="&amp;$B184*1000000000,Grids!$C$157:$BO$216,"&lt;"&amp;($B184+1)*1000000000))</f>
        <v/>
      </c>
      <c r="F184" s="48">
        <f>IF($B184="","",SUM($C$26:$C184))</f>
        <v/>
      </c>
      <c r="G184" s="48">
        <f>IF($B184="","",SUM($D$26:$D184))</f>
        <v/>
      </c>
      <c r="H184" s="48">
        <f>IF($B184="","",SUM($E$26:$E184))</f>
        <v/>
      </c>
    </row>
    <row r="185">
      <c r="B185" s="46">
        <f>IF(DATE(Summary!$C$12,1,1)+159&gt;DATE(Summary!$C$12,12,31),"",DATE(Summary!$C$12,1,1)+159)</f>
        <v/>
      </c>
      <c r="C185" s="47">
        <f>IF($B185="","",SUMIFS(Grids!$EE$9:$GQ$108,Grids!$C$9:$BO$108,"&gt;="&amp;$B185*1000000000,Grids!$C$9:$BO$108,"&lt;"&amp;($B185+1)*1000000000))</f>
        <v/>
      </c>
      <c r="D185" s="47">
        <f>IF($B185="","",SUMIFS(Grids!$EE$113:$GQ$152,Grids!$C$113:$BO$152,"&gt;="&amp;$B185*1000000000,Grids!$C$113:$BO$152,"&lt;"&amp;($B185+1)*1000000000))</f>
        <v/>
      </c>
      <c r="E185" s="47">
        <f>IF($B185="","",SUMIFS(Grids!$EE$157:$GQ$216,Grids!$C$157:$BO$216,"&gt;="&amp;$B185*1000000000,Grids!$C$157:$BO$216,"&lt;"&amp;($B185+1)*1000000000))</f>
        <v/>
      </c>
      <c r="F185" s="48">
        <f>IF($B185="","",SUM($C$26:$C185))</f>
        <v/>
      </c>
      <c r="G185" s="48">
        <f>IF($B185="","",SUM($D$26:$D185))</f>
        <v/>
      </c>
      <c r="H185" s="48">
        <f>IF($B185="","",SUM($E$26:$E185))</f>
        <v/>
      </c>
    </row>
    <row r="186">
      <c r="B186" s="46">
        <f>IF(DATE(Summary!$C$12,1,1)+160&gt;DATE(Summary!$C$12,12,31),"",DATE(Summary!$C$12,1,1)+160)</f>
        <v/>
      </c>
      <c r="C186" s="47">
        <f>IF($B186="","",SUMIFS(Grids!$EE$9:$GQ$108,Grids!$C$9:$BO$108,"&gt;="&amp;$B186*1000000000,Grids!$C$9:$BO$108,"&lt;"&amp;($B186+1)*1000000000))</f>
        <v/>
      </c>
      <c r="D186" s="47">
        <f>IF($B186="","",SUMIFS(Grids!$EE$113:$GQ$152,Grids!$C$113:$BO$152,"&gt;="&amp;$B186*1000000000,Grids!$C$113:$BO$152,"&lt;"&amp;($B186+1)*1000000000))</f>
        <v/>
      </c>
      <c r="E186" s="47">
        <f>IF($B186="","",SUMIFS(Grids!$EE$157:$GQ$216,Grids!$C$157:$BO$216,"&gt;="&amp;$B186*1000000000,Grids!$C$157:$BO$216,"&lt;"&amp;($B186+1)*1000000000))</f>
        <v/>
      </c>
      <c r="F186" s="48">
        <f>IF($B186="","",SUM($C$26:$C186))</f>
        <v/>
      </c>
      <c r="G186" s="48">
        <f>IF($B186="","",SUM($D$26:$D186))</f>
        <v/>
      </c>
      <c r="H186" s="48">
        <f>IF($B186="","",SUM($E$26:$E186))</f>
        <v/>
      </c>
    </row>
    <row r="187">
      <c r="B187" s="46">
        <f>IF(DATE(Summary!$C$12,1,1)+161&gt;DATE(Summary!$C$12,12,31),"",DATE(Summary!$C$12,1,1)+161)</f>
        <v/>
      </c>
      <c r="C187" s="47">
        <f>IF($B187="","",SUMIFS(Grids!$EE$9:$GQ$108,Grids!$C$9:$BO$108,"&gt;="&amp;$B187*1000000000,Grids!$C$9:$BO$108,"&lt;"&amp;($B187+1)*1000000000))</f>
        <v/>
      </c>
      <c r="D187" s="47">
        <f>IF($B187="","",SUMIFS(Grids!$EE$113:$GQ$152,Grids!$C$113:$BO$152,"&gt;="&amp;$B187*1000000000,Grids!$C$113:$BO$152,"&lt;"&amp;($B187+1)*1000000000))</f>
        <v/>
      </c>
      <c r="E187" s="47">
        <f>IF($B187="","",SUMIFS(Grids!$EE$157:$GQ$216,Grids!$C$157:$BO$216,"&gt;="&amp;$B187*1000000000,Grids!$C$157:$BO$216,"&lt;"&amp;($B187+1)*1000000000))</f>
        <v/>
      </c>
      <c r="F187" s="48">
        <f>IF($B187="","",SUM($C$26:$C187))</f>
        <v/>
      </c>
      <c r="G187" s="48">
        <f>IF($B187="","",SUM($D$26:$D187))</f>
        <v/>
      </c>
      <c r="H187" s="48">
        <f>IF($B187="","",SUM($E$26:$E187))</f>
        <v/>
      </c>
    </row>
    <row r="188">
      <c r="B188" s="46">
        <f>IF(DATE(Summary!$C$12,1,1)+162&gt;DATE(Summary!$C$12,12,31),"",DATE(Summary!$C$12,1,1)+162)</f>
        <v/>
      </c>
      <c r="C188" s="47">
        <f>IF($B188="","",SUMIFS(Grids!$EE$9:$GQ$108,Grids!$C$9:$BO$108,"&gt;="&amp;$B188*1000000000,Grids!$C$9:$BO$108,"&lt;"&amp;($B188+1)*1000000000))</f>
        <v/>
      </c>
      <c r="D188" s="47">
        <f>IF($B188="","",SUMIFS(Grids!$EE$113:$GQ$152,Grids!$C$113:$BO$152,"&gt;="&amp;$B188*1000000000,Grids!$C$113:$BO$152,"&lt;"&amp;($B188+1)*1000000000))</f>
        <v/>
      </c>
      <c r="E188" s="47">
        <f>IF($B188="","",SUMIFS(Grids!$EE$157:$GQ$216,Grids!$C$157:$BO$216,"&gt;="&amp;$B188*1000000000,Grids!$C$157:$BO$216,"&lt;"&amp;($B188+1)*1000000000))</f>
        <v/>
      </c>
      <c r="F188" s="48">
        <f>IF($B188="","",SUM($C$26:$C188))</f>
        <v/>
      </c>
      <c r="G188" s="48">
        <f>IF($B188="","",SUM($D$26:$D188))</f>
        <v/>
      </c>
      <c r="H188" s="48">
        <f>IF($B188="","",SUM($E$26:$E188))</f>
        <v/>
      </c>
    </row>
    <row r="189">
      <c r="B189" s="46">
        <f>IF(DATE(Summary!$C$12,1,1)+163&gt;DATE(Summary!$C$12,12,31),"",DATE(Summary!$C$12,1,1)+163)</f>
        <v/>
      </c>
      <c r="C189" s="47">
        <f>IF($B189="","",SUMIFS(Grids!$EE$9:$GQ$108,Grids!$C$9:$BO$108,"&gt;="&amp;$B189*1000000000,Grids!$C$9:$BO$108,"&lt;"&amp;($B189+1)*1000000000))</f>
        <v/>
      </c>
      <c r="D189" s="47">
        <f>IF($B189="","",SUMIFS(Grids!$EE$113:$GQ$152,Grids!$C$113:$BO$152,"&gt;="&amp;$B189*1000000000,Grids!$C$113:$BO$152,"&lt;"&amp;($B189+1)*1000000000))</f>
        <v/>
      </c>
      <c r="E189" s="47">
        <f>IF($B189="","",SUMIFS(Grids!$EE$157:$GQ$216,Grids!$C$157:$BO$216,"&gt;="&amp;$B189*1000000000,Grids!$C$157:$BO$216,"&lt;"&amp;($B189+1)*1000000000))</f>
        <v/>
      </c>
      <c r="F189" s="48">
        <f>IF($B189="","",SUM($C$26:$C189))</f>
        <v/>
      </c>
      <c r="G189" s="48">
        <f>IF($B189="","",SUM($D$26:$D189))</f>
        <v/>
      </c>
      <c r="H189" s="48">
        <f>IF($B189="","",SUM($E$26:$E189))</f>
        <v/>
      </c>
    </row>
    <row r="190">
      <c r="B190" s="46">
        <f>IF(DATE(Summary!$C$12,1,1)+164&gt;DATE(Summary!$C$12,12,31),"",DATE(Summary!$C$12,1,1)+164)</f>
        <v/>
      </c>
      <c r="C190" s="47">
        <f>IF($B190="","",SUMIFS(Grids!$EE$9:$GQ$108,Grids!$C$9:$BO$108,"&gt;="&amp;$B190*1000000000,Grids!$C$9:$BO$108,"&lt;"&amp;($B190+1)*1000000000))</f>
        <v/>
      </c>
      <c r="D190" s="47">
        <f>IF($B190="","",SUMIFS(Grids!$EE$113:$GQ$152,Grids!$C$113:$BO$152,"&gt;="&amp;$B190*1000000000,Grids!$C$113:$BO$152,"&lt;"&amp;($B190+1)*1000000000))</f>
        <v/>
      </c>
      <c r="E190" s="47">
        <f>IF($B190="","",SUMIFS(Grids!$EE$157:$GQ$216,Grids!$C$157:$BO$216,"&gt;="&amp;$B190*1000000000,Grids!$C$157:$BO$216,"&lt;"&amp;($B190+1)*1000000000))</f>
        <v/>
      </c>
      <c r="F190" s="48">
        <f>IF($B190="","",SUM($C$26:$C190))</f>
        <v/>
      </c>
      <c r="G190" s="48">
        <f>IF($B190="","",SUM($D$26:$D190))</f>
        <v/>
      </c>
      <c r="H190" s="48">
        <f>IF($B190="","",SUM($E$26:$E190))</f>
        <v/>
      </c>
    </row>
    <row r="191">
      <c r="B191" s="46">
        <f>IF(DATE(Summary!$C$12,1,1)+165&gt;DATE(Summary!$C$12,12,31),"",DATE(Summary!$C$12,1,1)+165)</f>
        <v/>
      </c>
      <c r="C191" s="47">
        <f>IF($B191="","",SUMIFS(Grids!$EE$9:$GQ$108,Grids!$C$9:$BO$108,"&gt;="&amp;$B191*1000000000,Grids!$C$9:$BO$108,"&lt;"&amp;($B191+1)*1000000000))</f>
        <v/>
      </c>
      <c r="D191" s="47">
        <f>IF($B191="","",SUMIFS(Grids!$EE$113:$GQ$152,Grids!$C$113:$BO$152,"&gt;="&amp;$B191*1000000000,Grids!$C$113:$BO$152,"&lt;"&amp;($B191+1)*1000000000))</f>
        <v/>
      </c>
      <c r="E191" s="47">
        <f>IF($B191="","",SUMIFS(Grids!$EE$157:$GQ$216,Grids!$C$157:$BO$216,"&gt;="&amp;$B191*1000000000,Grids!$C$157:$BO$216,"&lt;"&amp;($B191+1)*1000000000))</f>
        <v/>
      </c>
      <c r="F191" s="48">
        <f>IF($B191="","",SUM($C$26:$C191))</f>
        <v/>
      </c>
      <c r="G191" s="48">
        <f>IF($B191="","",SUM($D$26:$D191))</f>
        <v/>
      </c>
      <c r="H191" s="48">
        <f>IF($B191="","",SUM($E$26:$E191))</f>
        <v/>
      </c>
    </row>
    <row r="192">
      <c r="B192" s="46">
        <f>IF(DATE(Summary!$C$12,1,1)+166&gt;DATE(Summary!$C$12,12,31),"",DATE(Summary!$C$12,1,1)+166)</f>
        <v/>
      </c>
      <c r="C192" s="47">
        <f>IF($B192="","",SUMIFS(Grids!$EE$9:$GQ$108,Grids!$C$9:$BO$108,"&gt;="&amp;$B192*1000000000,Grids!$C$9:$BO$108,"&lt;"&amp;($B192+1)*1000000000))</f>
        <v/>
      </c>
      <c r="D192" s="47">
        <f>IF($B192="","",SUMIFS(Grids!$EE$113:$GQ$152,Grids!$C$113:$BO$152,"&gt;="&amp;$B192*1000000000,Grids!$C$113:$BO$152,"&lt;"&amp;($B192+1)*1000000000))</f>
        <v/>
      </c>
      <c r="E192" s="47">
        <f>IF($B192="","",SUMIFS(Grids!$EE$157:$GQ$216,Grids!$C$157:$BO$216,"&gt;="&amp;$B192*1000000000,Grids!$C$157:$BO$216,"&lt;"&amp;($B192+1)*1000000000))</f>
        <v/>
      </c>
      <c r="F192" s="48">
        <f>IF($B192="","",SUM($C$26:$C192))</f>
        <v/>
      </c>
      <c r="G192" s="48">
        <f>IF($B192="","",SUM($D$26:$D192))</f>
        <v/>
      </c>
      <c r="H192" s="48">
        <f>IF($B192="","",SUM($E$26:$E192))</f>
        <v/>
      </c>
    </row>
    <row r="193">
      <c r="B193" s="46">
        <f>IF(DATE(Summary!$C$12,1,1)+167&gt;DATE(Summary!$C$12,12,31),"",DATE(Summary!$C$12,1,1)+167)</f>
        <v/>
      </c>
      <c r="C193" s="47">
        <f>IF($B193="","",SUMIFS(Grids!$EE$9:$GQ$108,Grids!$C$9:$BO$108,"&gt;="&amp;$B193*1000000000,Grids!$C$9:$BO$108,"&lt;"&amp;($B193+1)*1000000000))</f>
        <v/>
      </c>
      <c r="D193" s="47">
        <f>IF($B193="","",SUMIFS(Grids!$EE$113:$GQ$152,Grids!$C$113:$BO$152,"&gt;="&amp;$B193*1000000000,Grids!$C$113:$BO$152,"&lt;"&amp;($B193+1)*1000000000))</f>
        <v/>
      </c>
      <c r="E193" s="47">
        <f>IF($B193="","",SUMIFS(Grids!$EE$157:$GQ$216,Grids!$C$157:$BO$216,"&gt;="&amp;$B193*1000000000,Grids!$C$157:$BO$216,"&lt;"&amp;($B193+1)*1000000000))</f>
        <v/>
      </c>
      <c r="F193" s="48">
        <f>IF($B193="","",SUM($C$26:$C193))</f>
        <v/>
      </c>
      <c r="G193" s="48">
        <f>IF($B193="","",SUM($D$26:$D193))</f>
        <v/>
      </c>
      <c r="H193" s="48">
        <f>IF($B193="","",SUM($E$26:$E193))</f>
        <v/>
      </c>
    </row>
    <row r="194">
      <c r="B194" s="46">
        <f>IF(DATE(Summary!$C$12,1,1)+168&gt;DATE(Summary!$C$12,12,31),"",DATE(Summary!$C$12,1,1)+168)</f>
        <v/>
      </c>
      <c r="C194" s="47">
        <f>IF($B194="","",SUMIFS(Grids!$EE$9:$GQ$108,Grids!$C$9:$BO$108,"&gt;="&amp;$B194*1000000000,Grids!$C$9:$BO$108,"&lt;"&amp;($B194+1)*1000000000))</f>
        <v/>
      </c>
      <c r="D194" s="47">
        <f>IF($B194="","",SUMIFS(Grids!$EE$113:$GQ$152,Grids!$C$113:$BO$152,"&gt;="&amp;$B194*1000000000,Grids!$C$113:$BO$152,"&lt;"&amp;($B194+1)*1000000000))</f>
        <v/>
      </c>
      <c r="E194" s="47">
        <f>IF($B194="","",SUMIFS(Grids!$EE$157:$GQ$216,Grids!$C$157:$BO$216,"&gt;="&amp;$B194*1000000000,Grids!$C$157:$BO$216,"&lt;"&amp;($B194+1)*1000000000))</f>
        <v/>
      </c>
      <c r="F194" s="48">
        <f>IF($B194="","",SUM($C$26:$C194))</f>
        <v/>
      </c>
      <c r="G194" s="48">
        <f>IF($B194="","",SUM($D$26:$D194))</f>
        <v/>
      </c>
      <c r="H194" s="48">
        <f>IF($B194="","",SUM($E$26:$E194))</f>
        <v/>
      </c>
    </row>
    <row r="195">
      <c r="B195" s="46">
        <f>IF(DATE(Summary!$C$12,1,1)+169&gt;DATE(Summary!$C$12,12,31),"",DATE(Summary!$C$12,1,1)+169)</f>
        <v/>
      </c>
      <c r="C195" s="47">
        <f>IF($B195="","",SUMIFS(Grids!$EE$9:$GQ$108,Grids!$C$9:$BO$108,"&gt;="&amp;$B195*1000000000,Grids!$C$9:$BO$108,"&lt;"&amp;($B195+1)*1000000000))</f>
        <v/>
      </c>
      <c r="D195" s="47">
        <f>IF($B195="","",SUMIFS(Grids!$EE$113:$GQ$152,Grids!$C$113:$BO$152,"&gt;="&amp;$B195*1000000000,Grids!$C$113:$BO$152,"&lt;"&amp;($B195+1)*1000000000))</f>
        <v/>
      </c>
      <c r="E195" s="47">
        <f>IF($B195="","",SUMIFS(Grids!$EE$157:$GQ$216,Grids!$C$157:$BO$216,"&gt;="&amp;$B195*1000000000,Grids!$C$157:$BO$216,"&lt;"&amp;($B195+1)*1000000000))</f>
        <v/>
      </c>
      <c r="F195" s="48">
        <f>IF($B195="","",SUM($C$26:$C195))</f>
        <v/>
      </c>
      <c r="G195" s="48">
        <f>IF($B195="","",SUM($D$26:$D195))</f>
        <v/>
      </c>
      <c r="H195" s="48">
        <f>IF($B195="","",SUM($E$26:$E195))</f>
        <v/>
      </c>
    </row>
    <row r="196">
      <c r="B196" s="46">
        <f>IF(DATE(Summary!$C$12,1,1)+170&gt;DATE(Summary!$C$12,12,31),"",DATE(Summary!$C$12,1,1)+170)</f>
        <v/>
      </c>
      <c r="C196" s="47">
        <f>IF($B196="","",SUMIFS(Grids!$EE$9:$GQ$108,Grids!$C$9:$BO$108,"&gt;="&amp;$B196*1000000000,Grids!$C$9:$BO$108,"&lt;"&amp;($B196+1)*1000000000))</f>
        <v/>
      </c>
      <c r="D196" s="47">
        <f>IF($B196="","",SUMIFS(Grids!$EE$113:$GQ$152,Grids!$C$113:$BO$152,"&gt;="&amp;$B196*1000000000,Grids!$C$113:$BO$152,"&lt;"&amp;($B196+1)*1000000000))</f>
        <v/>
      </c>
      <c r="E196" s="47">
        <f>IF($B196="","",SUMIFS(Grids!$EE$157:$GQ$216,Grids!$C$157:$BO$216,"&gt;="&amp;$B196*1000000000,Grids!$C$157:$BO$216,"&lt;"&amp;($B196+1)*1000000000))</f>
        <v/>
      </c>
      <c r="F196" s="48">
        <f>IF($B196="","",SUM($C$26:$C196))</f>
        <v/>
      </c>
      <c r="G196" s="48">
        <f>IF($B196="","",SUM($D$26:$D196))</f>
        <v/>
      </c>
      <c r="H196" s="48">
        <f>IF($B196="","",SUM($E$26:$E196))</f>
        <v/>
      </c>
    </row>
    <row r="197">
      <c r="B197" s="46">
        <f>IF(DATE(Summary!$C$12,1,1)+171&gt;DATE(Summary!$C$12,12,31),"",DATE(Summary!$C$12,1,1)+171)</f>
        <v/>
      </c>
      <c r="C197" s="47">
        <f>IF($B197="","",SUMIFS(Grids!$EE$9:$GQ$108,Grids!$C$9:$BO$108,"&gt;="&amp;$B197*1000000000,Grids!$C$9:$BO$108,"&lt;"&amp;($B197+1)*1000000000))</f>
        <v/>
      </c>
      <c r="D197" s="47">
        <f>IF($B197="","",SUMIFS(Grids!$EE$113:$GQ$152,Grids!$C$113:$BO$152,"&gt;="&amp;$B197*1000000000,Grids!$C$113:$BO$152,"&lt;"&amp;($B197+1)*1000000000))</f>
        <v/>
      </c>
      <c r="E197" s="47">
        <f>IF($B197="","",SUMIFS(Grids!$EE$157:$GQ$216,Grids!$C$157:$BO$216,"&gt;="&amp;$B197*1000000000,Grids!$C$157:$BO$216,"&lt;"&amp;($B197+1)*1000000000))</f>
        <v/>
      </c>
      <c r="F197" s="48">
        <f>IF($B197="","",SUM($C$26:$C197))</f>
        <v/>
      </c>
      <c r="G197" s="48">
        <f>IF($B197="","",SUM($D$26:$D197))</f>
        <v/>
      </c>
      <c r="H197" s="48">
        <f>IF($B197="","",SUM($E$26:$E197))</f>
        <v/>
      </c>
    </row>
    <row r="198">
      <c r="B198" s="46">
        <f>IF(DATE(Summary!$C$12,1,1)+172&gt;DATE(Summary!$C$12,12,31),"",DATE(Summary!$C$12,1,1)+172)</f>
        <v/>
      </c>
      <c r="C198" s="47">
        <f>IF($B198="","",SUMIFS(Grids!$EE$9:$GQ$108,Grids!$C$9:$BO$108,"&gt;="&amp;$B198*1000000000,Grids!$C$9:$BO$108,"&lt;"&amp;($B198+1)*1000000000))</f>
        <v/>
      </c>
      <c r="D198" s="47">
        <f>IF($B198="","",SUMIFS(Grids!$EE$113:$GQ$152,Grids!$C$113:$BO$152,"&gt;="&amp;$B198*1000000000,Grids!$C$113:$BO$152,"&lt;"&amp;($B198+1)*1000000000))</f>
        <v/>
      </c>
      <c r="E198" s="47">
        <f>IF($B198="","",SUMIFS(Grids!$EE$157:$GQ$216,Grids!$C$157:$BO$216,"&gt;="&amp;$B198*1000000000,Grids!$C$157:$BO$216,"&lt;"&amp;($B198+1)*1000000000))</f>
        <v/>
      </c>
      <c r="F198" s="48">
        <f>IF($B198="","",SUM($C$26:$C198))</f>
        <v/>
      </c>
      <c r="G198" s="48">
        <f>IF($B198="","",SUM($D$26:$D198))</f>
        <v/>
      </c>
      <c r="H198" s="48">
        <f>IF($B198="","",SUM($E$26:$E198))</f>
        <v/>
      </c>
    </row>
    <row r="199">
      <c r="B199" s="46">
        <f>IF(DATE(Summary!$C$12,1,1)+173&gt;DATE(Summary!$C$12,12,31),"",DATE(Summary!$C$12,1,1)+173)</f>
        <v/>
      </c>
      <c r="C199" s="47">
        <f>IF($B199="","",SUMIFS(Grids!$EE$9:$GQ$108,Grids!$C$9:$BO$108,"&gt;="&amp;$B199*1000000000,Grids!$C$9:$BO$108,"&lt;"&amp;($B199+1)*1000000000))</f>
        <v/>
      </c>
      <c r="D199" s="47">
        <f>IF($B199="","",SUMIFS(Grids!$EE$113:$GQ$152,Grids!$C$113:$BO$152,"&gt;="&amp;$B199*1000000000,Grids!$C$113:$BO$152,"&lt;"&amp;($B199+1)*1000000000))</f>
        <v/>
      </c>
      <c r="E199" s="47">
        <f>IF($B199="","",SUMIFS(Grids!$EE$157:$GQ$216,Grids!$C$157:$BO$216,"&gt;="&amp;$B199*1000000000,Grids!$C$157:$BO$216,"&lt;"&amp;($B199+1)*1000000000))</f>
        <v/>
      </c>
      <c r="F199" s="48">
        <f>IF($B199="","",SUM($C$26:$C199))</f>
        <v/>
      </c>
      <c r="G199" s="48">
        <f>IF($B199="","",SUM($D$26:$D199))</f>
        <v/>
      </c>
      <c r="H199" s="48">
        <f>IF($B199="","",SUM($E$26:$E199))</f>
        <v/>
      </c>
    </row>
    <row r="200">
      <c r="B200" s="46">
        <f>IF(DATE(Summary!$C$12,1,1)+174&gt;DATE(Summary!$C$12,12,31),"",DATE(Summary!$C$12,1,1)+174)</f>
        <v/>
      </c>
      <c r="C200" s="47">
        <f>IF($B200="","",SUMIFS(Grids!$EE$9:$GQ$108,Grids!$C$9:$BO$108,"&gt;="&amp;$B200*1000000000,Grids!$C$9:$BO$108,"&lt;"&amp;($B200+1)*1000000000))</f>
        <v/>
      </c>
      <c r="D200" s="47">
        <f>IF($B200="","",SUMIFS(Grids!$EE$113:$GQ$152,Grids!$C$113:$BO$152,"&gt;="&amp;$B200*1000000000,Grids!$C$113:$BO$152,"&lt;"&amp;($B200+1)*1000000000))</f>
        <v/>
      </c>
      <c r="E200" s="47">
        <f>IF($B200="","",SUMIFS(Grids!$EE$157:$GQ$216,Grids!$C$157:$BO$216,"&gt;="&amp;$B200*1000000000,Grids!$C$157:$BO$216,"&lt;"&amp;($B200+1)*1000000000))</f>
        <v/>
      </c>
      <c r="F200" s="48">
        <f>IF($B200="","",SUM($C$26:$C200))</f>
        <v/>
      </c>
      <c r="G200" s="48">
        <f>IF($B200="","",SUM($D$26:$D200))</f>
        <v/>
      </c>
      <c r="H200" s="48">
        <f>IF($B200="","",SUM($E$26:$E200))</f>
        <v/>
      </c>
    </row>
    <row r="201">
      <c r="B201" s="46">
        <f>IF(DATE(Summary!$C$12,1,1)+175&gt;DATE(Summary!$C$12,12,31),"",DATE(Summary!$C$12,1,1)+175)</f>
        <v/>
      </c>
      <c r="C201" s="47">
        <f>IF($B201="","",SUMIFS(Grids!$EE$9:$GQ$108,Grids!$C$9:$BO$108,"&gt;="&amp;$B201*1000000000,Grids!$C$9:$BO$108,"&lt;"&amp;($B201+1)*1000000000))</f>
        <v/>
      </c>
      <c r="D201" s="47">
        <f>IF($B201="","",SUMIFS(Grids!$EE$113:$GQ$152,Grids!$C$113:$BO$152,"&gt;="&amp;$B201*1000000000,Grids!$C$113:$BO$152,"&lt;"&amp;($B201+1)*1000000000))</f>
        <v/>
      </c>
      <c r="E201" s="47">
        <f>IF($B201="","",SUMIFS(Grids!$EE$157:$GQ$216,Grids!$C$157:$BO$216,"&gt;="&amp;$B201*1000000000,Grids!$C$157:$BO$216,"&lt;"&amp;($B201+1)*1000000000))</f>
        <v/>
      </c>
      <c r="F201" s="48">
        <f>IF($B201="","",SUM($C$26:$C201))</f>
        <v/>
      </c>
      <c r="G201" s="48">
        <f>IF($B201="","",SUM($D$26:$D201))</f>
        <v/>
      </c>
      <c r="H201" s="48">
        <f>IF($B201="","",SUM($E$26:$E201))</f>
        <v/>
      </c>
    </row>
    <row r="202">
      <c r="B202" s="46">
        <f>IF(DATE(Summary!$C$12,1,1)+176&gt;DATE(Summary!$C$12,12,31),"",DATE(Summary!$C$12,1,1)+176)</f>
        <v/>
      </c>
      <c r="C202" s="47">
        <f>IF($B202="","",SUMIFS(Grids!$EE$9:$GQ$108,Grids!$C$9:$BO$108,"&gt;="&amp;$B202*1000000000,Grids!$C$9:$BO$108,"&lt;"&amp;($B202+1)*1000000000))</f>
        <v/>
      </c>
      <c r="D202" s="47">
        <f>IF($B202="","",SUMIFS(Grids!$EE$113:$GQ$152,Grids!$C$113:$BO$152,"&gt;="&amp;$B202*1000000000,Grids!$C$113:$BO$152,"&lt;"&amp;($B202+1)*1000000000))</f>
        <v/>
      </c>
      <c r="E202" s="47">
        <f>IF($B202="","",SUMIFS(Grids!$EE$157:$GQ$216,Grids!$C$157:$BO$216,"&gt;="&amp;$B202*1000000000,Grids!$C$157:$BO$216,"&lt;"&amp;($B202+1)*1000000000))</f>
        <v/>
      </c>
      <c r="F202" s="48">
        <f>IF($B202="","",SUM($C$26:$C202))</f>
        <v/>
      </c>
      <c r="G202" s="48">
        <f>IF($B202="","",SUM($D$26:$D202))</f>
        <v/>
      </c>
      <c r="H202" s="48">
        <f>IF($B202="","",SUM($E$26:$E202))</f>
        <v/>
      </c>
    </row>
    <row r="203">
      <c r="B203" s="46">
        <f>IF(DATE(Summary!$C$12,1,1)+177&gt;DATE(Summary!$C$12,12,31),"",DATE(Summary!$C$12,1,1)+177)</f>
        <v/>
      </c>
      <c r="C203" s="47">
        <f>IF($B203="","",SUMIFS(Grids!$EE$9:$GQ$108,Grids!$C$9:$BO$108,"&gt;="&amp;$B203*1000000000,Grids!$C$9:$BO$108,"&lt;"&amp;($B203+1)*1000000000))</f>
        <v/>
      </c>
      <c r="D203" s="47">
        <f>IF($B203="","",SUMIFS(Grids!$EE$113:$GQ$152,Grids!$C$113:$BO$152,"&gt;="&amp;$B203*1000000000,Grids!$C$113:$BO$152,"&lt;"&amp;($B203+1)*1000000000))</f>
        <v/>
      </c>
      <c r="E203" s="47">
        <f>IF($B203="","",SUMIFS(Grids!$EE$157:$GQ$216,Grids!$C$157:$BO$216,"&gt;="&amp;$B203*1000000000,Grids!$C$157:$BO$216,"&lt;"&amp;($B203+1)*1000000000))</f>
        <v/>
      </c>
      <c r="F203" s="48">
        <f>IF($B203="","",SUM($C$26:$C203))</f>
        <v/>
      </c>
      <c r="G203" s="48">
        <f>IF($B203="","",SUM($D$26:$D203))</f>
        <v/>
      </c>
      <c r="H203" s="48">
        <f>IF($B203="","",SUM($E$26:$E203))</f>
        <v/>
      </c>
    </row>
    <row r="204">
      <c r="B204" s="46">
        <f>IF(DATE(Summary!$C$12,1,1)+178&gt;DATE(Summary!$C$12,12,31),"",DATE(Summary!$C$12,1,1)+178)</f>
        <v/>
      </c>
      <c r="C204" s="47">
        <f>IF($B204="","",SUMIFS(Grids!$EE$9:$GQ$108,Grids!$C$9:$BO$108,"&gt;="&amp;$B204*1000000000,Grids!$C$9:$BO$108,"&lt;"&amp;($B204+1)*1000000000))</f>
        <v/>
      </c>
      <c r="D204" s="47">
        <f>IF($B204="","",SUMIFS(Grids!$EE$113:$GQ$152,Grids!$C$113:$BO$152,"&gt;="&amp;$B204*1000000000,Grids!$C$113:$BO$152,"&lt;"&amp;($B204+1)*1000000000))</f>
        <v/>
      </c>
      <c r="E204" s="47">
        <f>IF($B204="","",SUMIFS(Grids!$EE$157:$GQ$216,Grids!$C$157:$BO$216,"&gt;="&amp;$B204*1000000000,Grids!$C$157:$BO$216,"&lt;"&amp;($B204+1)*1000000000))</f>
        <v/>
      </c>
      <c r="F204" s="48">
        <f>IF($B204="","",SUM($C$26:$C204))</f>
        <v/>
      </c>
      <c r="G204" s="48">
        <f>IF($B204="","",SUM($D$26:$D204))</f>
        <v/>
      </c>
      <c r="H204" s="48">
        <f>IF($B204="","",SUM($E$26:$E204))</f>
        <v/>
      </c>
    </row>
    <row r="205">
      <c r="B205" s="46">
        <f>IF(DATE(Summary!$C$12,1,1)+179&gt;DATE(Summary!$C$12,12,31),"",DATE(Summary!$C$12,1,1)+179)</f>
        <v/>
      </c>
      <c r="C205" s="47">
        <f>IF($B205="","",SUMIFS(Grids!$EE$9:$GQ$108,Grids!$C$9:$BO$108,"&gt;="&amp;$B205*1000000000,Grids!$C$9:$BO$108,"&lt;"&amp;($B205+1)*1000000000))</f>
        <v/>
      </c>
      <c r="D205" s="47">
        <f>IF($B205="","",SUMIFS(Grids!$EE$113:$GQ$152,Grids!$C$113:$BO$152,"&gt;="&amp;$B205*1000000000,Grids!$C$113:$BO$152,"&lt;"&amp;($B205+1)*1000000000))</f>
        <v/>
      </c>
      <c r="E205" s="47">
        <f>IF($B205="","",SUMIFS(Grids!$EE$157:$GQ$216,Grids!$C$157:$BO$216,"&gt;="&amp;$B205*1000000000,Grids!$C$157:$BO$216,"&lt;"&amp;($B205+1)*1000000000))</f>
        <v/>
      </c>
      <c r="F205" s="48">
        <f>IF($B205="","",SUM($C$26:$C205))</f>
        <v/>
      </c>
      <c r="G205" s="48">
        <f>IF($B205="","",SUM($D$26:$D205))</f>
        <v/>
      </c>
      <c r="H205" s="48">
        <f>IF($B205="","",SUM($E$26:$E205))</f>
        <v/>
      </c>
    </row>
    <row r="206">
      <c r="B206" s="46">
        <f>IF(DATE(Summary!$C$12,1,1)+180&gt;DATE(Summary!$C$12,12,31),"",DATE(Summary!$C$12,1,1)+180)</f>
        <v/>
      </c>
      <c r="C206" s="47">
        <f>IF($B206="","",SUMIFS(Grids!$EE$9:$GQ$108,Grids!$C$9:$BO$108,"&gt;="&amp;$B206*1000000000,Grids!$C$9:$BO$108,"&lt;"&amp;($B206+1)*1000000000))</f>
        <v/>
      </c>
      <c r="D206" s="47">
        <f>IF($B206="","",SUMIFS(Grids!$EE$113:$GQ$152,Grids!$C$113:$BO$152,"&gt;="&amp;$B206*1000000000,Grids!$C$113:$BO$152,"&lt;"&amp;($B206+1)*1000000000))</f>
        <v/>
      </c>
      <c r="E206" s="47">
        <f>IF($B206="","",SUMIFS(Grids!$EE$157:$GQ$216,Grids!$C$157:$BO$216,"&gt;="&amp;$B206*1000000000,Grids!$C$157:$BO$216,"&lt;"&amp;($B206+1)*1000000000))</f>
        <v/>
      </c>
      <c r="F206" s="48">
        <f>IF($B206="","",SUM($C$26:$C206))</f>
        <v/>
      </c>
      <c r="G206" s="48">
        <f>IF($B206="","",SUM($D$26:$D206))</f>
        <v/>
      </c>
      <c r="H206" s="48">
        <f>IF($B206="","",SUM($E$26:$E206))</f>
        <v/>
      </c>
    </row>
    <row r="207">
      <c r="B207" s="46">
        <f>IF(DATE(Summary!$C$12,1,1)+181&gt;DATE(Summary!$C$12,12,31),"",DATE(Summary!$C$12,1,1)+181)</f>
        <v/>
      </c>
      <c r="C207" s="47">
        <f>IF($B207="","",SUMIFS(Grids!$EE$9:$GQ$108,Grids!$C$9:$BO$108,"&gt;="&amp;$B207*1000000000,Grids!$C$9:$BO$108,"&lt;"&amp;($B207+1)*1000000000))</f>
        <v/>
      </c>
      <c r="D207" s="47">
        <f>IF($B207="","",SUMIFS(Grids!$EE$113:$GQ$152,Grids!$C$113:$BO$152,"&gt;="&amp;$B207*1000000000,Grids!$C$113:$BO$152,"&lt;"&amp;($B207+1)*1000000000))</f>
        <v/>
      </c>
      <c r="E207" s="47">
        <f>IF($B207="","",SUMIFS(Grids!$EE$157:$GQ$216,Grids!$C$157:$BO$216,"&gt;="&amp;$B207*1000000000,Grids!$C$157:$BO$216,"&lt;"&amp;($B207+1)*1000000000))</f>
        <v/>
      </c>
      <c r="F207" s="48">
        <f>IF($B207="","",SUM($C$26:$C207))</f>
        <v/>
      </c>
      <c r="G207" s="48">
        <f>IF($B207="","",SUM($D$26:$D207))</f>
        <v/>
      </c>
      <c r="H207" s="48">
        <f>IF($B207="","",SUM($E$26:$E207))</f>
        <v/>
      </c>
    </row>
    <row r="208">
      <c r="B208" s="46">
        <f>IF(DATE(Summary!$C$12,1,1)+182&gt;DATE(Summary!$C$12,12,31),"",DATE(Summary!$C$12,1,1)+182)</f>
        <v/>
      </c>
      <c r="C208" s="47">
        <f>IF($B208="","",SUMIFS(Grids!$EE$9:$GQ$108,Grids!$C$9:$BO$108,"&gt;="&amp;$B208*1000000000,Grids!$C$9:$BO$108,"&lt;"&amp;($B208+1)*1000000000))</f>
        <v/>
      </c>
      <c r="D208" s="47">
        <f>IF($B208="","",SUMIFS(Grids!$EE$113:$GQ$152,Grids!$C$113:$BO$152,"&gt;="&amp;$B208*1000000000,Grids!$C$113:$BO$152,"&lt;"&amp;($B208+1)*1000000000))</f>
        <v/>
      </c>
      <c r="E208" s="47">
        <f>IF($B208="","",SUMIFS(Grids!$EE$157:$GQ$216,Grids!$C$157:$BO$216,"&gt;="&amp;$B208*1000000000,Grids!$C$157:$BO$216,"&lt;"&amp;($B208+1)*1000000000))</f>
        <v/>
      </c>
      <c r="F208" s="48">
        <f>IF($B208="","",SUM($C$26:$C208))</f>
        <v/>
      </c>
      <c r="G208" s="48">
        <f>IF($B208="","",SUM($D$26:$D208))</f>
        <v/>
      </c>
      <c r="H208" s="48">
        <f>IF($B208="","",SUM($E$26:$E208))</f>
        <v/>
      </c>
    </row>
    <row r="209">
      <c r="B209" s="46">
        <f>IF(DATE(Summary!$C$12,1,1)+183&gt;DATE(Summary!$C$12,12,31),"",DATE(Summary!$C$12,1,1)+183)</f>
        <v/>
      </c>
      <c r="C209" s="47">
        <f>IF($B209="","",SUMIFS(Grids!$EE$9:$GQ$108,Grids!$C$9:$BO$108,"&gt;="&amp;$B209*1000000000,Grids!$C$9:$BO$108,"&lt;"&amp;($B209+1)*1000000000))</f>
        <v/>
      </c>
      <c r="D209" s="47">
        <f>IF($B209="","",SUMIFS(Grids!$EE$113:$GQ$152,Grids!$C$113:$BO$152,"&gt;="&amp;$B209*1000000000,Grids!$C$113:$BO$152,"&lt;"&amp;($B209+1)*1000000000))</f>
        <v/>
      </c>
      <c r="E209" s="47">
        <f>IF($B209="","",SUMIFS(Grids!$EE$157:$GQ$216,Grids!$C$157:$BO$216,"&gt;="&amp;$B209*1000000000,Grids!$C$157:$BO$216,"&lt;"&amp;($B209+1)*1000000000))</f>
        <v/>
      </c>
      <c r="F209" s="48">
        <f>IF($B209="","",SUM($C$26:$C209))</f>
        <v/>
      </c>
      <c r="G209" s="48">
        <f>IF($B209="","",SUM($D$26:$D209))</f>
        <v/>
      </c>
      <c r="H209" s="48">
        <f>IF($B209="","",SUM($E$26:$E209))</f>
        <v/>
      </c>
    </row>
    <row r="210">
      <c r="B210" s="46">
        <f>IF(DATE(Summary!$C$12,1,1)+184&gt;DATE(Summary!$C$12,12,31),"",DATE(Summary!$C$12,1,1)+184)</f>
        <v/>
      </c>
      <c r="C210" s="47">
        <f>IF($B210="","",SUMIFS(Grids!$EE$9:$GQ$108,Grids!$C$9:$BO$108,"&gt;="&amp;$B210*1000000000,Grids!$C$9:$BO$108,"&lt;"&amp;($B210+1)*1000000000))</f>
        <v/>
      </c>
      <c r="D210" s="47">
        <f>IF($B210="","",SUMIFS(Grids!$EE$113:$GQ$152,Grids!$C$113:$BO$152,"&gt;="&amp;$B210*1000000000,Grids!$C$113:$BO$152,"&lt;"&amp;($B210+1)*1000000000))</f>
        <v/>
      </c>
      <c r="E210" s="47">
        <f>IF($B210="","",SUMIFS(Grids!$EE$157:$GQ$216,Grids!$C$157:$BO$216,"&gt;="&amp;$B210*1000000000,Grids!$C$157:$BO$216,"&lt;"&amp;($B210+1)*1000000000))</f>
        <v/>
      </c>
      <c r="F210" s="48">
        <f>IF($B210="","",SUM($C$26:$C210))</f>
        <v/>
      </c>
      <c r="G210" s="48">
        <f>IF($B210="","",SUM($D$26:$D210))</f>
        <v/>
      </c>
      <c r="H210" s="48">
        <f>IF($B210="","",SUM($E$26:$E210))</f>
        <v/>
      </c>
    </row>
    <row r="211">
      <c r="B211" s="46">
        <f>IF(DATE(Summary!$C$12,1,1)+185&gt;DATE(Summary!$C$12,12,31),"",DATE(Summary!$C$12,1,1)+185)</f>
        <v/>
      </c>
      <c r="C211" s="47">
        <f>IF($B211="","",SUMIFS(Grids!$EE$9:$GQ$108,Grids!$C$9:$BO$108,"&gt;="&amp;$B211*1000000000,Grids!$C$9:$BO$108,"&lt;"&amp;($B211+1)*1000000000))</f>
        <v/>
      </c>
      <c r="D211" s="47">
        <f>IF($B211="","",SUMIFS(Grids!$EE$113:$GQ$152,Grids!$C$113:$BO$152,"&gt;="&amp;$B211*1000000000,Grids!$C$113:$BO$152,"&lt;"&amp;($B211+1)*1000000000))</f>
        <v/>
      </c>
      <c r="E211" s="47">
        <f>IF($B211="","",SUMIFS(Grids!$EE$157:$GQ$216,Grids!$C$157:$BO$216,"&gt;="&amp;$B211*1000000000,Grids!$C$157:$BO$216,"&lt;"&amp;($B211+1)*1000000000))</f>
        <v/>
      </c>
      <c r="F211" s="48">
        <f>IF($B211="","",SUM($C$26:$C211))</f>
        <v/>
      </c>
      <c r="G211" s="48">
        <f>IF($B211="","",SUM($D$26:$D211))</f>
        <v/>
      </c>
      <c r="H211" s="48">
        <f>IF($B211="","",SUM($E$26:$E211))</f>
        <v/>
      </c>
    </row>
    <row r="212">
      <c r="B212" s="46">
        <f>IF(DATE(Summary!$C$12,1,1)+186&gt;DATE(Summary!$C$12,12,31),"",DATE(Summary!$C$12,1,1)+186)</f>
        <v/>
      </c>
      <c r="C212" s="47">
        <f>IF($B212="","",SUMIFS(Grids!$EE$9:$GQ$108,Grids!$C$9:$BO$108,"&gt;="&amp;$B212*1000000000,Grids!$C$9:$BO$108,"&lt;"&amp;($B212+1)*1000000000))</f>
        <v/>
      </c>
      <c r="D212" s="47">
        <f>IF($B212="","",SUMIFS(Grids!$EE$113:$GQ$152,Grids!$C$113:$BO$152,"&gt;="&amp;$B212*1000000000,Grids!$C$113:$BO$152,"&lt;"&amp;($B212+1)*1000000000))</f>
        <v/>
      </c>
      <c r="E212" s="47">
        <f>IF($B212="","",SUMIFS(Grids!$EE$157:$GQ$216,Grids!$C$157:$BO$216,"&gt;="&amp;$B212*1000000000,Grids!$C$157:$BO$216,"&lt;"&amp;($B212+1)*1000000000))</f>
        <v/>
      </c>
      <c r="F212" s="48">
        <f>IF($B212="","",SUM($C$26:$C212))</f>
        <v/>
      </c>
      <c r="G212" s="48">
        <f>IF($B212="","",SUM($D$26:$D212))</f>
        <v/>
      </c>
      <c r="H212" s="48">
        <f>IF($B212="","",SUM($E$26:$E212))</f>
        <v/>
      </c>
    </row>
    <row r="213">
      <c r="B213" s="46">
        <f>IF(DATE(Summary!$C$12,1,1)+187&gt;DATE(Summary!$C$12,12,31),"",DATE(Summary!$C$12,1,1)+187)</f>
        <v/>
      </c>
      <c r="C213" s="47">
        <f>IF($B213="","",SUMIFS(Grids!$EE$9:$GQ$108,Grids!$C$9:$BO$108,"&gt;="&amp;$B213*1000000000,Grids!$C$9:$BO$108,"&lt;"&amp;($B213+1)*1000000000))</f>
        <v/>
      </c>
      <c r="D213" s="47">
        <f>IF($B213="","",SUMIFS(Grids!$EE$113:$GQ$152,Grids!$C$113:$BO$152,"&gt;="&amp;$B213*1000000000,Grids!$C$113:$BO$152,"&lt;"&amp;($B213+1)*1000000000))</f>
        <v/>
      </c>
      <c r="E213" s="47">
        <f>IF($B213="","",SUMIFS(Grids!$EE$157:$GQ$216,Grids!$C$157:$BO$216,"&gt;="&amp;$B213*1000000000,Grids!$C$157:$BO$216,"&lt;"&amp;($B213+1)*1000000000))</f>
        <v/>
      </c>
      <c r="F213" s="48">
        <f>IF($B213="","",SUM($C$26:$C213))</f>
        <v/>
      </c>
      <c r="G213" s="48">
        <f>IF($B213="","",SUM($D$26:$D213))</f>
        <v/>
      </c>
      <c r="H213" s="48">
        <f>IF($B213="","",SUM($E$26:$E213))</f>
        <v/>
      </c>
    </row>
    <row r="214">
      <c r="B214" s="46">
        <f>IF(DATE(Summary!$C$12,1,1)+188&gt;DATE(Summary!$C$12,12,31),"",DATE(Summary!$C$12,1,1)+188)</f>
        <v/>
      </c>
      <c r="C214" s="47">
        <f>IF($B214="","",SUMIFS(Grids!$EE$9:$GQ$108,Grids!$C$9:$BO$108,"&gt;="&amp;$B214*1000000000,Grids!$C$9:$BO$108,"&lt;"&amp;($B214+1)*1000000000))</f>
        <v/>
      </c>
      <c r="D214" s="47">
        <f>IF($B214="","",SUMIFS(Grids!$EE$113:$GQ$152,Grids!$C$113:$BO$152,"&gt;="&amp;$B214*1000000000,Grids!$C$113:$BO$152,"&lt;"&amp;($B214+1)*1000000000))</f>
        <v/>
      </c>
      <c r="E214" s="47">
        <f>IF($B214="","",SUMIFS(Grids!$EE$157:$GQ$216,Grids!$C$157:$BO$216,"&gt;="&amp;$B214*1000000000,Grids!$C$157:$BO$216,"&lt;"&amp;($B214+1)*1000000000))</f>
        <v/>
      </c>
      <c r="F214" s="48">
        <f>IF($B214="","",SUM($C$26:$C214))</f>
        <v/>
      </c>
      <c r="G214" s="48">
        <f>IF($B214="","",SUM($D$26:$D214))</f>
        <v/>
      </c>
      <c r="H214" s="48">
        <f>IF($B214="","",SUM($E$26:$E214))</f>
        <v/>
      </c>
    </row>
    <row r="215">
      <c r="B215" s="46">
        <f>IF(DATE(Summary!$C$12,1,1)+189&gt;DATE(Summary!$C$12,12,31),"",DATE(Summary!$C$12,1,1)+189)</f>
        <v/>
      </c>
      <c r="C215" s="47">
        <f>IF($B215="","",SUMIFS(Grids!$EE$9:$GQ$108,Grids!$C$9:$BO$108,"&gt;="&amp;$B215*1000000000,Grids!$C$9:$BO$108,"&lt;"&amp;($B215+1)*1000000000))</f>
        <v/>
      </c>
      <c r="D215" s="47">
        <f>IF($B215="","",SUMIFS(Grids!$EE$113:$GQ$152,Grids!$C$113:$BO$152,"&gt;="&amp;$B215*1000000000,Grids!$C$113:$BO$152,"&lt;"&amp;($B215+1)*1000000000))</f>
        <v/>
      </c>
      <c r="E215" s="47">
        <f>IF($B215="","",SUMIFS(Grids!$EE$157:$GQ$216,Grids!$C$157:$BO$216,"&gt;="&amp;$B215*1000000000,Grids!$C$157:$BO$216,"&lt;"&amp;($B215+1)*1000000000))</f>
        <v/>
      </c>
      <c r="F215" s="48">
        <f>IF($B215="","",SUM($C$26:$C215))</f>
        <v/>
      </c>
      <c r="G215" s="48">
        <f>IF($B215="","",SUM($D$26:$D215))</f>
        <v/>
      </c>
      <c r="H215" s="48">
        <f>IF($B215="","",SUM($E$26:$E215))</f>
        <v/>
      </c>
    </row>
    <row r="216">
      <c r="B216" s="46">
        <f>IF(DATE(Summary!$C$12,1,1)+190&gt;DATE(Summary!$C$12,12,31),"",DATE(Summary!$C$12,1,1)+190)</f>
        <v/>
      </c>
      <c r="C216" s="47">
        <f>IF($B216="","",SUMIFS(Grids!$EE$9:$GQ$108,Grids!$C$9:$BO$108,"&gt;="&amp;$B216*1000000000,Grids!$C$9:$BO$108,"&lt;"&amp;($B216+1)*1000000000))</f>
        <v/>
      </c>
      <c r="D216" s="47">
        <f>IF($B216="","",SUMIFS(Grids!$EE$113:$GQ$152,Grids!$C$113:$BO$152,"&gt;="&amp;$B216*1000000000,Grids!$C$113:$BO$152,"&lt;"&amp;($B216+1)*1000000000))</f>
        <v/>
      </c>
      <c r="E216" s="47">
        <f>IF($B216="","",SUMIFS(Grids!$EE$157:$GQ$216,Grids!$C$157:$BO$216,"&gt;="&amp;$B216*1000000000,Grids!$C$157:$BO$216,"&lt;"&amp;($B216+1)*1000000000))</f>
        <v/>
      </c>
      <c r="F216" s="48">
        <f>IF($B216="","",SUM($C$26:$C216))</f>
        <v/>
      </c>
      <c r="G216" s="48">
        <f>IF($B216="","",SUM($D$26:$D216))</f>
        <v/>
      </c>
      <c r="H216" s="48">
        <f>IF($B216="","",SUM($E$26:$E216))</f>
        <v/>
      </c>
    </row>
    <row r="217">
      <c r="B217" s="46">
        <f>IF(DATE(Summary!$C$12,1,1)+191&gt;DATE(Summary!$C$12,12,31),"",DATE(Summary!$C$12,1,1)+191)</f>
        <v/>
      </c>
      <c r="C217" s="47">
        <f>IF($B217="","",SUMIFS(Grids!$EE$9:$GQ$108,Grids!$C$9:$BO$108,"&gt;="&amp;$B217*1000000000,Grids!$C$9:$BO$108,"&lt;"&amp;($B217+1)*1000000000))</f>
        <v/>
      </c>
      <c r="D217" s="47">
        <f>IF($B217="","",SUMIFS(Grids!$EE$113:$GQ$152,Grids!$C$113:$BO$152,"&gt;="&amp;$B217*1000000000,Grids!$C$113:$BO$152,"&lt;"&amp;($B217+1)*1000000000))</f>
        <v/>
      </c>
      <c r="E217" s="47">
        <f>IF($B217="","",SUMIFS(Grids!$EE$157:$GQ$216,Grids!$C$157:$BO$216,"&gt;="&amp;$B217*1000000000,Grids!$C$157:$BO$216,"&lt;"&amp;($B217+1)*1000000000))</f>
        <v/>
      </c>
      <c r="F217" s="48">
        <f>IF($B217="","",SUM($C$26:$C217))</f>
        <v/>
      </c>
      <c r="G217" s="48">
        <f>IF($B217="","",SUM($D$26:$D217))</f>
        <v/>
      </c>
      <c r="H217" s="48">
        <f>IF($B217="","",SUM($E$26:$E217))</f>
        <v/>
      </c>
    </row>
    <row r="218">
      <c r="B218" s="46">
        <f>IF(DATE(Summary!$C$12,1,1)+192&gt;DATE(Summary!$C$12,12,31),"",DATE(Summary!$C$12,1,1)+192)</f>
        <v/>
      </c>
      <c r="C218" s="47">
        <f>IF($B218="","",SUMIFS(Grids!$EE$9:$GQ$108,Grids!$C$9:$BO$108,"&gt;="&amp;$B218*1000000000,Grids!$C$9:$BO$108,"&lt;"&amp;($B218+1)*1000000000))</f>
        <v/>
      </c>
      <c r="D218" s="47">
        <f>IF($B218="","",SUMIFS(Grids!$EE$113:$GQ$152,Grids!$C$113:$BO$152,"&gt;="&amp;$B218*1000000000,Grids!$C$113:$BO$152,"&lt;"&amp;($B218+1)*1000000000))</f>
        <v/>
      </c>
      <c r="E218" s="47">
        <f>IF($B218="","",SUMIFS(Grids!$EE$157:$GQ$216,Grids!$C$157:$BO$216,"&gt;="&amp;$B218*1000000000,Grids!$C$157:$BO$216,"&lt;"&amp;($B218+1)*1000000000))</f>
        <v/>
      </c>
      <c r="F218" s="48">
        <f>IF($B218="","",SUM($C$26:$C218))</f>
        <v/>
      </c>
      <c r="G218" s="48">
        <f>IF($B218="","",SUM($D$26:$D218))</f>
        <v/>
      </c>
      <c r="H218" s="48">
        <f>IF($B218="","",SUM($E$26:$E218))</f>
        <v/>
      </c>
    </row>
    <row r="219">
      <c r="B219" s="46">
        <f>IF(DATE(Summary!$C$12,1,1)+193&gt;DATE(Summary!$C$12,12,31),"",DATE(Summary!$C$12,1,1)+193)</f>
        <v/>
      </c>
      <c r="C219" s="47">
        <f>IF($B219="","",SUMIFS(Grids!$EE$9:$GQ$108,Grids!$C$9:$BO$108,"&gt;="&amp;$B219*1000000000,Grids!$C$9:$BO$108,"&lt;"&amp;($B219+1)*1000000000))</f>
        <v/>
      </c>
      <c r="D219" s="47">
        <f>IF($B219="","",SUMIFS(Grids!$EE$113:$GQ$152,Grids!$C$113:$BO$152,"&gt;="&amp;$B219*1000000000,Grids!$C$113:$BO$152,"&lt;"&amp;($B219+1)*1000000000))</f>
        <v/>
      </c>
      <c r="E219" s="47">
        <f>IF($B219="","",SUMIFS(Grids!$EE$157:$GQ$216,Grids!$C$157:$BO$216,"&gt;="&amp;$B219*1000000000,Grids!$C$157:$BO$216,"&lt;"&amp;($B219+1)*1000000000))</f>
        <v/>
      </c>
      <c r="F219" s="48">
        <f>IF($B219="","",SUM($C$26:$C219))</f>
        <v/>
      </c>
      <c r="G219" s="48">
        <f>IF($B219="","",SUM($D$26:$D219))</f>
        <v/>
      </c>
      <c r="H219" s="48">
        <f>IF($B219="","",SUM($E$26:$E219))</f>
        <v/>
      </c>
    </row>
    <row r="220">
      <c r="B220" s="46">
        <f>IF(DATE(Summary!$C$12,1,1)+194&gt;DATE(Summary!$C$12,12,31),"",DATE(Summary!$C$12,1,1)+194)</f>
        <v/>
      </c>
      <c r="C220" s="47">
        <f>IF($B220="","",SUMIFS(Grids!$EE$9:$GQ$108,Grids!$C$9:$BO$108,"&gt;="&amp;$B220*1000000000,Grids!$C$9:$BO$108,"&lt;"&amp;($B220+1)*1000000000))</f>
        <v/>
      </c>
      <c r="D220" s="47">
        <f>IF($B220="","",SUMIFS(Grids!$EE$113:$GQ$152,Grids!$C$113:$BO$152,"&gt;="&amp;$B220*1000000000,Grids!$C$113:$BO$152,"&lt;"&amp;($B220+1)*1000000000))</f>
        <v/>
      </c>
      <c r="E220" s="47">
        <f>IF($B220="","",SUMIFS(Grids!$EE$157:$GQ$216,Grids!$C$157:$BO$216,"&gt;="&amp;$B220*1000000000,Grids!$C$157:$BO$216,"&lt;"&amp;($B220+1)*1000000000))</f>
        <v/>
      </c>
      <c r="F220" s="48">
        <f>IF($B220="","",SUM($C$26:$C220))</f>
        <v/>
      </c>
      <c r="G220" s="48">
        <f>IF($B220="","",SUM($D$26:$D220))</f>
        <v/>
      </c>
      <c r="H220" s="48">
        <f>IF($B220="","",SUM($E$26:$E220))</f>
        <v/>
      </c>
    </row>
    <row r="221">
      <c r="B221" s="46">
        <f>IF(DATE(Summary!$C$12,1,1)+195&gt;DATE(Summary!$C$12,12,31),"",DATE(Summary!$C$12,1,1)+195)</f>
        <v/>
      </c>
      <c r="C221" s="47">
        <f>IF($B221="","",SUMIFS(Grids!$EE$9:$GQ$108,Grids!$C$9:$BO$108,"&gt;="&amp;$B221*1000000000,Grids!$C$9:$BO$108,"&lt;"&amp;($B221+1)*1000000000))</f>
        <v/>
      </c>
      <c r="D221" s="47">
        <f>IF($B221="","",SUMIFS(Grids!$EE$113:$GQ$152,Grids!$C$113:$BO$152,"&gt;="&amp;$B221*1000000000,Grids!$C$113:$BO$152,"&lt;"&amp;($B221+1)*1000000000))</f>
        <v/>
      </c>
      <c r="E221" s="47">
        <f>IF($B221="","",SUMIFS(Grids!$EE$157:$GQ$216,Grids!$C$157:$BO$216,"&gt;="&amp;$B221*1000000000,Grids!$C$157:$BO$216,"&lt;"&amp;($B221+1)*1000000000))</f>
        <v/>
      </c>
      <c r="F221" s="48">
        <f>IF($B221="","",SUM($C$26:$C221))</f>
        <v/>
      </c>
      <c r="G221" s="48">
        <f>IF($B221="","",SUM($D$26:$D221))</f>
        <v/>
      </c>
      <c r="H221" s="48">
        <f>IF($B221="","",SUM($E$26:$E221))</f>
        <v/>
      </c>
    </row>
    <row r="222">
      <c r="B222" s="46">
        <f>IF(DATE(Summary!$C$12,1,1)+196&gt;DATE(Summary!$C$12,12,31),"",DATE(Summary!$C$12,1,1)+196)</f>
        <v/>
      </c>
      <c r="C222" s="47">
        <f>IF($B222="","",SUMIFS(Grids!$EE$9:$GQ$108,Grids!$C$9:$BO$108,"&gt;="&amp;$B222*1000000000,Grids!$C$9:$BO$108,"&lt;"&amp;($B222+1)*1000000000))</f>
        <v/>
      </c>
      <c r="D222" s="47">
        <f>IF($B222="","",SUMIFS(Grids!$EE$113:$GQ$152,Grids!$C$113:$BO$152,"&gt;="&amp;$B222*1000000000,Grids!$C$113:$BO$152,"&lt;"&amp;($B222+1)*1000000000))</f>
        <v/>
      </c>
      <c r="E222" s="47">
        <f>IF($B222="","",SUMIFS(Grids!$EE$157:$GQ$216,Grids!$C$157:$BO$216,"&gt;="&amp;$B222*1000000000,Grids!$C$157:$BO$216,"&lt;"&amp;($B222+1)*1000000000))</f>
        <v/>
      </c>
      <c r="F222" s="48">
        <f>IF($B222="","",SUM($C$26:$C222))</f>
        <v/>
      </c>
      <c r="G222" s="48">
        <f>IF($B222="","",SUM($D$26:$D222))</f>
        <v/>
      </c>
      <c r="H222" s="48">
        <f>IF($B222="","",SUM($E$26:$E222))</f>
        <v/>
      </c>
    </row>
    <row r="223">
      <c r="B223" s="46">
        <f>IF(DATE(Summary!$C$12,1,1)+197&gt;DATE(Summary!$C$12,12,31),"",DATE(Summary!$C$12,1,1)+197)</f>
        <v/>
      </c>
      <c r="C223" s="47">
        <f>IF($B223="","",SUMIFS(Grids!$EE$9:$GQ$108,Grids!$C$9:$BO$108,"&gt;="&amp;$B223*1000000000,Grids!$C$9:$BO$108,"&lt;"&amp;($B223+1)*1000000000))</f>
        <v/>
      </c>
      <c r="D223" s="47">
        <f>IF($B223="","",SUMIFS(Grids!$EE$113:$GQ$152,Grids!$C$113:$BO$152,"&gt;="&amp;$B223*1000000000,Grids!$C$113:$BO$152,"&lt;"&amp;($B223+1)*1000000000))</f>
        <v/>
      </c>
      <c r="E223" s="47">
        <f>IF($B223="","",SUMIFS(Grids!$EE$157:$GQ$216,Grids!$C$157:$BO$216,"&gt;="&amp;$B223*1000000000,Grids!$C$157:$BO$216,"&lt;"&amp;($B223+1)*1000000000))</f>
        <v/>
      </c>
      <c r="F223" s="48">
        <f>IF($B223="","",SUM($C$26:$C223))</f>
        <v/>
      </c>
      <c r="G223" s="48">
        <f>IF($B223="","",SUM($D$26:$D223))</f>
        <v/>
      </c>
      <c r="H223" s="48">
        <f>IF($B223="","",SUM($E$26:$E223))</f>
        <v/>
      </c>
    </row>
    <row r="224">
      <c r="B224" s="46">
        <f>IF(DATE(Summary!$C$12,1,1)+198&gt;DATE(Summary!$C$12,12,31),"",DATE(Summary!$C$12,1,1)+198)</f>
        <v/>
      </c>
      <c r="C224" s="47">
        <f>IF($B224="","",SUMIFS(Grids!$EE$9:$GQ$108,Grids!$C$9:$BO$108,"&gt;="&amp;$B224*1000000000,Grids!$C$9:$BO$108,"&lt;"&amp;($B224+1)*1000000000))</f>
        <v/>
      </c>
      <c r="D224" s="47">
        <f>IF($B224="","",SUMIFS(Grids!$EE$113:$GQ$152,Grids!$C$113:$BO$152,"&gt;="&amp;$B224*1000000000,Grids!$C$113:$BO$152,"&lt;"&amp;($B224+1)*1000000000))</f>
        <v/>
      </c>
      <c r="E224" s="47">
        <f>IF($B224="","",SUMIFS(Grids!$EE$157:$GQ$216,Grids!$C$157:$BO$216,"&gt;="&amp;$B224*1000000000,Grids!$C$157:$BO$216,"&lt;"&amp;($B224+1)*1000000000))</f>
        <v/>
      </c>
      <c r="F224" s="48">
        <f>IF($B224="","",SUM($C$26:$C224))</f>
        <v/>
      </c>
      <c r="G224" s="48">
        <f>IF($B224="","",SUM($D$26:$D224))</f>
        <v/>
      </c>
      <c r="H224" s="48">
        <f>IF($B224="","",SUM($E$26:$E224))</f>
        <v/>
      </c>
    </row>
    <row r="225">
      <c r="B225" s="46">
        <f>IF(DATE(Summary!$C$12,1,1)+199&gt;DATE(Summary!$C$12,12,31),"",DATE(Summary!$C$12,1,1)+199)</f>
        <v/>
      </c>
      <c r="C225" s="47">
        <f>IF($B225="","",SUMIFS(Grids!$EE$9:$GQ$108,Grids!$C$9:$BO$108,"&gt;="&amp;$B225*1000000000,Grids!$C$9:$BO$108,"&lt;"&amp;($B225+1)*1000000000))</f>
        <v/>
      </c>
      <c r="D225" s="47">
        <f>IF($B225="","",SUMIFS(Grids!$EE$113:$GQ$152,Grids!$C$113:$BO$152,"&gt;="&amp;$B225*1000000000,Grids!$C$113:$BO$152,"&lt;"&amp;($B225+1)*1000000000))</f>
        <v/>
      </c>
      <c r="E225" s="47">
        <f>IF($B225="","",SUMIFS(Grids!$EE$157:$GQ$216,Grids!$C$157:$BO$216,"&gt;="&amp;$B225*1000000000,Grids!$C$157:$BO$216,"&lt;"&amp;($B225+1)*1000000000))</f>
        <v/>
      </c>
      <c r="F225" s="48">
        <f>IF($B225="","",SUM($C$26:$C225))</f>
        <v/>
      </c>
      <c r="G225" s="48">
        <f>IF($B225="","",SUM($D$26:$D225))</f>
        <v/>
      </c>
      <c r="H225" s="48">
        <f>IF($B225="","",SUM($E$26:$E225))</f>
        <v/>
      </c>
    </row>
    <row r="226">
      <c r="B226" s="46">
        <f>IF(DATE(Summary!$C$12,1,1)+200&gt;DATE(Summary!$C$12,12,31),"",DATE(Summary!$C$12,1,1)+200)</f>
        <v/>
      </c>
      <c r="C226" s="47">
        <f>IF($B226="","",SUMIFS(Grids!$EE$9:$GQ$108,Grids!$C$9:$BO$108,"&gt;="&amp;$B226*1000000000,Grids!$C$9:$BO$108,"&lt;"&amp;($B226+1)*1000000000))</f>
        <v/>
      </c>
      <c r="D226" s="47">
        <f>IF($B226="","",SUMIFS(Grids!$EE$113:$GQ$152,Grids!$C$113:$BO$152,"&gt;="&amp;$B226*1000000000,Grids!$C$113:$BO$152,"&lt;"&amp;($B226+1)*1000000000))</f>
        <v/>
      </c>
      <c r="E226" s="47">
        <f>IF($B226="","",SUMIFS(Grids!$EE$157:$GQ$216,Grids!$C$157:$BO$216,"&gt;="&amp;$B226*1000000000,Grids!$C$157:$BO$216,"&lt;"&amp;($B226+1)*1000000000))</f>
        <v/>
      </c>
      <c r="F226" s="48">
        <f>IF($B226="","",SUM($C$26:$C226))</f>
        <v/>
      </c>
      <c r="G226" s="48">
        <f>IF($B226="","",SUM($D$26:$D226))</f>
        <v/>
      </c>
      <c r="H226" s="48">
        <f>IF($B226="","",SUM($E$26:$E226))</f>
        <v/>
      </c>
    </row>
    <row r="227">
      <c r="B227" s="46">
        <f>IF(DATE(Summary!$C$12,1,1)+201&gt;DATE(Summary!$C$12,12,31),"",DATE(Summary!$C$12,1,1)+201)</f>
        <v/>
      </c>
      <c r="C227" s="47">
        <f>IF($B227="","",SUMIFS(Grids!$EE$9:$GQ$108,Grids!$C$9:$BO$108,"&gt;="&amp;$B227*1000000000,Grids!$C$9:$BO$108,"&lt;"&amp;($B227+1)*1000000000))</f>
        <v/>
      </c>
      <c r="D227" s="47">
        <f>IF($B227="","",SUMIFS(Grids!$EE$113:$GQ$152,Grids!$C$113:$BO$152,"&gt;="&amp;$B227*1000000000,Grids!$C$113:$BO$152,"&lt;"&amp;($B227+1)*1000000000))</f>
        <v/>
      </c>
      <c r="E227" s="47">
        <f>IF($B227="","",SUMIFS(Grids!$EE$157:$GQ$216,Grids!$C$157:$BO$216,"&gt;="&amp;$B227*1000000000,Grids!$C$157:$BO$216,"&lt;"&amp;($B227+1)*1000000000))</f>
        <v/>
      </c>
      <c r="F227" s="48">
        <f>IF($B227="","",SUM($C$26:$C227))</f>
        <v/>
      </c>
      <c r="G227" s="48">
        <f>IF($B227="","",SUM($D$26:$D227))</f>
        <v/>
      </c>
      <c r="H227" s="48">
        <f>IF($B227="","",SUM($E$26:$E227))</f>
        <v/>
      </c>
    </row>
    <row r="228">
      <c r="B228" s="46">
        <f>IF(DATE(Summary!$C$12,1,1)+202&gt;DATE(Summary!$C$12,12,31),"",DATE(Summary!$C$12,1,1)+202)</f>
        <v/>
      </c>
      <c r="C228" s="47">
        <f>IF($B228="","",SUMIFS(Grids!$EE$9:$GQ$108,Grids!$C$9:$BO$108,"&gt;="&amp;$B228*1000000000,Grids!$C$9:$BO$108,"&lt;"&amp;($B228+1)*1000000000))</f>
        <v/>
      </c>
      <c r="D228" s="47">
        <f>IF($B228="","",SUMIFS(Grids!$EE$113:$GQ$152,Grids!$C$113:$BO$152,"&gt;="&amp;$B228*1000000000,Grids!$C$113:$BO$152,"&lt;"&amp;($B228+1)*1000000000))</f>
        <v/>
      </c>
      <c r="E228" s="47">
        <f>IF($B228="","",SUMIFS(Grids!$EE$157:$GQ$216,Grids!$C$157:$BO$216,"&gt;="&amp;$B228*1000000000,Grids!$C$157:$BO$216,"&lt;"&amp;($B228+1)*1000000000))</f>
        <v/>
      </c>
      <c r="F228" s="48">
        <f>IF($B228="","",SUM($C$26:$C228))</f>
        <v/>
      </c>
      <c r="G228" s="48">
        <f>IF($B228="","",SUM($D$26:$D228))</f>
        <v/>
      </c>
      <c r="H228" s="48">
        <f>IF($B228="","",SUM($E$26:$E228))</f>
        <v/>
      </c>
    </row>
    <row r="229">
      <c r="B229" s="46">
        <f>IF(DATE(Summary!$C$12,1,1)+203&gt;DATE(Summary!$C$12,12,31),"",DATE(Summary!$C$12,1,1)+203)</f>
        <v/>
      </c>
      <c r="C229" s="47">
        <f>IF($B229="","",SUMIFS(Grids!$EE$9:$GQ$108,Grids!$C$9:$BO$108,"&gt;="&amp;$B229*1000000000,Grids!$C$9:$BO$108,"&lt;"&amp;($B229+1)*1000000000))</f>
        <v/>
      </c>
      <c r="D229" s="47">
        <f>IF($B229="","",SUMIFS(Grids!$EE$113:$GQ$152,Grids!$C$113:$BO$152,"&gt;="&amp;$B229*1000000000,Grids!$C$113:$BO$152,"&lt;"&amp;($B229+1)*1000000000))</f>
        <v/>
      </c>
      <c r="E229" s="47">
        <f>IF($B229="","",SUMIFS(Grids!$EE$157:$GQ$216,Grids!$C$157:$BO$216,"&gt;="&amp;$B229*1000000000,Grids!$C$157:$BO$216,"&lt;"&amp;($B229+1)*1000000000))</f>
        <v/>
      </c>
      <c r="F229" s="48">
        <f>IF($B229="","",SUM($C$26:$C229))</f>
        <v/>
      </c>
      <c r="G229" s="48">
        <f>IF($B229="","",SUM($D$26:$D229))</f>
        <v/>
      </c>
      <c r="H229" s="48">
        <f>IF($B229="","",SUM($E$26:$E229))</f>
        <v/>
      </c>
    </row>
    <row r="230">
      <c r="B230" s="46">
        <f>IF(DATE(Summary!$C$12,1,1)+204&gt;DATE(Summary!$C$12,12,31),"",DATE(Summary!$C$12,1,1)+204)</f>
        <v/>
      </c>
      <c r="C230" s="47">
        <f>IF($B230="","",SUMIFS(Grids!$EE$9:$GQ$108,Grids!$C$9:$BO$108,"&gt;="&amp;$B230*1000000000,Grids!$C$9:$BO$108,"&lt;"&amp;($B230+1)*1000000000))</f>
        <v/>
      </c>
      <c r="D230" s="47">
        <f>IF($B230="","",SUMIFS(Grids!$EE$113:$GQ$152,Grids!$C$113:$BO$152,"&gt;="&amp;$B230*1000000000,Grids!$C$113:$BO$152,"&lt;"&amp;($B230+1)*1000000000))</f>
        <v/>
      </c>
      <c r="E230" s="47">
        <f>IF($B230="","",SUMIFS(Grids!$EE$157:$GQ$216,Grids!$C$157:$BO$216,"&gt;="&amp;$B230*1000000000,Grids!$C$157:$BO$216,"&lt;"&amp;($B230+1)*1000000000))</f>
        <v/>
      </c>
      <c r="F230" s="48">
        <f>IF($B230="","",SUM($C$26:$C230))</f>
        <v/>
      </c>
      <c r="G230" s="48">
        <f>IF($B230="","",SUM($D$26:$D230))</f>
        <v/>
      </c>
      <c r="H230" s="48">
        <f>IF($B230="","",SUM($E$26:$E230))</f>
        <v/>
      </c>
    </row>
    <row r="231">
      <c r="B231" s="46">
        <f>IF(DATE(Summary!$C$12,1,1)+205&gt;DATE(Summary!$C$12,12,31),"",DATE(Summary!$C$12,1,1)+205)</f>
        <v/>
      </c>
      <c r="C231" s="47">
        <f>IF($B231="","",SUMIFS(Grids!$EE$9:$GQ$108,Grids!$C$9:$BO$108,"&gt;="&amp;$B231*1000000000,Grids!$C$9:$BO$108,"&lt;"&amp;($B231+1)*1000000000))</f>
        <v/>
      </c>
      <c r="D231" s="47">
        <f>IF($B231="","",SUMIFS(Grids!$EE$113:$GQ$152,Grids!$C$113:$BO$152,"&gt;="&amp;$B231*1000000000,Grids!$C$113:$BO$152,"&lt;"&amp;($B231+1)*1000000000))</f>
        <v/>
      </c>
      <c r="E231" s="47">
        <f>IF($B231="","",SUMIFS(Grids!$EE$157:$GQ$216,Grids!$C$157:$BO$216,"&gt;="&amp;$B231*1000000000,Grids!$C$157:$BO$216,"&lt;"&amp;($B231+1)*1000000000))</f>
        <v/>
      </c>
      <c r="F231" s="48">
        <f>IF($B231="","",SUM($C$26:$C231))</f>
        <v/>
      </c>
      <c r="G231" s="48">
        <f>IF($B231="","",SUM($D$26:$D231))</f>
        <v/>
      </c>
      <c r="H231" s="48">
        <f>IF($B231="","",SUM($E$26:$E231))</f>
        <v/>
      </c>
    </row>
    <row r="232">
      <c r="B232" s="46">
        <f>IF(DATE(Summary!$C$12,1,1)+206&gt;DATE(Summary!$C$12,12,31),"",DATE(Summary!$C$12,1,1)+206)</f>
        <v/>
      </c>
      <c r="C232" s="47">
        <f>IF($B232="","",SUMIFS(Grids!$EE$9:$GQ$108,Grids!$C$9:$BO$108,"&gt;="&amp;$B232*1000000000,Grids!$C$9:$BO$108,"&lt;"&amp;($B232+1)*1000000000))</f>
        <v/>
      </c>
      <c r="D232" s="47">
        <f>IF($B232="","",SUMIFS(Grids!$EE$113:$GQ$152,Grids!$C$113:$BO$152,"&gt;="&amp;$B232*1000000000,Grids!$C$113:$BO$152,"&lt;"&amp;($B232+1)*1000000000))</f>
        <v/>
      </c>
      <c r="E232" s="47">
        <f>IF($B232="","",SUMIFS(Grids!$EE$157:$GQ$216,Grids!$C$157:$BO$216,"&gt;="&amp;$B232*1000000000,Grids!$C$157:$BO$216,"&lt;"&amp;($B232+1)*1000000000))</f>
        <v/>
      </c>
      <c r="F232" s="48">
        <f>IF($B232="","",SUM($C$26:$C232))</f>
        <v/>
      </c>
      <c r="G232" s="48">
        <f>IF($B232="","",SUM($D$26:$D232))</f>
        <v/>
      </c>
      <c r="H232" s="48">
        <f>IF($B232="","",SUM($E$26:$E232))</f>
        <v/>
      </c>
    </row>
    <row r="233">
      <c r="B233" s="46">
        <f>IF(DATE(Summary!$C$12,1,1)+207&gt;DATE(Summary!$C$12,12,31),"",DATE(Summary!$C$12,1,1)+207)</f>
        <v/>
      </c>
      <c r="C233" s="47">
        <f>IF($B233="","",SUMIFS(Grids!$EE$9:$GQ$108,Grids!$C$9:$BO$108,"&gt;="&amp;$B233*1000000000,Grids!$C$9:$BO$108,"&lt;"&amp;($B233+1)*1000000000))</f>
        <v/>
      </c>
      <c r="D233" s="47">
        <f>IF($B233="","",SUMIFS(Grids!$EE$113:$GQ$152,Grids!$C$113:$BO$152,"&gt;="&amp;$B233*1000000000,Grids!$C$113:$BO$152,"&lt;"&amp;($B233+1)*1000000000))</f>
        <v/>
      </c>
      <c r="E233" s="47">
        <f>IF($B233="","",SUMIFS(Grids!$EE$157:$GQ$216,Grids!$C$157:$BO$216,"&gt;="&amp;$B233*1000000000,Grids!$C$157:$BO$216,"&lt;"&amp;($B233+1)*1000000000))</f>
        <v/>
      </c>
      <c r="F233" s="48">
        <f>IF($B233="","",SUM($C$26:$C233))</f>
        <v/>
      </c>
      <c r="G233" s="48">
        <f>IF($B233="","",SUM($D$26:$D233))</f>
        <v/>
      </c>
      <c r="H233" s="48">
        <f>IF($B233="","",SUM($E$26:$E233))</f>
        <v/>
      </c>
    </row>
    <row r="234">
      <c r="B234" s="46">
        <f>IF(DATE(Summary!$C$12,1,1)+208&gt;DATE(Summary!$C$12,12,31),"",DATE(Summary!$C$12,1,1)+208)</f>
        <v/>
      </c>
      <c r="C234" s="47">
        <f>IF($B234="","",SUMIFS(Grids!$EE$9:$GQ$108,Grids!$C$9:$BO$108,"&gt;="&amp;$B234*1000000000,Grids!$C$9:$BO$108,"&lt;"&amp;($B234+1)*1000000000))</f>
        <v/>
      </c>
      <c r="D234" s="47">
        <f>IF($B234="","",SUMIFS(Grids!$EE$113:$GQ$152,Grids!$C$113:$BO$152,"&gt;="&amp;$B234*1000000000,Grids!$C$113:$BO$152,"&lt;"&amp;($B234+1)*1000000000))</f>
        <v/>
      </c>
      <c r="E234" s="47">
        <f>IF($B234="","",SUMIFS(Grids!$EE$157:$GQ$216,Grids!$C$157:$BO$216,"&gt;="&amp;$B234*1000000000,Grids!$C$157:$BO$216,"&lt;"&amp;($B234+1)*1000000000))</f>
        <v/>
      </c>
      <c r="F234" s="48">
        <f>IF($B234="","",SUM($C$26:$C234))</f>
        <v/>
      </c>
      <c r="G234" s="48">
        <f>IF($B234="","",SUM($D$26:$D234))</f>
        <v/>
      </c>
      <c r="H234" s="48">
        <f>IF($B234="","",SUM($E$26:$E234))</f>
        <v/>
      </c>
    </row>
    <row r="235">
      <c r="B235" s="46">
        <f>IF(DATE(Summary!$C$12,1,1)+209&gt;DATE(Summary!$C$12,12,31),"",DATE(Summary!$C$12,1,1)+209)</f>
        <v/>
      </c>
      <c r="C235" s="47">
        <f>IF($B235="","",SUMIFS(Grids!$EE$9:$GQ$108,Grids!$C$9:$BO$108,"&gt;="&amp;$B235*1000000000,Grids!$C$9:$BO$108,"&lt;"&amp;($B235+1)*1000000000))</f>
        <v/>
      </c>
      <c r="D235" s="47">
        <f>IF($B235="","",SUMIFS(Grids!$EE$113:$GQ$152,Grids!$C$113:$BO$152,"&gt;="&amp;$B235*1000000000,Grids!$C$113:$BO$152,"&lt;"&amp;($B235+1)*1000000000))</f>
        <v/>
      </c>
      <c r="E235" s="47">
        <f>IF($B235="","",SUMIFS(Grids!$EE$157:$GQ$216,Grids!$C$157:$BO$216,"&gt;="&amp;$B235*1000000000,Grids!$C$157:$BO$216,"&lt;"&amp;($B235+1)*1000000000))</f>
        <v/>
      </c>
      <c r="F235" s="48">
        <f>IF($B235="","",SUM($C$26:$C235))</f>
        <v/>
      </c>
      <c r="G235" s="48">
        <f>IF($B235="","",SUM($D$26:$D235))</f>
        <v/>
      </c>
      <c r="H235" s="48">
        <f>IF($B235="","",SUM($E$26:$E235))</f>
        <v/>
      </c>
    </row>
    <row r="236">
      <c r="B236" s="46">
        <f>IF(DATE(Summary!$C$12,1,1)+210&gt;DATE(Summary!$C$12,12,31),"",DATE(Summary!$C$12,1,1)+210)</f>
        <v/>
      </c>
      <c r="C236" s="47">
        <f>IF($B236="","",SUMIFS(Grids!$EE$9:$GQ$108,Grids!$C$9:$BO$108,"&gt;="&amp;$B236*1000000000,Grids!$C$9:$BO$108,"&lt;"&amp;($B236+1)*1000000000))</f>
        <v/>
      </c>
      <c r="D236" s="47">
        <f>IF($B236="","",SUMIFS(Grids!$EE$113:$GQ$152,Grids!$C$113:$BO$152,"&gt;="&amp;$B236*1000000000,Grids!$C$113:$BO$152,"&lt;"&amp;($B236+1)*1000000000))</f>
        <v/>
      </c>
      <c r="E236" s="47">
        <f>IF($B236="","",SUMIFS(Grids!$EE$157:$GQ$216,Grids!$C$157:$BO$216,"&gt;="&amp;$B236*1000000000,Grids!$C$157:$BO$216,"&lt;"&amp;($B236+1)*1000000000))</f>
        <v/>
      </c>
      <c r="F236" s="48">
        <f>IF($B236="","",SUM($C$26:$C236))</f>
        <v/>
      </c>
      <c r="G236" s="48">
        <f>IF($B236="","",SUM($D$26:$D236))</f>
        <v/>
      </c>
      <c r="H236" s="48">
        <f>IF($B236="","",SUM($E$26:$E236))</f>
        <v/>
      </c>
    </row>
    <row r="237">
      <c r="B237" s="46">
        <f>IF(DATE(Summary!$C$12,1,1)+211&gt;DATE(Summary!$C$12,12,31),"",DATE(Summary!$C$12,1,1)+211)</f>
        <v/>
      </c>
      <c r="C237" s="47">
        <f>IF($B237="","",SUMIFS(Grids!$EE$9:$GQ$108,Grids!$C$9:$BO$108,"&gt;="&amp;$B237*1000000000,Grids!$C$9:$BO$108,"&lt;"&amp;($B237+1)*1000000000))</f>
        <v/>
      </c>
      <c r="D237" s="47">
        <f>IF($B237="","",SUMIFS(Grids!$EE$113:$GQ$152,Grids!$C$113:$BO$152,"&gt;="&amp;$B237*1000000000,Grids!$C$113:$BO$152,"&lt;"&amp;($B237+1)*1000000000))</f>
        <v/>
      </c>
      <c r="E237" s="47">
        <f>IF($B237="","",SUMIFS(Grids!$EE$157:$GQ$216,Grids!$C$157:$BO$216,"&gt;="&amp;$B237*1000000000,Grids!$C$157:$BO$216,"&lt;"&amp;($B237+1)*1000000000))</f>
        <v/>
      </c>
      <c r="F237" s="48">
        <f>IF($B237="","",SUM($C$26:$C237))</f>
        <v/>
      </c>
      <c r="G237" s="48">
        <f>IF($B237="","",SUM($D$26:$D237))</f>
        <v/>
      </c>
      <c r="H237" s="48">
        <f>IF($B237="","",SUM($E$26:$E237))</f>
        <v/>
      </c>
    </row>
    <row r="238">
      <c r="B238" s="46">
        <f>IF(DATE(Summary!$C$12,1,1)+212&gt;DATE(Summary!$C$12,12,31),"",DATE(Summary!$C$12,1,1)+212)</f>
        <v/>
      </c>
      <c r="C238" s="47">
        <f>IF($B238="","",SUMIFS(Grids!$EE$9:$GQ$108,Grids!$C$9:$BO$108,"&gt;="&amp;$B238*1000000000,Grids!$C$9:$BO$108,"&lt;"&amp;($B238+1)*1000000000))</f>
        <v/>
      </c>
      <c r="D238" s="47">
        <f>IF($B238="","",SUMIFS(Grids!$EE$113:$GQ$152,Grids!$C$113:$BO$152,"&gt;="&amp;$B238*1000000000,Grids!$C$113:$BO$152,"&lt;"&amp;($B238+1)*1000000000))</f>
        <v/>
      </c>
      <c r="E238" s="47">
        <f>IF($B238="","",SUMIFS(Grids!$EE$157:$GQ$216,Grids!$C$157:$BO$216,"&gt;="&amp;$B238*1000000000,Grids!$C$157:$BO$216,"&lt;"&amp;($B238+1)*1000000000))</f>
        <v/>
      </c>
      <c r="F238" s="48">
        <f>IF($B238="","",SUM($C$26:$C238))</f>
        <v/>
      </c>
      <c r="G238" s="48">
        <f>IF($B238="","",SUM($D$26:$D238))</f>
        <v/>
      </c>
      <c r="H238" s="48">
        <f>IF($B238="","",SUM($E$26:$E238))</f>
        <v/>
      </c>
    </row>
    <row r="239">
      <c r="B239" s="46">
        <f>IF(DATE(Summary!$C$12,1,1)+213&gt;DATE(Summary!$C$12,12,31),"",DATE(Summary!$C$12,1,1)+213)</f>
        <v/>
      </c>
      <c r="C239" s="47">
        <f>IF($B239="","",SUMIFS(Grids!$EE$9:$GQ$108,Grids!$C$9:$BO$108,"&gt;="&amp;$B239*1000000000,Grids!$C$9:$BO$108,"&lt;"&amp;($B239+1)*1000000000))</f>
        <v/>
      </c>
      <c r="D239" s="47">
        <f>IF($B239="","",SUMIFS(Grids!$EE$113:$GQ$152,Grids!$C$113:$BO$152,"&gt;="&amp;$B239*1000000000,Grids!$C$113:$BO$152,"&lt;"&amp;($B239+1)*1000000000))</f>
        <v/>
      </c>
      <c r="E239" s="47">
        <f>IF($B239="","",SUMIFS(Grids!$EE$157:$GQ$216,Grids!$C$157:$BO$216,"&gt;="&amp;$B239*1000000000,Grids!$C$157:$BO$216,"&lt;"&amp;($B239+1)*1000000000))</f>
        <v/>
      </c>
      <c r="F239" s="48">
        <f>IF($B239="","",SUM($C$26:$C239))</f>
        <v/>
      </c>
      <c r="G239" s="48">
        <f>IF($B239="","",SUM($D$26:$D239))</f>
        <v/>
      </c>
      <c r="H239" s="48">
        <f>IF($B239="","",SUM($E$26:$E239))</f>
        <v/>
      </c>
    </row>
    <row r="240">
      <c r="B240" s="46">
        <f>IF(DATE(Summary!$C$12,1,1)+214&gt;DATE(Summary!$C$12,12,31),"",DATE(Summary!$C$12,1,1)+214)</f>
        <v/>
      </c>
      <c r="C240" s="47">
        <f>IF($B240="","",SUMIFS(Grids!$EE$9:$GQ$108,Grids!$C$9:$BO$108,"&gt;="&amp;$B240*1000000000,Grids!$C$9:$BO$108,"&lt;"&amp;($B240+1)*1000000000))</f>
        <v/>
      </c>
      <c r="D240" s="47">
        <f>IF($B240="","",SUMIFS(Grids!$EE$113:$GQ$152,Grids!$C$113:$BO$152,"&gt;="&amp;$B240*1000000000,Grids!$C$113:$BO$152,"&lt;"&amp;($B240+1)*1000000000))</f>
        <v/>
      </c>
      <c r="E240" s="47">
        <f>IF($B240="","",SUMIFS(Grids!$EE$157:$GQ$216,Grids!$C$157:$BO$216,"&gt;="&amp;$B240*1000000000,Grids!$C$157:$BO$216,"&lt;"&amp;($B240+1)*1000000000))</f>
        <v/>
      </c>
      <c r="F240" s="48">
        <f>IF($B240="","",SUM($C$26:$C240))</f>
        <v/>
      </c>
      <c r="G240" s="48">
        <f>IF($B240="","",SUM($D$26:$D240))</f>
        <v/>
      </c>
      <c r="H240" s="48">
        <f>IF($B240="","",SUM($E$26:$E240))</f>
        <v/>
      </c>
    </row>
    <row r="241">
      <c r="B241" s="46">
        <f>IF(DATE(Summary!$C$12,1,1)+215&gt;DATE(Summary!$C$12,12,31),"",DATE(Summary!$C$12,1,1)+215)</f>
        <v/>
      </c>
      <c r="C241" s="47">
        <f>IF($B241="","",SUMIFS(Grids!$EE$9:$GQ$108,Grids!$C$9:$BO$108,"&gt;="&amp;$B241*1000000000,Grids!$C$9:$BO$108,"&lt;"&amp;($B241+1)*1000000000))</f>
        <v/>
      </c>
      <c r="D241" s="47">
        <f>IF($B241="","",SUMIFS(Grids!$EE$113:$GQ$152,Grids!$C$113:$BO$152,"&gt;="&amp;$B241*1000000000,Grids!$C$113:$BO$152,"&lt;"&amp;($B241+1)*1000000000))</f>
        <v/>
      </c>
      <c r="E241" s="47">
        <f>IF($B241="","",SUMIFS(Grids!$EE$157:$GQ$216,Grids!$C$157:$BO$216,"&gt;="&amp;$B241*1000000000,Grids!$C$157:$BO$216,"&lt;"&amp;($B241+1)*1000000000))</f>
        <v/>
      </c>
      <c r="F241" s="48">
        <f>IF($B241="","",SUM($C$26:$C241))</f>
        <v/>
      </c>
      <c r="G241" s="48">
        <f>IF($B241="","",SUM($D$26:$D241))</f>
        <v/>
      </c>
      <c r="H241" s="48">
        <f>IF($B241="","",SUM($E$26:$E241))</f>
        <v/>
      </c>
    </row>
    <row r="242">
      <c r="B242" s="46">
        <f>IF(DATE(Summary!$C$12,1,1)+216&gt;DATE(Summary!$C$12,12,31),"",DATE(Summary!$C$12,1,1)+216)</f>
        <v/>
      </c>
      <c r="C242" s="47">
        <f>IF($B242="","",SUMIFS(Grids!$EE$9:$GQ$108,Grids!$C$9:$BO$108,"&gt;="&amp;$B242*1000000000,Grids!$C$9:$BO$108,"&lt;"&amp;($B242+1)*1000000000))</f>
        <v/>
      </c>
      <c r="D242" s="47">
        <f>IF($B242="","",SUMIFS(Grids!$EE$113:$GQ$152,Grids!$C$113:$BO$152,"&gt;="&amp;$B242*1000000000,Grids!$C$113:$BO$152,"&lt;"&amp;($B242+1)*1000000000))</f>
        <v/>
      </c>
      <c r="E242" s="47">
        <f>IF($B242="","",SUMIFS(Grids!$EE$157:$GQ$216,Grids!$C$157:$BO$216,"&gt;="&amp;$B242*1000000000,Grids!$C$157:$BO$216,"&lt;"&amp;($B242+1)*1000000000))</f>
        <v/>
      </c>
      <c r="F242" s="48">
        <f>IF($B242="","",SUM($C$26:$C242))</f>
        <v/>
      </c>
      <c r="G242" s="48">
        <f>IF($B242="","",SUM($D$26:$D242))</f>
        <v/>
      </c>
      <c r="H242" s="48">
        <f>IF($B242="","",SUM($E$26:$E242))</f>
        <v/>
      </c>
    </row>
    <row r="243">
      <c r="B243" s="46">
        <f>IF(DATE(Summary!$C$12,1,1)+217&gt;DATE(Summary!$C$12,12,31),"",DATE(Summary!$C$12,1,1)+217)</f>
        <v/>
      </c>
      <c r="C243" s="47">
        <f>IF($B243="","",SUMIFS(Grids!$EE$9:$GQ$108,Grids!$C$9:$BO$108,"&gt;="&amp;$B243*1000000000,Grids!$C$9:$BO$108,"&lt;"&amp;($B243+1)*1000000000))</f>
        <v/>
      </c>
      <c r="D243" s="47">
        <f>IF($B243="","",SUMIFS(Grids!$EE$113:$GQ$152,Grids!$C$113:$BO$152,"&gt;="&amp;$B243*1000000000,Grids!$C$113:$BO$152,"&lt;"&amp;($B243+1)*1000000000))</f>
        <v/>
      </c>
      <c r="E243" s="47">
        <f>IF($B243="","",SUMIFS(Grids!$EE$157:$GQ$216,Grids!$C$157:$BO$216,"&gt;="&amp;$B243*1000000000,Grids!$C$157:$BO$216,"&lt;"&amp;($B243+1)*1000000000))</f>
        <v/>
      </c>
      <c r="F243" s="48">
        <f>IF($B243="","",SUM($C$26:$C243))</f>
        <v/>
      </c>
      <c r="G243" s="48">
        <f>IF($B243="","",SUM($D$26:$D243))</f>
        <v/>
      </c>
      <c r="H243" s="48">
        <f>IF($B243="","",SUM($E$26:$E243))</f>
        <v/>
      </c>
    </row>
    <row r="244">
      <c r="B244" s="46">
        <f>IF(DATE(Summary!$C$12,1,1)+218&gt;DATE(Summary!$C$12,12,31),"",DATE(Summary!$C$12,1,1)+218)</f>
        <v/>
      </c>
      <c r="C244" s="47">
        <f>IF($B244="","",SUMIFS(Grids!$EE$9:$GQ$108,Grids!$C$9:$BO$108,"&gt;="&amp;$B244*1000000000,Grids!$C$9:$BO$108,"&lt;"&amp;($B244+1)*1000000000))</f>
        <v/>
      </c>
      <c r="D244" s="47">
        <f>IF($B244="","",SUMIFS(Grids!$EE$113:$GQ$152,Grids!$C$113:$BO$152,"&gt;="&amp;$B244*1000000000,Grids!$C$113:$BO$152,"&lt;"&amp;($B244+1)*1000000000))</f>
        <v/>
      </c>
      <c r="E244" s="47">
        <f>IF($B244="","",SUMIFS(Grids!$EE$157:$GQ$216,Grids!$C$157:$BO$216,"&gt;="&amp;$B244*1000000000,Grids!$C$157:$BO$216,"&lt;"&amp;($B244+1)*1000000000))</f>
        <v/>
      </c>
      <c r="F244" s="48">
        <f>IF($B244="","",SUM($C$26:$C244))</f>
        <v/>
      </c>
      <c r="G244" s="48">
        <f>IF($B244="","",SUM($D$26:$D244))</f>
        <v/>
      </c>
      <c r="H244" s="48">
        <f>IF($B244="","",SUM($E$26:$E244))</f>
        <v/>
      </c>
    </row>
    <row r="245">
      <c r="B245" s="46">
        <f>IF(DATE(Summary!$C$12,1,1)+219&gt;DATE(Summary!$C$12,12,31),"",DATE(Summary!$C$12,1,1)+219)</f>
        <v/>
      </c>
      <c r="C245" s="47">
        <f>IF($B245="","",SUMIFS(Grids!$EE$9:$GQ$108,Grids!$C$9:$BO$108,"&gt;="&amp;$B245*1000000000,Grids!$C$9:$BO$108,"&lt;"&amp;($B245+1)*1000000000))</f>
        <v/>
      </c>
      <c r="D245" s="47">
        <f>IF($B245="","",SUMIFS(Grids!$EE$113:$GQ$152,Grids!$C$113:$BO$152,"&gt;="&amp;$B245*1000000000,Grids!$C$113:$BO$152,"&lt;"&amp;($B245+1)*1000000000))</f>
        <v/>
      </c>
      <c r="E245" s="47">
        <f>IF($B245="","",SUMIFS(Grids!$EE$157:$GQ$216,Grids!$C$157:$BO$216,"&gt;="&amp;$B245*1000000000,Grids!$C$157:$BO$216,"&lt;"&amp;($B245+1)*1000000000))</f>
        <v/>
      </c>
      <c r="F245" s="48">
        <f>IF($B245="","",SUM($C$26:$C245))</f>
        <v/>
      </c>
      <c r="G245" s="48">
        <f>IF($B245="","",SUM($D$26:$D245))</f>
        <v/>
      </c>
      <c r="H245" s="48">
        <f>IF($B245="","",SUM($E$26:$E245))</f>
        <v/>
      </c>
    </row>
    <row r="246">
      <c r="B246" s="46">
        <f>IF(DATE(Summary!$C$12,1,1)+220&gt;DATE(Summary!$C$12,12,31),"",DATE(Summary!$C$12,1,1)+220)</f>
        <v/>
      </c>
      <c r="C246" s="47">
        <f>IF($B246="","",SUMIFS(Grids!$EE$9:$GQ$108,Grids!$C$9:$BO$108,"&gt;="&amp;$B246*1000000000,Grids!$C$9:$BO$108,"&lt;"&amp;($B246+1)*1000000000))</f>
        <v/>
      </c>
      <c r="D246" s="47">
        <f>IF($B246="","",SUMIFS(Grids!$EE$113:$GQ$152,Grids!$C$113:$BO$152,"&gt;="&amp;$B246*1000000000,Grids!$C$113:$BO$152,"&lt;"&amp;($B246+1)*1000000000))</f>
        <v/>
      </c>
      <c r="E246" s="47">
        <f>IF($B246="","",SUMIFS(Grids!$EE$157:$GQ$216,Grids!$C$157:$BO$216,"&gt;="&amp;$B246*1000000000,Grids!$C$157:$BO$216,"&lt;"&amp;($B246+1)*1000000000))</f>
        <v/>
      </c>
      <c r="F246" s="48">
        <f>IF($B246="","",SUM($C$26:$C246))</f>
        <v/>
      </c>
      <c r="G246" s="48">
        <f>IF($B246="","",SUM($D$26:$D246))</f>
        <v/>
      </c>
      <c r="H246" s="48">
        <f>IF($B246="","",SUM($E$26:$E246))</f>
        <v/>
      </c>
    </row>
    <row r="247">
      <c r="B247" s="46">
        <f>IF(DATE(Summary!$C$12,1,1)+221&gt;DATE(Summary!$C$12,12,31),"",DATE(Summary!$C$12,1,1)+221)</f>
        <v/>
      </c>
      <c r="C247" s="47">
        <f>IF($B247="","",SUMIFS(Grids!$EE$9:$GQ$108,Grids!$C$9:$BO$108,"&gt;="&amp;$B247*1000000000,Grids!$C$9:$BO$108,"&lt;"&amp;($B247+1)*1000000000))</f>
        <v/>
      </c>
      <c r="D247" s="47">
        <f>IF($B247="","",SUMIFS(Grids!$EE$113:$GQ$152,Grids!$C$113:$BO$152,"&gt;="&amp;$B247*1000000000,Grids!$C$113:$BO$152,"&lt;"&amp;($B247+1)*1000000000))</f>
        <v/>
      </c>
      <c r="E247" s="47">
        <f>IF($B247="","",SUMIFS(Grids!$EE$157:$GQ$216,Grids!$C$157:$BO$216,"&gt;="&amp;$B247*1000000000,Grids!$C$157:$BO$216,"&lt;"&amp;($B247+1)*1000000000))</f>
        <v/>
      </c>
      <c r="F247" s="48">
        <f>IF($B247="","",SUM($C$26:$C247))</f>
        <v/>
      </c>
      <c r="G247" s="48">
        <f>IF($B247="","",SUM($D$26:$D247))</f>
        <v/>
      </c>
      <c r="H247" s="48">
        <f>IF($B247="","",SUM($E$26:$E247))</f>
        <v/>
      </c>
    </row>
    <row r="248">
      <c r="B248" s="46">
        <f>IF(DATE(Summary!$C$12,1,1)+222&gt;DATE(Summary!$C$12,12,31),"",DATE(Summary!$C$12,1,1)+222)</f>
        <v/>
      </c>
      <c r="C248" s="47">
        <f>IF($B248="","",SUMIFS(Grids!$EE$9:$GQ$108,Grids!$C$9:$BO$108,"&gt;="&amp;$B248*1000000000,Grids!$C$9:$BO$108,"&lt;"&amp;($B248+1)*1000000000))</f>
        <v/>
      </c>
      <c r="D248" s="47">
        <f>IF($B248="","",SUMIFS(Grids!$EE$113:$GQ$152,Grids!$C$113:$BO$152,"&gt;="&amp;$B248*1000000000,Grids!$C$113:$BO$152,"&lt;"&amp;($B248+1)*1000000000))</f>
        <v/>
      </c>
      <c r="E248" s="47">
        <f>IF($B248="","",SUMIFS(Grids!$EE$157:$GQ$216,Grids!$C$157:$BO$216,"&gt;="&amp;$B248*1000000000,Grids!$C$157:$BO$216,"&lt;"&amp;($B248+1)*1000000000))</f>
        <v/>
      </c>
      <c r="F248" s="48">
        <f>IF($B248="","",SUM($C$26:$C248))</f>
        <v/>
      </c>
      <c r="G248" s="48">
        <f>IF($B248="","",SUM($D$26:$D248))</f>
        <v/>
      </c>
      <c r="H248" s="48">
        <f>IF($B248="","",SUM($E$26:$E248))</f>
        <v/>
      </c>
    </row>
    <row r="249">
      <c r="B249" s="46">
        <f>IF(DATE(Summary!$C$12,1,1)+223&gt;DATE(Summary!$C$12,12,31),"",DATE(Summary!$C$12,1,1)+223)</f>
        <v/>
      </c>
      <c r="C249" s="47">
        <f>IF($B249="","",SUMIFS(Grids!$EE$9:$GQ$108,Grids!$C$9:$BO$108,"&gt;="&amp;$B249*1000000000,Grids!$C$9:$BO$108,"&lt;"&amp;($B249+1)*1000000000))</f>
        <v/>
      </c>
      <c r="D249" s="47">
        <f>IF($B249="","",SUMIFS(Grids!$EE$113:$GQ$152,Grids!$C$113:$BO$152,"&gt;="&amp;$B249*1000000000,Grids!$C$113:$BO$152,"&lt;"&amp;($B249+1)*1000000000))</f>
        <v/>
      </c>
      <c r="E249" s="47">
        <f>IF($B249="","",SUMIFS(Grids!$EE$157:$GQ$216,Grids!$C$157:$BO$216,"&gt;="&amp;$B249*1000000000,Grids!$C$157:$BO$216,"&lt;"&amp;($B249+1)*1000000000))</f>
        <v/>
      </c>
      <c r="F249" s="48">
        <f>IF($B249="","",SUM($C$26:$C249))</f>
        <v/>
      </c>
      <c r="G249" s="48">
        <f>IF($B249="","",SUM($D$26:$D249))</f>
        <v/>
      </c>
      <c r="H249" s="48">
        <f>IF($B249="","",SUM($E$26:$E249))</f>
        <v/>
      </c>
    </row>
    <row r="250">
      <c r="B250" s="46">
        <f>IF(DATE(Summary!$C$12,1,1)+224&gt;DATE(Summary!$C$12,12,31),"",DATE(Summary!$C$12,1,1)+224)</f>
        <v/>
      </c>
      <c r="C250" s="47">
        <f>IF($B250="","",SUMIFS(Grids!$EE$9:$GQ$108,Grids!$C$9:$BO$108,"&gt;="&amp;$B250*1000000000,Grids!$C$9:$BO$108,"&lt;"&amp;($B250+1)*1000000000))</f>
        <v/>
      </c>
      <c r="D250" s="47">
        <f>IF($B250="","",SUMIFS(Grids!$EE$113:$GQ$152,Grids!$C$113:$BO$152,"&gt;="&amp;$B250*1000000000,Grids!$C$113:$BO$152,"&lt;"&amp;($B250+1)*1000000000))</f>
        <v/>
      </c>
      <c r="E250" s="47">
        <f>IF($B250="","",SUMIFS(Grids!$EE$157:$GQ$216,Grids!$C$157:$BO$216,"&gt;="&amp;$B250*1000000000,Grids!$C$157:$BO$216,"&lt;"&amp;($B250+1)*1000000000))</f>
        <v/>
      </c>
      <c r="F250" s="48">
        <f>IF($B250="","",SUM($C$26:$C250))</f>
        <v/>
      </c>
      <c r="G250" s="48">
        <f>IF($B250="","",SUM($D$26:$D250))</f>
        <v/>
      </c>
      <c r="H250" s="48">
        <f>IF($B250="","",SUM($E$26:$E250))</f>
        <v/>
      </c>
    </row>
    <row r="251">
      <c r="B251" s="46">
        <f>IF(DATE(Summary!$C$12,1,1)+225&gt;DATE(Summary!$C$12,12,31),"",DATE(Summary!$C$12,1,1)+225)</f>
        <v/>
      </c>
      <c r="C251" s="47">
        <f>IF($B251="","",SUMIFS(Grids!$EE$9:$GQ$108,Grids!$C$9:$BO$108,"&gt;="&amp;$B251*1000000000,Grids!$C$9:$BO$108,"&lt;"&amp;($B251+1)*1000000000))</f>
        <v/>
      </c>
      <c r="D251" s="47">
        <f>IF($B251="","",SUMIFS(Grids!$EE$113:$GQ$152,Grids!$C$113:$BO$152,"&gt;="&amp;$B251*1000000000,Grids!$C$113:$BO$152,"&lt;"&amp;($B251+1)*1000000000))</f>
        <v/>
      </c>
      <c r="E251" s="47">
        <f>IF($B251="","",SUMIFS(Grids!$EE$157:$GQ$216,Grids!$C$157:$BO$216,"&gt;="&amp;$B251*1000000000,Grids!$C$157:$BO$216,"&lt;"&amp;($B251+1)*1000000000))</f>
        <v/>
      </c>
      <c r="F251" s="48">
        <f>IF($B251="","",SUM($C$26:$C251))</f>
        <v/>
      </c>
      <c r="G251" s="48">
        <f>IF($B251="","",SUM($D$26:$D251))</f>
        <v/>
      </c>
      <c r="H251" s="48">
        <f>IF($B251="","",SUM($E$26:$E251))</f>
        <v/>
      </c>
    </row>
    <row r="252">
      <c r="B252" s="46">
        <f>IF(DATE(Summary!$C$12,1,1)+226&gt;DATE(Summary!$C$12,12,31),"",DATE(Summary!$C$12,1,1)+226)</f>
        <v/>
      </c>
      <c r="C252" s="47">
        <f>IF($B252="","",SUMIFS(Grids!$EE$9:$GQ$108,Grids!$C$9:$BO$108,"&gt;="&amp;$B252*1000000000,Grids!$C$9:$BO$108,"&lt;"&amp;($B252+1)*1000000000))</f>
        <v/>
      </c>
      <c r="D252" s="47">
        <f>IF($B252="","",SUMIFS(Grids!$EE$113:$GQ$152,Grids!$C$113:$BO$152,"&gt;="&amp;$B252*1000000000,Grids!$C$113:$BO$152,"&lt;"&amp;($B252+1)*1000000000))</f>
        <v/>
      </c>
      <c r="E252" s="47">
        <f>IF($B252="","",SUMIFS(Grids!$EE$157:$GQ$216,Grids!$C$157:$BO$216,"&gt;="&amp;$B252*1000000000,Grids!$C$157:$BO$216,"&lt;"&amp;($B252+1)*1000000000))</f>
        <v/>
      </c>
      <c r="F252" s="48">
        <f>IF($B252="","",SUM($C$26:$C252))</f>
        <v/>
      </c>
      <c r="G252" s="48">
        <f>IF($B252="","",SUM($D$26:$D252))</f>
        <v/>
      </c>
      <c r="H252" s="48">
        <f>IF($B252="","",SUM($E$26:$E252))</f>
        <v/>
      </c>
    </row>
    <row r="253">
      <c r="B253" s="46">
        <f>IF(DATE(Summary!$C$12,1,1)+227&gt;DATE(Summary!$C$12,12,31),"",DATE(Summary!$C$12,1,1)+227)</f>
        <v/>
      </c>
      <c r="C253" s="47">
        <f>IF($B253="","",SUMIFS(Grids!$EE$9:$GQ$108,Grids!$C$9:$BO$108,"&gt;="&amp;$B253*1000000000,Grids!$C$9:$BO$108,"&lt;"&amp;($B253+1)*1000000000))</f>
        <v/>
      </c>
      <c r="D253" s="47">
        <f>IF($B253="","",SUMIFS(Grids!$EE$113:$GQ$152,Grids!$C$113:$BO$152,"&gt;="&amp;$B253*1000000000,Grids!$C$113:$BO$152,"&lt;"&amp;($B253+1)*1000000000))</f>
        <v/>
      </c>
      <c r="E253" s="47">
        <f>IF($B253="","",SUMIFS(Grids!$EE$157:$GQ$216,Grids!$C$157:$BO$216,"&gt;="&amp;$B253*1000000000,Grids!$C$157:$BO$216,"&lt;"&amp;($B253+1)*1000000000))</f>
        <v/>
      </c>
      <c r="F253" s="48">
        <f>IF($B253="","",SUM($C$26:$C253))</f>
        <v/>
      </c>
      <c r="G253" s="48">
        <f>IF($B253="","",SUM($D$26:$D253))</f>
        <v/>
      </c>
      <c r="H253" s="48">
        <f>IF($B253="","",SUM($E$26:$E253))</f>
        <v/>
      </c>
    </row>
    <row r="254">
      <c r="B254" s="46">
        <f>IF(DATE(Summary!$C$12,1,1)+228&gt;DATE(Summary!$C$12,12,31),"",DATE(Summary!$C$12,1,1)+228)</f>
        <v/>
      </c>
      <c r="C254" s="47">
        <f>IF($B254="","",SUMIFS(Grids!$EE$9:$GQ$108,Grids!$C$9:$BO$108,"&gt;="&amp;$B254*1000000000,Grids!$C$9:$BO$108,"&lt;"&amp;($B254+1)*1000000000))</f>
        <v/>
      </c>
      <c r="D254" s="47">
        <f>IF($B254="","",SUMIFS(Grids!$EE$113:$GQ$152,Grids!$C$113:$BO$152,"&gt;="&amp;$B254*1000000000,Grids!$C$113:$BO$152,"&lt;"&amp;($B254+1)*1000000000))</f>
        <v/>
      </c>
      <c r="E254" s="47">
        <f>IF($B254="","",SUMIFS(Grids!$EE$157:$GQ$216,Grids!$C$157:$BO$216,"&gt;="&amp;$B254*1000000000,Grids!$C$157:$BO$216,"&lt;"&amp;($B254+1)*1000000000))</f>
        <v/>
      </c>
      <c r="F254" s="48">
        <f>IF($B254="","",SUM($C$26:$C254))</f>
        <v/>
      </c>
      <c r="G254" s="48">
        <f>IF($B254="","",SUM($D$26:$D254))</f>
        <v/>
      </c>
      <c r="H254" s="48">
        <f>IF($B254="","",SUM($E$26:$E254))</f>
        <v/>
      </c>
    </row>
    <row r="255">
      <c r="B255" s="46">
        <f>IF(DATE(Summary!$C$12,1,1)+229&gt;DATE(Summary!$C$12,12,31),"",DATE(Summary!$C$12,1,1)+229)</f>
        <v/>
      </c>
      <c r="C255" s="47">
        <f>IF($B255="","",SUMIFS(Grids!$EE$9:$GQ$108,Grids!$C$9:$BO$108,"&gt;="&amp;$B255*1000000000,Grids!$C$9:$BO$108,"&lt;"&amp;($B255+1)*1000000000))</f>
        <v/>
      </c>
      <c r="D255" s="47">
        <f>IF($B255="","",SUMIFS(Grids!$EE$113:$GQ$152,Grids!$C$113:$BO$152,"&gt;="&amp;$B255*1000000000,Grids!$C$113:$BO$152,"&lt;"&amp;($B255+1)*1000000000))</f>
        <v/>
      </c>
      <c r="E255" s="47">
        <f>IF($B255="","",SUMIFS(Grids!$EE$157:$GQ$216,Grids!$C$157:$BO$216,"&gt;="&amp;$B255*1000000000,Grids!$C$157:$BO$216,"&lt;"&amp;($B255+1)*1000000000))</f>
        <v/>
      </c>
      <c r="F255" s="48">
        <f>IF($B255="","",SUM($C$26:$C255))</f>
        <v/>
      </c>
      <c r="G255" s="48">
        <f>IF($B255="","",SUM($D$26:$D255))</f>
        <v/>
      </c>
      <c r="H255" s="48">
        <f>IF($B255="","",SUM($E$26:$E255))</f>
        <v/>
      </c>
    </row>
    <row r="256">
      <c r="B256" s="46">
        <f>IF(DATE(Summary!$C$12,1,1)+230&gt;DATE(Summary!$C$12,12,31),"",DATE(Summary!$C$12,1,1)+230)</f>
        <v/>
      </c>
      <c r="C256" s="47">
        <f>IF($B256="","",SUMIFS(Grids!$EE$9:$GQ$108,Grids!$C$9:$BO$108,"&gt;="&amp;$B256*1000000000,Grids!$C$9:$BO$108,"&lt;"&amp;($B256+1)*1000000000))</f>
        <v/>
      </c>
      <c r="D256" s="47">
        <f>IF($B256="","",SUMIFS(Grids!$EE$113:$GQ$152,Grids!$C$113:$BO$152,"&gt;="&amp;$B256*1000000000,Grids!$C$113:$BO$152,"&lt;"&amp;($B256+1)*1000000000))</f>
        <v/>
      </c>
      <c r="E256" s="47">
        <f>IF($B256="","",SUMIFS(Grids!$EE$157:$GQ$216,Grids!$C$157:$BO$216,"&gt;="&amp;$B256*1000000000,Grids!$C$157:$BO$216,"&lt;"&amp;($B256+1)*1000000000))</f>
        <v/>
      </c>
      <c r="F256" s="48">
        <f>IF($B256="","",SUM($C$26:$C256))</f>
        <v/>
      </c>
      <c r="G256" s="48">
        <f>IF($B256="","",SUM($D$26:$D256))</f>
        <v/>
      </c>
      <c r="H256" s="48">
        <f>IF($B256="","",SUM($E$26:$E256))</f>
        <v/>
      </c>
    </row>
    <row r="257">
      <c r="B257" s="46">
        <f>IF(DATE(Summary!$C$12,1,1)+231&gt;DATE(Summary!$C$12,12,31),"",DATE(Summary!$C$12,1,1)+231)</f>
        <v/>
      </c>
      <c r="C257" s="47">
        <f>IF($B257="","",SUMIFS(Grids!$EE$9:$GQ$108,Grids!$C$9:$BO$108,"&gt;="&amp;$B257*1000000000,Grids!$C$9:$BO$108,"&lt;"&amp;($B257+1)*1000000000))</f>
        <v/>
      </c>
      <c r="D257" s="47">
        <f>IF($B257="","",SUMIFS(Grids!$EE$113:$GQ$152,Grids!$C$113:$BO$152,"&gt;="&amp;$B257*1000000000,Grids!$C$113:$BO$152,"&lt;"&amp;($B257+1)*1000000000))</f>
        <v/>
      </c>
      <c r="E257" s="47">
        <f>IF($B257="","",SUMIFS(Grids!$EE$157:$GQ$216,Grids!$C$157:$BO$216,"&gt;="&amp;$B257*1000000000,Grids!$C$157:$BO$216,"&lt;"&amp;($B257+1)*1000000000))</f>
        <v/>
      </c>
      <c r="F257" s="48">
        <f>IF($B257="","",SUM($C$26:$C257))</f>
        <v/>
      </c>
      <c r="G257" s="48">
        <f>IF($B257="","",SUM($D$26:$D257))</f>
        <v/>
      </c>
      <c r="H257" s="48">
        <f>IF($B257="","",SUM($E$26:$E257))</f>
        <v/>
      </c>
    </row>
    <row r="258">
      <c r="B258" s="46">
        <f>IF(DATE(Summary!$C$12,1,1)+232&gt;DATE(Summary!$C$12,12,31),"",DATE(Summary!$C$12,1,1)+232)</f>
        <v/>
      </c>
      <c r="C258" s="47">
        <f>IF($B258="","",SUMIFS(Grids!$EE$9:$GQ$108,Grids!$C$9:$BO$108,"&gt;="&amp;$B258*1000000000,Grids!$C$9:$BO$108,"&lt;"&amp;($B258+1)*1000000000))</f>
        <v/>
      </c>
      <c r="D258" s="47">
        <f>IF($B258="","",SUMIFS(Grids!$EE$113:$GQ$152,Grids!$C$113:$BO$152,"&gt;="&amp;$B258*1000000000,Grids!$C$113:$BO$152,"&lt;"&amp;($B258+1)*1000000000))</f>
        <v/>
      </c>
      <c r="E258" s="47">
        <f>IF($B258="","",SUMIFS(Grids!$EE$157:$GQ$216,Grids!$C$157:$BO$216,"&gt;="&amp;$B258*1000000000,Grids!$C$157:$BO$216,"&lt;"&amp;($B258+1)*1000000000))</f>
        <v/>
      </c>
      <c r="F258" s="48">
        <f>IF($B258="","",SUM($C$26:$C258))</f>
        <v/>
      </c>
      <c r="G258" s="48">
        <f>IF($B258="","",SUM($D$26:$D258))</f>
        <v/>
      </c>
      <c r="H258" s="48">
        <f>IF($B258="","",SUM($E$26:$E258))</f>
        <v/>
      </c>
    </row>
    <row r="259">
      <c r="B259" s="46">
        <f>IF(DATE(Summary!$C$12,1,1)+233&gt;DATE(Summary!$C$12,12,31),"",DATE(Summary!$C$12,1,1)+233)</f>
        <v/>
      </c>
      <c r="C259" s="47">
        <f>IF($B259="","",SUMIFS(Grids!$EE$9:$GQ$108,Grids!$C$9:$BO$108,"&gt;="&amp;$B259*1000000000,Grids!$C$9:$BO$108,"&lt;"&amp;($B259+1)*1000000000))</f>
        <v/>
      </c>
      <c r="D259" s="47">
        <f>IF($B259="","",SUMIFS(Grids!$EE$113:$GQ$152,Grids!$C$113:$BO$152,"&gt;="&amp;$B259*1000000000,Grids!$C$113:$BO$152,"&lt;"&amp;($B259+1)*1000000000))</f>
        <v/>
      </c>
      <c r="E259" s="47">
        <f>IF($B259="","",SUMIFS(Grids!$EE$157:$GQ$216,Grids!$C$157:$BO$216,"&gt;="&amp;$B259*1000000000,Grids!$C$157:$BO$216,"&lt;"&amp;($B259+1)*1000000000))</f>
        <v/>
      </c>
      <c r="F259" s="48">
        <f>IF($B259="","",SUM($C$26:$C259))</f>
        <v/>
      </c>
      <c r="G259" s="48">
        <f>IF($B259="","",SUM($D$26:$D259))</f>
        <v/>
      </c>
      <c r="H259" s="48">
        <f>IF($B259="","",SUM($E$26:$E259))</f>
        <v/>
      </c>
    </row>
    <row r="260">
      <c r="B260" s="46">
        <f>IF(DATE(Summary!$C$12,1,1)+234&gt;DATE(Summary!$C$12,12,31),"",DATE(Summary!$C$12,1,1)+234)</f>
        <v/>
      </c>
      <c r="C260" s="47">
        <f>IF($B260="","",SUMIFS(Grids!$EE$9:$GQ$108,Grids!$C$9:$BO$108,"&gt;="&amp;$B260*1000000000,Grids!$C$9:$BO$108,"&lt;"&amp;($B260+1)*1000000000))</f>
        <v/>
      </c>
      <c r="D260" s="47">
        <f>IF($B260="","",SUMIFS(Grids!$EE$113:$GQ$152,Grids!$C$113:$BO$152,"&gt;="&amp;$B260*1000000000,Grids!$C$113:$BO$152,"&lt;"&amp;($B260+1)*1000000000))</f>
        <v/>
      </c>
      <c r="E260" s="47">
        <f>IF($B260="","",SUMIFS(Grids!$EE$157:$GQ$216,Grids!$C$157:$BO$216,"&gt;="&amp;$B260*1000000000,Grids!$C$157:$BO$216,"&lt;"&amp;($B260+1)*1000000000))</f>
        <v/>
      </c>
      <c r="F260" s="48">
        <f>IF($B260="","",SUM($C$26:$C260))</f>
        <v/>
      </c>
      <c r="G260" s="48">
        <f>IF($B260="","",SUM($D$26:$D260))</f>
        <v/>
      </c>
      <c r="H260" s="48">
        <f>IF($B260="","",SUM($E$26:$E260))</f>
        <v/>
      </c>
    </row>
    <row r="261">
      <c r="B261" s="46">
        <f>IF(DATE(Summary!$C$12,1,1)+235&gt;DATE(Summary!$C$12,12,31),"",DATE(Summary!$C$12,1,1)+235)</f>
        <v/>
      </c>
      <c r="C261" s="47">
        <f>IF($B261="","",SUMIFS(Grids!$EE$9:$GQ$108,Grids!$C$9:$BO$108,"&gt;="&amp;$B261*1000000000,Grids!$C$9:$BO$108,"&lt;"&amp;($B261+1)*1000000000))</f>
        <v/>
      </c>
      <c r="D261" s="47">
        <f>IF($B261="","",SUMIFS(Grids!$EE$113:$GQ$152,Grids!$C$113:$BO$152,"&gt;="&amp;$B261*1000000000,Grids!$C$113:$BO$152,"&lt;"&amp;($B261+1)*1000000000))</f>
        <v/>
      </c>
      <c r="E261" s="47">
        <f>IF($B261="","",SUMIFS(Grids!$EE$157:$GQ$216,Grids!$C$157:$BO$216,"&gt;="&amp;$B261*1000000000,Grids!$C$157:$BO$216,"&lt;"&amp;($B261+1)*1000000000))</f>
        <v/>
      </c>
      <c r="F261" s="48">
        <f>IF($B261="","",SUM($C$26:$C261))</f>
        <v/>
      </c>
      <c r="G261" s="48">
        <f>IF($B261="","",SUM($D$26:$D261))</f>
        <v/>
      </c>
      <c r="H261" s="48">
        <f>IF($B261="","",SUM($E$26:$E261))</f>
        <v/>
      </c>
    </row>
    <row r="262">
      <c r="B262" s="46">
        <f>IF(DATE(Summary!$C$12,1,1)+236&gt;DATE(Summary!$C$12,12,31),"",DATE(Summary!$C$12,1,1)+236)</f>
        <v/>
      </c>
      <c r="C262" s="47">
        <f>IF($B262="","",SUMIFS(Grids!$EE$9:$GQ$108,Grids!$C$9:$BO$108,"&gt;="&amp;$B262*1000000000,Grids!$C$9:$BO$108,"&lt;"&amp;($B262+1)*1000000000))</f>
        <v/>
      </c>
      <c r="D262" s="47">
        <f>IF($B262="","",SUMIFS(Grids!$EE$113:$GQ$152,Grids!$C$113:$BO$152,"&gt;="&amp;$B262*1000000000,Grids!$C$113:$BO$152,"&lt;"&amp;($B262+1)*1000000000))</f>
        <v/>
      </c>
      <c r="E262" s="47">
        <f>IF($B262="","",SUMIFS(Grids!$EE$157:$GQ$216,Grids!$C$157:$BO$216,"&gt;="&amp;$B262*1000000000,Grids!$C$157:$BO$216,"&lt;"&amp;($B262+1)*1000000000))</f>
        <v/>
      </c>
      <c r="F262" s="48">
        <f>IF($B262="","",SUM($C$26:$C262))</f>
        <v/>
      </c>
      <c r="G262" s="48">
        <f>IF($B262="","",SUM($D$26:$D262))</f>
        <v/>
      </c>
      <c r="H262" s="48">
        <f>IF($B262="","",SUM($E$26:$E262))</f>
        <v/>
      </c>
    </row>
    <row r="263">
      <c r="B263" s="46">
        <f>IF(DATE(Summary!$C$12,1,1)+237&gt;DATE(Summary!$C$12,12,31),"",DATE(Summary!$C$12,1,1)+237)</f>
        <v/>
      </c>
      <c r="C263" s="47">
        <f>IF($B263="","",SUMIFS(Grids!$EE$9:$GQ$108,Grids!$C$9:$BO$108,"&gt;="&amp;$B263*1000000000,Grids!$C$9:$BO$108,"&lt;"&amp;($B263+1)*1000000000))</f>
        <v/>
      </c>
      <c r="D263" s="47">
        <f>IF($B263="","",SUMIFS(Grids!$EE$113:$GQ$152,Grids!$C$113:$BO$152,"&gt;="&amp;$B263*1000000000,Grids!$C$113:$BO$152,"&lt;"&amp;($B263+1)*1000000000))</f>
        <v/>
      </c>
      <c r="E263" s="47">
        <f>IF($B263="","",SUMIFS(Grids!$EE$157:$GQ$216,Grids!$C$157:$BO$216,"&gt;="&amp;$B263*1000000000,Grids!$C$157:$BO$216,"&lt;"&amp;($B263+1)*1000000000))</f>
        <v/>
      </c>
      <c r="F263" s="48">
        <f>IF($B263="","",SUM($C$26:$C263))</f>
        <v/>
      </c>
      <c r="G263" s="48">
        <f>IF($B263="","",SUM($D$26:$D263))</f>
        <v/>
      </c>
      <c r="H263" s="48">
        <f>IF($B263="","",SUM($E$26:$E263))</f>
        <v/>
      </c>
    </row>
    <row r="264">
      <c r="B264" s="46">
        <f>IF(DATE(Summary!$C$12,1,1)+238&gt;DATE(Summary!$C$12,12,31),"",DATE(Summary!$C$12,1,1)+238)</f>
        <v/>
      </c>
      <c r="C264" s="47">
        <f>IF($B264="","",SUMIFS(Grids!$EE$9:$GQ$108,Grids!$C$9:$BO$108,"&gt;="&amp;$B264*1000000000,Grids!$C$9:$BO$108,"&lt;"&amp;($B264+1)*1000000000))</f>
        <v/>
      </c>
      <c r="D264" s="47">
        <f>IF($B264="","",SUMIFS(Grids!$EE$113:$GQ$152,Grids!$C$113:$BO$152,"&gt;="&amp;$B264*1000000000,Grids!$C$113:$BO$152,"&lt;"&amp;($B264+1)*1000000000))</f>
        <v/>
      </c>
      <c r="E264" s="47">
        <f>IF($B264="","",SUMIFS(Grids!$EE$157:$GQ$216,Grids!$C$157:$BO$216,"&gt;="&amp;$B264*1000000000,Grids!$C$157:$BO$216,"&lt;"&amp;($B264+1)*1000000000))</f>
        <v/>
      </c>
      <c r="F264" s="48">
        <f>IF($B264="","",SUM($C$26:$C264))</f>
        <v/>
      </c>
      <c r="G264" s="48">
        <f>IF($B264="","",SUM($D$26:$D264))</f>
        <v/>
      </c>
      <c r="H264" s="48">
        <f>IF($B264="","",SUM($E$26:$E264))</f>
        <v/>
      </c>
    </row>
    <row r="265">
      <c r="B265" s="46">
        <f>IF(DATE(Summary!$C$12,1,1)+239&gt;DATE(Summary!$C$12,12,31),"",DATE(Summary!$C$12,1,1)+239)</f>
        <v/>
      </c>
      <c r="C265" s="47">
        <f>IF($B265="","",SUMIFS(Grids!$EE$9:$GQ$108,Grids!$C$9:$BO$108,"&gt;="&amp;$B265*1000000000,Grids!$C$9:$BO$108,"&lt;"&amp;($B265+1)*1000000000))</f>
        <v/>
      </c>
      <c r="D265" s="47">
        <f>IF($B265="","",SUMIFS(Grids!$EE$113:$GQ$152,Grids!$C$113:$BO$152,"&gt;="&amp;$B265*1000000000,Grids!$C$113:$BO$152,"&lt;"&amp;($B265+1)*1000000000))</f>
        <v/>
      </c>
      <c r="E265" s="47">
        <f>IF($B265="","",SUMIFS(Grids!$EE$157:$GQ$216,Grids!$C$157:$BO$216,"&gt;="&amp;$B265*1000000000,Grids!$C$157:$BO$216,"&lt;"&amp;($B265+1)*1000000000))</f>
        <v/>
      </c>
      <c r="F265" s="48">
        <f>IF($B265="","",SUM($C$26:$C265))</f>
        <v/>
      </c>
      <c r="G265" s="48">
        <f>IF($B265="","",SUM($D$26:$D265))</f>
        <v/>
      </c>
      <c r="H265" s="48">
        <f>IF($B265="","",SUM($E$26:$E265))</f>
        <v/>
      </c>
    </row>
    <row r="266">
      <c r="B266" s="46">
        <f>IF(DATE(Summary!$C$12,1,1)+240&gt;DATE(Summary!$C$12,12,31),"",DATE(Summary!$C$12,1,1)+240)</f>
        <v/>
      </c>
      <c r="C266" s="47">
        <f>IF($B266="","",SUMIFS(Grids!$EE$9:$GQ$108,Grids!$C$9:$BO$108,"&gt;="&amp;$B266*1000000000,Grids!$C$9:$BO$108,"&lt;"&amp;($B266+1)*1000000000))</f>
        <v/>
      </c>
      <c r="D266" s="47">
        <f>IF($B266="","",SUMIFS(Grids!$EE$113:$GQ$152,Grids!$C$113:$BO$152,"&gt;="&amp;$B266*1000000000,Grids!$C$113:$BO$152,"&lt;"&amp;($B266+1)*1000000000))</f>
        <v/>
      </c>
      <c r="E266" s="47">
        <f>IF($B266="","",SUMIFS(Grids!$EE$157:$GQ$216,Grids!$C$157:$BO$216,"&gt;="&amp;$B266*1000000000,Grids!$C$157:$BO$216,"&lt;"&amp;($B266+1)*1000000000))</f>
        <v/>
      </c>
      <c r="F266" s="48">
        <f>IF($B266="","",SUM($C$26:$C266))</f>
        <v/>
      </c>
      <c r="G266" s="48">
        <f>IF($B266="","",SUM($D$26:$D266))</f>
        <v/>
      </c>
      <c r="H266" s="48">
        <f>IF($B266="","",SUM($E$26:$E266))</f>
        <v/>
      </c>
    </row>
    <row r="267">
      <c r="B267" s="46">
        <f>IF(DATE(Summary!$C$12,1,1)+241&gt;DATE(Summary!$C$12,12,31),"",DATE(Summary!$C$12,1,1)+241)</f>
        <v/>
      </c>
      <c r="C267" s="47">
        <f>IF($B267="","",SUMIFS(Grids!$EE$9:$GQ$108,Grids!$C$9:$BO$108,"&gt;="&amp;$B267*1000000000,Grids!$C$9:$BO$108,"&lt;"&amp;($B267+1)*1000000000))</f>
        <v/>
      </c>
      <c r="D267" s="47">
        <f>IF($B267="","",SUMIFS(Grids!$EE$113:$GQ$152,Grids!$C$113:$BO$152,"&gt;="&amp;$B267*1000000000,Grids!$C$113:$BO$152,"&lt;"&amp;($B267+1)*1000000000))</f>
        <v/>
      </c>
      <c r="E267" s="47">
        <f>IF($B267="","",SUMIFS(Grids!$EE$157:$GQ$216,Grids!$C$157:$BO$216,"&gt;="&amp;$B267*1000000000,Grids!$C$157:$BO$216,"&lt;"&amp;($B267+1)*1000000000))</f>
        <v/>
      </c>
      <c r="F267" s="48">
        <f>IF($B267="","",SUM($C$26:$C267))</f>
        <v/>
      </c>
      <c r="G267" s="48">
        <f>IF($B267="","",SUM($D$26:$D267))</f>
        <v/>
      </c>
      <c r="H267" s="48">
        <f>IF($B267="","",SUM($E$26:$E267))</f>
        <v/>
      </c>
    </row>
    <row r="268">
      <c r="B268" s="46">
        <f>IF(DATE(Summary!$C$12,1,1)+242&gt;DATE(Summary!$C$12,12,31),"",DATE(Summary!$C$12,1,1)+242)</f>
        <v/>
      </c>
      <c r="C268" s="47">
        <f>IF($B268="","",SUMIFS(Grids!$EE$9:$GQ$108,Grids!$C$9:$BO$108,"&gt;="&amp;$B268*1000000000,Grids!$C$9:$BO$108,"&lt;"&amp;($B268+1)*1000000000))</f>
        <v/>
      </c>
      <c r="D268" s="47">
        <f>IF($B268="","",SUMIFS(Grids!$EE$113:$GQ$152,Grids!$C$113:$BO$152,"&gt;="&amp;$B268*1000000000,Grids!$C$113:$BO$152,"&lt;"&amp;($B268+1)*1000000000))</f>
        <v/>
      </c>
      <c r="E268" s="47">
        <f>IF($B268="","",SUMIFS(Grids!$EE$157:$GQ$216,Grids!$C$157:$BO$216,"&gt;="&amp;$B268*1000000000,Grids!$C$157:$BO$216,"&lt;"&amp;($B268+1)*1000000000))</f>
        <v/>
      </c>
      <c r="F268" s="48">
        <f>IF($B268="","",SUM($C$26:$C268))</f>
        <v/>
      </c>
      <c r="G268" s="48">
        <f>IF($B268="","",SUM($D$26:$D268))</f>
        <v/>
      </c>
      <c r="H268" s="48">
        <f>IF($B268="","",SUM($E$26:$E268))</f>
        <v/>
      </c>
    </row>
    <row r="269">
      <c r="B269" s="46">
        <f>IF(DATE(Summary!$C$12,1,1)+243&gt;DATE(Summary!$C$12,12,31),"",DATE(Summary!$C$12,1,1)+243)</f>
        <v/>
      </c>
      <c r="C269" s="47">
        <f>IF($B269="","",SUMIFS(Grids!$EE$9:$GQ$108,Grids!$C$9:$BO$108,"&gt;="&amp;$B269*1000000000,Grids!$C$9:$BO$108,"&lt;"&amp;($B269+1)*1000000000))</f>
        <v/>
      </c>
      <c r="D269" s="47">
        <f>IF($B269="","",SUMIFS(Grids!$EE$113:$GQ$152,Grids!$C$113:$BO$152,"&gt;="&amp;$B269*1000000000,Grids!$C$113:$BO$152,"&lt;"&amp;($B269+1)*1000000000))</f>
        <v/>
      </c>
      <c r="E269" s="47">
        <f>IF($B269="","",SUMIFS(Grids!$EE$157:$GQ$216,Grids!$C$157:$BO$216,"&gt;="&amp;$B269*1000000000,Grids!$C$157:$BO$216,"&lt;"&amp;($B269+1)*1000000000))</f>
        <v/>
      </c>
      <c r="F269" s="48">
        <f>IF($B269="","",SUM($C$26:$C269))</f>
        <v/>
      </c>
      <c r="G269" s="48">
        <f>IF($B269="","",SUM($D$26:$D269))</f>
        <v/>
      </c>
      <c r="H269" s="48">
        <f>IF($B269="","",SUM($E$26:$E269))</f>
        <v/>
      </c>
    </row>
    <row r="270">
      <c r="B270" s="46">
        <f>IF(DATE(Summary!$C$12,1,1)+244&gt;DATE(Summary!$C$12,12,31),"",DATE(Summary!$C$12,1,1)+244)</f>
        <v/>
      </c>
      <c r="C270" s="47">
        <f>IF($B270="","",SUMIFS(Grids!$EE$9:$GQ$108,Grids!$C$9:$BO$108,"&gt;="&amp;$B270*1000000000,Grids!$C$9:$BO$108,"&lt;"&amp;($B270+1)*1000000000))</f>
        <v/>
      </c>
      <c r="D270" s="47">
        <f>IF($B270="","",SUMIFS(Grids!$EE$113:$GQ$152,Grids!$C$113:$BO$152,"&gt;="&amp;$B270*1000000000,Grids!$C$113:$BO$152,"&lt;"&amp;($B270+1)*1000000000))</f>
        <v/>
      </c>
      <c r="E270" s="47">
        <f>IF($B270="","",SUMIFS(Grids!$EE$157:$GQ$216,Grids!$C$157:$BO$216,"&gt;="&amp;$B270*1000000000,Grids!$C$157:$BO$216,"&lt;"&amp;($B270+1)*1000000000))</f>
        <v/>
      </c>
      <c r="F270" s="48">
        <f>IF($B270="","",SUM($C$26:$C270))</f>
        <v/>
      </c>
      <c r="G270" s="48">
        <f>IF($B270="","",SUM($D$26:$D270))</f>
        <v/>
      </c>
      <c r="H270" s="48">
        <f>IF($B270="","",SUM($E$26:$E270))</f>
        <v/>
      </c>
    </row>
    <row r="271">
      <c r="B271" s="46">
        <f>IF(DATE(Summary!$C$12,1,1)+245&gt;DATE(Summary!$C$12,12,31),"",DATE(Summary!$C$12,1,1)+245)</f>
        <v/>
      </c>
      <c r="C271" s="47">
        <f>IF($B271="","",SUMIFS(Grids!$EE$9:$GQ$108,Grids!$C$9:$BO$108,"&gt;="&amp;$B271*1000000000,Grids!$C$9:$BO$108,"&lt;"&amp;($B271+1)*1000000000))</f>
        <v/>
      </c>
      <c r="D271" s="47">
        <f>IF($B271="","",SUMIFS(Grids!$EE$113:$GQ$152,Grids!$C$113:$BO$152,"&gt;="&amp;$B271*1000000000,Grids!$C$113:$BO$152,"&lt;"&amp;($B271+1)*1000000000))</f>
        <v/>
      </c>
      <c r="E271" s="47">
        <f>IF($B271="","",SUMIFS(Grids!$EE$157:$GQ$216,Grids!$C$157:$BO$216,"&gt;="&amp;$B271*1000000000,Grids!$C$157:$BO$216,"&lt;"&amp;($B271+1)*1000000000))</f>
        <v/>
      </c>
      <c r="F271" s="48">
        <f>IF($B271="","",SUM($C$26:$C271))</f>
        <v/>
      </c>
      <c r="G271" s="48">
        <f>IF($B271="","",SUM($D$26:$D271))</f>
        <v/>
      </c>
      <c r="H271" s="48">
        <f>IF($B271="","",SUM($E$26:$E271))</f>
        <v/>
      </c>
    </row>
    <row r="272">
      <c r="B272" s="46">
        <f>IF(DATE(Summary!$C$12,1,1)+246&gt;DATE(Summary!$C$12,12,31),"",DATE(Summary!$C$12,1,1)+246)</f>
        <v/>
      </c>
      <c r="C272" s="47">
        <f>IF($B272="","",SUMIFS(Grids!$EE$9:$GQ$108,Grids!$C$9:$BO$108,"&gt;="&amp;$B272*1000000000,Grids!$C$9:$BO$108,"&lt;"&amp;($B272+1)*1000000000))</f>
        <v/>
      </c>
      <c r="D272" s="47">
        <f>IF($B272="","",SUMIFS(Grids!$EE$113:$GQ$152,Grids!$C$113:$BO$152,"&gt;="&amp;$B272*1000000000,Grids!$C$113:$BO$152,"&lt;"&amp;($B272+1)*1000000000))</f>
        <v/>
      </c>
      <c r="E272" s="47">
        <f>IF($B272="","",SUMIFS(Grids!$EE$157:$GQ$216,Grids!$C$157:$BO$216,"&gt;="&amp;$B272*1000000000,Grids!$C$157:$BO$216,"&lt;"&amp;($B272+1)*1000000000))</f>
        <v/>
      </c>
      <c r="F272" s="48">
        <f>IF($B272="","",SUM($C$26:$C272))</f>
        <v/>
      </c>
      <c r="G272" s="48">
        <f>IF($B272="","",SUM($D$26:$D272))</f>
        <v/>
      </c>
      <c r="H272" s="48">
        <f>IF($B272="","",SUM($E$26:$E272))</f>
        <v/>
      </c>
    </row>
    <row r="273">
      <c r="B273" s="46">
        <f>IF(DATE(Summary!$C$12,1,1)+247&gt;DATE(Summary!$C$12,12,31),"",DATE(Summary!$C$12,1,1)+247)</f>
        <v/>
      </c>
      <c r="C273" s="47">
        <f>IF($B273="","",SUMIFS(Grids!$EE$9:$GQ$108,Grids!$C$9:$BO$108,"&gt;="&amp;$B273*1000000000,Grids!$C$9:$BO$108,"&lt;"&amp;($B273+1)*1000000000))</f>
        <v/>
      </c>
      <c r="D273" s="47">
        <f>IF($B273="","",SUMIFS(Grids!$EE$113:$GQ$152,Grids!$C$113:$BO$152,"&gt;="&amp;$B273*1000000000,Grids!$C$113:$BO$152,"&lt;"&amp;($B273+1)*1000000000))</f>
        <v/>
      </c>
      <c r="E273" s="47">
        <f>IF($B273="","",SUMIFS(Grids!$EE$157:$GQ$216,Grids!$C$157:$BO$216,"&gt;="&amp;$B273*1000000000,Grids!$C$157:$BO$216,"&lt;"&amp;($B273+1)*1000000000))</f>
        <v/>
      </c>
      <c r="F273" s="48">
        <f>IF($B273="","",SUM($C$26:$C273))</f>
        <v/>
      </c>
      <c r="G273" s="48">
        <f>IF($B273="","",SUM($D$26:$D273))</f>
        <v/>
      </c>
      <c r="H273" s="48">
        <f>IF($B273="","",SUM($E$26:$E273))</f>
        <v/>
      </c>
    </row>
    <row r="274">
      <c r="B274" s="46">
        <f>IF(DATE(Summary!$C$12,1,1)+248&gt;DATE(Summary!$C$12,12,31),"",DATE(Summary!$C$12,1,1)+248)</f>
        <v/>
      </c>
      <c r="C274" s="47">
        <f>IF($B274="","",SUMIFS(Grids!$EE$9:$GQ$108,Grids!$C$9:$BO$108,"&gt;="&amp;$B274*1000000000,Grids!$C$9:$BO$108,"&lt;"&amp;($B274+1)*1000000000))</f>
        <v/>
      </c>
      <c r="D274" s="47">
        <f>IF($B274="","",SUMIFS(Grids!$EE$113:$GQ$152,Grids!$C$113:$BO$152,"&gt;="&amp;$B274*1000000000,Grids!$C$113:$BO$152,"&lt;"&amp;($B274+1)*1000000000))</f>
        <v/>
      </c>
      <c r="E274" s="47">
        <f>IF($B274="","",SUMIFS(Grids!$EE$157:$GQ$216,Grids!$C$157:$BO$216,"&gt;="&amp;$B274*1000000000,Grids!$C$157:$BO$216,"&lt;"&amp;($B274+1)*1000000000))</f>
        <v/>
      </c>
      <c r="F274" s="48">
        <f>IF($B274="","",SUM($C$26:$C274))</f>
        <v/>
      </c>
      <c r="G274" s="48">
        <f>IF($B274="","",SUM($D$26:$D274))</f>
        <v/>
      </c>
      <c r="H274" s="48">
        <f>IF($B274="","",SUM($E$26:$E274))</f>
        <v/>
      </c>
    </row>
    <row r="275">
      <c r="B275" s="46">
        <f>IF(DATE(Summary!$C$12,1,1)+249&gt;DATE(Summary!$C$12,12,31),"",DATE(Summary!$C$12,1,1)+249)</f>
        <v/>
      </c>
      <c r="C275" s="47">
        <f>IF($B275="","",SUMIFS(Grids!$EE$9:$GQ$108,Grids!$C$9:$BO$108,"&gt;="&amp;$B275*1000000000,Grids!$C$9:$BO$108,"&lt;"&amp;($B275+1)*1000000000))</f>
        <v/>
      </c>
      <c r="D275" s="47">
        <f>IF($B275="","",SUMIFS(Grids!$EE$113:$GQ$152,Grids!$C$113:$BO$152,"&gt;="&amp;$B275*1000000000,Grids!$C$113:$BO$152,"&lt;"&amp;($B275+1)*1000000000))</f>
        <v/>
      </c>
      <c r="E275" s="47">
        <f>IF($B275="","",SUMIFS(Grids!$EE$157:$GQ$216,Grids!$C$157:$BO$216,"&gt;="&amp;$B275*1000000000,Grids!$C$157:$BO$216,"&lt;"&amp;($B275+1)*1000000000))</f>
        <v/>
      </c>
      <c r="F275" s="48">
        <f>IF($B275="","",SUM($C$26:$C275))</f>
        <v/>
      </c>
      <c r="G275" s="48">
        <f>IF($B275="","",SUM($D$26:$D275))</f>
        <v/>
      </c>
      <c r="H275" s="48">
        <f>IF($B275="","",SUM($E$26:$E275))</f>
        <v/>
      </c>
    </row>
    <row r="276">
      <c r="B276" s="46">
        <f>IF(DATE(Summary!$C$12,1,1)+250&gt;DATE(Summary!$C$12,12,31),"",DATE(Summary!$C$12,1,1)+250)</f>
        <v/>
      </c>
      <c r="C276" s="47">
        <f>IF($B276="","",SUMIFS(Grids!$EE$9:$GQ$108,Grids!$C$9:$BO$108,"&gt;="&amp;$B276*1000000000,Grids!$C$9:$BO$108,"&lt;"&amp;($B276+1)*1000000000))</f>
        <v/>
      </c>
      <c r="D276" s="47">
        <f>IF($B276="","",SUMIFS(Grids!$EE$113:$GQ$152,Grids!$C$113:$BO$152,"&gt;="&amp;$B276*1000000000,Grids!$C$113:$BO$152,"&lt;"&amp;($B276+1)*1000000000))</f>
        <v/>
      </c>
      <c r="E276" s="47">
        <f>IF($B276="","",SUMIFS(Grids!$EE$157:$GQ$216,Grids!$C$157:$BO$216,"&gt;="&amp;$B276*1000000000,Grids!$C$157:$BO$216,"&lt;"&amp;($B276+1)*1000000000))</f>
        <v/>
      </c>
      <c r="F276" s="48">
        <f>IF($B276="","",SUM($C$26:$C276))</f>
        <v/>
      </c>
      <c r="G276" s="48">
        <f>IF($B276="","",SUM($D$26:$D276))</f>
        <v/>
      </c>
      <c r="H276" s="48">
        <f>IF($B276="","",SUM($E$26:$E276))</f>
        <v/>
      </c>
    </row>
    <row r="277">
      <c r="B277" s="46">
        <f>IF(DATE(Summary!$C$12,1,1)+251&gt;DATE(Summary!$C$12,12,31),"",DATE(Summary!$C$12,1,1)+251)</f>
        <v/>
      </c>
      <c r="C277" s="47">
        <f>IF($B277="","",SUMIFS(Grids!$EE$9:$GQ$108,Grids!$C$9:$BO$108,"&gt;="&amp;$B277*1000000000,Grids!$C$9:$BO$108,"&lt;"&amp;($B277+1)*1000000000))</f>
        <v/>
      </c>
      <c r="D277" s="47">
        <f>IF($B277="","",SUMIFS(Grids!$EE$113:$GQ$152,Grids!$C$113:$BO$152,"&gt;="&amp;$B277*1000000000,Grids!$C$113:$BO$152,"&lt;"&amp;($B277+1)*1000000000))</f>
        <v/>
      </c>
      <c r="E277" s="47">
        <f>IF($B277="","",SUMIFS(Grids!$EE$157:$GQ$216,Grids!$C$157:$BO$216,"&gt;="&amp;$B277*1000000000,Grids!$C$157:$BO$216,"&lt;"&amp;($B277+1)*1000000000))</f>
        <v/>
      </c>
      <c r="F277" s="48">
        <f>IF($B277="","",SUM($C$26:$C277))</f>
        <v/>
      </c>
      <c r="G277" s="48">
        <f>IF($B277="","",SUM($D$26:$D277))</f>
        <v/>
      </c>
      <c r="H277" s="48">
        <f>IF($B277="","",SUM($E$26:$E277))</f>
        <v/>
      </c>
    </row>
    <row r="278">
      <c r="B278" s="46">
        <f>IF(DATE(Summary!$C$12,1,1)+252&gt;DATE(Summary!$C$12,12,31),"",DATE(Summary!$C$12,1,1)+252)</f>
        <v/>
      </c>
      <c r="C278" s="47">
        <f>IF($B278="","",SUMIFS(Grids!$EE$9:$GQ$108,Grids!$C$9:$BO$108,"&gt;="&amp;$B278*1000000000,Grids!$C$9:$BO$108,"&lt;"&amp;($B278+1)*1000000000))</f>
        <v/>
      </c>
      <c r="D278" s="47">
        <f>IF($B278="","",SUMIFS(Grids!$EE$113:$GQ$152,Grids!$C$113:$BO$152,"&gt;="&amp;$B278*1000000000,Grids!$C$113:$BO$152,"&lt;"&amp;($B278+1)*1000000000))</f>
        <v/>
      </c>
      <c r="E278" s="47">
        <f>IF($B278="","",SUMIFS(Grids!$EE$157:$GQ$216,Grids!$C$157:$BO$216,"&gt;="&amp;$B278*1000000000,Grids!$C$157:$BO$216,"&lt;"&amp;($B278+1)*1000000000))</f>
        <v/>
      </c>
      <c r="F278" s="48">
        <f>IF($B278="","",SUM($C$26:$C278))</f>
        <v/>
      </c>
      <c r="G278" s="48">
        <f>IF($B278="","",SUM($D$26:$D278))</f>
        <v/>
      </c>
      <c r="H278" s="48">
        <f>IF($B278="","",SUM($E$26:$E278))</f>
        <v/>
      </c>
    </row>
    <row r="279">
      <c r="B279" s="46">
        <f>IF(DATE(Summary!$C$12,1,1)+253&gt;DATE(Summary!$C$12,12,31),"",DATE(Summary!$C$12,1,1)+253)</f>
        <v/>
      </c>
      <c r="C279" s="47">
        <f>IF($B279="","",SUMIFS(Grids!$EE$9:$GQ$108,Grids!$C$9:$BO$108,"&gt;="&amp;$B279*1000000000,Grids!$C$9:$BO$108,"&lt;"&amp;($B279+1)*1000000000))</f>
        <v/>
      </c>
      <c r="D279" s="47">
        <f>IF($B279="","",SUMIFS(Grids!$EE$113:$GQ$152,Grids!$C$113:$BO$152,"&gt;="&amp;$B279*1000000000,Grids!$C$113:$BO$152,"&lt;"&amp;($B279+1)*1000000000))</f>
        <v/>
      </c>
      <c r="E279" s="47">
        <f>IF($B279="","",SUMIFS(Grids!$EE$157:$GQ$216,Grids!$C$157:$BO$216,"&gt;="&amp;$B279*1000000000,Grids!$C$157:$BO$216,"&lt;"&amp;($B279+1)*1000000000))</f>
        <v/>
      </c>
      <c r="F279" s="48">
        <f>IF($B279="","",SUM($C$26:$C279))</f>
        <v/>
      </c>
      <c r="G279" s="48">
        <f>IF($B279="","",SUM($D$26:$D279))</f>
        <v/>
      </c>
      <c r="H279" s="48">
        <f>IF($B279="","",SUM($E$26:$E279))</f>
        <v/>
      </c>
    </row>
    <row r="280">
      <c r="B280" s="46">
        <f>IF(DATE(Summary!$C$12,1,1)+254&gt;DATE(Summary!$C$12,12,31),"",DATE(Summary!$C$12,1,1)+254)</f>
        <v/>
      </c>
      <c r="C280" s="47">
        <f>IF($B280="","",SUMIFS(Grids!$EE$9:$GQ$108,Grids!$C$9:$BO$108,"&gt;="&amp;$B280*1000000000,Grids!$C$9:$BO$108,"&lt;"&amp;($B280+1)*1000000000))</f>
        <v/>
      </c>
      <c r="D280" s="47">
        <f>IF($B280="","",SUMIFS(Grids!$EE$113:$GQ$152,Grids!$C$113:$BO$152,"&gt;="&amp;$B280*1000000000,Grids!$C$113:$BO$152,"&lt;"&amp;($B280+1)*1000000000))</f>
        <v/>
      </c>
      <c r="E280" s="47">
        <f>IF($B280="","",SUMIFS(Grids!$EE$157:$GQ$216,Grids!$C$157:$BO$216,"&gt;="&amp;$B280*1000000000,Grids!$C$157:$BO$216,"&lt;"&amp;($B280+1)*1000000000))</f>
        <v/>
      </c>
      <c r="F280" s="48">
        <f>IF($B280="","",SUM($C$26:$C280))</f>
        <v/>
      </c>
      <c r="G280" s="48">
        <f>IF($B280="","",SUM($D$26:$D280))</f>
        <v/>
      </c>
      <c r="H280" s="48">
        <f>IF($B280="","",SUM($E$26:$E280))</f>
        <v/>
      </c>
    </row>
    <row r="281">
      <c r="B281" s="46">
        <f>IF(DATE(Summary!$C$12,1,1)+255&gt;DATE(Summary!$C$12,12,31),"",DATE(Summary!$C$12,1,1)+255)</f>
        <v/>
      </c>
      <c r="C281" s="47">
        <f>IF($B281="","",SUMIFS(Grids!$EE$9:$GQ$108,Grids!$C$9:$BO$108,"&gt;="&amp;$B281*1000000000,Grids!$C$9:$BO$108,"&lt;"&amp;($B281+1)*1000000000))</f>
        <v/>
      </c>
      <c r="D281" s="47">
        <f>IF($B281="","",SUMIFS(Grids!$EE$113:$GQ$152,Grids!$C$113:$BO$152,"&gt;="&amp;$B281*1000000000,Grids!$C$113:$BO$152,"&lt;"&amp;($B281+1)*1000000000))</f>
        <v/>
      </c>
      <c r="E281" s="47">
        <f>IF($B281="","",SUMIFS(Grids!$EE$157:$GQ$216,Grids!$C$157:$BO$216,"&gt;="&amp;$B281*1000000000,Grids!$C$157:$BO$216,"&lt;"&amp;($B281+1)*1000000000))</f>
        <v/>
      </c>
      <c r="F281" s="48">
        <f>IF($B281="","",SUM($C$26:$C281))</f>
        <v/>
      </c>
      <c r="G281" s="48">
        <f>IF($B281="","",SUM($D$26:$D281))</f>
        <v/>
      </c>
      <c r="H281" s="48">
        <f>IF($B281="","",SUM($E$26:$E281))</f>
        <v/>
      </c>
    </row>
    <row r="282">
      <c r="B282" s="46">
        <f>IF(DATE(Summary!$C$12,1,1)+256&gt;DATE(Summary!$C$12,12,31),"",DATE(Summary!$C$12,1,1)+256)</f>
        <v/>
      </c>
      <c r="C282" s="47">
        <f>IF($B282="","",SUMIFS(Grids!$EE$9:$GQ$108,Grids!$C$9:$BO$108,"&gt;="&amp;$B282*1000000000,Grids!$C$9:$BO$108,"&lt;"&amp;($B282+1)*1000000000))</f>
        <v/>
      </c>
      <c r="D282" s="47">
        <f>IF($B282="","",SUMIFS(Grids!$EE$113:$GQ$152,Grids!$C$113:$BO$152,"&gt;="&amp;$B282*1000000000,Grids!$C$113:$BO$152,"&lt;"&amp;($B282+1)*1000000000))</f>
        <v/>
      </c>
      <c r="E282" s="47">
        <f>IF($B282="","",SUMIFS(Grids!$EE$157:$GQ$216,Grids!$C$157:$BO$216,"&gt;="&amp;$B282*1000000000,Grids!$C$157:$BO$216,"&lt;"&amp;($B282+1)*1000000000))</f>
        <v/>
      </c>
      <c r="F282" s="48">
        <f>IF($B282="","",SUM($C$26:$C282))</f>
        <v/>
      </c>
      <c r="G282" s="48">
        <f>IF($B282="","",SUM($D$26:$D282))</f>
        <v/>
      </c>
      <c r="H282" s="48">
        <f>IF($B282="","",SUM($E$26:$E282))</f>
        <v/>
      </c>
    </row>
    <row r="283">
      <c r="B283" s="46">
        <f>IF(DATE(Summary!$C$12,1,1)+257&gt;DATE(Summary!$C$12,12,31),"",DATE(Summary!$C$12,1,1)+257)</f>
        <v/>
      </c>
      <c r="C283" s="47">
        <f>IF($B283="","",SUMIFS(Grids!$EE$9:$GQ$108,Grids!$C$9:$BO$108,"&gt;="&amp;$B283*1000000000,Grids!$C$9:$BO$108,"&lt;"&amp;($B283+1)*1000000000))</f>
        <v/>
      </c>
      <c r="D283" s="47">
        <f>IF($B283="","",SUMIFS(Grids!$EE$113:$GQ$152,Grids!$C$113:$BO$152,"&gt;="&amp;$B283*1000000000,Grids!$C$113:$BO$152,"&lt;"&amp;($B283+1)*1000000000))</f>
        <v/>
      </c>
      <c r="E283" s="47">
        <f>IF($B283="","",SUMIFS(Grids!$EE$157:$GQ$216,Grids!$C$157:$BO$216,"&gt;="&amp;$B283*1000000000,Grids!$C$157:$BO$216,"&lt;"&amp;($B283+1)*1000000000))</f>
        <v/>
      </c>
      <c r="F283" s="48">
        <f>IF($B283="","",SUM($C$26:$C283))</f>
        <v/>
      </c>
      <c r="G283" s="48">
        <f>IF($B283="","",SUM($D$26:$D283))</f>
        <v/>
      </c>
      <c r="H283" s="48">
        <f>IF($B283="","",SUM($E$26:$E283))</f>
        <v/>
      </c>
    </row>
    <row r="284">
      <c r="B284" s="46">
        <f>IF(DATE(Summary!$C$12,1,1)+258&gt;DATE(Summary!$C$12,12,31),"",DATE(Summary!$C$12,1,1)+258)</f>
        <v/>
      </c>
      <c r="C284" s="47">
        <f>IF($B284="","",SUMIFS(Grids!$EE$9:$GQ$108,Grids!$C$9:$BO$108,"&gt;="&amp;$B284*1000000000,Grids!$C$9:$BO$108,"&lt;"&amp;($B284+1)*1000000000))</f>
        <v/>
      </c>
      <c r="D284" s="47">
        <f>IF($B284="","",SUMIFS(Grids!$EE$113:$GQ$152,Grids!$C$113:$BO$152,"&gt;="&amp;$B284*1000000000,Grids!$C$113:$BO$152,"&lt;"&amp;($B284+1)*1000000000))</f>
        <v/>
      </c>
      <c r="E284" s="47">
        <f>IF($B284="","",SUMIFS(Grids!$EE$157:$GQ$216,Grids!$C$157:$BO$216,"&gt;="&amp;$B284*1000000000,Grids!$C$157:$BO$216,"&lt;"&amp;($B284+1)*1000000000))</f>
        <v/>
      </c>
      <c r="F284" s="48">
        <f>IF($B284="","",SUM($C$26:$C284))</f>
        <v/>
      </c>
      <c r="G284" s="48">
        <f>IF($B284="","",SUM($D$26:$D284))</f>
        <v/>
      </c>
      <c r="H284" s="48">
        <f>IF($B284="","",SUM($E$26:$E284))</f>
        <v/>
      </c>
    </row>
    <row r="285">
      <c r="B285" s="46">
        <f>IF(DATE(Summary!$C$12,1,1)+259&gt;DATE(Summary!$C$12,12,31),"",DATE(Summary!$C$12,1,1)+259)</f>
        <v/>
      </c>
      <c r="C285" s="47">
        <f>IF($B285="","",SUMIFS(Grids!$EE$9:$GQ$108,Grids!$C$9:$BO$108,"&gt;="&amp;$B285*1000000000,Grids!$C$9:$BO$108,"&lt;"&amp;($B285+1)*1000000000))</f>
        <v/>
      </c>
      <c r="D285" s="47">
        <f>IF($B285="","",SUMIFS(Grids!$EE$113:$GQ$152,Grids!$C$113:$BO$152,"&gt;="&amp;$B285*1000000000,Grids!$C$113:$BO$152,"&lt;"&amp;($B285+1)*1000000000))</f>
        <v/>
      </c>
      <c r="E285" s="47">
        <f>IF($B285="","",SUMIFS(Grids!$EE$157:$GQ$216,Grids!$C$157:$BO$216,"&gt;="&amp;$B285*1000000000,Grids!$C$157:$BO$216,"&lt;"&amp;($B285+1)*1000000000))</f>
        <v/>
      </c>
      <c r="F285" s="48">
        <f>IF($B285="","",SUM($C$26:$C285))</f>
        <v/>
      </c>
      <c r="G285" s="48">
        <f>IF($B285="","",SUM($D$26:$D285))</f>
        <v/>
      </c>
      <c r="H285" s="48">
        <f>IF($B285="","",SUM($E$26:$E285))</f>
        <v/>
      </c>
    </row>
    <row r="286">
      <c r="B286" s="46">
        <f>IF(DATE(Summary!$C$12,1,1)+260&gt;DATE(Summary!$C$12,12,31),"",DATE(Summary!$C$12,1,1)+260)</f>
        <v/>
      </c>
      <c r="C286" s="47">
        <f>IF($B286="","",SUMIFS(Grids!$EE$9:$GQ$108,Grids!$C$9:$BO$108,"&gt;="&amp;$B286*1000000000,Grids!$C$9:$BO$108,"&lt;"&amp;($B286+1)*1000000000))</f>
        <v/>
      </c>
      <c r="D286" s="47">
        <f>IF($B286="","",SUMIFS(Grids!$EE$113:$GQ$152,Grids!$C$113:$BO$152,"&gt;="&amp;$B286*1000000000,Grids!$C$113:$BO$152,"&lt;"&amp;($B286+1)*1000000000))</f>
        <v/>
      </c>
      <c r="E286" s="47">
        <f>IF($B286="","",SUMIFS(Grids!$EE$157:$GQ$216,Grids!$C$157:$BO$216,"&gt;="&amp;$B286*1000000000,Grids!$C$157:$BO$216,"&lt;"&amp;($B286+1)*1000000000))</f>
        <v/>
      </c>
      <c r="F286" s="48">
        <f>IF($B286="","",SUM($C$26:$C286))</f>
        <v/>
      </c>
      <c r="G286" s="48">
        <f>IF($B286="","",SUM($D$26:$D286))</f>
        <v/>
      </c>
      <c r="H286" s="48">
        <f>IF($B286="","",SUM($E$26:$E286))</f>
        <v/>
      </c>
    </row>
    <row r="287">
      <c r="B287" s="46">
        <f>IF(DATE(Summary!$C$12,1,1)+261&gt;DATE(Summary!$C$12,12,31),"",DATE(Summary!$C$12,1,1)+261)</f>
        <v/>
      </c>
      <c r="C287" s="47">
        <f>IF($B287="","",SUMIFS(Grids!$EE$9:$GQ$108,Grids!$C$9:$BO$108,"&gt;="&amp;$B287*1000000000,Grids!$C$9:$BO$108,"&lt;"&amp;($B287+1)*1000000000))</f>
        <v/>
      </c>
      <c r="D287" s="47">
        <f>IF($B287="","",SUMIFS(Grids!$EE$113:$GQ$152,Grids!$C$113:$BO$152,"&gt;="&amp;$B287*1000000000,Grids!$C$113:$BO$152,"&lt;"&amp;($B287+1)*1000000000))</f>
        <v/>
      </c>
      <c r="E287" s="47">
        <f>IF($B287="","",SUMIFS(Grids!$EE$157:$GQ$216,Grids!$C$157:$BO$216,"&gt;="&amp;$B287*1000000000,Grids!$C$157:$BO$216,"&lt;"&amp;($B287+1)*1000000000))</f>
        <v/>
      </c>
      <c r="F287" s="48">
        <f>IF($B287="","",SUM($C$26:$C287))</f>
        <v/>
      </c>
      <c r="G287" s="48">
        <f>IF($B287="","",SUM($D$26:$D287))</f>
        <v/>
      </c>
      <c r="H287" s="48">
        <f>IF($B287="","",SUM($E$26:$E287))</f>
        <v/>
      </c>
    </row>
    <row r="288">
      <c r="B288" s="46">
        <f>IF(DATE(Summary!$C$12,1,1)+262&gt;DATE(Summary!$C$12,12,31),"",DATE(Summary!$C$12,1,1)+262)</f>
        <v/>
      </c>
      <c r="C288" s="47">
        <f>IF($B288="","",SUMIFS(Grids!$EE$9:$GQ$108,Grids!$C$9:$BO$108,"&gt;="&amp;$B288*1000000000,Grids!$C$9:$BO$108,"&lt;"&amp;($B288+1)*1000000000))</f>
        <v/>
      </c>
      <c r="D288" s="47">
        <f>IF($B288="","",SUMIFS(Grids!$EE$113:$GQ$152,Grids!$C$113:$BO$152,"&gt;="&amp;$B288*1000000000,Grids!$C$113:$BO$152,"&lt;"&amp;($B288+1)*1000000000))</f>
        <v/>
      </c>
      <c r="E288" s="47">
        <f>IF($B288="","",SUMIFS(Grids!$EE$157:$GQ$216,Grids!$C$157:$BO$216,"&gt;="&amp;$B288*1000000000,Grids!$C$157:$BO$216,"&lt;"&amp;($B288+1)*1000000000))</f>
        <v/>
      </c>
      <c r="F288" s="48">
        <f>IF($B288="","",SUM($C$26:$C288))</f>
        <v/>
      </c>
      <c r="G288" s="48">
        <f>IF($B288="","",SUM($D$26:$D288))</f>
        <v/>
      </c>
      <c r="H288" s="48">
        <f>IF($B288="","",SUM($E$26:$E288))</f>
        <v/>
      </c>
    </row>
    <row r="289">
      <c r="B289" s="46">
        <f>IF(DATE(Summary!$C$12,1,1)+263&gt;DATE(Summary!$C$12,12,31),"",DATE(Summary!$C$12,1,1)+263)</f>
        <v/>
      </c>
      <c r="C289" s="47">
        <f>IF($B289="","",SUMIFS(Grids!$EE$9:$GQ$108,Grids!$C$9:$BO$108,"&gt;="&amp;$B289*1000000000,Grids!$C$9:$BO$108,"&lt;"&amp;($B289+1)*1000000000))</f>
        <v/>
      </c>
      <c r="D289" s="47">
        <f>IF($B289="","",SUMIFS(Grids!$EE$113:$GQ$152,Grids!$C$113:$BO$152,"&gt;="&amp;$B289*1000000000,Grids!$C$113:$BO$152,"&lt;"&amp;($B289+1)*1000000000))</f>
        <v/>
      </c>
      <c r="E289" s="47">
        <f>IF($B289="","",SUMIFS(Grids!$EE$157:$GQ$216,Grids!$C$157:$BO$216,"&gt;="&amp;$B289*1000000000,Grids!$C$157:$BO$216,"&lt;"&amp;($B289+1)*1000000000))</f>
        <v/>
      </c>
      <c r="F289" s="48">
        <f>IF($B289="","",SUM($C$26:$C289))</f>
        <v/>
      </c>
      <c r="G289" s="48">
        <f>IF($B289="","",SUM($D$26:$D289))</f>
        <v/>
      </c>
      <c r="H289" s="48">
        <f>IF($B289="","",SUM($E$26:$E289))</f>
        <v/>
      </c>
    </row>
    <row r="290">
      <c r="B290" s="46">
        <f>IF(DATE(Summary!$C$12,1,1)+264&gt;DATE(Summary!$C$12,12,31),"",DATE(Summary!$C$12,1,1)+264)</f>
        <v/>
      </c>
      <c r="C290" s="47">
        <f>IF($B290="","",SUMIFS(Grids!$EE$9:$GQ$108,Grids!$C$9:$BO$108,"&gt;="&amp;$B290*1000000000,Grids!$C$9:$BO$108,"&lt;"&amp;($B290+1)*1000000000))</f>
        <v/>
      </c>
      <c r="D290" s="47">
        <f>IF($B290="","",SUMIFS(Grids!$EE$113:$GQ$152,Grids!$C$113:$BO$152,"&gt;="&amp;$B290*1000000000,Grids!$C$113:$BO$152,"&lt;"&amp;($B290+1)*1000000000))</f>
        <v/>
      </c>
      <c r="E290" s="47">
        <f>IF($B290="","",SUMIFS(Grids!$EE$157:$GQ$216,Grids!$C$157:$BO$216,"&gt;="&amp;$B290*1000000000,Grids!$C$157:$BO$216,"&lt;"&amp;($B290+1)*1000000000))</f>
        <v/>
      </c>
      <c r="F290" s="48">
        <f>IF($B290="","",SUM($C$26:$C290))</f>
        <v/>
      </c>
      <c r="G290" s="48">
        <f>IF($B290="","",SUM($D$26:$D290))</f>
        <v/>
      </c>
      <c r="H290" s="48">
        <f>IF($B290="","",SUM($E$26:$E290))</f>
        <v/>
      </c>
    </row>
    <row r="291">
      <c r="B291" s="46">
        <f>IF(DATE(Summary!$C$12,1,1)+265&gt;DATE(Summary!$C$12,12,31),"",DATE(Summary!$C$12,1,1)+265)</f>
        <v/>
      </c>
      <c r="C291" s="47">
        <f>IF($B291="","",SUMIFS(Grids!$EE$9:$GQ$108,Grids!$C$9:$BO$108,"&gt;="&amp;$B291*1000000000,Grids!$C$9:$BO$108,"&lt;"&amp;($B291+1)*1000000000))</f>
        <v/>
      </c>
      <c r="D291" s="47">
        <f>IF($B291="","",SUMIFS(Grids!$EE$113:$GQ$152,Grids!$C$113:$BO$152,"&gt;="&amp;$B291*1000000000,Grids!$C$113:$BO$152,"&lt;"&amp;($B291+1)*1000000000))</f>
        <v/>
      </c>
      <c r="E291" s="47">
        <f>IF($B291="","",SUMIFS(Grids!$EE$157:$GQ$216,Grids!$C$157:$BO$216,"&gt;="&amp;$B291*1000000000,Grids!$C$157:$BO$216,"&lt;"&amp;($B291+1)*1000000000))</f>
        <v/>
      </c>
      <c r="F291" s="48">
        <f>IF($B291="","",SUM($C$26:$C291))</f>
        <v/>
      </c>
      <c r="G291" s="48">
        <f>IF($B291="","",SUM($D$26:$D291))</f>
        <v/>
      </c>
      <c r="H291" s="48">
        <f>IF($B291="","",SUM($E$26:$E291))</f>
        <v/>
      </c>
    </row>
    <row r="292">
      <c r="B292" s="46">
        <f>IF(DATE(Summary!$C$12,1,1)+266&gt;DATE(Summary!$C$12,12,31),"",DATE(Summary!$C$12,1,1)+266)</f>
        <v/>
      </c>
      <c r="C292" s="47">
        <f>IF($B292="","",SUMIFS(Grids!$EE$9:$GQ$108,Grids!$C$9:$BO$108,"&gt;="&amp;$B292*1000000000,Grids!$C$9:$BO$108,"&lt;"&amp;($B292+1)*1000000000))</f>
        <v/>
      </c>
      <c r="D292" s="47">
        <f>IF($B292="","",SUMIFS(Grids!$EE$113:$GQ$152,Grids!$C$113:$BO$152,"&gt;="&amp;$B292*1000000000,Grids!$C$113:$BO$152,"&lt;"&amp;($B292+1)*1000000000))</f>
        <v/>
      </c>
      <c r="E292" s="47">
        <f>IF($B292="","",SUMIFS(Grids!$EE$157:$GQ$216,Grids!$C$157:$BO$216,"&gt;="&amp;$B292*1000000000,Grids!$C$157:$BO$216,"&lt;"&amp;($B292+1)*1000000000))</f>
        <v/>
      </c>
      <c r="F292" s="48">
        <f>IF($B292="","",SUM($C$26:$C292))</f>
        <v/>
      </c>
      <c r="G292" s="48">
        <f>IF($B292="","",SUM($D$26:$D292))</f>
        <v/>
      </c>
      <c r="H292" s="48">
        <f>IF($B292="","",SUM($E$26:$E292))</f>
        <v/>
      </c>
    </row>
    <row r="293">
      <c r="B293" s="46">
        <f>IF(DATE(Summary!$C$12,1,1)+267&gt;DATE(Summary!$C$12,12,31),"",DATE(Summary!$C$12,1,1)+267)</f>
        <v/>
      </c>
      <c r="C293" s="47">
        <f>IF($B293="","",SUMIFS(Grids!$EE$9:$GQ$108,Grids!$C$9:$BO$108,"&gt;="&amp;$B293*1000000000,Grids!$C$9:$BO$108,"&lt;"&amp;($B293+1)*1000000000))</f>
        <v/>
      </c>
      <c r="D293" s="47">
        <f>IF($B293="","",SUMIFS(Grids!$EE$113:$GQ$152,Grids!$C$113:$BO$152,"&gt;="&amp;$B293*1000000000,Grids!$C$113:$BO$152,"&lt;"&amp;($B293+1)*1000000000))</f>
        <v/>
      </c>
      <c r="E293" s="47">
        <f>IF($B293="","",SUMIFS(Grids!$EE$157:$GQ$216,Grids!$C$157:$BO$216,"&gt;="&amp;$B293*1000000000,Grids!$C$157:$BO$216,"&lt;"&amp;($B293+1)*1000000000))</f>
        <v/>
      </c>
      <c r="F293" s="48">
        <f>IF($B293="","",SUM($C$26:$C293))</f>
        <v/>
      </c>
      <c r="G293" s="48">
        <f>IF($B293="","",SUM($D$26:$D293))</f>
        <v/>
      </c>
      <c r="H293" s="48">
        <f>IF($B293="","",SUM($E$26:$E293))</f>
        <v/>
      </c>
    </row>
    <row r="294">
      <c r="B294" s="46">
        <f>IF(DATE(Summary!$C$12,1,1)+268&gt;DATE(Summary!$C$12,12,31),"",DATE(Summary!$C$12,1,1)+268)</f>
        <v/>
      </c>
      <c r="C294" s="47">
        <f>IF($B294="","",SUMIFS(Grids!$EE$9:$GQ$108,Grids!$C$9:$BO$108,"&gt;="&amp;$B294*1000000000,Grids!$C$9:$BO$108,"&lt;"&amp;($B294+1)*1000000000))</f>
        <v/>
      </c>
      <c r="D294" s="47">
        <f>IF($B294="","",SUMIFS(Grids!$EE$113:$GQ$152,Grids!$C$113:$BO$152,"&gt;="&amp;$B294*1000000000,Grids!$C$113:$BO$152,"&lt;"&amp;($B294+1)*1000000000))</f>
        <v/>
      </c>
      <c r="E294" s="47">
        <f>IF($B294="","",SUMIFS(Grids!$EE$157:$GQ$216,Grids!$C$157:$BO$216,"&gt;="&amp;$B294*1000000000,Grids!$C$157:$BO$216,"&lt;"&amp;($B294+1)*1000000000))</f>
        <v/>
      </c>
      <c r="F294" s="48">
        <f>IF($B294="","",SUM($C$26:$C294))</f>
        <v/>
      </c>
      <c r="G294" s="48">
        <f>IF($B294="","",SUM($D$26:$D294))</f>
        <v/>
      </c>
      <c r="H294" s="48">
        <f>IF($B294="","",SUM($E$26:$E294))</f>
        <v/>
      </c>
    </row>
    <row r="295">
      <c r="B295" s="46">
        <f>IF(DATE(Summary!$C$12,1,1)+269&gt;DATE(Summary!$C$12,12,31),"",DATE(Summary!$C$12,1,1)+269)</f>
        <v/>
      </c>
      <c r="C295" s="47">
        <f>IF($B295="","",SUMIFS(Grids!$EE$9:$GQ$108,Grids!$C$9:$BO$108,"&gt;="&amp;$B295*1000000000,Grids!$C$9:$BO$108,"&lt;"&amp;($B295+1)*1000000000))</f>
        <v/>
      </c>
      <c r="D295" s="47">
        <f>IF($B295="","",SUMIFS(Grids!$EE$113:$GQ$152,Grids!$C$113:$BO$152,"&gt;="&amp;$B295*1000000000,Grids!$C$113:$BO$152,"&lt;"&amp;($B295+1)*1000000000))</f>
        <v/>
      </c>
      <c r="E295" s="47">
        <f>IF($B295="","",SUMIFS(Grids!$EE$157:$GQ$216,Grids!$C$157:$BO$216,"&gt;="&amp;$B295*1000000000,Grids!$C$157:$BO$216,"&lt;"&amp;($B295+1)*1000000000))</f>
        <v/>
      </c>
      <c r="F295" s="48">
        <f>IF($B295="","",SUM($C$26:$C295))</f>
        <v/>
      </c>
      <c r="G295" s="48">
        <f>IF($B295="","",SUM($D$26:$D295))</f>
        <v/>
      </c>
      <c r="H295" s="48">
        <f>IF($B295="","",SUM($E$26:$E295))</f>
        <v/>
      </c>
    </row>
    <row r="296">
      <c r="B296" s="46">
        <f>IF(DATE(Summary!$C$12,1,1)+270&gt;DATE(Summary!$C$12,12,31),"",DATE(Summary!$C$12,1,1)+270)</f>
        <v/>
      </c>
      <c r="C296" s="47">
        <f>IF($B296="","",SUMIFS(Grids!$EE$9:$GQ$108,Grids!$C$9:$BO$108,"&gt;="&amp;$B296*1000000000,Grids!$C$9:$BO$108,"&lt;"&amp;($B296+1)*1000000000))</f>
        <v/>
      </c>
      <c r="D296" s="47">
        <f>IF($B296="","",SUMIFS(Grids!$EE$113:$GQ$152,Grids!$C$113:$BO$152,"&gt;="&amp;$B296*1000000000,Grids!$C$113:$BO$152,"&lt;"&amp;($B296+1)*1000000000))</f>
        <v/>
      </c>
      <c r="E296" s="47">
        <f>IF($B296="","",SUMIFS(Grids!$EE$157:$GQ$216,Grids!$C$157:$BO$216,"&gt;="&amp;$B296*1000000000,Grids!$C$157:$BO$216,"&lt;"&amp;($B296+1)*1000000000))</f>
        <v/>
      </c>
      <c r="F296" s="48">
        <f>IF($B296="","",SUM($C$26:$C296))</f>
        <v/>
      </c>
      <c r="G296" s="48">
        <f>IF($B296="","",SUM($D$26:$D296))</f>
        <v/>
      </c>
      <c r="H296" s="48">
        <f>IF($B296="","",SUM($E$26:$E296))</f>
        <v/>
      </c>
    </row>
    <row r="297">
      <c r="B297" s="46">
        <f>IF(DATE(Summary!$C$12,1,1)+271&gt;DATE(Summary!$C$12,12,31),"",DATE(Summary!$C$12,1,1)+271)</f>
        <v/>
      </c>
      <c r="C297" s="47">
        <f>IF($B297="","",SUMIFS(Grids!$EE$9:$GQ$108,Grids!$C$9:$BO$108,"&gt;="&amp;$B297*1000000000,Grids!$C$9:$BO$108,"&lt;"&amp;($B297+1)*1000000000))</f>
        <v/>
      </c>
      <c r="D297" s="47">
        <f>IF($B297="","",SUMIFS(Grids!$EE$113:$GQ$152,Grids!$C$113:$BO$152,"&gt;="&amp;$B297*1000000000,Grids!$C$113:$BO$152,"&lt;"&amp;($B297+1)*1000000000))</f>
        <v/>
      </c>
      <c r="E297" s="47">
        <f>IF($B297="","",SUMIFS(Grids!$EE$157:$GQ$216,Grids!$C$157:$BO$216,"&gt;="&amp;$B297*1000000000,Grids!$C$157:$BO$216,"&lt;"&amp;($B297+1)*1000000000))</f>
        <v/>
      </c>
      <c r="F297" s="48">
        <f>IF($B297="","",SUM($C$26:$C297))</f>
        <v/>
      </c>
      <c r="G297" s="48">
        <f>IF($B297="","",SUM($D$26:$D297))</f>
        <v/>
      </c>
      <c r="H297" s="48">
        <f>IF($B297="","",SUM($E$26:$E297))</f>
        <v/>
      </c>
    </row>
    <row r="298">
      <c r="B298" s="46">
        <f>IF(DATE(Summary!$C$12,1,1)+272&gt;DATE(Summary!$C$12,12,31),"",DATE(Summary!$C$12,1,1)+272)</f>
        <v/>
      </c>
      <c r="C298" s="47">
        <f>IF($B298="","",SUMIFS(Grids!$EE$9:$GQ$108,Grids!$C$9:$BO$108,"&gt;="&amp;$B298*1000000000,Grids!$C$9:$BO$108,"&lt;"&amp;($B298+1)*1000000000))</f>
        <v/>
      </c>
      <c r="D298" s="47">
        <f>IF($B298="","",SUMIFS(Grids!$EE$113:$GQ$152,Grids!$C$113:$BO$152,"&gt;="&amp;$B298*1000000000,Grids!$C$113:$BO$152,"&lt;"&amp;($B298+1)*1000000000))</f>
        <v/>
      </c>
      <c r="E298" s="47">
        <f>IF($B298="","",SUMIFS(Grids!$EE$157:$GQ$216,Grids!$C$157:$BO$216,"&gt;="&amp;$B298*1000000000,Grids!$C$157:$BO$216,"&lt;"&amp;($B298+1)*1000000000))</f>
        <v/>
      </c>
      <c r="F298" s="48">
        <f>IF($B298="","",SUM($C$26:$C298))</f>
        <v/>
      </c>
      <c r="G298" s="48">
        <f>IF($B298="","",SUM($D$26:$D298))</f>
        <v/>
      </c>
      <c r="H298" s="48">
        <f>IF($B298="","",SUM($E$26:$E298))</f>
        <v/>
      </c>
    </row>
    <row r="299">
      <c r="B299" s="46">
        <f>IF(DATE(Summary!$C$12,1,1)+273&gt;DATE(Summary!$C$12,12,31),"",DATE(Summary!$C$12,1,1)+273)</f>
        <v/>
      </c>
      <c r="C299" s="47">
        <f>IF($B299="","",SUMIFS(Grids!$EE$9:$GQ$108,Grids!$C$9:$BO$108,"&gt;="&amp;$B299*1000000000,Grids!$C$9:$BO$108,"&lt;"&amp;($B299+1)*1000000000))</f>
        <v/>
      </c>
      <c r="D299" s="47">
        <f>IF($B299="","",SUMIFS(Grids!$EE$113:$GQ$152,Grids!$C$113:$BO$152,"&gt;="&amp;$B299*1000000000,Grids!$C$113:$BO$152,"&lt;"&amp;($B299+1)*1000000000))</f>
        <v/>
      </c>
      <c r="E299" s="47">
        <f>IF($B299="","",SUMIFS(Grids!$EE$157:$GQ$216,Grids!$C$157:$BO$216,"&gt;="&amp;$B299*1000000000,Grids!$C$157:$BO$216,"&lt;"&amp;($B299+1)*1000000000))</f>
        <v/>
      </c>
      <c r="F299" s="48">
        <f>IF($B299="","",SUM($C$26:$C299))</f>
        <v/>
      </c>
      <c r="G299" s="48">
        <f>IF($B299="","",SUM($D$26:$D299))</f>
        <v/>
      </c>
      <c r="H299" s="48">
        <f>IF($B299="","",SUM($E$26:$E299))</f>
        <v/>
      </c>
    </row>
    <row r="300">
      <c r="B300" s="46">
        <f>IF(DATE(Summary!$C$12,1,1)+274&gt;DATE(Summary!$C$12,12,31),"",DATE(Summary!$C$12,1,1)+274)</f>
        <v/>
      </c>
      <c r="C300" s="47">
        <f>IF($B300="","",SUMIFS(Grids!$EE$9:$GQ$108,Grids!$C$9:$BO$108,"&gt;="&amp;$B300*1000000000,Grids!$C$9:$BO$108,"&lt;"&amp;($B300+1)*1000000000))</f>
        <v/>
      </c>
      <c r="D300" s="47">
        <f>IF($B300="","",SUMIFS(Grids!$EE$113:$GQ$152,Grids!$C$113:$BO$152,"&gt;="&amp;$B300*1000000000,Grids!$C$113:$BO$152,"&lt;"&amp;($B300+1)*1000000000))</f>
        <v/>
      </c>
      <c r="E300" s="47">
        <f>IF($B300="","",SUMIFS(Grids!$EE$157:$GQ$216,Grids!$C$157:$BO$216,"&gt;="&amp;$B300*1000000000,Grids!$C$157:$BO$216,"&lt;"&amp;($B300+1)*1000000000))</f>
        <v/>
      </c>
      <c r="F300" s="48">
        <f>IF($B300="","",SUM($C$26:$C300))</f>
        <v/>
      </c>
      <c r="G300" s="48">
        <f>IF($B300="","",SUM($D$26:$D300))</f>
        <v/>
      </c>
      <c r="H300" s="48">
        <f>IF($B300="","",SUM($E$26:$E300))</f>
        <v/>
      </c>
    </row>
    <row r="301">
      <c r="B301" s="46">
        <f>IF(DATE(Summary!$C$12,1,1)+275&gt;DATE(Summary!$C$12,12,31),"",DATE(Summary!$C$12,1,1)+275)</f>
        <v/>
      </c>
      <c r="C301" s="47">
        <f>IF($B301="","",SUMIFS(Grids!$EE$9:$GQ$108,Grids!$C$9:$BO$108,"&gt;="&amp;$B301*1000000000,Grids!$C$9:$BO$108,"&lt;"&amp;($B301+1)*1000000000))</f>
        <v/>
      </c>
      <c r="D301" s="47">
        <f>IF($B301="","",SUMIFS(Grids!$EE$113:$GQ$152,Grids!$C$113:$BO$152,"&gt;="&amp;$B301*1000000000,Grids!$C$113:$BO$152,"&lt;"&amp;($B301+1)*1000000000))</f>
        <v/>
      </c>
      <c r="E301" s="47">
        <f>IF($B301="","",SUMIFS(Grids!$EE$157:$GQ$216,Grids!$C$157:$BO$216,"&gt;="&amp;$B301*1000000000,Grids!$C$157:$BO$216,"&lt;"&amp;($B301+1)*1000000000))</f>
        <v/>
      </c>
      <c r="F301" s="48">
        <f>IF($B301="","",SUM($C$26:$C301))</f>
        <v/>
      </c>
      <c r="G301" s="48">
        <f>IF($B301="","",SUM($D$26:$D301))</f>
        <v/>
      </c>
      <c r="H301" s="48">
        <f>IF($B301="","",SUM($E$26:$E301))</f>
        <v/>
      </c>
    </row>
    <row r="302">
      <c r="B302" s="46">
        <f>IF(DATE(Summary!$C$12,1,1)+276&gt;DATE(Summary!$C$12,12,31),"",DATE(Summary!$C$12,1,1)+276)</f>
        <v/>
      </c>
      <c r="C302" s="47">
        <f>IF($B302="","",SUMIFS(Grids!$EE$9:$GQ$108,Grids!$C$9:$BO$108,"&gt;="&amp;$B302*1000000000,Grids!$C$9:$BO$108,"&lt;"&amp;($B302+1)*1000000000))</f>
        <v/>
      </c>
      <c r="D302" s="47">
        <f>IF($B302="","",SUMIFS(Grids!$EE$113:$GQ$152,Grids!$C$113:$BO$152,"&gt;="&amp;$B302*1000000000,Grids!$C$113:$BO$152,"&lt;"&amp;($B302+1)*1000000000))</f>
        <v/>
      </c>
      <c r="E302" s="47">
        <f>IF($B302="","",SUMIFS(Grids!$EE$157:$GQ$216,Grids!$C$157:$BO$216,"&gt;="&amp;$B302*1000000000,Grids!$C$157:$BO$216,"&lt;"&amp;($B302+1)*1000000000))</f>
        <v/>
      </c>
      <c r="F302" s="48">
        <f>IF($B302="","",SUM($C$26:$C302))</f>
        <v/>
      </c>
      <c r="G302" s="48">
        <f>IF($B302="","",SUM($D$26:$D302))</f>
        <v/>
      </c>
      <c r="H302" s="48">
        <f>IF($B302="","",SUM($E$26:$E302))</f>
        <v/>
      </c>
    </row>
    <row r="303">
      <c r="B303" s="46">
        <f>IF(DATE(Summary!$C$12,1,1)+277&gt;DATE(Summary!$C$12,12,31),"",DATE(Summary!$C$12,1,1)+277)</f>
        <v/>
      </c>
      <c r="C303" s="47">
        <f>IF($B303="","",SUMIFS(Grids!$EE$9:$GQ$108,Grids!$C$9:$BO$108,"&gt;="&amp;$B303*1000000000,Grids!$C$9:$BO$108,"&lt;"&amp;($B303+1)*1000000000))</f>
        <v/>
      </c>
      <c r="D303" s="47">
        <f>IF($B303="","",SUMIFS(Grids!$EE$113:$GQ$152,Grids!$C$113:$BO$152,"&gt;="&amp;$B303*1000000000,Grids!$C$113:$BO$152,"&lt;"&amp;($B303+1)*1000000000))</f>
        <v/>
      </c>
      <c r="E303" s="47">
        <f>IF($B303="","",SUMIFS(Grids!$EE$157:$GQ$216,Grids!$C$157:$BO$216,"&gt;="&amp;$B303*1000000000,Grids!$C$157:$BO$216,"&lt;"&amp;($B303+1)*1000000000))</f>
        <v/>
      </c>
      <c r="F303" s="48">
        <f>IF($B303="","",SUM($C$26:$C303))</f>
        <v/>
      </c>
      <c r="G303" s="48">
        <f>IF($B303="","",SUM($D$26:$D303))</f>
        <v/>
      </c>
      <c r="H303" s="48">
        <f>IF($B303="","",SUM($E$26:$E303))</f>
        <v/>
      </c>
    </row>
    <row r="304">
      <c r="B304" s="46">
        <f>IF(DATE(Summary!$C$12,1,1)+278&gt;DATE(Summary!$C$12,12,31),"",DATE(Summary!$C$12,1,1)+278)</f>
        <v/>
      </c>
      <c r="C304" s="47">
        <f>IF($B304="","",SUMIFS(Grids!$EE$9:$GQ$108,Grids!$C$9:$BO$108,"&gt;="&amp;$B304*1000000000,Grids!$C$9:$BO$108,"&lt;"&amp;($B304+1)*1000000000))</f>
        <v/>
      </c>
      <c r="D304" s="47">
        <f>IF($B304="","",SUMIFS(Grids!$EE$113:$GQ$152,Grids!$C$113:$BO$152,"&gt;="&amp;$B304*1000000000,Grids!$C$113:$BO$152,"&lt;"&amp;($B304+1)*1000000000))</f>
        <v/>
      </c>
      <c r="E304" s="47">
        <f>IF($B304="","",SUMIFS(Grids!$EE$157:$GQ$216,Grids!$C$157:$BO$216,"&gt;="&amp;$B304*1000000000,Grids!$C$157:$BO$216,"&lt;"&amp;($B304+1)*1000000000))</f>
        <v/>
      </c>
      <c r="F304" s="48">
        <f>IF($B304="","",SUM($C$26:$C304))</f>
        <v/>
      </c>
      <c r="G304" s="48">
        <f>IF($B304="","",SUM($D$26:$D304))</f>
        <v/>
      </c>
      <c r="H304" s="48">
        <f>IF($B304="","",SUM($E$26:$E304))</f>
        <v/>
      </c>
    </row>
    <row r="305">
      <c r="B305" s="46">
        <f>IF(DATE(Summary!$C$12,1,1)+279&gt;DATE(Summary!$C$12,12,31),"",DATE(Summary!$C$12,1,1)+279)</f>
        <v/>
      </c>
      <c r="C305" s="47">
        <f>IF($B305="","",SUMIFS(Grids!$EE$9:$GQ$108,Grids!$C$9:$BO$108,"&gt;="&amp;$B305*1000000000,Grids!$C$9:$BO$108,"&lt;"&amp;($B305+1)*1000000000))</f>
        <v/>
      </c>
      <c r="D305" s="47">
        <f>IF($B305="","",SUMIFS(Grids!$EE$113:$GQ$152,Grids!$C$113:$BO$152,"&gt;="&amp;$B305*1000000000,Grids!$C$113:$BO$152,"&lt;"&amp;($B305+1)*1000000000))</f>
        <v/>
      </c>
      <c r="E305" s="47">
        <f>IF($B305="","",SUMIFS(Grids!$EE$157:$GQ$216,Grids!$C$157:$BO$216,"&gt;="&amp;$B305*1000000000,Grids!$C$157:$BO$216,"&lt;"&amp;($B305+1)*1000000000))</f>
        <v/>
      </c>
      <c r="F305" s="48">
        <f>IF($B305="","",SUM($C$26:$C305))</f>
        <v/>
      </c>
      <c r="G305" s="48">
        <f>IF($B305="","",SUM($D$26:$D305))</f>
        <v/>
      </c>
      <c r="H305" s="48">
        <f>IF($B305="","",SUM($E$26:$E305))</f>
        <v/>
      </c>
    </row>
    <row r="306">
      <c r="B306" s="46">
        <f>IF(DATE(Summary!$C$12,1,1)+280&gt;DATE(Summary!$C$12,12,31),"",DATE(Summary!$C$12,1,1)+280)</f>
        <v/>
      </c>
      <c r="C306" s="47">
        <f>IF($B306="","",SUMIFS(Grids!$EE$9:$GQ$108,Grids!$C$9:$BO$108,"&gt;="&amp;$B306*1000000000,Grids!$C$9:$BO$108,"&lt;"&amp;($B306+1)*1000000000))</f>
        <v/>
      </c>
      <c r="D306" s="47">
        <f>IF($B306="","",SUMIFS(Grids!$EE$113:$GQ$152,Grids!$C$113:$BO$152,"&gt;="&amp;$B306*1000000000,Grids!$C$113:$BO$152,"&lt;"&amp;($B306+1)*1000000000))</f>
        <v/>
      </c>
      <c r="E306" s="47">
        <f>IF($B306="","",SUMIFS(Grids!$EE$157:$GQ$216,Grids!$C$157:$BO$216,"&gt;="&amp;$B306*1000000000,Grids!$C$157:$BO$216,"&lt;"&amp;($B306+1)*1000000000))</f>
        <v/>
      </c>
      <c r="F306" s="48">
        <f>IF($B306="","",SUM($C$26:$C306))</f>
        <v/>
      </c>
      <c r="G306" s="48">
        <f>IF($B306="","",SUM($D$26:$D306))</f>
        <v/>
      </c>
      <c r="H306" s="48">
        <f>IF($B306="","",SUM($E$26:$E306))</f>
        <v/>
      </c>
    </row>
    <row r="307">
      <c r="B307" s="46">
        <f>IF(DATE(Summary!$C$12,1,1)+281&gt;DATE(Summary!$C$12,12,31),"",DATE(Summary!$C$12,1,1)+281)</f>
        <v/>
      </c>
      <c r="C307" s="47">
        <f>IF($B307="","",SUMIFS(Grids!$EE$9:$GQ$108,Grids!$C$9:$BO$108,"&gt;="&amp;$B307*1000000000,Grids!$C$9:$BO$108,"&lt;"&amp;($B307+1)*1000000000))</f>
        <v/>
      </c>
      <c r="D307" s="47">
        <f>IF($B307="","",SUMIFS(Grids!$EE$113:$GQ$152,Grids!$C$113:$BO$152,"&gt;="&amp;$B307*1000000000,Grids!$C$113:$BO$152,"&lt;"&amp;($B307+1)*1000000000))</f>
        <v/>
      </c>
      <c r="E307" s="47">
        <f>IF($B307="","",SUMIFS(Grids!$EE$157:$GQ$216,Grids!$C$157:$BO$216,"&gt;="&amp;$B307*1000000000,Grids!$C$157:$BO$216,"&lt;"&amp;($B307+1)*1000000000))</f>
        <v/>
      </c>
      <c r="F307" s="48">
        <f>IF($B307="","",SUM($C$26:$C307))</f>
        <v/>
      </c>
      <c r="G307" s="48">
        <f>IF($B307="","",SUM($D$26:$D307))</f>
        <v/>
      </c>
      <c r="H307" s="48">
        <f>IF($B307="","",SUM($E$26:$E307))</f>
        <v/>
      </c>
    </row>
    <row r="308">
      <c r="B308" s="46">
        <f>IF(DATE(Summary!$C$12,1,1)+282&gt;DATE(Summary!$C$12,12,31),"",DATE(Summary!$C$12,1,1)+282)</f>
        <v/>
      </c>
      <c r="C308" s="47">
        <f>IF($B308="","",SUMIFS(Grids!$EE$9:$GQ$108,Grids!$C$9:$BO$108,"&gt;="&amp;$B308*1000000000,Grids!$C$9:$BO$108,"&lt;"&amp;($B308+1)*1000000000))</f>
        <v/>
      </c>
      <c r="D308" s="47">
        <f>IF($B308="","",SUMIFS(Grids!$EE$113:$GQ$152,Grids!$C$113:$BO$152,"&gt;="&amp;$B308*1000000000,Grids!$C$113:$BO$152,"&lt;"&amp;($B308+1)*1000000000))</f>
        <v/>
      </c>
      <c r="E308" s="47">
        <f>IF($B308="","",SUMIFS(Grids!$EE$157:$GQ$216,Grids!$C$157:$BO$216,"&gt;="&amp;$B308*1000000000,Grids!$C$157:$BO$216,"&lt;"&amp;($B308+1)*1000000000))</f>
        <v/>
      </c>
      <c r="F308" s="48">
        <f>IF($B308="","",SUM($C$26:$C308))</f>
        <v/>
      </c>
      <c r="G308" s="48">
        <f>IF($B308="","",SUM($D$26:$D308))</f>
        <v/>
      </c>
      <c r="H308" s="48">
        <f>IF($B308="","",SUM($E$26:$E308))</f>
        <v/>
      </c>
    </row>
    <row r="309">
      <c r="B309" s="46">
        <f>IF(DATE(Summary!$C$12,1,1)+283&gt;DATE(Summary!$C$12,12,31),"",DATE(Summary!$C$12,1,1)+283)</f>
        <v/>
      </c>
      <c r="C309" s="47">
        <f>IF($B309="","",SUMIFS(Grids!$EE$9:$GQ$108,Grids!$C$9:$BO$108,"&gt;="&amp;$B309*1000000000,Grids!$C$9:$BO$108,"&lt;"&amp;($B309+1)*1000000000))</f>
        <v/>
      </c>
      <c r="D309" s="47">
        <f>IF($B309="","",SUMIFS(Grids!$EE$113:$GQ$152,Grids!$C$113:$BO$152,"&gt;="&amp;$B309*1000000000,Grids!$C$113:$BO$152,"&lt;"&amp;($B309+1)*1000000000))</f>
        <v/>
      </c>
      <c r="E309" s="47">
        <f>IF($B309="","",SUMIFS(Grids!$EE$157:$GQ$216,Grids!$C$157:$BO$216,"&gt;="&amp;$B309*1000000000,Grids!$C$157:$BO$216,"&lt;"&amp;($B309+1)*1000000000))</f>
        <v/>
      </c>
      <c r="F309" s="48">
        <f>IF($B309="","",SUM($C$26:$C309))</f>
        <v/>
      </c>
      <c r="G309" s="48">
        <f>IF($B309="","",SUM($D$26:$D309))</f>
        <v/>
      </c>
      <c r="H309" s="48">
        <f>IF($B309="","",SUM($E$26:$E309))</f>
        <v/>
      </c>
    </row>
    <row r="310">
      <c r="B310" s="46">
        <f>IF(DATE(Summary!$C$12,1,1)+284&gt;DATE(Summary!$C$12,12,31),"",DATE(Summary!$C$12,1,1)+284)</f>
        <v/>
      </c>
      <c r="C310" s="47">
        <f>IF($B310="","",SUMIFS(Grids!$EE$9:$GQ$108,Grids!$C$9:$BO$108,"&gt;="&amp;$B310*1000000000,Grids!$C$9:$BO$108,"&lt;"&amp;($B310+1)*1000000000))</f>
        <v/>
      </c>
      <c r="D310" s="47">
        <f>IF($B310="","",SUMIFS(Grids!$EE$113:$GQ$152,Grids!$C$113:$BO$152,"&gt;="&amp;$B310*1000000000,Grids!$C$113:$BO$152,"&lt;"&amp;($B310+1)*1000000000))</f>
        <v/>
      </c>
      <c r="E310" s="47">
        <f>IF($B310="","",SUMIFS(Grids!$EE$157:$GQ$216,Grids!$C$157:$BO$216,"&gt;="&amp;$B310*1000000000,Grids!$C$157:$BO$216,"&lt;"&amp;($B310+1)*1000000000))</f>
        <v/>
      </c>
      <c r="F310" s="48">
        <f>IF($B310="","",SUM($C$26:$C310))</f>
        <v/>
      </c>
      <c r="G310" s="48">
        <f>IF($B310="","",SUM($D$26:$D310))</f>
        <v/>
      </c>
      <c r="H310" s="48">
        <f>IF($B310="","",SUM($E$26:$E310))</f>
        <v/>
      </c>
    </row>
    <row r="311">
      <c r="B311" s="46">
        <f>IF(DATE(Summary!$C$12,1,1)+285&gt;DATE(Summary!$C$12,12,31),"",DATE(Summary!$C$12,1,1)+285)</f>
        <v/>
      </c>
      <c r="C311" s="47">
        <f>IF($B311="","",SUMIFS(Grids!$EE$9:$GQ$108,Grids!$C$9:$BO$108,"&gt;="&amp;$B311*1000000000,Grids!$C$9:$BO$108,"&lt;"&amp;($B311+1)*1000000000))</f>
        <v/>
      </c>
      <c r="D311" s="47">
        <f>IF($B311="","",SUMIFS(Grids!$EE$113:$GQ$152,Grids!$C$113:$BO$152,"&gt;="&amp;$B311*1000000000,Grids!$C$113:$BO$152,"&lt;"&amp;($B311+1)*1000000000))</f>
        <v/>
      </c>
      <c r="E311" s="47">
        <f>IF($B311="","",SUMIFS(Grids!$EE$157:$GQ$216,Grids!$C$157:$BO$216,"&gt;="&amp;$B311*1000000000,Grids!$C$157:$BO$216,"&lt;"&amp;($B311+1)*1000000000))</f>
        <v/>
      </c>
      <c r="F311" s="48">
        <f>IF($B311="","",SUM($C$26:$C311))</f>
        <v/>
      </c>
      <c r="G311" s="48">
        <f>IF($B311="","",SUM($D$26:$D311))</f>
        <v/>
      </c>
      <c r="H311" s="48">
        <f>IF($B311="","",SUM($E$26:$E311))</f>
        <v/>
      </c>
    </row>
    <row r="312">
      <c r="B312" s="46">
        <f>IF(DATE(Summary!$C$12,1,1)+286&gt;DATE(Summary!$C$12,12,31),"",DATE(Summary!$C$12,1,1)+286)</f>
        <v/>
      </c>
      <c r="C312" s="47">
        <f>IF($B312="","",SUMIFS(Grids!$EE$9:$GQ$108,Grids!$C$9:$BO$108,"&gt;="&amp;$B312*1000000000,Grids!$C$9:$BO$108,"&lt;"&amp;($B312+1)*1000000000))</f>
        <v/>
      </c>
      <c r="D312" s="47">
        <f>IF($B312="","",SUMIFS(Grids!$EE$113:$GQ$152,Grids!$C$113:$BO$152,"&gt;="&amp;$B312*1000000000,Grids!$C$113:$BO$152,"&lt;"&amp;($B312+1)*1000000000))</f>
        <v/>
      </c>
      <c r="E312" s="47">
        <f>IF($B312="","",SUMIFS(Grids!$EE$157:$GQ$216,Grids!$C$157:$BO$216,"&gt;="&amp;$B312*1000000000,Grids!$C$157:$BO$216,"&lt;"&amp;($B312+1)*1000000000))</f>
        <v/>
      </c>
      <c r="F312" s="48">
        <f>IF($B312="","",SUM($C$26:$C312))</f>
        <v/>
      </c>
      <c r="G312" s="48">
        <f>IF($B312="","",SUM($D$26:$D312))</f>
        <v/>
      </c>
      <c r="H312" s="48">
        <f>IF($B312="","",SUM($E$26:$E312))</f>
        <v/>
      </c>
    </row>
    <row r="313">
      <c r="B313" s="46">
        <f>IF(DATE(Summary!$C$12,1,1)+287&gt;DATE(Summary!$C$12,12,31),"",DATE(Summary!$C$12,1,1)+287)</f>
        <v/>
      </c>
      <c r="C313" s="47">
        <f>IF($B313="","",SUMIFS(Grids!$EE$9:$GQ$108,Grids!$C$9:$BO$108,"&gt;="&amp;$B313*1000000000,Grids!$C$9:$BO$108,"&lt;"&amp;($B313+1)*1000000000))</f>
        <v/>
      </c>
      <c r="D313" s="47">
        <f>IF($B313="","",SUMIFS(Grids!$EE$113:$GQ$152,Grids!$C$113:$BO$152,"&gt;="&amp;$B313*1000000000,Grids!$C$113:$BO$152,"&lt;"&amp;($B313+1)*1000000000))</f>
        <v/>
      </c>
      <c r="E313" s="47">
        <f>IF($B313="","",SUMIFS(Grids!$EE$157:$GQ$216,Grids!$C$157:$BO$216,"&gt;="&amp;$B313*1000000000,Grids!$C$157:$BO$216,"&lt;"&amp;($B313+1)*1000000000))</f>
        <v/>
      </c>
      <c r="F313" s="48">
        <f>IF($B313="","",SUM($C$26:$C313))</f>
        <v/>
      </c>
      <c r="G313" s="48">
        <f>IF($B313="","",SUM($D$26:$D313))</f>
        <v/>
      </c>
      <c r="H313" s="48">
        <f>IF($B313="","",SUM($E$26:$E313))</f>
        <v/>
      </c>
    </row>
    <row r="314">
      <c r="B314" s="46">
        <f>IF(DATE(Summary!$C$12,1,1)+288&gt;DATE(Summary!$C$12,12,31),"",DATE(Summary!$C$12,1,1)+288)</f>
        <v/>
      </c>
      <c r="C314" s="47">
        <f>IF($B314="","",SUMIFS(Grids!$EE$9:$GQ$108,Grids!$C$9:$BO$108,"&gt;="&amp;$B314*1000000000,Grids!$C$9:$BO$108,"&lt;"&amp;($B314+1)*1000000000))</f>
        <v/>
      </c>
      <c r="D314" s="47">
        <f>IF($B314="","",SUMIFS(Grids!$EE$113:$GQ$152,Grids!$C$113:$BO$152,"&gt;="&amp;$B314*1000000000,Grids!$C$113:$BO$152,"&lt;"&amp;($B314+1)*1000000000))</f>
        <v/>
      </c>
      <c r="E314" s="47">
        <f>IF($B314="","",SUMIFS(Grids!$EE$157:$GQ$216,Grids!$C$157:$BO$216,"&gt;="&amp;$B314*1000000000,Grids!$C$157:$BO$216,"&lt;"&amp;($B314+1)*1000000000))</f>
        <v/>
      </c>
      <c r="F314" s="48">
        <f>IF($B314="","",SUM($C$26:$C314))</f>
        <v/>
      </c>
      <c r="G314" s="48">
        <f>IF($B314="","",SUM($D$26:$D314))</f>
        <v/>
      </c>
      <c r="H314" s="48">
        <f>IF($B314="","",SUM($E$26:$E314))</f>
        <v/>
      </c>
    </row>
    <row r="315">
      <c r="B315" s="46">
        <f>IF(DATE(Summary!$C$12,1,1)+289&gt;DATE(Summary!$C$12,12,31),"",DATE(Summary!$C$12,1,1)+289)</f>
        <v/>
      </c>
      <c r="C315" s="47">
        <f>IF($B315="","",SUMIFS(Grids!$EE$9:$GQ$108,Grids!$C$9:$BO$108,"&gt;="&amp;$B315*1000000000,Grids!$C$9:$BO$108,"&lt;"&amp;($B315+1)*1000000000))</f>
        <v/>
      </c>
      <c r="D315" s="47">
        <f>IF($B315="","",SUMIFS(Grids!$EE$113:$GQ$152,Grids!$C$113:$BO$152,"&gt;="&amp;$B315*1000000000,Grids!$C$113:$BO$152,"&lt;"&amp;($B315+1)*1000000000))</f>
        <v/>
      </c>
      <c r="E315" s="47">
        <f>IF($B315="","",SUMIFS(Grids!$EE$157:$GQ$216,Grids!$C$157:$BO$216,"&gt;="&amp;$B315*1000000000,Grids!$C$157:$BO$216,"&lt;"&amp;($B315+1)*1000000000))</f>
        <v/>
      </c>
      <c r="F315" s="48">
        <f>IF($B315="","",SUM($C$26:$C315))</f>
        <v/>
      </c>
      <c r="G315" s="48">
        <f>IF($B315="","",SUM($D$26:$D315))</f>
        <v/>
      </c>
      <c r="H315" s="48">
        <f>IF($B315="","",SUM($E$26:$E315))</f>
        <v/>
      </c>
    </row>
    <row r="316">
      <c r="B316" s="46">
        <f>IF(DATE(Summary!$C$12,1,1)+290&gt;DATE(Summary!$C$12,12,31),"",DATE(Summary!$C$12,1,1)+290)</f>
        <v/>
      </c>
      <c r="C316" s="47">
        <f>IF($B316="","",SUMIFS(Grids!$EE$9:$GQ$108,Grids!$C$9:$BO$108,"&gt;="&amp;$B316*1000000000,Grids!$C$9:$BO$108,"&lt;"&amp;($B316+1)*1000000000))</f>
        <v/>
      </c>
      <c r="D316" s="47">
        <f>IF($B316="","",SUMIFS(Grids!$EE$113:$GQ$152,Grids!$C$113:$BO$152,"&gt;="&amp;$B316*1000000000,Grids!$C$113:$BO$152,"&lt;"&amp;($B316+1)*1000000000))</f>
        <v/>
      </c>
      <c r="E316" s="47">
        <f>IF($B316="","",SUMIFS(Grids!$EE$157:$GQ$216,Grids!$C$157:$BO$216,"&gt;="&amp;$B316*1000000000,Grids!$C$157:$BO$216,"&lt;"&amp;($B316+1)*1000000000))</f>
        <v/>
      </c>
      <c r="F316" s="48">
        <f>IF($B316="","",SUM($C$26:$C316))</f>
        <v/>
      </c>
      <c r="G316" s="48">
        <f>IF($B316="","",SUM($D$26:$D316))</f>
        <v/>
      </c>
      <c r="H316" s="48">
        <f>IF($B316="","",SUM($E$26:$E316))</f>
        <v/>
      </c>
    </row>
    <row r="317">
      <c r="B317" s="46">
        <f>IF(DATE(Summary!$C$12,1,1)+291&gt;DATE(Summary!$C$12,12,31),"",DATE(Summary!$C$12,1,1)+291)</f>
        <v/>
      </c>
      <c r="C317" s="47">
        <f>IF($B317="","",SUMIFS(Grids!$EE$9:$GQ$108,Grids!$C$9:$BO$108,"&gt;="&amp;$B317*1000000000,Grids!$C$9:$BO$108,"&lt;"&amp;($B317+1)*1000000000))</f>
        <v/>
      </c>
      <c r="D317" s="47">
        <f>IF($B317="","",SUMIFS(Grids!$EE$113:$GQ$152,Grids!$C$113:$BO$152,"&gt;="&amp;$B317*1000000000,Grids!$C$113:$BO$152,"&lt;"&amp;($B317+1)*1000000000))</f>
        <v/>
      </c>
      <c r="E317" s="47">
        <f>IF($B317="","",SUMIFS(Grids!$EE$157:$GQ$216,Grids!$C$157:$BO$216,"&gt;="&amp;$B317*1000000000,Grids!$C$157:$BO$216,"&lt;"&amp;($B317+1)*1000000000))</f>
        <v/>
      </c>
      <c r="F317" s="48">
        <f>IF($B317="","",SUM($C$26:$C317))</f>
        <v/>
      </c>
      <c r="G317" s="48">
        <f>IF($B317="","",SUM($D$26:$D317))</f>
        <v/>
      </c>
      <c r="H317" s="48">
        <f>IF($B317="","",SUM($E$26:$E317))</f>
        <v/>
      </c>
    </row>
    <row r="318">
      <c r="B318" s="46">
        <f>IF(DATE(Summary!$C$12,1,1)+292&gt;DATE(Summary!$C$12,12,31),"",DATE(Summary!$C$12,1,1)+292)</f>
        <v/>
      </c>
      <c r="C318" s="47">
        <f>IF($B318="","",SUMIFS(Grids!$EE$9:$GQ$108,Grids!$C$9:$BO$108,"&gt;="&amp;$B318*1000000000,Grids!$C$9:$BO$108,"&lt;"&amp;($B318+1)*1000000000))</f>
        <v/>
      </c>
      <c r="D318" s="47">
        <f>IF($B318="","",SUMIFS(Grids!$EE$113:$GQ$152,Grids!$C$113:$BO$152,"&gt;="&amp;$B318*1000000000,Grids!$C$113:$BO$152,"&lt;"&amp;($B318+1)*1000000000))</f>
        <v/>
      </c>
      <c r="E318" s="47">
        <f>IF($B318="","",SUMIFS(Grids!$EE$157:$GQ$216,Grids!$C$157:$BO$216,"&gt;="&amp;$B318*1000000000,Grids!$C$157:$BO$216,"&lt;"&amp;($B318+1)*1000000000))</f>
        <v/>
      </c>
      <c r="F318" s="48">
        <f>IF($B318="","",SUM($C$26:$C318))</f>
        <v/>
      </c>
      <c r="G318" s="48">
        <f>IF($B318="","",SUM($D$26:$D318))</f>
        <v/>
      </c>
      <c r="H318" s="48">
        <f>IF($B318="","",SUM($E$26:$E318))</f>
        <v/>
      </c>
    </row>
    <row r="319">
      <c r="B319" s="46">
        <f>IF(DATE(Summary!$C$12,1,1)+293&gt;DATE(Summary!$C$12,12,31),"",DATE(Summary!$C$12,1,1)+293)</f>
        <v/>
      </c>
      <c r="C319" s="47">
        <f>IF($B319="","",SUMIFS(Grids!$EE$9:$GQ$108,Grids!$C$9:$BO$108,"&gt;="&amp;$B319*1000000000,Grids!$C$9:$BO$108,"&lt;"&amp;($B319+1)*1000000000))</f>
        <v/>
      </c>
      <c r="D319" s="47">
        <f>IF($B319="","",SUMIFS(Grids!$EE$113:$GQ$152,Grids!$C$113:$BO$152,"&gt;="&amp;$B319*1000000000,Grids!$C$113:$BO$152,"&lt;"&amp;($B319+1)*1000000000))</f>
        <v/>
      </c>
      <c r="E319" s="47">
        <f>IF($B319="","",SUMIFS(Grids!$EE$157:$GQ$216,Grids!$C$157:$BO$216,"&gt;="&amp;$B319*1000000000,Grids!$C$157:$BO$216,"&lt;"&amp;($B319+1)*1000000000))</f>
        <v/>
      </c>
      <c r="F319" s="48">
        <f>IF($B319="","",SUM($C$26:$C319))</f>
        <v/>
      </c>
      <c r="G319" s="48">
        <f>IF($B319="","",SUM($D$26:$D319))</f>
        <v/>
      </c>
      <c r="H319" s="48">
        <f>IF($B319="","",SUM($E$26:$E319))</f>
        <v/>
      </c>
    </row>
    <row r="320">
      <c r="B320" s="46">
        <f>IF(DATE(Summary!$C$12,1,1)+294&gt;DATE(Summary!$C$12,12,31),"",DATE(Summary!$C$12,1,1)+294)</f>
        <v/>
      </c>
      <c r="C320" s="47">
        <f>IF($B320="","",SUMIFS(Grids!$EE$9:$GQ$108,Grids!$C$9:$BO$108,"&gt;="&amp;$B320*1000000000,Grids!$C$9:$BO$108,"&lt;"&amp;($B320+1)*1000000000))</f>
        <v/>
      </c>
      <c r="D320" s="47">
        <f>IF($B320="","",SUMIFS(Grids!$EE$113:$GQ$152,Grids!$C$113:$BO$152,"&gt;="&amp;$B320*1000000000,Grids!$C$113:$BO$152,"&lt;"&amp;($B320+1)*1000000000))</f>
        <v/>
      </c>
      <c r="E320" s="47">
        <f>IF($B320="","",SUMIFS(Grids!$EE$157:$GQ$216,Grids!$C$157:$BO$216,"&gt;="&amp;$B320*1000000000,Grids!$C$157:$BO$216,"&lt;"&amp;($B320+1)*1000000000))</f>
        <v/>
      </c>
      <c r="F320" s="48">
        <f>IF($B320="","",SUM($C$26:$C320))</f>
        <v/>
      </c>
      <c r="G320" s="48">
        <f>IF($B320="","",SUM($D$26:$D320))</f>
        <v/>
      </c>
      <c r="H320" s="48">
        <f>IF($B320="","",SUM($E$26:$E320))</f>
        <v/>
      </c>
    </row>
    <row r="321">
      <c r="B321" s="46">
        <f>IF(DATE(Summary!$C$12,1,1)+295&gt;DATE(Summary!$C$12,12,31),"",DATE(Summary!$C$12,1,1)+295)</f>
        <v/>
      </c>
      <c r="C321" s="47">
        <f>IF($B321="","",SUMIFS(Grids!$EE$9:$GQ$108,Grids!$C$9:$BO$108,"&gt;="&amp;$B321*1000000000,Grids!$C$9:$BO$108,"&lt;"&amp;($B321+1)*1000000000))</f>
        <v/>
      </c>
      <c r="D321" s="47">
        <f>IF($B321="","",SUMIFS(Grids!$EE$113:$GQ$152,Grids!$C$113:$BO$152,"&gt;="&amp;$B321*1000000000,Grids!$C$113:$BO$152,"&lt;"&amp;($B321+1)*1000000000))</f>
        <v/>
      </c>
      <c r="E321" s="47">
        <f>IF($B321="","",SUMIFS(Grids!$EE$157:$GQ$216,Grids!$C$157:$BO$216,"&gt;="&amp;$B321*1000000000,Grids!$C$157:$BO$216,"&lt;"&amp;($B321+1)*1000000000))</f>
        <v/>
      </c>
      <c r="F321" s="48">
        <f>IF($B321="","",SUM($C$26:$C321))</f>
        <v/>
      </c>
      <c r="G321" s="48">
        <f>IF($B321="","",SUM($D$26:$D321))</f>
        <v/>
      </c>
      <c r="H321" s="48">
        <f>IF($B321="","",SUM($E$26:$E321))</f>
        <v/>
      </c>
    </row>
    <row r="322">
      <c r="B322" s="46">
        <f>IF(DATE(Summary!$C$12,1,1)+296&gt;DATE(Summary!$C$12,12,31),"",DATE(Summary!$C$12,1,1)+296)</f>
        <v/>
      </c>
      <c r="C322" s="47">
        <f>IF($B322="","",SUMIFS(Grids!$EE$9:$GQ$108,Grids!$C$9:$BO$108,"&gt;="&amp;$B322*1000000000,Grids!$C$9:$BO$108,"&lt;"&amp;($B322+1)*1000000000))</f>
        <v/>
      </c>
      <c r="D322" s="47">
        <f>IF($B322="","",SUMIFS(Grids!$EE$113:$GQ$152,Grids!$C$113:$BO$152,"&gt;="&amp;$B322*1000000000,Grids!$C$113:$BO$152,"&lt;"&amp;($B322+1)*1000000000))</f>
        <v/>
      </c>
      <c r="E322" s="47">
        <f>IF($B322="","",SUMIFS(Grids!$EE$157:$GQ$216,Grids!$C$157:$BO$216,"&gt;="&amp;$B322*1000000000,Grids!$C$157:$BO$216,"&lt;"&amp;($B322+1)*1000000000))</f>
        <v/>
      </c>
      <c r="F322" s="48">
        <f>IF($B322="","",SUM($C$26:$C322))</f>
        <v/>
      </c>
      <c r="G322" s="48">
        <f>IF($B322="","",SUM($D$26:$D322))</f>
        <v/>
      </c>
      <c r="H322" s="48">
        <f>IF($B322="","",SUM($E$26:$E322))</f>
        <v/>
      </c>
    </row>
    <row r="323">
      <c r="B323" s="46">
        <f>IF(DATE(Summary!$C$12,1,1)+297&gt;DATE(Summary!$C$12,12,31),"",DATE(Summary!$C$12,1,1)+297)</f>
        <v/>
      </c>
      <c r="C323" s="47">
        <f>IF($B323="","",SUMIFS(Grids!$EE$9:$GQ$108,Grids!$C$9:$BO$108,"&gt;="&amp;$B323*1000000000,Grids!$C$9:$BO$108,"&lt;"&amp;($B323+1)*1000000000))</f>
        <v/>
      </c>
      <c r="D323" s="47">
        <f>IF($B323="","",SUMIFS(Grids!$EE$113:$GQ$152,Grids!$C$113:$BO$152,"&gt;="&amp;$B323*1000000000,Grids!$C$113:$BO$152,"&lt;"&amp;($B323+1)*1000000000))</f>
        <v/>
      </c>
      <c r="E323" s="47">
        <f>IF($B323="","",SUMIFS(Grids!$EE$157:$GQ$216,Grids!$C$157:$BO$216,"&gt;="&amp;$B323*1000000000,Grids!$C$157:$BO$216,"&lt;"&amp;($B323+1)*1000000000))</f>
        <v/>
      </c>
      <c r="F323" s="48">
        <f>IF($B323="","",SUM($C$26:$C323))</f>
        <v/>
      </c>
      <c r="G323" s="48">
        <f>IF($B323="","",SUM($D$26:$D323))</f>
        <v/>
      </c>
      <c r="H323" s="48">
        <f>IF($B323="","",SUM($E$26:$E323))</f>
        <v/>
      </c>
    </row>
    <row r="324">
      <c r="B324" s="46">
        <f>IF(DATE(Summary!$C$12,1,1)+298&gt;DATE(Summary!$C$12,12,31),"",DATE(Summary!$C$12,1,1)+298)</f>
        <v/>
      </c>
      <c r="C324" s="47">
        <f>IF($B324="","",SUMIFS(Grids!$EE$9:$GQ$108,Grids!$C$9:$BO$108,"&gt;="&amp;$B324*1000000000,Grids!$C$9:$BO$108,"&lt;"&amp;($B324+1)*1000000000))</f>
        <v/>
      </c>
      <c r="D324" s="47">
        <f>IF($B324="","",SUMIFS(Grids!$EE$113:$GQ$152,Grids!$C$113:$BO$152,"&gt;="&amp;$B324*1000000000,Grids!$C$113:$BO$152,"&lt;"&amp;($B324+1)*1000000000))</f>
        <v/>
      </c>
      <c r="E324" s="47">
        <f>IF($B324="","",SUMIFS(Grids!$EE$157:$GQ$216,Grids!$C$157:$BO$216,"&gt;="&amp;$B324*1000000000,Grids!$C$157:$BO$216,"&lt;"&amp;($B324+1)*1000000000))</f>
        <v/>
      </c>
      <c r="F324" s="48">
        <f>IF($B324="","",SUM($C$26:$C324))</f>
        <v/>
      </c>
      <c r="G324" s="48">
        <f>IF($B324="","",SUM($D$26:$D324))</f>
        <v/>
      </c>
      <c r="H324" s="48">
        <f>IF($B324="","",SUM($E$26:$E324))</f>
        <v/>
      </c>
    </row>
    <row r="325">
      <c r="B325" s="46">
        <f>IF(DATE(Summary!$C$12,1,1)+299&gt;DATE(Summary!$C$12,12,31),"",DATE(Summary!$C$12,1,1)+299)</f>
        <v/>
      </c>
      <c r="C325" s="47">
        <f>IF($B325="","",SUMIFS(Grids!$EE$9:$GQ$108,Grids!$C$9:$BO$108,"&gt;="&amp;$B325*1000000000,Grids!$C$9:$BO$108,"&lt;"&amp;($B325+1)*1000000000))</f>
        <v/>
      </c>
      <c r="D325" s="47">
        <f>IF($B325="","",SUMIFS(Grids!$EE$113:$GQ$152,Grids!$C$113:$BO$152,"&gt;="&amp;$B325*1000000000,Grids!$C$113:$BO$152,"&lt;"&amp;($B325+1)*1000000000))</f>
        <v/>
      </c>
      <c r="E325" s="47">
        <f>IF($B325="","",SUMIFS(Grids!$EE$157:$GQ$216,Grids!$C$157:$BO$216,"&gt;="&amp;$B325*1000000000,Grids!$C$157:$BO$216,"&lt;"&amp;($B325+1)*1000000000))</f>
        <v/>
      </c>
      <c r="F325" s="48">
        <f>IF($B325="","",SUM($C$26:$C325))</f>
        <v/>
      </c>
      <c r="G325" s="48">
        <f>IF($B325="","",SUM($D$26:$D325))</f>
        <v/>
      </c>
      <c r="H325" s="48">
        <f>IF($B325="","",SUM($E$26:$E325))</f>
        <v/>
      </c>
    </row>
    <row r="326">
      <c r="B326" s="46">
        <f>IF(DATE(Summary!$C$12,1,1)+300&gt;DATE(Summary!$C$12,12,31),"",DATE(Summary!$C$12,1,1)+300)</f>
        <v/>
      </c>
      <c r="C326" s="47">
        <f>IF($B326="","",SUMIFS(Grids!$EE$9:$GQ$108,Grids!$C$9:$BO$108,"&gt;="&amp;$B326*1000000000,Grids!$C$9:$BO$108,"&lt;"&amp;($B326+1)*1000000000))</f>
        <v/>
      </c>
      <c r="D326" s="47">
        <f>IF($B326="","",SUMIFS(Grids!$EE$113:$GQ$152,Grids!$C$113:$BO$152,"&gt;="&amp;$B326*1000000000,Grids!$C$113:$BO$152,"&lt;"&amp;($B326+1)*1000000000))</f>
        <v/>
      </c>
      <c r="E326" s="47">
        <f>IF($B326="","",SUMIFS(Grids!$EE$157:$GQ$216,Grids!$C$157:$BO$216,"&gt;="&amp;$B326*1000000000,Grids!$C$157:$BO$216,"&lt;"&amp;($B326+1)*1000000000))</f>
        <v/>
      </c>
      <c r="F326" s="48">
        <f>IF($B326="","",SUM($C$26:$C326))</f>
        <v/>
      </c>
      <c r="G326" s="48">
        <f>IF($B326="","",SUM($D$26:$D326))</f>
        <v/>
      </c>
      <c r="H326" s="48">
        <f>IF($B326="","",SUM($E$26:$E326))</f>
        <v/>
      </c>
    </row>
    <row r="327">
      <c r="B327" s="46">
        <f>IF(DATE(Summary!$C$12,1,1)+301&gt;DATE(Summary!$C$12,12,31),"",DATE(Summary!$C$12,1,1)+301)</f>
        <v/>
      </c>
      <c r="C327" s="47">
        <f>IF($B327="","",SUMIFS(Grids!$EE$9:$GQ$108,Grids!$C$9:$BO$108,"&gt;="&amp;$B327*1000000000,Grids!$C$9:$BO$108,"&lt;"&amp;($B327+1)*1000000000))</f>
        <v/>
      </c>
      <c r="D327" s="47">
        <f>IF($B327="","",SUMIFS(Grids!$EE$113:$GQ$152,Grids!$C$113:$BO$152,"&gt;="&amp;$B327*1000000000,Grids!$C$113:$BO$152,"&lt;"&amp;($B327+1)*1000000000))</f>
        <v/>
      </c>
      <c r="E327" s="47">
        <f>IF($B327="","",SUMIFS(Grids!$EE$157:$GQ$216,Grids!$C$157:$BO$216,"&gt;="&amp;$B327*1000000000,Grids!$C$157:$BO$216,"&lt;"&amp;($B327+1)*1000000000))</f>
        <v/>
      </c>
      <c r="F327" s="48">
        <f>IF($B327="","",SUM($C$26:$C327))</f>
        <v/>
      </c>
      <c r="G327" s="48">
        <f>IF($B327="","",SUM($D$26:$D327))</f>
        <v/>
      </c>
      <c r="H327" s="48">
        <f>IF($B327="","",SUM($E$26:$E327))</f>
        <v/>
      </c>
    </row>
    <row r="328">
      <c r="B328" s="46">
        <f>IF(DATE(Summary!$C$12,1,1)+302&gt;DATE(Summary!$C$12,12,31),"",DATE(Summary!$C$12,1,1)+302)</f>
        <v/>
      </c>
      <c r="C328" s="47">
        <f>IF($B328="","",SUMIFS(Grids!$EE$9:$GQ$108,Grids!$C$9:$BO$108,"&gt;="&amp;$B328*1000000000,Grids!$C$9:$BO$108,"&lt;"&amp;($B328+1)*1000000000))</f>
        <v/>
      </c>
      <c r="D328" s="47">
        <f>IF($B328="","",SUMIFS(Grids!$EE$113:$GQ$152,Grids!$C$113:$BO$152,"&gt;="&amp;$B328*1000000000,Grids!$C$113:$BO$152,"&lt;"&amp;($B328+1)*1000000000))</f>
        <v/>
      </c>
      <c r="E328" s="47">
        <f>IF($B328="","",SUMIFS(Grids!$EE$157:$GQ$216,Grids!$C$157:$BO$216,"&gt;="&amp;$B328*1000000000,Grids!$C$157:$BO$216,"&lt;"&amp;($B328+1)*1000000000))</f>
        <v/>
      </c>
      <c r="F328" s="48">
        <f>IF($B328="","",SUM($C$26:$C328))</f>
        <v/>
      </c>
      <c r="G328" s="48">
        <f>IF($B328="","",SUM($D$26:$D328))</f>
        <v/>
      </c>
      <c r="H328" s="48">
        <f>IF($B328="","",SUM($E$26:$E328))</f>
        <v/>
      </c>
    </row>
    <row r="329">
      <c r="B329" s="46">
        <f>IF(DATE(Summary!$C$12,1,1)+303&gt;DATE(Summary!$C$12,12,31),"",DATE(Summary!$C$12,1,1)+303)</f>
        <v/>
      </c>
      <c r="C329" s="47">
        <f>IF($B329="","",SUMIFS(Grids!$EE$9:$GQ$108,Grids!$C$9:$BO$108,"&gt;="&amp;$B329*1000000000,Grids!$C$9:$BO$108,"&lt;"&amp;($B329+1)*1000000000))</f>
        <v/>
      </c>
      <c r="D329" s="47">
        <f>IF($B329="","",SUMIFS(Grids!$EE$113:$GQ$152,Grids!$C$113:$BO$152,"&gt;="&amp;$B329*1000000000,Grids!$C$113:$BO$152,"&lt;"&amp;($B329+1)*1000000000))</f>
        <v/>
      </c>
      <c r="E329" s="47">
        <f>IF($B329="","",SUMIFS(Grids!$EE$157:$GQ$216,Grids!$C$157:$BO$216,"&gt;="&amp;$B329*1000000000,Grids!$C$157:$BO$216,"&lt;"&amp;($B329+1)*1000000000))</f>
        <v/>
      </c>
      <c r="F329" s="48">
        <f>IF($B329="","",SUM($C$26:$C329))</f>
        <v/>
      </c>
      <c r="G329" s="48">
        <f>IF($B329="","",SUM($D$26:$D329))</f>
        <v/>
      </c>
      <c r="H329" s="48">
        <f>IF($B329="","",SUM($E$26:$E329))</f>
        <v/>
      </c>
    </row>
    <row r="330">
      <c r="B330" s="46">
        <f>IF(DATE(Summary!$C$12,1,1)+304&gt;DATE(Summary!$C$12,12,31),"",DATE(Summary!$C$12,1,1)+304)</f>
        <v/>
      </c>
      <c r="C330" s="47">
        <f>IF($B330="","",SUMIFS(Grids!$EE$9:$GQ$108,Grids!$C$9:$BO$108,"&gt;="&amp;$B330*1000000000,Grids!$C$9:$BO$108,"&lt;"&amp;($B330+1)*1000000000))</f>
        <v/>
      </c>
      <c r="D330" s="47">
        <f>IF($B330="","",SUMIFS(Grids!$EE$113:$GQ$152,Grids!$C$113:$BO$152,"&gt;="&amp;$B330*1000000000,Grids!$C$113:$BO$152,"&lt;"&amp;($B330+1)*1000000000))</f>
        <v/>
      </c>
      <c r="E330" s="47">
        <f>IF($B330="","",SUMIFS(Grids!$EE$157:$GQ$216,Grids!$C$157:$BO$216,"&gt;="&amp;$B330*1000000000,Grids!$C$157:$BO$216,"&lt;"&amp;($B330+1)*1000000000))</f>
        <v/>
      </c>
      <c r="F330" s="48">
        <f>IF($B330="","",SUM($C$26:$C330))</f>
        <v/>
      </c>
      <c r="G330" s="48">
        <f>IF($B330="","",SUM($D$26:$D330))</f>
        <v/>
      </c>
      <c r="H330" s="48">
        <f>IF($B330="","",SUM($E$26:$E330))</f>
        <v/>
      </c>
    </row>
    <row r="331">
      <c r="B331" s="46">
        <f>IF(DATE(Summary!$C$12,1,1)+305&gt;DATE(Summary!$C$12,12,31),"",DATE(Summary!$C$12,1,1)+305)</f>
        <v/>
      </c>
      <c r="C331" s="47">
        <f>IF($B331="","",SUMIFS(Grids!$EE$9:$GQ$108,Grids!$C$9:$BO$108,"&gt;="&amp;$B331*1000000000,Grids!$C$9:$BO$108,"&lt;"&amp;($B331+1)*1000000000))</f>
        <v/>
      </c>
      <c r="D331" s="47">
        <f>IF($B331="","",SUMIFS(Grids!$EE$113:$GQ$152,Grids!$C$113:$BO$152,"&gt;="&amp;$B331*1000000000,Grids!$C$113:$BO$152,"&lt;"&amp;($B331+1)*1000000000))</f>
        <v/>
      </c>
      <c r="E331" s="47">
        <f>IF($B331="","",SUMIFS(Grids!$EE$157:$GQ$216,Grids!$C$157:$BO$216,"&gt;="&amp;$B331*1000000000,Grids!$C$157:$BO$216,"&lt;"&amp;($B331+1)*1000000000))</f>
        <v/>
      </c>
      <c r="F331" s="48">
        <f>IF($B331="","",SUM($C$26:$C331))</f>
        <v/>
      </c>
      <c r="G331" s="48">
        <f>IF($B331="","",SUM($D$26:$D331))</f>
        <v/>
      </c>
      <c r="H331" s="48">
        <f>IF($B331="","",SUM($E$26:$E331))</f>
        <v/>
      </c>
    </row>
    <row r="332">
      <c r="B332" s="46">
        <f>IF(DATE(Summary!$C$12,1,1)+306&gt;DATE(Summary!$C$12,12,31),"",DATE(Summary!$C$12,1,1)+306)</f>
        <v/>
      </c>
      <c r="C332" s="47">
        <f>IF($B332="","",SUMIFS(Grids!$EE$9:$GQ$108,Grids!$C$9:$BO$108,"&gt;="&amp;$B332*1000000000,Grids!$C$9:$BO$108,"&lt;"&amp;($B332+1)*1000000000))</f>
        <v/>
      </c>
      <c r="D332" s="47">
        <f>IF($B332="","",SUMIFS(Grids!$EE$113:$GQ$152,Grids!$C$113:$BO$152,"&gt;="&amp;$B332*1000000000,Grids!$C$113:$BO$152,"&lt;"&amp;($B332+1)*1000000000))</f>
        <v/>
      </c>
      <c r="E332" s="47">
        <f>IF($B332="","",SUMIFS(Grids!$EE$157:$GQ$216,Grids!$C$157:$BO$216,"&gt;="&amp;$B332*1000000000,Grids!$C$157:$BO$216,"&lt;"&amp;($B332+1)*1000000000))</f>
        <v/>
      </c>
      <c r="F332" s="48">
        <f>IF($B332="","",SUM($C$26:$C332))</f>
        <v/>
      </c>
      <c r="G332" s="48">
        <f>IF($B332="","",SUM($D$26:$D332))</f>
        <v/>
      </c>
      <c r="H332" s="48">
        <f>IF($B332="","",SUM($E$26:$E332))</f>
        <v/>
      </c>
    </row>
    <row r="333">
      <c r="B333" s="46">
        <f>IF(DATE(Summary!$C$12,1,1)+307&gt;DATE(Summary!$C$12,12,31),"",DATE(Summary!$C$12,1,1)+307)</f>
        <v/>
      </c>
      <c r="C333" s="47">
        <f>IF($B333="","",SUMIFS(Grids!$EE$9:$GQ$108,Grids!$C$9:$BO$108,"&gt;="&amp;$B333*1000000000,Grids!$C$9:$BO$108,"&lt;"&amp;($B333+1)*1000000000))</f>
        <v/>
      </c>
      <c r="D333" s="47">
        <f>IF($B333="","",SUMIFS(Grids!$EE$113:$GQ$152,Grids!$C$113:$BO$152,"&gt;="&amp;$B333*1000000000,Grids!$C$113:$BO$152,"&lt;"&amp;($B333+1)*1000000000))</f>
        <v/>
      </c>
      <c r="E333" s="47">
        <f>IF($B333="","",SUMIFS(Grids!$EE$157:$GQ$216,Grids!$C$157:$BO$216,"&gt;="&amp;$B333*1000000000,Grids!$C$157:$BO$216,"&lt;"&amp;($B333+1)*1000000000))</f>
        <v/>
      </c>
      <c r="F333" s="48">
        <f>IF($B333="","",SUM($C$26:$C333))</f>
        <v/>
      </c>
      <c r="G333" s="48">
        <f>IF($B333="","",SUM($D$26:$D333))</f>
        <v/>
      </c>
      <c r="H333" s="48">
        <f>IF($B333="","",SUM($E$26:$E333))</f>
        <v/>
      </c>
    </row>
    <row r="334">
      <c r="B334" s="46">
        <f>IF(DATE(Summary!$C$12,1,1)+308&gt;DATE(Summary!$C$12,12,31),"",DATE(Summary!$C$12,1,1)+308)</f>
        <v/>
      </c>
      <c r="C334" s="47">
        <f>IF($B334="","",SUMIFS(Grids!$EE$9:$GQ$108,Grids!$C$9:$BO$108,"&gt;="&amp;$B334*1000000000,Grids!$C$9:$BO$108,"&lt;"&amp;($B334+1)*1000000000))</f>
        <v/>
      </c>
      <c r="D334" s="47">
        <f>IF($B334="","",SUMIFS(Grids!$EE$113:$GQ$152,Grids!$C$113:$BO$152,"&gt;="&amp;$B334*1000000000,Grids!$C$113:$BO$152,"&lt;"&amp;($B334+1)*1000000000))</f>
        <v/>
      </c>
      <c r="E334" s="47">
        <f>IF($B334="","",SUMIFS(Grids!$EE$157:$GQ$216,Grids!$C$157:$BO$216,"&gt;="&amp;$B334*1000000000,Grids!$C$157:$BO$216,"&lt;"&amp;($B334+1)*1000000000))</f>
        <v/>
      </c>
      <c r="F334" s="48">
        <f>IF($B334="","",SUM($C$26:$C334))</f>
        <v/>
      </c>
      <c r="G334" s="48">
        <f>IF($B334="","",SUM($D$26:$D334))</f>
        <v/>
      </c>
      <c r="H334" s="48">
        <f>IF($B334="","",SUM($E$26:$E334))</f>
        <v/>
      </c>
    </row>
    <row r="335">
      <c r="B335" s="46">
        <f>IF(DATE(Summary!$C$12,1,1)+309&gt;DATE(Summary!$C$12,12,31),"",DATE(Summary!$C$12,1,1)+309)</f>
        <v/>
      </c>
      <c r="C335" s="47">
        <f>IF($B335="","",SUMIFS(Grids!$EE$9:$GQ$108,Grids!$C$9:$BO$108,"&gt;="&amp;$B335*1000000000,Grids!$C$9:$BO$108,"&lt;"&amp;($B335+1)*1000000000))</f>
        <v/>
      </c>
      <c r="D335" s="47">
        <f>IF($B335="","",SUMIFS(Grids!$EE$113:$GQ$152,Grids!$C$113:$BO$152,"&gt;="&amp;$B335*1000000000,Grids!$C$113:$BO$152,"&lt;"&amp;($B335+1)*1000000000))</f>
        <v/>
      </c>
      <c r="E335" s="47">
        <f>IF($B335="","",SUMIFS(Grids!$EE$157:$GQ$216,Grids!$C$157:$BO$216,"&gt;="&amp;$B335*1000000000,Grids!$C$157:$BO$216,"&lt;"&amp;($B335+1)*1000000000))</f>
        <v/>
      </c>
      <c r="F335" s="48">
        <f>IF($B335="","",SUM($C$26:$C335))</f>
        <v/>
      </c>
      <c r="G335" s="48">
        <f>IF($B335="","",SUM($D$26:$D335))</f>
        <v/>
      </c>
      <c r="H335" s="48">
        <f>IF($B335="","",SUM($E$26:$E335))</f>
        <v/>
      </c>
    </row>
    <row r="336">
      <c r="B336" s="46">
        <f>IF(DATE(Summary!$C$12,1,1)+310&gt;DATE(Summary!$C$12,12,31),"",DATE(Summary!$C$12,1,1)+310)</f>
        <v/>
      </c>
      <c r="C336" s="47">
        <f>IF($B336="","",SUMIFS(Grids!$EE$9:$GQ$108,Grids!$C$9:$BO$108,"&gt;="&amp;$B336*1000000000,Grids!$C$9:$BO$108,"&lt;"&amp;($B336+1)*1000000000))</f>
        <v/>
      </c>
      <c r="D336" s="47">
        <f>IF($B336="","",SUMIFS(Grids!$EE$113:$GQ$152,Grids!$C$113:$BO$152,"&gt;="&amp;$B336*1000000000,Grids!$C$113:$BO$152,"&lt;"&amp;($B336+1)*1000000000))</f>
        <v/>
      </c>
      <c r="E336" s="47">
        <f>IF($B336="","",SUMIFS(Grids!$EE$157:$GQ$216,Grids!$C$157:$BO$216,"&gt;="&amp;$B336*1000000000,Grids!$C$157:$BO$216,"&lt;"&amp;($B336+1)*1000000000))</f>
        <v/>
      </c>
      <c r="F336" s="48">
        <f>IF($B336="","",SUM($C$26:$C336))</f>
        <v/>
      </c>
      <c r="G336" s="48">
        <f>IF($B336="","",SUM($D$26:$D336))</f>
        <v/>
      </c>
      <c r="H336" s="48">
        <f>IF($B336="","",SUM($E$26:$E336))</f>
        <v/>
      </c>
    </row>
    <row r="337">
      <c r="B337" s="46">
        <f>IF(DATE(Summary!$C$12,1,1)+311&gt;DATE(Summary!$C$12,12,31),"",DATE(Summary!$C$12,1,1)+311)</f>
        <v/>
      </c>
      <c r="C337" s="47">
        <f>IF($B337="","",SUMIFS(Grids!$EE$9:$GQ$108,Grids!$C$9:$BO$108,"&gt;="&amp;$B337*1000000000,Grids!$C$9:$BO$108,"&lt;"&amp;($B337+1)*1000000000))</f>
        <v/>
      </c>
      <c r="D337" s="47">
        <f>IF($B337="","",SUMIFS(Grids!$EE$113:$GQ$152,Grids!$C$113:$BO$152,"&gt;="&amp;$B337*1000000000,Grids!$C$113:$BO$152,"&lt;"&amp;($B337+1)*1000000000))</f>
        <v/>
      </c>
      <c r="E337" s="47">
        <f>IF($B337="","",SUMIFS(Grids!$EE$157:$GQ$216,Grids!$C$157:$BO$216,"&gt;="&amp;$B337*1000000000,Grids!$C$157:$BO$216,"&lt;"&amp;($B337+1)*1000000000))</f>
        <v/>
      </c>
      <c r="F337" s="48">
        <f>IF($B337="","",SUM($C$26:$C337))</f>
        <v/>
      </c>
      <c r="G337" s="48">
        <f>IF($B337="","",SUM($D$26:$D337))</f>
        <v/>
      </c>
      <c r="H337" s="48">
        <f>IF($B337="","",SUM($E$26:$E337))</f>
        <v/>
      </c>
    </row>
    <row r="338">
      <c r="B338" s="46">
        <f>IF(DATE(Summary!$C$12,1,1)+312&gt;DATE(Summary!$C$12,12,31),"",DATE(Summary!$C$12,1,1)+312)</f>
        <v/>
      </c>
      <c r="C338" s="47">
        <f>IF($B338="","",SUMIFS(Grids!$EE$9:$GQ$108,Grids!$C$9:$BO$108,"&gt;="&amp;$B338*1000000000,Grids!$C$9:$BO$108,"&lt;"&amp;($B338+1)*1000000000))</f>
        <v/>
      </c>
      <c r="D338" s="47">
        <f>IF($B338="","",SUMIFS(Grids!$EE$113:$GQ$152,Grids!$C$113:$BO$152,"&gt;="&amp;$B338*1000000000,Grids!$C$113:$BO$152,"&lt;"&amp;($B338+1)*1000000000))</f>
        <v/>
      </c>
      <c r="E338" s="47">
        <f>IF($B338="","",SUMIFS(Grids!$EE$157:$GQ$216,Grids!$C$157:$BO$216,"&gt;="&amp;$B338*1000000000,Grids!$C$157:$BO$216,"&lt;"&amp;($B338+1)*1000000000))</f>
        <v/>
      </c>
      <c r="F338" s="48">
        <f>IF($B338="","",SUM($C$26:$C338))</f>
        <v/>
      </c>
      <c r="G338" s="48">
        <f>IF($B338="","",SUM($D$26:$D338))</f>
        <v/>
      </c>
      <c r="H338" s="48">
        <f>IF($B338="","",SUM($E$26:$E338))</f>
        <v/>
      </c>
    </row>
    <row r="339">
      <c r="B339" s="46">
        <f>IF(DATE(Summary!$C$12,1,1)+313&gt;DATE(Summary!$C$12,12,31),"",DATE(Summary!$C$12,1,1)+313)</f>
        <v/>
      </c>
      <c r="C339" s="47">
        <f>IF($B339="","",SUMIFS(Grids!$EE$9:$GQ$108,Grids!$C$9:$BO$108,"&gt;="&amp;$B339*1000000000,Grids!$C$9:$BO$108,"&lt;"&amp;($B339+1)*1000000000))</f>
        <v/>
      </c>
      <c r="D339" s="47">
        <f>IF($B339="","",SUMIFS(Grids!$EE$113:$GQ$152,Grids!$C$113:$BO$152,"&gt;="&amp;$B339*1000000000,Grids!$C$113:$BO$152,"&lt;"&amp;($B339+1)*1000000000))</f>
        <v/>
      </c>
      <c r="E339" s="47">
        <f>IF($B339="","",SUMIFS(Grids!$EE$157:$GQ$216,Grids!$C$157:$BO$216,"&gt;="&amp;$B339*1000000000,Grids!$C$157:$BO$216,"&lt;"&amp;($B339+1)*1000000000))</f>
        <v/>
      </c>
      <c r="F339" s="48">
        <f>IF($B339="","",SUM($C$26:$C339))</f>
        <v/>
      </c>
      <c r="G339" s="48">
        <f>IF($B339="","",SUM($D$26:$D339))</f>
        <v/>
      </c>
      <c r="H339" s="48">
        <f>IF($B339="","",SUM($E$26:$E339))</f>
        <v/>
      </c>
    </row>
    <row r="340">
      <c r="B340" s="46">
        <f>IF(DATE(Summary!$C$12,1,1)+314&gt;DATE(Summary!$C$12,12,31),"",DATE(Summary!$C$12,1,1)+314)</f>
        <v/>
      </c>
      <c r="C340" s="47">
        <f>IF($B340="","",SUMIFS(Grids!$EE$9:$GQ$108,Grids!$C$9:$BO$108,"&gt;="&amp;$B340*1000000000,Grids!$C$9:$BO$108,"&lt;"&amp;($B340+1)*1000000000))</f>
        <v/>
      </c>
      <c r="D340" s="47">
        <f>IF($B340="","",SUMIFS(Grids!$EE$113:$GQ$152,Grids!$C$113:$BO$152,"&gt;="&amp;$B340*1000000000,Grids!$C$113:$BO$152,"&lt;"&amp;($B340+1)*1000000000))</f>
        <v/>
      </c>
      <c r="E340" s="47">
        <f>IF($B340="","",SUMIFS(Grids!$EE$157:$GQ$216,Grids!$C$157:$BO$216,"&gt;="&amp;$B340*1000000000,Grids!$C$157:$BO$216,"&lt;"&amp;($B340+1)*1000000000))</f>
        <v/>
      </c>
      <c r="F340" s="48">
        <f>IF($B340="","",SUM($C$26:$C340))</f>
        <v/>
      </c>
      <c r="G340" s="48">
        <f>IF($B340="","",SUM($D$26:$D340))</f>
        <v/>
      </c>
      <c r="H340" s="48">
        <f>IF($B340="","",SUM($E$26:$E340))</f>
        <v/>
      </c>
    </row>
    <row r="341">
      <c r="B341" s="46">
        <f>IF(DATE(Summary!$C$12,1,1)+315&gt;DATE(Summary!$C$12,12,31),"",DATE(Summary!$C$12,1,1)+315)</f>
        <v/>
      </c>
      <c r="C341" s="47">
        <f>IF($B341="","",SUMIFS(Grids!$EE$9:$GQ$108,Grids!$C$9:$BO$108,"&gt;="&amp;$B341*1000000000,Grids!$C$9:$BO$108,"&lt;"&amp;($B341+1)*1000000000))</f>
        <v/>
      </c>
      <c r="D341" s="47">
        <f>IF($B341="","",SUMIFS(Grids!$EE$113:$GQ$152,Grids!$C$113:$BO$152,"&gt;="&amp;$B341*1000000000,Grids!$C$113:$BO$152,"&lt;"&amp;($B341+1)*1000000000))</f>
        <v/>
      </c>
      <c r="E341" s="47">
        <f>IF($B341="","",SUMIFS(Grids!$EE$157:$GQ$216,Grids!$C$157:$BO$216,"&gt;="&amp;$B341*1000000000,Grids!$C$157:$BO$216,"&lt;"&amp;($B341+1)*1000000000))</f>
        <v/>
      </c>
      <c r="F341" s="48">
        <f>IF($B341="","",SUM($C$26:$C341))</f>
        <v/>
      </c>
      <c r="G341" s="48">
        <f>IF($B341="","",SUM($D$26:$D341))</f>
        <v/>
      </c>
      <c r="H341" s="48">
        <f>IF($B341="","",SUM($E$26:$E341))</f>
        <v/>
      </c>
    </row>
    <row r="342">
      <c r="B342" s="46">
        <f>IF(DATE(Summary!$C$12,1,1)+316&gt;DATE(Summary!$C$12,12,31),"",DATE(Summary!$C$12,1,1)+316)</f>
        <v/>
      </c>
      <c r="C342" s="47">
        <f>IF($B342="","",SUMIFS(Grids!$EE$9:$GQ$108,Grids!$C$9:$BO$108,"&gt;="&amp;$B342*1000000000,Grids!$C$9:$BO$108,"&lt;"&amp;($B342+1)*1000000000))</f>
        <v/>
      </c>
      <c r="D342" s="47">
        <f>IF($B342="","",SUMIFS(Grids!$EE$113:$GQ$152,Grids!$C$113:$BO$152,"&gt;="&amp;$B342*1000000000,Grids!$C$113:$BO$152,"&lt;"&amp;($B342+1)*1000000000))</f>
        <v/>
      </c>
      <c r="E342" s="47">
        <f>IF($B342="","",SUMIFS(Grids!$EE$157:$GQ$216,Grids!$C$157:$BO$216,"&gt;="&amp;$B342*1000000000,Grids!$C$157:$BO$216,"&lt;"&amp;($B342+1)*1000000000))</f>
        <v/>
      </c>
      <c r="F342" s="48">
        <f>IF($B342="","",SUM($C$26:$C342))</f>
        <v/>
      </c>
      <c r="G342" s="48">
        <f>IF($B342="","",SUM($D$26:$D342))</f>
        <v/>
      </c>
      <c r="H342" s="48">
        <f>IF($B342="","",SUM($E$26:$E342))</f>
        <v/>
      </c>
    </row>
    <row r="343">
      <c r="B343" s="46">
        <f>IF(DATE(Summary!$C$12,1,1)+317&gt;DATE(Summary!$C$12,12,31),"",DATE(Summary!$C$12,1,1)+317)</f>
        <v/>
      </c>
      <c r="C343" s="47">
        <f>IF($B343="","",SUMIFS(Grids!$EE$9:$GQ$108,Grids!$C$9:$BO$108,"&gt;="&amp;$B343*1000000000,Grids!$C$9:$BO$108,"&lt;"&amp;($B343+1)*1000000000))</f>
        <v/>
      </c>
      <c r="D343" s="47">
        <f>IF($B343="","",SUMIFS(Grids!$EE$113:$GQ$152,Grids!$C$113:$BO$152,"&gt;="&amp;$B343*1000000000,Grids!$C$113:$BO$152,"&lt;"&amp;($B343+1)*1000000000))</f>
        <v/>
      </c>
      <c r="E343" s="47">
        <f>IF($B343="","",SUMIFS(Grids!$EE$157:$GQ$216,Grids!$C$157:$BO$216,"&gt;="&amp;$B343*1000000000,Grids!$C$157:$BO$216,"&lt;"&amp;($B343+1)*1000000000))</f>
        <v/>
      </c>
      <c r="F343" s="48">
        <f>IF($B343="","",SUM($C$26:$C343))</f>
        <v/>
      </c>
      <c r="G343" s="48">
        <f>IF($B343="","",SUM($D$26:$D343))</f>
        <v/>
      </c>
      <c r="H343" s="48">
        <f>IF($B343="","",SUM($E$26:$E343))</f>
        <v/>
      </c>
    </row>
    <row r="344">
      <c r="B344" s="46">
        <f>IF(DATE(Summary!$C$12,1,1)+318&gt;DATE(Summary!$C$12,12,31),"",DATE(Summary!$C$12,1,1)+318)</f>
        <v/>
      </c>
      <c r="C344" s="47">
        <f>IF($B344="","",SUMIFS(Grids!$EE$9:$GQ$108,Grids!$C$9:$BO$108,"&gt;="&amp;$B344*1000000000,Grids!$C$9:$BO$108,"&lt;"&amp;($B344+1)*1000000000))</f>
        <v/>
      </c>
      <c r="D344" s="47">
        <f>IF($B344="","",SUMIFS(Grids!$EE$113:$GQ$152,Grids!$C$113:$BO$152,"&gt;="&amp;$B344*1000000000,Grids!$C$113:$BO$152,"&lt;"&amp;($B344+1)*1000000000))</f>
        <v/>
      </c>
      <c r="E344" s="47">
        <f>IF($B344="","",SUMIFS(Grids!$EE$157:$GQ$216,Grids!$C$157:$BO$216,"&gt;="&amp;$B344*1000000000,Grids!$C$157:$BO$216,"&lt;"&amp;($B344+1)*1000000000))</f>
        <v/>
      </c>
      <c r="F344" s="48">
        <f>IF($B344="","",SUM($C$26:$C344))</f>
        <v/>
      </c>
      <c r="G344" s="48">
        <f>IF($B344="","",SUM($D$26:$D344))</f>
        <v/>
      </c>
      <c r="H344" s="48">
        <f>IF($B344="","",SUM($E$26:$E344))</f>
        <v/>
      </c>
    </row>
    <row r="345">
      <c r="B345" s="46">
        <f>IF(DATE(Summary!$C$12,1,1)+319&gt;DATE(Summary!$C$12,12,31),"",DATE(Summary!$C$12,1,1)+319)</f>
        <v/>
      </c>
      <c r="C345" s="47">
        <f>IF($B345="","",SUMIFS(Grids!$EE$9:$GQ$108,Grids!$C$9:$BO$108,"&gt;="&amp;$B345*1000000000,Grids!$C$9:$BO$108,"&lt;"&amp;($B345+1)*1000000000))</f>
        <v/>
      </c>
      <c r="D345" s="47">
        <f>IF($B345="","",SUMIFS(Grids!$EE$113:$GQ$152,Grids!$C$113:$BO$152,"&gt;="&amp;$B345*1000000000,Grids!$C$113:$BO$152,"&lt;"&amp;($B345+1)*1000000000))</f>
        <v/>
      </c>
      <c r="E345" s="47">
        <f>IF($B345="","",SUMIFS(Grids!$EE$157:$GQ$216,Grids!$C$157:$BO$216,"&gt;="&amp;$B345*1000000000,Grids!$C$157:$BO$216,"&lt;"&amp;($B345+1)*1000000000))</f>
        <v/>
      </c>
      <c r="F345" s="48">
        <f>IF($B345="","",SUM($C$26:$C345))</f>
        <v/>
      </c>
      <c r="G345" s="48">
        <f>IF($B345="","",SUM($D$26:$D345))</f>
        <v/>
      </c>
      <c r="H345" s="48">
        <f>IF($B345="","",SUM($E$26:$E345))</f>
        <v/>
      </c>
    </row>
    <row r="346">
      <c r="B346" s="46">
        <f>IF(DATE(Summary!$C$12,1,1)+320&gt;DATE(Summary!$C$12,12,31),"",DATE(Summary!$C$12,1,1)+320)</f>
        <v/>
      </c>
      <c r="C346" s="47">
        <f>IF($B346="","",SUMIFS(Grids!$EE$9:$GQ$108,Grids!$C$9:$BO$108,"&gt;="&amp;$B346*1000000000,Grids!$C$9:$BO$108,"&lt;"&amp;($B346+1)*1000000000))</f>
        <v/>
      </c>
      <c r="D346" s="47">
        <f>IF($B346="","",SUMIFS(Grids!$EE$113:$GQ$152,Grids!$C$113:$BO$152,"&gt;="&amp;$B346*1000000000,Grids!$C$113:$BO$152,"&lt;"&amp;($B346+1)*1000000000))</f>
        <v/>
      </c>
      <c r="E346" s="47">
        <f>IF($B346="","",SUMIFS(Grids!$EE$157:$GQ$216,Grids!$C$157:$BO$216,"&gt;="&amp;$B346*1000000000,Grids!$C$157:$BO$216,"&lt;"&amp;($B346+1)*1000000000))</f>
        <v/>
      </c>
      <c r="F346" s="48">
        <f>IF($B346="","",SUM($C$26:$C346))</f>
        <v/>
      </c>
      <c r="G346" s="48">
        <f>IF($B346="","",SUM($D$26:$D346))</f>
        <v/>
      </c>
      <c r="H346" s="48">
        <f>IF($B346="","",SUM($E$26:$E346))</f>
        <v/>
      </c>
    </row>
    <row r="347">
      <c r="B347" s="46">
        <f>IF(DATE(Summary!$C$12,1,1)+321&gt;DATE(Summary!$C$12,12,31),"",DATE(Summary!$C$12,1,1)+321)</f>
        <v/>
      </c>
      <c r="C347" s="47">
        <f>IF($B347="","",SUMIFS(Grids!$EE$9:$GQ$108,Grids!$C$9:$BO$108,"&gt;="&amp;$B347*1000000000,Grids!$C$9:$BO$108,"&lt;"&amp;($B347+1)*1000000000))</f>
        <v/>
      </c>
      <c r="D347" s="47">
        <f>IF($B347="","",SUMIFS(Grids!$EE$113:$GQ$152,Grids!$C$113:$BO$152,"&gt;="&amp;$B347*1000000000,Grids!$C$113:$BO$152,"&lt;"&amp;($B347+1)*1000000000))</f>
        <v/>
      </c>
      <c r="E347" s="47">
        <f>IF($B347="","",SUMIFS(Grids!$EE$157:$GQ$216,Grids!$C$157:$BO$216,"&gt;="&amp;$B347*1000000000,Grids!$C$157:$BO$216,"&lt;"&amp;($B347+1)*1000000000))</f>
        <v/>
      </c>
      <c r="F347" s="48">
        <f>IF($B347="","",SUM($C$26:$C347))</f>
        <v/>
      </c>
      <c r="G347" s="48">
        <f>IF($B347="","",SUM($D$26:$D347))</f>
        <v/>
      </c>
      <c r="H347" s="48">
        <f>IF($B347="","",SUM($E$26:$E347))</f>
        <v/>
      </c>
    </row>
    <row r="348">
      <c r="B348" s="46">
        <f>IF(DATE(Summary!$C$12,1,1)+322&gt;DATE(Summary!$C$12,12,31),"",DATE(Summary!$C$12,1,1)+322)</f>
        <v/>
      </c>
      <c r="C348" s="47">
        <f>IF($B348="","",SUMIFS(Grids!$EE$9:$GQ$108,Grids!$C$9:$BO$108,"&gt;="&amp;$B348*1000000000,Grids!$C$9:$BO$108,"&lt;"&amp;($B348+1)*1000000000))</f>
        <v/>
      </c>
      <c r="D348" s="47">
        <f>IF($B348="","",SUMIFS(Grids!$EE$113:$GQ$152,Grids!$C$113:$BO$152,"&gt;="&amp;$B348*1000000000,Grids!$C$113:$BO$152,"&lt;"&amp;($B348+1)*1000000000))</f>
        <v/>
      </c>
      <c r="E348" s="47">
        <f>IF($B348="","",SUMIFS(Grids!$EE$157:$GQ$216,Grids!$C$157:$BO$216,"&gt;="&amp;$B348*1000000000,Grids!$C$157:$BO$216,"&lt;"&amp;($B348+1)*1000000000))</f>
        <v/>
      </c>
      <c r="F348" s="48">
        <f>IF($B348="","",SUM($C$26:$C348))</f>
        <v/>
      </c>
      <c r="G348" s="48">
        <f>IF($B348="","",SUM($D$26:$D348))</f>
        <v/>
      </c>
      <c r="H348" s="48">
        <f>IF($B348="","",SUM($E$26:$E348))</f>
        <v/>
      </c>
    </row>
    <row r="349">
      <c r="B349" s="46">
        <f>IF(DATE(Summary!$C$12,1,1)+323&gt;DATE(Summary!$C$12,12,31),"",DATE(Summary!$C$12,1,1)+323)</f>
        <v/>
      </c>
      <c r="C349" s="47">
        <f>IF($B349="","",SUMIFS(Grids!$EE$9:$GQ$108,Grids!$C$9:$BO$108,"&gt;="&amp;$B349*1000000000,Grids!$C$9:$BO$108,"&lt;"&amp;($B349+1)*1000000000))</f>
        <v/>
      </c>
      <c r="D349" s="47">
        <f>IF($B349="","",SUMIFS(Grids!$EE$113:$GQ$152,Grids!$C$113:$BO$152,"&gt;="&amp;$B349*1000000000,Grids!$C$113:$BO$152,"&lt;"&amp;($B349+1)*1000000000))</f>
        <v/>
      </c>
      <c r="E349" s="47">
        <f>IF($B349="","",SUMIFS(Grids!$EE$157:$GQ$216,Grids!$C$157:$BO$216,"&gt;="&amp;$B349*1000000000,Grids!$C$157:$BO$216,"&lt;"&amp;($B349+1)*1000000000))</f>
        <v/>
      </c>
      <c r="F349" s="48">
        <f>IF($B349="","",SUM($C$26:$C349))</f>
        <v/>
      </c>
      <c r="G349" s="48">
        <f>IF($B349="","",SUM($D$26:$D349))</f>
        <v/>
      </c>
      <c r="H349" s="48">
        <f>IF($B349="","",SUM($E$26:$E349))</f>
        <v/>
      </c>
    </row>
    <row r="350">
      <c r="B350" s="46">
        <f>IF(DATE(Summary!$C$12,1,1)+324&gt;DATE(Summary!$C$12,12,31),"",DATE(Summary!$C$12,1,1)+324)</f>
        <v/>
      </c>
      <c r="C350" s="47">
        <f>IF($B350="","",SUMIFS(Grids!$EE$9:$GQ$108,Grids!$C$9:$BO$108,"&gt;="&amp;$B350*1000000000,Grids!$C$9:$BO$108,"&lt;"&amp;($B350+1)*1000000000))</f>
        <v/>
      </c>
      <c r="D350" s="47">
        <f>IF($B350="","",SUMIFS(Grids!$EE$113:$GQ$152,Grids!$C$113:$BO$152,"&gt;="&amp;$B350*1000000000,Grids!$C$113:$BO$152,"&lt;"&amp;($B350+1)*1000000000))</f>
        <v/>
      </c>
      <c r="E350" s="47">
        <f>IF($B350="","",SUMIFS(Grids!$EE$157:$GQ$216,Grids!$C$157:$BO$216,"&gt;="&amp;$B350*1000000000,Grids!$C$157:$BO$216,"&lt;"&amp;($B350+1)*1000000000))</f>
        <v/>
      </c>
      <c r="F350" s="48">
        <f>IF($B350="","",SUM($C$26:$C350))</f>
        <v/>
      </c>
      <c r="G350" s="48">
        <f>IF($B350="","",SUM($D$26:$D350))</f>
        <v/>
      </c>
      <c r="H350" s="48">
        <f>IF($B350="","",SUM($E$26:$E350))</f>
        <v/>
      </c>
    </row>
    <row r="351">
      <c r="B351" s="46">
        <f>IF(DATE(Summary!$C$12,1,1)+325&gt;DATE(Summary!$C$12,12,31),"",DATE(Summary!$C$12,1,1)+325)</f>
        <v/>
      </c>
      <c r="C351" s="47">
        <f>IF($B351="","",SUMIFS(Grids!$EE$9:$GQ$108,Grids!$C$9:$BO$108,"&gt;="&amp;$B351*1000000000,Grids!$C$9:$BO$108,"&lt;"&amp;($B351+1)*1000000000))</f>
        <v/>
      </c>
      <c r="D351" s="47">
        <f>IF($B351="","",SUMIFS(Grids!$EE$113:$GQ$152,Grids!$C$113:$BO$152,"&gt;="&amp;$B351*1000000000,Grids!$C$113:$BO$152,"&lt;"&amp;($B351+1)*1000000000))</f>
        <v/>
      </c>
      <c r="E351" s="47">
        <f>IF($B351="","",SUMIFS(Grids!$EE$157:$GQ$216,Grids!$C$157:$BO$216,"&gt;="&amp;$B351*1000000000,Grids!$C$157:$BO$216,"&lt;"&amp;($B351+1)*1000000000))</f>
        <v/>
      </c>
      <c r="F351" s="48">
        <f>IF($B351="","",SUM($C$26:$C351))</f>
        <v/>
      </c>
      <c r="G351" s="48">
        <f>IF($B351="","",SUM($D$26:$D351))</f>
        <v/>
      </c>
      <c r="H351" s="48">
        <f>IF($B351="","",SUM($E$26:$E351))</f>
        <v/>
      </c>
    </row>
    <row r="352">
      <c r="B352" s="46">
        <f>IF(DATE(Summary!$C$12,1,1)+326&gt;DATE(Summary!$C$12,12,31),"",DATE(Summary!$C$12,1,1)+326)</f>
        <v/>
      </c>
      <c r="C352" s="47">
        <f>IF($B352="","",SUMIFS(Grids!$EE$9:$GQ$108,Grids!$C$9:$BO$108,"&gt;="&amp;$B352*1000000000,Grids!$C$9:$BO$108,"&lt;"&amp;($B352+1)*1000000000))</f>
        <v/>
      </c>
      <c r="D352" s="47">
        <f>IF($B352="","",SUMIFS(Grids!$EE$113:$GQ$152,Grids!$C$113:$BO$152,"&gt;="&amp;$B352*1000000000,Grids!$C$113:$BO$152,"&lt;"&amp;($B352+1)*1000000000))</f>
        <v/>
      </c>
      <c r="E352" s="47">
        <f>IF($B352="","",SUMIFS(Grids!$EE$157:$GQ$216,Grids!$C$157:$BO$216,"&gt;="&amp;$B352*1000000000,Grids!$C$157:$BO$216,"&lt;"&amp;($B352+1)*1000000000))</f>
        <v/>
      </c>
      <c r="F352" s="48">
        <f>IF($B352="","",SUM($C$26:$C352))</f>
        <v/>
      </c>
      <c r="G352" s="48">
        <f>IF($B352="","",SUM($D$26:$D352))</f>
        <v/>
      </c>
      <c r="H352" s="48">
        <f>IF($B352="","",SUM($E$26:$E352))</f>
        <v/>
      </c>
    </row>
    <row r="353">
      <c r="B353" s="46">
        <f>IF(DATE(Summary!$C$12,1,1)+327&gt;DATE(Summary!$C$12,12,31),"",DATE(Summary!$C$12,1,1)+327)</f>
        <v/>
      </c>
      <c r="C353" s="47">
        <f>IF($B353="","",SUMIFS(Grids!$EE$9:$GQ$108,Grids!$C$9:$BO$108,"&gt;="&amp;$B353*1000000000,Grids!$C$9:$BO$108,"&lt;"&amp;($B353+1)*1000000000))</f>
        <v/>
      </c>
      <c r="D353" s="47">
        <f>IF($B353="","",SUMIFS(Grids!$EE$113:$GQ$152,Grids!$C$113:$BO$152,"&gt;="&amp;$B353*1000000000,Grids!$C$113:$BO$152,"&lt;"&amp;($B353+1)*1000000000))</f>
        <v/>
      </c>
      <c r="E353" s="47">
        <f>IF($B353="","",SUMIFS(Grids!$EE$157:$GQ$216,Grids!$C$157:$BO$216,"&gt;="&amp;$B353*1000000000,Grids!$C$157:$BO$216,"&lt;"&amp;($B353+1)*1000000000))</f>
        <v/>
      </c>
      <c r="F353" s="48">
        <f>IF($B353="","",SUM($C$26:$C353))</f>
        <v/>
      </c>
      <c r="G353" s="48">
        <f>IF($B353="","",SUM($D$26:$D353))</f>
        <v/>
      </c>
      <c r="H353" s="48">
        <f>IF($B353="","",SUM($E$26:$E353))</f>
        <v/>
      </c>
    </row>
    <row r="354">
      <c r="B354" s="46">
        <f>IF(DATE(Summary!$C$12,1,1)+328&gt;DATE(Summary!$C$12,12,31),"",DATE(Summary!$C$12,1,1)+328)</f>
        <v/>
      </c>
      <c r="C354" s="47">
        <f>IF($B354="","",SUMIFS(Grids!$EE$9:$GQ$108,Grids!$C$9:$BO$108,"&gt;="&amp;$B354*1000000000,Grids!$C$9:$BO$108,"&lt;"&amp;($B354+1)*1000000000))</f>
        <v/>
      </c>
      <c r="D354" s="47">
        <f>IF($B354="","",SUMIFS(Grids!$EE$113:$GQ$152,Grids!$C$113:$BO$152,"&gt;="&amp;$B354*1000000000,Grids!$C$113:$BO$152,"&lt;"&amp;($B354+1)*1000000000))</f>
        <v/>
      </c>
      <c r="E354" s="47">
        <f>IF($B354="","",SUMIFS(Grids!$EE$157:$GQ$216,Grids!$C$157:$BO$216,"&gt;="&amp;$B354*1000000000,Grids!$C$157:$BO$216,"&lt;"&amp;($B354+1)*1000000000))</f>
        <v/>
      </c>
      <c r="F354" s="48">
        <f>IF($B354="","",SUM($C$26:$C354))</f>
        <v/>
      </c>
      <c r="G354" s="48">
        <f>IF($B354="","",SUM($D$26:$D354))</f>
        <v/>
      </c>
      <c r="H354" s="48">
        <f>IF($B354="","",SUM($E$26:$E354))</f>
        <v/>
      </c>
    </row>
    <row r="355">
      <c r="B355" s="46">
        <f>IF(DATE(Summary!$C$12,1,1)+329&gt;DATE(Summary!$C$12,12,31),"",DATE(Summary!$C$12,1,1)+329)</f>
        <v/>
      </c>
      <c r="C355" s="47">
        <f>IF($B355="","",SUMIFS(Grids!$EE$9:$GQ$108,Grids!$C$9:$BO$108,"&gt;="&amp;$B355*1000000000,Grids!$C$9:$BO$108,"&lt;"&amp;($B355+1)*1000000000))</f>
        <v/>
      </c>
      <c r="D355" s="47">
        <f>IF($B355="","",SUMIFS(Grids!$EE$113:$GQ$152,Grids!$C$113:$BO$152,"&gt;="&amp;$B355*1000000000,Grids!$C$113:$BO$152,"&lt;"&amp;($B355+1)*1000000000))</f>
        <v/>
      </c>
      <c r="E355" s="47">
        <f>IF($B355="","",SUMIFS(Grids!$EE$157:$GQ$216,Grids!$C$157:$BO$216,"&gt;="&amp;$B355*1000000000,Grids!$C$157:$BO$216,"&lt;"&amp;($B355+1)*1000000000))</f>
        <v/>
      </c>
      <c r="F355" s="48">
        <f>IF($B355="","",SUM($C$26:$C355))</f>
        <v/>
      </c>
      <c r="G355" s="48">
        <f>IF($B355="","",SUM($D$26:$D355))</f>
        <v/>
      </c>
      <c r="H355" s="48">
        <f>IF($B355="","",SUM($E$26:$E355))</f>
        <v/>
      </c>
    </row>
    <row r="356">
      <c r="B356" s="46">
        <f>IF(DATE(Summary!$C$12,1,1)+330&gt;DATE(Summary!$C$12,12,31),"",DATE(Summary!$C$12,1,1)+330)</f>
        <v/>
      </c>
      <c r="C356" s="47">
        <f>IF($B356="","",SUMIFS(Grids!$EE$9:$GQ$108,Grids!$C$9:$BO$108,"&gt;="&amp;$B356*1000000000,Grids!$C$9:$BO$108,"&lt;"&amp;($B356+1)*1000000000))</f>
        <v/>
      </c>
      <c r="D356" s="47">
        <f>IF($B356="","",SUMIFS(Grids!$EE$113:$GQ$152,Grids!$C$113:$BO$152,"&gt;="&amp;$B356*1000000000,Grids!$C$113:$BO$152,"&lt;"&amp;($B356+1)*1000000000))</f>
        <v/>
      </c>
      <c r="E356" s="47">
        <f>IF($B356="","",SUMIFS(Grids!$EE$157:$GQ$216,Grids!$C$157:$BO$216,"&gt;="&amp;$B356*1000000000,Grids!$C$157:$BO$216,"&lt;"&amp;($B356+1)*1000000000))</f>
        <v/>
      </c>
      <c r="F356" s="48">
        <f>IF($B356="","",SUM($C$26:$C356))</f>
        <v/>
      </c>
      <c r="G356" s="48">
        <f>IF($B356="","",SUM($D$26:$D356))</f>
        <v/>
      </c>
      <c r="H356" s="48">
        <f>IF($B356="","",SUM($E$26:$E356))</f>
        <v/>
      </c>
    </row>
    <row r="357">
      <c r="B357" s="46">
        <f>IF(DATE(Summary!$C$12,1,1)+331&gt;DATE(Summary!$C$12,12,31),"",DATE(Summary!$C$12,1,1)+331)</f>
        <v/>
      </c>
      <c r="C357" s="47">
        <f>IF($B357="","",SUMIFS(Grids!$EE$9:$GQ$108,Grids!$C$9:$BO$108,"&gt;="&amp;$B357*1000000000,Grids!$C$9:$BO$108,"&lt;"&amp;($B357+1)*1000000000))</f>
        <v/>
      </c>
      <c r="D357" s="47">
        <f>IF($B357="","",SUMIFS(Grids!$EE$113:$GQ$152,Grids!$C$113:$BO$152,"&gt;="&amp;$B357*1000000000,Grids!$C$113:$BO$152,"&lt;"&amp;($B357+1)*1000000000))</f>
        <v/>
      </c>
      <c r="E357" s="47">
        <f>IF($B357="","",SUMIFS(Grids!$EE$157:$GQ$216,Grids!$C$157:$BO$216,"&gt;="&amp;$B357*1000000000,Grids!$C$157:$BO$216,"&lt;"&amp;($B357+1)*1000000000))</f>
        <v/>
      </c>
      <c r="F357" s="48">
        <f>IF($B357="","",SUM($C$26:$C357))</f>
        <v/>
      </c>
      <c r="G357" s="48">
        <f>IF($B357="","",SUM($D$26:$D357))</f>
        <v/>
      </c>
      <c r="H357" s="48">
        <f>IF($B357="","",SUM($E$26:$E357))</f>
        <v/>
      </c>
    </row>
    <row r="358">
      <c r="B358" s="46">
        <f>IF(DATE(Summary!$C$12,1,1)+332&gt;DATE(Summary!$C$12,12,31),"",DATE(Summary!$C$12,1,1)+332)</f>
        <v/>
      </c>
      <c r="C358" s="47">
        <f>IF($B358="","",SUMIFS(Grids!$EE$9:$GQ$108,Grids!$C$9:$BO$108,"&gt;="&amp;$B358*1000000000,Grids!$C$9:$BO$108,"&lt;"&amp;($B358+1)*1000000000))</f>
        <v/>
      </c>
      <c r="D358" s="47">
        <f>IF($B358="","",SUMIFS(Grids!$EE$113:$GQ$152,Grids!$C$113:$BO$152,"&gt;="&amp;$B358*1000000000,Grids!$C$113:$BO$152,"&lt;"&amp;($B358+1)*1000000000))</f>
        <v/>
      </c>
      <c r="E358" s="47">
        <f>IF($B358="","",SUMIFS(Grids!$EE$157:$GQ$216,Grids!$C$157:$BO$216,"&gt;="&amp;$B358*1000000000,Grids!$C$157:$BO$216,"&lt;"&amp;($B358+1)*1000000000))</f>
        <v/>
      </c>
      <c r="F358" s="48">
        <f>IF($B358="","",SUM($C$26:$C358))</f>
        <v/>
      </c>
      <c r="G358" s="48">
        <f>IF($B358="","",SUM($D$26:$D358))</f>
        <v/>
      </c>
      <c r="H358" s="48">
        <f>IF($B358="","",SUM($E$26:$E358))</f>
        <v/>
      </c>
    </row>
    <row r="359">
      <c r="B359" s="46">
        <f>IF(DATE(Summary!$C$12,1,1)+333&gt;DATE(Summary!$C$12,12,31),"",DATE(Summary!$C$12,1,1)+333)</f>
        <v/>
      </c>
      <c r="C359" s="47">
        <f>IF($B359="","",SUMIFS(Grids!$EE$9:$GQ$108,Grids!$C$9:$BO$108,"&gt;="&amp;$B359*1000000000,Grids!$C$9:$BO$108,"&lt;"&amp;($B359+1)*1000000000))</f>
        <v/>
      </c>
      <c r="D359" s="47">
        <f>IF($B359="","",SUMIFS(Grids!$EE$113:$GQ$152,Grids!$C$113:$BO$152,"&gt;="&amp;$B359*1000000000,Grids!$C$113:$BO$152,"&lt;"&amp;($B359+1)*1000000000))</f>
        <v/>
      </c>
      <c r="E359" s="47">
        <f>IF($B359="","",SUMIFS(Grids!$EE$157:$GQ$216,Grids!$C$157:$BO$216,"&gt;="&amp;$B359*1000000000,Grids!$C$157:$BO$216,"&lt;"&amp;($B359+1)*1000000000))</f>
        <v/>
      </c>
      <c r="F359" s="48">
        <f>IF($B359="","",SUM($C$26:$C359))</f>
        <v/>
      </c>
      <c r="G359" s="48">
        <f>IF($B359="","",SUM($D$26:$D359))</f>
        <v/>
      </c>
      <c r="H359" s="48">
        <f>IF($B359="","",SUM($E$26:$E359))</f>
        <v/>
      </c>
    </row>
    <row r="360">
      <c r="B360" s="46">
        <f>IF(DATE(Summary!$C$12,1,1)+334&gt;DATE(Summary!$C$12,12,31),"",DATE(Summary!$C$12,1,1)+334)</f>
        <v/>
      </c>
      <c r="C360" s="47">
        <f>IF($B360="","",SUMIFS(Grids!$EE$9:$GQ$108,Grids!$C$9:$BO$108,"&gt;="&amp;$B360*1000000000,Grids!$C$9:$BO$108,"&lt;"&amp;($B360+1)*1000000000))</f>
        <v/>
      </c>
      <c r="D360" s="47">
        <f>IF($B360="","",SUMIFS(Grids!$EE$113:$GQ$152,Grids!$C$113:$BO$152,"&gt;="&amp;$B360*1000000000,Grids!$C$113:$BO$152,"&lt;"&amp;($B360+1)*1000000000))</f>
        <v/>
      </c>
      <c r="E360" s="47">
        <f>IF($B360="","",SUMIFS(Grids!$EE$157:$GQ$216,Grids!$C$157:$BO$216,"&gt;="&amp;$B360*1000000000,Grids!$C$157:$BO$216,"&lt;"&amp;($B360+1)*1000000000))</f>
        <v/>
      </c>
      <c r="F360" s="48">
        <f>IF($B360="","",SUM($C$26:$C360))</f>
        <v/>
      </c>
      <c r="G360" s="48">
        <f>IF($B360="","",SUM($D$26:$D360))</f>
        <v/>
      </c>
      <c r="H360" s="48">
        <f>IF($B360="","",SUM($E$26:$E360))</f>
        <v/>
      </c>
    </row>
    <row r="361">
      <c r="B361" s="46">
        <f>IF(DATE(Summary!$C$12,1,1)+335&gt;DATE(Summary!$C$12,12,31),"",DATE(Summary!$C$12,1,1)+335)</f>
        <v/>
      </c>
      <c r="C361" s="47">
        <f>IF($B361="","",SUMIFS(Grids!$EE$9:$GQ$108,Grids!$C$9:$BO$108,"&gt;="&amp;$B361*1000000000,Grids!$C$9:$BO$108,"&lt;"&amp;($B361+1)*1000000000))</f>
        <v/>
      </c>
      <c r="D361" s="47">
        <f>IF($B361="","",SUMIFS(Grids!$EE$113:$GQ$152,Grids!$C$113:$BO$152,"&gt;="&amp;$B361*1000000000,Grids!$C$113:$BO$152,"&lt;"&amp;($B361+1)*1000000000))</f>
        <v/>
      </c>
      <c r="E361" s="47">
        <f>IF($B361="","",SUMIFS(Grids!$EE$157:$GQ$216,Grids!$C$157:$BO$216,"&gt;="&amp;$B361*1000000000,Grids!$C$157:$BO$216,"&lt;"&amp;($B361+1)*1000000000))</f>
        <v/>
      </c>
      <c r="F361" s="48">
        <f>IF($B361="","",SUM($C$26:$C361))</f>
        <v/>
      </c>
      <c r="G361" s="48">
        <f>IF($B361="","",SUM($D$26:$D361))</f>
        <v/>
      </c>
      <c r="H361" s="48">
        <f>IF($B361="","",SUM($E$26:$E361))</f>
        <v/>
      </c>
    </row>
    <row r="362">
      <c r="B362" s="46">
        <f>IF(DATE(Summary!$C$12,1,1)+336&gt;DATE(Summary!$C$12,12,31),"",DATE(Summary!$C$12,1,1)+336)</f>
        <v/>
      </c>
      <c r="C362" s="47">
        <f>IF($B362="","",SUMIFS(Grids!$EE$9:$GQ$108,Grids!$C$9:$BO$108,"&gt;="&amp;$B362*1000000000,Grids!$C$9:$BO$108,"&lt;"&amp;($B362+1)*1000000000))</f>
        <v/>
      </c>
      <c r="D362" s="47">
        <f>IF($B362="","",SUMIFS(Grids!$EE$113:$GQ$152,Grids!$C$113:$BO$152,"&gt;="&amp;$B362*1000000000,Grids!$C$113:$BO$152,"&lt;"&amp;($B362+1)*1000000000))</f>
        <v/>
      </c>
      <c r="E362" s="47">
        <f>IF($B362="","",SUMIFS(Grids!$EE$157:$GQ$216,Grids!$C$157:$BO$216,"&gt;="&amp;$B362*1000000000,Grids!$C$157:$BO$216,"&lt;"&amp;($B362+1)*1000000000))</f>
        <v/>
      </c>
      <c r="F362" s="48">
        <f>IF($B362="","",SUM($C$26:$C362))</f>
        <v/>
      </c>
      <c r="G362" s="48">
        <f>IF($B362="","",SUM($D$26:$D362))</f>
        <v/>
      </c>
      <c r="H362" s="48">
        <f>IF($B362="","",SUM($E$26:$E362))</f>
        <v/>
      </c>
    </row>
    <row r="363">
      <c r="B363" s="46">
        <f>IF(DATE(Summary!$C$12,1,1)+337&gt;DATE(Summary!$C$12,12,31),"",DATE(Summary!$C$12,1,1)+337)</f>
        <v/>
      </c>
      <c r="C363" s="47">
        <f>IF($B363="","",SUMIFS(Grids!$EE$9:$GQ$108,Grids!$C$9:$BO$108,"&gt;="&amp;$B363*1000000000,Grids!$C$9:$BO$108,"&lt;"&amp;($B363+1)*1000000000))</f>
        <v/>
      </c>
      <c r="D363" s="47">
        <f>IF($B363="","",SUMIFS(Grids!$EE$113:$GQ$152,Grids!$C$113:$BO$152,"&gt;="&amp;$B363*1000000000,Grids!$C$113:$BO$152,"&lt;"&amp;($B363+1)*1000000000))</f>
        <v/>
      </c>
      <c r="E363" s="47">
        <f>IF($B363="","",SUMIFS(Grids!$EE$157:$GQ$216,Grids!$C$157:$BO$216,"&gt;="&amp;$B363*1000000000,Grids!$C$157:$BO$216,"&lt;"&amp;($B363+1)*1000000000))</f>
        <v/>
      </c>
      <c r="F363" s="48">
        <f>IF($B363="","",SUM($C$26:$C363))</f>
        <v/>
      </c>
      <c r="G363" s="48">
        <f>IF($B363="","",SUM($D$26:$D363))</f>
        <v/>
      </c>
      <c r="H363" s="48">
        <f>IF($B363="","",SUM($E$26:$E363))</f>
        <v/>
      </c>
    </row>
    <row r="364">
      <c r="B364" s="46">
        <f>IF(DATE(Summary!$C$12,1,1)+338&gt;DATE(Summary!$C$12,12,31),"",DATE(Summary!$C$12,1,1)+338)</f>
        <v/>
      </c>
      <c r="C364" s="47">
        <f>IF($B364="","",SUMIFS(Grids!$EE$9:$GQ$108,Grids!$C$9:$BO$108,"&gt;="&amp;$B364*1000000000,Grids!$C$9:$BO$108,"&lt;"&amp;($B364+1)*1000000000))</f>
        <v/>
      </c>
      <c r="D364" s="47">
        <f>IF($B364="","",SUMIFS(Grids!$EE$113:$GQ$152,Grids!$C$113:$BO$152,"&gt;="&amp;$B364*1000000000,Grids!$C$113:$BO$152,"&lt;"&amp;($B364+1)*1000000000))</f>
        <v/>
      </c>
      <c r="E364" s="47">
        <f>IF($B364="","",SUMIFS(Grids!$EE$157:$GQ$216,Grids!$C$157:$BO$216,"&gt;="&amp;$B364*1000000000,Grids!$C$157:$BO$216,"&lt;"&amp;($B364+1)*1000000000))</f>
        <v/>
      </c>
      <c r="F364" s="48">
        <f>IF($B364="","",SUM($C$26:$C364))</f>
        <v/>
      </c>
      <c r="G364" s="48">
        <f>IF($B364="","",SUM($D$26:$D364))</f>
        <v/>
      </c>
      <c r="H364" s="48">
        <f>IF($B364="","",SUM($E$26:$E364))</f>
        <v/>
      </c>
    </row>
    <row r="365">
      <c r="B365" s="46">
        <f>IF(DATE(Summary!$C$12,1,1)+339&gt;DATE(Summary!$C$12,12,31),"",DATE(Summary!$C$12,1,1)+339)</f>
        <v/>
      </c>
      <c r="C365" s="47">
        <f>IF($B365="","",SUMIFS(Grids!$EE$9:$GQ$108,Grids!$C$9:$BO$108,"&gt;="&amp;$B365*1000000000,Grids!$C$9:$BO$108,"&lt;"&amp;($B365+1)*1000000000))</f>
        <v/>
      </c>
      <c r="D365" s="47">
        <f>IF($B365="","",SUMIFS(Grids!$EE$113:$GQ$152,Grids!$C$113:$BO$152,"&gt;="&amp;$B365*1000000000,Grids!$C$113:$BO$152,"&lt;"&amp;($B365+1)*1000000000))</f>
        <v/>
      </c>
      <c r="E365" s="47">
        <f>IF($B365="","",SUMIFS(Grids!$EE$157:$GQ$216,Grids!$C$157:$BO$216,"&gt;="&amp;$B365*1000000000,Grids!$C$157:$BO$216,"&lt;"&amp;($B365+1)*1000000000))</f>
        <v/>
      </c>
      <c r="F365" s="48">
        <f>IF($B365="","",SUM($C$26:$C365))</f>
        <v/>
      </c>
      <c r="G365" s="48">
        <f>IF($B365="","",SUM($D$26:$D365))</f>
        <v/>
      </c>
      <c r="H365" s="48">
        <f>IF($B365="","",SUM($E$26:$E365))</f>
        <v/>
      </c>
    </row>
    <row r="366">
      <c r="B366" s="46">
        <f>IF(DATE(Summary!$C$12,1,1)+340&gt;DATE(Summary!$C$12,12,31),"",DATE(Summary!$C$12,1,1)+340)</f>
        <v/>
      </c>
      <c r="C366" s="47">
        <f>IF($B366="","",SUMIFS(Grids!$EE$9:$GQ$108,Grids!$C$9:$BO$108,"&gt;="&amp;$B366*1000000000,Grids!$C$9:$BO$108,"&lt;"&amp;($B366+1)*1000000000))</f>
        <v/>
      </c>
      <c r="D366" s="47">
        <f>IF($B366="","",SUMIFS(Grids!$EE$113:$GQ$152,Grids!$C$113:$BO$152,"&gt;="&amp;$B366*1000000000,Grids!$C$113:$BO$152,"&lt;"&amp;($B366+1)*1000000000))</f>
        <v/>
      </c>
      <c r="E366" s="47">
        <f>IF($B366="","",SUMIFS(Grids!$EE$157:$GQ$216,Grids!$C$157:$BO$216,"&gt;="&amp;$B366*1000000000,Grids!$C$157:$BO$216,"&lt;"&amp;($B366+1)*1000000000))</f>
        <v/>
      </c>
      <c r="F366" s="48">
        <f>IF($B366="","",SUM($C$26:$C366))</f>
        <v/>
      </c>
      <c r="G366" s="48">
        <f>IF($B366="","",SUM($D$26:$D366))</f>
        <v/>
      </c>
      <c r="H366" s="48">
        <f>IF($B366="","",SUM($E$26:$E366))</f>
        <v/>
      </c>
    </row>
    <row r="367">
      <c r="B367" s="46">
        <f>IF(DATE(Summary!$C$12,1,1)+341&gt;DATE(Summary!$C$12,12,31),"",DATE(Summary!$C$12,1,1)+341)</f>
        <v/>
      </c>
      <c r="C367" s="47">
        <f>IF($B367="","",SUMIFS(Grids!$EE$9:$GQ$108,Grids!$C$9:$BO$108,"&gt;="&amp;$B367*1000000000,Grids!$C$9:$BO$108,"&lt;"&amp;($B367+1)*1000000000))</f>
        <v/>
      </c>
      <c r="D367" s="47">
        <f>IF($B367="","",SUMIFS(Grids!$EE$113:$GQ$152,Grids!$C$113:$BO$152,"&gt;="&amp;$B367*1000000000,Grids!$C$113:$BO$152,"&lt;"&amp;($B367+1)*1000000000))</f>
        <v/>
      </c>
      <c r="E367" s="47">
        <f>IF($B367="","",SUMIFS(Grids!$EE$157:$GQ$216,Grids!$C$157:$BO$216,"&gt;="&amp;$B367*1000000000,Grids!$C$157:$BO$216,"&lt;"&amp;($B367+1)*1000000000))</f>
        <v/>
      </c>
      <c r="F367" s="48">
        <f>IF($B367="","",SUM($C$26:$C367))</f>
        <v/>
      </c>
      <c r="G367" s="48">
        <f>IF($B367="","",SUM($D$26:$D367))</f>
        <v/>
      </c>
      <c r="H367" s="48">
        <f>IF($B367="","",SUM($E$26:$E367))</f>
        <v/>
      </c>
    </row>
    <row r="368">
      <c r="B368" s="46">
        <f>IF(DATE(Summary!$C$12,1,1)+342&gt;DATE(Summary!$C$12,12,31),"",DATE(Summary!$C$12,1,1)+342)</f>
        <v/>
      </c>
      <c r="C368" s="47">
        <f>IF($B368="","",SUMIFS(Grids!$EE$9:$GQ$108,Grids!$C$9:$BO$108,"&gt;="&amp;$B368*1000000000,Grids!$C$9:$BO$108,"&lt;"&amp;($B368+1)*1000000000))</f>
        <v/>
      </c>
      <c r="D368" s="47">
        <f>IF($B368="","",SUMIFS(Grids!$EE$113:$GQ$152,Grids!$C$113:$BO$152,"&gt;="&amp;$B368*1000000000,Grids!$C$113:$BO$152,"&lt;"&amp;($B368+1)*1000000000))</f>
        <v/>
      </c>
      <c r="E368" s="47">
        <f>IF($B368="","",SUMIFS(Grids!$EE$157:$GQ$216,Grids!$C$157:$BO$216,"&gt;="&amp;$B368*1000000000,Grids!$C$157:$BO$216,"&lt;"&amp;($B368+1)*1000000000))</f>
        <v/>
      </c>
      <c r="F368" s="48">
        <f>IF($B368="","",SUM($C$26:$C368))</f>
        <v/>
      </c>
      <c r="G368" s="48">
        <f>IF($B368="","",SUM($D$26:$D368))</f>
        <v/>
      </c>
      <c r="H368" s="48">
        <f>IF($B368="","",SUM($E$26:$E368))</f>
        <v/>
      </c>
    </row>
    <row r="369">
      <c r="B369" s="46">
        <f>IF(DATE(Summary!$C$12,1,1)+343&gt;DATE(Summary!$C$12,12,31),"",DATE(Summary!$C$12,1,1)+343)</f>
        <v/>
      </c>
      <c r="C369" s="47">
        <f>IF($B369="","",SUMIFS(Grids!$EE$9:$GQ$108,Grids!$C$9:$BO$108,"&gt;="&amp;$B369*1000000000,Grids!$C$9:$BO$108,"&lt;"&amp;($B369+1)*1000000000))</f>
        <v/>
      </c>
      <c r="D369" s="47">
        <f>IF($B369="","",SUMIFS(Grids!$EE$113:$GQ$152,Grids!$C$113:$BO$152,"&gt;="&amp;$B369*1000000000,Grids!$C$113:$BO$152,"&lt;"&amp;($B369+1)*1000000000))</f>
        <v/>
      </c>
      <c r="E369" s="47">
        <f>IF($B369="","",SUMIFS(Grids!$EE$157:$GQ$216,Grids!$C$157:$BO$216,"&gt;="&amp;$B369*1000000000,Grids!$C$157:$BO$216,"&lt;"&amp;($B369+1)*1000000000))</f>
        <v/>
      </c>
      <c r="F369" s="48">
        <f>IF($B369="","",SUM($C$26:$C369))</f>
        <v/>
      </c>
      <c r="G369" s="48">
        <f>IF($B369="","",SUM($D$26:$D369))</f>
        <v/>
      </c>
      <c r="H369" s="48">
        <f>IF($B369="","",SUM($E$26:$E369))</f>
        <v/>
      </c>
    </row>
    <row r="370">
      <c r="B370" s="46">
        <f>IF(DATE(Summary!$C$12,1,1)+344&gt;DATE(Summary!$C$12,12,31),"",DATE(Summary!$C$12,1,1)+344)</f>
        <v/>
      </c>
      <c r="C370" s="47">
        <f>IF($B370="","",SUMIFS(Grids!$EE$9:$GQ$108,Grids!$C$9:$BO$108,"&gt;="&amp;$B370*1000000000,Grids!$C$9:$BO$108,"&lt;"&amp;($B370+1)*1000000000))</f>
        <v/>
      </c>
      <c r="D370" s="47">
        <f>IF($B370="","",SUMIFS(Grids!$EE$113:$GQ$152,Grids!$C$113:$BO$152,"&gt;="&amp;$B370*1000000000,Grids!$C$113:$BO$152,"&lt;"&amp;($B370+1)*1000000000))</f>
        <v/>
      </c>
      <c r="E370" s="47">
        <f>IF($B370="","",SUMIFS(Grids!$EE$157:$GQ$216,Grids!$C$157:$BO$216,"&gt;="&amp;$B370*1000000000,Grids!$C$157:$BO$216,"&lt;"&amp;($B370+1)*1000000000))</f>
        <v/>
      </c>
      <c r="F370" s="48">
        <f>IF($B370="","",SUM($C$26:$C370))</f>
        <v/>
      </c>
      <c r="G370" s="48">
        <f>IF($B370="","",SUM($D$26:$D370))</f>
        <v/>
      </c>
      <c r="H370" s="48">
        <f>IF($B370="","",SUM($E$26:$E370))</f>
        <v/>
      </c>
    </row>
    <row r="371">
      <c r="B371" s="46">
        <f>IF(DATE(Summary!$C$12,1,1)+345&gt;DATE(Summary!$C$12,12,31),"",DATE(Summary!$C$12,1,1)+345)</f>
        <v/>
      </c>
      <c r="C371" s="47">
        <f>IF($B371="","",SUMIFS(Grids!$EE$9:$GQ$108,Grids!$C$9:$BO$108,"&gt;="&amp;$B371*1000000000,Grids!$C$9:$BO$108,"&lt;"&amp;($B371+1)*1000000000))</f>
        <v/>
      </c>
      <c r="D371" s="47">
        <f>IF($B371="","",SUMIFS(Grids!$EE$113:$GQ$152,Grids!$C$113:$BO$152,"&gt;="&amp;$B371*1000000000,Grids!$C$113:$BO$152,"&lt;"&amp;($B371+1)*1000000000))</f>
        <v/>
      </c>
      <c r="E371" s="47">
        <f>IF($B371="","",SUMIFS(Grids!$EE$157:$GQ$216,Grids!$C$157:$BO$216,"&gt;="&amp;$B371*1000000000,Grids!$C$157:$BO$216,"&lt;"&amp;($B371+1)*1000000000))</f>
        <v/>
      </c>
      <c r="F371" s="48">
        <f>IF($B371="","",SUM($C$26:$C371))</f>
        <v/>
      </c>
      <c r="G371" s="48">
        <f>IF($B371="","",SUM($D$26:$D371))</f>
        <v/>
      </c>
      <c r="H371" s="48">
        <f>IF($B371="","",SUM($E$26:$E371))</f>
        <v/>
      </c>
    </row>
    <row r="372">
      <c r="B372" s="46">
        <f>IF(DATE(Summary!$C$12,1,1)+346&gt;DATE(Summary!$C$12,12,31),"",DATE(Summary!$C$12,1,1)+346)</f>
        <v/>
      </c>
      <c r="C372" s="47">
        <f>IF($B372="","",SUMIFS(Grids!$EE$9:$GQ$108,Grids!$C$9:$BO$108,"&gt;="&amp;$B372*1000000000,Grids!$C$9:$BO$108,"&lt;"&amp;($B372+1)*1000000000))</f>
        <v/>
      </c>
      <c r="D372" s="47">
        <f>IF($B372="","",SUMIFS(Grids!$EE$113:$GQ$152,Grids!$C$113:$BO$152,"&gt;="&amp;$B372*1000000000,Grids!$C$113:$BO$152,"&lt;"&amp;($B372+1)*1000000000))</f>
        <v/>
      </c>
      <c r="E372" s="47">
        <f>IF($B372="","",SUMIFS(Grids!$EE$157:$GQ$216,Grids!$C$157:$BO$216,"&gt;="&amp;$B372*1000000000,Grids!$C$157:$BO$216,"&lt;"&amp;($B372+1)*1000000000))</f>
        <v/>
      </c>
      <c r="F372" s="48">
        <f>IF($B372="","",SUM($C$26:$C372))</f>
        <v/>
      </c>
      <c r="G372" s="48">
        <f>IF($B372="","",SUM($D$26:$D372))</f>
        <v/>
      </c>
      <c r="H372" s="48">
        <f>IF($B372="","",SUM($E$26:$E372))</f>
        <v/>
      </c>
    </row>
    <row r="373">
      <c r="B373" s="46">
        <f>IF(DATE(Summary!$C$12,1,1)+347&gt;DATE(Summary!$C$12,12,31),"",DATE(Summary!$C$12,1,1)+347)</f>
        <v/>
      </c>
      <c r="C373" s="47">
        <f>IF($B373="","",SUMIFS(Grids!$EE$9:$GQ$108,Grids!$C$9:$BO$108,"&gt;="&amp;$B373*1000000000,Grids!$C$9:$BO$108,"&lt;"&amp;($B373+1)*1000000000))</f>
        <v/>
      </c>
      <c r="D373" s="47">
        <f>IF($B373="","",SUMIFS(Grids!$EE$113:$GQ$152,Grids!$C$113:$BO$152,"&gt;="&amp;$B373*1000000000,Grids!$C$113:$BO$152,"&lt;"&amp;($B373+1)*1000000000))</f>
        <v/>
      </c>
      <c r="E373" s="47">
        <f>IF($B373="","",SUMIFS(Grids!$EE$157:$GQ$216,Grids!$C$157:$BO$216,"&gt;="&amp;$B373*1000000000,Grids!$C$157:$BO$216,"&lt;"&amp;($B373+1)*1000000000))</f>
        <v/>
      </c>
      <c r="F373" s="48">
        <f>IF($B373="","",SUM($C$26:$C373))</f>
        <v/>
      </c>
      <c r="G373" s="48">
        <f>IF($B373="","",SUM($D$26:$D373))</f>
        <v/>
      </c>
      <c r="H373" s="48">
        <f>IF($B373="","",SUM($E$26:$E373))</f>
        <v/>
      </c>
    </row>
    <row r="374">
      <c r="B374" s="46">
        <f>IF(DATE(Summary!$C$12,1,1)+348&gt;DATE(Summary!$C$12,12,31),"",DATE(Summary!$C$12,1,1)+348)</f>
        <v/>
      </c>
      <c r="C374" s="47">
        <f>IF($B374="","",SUMIFS(Grids!$EE$9:$GQ$108,Grids!$C$9:$BO$108,"&gt;="&amp;$B374*1000000000,Grids!$C$9:$BO$108,"&lt;"&amp;($B374+1)*1000000000))</f>
        <v/>
      </c>
      <c r="D374" s="47">
        <f>IF($B374="","",SUMIFS(Grids!$EE$113:$GQ$152,Grids!$C$113:$BO$152,"&gt;="&amp;$B374*1000000000,Grids!$C$113:$BO$152,"&lt;"&amp;($B374+1)*1000000000))</f>
        <v/>
      </c>
      <c r="E374" s="47">
        <f>IF($B374="","",SUMIFS(Grids!$EE$157:$GQ$216,Grids!$C$157:$BO$216,"&gt;="&amp;$B374*1000000000,Grids!$C$157:$BO$216,"&lt;"&amp;($B374+1)*1000000000))</f>
        <v/>
      </c>
      <c r="F374" s="48">
        <f>IF($B374="","",SUM($C$26:$C374))</f>
        <v/>
      </c>
      <c r="G374" s="48">
        <f>IF($B374="","",SUM($D$26:$D374))</f>
        <v/>
      </c>
      <c r="H374" s="48">
        <f>IF($B374="","",SUM($E$26:$E374))</f>
        <v/>
      </c>
    </row>
    <row r="375">
      <c r="B375" s="46">
        <f>IF(DATE(Summary!$C$12,1,1)+349&gt;DATE(Summary!$C$12,12,31),"",DATE(Summary!$C$12,1,1)+349)</f>
        <v/>
      </c>
      <c r="C375" s="47">
        <f>IF($B375="","",SUMIFS(Grids!$EE$9:$GQ$108,Grids!$C$9:$BO$108,"&gt;="&amp;$B375*1000000000,Grids!$C$9:$BO$108,"&lt;"&amp;($B375+1)*1000000000))</f>
        <v/>
      </c>
      <c r="D375" s="47">
        <f>IF($B375="","",SUMIFS(Grids!$EE$113:$GQ$152,Grids!$C$113:$BO$152,"&gt;="&amp;$B375*1000000000,Grids!$C$113:$BO$152,"&lt;"&amp;($B375+1)*1000000000))</f>
        <v/>
      </c>
      <c r="E375" s="47">
        <f>IF($B375="","",SUMIFS(Grids!$EE$157:$GQ$216,Grids!$C$157:$BO$216,"&gt;="&amp;$B375*1000000000,Grids!$C$157:$BO$216,"&lt;"&amp;($B375+1)*1000000000))</f>
        <v/>
      </c>
      <c r="F375" s="48">
        <f>IF($B375="","",SUM($C$26:$C375))</f>
        <v/>
      </c>
      <c r="G375" s="48">
        <f>IF($B375="","",SUM($D$26:$D375))</f>
        <v/>
      </c>
      <c r="H375" s="48">
        <f>IF($B375="","",SUM($E$26:$E375))</f>
        <v/>
      </c>
    </row>
    <row r="376">
      <c r="B376" s="46">
        <f>IF(DATE(Summary!$C$12,1,1)+350&gt;DATE(Summary!$C$12,12,31),"",DATE(Summary!$C$12,1,1)+350)</f>
        <v/>
      </c>
      <c r="C376" s="47">
        <f>IF($B376="","",SUMIFS(Grids!$EE$9:$GQ$108,Grids!$C$9:$BO$108,"&gt;="&amp;$B376*1000000000,Grids!$C$9:$BO$108,"&lt;"&amp;($B376+1)*1000000000))</f>
        <v/>
      </c>
      <c r="D376" s="47">
        <f>IF($B376="","",SUMIFS(Grids!$EE$113:$GQ$152,Grids!$C$113:$BO$152,"&gt;="&amp;$B376*1000000000,Grids!$C$113:$BO$152,"&lt;"&amp;($B376+1)*1000000000))</f>
        <v/>
      </c>
      <c r="E376" s="47">
        <f>IF($B376="","",SUMIFS(Grids!$EE$157:$GQ$216,Grids!$C$157:$BO$216,"&gt;="&amp;$B376*1000000000,Grids!$C$157:$BO$216,"&lt;"&amp;($B376+1)*1000000000))</f>
        <v/>
      </c>
      <c r="F376" s="48">
        <f>IF($B376="","",SUM($C$26:$C376))</f>
        <v/>
      </c>
      <c r="G376" s="48">
        <f>IF($B376="","",SUM($D$26:$D376))</f>
        <v/>
      </c>
      <c r="H376" s="48">
        <f>IF($B376="","",SUM($E$26:$E376))</f>
        <v/>
      </c>
    </row>
    <row r="377">
      <c r="B377" s="46">
        <f>IF(DATE(Summary!$C$12,1,1)+351&gt;DATE(Summary!$C$12,12,31),"",DATE(Summary!$C$12,1,1)+351)</f>
        <v/>
      </c>
      <c r="C377" s="47">
        <f>IF($B377="","",SUMIFS(Grids!$EE$9:$GQ$108,Grids!$C$9:$BO$108,"&gt;="&amp;$B377*1000000000,Grids!$C$9:$BO$108,"&lt;"&amp;($B377+1)*1000000000))</f>
        <v/>
      </c>
      <c r="D377" s="47">
        <f>IF($B377="","",SUMIFS(Grids!$EE$113:$GQ$152,Grids!$C$113:$BO$152,"&gt;="&amp;$B377*1000000000,Grids!$C$113:$BO$152,"&lt;"&amp;($B377+1)*1000000000))</f>
        <v/>
      </c>
      <c r="E377" s="47">
        <f>IF($B377="","",SUMIFS(Grids!$EE$157:$GQ$216,Grids!$C$157:$BO$216,"&gt;="&amp;$B377*1000000000,Grids!$C$157:$BO$216,"&lt;"&amp;($B377+1)*1000000000))</f>
        <v/>
      </c>
      <c r="F377" s="48">
        <f>IF($B377="","",SUM($C$26:$C377))</f>
        <v/>
      </c>
      <c r="G377" s="48">
        <f>IF($B377="","",SUM($D$26:$D377))</f>
        <v/>
      </c>
      <c r="H377" s="48">
        <f>IF($B377="","",SUM($E$26:$E377))</f>
        <v/>
      </c>
    </row>
    <row r="378">
      <c r="B378" s="46">
        <f>IF(DATE(Summary!$C$12,1,1)+352&gt;DATE(Summary!$C$12,12,31),"",DATE(Summary!$C$12,1,1)+352)</f>
        <v/>
      </c>
      <c r="C378" s="47">
        <f>IF($B378="","",SUMIFS(Grids!$EE$9:$GQ$108,Grids!$C$9:$BO$108,"&gt;="&amp;$B378*1000000000,Grids!$C$9:$BO$108,"&lt;"&amp;($B378+1)*1000000000))</f>
        <v/>
      </c>
      <c r="D378" s="47">
        <f>IF($B378="","",SUMIFS(Grids!$EE$113:$GQ$152,Grids!$C$113:$BO$152,"&gt;="&amp;$B378*1000000000,Grids!$C$113:$BO$152,"&lt;"&amp;($B378+1)*1000000000))</f>
        <v/>
      </c>
      <c r="E378" s="47">
        <f>IF($B378="","",SUMIFS(Grids!$EE$157:$GQ$216,Grids!$C$157:$BO$216,"&gt;="&amp;$B378*1000000000,Grids!$C$157:$BO$216,"&lt;"&amp;($B378+1)*1000000000))</f>
        <v/>
      </c>
      <c r="F378" s="48">
        <f>IF($B378="","",SUM($C$26:$C378))</f>
        <v/>
      </c>
      <c r="G378" s="48">
        <f>IF($B378="","",SUM($D$26:$D378))</f>
        <v/>
      </c>
      <c r="H378" s="48">
        <f>IF($B378="","",SUM($E$26:$E378))</f>
        <v/>
      </c>
    </row>
    <row r="379">
      <c r="B379" s="46">
        <f>IF(DATE(Summary!$C$12,1,1)+353&gt;DATE(Summary!$C$12,12,31),"",DATE(Summary!$C$12,1,1)+353)</f>
        <v/>
      </c>
      <c r="C379" s="47">
        <f>IF($B379="","",SUMIFS(Grids!$EE$9:$GQ$108,Grids!$C$9:$BO$108,"&gt;="&amp;$B379*1000000000,Grids!$C$9:$BO$108,"&lt;"&amp;($B379+1)*1000000000))</f>
        <v/>
      </c>
      <c r="D379" s="47">
        <f>IF($B379="","",SUMIFS(Grids!$EE$113:$GQ$152,Grids!$C$113:$BO$152,"&gt;="&amp;$B379*1000000000,Grids!$C$113:$BO$152,"&lt;"&amp;($B379+1)*1000000000))</f>
        <v/>
      </c>
      <c r="E379" s="47">
        <f>IF($B379="","",SUMIFS(Grids!$EE$157:$GQ$216,Grids!$C$157:$BO$216,"&gt;="&amp;$B379*1000000000,Grids!$C$157:$BO$216,"&lt;"&amp;($B379+1)*1000000000))</f>
        <v/>
      </c>
      <c r="F379" s="48">
        <f>IF($B379="","",SUM($C$26:$C379))</f>
        <v/>
      </c>
      <c r="G379" s="48">
        <f>IF($B379="","",SUM($D$26:$D379))</f>
        <v/>
      </c>
      <c r="H379" s="48">
        <f>IF($B379="","",SUM($E$26:$E379))</f>
        <v/>
      </c>
    </row>
    <row r="380">
      <c r="B380" s="46">
        <f>IF(DATE(Summary!$C$12,1,1)+354&gt;DATE(Summary!$C$12,12,31),"",DATE(Summary!$C$12,1,1)+354)</f>
        <v/>
      </c>
      <c r="C380" s="47">
        <f>IF($B380="","",SUMIFS(Grids!$EE$9:$GQ$108,Grids!$C$9:$BO$108,"&gt;="&amp;$B380*1000000000,Grids!$C$9:$BO$108,"&lt;"&amp;($B380+1)*1000000000))</f>
        <v/>
      </c>
      <c r="D380" s="47">
        <f>IF($B380="","",SUMIFS(Grids!$EE$113:$GQ$152,Grids!$C$113:$BO$152,"&gt;="&amp;$B380*1000000000,Grids!$C$113:$BO$152,"&lt;"&amp;($B380+1)*1000000000))</f>
        <v/>
      </c>
      <c r="E380" s="47">
        <f>IF($B380="","",SUMIFS(Grids!$EE$157:$GQ$216,Grids!$C$157:$BO$216,"&gt;="&amp;$B380*1000000000,Grids!$C$157:$BO$216,"&lt;"&amp;($B380+1)*1000000000))</f>
        <v/>
      </c>
      <c r="F380" s="48">
        <f>IF($B380="","",SUM($C$26:$C380))</f>
        <v/>
      </c>
      <c r="G380" s="48">
        <f>IF($B380="","",SUM($D$26:$D380))</f>
        <v/>
      </c>
      <c r="H380" s="48">
        <f>IF($B380="","",SUM($E$26:$E380))</f>
        <v/>
      </c>
    </row>
    <row r="381">
      <c r="B381" s="46">
        <f>IF(DATE(Summary!$C$12,1,1)+355&gt;DATE(Summary!$C$12,12,31),"",DATE(Summary!$C$12,1,1)+355)</f>
        <v/>
      </c>
      <c r="C381" s="47">
        <f>IF($B381="","",SUMIFS(Grids!$EE$9:$GQ$108,Grids!$C$9:$BO$108,"&gt;="&amp;$B381*1000000000,Grids!$C$9:$BO$108,"&lt;"&amp;($B381+1)*1000000000))</f>
        <v/>
      </c>
      <c r="D381" s="47">
        <f>IF($B381="","",SUMIFS(Grids!$EE$113:$GQ$152,Grids!$C$113:$BO$152,"&gt;="&amp;$B381*1000000000,Grids!$C$113:$BO$152,"&lt;"&amp;($B381+1)*1000000000))</f>
        <v/>
      </c>
      <c r="E381" s="47">
        <f>IF($B381="","",SUMIFS(Grids!$EE$157:$GQ$216,Grids!$C$157:$BO$216,"&gt;="&amp;$B381*1000000000,Grids!$C$157:$BO$216,"&lt;"&amp;($B381+1)*1000000000))</f>
        <v/>
      </c>
      <c r="F381" s="48">
        <f>IF($B381="","",SUM($C$26:$C381))</f>
        <v/>
      </c>
      <c r="G381" s="48">
        <f>IF($B381="","",SUM($D$26:$D381))</f>
        <v/>
      </c>
      <c r="H381" s="48">
        <f>IF($B381="","",SUM($E$26:$E381))</f>
        <v/>
      </c>
    </row>
    <row r="382">
      <c r="B382" s="46">
        <f>IF(DATE(Summary!$C$12,1,1)+356&gt;DATE(Summary!$C$12,12,31),"",DATE(Summary!$C$12,1,1)+356)</f>
        <v/>
      </c>
      <c r="C382" s="47">
        <f>IF($B382="","",SUMIFS(Grids!$EE$9:$GQ$108,Grids!$C$9:$BO$108,"&gt;="&amp;$B382*1000000000,Grids!$C$9:$BO$108,"&lt;"&amp;($B382+1)*1000000000))</f>
        <v/>
      </c>
      <c r="D382" s="47">
        <f>IF($B382="","",SUMIFS(Grids!$EE$113:$GQ$152,Grids!$C$113:$BO$152,"&gt;="&amp;$B382*1000000000,Grids!$C$113:$BO$152,"&lt;"&amp;($B382+1)*1000000000))</f>
        <v/>
      </c>
      <c r="E382" s="47">
        <f>IF($B382="","",SUMIFS(Grids!$EE$157:$GQ$216,Grids!$C$157:$BO$216,"&gt;="&amp;$B382*1000000000,Grids!$C$157:$BO$216,"&lt;"&amp;($B382+1)*1000000000))</f>
        <v/>
      </c>
      <c r="F382" s="48">
        <f>IF($B382="","",SUM($C$26:$C382))</f>
        <v/>
      </c>
      <c r="G382" s="48">
        <f>IF($B382="","",SUM($D$26:$D382))</f>
        <v/>
      </c>
      <c r="H382" s="48">
        <f>IF($B382="","",SUM($E$26:$E382))</f>
        <v/>
      </c>
    </row>
    <row r="383">
      <c r="B383" s="46">
        <f>IF(DATE(Summary!$C$12,1,1)+357&gt;DATE(Summary!$C$12,12,31),"",DATE(Summary!$C$12,1,1)+357)</f>
        <v/>
      </c>
      <c r="C383" s="47">
        <f>IF($B383="","",SUMIFS(Grids!$EE$9:$GQ$108,Grids!$C$9:$BO$108,"&gt;="&amp;$B383*1000000000,Grids!$C$9:$BO$108,"&lt;"&amp;($B383+1)*1000000000))</f>
        <v/>
      </c>
      <c r="D383" s="47">
        <f>IF($B383="","",SUMIFS(Grids!$EE$113:$GQ$152,Grids!$C$113:$BO$152,"&gt;="&amp;$B383*1000000000,Grids!$C$113:$BO$152,"&lt;"&amp;($B383+1)*1000000000))</f>
        <v/>
      </c>
      <c r="E383" s="47">
        <f>IF($B383="","",SUMIFS(Grids!$EE$157:$GQ$216,Grids!$C$157:$BO$216,"&gt;="&amp;$B383*1000000000,Grids!$C$157:$BO$216,"&lt;"&amp;($B383+1)*1000000000))</f>
        <v/>
      </c>
      <c r="F383" s="48">
        <f>IF($B383="","",SUM($C$26:$C383))</f>
        <v/>
      </c>
      <c r="G383" s="48">
        <f>IF($B383="","",SUM($D$26:$D383))</f>
        <v/>
      </c>
      <c r="H383" s="48">
        <f>IF($B383="","",SUM($E$26:$E383))</f>
        <v/>
      </c>
    </row>
    <row r="384">
      <c r="B384" s="46">
        <f>IF(DATE(Summary!$C$12,1,1)+358&gt;DATE(Summary!$C$12,12,31),"",DATE(Summary!$C$12,1,1)+358)</f>
        <v/>
      </c>
      <c r="C384" s="47">
        <f>IF($B384="","",SUMIFS(Grids!$EE$9:$GQ$108,Grids!$C$9:$BO$108,"&gt;="&amp;$B384*1000000000,Grids!$C$9:$BO$108,"&lt;"&amp;($B384+1)*1000000000))</f>
        <v/>
      </c>
      <c r="D384" s="47">
        <f>IF($B384="","",SUMIFS(Grids!$EE$113:$GQ$152,Grids!$C$113:$BO$152,"&gt;="&amp;$B384*1000000000,Grids!$C$113:$BO$152,"&lt;"&amp;($B384+1)*1000000000))</f>
        <v/>
      </c>
      <c r="E384" s="47">
        <f>IF($B384="","",SUMIFS(Grids!$EE$157:$GQ$216,Grids!$C$157:$BO$216,"&gt;="&amp;$B384*1000000000,Grids!$C$157:$BO$216,"&lt;"&amp;($B384+1)*1000000000))</f>
        <v/>
      </c>
      <c r="F384" s="48">
        <f>IF($B384="","",SUM($C$26:$C384))</f>
        <v/>
      </c>
      <c r="G384" s="48">
        <f>IF($B384="","",SUM($D$26:$D384))</f>
        <v/>
      </c>
      <c r="H384" s="48">
        <f>IF($B384="","",SUM($E$26:$E384))</f>
        <v/>
      </c>
    </row>
    <row r="385">
      <c r="B385" s="46">
        <f>IF(DATE(Summary!$C$12,1,1)+359&gt;DATE(Summary!$C$12,12,31),"",DATE(Summary!$C$12,1,1)+359)</f>
        <v/>
      </c>
      <c r="C385" s="47">
        <f>IF($B385="","",SUMIFS(Grids!$EE$9:$GQ$108,Grids!$C$9:$BO$108,"&gt;="&amp;$B385*1000000000,Grids!$C$9:$BO$108,"&lt;"&amp;($B385+1)*1000000000))</f>
        <v/>
      </c>
      <c r="D385" s="47">
        <f>IF($B385="","",SUMIFS(Grids!$EE$113:$GQ$152,Grids!$C$113:$BO$152,"&gt;="&amp;$B385*1000000000,Grids!$C$113:$BO$152,"&lt;"&amp;($B385+1)*1000000000))</f>
        <v/>
      </c>
      <c r="E385" s="47">
        <f>IF($B385="","",SUMIFS(Grids!$EE$157:$GQ$216,Grids!$C$157:$BO$216,"&gt;="&amp;$B385*1000000000,Grids!$C$157:$BO$216,"&lt;"&amp;($B385+1)*1000000000))</f>
        <v/>
      </c>
      <c r="F385" s="48">
        <f>IF($B385="","",SUM($C$26:$C385))</f>
        <v/>
      </c>
      <c r="G385" s="48">
        <f>IF($B385="","",SUM($D$26:$D385))</f>
        <v/>
      </c>
      <c r="H385" s="48">
        <f>IF($B385="","",SUM($E$26:$E385))</f>
        <v/>
      </c>
    </row>
    <row r="386">
      <c r="B386" s="46">
        <f>IF(DATE(Summary!$C$12,1,1)+360&gt;DATE(Summary!$C$12,12,31),"",DATE(Summary!$C$12,1,1)+360)</f>
        <v/>
      </c>
      <c r="C386" s="47">
        <f>IF($B386="","",SUMIFS(Grids!$EE$9:$GQ$108,Grids!$C$9:$BO$108,"&gt;="&amp;$B386*1000000000,Grids!$C$9:$BO$108,"&lt;"&amp;($B386+1)*1000000000))</f>
        <v/>
      </c>
      <c r="D386" s="47">
        <f>IF($B386="","",SUMIFS(Grids!$EE$113:$GQ$152,Grids!$C$113:$BO$152,"&gt;="&amp;$B386*1000000000,Grids!$C$113:$BO$152,"&lt;"&amp;($B386+1)*1000000000))</f>
        <v/>
      </c>
      <c r="E386" s="47">
        <f>IF($B386="","",SUMIFS(Grids!$EE$157:$GQ$216,Grids!$C$157:$BO$216,"&gt;="&amp;$B386*1000000000,Grids!$C$157:$BO$216,"&lt;"&amp;($B386+1)*1000000000))</f>
        <v/>
      </c>
      <c r="F386" s="48">
        <f>IF($B386="","",SUM($C$26:$C386))</f>
        <v/>
      </c>
      <c r="G386" s="48">
        <f>IF($B386="","",SUM($D$26:$D386))</f>
        <v/>
      </c>
      <c r="H386" s="48">
        <f>IF($B386="","",SUM($E$26:$E386))</f>
        <v/>
      </c>
    </row>
    <row r="387">
      <c r="B387" s="46">
        <f>IF(DATE(Summary!$C$12,1,1)+361&gt;DATE(Summary!$C$12,12,31),"",DATE(Summary!$C$12,1,1)+361)</f>
        <v/>
      </c>
      <c r="C387" s="47">
        <f>IF($B387="","",SUMIFS(Grids!$EE$9:$GQ$108,Grids!$C$9:$BO$108,"&gt;="&amp;$B387*1000000000,Grids!$C$9:$BO$108,"&lt;"&amp;($B387+1)*1000000000))</f>
        <v/>
      </c>
      <c r="D387" s="47">
        <f>IF($B387="","",SUMIFS(Grids!$EE$113:$GQ$152,Grids!$C$113:$BO$152,"&gt;="&amp;$B387*1000000000,Grids!$C$113:$BO$152,"&lt;"&amp;($B387+1)*1000000000))</f>
        <v/>
      </c>
      <c r="E387" s="47">
        <f>IF($B387="","",SUMIFS(Grids!$EE$157:$GQ$216,Grids!$C$157:$BO$216,"&gt;="&amp;$B387*1000000000,Grids!$C$157:$BO$216,"&lt;"&amp;($B387+1)*1000000000))</f>
        <v/>
      </c>
      <c r="F387" s="48">
        <f>IF($B387="","",SUM($C$26:$C387))</f>
        <v/>
      </c>
      <c r="G387" s="48">
        <f>IF($B387="","",SUM($D$26:$D387))</f>
        <v/>
      </c>
      <c r="H387" s="48">
        <f>IF($B387="","",SUM($E$26:$E387))</f>
        <v/>
      </c>
    </row>
    <row r="388">
      <c r="B388" s="46">
        <f>IF(DATE(Summary!$C$12,1,1)+362&gt;DATE(Summary!$C$12,12,31),"",DATE(Summary!$C$12,1,1)+362)</f>
        <v/>
      </c>
      <c r="C388" s="47">
        <f>IF($B388="","",SUMIFS(Grids!$EE$9:$GQ$108,Grids!$C$9:$BO$108,"&gt;="&amp;$B388*1000000000,Grids!$C$9:$BO$108,"&lt;"&amp;($B388+1)*1000000000))</f>
        <v/>
      </c>
      <c r="D388" s="47">
        <f>IF($B388="","",SUMIFS(Grids!$EE$113:$GQ$152,Grids!$C$113:$BO$152,"&gt;="&amp;$B388*1000000000,Grids!$C$113:$BO$152,"&lt;"&amp;($B388+1)*1000000000))</f>
        <v/>
      </c>
      <c r="E388" s="47">
        <f>IF($B388="","",SUMIFS(Grids!$EE$157:$GQ$216,Grids!$C$157:$BO$216,"&gt;="&amp;$B388*1000000000,Grids!$C$157:$BO$216,"&lt;"&amp;($B388+1)*1000000000))</f>
        <v/>
      </c>
      <c r="F388" s="48">
        <f>IF($B388="","",SUM($C$26:$C388))</f>
        <v/>
      </c>
      <c r="G388" s="48">
        <f>IF($B388="","",SUM($D$26:$D388))</f>
        <v/>
      </c>
      <c r="H388" s="48">
        <f>IF($B388="","",SUM($E$26:$E388))</f>
        <v/>
      </c>
    </row>
    <row r="389">
      <c r="B389" s="46">
        <f>IF(DATE(Summary!$C$12,1,1)+363&gt;DATE(Summary!$C$12,12,31),"",DATE(Summary!$C$12,1,1)+363)</f>
        <v/>
      </c>
      <c r="C389" s="47">
        <f>IF($B389="","",SUMIFS(Grids!$EE$9:$GQ$108,Grids!$C$9:$BO$108,"&gt;="&amp;$B389*1000000000,Grids!$C$9:$BO$108,"&lt;"&amp;($B389+1)*1000000000))</f>
        <v/>
      </c>
      <c r="D389" s="47">
        <f>IF($B389="","",SUMIFS(Grids!$EE$113:$GQ$152,Grids!$C$113:$BO$152,"&gt;="&amp;$B389*1000000000,Grids!$C$113:$BO$152,"&lt;"&amp;($B389+1)*1000000000))</f>
        <v/>
      </c>
      <c r="E389" s="47">
        <f>IF($B389="","",SUMIFS(Grids!$EE$157:$GQ$216,Grids!$C$157:$BO$216,"&gt;="&amp;$B389*1000000000,Grids!$C$157:$BO$216,"&lt;"&amp;($B389+1)*1000000000))</f>
        <v/>
      </c>
      <c r="F389" s="48">
        <f>IF($B389="","",SUM($C$26:$C389))</f>
        <v/>
      </c>
      <c r="G389" s="48">
        <f>IF($B389="","",SUM($D$26:$D389))</f>
        <v/>
      </c>
      <c r="H389" s="48">
        <f>IF($B389="","",SUM($E$26:$E389))</f>
        <v/>
      </c>
    </row>
    <row r="390">
      <c r="B390" s="46">
        <f>IF(DATE(Summary!$C$12,1,1)+364&gt;DATE(Summary!$C$12,12,31),"",DATE(Summary!$C$12,1,1)+364)</f>
        <v/>
      </c>
      <c r="C390" s="47">
        <f>IF($B390="","",SUMIFS(Grids!$EE$9:$GQ$108,Grids!$C$9:$BO$108,"&gt;="&amp;$B390*1000000000,Grids!$C$9:$BO$108,"&lt;"&amp;($B390+1)*1000000000))</f>
        <v/>
      </c>
      <c r="D390" s="47">
        <f>IF($B390="","",SUMIFS(Grids!$EE$113:$GQ$152,Grids!$C$113:$BO$152,"&gt;="&amp;$B390*1000000000,Grids!$C$113:$BO$152,"&lt;"&amp;($B390+1)*1000000000))</f>
        <v/>
      </c>
      <c r="E390" s="47">
        <f>IF($B390="","",SUMIFS(Grids!$EE$157:$GQ$216,Grids!$C$157:$BO$216,"&gt;="&amp;$B390*1000000000,Grids!$C$157:$BO$216,"&lt;"&amp;($B390+1)*1000000000))</f>
        <v/>
      </c>
      <c r="F390" s="48">
        <f>IF($B390="","",SUM($C$26:$C390))</f>
        <v/>
      </c>
      <c r="G390" s="48">
        <f>IF($B390="","",SUM($D$26:$D390))</f>
        <v/>
      </c>
      <c r="H390" s="48">
        <f>IF($B390="","",SUM($E$26:$E390))</f>
        <v/>
      </c>
    </row>
    <row r="391">
      <c r="B391" s="46">
        <f>IF(DATE(Summary!$C$12,1,1)+365&gt;DATE(Summary!$C$12,12,31),"",DATE(Summary!$C$12,1,1)+365)</f>
        <v/>
      </c>
      <c r="C391" s="47">
        <f>IF($B391="","",SUMIFS(Grids!$EE$9:$GQ$108,Grids!$C$9:$BO$108,"&gt;="&amp;$B391*1000000000,Grids!$C$9:$BO$108,"&lt;"&amp;($B391+1)*1000000000))</f>
        <v/>
      </c>
      <c r="D391" s="47">
        <f>IF($B391="","",SUMIFS(Grids!$EE$113:$GQ$152,Grids!$C$113:$BO$152,"&gt;="&amp;$B391*1000000000,Grids!$C$113:$BO$152,"&lt;"&amp;($B391+1)*1000000000))</f>
        <v/>
      </c>
      <c r="E391" s="47">
        <f>IF($B391="","",SUMIFS(Grids!$EE$157:$GQ$216,Grids!$C$157:$BO$216,"&gt;="&amp;$B391*1000000000,Grids!$C$157:$BO$216,"&lt;"&amp;($B391+1)*1000000000))</f>
        <v/>
      </c>
      <c r="F391" s="48">
        <f>IF($B391="","",SUM($C$26:$C391))</f>
        <v/>
      </c>
      <c r="G391" s="48">
        <f>IF($B391="","",SUM($D$26:$D391))</f>
        <v/>
      </c>
      <c r="H391" s="48">
        <f>IF($B391="","",SUM($E$26:$E391))</f>
        <v/>
      </c>
    </row>
    <row r="392">
      <c r="B392" s="46">
        <f>IF(DATE(Summary!$C$12,1,1)+366&gt;DATE(Summary!$C$12,12,31),"",DATE(Summary!$C$12,1,1)+366)</f>
        <v/>
      </c>
      <c r="C392" s="47">
        <f>IF($B392="","",SUMIFS(Grids!$EE$9:$GQ$108,Grids!$C$9:$BO$108,"&gt;="&amp;$B392*1000000000,Grids!$C$9:$BO$108,"&lt;"&amp;($B392+1)*1000000000))</f>
        <v/>
      </c>
      <c r="D392" s="47">
        <f>IF($B392="","",SUMIFS(Grids!$EE$113:$GQ$152,Grids!$C$113:$BO$152,"&gt;="&amp;$B392*1000000000,Grids!$C$113:$BO$152,"&lt;"&amp;($B392+1)*1000000000))</f>
        <v/>
      </c>
      <c r="E392" s="47">
        <f>IF($B392="","",SUMIFS(Grids!$EE$157:$GQ$216,Grids!$C$157:$BO$216,"&gt;="&amp;$B392*1000000000,Grids!$C$157:$BO$216,"&lt;"&amp;($B392+1)*1000000000))</f>
        <v/>
      </c>
      <c r="F392" s="48">
        <f>IF($B392="","",SUM($C$26:$C392))</f>
        <v/>
      </c>
      <c r="G392" s="48">
        <f>IF($B392="","",SUM($D$26:$D392))</f>
        <v/>
      </c>
      <c r="H392" s="48">
        <f>IF($B392="","",SUM($E$26:$E392))</f>
        <v/>
      </c>
    </row>
    <row r="393">
      <c r="B393" s="46">
        <f>IF(DATE(Summary!$C$12,1,1)+367&gt;DATE(Summary!$C$12,12,31),"",DATE(Summary!$C$12,1,1)+367)</f>
        <v/>
      </c>
      <c r="C393" s="47">
        <f>IF($B393="","",SUMIFS(Grids!$EE$9:$GQ$108,Grids!$C$9:$BO$108,"&gt;="&amp;$B393*1000000000,Grids!$C$9:$BO$108,"&lt;"&amp;($B393+1)*1000000000))</f>
        <v/>
      </c>
      <c r="D393" s="47">
        <f>IF($B393="","",SUMIFS(Grids!$EE$113:$GQ$152,Grids!$C$113:$BO$152,"&gt;="&amp;$B393*1000000000,Grids!$C$113:$BO$152,"&lt;"&amp;($B393+1)*1000000000))</f>
        <v/>
      </c>
      <c r="E393" s="47">
        <f>IF($B393="","",SUMIFS(Grids!$EE$157:$GQ$216,Grids!$C$157:$BO$216,"&gt;="&amp;$B393*1000000000,Grids!$C$157:$BO$216,"&lt;"&amp;($B393+1)*1000000000))</f>
        <v/>
      </c>
      <c r="F393" s="48">
        <f>IF($B393="","",SUM($C$26:$C393))</f>
        <v/>
      </c>
      <c r="G393" s="48">
        <f>IF($B393="","",SUM($D$26:$D393))</f>
        <v/>
      </c>
      <c r="H393" s="48">
        <f>IF($B393="","",SUM($E$26:$E393))</f>
        <v/>
      </c>
    </row>
    <row r="394">
      <c r="B394" s="46">
        <f>IF(DATE(Summary!$C$12,1,1)+368&gt;DATE(Summary!$C$12,12,31),"",DATE(Summary!$C$12,1,1)+368)</f>
        <v/>
      </c>
      <c r="C394" s="47">
        <f>IF($B394="","",SUMIFS(Grids!$EE$9:$GQ$108,Grids!$C$9:$BO$108,"&gt;="&amp;$B394*1000000000,Grids!$C$9:$BO$108,"&lt;"&amp;($B394+1)*1000000000))</f>
        <v/>
      </c>
      <c r="D394" s="47">
        <f>IF($B394="","",SUMIFS(Grids!$EE$113:$GQ$152,Grids!$C$113:$BO$152,"&gt;="&amp;$B394*1000000000,Grids!$C$113:$BO$152,"&lt;"&amp;($B394+1)*1000000000))</f>
        <v/>
      </c>
      <c r="E394" s="47">
        <f>IF($B394="","",SUMIFS(Grids!$EE$157:$GQ$216,Grids!$C$157:$BO$216,"&gt;="&amp;$B394*1000000000,Grids!$C$157:$BO$216,"&lt;"&amp;($B394+1)*1000000000))</f>
        <v/>
      </c>
      <c r="F394" s="48">
        <f>IF($B394="","",SUM($C$26:$C394))</f>
        <v/>
      </c>
      <c r="G394" s="48">
        <f>IF($B394="","",SUM($D$26:$D394))</f>
        <v/>
      </c>
      <c r="H394" s="48">
        <f>IF($B394="","",SUM($E$26:$E394))</f>
        <v/>
      </c>
    </row>
    <row r="395">
      <c r="B395" s="46">
        <f>IF(DATE(Summary!$C$12,1,1)+369&gt;DATE(Summary!$C$12,12,31),"",DATE(Summary!$C$12,1,1)+369)</f>
        <v/>
      </c>
      <c r="C395" s="47">
        <f>IF($B395="","",SUMIFS(Grids!$EE$9:$GQ$108,Grids!$C$9:$BO$108,"&gt;="&amp;$B395*1000000000,Grids!$C$9:$BO$108,"&lt;"&amp;($B395+1)*1000000000))</f>
        <v/>
      </c>
      <c r="D395" s="47">
        <f>IF($B395="","",SUMIFS(Grids!$EE$113:$GQ$152,Grids!$C$113:$BO$152,"&gt;="&amp;$B395*1000000000,Grids!$C$113:$BO$152,"&lt;"&amp;($B395+1)*1000000000))</f>
        <v/>
      </c>
      <c r="E395" s="47">
        <f>IF($B395="","",SUMIFS(Grids!$EE$157:$GQ$216,Grids!$C$157:$BO$216,"&gt;="&amp;$B395*1000000000,Grids!$C$157:$BO$216,"&lt;"&amp;($B395+1)*1000000000))</f>
        <v/>
      </c>
      <c r="F395" s="48">
        <f>IF($B395="","",SUM($C$26:$C395))</f>
        <v/>
      </c>
      <c r="G395" s="48">
        <f>IF($B395="","",SUM($D$26:$D395))</f>
        <v/>
      </c>
      <c r="H395" s="48">
        <f>IF($B395="","",SUM($E$26:$E395))</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1:AH257"/>
  <sheetViews>
    <sheetView workbookViewId="0">
      <pane xSplit="5" ySplit="11" topLeftCell="F12"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5" customWidth="1" min="3" max="3"/>
    <col width="24" customWidth="1" min="4" max="4"/>
    <col width="21"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9" customWidth="1" min="23" max="23"/>
    <col width="11" customWidth="1" min="24" max="24"/>
    <col width="9" customWidth="1" min="25" max="25"/>
    <col width="9" customWidth="1" min="26" max="26"/>
    <col width="10" customWidth="1" min="27" max="27"/>
    <col width="9" customWidth="1" min="28" max="28"/>
    <col width="9" customWidth="1" min="29" max="29"/>
    <col width="9" customWidth="1" min="30" max="30"/>
    <col width="9" customWidth="1" min="31" max="31"/>
    <col width="9" customWidth="1" min="32" max="32"/>
    <col width="22" customWidth="1" min="33" max="33"/>
    <col width="16" customWidth="1" min="34" max="34"/>
  </cols>
  <sheetData>
    <row r="1">
      <c r="B1" s="1" t="inlineStr">
        <is>
          <t>FUNDAMENTALS - WHAT PAYS THE DIVIDEND</t>
        </is>
      </c>
    </row>
    <row r="2">
      <c r="B2" s="2" t="inlineStr">
        <is>
          <t>One row per index member. Dividends by ex-date year (the basis the futures settle on), earnings and payout on a fiscal-year basis (the basis a company reports on), then the cash return and balance-sheet picture. Filter by index or sector with the arrows in the header.</t>
        </is>
      </c>
    </row>
    <row r="4">
      <c r="B4" s="8" t="inlineStr">
        <is>
          <t>A final dividend for a financial year usually goes ex the FOLLOWING year, so the ex-date columns and the fiscal payout columns are deliberately on different clocks - the first is what a futures contract pays, the second is what the company decided. Do not force them to agree.</t>
        </is>
      </c>
    </row>
    <row r="5"/>
    <row r="7">
      <c r="B7" s="10" t="inlineStr">
        <is>
          <t>Flag thresholds</t>
        </is>
      </c>
      <c r="C7" s="6" t="inlineStr">
        <is>
          <t>payout above</t>
        </is>
      </c>
      <c r="D7" s="49" t="n">
        <v>1</v>
      </c>
      <c r="E7" s="6" t="inlineStr">
        <is>
          <t>FCF cover below</t>
        </is>
      </c>
      <c r="F7" s="50" t="n">
        <v>1</v>
      </c>
      <c r="G7" s="6" t="inlineStr">
        <is>
          <t>net debt/EBITDA above</t>
        </is>
      </c>
      <c r="H7" s="50" t="n">
        <v>3</v>
      </c>
      <c r="J7" s="2" t="inlineStr">
        <is>
          <t>&lt;- these only drive the Cover check column; change them freely.</t>
        </is>
      </c>
    </row>
    <row r="8">
      <c r="B8" s="6" t="inlineStr">
        <is>
          <t>Fundamentals pulls</t>
        </is>
      </c>
      <c r="C8" s="13">
        <f>IF(Summary!$C$16="Y","ON - every amber column below is live","OFF - the amber columns are blank (Summary C16 = N) so the refresh stays fast")</f>
        <v/>
      </c>
      <c r="D8" s="14" t="n"/>
      <c r="E8" s="14" t="n"/>
      <c r="F8" s="14" t="n"/>
      <c r="G8" s="14" t="n"/>
      <c r="H8" s="15" t="n"/>
    </row>
    <row r="10">
      <c r="B10" s="3" t="inlineStr">
        <is>
          <t>WHO</t>
        </is>
      </c>
      <c r="C10" s="4" t="n"/>
      <c r="D10" s="4" t="n"/>
      <c r="E10" s="4" t="n"/>
      <c r="F10" s="3" t="inlineStr">
        <is>
          <t>DIVIDENDS BY EX-DATE YEAR  (futures basis, from the history pull - no extra requests)</t>
        </is>
      </c>
      <c r="G10" s="4" t="n"/>
      <c r="H10" s="4" t="n"/>
      <c r="I10" s="4" t="n"/>
      <c r="J10" s="4" t="n"/>
      <c r="K10" s="4" t="n"/>
      <c r="L10" s="4" t="n"/>
      <c r="M10" s="3" t="inlineStr">
        <is>
          <t>EPS BY FISCAL YEAR</t>
        </is>
      </c>
      <c r="N10" s="4" t="n"/>
      <c r="O10" s="4" t="n"/>
      <c r="P10" s="4" t="n"/>
      <c r="Q10" s="4" t="n"/>
      <c r="R10" s="3" t="inlineStr">
        <is>
          <t>PAYOUT BY FISCAL YEAR</t>
        </is>
      </c>
      <c r="S10" s="4" t="n"/>
      <c r="T10" s="4" t="n"/>
      <c r="U10" s="4" t="n"/>
      <c r="V10" s="4" t="n"/>
      <c r="W10" s="4" t="n"/>
      <c r="X10" s="4" t="n"/>
      <c r="Y10" s="3" t="inlineStr">
        <is>
          <t>CASH RETURN &amp; BALANCE SHEET</t>
        </is>
      </c>
      <c r="Z10" s="4" t="n"/>
      <c r="AA10" s="4" t="n"/>
      <c r="AB10" s="4" t="n"/>
      <c r="AC10" s="4" t="n"/>
      <c r="AD10" s="4" t="n"/>
      <c r="AE10" s="4" t="n"/>
      <c r="AF10" s="4" t="n"/>
      <c r="AG10" s="4" t="n"/>
      <c r="AH10" s="4" t="n"/>
    </row>
    <row r="11">
      <c r="B11" s="17" t="inlineStr">
        <is>
          <t>Index</t>
        </is>
      </c>
      <c r="C11" s="17" t="inlineStr">
        <is>
          <t>Ticker</t>
        </is>
      </c>
      <c r="D11" s="17" t="inlineStr">
        <is>
          <t>Name</t>
        </is>
      </c>
      <c r="E11" s="17" t="inlineStr">
        <is>
          <t>GICS Sector</t>
        </is>
      </c>
      <c r="F11" s="17" t="inlineStr">
        <is>
          <t>DPS
Y-5</t>
        </is>
      </c>
      <c r="G11" s="17" t="inlineStr">
        <is>
          <t>DPS
Y-4</t>
        </is>
      </c>
      <c r="H11" s="17" t="inlineStr">
        <is>
          <t>DPS
Y-3</t>
        </is>
      </c>
      <c r="I11" s="17" t="inlineStr">
        <is>
          <t>DPS
Y-2</t>
        </is>
      </c>
      <c r="J11" s="17" t="inlineStr">
        <is>
          <t>DPS
Y-1</t>
        </is>
      </c>
      <c r="K11" s="17" t="inlineStr">
        <is>
          <t>DPS
YTD</t>
        </is>
      </c>
      <c r="L11" s="17" t="inlineStr">
        <is>
          <t>5Y avg
DPS</t>
        </is>
      </c>
      <c r="M11" s="17" t="inlineStr">
        <is>
          <t>EPS
Y-5</t>
        </is>
      </c>
      <c r="N11" s="17" t="inlineStr">
        <is>
          <t>EPS
Y-4</t>
        </is>
      </c>
      <c r="O11" s="17" t="inlineStr">
        <is>
          <t>EPS
Y-3</t>
        </is>
      </c>
      <c r="P11" s="17" t="inlineStr">
        <is>
          <t>EPS
Y-2</t>
        </is>
      </c>
      <c r="Q11" s="17" t="inlineStr">
        <is>
          <t>EPS
Y-1</t>
        </is>
      </c>
      <c r="R11" s="17" t="inlineStr">
        <is>
          <t>Payout
Y-5</t>
        </is>
      </c>
      <c r="S11" s="17" t="inlineStr">
        <is>
          <t>Payout
Y-4</t>
        </is>
      </c>
      <c r="T11" s="17" t="inlineStr">
        <is>
          <t>Payout
Y-3</t>
        </is>
      </c>
      <c r="U11" s="17" t="inlineStr">
        <is>
          <t>Payout
Y-2</t>
        </is>
      </c>
      <c r="V11" s="17" t="inlineStr">
        <is>
          <t>Payout
Y-1</t>
        </is>
      </c>
      <c r="W11" s="17" t="inlineStr">
        <is>
          <t>5Y avg
payout</t>
        </is>
      </c>
      <c r="X11" s="17" t="inlineStr">
        <is>
          <t>Payout Y-1
(ex-date basis)</t>
        </is>
      </c>
      <c r="Y11" s="51" t="inlineStr">
        <is>
          <t>Dvd yld
12M</t>
        </is>
      </c>
      <c r="Z11" s="51" t="inlineStr">
        <is>
          <t>Buyback
yld</t>
        </is>
      </c>
      <c r="AA11" s="51" t="inlineStr">
        <is>
          <t>Cash return
(dvd+bb)</t>
        </is>
      </c>
      <c r="AB11" s="51" t="inlineStr">
        <is>
          <t>FCF
yld</t>
        </is>
      </c>
      <c r="AC11" s="51" t="inlineStr">
        <is>
          <t>FCF cover
of dvd</t>
        </is>
      </c>
      <c r="AD11" s="51" t="inlineStr">
        <is>
          <t>Net debt
/equity</t>
        </is>
      </c>
      <c r="AE11" s="51" t="inlineStr">
        <is>
          <t>Net debt
/EBITDA</t>
        </is>
      </c>
      <c r="AF11" s="51" t="inlineStr">
        <is>
          <t>EBITDA
/interest</t>
        </is>
      </c>
      <c r="AG11" s="51" t="inlineStr">
        <is>
          <t>Cover check</t>
        </is>
      </c>
      <c r="AH11" s="17" t="inlineStr">
        <is>
          <t>Dvd ccy note</t>
        </is>
      </c>
    </row>
    <row r="12">
      <c r="B12" s="52" t="inlineStr">
        <is>
          <t>HSI</t>
        </is>
      </c>
      <c r="C12" s="6">
        <f>IF(HSI!$C$7="","",HSI!$C$7)</f>
        <v/>
      </c>
      <c r="D12" s="6">
        <f>IF($C12="","",HSI!$D$7)</f>
        <v/>
      </c>
      <c r="E12" s="6">
        <f>IF($C12="","",HSI!$E$7)</f>
        <v/>
      </c>
      <c r="F12" s="53">
        <f>IF($C12="","",SUMIFS('Dvd Calendar'!$E$11:$AR$11,'Dvd Calendar'!$E$10:$AR$10,"&gt;="&amp;DATE(Summary!$C$12-5,1,1),'Dvd Calendar'!$E$10:$AR$10,"&lt;="&amp;DATE(Summary!$C$12-5,12,31)))</f>
        <v/>
      </c>
      <c r="G12" s="53">
        <f>IF($C12="","",SUMIFS('Dvd Calendar'!$E$11:$AR$11,'Dvd Calendar'!$E$10:$AR$10,"&gt;="&amp;DATE(Summary!$C$12-4,1,1),'Dvd Calendar'!$E$10:$AR$10,"&lt;="&amp;DATE(Summary!$C$12-4,12,31)))</f>
        <v/>
      </c>
      <c r="H12" s="53">
        <f>IF($C12="","",SUMIFS('Dvd Calendar'!$E$11:$AR$11,'Dvd Calendar'!$E$10:$AR$10,"&gt;="&amp;DATE(Summary!$C$12-3,1,1),'Dvd Calendar'!$E$10:$AR$10,"&lt;="&amp;DATE(Summary!$C$12-3,12,31)))</f>
        <v/>
      </c>
      <c r="I12" s="53">
        <f>IF($C12="","",SUMIFS('Dvd Calendar'!$E$11:$AR$11,'Dvd Calendar'!$E$10:$AR$10,"&gt;="&amp;DATE(Summary!$C$12-2,1,1),'Dvd Calendar'!$E$10:$AR$10,"&lt;="&amp;DATE(Summary!$C$12-2,12,31)))</f>
        <v/>
      </c>
      <c r="J12" s="53">
        <f>IF($C12="","",SUMIFS('Dvd Calendar'!$E$11:$AR$11,'Dvd Calendar'!$E$10:$AR$10,"&gt;="&amp;DATE(Summary!$C$12-1,1,1),'Dvd Calendar'!$E$10:$AR$10,"&lt;="&amp;DATE(Summary!$C$12-1,12,31)))</f>
        <v/>
      </c>
      <c r="K12" s="54">
        <f>IF($C12="","",SUMIFS('Dvd Calendar'!$E$11:$AR$11,'Dvd Calendar'!$E$10:$AR$10,"&gt;="&amp;DATE(Summary!$C$12,1,1),'Dvd Calendar'!$E$10:$AR$10,"&lt;="&amp;MIN(Summary!$C$11,DATE(Summary!$C$12,12,31))))</f>
        <v/>
      </c>
      <c r="L12" s="38">
        <f>IF($C12="","",AVERAGE(F12:J12))</f>
        <v/>
      </c>
      <c r="M12" s="55">
        <f>IF($C12="","",IF(Summary!$C$16="N","",IFERROR(BDP($C12,'Field Check'!$C$16,'Field Check'!$C$17,TEXT(Summary!$C$12-5,"0")),"")))</f>
        <v/>
      </c>
      <c r="N12" s="55">
        <f>IF($C12="","",IF(Summary!$C$16="N","",IFERROR(BDP($C12,'Field Check'!$C$16,'Field Check'!$C$17,TEXT(Summary!$C$12-4,"0")),"")))</f>
        <v/>
      </c>
      <c r="O12" s="55">
        <f>IF($C12="","",IF(Summary!$C$16="N","",IFERROR(BDP($C12,'Field Check'!$C$16,'Field Check'!$C$17,TEXT(Summary!$C$12-3,"0")),"")))</f>
        <v/>
      </c>
      <c r="P12" s="55">
        <f>IF($C12="","",IF(Summary!$C$16="N","",IFERROR(BDP($C12,'Field Check'!$C$16,'Field Check'!$C$17,TEXT(Summary!$C$12-2,"0")),"")))</f>
        <v/>
      </c>
      <c r="Q12" s="55">
        <f>IF($C12="","",IF(Summary!$C$16="N","",IFERROR(BDP($C12,'Field Check'!$C$16,'Field Check'!$C$17,TEXT(Summary!$C$12-1,"0")),"")))</f>
        <v/>
      </c>
      <c r="R12" s="56">
        <f>IF($C12="","",IF(Summary!$C$16="N","",IFERROR(BDP($C12,'Field Check'!$C$18,'Field Check'!$C$17,TEXT(Summary!$C$12-5,"0"))/100,"")))</f>
        <v/>
      </c>
      <c r="S12" s="56">
        <f>IF($C12="","",IF(Summary!$C$16="N","",IFERROR(BDP($C12,'Field Check'!$C$18,'Field Check'!$C$17,TEXT(Summary!$C$12-4,"0"))/100,"")))</f>
        <v/>
      </c>
      <c r="T12" s="56">
        <f>IF($C12="","",IF(Summary!$C$16="N","",IFERROR(BDP($C12,'Field Check'!$C$18,'Field Check'!$C$17,TEXT(Summary!$C$12-3,"0"))/100,"")))</f>
        <v/>
      </c>
      <c r="U12" s="56">
        <f>IF($C12="","",IF(Summary!$C$16="N","",IFERROR(BDP($C12,'Field Check'!$C$18,'Field Check'!$C$17,TEXT(Summary!$C$12-2,"0"))/100,"")))</f>
        <v/>
      </c>
      <c r="V12" s="56">
        <f>IF($C12="","",IF(Summary!$C$16="N","",IFERROR(BDP($C12,'Field Check'!$C$18,'Field Check'!$C$17,TEXT(Summary!$C$12-1,"0"))/100,"")))</f>
        <v/>
      </c>
      <c r="W12" s="57">
        <f>IF($C12="","",IFERROR(AVERAGE(R12:V12),""))</f>
        <v/>
      </c>
      <c r="X12" s="58">
        <f>IF($C12="","",IF(ISNUMBER($Q12)*(N($Q12)&gt;0)=0,"",IFERROR($J12/$Q12,"")))</f>
        <v/>
      </c>
      <c r="Y12" s="59">
        <f>IF($C12="","",IF(ISNUMBER(HSI!$I$7),HSI!$I$7/100,""))</f>
        <v/>
      </c>
      <c r="Z12" s="60">
        <f>IF($C12="","",IF(Summary!$C$16="N","",IFERROR(BDP($C12,'Field Check'!$C$19)/100,"")))</f>
        <v/>
      </c>
      <c r="AA12" s="61">
        <f>IF($C12="","",IF(N($Y12)+N($Z12)=0,"",N($Y12)+N($Z12)))</f>
        <v/>
      </c>
      <c r="AB12" s="60">
        <f>IF($C12="","",IF(Summary!$C$16="N","",IFERROR(BDP($C12,'Field Check'!$C$20)/100,"")))</f>
        <v/>
      </c>
      <c r="AC12" s="45">
        <f>IF($C12="","",IF(N($Y12)=0,"",IFERROR($AB12/$Y12,"")))</f>
        <v/>
      </c>
      <c r="AD12" s="55">
        <f>IF($C12="","",IF(Summary!$C$16="N","",IFERROR(BDP($C12,'Field Check'!$C$21),"")))</f>
        <v/>
      </c>
      <c r="AE12" s="55">
        <f>IF($C12="","",IF(Summary!$C$16="N","",IFERROR(BDP($C12,'Field Check'!$C$22),"")))</f>
        <v/>
      </c>
      <c r="AF12" s="55">
        <f>IF($C12="","",IF(Summary!$C$16="N","",IFERROR(BDP($C12,'Field Check'!$C$23),"")))</f>
        <v/>
      </c>
      <c r="AG12" s="40">
        <f>IF($C12="","",TRIM(IF(ISNUMBER($W12)*(N($W12)&gt;$D$7)&gt;0,"payout high  ","")&amp;IF(ISNUMBER($AC12)*(N($AC12)&lt;$F$7)&gt;0,"FCF below dvd  ","")&amp;IF(ISNUMBER($AE12)*(N($AE12)&gt;$H$7)&gt;0,"leverage high","")))</f>
        <v/>
      </c>
      <c r="AH12" s="40">
        <f>IF($C12="","",IF(HSI!$F$7="HKD","",IF(HSI!$F$7="","","DPS in "&amp;HSI!$F$7)))</f>
        <v/>
      </c>
    </row>
    <row r="13">
      <c r="B13" s="52" t="inlineStr">
        <is>
          <t>HSI</t>
        </is>
      </c>
      <c r="C13" s="6">
        <f>IF(HSI!$C$8="","",HSI!$C$8)</f>
        <v/>
      </c>
      <c r="D13" s="6">
        <f>IF($C13="","",HSI!$D$8)</f>
        <v/>
      </c>
      <c r="E13" s="6">
        <f>IF($C13="","",HSI!$E$8)</f>
        <v/>
      </c>
      <c r="F13" s="53">
        <f>IF($C13="","",SUMIFS('Dvd Calendar'!$E$26:$AR$26,'Dvd Calendar'!$E$25:$AR$25,"&gt;="&amp;DATE(Summary!$C$12-5,1,1),'Dvd Calendar'!$E$25:$AR$25,"&lt;="&amp;DATE(Summary!$C$12-5,12,31)))</f>
        <v/>
      </c>
      <c r="G13" s="53">
        <f>IF($C13="","",SUMIFS('Dvd Calendar'!$E$26:$AR$26,'Dvd Calendar'!$E$25:$AR$25,"&gt;="&amp;DATE(Summary!$C$12-4,1,1),'Dvd Calendar'!$E$25:$AR$25,"&lt;="&amp;DATE(Summary!$C$12-4,12,31)))</f>
        <v/>
      </c>
      <c r="H13" s="53">
        <f>IF($C13="","",SUMIFS('Dvd Calendar'!$E$26:$AR$26,'Dvd Calendar'!$E$25:$AR$25,"&gt;="&amp;DATE(Summary!$C$12-3,1,1),'Dvd Calendar'!$E$25:$AR$25,"&lt;="&amp;DATE(Summary!$C$12-3,12,31)))</f>
        <v/>
      </c>
      <c r="I13" s="53">
        <f>IF($C13="","",SUMIFS('Dvd Calendar'!$E$26:$AR$26,'Dvd Calendar'!$E$25:$AR$25,"&gt;="&amp;DATE(Summary!$C$12-2,1,1),'Dvd Calendar'!$E$25:$AR$25,"&lt;="&amp;DATE(Summary!$C$12-2,12,31)))</f>
        <v/>
      </c>
      <c r="J13" s="53">
        <f>IF($C13="","",SUMIFS('Dvd Calendar'!$E$26:$AR$26,'Dvd Calendar'!$E$25:$AR$25,"&gt;="&amp;DATE(Summary!$C$12-1,1,1),'Dvd Calendar'!$E$25:$AR$25,"&lt;="&amp;DATE(Summary!$C$12-1,12,31)))</f>
        <v/>
      </c>
      <c r="K13" s="54">
        <f>IF($C13="","",SUMIFS('Dvd Calendar'!$E$26:$AR$26,'Dvd Calendar'!$E$25:$AR$25,"&gt;="&amp;DATE(Summary!$C$12,1,1),'Dvd Calendar'!$E$25:$AR$25,"&lt;="&amp;MIN(Summary!$C$11,DATE(Summary!$C$12,12,31))))</f>
        <v/>
      </c>
      <c r="L13" s="38">
        <f>IF($C13="","",AVERAGE(F13:J13))</f>
        <v/>
      </c>
      <c r="M13" s="55">
        <f>IF($C13="","",IF(Summary!$C$16="N","",IFERROR(BDP($C13,'Field Check'!$C$16,'Field Check'!$C$17,TEXT(Summary!$C$12-5,"0")),"")))</f>
        <v/>
      </c>
      <c r="N13" s="55">
        <f>IF($C13="","",IF(Summary!$C$16="N","",IFERROR(BDP($C13,'Field Check'!$C$16,'Field Check'!$C$17,TEXT(Summary!$C$12-4,"0")),"")))</f>
        <v/>
      </c>
      <c r="O13" s="55">
        <f>IF($C13="","",IF(Summary!$C$16="N","",IFERROR(BDP($C13,'Field Check'!$C$16,'Field Check'!$C$17,TEXT(Summary!$C$12-3,"0")),"")))</f>
        <v/>
      </c>
      <c r="P13" s="55">
        <f>IF($C13="","",IF(Summary!$C$16="N","",IFERROR(BDP($C13,'Field Check'!$C$16,'Field Check'!$C$17,TEXT(Summary!$C$12-2,"0")),"")))</f>
        <v/>
      </c>
      <c r="Q13" s="55">
        <f>IF($C13="","",IF(Summary!$C$16="N","",IFERROR(BDP($C13,'Field Check'!$C$16,'Field Check'!$C$17,TEXT(Summary!$C$12-1,"0")),"")))</f>
        <v/>
      </c>
      <c r="R13" s="56">
        <f>IF($C13="","",IF(Summary!$C$16="N","",IFERROR(BDP($C13,'Field Check'!$C$18,'Field Check'!$C$17,TEXT(Summary!$C$12-5,"0"))/100,"")))</f>
        <v/>
      </c>
      <c r="S13" s="56">
        <f>IF($C13="","",IF(Summary!$C$16="N","",IFERROR(BDP($C13,'Field Check'!$C$18,'Field Check'!$C$17,TEXT(Summary!$C$12-4,"0"))/100,"")))</f>
        <v/>
      </c>
      <c r="T13" s="56">
        <f>IF($C13="","",IF(Summary!$C$16="N","",IFERROR(BDP($C13,'Field Check'!$C$18,'Field Check'!$C$17,TEXT(Summary!$C$12-3,"0"))/100,"")))</f>
        <v/>
      </c>
      <c r="U13" s="56">
        <f>IF($C13="","",IF(Summary!$C$16="N","",IFERROR(BDP($C13,'Field Check'!$C$18,'Field Check'!$C$17,TEXT(Summary!$C$12-2,"0"))/100,"")))</f>
        <v/>
      </c>
      <c r="V13" s="56">
        <f>IF($C13="","",IF(Summary!$C$16="N","",IFERROR(BDP($C13,'Field Check'!$C$18,'Field Check'!$C$17,TEXT(Summary!$C$12-1,"0"))/100,"")))</f>
        <v/>
      </c>
      <c r="W13" s="57">
        <f>IF($C13="","",IFERROR(AVERAGE(R13:V13),""))</f>
        <v/>
      </c>
      <c r="X13" s="58">
        <f>IF($C13="","",IF(ISNUMBER($Q13)*(N($Q13)&gt;0)=0,"",IFERROR($J13/$Q13,"")))</f>
        <v/>
      </c>
      <c r="Y13" s="59">
        <f>IF($C13="","",IF(ISNUMBER(HSI!$I$8),HSI!$I$8/100,""))</f>
        <v/>
      </c>
      <c r="Z13" s="60">
        <f>IF($C13="","",IF(Summary!$C$16="N","",IFERROR(BDP($C13,'Field Check'!$C$19)/100,"")))</f>
        <v/>
      </c>
      <c r="AA13" s="61">
        <f>IF($C13="","",IF(N($Y13)+N($Z13)=0,"",N($Y13)+N($Z13)))</f>
        <v/>
      </c>
      <c r="AB13" s="60">
        <f>IF($C13="","",IF(Summary!$C$16="N","",IFERROR(BDP($C13,'Field Check'!$C$20)/100,"")))</f>
        <v/>
      </c>
      <c r="AC13" s="45">
        <f>IF($C13="","",IF(N($Y13)=0,"",IFERROR($AB13/$Y13,"")))</f>
        <v/>
      </c>
      <c r="AD13" s="55">
        <f>IF($C13="","",IF(Summary!$C$16="N","",IFERROR(BDP($C13,'Field Check'!$C$21),"")))</f>
        <v/>
      </c>
      <c r="AE13" s="55">
        <f>IF($C13="","",IF(Summary!$C$16="N","",IFERROR(BDP($C13,'Field Check'!$C$22),"")))</f>
        <v/>
      </c>
      <c r="AF13" s="55">
        <f>IF($C13="","",IF(Summary!$C$16="N","",IFERROR(BDP($C13,'Field Check'!$C$23),"")))</f>
        <v/>
      </c>
      <c r="AG13" s="40">
        <f>IF($C13="","",TRIM(IF(ISNUMBER($W13)*(N($W13)&gt;$D$7)&gt;0,"payout high  ","")&amp;IF(ISNUMBER($AC13)*(N($AC13)&lt;$F$7)&gt;0,"FCF below dvd  ","")&amp;IF(ISNUMBER($AE13)*(N($AE13)&gt;$H$7)&gt;0,"leverage high","")))</f>
        <v/>
      </c>
      <c r="AH13" s="40">
        <f>IF($C13="","",IF(HSI!$F$8="HKD","",IF(HSI!$F$8="","","DPS in "&amp;HSI!$F$8)))</f>
        <v/>
      </c>
    </row>
    <row r="14">
      <c r="B14" s="52" t="inlineStr">
        <is>
          <t>HSI</t>
        </is>
      </c>
      <c r="C14" s="6">
        <f>IF(HSI!$C$9="","",HSI!$C$9)</f>
        <v/>
      </c>
      <c r="D14" s="6">
        <f>IF($C14="","",HSI!$D$9)</f>
        <v/>
      </c>
      <c r="E14" s="6">
        <f>IF($C14="","",HSI!$E$9)</f>
        <v/>
      </c>
      <c r="F14" s="53">
        <f>IF($C14="","",SUMIFS('Dvd Calendar'!$E$41:$AR$41,'Dvd Calendar'!$E$40:$AR$40,"&gt;="&amp;DATE(Summary!$C$12-5,1,1),'Dvd Calendar'!$E$40:$AR$40,"&lt;="&amp;DATE(Summary!$C$12-5,12,31)))</f>
        <v/>
      </c>
      <c r="G14" s="53">
        <f>IF($C14="","",SUMIFS('Dvd Calendar'!$E$41:$AR$41,'Dvd Calendar'!$E$40:$AR$40,"&gt;="&amp;DATE(Summary!$C$12-4,1,1),'Dvd Calendar'!$E$40:$AR$40,"&lt;="&amp;DATE(Summary!$C$12-4,12,31)))</f>
        <v/>
      </c>
      <c r="H14" s="53">
        <f>IF($C14="","",SUMIFS('Dvd Calendar'!$E$41:$AR$41,'Dvd Calendar'!$E$40:$AR$40,"&gt;="&amp;DATE(Summary!$C$12-3,1,1),'Dvd Calendar'!$E$40:$AR$40,"&lt;="&amp;DATE(Summary!$C$12-3,12,31)))</f>
        <v/>
      </c>
      <c r="I14" s="53">
        <f>IF($C14="","",SUMIFS('Dvd Calendar'!$E$41:$AR$41,'Dvd Calendar'!$E$40:$AR$40,"&gt;="&amp;DATE(Summary!$C$12-2,1,1),'Dvd Calendar'!$E$40:$AR$40,"&lt;="&amp;DATE(Summary!$C$12-2,12,31)))</f>
        <v/>
      </c>
      <c r="J14" s="53">
        <f>IF($C14="","",SUMIFS('Dvd Calendar'!$E$41:$AR$41,'Dvd Calendar'!$E$40:$AR$40,"&gt;="&amp;DATE(Summary!$C$12-1,1,1),'Dvd Calendar'!$E$40:$AR$40,"&lt;="&amp;DATE(Summary!$C$12-1,12,31)))</f>
        <v/>
      </c>
      <c r="K14" s="54">
        <f>IF($C14="","",SUMIFS('Dvd Calendar'!$E$41:$AR$41,'Dvd Calendar'!$E$40:$AR$40,"&gt;="&amp;DATE(Summary!$C$12,1,1),'Dvd Calendar'!$E$40:$AR$40,"&lt;="&amp;MIN(Summary!$C$11,DATE(Summary!$C$12,12,31))))</f>
        <v/>
      </c>
      <c r="L14" s="38">
        <f>IF($C14="","",AVERAGE(F14:J14))</f>
        <v/>
      </c>
      <c r="M14" s="55">
        <f>IF($C14="","",IF(Summary!$C$16="N","",IFERROR(BDP($C14,'Field Check'!$C$16,'Field Check'!$C$17,TEXT(Summary!$C$12-5,"0")),"")))</f>
        <v/>
      </c>
      <c r="N14" s="55">
        <f>IF($C14="","",IF(Summary!$C$16="N","",IFERROR(BDP($C14,'Field Check'!$C$16,'Field Check'!$C$17,TEXT(Summary!$C$12-4,"0")),"")))</f>
        <v/>
      </c>
      <c r="O14" s="55">
        <f>IF($C14="","",IF(Summary!$C$16="N","",IFERROR(BDP($C14,'Field Check'!$C$16,'Field Check'!$C$17,TEXT(Summary!$C$12-3,"0")),"")))</f>
        <v/>
      </c>
      <c r="P14" s="55">
        <f>IF($C14="","",IF(Summary!$C$16="N","",IFERROR(BDP($C14,'Field Check'!$C$16,'Field Check'!$C$17,TEXT(Summary!$C$12-2,"0")),"")))</f>
        <v/>
      </c>
      <c r="Q14" s="55">
        <f>IF($C14="","",IF(Summary!$C$16="N","",IFERROR(BDP($C14,'Field Check'!$C$16,'Field Check'!$C$17,TEXT(Summary!$C$12-1,"0")),"")))</f>
        <v/>
      </c>
      <c r="R14" s="56">
        <f>IF($C14="","",IF(Summary!$C$16="N","",IFERROR(BDP($C14,'Field Check'!$C$18,'Field Check'!$C$17,TEXT(Summary!$C$12-5,"0"))/100,"")))</f>
        <v/>
      </c>
      <c r="S14" s="56">
        <f>IF($C14="","",IF(Summary!$C$16="N","",IFERROR(BDP($C14,'Field Check'!$C$18,'Field Check'!$C$17,TEXT(Summary!$C$12-4,"0"))/100,"")))</f>
        <v/>
      </c>
      <c r="T14" s="56">
        <f>IF($C14="","",IF(Summary!$C$16="N","",IFERROR(BDP($C14,'Field Check'!$C$18,'Field Check'!$C$17,TEXT(Summary!$C$12-3,"0"))/100,"")))</f>
        <v/>
      </c>
      <c r="U14" s="56">
        <f>IF($C14="","",IF(Summary!$C$16="N","",IFERROR(BDP($C14,'Field Check'!$C$18,'Field Check'!$C$17,TEXT(Summary!$C$12-2,"0"))/100,"")))</f>
        <v/>
      </c>
      <c r="V14" s="56">
        <f>IF($C14="","",IF(Summary!$C$16="N","",IFERROR(BDP($C14,'Field Check'!$C$18,'Field Check'!$C$17,TEXT(Summary!$C$12-1,"0"))/100,"")))</f>
        <v/>
      </c>
      <c r="W14" s="57">
        <f>IF($C14="","",IFERROR(AVERAGE(R14:V14),""))</f>
        <v/>
      </c>
      <c r="X14" s="58">
        <f>IF($C14="","",IF(ISNUMBER($Q14)*(N($Q14)&gt;0)=0,"",IFERROR($J14/$Q14,"")))</f>
        <v/>
      </c>
      <c r="Y14" s="59">
        <f>IF($C14="","",IF(ISNUMBER(HSI!$I$9),HSI!$I$9/100,""))</f>
        <v/>
      </c>
      <c r="Z14" s="60">
        <f>IF($C14="","",IF(Summary!$C$16="N","",IFERROR(BDP($C14,'Field Check'!$C$19)/100,"")))</f>
        <v/>
      </c>
      <c r="AA14" s="61">
        <f>IF($C14="","",IF(N($Y14)+N($Z14)=0,"",N($Y14)+N($Z14)))</f>
        <v/>
      </c>
      <c r="AB14" s="60">
        <f>IF($C14="","",IF(Summary!$C$16="N","",IFERROR(BDP($C14,'Field Check'!$C$20)/100,"")))</f>
        <v/>
      </c>
      <c r="AC14" s="45">
        <f>IF($C14="","",IF(N($Y14)=0,"",IFERROR($AB14/$Y14,"")))</f>
        <v/>
      </c>
      <c r="AD14" s="55">
        <f>IF($C14="","",IF(Summary!$C$16="N","",IFERROR(BDP($C14,'Field Check'!$C$21),"")))</f>
        <v/>
      </c>
      <c r="AE14" s="55">
        <f>IF($C14="","",IF(Summary!$C$16="N","",IFERROR(BDP($C14,'Field Check'!$C$22),"")))</f>
        <v/>
      </c>
      <c r="AF14" s="55">
        <f>IF($C14="","",IF(Summary!$C$16="N","",IFERROR(BDP($C14,'Field Check'!$C$23),"")))</f>
        <v/>
      </c>
      <c r="AG14" s="40">
        <f>IF($C14="","",TRIM(IF(ISNUMBER($W14)*(N($W14)&gt;$D$7)&gt;0,"payout high  ","")&amp;IF(ISNUMBER($AC14)*(N($AC14)&lt;$F$7)&gt;0,"FCF below dvd  ","")&amp;IF(ISNUMBER($AE14)*(N($AE14)&gt;$H$7)&gt;0,"leverage high","")))</f>
        <v/>
      </c>
      <c r="AH14" s="40">
        <f>IF($C14="","",IF(HSI!$F$9="HKD","",IF(HSI!$F$9="","","DPS in "&amp;HSI!$F$9)))</f>
        <v/>
      </c>
    </row>
    <row r="15">
      <c r="B15" s="52" t="inlineStr">
        <is>
          <t>HSI</t>
        </is>
      </c>
      <c r="C15" s="6">
        <f>IF(HSI!$C$10="","",HSI!$C$10)</f>
        <v/>
      </c>
      <c r="D15" s="6">
        <f>IF($C15="","",HSI!$D$10)</f>
        <v/>
      </c>
      <c r="E15" s="6">
        <f>IF($C15="","",HSI!$E$10)</f>
        <v/>
      </c>
      <c r="F15" s="53">
        <f>IF($C15="","",SUMIFS('Dvd Calendar'!$E$56:$AR$56,'Dvd Calendar'!$E$55:$AR$55,"&gt;="&amp;DATE(Summary!$C$12-5,1,1),'Dvd Calendar'!$E$55:$AR$55,"&lt;="&amp;DATE(Summary!$C$12-5,12,31)))</f>
        <v/>
      </c>
      <c r="G15" s="53">
        <f>IF($C15="","",SUMIFS('Dvd Calendar'!$E$56:$AR$56,'Dvd Calendar'!$E$55:$AR$55,"&gt;="&amp;DATE(Summary!$C$12-4,1,1),'Dvd Calendar'!$E$55:$AR$55,"&lt;="&amp;DATE(Summary!$C$12-4,12,31)))</f>
        <v/>
      </c>
      <c r="H15" s="53">
        <f>IF($C15="","",SUMIFS('Dvd Calendar'!$E$56:$AR$56,'Dvd Calendar'!$E$55:$AR$55,"&gt;="&amp;DATE(Summary!$C$12-3,1,1),'Dvd Calendar'!$E$55:$AR$55,"&lt;="&amp;DATE(Summary!$C$12-3,12,31)))</f>
        <v/>
      </c>
      <c r="I15" s="53">
        <f>IF($C15="","",SUMIFS('Dvd Calendar'!$E$56:$AR$56,'Dvd Calendar'!$E$55:$AR$55,"&gt;="&amp;DATE(Summary!$C$12-2,1,1),'Dvd Calendar'!$E$55:$AR$55,"&lt;="&amp;DATE(Summary!$C$12-2,12,31)))</f>
        <v/>
      </c>
      <c r="J15" s="53">
        <f>IF($C15="","",SUMIFS('Dvd Calendar'!$E$56:$AR$56,'Dvd Calendar'!$E$55:$AR$55,"&gt;="&amp;DATE(Summary!$C$12-1,1,1),'Dvd Calendar'!$E$55:$AR$55,"&lt;="&amp;DATE(Summary!$C$12-1,12,31)))</f>
        <v/>
      </c>
      <c r="K15" s="54">
        <f>IF($C15="","",SUMIFS('Dvd Calendar'!$E$56:$AR$56,'Dvd Calendar'!$E$55:$AR$55,"&gt;="&amp;DATE(Summary!$C$12,1,1),'Dvd Calendar'!$E$55:$AR$55,"&lt;="&amp;MIN(Summary!$C$11,DATE(Summary!$C$12,12,31))))</f>
        <v/>
      </c>
      <c r="L15" s="38">
        <f>IF($C15="","",AVERAGE(F15:J15))</f>
        <v/>
      </c>
      <c r="M15" s="55">
        <f>IF($C15="","",IF(Summary!$C$16="N","",IFERROR(BDP($C15,'Field Check'!$C$16,'Field Check'!$C$17,TEXT(Summary!$C$12-5,"0")),"")))</f>
        <v/>
      </c>
      <c r="N15" s="55">
        <f>IF($C15="","",IF(Summary!$C$16="N","",IFERROR(BDP($C15,'Field Check'!$C$16,'Field Check'!$C$17,TEXT(Summary!$C$12-4,"0")),"")))</f>
        <v/>
      </c>
      <c r="O15" s="55">
        <f>IF($C15="","",IF(Summary!$C$16="N","",IFERROR(BDP($C15,'Field Check'!$C$16,'Field Check'!$C$17,TEXT(Summary!$C$12-3,"0")),"")))</f>
        <v/>
      </c>
      <c r="P15" s="55">
        <f>IF($C15="","",IF(Summary!$C$16="N","",IFERROR(BDP($C15,'Field Check'!$C$16,'Field Check'!$C$17,TEXT(Summary!$C$12-2,"0")),"")))</f>
        <v/>
      </c>
      <c r="Q15" s="55">
        <f>IF($C15="","",IF(Summary!$C$16="N","",IFERROR(BDP($C15,'Field Check'!$C$16,'Field Check'!$C$17,TEXT(Summary!$C$12-1,"0")),"")))</f>
        <v/>
      </c>
      <c r="R15" s="56">
        <f>IF($C15="","",IF(Summary!$C$16="N","",IFERROR(BDP($C15,'Field Check'!$C$18,'Field Check'!$C$17,TEXT(Summary!$C$12-5,"0"))/100,"")))</f>
        <v/>
      </c>
      <c r="S15" s="56">
        <f>IF($C15="","",IF(Summary!$C$16="N","",IFERROR(BDP($C15,'Field Check'!$C$18,'Field Check'!$C$17,TEXT(Summary!$C$12-4,"0"))/100,"")))</f>
        <v/>
      </c>
      <c r="T15" s="56">
        <f>IF($C15="","",IF(Summary!$C$16="N","",IFERROR(BDP($C15,'Field Check'!$C$18,'Field Check'!$C$17,TEXT(Summary!$C$12-3,"0"))/100,"")))</f>
        <v/>
      </c>
      <c r="U15" s="56">
        <f>IF($C15="","",IF(Summary!$C$16="N","",IFERROR(BDP($C15,'Field Check'!$C$18,'Field Check'!$C$17,TEXT(Summary!$C$12-2,"0"))/100,"")))</f>
        <v/>
      </c>
      <c r="V15" s="56">
        <f>IF($C15="","",IF(Summary!$C$16="N","",IFERROR(BDP($C15,'Field Check'!$C$18,'Field Check'!$C$17,TEXT(Summary!$C$12-1,"0"))/100,"")))</f>
        <v/>
      </c>
      <c r="W15" s="57">
        <f>IF($C15="","",IFERROR(AVERAGE(R15:V15),""))</f>
        <v/>
      </c>
      <c r="X15" s="58">
        <f>IF($C15="","",IF(ISNUMBER($Q15)*(N($Q15)&gt;0)=0,"",IFERROR($J15/$Q15,"")))</f>
        <v/>
      </c>
      <c r="Y15" s="59">
        <f>IF($C15="","",IF(ISNUMBER(HSI!$I$10),HSI!$I$10/100,""))</f>
        <v/>
      </c>
      <c r="Z15" s="60">
        <f>IF($C15="","",IF(Summary!$C$16="N","",IFERROR(BDP($C15,'Field Check'!$C$19)/100,"")))</f>
        <v/>
      </c>
      <c r="AA15" s="61">
        <f>IF($C15="","",IF(N($Y15)+N($Z15)=0,"",N($Y15)+N($Z15)))</f>
        <v/>
      </c>
      <c r="AB15" s="60">
        <f>IF($C15="","",IF(Summary!$C$16="N","",IFERROR(BDP($C15,'Field Check'!$C$20)/100,"")))</f>
        <v/>
      </c>
      <c r="AC15" s="45">
        <f>IF($C15="","",IF(N($Y15)=0,"",IFERROR($AB15/$Y15,"")))</f>
        <v/>
      </c>
      <c r="AD15" s="55">
        <f>IF($C15="","",IF(Summary!$C$16="N","",IFERROR(BDP($C15,'Field Check'!$C$21),"")))</f>
        <v/>
      </c>
      <c r="AE15" s="55">
        <f>IF($C15="","",IF(Summary!$C$16="N","",IFERROR(BDP($C15,'Field Check'!$C$22),"")))</f>
        <v/>
      </c>
      <c r="AF15" s="55">
        <f>IF($C15="","",IF(Summary!$C$16="N","",IFERROR(BDP($C15,'Field Check'!$C$23),"")))</f>
        <v/>
      </c>
      <c r="AG15" s="40">
        <f>IF($C15="","",TRIM(IF(ISNUMBER($W15)*(N($W15)&gt;$D$7)&gt;0,"payout high  ","")&amp;IF(ISNUMBER($AC15)*(N($AC15)&lt;$F$7)&gt;0,"FCF below dvd  ","")&amp;IF(ISNUMBER($AE15)*(N($AE15)&gt;$H$7)&gt;0,"leverage high","")))</f>
        <v/>
      </c>
      <c r="AH15" s="40">
        <f>IF($C15="","",IF(HSI!$F$10="HKD","",IF(HSI!$F$10="","","DPS in "&amp;HSI!$F$10)))</f>
        <v/>
      </c>
    </row>
    <row r="16">
      <c r="B16" s="52" t="inlineStr">
        <is>
          <t>HSI</t>
        </is>
      </c>
      <c r="C16" s="6">
        <f>IF(HSI!$C$11="","",HSI!$C$11)</f>
        <v/>
      </c>
      <c r="D16" s="6">
        <f>IF($C16="","",HSI!$D$11)</f>
        <v/>
      </c>
      <c r="E16" s="6">
        <f>IF($C16="","",HSI!$E$11)</f>
        <v/>
      </c>
      <c r="F16" s="53">
        <f>IF($C16="","",SUMIFS('Dvd Calendar'!$E$71:$AR$71,'Dvd Calendar'!$E$70:$AR$70,"&gt;="&amp;DATE(Summary!$C$12-5,1,1),'Dvd Calendar'!$E$70:$AR$70,"&lt;="&amp;DATE(Summary!$C$12-5,12,31)))</f>
        <v/>
      </c>
      <c r="G16" s="53">
        <f>IF($C16="","",SUMIFS('Dvd Calendar'!$E$71:$AR$71,'Dvd Calendar'!$E$70:$AR$70,"&gt;="&amp;DATE(Summary!$C$12-4,1,1),'Dvd Calendar'!$E$70:$AR$70,"&lt;="&amp;DATE(Summary!$C$12-4,12,31)))</f>
        <v/>
      </c>
      <c r="H16" s="53">
        <f>IF($C16="","",SUMIFS('Dvd Calendar'!$E$71:$AR$71,'Dvd Calendar'!$E$70:$AR$70,"&gt;="&amp;DATE(Summary!$C$12-3,1,1),'Dvd Calendar'!$E$70:$AR$70,"&lt;="&amp;DATE(Summary!$C$12-3,12,31)))</f>
        <v/>
      </c>
      <c r="I16" s="53">
        <f>IF($C16="","",SUMIFS('Dvd Calendar'!$E$71:$AR$71,'Dvd Calendar'!$E$70:$AR$70,"&gt;="&amp;DATE(Summary!$C$12-2,1,1),'Dvd Calendar'!$E$70:$AR$70,"&lt;="&amp;DATE(Summary!$C$12-2,12,31)))</f>
        <v/>
      </c>
      <c r="J16" s="53">
        <f>IF($C16="","",SUMIFS('Dvd Calendar'!$E$71:$AR$71,'Dvd Calendar'!$E$70:$AR$70,"&gt;="&amp;DATE(Summary!$C$12-1,1,1),'Dvd Calendar'!$E$70:$AR$70,"&lt;="&amp;DATE(Summary!$C$12-1,12,31)))</f>
        <v/>
      </c>
      <c r="K16" s="54">
        <f>IF($C16="","",SUMIFS('Dvd Calendar'!$E$71:$AR$71,'Dvd Calendar'!$E$70:$AR$70,"&gt;="&amp;DATE(Summary!$C$12,1,1),'Dvd Calendar'!$E$70:$AR$70,"&lt;="&amp;MIN(Summary!$C$11,DATE(Summary!$C$12,12,31))))</f>
        <v/>
      </c>
      <c r="L16" s="38">
        <f>IF($C16="","",AVERAGE(F16:J16))</f>
        <v/>
      </c>
      <c r="M16" s="55">
        <f>IF($C16="","",IF(Summary!$C$16="N","",IFERROR(BDP($C16,'Field Check'!$C$16,'Field Check'!$C$17,TEXT(Summary!$C$12-5,"0")),"")))</f>
        <v/>
      </c>
      <c r="N16" s="55">
        <f>IF($C16="","",IF(Summary!$C$16="N","",IFERROR(BDP($C16,'Field Check'!$C$16,'Field Check'!$C$17,TEXT(Summary!$C$12-4,"0")),"")))</f>
        <v/>
      </c>
      <c r="O16" s="55">
        <f>IF($C16="","",IF(Summary!$C$16="N","",IFERROR(BDP($C16,'Field Check'!$C$16,'Field Check'!$C$17,TEXT(Summary!$C$12-3,"0")),"")))</f>
        <v/>
      </c>
      <c r="P16" s="55">
        <f>IF($C16="","",IF(Summary!$C$16="N","",IFERROR(BDP($C16,'Field Check'!$C$16,'Field Check'!$C$17,TEXT(Summary!$C$12-2,"0")),"")))</f>
        <v/>
      </c>
      <c r="Q16" s="55">
        <f>IF($C16="","",IF(Summary!$C$16="N","",IFERROR(BDP($C16,'Field Check'!$C$16,'Field Check'!$C$17,TEXT(Summary!$C$12-1,"0")),"")))</f>
        <v/>
      </c>
      <c r="R16" s="56">
        <f>IF($C16="","",IF(Summary!$C$16="N","",IFERROR(BDP($C16,'Field Check'!$C$18,'Field Check'!$C$17,TEXT(Summary!$C$12-5,"0"))/100,"")))</f>
        <v/>
      </c>
      <c r="S16" s="56">
        <f>IF($C16="","",IF(Summary!$C$16="N","",IFERROR(BDP($C16,'Field Check'!$C$18,'Field Check'!$C$17,TEXT(Summary!$C$12-4,"0"))/100,"")))</f>
        <v/>
      </c>
      <c r="T16" s="56">
        <f>IF($C16="","",IF(Summary!$C$16="N","",IFERROR(BDP($C16,'Field Check'!$C$18,'Field Check'!$C$17,TEXT(Summary!$C$12-3,"0"))/100,"")))</f>
        <v/>
      </c>
      <c r="U16" s="56">
        <f>IF($C16="","",IF(Summary!$C$16="N","",IFERROR(BDP($C16,'Field Check'!$C$18,'Field Check'!$C$17,TEXT(Summary!$C$12-2,"0"))/100,"")))</f>
        <v/>
      </c>
      <c r="V16" s="56">
        <f>IF($C16="","",IF(Summary!$C$16="N","",IFERROR(BDP($C16,'Field Check'!$C$18,'Field Check'!$C$17,TEXT(Summary!$C$12-1,"0"))/100,"")))</f>
        <v/>
      </c>
      <c r="W16" s="57">
        <f>IF($C16="","",IFERROR(AVERAGE(R16:V16),""))</f>
        <v/>
      </c>
      <c r="X16" s="58">
        <f>IF($C16="","",IF(ISNUMBER($Q16)*(N($Q16)&gt;0)=0,"",IFERROR($J16/$Q16,"")))</f>
        <v/>
      </c>
      <c r="Y16" s="59">
        <f>IF($C16="","",IF(ISNUMBER(HSI!$I$11),HSI!$I$11/100,""))</f>
        <v/>
      </c>
      <c r="Z16" s="60">
        <f>IF($C16="","",IF(Summary!$C$16="N","",IFERROR(BDP($C16,'Field Check'!$C$19)/100,"")))</f>
        <v/>
      </c>
      <c r="AA16" s="61">
        <f>IF($C16="","",IF(N($Y16)+N($Z16)=0,"",N($Y16)+N($Z16)))</f>
        <v/>
      </c>
      <c r="AB16" s="60">
        <f>IF($C16="","",IF(Summary!$C$16="N","",IFERROR(BDP($C16,'Field Check'!$C$20)/100,"")))</f>
        <v/>
      </c>
      <c r="AC16" s="45">
        <f>IF($C16="","",IF(N($Y16)=0,"",IFERROR($AB16/$Y16,"")))</f>
        <v/>
      </c>
      <c r="AD16" s="55">
        <f>IF($C16="","",IF(Summary!$C$16="N","",IFERROR(BDP($C16,'Field Check'!$C$21),"")))</f>
        <v/>
      </c>
      <c r="AE16" s="55">
        <f>IF($C16="","",IF(Summary!$C$16="N","",IFERROR(BDP($C16,'Field Check'!$C$22),"")))</f>
        <v/>
      </c>
      <c r="AF16" s="55">
        <f>IF($C16="","",IF(Summary!$C$16="N","",IFERROR(BDP($C16,'Field Check'!$C$23),"")))</f>
        <v/>
      </c>
      <c r="AG16" s="40">
        <f>IF($C16="","",TRIM(IF(ISNUMBER($W16)*(N($W16)&gt;$D$7)&gt;0,"payout high  ","")&amp;IF(ISNUMBER($AC16)*(N($AC16)&lt;$F$7)&gt;0,"FCF below dvd  ","")&amp;IF(ISNUMBER($AE16)*(N($AE16)&gt;$H$7)&gt;0,"leverage high","")))</f>
        <v/>
      </c>
      <c r="AH16" s="40">
        <f>IF($C16="","",IF(HSI!$F$11="HKD","",IF(HSI!$F$11="","","DPS in "&amp;HSI!$F$11)))</f>
        <v/>
      </c>
    </row>
    <row r="17">
      <c r="B17" s="52" t="inlineStr">
        <is>
          <t>HSI</t>
        </is>
      </c>
      <c r="C17" s="6">
        <f>IF(HSI!$C$12="","",HSI!$C$12)</f>
        <v/>
      </c>
      <c r="D17" s="6">
        <f>IF($C17="","",HSI!$D$12)</f>
        <v/>
      </c>
      <c r="E17" s="6">
        <f>IF($C17="","",HSI!$E$12)</f>
        <v/>
      </c>
      <c r="F17" s="53">
        <f>IF($C17="","",SUMIFS('Dvd Calendar'!$E$86:$AR$86,'Dvd Calendar'!$E$85:$AR$85,"&gt;="&amp;DATE(Summary!$C$12-5,1,1),'Dvd Calendar'!$E$85:$AR$85,"&lt;="&amp;DATE(Summary!$C$12-5,12,31)))</f>
        <v/>
      </c>
      <c r="G17" s="53">
        <f>IF($C17="","",SUMIFS('Dvd Calendar'!$E$86:$AR$86,'Dvd Calendar'!$E$85:$AR$85,"&gt;="&amp;DATE(Summary!$C$12-4,1,1),'Dvd Calendar'!$E$85:$AR$85,"&lt;="&amp;DATE(Summary!$C$12-4,12,31)))</f>
        <v/>
      </c>
      <c r="H17" s="53">
        <f>IF($C17="","",SUMIFS('Dvd Calendar'!$E$86:$AR$86,'Dvd Calendar'!$E$85:$AR$85,"&gt;="&amp;DATE(Summary!$C$12-3,1,1),'Dvd Calendar'!$E$85:$AR$85,"&lt;="&amp;DATE(Summary!$C$12-3,12,31)))</f>
        <v/>
      </c>
      <c r="I17" s="53">
        <f>IF($C17="","",SUMIFS('Dvd Calendar'!$E$86:$AR$86,'Dvd Calendar'!$E$85:$AR$85,"&gt;="&amp;DATE(Summary!$C$12-2,1,1),'Dvd Calendar'!$E$85:$AR$85,"&lt;="&amp;DATE(Summary!$C$12-2,12,31)))</f>
        <v/>
      </c>
      <c r="J17" s="53">
        <f>IF($C17="","",SUMIFS('Dvd Calendar'!$E$86:$AR$86,'Dvd Calendar'!$E$85:$AR$85,"&gt;="&amp;DATE(Summary!$C$12-1,1,1),'Dvd Calendar'!$E$85:$AR$85,"&lt;="&amp;DATE(Summary!$C$12-1,12,31)))</f>
        <v/>
      </c>
      <c r="K17" s="54">
        <f>IF($C17="","",SUMIFS('Dvd Calendar'!$E$86:$AR$86,'Dvd Calendar'!$E$85:$AR$85,"&gt;="&amp;DATE(Summary!$C$12,1,1),'Dvd Calendar'!$E$85:$AR$85,"&lt;="&amp;MIN(Summary!$C$11,DATE(Summary!$C$12,12,31))))</f>
        <v/>
      </c>
      <c r="L17" s="38">
        <f>IF($C17="","",AVERAGE(F17:J17))</f>
        <v/>
      </c>
      <c r="M17" s="55">
        <f>IF($C17="","",IF(Summary!$C$16="N","",IFERROR(BDP($C17,'Field Check'!$C$16,'Field Check'!$C$17,TEXT(Summary!$C$12-5,"0")),"")))</f>
        <v/>
      </c>
      <c r="N17" s="55">
        <f>IF($C17="","",IF(Summary!$C$16="N","",IFERROR(BDP($C17,'Field Check'!$C$16,'Field Check'!$C$17,TEXT(Summary!$C$12-4,"0")),"")))</f>
        <v/>
      </c>
      <c r="O17" s="55">
        <f>IF($C17="","",IF(Summary!$C$16="N","",IFERROR(BDP($C17,'Field Check'!$C$16,'Field Check'!$C$17,TEXT(Summary!$C$12-3,"0")),"")))</f>
        <v/>
      </c>
      <c r="P17" s="55">
        <f>IF($C17="","",IF(Summary!$C$16="N","",IFERROR(BDP($C17,'Field Check'!$C$16,'Field Check'!$C$17,TEXT(Summary!$C$12-2,"0")),"")))</f>
        <v/>
      </c>
      <c r="Q17" s="55">
        <f>IF($C17="","",IF(Summary!$C$16="N","",IFERROR(BDP($C17,'Field Check'!$C$16,'Field Check'!$C$17,TEXT(Summary!$C$12-1,"0")),"")))</f>
        <v/>
      </c>
      <c r="R17" s="56">
        <f>IF($C17="","",IF(Summary!$C$16="N","",IFERROR(BDP($C17,'Field Check'!$C$18,'Field Check'!$C$17,TEXT(Summary!$C$12-5,"0"))/100,"")))</f>
        <v/>
      </c>
      <c r="S17" s="56">
        <f>IF($C17="","",IF(Summary!$C$16="N","",IFERROR(BDP($C17,'Field Check'!$C$18,'Field Check'!$C$17,TEXT(Summary!$C$12-4,"0"))/100,"")))</f>
        <v/>
      </c>
      <c r="T17" s="56">
        <f>IF($C17="","",IF(Summary!$C$16="N","",IFERROR(BDP($C17,'Field Check'!$C$18,'Field Check'!$C$17,TEXT(Summary!$C$12-3,"0"))/100,"")))</f>
        <v/>
      </c>
      <c r="U17" s="56">
        <f>IF($C17="","",IF(Summary!$C$16="N","",IFERROR(BDP($C17,'Field Check'!$C$18,'Field Check'!$C$17,TEXT(Summary!$C$12-2,"0"))/100,"")))</f>
        <v/>
      </c>
      <c r="V17" s="56">
        <f>IF($C17="","",IF(Summary!$C$16="N","",IFERROR(BDP($C17,'Field Check'!$C$18,'Field Check'!$C$17,TEXT(Summary!$C$12-1,"0"))/100,"")))</f>
        <v/>
      </c>
      <c r="W17" s="57">
        <f>IF($C17="","",IFERROR(AVERAGE(R17:V17),""))</f>
        <v/>
      </c>
      <c r="X17" s="58">
        <f>IF($C17="","",IF(ISNUMBER($Q17)*(N($Q17)&gt;0)=0,"",IFERROR($J17/$Q17,"")))</f>
        <v/>
      </c>
      <c r="Y17" s="59">
        <f>IF($C17="","",IF(ISNUMBER(HSI!$I$12),HSI!$I$12/100,""))</f>
        <v/>
      </c>
      <c r="Z17" s="60">
        <f>IF($C17="","",IF(Summary!$C$16="N","",IFERROR(BDP($C17,'Field Check'!$C$19)/100,"")))</f>
        <v/>
      </c>
      <c r="AA17" s="61">
        <f>IF($C17="","",IF(N($Y17)+N($Z17)=0,"",N($Y17)+N($Z17)))</f>
        <v/>
      </c>
      <c r="AB17" s="60">
        <f>IF($C17="","",IF(Summary!$C$16="N","",IFERROR(BDP($C17,'Field Check'!$C$20)/100,"")))</f>
        <v/>
      </c>
      <c r="AC17" s="45">
        <f>IF($C17="","",IF(N($Y17)=0,"",IFERROR($AB17/$Y17,"")))</f>
        <v/>
      </c>
      <c r="AD17" s="55">
        <f>IF($C17="","",IF(Summary!$C$16="N","",IFERROR(BDP($C17,'Field Check'!$C$21),"")))</f>
        <v/>
      </c>
      <c r="AE17" s="55">
        <f>IF($C17="","",IF(Summary!$C$16="N","",IFERROR(BDP($C17,'Field Check'!$C$22),"")))</f>
        <v/>
      </c>
      <c r="AF17" s="55">
        <f>IF($C17="","",IF(Summary!$C$16="N","",IFERROR(BDP($C17,'Field Check'!$C$23),"")))</f>
        <v/>
      </c>
      <c r="AG17" s="40">
        <f>IF($C17="","",TRIM(IF(ISNUMBER($W17)*(N($W17)&gt;$D$7)&gt;0,"payout high  ","")&amp;IF(ISNUMBER($AC17)*(N($AC17)&lt;$F$7)&gt;0,"FCF below dvd  ","")&amp;IF(ISNUMBER($AE17)*(N($AE17)&gt;$H$7)&gt;0,"leverage high","")))</f>
        <v/>
      </c>
      <c r="AH17" s="40">
        <f>IF($C17="","",IF(HSI!$F$12="HKD","",IF(HSI!$F$12="","","DPS in "&amp;HSI!$F$12)))</f>
        <v/>
      </c>
    </row>
    <row r="18">
      <c r="B18" s="52" t="inlineStr">
        <is>
          <t>HSI</t>
        </is>
      </c>
      <c r="C18" s="6">
        <f>IF(HSI!$C$13="","",HSI!$C$13)</f>
        <v/>
      </c>
      <c r="D18" s="6">
        <f>IF($C18="","",HSI!$D$13)</f>
        <v/>
      </c>
      <c r="E18" s="6">
        <f>IF($C18="","",HSI!$E$13)</f>
        <v/>
      </c>
      <c r="F18" s="53">
        <f>IF($C18="","",SUMIFS('Dvd Calendar'!$E$101:$AR$101,'Dvd Calendar'!$E$100:$AR$100,"&gt;="&amp;DATE(Summary!$C$12-5,1,1),'Dvd Calendar'!$E$100:$AR$100,"&lt;="&amp;DATE(Summary!$C$12-5,12,31)))</f>
        <v/>
      </c>
      <c r="G18" s="53">
        <f>IF($C18="","",SUMIFS('Dvd Calendar'!$E$101:$AR$101,'Dvd Calendar'!$E$100:$AR$100,"&gt;="&amp;DATE(Summary!$C$12-4,1,1),'Dvd Calendar'!$E$100:$AR$100,"&lt;="&amp;DATE(Summary!$C$12-4,12,31)))</f>
        <v/>
      </c>
      <c r="H18" s="53">
        <f>IF($C18="","",SUMIFS('Dvd Calendar'!$E$101:$AR$101,'Dvd Calendar'!$E$100:$AR$100,"&gt;="&amp;DATE(Summary!$C$12-3,1,1),'Dvd Calendar'!$E$100:$AR$100,"&lt;="&amp;DATE(Summary!$C$12-3,12,31)))</f>
        <v/>
      </c>
      <c r="I18" s="53">
        <f>IF($C18="","",SUMIFS('Dvd Calendar'!$E$101:$AR$101,'Dvd Calendar'!$E$100:$AR$100,"&gt;="&amp;DATE(Summary!$C$12-2,1,1),'Dvd Calendar'!$E$100:$AR$100,"&lt;="&amp;DATE(Summary!$C$12-2,12,31)))</f>
        <v/>
      </c>
      <c r="J18" s="53">
        <f>IF($C18="","",SUMIFS('Dvd Calendar'!$E$101:$AR$101,'Dvd Calendar'!$E$100:$AR$100,"&gt;="&amp;DATE(Summary!$C$12-1,1,1),'Dvd Calendar'!$E$100:$AR$100,"&lt;="&amp;DATE(Summary!$C$12-1,12,31)))</f>
        <v/>
      </c>
      <c r="K18" s="54">
        <f>IF($C18="","",SUMIFS('Dvd Calendar'!$E$101:$AR$101,'Dvd Calendar'!$E$100:$AR$100,"&gt;="&amp;DATE(Summary!$C$12,1,1),'Dvd Calendar'!$E$100:$AR$100,"&lt;="&amp;MIN(Summary!$C$11,DATE(Summary!$C$12,12,31))))</f>
        <v/>
      </c>
      <c r="L18" s="38">
        <f>IF($C18="","",AVERAGE(F18:J18))</f>
        <v/>
      </c>
      <c r="M18" s="55">
        <f>IF($C18="","",IF(Summary!$C$16="N","",IFERROR(BDP($C18,'Field Check'!$C$16,'Field Check'!$C$17,TEXT(Summary!$C$12-5,"0")),"")))</f>
        <v/>
      </c>
      <c r="N18" s="55">
        <f>IF($C18="","",IF(Summary!$C$16="N","",IFERROR(BDP($C18,'Field Check'!$C$16,'Field Check'!$C$17,TEXT(Summary!$C$12-4,"0")),"")))</f>
        <v/>
      </c>
      <c r="O18" s="55">
        <f>IF($C18="","",IF(Summary!$C$16="N","",IFERROR(BDP($C18,'Field Check'!$C$16,'Field Check'!$C$17,TEXT(Summary!$C$12-3,"0")),"")))</f>
        <v/>
      </c>
      <c r="P18" s="55">
        <f>IF($C18="","",IF(Summary!$C$16="N","",IFERROR(BDP($C18,'Field Check'!$C$16,'Field Check'!$C$17,TEXT(Summary!$C$12-2,"0")),"")))</f>
        <v/>
      </c>
      <c r="Q18" s="55">
        <f>IF($C18="","",IF(Summary!$C$16="N","",IFERROR(BDP($C18,'Field Check'!$C$16,'Field Check'!$C$17,TEXT(Summary!$C$12-1,"0")),"")))</f>
        <v/>
      </c>
      <c r="R18" s="56">
        <f>IF($C18="","",IF(Summary!$C$16="N","",IFERROR(BDP($C18,'Field Check'!$C$18,'Field Check'!$C$17,TEXT(Summary!$C$12-5,"0"))/100,"")))</f>
        <v/>
      </c>
      <c r="S18" s="56">
        <f>IF($C18="","",IF(Summary!$C$16="N","",IFERROR(BDP($C18,'Field Check'!$C$18,'Field Check'!$C$17,TEXT(Summary!$C$12-4,"0"))/100,"")))</f>
        <v/>
      </c>
      <c r="T18" s="56">
        <f>IF($C18="","",IF(Summary!$C$16="N","",IFERROR(BDP($C18,'Field Check'!$C$18,'Field Check'!$C$17,TEXT(Summary!$C$12-3,"0"))/100,"")))</f>
        <v/>
      </c>
      <c r="U18" s="56">
        <f>IF($C18="","",IF(Summary!$C$16="N","",IFERROR(BDP($C18,'Field Check'!$C$18,'Field Check'!$C$17,TEXT(Summary!$C$12-2,"0"))/100,"")))</f>
        <v/>
      </c>
      <c r="V18" s="56">
        <f>IF($C18="","",IF(Summary!$C$16="N","",IFERROR(BDP($C18,'Field Check'!$C$18,'Field Check'!$C$17,TEXT(Summary!$C$12-1,"0"))/100,"")))</f>
        <v/>
      </c>
      <c r="W18" s="57">
        <f>IF($C18="","",IFERROR(AVERAGE(R18:V18),""))</f>
        <v/>
      </c>
      <c r="X18" s="58">
        <f>IF($C18="","",IF(ISNUMBER($Q18)*(N($Q18)&gt;0)=0,"",IFERROR($J18/$Q18,"")))</f>
        <v/>
      </c>
      <c r="Y18" s="59">
        <f>IF($C18="","",IF(ISNUMBER(HSI!$I$13),HSI!$I$13/100,""))</f>
        <v/>
      </c>
      <c r="Z18" s="60">
        <f>IF($C18="","",IF(Summary!$C$16="N","",IFERROR(BDP($C18,'Field Check'!$C$19)/100,"")))</f>
        <v/>
      </c>
      <c r="AA18" s="61">
        <f>IF($C18="","",IF(N($Y18)+N($Z18)=0,"",N($Y18)+N($Z18)))</f>
        <v/>
      </c>
      <c r="AB18" s="60">
        <f>IF($C18="","",IF(Summary!$C$16="N","",IFERROR(BDP($C18,'Field Check'!$C$20)/100,"")))</f>
        <v/>
      </c>
      <c r="AC18" s="45">
        <f>IF($C18="","",IF(N($Y18)=0,"",IFERROR($AB18/$Y18,"")))</f>
        <v/>
      </c>
      <c r="AD18" s="55">
        <f>IF($C18="","",IF(Summary!$C$16="N","",IFERROR(BDP($C18,'Field Check'!$C$21),"")))</f>
        <v/>
      </c>
      <c r="AE18" s="55">
        <f>IF($C18="","",IF(Summary!$C$16="N","",IFERROR(BDP($C18,'Field Check'!$C$22),"")))</f>
        <v/>
      </c>
      <c r="AF18" s="55">
        <f>IF($C18="","",IF(Summary!$C$16="N","",IFERROR(BDP($C18,'Field Check'!$C$23),"")))</f>
        <v/>
      </c>
      <c r="AG18" s="40">
        <f>IF($C18="","",TRIM(IF(ISNUMBER($W18)*(N($W18)&gt;$D$7)&gt;0,"payout high  ","")&amp;IF(ISNUMBER($AC18)*(N($AC18)&lt;$F$7)&gt;0,"FCF below dvd  ","")&amp;IF(ISNUMBER($AE18)*(N($AE18)&gt;$H$7)&gt;0,"leverage high","")))</f>
        <v/>
      </c>
      <c r="AH18" s="40">
        <f>IF($C18="","",IF(HSI!$F$13="HKD","",IF(HSI!$F$13="","","DPS in "&amp;HSI!$F$13)))</f>
        <v/>
      </c>
    </row>
    <row r="19">
      <c r="B19" s="52" t="inlineStr">
        <is>
          <t>HSI</t>
        </is>
      </c>
      <c r="C19" s="6">
        <f>IF(HSI!$C$14="","",HSI!$C$14)</f>
        <v/>
      </c>
      <c r="D19" s="6">
        <f>IF($C19="","",HSI!$D$14)</f>
        <v/>
      </c>
      <c r="E19" s="6">
        <f>IF($C19="","",HSI!$E$14)</f>
        <v/>
      </c>
      <c r="F19" s="53">
        <f>IF($C19="","",SUMIFS('Dvd Calendar'!$E$116:$AR$116,'Dvd Calendar'!$E$115:$AR$115,"&gt;="&amp;DATE(Summary!$C$12-5,1,1),'Dvd Calendar'!$E$115:$AR$115,"&lt;="&amp;DATE(Summary!$C$12-5,12,31)))</f>
        <v/>
      </c>
      <c r="G19" s="53">
        <f>IF($C19="","",SUMIFS('Dvd Calendar'!$E$116:$AR$116,'Dvd Calendar'!$E$115:$AR$115,"&gt;="&amp;DATE(Summary!$C$12-4,1,1),'Dvd Calendar'!$E$115:$AR$115,"&lt;="&amp;DATE(Summary!$C$12-4,12,31)))</f>
        <v/>
      </c>
      <c r="H19" s="53">
        <f>IF($C19="","",SUMIFS('Dvd Calendar'!$E$116:$AR$116,'Dvd Calendar'!$E$115:$AR$115,"&gt;="&amp;DATE(Summary!$C$12-3,1,1),'Dvd Calendar'!$E$115:$AR$115,"&lt;="&amp;DATE(Summary!$C$12-3,12,31)))</f>
        <v/>
      </c>
      <c r="I19" s="53">
        <f>IF($C19="","",SUMIFS('Dvd Calendar'!$E$116:$AR$116,'Dvd Calendar'!$E$115:$AR$115,"&gt;="&amp;DATE(Summary!$C$12-2,1,1),'Dvd Calendar'!$E$115:$AR$115,"&lt;="&amp;DATE(Summary!$C$12-2,12,31)))</f>
        <v/>
      </c>
      <c r="J19" s="53">
        <f>IF($C19="","",SUMIFS('Dvd Calendar'!$E$116:$AR$116,'Dvd Calendar'!$E$115:$AR$115,"&gt;="&amp;DATE(Summary!$C$12-1,1,1),'Dvd Calendar'!$E$115:$AR$115,"&lt;="&amp;DATE(Summary!$C$12-1,12,31)))</f>
        <v/>
      </c>
      <c r="K19" s="54">
        <f>IF($C19="","",SUMIFS('Dvd Calendar'!$E$116:$AR$116,'Dvd Calendar'!$E$115:$AR$115,"&gt;="&amp;DATE(Summary!$C$12,1,1),'Dvd Calendar'!$E$115:$AR$115,"&lt;="&amp;MIN(Summary!$C$11,DATE(Summary!$C$12,12,31))))</f>
        <v/>
      </c>
      <c r="L19" s="38">
        <f>IF($C19="","",AVERAGE(F19:J19))</f>
        <v/>
      </c>
      <c r="M19" s="55">
        <f>IF($C19="","",IF(Summary!$C$16="N","",IFERROR(BDP($C19,'Field Check'!$C$16,'Field Check'!$C$17,TEXT(Summary!$C$12-5,"0")),"")))</f>
        <v/>
      </c>
      <c r="N19" s="55">
        <f>IF($C19="","",IF(Summary!$C$16="N","",IFERROR(BDP($C19,'Field Check'!$C$16,'Field Check'!$C$17,TEXT(Summary!$C$12-4,"0")),"")))</f>
        <v/>
      </c>
      <c r="O19" s="55">
        <f>IF($C19="","",IF(Summary!$C$16="N","",IFERROR(BDP($C19,'Field Check'!$C$16,'Field Check'!$C$17,TEXT(Summary!$C$12-3,"0")),"")))</f>
        <v/>
      </c>
      <c r="P19" s="55">
        <f>IF($C19="","",IF(Summary!$C$16="N","",IFERROR(BDP($C19,'Field Check'!$C$16,'Field Check'!$C$17,TEXT(Summary!$C$12-2,"0")),"")))</f>
        <v/>
      </c>
      <c r="Q19" s="55">
        <f>IF($C19="","",IF(Summary!$C$16="N","",IFERROR(BDP($C19,'Field Check'!$C$16,'Field Check'!$C$17,TEXT(Summary!$C$12-1,"0")),"")))</f>
        <v/>
      </c>
      <c r="R19" s="56">
        <f>IF($C19="","",IF(Summary!$C$16="N","",IFERROR(BDP($C19,'Field Check'!$C$18,'Field Check'!$C$17,TEXT(Summary!$C$12-5,"0"))/100,"")))</f>
        <v/>
      </c>
      <c r="S19" s="56">
        <f>IF($C19="","",IF(Summary!$C$16="N","",IFERROR(BDP($C19,'Field Check'!$C$18,'Field Check'!$C$17,TEXT(Summary!$C$12-4,"0"))/100,"")))</f>
        <v/>
      </c>
      <c r="T19" s="56">
        <f>IF($C19="","",IF(Summary!$C$16="N","",IFERROR(BDP($C19,'Field Check'!$C$18,'Field Check'!$C$17,TEXT(Summary!$C$12-3,"0"))/100,"")))</f>
        <v/>
      </c>
      <c r="U19" s="56">
        <f>IF($C19="","",IF(Summary!$C$16="N","",IFERROR(BDP($C19,'Field Check'!$C$18,'Field Check'!$C$17,TEXT(Summary!$C$12-2,"0"))/100,"")))</f>
        <v/>
      </c>
      <c r="V19" s="56">
        <f>IF($C19="","",IF(Summary!$C$16="N","",IFERROR(BDP($C19,'Field Check'!$C$18,'Field Check'!$C$17,TEXT(Summary!$C$12-1,"0"))/100,"")))</f>
        <v/>
      </c>
      <c r="W19" s="57">
        <f>IF($C19="","",IFERROR(AVERAGE(R19:V19),""))</f>
        <v/>
      </c>
      <c r="X19" s="58">
        <f>IF($C19="","",IF(ISNUMBER($Q19)*(N($Q19)&gt;0)=0,"",IFERROR($J19/$Q19,"")))</f>
        <v/>
      </c>
      <c r="Y19" s="59">
        <f>IF($C19="","",IF(ISNUMBER(HSI!$I$14),HSI!$I$14/100,""))</f>
        <v/>
      </c>
      <c r="Z19" s="60">
        <f>IF($C19="","",IF(Summary!$C$16="N","",IFERROR(BDP($C19,'Field Check'!$C$19)/100,"")))</f>
        <v/>
      </c>
      <c r="AA19" s="61">
        <f>IF($C19="","",IF(N($Y19)+N($Z19)=0,"",N($Y19)+N($Z19)))</f>
        <v/>
      </c>
      <c r="AB19" s="60">
        <f>IF($C19="","",IF(Summary!$C$16="N","",IFERROR(BDP($C19,'Field Check'!$C$20)/100,"")))</f>
        <v/>
      </c>
      <c r="AC19" s="45">
        <f>IF($C19="","",IF(N($Y19)=0,"",IFERROR($AB19/$Y19,"")))</f>
        <v/>
      </c>
      <c r="AD19" s="55">
        <f>IF($C19="","",IF(Summary!$C$16="N","",IFERROR(BDP($C19,'Field Check'!$C$21),"")))</f>
        <v/>
      </c>
      <c r="AE19" s="55">
        <f>IF($C19="","",IF(Summary!$C$16="N","",IFERROR(BDP($C19,'Field Check'!$C$22),"")))</f>
        <v/>
      </c>
      <c r="AF19" s="55">
        <f>IF($C19="","",IF(Summary!$C$16="N","",IFERROR(BDP($C19,'Field Check'!$C$23),"")))</f>
        <v/>
      </c>
      <c r="AG19" s="40">
        <f>IF($C19="","",TRIM(IF(ISNUMBER($W19)*(N($W19)&gt;$D$7)&gt;0,"payout high  ","")&amp;IF(ISNUMBER($AC19)*(N($AC19)&lt;$F$7)&gt;0,"FCF below dvd  ","")&amp;IF(ISNUMBER($AE19)*(N($AE19)&gt;$H$7)&gt;0,"leverage high","")))</f>
        <v/>
      </c>
      <c r="AH19" s="40">
        <f>IF($C19="","",IF(HSI!$F$14="HKD","",IF(HSI!$F$14="","","DPS in "&amp;HSI!$F$14)))</f>
        <v/>
      </c>
    </row>
    <row r="20">
      <c r="B20" s="52" t="inlineStr">
        <is>
          <t>HSI</t>
        </is>
      </c>
      <c r="C20" s="6">
        <f>IF(HSI!$C$15="","",HSI!$C$15)</f>
        <v/>
      </c>
      <c r="D20" s="6">
        <f>IF($C20="","",HSI!$D$15)</f>
        <v/>
      </c>
      <c r="E20" s="6">
        <f>IF($C20="","",HSI!$E$15)</f>
        <v/>
      </c>
      <c r="F20" s="53">
        <f>IF($C20="","",SUMIFS('Dvd Calendar'!$E$131:$AR$131,'Dvd Calendar'!$E$130:$AR$130,"&gt;="&amp;DATE(Summary!$C$12-5,1,1),'Dvd Calendar'!$E$130:$AR$130,"&lt;="&amp;DATE(Summary!$C$12-5,12,31)))</f>
        <v/>
      </c>
      <c r="G20" s="53">
        <f>IF($C20="","",SUMIFS('Dvd Calendar'!$E$131:$AR$131,'Dvd Calendar'!$E$130:$AR$130,"&gt;="&amp;DATE(Summary!$C$12-4,1,1),'Dvd Calendar'!$E$130:$AR$130,"&lt;="&amp;DATE(Summary!$C$12-4,12,31)))</f>
        <v/>
      </c>
      <c r="H20" s="53">
        <f>IF($C20="","",SUMIFS('Dvd Calendar'!$E$131:$AR$131,'Dvd Calendar'!$E$130:$AR$130,"&gt;="&amp;DATE(Summary!$C$12-3,1,1),'Dvd Calendar'!$E$130:$AR$130,"&lt;="&amp;DATE(Summary!$C$12-3,12,31)))</f>
        <v/>
      </c>
      <c r="I20" s="53">
        <f>IF($C20="","",SUMIFS('Dvd Calendar'!$E$131:$AR$131,'Dvd Calendar'!$E$130:$AR$130,"&gt;="&amp;DATE(Summary!$C$12-2,1,1),'Dvd Calendar'!$E$130:$AR$130,"&lt;="&amp;DATE(Summary!$C$12-2,12,31)))</f>
        <v/>
      </c>
      <c r="J20" s="53">
        <f>IF($C20="","",SUMIFS('Dvd Calendar'!$E$131:$AR$131,'Dvd Calendar'!$E$130:$AR$130,"&gt;="&amp;DATE(Summary!$C$12-1,1,1),'Dvd Calendar'!$E$130:$AR$130,"&lt;="&amp;DATE(Summary!$C$12-1,12,31)))</f>
        <v/>
      </c>
      <c r="K20" s="54">
        <f>IF($C20="","",SUMIFS('Dvd Calendar'!$E$131:$AR$131,'Dvd Calendar'!$E$130:$AR$130,"&gt;="&amp;DATE(Summary!$C$12,1,1),'Dvd Calendar'!$E$130:$AR$130,"&lt;="&amp;MIN(Summary!$C$11,DATE(Summary!$C$12,12,31))))</f>
        <v/>
      </c>
      <c r="L20" s="38">
        <f>IF($C20="","",AVERAGE(F20:J20))</f>
        <v/>
      </c>
      <c r="M20" s="55">
        <f>IF($C20="","",IF(Summary!$C$16="N","",IFERROR(BDP($C20,'Field Check'!$C$16,'Field Check'!$C$17,TEXT(Summary!$C$12-5,"0")),"")))</f>
        <v/>
      </c>
      <c r="N20" s="55">
        <f>IF($C20="","",IF(Summary!$C$16="N","",IFERROR(BDP($C20,'Field Check'!$C$16,'Field Check'!$C$17,TEXT(Summary!$C$12-4,"0")),"")))</f>
        <v/>
      </c>
      <c r="O20" s="55">
        <f>IF($C20="","",IF(Summary!$C$16="N","",IFERROR(BDP($C20,'Field Check'!$C$16,'Field Check'!$C$17,TEXT(Summary!$C$12-3,"0")),"")))</f>
        <v/>
      </c>
      <c r="P20" s="55">
        <f>IF($C20="","",IF(Summary!$C$16="N","",IFERROR(BDP($C20,'Field Check'!$C$16,'Field Check'!$C$17,TEXT(Summary!$C$12-2,"0")),"")))</f>
        <v/>
      </c>
      <c r="Q20" s="55">
        <f>IF($C20="","",IF(Summary!$C$16="N","",IFERROR(BDP($C20,'Field Check'!$C$16,'Field Check'!$C$17,TEXT(Summary!$C$12-1,"0")),"")))</f>
        <v/>
      </c>
      <c r="R20" s="56">
        <f>IF($C20="","",IF(Summary!$C$16="N","",IFERROR(BDP($C20,'Field Check'!$C$18,'Field Check'!$C$17,TEXT(Summary!$C$12-5,"0"))/100,"")))</f>
        <v/>
      </c>
      <c r="S20" s="56">
        <f>IF($C20="","",IF(Summary!$C$16="N","",IFERROR(BDP($C20,'Field Check'!$C$18,'Field Check'!$C$17,TEXT(Summary!$C$12-4,"0"))/100,"")))</f>
        <v/>
      </c>
      <c r="T20" s="56">
        <f>IF($C20="","",IF(Summary!$C$16="N","",IFERROR(BDP($C20,'Field Check'!$C$18,'Field Check'!$C$17,TEXT(Summary!$C$12-3,"0"))/100,"")))</f>
        <v/>
      </c>
      <c r="U20" s="56">
        <f>IF($C20="","",IF(Summary!$C$16="N","",IFERROR(BDP($C20,'Field Check'!$C$18,'Field Check'!$C$17,TEXT(Summary!$C$12-2,"0"))/100,"")))</f>
        <v/>
      </c>
      <c r="V20" s="56">
        <f>IF($C20="","",IF(Summary!$C$16="N","",IFERROR(BDP($C20,'Field Check'!$C$18,'Field Check'!$C$17,TEXT(Summary!$C$12-1,"0"))/100,"")))</f>
        <v/>
      </c>
      <c r="W20" s="57">
        <f>IF($C20="","",IFERROR(AVERAGE(R20:V20),""))</f>
        <v/>
      </c>
      <c r="X20" s="58">
        <f>IF($C20="","",IF(ISNUMBER($Q20)*(N($Q20)&gt;0)=0,"",IFERROR($J20/$Q20,"")))</f>
        <v/>
      </c>
      <c r="Y20" s="59">
        <f>IF($C20="","",IF(ISNUMBER(HSI!$I$15),HSI!$I$15/100,""))</f>
        <v/>
      </c>
      <c r="Z20" s="60">
        <f>IF($C20="","",IF(Summary!$C$16="N","",IFERROR(BDP($C20,'Field Check'!$C$19)/100,"")))</f>
        <v/>
      </c>
      <c r="AA20" s="61">
        <f>IF($C20="","",IF(N($Y20)+N($Z20)=0,"",N($Y20)+N($Z20)))</f>
        <v/>
      </c>
      <c r="AB20" s="60">
        <f>IF($C20="","",IF(Summary!$C$16="N","",IFERROR(BDP($C20,'Field Check'!$C$20)/100,"")))</f>
        <v/>
      </c>
      <c r="AC20" s="45">
        <f>IF($C20="","",IF(N($Y20)=0,"",IFERROR($AB20/$Y20,"")))</f>
        <v/>
      </c>
      <c r="AD20" s="55">
        <f>IF($C20="","",IF(Summary!$C$16="N","",IFERROR(BDP($C20,'Field Check'!$C$21),"")))</f>
        <v/>
      </c>
      <c r="AE20" s="55">
        <f>IF($C20="","",IF(Summary!$C$16="N","",IFERROR(BDP($C20,'Field Check'!$C$22),"")))</f>
        <v/>
      </c>
      <c r="AF20" s="55">
        <f>IF($C20="","",IF(Summary!$C$16="N","",IFERROR(BDP($C20,'Field Check'!$C$23),"")))</f>
        <v/>
      </c>
      <c r="AG20" s="40">
        <f>IF($C20="","",TRIM(IF(ISNUMBER($W20)*(N($W20)&gt;$D$7)&gt;0,"payout high  ","")&amp;IF(ISNUMBER($AC20)*(N($AC20)&lt;$F$7)&gt;0,"FCF below dvd  ","")&amp;IF(ISNUMBER($AE20)*(N($AE20)&gt;$H$7)&gt;0,"leverage high","")))</f>
        <v/>
      </c>
      <c r="AH20" s="40">
        <f>IF($C20="","",IF(HSI!$F$15="HKD","",IF(HSI!$F$15="","","DPS in "&amp;HSI!$F$15)))</f>
        <v/>
      </c>
    </row>
    <row r="21">
      <c r="B21" s="52" t="inlineStr">
        <is>
          <t>HSI</t>
        </is>
      </c>
      <c r="C21" s="6">
        <f>IF(HSI!$C$16="","",HSI!$C$16)</f>
        <v/>
      </c>
      <c r="D21" s="6">
        <f>IF($C21="","",HSI!$D$16)</f>
        <v/>
      </c>
      <c r="E21" s="6">
        <f>IF($C21="","",HSI!$E$16)</f>
        <v/>
      </c>
      <c r="F21" s="53">
        <f>IF($C21="","",SUMIFS('Dvd Calendar'!$E$146:$AR$146,'Dvd Calendar'!$E$145:$AR$145,"&gt;="&amp;DATE(Summary!$C$12-5,1,1),'Dvd Calendar'!$E$145:$AR$145,"&lt;="&amp;DATE(Summary!$C$12-5,12,31)))</f>
        <v/>
      </c>
      <c r="G21" s="53">
        <f>IF($C21="","",SUMIFS('Dvd Calendar'!$E$146:$AR$146,'Dvd Calendar'!$E$145:$AR$145,"&gt;="&amp;DATE(Summary!$C$12-4,1,1),'Dvd Calendar'!$E$145:$AR$145,"&lt;="&amp;DATE(Summary!$C$12-4,12,31)))</f>
        <v/>
      </c>
      <c r="H21" s="53">
        <f>IF($C21="","",SUMIFS('Dvd Calendar'!$E$146:$AR$146,'Dvd Calendar'!$E$145:$AR$145,"&gt;="&amp;DATE(Summary!$C$12-3,1,1),'Dvd Calendar'!$E$145:$AR$145,"&lt;="&amp;DATE(Summary!$C$12-3,12,31)))</f>
        <v/>
      </c>
      <c r="I21" s="53">
        <f>IF($C21="","",SUMIFS('Dvd Calendar'!$E$146:$AR$146,'Dvd Calendar'!$E$145:$AR$145,"&gt;="&amp;DATE(Summary!$C$12-2,1,1),'Dvd Calendar'!$E$145:$AR$145,"&lt;="&amp;DATE(Summary!$C$12-2,12,31)))</f>
        <v/>
      </c>
      <c r="J21" s="53">
        <f>IF($C21="","",SUMIFS('Dvd Calendar'!$E$146:$AR$146,'Dvd Calendar'!$E$145:$AR$145,"&gt;="&amp;DATE(Summary!$C$12-1,1,1),'Dvd Calendar'!$E$145:$AR$145,"&lt;="&amp;DATE(Summary!$C$12-1,12,31)))</f>
        <v/>
      </c>
      <c r="K21" s="54">
        <f>IF($C21="","",SUMIFS('Dvd Calendar'!$E$146:$AR$146,'Dvd Calendar'!$E$145:$AR$145,"&gt;="&amp;DATE(Summary!$C$12,1,1),'Dvd Calendar'!$E$145:$AR$145,"&lt;="&amp;MIN(Summary!$C$11,DATE(Summary!$C$12,12,31))))</f>
        <v/>
      </c>
      <c r="L21" s="38">
        <f>IF($C21="","",AVERAGE(F21:J21))</f>
        <v/>
      </c>
      <c r="M21" s="55">
        <f>IF($C21="","",IF(Summary!$C$16="N","",IFERROR(BDP($C21,'Field Check'!$C$16,'Field Check'!$C$17,TEXT(Summary!$C$12-5,"0")),"")))</f>
        <v/>
      </c>
      <c r="N21" s="55">
        <f>IF($C21="","",IF(Summary!$C$16="N","",IFERROR(BDP($C21,'Field Check'!$C$16,'Field Check'!$C$17,TEXT(Summary!$C$12-4,"0")),"")))</f>
        <v/>
      </c>
      <c r="O21" s="55">
        <f>IF($C21="","",IF(Summary!$C$16="N","",IFERROR(BDP($C21,'Field Check'!$C$16,'Field Check'!$C$17,TEXT(Summary!$C$12-3,"0")),"")))</f>
        <v/>
      </c>
      <c r="P21" s="55">
        <f>IF($C21="","",IF(Summary!$C$16="N","",IFERROR(BDP($C21,'Field Check'!$C$16,'Field Check'!$C$17,TEXT(Summary!$C$12-2,"0")),"")))</f>
        <v/>
      </c>
      <c r="Q21" s="55">
        <f>IF($C21="","",IF(Summary!$C$16="N","",IFERROR(BDP($C21,'Field Check'!$C$16,'Field Check'!$C$17,TEXT(Summary!$C$12-1,"0")),"")))</f>
        <v/>
      </c>
      <c r="R21" s="56">
        <f>IF($C21="","",IF(Summary!$C$16="N","",IFERROR(BDP($C21,'Field Check'!$C$18,'Field Check'!$C$17,TEXT(Summary!$C$12-5,"0"))/100,"")))</f>
        <v/>
      </c>
      <c r="S21" s="56">
        <f>IF($C21="","",IF(Summary!$C$16="N","",IFERROR(BDP($C21,'Field Check'!$C$18,'Field Check'!$C$17,TEXT(Summary!$C$12-4,"0"))/100,"")))</f>
        <v/>
      </c>
      <c r="T21" s="56">
        <f>IF($C21="","",IF(Summary!$C$16="N","",IFERROR(BDP($C21,'Field Check'!$C$18,'Field Check'!$C$17,TEXT(Summary!$C$12-3,"0"))/100,"")))</f>
        <v/>
      </c>
      <c r="U21" s="56">
        <f>IF($C21="","",IF(Summary!$C$16="N","",IFERROR(BDP($C21,'Field Check'!$C$18,'Field Check'!$C$17,TEXT(Summary!$C$12-2,"0"))/100,"")))</f>
        <v/>
      </c>
      <c r="V21" s="56">
        <f>IF($C21="","",IF(Summary!$C$16="N","",IFERROR(BDP($C21,'Field Check'!$C$18,'Field Check'!$C$17,TEXT(Summary!$C$12-1,"0"))/100,"")))</f>
        <v/>
      </c>
      <c r="W21" s="57">
        <f>IF($C21="","",IFERROR(AVERAGE(R21:V21),""))</f>
        <v/>
      </c>
      <c r="X21" s="58">
        <f>IF($C21="","",IF(ISNUMBER($Q21)*(N($Q21)&gt;0)=0,"",IFERROR($J21/$Q21,"")))</f>
        <v/>
      </c>
      <c r="Y21" s="59">
        <f>IF($C21="","",IF(ISNUMBER(HSI!$I$16),HSI!$I$16/100,""))</f>
        <v/>
      </c>
      <c r="Z21" s="60">
        <f>IF($C21="","",IF(Summary!$C$16="N","",IFERROR(BDP($C21,'Field Check'!$C$19)/100,"")))</f>
        <v/>
      </c>
      <c r="AA21" s="61">
        <f>IF($C21="","",IF(N($Y21)+N($Z21)=0,"",N($Y21)+N($Z21)))</f>
        <v/>
      </c>
      <c r="AB21" s="60">
        <f>IF($C21="","",IF(Summary!$C$16="N","",IFERROR(BDP($C21,'Field Check'!$C$20)/100,"")))</f>
        <v/>
      </c>
      <c r="AC21" s="45">
        <f>IF($C21="","",IF(N($Y21)=0,"",IFERROR($AB21/$Y21,"")))</f>
        <v/>
      </c>
      <c r="AD21" s="55">
        <f>IF($C21="","",IF(Summary!$C$16="N","",IFERROR(BDP($C21,'Field Check'!$C$21),"")))</f>
        <v/>
      </c>
      <c r="AE21" s="55">
        <f>IF($C21="","",IF(Summary!$C$16="N","",IFERROR(BDP($C21,'Field Check'!$C$22),"")))</f>
        <v/>
      </c>
      <c r="AF21" s="55">
        <f>IF($C21="","",IF(Summary!$C$16="N","",IFERROR(BDP($C21,'Field Check'!$C$23),"")))</f>
        <v/>
      </c>
      <c r="AG21" s="40">
        <f>IF($C21="","",TRIM(IF(ISNUMBER($W21)*(N($W21)&gt;$D$7)&gt;0,"payout high  ","")&amp;IF(ISNUMBER($AC21)*(N($AC21)&lt;$F$7)&gt;0,"FCF below dvd  ","")&amp;IF(ISNUMBER($AE21)*(N($AE21)&gt;$H$7)&gt;0,"leverage high","")))</f>
        <v/>
      </c>
      <c r="AH21" s="40">
        <f>IF($C21="","",IF(HSI!$F$16="HKD","",IF(HSI!$F$16="","","DPS in "&amp;HSI!$F$16)))</f>
        <v/>
      </c>
    </row>
    <row r="22">
      <c r="B22" s="52" t="inlineStr">
        <is>
          <t>HSI</t>
        </is>
      </c>
      <c r="C22" s="6">
        <f>IF(HSI!$C$17="","",HSI!$C$17)</f>
        <v/>
      </c>
      <c r="D22" s="6">
        <f>IF($C22="","",HSI!$D$17)</f>
        <v/>
      </c>
      <c r="E22" s="6">
        <f>IF($C22="","",HSI!$E$17)</f>
        <v/>
      </c>
      <c r="F22" s="53">
        <f>IF($C22="","",SUMIFS('Dvd Calendar'!$E$161:$AR$161,'Dvd Calendar'!$E$160:$AR$160,"&gt;="&amp;DATE(Summary!$C$12-5,1,1),'Dvd Calendar'!$E$160:$AR$160,"&lt;="&amp;DATE(Summary!$C$12-5,12,31)))</f>
        <v/>
      </c>
      <c r="G22" s="53">
        <f>IF($C22="","",SUMIFS('Dvd Calendar'!$E$161:$AR$161,'Dvd Calendar'!$E$160:$AR$160,"&gt;="&amp;DATE(Summary!$C$12-4,1,1),'Dvd Calendar'!$E$160:$AR$160,"&lt;="&amp;DATE(Summary!$C$12-4,12,31)))</f>
        <v/>
      </c>
      <c r="H22" s="53">
        <f>IF($C22="","",SUMIFS('Dvd Calendar'!$E$161:$AR$161,'Dvd Calendar'!$E$160:$AR$160,"&gt;="&amp;DATE(Summary!$C$12-3,1,1),'Dvd Calendar'!$E$160:$AR$160,"&lt;="&amp;DATE(Summary!$C$12-3,12,31)))</f>
        <v/>
      </c>
      <c r="I22" s="53">
        <f>IF($C22="","",SUMIFS('Dvd Calendar'!$E$161:$AR$161,'Dvd Calendar'!$E$160:$AR$160,"&gt;="&amp;DATE(Summary!$C$12-2,1,1),'Dvd Calendar'!$E$160:$AR$160,"&lt;="&amp;DATE(Summary!$C$12-2,12,31)))</f>
        <v/>
      </c>
      <c r="J22" s="53">
        <f>IF($C22="","",SUMIFS('Dvd Calendar'!$E$161:$AR$161,'Dvd Calendar'!$E$160:$AR$160,"&gt;="&amp;DATE(Summary!$C$12-1,1,1),'Dvd Calendar'!$E$160:$AR$160,"&lt;="&amp;DATE(Summary!$C$12-1,12,31)))</f>
        <v/>
      </c>
      <c r="K22" s="54">
        <f>IF($C22="","",SUMIFS('Dvd Calendar'!$E$161:$AR$161,'Dvd Calendar'!$E$160:$AR$160,"&gt;="&amp;DATE(Summary!$C$12,1,1),'Dvd Calendar'!$E$160:$AR$160,"&lt;="&amp;MIN(Summary!$C$11,DATE(Summary!$C$12,12,31))))</f>
        <v/>
      </c>
      <c r="L22" s="38">
        <f>IF($C22="","",AVERAGE(F22:J22))</f>
        <v/>
      </c>
      <c r="M22" s="55">
        <f>IF($C22="","",IF(Summary!$C$16="N","",IFERROR(BDP($C22,'Field Check'!$C$16,'Field Check'!$C$17,TEXT(Summary!$C$12-5,"0")),"")))</f>
        <v/>
      </c>
      <c r="N22" s="55">
        <f>IF($C22="","",IF(Summary!$C$16="N","",IFERROR(BDP($C22,'Field Check'!$C$16,'Field Check'!$C$17,TEXT(Summary!$C$12-4,"0")),"")))</f>
        <v/>
      </c>
      <c r="O22" s="55">
        <f>IF($C22="","",IF(Summary!$C$16="N","",IFERROR(BDP($C22,'Field Check'!$C$16,'Field Check'!$C$17,TEXT(Summary!$C$12-3,"0")),"")))</f>
        <v/>
      </c>
      <c r="P22" s="55">
        <f>IF($C22="","",IF(Summary!$C$16="N","",IFERROR(BDP($C22,'Field Check'!$C$16,'Field Check'!$C$17,TEXT(Summary!$C$12-2,"0")),"")))</f>
        <v/>
      </c>
      <c r="Q22" s="55">
        <f>IF($C22="","",IF(Summary!$C$16="N","",IFERROR(BDP($C22,'Field Check'!$C$16,'Field Check'!$C$17,TEXT(Summary!$C$12-1,"0")),"")))</f>
        <v/>
      </c>
      <c r="R22" s="56">
        <f>IF($C22="","",IF(Summary!$C$16="N","",IFERROR(BDP($C22,'Field Check'!$C$18,'Field Check'!$C$17,TEXT(Summary!$C$12-5,"0"))/100,"")))</f>
        <v/>
      </c>
      <c r="S22" s="56">
        <f>IF($C22="","",IF(Summary!$C$16="N","",IFERROR(BDP($C22,'Field Check'!$C$18,'Field Check'!$C$17,TEXT(Summary!$C$12-4,"0"))/100,"")))</f>
        <v/>
      </c>
      <c r="T22" s="56">
        <f>IF($C22="","",IF(Summary!$C$16="N","",IFERROR(BDP($C22,'Field Check'!$C$18,'Field Check'!$C$17,TEXT(Summary!$C$12-3,"0"))/100,"")))</f>
        <v/>
      </c>
      <c r="U22" s="56">
        <f>IF($C22="","",IF(Summary!$C$16="N","",IFERROR(BDP($C22,'Field Check'!$C$18,'Field Check'!$C$17,TEXT(Summary!$C$12-2,"0"))/100,"")))</f>
        <v/>
      </c>
      <c r="V22" s="56">
        <f>IF($C22="","",IF(Summary!$C$16="N","",IFERROR(BDP($C22,'Field Check'!$C$18,'Field Check'!$C$17,TEXT(Summary!$C$12-1,"0"))/100,"")))</f>
        <v/>
      </c>
      <c r="W22" s="57">
        <f>IF($C22="","",IFERROR(AVERAGE(R22:V22),""))</f>
        <v/>
      </c>
      <c r="X22" s="58">
        <f>IF($C22="","",IF(ISNUMBER($Q22)*(N($Q22)&gt;0)=0,"",IFERROR($J22/$Q22,"")))</f>
        <v/>
      </c>
      <c r="Y22" s="59">
        <f>IF($C22="","",IF(ISNUMBER(HSI!$I$17),HSI!$I$17/100,""))</f>
        <v/>
      </c>
      <c r="Z22" s="60">
        <f>IF($C22="","",IF(Summary!$C$16="N","",IFERROR(BDP($C22,'Field Check'!$C$19)/100,"")))</f>
        <v/>
      </c>
      <c r="AA22" s="61">
        <f>IF($C22="","",IF(N($Y22)+N($Z22)=0,"",N($Y22)+N($Z22)))</f>
        <v/>
      </c>
      <c r="AB22" s="60">
        <f>IF($C22="","",IF(Summary!$C$16="N","",IFERROR(BDP($C22,'Field Check'!$C$20)/100,"")))</f>
        <v/>
      </c>
      <c r="AC22" s="45">
        <f>IF($C22="","",IF(N($Y22)=0,"",IFERROR($AB22/$Y22,"")))</f>
        <v/>
      </c>
      <c r="AD22" s="55">
        <f>IF($C22="","",IF(Summary!$C$16="N","",IFERROR(BDP($C22,'Field Check'!$C$21),"")))</f>
        <v/>
      </c>
      <c r="AE22" s="55">
        <f>IF($C22="","",IF(Summary!$C$16="N","",IFERROR(BDP($C22,'Field Check'!$C$22),"")))</f>
        <v/>
      </c>
      <c r="AF22" s="55">
        <f>IF($C22="","",IF(Summary!$C$16="N","",IFERROR(BDP($C22,'Field Check'!$C$23),"")))</f>
        <v/>
      </c>
      <c r="AG22" s="40">
        <f>IF($C22="","",TRIM(IF(ISNUMBER($W22)*(N($W22)&gt;$D$7)&gt;0,"payout high  ","")&amp;IF(ISNUMBER($AC22)*(N($AC22)&lt;$F$7)&gt;0,"FCF below dvd  ","")&amp;IF(ISNUMBER($AE22)*(N($AE22)&gt;$H$7)&gt;0,"leverage high","")))</f>
        <v/>
      </c>
      <c r="AH22" s="40">
        <f>IF($C22="","",IF(HSI!$F$17="HKD","",IF(HSI!$F$17="","","DPS in "&amp;HSI!$F$17)))</f>
        <v/>
      </c>
    </row>
    <row r="23">
      <c r="B23" s="52" t="inlineStr">
        <is>
          <t>HSI</t>
        </is>
      </c>
      <c r="C23" s="6">
        <f>IF(HSI!$C$18="","",HSI!$C$18)</f>
        <v/>
      </c>
      <c r="D23" s="6">
        <f>IF($C23="","",HSI!$D$18)</f>
        <v/>
      </c>
      <c r="E23" s="6">
        <f>IF($C23="","",HSI!$E$18)</f>
        <v/>
      </c>
      <c r="F23" s="53">
        <f>IF($C23="","",SUMIFS('Dvd Calendar'!$E$176:$AR$176,'Dvd Calendar'!$E$175:$AR$175,"&gt;="&amp;DATE(Summary!$C$12-5,1,1),'Dvd Calendar'!$E$175:$AR$175,"&lt;="&amp;DATE(Summary!$C$12-5,12,31)))</f>
        <v/>
      </c>
      <c r="G23" s="53">
        <f>IF($C23="","",SUMIFS('Dvd Calendar'!$E$176:$AR$176,'Dvd Calendar'!$E$175:$AR$175,"&gt;="&amp;DATE(Summary!$C$12-4,1,1),'Dvd Calendar'!$E$175:$AR$175,"&lt;="&amp;DATE(Summary!$C$12-4,12,31)))</f>
        <v/>
      </c>
      <c r="H23" s="53">
        <f>IF($C23="","",SUMIFS('Dvd Calendar'!$E$176:$AR$176,'Dvd Calendar'!$E$175:$AR$175,"&gt;="&amp;DATE(Summary!$C$12-3,1,1),'Dvd Calendar'!$E$175:$AR$175,"&lt;="&amp;DATE(Summary!$C$12-3,12,31)))</f>
        <v/>
      </c>
      <c r="I23" s="53">
        <f>IF($C23="","",SUMIFS('Dvd Calendar'!$E$176:$AR$176,'Dvd Calendar'!$E$175:$AR$175,"&gt;="&amp;DATE(Summary!$C$12-2,1,1),'Dvd Calendar'!$E$175:$AR$175,"&lt;="&amp;DATE(Summary!$C$12-2,12,31)))</f>
        <v/>
      </c>
      <c r="J23" s="53">
        <f>IF($C23="","",SUMIFS('Dvd Calendar'!$E$176:$AR$176,'Dvd Calendar'!$E$175:$AR$175,"&gt;="&amp;DATE(Summary!$C$12-1,1,1),'Dvd Calendar'!$E$175:$AR$175,"&lt;="&amp;DATE(Summary!$C$12-1,12,31)))</f>
        <v/>
      </c>
      <c r="K23" s="54">
        <f>IF($C23="","",SUMIFS('Dvd Calendar'!$E$176:$AR$176,'Dvd Calendar'!$E$175:$AR$175,"&gt;="&amp;DATE(Summary!$C$12,1,1),'Dvd Calendar'!$E$175:$AR$175,"&lt;="&amp;MIN(Summary!$C$11,DATE(Summary!$C$12,12,31))))</f>
        <v/>
      </c>
      <c r="L23" s="38">
        <f>IF($C23="","",AVERAGE(F23:J23))</f>
        <v/>
      </c>
      <c r="M23" s="55">
        <f>IF($C23="","",IF(Summary!$C$16="N","",IFERROR(BDP($C23,'Field Check'!$C$16,'Field Check'!$C$17,TEXT(Summary!$C$12-5,"0")),"")))</f>
        <v/>
      </c>
      <c r="N23" s="55">
        <f>IF($C23="","",IF(Summary!$C$16="N","",IFERROR(BDP($C23,'Field Check'!$C$16,'Field Check'!$C$17,TEXT(Summary!$C$12-4,"0")),"")))</f>
        <v/>
      </c>
      <c r="O23" s="55">
        <f>IF($C23="","",IF(Summary!$C$16="N","",IFERROR(BDP($C23,'Field Check'!$C$16,'Field Check'!$C$17,TEXT(Summary!$C$12-3,"0")),"")))</f>
        <v/>
      </c>
      <c r="P23" s="55">
        <f>IF($C23="","",IF(Summary!$C$16="N","",IFERROR(BDP($C23,'Field Check'!$C$16,'Field Check'!$C$17,TEXT(Summary!$C$12-2,"0")),"")))</f>
        <v/>
      </c>
      <c r="Q23" s="55">
        <f>IF($C23="","",IF(Summary!$C$16="N","",IFERROR(BDP($C23,'Field Check'!$C$16,'Field Check'!$C$17,TEXT(Summary!$C$12-1,"0")),"")))</f>
        <v/>
      </c>
      <c r="R23" s="56">
        <f>IF($C23="","",IF(Summary!$C$16="N","",IFERROR(BDP($C23,'Field Check'!$C$18,'Field Check'!$C$17,TEXT(Summary!$C$12-5,"0"))/100,"")))</f>
        <v/>
      </c>
      <c r="S23" s="56">
        <f>IF($C23="","",IF(Summary!$C$16="N","",IFERROR(BDP($C23,'Field Check'!$C$18,'Field Check'!$C$17,TEXT(Summary!$C$12-4,"0"))/100,"")))</f>
        <v/>
      </c>
      <c r="T23" s="56">
        <f>IF($C23="","",IF(Summary!$C$16="N","",IFERROR(BDP($C23,'Field Check'!$C$18,'Field Check'!$C$17,TEXT(Summary!$C$12-3,"0"))/100,"")))</f>
        <v/>
      </c>
      <c r="U23" s="56">
        <f>IF($C23="","",IF(Summary!$C$16="N","",IFERROR(BDP($C23,'Field Check'!$C$18,'Field Check'!$C$17,TEXT(Summary!$C$12-2,"0"))/100,"")))</f>
        <v/>
      </c>
      <c r="V23" s="56">
        <f>IF($C23="","",IF(Summary!$C$16="N","",IFERROR(BDP($C23,'Field Check'!$C$18,'Field Check'!$C$17,TEXT(Summary!$C$12-1,"0"))/100,"")))</f>
        <v/>
      </c>
      <c r="W23" s="57">
        <f>IF($C23="","",IFERROR(AVERAGE(R23:V23),""))</f>
        <v/>
      </c>
      <c r="X23" s="58">
        <f>IF($C23="","",IF(ISNUMBER($Q23)*(N($Q23)&gt;0)=0,"",IFERROR($J23/$Q23,"")))</f>
        <v/>
      </c>
      <c r="Y23" s="59">
        <f>IF($C23="","",IF(ISNUMBER(HSI!$I$18),HSI!$I$18/100,""))</f>
        <v/>
      </c>
      <c r="Z23" s="60">
        <f>IF($C23="","",IF(Summary!$C$16="N","",IFERROR(BDP($C23,'Field Check'!$C$19)/100,"")))</f>
        <v/>
      </c>
      <c r="AA23" s="61">
        <f>IF($C23="","",IF(N($Y23)+N($Z23)=0,"",N($Y23)+N($Z23)))</f>
        <v/>
      </c>
      <c r="AB23" s="60">
        <f>IF($C23="","",IF(Summary!$C$16="N","",IFERROR(BDP($C23,'Field Check'!$C$20)/100,"")))</f>
        <v/>
      </c>
      <c r="AC23" s="45">
        <f>IF($C23="","",IF(N($Y23)=0,"",IFERROR($AB23/$Y23,"")))</f>
        <v/>
      </c>
      <c r="AD23" s="55">
        <f>IF($C23="","",IF(Summary!$C$16="N","",IFERROR(BDP($C23,'Field Check'!$C$21),"")))</f>
        <v/>
      </c>
      <c r="AE23" s="55">
        <f>IF($C23="","",IF(Summary!$C$16="N","",IFERROR(BDP($C23,'Field Check'!$C$22),"")))</f>
        <v/>
      </c>
      <c r="AF23" s="55">
        <f>IF($C23="","",IF(Summary!$C$16="N","",IFERROR(BDP($C23,'Field Check'!$C$23),"")))</f>
        <v/>
      </c>
      <c r="AG23" s="40">
        <f>IF($C23="","",TRIM(IF(ISNUMBER($W23)*(N($W23)&gt;$D$7)&gt;0,"payout high  ","")&amp;IF(ISNUMBER($AC23)*(N($AC23)&lt;$F$7)&gt;0,"FCF below dvd  ","")&amp;IF(ISNUMBER($AE23)*(N($AE23)&gt;$H$7)&gt;0,"leverage high","")))</f>
        <v/>
      </c>
      <c r="AH23" s="40">
        <f>IF($C23="","",IF(HSI!$F$18="HKD","",IF(HSI!$F$18="","","DPS in "&amp;HSI!$F$18)))</f>
        <v/>
      </c>
    </row>
    <row r="24">
      <c r="B24" s="52" t="inlineStr">
        <is>
          <t>HSI</t>
        </is>
      </c>
      <c r="C24" s="6">
        <f>IF(HSI!$C$19="","",HSI!$C$19)</f>
        <v/>
      </c>
      <c r="D24" s="6">
        <f>IF($C24="","",HSI!$D$19)</f>
        <v/>
      </c>
      <c r="E24" s="6">
        <f>IF($C24="","",HSI!$E$19)</f>
        <v/>
      </c>
      <c r="F24" s="53">
        <f>IF($C24="","",SUMIFS('Dvd Calendar'!$E$191:$AR$191,'Dvd Calendar'!$E$190:$AR$190,"&gt;="&amp;DATE(Summary!$C$12-5,1,1),'Dvd Calendar'!$E$190:$AR$190,"&lt;="&amp;DATE(Summary!$C$12-5,12,31)))</f>
        <v/>
      </c>
      <c r="G24" s="53">
        <f>IF($C24="","",SUMIFS('Dvd Calendar'!$E$191:$AR$191,'Dvd Calendar'!$E$190:$AR$190,"&gt;="&amp;DATE(Summary!$C$12-4,1,1),'Dvd Calendar'!$E$190:$AR$190,"&lt;="&amp;DATE(Summary!$C$12-4,12,31)))</f>
        <v/>
      </c>
      <c r="H24" s="53">
        <f>IF($C24="","",SUMIFS('Dvd Calendar'!$E$191:$AR$191,'Dvd Calendar'!$E$190:$AR$190,"&gt;="&amp;DATE(Summary!$C$12-3,1,1),'Dvd Calendar'!$E$190:$AR$190,"&lt;="&amp;DATE(Summary!$C$12-3,12,31)))</f>
        <v/>
      </c>
      <c r="I24" s="53">
        <f>IF($C24="","",SUMIFS('Dvd Calendar'!$E$191:$AR$191,'Dvd Calendar'!$E$190:$AR$190,"&gt;="&amp;DATE(Summary!$C$12-2,1,1),'Dvd Calendar'!$E$190:$AR$190,"&lt;="&amp;DATE(Summary!$C$12-2,12,31)))</f>
        <v/>
      </c>
      <c r="J24" s="53">
        <f>IF($C24="","",SUMIFS('Dvd Calendar'!$E$191:$AR$191,'Dvd Calendar'!$E$190:$AR$190,"&gt;="&amp;DATE(Summary!$C$12-1,1,1),'Dvd Calendar'!$E$190:$AR$190,"&lt;="&amp;DATE(Summary!$C$12-1,12,31)))</f>
        <v/>
      </c>
      <c r="K24" s="54">
        <f>IF($C24="","",SUMIFS('Dvd Calendar'!$E$191:$AR$191,'Dvd Calendar'!$E$190:$AR$190,"&gt;="&amp;DATE(Summary!$C$12,1,1),'Dvd Calendar'!$E$190:$AR$190,"&lt;="&amp;MIN(Summary!$C$11,DATE(Summary!$C$12,12,31))))</f>
        <v/>
      </c>
      <c r="L24" s="38">
        <f>IF($C24="","",AVERAGE(F24:J24))</f>
        <v/>
      </c>
      <c r="M24" s="55">
        <f>IF($C24="","",IF(Summary!$C$16="N","",IFERROR(BDP($C24,'Field Check'!$C$16,'Field Check'!$C$17,TEXT(Summary!$C$12-5,"0")),"")))</f>
        <v/>
      </c>
      <c r="N24" s="55">
        <f>IF($C24="","",IF(Summary!$C$16="N","",IFERROR(BDP($C24,'Field Check'!$C$16,'Field Check'!$C$17,TEXT(Summary!$C$12-4,"0")),"")))</f>
        <v/>
      </c>
      <c r="O24" s="55">
        <f>IF($C24="","",IF(Summary!$C$16="N","",IFERROR(BDP($C24,'Field Check'!$C$16,'Field Check'!$C$17,TEXT(Summary!$C$12-3,"0")),"")))</f>
        <v/>
      </c>
      <c r="P24" s="55">
        <f>IF($C24="","",IF(Summary!$C$16="N","",IFERROR(BDP($C24,'Field Check'!$C$16,'Field Check'!$C$17,TEXT(Summary!$C$12-2,"0")),"")))</f>
        <v/>
      </c>
      <c r="Q24" s="55">
        <f>IF($C24="","",IF(Summary!$C$16="N","",IFERROR(BDP($C24,'Field Check'!$C$16,'Field Check'!$C$17,TEXT(Summary!$C$12-1,"0")),"")))</f>
        <v/>
      </c>
      <c r="R24" s="56">
        <f>IF($C24="","",IF(Summary!$C$16="N","",IFERROR(BDP($C24,'Field Check'!$C$18,'Field Check'!$C$17,TEXT(Summary!$C$12-5,"0"))/100,"")))</f>
        <v/>
      </c>
      <c r="S24" s="56">
        <f>IF($C24="","",IF(Summary!$C$16="N","",IFERROR(BDP($C24,'Field Check'!$C$18,'Field Check'!$C$17,TEXT(Summary!$C$12-4,"0"))/100,"")))</f>
        <v/>
      </c>
      <c r="T24" s="56">
        <f>IF($C24="","",IF(Summary!$C$16="N","",IFERROR(BDP($C24,'Field Check'!$C$18,'Field Check'!$C$17,TEXT(Summary!$C$12-3,"0"))/100,"")))</f>
        <v/>
      </c>
      <c r="U24" s="56">
        <f>IF($C24="","",IF(Summary!$C$16="N","",IFERROR(BDP($C24,'Field Check'!$C$18,'Field Check'!$C$17,TEXT(Summary!$C$12-2,"0"))/100,"")))</f>
        <v/>
      </c>
      <c r="V24" s="56">
        <f>IF($C24="","",IF(Summary!$C$16="N","",IFERROR(BDP($C24,'Field Check'!$C$18,'Field Check'!$C$17,TEXT(Summary!$C$12-1,"0"))/100,"")))</f>
        <v/>
      </c>
      <c r="W24" s="57">
        <f>IF($C24="","",IFERROR(AVERAGE(R24:V24),""))</f>
        <v/>
      </c>
      <c r="X24" s="58">
        <f>IF($C24="","",IF(ISNUMBER($Q24)*(N($Q24)&gt;0)=0,"",IFERROR($J24/$Q24,"")))</f>
        <v/>
      </c>
      <c r="Y24" s="59">
        <f>IF($C24="","",IF(ISNUMBER(HSI!$I$19),HSI!$I$19/100,""))</f>
        <v/>
      </c>
      <c r="Z24" s="60">
        <f>IF($C24="","",IF(Summary!$C$16="N","",IFERROR(BDP($C24,'Field Check'!$C$19)/100,"")))</f>
        <v/>
      </c>
      <c r="AA24" s="61">
        <f>IF($C24="","",IF(N($Y24)+N($Z24)=0,"",N($Y24)+N($Z24)))</f>
        <v/>
      </c>
      <c r="AB24" s="60">
        <f>IF($C24="","",IF(Summary!$C$16="N","",IFERROR(BDP($C24,'Field Check'!$C$20)/100,"")))</f>
        <v/>
      </c>
      <c r="AC24" s="45">
        <f>IF($C24="","",IF(N($Y24)=0,"",IFERROR($AB24/$Y24,"")))</f>
        <v/>
      </c>
      <c r="AD24" s="55">
        <f>IF($C24="","",IF(Summary!$C$16="N","",IFERROR(BDP($C24,'Field Check'!$C$21),"")))</f>
        <v/>
      </c>
      <c r="AE24" s="55">
        <f>IF($C24="","",IF(Summary!$C$16="N","",IFERROR(BDP($C24,'Field Check'!$C$22),"")))</f>
        <v/>
      </c>
      <c r="AF24" s="55">
        <f>IF($C24="","",IF(Summary!$C$16="N","",IFERROR(BDP($C24,'Field Check'!$C$23),"")))</f>
        <v/>
      </c>
      <c r="AG24" s="40">
        <f>IF($C24="","",TRIM(IF(ISNUMBER($W24)*(N($W24)&gt;$D$7)&gt;0,"payout high  ","")&amp;IF(ISNUMBER($AC24)*(N($AC24)&lt;$F$7)&gt;0,"FCF below dvd  ","")&amp;IF(ISNUMBER($AE24)*(N($AE24)&gt;$H$7)&gt;0,"leverage high","")))</f>
        <v/>
      </c>
      <c r="AH24" s="40">
        <f>IF($C24="","",IF(HSI!$F$19="HKD","",IF(HSI!$F$19="","","DPS in "&amp;HSI!$F$19)))</f>
        <v/>
      </c>
    </row>
    <row r="25">
      <c r="B25" s="52" t="inlineStr">
        <is>
          <t>HSI</t>
        </is>
      </c>
      <c r="C25" s="6">
        <f>IF(HSI!$C$20="","",HSI!$C$20)</f>
        <v/>
      </c>
      <c r="D25" s="6">
        <f>IF($C25="","",HSI!$D$20)</f>
        <v/>
      </c>
      <c r="E25" s="6">
        <f>IF($C25="","",HSI!$E$20)</f>
        <v/>
      </c>
      <c r="F25" s="53">
        <f>IF($C25="","",SUMIFS('Dvd Calendar'!$E$206:$AR$206,'Dvd Calendar'!$E$205:$AR$205,"&gt;="&amp;DATE(Summary!$C$12-5,1,1),'Dvd Calendar'!$E$205:$AR$205,"&lt;="&amp;DATE(Summary!$C$12-5,12,31)))</f>
        <v/>
      </c>
      <c r="G25" s="53">
        <f>IF($C25="","",SUMIFS('Dvd Calendar'!$E$206:$AR$206,'Dvd Calendar'!$E$205:$AR$205,"&gt;="&amp;DATE(Summary!$C$12-4,1,1),'Dvd Calendar'!$E$205:$AR$205,"&lt;="&amp;DATE(Summary!$C$12-4,12,31)))</f>
        <v/>
      </c>
      <c r="H25" s="53">
        <f>IF($C25="","",SUMIFS('Dvd Calendar'!$E$206:$AR$206,'Dvd Calendar'!$E$205:$AR$205,"&gt;="&amp;DATE(Summary!$C$12-3,1,1),'Dvd Calendar'!$E$205:$AR$205,"&lt;="&amp;DATE(Summary!$C$12-3,12,31)))</f>
        <v/>
      </c>
      <c r="I25" s="53">
        <f>IF($C25="","",SUMIFS('Dvd Calendar'!$E$206:$AR$206,'Dvd Calendar'!$E$205:$AR$205,"&gt;="&amp;DATE(Summary!$C$12-2,1,1),'Dvd Calendar'!$E$205:$AR$205,"&lt;="&amp;DATE(Summary!$C$12-2,12,31)))</f>
        <v/>
      </c>
      <c r="J25" s="53">
        <f>IF($C25="","",SUMIFS('Dvd Calendar'!$E$206:$AR$206,'Dvd Calendar'!$E$205:$AR$205,"&gt;="&amp;DATE(Summary!$C$12-1,1,1),'Dvd Calendar'!$E$205:$AR$205,"&lt;="&amp;DATE(Summary!$C$12-1,12,31)))</f>
        <v/>
      </c>
      <c r="K25" s="54">
        <f>IF($C25="","",SUMIFS('Dvd Calendar'!$E$206:$AR$206,'Dvd Calendar'!$E$205:$AR$205,"&gt;="&amp;DATE(Summary!$C$12,1,1),'Dvd Calendar'!$E$205:$AR$205,"&lt;="&amp;MIN(Summary!$C$11,DATE(Summary!$C$12,12,31))))</f>
        <v/>
      </c>
      <c r="L25" s="38">
        <f>IF($C25="","",AVERAGE(F25:J25))</f>
        <v/>
      </c>
      <c r="M25" s="55">
        <f>IF($C25="","",IF(Summary!$C$16="N","",IFERROR(BDP($C25,'Field Check'!$C$16,'Field Check'!$C$17,TEXT(Summary!$C$12-5,"0")),"")))</f>
        <v/>
      </c>
      <c r="N25" s="55">
        <f>IF($C25="","",IF(Summary!$C$16="N","",IFERROR(BDP($C25,'Field Check'!$C$16,'Field Check'!$C$17,TEXT(Summary!$C$12-4,"0")),"")))</f>
        <v/>
      </c>
      <c r="O25" s="55">
        <f>IF($C25="","",IF(Summary!$C$16="N","",IFERROR(BDP($C25,'Field Check'!$C$16,'Field Check'!$C$17,TEXT(Summary!$C$12-3,"0")),"")))</f>
        <v/>
      </c>
      <c r="P25" s="55">
        <f>IF($C25="","",IF(Summary!$C$16="N","",IFERROR(BDP($C25,'Field Check'!$C$16,'Field Check'!$C$17,TEXT(Summary!$C$12-2,"0")),"")))</f>
        <v/>
      </c>
      <c r="Q25" s="55">
        <f>IF($C25="","",IF(Summary!$C$16="N","",IFERROR(BDP($C25,'Field Check'!$C$16,'Field Check'!$C$17,TEXT(Summary!$C$12-1,"0")),"")))</f>
        <v/>
      </c>
      <c r="R25" s="56">
        <f>IF($C25="","",IF(Summary!$C$16="N","",IFERROR(BDP($C25,'Field Check'!$C$18,'Field Check'!$C$17,TEXT(Summary!$C$12-5,"0"))/100,"")))</f>
        <v/>
      </c>
      <c r="S25" s="56">
        <f>IF($C25="","",IF(Summary!$C$16="N","",IFERROR(BDP($C25,'Field Check'!$C$18,'Field Check'!$C$17,TEXT(Summary!$C$12-4,"0"))/100,"")))</f>
        <v/>
      </c>
      <c r="T25" s="56">
        <f>IF($C25="","",IF(Summary!$C$16="N","",IFERROR(BDP($C25,'Field Check'!$C$18,'Field Check'!$C$17,TEXT(Summary!$C$12-3,"0"))/100,"")))</f>
        <v/>
      </c>
      <c r="U25" s="56">
        <f>IF($C25="","",IF(Summary!$C$16="N","",IFERROR(BDP($C25,'Field Check'!$C$18,'Field Check'!$C$17,TEXT(Summary!$C$12-2,"0"))/100,"")))</f>
        <v/>
      </c>
      <c r="V25" s="56">
        <f>IF($C25="","",IF(Summary!$C$16="N","",IFERROR(BDP($C25,'Field Check'!$C$18,'Field Check'!$C$17,TEXT(Summary!$C$12-1,"0"))/100,"")))</f>
        <v/>
      </c>
      <c r="W25" s="57">
        <f>IF($C25="","",IFERROR(AVERAGE(R25:V25),""))</f>
        <v/>
      </c>
      <c r="X25" s="58">
        <f>IF($C25="","",IF(ISNUMBER($Q25)*(N($Q25)&gt;0)=0,"",IFERROR($J25/$Q25,"")))</f>
        <v/>
      </c>
      <c r="Y25" s="59">
        <f>IF($C25="","",IF(ISNUMBER(HSI!$I$20),HSI!$I$20/100,""))</f>
        <v/>
      </c>
      <c r="Z25" s="60">
        <f>IF($C25="","",IF(Summary!$C$16="N","",IFERROR(BDP($C25,'Field Check'!$C$19)/100,"")))</f>
        <v/>
      </c>
      <c r="AA25" s="61">
        <f>IF($C25="","",IF(N($Y25)+N($Z25)=0,"",N($Y25)+N($Z25)))</f>
        <v/>
      </c>
      <c r="AB25" s="60">
        <f>IF($C25="","",IF(Summary!$C$16="N","",IFERROR(BDP($C25,'Field Check'!$C$20)/100,"")))</f>
        <v/>
      </c>
      <c r="AC25" s="45">
        <f>IF($C25="","",IF(N($Y25)=0,"",IFERROR($AB25/$Y25,"")))</f>
        <v/>
      </c>
      <c r="AD25" s="55">
        <f>IF($C25="","",IF(Summary!$C$16="N","",IFERROR(BDP($C25,'Field Check'!$C$21),"")))</f>
        <v/>
      </c>
      <c r="AE25" s="55">
        <f>IF($C25="","",IF(Summary!$C$16="N","",IFERROR(BDP($C25,'Field Check'!$C$22),"")))</f>
        <v/>
      </c>
      <c r="AF25" s="55">
        <f>IF($C25="","",IF(Summary!$C$16="N","",IFERROR(BDP($C25,'Field Check'!$C$23),"")))</f>
        <v/>
      </c>
      <c r="AG25" s="40">
        <f>IF($C25="","",TRIM(IF(ISNUMBER($W25)*(N($W25)&gt;$D$7)&gt;0,"payout high  ","")&amp;IF(ISNUMBER($AC25)*(N($AC25)&lt;$F$7)&gt;0,"FCF below dvd  ","")&amp;IF(ISNUMBER($AE25)*(N($AE25)&gt;$H$7)&gt;0,"leverage high","")))</f>
        <v/>
      </c>
      <c r="AH25" s="40">
        <f>IF($C25="","",IF(HSI!$F$20="HKD","",IF(HSI!$F$20="","","DPS in "&amp;HSI!$F$20)))</f>
        <v/>
      </c>
    </row>
    <row r="26">
      <c r="B26" s="52" t="inlineStr">
        <is>
          <t>HSI</t>
        </is>
      </c>
      <c r="C26" s="6">
        <f>IF(HSI!$C$21="","",HSI!$C$21)</f>
        <v/>
      </c>
      <c r="D26" s="6">
        <f>IF($C26="","",HSI!$D$21)</f>
        <v/>
      </c>
      <c r="E26" s="6">
        <f>IF($C26="","",HSI!$E$21)</f>
        <v/>
      </c>
      <c r="F26" s="53">
        <f>IF($C26="","",SUMIFS('Dvd Calendar'!$E$221:$AR$221,'Dvd Calendar'!$E$220:$AR$220,"&gt;="&amp;DATE(Summary!$C$12-5,1,1),'Dvd Calendar'!$E$220:$AR$220,"&lt;="&amp;DATE(Summary!$C$12-5,12,31)))</f>
        <v/>
      </c>
      <c r="G26" s="53">
        <f>IF($C26="","",SUMIFS('Dvd Calendar'!$E$221:$AR$221,'Dvd Calendar'!$E$220:$AR$220,"&gt;="&amp;DATE(Summary!$C$12-4,1,1),'Dvd Calendar'!$E$220:$AR$220,"&lt;="&amp;DATE(Summary!$C$12-4,12,31)))</f>
        <v/>
      </c>
      <c r="H26" s="53">
        <f>IF($C26="","",SUMIFS('Dvd Calendar'!$E$221:$AR$221,'Dvd Calendar'!$E$220:$AR$220,"&gt;="&amp;DATE(Summary!$C$12-3,1,1),'Dvd Calendar'!$E$220:$AR$220,"&lt;="&amp;DATE(Summary!$C$12-3,12,31)))</f>
        <v/>
      </c>
      <c r="I26" s="53">
        <f>IF($C26="","",SUMIFS('Dvd Calendar'!$E$221:$AR$221,'Dvd Calendar'!$E$220:$AR$220,"&gt;="&amp;DATE(Summary!$C$12-2,1,1),'Dvd Calendar'!$E$220:$AR$220,"&lt;="&amp;DATE(Summary!$C$12-2,12,31)))</f>
        <v/>
      </c>
      <c r="J26" s="53">
        <f>IF($C26="","",SUMIFS('Dvd Calendar'!$E$221:$AR$221,'Dvd Calendar'!$E$220:$AR$220,"&gt;="&amp;DATE(Summary!$C$12-1,1,1),'Dvd Calendar'!$E$220:$AR$220,"&lt;="&amp;DATE(Summary!$C$12-1,12,31)))</f>
        <v/>
      </c>
      <c r="K26" s="54">
        <f>IF($C26="","",SUMIFS('Dvd Calendar'!$E$221:$AR$221,'Dvd Calendar'!$E$220:$AR$220,"&gt;="&amp;DATE(Summary!$C$12,1,1),'Dvd Calendar'!$E$220:$AR$220,"&lt;="&amp;MIN(Summary!$C$11,DATE(Summary!$C$12,12,31))))</f>
        <v/>
      </c>
      <c r="L26" s="38">
        <f>IF($C26="","",AVERAGE(F26:J26))</f>
        <v/>
      </c>
      <c r="M26" s="55">
        <f>IF($C26="","",IF(Summary!$C$16="N","",IFERROR(BDP($C26,'Field Check'!$C$16,'Field Check'!$C$17,TEXT(Summary!$C$12-5,"0")),"")))</f>
        <v/>
      </c>
      <c r="N26" s="55">
        <f>IF($C26="","",IF(Summary!$C$16="N","",IFERROR(BDP($C26,'Field Check'!$C$16,'Field Check'!$C$17,TEXT(Summary!$C$12-4,"0")),"")))</f>
        <v/>
      </c>
      <c r="O26" s="55">
        <f>IF($C26="","",IF(Summary!$C$16="N","",IFERROR(BDP($C26,'Field Check'!$C$16,'Field Check'!$C$17,TEXT(Summary!$C$12-3,"0")),"")))</f>
        <v/>
      </c>
      <c r="P26" s="55">
        <f>IF($C26="","",IF(Summary!$C$16="N","",IFERROR(BDP($C26,'Field Check'!$C$16,'Field Check'!$C$17,TEXT(Summary!$C$12-2,"0")),"")))</f>
        <v/>
      </c>
      <c r="Q26" s="55">
        <f>IF($C26="","",IF(Summary!$C$16="N","",IFERROR(BDP($C26,'Field Check'!$C$16,'Field Check'!$C$17,TEXT(Summary!$C$12-1,"0")),"")))</f>
        <v/>
      </c>
      <c r="R26" s="56">
        <f>IF($C26="","",IF(Summary!$C$16="N","",IFERROR(BDP($C26,'Field Check'!$C$18,'Field Check'!$C$17,TEXT(Summary!$C$12-5,"0"))/100,"")))</f>
        <v/>
      </c>
      <c r="S26" s="56">
        <f>IF($C26="","",IF(Summary!$C$16="N","",IFERROR(BDP($C26,'Field Check'!$C$18,'Field Check'!$C$17,TEXT(Summary!$C$12-4,"0"))/100,"")))</f>
        <v/>
      </c>
      <c r="T26" s="56">
        <f>IF($C26="","",IF(Summary!$C$16="N","",IFERROR(BDP($C26,'Field Check'!$C$18,'Field Check'!$C$17,TEXT(Summary!$C$12-3,"0"))/100,"")))</f>
        <v/>
      </c>
      <c r="U26" s="56">
        <f>IF($C26="","",IF(Summary!$C$16="N","",IFERROR(BDP($C26,'Field Check'!$C$18,'Field Check'!$C$17,TEXT(Summary!$C$12-2,"0"))/100,"")))</f>
        <v/>
      </c>
      <c r="V26" s="56">
        <f>IF($C26="","",IF(Summary!$C$16="N","",IFERROR(BDP($C26,'Field Check'!$C$18,'Field Check'!$C$17,TEXT(Summary!$C$12-1,"0"))/100,"")))</f>
        <v/>
      </c>
      <c r="W26" s="57">
        <f>IF($C26="","",IFERROR(AVERAGE(R26:V26),""))</f>
        <v/>
      </c>
      <c r="X26" s="58">
        <f>IF($C26="","",IF(ISNUMBER($Q26)*(N($Q26)&gt;0)=0,"",IFERROR($J26/$Q26,"")))</f>
        <v/>
      </c>
      <c r="Y26" s="59">
        <f>IF($C26="","",IF(ISNUMBER(HSI!$I$21),HSI!$I$21/100,""))</f>
        <v/>
      </c>
      <c r="Z26" s="60">
        <f>IF($C26="","",IF(Summary!$C$16="N","",IFERROR(BDP($C26,'Field Check'!$C$19)/100,"")))</f>
        <v/>
      </c>
      <c r="AA26" s="61">
        <f>IF($C26="","",IF(N($Y26)+N($Z26)=0,"",N($Y26)+N($Z26)))</f>
        <v/>
      </c>
      <c r="AB26" s="60">
        <f>IF($C26="","",IF(Summary!$C$16="N","",IFERROR(BDP($C26,'Field Check'!$C$20)/100,"")))</f>
        <v/>
      </c>
      <c r="AC26" s="45">
        <f>IF($C26="","",IF(N($Y26)=0,"",IFERROR($AB26/$Y26,"")))</f>
        <v/>
      </c>
      <c r="AD26" s="55">
        <f>IF($C26="","",IF(Summary!$C$16="N","",IFERROR(BDP($C26,'Field Check'!$C$21),"")))</f>
        <v/>
      </c>
      <c r="AE26" s="55">
        <f>IF($C26="","",IF(Summary!$C$16="N","",IFERROR(BDP($C26,'Field Check'!$C$22),"")))</f>
        <v/>
      </c>
      <c r="AF26" s="55">
        <f>IF($C26="","",IF(Summary!$C$16="N","",IFERROR(BDP($C26,'Field Check'!$C$23),"")))</f>
        <v/>
      </c>
      <c r="AG26" s="40">
        <f>IF($C26="","",TRIM(IF(ISNUMBER($W26)*(N($W26)&gt;$D$7)&gt;0,"payout high  ","")&amp;IF(ISNUMBER($AC26)*(N($AC26)&lt;$F$7)&gt;0,"FCF below dvd  ","")&amp;IF(ISNUMBER($AE26)*(N($AE26)&gt;$H$7)&gt;0,"leverage high","")))</f>
        <v/>
      </c>
      <c r="AH26" s="40">
        <f>IF($C26="","",IF(HSI!$F$21="HKD","",IF(HSI!$F$21="","","DPS in "&amp;HSI!$F$21)))</f>
        <v/>
      </c>
    </row>
    <row r="27">
      <c r="B27" s="52" t="inlineStr">
        <is>
          <t>HSI</t>
        </is>
      </c>
      <c r="C27" s="6">
        <f>IF(HSI!$C$22="","",HSI!$C$22)</f>
        <v/>
      </c>
      <c r="D27" s="6">
        <f>IF($C27="","",HSI!$D$22)</f>
        <v/>
      </c>
      <c r="E27" s="6">
        <f>IF($C27="","",HSI!$E$22)</f>
        <v/>
      </c>
      <c r="F27" s="53">
        <f>IF($C27="","",SUMIFS('Dvd Calendar'!$E$236:$AR$236,'Dvd Calendar'!$E$235:$AR$235,"&gt;="&amp;DATE(Summary!$C$12-5,1,1),'Dvd Calendar'!$E$235:$AR$235,"&lt;="&amp;DATE(Summary!$C$12-5,12,31)))</f>
        <v/>
      </c>
      <c r="G27" s="53">
        <f>IF($C27="","",SUMIFS('Dvd Calendar'!$E$236:$AR$236,'Dvd Calendar'!$E$235:$AR$235,"&gt;="&amp;DATE(Summary!$C$12-4,1,1),'Dvd Calendar'!$E$235:$AR$235,"&lt;="&amp;DATE(Summary!$C$12-4,12,31)))</f>
        <v/>
      </c>
      <c r="H27" s="53">
        <f>IF($C27="","",SUMIFS('Dvd Calendar'!$E$236:$AR$236,'Dvd Calendar'!$E$235:$AR$235,"&gt;="&amp;DATE(Summary!$C$12-3,1,1),'Dvd Calendar'!$E$235:$AR$235,"&lt;="&amp;DATE(Summary!$C$12-3,12,31)))</f>
        <v/>
      </c>
      <c r="I27" s="53">
        <f>IF($C27="","",SUMIFS('Dvd Calendar'!$E$236:$AR$236,'Dvd Calendar'!$E$235:$AR$235,"&gt;="&amp;DATE(Summary!$C$12-2,1,1),'Dvd Calendar'!$E$235:$AR$235,"&lt;="&amp;DATE(Summary!$C$12-2,12,31)))</f>
        <v/>
      </c>
      <c r="J27" s="53">
        <f>IF($C27="","",SUMIFS('Dvd Calendar'!$E$236:$AR$236,'Dvd Calendar'!$E$235:$AR$235,"&gt;="&amp;DATE(Summary!$C$12-1,1,1),'Dvd Calendar'!$E$235:$AR$235,"&lt;="&amp;DATE(Summary!$C$12-1,12,31)))</f>
        <v/>
      </c>
      <c r="K27" s="54">
        <f>IF($C27="","",SUMIFS('Dvd Calendar'!$E$236:$AR$236,'Dvd Calendar'!$E$235:$AR$235,"&gt;="&amp;DATE(Summary!$C$12,1,1),'Dvd Calendar'!$E$235:$AR$235,"&lt;="&amp;MIN(Summary!$C$11,DATE(Summary!$C$12,12,31))))</f>
        <v/>
      </c>
      <c r="L27" s="38">
        <f>IF($C27="","",AVERAGE(F27:J27))</f>
        <v/>
      </c>
      <c r="M27" s="55">
        <f>IF($C27="","",IF(Summary!$C$16="N","",IFERROR(BDP($C27,'Field Check'!$C$16,'Field Check'!$C$17,TEXT(Summary!$C$12-5,"0")),"")))</f>
        <v/>
      </c>
      <c r="N27" s="55">
        <f>IF($C27="","",IF(Summary!$C$16="N","",IFERROR(BDP($C27,'Field Check'!$C$16,'Field Check'!$C$17,TEXT(Summary!$C$12-4,"0")),"")))</f>
        <v/>
      </c>
      <c r="O27" s="55">
        <f>IF($C27="","",IF(Summary!$C$16="N","",IFERROR(BDP($C27,'Field Check'!$C$16,'Field Check'!$C$17,TEXT(Summary!$C$12-3,"0")),"")))</f>
        <v/>
      </c>
      <c r="P27" s="55">
        <f>IF($C27="","",IF(Summary!$C$16="N","",IFERROR(BDP($C27,'Field Check'!$C$16,'Field Check'!$C$17,TEXT(Summary!$C$12-2,"0")),"")))</f>
        <v/>
      </c>
      <c r="Q27" s="55">
        <f>IF($C27="","",IF(Summary!$C$16="N","",IFERROR(BDP($C27,'Field Check'!$C$16,'Field Check'!$C$17,TEXT(Summary!$C$12-1,"0")),"")))</f>
        <v/>
      </c>
      <c r="R27" s="56">
        <f>IF($C27="","",IF(Summary!$C$16="N","",IFERROR(BDP($C27,'Field Check'!$C$18,'Field Check'!$C$17,TEXT(Summary!$C$12-5,"0"))/100,"")))</f>
        <v/>
      </c>
      <c r="S27" s="56">
        <f>IF($C27="","",IF(Summary!$C$16="N","",IFERROR(BDP($C27,'Field Check'!$C$18,'Field Check'!$C$17,TEXT(Summary!$C$12-4,"0"))/100,"")))</f>
        <v/>
      </c>
      <c r="T27" s="56">
        <f>IF($C27="","",IF(Summary!$C$16="N","",IFERROR(BDP($C27,'Field Check'!$C$18,'Field Check'!$C$17,TEXT(Summary!$C$12-3,"0"))/100,"")))</f>
        <v/>
      </c>
      <c r="U27" s="56">
        <f>IF($C27="","",IF(Summary!$C$16="N","",IFERROR(BDP($C27,'Field Check'!$C$18,'Field Check'!$C$17,TEXT(Summary!$C$12-2,"0"))/100,"")))</f>
        <v/>
      </c>
      <c r="V27" s="56">
        <f>IF($C27="","",IF(Summary!$C$16="N","",IFERROR(BDP($C27,'Field Check'!$C$18,'Field Check'!$C$17,TEXT(Summary!$C$12-1,"0"))/100,"")))</f>
        <v/>
      </c>
      <c r="W27" s="57">
        <f>IF($C27="","",IFERROR(AVERAGE(R27:V27),""))</f>
        <v/>
      </c>
      <c r="X27" s="58">
        <f>IF($C27="","",IF(ISNUMBER($Q27)*(N($Q27)&gt;0)=0,"",IFERROR($J27/$Q27,"")))</f>
        <v/>
      </c>
      <c r="Y27" s="59">
        <f>IF($C27="","",IF(ISNUMBER(HSI!$I$22),HSI!$I$22/100,""))</f>
        <v/>
      </c>
      <c r="Z27" s="60">
        <f>IF($C27="","",IF(Summary!$C$16="N","",IFERROR(BDP($C27,'Field Check'!$C$19)/100,"")))</f>
        <v/>
      </c>
      <c r="AA27" s="61">
        <f>IF($C27="","",IF(N($Y27)+N($Z27)=0,"",N($Y27)+N($Z27)))</f>
        <v/>
      </c>
      <c r="AB27" s="60">
        <f>IF($C27="","",IF(Summary!$C$16="N","",IFERROR(BDP($C27,'Field Check'!$C$20)/100,"")))</f>
        <v/>
      </c>
      <c r="AC27" s="45">
        <f>IF($C27="","",IF(N($Y27)=0,"",IFERROR($AB27/$Y27,"")))</f>
        <v/>
      </c>
      <c r="AD27" s="55">
        <f>IF($C27="","",IF(Summary!$C$16="N","",IFERROR(BDP($C27,'Field Check'!$C$21),"")))</f>
        <v/>
      </c>
      <c r="AE27" s="55">
        <f>IF($C27="","",IF(Summary!$C$16="N","",IFERROR(BDP($C27,'Field Check'!$C$22),"")))</f>
        <v/>
      </c>
      <c r="AF27" s="55">
        <f>IF($C27="","",IF(Summary!$C$16="N","",IFERROR(BDP($C27,'Field Check'!$C$23),"")))</f>
        <v/>
      </c>
      <c r="AG27" s="40">
        <f>IF($C27="","",TRIM(IF(ISNUMBER($W27)*(N($W27)&gt;$D$7)&gt;0,"payout high  ","")&amp;IF(ISNUMBER($AC27)*(N($AC27)&lt;$F$7)&gt;0,"FCF below dvd  ","")&amp;IF(ISNUMBER($AE27)*(N($AE27)&gt;$H$7)&gt;0,"leverage high","")))</f>
        <v/>
      </c>
      <c r="AH27" s="40">
        <f>IF($C27="","",IF(HSI!$F$22="HKD","",IF(HSI!$F$22="","","DPS in "&amp;HSI!$F$22)))</f>
        <v/>
      </c>
    </row>
    <row r="28">
      <c r="B28" s="52" t="inlineStr">
        <is>
          <t>HSI</t>
        </is>
      </c>
      <c r="C28" s="6">
        <f>IF(HSI!$C$23="","",HSI!$C$23)</f>
        <v/>
      </c>
      <c r="D28" s="6">
        <f>IF($C28="","",HSI!$D$23)</f>
        <v/>
      </c>
      <c r="E28" s="6">
        <f>IF($C28="","",HSI!$E$23)</f>
        <v/>
      </c>
      <c r="F28" s="53">
        <f>IF($C28="","",SUMIFS('Dvd Calendar'!$E$251:$AR$251,'Dvd Calendar'!$E$250:$AR$250,"&gt;="&amp;DATE(Summary!$C$12-5,1,1),'Dvd Calendar'!$E$250:$AR$250,"&lt;="&amp;DATE(Summary!$C$12-5,12,31)))</f>
        <v/>
      </c>
      <c r="G28" s="53">
        <f>IF($C28="","",SUMIFS('Dvd Calendar'!$E$251:$AR$251,'Dvd Calendar'!$E$250:$AR$250,"&gt;="&amp;DATE(Summary!$C$12-4,1,1),'Dvd Calendar'!$E$250:$AR$250,"&lt;="&amp;DATE(Summary!$C$12-4,12,31)))</f>
        <v/>
      </c>
      <c r="H28" s="53">
        <f>IF($C28="","",SUMIFS('Dvd Calendar'!$E$251:$AR$251,'Dvd Calendar'!$E$250:$AR$250,"&gt;="&amp;DATE(Summary!$C$12-3,1,1),'Dvd Calendar'!$E$250:$AR$250,"&lt;="&amp;DATE(Summary!$C$12-3,12,31)))</f>
        <v/>
      </c>
      <c r="I28" s="53">
        <f>IF($C28="","",SUMIFS('Dvd Calendar'!$E$251:$AR$251,'Dvd Calendar'!$E$250:$AR$250,"&gt;="&amp;DATE(Summary!$C$12-2,1,1),'Dvd Calendar'!$E$250:$AR$250,"&lt;="&amp;DATE(Summary!$C$12-2,12,31)))</f>
        <v/>
      </c>
      <c r="J28" s="53">
        <f>IF($C28="","",SUMIFS('Dvd Calendar'!$E$251:$AR$251,'Dvd Calendar'!$E$250:$AR$250,"&gt;="&amp;DATE(Summary!$C$12-1,1,1),'Dvd Calendar'!$E$250:$AR$250,"&lt;="&amp;DATE(Summary!$C$12-1,12,31)))</f>
        <v/>
      </c>
      <c r="K28" s="54">
        <f>IF($C28="","",SUMIFS('Dvd Calendar'!$E$251:$AR$251,'Dvd Calendar'!$E$250:$AR$250,"&gt;="&amp;DATE(Summary!$C$12,1,1),'Dvd Calendar'!$E$250:$AR$250,"&lt;="&amp;MIN(Summary!$C$11,DATE(Summary!$C$12,12,31))))</f>
        <v/>
      </c>
      <c r="L28" s="38">
        <f>IF($C28="","",AVERAGE(F28:J28))</f>
        <v/>
      </c>
      <c r="M28" s="55">
        <f>IF($C28="","",IF(Summary!$C$16="N","",IFERROR(BDP($C28,'Field Check'!$C$16,'Field Check'!$C$17,TEXT(Summary!$C$12-5,"0")),"")))</f>
        <v/>
      </c>
      <c r="N28" s="55">
        <f>IF($C28="","",IF(Summary!$C$16="N","",IFERROR(BDP($C28,'Field Check'!$C$16,'Field Check'!$C$17,TEXT(Summary!$C$12-4,"0")),"")))</f>
        <v/>
      </c>
      <c r="O28" s="55">
        <f>IF($C28="","",IF(Summary!$C$16="N","",IFERROR(BDP($C28,'Field Check'!$C$16,'Field Check'!$C$17,TEXT(Summary!$C$12-3,"0")),"")))</f>
        <v/>
      </c>
      <c r="P28" s="55">
        <f>IF($C28="","",IF(Summary!$C$16="N","",IFERROR(BDP($C28,'Field Check'!$C$16,'Field Check'!$C$17,TEXT(Summary!$C$12-2,"0")),"")))</f>
        <v/>
      </c>
      <c r="Q28" s="55">
        <f>IF($C28="","",IF(Summary!$C$16="N","",IFERROR(BDP($C28,'Field Check'!$C$16,'Field Check'!$C$17,TEXT(Summary!$C$12-1,"0")),"")))</f>
        <v/>
      </c>
      <c r="R28" s="56">
        <f>IF($C28="","",IF(Summary!$C$16="N","",IFERROR(BDP($C28,'Field Check'!$C$18,'Field Check'!$C$17,TEXT(Summary!$C$12-5,"0"))/100,"")))</f>
        <v/>
      </c>
      <c r="S28" s="56">
        <f>IF($C28="","",IF(Summary!$C$16="N","",IFERROR(BDP($C28,'Field Check'!$C$18,'Field Check'!$C$17,TEXT(Summary!$C$12-4,"0"))/100,"")))</f>
        <v/>
      </c>
      <c r="T28" s="56">
        <f>IF($C28="","",IF(Summary!$C$16="N","",IFERROR(BDP($C28,'Field Check'!$C$18,'Field Check'!$C$17,TEXT(Summary!$C$12-3,"0"))/100,"")))</f>
        <v/>
      </c>
      <c r="U28" s="56">
        <f>IF($C28="","",IF(Summary!$C$16="N","",IFERROR(BDP($C28,'Field Check'!$C$18,'Field Check'!$C$17,TEXT(Summary!$C$12-2,"0"))/100,"")))</f>
        <v/>
      </c>
      <c r="V28" s="56">
        <f>IF($C28="","",IF(Summary!$C$16="N","",IFERROR(BDP($C28,'Field Check'!$C$18,'Field Check'!$C$17,TEXT(Summary!$C$12-1,"0"))/100,"")))</f>
        <v/>
      </c>
      <c r="W28" s="57">
        <f>IF($C28="","",IFERROR(AVERAGE(R28:V28),""))</f>
        <v/>
      </c>
      <c r="X28" s="58">
        <f>IF($C28="","",IF(ISNUMBER($Q28)*(N($Q28)&gt;0)=0,"",IFERROR($J28/$Q28,"")))</f>
        <v/>
      </c>
      <c r="Y28" s="59">
        <f>IF($C28="","",IF(ISNUMBER(HSI!$I$23),HSI!$I$23/100,""))</f>
        <v/>
      </c>
      <c r="Z28" s="60">
        <f>IF($C28="","",IF(Summary!$C$16="N","",IFERROR(BDP($C28,'Field Check'!$C$19)/100,"")))</f>
        <v/>
      </c>
      <c r="AA28" s="61">
        <f>IF($C28="","",IF(N($Y28)+N($Z28)=0,"",N($Y28)+N($Z28)))</f>
        <v/>
      </c>
      <c r="AB28" s="60">
        <f>IF($C28="","",IF(Summary!$C$16="N","",IFERROR(BDP($C28,'Field Check'!$C$20)/100,"")))</f>
        <v/>
      </c>
      <c r="AC28" s="45">
        <f>IF($C28="","",IF(N($Y28)=0,"",IFERROR($AB28/$Y28,"")))</f>
        <v/>
      </c>
      <c r="AD28" s="55">
        <f>IF($C28="","",IF(Summary!$C$16="N","",IFERROR(BDP($C28,'Field Check'!$C$21),"")))</f>
        <v/>
      </c>
      <c r="AE28" s="55">
        <f>IF($C28="","",IF(Summary!$C$16="N","",IFERROR(BDP($C28,'Field Check'!$C$22),"")))</f>
        <v/>
      </c>
      <c r="AF28" s="55">
        <f>IF($C28="","",IF(Summary!$C$16="N","",IFERROR(BDP($C28,'Field Check'!$C$23),"")))</f>
        <v/>
      </c>
      <c r="AG28" s="40">
        <f>IF($C28="","",TRIM(IF(ISNUMBER($W28)*(N($W28)&gt;$D$7)&gt;0,"payout high  ","")&amp;IF(ISNUMBER($AC28)*(N($AC28)&lt;$F$7)&gt;0,"FCF below dvd  ","")&amp;IF(ISNUMBER($AE28)*(N($AE28)&gt;$H$7)&gt;0,"leverage high","")))</f>
        <v/>
      </c>
      <c r="AH28" s="40">
        <f>IF($C28="","",IF(HSI!$F$23="HKD","",IF(HSI!$F$23="","","DPS in "&amp;HSI!$F$23)))</f>
        <v/>
      </c>
    </row>
    <row r="29">
      <c r="B29" s="52" t="inlineStr">
        <is>
          <t>HSI</t>
        </is>
      </c>
      <c r="C29" s="6">
        <f>IF(HSI!$C$24="","",HSI!$C$24)</f>
        <v/>
      </c>
      <c r="D29" s="6">
        <f>IF($C29="","",HSI!$D$24)</f>
        <v/>
      </c>
      <c r="E29" s="6">
        <f>IF($C29="","",HSI!$E$24)</f>
        <v/>
      </c>
      <c r="F29" s="53">
        <f>IF($C29="","",SUMIFS('Dvd Calendar'!$E$266:$AR$266,'Dvd Calendar'!$E$265:$AR$265,"&gt;="&amp;DATE(Summary!$C$12-5,1,1),'Dvd Calendar'!$E$265:$AR$265,"&lt;="&amp;DATE(Summary!$C$12-5,12,31)))</f>
        <v/>
      </c>
      <c r="G29" s="53">
        <f>IF($C29="","",SUMIFS('Dvd Calendar'!$E$266:$AR$266,'Dvd Calendar'!$E$265:$AR$265,"&gt;="&amp;DATE(Summary!$C$12-4,1,1),'Dvd Calendar'!$E$265:$AR$265,"&lt;="&amp;DATE(Summary!$C$12-4,12,31)))</f>
        <v/>
      </c>
      <c r="H29" s="53">
        <f>IF($C29="","",SUMIFS('Dvd Calendar'!$E$266:$AR$266,'Dvd Calendar'!$E$265:$AR$265,"&gt;="&amp;DATE(Summary!$C$12-3,1,1),'Dvd Calendar'!$E$265:$AR$265,"&lt;="&amp;DATE(Summary!$C$12-3,12,31)))</f>
        <v/>
      </c>
      <c r="I29" s="53">
        <f>IF($C29="","",SUMIFS('Dvd Calendar'!$E$266:$AR$266,'Dvd Calendar'!$E$265:$AR$265,"&gt;="&amp;DATE(Summary!$C$12-2,1,1),'Dvd Calendar'!$E$265:$AR$265,"&lt;="&amp;DATE(Summary!$C$12-2,12,31)))</f>
        <v/>
      </c>
      <c r="J29" s="53">
        <f>IF($C29="","",SUMIFS('Dvd Calendar'!$E$266:$AR$266,'Dvd Calendar'!$E$265:$AR$265,"&gt;="&amp;DATE(Summary!$C$12-1,1,1),'Dvd Calendar'!$E$265:$AR$265,"&lt;="&amp;DATE(Summary!$C$12-1,12,31)))</f>
        <v/>
      </c>
      <c r="K29" s="54">
        <f>IF($C29="","",SUMIFS('Dvd Calendar'!$E$266:$AR$266,'Dvd Calendar'!$E$265:$AR$265,"&gt;="&amp;DATE(Summary!$C$12,1,1),'Dvd Calendar'!$E$265:$AR$265,"&lt;="&amp;MIN(Summary!$C$11,DATE(Summary!$C$12,12,31))))</f>
        <v/>
      </c>
      <c r="L29" s="38">
        <f>IF($C29="","",AVERAGE(F29:J29))</f>
        <v/>
      </c>
      <c r="M29" s="55">
        <f>IF($C29="","",IF(Summary!$C$16="N","",IFERROR(BDP($C29,'Field Check'!$C$16,'Field Check'!$C$17,TEXT(Summary!$C$12-5,"0")),"")))</f>
        <v/>
      </c>
      <c r="N29" s="55">
        <f>IF($C29="","",IF(Summary!$C$16="N","",IFERROR(BDP($C29,'Field Check'!$C$16,'Field Check'!$C$17,TEXT(Summary!$C$12-4,"0")),"")))</f>
        <v/>
      </c>
      <c r="O29" s="55">
        <f>IF($C29="","",IF(Summary!$C$16="N","",IFERROR(BDP($C29,'Field Check'!$C$16,'Field Check'!$C$17,TEXT(Summary!$C$12-3,"0")),"")))</f>
        <v/>
      </c>
      <c r="P29" s="55">
        <f>IF($C29="","",IF(Summary!$C$16="N","",IFERROR(BDP($C29,'Field Check'!$C$16,'Field Check'!$C$17,TEXT(Summary!$C$12-2,"0")),"")))</f>
        <v/>
      </c>
      <c r="Q29" s="55">
        <f>IF($C29="","",IF(Summary!$C$16="N","",IFERROR(BDP($C29,'Field Check'!$C$16,'Field Check'!$C$17,TEXT(Summary!$C$12-1,"0")),"")))</f>
        <v/>
      </c>
      <c r="R29" s="56">
        <f>IF($C29="","",IF(Summary!$C$16="N","",IFERROR(BDP($C29,'Field Check'!$C$18,'Field Check'!$C$17,TEXT(Summary!$C$12-5,"0"))/100,"")))</f>
        <v/>
      </c>
      <c r="S29" s="56">
        <f>IF($C29="","",IF(Summary!$C$16="N","",IFERROR(BDP($C29,'Field Check'!$C$18,'Field Check'!$C$17,TEXT(Summary!$C$12-4,"0"))/100,"")))</f>
        <v/>
      </c>
      <c r="T29" s="56">
        <f>IF($C29="","",IF(Summary!$C$16="N","",IFERROR(BDP($C29,'Field Check'!$C$18,'Field Check'!$C$17,TEXT(Summary!$C$12-3,"0"))/100,"")))</f>
        <v/>
      </c>
      <c r="U29" s="56">
        <f>IF($C29="","",IF(Summary!$C$16="N","",IFERROR(BDP($C29,'Field Check'!$C$18,'Field Check'!$C$17,TEXT(Summary!$C$12-2,"0"))/100,"")))</f>
        <v/>
      </c>
      <c r="V29" s="56">
        <f>IF($C29="","",IF(Summary!$C$16="N","",IFERROR(BDP($C29,'Field Check'!$C$18,'Field Check'!$C$17,TEXT(Summary!$C$12-1,"0"))/100,"")))</f>
        <v/>
      </c>
      <c r="W29" s="57">
        <f>IF($C29="","",IFERROR(AVERAGE(R29:V29),""))</f>
        <v/>
      </c>
      <c r="X29" s="58">
        <f>IF($C29="","",IF(ISNUMBER($Q29)*(N($Q29)&gt;0)=0,"",IFERROR($J29/$Q29,"")))</f>
        <v/>
      </c>
      <c r="Y29" s="59">
        <f>IF($C29="","",IF(ISNUMBER(HSI!$I$24),HSI!$I$24/100,""))</f>
        <v/>
      </c>
      <c r="Z29" s="60">
        <f>IF($C29="","",IF(Summary!$C$16="N","",IFERROR(BDP($C29,'Field Check'!$C$19)/100,"")))</f>
        <v/>
      </c>
      <c r="AA29" s="61">
        <f>IF($C29="","",IF(N($Y29)+N($Z29)=0,"",N($Y29)+N($Z29)))</f>
        <v/>
      </c>
      <c r="AB29" s="60">
        <f>IF($C29="","",IF(Summary!$C$16="N","",IFERROR(BDP($C29,'Field Check'!$C$20)/100,"")))</f>
        <v/>
      </c>
      <c r="AC29" s="45">
        <f>IF($C29="","",IF(N($Y29)=0,"",IFERROR($AB29/$Y29,"")))</f>
        <v/>
      </c>
      <c r="AD29" s="55">
        <f>IF($C29="","",IF(Summary!$C$16="N","",IFERROR(BDP($C29,'Field Check'!$C$21),"")))</f>
        <v/>
      </c>
      <c r="AE29" s="55">
        <f>IF($C29="","",IF(Summary!$C$16="N","",IFERROR(BDP($C29,'Field Check'!$C$22),"")))</f>
        <v/>
      </c>
      <c r="AF29" s="55">
        <f>IF($C29="","",IF(Summary!$C$16="N","",IFERROR(BDP($C29,'Field Check'!$C$23),"")))</f>
        <v/>
      </c>
      <c r="AG29" s="40">
        <f>IF($C29="","",TRIM(IF(ISNUMBER($W29)*(N($W29)&gt;$D$7)&gt;0,"payout high  ","")&amp;IF(ISNUMBER($AC29)*(N($AC29)&lt;$F$7)&gt;0,"FCF below dvd  ","")&amp;IF(ISNUMBER($AE29)*(N($AE29)&gt;$H$7)&gt;0,"leverage high","")))</f>
        <v/>
      </c>
      <c r="AH29" s="40">
        <f>IF($C29="","",IF(HSI!$F$24="HKD","",IF(HSI!$F$24="","","DPS in "&amp;HSI!$F$24)))</f>
        <v/>
      </c>
    </row>
    <row r="30">
      <c r="B30" s="52" t="inlineStr">
        <is>
          <t>HSI</t>
        </is>
      </c>
      <c r="C30" s="6">
        <f>IF(HSI!$C$25="","",HSI!$C$25)</f>
        <v/>
      </c>
      <c r="D30" s="6">
        <f>IF($C30="","",HSI!$D$25)</f>
        <v/>
      </c>
      <c r="E30" s="6">
        <f>IF($C30="","",HSI!$E$25)</f>
        <v/>
      </c>
      <c r="F30" s="53">
        <f>IF($C30="","",SUMIFS('Dvd Calendar'!$E$281:$AR$281,'Dvd Calendar'!$E$280:$AR$280,"&gt;="&amp;DATE(Summary!$C$12-5,1,1),'Dvd Calendar'!$E$280:$AR$280,"&lt;="&amp;DATE(Summary!$C$12-5,12,31)))</f>
        <v/>
      </c>
      <c r="G30" s="53">
        <f>IF($C30="","",SUMIFS('Dvd Calendar'!$E$281:$AR$281,'Dvd Calendar'!$E$280:$AR$280,"&gt;="&amp;DATE(Summary!$C$12-4,1,1),'Dvd Calendar'!$E$280:$AR$280,"&lt;="&amp;DATE(Summary!$C$12-4,12,31)))</f>
        <v/>
      </c>
      <c r="H30" s="53">
        <f>IF($C30="","",SUMIFS('Dvd Calendar'!$E$281:$AR$281,'Dvd Calendar'!$E$280:$AR$280,"&gt;="&amp;DATE(Summary!$C$12-3,1,1),'Dvd Calendar'!$E$280:$AR$280,"&lt;="&amp;DATE(Summary!$C$12-3,12,31)))</f>
        <v/>
      </c>
      <c r="I30" s="53">
        <f>IF($C30="","",SUMIFS('Dvd Calendar'!$E$281:$AR$281,'Dvd Calendar'!$E$280:$AR$280,"&gt;="&amp;DATE(Summary!$C$12-2,1,1),'Dvd Calendar'!$E$280:$AR$280,"&lt;="&amp;DATE(Summary!$C$12-2,12,31)))</f>
        <v/>
      </c>
      <c r="J30" s="53">
        <f>IF($C30="","",SUMIFS('Dvd Calendar'!$E$281:$AR$281,'Dvd Calendar'!$E$280:$AR$280,"&gt;="&amp;DATE(Summary!$C$12-1,1,1),'Dvd Calendar'!$E$280:$AR$280,"&lt;="&amp;DATE(Summary!$C$12-1,12,31)))</f>
        <v/>
      </c>
      <c r="K30" s="54">
        <f>IF($C30="","",SUMIFS('Dvd Calendar'!$E$281:$AR$281,'Dvd Calendar'!$E$280:$AR$280,"&gt;="&amp;DATE(Summary!$C$12,1,1),'Dvd Calendar'!$E$280:$AR$280,"&lt;="&amp;MIN(Summary!$C$11,DATE(Summary!$C$12,12,31))))</f>
        <v/>
      </c>
      <c r="L30" s="38">
        <f>IF($C30="","",AVERAGE(F30:J30))</f>
        <v/>
      </c>
      <c r="M30" s="55">
        <f>IF($C30="","",IF(Summary!$C$16="N","",IFERROR(BDP($C30,'Field Check'!$C$16,'Field Check'!$C$17,TEXT(Summary!$C$12-5,"0")),"")))</f>
        <v/>
      </c>
      <c r="N30" s="55">
        <f>IF($C30="","",IF(Summary!$C$16="N","",IFERROR(BDP($C30,'Field Check'!$C$16,'Field Check'!$C$17,TEXT(Summary!$C$12-4,"0")),"")))</f>
        <v/>
      </c>
      <c r="O30" s="55">
        <f>IF($C30="","",IF(Summary!$C$16="N","",IFERROR(BDP($C30,'Field Check'!$C$16,'Field Check'!$C$17,TEXT(Summary!$C$12-3,"0")),"")))</f>
        <v/>
      </c>
      <c r="P30" s="55">
        <f>IF($C30="","",IF(Summary!$C$16="N","",IFERROR(BDP($C30,'Field Check'!$C$16,'Field Check'!$C$17,TEXT(Summary!$C$12-2,"0")),"")))</f>
        <v/>
      </c>
      <c r="Q30" s="55">
        <f>IF($C30="","",IF(Summary!$C$16="N","",IFERROR(BDP($C30,'Field Check'!$C$16,'Field Check'!$C$17,TEXT(Summary!$C$12-1,"0")),"")))</f>
        <v/>
      </c>
      <c r="R30" s="56">
        <f>IF($C30="","",IF(Summary!$C$16="N","",IFERROR(BDP($C30,'Field Check'!$C$18,'Field Check'!$C$17,TEXT(Summary!$C$12-5,"0"))/100,"")))</f>
        <v/>
      </c>
      <c r="S30" s="56">
        <f>IF($C30="","",IF(Summary!$C$16="N","",IFERROR(BDP($C30,'Field Check'!$C$18,'Field Check'!$C$17,TEXT(Summary!$C$12-4,"0"))/100,"")))</f>
        <v/>
      </c>
      <c r="T30" s="56">
        <f>IF($C30="","",IF(Summary!$C$16="N","",IFERROR(BDP($C30,'Field Check'!$C$18,'Field Check'!$C$17,TEXT(Summary!$C$12-3,"0"))/100,"")))</f>
        <v/>
      </c>
      <c r="U30" s="56">
        <f>IF($C30="","",IF(Summary!$C$16="N","",IFERROR(BDP($C30,'Field Check'!$C$18,'Field Check'!$C$17,TEXT(Summary!$C$12-2,"0"))/100,"")))</f>
        <v/>
      </c>
      <c r="V30" s="56">
        <f>IF($C30="","",IF(Summary!$C$16="N","",IFERROR(BDP($C30,'Field Check'!$C$18,'Field Check'!$C$17,TEXT(Summary!$C$12-1,"0"))/100,"")))</f>
        <v/>
      </c>
      <c r="W30" s="57">
        <f>IF($C30="","",IFERROR(AVERAGE(R30:V30),""))</f>
        <v/>
      </c>
      <c r="X30" s="58">
        <f>IF($C30="","",IF(ISNUMBER($Q30)*(N($Q30)&gt;0)=0,"",IFERROR($J30/$Q30,"")))</f>
        <v/>
      </c>
      <c r="Y30" s="59">
        <f>IF($C30="","",IF(ISNUMBER(HSI!$I$25),HSI!$I$25/100,""))</f>
        <v/>
      </c>
      <c r="Z30" s="60">
        <f>IF($C30="","",IF(Summary!$C$16="N","",IFERROR(BDP($C30,'Field Check'!$C$19)/100,"")))</f>
        <v/>
      </c>
      <c r="AA30" s="61">
        <f>IF($C30="","",IF(N($Y30)+N($Z30)=0,"",N($Y30)+N($Z30)))</f>
        <v/>
      </c>
      <c r="AB30" s="60">
        <f>IF($C30="","",IF(Summary!$C$16="N","",IFERROR(BDP($C30,'Field Check'!$C$20)/100,"")))</f>
        <v/>
      </c>
      <c r="AC30" s="45">
        <f>IF($C30="","",IF(N($Y30)=0,"",IFERROR($AB30/$Y30,"")))</f>
        <v/>
      </c>
      <c r="AD30" s="55">
        <f>IF($C30="","",IF(Summary!$C$16="N","",IFERROR(BDP($C30,'Field Check'!$C$21),"")))</f>
        <v/>
      </c>
      <c r="AE30" s="55">
        <f>IF($C30="","",IF(Summary!$C$16="N","",IFERROR(BDP($C30,'Field Check'!$C$22),"")))</f>
        <v/>
      </c>
      <c r="AF30" s="55">
        <f>IF($C30="","",IF(Summary!$C$16="N","",IFERROR(BDP($C30,'Field Check'!$C$23),"")))</f>
        <v/>
      </c>
      <c r="AG30" s="40">
        <f>IF($C30="","",TRIM(IF(ISNUMBER($W30)*(N($W30)&gt;$D$7)&gt;0,"payout high  ","")&amp;IF(ISNUMBER($AC30)*(N($AC30)&lt;$F$7)&gt;0,"FCF below dvd  ","")&amp;IF(ISNUMBER($AE30)*(N($AE30)&gt;$H$7)&gt;0,"leverage high","")))</f>
        <v/>
      </c>
      <c r="AH30" s="40">
        <f>IF($C30="","",IF(HSI!$F$25="HKD","",IF(HSI!$F$25="","","DPS in "&amp;HSI!$F$25)))</f>
        <v/>
      </c>
    </row>
    <row r="31">
      <c r="B31" s="52" t="inlineStr">
        <is>
          <t>HSI</t>
        </is>
      </c>
      <c r="C31" s="6">
        <f>IF(HSI!$C$26="","",HSI!$C$26)</f>
        <v/>
      </c>
      <c r="D31" s="6">
        <f>IF($C31="","",HSI!$D$26)</f>
        <v/>
      </c>
      <c r="E31" s="6">
        <f>IF($C31="","",HSI!$E$26)</f>
        <v/>
      </c>
      <c r="F31" s="53">
        <f>IF($C31="","",SUMIFS('Dvd Calendar'!$E$296:$AR$296,'Dvd Calendar'!$E$295:$AR$295,"&gt;="&amp;DATE(Summary!$C$12-5,1,1),'Dvd Calendar'!$E$295:$AR$295,"&lt;="&amp;DATE(Summary!$C$12-5,12,31)))</f>
        <v/>
      </c>
      <c r="G31" s="53">
        <f>IF($C31="","",SUMIFS('Dvd Calendar'!$E$296:$AR$296,'Dvd Calendar'!$E$295:$AR$295,"&gt;="&amp;DATE(Summary!$C$12-4,1,1),'Dvd Calendar'!$E$295:$AR$295,"&lt;="&amp;DATE(Summary!$C$12-4,12,31)))</f>
        <v/>
      </c>
      <c r="H31" s="53">
        <f>IF($C31="","",SUMIFS('Dvd Calendar'!$E$296:$AR$296,'Dvd Calendar'!$E$295:$AR$295,"&gt;="&amp;DATE(Summary!$C$12-3,1,1),'Dvd Calendar'!$E$295:$AR$295,"&lt;="&amp;DATE(Summary!$C$12-3,12,31)))</f>
        <v/>
      </c>
      <c r="I31" s="53">
        <f>IF($C31="","",SUMIFS('Dvd Calendar'!$E$296:$AR$296,'Dvd Calendar'!$E$295:$AR$295,"&gt;="&amp;DATE(Summary!$C$12-2,1,1),'Dvd Calendar'!$E$295:$AR$295,"&lt;="&amp;DATE(Summary!$C$12-2,12,31)))</f>
        <v/>
      </c>
      <c r="J31" s="53">
        <f>IF($C31="","",SUMIFS('Dvd Calendar'!$E$296:$AR$296,'Dvd Calendar'!$E$295:$AR$295,"&gt;="&amp;DATE(Summary!$C$12-1,1,1),'Dvd Calendar'!$E$295:$AR$295,"&lt;="&amp;DATE(Summary!$C$12-1,12,31)))</f>
        <v/>
      </c>
      <c r="K31" s="54">
        <f>IF($C31="","",SUMIFS('Dvd Calendar'!$E$296:$AR$296,'Dvd Calendar'!$E$295:$AR$295,"&gt;="&amp;DATE(Summary!$C$12,1,1),'Dvd Calendar'!$E$295:$AR$295,"&lt;="&amp;MIN(Summary!$C$11,DATE(Summary!$C$12,12,31))))</f>
        <v/>
      </c>
      <c r="L31" s="38">
        <f>IF($C31="","",AVERAGE(F31:J31))</f>
        <v/>
      </c>
      <c r="M31" s="55">
        <f>IF($C31="","",IF(Summary!$C$16="N","",IFERROR(BDP($C31,'Field Check'!$C$16,'Field Check'!$C$17,TEXT(Summary!$C$12-5,"0")),"")))</f>
        <v/>
      </c>
      <c r="N31" s="55">
        <f>IF($C31="","",IF(Summary!$C$16="N","",IFERROR(BDP($C31,'Field Check'!$C$16,'Field Check'!$C$17,TEXT(Summary!$C$12-4,"0")),"")))</f>
        <v/>
      </c>
      <c r="O31" s="55">
        <f>IF($C31="","",IF(Summary!$C$16="N","",IFERROR(BDP($C31,'Field Check'!$C$16,'Field Check'!$C$17,TEXT(Summary!$C$12-3,"0")),"")))</f>
        <v/>
      </c>
      <c r="P31" s="55">
        <f>IF($C31="","",IF(Summary!$C$16="N","",IFERROR(BDP($C31,'Field Check'!$C$16,'Field Check'!$C$17,TEXT(Summary!$C$12-2,"0")),"")))</f>
        <v/>
      </c>
      <c r="Q31" s="55">
        <f>IF($C31="","",IF(Summary!$C$16="N","",IFERROR(BDP($C31,'Field Check'!$C$16,'Field Check'!$C$17,TEXT(Summary!$C$12-1,"0")),"")))</f>
        <v/>
      </c>
      <c r="R31" s="56">
        <f>IF($C31="","",IF(Summary!$C$16="N","",IFERROR(BDP($C31,'Field Check'!$C$18,'Field Check'!$C$17,TEXT(Summary!$C$12-5,"0"))/100,"")))</f>
        <v/>
      </c>
      <c r="S31" s="56">
        <f>IF($C31="","",IF(Summary!$C$16="N","",IFERROR(BDP($C31,'Field Check'!$C$18,'Field Check'!$C$17,TEXT(Summary!$C$12-4,"0"))/100,"")))</f>
        <v/>
      </c>
      <c r="T31" s="56">
        <f>IF($C31="","",IF(Summary!$C$16="N","",IFERROR(BDP($C31,'Field Check'!$C$18,'Field Check'!$C$17,TEXT(Summary!$C$12-3,"0"))/100,"")))</f>
        <v/>
      </c>
      <c r="U31" s="56">
        <f>IF($C31="","",IF(Summary!$C$16="N","",IFERROR(BDP($C31,'Field Check'!$C$18,'Field Check'!$C$17,TEXT(Summary!$C$12-2,"0"))/100,"")))</f>
        <v/>
      </c>
      <c r="V31" s="56">
        <f>IF($C31="","",IF(Summary!$C$16="N","",IFERROR(BDP($C31,'Field Check'!$C$18,'Field Check'!$C$17,TEXT(Summary!$C$12-1,"0"))/100,"")))</f>
        <v/>
      </c>
      <c r="W31" s="57">
        <f>IF($C31="","",IFERROR(AVERAGE(R31:V31),""))</f>
        <v/>
      </c>
      <c r="X31" s="58">
        <f>IF($C31="","",IF(ISNUMBER($Q31)*(N($Q31)&gt;0)=0,"",IFERROR($J31/$Q31,"")))</f>
        <v/>
      </c>
      <c r="Y31" s="59">
        <f>IF($C31="","",IF(ISNUMBER(HSI!$I$26),HSI!$I$26/100,""))</f>
        <v/>
      </c>
      <c r="Z31" s="60">
        <f>IF($C31="","",IF(Summary!$C$16="N","",IFERROR(BDP($C31,'Field Check'!$C$19)/100,"")))</f>
        <v/>
      </c>
      <c r="AA31" s="61">
        <f>IF($C31="","",IF(N($Y31)+N($Z31)=0,"",N($Y31)+N($Z31)))</f>
        <v/>
      </c>
      <c r="AB31" s="60">
        <f>IF($C31="","",IF(Summary!$C$16="N","",IFERROR(BDP($C31,'Field Check'!$C$20)/100,"")))</f>
        <v/>
      </c>
      <c r="AC31" s="45">
        <f>IF($C31="","",IF(N($Y31)=0,"",IFERROR($AB31/$Y31,"")))</f>
        <v/>
      </c>
      <c r="AD31" s="55">
        <f>IF($C31="","",IF(Summary!$C$16="N","",IFERROR(BDP($C31,'Field Check'!$C$21),"")))</f>
        <v/>
      </c>
      <c r="AE31" s="55">
        <f>IF($C31="","",IF(Summary!$C$16="N","",IFERROR(BDP($C31,'Field Check'!$C$22),"")))</f>
        <v/>
      </c>
      <c r="AF31" s="55">
        <f>IF($C31="","",IF(Summary!$C$16="N","",IFERROR(BDP($C31,'Field Check'!$C$23),"")))</f>
        <v/>
      </c>
      <c r="AG31" s="40">
        <f>IF($C31="","",TRIM(IF(ISNUMBER($W31)*(N($W31)&gt;$D$7)&gt;0,"payout high  ","")&amp;IF(ISNUMBER($AC31)*(N($AC31)&lt;$F$7)&gt;0,"FCF below dvd  ","")&amp;IF(ISNUMBER($AE31)*(N($AE31)&gt;$H$7)&gt;0,"leverage high","")))</f>
        <v/>
      </c>
      <c r="AH31" s="40">
        <f>IF($C31="","",IF(HSI!$F$26="HKD","",IF(HSI!$F$26="","","DPS in "&amp;HSI!$F$26)))</f>
        <v/>
      </c>
    </row>
    <row r="32">
      <c r="B32" s="52" t="inlineStr">
        <is>
          <t>HSI</t>
        </is>
      </c>
      <c r="C32" s="6">
        <f>IF(HSI!$C$27="","",HSI!$C$27)</f>
        <v/>
      </c>
      <c r="D32" s="6">
        <f>IF($C32="","",HSI!$D$27)</f>
        <v/>
      </c>
      <c r="E32" s="6">
        <f>IF($C32="","",HSI!$E$27)</f>
        <v/>
      </c>
      <c r="F32" s="53">
        <f>IF($C32="","",SUMIFS('Dvd Calendar'!$E$311:$AR$311,'Dvd Calendar'!$E$310:$AR$310,"&gt;="&amp;DATE(Summary!$C$12-5,1,1),'Dvd Calendar'!$E$310:$AR$310,"&lt;="&amp;DATE(Summary!$C$12-5,12,31)))</f>
        <v/>
      </c>
      <c r="G32" s="53">
        <f>IF($C32="","",SUMIFS('Dvd Calendar'!$E$311:$AR$311,'Dvd Calendar'!$E$310:$AR$310,"&gt;="&amp;DATE(Summary!$C$12-4,1,1),'Dvd Calendar'!$E$310:$AR$310,"&lt;="&amp;DATE(Summary!$C$12-4,12,31)))</f>
        <v/>
      </c>
      <c r="H32" s="53">
        <f>IF($C32="","",SUMIFS('Dvd Calendar'!$E$311:$AR$311,'Dvd Calendar'!$E$310:$AR$310,"&gt;="&amp;DATE(Summary!$C$12-3,1,1),'Dvd Calendar'!$E$310:$AR$310,"&lt;="&amp;DATE(Summary!$C$12-3,12,31)))</f>
        <v/>
      </c>
      <c r="I32" s="53">
        <f>IF($C32="","",SUMIFS('Dvd Calendar'!$E$311:$AR$311,'Dvd Calendar'!$E$310:$AR$310,"&gt;="&amp;DATE(Summary!$C$12-2,1,1),'Dvd Calendar'!$E$310:$AR$310,"&lt;="&amp;DATE(Summary!$C$12-2,12,31)))</f>
        <v/>
      </c>
      <c r="J32" s="53">
        <f>IF($C32="","",SUMIFS('Dvd Calendar'!$E$311:$AR$311,'Dvd Calendar'!$E$310:$AR$310,"&gt;="&amp;DATE(Summary!$C$12-1,1,1),'Dvd Calendar'!$E$310:$AR$310,"&lt;="&amp;DATE(Summary!$C$12-1,12,31)))</f>
        <v/>
      </c>
      <c r="K32" s="54">
        <f>IF($C32="","",SUMIFS('Dvd Calendar'!$E$311:$AR$311,'Dvd Calendar'!$E$310:$AR$310,"&gt;="&amp;DATE(Summary!$C$12,1,1),'Dvd Calendar'!$E$310:$AR$310,"&lt;="&amp;MIN(Summary!$C$11,DATE(Summary!$C$12,12,31))))</f>
        <v/>
      </c>
      <c r="L32" s="38">
        <f>IF($C32="","",AVERAGE(F32:J32))</f>
        <v/>
      </c>
      <c r="M32" s="55">
        <f>IF($C32="","",IF(Summary!$C$16="N","",IFERROR(BDP($C32,'Field Check'!$C$16,'Field Check'!$C$17,TEXT(Summary!$C$12-5,"0")),"")))</f>
        <v/>
      </c>
      <c r="N32" s="55">
        <f>IF($C32="","",IF(Summary!$C$16="N","",IFERROR(BDP($C32,'Field Check'!$C$16,'Field Check'!$C$17,TEXT(Summary!$C$12-4,"0")),"")))</f>
        <v/>
      </c>
      <c r="O32" s="55">
        <f>IF($C32="","",IF(Summary!$C$16="N","",IFERROR(BDP($C32,'Field Check'!$C$16,'Field Check'!$C$17,TEXT(Summary!$C$12-3,"0")),"")))</f>
        <v/>
      </c>
      <c r="P32" s="55">
        <f>IF($C32="","",IF(Summary!$C$16="N","",IFERROR(BDP($C32,'Field Check'!$C$16,'Field Check'!$C$17,TEXT(Summary!$C$12-2,"0")),"")))</f>
        <v/>
      </c>
      <c r="Q32" s="55">
        <f>IF($C32="","",IF(Summary!$C$16="N","",IFERROR(BDP($C32,'Field Check'!$C$16,'Field Check'!$C$17,TEXT(Summary!$C$12-1,"0")),"")))</f>
        <v/>
      </c>
      <c r="R32" s="56">
        <f>IF($C32="","",IF(Summary!$C$16="N","",IFERROR(BDP($C32,'Field Check'!$C$18,'Field Check'!$C$17,TEXT(Summary!$C$12-5,"0"))/100,"")))</f>
        <v/>
      </c>
      <c r="S32" s="56">
        <f>IF($C32="","",IF(Summary!$C$16="N","",IFERROR(BDP($C32,'Field Check'!$C$18,'Field Check'!$C$17,TEXT(Summary!$C$12-4,"0"))/100,"")))</f>
        <v/>
      </c>
      <c r="T32" s="56">
        <f>IF($C32="","",IF(Summary!$C$16="N","",IFERROR(BDP($C32,'Field Check'!$C$18,'Field Check'!$C$17,TEXT(Summary!$C$12-3,"0"))/100,"")))</f>
        <v/>
      </c>
      <c r="U32" s="56">
        <f>IF($C32="","",IF(Summary!$C$16="N","",IFERROR(BDP($C32,'Field Check'!$C$18,'Field Check'!$C$17,TEXT(Summary!$C$12-2,"0"))/100,"")))</f>
        <v/>
      </c>
      <c r="V32" s="56">
        <f>IF($C32="","",IF(Summary!$C$16="N","",IFERROR(BDP($C32,'Field Check'!$C$18,'Field Check'!$C$17,TEXT(Summary!$C$12-1,"0"))/100,"")))</f>
        <v/>
      </c>
      <c r="W32" s="57">
        <f>IF($C32="","",IFERROR(AVERAGE(R32:V32),""))</f>
        <v/>
      </c>
      <c r="X32" s="58">
        <f>IF($C32="","",IF(ISNUMBER($Q32)*(N($Q32)&gt;0)=0,"",IFERROR($J32/$Q32,"")))</f>
        <v/>
      </c>
      <c r="Y32" s="59">
        <f>IF($C32="","",IF(ISNUMBER(HSI!$I$27),HSI!$I$27/100,""))</f>
        <v/>
      </c>
      <c r="Z32" s="60">
        <f>IF($C32="","",IF(Summary!$C$16="N","",IFERROR(BDP($C32,'Field Check'!$C$19)/100,"")))</f>
        <v/>
      </c>
      <c r="AA32" s="61">
        <f>IF($C32="","",IF(N($Y32)+N($Z32)=0,"",N($Y32)+N($Z32)))</f>
        <v/>
      </c>
      <c r="AB32" s="60">
        <f>IF($C32="","",IF(Summary!$C$16="N","",IFERROR(BDP($C32,'Field Check'!$C$20)/100,"")))</f>
        <v/>
      </c>
      <c r="AC32" s="45">
        <f>IF($C32="","",IF(N($Y32)=0,"",IFERROR($AB32/$Y32,"")))</f>
        <v/>
      </c>
      <c r="AD32" s="55">
        <f>IF($C32="","",IF(Summary!$C$16="N","",IFERROR(BDP($C32,'Field Check'!$C$21),"")))</f>
        <v/>
      </c>
      <c r="AE32" s="55">
        <f>IF($C32="","",IF(Summary!$C$16="N","",IFERROR(BDP($C32,'Field Check'!$C$22),"")))</f>
        <v/>
      </c>
      <c r="AF32" s="55">
        <f>IF($C32="","",IF(Summary!$C$16="N","",IFERROR(BDP($C32,'Field Check'!$C$23),"")))</f>
        <v/>
      </c>
      <c r="AG32" s="40">
        <f>IF($C32="","",TRIM(IF(ISNUMBER($W32)*(N($W32)&gt;$D$7)&gt;0,"payout high  ","")&amp;IF(ISNUMBER($AC32)*(N($AC32)&lt;$F$7)&gt;0,"FCF below dvd  ","")&amp;IF(ISNUMBER($AE32)*(N($AE32)&gt;$H$7)&gt;0,"leverage high","")))</f>
        <v/>
      </c>
      <c r="AH32" s="40">
        <f>IF($C32="","",IF(HSI!$F$27="HKD","",IF(HSI!$F$27="","","DPS in "&amp;HSI!$F$27)))</f>
        <v/>
      </c>
    </row>
    <row r="33">
      <c r="B33" s="52" t="inlineStr">
        <is>
          <t>HSI</t>
        </is>
      </c>
      <c r="C33" s="6">
        <f>IF(HSI!$C$28="","",HSI!$C$28)</f>
        <v/>
      </c>
      <c r="D33" s="6">
        <f>IF($C33="","",HSI!$D$28)</f>
        <v/>
      </c>
      <c r="E33" s="6">
        <f>IF($C33="","",HSI!$E$28)</f>
        <v/>
      </c>
      <c r="F33" s="53">
        <f>IF($C33="","",SUMIFS('Dvd Calendar'!$E$326:$AR$326,'Dvd Calendar'!$E$325:$AR$325,"&gt;="&amp;DATE(Summary!$C$12-5,1,1),'Dvd Calendar'!$E$325:$AR$325,"&lt;="&amp;DATE(Summary!$C$12-5,12,31)))</f>
        <v/>
      </c>
      <c r="G33" s="53">
        <f>IF($C33="","",SUMIFS('Dvd Calendar'!$E$326:$AR$326,'Dvd Calendar'!$E$325:$AR$325,"&gt;="&amp;DATE(Summary!$C$12-4,1,1),'Dvd Calendar'!$E$325:$AR$325,"&lt;="&amp;DATE(Summary!$C$12-4,12,31)))</f>
        <v/>
      </c>
      <c r="H33" s="53">
        <f>IF($C33="","",SUMIFS('Dvd Calendar'!$E$326:$AR$326,'Dvd Calendar'!$E$325:$AR$325,"&gt;="&amp;DATE(Summary!$C$12-3,1,1),'Dvd Calendar'!$E$325:$AR$325,"&lt;="&amp;DATE(Summary!$C$12-3,12,31)))</f>
        <v/>
      </c>
      <c r="I33" s="53">
        <f>IF($C33="","",SUMIFS('Dvd Calendar'!$E$326:$AR$326,'Dvd Calendar'!$E$325:$AR$325,"&gt;="&amp;DATE(Summary!$C$12-2,1,1),'Dvd Calendar'!$E$325:$AR$325,"&lt;="&amp;DATE(Summary!$C$12-2,12,31)))</f>
        <v/>
      </c>
      <c r="J33" s="53">
        <f>IF($C33="","",SUMIFS('Dvd Calendar'!$E$326:$AR$326,'Dvd Calendar'!$E$325:$AR$325,"&gt;="&amp;DATE(Summary!$C$12-1,1,1),'Dvd Calendar'!$E$325:$AR$325,"&lt;="&amp;DATE(Summary!$C$12-1,12,31)))</f>
        <v/>
      </c>
      <c r="K33" s="54">
        <f>IF($C33="","",SUMIFS('Dvd Calendar'!$E$326:$AR$326,'Dvd Calendar'!$E$325:$AR$325,"&gt;="&amp;DATE(Summary!$C$12,1,1),'Dvd Calendar'!$E$325:$AR$325,"&lt;="&amp;MIN(Summary!$C$11,DATE(Summary!$C$12,12,31))))</f>
        <v/>
      </c>
      <c r="L33" s="38">
        <f>IF($C33="","",AVERAGE(F33:J33))</f>
        <v/>
      </c>
      <c r="M33" s="55">
        <f>IF($C33="","",IF(Summary!$C$16="N","",IFERROR(BDP($C33,'Field Check'!$C$16,'Field Check'!$C$17,TEXT(Summary!$C$12-5,"0")),"")))</f>
        <v/>
      </c>
      <c r="N33" s="55">
        <f>IF($C33="","",IF(Summary!$C$16="N","",IFERROR(BDP($C33,'Field Check'!$C$16,'Field Check'!$C$17,TEXT(Summary!$C$12-4,"0")),"")))</f>
        <v/>
      </c>
      <c r="O33" s="55">
        <f>IF($C33="","",IF(Summary!$C$16="N","",IFERROR(BDP($C33,'Field Check'!$C$16,'Field Check'!$C$17,TEXT(Summary!$C$12-3,"0")),"")))</f>
        <v/>
      </c>
      <c r="P33" s="55">
        <f>IF($C33="","",IF(Summary!$C$16="N","",IFERROR(BDP($C33,'Field Check'!$C$16,'Field Check'!$C$17,TEXT(Summary!$C$12-2,"0")),"")))</f>
        <v/>
      </c>
      <c r="Q33" s="55">
        <f>IF($C33="","",IF(Summary!$C$16="N","",IFERROR(BDP($C33,'Field Check'!$C$16,'Field Check'!$C$17,TEXT(Summary!$C$12-1,"0")),"")))</f>
        <v/>
      </c>
      <c r="R33" s="56">
        <f>IF($C33="","",IF(Summary!$C$16="N","",IFERROR(BDP($C33,'Field Check'!$C$18,'Field Check'!$C$17,TEXT(Summary!$C$12-5,"0"))/100,"")))</f>
        <v/>
      </c>
      <c r="S33" s="56">
        <f>IF($C33="","",IF(Summary!$C$16="N","",IFERROR(BDP($C33,'Field Check'!$C$18,'Field Check'!$C$17,TEXT(Summary!$C$12-4,"0"))/100,"")))</f>
        <v/>
      </c>
      <c r="T33" s="56">
        <f>IF($C33="","",IF(Summary!$C$16="N","",IFERROR(BDP($C33,'Field Check'!$C$18,'Field Check'!$C$17,TEXT(Summary!$C$12-3,"0"))/100,"")))</f>
        <v/>
      </c>
      <c r="U33" s="56">
        <f>IF($C33="","",IF(Summary!$C$16="N","",IFERROR(BDP($C33,'Field Check'!$C$18,'Field Check'!$C$17,TEXT(Summary!$C$12-2,"0"))/100,"")))</f>
        <v/>
      </c>
      <c r="V33" s="56">
        <f>IF($C33="","",IF(Summary!$C$16="N","",IFERROR(BDP($C33,'Field Check'!$C$18,'Field Check'!$C$17,TEXT(Summary!$C$12-1,"0"))/100,"")))</f>
        <v/>
      </c>
      <c r="W33" s="57">
        <f>IF($C33="","",IFERROR(AVERAGE(R33:V33),""))</f>
        <v/>
      </c>
      <c r="X33" s="58">
        <f>IF($C33="","",IF(ISNUMBER($Q33)*(N($Q33)&gt;0)=0,"",IFERROR($J33/$Q33,"")))</f>
        <v/>
      </c>
      <c r="Y33" s="59">
        <f>IF($C33="","",IF(ISNUMBER(HSI!$I$28),HSI!$I$28/100,""))</f>
        <v/>
      </c>
      <c r="Z33" s="60">
        <f>IF($C33="","",IF(Summary!$C$16="N","",IFERROR(BDP($C33,'Field Check'!$C$19)/100,"")))</f>
        <v/>
      </c>
      <c r="AA33" s="61">
        <f>IF($C33="","",IF(N($Y33)+N($Z33)=0,"",N($Y33)+N($Z33)))</f>
        <v/>
      </c>
      <c r="AB33" s="60">
        <f>IF($C33="","",IF(Summary!$C$16="N","",IFERROR(BDP($C33,'Field Check'!$C$20)/100,"")))</f>
        <v/>
      </c>
      <c r="AC33" s="45">
        <f>IF($C33="","",IF(N($Y33)=0,"",IFERROR($AB33/$Y33,"")))</f>
        <v/>
      </c>
      <c r="AD33" s="55">
        <f>IF($C33="","",IF(Summary!$C$16="N","",IFERROR(BDP($C33,'Field Check'!$C$21),"")))</f>
        <v/>
      </c>
      <c r="AE33" s="55">
        <f>IF($C33="","",IF(Summary!$C$16="N","",IFERROR(BDP($C33,'Field Check'!$C$22),"")))</f>
        <v/>
      </c>
      <c r="AF33" s="55">
        <f>IF($C33="","",IF(Summary!$C$16="N","",IFERROR(BDP($C33,'Field Check'!$C$23),"")))</f>
        <v/>
      </c>
      <c r="AG33" s="40">
        <f>IF($C33="","",TRIM(IF(ISNUMBER($W33)*(N($W33)&gt;$D$7)&gt;0,"payout high  ","")&amp;IF(ISNUMBER($AC33)*(N($AC33)&lt;$F$7)&gt;0,"FCF below dvd  ","")&amp;IF(ISNUMBER($AE33)*(N($AE33)&gt;$H$7)&gt;0,"leverage high","")))</f>
        <v/>
      </c>
      <c r="AH33" s="40">
        <f>IF($C33="","",IF(HSI!$F$28="HKD","",IF(HSI!$F$28="","","DPS in "&amp;HSI!$F$28)))</f>
        <v/>
      </c>
    </row>
    <row r="34">
      <c r="B34" s="52" t="inlineStr">
        <is>
          <t>HSI</t>
        </is>
      </c>
      <c r="C34" s="6">
        <f>IF(HSI!$C$29="","",HSI!$C$29)</f>
        <v/>
      </c>
      <c r="D34" s="6">
        <f>IF($C34="","",HSI!$D$29)</f>
        <v/>
      </c>
      <c r="E34" s="6">
        <f>IF($C34="","",HSI!$E$29)</f>
        <v/>
      </c>
      <c r="F34" s="53">
        <f>IF($C34="","",SUMIFS('Dvd Calendar'!$E$341:$AR$341,'Dvd Calendar'!$E$340:$AR$340,"&gt;="&amp;DATE(Summary!$C$12-5,1,1),'Dvd Calendar'!$E$340:$AR$340,"&lt;="&amp;DATE(Summary!$C$12-5,12,31)))</f>
        <v/>
      </c>
      <c r="G34" s="53">
        <f>IF($C34="","",SUMIFS('Dvd Calendar'!$E$341:$AR$341,'Dvd Calendar'!$E$340:$AR$340,"&gt;="&amp;DATE(Summary!$C$12-4,1,1),'Dvd Calendar'!$E$340:$AR$340,"&lt;="&amp;DATE(Summary!$C$12-4,12,31)))</f>
        <v/>
      </c>
      <c r="H34" s="53">
        <f>IF($C34="","",SUMIFS('Dvd Calendar'!$E$341:$AR$341,'Dvd Calendar'!$E$340:$AR$340,"&gt;="&amp;DATE(Summary!$C$12-3,1,1),'Dvd Calendar'!$E$340:$AR$340,"&lt;="&amp;DATE(Summary!$C$12-3,12,31)))</f>
        <v/>
      </c>
      <c r="I34" s="53">
        <f>IF($C34="","",SUMIFS('Dvd Calendar'!$E$341:$AR$341,'Dvd Calendar'!$E$340:$AR$340,"&gt;="&amp;DATE(Summary!$C$12-2,1,1),'Dvd Calendar'!$E$340:$AR$340,"&lt;="&amp;DATE(Summary!$C$12-2,12,31)))</f>
        <v/>
      </c>
      <c r="J34" s="53">
        <f>IF($C34="","",SUMIFS('Dvd Calendar'!$E$341:$AR$341,'Dvd Calendar'!$E$340:$AR$340,"&gt;="&amp;DATE(Summary!$C$12-1,1,1),'Dvd Calendar'!$E$340:$AR$340,"&lt;="&amp;DATE(Summary!$C$12-1,12,31)))</f>
        <v/>
      </c>
      <c r="K34" s="54">
        <f>IF($C34="","",SUMIFS('Dvd Calendar'!$E$341:$AR$341,'Dvd Calendar'!$E$340:$AR$340,"&gt;="&amp;DATE(Summary!$C$12,1,1),'Dvd Calendar'!$E$340:$AR$340,"&lt;="&amp;MIN(Summary!$C$11,DATE(Summary!$C$12,12,31))))</f>
        <v/>
      </c>
      <c r="L34" s="38">
        <f>IF($C34="","",AVERAGE(F34:J34))</f>
        <v/>
      </c>
      <c r="M34" s="55">
        <f>IF($C34="","",IF(Summary!$C$16="N","",IFERROR(BDP($C34,'Field Check'!$C$16,'Field Check'!$C$17,TEXT(Summary!$C$12-5,"0")),"")))</f>
        <v/>
      </c>
      <c r="N34" s="55">
        <f>IF($C34="","",IF(Summary!$C$16="N","",IFERROR(BDP($C34,'Field Check'!$C$16,'Field Check'!$C$17,TEXT(Summary!$C$12-4,"0")),"")))</f>
        <v/>
      </c>
      <c r="O34" s="55">
        <f>IF($C34="","",IF(Summary!$C$16="N","",IFERROR(BDP($C34,'Field Check'!$C$16,'Field Check'!$C$17,TEXT(Summary!$C$12-3,"0")),"")))</f>
        <v/>
      </c>
      <c r="P34" s="55">
        <f>IF($C34="","",IF(Summary!$C$16="N","",IFERROR(BDP($C34,'Field Check'!$C$16,'Field Check'!$C$17,TEXT(Summary!$C$12-2,"0")),"")))</f>
        <v/>
      </c>
      <c r="Q34" s="55">
        <f>IF($C34="","",IF(Summary!$C$16="N","",IFERROR(BDP($C34,'Field Check'!$C$16,'Field Check'!$C$17,TEXT(Summary!$C$12-1,"0")),"")))</f>
        <v/>
      </c>
      <c r="R34" s="56">
        <f>IF($C34="","",IF(Summary!$C$16="N","",IFERROR(BDP($C34,'Field Check'!$C$18,'Field Check'!$C$17,TEXT(Summary!$C$12-5,"0"))/100,"")))</f>
        <v/>
      </c>
      <c r="S34" s="56">
        <f>IF($C34="","",IF(Summary!$C$16="N","",IFERROR(BDP($C34,'Field Check'!$C$18,'Field Check'!$C$17,TEXT(Summary!$C$12-4,"0"))/100,"")))</f>
        <v/>
      </c>
      <c r="T34" s="56">
        <f>IF($C34="","",IF(Summary!$C$16="N","",IFERROR(BDP($C34,'Field Check'!$C$18,'Field Check'!$C$17,TEXT(Summary!$C$12-3,"0"))/100,"")))</f>
        <v/>
      </c>
      <c r="U34" s="56">
        <f>IF($C34="","",IF(Summary!$C$16="N","",IFERROR(BDP($C34,'Field Check'!$C$18,'Field Check'!$C$17,TEXT(Summary!$C$12-2,"0"))/100,"")))</f>
        <v/>
      </c>
      <c r="V34" s="56">
        <f>IF($C34="","",IF(Summary!$C$16="N","",IFERROR(BDP($C34,'Field Check'!$C$18,'Field Check'!$C$17,TEXT(Summary!$C$12-1,"0"))/100,"")))</f>
        <v/>
      </c>
      <c r="W34" s="57">
        <f>IF($C34="","",IFERROR(AVERAGE(R34:V34),""))</f>
        <v/>
      </c>
      <c r="X34" s="58">
        <f>IF($C34="","",IF(ISNUMBER($Q34)*(N($Q34)&gt;0)=0,"",IFERROR($J34/$Q34,"")))</f>
        <v/>
      </c>
      <c r="Y34" s="59">
        <f>IF($C34="","",IF(ISNUMBER(HSI!$I$29),HSI!$I$29/100,""))</f>
        <v/>
      </c>
      <c r="Z34" s="60">
        <f>IF($C34="","",IF(Summary!$C$16="N","",IFERROR(BDP($C34,'Field Check'!$C$19)/100,"")))</f>
        <v/>
      </c>
      <c r="AA34" s="61">
        <f>IF($C34="","",IF(N($Y34)+N($Z34)=0,"",N($Y34)+N($Z34)))</f>
        <v/>
      </c>
      <c r="AB34" s="60">
        <f>IF($C34="","",IF(Summary!$C$16="N","",IFERROR(BDP($C34,'Field Check'!$C$20)/100,"")))</f>
        <v/>
      </c>
      <c r="AC34" s="45">
        <f>IF($C34="","",IF(N($Y34)=0,"",IFERROR($AB34/$Y34,"")))</f>
        <v/>
      </c>
      <c r="AD34" s="55">
        <f>IF($C34="","",IF(Summary!$C$16="N","",IFERROR(BDP($C34,'Field Check'!$C$21),"")))</f>
        <v/>
      </c>
      <c r="AE34" s="55">
        <f>IF($C34="","",IF(Summary!$C$16="N","",IFERROR(BDP($C34,'Field Check'!$C$22),"")))</f>
        <v/>
      </c>
      <c r="AF34" s="55">
        <f>IF($C34="","",IF(Summary!$C$16="N","",IFERROR(BDP($C34,'Field Check'!$C$23),"")))</f>
        <v/>
      </c>
      <c r="AG34" s="40">
        <f>IF($C34="","",TRIM(IF(ISNUMBER($W34)*(N($W34)&gt;$D$7)&gt;0,"payout high  ","")&amp;IF(ISNUMBER($AC34)*(N($AC34)&lt;$F$7)&gt;0,"FCF below dvd  ","")&amp;IF(ISNUMBER($AE34)*(N($AE34)&gt;$H$7)&gt;0,"leverage high","")))</f>
        <v/>
      </c>
      <c r="AH34" s="40">
        <f>IF($C34="","",IF(HSI!$F$29="HKD","",IF(HSI!$F$29="","","DPS in "&amp;HSI!$F$29)))</f>
        <v/>
      </c>
    </row>
    <row r="35">
      <c r="B35" s="52" t="inlineStr">
        <is>
          <t>HSI</t>
        </is>
      </c>
      <c r="C35" s="6">
        <f>IF(HSI!$C$30="","",HSI!$C$30)</f>
        <v/>
      </c>
      <c r="D35" s="6">
        <f>IF($C35="","",HSI!$D$30)</f>
        <v/>
      </c>
      <c r="E35" s="6">
        <f>IF($C35="","",HSI!$E$30)</f>
        <v/>
      </c>
      <c r="F35" s="53">
        <f>IF($C35="","",SUMIFS('Dvd Calendar'!$E$356:$AR$356,'Dvd Calendar'!$E$355:$AR$355,"&gt;="&amp;DATE(Summary!$C$12-5,1,1),'Dvd Calendar'!$E$355:$AR$355,"&lt;="&amp;DATE(Summary!$C$12-5,12,31)))</f>
        <v/>
      </c>
      <c r="G35" s="53">
        <f>IF($C35="","",SUMIFS('Dvd Calendar'!$E$356:$AR$356,'Dvd Calendar'!$E$355:$AR$355,"&gt;="&amp;DATE(Summary!$C$12-4,1,1),'Dvd Calendar'!$E$355:$AR$355,"&lt;="&amp;DATE(Summary!$C$12-4,12,31)))</f>
        <v/>
      </c>
      <c r="H35" s="53">
        <f>IF($C35="","",SUMIFS('Dvd Calendar'!$E$356:$AR$356,'Dvd Calendar'!$E$355:$AR$355,"&gt;="&amp;DATE(Summary!$C$12-3,1,1),'Dvd Calendar'!$E$355:$AR$355,"&lt;="&amp;DATE(Summary!$C$12-3,12,31)))</f>
        <v/>
      </c>
      <c r="I35" s="53">
        <f>IF($C35="","",SUMIFS('Dvd Calendar'!$E$356:$AR$356,'Dvd Calendar'!$E$355:$AR$355,"&gt;="&amp;DATE(Summary!$C$12-2,1,1),'Dvd Calendar'!$E$355:$AR$355,"&lt;="&amp;DATE(Summary!$C$12-2,12,31)))</f>
        <v/>
      </c>
      <c r="J35" s="53">
        <f>IF($C35="","",SUMIFS('Dvd Calendar'!$E$356:$AR$356,'Dvd Calendar'!$E$355:$AR$355,"&gt;="&amp;DATE(Summary!$C$12-1,1,1),'Dvd Calendar'!$E$355:$AR$355,"&lt;="&amp;DATE(Summary!$C$12-1,12,31)))</f>
        <v/>
      </c>
      <c r="K35" s="54">
        <f>IF($C35="","",SUMIFS('Dvd Calendar'!$E$356:$AR$356,'Dvd Calendar'!$E$355:$AR$355,"&gt;="&amp;DATE(Summary!$C$12,1,1),'Dvd Calendar'!$E$355:$AR$355,"&lt;="&amp;MIN(Summary!$C$11,DATE(Summary!$C$12,12,31))))</f>
        <v/>
      </c>
      <c r="L35" s="38">
        <f>IF($C35="","",AVERAGE(F35:J35))</f>
        <v/>
      </c>
      <c r="M35" s="55">
        <f>IF($C35="","",IF(Summary!$C$16="N","",IFERROR(BDP($C35,'Field Check'!$C$16,'Field Check'!$C$17,TEXT(Summary!$C$12-5,"0")),"")))</f>
        <v/>
      </c>
      <c r="N35" s="55">
        <f>IF($C35="","",IF(Summary!$C$16="N","",IFERROR(BDP($C35,'Field Check'!$C$16,'Field Check'!$C$17,TEXT(Summary!$C$12-4,"0")),"")))</f>
        <v/>
      </c>
      <c r="O35" s="55">
        <f>IF($C35="","",IF(Summary!$C$16="N","",IFERROR(BDP($C35,'Field Check'!$C$16,'Field Check'!$C$17,TEXT(Summary!$C$12-3,"0")),"")))</f>
        <v/>
      </c>
      <c r="P35" s="55">
        <f>IF($C35="","",IF(Summary!$C$16="N","",IFERROR(BDP($C35,'Field Check'!$C$16,'Field Check'!$C$17,TEXT(Summary!$C$12-2,"0")),"")))</f>
        <v/>
      </c>
      <c r="Q35" s="55">
        <f>IF($C35="","",IF(Summary!$C$16="N","",IFERROR(BDP($C35,'Field Check'!$C$16,'Field Check'!$C$17,TEXT(Summary!$C$12-1,"0")),"")))</f>
        <v/>
      </c>
      <c r="R35" s="56">
        <f>IF($C35="","",IF(Summary!$C$16="N","",IFERROR(BDP($C35,'Field Check'!$C$18,'Field Check'!$C$17,TEXT(Summary!$C$12-5,"0"))/100,"")))</f>
        <v/>
      </c>
      <c r="S35" s="56">
        <f>IF($C35="","",IF(Summary!$C$16="N","",IFERROR(BDP($C35,'Field Check'!$C$18,'Field Check'!$C$17,TEXT(Summary!$C$12-4,"0"))/100,"")))</f>
        <v/>
      </c>
      <c r="T35" s="56">
        <f>IF($C35="","",IF(Summary!$C$16="N","",IFERROR(BDP($C35,'Field Check'!$C$18,'Field Check'!$C$17,TEXT(Summary!$C$12-3,"0"))/100,"")))</f>
        <v/>
      </c>
      <c r="U35" s="56">
        <f>IF($C35="","",IF(Summary!$C$16="N","",IFERROR(BDP($C35,'Field Check'!$C$18,'Field Check'!$C$17,TEXT(Summary!$C$12-2,"0"))/100,"")))</f>
        <v/>
      </c>
      <c r="V35" s="56">
        <f>IF($C35="","",IF(Summary!$C$16="N","",IFERROR(BDP($C35,'Field Check'!$C$18,'Field Check'!$C$17,TEXT(Summary!$C$12-1,"0"))/100,"")))</f>
        <v/>
      </c>
      <c r="W35" s="57">
        <f>IF($C35="","",IFERROR(AVERAGE(R35:V35),""))</f>
        <v/>
      </c>
      <c r="X35" s="58">
        <f>IF($C35="","",IF(ISNUMBER($Q35)*(N($Q35)&gt;0)=0,"",IFERROR($J35/$Q35,"")))</f>
        <v/>
      </c>
      <c r="Y35" s="59">
        <f>IF($C35="","",IF(ISNUMBER(HSI!$I$30),HSI!$I$30/100,""))</f>
        <v/>
      </c>
      <c r="Z35" s="60">
        <f>IF($C35="","",IF(Summary!$C$16="N","",IFERROR(BDP($C35,'Field Check'!$C$19)/100,"")))</f>
        <v/>
      </c>
      <c r="AA35" s="61">
        <f>IF($C35="","",IF(N($Y35)+N($Z35)=0,"",N($Y35)+N($Z35)))</f>
        <v/>
      </c>
      <c r="AB35" s="60">
        <f>IF($C35="","",IF(Summary!$C$16="N","",IFERROR(BDP($C35,'Field Check'!$C$20)/100,"")))</f>
        <v/>
      </c>
      <c r="AC35" s="45">
        <f>IF($C35="","",IF(N($Y35)=0,"",IFERROR($AB35/$Y35,"")))</f>
        <v/>
      </c>
      <c r="AD35" s="55">
        <f>IF($C35="","",IF(Summary!$C$16="N","",IFERROR(BDP($C35,'Field Check'!$C$21),"")))</f>
        <v/>
      </c>
      <c r="AE35" s="55">
        <f>IF($C35="","",IF(Summary!$C$16="N","",IFERROR(BDP($C35,'Field Check'!$C$22),"")))</f>
        <v/>
      </c>
      <c r="AF35" s="55">
        <f>IF($C35="","",IF(Summary!$C$16="N","",IFERROR(BDP($C35,'Field Check'!$C$23),"")))</f>
        <v/>
      </c>
      <c r="AG35" s="40">
        <f>IF($C35="","",TRIM(IF(ISNUMBER($W35)*(N($W35)&gt;$D$7)&gt;0,"payout high  ","")&amp;IF(ISNUMBER($AC35)*(N($AC35)&lt;$F$7)&gt;0,"FCF below dvd  ","")&amp;IF(ISNUMBER($AE35)*(N($AE35)&gt;$H$7)&gt;0,"leverage high","")))</f>
        <v/>
      </c>
      <c r="AH35" s="40">
        <f>IF($C35="","",IF(HSI!$F$30="HKD","",IF(HSI!$F$30="","","DPS in "&amp;HSI!$F$30)))</f>
        <v/>
      </c>
    </row>
    <row r="36">
      <c r="B36" s="52" t="inlineStr">
        <is>
          <t>HSI</t>
        </is>
      </c>
      <c r="C36" s="6">
        <f>IF(HSI!$C$31="","",HSI!$C$31)</f>
        <v/>
      </c>
      <c r="D36" s="6">
        <f>IF($C36="","",HSI!$D$31)</f>
        <v/>
      </c>
      <c r="E36" s="6">
        <f>IF($C36="","",HSI!$E$31)</f>
        <v/>
      </c>
      <c r="F36" s="53">
        <f>IF($C36="","",SUMIFS('Dvd Calendar'!$E$371:$AR$371,'Dvd Calendar'!$E$370:$AR$370,"&gt;="&amp;DATE(Summary!$C$12-5,1,1),'Dvd Calendar'!$E$370:$AR$370,"&lt;="&amp;DATE(Summary!$C$12-5,12,31)))</f>
        <v/>
      </c>
      <c r="G36" s="53">
        <f>IF($C36="","",SUMIFS('Dvd Calendar'!$E$371:$AR$371,'Dvd Calendar'!$E$370:$AR$370,"&gt;="&amp;DATE(Summary!$C$12-4,1,1),'Dvd Calendar'!$E$370:$AR$370,"&lt;="&amp;DATE(Summary!$C$12-4,12,31)))</f>
        <v/>
      </c>
      <c r="H36" s="53">
        <f>IF($C36="","",SUMIFS('Dvd Calendar'!$E$371:$AR$371,'Dvd Calendar'!$E$370:$AR$370,"&gt;="&amp;DATE(Summary!$C$12-3,1,1),'Dvd Calendar'!$E$370:$AR$370,"&lt;="&amp;DATE(Summary!$C$12-3,12,31)))</f>
        <v/>
      </c>
      <c r="I36" s="53">
        <f>IF($C36="","",SUMIFS('Dvd Calendar'!$E$371:$AR$371,'Dvd Calendar'!$E$370:$AR$370,"&gt;="&amp;DATE(Summary!$C$12-2,1,1),'Dvd Calendar'!$E$370:$AR$370,"&lt;="&amp;DATE(Summary!$C$12-2,12,31)))</f>
        <v/>
      </c>
      <c r="J36" s="53">
        <f>IF($C36="","",SUMIFS('Dvd Calendar'!$E$371:$AR$371,'Dvd Calendar'!$E$370:$AR$370,"&gt;="&amp;DATE(Summary!$C$12-1,1,1),'Dvd Calendar'!$E$370:$AR$370,"&lt;="&amp;DATE(Summary!$C$12-1,12,31)))</f>
        <v/>
      </c>
      <c r="K36" s="54">
        <f>IF($C36="","",SUMIFS('Dvd Calendar'!$E$371:$AR$371,'Dvd Calendar'!$E$370:$AR$370,"&gt;="&amp;DATE(Summary!$C$12,1,1),'Dvd Calendar'!$E$370:$AR$370,"&lt;="&amp;MIN(Summary!$C$11,DATE(Summary!$C$12,12,31))))</f>
        <v/>
      </c>
      <c r="L36" s="38">
        <f>IF($C36="","",AVERAGE(F36:J36))</f>
        <v/>
      </c>
      <c r="M36" s="55">
        <f>IF($C36="","",IF(Summary!$C$16="N","",IFERROR(BDP($C36,'Field Check'!$C$16,'Field Check'!$C$17,TEXT(Summary!$C$12-5,"0")),"")))</f>
        <v/>
      </c>
      <c r="N36" s="55">
        <f>IF($C36="","",IF(Summary!$C$16="N","",IFERROR(BDP($C36,'Field Check'!$C$16,'Field Check'!$C$17,TEXT(Summary!$C$12-4,"0")),"")))</f>
        <v/>
      </c>
      <c r="O36" s="55">
        <f>IF($C36="","",IF(Summary!$C$16="N","",IFERROR(BDP($C36,'Field Check'!$C$16,'Field Check'!$C$17,TEXT(Summary!$C$12-3,"0")),"")))</f>
        <v/>
      </c>
      <c r="P36" s="55">
        <f>IF($C36="","",IF(Summary!$C$16="N","",IFERROR(BDP($C36,'Field Check'!$C$16,'Field Check'!$C$17,TEXT(Summary!$C$12-2,"0")),"")))</f>
        <v/>
      </c>
      <c r="Q36" s="55">
        <f>IF($C36="","",IF(Summary!$C$16="N","",IFERROR(BDP($C36,'Field Check'!$C$16,'Field Check'!$C$17,TEXT(Summary!$C$12-1,"0")),"")))</f>
        <v/>
      </c>
      <c r="R36" s="56">
        <f>IF($C36="","",IF(Summary!$C$16="N","",IFERROR(BDP($C36,'Field Check'!$C$18,'Field Check'!$C$17,TEXT(Summary!$C$12-5,"0"))/100,"")))</f>
        <v/>
      </c>
      <c r="S36" s="56">
        <f>IF($C36="","",IF(Summary!$C$16="N","",IFERROR(BDP($C36,'Field Check'!$C$18,'Field Check'!$C$17,TEXT(Summary!$C$12-4,"0"))/100,"")))</f>
        <v/>
      </c>
      <c r="T36" s="56">
        <f>IF($C36="","",IF(Summary!$C$16="N","",IFERROR(BDP($C36,'Field Check'!$C$18,'Field Check'!$C$17,TEXT(Summary!$C$12-3,"0"))/100,"")))</f>
        <v/>
      </c>
      <c r="U36" s="56">
        <f>IF($C36="","",IF(Summary!$C$16="N","",IFERROR(BDP($C36,'Field Check'!$C$18,'Field Check'!$C$17,TEXT(Summary!$C$12-2,"0"))/100,"")))</f>
        <v/>
      </c>
      <c r="V36" s="56">
        <f>IF($C36="","",IF(Summary!$C$16="N","",IFERROR(BDP($C36,'Field Check'!$C$18,'Field Check'!$C$17,TEXT(Summary!$C$12-1,"0"))/100,"")))</f>
        <v/>
      </c>
      <c r="W36" s="57">
        <f>IF($C36="","",IFERROR(AVERAGE(R36:V36),""))</f>
        <v/>
      </c>
      <c r="X36" s="58">
        <f>IF($C36="","",IF(ISNUMBER($Q36)*(N($Q36)&gt;0)=0,"",IFERROR($J36/$Q36,"")))</f>
        <v/>
      </c>
      <c r="Y36" s="59">
        <f>IF($C36="","",IF(ISNUMBER(HSI!$I$31),HSI!$I$31/100,""))</f>
        <v/>
      </c>
      <c r="Z36" s="60">
        <f>IF($C36="","",IF(Summary!$C$16="N","",IFERROR(BDP($C36,'Field Check'!$C$19)/100,"")))</f>
        <v/>
      </c>
      <c r="AA36" s="61">
        <f>IF($C36="","",IF(N($Y36)+N($Z36)=0,"",N($Y36)+N($Z36)))</f>
        <v/>
      </c>
      <c r="AB36" s="60">
        <f>IF($C36="","",IF(Summary!$C$16="N","",IFERROR(BDP($C36,'Field Check'!$C$20)/100,"")))</f>
        <v/>
      </c>
      <c r="AC36" s="45">
        <f>IF($C36="","",IF(N($Y36)=0,"",IFERROR($AB36/$Y36,"")))</f>
        <v/>
      </c>
      <c r="AD36" s="55">
        <f>IF($C36="","",IF(Summary!$C$16="N","",IFERROR(BDP($C36,'Field Check'!$C$21),"")))</f>
        <v/>
      </c>
      <c r="AE36" s="55">
        <f>IF($C36="","",IF(Summary!$C$16="N","",IFERROR(BDP($C36,'Field Check'!$C$22),"")))</f>
        <v/>
      </c>
      <c r="AF36" s="55">
        <f>IF($C36="","",IF(Summary!$C$16="N","",IFERROR(BDP($C36,'Field Check'!$C$23),"")))</f>
        <v/>
      </c>
      <c r="AG36" s="40">
        <f>IF($C36="","",TRIM(IF(ISNUMBER($W36)*(N($W36)&gt;$D$7)&gt;0,"payout high  ","")&amp;IF(ISNUMBER($AC36)*(N($AC36)&lt;$F$7)&gt;0,"FCF below dvd  ","")&amp;IF(ISNUMBER($AE36)*(N($AE36)&gt;$H$7)&gt;0,"leverage high","")))</f>
        <v/>
      </c>
      <c r="AH36" s="40">
        <f>IF($C36="","",IF(HSI!$F$31="HKD","",IF(HSI!$F$31="","","DPS in "&amp;HSI!$F$31)))</f>
        <v/>
      </c>
    </row>
    <row r="37">
      <c r="B37" s="52" t="inlineStr">
        <is>
          <t>HSI</t>
        </is>
      </c>
      <c r="C37" s="6">
        <f>IF(HSI!$C$32="","",HSI!$C$32)</f>
        <v/>
      </c>
      <c r="D37" s="6">
        <f>IF($C37="","",HSI!$D$32)</f>
        <v/>
      </c>
      <c r="E37" s="6">
        <f>IF($C37="","",HSI!$E$32)</f>
        <v/>
      </c>
      <c r="F37" s="53">
        <f>IF($C37="","",SUMIFS('Dvd Calendar'!$E$386:$AR$386,'Dvd Calendar'!$E$385:$AR$385,"&gt;="&amp;DATE(Summary!$C$12-5,1,1),'Dvd Calendar'!$E$385:$AR$385,"&lt;="&amp;DATE(Summary!$C$12-5,12,31)))</f>
        <v/>
      </c>
      <c r="G37" s="53">
        <f>IF($C37="","",SUMIFS('Dvd Calendar'!$E$386:$AR$386,'Dvd Calendar'!$E$385:$AR$385,"&gt;="&amp;DATE(Summary!$C$12-4,1,1),'Dvd Calendar'!$E$385:$AR$385,"&lt;="&amp;DATE(Summary!$C$12-4,12,31)))</f>
        <v/>
      </c>
      <c r="H37" s="53">
        <f>IF($C37="","",SUMIFS('Dvd Calendar'!$E$386:$AR$386,'Dvd Calendar'!$E$385:$AR$385,"&gt;="&amp;DATE(Summary!$C$12-3,1,1),'Dvd Calendar'!$E$385:$AR$385,"&lt;="&amp;DATE(Summary!$C$12-3,12,31)))</f>
        <v/>
      </c>
      <c r="I37" s="53">
        <f>IF($C37="","",SUMIFS('Dvd Calendar'!$E$386:$AR$386,'Dvd Calendar'!$E$385:$AR$385,"&gt;="&amp;DATE(Summary!$C$12-2,1,1),'Dvd Calendar'!$E$385:$AR$385,"&lt;="&amp;DATE(Summary!$C$12-2,12,31)))</f>
        <v/>
      </c>
      <c r="J37" s="53">
        <f>IF($C37="","",SUMIFS('Dvd Calendar'!$E$386:$AR$386,'Dvd Calendar'!$E$385:$AR$385,"&gt;="&amp;DATE(Summary!$C$12-1,1,1),'Dvd Calendar'!$E$385:$AR$385,"&lt;="&amp;DATE(Summary!$C$12-1,12,31)))</f>
        <v/>
      </c>
      <c r="K37" s="54">
        <f>IF($C37="","",SUMIFS('Dvd Calendar'!$E$386:$AR$386,'Dvd Calendar'!$E$385:$AR$385,"&gt;="&amp;DATE(Summary!$C$12,1,1),'Dvd Calendar'!$E$385:$AR$385,"&lt;="&amp;MIN(Summary!$C$11,DATE(Summary!$C$12,12,31))))</f>
        <v/>
      </c>
      <c r="L37" s="38">
        <f>IF($C37="","",AVERAGE(F37:J37))</f>
        <v/>
      </c>
      <c r="M37" s="55">
        <f>IF($C37="","",IF(Summary!$C$16="N","",IFERROR(BDP($C37,'Field Check'!$C$16,'Field Check'!$C$17,TEXT(Summary!$C$12-5,"0")),"")))</f>
        <v/>
      </c>
      <c r="N37" s="55">
        <f>IF($C37="","",IF(Summary!$C$16="N","",IFERROR(BDP($C37,'Field Check'!$C$16,'Field Check'!$C$17,TEXT(Summary!$C$12-4,"0")),"")))</f>
        <v/>
      </c>
      <c r="O37" s="55">
        <f>IF($C37="","",IF(Summary!$C$16="N","",IFERROR(BDP($C37,'Field Check'!$C$16,'Field Check'!$C$17,TEXT(Summary!$C$12-3,"0")),"")))</f>
        <v/>
      </c>
      <c r="P37" s="55">
        <f>IF($C37="","",IF(Summary!$C$16="N","",IFERROR(BDP($C37,'Field Check'!$C$16,'Field Check'!$C$17,TEXT(Summary!$C$12-2,"0")),"")))</f>
        <v/>
      </c>
      <c r="Q37" s="55">
        <f>IF($C37="","",IF(Summary!$C$16="N","",IFERROR(BDP($C37,'Field Check'!$C$16,'Field Check'!$C$17,TEXT(Summary!$C$12-1,"0")),"")))</f>
        <v/>
      </c>
      <c r="R37" s="56">
        <f>IF($C37="","",IF(Summary!$C$16="N","",IFERROR(BDP($C37,'Field Check'!$C$18,'Field Check'!$C$17,TEXT(Summary!$C$12-5,"0"))/100,"")))</f>
        <v/>
      </c>
      <c r="S37" s="56">
        <f>IF($C37="","",IF(Summary!$C$16="N","",IFERROR(BDP($C37,'Field Check'!$C$18,'Field Check'!$C$17,TEXT(Summary!$C$12-4,"0"))/100,"")))</f>
        <v/>
      </c>
      <c r="T37" s="56">
        <f>IF($C37="","",IF(Summary!$C$16="N","",IFERROR(BDP($C37,'Field Check'!$C$18,'Field Check'!$C$17,TEXT(Summary!$C$12-3,"0"))/100,"")))</f>
        <v/>
      </c>
      <c r="U37" s="56">
        <f>IF($C37="","",IF(Summary!$C$16="N","",IFERROR(BDP($C37,'Field Check'!$C$18,'Field Check'!$C$17,TEXT(Summary!$C$12-2,"0"))/100,"")))</f>
        <v/>
      </c>
      <c r="V37" s="56">
        <f>IF($C37="","",IF(Summary!$C$16="N","",IFERROR(BDP($C37,'Field Check'!$C$18,'Field Check'!$C$17,TEXT(Summary!$C$12-1,"0"))/100,"")))</f>
        <v/>
      </c>
      <c r="W37" s="57">
        <f>IF($C37="","",IFERROR(AVERAGE(R37:V37),""))</f>
        <v/>
      </c>
      <c r="X37" s="58">
        <f>IF($C37="","",IF(ISNUMBER($Q37)*(N($Q37)&gt;0)=0,"",IFERROR($J37/$Q37,"")))</f>
        <v/>
      </c>
      <c r="Y37" s="59">
        <f>IF($C37="","",IF(ISNUMBER(HSI!$I$32),HSI!$I$32/100,""))</f>
        <v/>
      </c>
      <c r="Z37" s="60">
        <f>IF($C37="","",IF(Summary!$C$16="N","",IFERROR(BDP($C37,'Field Check'!$C$19)/100,"")))</f>
        <v/>
      </c>
      <c r="AA37" s="61">
        <f>IF($C37="","",IF(N($Y37)+N($Z37)=0,"",N($Y37)+N($Z37)))</f>
        <v/>
      </c>
      <c r="AB37" s="60">
        <f>IF($C37="","",IF(Summary!$C$16="N","",IFERROR(BDP($C37,'Field Check'!$C$20)/100,"")))</f>
        <v/>
      </c>
      <c r="AC37" s="45">
        <f>IF($C37="","",IF(N($Y37)=0,"",IFERROR($AB37/$Y37,"")))</f>
        <v/>
      </c>
      <c r="AD37" s="55">
        <f>IF($C37="","",IF(Summary!$C$16="N","",IFERROR(BDP($C37,'Field Check'!$C$21),"")))</f>
        <v/>
      </c>
      <c r="AE37" s="55">
        <f>IF($C37="","",IF(Summary!$C$16="N","",IFERROR(BDP($C37,'Field Check'!$C$22),"")))</f>
        <v/>
      </c>
      <c r="AF37" s="55">
        <f>IF($C37="","",IF(Summary!$C$16="N","",IFERROR(BDP($C37,'Field Check'!$C$23),"")))</f>
        <v/>
      </c>
      <c r="AG37" s="40">
        <f>IF($C37="","",TRIM(IF(ISNUMBER($W37)*(N($W37)&gt;$D$7)&gt;0,"payout high  ","")&amp;IF(ISNUMBER($AC37)*(N($AC37)&lt;$F$7)&gt;0,"FCF below dvd  ","")&amp;IF(ISNUMBER($AE37)*(N($AE37)&gt;$H$7)&gt;0,"leverage high","")))</f>
        <v/>
      </c>
      <c r="AH37" s="40">
        <f>IF($C37="","",IF(HSI!$F$32="HKD","",IF(HSI!$F$32="","","DPS in "&amp;HSI!$F$32)))</f>
        <v/>
      </c>
    </row>
    <row r="38">
      <c r="B38" s="52" t="inlineStr">
        <is>
          <t>HSI</t>
        </is>
      </c>
      <c r="C38" s="6">
        <f>IF(HSI!$C$33="","",HSI!$C$33)</f>
        <v/>
      </c>
      <c r="D38" s="6">
        <f>IF($C38="","",HSI!$D$33)</f>
        <v/>
      </c>
      <c r="E38" s="6">
        <f>IF($C38="","",HSI!$E$33)</f>
        <v/>
      </c>
      <c r="F38" s="53">
        <f>IF($C38="","",SUMIFS('Dvd Calendar'!$E$401:$AR$401,'Dvd Calendar'!$E$400:$AR$400,"&gt;="&amp;DATE(Summary!$C$12-5,1,1),'Dvd Calendar'!$E$400:$AR$400,"&lt;="&amp;DATE(Summary!$C$12-5,12,31)))</f>
        <v/>
      </c>
      <c r="G38" s="53">
        <f>IF($C38="","",SUMIFS('Dvd Calendar'!$E$401:$AR$401,'Dvd Calendar'!$E$400:$AR$400,"&gt;="&amp;DATE(Summary!$C$12-4,1,1),'Dvd Calendar'!$E$400:$AR$400,"&lt;="&amp;DATE(Summary!$C$12-4,12,31)))</f>
        <v/>
      </c>
      <c r="H38" s="53">
        <f>IF($C38="","",SUMIFS('Dvd Calendar'!$E$401:$AR$401,'Dvd Calendar'!$E$400:$AR$400,"&gt;="&amp;DATE(Summary!$C$12-3,1,1),'Dvd Calendar'!$E$400:$AR$400,"&lt;="&amp;DATE(Summary!$C$12-3,12,31)))</f>
        <v/>
      </c>
      <c r="I38" s="53">
        <f>IF($C38="","",SUMIFS('Dvd Calendar'!$E$401:$AR$401,'Dvd Calendar'!$E$400:$AR$400,"&gt;="&amp;DATE(Summary!$C$12-2,1,1),'Dvd Calendar'!$E$400:$AR$400,"&lt;="&amp;DATE(Summary!$C$12-2,12,31)))</f>
        <v/>
      </c>
      <c r="J38" s="53">
        <f>IF($C38="","",SUMIFS('Dvd Calendar'!$E$401:$AR$401,'Dvd Calendar'!$E$400:$AR$400,"&gt;="&amp;DATE(Summary!$C$12-1,1,1),'Dvd Calendar'!$E$400:$AR$400,"&lt;="&amp;DATE(Summary!$C$12-1,12,31)))</f>
        <v/>
      </c>
      <c r="K38" s="54">
        <f>IF($C38="","",SUMIFS('Dvd Calendar'!$E$401:$AR$401,'Dvd Calendar'!$E$400:$AR$400,"&gt;="&amp;DATE(Summary!$C$12,1,1),'Dvd Calendar'!$E$400:$AR$400,"&lt;="&amp;MIN(Summary!$C$11,DATE(Summary!$C$12,12,31))))</f>
        <v/>
      </c>
      <c r="L38" s="38">
        <f>IF($C38="","",AVERAGE(F38:J38))</f>
        <v/>
      </c>
      <c r="M38" s="55">
        <f>IF($C38="","",IF(Summary!$C$16="N","",IFERROR(BDP($C38,'Field Check'!$C$16,'Field Check'!$C$17,TEXT(Summary!$C$12-5,"0")),"")))</f>
        <v/>
      </c>
      <c r="N38" s="55">
        <f>IF($C38="","",IF(Summary!$C$16="N","",IFERROR(BDP($C38,'Field Check'!$C$16,'Field Check'!$C$17,TEXT(Summary!$C$12-4,"0")),"")))</f>
        <v/>
      </c>
      <c r="O38" s="55">
        <f>IF($C38="","",IF(Summary!$C$16="N","",IFERROR(BDP($C38,'Field Check'!$C$16,'Field Check'!$C$17,TEXT(Summary!$C$12-3,"0")),"")))</f>
        <v/>
      </c>
      <c r="P38" s="55">
        <f>IF($C38="","",IF(Summary!$C$16="N","",IFERROR(BDP($C38,'Field Check'!$C$16,'Field Check'!$C$17,TEXT(Summary!$C$12-2,"0")),"")))</f>
        <v/>
      </c>
      <c r="Q38" s="55">
        <f>IF($C38="","",IF(Summary!$C$16="N","",IFERROR(BDP($C38,'Field Check'!$C$16,'Field Check'!$C$17,TEXT(Summary!$C$12-1,"0")),"")))</f>
        <v/>
      </c>
      <c r="R38" s="56">
        <f>IF($C38="","",IF(Summary!$C$16="N","",IFERROR(BDP($C38,'Field Check'!$C$18,'Field Check'!$C$17,TEXT(Summary!$C$12-5,"0"))/100,"")))</f>
        <v/>
      </c>
      <c r="S38" s="56">
        <f>IF($C38="","",IF(Summary!$C$16="N","",IFERROR(BDP($C38,'Field Check'!$C$18,'Field Check'!$C$17,TEXT(Summary!$C$12-4,"0"))/100,"")))</f>
        <v/>
      </c>
      <c r="T38" s="56">
        <f>IF($C38="","",IF(Summary!$C$16="N","",IFERROR(BDP($C38,'Field Check'!$C$18,'Field Check'!$C$17,TEXT(Summary!$C$12-3,"0"))/100,"")))</f>
        <v/>
      </c>
      <c r="U38" s="56">
        <f>IF($C38="","",IF(Summary!$C$16="N","",IFERROR(BDP($C38,'Field Check'!$C$18,'Field Check'!$C$17,TEXT(Summary!$C$12-2,"0"))/100,"")))</f>
        <v/>
      </c>
      <c r="V38" s="56">
        <f>IF($C38="","",IF(Summary!$C$16="N","",IFERROR(BDP($C38,'Field Check'!$C$18,'Field Check'!$C$17,TEXT(Summary!$C$12-1,"0"))/100,"")))</f>
        <v/>
      </c>
      <c r="W38" s="57">
        <f>IF($C38="","",IFERROR(AVERAGE(R38:V38),""))</f>
        <v/>
      </c>
      <c r="X38" s="58">
        <f>IF($C38="","",IF(ISNUMBER($Q38)*(N($Q38)&gt;0)=0,"",IFERROR($J38/$Q38,"")))</f>
        <v/>
      </c>
      <c r="Y38" s="59">
        <f>IF($C38="","",IF(ISNUMBER(HSI!$I$33),HSI!$I$33/100,""))</f>
        <v/>
      </c>
      <c r="Z38" s="60">
        <f>IF($C38="","",IF(Summary!$C$16="N","",IFERROR(BDP($C38,'Field Check'!$C$19)/100,"")))</f>
        <v/>
      </c>
      <c r="AA38" s="61">
        <f>IF($C38="","",IF(N($Y38)+N($Z38)=0,"",N($Y38)+N($Z38)))</f>
        <v/>
      </c>
      <c r="AB38" s="60">
        <f>IF($C38="","",IF(Summary!$C$16="N","",IFERROR(BDP($C38,'Field Check'!$C$20)/100,"")))</f>
        <v/>
      </c>
      <c r="AC38" s="45">
        <f>IF($C38="","",IF(N($Y38)=0,"",IFERROR($AB38/$Y38,"")))</f>
        <v/>
      </c>
      <c r="AD38" s="55">
        <f>IF($C38="","",IF(Summary!$C$16="N","",IFERROR(BDP($C38,'Field Check'!$C$21),"")))</f>
        <v/>
      </c>
      <c r="AE38" s="55">
        <f>IF($C38="","",IF(Summary!$C$16="N","",IFERROR(BDP($C38,'Field Check'!$C$22),"")))</f>
        <v/>
      </c>
      <c r="AF38" s="55">
        <f>IF($C38="","",IF(Summary!$C$16="N","",IFERROR(BDP($C38,'Field Check'!$C$23),"")))</f>
        <v/>
      </c>
      <c r="AG38" s="40">
        <f>IF($C38="","",TRIM(IF(ISNUMBER($W38)*(N($W38)&gt;$D$7)&gt;0,"payout high  ","")&amp;IF(ISNUMBER($AC38)*(N($AC38)&lt;$F$7)&gt;0,"FCF below dvd  ","")&amp;IF(ISNUMBER($AE38)*(N($AE38)&gt;$H$7)&gt;0,"leverage high","")))</f>
        <v/>
      </c>
      <c r="AH38" s="40">
        <f>IF($C38="","",IF(HSI!$F$33="HKD","",IF(HSI!$F$33="","","DPS in "&amp;HSI!$F$33)))</f>
        <v/>
      </c>
    </row>
    <row r="39">
      <c r="B39" s="52" t="inlineStr">
        <is>
          <t>HSI</t>
        </is>
      </c>
      <c r="C39" s="6">
        <f>IF(HSI!$C$34="","",HSI!$C$34)</f>
        <v/>
      </c>
      <c r="D39" s="6">
        <f>IF($C39="","",HSI!$D$34)</f>
        <v/>
      </c>
      <c r="E39" s="6">
        <f>IF($C39="","",HSI!$E$34)</f>
        <v/>
      </c>
      <c r="F39" s="53">
        <f>IF($C39="","",SUMIFS('Dvd Calendar'!$E$416:$AR$416,'Dvd Calendar'!$E$415:$AR$415,"&gt;="&amp;DATE(Summary!$C$12-5,1,1),'Dvd Calendar'!$E$415:$AR$415,"&lt;="&amp;DATE(Summary!$C$12-5,12,31)))</f>
        <v/>
      </c>
      <c r="G39" s="53">
        <f>IF($C39="","",SUMIFS('Dvd Calendar'!$E$416:$AR$416,'Dvd Calendar'!$E$415:$AR$415,"&gt;="&amp;DATE(Summary!$C$12-4,1,1),'Dvd Calendar'!$E$415:$AR$415,"&lt;="&amp;DATE(Summary!$C$12-4,12,31)))</f>
        <v/>
      </c>
      <c r="H39" s="53">
        <f>IF($C39="","",SUMIFS('Dvd Calendar'!$E$416:$AR$416,'Dvd Calendar'!$E$415:$AR$415,"&gt;="&amp;DATE(Summary!$C$12-3,1,1),'Dvd Calendar'!$E$415:$AR$415,"&lt;="&amp;DATE(Summary!$C$12-3,12,31)))</f>
        <v/>
      </c>
      <c r="I39" s="53">
        <f>IF($C39="","",SUMIFS('Dvd Calendar'!$E$416:$AR$416,'Dvd Calendar'!$E$415:$AR$415,"&gt;="&amp;DATE(Summary!$C$12-2,1,1),'Dvd Calendar'!$E$415:$AR$415,"&lt;="&amp;DATE(Summary!$C$12-2,12,31)))</f>
        <v/>
      </c>
      <c r="J39" s="53">
        <f>IF($C39="","",SUMIFS('Dvd Calendar'!$E$416:$AR$416,'Dvd Calendar'!$E$415:$AR$415,"&gt;="&amp;DATE(Summary!$C$12-1,1,1),'Dvd Calendar'!$E$415:$AR$415,"&lt;="&amp;DATE(Summary!$C$12-1,12,31)))</f>
        <v/>
      </c>
      <c r="K39" s="54">
        <f>IF($C39="","",SUMIFS('Dvd Calendar'!$E$416:$AR$416,'Dvd Calendar'!$E$415:$AR$415,"&gt;="&amp;DATE(Summary!$C$12,1,1),'Dvd Calendar'!$E$415:$AR$415,"&lt;="&amp;MIN(Summary!$C$11,DATE(Summary!$C$12,12,31))))</f>
        <v/>
      </c>
      <c r="L39" s="38">
        <f>IF($C39="","",AVERAGE(F39:J39))</f>
        <v/>
      </c>
      <c r="M39" s="55">
        <f>IF($C39="","",IF(Summary!$C$16="N","",IFERROR(BDP($C39,'Field Check'!$C$16,'Field Check'!$C$17,TEXT(Summary!$C$12-5,"0")),"")))</f>
        <v/>
      </c>
      <c r="N39" s="55">
        <f>IF($C39="","",IF(Summary!$C$16="N","",IFERROR(BDP($C39,'Field Check'!$C$16,'Field Check'!$C$17,TEXT(Summary!$C$12-4,"0")),"")))</f>
        <v/>
      </c>
      <c r="O39" s="55">
        <f>IF($C39="","",IF(Summary!$C$16="N","",IFERROR(BDP($C39,'Field Check'!$C$16,'Field Check'!$C$17,TEXT(Summary!$C$12-3,"0")),"")))</f>
        <v/>
      </c>
      <c r="P39" s="55">
        <f>IF($C39="","",IF(Summary!$C$16="N","",IFERROR(BDP($C39,'Field Check'!$C$16,'Field Check'!$C$17,TEXT(Summary!$C$12-2,"0")),"")))</f>
        <v/>
      </c>
      <c r="Q39" s="55">
        <f>IF($C39="","",IF(Summary!$C$16="N","",IFERROR(BDP($C39,'Field Check'!$C$16,'Field Check'!$C$17,TEXT(Summary!$C$12-1,"0")),"")))</f>
        <v/>
      </c>
      <c r="R39" s="56">
        <f>IF($C39="","",IF(Summary!$C$16="N","",IFERROR(BDP($C39,'Field Check'!$C$18,'Field Check'!$C$17,TEXT(Summary!$C$12-5,"0"))/100,"")))</f>
        <v/>
      </c>
      <c r="S39" s="56">
        <f>IF($C39="","",IF(Summary!$C$16="N","",IFERROR(BDP($C39,'Field Check'!$C$18,'Field Check'!$C$17,TEXT(Summary!$C$12-4,"0"))/100,"")))</f>
        <v/>
      </c>
      <c r="T39" s="56">
        <f>IF($C39="","",IF(Summary!$C$16="N","",IFERROR(BDP($C39,'Field Check'!$C$18,'Field Check'!$C$17,TEXT(Summary!$C$12-3,"0"))/100,"")))</f>
        <v/>
      </c>
      <c r="U39" s="56">
        <f>IF($C39="","",IF(Summary!$C$16="N","",IFERROR(BDP($C39,'Field Check'!$C$18,'Field Check'!$C$17,TEXT(Summary!$C$12-2,"0"))/100,"")))</f>
        <v/>
      </c>
      <c r="V39" s="56">
        <f>IF($C39="","",IF(Summary!$C$16="N","",IFERROR(BDP($C39,'Field Check'!$C$18,'Field Check'!$C$17,TEXT(Summary!$C$12-1,"0"))/100,"")))</f>
        <v/>
      </c>
      <c r="W39" s="57">
        <f>IF($C39="","",IFERROR(AVERAGE(R39:V39),""))</f>
        <v/>
      </c>
      <c r="X39" s="58">
        <f>IF($C39="","",IF(ISNUMBER($Q39)*(N($Q39)&gt;0)=0,"",IFERROR($J39/$Q39,"")))</f>
        <v/>
      </c>
      <c r="Y39" s="59">
        <f>IF($C39="","",IF(ISNUMBER(HSI!$I$34),HSI!$I$34/100,""))</f>
        <v/>
      </c>
      <c r="Z39" s="60">
        <f>IF($C39="","",IF(Summary!$C$16="N","",IFERROR(BDP($C39,'Field Check'!$C$19)/100,"")))</f>
        <v/>
      </c>
      <c r="AA39" s="61">
        <f>IF($C39="","",IF(N($Y39)+N($Z39)=0,"",N($Y39)+N($Z39)))</f>
        <v/>
      </c>
      <c r="AB39" s="60">
        <f>IF($C39="","",IF(Summary!$C$16="N","",IFERROR(BDP($C39,'Field Check'!$C$20)/100,"")))</f>
        <v/>
      </c>
      <c r="AC39" s="45">
        <f>IF($C39="","",IF(N($Y39)=0,"",IFERROR($AB39/$Y39,"")))</f>
        <v/>
      </c>
      <c r="AD39" s="55">
        <f>IF($C39="","",IF(Summary!$C$16="N","",IFERROR(BDP($C39,'Field Check'!$C$21),"")))</f>
        <v/>
      </c>
      <c r="AE39" s="55">
        <f>IF($C39="","",IF(Summary!$C$16="N","",IFERROR(BDP($C39,'Field Check'!$C$22),"")))</f>
        <v/>
      </c>
      <c r="AF39" s="55">
        <f>IF($C39="","",IF(Summary!$C$16="N","",IFERROR(BDP($C39,'Field Check'!$C$23),"")))</f>
        <v/>
      </c>
      <c r="AG39" s="40">
        <f>IF($C39="","",TRIM(IF(ISNUMBER($W39)*(N($W39)&gt;$D$7)&gt;0,"payout high  ","")&amp;IF(ISNUMBER($AC39)*(N($AC39)&lt;$F$7)&gt;0,"FCF below dvd  ","")&amp;IF(ISNUMBER($AE39)*(N($AE39)&gt;$H$7)&gt;0,"leverage high","")))</f>
        <v/>
      </c>
      <c r="AH39" s="40">
        <f>IF($C39="","",IF(HSI!$F$34="HKD","",IF(HSI!$F$34="","","DPS in "&amp;HSI!$F$34)))</f>
        <v/>
      </c>
    </row>
    <row r="40">
      <c r="B40" s="52" t="inlineStr">
        <is>
          <t>HSI</t>
        </is>
      </c>
      <c r="C40" s="6">
        <f>IF(HSI!$C$35="","",HSI!$C$35)</f>
        <v/>
      </c>
      <c r="D40" s="6">
        <f>IF($C40="","",HSI!$D$35)</f>
        <v/>
      </c>
      <c r="E40" s="6">
        <f>IF($C40="","",HSI!$E$35)</f>
        <v/>
      </c>
      <c r="F40" s="53">
        <f>IF($C40="","",SUMIFS('Dvd Calendar'!$E$431:$AR$431,'Dvd Calendar'!$E$430:$AR$430,"&gt;="&amp;DATE(Summary!$C$12-5,1,1),'Dvd Calendar'!$E$430:$AR$430,"&lt;="&amp;DATE(Summary!$C$12-5,12,31)))</f>
        <v/>
      </c>
      <c r="G40" s="53">
        <f>IF($C40="","",SUMIFS('Dvd Calendar'!$E$431:$AR$431,'Dvd Calendar'!$E$430:$AR$430,"&gt;="&amp;DATE(Summary!$C$12-4,1,1),'Dvd Calendar'!$E$430:$AR$430,"&lt;="&amp;DATE(Summary!$C$12-4,12,31)))</f>
        <v/>
      </c>
      <c r="H40" s="53">
        <f>IF($C40="","",SUMIFS('Dvd Calendar'!$E$431:$AR$431,'Dvd Calendar'!$E$430:$AR$430,"&gt;="&amp;DATE(Summary!$C$12-3,1,1),'Dvd Calendar'!$E$430:$AR$430,"&lt;="&amp;DATE(Summary!$C$12-3,12,31)))</f>
        <v/>
      </c>
      <c r="I40" s="53">
        <f>IF($C40="","",SUMIFS('Dvd Calendar'!$E$431:$AR$431,'Dvd Calendar'!$E$430:$AR$430,"&gt;="&amp;DATE(Summary!$C$12-2,1,1),'Dvd Calendar'!$E$430:$AR$430,"&lt;="&amp;DATE(Summary!$C$12-2,12,31)))</f>
        <v/>
      </c>
      <c r="J40" s="53">
        <f>IF($C40="","",SUMIFS('Dvd Calendar'!$E$431:$AR$431,'Dvd Calendar'!$E$430:$AR$430,"&gt;="&amp;DATE(Summary!$C$12-1,1,1),'Dvd Calendar'!$E$430:$AR$430,"&lt;="&amp;DATE(Summary!$C$12-1,12,31)))</f>
        <v/>
      </c>
      <c r="K40" s="54">
        <f>IF($C40="","",SUMIFS('Dvd Calendar'!$E$431:$AR$431,'Dvd Calendar'!$E$430:$AR$430,"&gt;="&amp;DATE(Summary!$C$12,1,1),'Dvd Calendar'!$E$430:$AR$430,"&lt;="&amp;MIN(Summary!$C$11,DATE(Summary!$C$12,12,31))))</f>
        <v/>
      </c>
      <c r="L40" s="38">
        <f>IF($C40="","",AVERAGE(F40:J40))</f>
        <v/>
      </c>
      <c r="M40" s="55">
        <f>IF($C40="","",IF(Summary!$C$16="N","",IFERROR(BDP($C40,'Field Check'!$C$16,'Field Check'!$C$17,TEXT(Summary!$C$12-5,"0")),"")))</f>
        <v/>
      </c>
      <c r="N40" s="55">
        <f>IF($C40="","",IF(Summary!$C$16="N","",IFERROR(BDP($C40,'Field Check'!$C$16,'Field Check'!$C$17,TEXT(Summary!$C$12-4,"0")),"")))</f>
        <v/>
      </c>
      <c r="O40" s="55">
        <f>IF($C40="","",IF(Summary!$C$16="N","",IFERROR(BDP($C40,'Field Check'!$C$16,'Field Check'!$C$17,TEXT(Summary!$C$12-3,"0")),"")))</f>
        <v/>
      </c>
      <c r="P40" s="55">
        <f>IF($C40="","",IF(Summary!$C$16="N","",IFERROR(BDP($C40,'Field Check'!$C$16,'Field Check'!$C$17,TEXT(Summary!$C$12-2,"0")),"")))</f>
        <v/>
      </c>
      <c r="Q40" s="55">
        <f>IF($C40="","",IF(Summary!$C$16="N","",IFERROR(BDP($C40,'Field Check'!$C$16,'Field Check'!$C$17,TEXT(Summary!$C$12-1,"0")),"")))</f>
        <v/>
      </c>
      <c r="R40" s="56">
        <f>IF($C40="","",IF(Summary!$C$16="N","",IFERROR(BDP($C40,'Field Check'!$C$18,'Field Check'!$C$17,TEXT(Summary!$C$12-5,"0"))/100,"")))</f>
        <v/>
      </c>
      <c r="S40" s="56">
        <f>IF($C40="","",IF(Summary!$C$16="N","",IFERROR(BDP($C40,'Field Check'!$C$18,'Field Check'!$C$17,TEXT(Summary!$C$12-4,"0"))/100,"")))</f>
        <v/>
      </c>
      <c r="T40" s="56">
        <f>IF($C40="","",IF(Summary!$C$16="N","",IFERROR(BDP($C40,'Field Check'!$C$18,'Field Check'!$C$17,TEXT(Summary!$C$12-3,"0"))/100,"")))</f>
        <v/>
      </c>
      <c r="U40" s="56">
        <f>IF($C40="","",IF(Summary!$C$16="N","",IFERROR(BDP($C40,'Field Check'!$C$18,'Field Check'!$C$17,TEXT(Summary!$C$12-2,"0"))/100,"")))</f>
        <v/>
      </c>
      <c r="V40" s="56">
        <f>IF($C40="","",IF(Summary!$C$16="N","",IFERROR(BDP($C40,'Field Check'!$C$18,'Field Check'!$C$17,TEXT(Summary!$C$12-1,"0"))/100,"")))</f>
        <v/>
      </c>
      <c r="W40" s="57">
        <f>IF($C40="","",IFERROR(AVERAGE(R40:V40),""))</f>
        <v/>
      </c>
      <c r="X40" s="58">
        <f>IF($C40="","",IF(ISNUMBER($Q40)*(N($Q40)&gt;0)=0,"",IFERROR($J40/$Q40,"")))</f>
        <v/>
      </c>
      <c r="Y40" s="59">
        <f>IF($C40="","",IF(ISNUMBER(HSI!$I$35),HSI!$I$35/100,""))</f>
        <v/>
      </c>
      <c r="Z40" s="60">
        <f>IF($C40="","",IF(Summary!$C$16="N","",IFERROR(BDP($C40,'Field Check'!$C$19)/100,"")))</f>
        <v/>
      </c>
      <c r="AA40" s="61">
        <f>IF($C40="","",IF(N($Y40)+N($Z40)=0,"",N($Y40)+N($Z40)))</f>
        <v/>
      </c>
      <c r="AB40" s="60">
        <f>IF($C40="","",IF(Summary!$C$16="N","",IFERROR(BDP($C40,'Field Check'!$C$20)/100,"")))</f>
        <v/>
      </c>
      <c r="AC40" s="45">
        <f>IF($C40="","",IF(N($Y40)=0,"",IFERROR($AB40/$Y40,"")))</f>
        <v/>
      </c>
      <c r="AD40" s="55">
        <f>IF($C40="","",IF(Summary!$C$16="N","",IFERROR(BDP($C40,'Field Check'!$C$21),"")))</f>
        <v/>
      </c>
      <c r="AE40" s="55">
        <f>IF($C40="","",IF(Summary!$C$16="N","",IFERROR(BDP($C40,'Field Check'!$C$22),"")))</f>
        <v/>
      </c>
      <c r="AF40" s="55">
        <f>IF($C40="","",IF(Summary!$C$16="N","",IFERROR(BDP($C40,'Field Check'!$C$23),"")))</f>
        <v/>
      </c>
      <c r="AG40" s="40">
        <f>IF($C40="","",TRIM(IF(ISNUMBER($W40)*(N($W40)&gt;$D$7)&gt;0,"payout high  ","")&amp;IF(ISNUMBER($AC40)*(N($AC40)&lt;$F$7)&gt;0,"FCF below dvd  ","")&amp;IF(ISNUMBER($AE40)*(N($AE40)&gt;$H$7)&gt;0,"leverage high","")))</f>
        <v/>
      </c>
      <c r="AH40" s="40">
        <f>IF($C40="","",IF(HSI!$F$35="HKD","",IF(HSI!$F$35="","","DPS in "&amp;HSI!$F$35)))</f>
        <v/>
      </c>
    </row>
    <row r="41">
      <c r="B41" s="52" t="inlineStr">
        <is>
          <t>HSI</t>
        </is>
      </c>
      <c r="C41" s="6">
        <f>IF(HSI!$C$36="","",HSI!$C$36)</f>
        <v/>
      </c>
      <c r="D41" s="6">
        <f>IF($C41="","",HSI!$D$36)</f>
        <v/>
      </c>
      <c r="E41" s="6">
        <f>IF($C41="","",HSI!$E$36)</f>
        <v/>
      </c>
      <c r="F41" s="53">
        <f>IF($C41="","",SUMIFS('Dvd Calendar'!$E$446:$AR$446,'Dvd Calendar'!$E$445:$AR$445,"&gt;="&amp;DATE(Summary!$C$12-5,1,1),'Dvd Calendar'!$E$445:$AR$445,"&lt;="&amp;DATE(Summary!$C$12-5,12,31)))</f>
        <v/>
      </c>
      <c r="G41" s="53">
        <f>IF($C41="","",SUMIFS('Dvd Calendar'!$E$446:$AR$446,'Dvd Calendar'!$E$445:$AR$445,"&gt;="&amp;DATE(Summary!$C$12-4,1,1),'Dvd Calendar'!$E$445:$AR$445,"&lt;="&amp;DATE(Summary!$C$12-4,12,31)))</f>
        <v/>
      </c>
      <c r="H41" s="53">
        <f>IF($C41="","",SUMIFS('Dvd Calendar'!$E$446:$AR$446,'Dvd Calendar'!$E$445:$AR$445,"&gt;="&amp;DATE(Summary!$C$12-3,1,1),'Dvd Calendar'!$E$445:$AR$445,"&lt;="&amp;DATE(Summary!$C$12-3,12,31)))</f>
        <v/>
      </c>
      <c r="I41" s="53">
        <f>IF($C41="","",SUMIFS('Dvd Calendar'!$E$446:$AR$446,'Dvd Calendar'!$E$445:$AR$445,"&gt;="&amp;DATE(Summary!$C$12-2,1,1),'Dvd Calendar'!$E$445:$AR$445,"&lt;="&amp;DATE(Summary!$C$12-2,12,31)))</f>
        <v/>
      </c>
      <c r="J41" s="53">
        <f>IF($C41="","",SUMIFS('Dvd Calendar'!$E$446:$AR$446,'Dvd Calendar'!$E$445:$AR$445,"&gt;="&amp;DATE(Summary!$C$12-1,1,1),'Dvd Calendar'!$E$445:$AR$445,"&lt;="&amp;DATE(Summary!$C$12-1,12,31)))</f>
        <v/>
      </c>
      <c r="K41" s="54">
        <f>IF($C41="","",SUMIFS('Dvd Calendar'!$E$446:$AR$446,'Dvd Calendar'!$E$445:$AR$445,"&gt;="&amp;DATE(Summary!$C$12,1,1),'Dvd Calendar'!$E$445:$AR$445,"&lt;="&amp;MIN(Summary!$C$11,DATE(Summary!$C$12,12,31))))</f>
        <v/>
      </c>
      <c r="L41" s="38">
        <f>IF($C41="","",AVERAGE(F41:J41))</f>
        <v/>
      </c>
      <c r="M41" s="55">
        <f>IF($C41="","",IF(Summary!$C$16="N","",IFERROR(BDP($C41,'Field Check'!$C$16,'Field Check'!$C$17,TEXT(Summary!$C$12-5,"0")),"")))</f>
        <v/>
      </c>
      <c r="N41" s="55">
        <f>IF($C41="","",IF(Summary!$C$16="N","",IFERROR(BDP($C41,'Field Check'!$C$16,'Field Check'!$C$17,TEXT(Summary!$C$12-4,"0")),"")))</f>
        <v/>
      </c>
      <c r="O41" s="55">
        <f>IF($C41="","",IF(Summary!$C$16="N","",IFERROR(BDP($C41,'Field Check'!$C$16,'Field Check'!$C$17,TEXT(Summary!$C$12-3,"0")),"")))</f>
        <v/>
      </c>
      <c r="P41" s="55">
        <f>IF($C41="","",IF(Summary!$C$16="N","",IFERROR(BDP($C41,'Field Check'!$C$16,'Field Check'!$C$17,TEXT(Summary!$C$12-2,"0")),"")))</f>
        <v/>
      </c>
      <c r="Q41" s="55">
        <f>IF($C41="","",IF(Summary!$C$16="N","",IFERROR(BDP($C41,'Field Check'!$C$16,'Field Check'!$C$17,TEXT(Summary!$C$12-1,"0")),"")))</f>
        <v/>
      </c>
      <c r="R41" s="56">
        <f>IF($C41="","",IF(Summary!$C$16="N","",IFERROR(BDP($C41,'Field Check'!$C$18,'Field Check'!$C$17,TEXT(Summary!$C$12-5,"0"))/100,"")))</f>
        <v/>
      </c>
      <c r="S41" s="56">
        <f>IF($C41="","",IF(Summary!$C$16="N","",IFERROR(BDP($C41,'Field Check'!$C$18,'Field Check'!$C$17,TEXT(Summary!$C$12-4,"0"))/100,"")))</f>
        <v/>
      </c>
      <c r="T41" s="56">
        <f>IF($C41="","",IF(Summary!$C$16="N","",IFERROR(BDP($C41,'Field Check'!$C$18,'Field Check'!$C$17,TEXT(Summary!$C$12-3,"0"))/100,"")))</f>
        <v/>
      </c>
      <c r="U41" s="56">
        <f>IF($C41="","",IF(Summary!$C$16="N","",IFERROR(BDP($C41,'Field Check'!$C$18,'Field Check'!$C$17,TEXT(Summary!$C$12-2,"0"))/100,"")))</f>
        <v/>
      </c>
      <c r="V41" s="56">
        <f>IF($C41="","",IF(Summary!$C$16="N","",IFERROR(BDP($C41,'Field Check'!$C$18,'Field Check'!$C$17,TEXT(Summary!$C$12-1,"0"))/100,"")))</f>
        <v/>
      </c>
      <c r="W41" s="57">
        <f>IF($C41="","",IFERROR(AVERAGE(R41:V41),""))</f>
        <v/>
      </c>
      <c r="X41" s="58">
        <f>IF($C41="","",IF(ISNUMBER($Q41)*(N($Q41)&gt;0)=0,"",IFERROR($J41/$Q41,"")))</f>
        <v/>
      </c>
      <c r="Y41" s="59">
        <f>IF($C41="","",IF(ISNUMBER(HSI!$I$36),HSI!$I$36/100,""))</f>
        <v/>
      </c>
      <c r="Z41" s="60">
        <f>IF($C41="","",IF(Summary!$C$16="N","",IFERROR(BDP($C41,'Field Check'!$C$19)/100,"")))</f>
        <v/>
      </c>
      <c r="AA41" s="61">
        <f>IF($C41="","",IF(N($Y41)+N($Z41)=0,"",N($Y41)+N($Z41)))</f>
        <v/>
      </c>
      <c r="AB41" s="60">
        <f>IF($C41="","",IF(Summary!$C$16="N","",IFERROR(BDP($C41,'Field Check'!$C$20)/100,"")))</f>
        <v/>
      </c>
      <c r="AC41" s="45">
        <f>IF($C41="","",IF(N($Y41)=0,"",IFERROR($AB41/$Y41,"")))</f>
        <v/>
      </c>
      <c r="AD41" s="55">
        <f>IF($C41="","",IF(Summary!$C$16="N","",IFERROR(BDP($C41,'Field Check'!$C$21),"")))</f>
        <v/>
      </c>
      <c r="AE41" s="55">
        <f>IF($C41="","",IF(Summary!$C$16="N","",IFERROR(BDP($C41,'Field Check'!$C$22),"")))</f>
        <v/>
      </c>
      <c r="AF41" s="55">
        <f>IF($C41="","",IF(Summary!$C$16="N","",IFERROR(BDP($C41,'Field Check'!$C$23),"")))</f>
        <v/>
      </c>
      <c r="AG41" s="40">
        <f>IF($C41="","",TRIM(IF(ISNUMBER($W41)*(N($W41)&gt;$D$7)&gt;0,"payout high  ","")&amp;IF(ISNUMBER($AC41)*(N($AC41)&lt;$F$7)&gt;0,"FCF below dvd  ","")&amp;IF(ISNUMBER($AE41)*(N($AE41)&gt;$H$7)&gt;0,"leverage high","")))</f>
        <v/>
      </c>
      <c r="AH41" s="40">
        <f>IF($C41="","",IF(HSI!$F$36="HKD","",IF(HSI!$F$36="","","DPS in "&amp;HSI!$F$36)))</f>
        <v/>
      </c>
    </row>
    <row r="42">
      <c r="B42" s="52" t="inlineStr">
        <is>
          <t>HSI</t>
        </is>
      </c>
      <c r="C42" s="6">
        <f>IF(HSI!$C$37="","",HSI!$C$37)</f>
        <v/>
      </c>
      <c r="D42" s="6">
        <f>IF($C42="","",HSI!$D$37)</f>
        <v/>
      </c>
      <c r="E42" s="6">
        <f>IF($C42="","",HSI!$E$37)</f>
        <v/>
      </c>
      <c r="F42" s="53">
        <f>IF($C42="","",SUMIFS('Dvd Calendar'!$E$461:$AR$461,'Dvd Calendar'!$E$460:$AR$460,"&gt;="&amp;DATE(Summary!$C$12-5,1,1),'Dvd Calendar'!$E$460:$AR$460,"&lt;="&amp;DATE(Summary!$C$12-5,12,31)))</f>
        <v/>
      </c>
      <c r="G42" s="53">
        <f>IF($C42="","",SUMIFS('Dvd Calendar'!$E$461:$AR$461,'Dvd Calendar'!$E$460:$AR$460,"&gt;="&amp;DATE(Summary!$C$12-4,1,1),'Dvd Calendar'!$E$460:$AR$460,"&lt;="&amp;DATE(Summary!$C$12-4,12,31)))</f>
        <v/>
      </c>
      <c r="H42" s="53">
        <f>IF($C42="","",SUMIFS('Dvd Calendar'!$E$461:$AR$461,'Dvd Calendar'!$E$460:$AR$460,"&gt;="&amp;DATE(Summary!$C$12-3,1,1),'Dvd Calendar'!$E$460:$AR$460,"&lt;="&amp;DATE(Summary!$C$12-3,12,31)))</f>
        <v/>
      </c>
      <c r="I42" s="53">
        <f>IF($C42="","",SUMIFS('Dvd Calendar'!$E$461:$AR$461,'Dvd Calendar'!$E$460:$AR$460,"&gt;="&amp;DATE(Summary!$C$12-2,1,1),'Dvd Calendar'!$E$460:$AR$460,"&lt;="&amp;DATE(Summary!$C$12-2,12,31)))</f>
        <v/>
      </c>
      <c r="J42" s="53">
        <f>IF($C42="","",SUMIFS('Dvd Calendar'!$E$461:$AR$461,'Dvd Calendar'!$E$460:$AR$460,"&gt;="&amp;DATE(Summary!$C$12-1,1,1),'Dvd Calendar'!$E$460:$AR$460,"&lt;="&amp;DATE(Summary!$C$12-1,12,31)))</f>
        <v/>
      </c>
      <c r="K42" s="54">
        <f>IF($C42="","",SUMIFS('Dvd Calendar'!$E$461:$AR$461,'Dvd Calendar'!$E$460:$AR$460,"&gt;="&amp;DATE(Summary!$C$12,1,1),'Dvd Calendar'!$E$460:$AR$460,"&lt;="&amp;MIN(Summary!$C$11,DATE(Summary!$C$12,12,31))))</f>
        <v/>
      </c>
      <c r="L42" s="38">
        <f>IF($C42="","",AVERAGE(F42:J42))</f>
        <v/>
      </c>
      <c r="M42" s="55">
        <f>IF($C42="","",IF(Summary!$C$16="N","",IFERROR(BDP($C42,'Field Check'!$C$16,'Field Check'!$C$17,TEXT(Summary!$C$12-5,"0")),"")))</f>
        <v/>
      </c>
      <c r="N42" s="55">
        <f>IF($C42="","",IF(Summary!$C$16="N","",IFERROR(BDP($C42,'Field Check'!$C$16,'Field Check'!$C$17,TEXT(Summary!$C$12-4,"0")),"")))</f>
        <v/>
      </c>
      <c r="O42" s="55">
        <f>IF($C42="","",IF(Summary!$C$16="N","",IFERROR(BDP($C42,'Field Check'!$C$16,'Field Check'!$C$17,TEXT(Summary!$C$12-3,"0")),"")))</f>
        <v/>
      </c>
      <c r="P42" s="55">
        <f>IF($C42="","",IF(Summary!$C$16="N","",IFERROR(BDP($C42,'Field Check'!$C$16,'Field Check'!$C$17,TEXT(Summary!$C$12-2,"0")),"")))</f>
        <v/>
      </c>
      <c r="Q42" s="55">
        <f>IF($C42="","",IF(Summary!$C$16="N","",IFERROR(BDP($C42,'Field Check'!$C$16,'Field Check'!$C$17,TEXT(Summary!$C$12-1,"0")),"")))</f>
        <v/>
      </c>
      <c r="R42" s="56">
        <f>IF($C42="","",IF(Summary!$C$16="N","",IFERROR(BDP($C42,'Field Check'!$C$18,'Field Check'!$C$17,TEXT(Summary!$C$12-5,"0"))/100,"")))</f>
        <v/>
      </c>
      <c r="S42" s="56">
        <f>IF($C42="","",IF(Summary!$C$16="N","",IFERROR(BDP($C42,'Field Check'!$C$18,'Field Check'!$C$17,TEXT(Summary!$C$12-4,"0"))/100,"")))</f>
        <v/>
      </c>
      <c r="T42" s="56">
        <f>IF($C42="","",IF(Summary!$C$16="N","",IFERROR(BDP($C42,'Field Check'!$C$18,'Field Check'!$C$17,TEXT(Summary!$C$12-3,"0"))/100,"")))</f>
        <v/>
      </c>
      <c r="U42" s="56">
        <f>IF($C42="","",IF(Summary!$C$16="N","",IFERROR(BDP($C42,'Field Check'!$C$18,'Field Check'!$C$17,TEXT(Summary!$C$12-2,"0"))/100,"")))</f>
        <v/>
      </c>
      <c r="V42" s="56">
        <f>IF($C42="","",IF(Summary!$C$16="N","",IFERROR(BDP($C42,'Field Check'!$C$18,'Field Check'!$C$17,TEXT(Summary!$C$12-1,"0"))/100,"")))</f>
        <v/>
      </c>
      <c r="W42" s="57">
        <f>IF($C42="","",IFERROR(AVERAGE(R42:V42),""))</f>
        <v/>
      </c>
      <c r="X42" s="58">
        <f>IF($C42="","",IF(ISNUMBER($Q42)*(N($Q42)&gt;0)=0,"",IFERROR($J42/$Q42,"")))</f>
        <v/>
      </c>
      <c r="Y42" s="59">
        <f>IF($C42="","",IF(ISNUMBER(HSI!$I$37),HSI!$I$37/100,""))</f>
        <v/>
      </c>
      <c r="Z42" s="60">
        <f>IF($C42="","",IF(Summary!$C$16="N","",IFERROR(BDP($C42,'Field Check'!$C$19)/100,"")))</f>
        <v/>
      </c>
      <c r="AA42" s="61">
        <f>IF($C42="","",IF(N($Y42)+N($Z42)=0,"",N($Y42)+N($Z42)))</f>
        <v/>
      </c>
      <c r="AB42" s="60">
        <f>IF($C42="","",IF(Summary!$C$16="N","",IFERROR(BDP($C42,'Field Check'!$C$20)/100,"")))</f>
        <v/>
      </c>
      <c r="AC42" s="45">
        <f>IF($C42="","",IF(N($Y42)=0,"",IFERROR($AB42/$Y42,"")))</f>
        <v/>
      </c>
      <c r="AD42" s="55">
        <f>IF($C42="","",IF(Summary!$C$16="N","",IFERROR(BDP($C42,'Field Check'!$C$21),"")))</f>
        <v/>
      </c>
      <c r="AE42" s="55">
        <f>IF($C42="","",IF(Summary!$C$16="N","",IFERROR(BDP($C42,'Field Check'!$C$22),"")))</f>
        <v/>
      </c>
      <c r="AF42" s="55">
        <f>IF($C42="","",IF(Summary!$C$16="N","",IFERROR(BDP($C42,'Field Check'!$C$23),"")))</f>
        <v/>
      </c>
      <c r="AG42" s="40">
        <f>IF($C42="","",TRIM(IF(ISNUMBER($W42)*(N($W42)&gt;$D$7)&gt;0,"payout high  ","")&amp;IF(ISNUMBER($AC42)*(N($AC42)&lt;$F$7)&gt;0,"FCF below dvd  ","")&amp;IF(ISNUMBER($AE42)*(N($AE42)&gt;$H$7)&gt;0,"leverage high","")))</f>
        <v/>
      </c>
      <c r="AH42" s="40">
        <f>IF($C42="","",IF(HSI!$F$37="HKD","",IF(HSI!$F$37="","","DPS in "&amp;HSI!$F$37)))</f>
        <v/>
      </c>
    </row>
    <row r="43">
      <c r="B43" s="52" t="inlineStr">
        <is>
          <t>HSI</t>
        </is>
      </c>
      <c r="C43" s="6">
        <f>IF(HSI!$C$38="","",HSI!$C$38)</f>
        <v/>
      </c>
      <c r="D43" s="6">
        <f>IF($C43="","",HSI!$D$38)</f>
        <v/>
      </c>
      <c r="E43" s="6">
        <f>IF($C43="","",HSI!$E$38)</f>
        <v/>
      </c>
      <c r="F43" s="53">
        <f>IF($C43="","",SUMIFS('Dvd Calendar'!$E$476:$AR$476,'Dvd Calendar'!$E$475:$AR$475,"&gt;="&amp;DATE(Summary!$C$12-5,1,1),'Dvd Calendar'!$E$475:$AR$475,"&lt;="&amp;DATE(Summary!$C$12-5,12,31)))</f>
        <v/>
      </c>
      <c r="G43" s="53">
        <f>IF($C43="","",SUMIFS('Dvd Calendar'!$E$476:$AR$476,'Dvd Calendar'!$E$475:$AR$475,"&gt;="&amp;DATE(Summary!$C$12-4,1,1),'Dvd Calendar'!$E$475:$AR$475,"&lt;="&amp;DATE(Summary!$C$12-4,12,31)))</f>
        <v/>
      </c>
      <c r="H43" s="53">
        <f>IF($C43="","",SUMIFS('Dvd Calendar'!$E$476:$AR$476,'Dvd Calendar'!$E$475:$AR$475,"&gt;="&amp;DATE(Summary!$C$12-3,1,1),'Dvd Calendar'!$E$475:$AR$475,"&lt;="&amp;DATE(Summary!$C$12-3,12,31)))</f>
        <v/>
      </c>
      <c r="I43" s="53">
        <f>IF($C43="","",SUMIFS('Dvd Calendar'!$E$476:$AR$476,'Dvd Calendar'!$E$475:$AR$475,"&gt;="&amp;DATE(Summary!$C$12-2,1,1),'Dvd Calendar'!$E$475:$AR$475,"&lt;="&amp;DATE(Summary!$C$12-2,12,31)))</f>
        <v/>
      </c>
      <c r="J43" s="53">
        <f>IF($C43="","",SUMIFS('Dvd Calendar'!$E$476:$AR$476,'Dvd Calendar'!$E$475:$AR$475,"&gt;="&amp;DATE(Summary!$C$12-1,1,1),'Dvd Calendar'!$E$475:$AR$475,"&lt;="&amp;DATE(Summary!$C$12-1,12,31)))</f>
        <v/>
      </c>
      <c r="K43" s="54">
        <f>IF($C43="","",SUMIFS('Dvd Calendar'!$E$476:$AR$476,'Dvd Calendar'!$E$475:$AR$475,"&gt;="&amp;DATE(Summary!$C$12,1,1),'Dvd Calendar'!$E$475:$AR$475,"&lt;="&amp;MIN(Summary!$C$11,DATE(Summary!$C$12,12,31))))</f>
        <v/>
      </c>
      <c r="L43" s="38">
        <f>IF($C43="","",AVERAGE(F43:J43))</f>
        <v/>
      </c>
      <c r="M43" s="55">
        <f>IF($C43="","",IF(Summary!$C$16="N","",IFERROR(BDP($C43,'Field Check'!$C$16,'Field Check'!$C$17,TEXT(Summary!$C$12-5,"0")),"")))</f>
        <v/>
      </c>
      <c r="N43" s="55">
        <f>IF($C43="","",IF(Summary!$C$16="N","",IFERROR(BDP($C43,'Field Check'!$C$16,'Field Check'!$C$17,TEXT(Summary!$C$12-4,"0")),"")))</f>
        <v/>
      </c>
      <c r="O43" s="55">
        <f>IF($C43="","",IF(Summary!$C$16="N","",IFERROR(BDP($C43,'Field Check'!$C$16,'Field Check'!$C$17,TEXT(Summary!$C$12-3,"0")),"")))</f>
        <v/>
      </c>
      <c r="P43" s="55">
        <f>IF($C43="","",IF(Summary!$C$16="N","",IFERROR(BDP($C43,'Field Check'!$C$16,'Field Check'!$C$17,TEXT(Summary!$C$12-2,"0")),"")))</f>
        <v/>
      </c>
      <c r="Q43" s="55">
        <f>IF($C43="","",IF(Summary!$C$16="N","",IFERROR(BDP($C43,'Field Check'!$C$16,'Field Check'!$C$17,TEXT(Summary!$C$12-1,"0")),"")))</f>
        <v/>
      </c>
      <c r="R43" s="56">
        <f>IF($C43="","",IF(Summary!$C$16="N","",IFERROR(BDP($C43,'Field Check'!$C$18,'Field Check'!$C$17,TEXT(Summary!$C$12-5,"0"))/100,"")))</f>
        <v/>
      </c>
      <c r="S43" s="56">
        <f>IF($C43="","",IF(Summary!$C$16="N","",IFERROR(BDP($C43,'Field Check'!$C$18,'Field Check'!$C$17,TEXT(Summary!$C$12-4,"0"))/100,"")))</f>
        <v/>
      </c>
      <c r="T43" s="56">
        <f>IF($C43="","",IF(Summary!$C$16="N","",IFERROR(BDP($C43,'Field Check'!$C$18,'Field Check'!$C$17,TEXT(Summary!$C$12-3,"0"))/100,"")))</f>
        <v/>
      </c>
      <c r="U43" s="56">
        <f>IF($C43="","",IF(Summary!$C$16="N","",IFERROR(BDP($C43,'Field Check'!$C$18,'Field Check'!$C$17,TEXT(Summary!$C$12-2,"0"))/100,"")))</f>
        <v/>
      </c>
      <c r="V43" s="56">
        <f>IF($C43="","",IF(Summary!$C$16="N","",IFERROR(BDP($C43,'Field Check'!$C$18,'Field Check'!$C$17,TEXT(Summary!$C$12-1,"0"))/100,"")))</f>
        <v/>
      </c>
      <c r="W43" s="57">
        <f>IF($C43="","",IFERROR(AVERAGE(R43:V43),""))</f>
        <v/>
      </c>
      <c r="X43" s="58">
        <f>IF($C43="","",IF(ISNUMBER($Q43)*(N($Q43)&gt;0)=0,"",IFERROR($J43/$Q43,"")))</f>
        <v/>
      </c>
      <c r="Y43" s="59">
        <f>IF($C43="","",IF(ISNUMBER(HSI!$I$38),HSI!$I$38/100,""))</f>
        <v/>
      </c>
      <c r="Z43" s="60">
        <f>IF($C43="","",IF(Summary!$C$16="N","",IFERROR(BDP($C43,'Field Check'!$C$19)/100,"")))</f>
        <v/>
      </c>
      <c r="AA43" s="61">
        <f>IF($C43="","",IF(N($Y43)+N($Z43)=0,"",N($Y43)+N($Z43)))</f>
        <v/>
      </c>
      <c r="AB43" s="60">
        <f>IF($C43="","",IF(Summary!$C$16="N","",IFERROR(BDP($C43,'Field Check'!$C$20)/100,"")))</f>
        <v/>
      </c>
      <c r="AC43" s="45">
        <f>IF($C43="","",IF(N($Y43)=0,"",IFERROR($AB43/$Y43,"")))</f>
        <v/>
      </c>
      <c r="AD43" s="55">
        <f>IF($C43="","",IF(Summary!$C$16="N","",IFERROR(BDP($C43,'Field Check'!$C$21),"")))</f>
        <v/>
      </c>
      <c r="AE43" s="55">
        <f>IF($C43="","",IF(Summary!$C$16="N","",IFERROR(BDP($C43,'Field Check'!$C$22),"")))</f>
        <v/>
      </c>
      <c r="AF43" s="55">
        <f>IF($C43="","",IF(Summary!$C$16="N","",IFERROR(BDP($C43,'Field Check'!$C$23),"")))</f>
        <v/>
      </c>
      <c r="AG43" s="40">
        <f>IF($C43="","",TRIM(IF(ISNUMBER($W43)*(N($W43)&gt;$D$7)&gt;0,"payout high  ","")&amp;IF(ISNUMBER($AC43)*(N($AC43)&lt;$F$7)&gt;0,"FCF below dvd  ","")&amp;IF(ISNUMBER($AE43)*(N($AE43)&gt;$H$7)&gt;0,"leverage high","")))</f>
        <v/>
      </c>
      <c r="AH43" s="40">
        <f>IF($C43="","",IF(HSI!$F$38="HKD","",IF(HSI!$F$38="","","DPS in "&amp;HSI!$F$38)))</f>
        <v/>
      </c>
    </row>
    <row r="44">
      <c r="B44" s="52" t="inlineStr">
        <is>
          <t>HSI</t>
        </is>
      </c>
      <c r="C44" s="6">
        <f>IF(HSI!$C$39="","",HSI!$C$39)</f>
        <v/>
      </c>
      <c r="D44" s="6">
        <f>IF($C44="","",HSI!$D$39)</f>
        <v/>
      </c>
      <c r="E44" s="6">
        <f>IF($C44="","",HSI!$E$39)</f>
        <v/>
      </c>
      <c r="F44" s="53">
        <f>IF($C44="","",SUMIFS('Dvd Calendar'!$E$491:$AR$491,'Dvd Calendar'!$E$490:$AR$490,"&gt;="&amp;DATE(Summary!$C$12-5,1,1),'Dvd Calendar'!$E$490:$AR$490,"&lt;="&amp;DATE(Summary!$C$12-5,12,31)))</f>
        <v/>
      </c>
      <c r="G44" s="53">
        <f>IF($C44="","",SUMIFS('Dvd Calendar'!$E$491:$AR$491,'Dvd Calendar'!$E$490:$AR$490,"&gt;="&amp;DATE(Summary!$C$12-4,1,1),'Dvd Calendar'!$E$490:$AR$490,"&lt;="&amp;DATE(Summary!$C$12-4,12,31)))</f>
        <v/>
      </c>
      <c r="H44" s="53">
        <f>IF($C44="","",SUMIFS('Dvd Calendar'!$E$491:$AR$491,'Dvd Calendar'!$E$490:$AR$490,"&gt;="&amp;DATE(Summary!$C$12-3,1,1),'Dvd Calendar'!$E$490:$AR$490,"&lt;="&amp;DATE(Summary!$C$12-3,12,31)))</f>
        <v/>
      </c>
      <c r="I44" s="53">
        <f>IF($C44="","",SUMIFS('Dvd Calendar'!$E$491:$AR$491,'Dvd Calendar'!$E$490:$AR$490,"&gt;="&amp;DATE(Summary!$C$12-2,1,1),'Dvd Calendar'!$E$490:$AR$490,"&lt;="&amp;DATE(Summary!$C$12-2,12,31)))</f>
        <v/>
      </c>
      <c r="J44" s="53">
        <f>IF($C44="","",SUMIFS('Dvd Calendar'!$E$491:$AR$491,'Dvd Calendar'!$E$490:$AR$490,"&gt;="&amp;DATE(Summary!$C$12-1,1,1),'Dvd Calendar'!$E$490:$AR$490,"&lt;="&amp;DATE(Summary!$C$12-1,12,31)))</f>
        <v/>
      </c>
      <c r="K44" s="54">
        <f>IF($C44="","",SUMIFS('Dvd Calendar'!$E$491:$AR$491,'Dvd Calendar'!$E$490:$AR$490,"&gt;="&amp;DATE(Summary!$C$12,1,1),'Dvd Calendar'!$E$490:$AR$490,"&lt;="&amp;MIN(Summary!$C$11,DATE(Summary!$C$12,12,31))))</f>
        <v/>
      </c>
      <c r="L44" s="38">
        <f>IF($C44="","",AVERAGE(F44:J44))</f>
        <v/>
      </c>
      <c r="M44" s="55">
        <f>IF($C44="","",IF(Summary!$C$16="N","",IFERROR(BDP($C44,'Field Check'!$C$16,'Field Check'!$C$17,TEXT(Summary!$C$12-5,"0")),"")))</f>
        <v/>
      </c>
      <c r="N44" s="55">
        <f>IF($C44="","",IF(Summary!$C$16="N","",IFERROR(BDP($C44,'Field Check'!$C$16,'Field Check'!$C$17,TEXT(Summary!$C$12-4,"0")),"")))</f>
        <v/>
      </c>
      <c r="O44" s="55">
        <f>IF($C44="","",IF(Summary!$C$16="N","",IFERROR(BDP($C44,'Field Check'!$C$16,'Field Check'!$C$17,TEXT(Summary!$C$12-3,"0")),"")))</f>
        <v/>
      </c>
      <c r="P44" s="55">
        <f>IF($C44="","",IF(Summary!$C$16="N","",IFERROR(BDP($C44,'Field Check'!$C$16,'Field Check'!$C$17,TEXT(Summary!$C$12-2,"0")),"")))</f>
        <v/>
      </c>
      <c r="Q44" s="55">
        <f>IF($C44="","",IF(Summary!$C$16="N","",IFERROR(BDP($C44,'Field Check'!$C$16,'Field Check'!$C$17,TEXT(Summary!$C$12-1,"0")),"")))</f>
        <v/>
      </c>
      <c r="R44" s="56">
        <f>IF($C44="","",IF(Summary!$C$16="N","",IFERROR(BDP($C44,'Field Check'!$C$18,'Field Check'!$C$17,TEXT(Summary!$C$12-5,"0"))/100,"")))</f>
        <v/>
      </c>
      <c r="S44" s="56">
        <f>IF($C44="","",IF(Summary!$C$16="N","",IFERROR(BDP($C44,'Field Check'!$C$18,'Field Check'!$C$17,TEXT(Summary!$C$12-4,"0"))/100,"")))</f>
        <v/>
      </c>
      <c r="T44" s="56">
        <f>IF($C44="","",IF(Summary!$C$16="N","",IFERROR(BDP($C44,'Field Check'!$C$18,'Field Check'!$C$17,TEXT(Summary!$C$12-3,"0"))/100,"")))</f>
        <v/>
      </c>
      <c r="U44" s="56">
        <f>IF($C44="","",IF(Summary!$C$16="N","",IFERROR(BDP($C44,'Field Check'!$C$18,'Field Check'!$C$17,TEXT(Summary!$C$12-2,"0"))/100,"")))</f>
        <v/>
      </c>
      <c r="V44" s="56">
        <f>IF($C44="","",IF(Summary!$C$16="N","",IFERROR(BDP($C44,'Field Check'!$C$18,'Field Check'!$C$17,TEXT(Summary!$C$12-1,"0"))/100,"")))</f>
        <v/>
      </c>
      <c r="W44" s="57">
        <f>IF($C44="","",IFERROR(AVERAGE(R44:V44),""))</f>
        <v/>
      </c>
      <c r="X44" s="58">
        <f>IF($C44="","",IF(ISNUMBER($Q44)*(N($Q44)&gt;0)=0,"",IFERROR($J44/$Q44,"")))</f>
        <v/>
      </c>
      <c r="Y44" s="59">
        <f>IF($C44="","",IF(ISNUMBER(HSI!$I$39),HSI!$I$39/100,""))</f>
        <v/>
      </c>
      <c r="Z44" s="60">
        <f>IF($C44="","",IF(Summary!$C$16="N","",IFERROR(BDP($C44,'Field Check'!$C$19)/100,"")))</f>
        <v/>
      </c>
      <c r="AA44" s="61">
        <f>IF($C44="","",IF(N($Y44)+N($Z44)=0,"",N($Y44)+N($Z44)))</f>
        <v/>
      </c>
      <c r="AB44" s="60">
        <f>IF($C44="","",IF(Summary!$C$16="N","",IFERROR(BDP($C44,'Field Check'!$C$20)/100,"")))</f>
        <v/>
      </c>
      <c r="AC44" s="45">
        <f>IF($C44="","",IF(N($Y44)=0,"",IFERROR($AB44/$Y44,"")))</f>
        <v/>
      </c>
      <c r="AD44" s="55">
        <f>IF($C44="","",IF(Summary!$C$16="N","",IFERROR(BDP($C44,'Field Check'!$C$21),"")))</f>
        <v/>
      </c>
      <c r="AE44" s="55">
        <f>IF($C44="","",IF(Summary!$C$16="N","",IFERROR(BDP($C44,'Field Check'!$C$22),"")))</f>
        <v/>
      </c>
      <c r="AF44" s="55">
        <f>IF($C44="","",IF(Summary!$C$16="N","",IFERROR(BDP($C44,'Field Check'!$C$23),"")))</f>
        <v/>
      </c>
      <c r="AG44" s="40">
        <f>IF($C44="","",TRIM(IF(ISNUMBER($W44)*(N($W44)&gt;$D$7)&gt;0,"payout high  ","")&amp;IF(ISNUMBER($AC44)*(N($AC44)&lt;$F$7)&gt;0,"FCF below dvd  ","")&amp;IF(ISNUMBER($AE44)*(N($AE44)&gt;$H$7)&gt;0,"leverage high","")))</f>
        <v/>
      </c>
      <c r="AH44" s="40">
        <f>IF($C44="","",IF(HSI!$F$39="HKD","",IF(HSI!$F$39="","","DPS in "&amp;HSI!$F$39)))</f>
        <v/>
      </c>
    </row>
    <row r="45">
      <c r="B45" s="52" t="inlineStr">
        <is>
          <t>HSI</t>
        </is>
      </c>
      <c r="C45" s="6">
        <f>IF(HSI!$C$40="","",HSI!$C$40)</f>
        <v/>
      </c>
      <c r="D45" s="6">
        <f>IF($C45="","",HSI!$D$40)</f>
        <v/>
      </c>
      <c r="E45" s="6">
        <f>IF($C45="","",HSI!$E$40)</f>
        <v/>
      </c>
      <c r="F45" s="53">
        <f>IF($C45="","",SUMIFS('Dvd Calendar'!$E$506:$AR$506,'Dvd Calendar'!$E$505:$AR$505,"&gt;="&amp;DATE(Summary!$C$12-5,1,1),'Dvd Calendar'!$E$505:$AR$505,"&lt;="&amp;DATE(Summary!$C$12-5,12,31)))</f>
        <v/>
      </c>
      <c r="G45" s="53">
        <f>IF($C45="","",SUMIFS('Dvd Calendar'!$E$506:$AR$506,'Dvd Calendar'!$E$505:$AR$505,"&gt;="&amp;DATE(Summary!$C$12-4,1,1),'Dvd Calendar'!$E$505:$AR$505,"&lt;="&amp;DATE(Summary!$C$12-4,12,31)))</f>
        <v/>
      </c>
      <c r="H45" s="53">
        <f>IF($C45="","",SUMIFS('Dvd Calendar'!$E$506:$AR$506,'Dvd Calendar'!$E$505:$AR$505,"&gt;="&amp;DATE(Summary!$C$12-3,1,1),'Dvd Calendar'!$E$505:$AR$505,"&lt;="&amp;DATE(Summary!$C$12-3,12,31)))</f>
        <v/>
      </c>
      <c r="I45" s="53">
        <f>IF($C45="","",SUMIFS('Dvd Calendar'!$E$506:$AR$506,'Dvd Calendar'!$E$505:$AR$505,"&gt;="&amp;DATE(Summary!$C$12-2,1,1),'Dvd Calendar'!$E$505:$AR$505,"&lt;="&amp;DATE(Summary!$C$12-2,12,31)))</f>
        <v/>
      </c>
      <c r="J45" s="53">
        <f>IF($C45="","",SUMIFS('Dvd Calendar'!$E$506:$AR$506,'Dvd Calendar'!$E$505:$AR$505,"&gt;="&amp;DATE(Summary!$C$12-1,1,1),'Dvd Calendar'!$E$505:$AR$505,"&lt;="&amp;DATE(Summary!$C$12-1,12,31)))</f>
        <v/>
      </c>
      <c r="K45" s="54">
        <f>IF($C45="","",SUMIFS('Dvd Calendar'!$E$506:$AR$506,'Dvd Calendar'!$E$505:$AR$505,"&gt;="&amp;DATE(Summary!$C$12,1,1),'Dvd Calendar'!$E$505:$AR$505,"&lt;="&amp;MIN(Summary!$C$11,DATE(Summary!$C$12,12,31))))</f>
        <v/>
      </c>
      <c r="L45" s="38">
        <f>IF($C45="","",AVERAGE(F45:J45))</f>
        <v/>
      </c>
      <c r="M45" s="55">
        <f>IF($C45="","",IF(Summary!$C$16="N","",IFERROR(BDP($C45,'Field Check'!$C$16,'Field Check'!$C$17,TEXT(Summary!$C$12-5,"0")),"")))</f>
        <v/>
      </c>
      <c r="N45" s="55">
        <f>IF($C45="","",IF(Summary!$C$16="N","",IFERROR(BDP($C45,'Field Check'!$C$16,'Field Check'!$C$17,TEXT(Summary!$C$12-4,"0")),"")))</f>
        <v/>
      </c>
      <c r="O45" s="55">
        <f>IF($C45="","",IF(Summary!$C$16="N","",IFERROR(BDP($C45,'Field Check'!$C$16,'Field Check'!$C$17,TEXT(Summary!$C$12-3,"0")),"")))</f>
        <v/>
      </c>
      <c r="P45" s="55">
        <f>IF($C45="","",IF(Summary!$C$16="N","",IFERROR(BDP($C45,'Field Check'!$C$16,'Field Check'!$C$17,TEXT(Summary!$C$12-2,"0")),"")))</f>
        <v/>
      </c>
      <c r="Q45" s="55">
        <f>IF($C45="","",IF(Summary!$C$16="N","",IFERROR(BDP($C45,'Field Check'!$C$16,'Field Check'!$C$17,TEXT(Summary!$C$12-1,"0")),"")))</f>
        <v/>
      </c>
      <c r="R45" s="56">
        <f>IF($C45="","",IF(Summary!$C$16="N","",IFERROR(BDP($C45,'Field Check'!$C$18,'Field Check'!$C$17,TEXT(Summary!$C$12-5,"0"))/100,"")))</f>
        <v/>
      </c>
      <c r="S45" s="56">
        <f>IF($C45="","",IF(Summary!$C$16="N","",IFERROR(BDP($C45,'Field Check'!$C$18,'Field Check'!$C$17,TEXT(Summary!$C$12-4,"0"))/100,"")))</f>
        <v/>
      </c>
      <c r="T45" s="56">
        <f>IF($C45="","",IF(Summary!$C$16="N","",IFERROR(BDP($C45,'Field Check'!$C$18,'Field Check'!$C$17,TEXT(Summary!$C$12-3,"0"))/100,"")))</f>
        <v/>
      </c>
      <c r="U45" s="56">
        <f>IF($C45="","",IF(Summary!$C$16="N","",IFERROR(BDP($C45,'Field Check'!$C$18,'Field Check'!$C$17,TEXT(Summary!$C$12-2,"0"))/100,"")))</f>
        <v/>
      </c>
      <c r="V45" s="56">
        <f>IF($C45="","",IF(Summary!$C$16="N","",IFERROR(BDP($C45,'Field Check'!$C$18,'Field Check'!$C$17,TEXT(Summary!$C$12-1,"0"))/100,"")))</f>
        <v/>
      </c>
      <c r="W45" s="57">
        <f>IF($C45="","",IFERROR(AVERAGE(R45:V45),""))</f>
        <v/>
      </c>
      <c r="X45" s="58">
        <f>IF($C45="","",IF(ISNUMBER($Q45)*(N($Q45)&gt;0)=0,"",IFERROR($J45/$Q45,"")))</f>
        <v/>
      </c>
      <c r="Y45" s="59">
        <f>IF($C45="","",IF(ISNUMBER(HSI!$I$40),HSI!$I$40/100,""))</f>
        <v/>
      </c>
      <c r="Z45" s="60">
        <f>IF($C45="","",IF(Summary!$C$16="N","",IFERROR(BDP($C45,'Field Check'!$C$19)/100,"")))</f>
        <v/>
      </c>
      <c r="AA45" s="61">
        <f>IF($C45="","",IF(N($Y45)+N($Z45)=0,"",N($Y45)+N($Z45)))</f>
        <v/>
      </c>
      <c r="AB45" s="60">
        <f>IF($C45="","",IF(Summary!$C$16="N","",IFERROR(BDP($C45,'Field Check'!$C$20)/100,"")))</f>
        <v/>
      </c>
      <c r="AC45" s="45">
        <f>IF($C45="","",IF(N($Y45)=0,"",IFERROR($AB45/$Y45,"")))</f>
        <v/>
      </c>
      <c r="AD45" s="55">
        <f>IF($C45="","",IF(Summary!$C$16="N","",IFERROR(BDP($C45,'Field Check'!$C$21),"")))</f>
        <v/>
      </c>
      <c r="AE45" s="55">
        <f>IF($C45="","",IF(Summary!$C$16="N","",IFERROR(BDP($C45,'Field Check'!$C$22),"")))</f>
        <v/>
      </c>
      <c r="AF45" s="55">
        <f>IF($C45="","",IF(Summary!$C$16="N","",IFERROR(BDP($C45,'Field Check'!$C$23),"")))</f>
        <v/>
      </c>
      <c r="AG45" s="40">
        <f>IF($C45="","",TRIM(IF(ISNUMBER($W45)*(N($W45)&gt;$D$7)&gt;0,"payout high  ","")&amp;IF(ISNUMBER($AC45)*(N($AC45)&lt;$F$7)&gt;0,"FCF below dvd  ","")&amp;IF(ISNUMBER($AE45)*(N($AE45)&gt;$H$7)&gt;0,"leverage high","")))</f>
        <v/>
      </c>
      <c r="AH45" s="40">
        <f>IF($C45="","",IF(HSI!$F$40="HKD","",IF(HSI!$F$40="","","DPS in "&amp;HSI!$F$40)))</f>
        <v/>
      </c>
    </row>
    <row r="46">
      <c r="B46" s="52" t="inlineStr">
        <is>
          <t>HSI</t>
        </is>
      </c>
      <c r="C46" s="6">
        <f>IF(HSI!$C$41="","",HSI!$C$41)</f>
        <v/>
      </c>
      <c r="D46" s="6">
        <f>IF($C46="","",HSI!$D$41)</f>
        <v/>
      </c>
      <c r="E46" s="6">
        <f>IF($C46="","",HSI!$E$41)</f>
        <v/>
      </c>
      <c r="F46" s="53">
        <f>IF($C46="","",SUMIFS('Dvd Calendar'!$E$521:$AR$521,'Dvd Calendar'!$E$520:$AR$520,"&gt;="&amp;DATE(Summary!$C$12-5,1,1),'Dvd Calendar'!$E$520:$AR$520,"&lt;="&amp;DATE(Summary!$C$12-5,12,31)))</f>
        <v/>
      </c>
      <c r="G46" s="53">
        <f>IF($C46="","",SUMIFS('Dvd Calendar'!$E$521:$AR$521,'Dvd Calendar'!$E$520:$AR$520,"&gt;="&amp;DATE(Summary!$C$12-4,1,1),'Dvd Calendar'!$E$520:$AR$520,"&lt;="&amp;DATE(Summary!$C$12-4,12,31)))</f>
        <v/>
      </c>
      <c r="H46" s="53">
        <f>IF($C46="","",SUMIFS('Dvd Calendar'!$E$521:$AR$521,'Dvd Calendar'!$E$520:$AR$520,"&gt;="&amp;DATE(Summary!$C$12-3,1,1),'Dvd Calendar'!$E$520:$AR$520,"&lt;="&amp;DATE(Summary!$C$12-3,12,31)))</f>
        <v/>
      </c>
      <c r="I46" s="53">
        <f>IF($C46="","",SUMIFS('Dvd Calendar'!$E$521:$AR$521,'Dvd Calendar'!$E$520:$AR$520,"&gt;="&amp;DATE(Summary!$C$12-2,1,1),'Dvd Calendar'!$E$520:$AR$520,"&lt;="&amp;DATE(Summary!$C$12-2,12,31)))</f>
        <v/>
      </c>
      <c r="J46" s="53">
        <f>IF($C46="","",SUMIFS('Dvd Calendar'!$E$521:$AR$521,'Dvd Calendar'!$E$520:$AR$520,"&gt;="&amp;DATE(Summary!$C$12-1,1,1),'Dvd Calendar'!$E$520:$AR$520,"&lt;="&amp;DATE(Summary!$C$12-1,12,31)))</f>
        <v/>
      </c>
      <c r="K46" s="54">
        <f>IF($C46="","",SUMIFS('Dvd Calendar'!$E$521:$AR$521,'Dvd Calendar'!$E$520:$AR$520,"&gt;="&amp;DATE(Summary!$C$12,1,1),'Dvd Calendar'!$E$520:$AR$520,"&lt;="&amp;MIN(Summary!$C$11,DATE(Summary!$C$12,12,31))))</f>
        <v/>
      </c>
      <c r="L46" s="38">
        <f>IF($C46="","",AVERAGE(F46:J46))</f>
        <v/>
      </c>
      <c r="M46" s="55">
        <f>IF($C46="","",IF(Summary!$C$16="N","",IFERROR(BDP($C46,'Field Check'!$C$16,'Field Check'!$C$17,TEXT(Summary!$C$12-5,"0")),"")))</f>
        <v/>
      </c>
      <c r="N46" s="55">
        <f>IF($C46="","",IF(Summary!$C$16="N","",IFERROR(BDP($C46,'Field Check'!$C$16,'Field Check'!$C$17,TEXT(Summary!$C$12-4,"0")),"")))</f>
        <v/>
      </c>
      <c r="O46" s="55">
        <f>IF($C46="","",IF(Summary!$C$16="N","",IFERROR(BDP($C46,'Field Check'!$C$16,'Field Check'!$C$17,TEXT(Summary!$C$12-3,"0")),"")))</f>
        <v/>
      </c>
      <c r="P46" s="55">
        <f>IF($C46="","",IF(Summary!$C$16="N","",IFERROR(BDP($C46,'Field Check'!$C$16,'Field Check'!$C$17,TEXT(Summary!$C$12-2,"0")),"")))</f>
        <v/>
      </c>
      <c r="Q46" s="55">
        <f>IF($C46="","",IF(Summary!$C$16="N","",IFERROR(BDP($C46,'Field Check'!$C$16,'Field Check'!$C$17,TEXT(Summary!$C$12-1,"0")),"")))</f>
        <v/>
      </c>
      <c r="R46" s="56">
        <f>IF($C46="","",IF(Summary!$C$16="N","",IFERROR(BDP($C46,'Field Check'!$C$18,'Field Check'!$C$17,TEXT(Summary!$C$12-5,"0"))/100,"")))</f>
        <v/>
      </c>
      <c r="S46" s="56">
        <f>IF($C46="","",IF(Summary!$C$16="N","",IFERROR(BDP($C46,'Field Check'!$C$18,'Field Check'!$C$17,TEXT(Summary!$C$12-4,"0"))/100,"")))</f>
        <v/>
      </c>
      <c r="T46" s="56">
        <f>IF($C46="","",IF(Summary!$C$16="N","",IFERROR(BDP($C46,'Field Check'!$C$18,'Field Check'!$C$17,TEXT(Summary!$C$12-3,"0"))/100,"")))</f>
        <v/>
      </c>
      <c r="U46" s="56">
        <f>IF($C46="","",IF(Summary!$C$16="N","",IFERROR(BDP($C46,'Field Check'!$C$18,'Field Check'!$C$17,TEXT(Summary!$C$12-2,"0"))/100,"")))</f>
        <v/>
      </c>
      <c r="V46" s="56">
        <f>IF($C46="","",IF(Summary!$C$16="N","",IFERROR(BDP($C46,'Field Check'!$C$18,'Field Check'!$C$17,TEXT(Summary!$C$12-1,"0"))/100,"")))</f>
        <v/>
      </c>
      <c r="W46" s="57">
        <f>IF($C46="","",IFERROR(AVERAGE(R46:V46),""))</f>
        <v/>
      </c>
      <c r="X46" s="58">
        <f>IF($C46="","",IF(ISNUMBER($Q46)*(N($Q46)&gt;0)=0,"",IFERROR($J46/$Q46,"")))</f>
        <v/>
      </c>
      <c r="Y46" s="59">
        <f>IF($C46="","",IF(ISNUMBER(HSI!$I$41),HSI!$I$41/100,""))</f>
        <v/>
      </c>
      <c r="Z46" s="60">
        <f>IF($C46="","",IF(Summary!$C$16="N","",IFERROR(BDP($C46,'Field Check'!$C$19)/100,"")))</f>
        <v/>
      </c>
      <c r="AA46" s="61">
        <f>IF($C46="","",IF(N($Y46)+N($Z46)=0,"",N($Y46)+N($Z46)))</f>
        <v/>
      </c>
      <c r="AB46" s="60">
        <f>IF($C46="","",IF(Summary!$C$16="N","",IFERROR(BDP($C46,'Field Check'!$C$20)/100,"")))</f>
        <v/>
      </c>
      <c r="AC46" s="45">
        <f>IF($C46="","",IF(N($Y46)=0,"",IFERROR($AB46/$Y46,"")))</f>
        <v/>
      </c>
      <c r="AD46" s="55">
        <f>IF($C46="","",IF(Summary!$C$16="N","",IFERROR(BDP($C46,'Field Check'!$C$21),"")))</f>
        <v/>
      </c>
      <c r="AE46" s="55">
        <f>IF($C46="","",IF(Summary!$C$16="N","",IFERROR(BDP($C46,'Field Check'!$C$22),"")))</f>
        <v/>
      </c>
      <c r="AF46" s="55">
        <f>IF($C46="","",IF(Summary!$C$16="N","",IFERROR(BDP($C46,'Field Check'!$C$23),"")))</f>
        <v/>
      </c>
      <c r="AG46" s="40">
        <f>IF($C46="","",TRIM(IF(ISNUMBER($W46)*(N($W46)&gt;$D$7)&gt;0,"payout high  ","")&amp;IF(ISNUMBER($AC46)*(N($AC46)&lt;$F$7)&gt;0,"FCF below dvd  ","")&amp;IF(ISNUMBER($AE46)*(N($AE46)&gt;$H$7)&gt;0,"leverage high","")))</f>
        <v/>
      </c>
      <c r="AH46" s="40">
        <f>IF($C46="","",IF(HSI!$F$41="HKD","",IF(HSI!$F$41="","","DPS in "&amp;HSI!$F$41)))</f>
        <v/>
      </c>
    </row>
    <row r="47">
      <c r="B47" s="52" t="inlineStr">
        <is>
          <t>HSI</t>
        </is>
      </c>
      <c r="C47" s="6">
        <f>IF(HSI!$C$42="","",HSI!$C$42)</f>
        <v/>
      </c>
      <c r="D47" s="6">
        <f>IF($C47="","",HSI!$D$42)</f>
        <v/>
      </c>
      <c r="E47" s="6">
        <f>IF($C47="","",HSI!$E$42)</f>
        <v/>
      </c>
      <c r="F47" s="53">
        <f>IF($C47="","",SUMIFS('Dvd Calendar'!$E$536:$AR$536,'Dvd Calendar'!$E$535:$AR$535,"&gt;="&amp;DATE(Summary!$C$12-5,1,1),'Dvd Calendar'!$E$535:$AR$535,"&lt;="&amp;DATE(Summary!$C$12-5,12,31)))</f>
        <v/>
      </c>
      <c r="G47" s="53">
        <f>IF($C47="","",SUMIFS('Dvd Calendar'!$E$536:$AR$536,'Dvd Calendar'!$E$535:$AR$535,"&gt;="&amp;DATE(Summary!$C$12-4,1,1),'Dvd Calendar'!$E$535:$AR$535,"&lt;="&amp;DATE(Summary!$C$12-4,12,31)))</f>
        <v/>
      </c>
      <c r="H47" s="53">
        <f>IF($C47="","",SUMIFS('Dvd Calendar'!$E$536:$AR$536,'Dvd Calendar'!$E$535:$AR$535,"&gt;="&amp;DATE(Summary!$C$12-3,1,1),'Dvd Calendar'!$E$535:$AR$535,"&lt;="&amp;DATE(Summary!$C$12-3,12,31)))</f>
        <v/>
      </c>
      <c r="I47" s="53">
        <f>IF($C47="","",SUMIFS('Dvd Calendar'!$E$536:$AR$536,'Dvd Calendar'!$E$535:$AR$535,"&gt;="&amp;DATE(Summary!$C$12-2,1,1),'Dvd Calendar'!$E$535:$AR$535,"&lt;="&amp;DATE(Summary!$C$12-2,12,31)))</f>
        <v/>
      </c>
      <c r="J47" s="53">
        <f>IF($C47="","",SUMIFS('Dvd Calendar'!$E$536:$AR$536,'Dvd Calendar'!$E$535:$AR$535,"&gt;="&amp;DATE(Summary!$C$12-1,1,1),'Dvd Calendar'!$E$535:$AR$535,"&lt;="&amp;DATE(Summary!$C$12-1,12,31)))</f>
        <v/>
      </c>
      <c r="K47" s="54">
        <f>IF($C47="","",SUMIFS('Dvd Calendar'!$E$536:$AR$536,'Dvd Calendar'!$E$535:$AR$535,"&gt;="&amp;DATE(Summary!$C$12,1,1),'Dvd Calendar'!$E$535:$AR$535,"&lt;="&amp;MIN(Summary!$C$11,DATE(Summary!$C$12,12,31))))</f>
        <v/>
      </c>
      <c r="L47" s="38">
        <f>IF($C47="","",AVERAGE(F47:J47))</f>
        <v/>
      </c>
      <c r="M47" s="55">
        <f>IF($C47="","",IF(Summary!$C$16="N","",IFERROR(BDP($C47,'Field Check'!$C$16,'Field Check'!$C$17,TEXT(Summary!$C$12-5,"0")),"")))</f>
        <v/>
      </c>
      <c r="N47" s="55">
        <f>IF($C47="","",IF(Summary!$C$16="N","",IFERROR(BDP($C47,'Field Check'!$C$16,'Field Check'!$C$17,TEXT(Summary!$C$12-4,"0")),"")))</f>
        <v/>
      </c>
      <c r="O47" s="55">
        <f>IF($C47="","",IF(Summary!$C$16="N","",IFERROR(BDP($C47,'Field Check'!$C$16,'Field Check'!$C$17,TEXT(Summary!$C$12-3,"0")),"")))</f>
        <v/>
      </c>
      <c r="P47" s="55">
        <f>IF($C47="","",IF(Summary!$C$16="N","",IFERROR(BDP($C47,'Field Check'!$C$16,'Field Check'!$C$17,TEXT(Summary!$C$12-2,"0")),"")))</f>
        <v/>
      </c>
      <c r="Q47" s="55">
        <f>IF($C47="","",IF(Summary!$C$16="N","",IFERROR(BDP($C47,'Field Check'!$C$16,'Field Check'!$C$17,TEXT(Summary!$C$12-1,"0")),"")))</f>
        <v/>
      </c>
      <c r="R47" s="56">
        <f>IF($C47="","",IF(Summary!$C$16="N","",IFERROR(BDP($C47,'Field Check'!$C$18,'Field Check'!$C$17,TEXT(Summary!$C$12-5,"0"))/100,"")))</f>
        <v/>
      </c>
      <c r="S47" s="56">
        <f>IF($C47="","",IF(Summary!$C$16="N","",IFERROR(BDP($C47,'Field Check'!$C$18,'Field Check'!$C$17,TEXT(Summary!$C$12-4,"0"))/100,"")))</f>
        <v/>
      </c>
      <c r="T47" s="56">
        <f>IF($C47="","",IF(Summary!$C$16="N","",IFERROR(BDP($C47,'Field Check'!$C$18,'Field Check'!$C$17,TEXT(Summary!$C$12-3,"0"))/100,"")))</f>
        <v/>
      </c>
      <c r="U47" s="56">
        <f>IF($C47="","",IF(Summary!$C$16="N","",IFERROR(BDP($C47,'Field Check'!$C$18,'Field Check'!$C$17,TEXT(Summary!$C$12-2,"0"))/100,"")))</f>
        <v/>
      </c>
      <c r="V47" s="56">
        <f>IF($C47="","",IF(Summary!$C$16="N","",IFERROR(BDP($C47,'Field Check'!$C$18,'Field Check'!$C$17,TEXT(Summary!$C$12-1,"0"))/100,"")))</f>
        <v/>
      </c>
      <c r="W47" s="57">
        <f>IF($C47="","",IFERROR(AVERAGE(R47:V47),""))</f>
        <v/>
      </c>
      <c r="X47" s="58">
        <f>IF($C47="","",IF(ISNUMBER($Q47)*(N($Q47)&gt;0)=0,"",IFERROR($J47/$Q47,"")))</f>
        <v/>
      </c>
      <c r="Y47" s="59">
        <f>IF($C47="","",IF(ISNUMBER(HSI!$I$42),HSI!$I$42/100,""))</f>
        <v/>
      </c>
      <c r="Z47" s="60">
        <f>IF($C47="","",IF(Summary!$C$16="N","",IFERROR(BDP($C47,'Field Check'!$C$19)/100,"")))</f>
        <v/>
      </c>
      <c r="AA47" s="61">
        <f>IF($C47="","",IF(N($Y47)+N($Z47)=0,"",N($Y47)+N($Z47)))</f>
        <v/>
      </c>
      <c r="AB47" s="60">
        <f>IF($C47="","",IF(Summary!$C$16="N","",IFERROR(BDP($C47,'Field Check'!$C$20)/100,"")))</f>
        <v/>
      </c>
      <c r="AC47" s="45">
        <f>IF($C47="","",IF(N($Y47)=0,"",IFERROR($AB47/$Y47,"")))</f>
        <v/>
      </c>
      <c r="AD47" s="55">
        <f>IF($C47="","",IF(Summary!$C$16="N","",IFERROR(BDP($C47,'Field Check'!$C$21),"")))</f>
        <v/>
      </c>
      <c r="AE47" s="55">
        <f>IF($C47="","",IF(Summary!$C$16="N","",IFERROR(BDP($C47,'Field Check'!$C$22),"")))</f>
        <v/>
      </c>
      <c r="AF47" s="55">
        <f>IF($C47="","",IF(Summary!$C$16="N","",IFERROR(BDP($C47,'Field Check'!$C$23),"")))</f>
        <v/>
      </c>
      <c r="AG47" s="40">
        <f>IF($C47="","",TRIM(IF(ISNUMBER($W47)*(N($W47)&gt;$D$7)&gt;0,"payout high  ","")&amp;IF(ISNUMBER($AC47)*(N($AC47)&lt;$F$7)&gt;0,"FCF below dvd  ","")&amp;IF(ISNUMBER($AE47)*(N($AE47)&gt;$H$7)&gt;0,"leverage high","")))</f>
        <v/>
      </c>
      <c r="AH47" s="40">
        <f>IF($C47="","",IF(HSI!$F$42="HKD","",IF(HSI!$F$42="","","DPS in "&amp;HSI!$F$42)))</f>
        <v/>
      </c>
    </row>
    <row r="48">
      <c r="B48" s="52" t="inlineStr">
        <is>
          <t>HSI</t>
        </is>
      </c>
      <c r="C48" s="6">
        <f>IF(HSI!$C$43="","",HSI!$C$43)</f>
        <v/>
      </c>
      <c r="D48" s="6">
        <f>IF($C48="","",HSI!$D$43)</f>
        <v/>
      </c>
      <c r="E48" s="6">
        <f>IF($C48="","",HSI!$E$43)</f>
        <v/>
      </c>
      <c r="F48" s="53">
        <f>IF($C48="","",SUMIFS('Dvd Calendar'!$E$551:$AR$551,'Dvd Calendar'!$E$550:$AR$550,"&gt;="&amp;DATE(Summary!$C$12-5,1,1),'Dvd Calendar'!$E$550:$AR$550,"&lt;="&amp;DATE(Summary!$C$12-5,12,31)))</f>
        <v/>
      </c>
      <c r="G48" s="53">
        <f>IF($C48="","",SUMIFS('Dvd Calendar'!$E$551:$AR$551,'Dvd Calendar'!$E$550:$AR$550,"&gt;="&amp;DATE(Summary!$C$12-4,1,1),'Dvd Calendar'!$E$550:$AR$550,"&lt;="&amp;DATE(Summary!$C$12-4,12,31)))</f>
        <v/>
      </c>
      <c r="H48" s="53">
        <f>IF($C48="","",SUMIFS('Dvd Calendar'!$E$551:$AR$551,'Dvd Calendar'!$E$550:$AR$550,"&gt;="&amp;DATE(Summary!$C$12-3,1,1),'Dvd Calendar'!$E$550:$AR$550,"&lt;="&amp;DATE(Summary!$C$12-3,12,31)))</f>
        <v/>
      </c>
      <c r="I48" s="53">
        <f>IF($C48="","",SUMIFS('Dvd Calendar'!$E$551:$AR$551,'Dvd Calendar'!$E$550:$AR$550,"&gt;="&amp;DATE(Summary!$C$12-2,1,1),'Dvd Calendar'!$E$550:$AR$550,"&lt;="&amp;DATE(Summary!$C$12-2,12,31)))</f>
        <v/>
      </c>
      <c r="J48" s="53">
        <f>IF($C48="","",SUMIFS('Dvd Calendar'!$E$551:$AR$551,'Dvd Calendar'!$E$550:$AR$550,"&gt;="&amp;DATE(Summary!$C$12-1,1,1),'Dvd Calendar'!$E$550:$AR$550,"&lt;="&amp;DATE(Summary!$C$12-1,12,31)))</f>
        <v/>
      </c>
      <c r="K48" s="54">
        <f>IF($C48="","",SUMIFS('Dvd Calendar'!$E$551:$AR$551,'Dvd Calendar'!$E$550:$AR$550,"&gt;="&amp;DATE(Summary!$C$12,1,1),'Dvd Calendar'!$E$550:$AR$550,"&lt;="&amp;MIN(Summary!$C$11,DATE(Summary!$C$12,12,31))))</f>
        <v/>
      </c>
      <c r="L48" s="38">
        <f>IF($C48="","",AVERAGE(F48:J48))</f>
        <v/>
      </c>
      <c r="M48" s="55">
        <f>IF($C48="","",IF(Summary!$C$16="N","",IFERROR(BDP($C48,'Field Check'!$C$16,'Field Check'!$C$17,TEXT(Summary!$C$12-5,"0")),"")))</f>
        <v/>
      </c>
      <c r="N48" s="55">
        <f>IF($C48="","",IF(Summary!$C$16="N","",IFERROR(BDP($C48,'Field Check'!$C$16,'Field Check'!$C$17,TEXT(Summary!$C$12-4,"0")),"")))</f>
        <v/>
      </c>
      <c r="O48" s="55">
        <f>IF($C48="","",IF(Summary!$C$16="N","",IFERROR(BDP($C48,'Field Check'!$C$16,'Field Check'!$C$17,TEXT(Summary!$C$12-3,"0")),"")))</f>
        <v/>
      </c>
      <c r="P48" s="55">
        <f>IF($C48="","",IF(Summary!$C$16="N","",IFERROR(BDP($C48,'Field Check'!$C$16,'Field Check'!$C$17,TEXT(Summary!$C$12-2,"0")),"")))</f>
        <v/>
      </c>
      <c r="Q48" s="55">
        <f>IF($C48="","",IF(Summary!$C$16="N","",IFERROR(BDP($C48,'Field Check'!$C$16,'Field Check'!$C$17,TEXT(Summary!$C$12-1,"0")),"")))</f>
        <v/>
      </c>
      <c r="R48" s="56">
        <f>IF($C48="","",IF(Summary!$C$16="N","",IFERROR(BDP($C48,'Field Check'!$C$18,'Field Check'!$C$17,TEXT(Summary!$C$12-5,"0"))/100,"")))</f>
        <v/>
      </c>
      <c r="S48" s="56">
        <f>IF($C48="","",IF(Summary!$C$16="N","",IFERROR(BDP($C48,'Field Check'!$C$18,'Field Check'!$C$17,TEXT(Summary!$C$12-4,"0"))/100,"")))</f>
        <v/>
      </c>
      <c r="T48" s="56">
        <f>IF($C48="","",IF(Summary!$C$16="N","",IFERROR(BDP($C48,'Field Check'!$C$18,'Field Check'!$C$17,TEXT(Summary!$C$12-3,"0"))/100,"")))</f>
        <v/>
      </c>
      <c r="U48" s="56">
        <f>IF($C48="","",IF(Summary!$C$16="N","",IFERROR(BDP($C48,'Field Check'!$C$18,'Field Check'!$C$17,TEXT(Summary!$C$12-2,"0"))/100,"")))</f>
        <v/>
      </c>
      <c r="V48" s="56">
        <f>IF($C48="","",IF(Summary!$C$16="N","",IFERROR(BDP($C48,'Field Check'!$C$18,'Field Check'!$C$17,TEXT(Summary!$C$12-1,"0"))/100,"")))</f>
        <v/>
      </c>
      <c r="W48" s="57">
        <f>IF($C48="","",IFERROR(AVERAGE(R48:V48),""))</f>
        <v/>
      </c>
      <c r="X48" s="58">
        <f>IF($C48="","",IF(ISNUMBER($Q48)*(N($Q48)&gt;0)=0,"",IFERROR($J48/$Q48,"")))</f>
        <v/>
      </c>
      <c r="Y48" s="59">
        <f>IF($C48="","",IF(ISNUMBER(HSI!$I$43),HSI!$I$43/100,""))</f>
        <v/>
      </c>
      <c r="Z48" s="60">
        <f>IF($C48="","",IF(Summary!$C$16="N","",IFERROR(BDP($C48,'Field Check'!$C$19)/100,"")))</f>
        <v/>
      </c>
      <c r="AA48" s="61">
        <f>IF($C48="","",IF(N($Y48)+N($Z48)=0,"",N($Y48)+N($Z48)))</f>
        <v/>
      </c>
      <c r="AB48" s="60">
        <f>IF($C48="","",IF(Summary!$C$16="N","",IFERROR(BDP($C48,'Field Check'!$C$20)/100,"")))</f>
        <v/>
      </c>
      <c r="AC48" s="45">
        <f>IF($C48="","",IF(N($Y48)=0,"",IFERROR($AB48/$Y48,"")))</f>
        <v/>
      </c>
      <c r="AD48" s="55">
        <f>IF($C48="","",IF(Summary!$C$16="N","",IFERROR(BDP($C48,'Field Check'!$C$21),"")))</f>
        <v/>
      </c>
      <c r="AE48" s="55">
        <f>IF($C48="","",IF(Summary!$C$16="N","",IFERROR(BDP($C48,'Field Check'!$C$22),"")))</f>
        <v/>
      </c>
      <c r="AF48" s="55">
        <f>IF($C48="","",IF(Summary!$C$16="N","",IFERROR(BDP($C48,'Field Check'!$C$23),"")))</f>
        <v/>
      </c>
      <c r="AG48" s="40">
        <f>IF($C48="","",TRIM(IF(ISNUMBER($W48)*(N($W48)&gt;$D$7)&gt;0,"payout high  ","")&amp;IF(ISNUMBER($AC48)*(N($AC48)&lt;$F$7)&gt;0,"FCF below dvd  ","")&amp;IF(ISNUMBER($AE48)*(N($AE48)&gt;$H$7)&gt;0,"leverage high","")))</f>
        <v/>
      </c>
      <c r="AH48" s="40">
        <f>IF($C48="","",IF(HSI!$F$43="HKD","",IF(HSI!$F$43="","","DPS in "&amp;HSI!$F$43)))</f>
        <v/>
      </c>
    </row>
    <row r="49">
      <c r="B49" s="52" t="inlineStr">
        <is>
          <t>HSI</t>
        </is>
      </c>
      <c r="C49" s="6">
        <f>IF(HSI!$C$44="","",HSI!$C$44)</f>
        <v/>
      </c>
      <c r="D49" s="6">
        <f>IF($C49="","",HSI!$D$44)</f>
        <v/>
      </c>
      <c r="E49" s="6">
        <f>IF($C49="","",HSI!$E$44)</f>
        <v/>
      </c>
      <c r="F49" s="53">
        <f>IF($C49="","",SUMIFS('Dvd Calendar'!$E$566:$AR$566,'Dvd Calendar'!$E$565:$AR$565,"&gt;="&amp;DATE(Summary!$C$12-5,1,1),'Dvd Calendar'!$E$565:$AR$565,"&lt;="&amp;DATE(Summary!$C$12-5,12,31)))</f>
        <v/>
      </c>
      <c r="G49" s="53">
        <f>IF($C49="","",SUMIFS('Dvd Calendar'!$E$566:$AR$566,'Dvd Calendar'!$E$565:$AR$565,"&gt;="&amp;DATE(Summary!$C$12-4,1,1),'Dvd Calendar'!$E$565:$AR$565,"&lt;="&amp;DATE(Summary!$C$12-4,12,31)))</f>
        <v/>
      </c>
      <c r="H49" s="53">
        <f>IF($C49="","",SUMIFS('Dvd Calendar'!$E$566:$AR$566,'Dvd Calendar'!$E$565:$AR$565,"&gt;="&amp;DATE(Summary!$C$12-3,1,1),'Dvd Calendar'!$E$565:$AR$565,"&lt;="&amp;DATE(Summary!$C$12-3,12,31)))</f>
        <v/>
      </c>
      <c r="I49" s="53">
        <f>IF($C49="","",SUMIFS('Dvd Calendar'!$E$566:$AR$566,'Dvd Calendar'!$E$565:$AR$565,"&gt;="&amp;DATE(Summary!$C$12-2,1,1),'Dvd Calendar'!$E$565:$AR$565,"&lt;="&amp;DATE(Summary!$C$12-2,12,31)))</f>
        <v/>
      </c>
      <c r="J49" s="53">
        <f>IF($C49="","",SUMIFS('Dvd Calendar'!$E$566:$AR$566,'Dvd Calendar'!$E$565:$AR$565,"&gt;="&amp;DATE(Summary!$C$12-1,1,1),'Dvd Calendar'!$E$565:$AR$565,"&lt;="&amp;DATE(Summary!$C$12-1,12,31)))</f>
        <v/>
      </c>
      <c r="K49" s="54">
        <f>IF($C49="","",SUMIFS('Dvd Calendar'!$E$566:$AR$566,'Dvd Calendar'!$E$565:$AR$565,"&gt;="&amp;DATE(Summary!$C$12,1,1),'Dvd Calendar'!$E$565:$AR$565,"&lt;="&amp;MIN(Summary!$C$11,DATE(Summary!$C$12,12,31))))</f>
        <v/>
      </c>
      <c r="L49" s="38">
        <f>IF($C49="","",AVERAGE(F49:J49))</f>
        <v/>
      </c>
      <c r="M49" s="55">
        <f>IF($C49="","",IF(Summary!$C$16="N","",IFERROR(BDP($C49,'Field Check'!$C$16,'Field Check'!$C$17,TEXT(Summary!$C$12-5,"0")),"")))</f>
        <v/>
      </c>
      <c r="N49" s="55">
        <f>IF($C49="","",IF(Summary!$C$16="N","",IFERROR(BDP($C49,'Field Check'!$C$16,'Field Check'!$C$17,TEXT(Summary!$C$12-4,"0")),"")))</f>
        <v/>
      </c>
      <c r="O49" s="55">
        <f>IF($C49="","",IF(Summary!$C$16="N","",IFERROR(BDP($C49,'Field Check'!$C$16,'Field Check'!$C$17,TEXT(Summary!$C$12-3,"0")),"")))</f>
        <v/>
      </c>
      <c r="P49" s="55">
        <f>IF($C49="","",IF(Summary!$C$16="N","",IFERROR(BDP($C49,'Field Check'!$C$16,'Field Check'!$C$17,TEXT(Summary!$C$12-2,"0")),"")))</f>
        <v/>
      </c>
      <c r="Q49" s="55">
        <f>IF($C49="","",IF(Summary!$C$16="N","",IFERROR(BDP($C49,'Field Check'!$C$16,'Field Check'!$C$17,TEXT(Summary!$C$12-1,"0")),"")))</f>
        <v/>
      </c>
      <c r="R49" s="56">
        <f>IF($C49="","",IF(Summary!$C$16="N","",IFERROR(BDP($C49,'Field Check'!$C$18,'Field Check'!$C$17,TEXT(Summary!$C$12-5,"0"))/100,"")))</f>
        <v/>
      </c>
      <c r="S49" s="56">
        <f>IF($C49="","",IF(Summary!$C$16="N","",IFERROR(BDP($C49,'Field Check'!$C$18,'Field Check'!$C$17,TEXT(Summary!$C$12-4,"0"))/100,"")))</f>
        <v/>
      </c>
      <c r="T49" s="56">
        <f>IF($C49="","",IF(Summary!$C$16="N","",IFERROR(BDP($C49,'Field Check'!$C$18,'Field Check'!$C$17,TEXT(Summary!$C$12-3,"0"))/100,"")))</f>
        <v/>
      </c>
      <c r="U49" s="56">
        <f>IF($C49="","",IF(Summary!$C$16="N","",IFERROR(BDP($C49,'Field Check'!$C$18,'Field Check'!$C$17,TEXT(Summary!$C$12-2,"0"))/100,"")))</f>
        <v/>
      </c>
      <c r="V49" s="56">
        <f>IF($C49="","",IF(Summary!$C$16="N","",IFERROR(BDP($C49,'Field Check'!$C$18,'Field Check'!$C$17,TEXT(Summary!$C$12-1,"0"))/100,"")))</f>
        <v/>
      </c>
      <c r="W49" s="57">
        <f>IF($C49="","",IFERROR(AVERAGE(R49:V49),""))</f>
        <v/>
      </c>
      <c r="X49" s="58">
        <f>IF($C49="","",IF(ISNUMBER($Q49)*(N($Q49)&gt;0)=0,"",IFERROR($J49/$Q49,"")))</f>
        <v/>
      </c>
      <c r="Y49" s="59">
        <f>IF($C49="","",IF(ISNUMBER(HSI!$I$44),HSI!$I$44/100,""))</f>
        <v/>
      </c>
      <c r="Z49" s="60">
        <f>IF($C49="","",IF(Summary!$C$16="N","",IFERROR(BDP($C49,'Field Check'!$C$19)/100,"")))</f>
        <v/>
      </c>
      <c r="AA49" s="61">
        <f>IF($C49="","",IF(N($Y49)+N($Z49)=0,"",N($Y49)+N($Z49)))</f>
        <v/>
      </c>
      <c r="AB49" s="60">
        <f>IF($C49="","",IF(Summary!$C$16="N","",IFERROR(BDP($C49,'Field Check'!$C$20)/100,"")))</f>
        <v/>
      </c>
      <c r="AC49" s="45">
        <f>IF($C49="","",IF(N($Y49)=0,"",IFERROR($AB49/$Y49,"")))</f>
        <v/>
      </c>
      <c r="AD49" s="55">
        <f>IF($C49="","",IF(Summary!$C$16="N","",IFERROR(BDP($C49,'Field Check'!$C$21),"")))</f>
        <v/>
      </c>
      <c r="AE49" s="55">
        <f>IF($C49="","",IF(Summary!$C$16="N","",IFERROR(BDP($C49,'Field Check'!$C$22),"")))</f>
        <v/>
      </c>
      <c r="AF49" s="55">
        <f>IF($C49="","",IF(Summary!$C$16="N","",IFERROR(BDP($C49,'Field Check'!$C$23),"")))</f>
        <v/>
      </c>
      <c r="AG49" s="40">
        <f>IF($C49="","",TRIM(IF(ISNUMBER($W49)*(N($W49)&gt;$D$7)&gt;0,"payout high  ","")&amp;IF(ISNUMBER($AC49)*(N($AC49)&lt;$F$7)&gt;0,"FCF below dvd  ","")&amp;IF(ISNUMBER($AE49)*(N($AE49)&gt;$H$7)&gt;0,"leverage high","")))</f>
        <v/>
      </c>
      <c r="AH49" s="40">
        <f>IF($C49="","",IF(HSI!$F$44="HKD","",IF(HSI!$F$44="","","DPS in "&amp;HSI!$F$44)))</f>
        <v/>
      </c>
    </row>
    <row r="50">
      <c r="B50" s="52" t="inlineStr">
        <is>
          <t>HSI</t>
        </is>
      </c>
      <c r="C50" s="6">
        <f>IF(HSI!$C$45="","",HSI!$C$45)</f>
        <v/>
      </c>
      <c r="D50" s="6">
        <f>IF($C50="","",HSI!$D$45)</f>
        <v/>
      </c>
      <c r="E50" s="6">
        <f>IF($C50="","",HSI!$E$45)</f>
        <v/>
      </c>
      <c r="F50" s="53">
        <f>IF($C50="","",SUMIFS('Dvd Calendar'!$E$581:$AR$581,'Dvd Calendar'!$E$580:$AR$580,"&gt;="&amp;DATE(Summary!$C$12-5,1,1),'Dvd Calendar'!$E$580:$AR$580,"&lt;="&amp;DATE(Summary!$C$12-5,12,31)))</f>
        <v/>
      </c>
      <c r="G50" s="53">
        <f>IF($C50="","",SUMIFS('Dvd Calendar'!$E$581:$AR$581,'Dvd Calendar'!$E$580:$AR$580,"&gt;="&amp;DATE(Summary!$C$12-4,1,1),'Dvd Calendar'!$E$580:$AR$580,"&lt;="&amp;DATE(Summary!$C$12-4,12,31)))</f>
        <v/>
      </c>
      <c r="H50" s="53">
        <f>IF($C50="","",SUMIFS('Dvd Calendar'!$E$581:$AR$581,'Dvd Calendar'!$E$580:$AR$580,"&gt;="&amp;DATE(Summary!$C$12-3,1,1),'Dvd Calendar'!$E$580:$AR$580,"&lt;="&amp;DATE(Summary!$C$12-3,12,31)))</f>
        <v/>
      </c>
      <c r="I50" s="53">
        <f>IF($C50="","",SUMIFS('Dvd Calendar'!$E$581:$AR$581,'Dvd Calendar'!$E$580:$AR$580,"&gt;="&amp;DATE(Summary!$C$12-2,1,1),'Dvd Calendar'!$E$580:$AR$580,"&lt;="&amp;DATE(Summary!$C$12-2,12,31)))</f>
        <v/>
      </c>
      <c r="J50" s="53">
        <f>IF($C50="","",SUMIFS('Dvd Calendar'!$E$581:$AR$581,'Dvd Calendar'!$E$580:$AR$580,"&gt;="&amp;DATE(Summary!$C$12-1,1,1),'Dvd Calendar'!$E$580:$AR$580,"&lt;="&amp;DATE(Summary!$C$12-1,12,31)))</f>
        <v/>
      </c>
      <c r="K50" s="54">
        <f>IF($C50="","",SUMIFS('Dvd Calendar'!$E$581:$AR$581,'Dvd Calendar'!$E$580:$AR$580,"&gt;="&amp;DATE(Summary!$C$12,1,1),'Dvd Calendar'!$E$580:$AR$580,"&lt;="&amp;MIN(Summary!$C$11,DATE(Summary!$C$12,12,31))))</f>
        <v/>
      </c>
      <c r="L50" s="38">
        <f>IF($C50="","",AVERAGE(F50:J50))</f>
        <v/>
      </c>
      <c r="M50" s="55">
        <f>IF($C50="","",IF(Summary!$C$16="N","",IFERROR(BDP($C50,'Field Check'!$C$16,'Field Check'!$C$17,TEXT(Summary!$C$12-5,"0")),"")))</f>
        <v/>
      </c>
      <c r="N50" s="55">
        <f>IF($C50="","",IF(Summary!$C$16="N","",IFERROR(BDP($C50,'Field Check'!$C$16,'Field Check'!$C$17,TEXT(Summary!$C$12-4,"0")),"")))</f>
        <v/>
      </c>
      <c r="O50" s="55">
        <f>IF($C50="","",IF(Summary!$C$16="N","",IFERROR(BDP($C50,'Field Check'!$C$16,'Field Check'!$C$17,TEXT(Summary!$C$12-3,"0")),"")))</f>
        <v/>
      </c>
      <c r="P50" s="55">
        <f>IF($C50="","",IF(Summary!$C$16="N","",IFERROR(BDP($C50,'Field Check'!$C$16,'Field Check'!$C$17,TEXT(Summary!$C$12-2,"0")),"")))</f>
        <v/>
      </c>
      <c r="Q50" s="55">
        <f>IF($C50="","",IF(Summary!$C$16="N","",IFERROR(BDP($C50,'Field Check'!$C$16,'Field Check'!$C$17,TEXT(Summary!$C$12-1,"0")),"")))</f>
        <v/>
      </c>
      <c r="R50" s="56">
        <f>IF($C50="","",IF(Summary!$C$16="N","",IFERROR(BDP($C50,'Field Check'!$C$18,'Field Check'!$C$17,TEXT(Summary!$C$12-5,"0"))/100,"")))</f>
        <v/>
      </c>
      <c r="S50" s="56">
        <f>IF($C50="","",IF(Summary!$C$16="N","",IFERROR(BDP($C50,'Field Check'!$C$18,'Field Check'!$C$17,TEXT(Summary!$C$12-4,"0"))/100,"")))</f>
        <v/>
      </c>
      <c r="T50" s="56">
        <f>IF($C50="","",IF(Summary!$C$16="N","",IFERROR(BDP($C50,'Field Check'!$C$18,'Field Check'!$C$17,TEXT(Summary!$C$12-3,"0"))/100,"")))</f>
        <v/>
      </c>
      <c r="U50" s="56">
        <f>IF($C50="","",IF(Summary!$C$16="N","",IFERROR(BDP($C50,'Field Check'!$C$18,'Field Check'!$C$17,TEXT(Summary!$C$12-2,"0"))/100,"")))</f>
        <v/>
      </c>
      <c r="V50" s="56">
        <f>IF($C50="","",IF(Summary!$C$16="N","",IFERROR(BDP($C50,'Field Check'!$C$18,'Field Check'!$C$17,TEXT(Summary!$C$12-1,"0"))/100,"")))</f>
        <v/>
      </c>
      <c r="W50" s="57">
        <f>IF($C50="","",IFERROR(AVERAGE(R50:V50),""))</f>
        <v/>
      </c>
      <c r="X50" s="58">
        <f>IF($C50="","",IF(ISNUMBER($Q50)*(N($Q50)&gt;0)=0,"",IFERROR($J50/$Q50,"")))</f>
        <v/>
      </c>
      <c r="Y50" s="59">
        <f>IF($C50="","",IF(ISNUMBER(HSI!$I$45),HSI!$I$45/100,""))</f>
        <v/>
      </c>
      <c r="Z50" s="60">
        <f>IF($C50="","",IF(Summary!$C$16="N","",IFERROR(BDP($C50,'Field Check'!$C$19)/100,"")))</f>
        <v/>
      </c>
      <c r="AA50" s="61">
        <f>IF($C50="","",IF(N($Y50)+N($Z50)=0,"",N($Y50)+N($Z50)))</f>
        <v/>
      </c>
      <c r="AB50" s="60">
        <f>IF($C50="","",IF(Summary!$C$16="N","",IFERROR(BDP($C50,'Field Check'!$C$20)/100,"")))</f>
        <v/>
      </c>
      <c r="AC50" s="45">
        <f>IF($C50="","",IF(N($Y50)=0,"",IFERROR($AB50/$Y50,"")))</f>
        <v/>
      </c>
      <c r="AD50" s="55">
        <f>IF($C50="","",IF(Summary!$C$16="N","",IFERROR(BDP($C50,'Field Check'!$C$21),"")))</f>
        <v/>
      </c>
      <c r="AE50" s="55">
        <f>IF($C50="","",IF(Summary!$C$16="N","",IFERROR(BDP($C50,'Field Check'!$C$22),"")))</f>
        <v/>
      </c>
      <c r="AF50" s="55">
        <f>IF($C50="","",IF(Summary!$C$16="N","",IFERROR(BDP($C50,'Field Check'!$C$23),"")))</f>
        <v/>
      </c>
      <c r="AG50" s="40">
        <f>IF($C50="","",TRIM(IF(ISNUMBER($W50)*(N($W50)&gt;$D$7)&gt;0,"payout high  ","")&amp;IF(ISNUMBER($AC50)*(N($AC50)&lt;$F$7)&gt;0,"FCF below dvd  ","")&amp;IF(ISNUMBER($AE50)*(N($AE50)&gt;$H$7)&gt;0,"leverage high","")))</f>
        <v/>
      </c>
      <c r="AH50" s="40">
        <f>IF($C50="","",IF(HSI!$F$45="HKD","",IF(HSI!$F$45="","","DPS in "&amp;HSI!$F$45)))</f>
        <v/>
      </c>
    </row>
    <row r="51">
      <c r="B51" s="52" t="inlineStr">
        <is>
          <t>HSI</t>
        </is>
      </c>
      <c r="C51" s="6">
        <f>IF(HSI!$C$46="","",HSI!$C$46)</f>
        <v/>
      </c>
      <c r="D51" s="6">
        <f>IF($C51="","",HSI!$D$46)</f>
        <v/>
      </c>
      <c r="E51" s="6">
        <f>IF($C51="","",HSI!$E$46)</f>
        <v/>
      </c>
      <c r="F51" s="53">
        <f>IF($C51="","",SUMIFS('Dvd Calendar'!$E$596:$AR$596,'Dvd Calendar'!$E$595:$AR$595,"&gt;="&amp;DATE(Summary!$C$12-5,1,1),'Dvd Calendar'!$E$595:$AR$595,"&lt;="&amp;DATE(Summary!$C$12-5,12,31)))</f>
        <v/>
      </c>
      <c r="G51" s="53">
        <f>IF($C51="","",SUMIFS('Dvd Calendar'!$E$596:$AR$596,'Dvd Calendar'!$E$595:$AR$595,"&gt;="&amp;DATE(Summary!$C$12-4,1,1),'Dvd Calendar'!$E$595:$AR$595,"&lt;="&amp;DATE(Summary!$C$12-4,12,31)))</f>
        <v/>
      </c>
      <c r="H51" s="53">
        <f>IF($C51="","",SUMIFS('Dvd Calendar'!$E$596:$AR$596,'Dvd Calendar'!$E$595:$AR$595,"&gt;="&amp;DATE(Summary!$C$12-3,1,1),'Dvd Calendar'!$E$595:$AR$595,"&lt;="&amp;DATE(Summary!$C$12-3,12,31)))</f>
        <v/>
      </c>
      <c r="I51" s="53">
        <f>IF($C51="","",SUMIFS('Dvd Calendar'!$E$596:$AR$596,'Dvd Calendar'!$E$595:$AR$595,"&gt;="&amp;DATE(Summary!$C$12-2,1,1),'Dvd Calendar'!$E$595:$AR$595,"&lt;="&amp;DATE(Summary!$C$12-2,12,31)))</f>
        <v/>
      </c>
      <c r="J51" s="53">
        <f>IF($C51="","",SUMIFS('Dvd Calendar'!$E$596:$AR$596,'Dvd Calendar'!$E$595:$AR$595,"&gt;="&amp;DATE(Summary!$C$12-1,1,1),'Dvd Calendar'!$E$595:$AR$595,"&lt;="&amp;DATE(Summary!$C$12-1,12,31)))</f>
        <v/>
      </c>
      <c r="K51" s="54">
        <f>IF($C51="","",SUMIFS('Dvd Calendar'!$E$596:$AR$596,'Dvd Calendar'!$E$595:$AR$595,"&gt;="&amp;DATE(Summary!$C$12,1,1),'Dvd Calendar'!$E$595:$AR$595,"&lt;="&amp;MIN(Summary!$C$11,DATE(Summary!$C$12,12,31))))</f>
        <v/>
      </c>
      <c r="L51" s="38">
        <f>IF($C51="","",AVERAGE(F51:J51))</f>
        <v/>
      </c>
      <c r="M51" s="55">
        <f>IF($C51="","",IF(Summary!$C$16="N","",IFERROR(BDP($C51,'Field Check'!$C$16,'Field Check'!$C$17,TEXT(Summary!$C$12-5,"0")),"")))</f>
        <v/>
      </c>
      <c r="N51" s="55">
        <f>IF($C51="","",IF(Summary!$C$16="N","",IFERROR(BDP($C51,'Field Check'!$C$16,'Field Check'!$C$17,TEXT(Summary!$C$12-4,"0")),"")))</f>
        <v/>
      </c>
      <c r="O51" s="55">
        <f>IF($C51="","",IF(Summary!$C$16="N","",IFERROR(BDP($C51,'Field Check'!$C$16,'Field Check'!$C$17,TEXT(Summary!$C$12-3,"0")),"")))</f>
        <v/>
      </c>
      <c r="P51" s="55">
        <f>IF($C51="","",IF(Summary!$C$16="N","",IFERROR(BDP($C51,'Field Check'!$C$16,'Field Check'!$C$17,TEXT(Summary!$C$12-2,"0")),"")))</f>
        <v/>
      </c>
      <c r="Q51" s="55">
        <f>IF($C51="","",IF(Summary!$C$16="N","",IFERROR(BDP($C51,'Field Check'!$C$16,'Field Check'!$C$17,TEXT(Summary!$C$12-1,"0")),"")))</f>
        <v/>
      </c>
      <c r="R51" s="56">
        <f>IF($C51="","",IF(Summary!$C$16="N","",IFERROR(BDP($C51,'Field Check'!$C$18,'Field Check'!$C$17,TEXT(Summary!$C$12-5,"0"))/100,"")))</f>
        <v/>
      </c>
      <c r="S51" s="56">
        <f>IF($C51="","",IF(Summary!$C$16="N","",IFERROR(BDP($C51,'Field Check'!$C$18,'Field Check'!$C$17,TEXT(Summary!$C$12-4,"0"))/100,"")))</f>
        <v/>
      </c>
      <c r="T51" s="56">
        <f>IF($C51="","",IF(Summary!$C$16="N","",IFERROR(BDP($C51,'Field Check'!$C$18,'Field Check'!$C$17,TEXT(Summary!$C$12-3,"0"))/100,"")))</f>
        <v/>
      </c>
      <c r="U51" s="56">
        <f>IF($C51="","",IF(Summary!$C$16="N","",IFERROR(BDP($C51,'Field Check'!$C$18,'Field Check'!$C$17,TEXT(Summary!$C$12-2,"0"))/100,"")))</f>
        <v/>
      </c>
      <c r="V51" s="56">
        <f>IF($C51="","",IF(Summary!$C$16="N","",IFERROR(BDP($C51,'Field Check'!$C$18,'Field Check'!$C$17,TEXT(Summary!$C$12-1,"0"))/100,"")))</f>
        <v/>
      </c>
      <c r="W51" s="57">
        <f>IF($C51="","",IFERROR(AVERAGE(R51:V51),""))</f>
        <v/>
      </c>
      <c r="X51" s="58">
        <f>IF($C51="","",IF(ISNUMBER($Q51)*(N($Q51)&gt;0)=0,"",IFERROR($J51/$Q51,"")))</f>
        <v/>
      </c>
      <c r="Y51" s="59">
        <f>IF($C51="","",IF(ISNUMBER(HSI!$I$46),HSI!$I$46/100,""))</f>
        <v/>
      </c>
      <c r="Z51" s="60">
        <f>IF($C51="","",IF(Summary!$C$16="N","",IFERROR(BDP($C51,'Field Check'!$C$19)/100,"")))</f>
        <v/>
      </c>
      <c r="AA51" s="61">
        <f>IF($C51="","",IF(N($Y51)+N($Z51)=0,"",N($Y51)+N($Z51)))</f>
        <v/>
      </c>
      <c r="AB51" s="60">
        <f>IF($C51="","",IF(Summary!$C$16="N","",IFERROR(BDP($C51,'Field Check'!$C$20)/100,"")))</f>
        <v/>
      </c>
      <c r="AC51" s="45">
        <f>IF($C51="","",IF(N($Y51)=0,"",IFERROR($AB51/$Y51,"")))</f>
        <v/>
      </c>
      <c r="AD51" s="55">
        <f>IF($C51="","",IF(Summary!$C$16="N","",IFERROR(BDP($C51,'Field Check'!$C$21),"")))</f>
        <v/>
      </c>
      <c r="AE51" s="55">
        <f>IF($C51="","",IF(Summary!$C$16="N","",IFERROR(BDP($C51,'Field Check'!$C$22),"")))</f>
        <v/>
      </c>
      <c r="AF51" s="55">
        <f>IF($C51="","",IF(Summary!$C$16="N","",IFERROR(BDP($C51,'Field Check'!$C$23),"")))</f>
        <v/>
      </c>
      <c r="AG51" s="40">
        <f>IF($C51="","",TRIM(IF(ISNUMBER($W51)*(N($W51)&gt;$D$7)&gt;0,"payout high  ","")&amp;IF(ISNUMBER($AC51)*(N($AC51)&lt;$F$7)&gt;0,"FCF below dvd  ","")&amp;IF(ISNUMBER($AE51)*(N($AE51)&gt;$H$7)&gt;0,"leverage high","")))</f>
        <v/>
      </c>
      <c r="AH51" s="40">
        <f>IF($C51="","",IF(HSI!$F$46="HKD","",IF(HSI!$F$46="","","DPS in "&amp;HSI!$F$46)))</f>
        <v/>
      </c>
    </row>
    <row r="52">
      <c r="B52" s="52" t="inlineStr">
        <is>
          <t>HSI</t>
        </is>
      </c>
      <c r="C52" s="6">
        <f>IF(HSI!$C$47="","",HSI!$C$47)</f>
        <v/>
      </c>
      <c r="D52" s="6">
        <f>IF($C52="","",HSI!$D$47)</f>
        <v/>
      </c>
      <c r="E52" s="6">
        <f>IF($C52="","",HSI!$E$47)</f>
        <v/>
      </c>
      <c r="F52" s="53">
        <f>IF($C52="","",SUMIFS('Dvd Calendar'!$E$611:$AR$611,'Dvd Calendar'!$E$610:$AR$610,"&gt;="&amp;DATE(Summary!$C$12-5,1,1),'Dvd Calendar'!$E$610:$AR$610,"&lt;="&amp;DATE(Summary!$C$12-5,12,31)))</f>
        <v/>
      </c>
      <c r="G52" s="53">
        <f>IF($C52="","",SUMIFS('Dvd Calendar'!$E$611:$AR$611,'Dvd Calendar'!$E$610:$AR$610,"&gt;="&amp;DATE(Summary!$C$12-4,1,1),'Dvd Calendar'!$E$610:$AR$610,"&lt;="&amp;DATE(Summary!$C$12-4,12,31)))</f>
        <v/>
      </c>
      <c r="H52" s="53">
        <f>IF($C52="","",SUMIFS('Dvd Calendar'!$E$611:$AR$611,'Dvd Calendar'!$E$610:$AR$610,"&gt;="&amp;DATE(Summary!$C$12-3,1,1),'Dvd Calendar'!$E$610:$AR$610,"&lt;="&amp;DATE(Summary!$C$12-3,12,31)))</f>
        <v/>
      </c>
      <c r="I52" s="53">
        <f>IF($C52="","",SUMIFS('Dvd Calendar'!$E$611:$AR$611,'Dvd Calendar'!$E$610:$AR$610,"&gt;="&amp;DATE(Summary!$C$12-2,1,1),'Dvd Calendar'!$E$610:$AR$610,"&lt;="&amp;DATE(Summary!$C$12-2,12,31)))</f>
        <v/>
      </c>
      <c r="J52" s="53">
        <f>IF($C52="","",SUMIFS('Dvd Calendar'!$E$611:$AR$611,'Dvd Calendar'!$E$610:$AR$610,"&gt;="&amp;DATE(Summary!$C$12-1,1,1),'Dvd Calendar'!$E$610:$AR$610,"&lt;="&amp;DATE(Summary!$C$12-1,12,31)))</f>
        <v/>
      </c>
      <c r="K52" s="54">
        <f>IF($C52="","",SUMIFS('Dvd Calendar'!$E$611:$AR$611,'Dvd Calendar'!$E$610:$AR$610,"&gt;="&amp;DATE(Summary!$C$12,1,1),'Dvd Calendar'!$E$610:$AR$610,"&lt;="&amp;MIN(Summary!$C$11,DATE(Summary!$C$12,12,31))))</f>
        <v/>
      </c>
      <c r="L52" s="38">
        <f>IF($C52="","",AVERAGE(F52:J52))</f>
        <v/>
      </c>
      <c r="M52" s="55">
        <f>IF($C52="","",IF(Summary!$C$16="N","",IFERROR(BDP($C52,'Field Check'!$C$16,'Field Check'!$C$17,TEXT(Summary!$C$12-5,"0")),"")))</f>
        <v/>
      </c>
      <c r="N52" s="55">
        <f>IF($C52="","",IF(Summary!$C$16="N","",IFERROR(BDP($C52,'Field Check'!$C$16,'Field Check'!$C$17,TEXT(Summary!$C$12-4,"0")),"")))</f>
        <v/>
      </c>
      <c r="O52" s="55">
        <f>IF($C52="","",IF(Summary!$C$16="N","",IFERROR(BDP($C52,'Field Check'!$C$16,'Field Check'!$C$17,TEXT(Summary!$C$12-3,"0")),"")))</f>
        <v/>
      </c>
      <c r="P52" s="55">
        <f>IF($C52="","",IF(Summary!$C$16="N","",IFERROR(BDP($C52,'Field Check'!$C$16,'Field Check'!$C$17,TEXT(Summary!$C$12-2,"0")),"")))</f>
        <v/>
      </c>
      <c r="Q52" s="55">
        <f>IF($C52="","",IF(Summary!$C$16="N","",IFERROR(BDP($C52,'Field Check'!$C$16,'Field Check'!$C$17,TEXT(Summary!$C$12-1,"0")),"")))</f>
        <v/>
      </c>
      <c r="R52" s="56">
        <f>IF($C52="","",IF(Summary!$C$16="N","",IFERROR(BDP($C52,'Field Check'!$C$18,'Field Check'!$C$17,TEXT(Summary!$C$12-5,"0"))/100,"")))</f>
        <v/>
      </c>
      <c r="S52" s="56">
        <f>IF($C52="","",IF(Summary!$C$16="N","",IFERROR(BDP($C52,'Field Check'!$C$18,'Field Check'!$C$17,TEXT(Summary!$C$12-4,"0"))/100,"")))</f>
        <v/>
      </c>
      <c r="T52" s="56">
        <f>IF($C52="","",IF(Summary!$C$16="N","",IFERROR(BDP($C52,'Field Check'!$C$18,'Field Check'!$C$17,TEXT(Summary!$C$12-3,"0"))/100,"")))</f>
        <v/>
      </c>
      <c r="U52" s="56">
        <f>IF($C52="","",IF(Summary!$C$16="N","",IFERROR(BDP($C52,'Field Check'!$C$18,'Field Check'!$C$17,TEXT(Summary!$C$12-2,"0"))/100,"")))</f>
        <v/>
      </c>
      <c r="V52" s="56">
        <f>IF($C52="","",IF(Summary!$C$16="N","",IFERROR(BDP($C52,'Field Check'!$C$18,'Field Check'!$C$17,TEXT(Summary!$C$12-1,"0"))/100,"")))</f>
        <v/>
      </c>
      <c r="W52" s="57">
        <f>IF($C52="","",IFERROR(AVERAGE(R52:V52),""))</f>
        <v/>
      </c>
      <c r="X52" s="58">
        <f>IF($C52="","",IF(ISNUMBER($Q52)*(N($Q52)&gt;0)=0,"",IFERROR($J52/$Q52,"")))</f>
        <v/>
      </c>
      <c r="Y52" s="59">
        <f>IF($C52="","",IF(ISNUMBER(HSI!$I$47),HSI!$I$47/100,""))</f>
        <v/>
      </c>
      <c r="Z52" s="60">
        <f>IF($C52="","",IF(Summary!$C$16="N","",IFERROR(BDP($C52,'Field Check'!$C$19)/100,"")))</f>
        <v/>
      </c>
      <c r="AA52" s="61">
        <f>IF($C52="","",IF(N($Y52)+N($Z52)=0,"",N($Y52)+N($Z52)))</f>
        <v/>
      </c>
      <c r="AB52" s="60">
        <f>IF($C52="","",IF(Summary!$C$16="N","",IFERROR(BDP($C52,'Field Check'!$C$20)/100,"")))</f>
        <v/>
      </c>
      <c r="AC52" s="45">
        <f>IF($C52="","",IF(N($Y52)=0,"",IFERROR($AB52/$Y52,"")))</f>
        <v/>
      </c>
      <c r="AD52" s="55">
        <f>IF($C52="","",IF(Summary!$C$16="N","",IFERROR(BDP($C52,'Field Check'!$C$21),"")))</f>
        <v/>
      </c>
      <c r="AE52" s="55">
        <f>IF($C52="","",IF(Summary!$C$16="N","",IFERROR(BDP($C52,'Field Check'!$C$22),"")))</f>
        <v/>
      </c>
      <c r="AF52" s="55">
        <f>IF($C52="","",IF(Summary!$C$16="N","",IFERROR(BDP($C52,'Field Check'!$C$23),"")))</f>
        <v/>
      </c>
      <c r="AG52" s="40">
        <f>IF($C52="","",TRIM(IF(ISNUMBER($W52)*(N($W52)&gt;$D$7)&gt;0,"payout high  ","")&amp;IF(ISNUMBER($AC52)*(N($AC52)&lt;$F$7)&gt;0,"FCF below dvd  ","")&amp;IF(ISNUMBER($AE52)*(N($AE52)&gt;$H$7)&gt;0,"leverage high","")))</f>
        <v/>
      </c>
      <c r="AH52" s="40">
        <f>IF($C52="","",IF(HSI!$F$47="HKD","",IF(HSI!$F$47="","","DPS in "&amp;HSI!$F$47)))</f>
        <v/>
      </c>
    </row>
    <row r="53">
      <c r="B53" s="52" t="inlineStr">
        <is>
          <t>HSI</t>
        </is>
      </c>
      <c r="C53" s="6">
        <f>IF(HSI!$C$48="","",HSI!$C$48)</f>
        <v/>
      </c>
      <c r="D53" s="6">
        <f>IF($C53="","",HSI!$D$48)</f>
        <v/>
      </c>
      <c r="E53" s="6">
        <f>IF($C53="","",HSI!$E$48)</f>
        <v/>
      </c>
      <c r="F53" s="53">
        <f>IF($C53="","",SUMIFS('Dvd Calendar'!$E$626:$AR$626,'Dvd Calendar'!$E$625:$AR$625,"&gt;="&amp;DATE(Summary!$C$12-5,1,1),'Dvd Calendar'!$E$625:$AR$625,"&lt;="&amp;DATE(Summary!$C$12-5,12,31)))</f>
        <v/>
      </c>
      <c r="G53" s="53">
        <f>IF($C53="","",SUMIFS('Dvd Calendar'!$E$626:$AR$626,'Dvd Calendar'!$E$625:$AR$625,"&gt;="&amp;DATE(Summary!$C$12-4,1,1),'Dvd Calendar'!$E$625:$AR$625,"&lt;="&amp;DATE(Summary!$C$12-4,12,31)))</f>
        <v/>
      </c>
      <c r="H53" s="53">
        <f>IF($C53="","",SUMIFS('Dvd Calendar'!$E$626:$AR$626,'Dvd Calendar'!$E$625:$AR$625,"&gt;="&amp;DATE(Summary!$C$12-3,1,1),'Dvd Calendar'!$E$625:$AR$625,"&lt;="&amp;DATE(Summary!$C$12-3,12,31)))</f>
        <v/>
      </c>
      <c r="I53" s="53">
        <f>IF($C53="","",SUMIFS('Dvd Calendar'!$E$626:$AR$626,'Dvd Calendar'!$E$625:$AR$625,"&gt;="&amp;DATE(Summary!$C$12-2,1,1),'Dvd Calendar'!$E$625:$AR$625,"&lt;="&amp;DATE(Summary!$C$12-2,12,31)))</f>
        <v/>
      </c>
      <c r="J53" s="53">
        <f>IF($C53="","",SUMIFS('Dvd Calendar'!$E$626:$AR$626,'Dvd Calendar'!$E$625:$AR$625,"&gt;="&amp;DATE(Summary!$C$12-1,1,1),'Dvd Calendar'!$E$625:$AR$625,"&lt;="&amp;DATE(Summary!$C$12-1,12,31)))</f>
        <v/>
      </c>
      <c r="K53" s="54">
        <f>IF($C53="","",SUMIFS('Dvd Calendar'!$E$626:$AR$626,'Dvd Calendar'!$E$625:$AR$625,"&gt;="&amp;DATE(Summary!$C$12,1,1),'Dvd Calendar'!$E$625:$AR$625,"&lt;="&amp;MIN(Summary!$C$11,DATE(Summary!$C$12,12,31))))</f>
        <v/>
      </c>
      <c r="L53" s="38">
        <f>IF($C53="","",AVERAGE(F53:J53))</f>
        <v/>
      </c>
      <c r="M53" s="55">
        <f>IF($C53="","",IF(Summary!$C$16="N","",IFERROR(BDP($C53,'Field Check'!$C$16,'Field Check'!$C$17,TEXT(Summary!$C$12-5,"0")),"")))</f>
        <v/>
      </c>
      <c r="N53" s="55">
        <f>IF($C53="","",IF(Summary!$C$16="N","",IFERROR(BDP($C53,'Field Check'!$C$16,'Field Check'!$C$17,TEXT(Summary!$C$12-4,"0")),"")))</f>
        <v/>
      </c>
      <c r="O53" s="55">
        <f>IF($C53="","",IF(Summary!$C$16="N","",IFERROR(BDP($C53,'Field Check'!$C$16,'Field Check'!$C$17,TEXT(Summary!$C$12-3,"0")),"")))</f>
        <v/>
      </c>
      <c r="P53" s="55">
        <f>IF($C53="","",IF(Summary!$C$16="N","",IFERROR(BDP($C53,'Field Check'!$C$16,'Field Check'!$C$17,TEXT(Summary!$C$12-2,"0")),"")))</f>
        <v/>
      </c>
      <c r="Q53" s="55">
        <f>IF($C53="","",IF(Summary!$C$16="N","",IFERROR(BDP($C53,'Field Check'!$C$16,'Field Check'!$C$17,TEXT(Summary!$C$12-1,"0")),"")))</f>
        <v/>
      </c>
      <c r="R53" s="56">
        <f>IF($C53="","",IF(Summary!$C$16="N","",IFERROR(BDP($C53,'Field Check'!$C$18,'Field Check'!$C$17,TEXT(Summary!$C$12-5,"0"))/100,"")))</f>
        <v/>
      </c>
      <c r="S53" s="56">
        <f>IF($C53="","",IF(Summary!$C$16="N","",IFERROR(BDP($C53,'Field Check'!$C$18,'Field Check'!$C$17,TEXT(Summary!$C$12-4,"0"))/100,"")))</f>
        <v/>
      </c>
      <c r="T53" s="56">
        <f>IF($C53="","",IF(Summary!$C$16="N","",IFERROR(BDP($C53,'Field Check'!$C$18,'Field Check'!$C$17,TEXT(Summary!$C$12-3,"0"))/100,"")))</f>
        <v/>
      </c>
      <c r="U53" s="56">
        <f>IF($C53="","",IF(Summary!$C$16="N","",IFERROR(BDP($C53,'Field Check'!$C$18,'Field Check'!$C$17,TEXT(Summary!$C$12-2,"0"))/100,"")))</f>
        <v/>
      </c>
      <c r="V53" s="56">
        <f>IF($C53="","",IF(Summary!$C$16="N","",IFERROR(BDP($C53,'Field Check'!$C$18,'Field Check'!$C$17,TEXT(Summary!$C$12-1,"0"))/100,"")))</f>
        <v/>
      </c>
      <c r="W53" s="57">
        <f>IF($C53="","",IFERROR(AVERAGE(R53:V53),""))</f>
        <v/>
      </c>
      <c r="X53" s="58">
        <f>IF($C53="","",IF(ISNUMBER($Q53)*(N($Q53)&gt;0)=0,"",IFERROR($J53/$Q53,"")))</f>
        <v/>
      </c>
      <c r="Y53" s="59">
        <f>IF($C53="","",IF(ISNUMBER(HSI!$I$48),HSI!$I$48/100,""))</f>
        <v/>
      </c>
      <c r="Z53" s="60">
        <f>IF($C53="","",IF(Summary!$C$16="N","",IFERROR(BDP($C53,'Field Check'!$C$19)/100,"")))</f>
        <v/>
      </c>
      <c r="AA53" s="61">
        <f>IF($C53="","",IF(N($Y53)+N($Z53)=0,"",N($Y53)+N($Z53)))</f>
        <v/>
      </c>
      <c r="AB53" s="60">
        <f>IF($C53="","",IF(Summary!$C$16="N","",IFERROR(BDP($C53,'Field Check'!$C$20)/100,"")))</f>
        <v/>
      </c>
      <c r="AC53" s="45">
        <f>IF($C53="","",IF(N($Y53)=0,"",IFERROR($AB53/$Y53,"")))</f>
        <v/>
      </c>
      <c r="AD53" s="55">
        <f>IF($C53="","",IF(Summary!$C$16="N","",IFERROR(BDP($C53,'Field Check'!$C$21),"")))</f>
        <v/>
      </c>
      <c r="AE53" s="55">
        <f>IF($C53="","",IF(Summary!$C$16="N","",IFERROR(BDP($C53,'Field Check'!$C$22),"")))</f>
        <v/>
      </c>
      <c r="AF53" s="55">
        <f>IF($C53="","",IF(Summary!$C$16="N","",IFERROR(BDP($C53,'Field Check'!$C$23),"")))</f>
        <v/>
      </c>
      <c r="AG53" s="40">
        <f>IF($C53="","",TRIM(IF(ISNUMBER($W53)*(N($W53)&gt;$D$7)&gt;0,"payout high  ","")&amp;IF(ISNUMBER($AC53)*(N($AC53)&lt;$F$7)&gt;0,"FCF below dvd  ","")&amp;IF(ISNUMBER($AE53)*(N($AE53)&gt;$H$7)&gt;0,"leverage high","")))</f>
        <v/>
      </c>
      <c r="AH53" s="40">
        <f>IF($C53="","",IF(HSI!$F$48="HKD","",IF(HSI!$F$48="","","DPS in "&amp;HSI!$F$48)))</f>
        <v/>
      </c>
    </row>
    <row r="54">
      <c r="B54" s="52" t="inlineStr">
        <is>
          <t>HSI</t>
        </is>
      </c>
      <c r="C54" s="6">
        <f>IF(HSI!$C$49="","",HSI!$C$49)</f>
        <v/>
      </c>
      <c r="D54" s="6">
        <f>IF($C54="","",HSI!$D$49)</f>
        <v/>
      </c>
      <c r="E54" s="6">
        <f>IF($C54="","",HSI!$E$49)</f>
        <v/>
      </c>
      <c r="F54" s="53">
        <f>IF($C54="","",SUMIFS('Dvd Calendar'!$E$641:$AR$641,'Dvd Calendar'!$E$640:$AR$640,"&gt;="&amp;DATE(Summary!$C$12-5,1,1),'Dvd Calendar'!$E$640:$AR$640,"&lt;="&amp;DATE(Summary!$C$12-5,12,31)))</f>
        <v/>
      </c>
      <c r="G54" s="53">
        <f>IF($C54="","",SUMIFS('Dvd Calendar'!$E$641:$AR$641,'Dvd Calendar'!$E$640:$AR$640,"&gt;="&amp;DATE(Summary!$C$12-4,1,1),'Dvd Calendar'!$E$640:$AR$640,"&lt;="&amp;DATE(Summary!$C$12-4,12,31)))</f>
        <v/>
      </c>
      <c r="H54" s="53">
        <f>IF($C54="","",SUMIFS('Dvd Calendar'!$E$641:$AR$641,'Dvd Calendar'!$E$640:$AR$640,"&gt;="&amp;DATE(Summary!$C$12-3,1,1),'Dvd Calendar'!$E$640:$AR$640,"&lt;="&amp;DATE(Summary!$C$12-3,12,31)))</f>
        <v/>
      </c>
      <c r="I54" s="53">
        <f>IF($C54="","",SUMIFS('Dvd Calendar'!$E$641:$AR$641,'Dvd Calendar'!$E$640:$AR$640,"&gt;="&amp;DATE(Summary!$C$12-2,1,1),'Dvd Calendar'!$E$640:$AR$640,"&lt;="&amp;DATE(Summary!$C$12-2,12,31)))</f>
        <v/>
      </c>
      <c r="J54" s="53">
        <f>IF($C54="","",SUMIFS('Dvd Calendar'!$E$641:$AR$641,'Dvd Calendar'!$E$640:$AR$640,"&gt;="&amp;DATE(Summary!$C$12-1,1,1),'Dvd Calendar'!$E$640:$AR$640,"&lt;="&amp;DATE(Summary!$C$12-1,12,31)))</f>
        <v/>
      </c>
      <c r="K54" s="54">
        <f>IF($C54="","",SUMIFS('Dvd Calendar'!$E$641:$AR$641,'Dvd Calendar'!$E$640:$AR$640,"&gt;="&amp;DATE(Summary!$C$12,1,1),'Dvd Calendar'!$E$640:$AR$640,"&lt;="&amp;MIN(Summary!$C$11,DATE(Summary!$C$12,12,31))))</f>
        <v/>
      </c>
      <c r="L54" s="38">
        <f>IF($C54="","",AVERAGE(F54:J54))</f>
        <v/>
      </c>
      <c r="M54" s="55">
        <f>IF($C54="","",IF(Summary!$C$16="N","",IFERROR(BDP($C54,'Field Check'!$C$16,'Field Check'!$C$17,TEXT(Summary!$C$12-5,"0")),"")))</f>
        <v/>
      </c>
      <c r="N54" s="55">
        <f>IF($C54="","",IF(Summary!$C$16="N","",IFERROR(BDP($C54,'Field Check'!$C$16,'Field Check'!$C$17,TEXT(Summary!$C$12-4,"0")),"")))</f>
        <v/>
      </c>
      <c r="O54" s="55">
        <f>IF($C54="","",IF(Summary!$C$16="N","",IFERROR(BDP($C54,'Field Check'!$C$16,'Field Check'!$C$17,TEXT(Summary!$C$12-3,"0")),"")))</f>
        <v/>
      </c>
      <c r="P54" s="55">
        <f>IF($C54="","",IF(Summary!$C$16="N","",IFERROR(BDP($C54,'Field Check'!$C$16,'Field Check'!$C$17,TEXT(Summary!$C$12-2,"0")),"")))</f>
        <v/>
      </c>
      <c r="Q54" s="55">
        <f>IF($C54="","",IF(Summary!$C$16="N","",IFERROR(BDP($C54,'Field Check'!$C$16,'Field Check'!$C$17,TEXT(Summary!$C$12-1,"0")),"")))</f>
        <v/>
      </c>
      <c r="R54" s="56">
        <f>IF($C54="","",IF(Summary!$C$16="N","",IFERROR(BDP($C54,'Field Check'!$C$18,'Field Check'!$C$17,TEXT(Summary!$C$12-5,"0"))/100,"")))</f>
        <v/>
      </c>
      <c r="S54" s="56">
        <f>IF($C54="","",IF(Summary!$C$16="N","",IFERROR(BDP($C54,'Field Check'!$C$18,'Field Check'!$C$17,TEXT(Summary!$C$12-4,"0"))/100,"")))</f>
        <v/>
      </c>
      <c r="T54" s="56">
        <f>IF($C54="","",IF(Summary!$C$16="N","",IFERROR(BDP($C54,'Field Check'!$C$18,'Field Check'!$C$17,TEXT(Summary!$C$12-3,"0"))/100,"")))</f>
        <v/>
      </c>
      <c r="U54" s="56">
        <f>IF($C54="","",IF(Summary!$C$16="N","",IFERROR(BDP($C54,'Field Check'!$C$18,'Field Check'!$C$17,TEXT(Summary!$C$12-2,"0"))/100,"")))</f>
        <v/>
      </c>
      <c r="V54" s="56">
        <f>IF($C54="","",IF(Summary!$C$16="N","",IFERROR(BDP($C54,'Field Check'!$C$18,'Field Check'!$C$17,TEXT(Summary!$C$12-1,"0"))/100,"")))</f>
        <v/>
      </c>
      <c r="W54" s="57">
        <f>IF($C54="","",IFERROR(AVERAGE(R54:V54),""))</f>
        <v/>
      </c>
      <c r="X54" s="58">
        <f>IF($C54="","",IF(ISNUMBER($Q54)*(N($Q54)&gt;0)=0,"",IFERROR($J54/$Q54,"")))</f>
        <v/>
      </c>
      <c r="Y54" s="59">
        <f>IF($C54="","",IF(ISNUMBER(HSI!$I$49),HSI!$I$49/100,""))</f>
        <v/>
      </c>
      <c r="Z54" s="60">
        <f>IF($C54="","",IF(Summary!$C$16="N","",IFERROR(BDP($C54,'Field Check'!$C$19)/100,"")))</f>
        <v/>
      </c>
      <c r="AA54" s="61">
        <f>IF($C54="","",IF(N($Y54)+N($Z54)=0,"",N($Y54)+N($Z54)))</f>
        <v/>
      </c>
      <c r="AB54" s="60">
        <f>IF($C54="","",IF(Summary!$C$16="N","",IFERROR(BDP($C54,'Field Check'!$C$20)/100,"")))</f>
        <v/>
      </c>
      <c r="AC54" s="45">
        <f>IF($C54="","",IF(N($Y54)=0,"",IFERROR($AB54/$Y54,"")))</f>
        <v/>
      </c>
      <c r="AD54" s="55">
        <f>IF($C54="","",IF(Summary!$C$16="N","",IFERROR(BDP($C54,'Field Check'!$C$21),"")))</f>
        <v/>
      </c>
      <c r="AE54" s="55">
        <f>IF($C54="","",IF(Summary!$C$16="N","",IFERROR(BDP($C54,'Field Check'!$C$22),"")))</f>
        <v/>
      </c>
      <c r="AF54" s="55">
        <f>IF($C54="","",IF(Summary!$C$16="N","",IFERROR(BDP($C54,'Field Check'!$C$23),"")))</f>
        <v/>
      </c>
      <c r="AG54" s="40">
        <f>IF($C54="","",TRIM(IF(ISNUMBER($W54)*(N($W54)&gt;$D$7)&gt;0,"payout high  ","")&amp;IF(ISNUMBER($AC54)*(N($AC54)&lt;$F$7)&gt;0,"FCF below dvd  ","")&amp;IF(ISNUMBER($AE54)*(N($AE54)&gt;$H$7)&gt;0,"leverage high","")))</f>
        <v/>
      </c>
      <c r="AH54" s="40">
        <f>IF($C54="","",IF(HSI!$F$49="HKD","",IF(HSI!$F$49="","","DPS in "&amp;HSI!$F$49)))</f>
        <v/>
      </c>
    </row>
    <row r="55">
      <c r="B55" s="52" t="inlineStr">
        <is>
          <t>HSI</t>
        </is>
      </c>
      <c r="C55" s="6">
        <f>IF(HSI!$C$50="","",HSI!$C$50)</f>
        <v/>
      </c>
      <c r="D55" s="6">
        <f>IF($C55="","",HSI!$D$50)</f>
        <v/>
      </c>
      <c r="E55" s="6">
        <f>IF($C55="","",HSI!$E$50)</f>
        <v/>
      </c>
      <c r="F55" s="53">
        <f>IF($C55="","",SUMIFS('Dvd Calendar'!$E$656:$AR$656,'Dvd Calendar'!$E$655:$AR$655,"&gt;="&amp;DATE(Summary!$C$12-5,1,1),'Dvd Calendar'!$E$655:$AR$655,"&lt;="&amp;DATE(Summary!$C$12-5,12,31)))</f>
        <v/>
      </c>
      <c r="G55" s="53">
        <f>IF($C55="","",SUMIFS('Dvd Calendar'!$E$656:$AR$656,'Dvd Calendar'!$E$655:$AR$655,"&gt;="&amp;DATE(Summary!$C$12-4,1,1),'Dvd Calendar'!$E$655:$AR$655,"&lt;="&amp;DATE(Summary!$C$12-4,12,31)))</f>
        <v/>
      </c>
      <c r="H55" s="53">
        <f>IF($C55="","",SUMIFS('Dvd Calendar'!$E$656:$AR$656,'Dvd Calendar'!$E$655:$AR$655,"&gt;="&amp;DATE(Summary!$C$12-3,1,1),'Dvd Calendar'!$E$655:$AR$655,"&lt;="&amp;DATE(Summary!$C$12-3,12,31)))</f>
        <v/>
      </c>
      <c r="I55" s="53">
        <f>IF($C55="","",SUMIFS('Dvd Calendar'!$E$656:$AR$656,'Dvd Calendar'!$E$655:$AR$655,"&gt;="&amp;DATE(Summary!$C$12-2,1,1),'Dvd Calendar'!$E$655:$AR$655,"&lt;="&amp;DATE(Summary!$C$12-2,12,31)))</f>
        <v/>
      </c>
      <c r="J55" s="53">
        <f>IF($C55="","",SUMIFS('Dvd Calendar'!$E$656:$AR$656,'Dvd Calendar'!$E$655:$AR$655,"&gt;="&amp;DATE(Summary!$C$12-1,1,1),'Dvd Calendar'!$E$655:$AR$655,"&lt;="&amp;DATE(Summary!$C$12-1,12,31)))</f>
        <v/>
      </c>
      <c r="K55" s="54">
        <f>IF($C55="","",SUMIFS('Dvd Calendar'!$E$656:$AR$656,'Dvd Calendar'!$E$655:$AR$655,"&gt;="&amp;DATE(Summary!$C$12,1,1),'Dvd Calendar'!$E$655:$AR$655,"&lt;="&amp;MIN(Summary!$C$11,DATE(Summary!$C$12,12,31))))</f>
        <v/>
      </c>
      <c r="L55" s="38">
        <f>IF($C55="","",AVERAGE(F55:J55))</f>
        <v/>
      </c>
      <c r="M55" s="55">
        <f>IF($C55="","",IF(Summary!$C$16="N","",IFERROR(BDP($C55,'Field Check'!$C$16,'Field Check'!$C$17,TEXT(Summary!$C$12-5,"0")),"")))</f>
        <v/>
      </c>
      <c r="N55" s="55">
        <f>IF($C55="","",IF(Summary!$C$16="N","",IFERROR(BDP($C55,'Field Check'!$C$16,'Field Check'!$C$17,TEXT(Summary!$C$12-4,"0")),"")))</f>
        <v/>
      </c>
      <c r="O55" s="55">
        <f>IF($C55="","",IF(Summary!$C$16="N","",IFERROR(BDP($C55,'Field Check'!$C$16,'Field Check'!$C$17,TEXT(Summary!$C$12-3,"0")),"")))</f>
        <v/>
      </c>
      <c r="P55" s="55">
        <f>IF($C55="","",IF(Summary!$C$16="N","",IFERROR(BDP($C55,'Field Check'!$C$16,'Field Check'!$C$17,TEXT(Summary!$C$12-2,"0")),"")))</f>
        <v/>
      </c>
      <c r="Q55" s="55">
        <f>IF($C55="","",IF(Summary!$C$16="N","",IFERROR(BDP($C55,'Field Check'!$C$16,'Field Check'!$C$17,TEXT(Summary!$C$12-1,"0")),"")))</f>
        <v/>
      </c>
      <c r="R55" s="56">
        <f>IF($C55="","",IF(Summary!$C$16="N","",IFERROR(BDP($C55,'Field Check'!$C$18,'Field Check'!$C$17,TEXT(Summary!$C$12-5,"0"))/100,"")))</f>
        <v/>
      </c>
      <c r="S55" s="56">
        <f>IF($C55="","",IF(Summary!$C$16="N","",IFERROR(BDP($C55,'Field Check'!$C$18,'Field Check'!$C$17,TEXT(Summary!$C$12-4,"0"))/100,"")))</f>
        <v/>
      </c>
      <c r="T55" s="56">
        <f>IF($C55="","",IF(Summary!$C$16="N","",IFERROR(BDP($C55,'Field Check'!$C$18,'Field Check'!$C$17,TEXT(Summary!$C$12-3,"0"))/100,"")))</f>
        <v/>
      </c>
      <c r="U55" s="56">
        <f>IF($C55="","",IF(Summary!$C$16="N","",IFERROR(BDP($C55,'Field Check'!$C$18,'Field Check'!$C$17,TEXT(Summary!$C$12-2,"0"))/100,"")))</f>
        <v/>
      </c>
      <c r="V55" s="56">
        <f>IF($C55="","",IF(Summary!$C$16="N","",IFERROR(BDP($C55,'Field Check'!$C$18,'Field Check'!$C$17,TEXT(Summary!$C$12-1,"0"))/100,"")))</f>
        <v/>
      </c>
      <c r="W55" s="57">
        <f>IF($C55="","",IFERROR(AVERAGE(R55:V55),""))</f>
        <v/>
      </c>
      <c r="X55" s="58">
        <f>IF($C55="","",IF(ISNUMBER($Q55)*(N($Q55)&gt;0)=0,"",IFERROR($J55/$Q55,"")))</f>
        <v/>
      </c>
      <c r="Y55" s="59">
        <f>IF($C55="","",IF(ISNUMBER(HSI!$I$50),HSI!$I$50/100,""))</f>
        <v/>
      </c>
      <c r="Z55" s="60">
        <f>IF($C55="","",IF(Summary!$C$16="N","",IFERROR(BDP($C55,'Field Check'!$C$19)/100,"")))</f>
        <v/>
      </c>
      <c r="AA55" s="61">
        <f>IF($C55="","",IF(N($Y55)+N($Z55)=0,"",N($Y55)+N($Z55)))</f>
        <v/>
      </c>
      <c r="AB55" s="60">
        <f>IF($C55="","",IF(Summary!$C$16="N","",IFERROR(BDP($C55,'Field Check'!$C$20)/100,"")))</f>
        <v/>
      </c>
      <c r="AC55" s="45">
        <f>IF($C55="","",IF(N($Y55)=0,"",IFERROR($AB55/$Y55,"")))</f>
        <v/>
      </c>
      <c r="AD55" s="55">
        <f>IF($C55="","",IF(Summary!$C$16="N","",IFERROR(BDP($C55,'Field Check'!$C$21),"")))</f>
        <v/>
      </c>
      <c r="AE55" s="55">
        <f>IF($C55="","",IF(Summary!$C$16="N","",IFERROR(BDP($C55,'Field Check'!$C$22),"")))</f>
        <v/>
      </c>
      <c r="AF55" s="55">
        <f>IF($C55="","",IF(Summary!$C$16="N","",IFERROR(BDP($C55,'Field Check'!$C$23),"")))</f>
        <v/>
      </c>
      <c r="AG55" s="40">
        <f>IF($C55="","",TRIM(IF(ISNUMBER($W55)*(N($W55)&gt;$D$7)&gt;0,"payout high  ","")&amp;IF(ISNUMBER($AC55)*(N($AC55)&lt;$F$7)&gt;0,"FCF below dvd  ","")&amp;IF(ISNUMBER($AE55)*(N($AE55)&gt;$H$7)&gt;0,"leverage high","")))</f>
        <v/>
      </c>
      <c r="AH55" s="40">
        <f>IF($C55="","",IF(HSI!$F$50="HKD","",IF(HSI!$F$50="","","DPS in "&amp;HSI!$F$50)))</f>
        <v/>
      </c>
    </row>
    <row r="56">
      <c r="B56" s="52" t="inlineStr">
        <is>
          <t>HSI</t>
        </is>
      </c>
      <c r="C56" s="6">
        <f>IF(HSI!$C$51="","",HSI!$C$51)</f>
        <v/>
      </c>
      <c r="D56" s="6">
        <f>IF($C56="","",HSI!$D$51)</f>
        <v/>
      </c>
      <c r="E56" s="6">
        <f>IF($C56="","",HSI!$E$51)</f>
        <v/>
      </c>
      <c r="F56" s="53">
        <f>IF($C56="","",SUMIFS('Dvd Calendar'!$E$671:$AR$671,'Dvd Calendar'!$E$670:$AR$670,"&gt;="&amp;DATE(Summary!$C$12-5,1,1),'Dvd Calendar'!$E$670:$AR$670,"&lt;="&amp;DATE(Summary!$C$12-5,12,31)))</f>
        <v/>
      </c>
      <c r="G56" s="53">
        <f>IF($C56="","",SUMIFS('Dvd Calendar'!$E$671:$AR$671,'Dvd Calendar'!$E$670:$AR$670,"&gt;="&amp;DATE(Summary!$C$12-4,1,1),'Dvd Calendar'!$E$670:$AR$670,"&lt;="&amp;DATE(Summary!$C$12-4,12,31)))</f>
        <v/>
      </c>
      <c r="H56" s="53">
        <f>IF($C56="","",SUMIFS('Dvd Calendar'!$E$671:$AR$671,'Dvd Calendar'!$E$670:$AR$670,"&gt;="&amp;DATE(Summary!$C$12-3,1,1),'Dvd Calendar'!$E$670:$AR$670,"&lt;="&amp;DATE(Summary!$C$12-3,12,31)))</f>
        <v/>
      </c>
      <c r="I56" s="53">
        <f>IF($C56="","",SUMIFS('Dvd Calendar'!$E$671:$AR$671,'Dvd Calendar'!$E$670:$AR$670,"&gt;="&amp;DATE(Summary!$C$12-2,1,1),'Dvd Calendar'!$E$670:$AR$670,"&lt;="&amp;DATE(Summary!$C$12-2,12,31)))</f>
        <v/>
      </c>
      <c r="J56" s="53">
        <f>IF($C56="","",SUMIFS('Dvd Calendar'!$E$671:$AR$671,'Dvd Calendar'!$E$670:$AR$670,"&gt;="&amp;DATE(Summary!$C$12-1,1,1),'Dvd Calendar'!$E$670:$AR$670,"&lt;="&amp;DATE(Summary!$C$12-1,12,31)))</f>
        <v/>
      </c>
      <c r="K56" s="54">
        <f>IF($C56="","",SUMIFS('Dvd Calendar'!$E$671:$AR$671,'Dvd Calendar'!$E$670:$AR$670,"&gt;="&amp;DATE(Summary!$C$12,1,1),'Dvd Calendar'!$E$670:$AR$670,"&lt;="&amp;MIN(Summary!$C$11,DATE(Summary!$C$12,12,31))))</f>
        <v/>
      </c>
      <c r="L56" s="38">
        <f>IF($C56="","",AVERAGE(F56:J56))</f>
        <v/>
      </c>
      <c r="M56" s="55">
        <f>IF($C56="","",IF(Summary!$C$16="N","",IFERROR(BDP($C56,'Field Check'!$C$16,'Field Check'!$C$17,TEXT(Summary!$C$12-5,"0")),"")))</f>
        <v/>
      </c>
      <c r="N56" s="55">
        <f>IF($C56="","",IF(Summary!$C$16="N","",IFERROR(BDP($C56,'Field Check'!$C$16,'Field Check'!$C$17,TEXT(Summary!$C$12-4,"0")),"")))</f>
        <v/>
      </c>
      <c r="O56" s="55">
        <f>IF($C56="","",IF(Summary!$C$16="N","",IFERROR(BDP($C56,'Field Check'!$C$16,'Field Check'!$C$17,TEXT(Summary!$C$12-3,"0")),"")))</f>
        <v/>
      </c>
      <c r="P56" s="55">
        <f>IF($C56="","",IF(Summary!$C$16="N","",IFERROR(BDP($C56,'Field Check'!$C$16,'Field Check'!$C$17,TEXT(Summary!$C$12-2,"0")),"")))</f>
        <v/>
      </c>
      <c r="Q56" s="55">
        <f>IF($C56="","",IF(Summary!$C$16="N","",IFERROR(BDP($C56,'Field Check'!$C$16,'Field Check'!$C$17,TEXT(Summary!$C$12-1,"0")),"")))</f>
        <v/>
      </c>
      <c r="R56" s="56">
        <f>IF($C56="","",IF(Summary!$C$16="N","",IFERROR(BDP($C56,'Field Check'!$C$18,'Field Check'!$C$17,TEXT(Summary!$C$12-5,"0"))/100,"")))</f>
        <v/>
      </c>
      <c r="S56" s="56">
        <f>IF($C56="","",IF(Summary!$C$16="N","",IFERROR(BDP($C56,'Field Check'!$C$18,'Field Check'!$C$17,TEXT(Summary!$C$12-4,"0"))/100,"")))</f>
        <v/>
      </c>
      <c r="T56" s="56">
        <f>IF($C56="","",IF(Summary!$C$16="N","",IFERROR(BDP($C56,'Field Check'!$C$18,'Field Check'!$C$17,TEXT(Summary!$C$12-3,"0"))/100,"")))</f>
        <v/>
      </c>
      <c r="U56" s="56">
        <f>IF($C56="","",IF(Summary!$C$16="N","",IFERROR(BDP($C56,'Field Check'!$C$18,'Field Check'!$C$17,TEXT(Summary!$C$12-2,"0"))/100,"")))</f>
        <v/>
      </c>
      <c r="V56" s="56">
        <f>IF($C56="","",IF(Summary!$C$16="N","",IFERROR(BDP($C56,'Field Check'!$C$18,'Field Check'!$C$17,TEXT(Summary!$C$12-1,"0"))/100,"")))</f>
        <v/>
      </c>
      <c r="W56" s="57">
        <f>IF($C56="","",IFERROR(AVERAGE(R56:V56),""))</f>
        <v/>
      </c>
      <c r="X56" s="58">
        <f>IF($C56="","",IF(ISNUMBER($Q56)*(N($Q56)&gt;0)=0,"",IFERROR($J56/$Q56,"")))</f>
        <v/>
      </c>
      <c r="Y56" s="59">
        <f>IF($C56="","",IF(ISNUMBER(HSI!$I$51),HSI!$I$51/100,""))</f>
        <v/>
      </c>
      <c r="Z56" s="60">
        <f>IF($C56="","",IF(Summary!$C$16="N","",IFERROR(BDP($C56,'Field Check'!$C$19)/100,"")))</f>
        <v/>
      </c>
      <c r="AA56" s="61">
        <f>IF($C56="","",IF(N($Y56)+N($Z56)=0,"",N($Y56)+N($Z56)))</f>
        <v/>
      </c>
      <c r="AB56" s="60">
        <f>IF($C56="","",IF(Summary!$C$16="N","",IFERROR(BDP($C56,'Field Check'!$C$20)/100,"")))</f>
        <v/>
      </c>
      <c r="AC56" s="45">
        <f>IF($C56="","",IF(N($Y56)=0,"",IFERROR($AB56/$Y56,"")))</f>
        <v/>
      </c>
      <c r="AD56" s="55">
        <f>IF($C56="","",IF(Summary!$C$16="N","",IFERROR(BDP($C56,'Field Check'!$C$21),"")))</f>
        <v/>
      </c>
      <c r="AE56" s="55">
        <f>IF($C56="","",IF(Summary!$C$16="N","",IFERROR(BDP($C56,'Field Check'!$C$22),"")))</f>
        <v/>
      </c>
      <c r="AF56" s="55">
        <f>IF($C56="","",IF(Summary!$C$16="N","",IFERROR(BDP($C56,'Field Check'!$C$23),"")))</f>
        <v/>
      </c>
      <c r="AG56" s="40">
        <f>IF($C56="","",TRIM(IF(ISNUMBER($W56)*(N($W56)&gt;$D$7)&gt;0,"payout high  ","")&amp;IF(ISNUMBER($AC56)*(N($AC56)&lt;$F$7)&gt;0,"FCF below dvd  ","")&amp;IF(ISNUMBER($AE56)*(N($AE56)&gt;$H$7)&gt;0,"leverage high","")))</f>
        <v/>
      </c>
      <c r="AH56" s="40">
        <f>IF($C56="","",IF(HSI!$F$51="HKD","",IF(HSI!$F$51="","","DPS in "&amp;HSI!$F$51)))</f>
        <v/>
      </c>
    </row>
    <row r="57">
      <c r="B57" s="52" t="inlineStr">
        <is>
          <t>HSI</t>
        </is>
      </c>
      <c r="C57" s="6">
        <f>IF(HSI!$C$52="","",HSI!$C$52)</f>
        <v/>
      </c>
      <c r="D57" s="6">
        <f>IF($C57="","",HSI!$D$52)</f>
        <v/>
      </c>
      <c r="E57" s="6">
        <f>IF($C57="","",HSI!$E$52)</f>
        <v/>
      </c>
      <c r="F57" s="53">
        <f>IF($C57="","",SUMIFS('Dvd Calendar'!$E$686:$AR$686,'Dvd Calendar'!$E$685:$AR$685,"&gt;="&amp;DATE(Summary!$C$12-5,1,1),'Dvd Calendar'!$E$685:$AR$685,"&lt;="&amp;DATE(Summary!$C$12-5,12,31)))</f>
        <v/>
      </c>
      <c r="G57" s="53">
        <f>IF($C57="","",SUMIFS('Dvd Calendar'!$E$686:$AR$686,'Dvd Calendar'!$E$685:$AR$685,"&gt;="&amp;DATE(Summary!$C$12-4,1,1),'Dvd Calendar'!$E$685:$AR$685,"&lt;="&amp;DATE(Summary!$C$12-4,12,31)))</f>
        <v/>
      </c>
      <c r="H57" s="53">
        <f>IF($C57="","",SUMIFS('Dvd Calendar'!$E$686:$AR$686,'Dvd Calendar'!$E$685:$AR$685,"&gt;="&amp;DATE(Summary!$C$12-3,1,1),'Dvd Calendar'!$E$685:$AR$685,"&lt;="&amp;DATE(Summary!$C$12-3,12,31)))</f>
        <v/>
      </c>
      <c r="I57" s="53">
        <f>IF($C57="","",SUMIFS('Dvd Calendar'!$E$686:$AR$686,'Dvd Calendar'!$E$685:$AR$685,"&gt;="&amp;DATE(Summary!$C$12-2,1,1),'Dvd Calendar'!$E$685:$AR$685,"&lt;="&amp;DATE(Summary!$C$12-2,12,31)))</f>
        <v/>
      </c>
      <c r="J57" s="53">
        <f>IF($C57="","",SUMIFS('Dvd Calendar'!$E$686:$AR$686,'Dvd Calendar'!$E$685:$AR$685,"&gt;="&amp;DATE(Summary!$C$12-1,1,1),'Dvd Calendar'!$E$685:$AR$685,"&lt;="&amp;DATE(Summary!$C$12-1,12,31)))</f>
        <v/>
      </c>
      <c r="K57" s="54">
        <f>IF($C57="","",SUMIFS('Dvd Calendar'!$E$686:$AR$686,'Dvd Calendar'!$E$685:$AR$685,"&gt;="&amp;DATE(Summary!$C$12,1,1),'Dvd Calendar'!$E$685:$AR$685,"&lt;="&amp;MIN(Summary!$C$11,DATE(Summary!$C$12,12,31))))</f>
        <v/>
      </c>
      <c r="L57" s="38">
        <f>IF($C57="","",AVERAGE(F57:J57))</f>
        <v/>
      </c>
      <c r="M57" s="55">
        <f>IF($C57="","",IF(Summary!$C$16="N","",IFERROR(BDP($C57,'Field Check'!$C$16,'Field Check'!$C$17,TEXT(Summary!$C$12-5,"0")),"")))</f>
        <v/>
      </c>
      <c r="N57" s="55">
        <f>IF($C57="","",IF(Summary!$C$16="N","",IFERROR(BDP($C57,'Field Check'!$C$16,'Field Check'!$C$17,TEXT(Summary!$C$12-4,"0")),"")))</f>
        <v/>
      </c>
      <c r="O57" s="55">
        <f>IF($C57="","",IF(Summary!$C$16="N","",IFERROR(BDP($C57,'Field Check'!$C$16,'Field Check'!$C$17,TEXT(Summary!$C$12-3,"0")),"")))</f>
        <v/>
      </c>
      <c r="P57" s="55">
        <f>IF($C57="","",IF(Summary!$C$16="N","",IFERROR(BDP($C57,'Field Check'!$C$16,'Field Check'!$C$17,TEXT(Summary!$C$12-2,"0")),"")))</f>
        <v/>
      </c>
      <c r="Q57" s="55">
        <f>IF($C57="","",IF(Summary!$C$16="N","",IFERROR(BDP($C57,'Field Check'!$C$16,'Field Check'!$C$17,TEXT(Summary!$C$12-1,"0")),"")))</f>
        <v/>
      </c>
      <c r="R57" s="56">
        <f>IF($C57="","",IF(Summary!$C$16="N","",IFERROR(BDP($C57,'Field Check'!$C$18,'Field Check'!$C$17,TEXT(Summary!$C$12-5,"0"))/100,"")))</f>
        <v/>
      </c>
      <c r="S57" s="56">
        <f>IF($C57="","",IF(Summary!$C$16="N","",IFERROR(BDP($C57,'Field Check'!$C$18,'Field Check'!$C$17,TEXT(Summary!$C$12-4,"0"))/100,"")))</f>
        <v/>
      </c>
      <c r="T57" s="56">
        <f>IF($C57="","",IF(Summary!$C$16="N","",IFERROR(BDP($C57,'Field Check'!$C$18,'Field Check'!$C$17,TEXT(Summary!$C$12-3,"0"))/100,"")))</f>
        <v/>
      </c>
      <c r="U57" s="56">
        <f>IF($C57="","",IF(Summary!$C$16="N","",IFERROR(BDP($C57,'Field Check'!$C$18,'Field Check'!$C$17,TEXT(Summary!$C$12-2,"0"))/100,"")))</f>
        <v/>
      </c>
      <c r="V57" s="56">
        <f>IF($C57="","",IF(Summary!$C$16="N","",IFERROR(BDP($C57,'Field Check'!$C$18,'Field Check'!$C$17,TEXT(Summary!$C$12-1,"0"))/100,"")))</f>
        <v/>
      </c>
      <c r="W57" s="57">
        <f>IF($C57="","",IFERROR(AVERAGE(R57:V57),""))</f>
        <v/>
      </c>
      <c r="X57" s="58">
        <f>IF($C57="","",IF(ISNUMBER($Q57)*(N($Q57)&gt;0)=0,"",IFERROR($J57/$Q57,"")))</f>
        <v/>
      </c>
      <c r="Y57" s="59">
        <f>IF($C57="","",IF(ISNUMBER(HSI!$I$52),HSI!$I$52/100,""))</f>
        <v/>
      </c>
      <c r="Z57" s="60">
        <f>IF($C57="","",IF(Summary!$C$16="N","",IFERROR(BDP($C57,'Field Check'!$C$19)/100,"")))</f>
        <v/>
      </c>
      <c r="AA57" s="61">
        <f>IF($C57="","",IF(N($Y57)+N($Z57)=0,"",N($Y57)+N($Z57)))</f>
        <v/>
      </c>
      <c r="AB57" s="60">
        <f>IF($C57="","",IF(Summary!$C$16="N","",IFERROR(BDP($C57,'Field Check'!$C$20)/100,"")))</f>
        <v/>
      </c>
      <c r="AC57" s="45">
        <f>IF($C57="","",IF(N($Y57)=0,"",IFERROR($AB57/$Y57,"")))</f>
        <v/>
      </c>
      <c r="AD57" s="55">
        <f>IF($C57="","",IF(Summary!$C$16="N","",IFERROR(BDP($C57,'Field Check'!$C$21),"")))</f>
        <v/>
      </c>
      <c r="AE57" s="55">
        <f>IF($C57="","",IF(Summary!$C$16="N","",IFERROR(BDP($C57,'Field Check'!$C$22),"")))</f>
        <v/>
      </c>
      <c r="AF57" s="55">
        <f>IF($C57="","",IF(Summary!$C$16="N","",IFERROR(BDP($C57,'Field Check'!$C$23),"")))</f>
        <v/>
      </c>
      <c r="AG57" s="40">
        <f>IF($C57="","",TRIM(IF(ISNUMBER($W57)*(N($W57)&gt;$D$7)&gt;0,"payout high  ","")&amp;IF(ISNUMBER($AC57)*(N($AC57)&lt;$F$7)&gt;0,"FCF below dvd  ","")&amp;IF(ISNUMBER($AE57)*(N($AE57)&gt;$H$7)&gt;0,"leverage high","")))</f>
        <v/>
      </c>
      <c r="AH57" s="40">
        <f>IF($C57="","",IF(HSI!$F$52="HKD","",IF(HSI!$F$52="","","DPS in "&amp;HSI!$F$52)))</f>
        <v/>
      </c>
    </row>
    <row r="58">
      <c r="B58" s="52" t="inlineStr">
        <is>
          <t>HSI</t>
        </is>
      </c>
      <c r="C58" s="6">
        <f>IF(HSI!$C$53="","",HSI!$C$53)</f>
        <v/>
      </c>
      <c r="D58" s="6">
        <f>IF($C58="","",HSI!$D$53)</f>
        <v/>
      </c>
      <c r="E58" s="6">
        <f>IF($C58="","",HSI!$E$53)</f>
        <v/>
      </c>
      <c r="F58" s="53">
        <f>IF($C58="","",SUMIFS('Dvd Calendar'!$E$701:$AR$701,'Dvd Calendar'!$E$700:$AR$700,"&gt;="&amp;DATE(Summary!$C$12-5,1,1),'Dvd Calendar'!$E$700:$AR$700,"&lt;="&amp;DATE(Summary!$C$12-5,12,31)))</f>
        <v/>
      </c>
      <c r="G58" s="53">
        <f>IF($C58="","",SUMIFS('Dvd Calendar'!$E$701:$AR$701,'Dvd Calendar'!$E$700:$AR$700,"&gt;="&amp;DATE(Summary!$C$12-4,1,1),'Dvd Calendar'!$E$700:$AR$700,"&lt;="&amp;DATE(Summary!$C$12-4,12,31)))</f>
        <v/>
      </c>
      <c r="H58" s="53">
        <f>IF($C58="","",SUMIFS('Dvd Calendar'!$E$701:$AR$701,'Dvd Calendar'!$E$700:$AR$700,"&gt;="&amp;DATE(Summary!$C$12-3,1,1),'Dvd Calendar'!$E$700:$AR$700,"&lt;="&amp;DATE(Summary!$C$12-3,12,31)))</f>
        <v/>
      </c>
      <c r="I58" s="53">
        <f>IF($C58="","",SUMIFS('Dvd Calendar'!$E$701:$AR$701,'Dvd Calendar'!$E$700:$AR$700,"&gt;="&amp;DATE(Summary!$C$12-2,1,1),'Dvd Calendar'!$E$700:$AR$700,"&lt;="&amp;DATE(Summary!$C$12-2,12,31)))</f>
        <v/>
      </c>
      <c r="J58" s="53">
        <f>IF($C58="","",SUMIFS('Dvd Calendar'!$E$701:$AR$701,'Dvd Calendar'!$E$700:$AR$700,"&gt;="&amp;DATE(Summary!$C$12-1,1,1),'Dvd Calendar'!$E$700:$AR$700,"&lt;="&amp;DATE(Summary!$C$12-1,12,31)))</f>
        <v/>
      </c>
      <c r="K58" s="54">
        <f>IF($C58="","",SUMIFS('Dvd Calendar'!$E$701:$AR$701,'Dvd Calendar'!$E$700:$AR$700,"&gt;="&amp;DATE(Summary!$C$12,1,1),'Dvd Calendar'!$E$700:$AR$700,"&lt;="&amp;MIN(Summary!$C$11,DATE(Summary!$C$12,12,31))))</f>
        <v/>
      </c>
      <c r="L58" s="38">
        <f>IF($C58="","",AVERAGE(F58:J58))</f>
        <v/>
      </c>
      <c r="M58" s="55">
        <f>IF($C58="","",IF(Summary!$C$16="N","",IFERROR(BDP($C58,'Field Check'!$C$16,'Field Check'!$C$17,TEXT(Summary!$C$12-5,"0")),"")))</f>
        <v/>
      </c>
      <c r="N58" s="55">
        <f>IF($C58="","",IF(Summary!$C$16="N","",IFERROR(BDP($C58,'Field Check'!$C$16,'Field Check'!$C$17,TEXT(Summary!$C$12-4,"0")),"")))</f>
        <v/>
      </c>
      <c r="O58" s="55">
        <f>IF($C58="","",IF(Summary!$C$16="N","",IFERROR(BDP($C58,'Field Check'!$C$16,'Field Check'!$C$17,TEXT(Summary!$C$12-3,"0")),"")))</f>
        <v/>
      </c>
      <c r="P58" s="55">
        <f>IF($C58="","",IF(Summary!$C$16="N","",IFERROR(BDP($C58,'Field Check'!$C$16,'Field Check'!$C$17,TEXT(Summary!$C$12-2,"0")),"")))</f>
        <v/>
      </c>
      <c r="Q58" s="55">
        <f>IF($C58="","",IF(Summary!$C$16="N","",IFERROR(BDP($C58,'Field Check'!$C$16,'Field Check'!$C$17,TEXT(Summary!$C$12-1,"0")),"")))</f>
        <v/>
      </c>
      <c r="R58" s="56">
        <f>IF($C58="","",IF(Summary!$C$16="N","",IFERROR(BDP($C58,'Field Check'!$C$18,'Field Check'!$C$17,TEXT(Summary!$C$12-5,"0"))/100,"")))</f>
        <v/>
      </c>
      <c r="S58" s="56">
        <f>IF($C58="","",IF(Summary!$C$16="N","",IFERROR(BDP($C58,'Field Check'!$C$18,'Field Check'!$C$17,TEXT(Summary!$C$12-4,"0"))/100,"")))</f>
        <v/>
      </c>
      <c r="T58" s="56">
        <f>IF($C58="","",IF(Summary!$C$16="N","",IFERROR(BDP($C58,'Field Check'!$C$18,'Field Check'!$C$17,TEXT(Summary!$C$12-3,"0"))/100,"")))</f>
        <v/>
      </c>
      <c r="U58" s="56">
        <f>IF($C58="","",IF(Summary!$C$16="N","",IFERROR(BDP($C58,'Field Check'!$C$18,'Field Check'!$C$17,TEXT(Summary!$C$12-2,"0"))/100,"")))</f>
        <v/>
      </c>
      <c r="V58" s="56">
        <f>IF($C58="","",IF(Summary!$C$16="N","",IFERROR(BDP($C58,'Field Check'!$C$18,'Field Check'!$C$17,TEXT(Summary!$C$12-1,"0"))/100,"")))</f>
        <v/>
      </c>
      <c r="W58" s="57">
        <f>IF($C58="","",IFERROR(AVERAGE(R58:V58),""))</f>
        <v/>
      </c>
      <c r="X58" s="58">
        <f>IF($C58="","",IF(ISNUMBER($Q58)*(N($Q58)&gt;0)=0,"",IFERROR($J58/$Q58,"")))</f>
        <v/>
      </c>
      <c r="Y58" s="59">
        <f>IF($C58="","",IF(ISNUMBER(HSI!$I$53),HSI!$I$53/100,""))</f>
        <v/>
      </c>
      <c r="Z58" s="60">
        <f>IF($C58="","",IF(Summary!$C$16="N","",IFERROR(BDP($C58,'Field Check'!$C$19)/100,"")))</f>
        <v/>
      </c>
      <c r="AA58" s="61">
        <f>IF($C58="","",IF(N($Y58)+N($Z58)=0,"",N($Y58)+N($Z58)))</f>
        <v/>
      </c>
      <c r="AB58" s="60">
        <f>IF($C58="","",IF(Summary!$C$16="N","",IFERROR(BDP($C58,'Field Check'!$C$20)/100,"")))</f>
        <v/>
      </c>
      <c r="AC58" s="45">
        <f>IF($C58="","",IF(N($Y58)=0,"",IFERROR($AB58/$Y58,"")))</f>
        <v/>
      </c>
      <c r="AD58" s="55">
        <f>IF($C58="","",IF(Summary!$C$16="N","",IFERROR(BDP($C58,'Field Check'!$C$21),"")))</f>
        <v/>
      </c>
      <c r="AE58" s="55">
        <f>IF($C58="","",IF(Summary!$C$16="N","",IFERROR(BDP($C58,'Field Check'!$C$22),"")))</f>
        <v/>
      </c>
      <c r="AF58" s="55">
        <f>IF($C58="","",IF(Summary!$C$16="N","",IFERROR(BDP($C58,'Field Check'!$C$23),"")))</f>
        <v/>
      </c>
      <c r="AG58" s="40">
        <f>IF($C58="","",TRIM(IF(ISNUMBER($W58)*(N($W58)&gt;$D$7)&gt;0,"payout high  ","")&amp;IF(ISNUMBER($AC58)*(N($AC58)&lt;$F$7)&gt;0,"FCF below dvd  ","")&amp;IF(ISNUMBER($AE58)*(N($AE58)&gt;$H$7)&gt;0,"leverage high","")))</f>
        <v/>
      </c>
      <c r="AH58" s="40">
        <f>IF($C58="","",IF(HSI!$F$53="HKD","",IF(HSI!$F$53="","","DPS in "&amp;HSI!$F$53)))</f>
        <v/>
      </c>
    </row>
    <row r="59">
      <c r="B59" s="52" t="inlineStr">
        <is>
          <t>HSI</t>
        </is>
      </c>
      <c r="C59" s="6">
        <f>IF(HSI!$C$54="","",HSI!$C$54)</f>
        <v/>
      </c>
      <c r="D59" s="6">
        <f>IF($C59="","",HSI!$D$54)</f>
        <v/>
      </c>
      <c r="E59" s="6">
        <f>IF($C59="","",HSI!$E$54)</f>
        <v/>
      </c>
      <c r="F59" s="53">
        <f>IF($C59="","",SUMIFS('Dvd Calendar'!$E$716:$AR$716,'Dvd Calendar'!$E$715:$AR$715,"&gt;="&amp;DATE(Summary!$C$12-5,1,1),'Dvd Calendar'!$E$715:$AR$715,"&lt;="&amp;DATE(Summary!$C$12-5,12,31)))</f>
        <v/>
      </c>
      <c r="G59" s="53">
        <f>IF($C59="","",SUMIFS('Dvd Calendar'!$E$716:$AR$716,'Dvd Calendar'!$E$715:$AR$715,"&gt;="&amp;DATE(Summary!$C$12-4,1,1),'Dvd Calendar'!$E$715:$AR$715,"&lt;="&amp;DATE(Summary!$C$12-4,12,31)))</f>
        <v/>
      </c>
      <c r="H59" s="53">
        <f>IF($C59="","",SUMIFS('Dvd Calendar'!$E$716:$AR$716,'Dvd Calendar'!$E$715:$AR$715,"&gt;="&amp;DATE(Summary!$C$12-3,1,1),'Dvd Calendar'!$E$715:$AR$715,"&lt;="&amp;DATE(Summary!$C$12-3,12,31)))</f>
        <v/>
      </c>
      <c r="I59" s="53">
        <f>IF($C59="","",SUMIFS('Dvd Calendar'!$E$716:$AR$716,'Dvd Calendar'!$E$715:$AR$715,"&gt;="&amp;DATE(Summary!$C$12-2,1,1),'Dvd Calendar'!$E$715:$AR$715,"&lt;="&amp;DATE(Summary!$C$12-2,12,31)))</f>
        <v/>
      </c>
      <c r="J59" s="53">
        <f>IF($C59="","",SUMIFS('Dvd Calendar'!$E$716:$AR$716,'Dvd Calendar'!$E$715:$AR$715,"&gt;="&amp;DATE(Summary!$C$12-1,1,1),'Dvd Calendar'!$E$715:$AR$715,"&lt;="&amp;DATE(Summary!$C$12-1,12,31)))</f>
        <v/>
      </c>
      <c r="K59" s="54">
        <f>IF($C59="","",SUMIFS('Dvd Calendar'!$E$716:$AR$716,'Dvd Calendar'!$E$715:$AR$715,"&gt;="&amp;DATE(Summary!$C$12,1,1),'Dvd Calendar'!$E$715:$AR$715,"&lt;="&amp;MIN(Summary!$C$11,DATE(Summary!$C$12,12,31))))</f>
        <v/>
      </c>
      <c r="L59" s="38">
        <f>IF($C59="","",AVERAGE(F59:J59))</f>
        <v/>
      </c>
      <c r="M59" s="55">
        <f>IF($C59="","",IF(Summary!$C$16="N","",IFERROR(BDP($C59,'Field Check'!$C$16,'Field Check'!$C$17,TEXT(Summary!$C$12-5,"0")),"")))</f>
        <v/>
      </c>
      <c r="N59" s="55">
        <f>IF($C59="","",IF(Summary!$C$16="N","",IFERROR(BDP($C59,'Field Check'!$C$16,'Field Check'!$C$17,TEXT(Summary!$C$12-4,"0")),"")))</f>
        <v/>
      </c>
      <c r="O59" s="55">
        <f>IF($C59="","",IF(Summary!$C$16="N","",IFERROR(BDP($C59,'Field Check'!$C$16,'Field Check'!$C$17,TEXT(Summary!$C$12-3,"0")),"")))</f>
        <v/>
      </c>
      <c r="P59" s="55">
        <f>IF($C59="","",IF(Summary!$C$16="N","",IFERROR(BDP($C59,'Field Check'!$C$16,'Field Check'!$C$17,TEXT(Summary!$C$12-2,"0")),"")))</f>
        <v/>
      </c>
      <c r="Q59" s="55">
        <f>IF($C59="","",IF(Summary!$C$16="N","",IFERROR(BDP($C59,'Field Check'!$C$16,'Field Check'!$C$17,TEXT(Summary!$C$12-1,"0")),"")))</f>
        <v/>
      </c>
      <c r="R59" s="56">
        <f>IF($C59="","",IF(Summary!$C$16="N","",IFERROR(BDP($C59,'Field Check'!$C$18,'Field Check'!$C$17,TEXT(Summary!$C$12-5,"0"))/100,"")))</f>
        <v/>
      </c>
      <c r="S59" s="56">
        <f>IF($C59="","",IF(Summary!$C$16="N","",IFERROR(BDP($C59,'Field Check'!$C$18,'Field Check'!$C$17,TEXT(Summary!$C$12-4,"0"))/100,"")))</f>
        <v/>
      </c>
      <c r="T59" s="56">
        <f>IF($C59="","",IF(Summary!$C$16="N","",IFERROR(BDP($C59,'Field Check'!$C$18,'Field Check'!$C$17,TEXT(Summary!$C$12-3,"0"))/100,"")))</f>
        <v/>
      </c>
      <c r="U59" s="56">
        <f>IF($C59="","",IF(Summary!$C$16="N","",IFERROR(BDP($C59,'Field Check'!$C$18,'Field Check'!$C$17,TEXT(Summary!$C$12-2,"0"))/100,"")))</f>
        <v/>
      </c>
      <c r="V59" s="56">
        <f>IF($C59="","",IF(Summary!$C$16="N","",IFERROR(BDP($C59,'Field Check'!$C$18,'Field Check'!$C$17,TEXT(Summary!$C$12-1,"0"))/100,"")))</f>
        <v/>
      </c>
      <c r="W59" s="57">
        <f>IF($C59="","",IFERROR(AVERAGE(R59:V59),""))</f>
        <v/>
      </c>
      <c r="X59" s="58">
        <f>IF($C59="","",IF(ISNUMBER($Q59)*(N($Q59)&gt;0)=0,"",IFERROR($J59/$Q59,"")))</f>
        <v/>
      </c>
      <c r="Y59" s="59">
        <f>IF($C59="","",IF(ISNUMBER(HSI!$I$54),HSI!$I$54/100,""))</f>
        <v/>
      </c>
      <c r="Z59" s="60">
        <f>IF($C59="","",IF(Summary!$C$16="N","",IFERROR(BDP($C59,'Field Check'!$C$19)/100,"")))</f>
        <v/>
      </c>
      <c r="AA59" s="61">
        <f>IF($C59="","",IF(N($Y59)+N($Z59)=0,"",N($Y59)+N($Z59)))</f>
        <v/>
      </c>
      <c r="AB59" s="60">
        <f>IF($C59="","",IF(Summary!$C$16="N","",IFERROR(BDP($C59,'Field Check'!$C$20)/100,"")))</f>
        <v/>
      </c>
      <c r="AC59" s="45">
        <f>IF($C59="","",IF(N($Y59)=0,"",IFERROR($AB59/$Y59,"")))</f>
        <v/>
      </c>
      <c r="AD59" s="55">
        <f>IF($C59="","",IF(Summary!$C$16="N","",IFERROR(BDP($C59,'Field Check'!$C$21),"")))</f>
        <v/>
      </c>
      <c r="AE59" s="55">
        <f>IF($C59="","",IF(Summary!$C$16="N","",IFERROR(BDP($C59,'Field Check'!$C$22),"")))</f>
        <v/>
      </c>
      <c r="AF59" s="55">
        <f>IF($C59="","",IF(Summary!$C$16="N","",IFERROR(BDP($C59,'Field Check'!$C$23),"")))</f>
        <v/>
      </c>
      <c r="AG59" s="40">
        <f>IF($C59="","",TRIM(IF(ISNUMBER($W59)*(N($W59)&gt;$D$7)&gt;0,"payout high  ","")&amp;IF(ISNUMBER($AC59)*(N($AC59)&lt;$F$7)&gt;0,"FCF below dvd  ","")&amp;IF(ISNUMBER($AE59)*(N($AE59)&gt;$H$7)&gt;0,"leverage high","")))</f>
        <v/>
      </c>
      <c r="AH59" s="40">
        <f>IF($C59="","",IF(HSI!$F$54="HKD","",IF(HSI!$F$54="","","DPS in "&amp;HSI!$F$54)))</f>
        <v/>
      </c>
    </row>
    <row r="60">
      <c r="B60" s="52" t="inlineStr">
        <is>
          <t>HSI</t>
        </is>
      </c>
      <c r="C60" s="6">
        <f>IF(HSI!$C$55="","",HSI!$C$55)</f>
        <v/>
      </c>
      <c r="D60" s="6">
        <f>IF($C60="","",HSI!$D$55)</f>
        <v/>
      </c>
      <c r="E60" s="6">
        <f>IF($C60="","",HSI!$E$55)</f>
        <v/>
      </c>
      <c r="F60" s="53">
        <f>IF($C60="","",SUMIFS('Dvd Calendar'!$E$731:$AR$731,'Dvd Calendar'!$E$730:$AR$730,"&gt;="&amp;DATE(Summary!$C$12-5,1,1),'Dvd Calendar'!$E$730:$AR$730,"&lt;="&amp;DATE(Summary!$C$12-5,12,31)))</f>
        <v/>
      </c>
      <c r="G60" s="53">
        <f>IF($C60="","",SUMIFS('Dvd Calendar'!$E$731:$AR$731,'Dvd Calendar'!$E$730:$AR$730,"&gt;="&amp;DATE(Summary!$C$12-4,1,1),'Dvd Calendar'!$E$730:$AR$730,"&lt;="&amp;DATE(Summary!$C$12-4,12,31)))</f>
        <v/>
      </c>
      <c r="H60" s="53">
        <f>IF($C60="","",SUMIFS('Dvd Calendar'!$E$731:$AR$731,'Dvd Calendar'!$E$730:$AR$730,"&gt;="&amp;DATE(Summary!$C$12-3,1,1),'Dvd Calendar'!$E$730:$AR$730,"&lt;="&amp;DATE(Summary!$C$12-3,12,31)))</f>
        <v/>
      </c>
      <c r="I60" s="53">
        <f>IF($C60="","",SUMIFS('Dvd Calendar'!$E$731:$AR$731,'Dvd Calendar'!$E$730:$AR$730,"&gt;="&amp;DATE(Summary!$C$12-2,1,1),'Dvd Calendar'!$E$730:$AR$730,"&lt;="&amp;DATE(Summary!$C$12-2,12,31)))</f>
        <v/>
      </c>
      <c r="J60" s="53">
        <f>IF($C60="","",SUMIFS('Dvd Calendar'!$E$731:$AR$731,'Dvd Calendar'!$E$730:$AR$730,"&gt;="&amp;DATE(Summary!$C$12-1,1,1),'Dvd Calendar'!$E$730:$AR$730,"&lt;="&amp;DATE(Summary!$C$12-1,12,31)))</f>
        <v/>
      </c>
      <c r="K60" s="54">
        <f>IF($C60="","",SUMIFS('Dvd Calendar'!$E$731:$AR$731,'Dvd Calendar'!$E$730:$AR$730,"&gt;="&amp;DATE(Summary!$C$12,1,1),'Dvd Calendar'!$E$730:$AR$730,"&lt;="&amp;MIN(Summary!$C$11,DATE(Summary!$C$12,12,31))))</f>
        <v/>
      </c>
      <c r="L60" s="38">
        <f>IF($C60="","",AVERAGE(F60:J60))</f>
        <v/>
      </c>
      <c r="M60" s="55">
        <f>IF($C60="","",IF(Summary!$C$16="N","",IFERROR(BDP($C60,'Field Check'!$C$16,'Field Check'!$C$17,TEXT(Summary!$C$12-5,"0")),"")))</f>
        <v/>
      </c>
      <c r="N60" s="55">
        <f>IF($C60="","",IF(Summary!$C$16="N","",IFERROR(BDP($C60,'Field Check'!$C$16,'Field Check'!$C$17,TEXT(Summary!$C$12-4,"0")),"")))</f>
        <v/>
      </c>
      <c r="O60" s="55">
        <f>IF($C60="","",IF(Summary!$C$16="N","",IFERROR(BDP($C60,'Field Check'!$C$16,'Field Check'!$C$17,TEXT(Summary!$C$12-3,"0")),"")))</f>
        <v/>
      </c>
      <c r="P60" s="55">
        <f>IF($C60="","",IF(Summary!$C$16="N","",IFERROR(BDP($C60,'Field Check'!$C$16,'Field Check'!$C$17,TEXT(Summary!$C$12-2,"0")),"")))</f>
        <v/>
      </c>
      <c r="Q60" s="55">
        <f>IF($C60="","",IF(Summary!$C$16="N","",IFERROR(BDP($C60,'Field Check'!$C$16,'Field Check'!$C$17,TEXT(Summary!$C$12-1,"0")),"")))</f>
        <v/>
      </c>
      <c r="R60" s="56">
        <f>IF($C60="","",IF(Summary!$C$16="N","",IFERROR(BDP($C60,'Field Check'!$C$18,'Field Check'!$C$17,TEXT(Summary!$C$12-5,"0"))/100,"")))</f>
        <v/>
      </c>
      <c r="S60" s="56">
        <f>IF($C60="","",IF(Summary!$C$16="N","",IFERROR(BDP($C60,'Field Check'!$C$18,'Field Check'!$C$17,TEXT(Summary!$C$12-4,"0"))/100,"")))</f>
        <v/>
      </c>
      <c r="T60" s="56">
        <f>IF($C60="","",IF(Summary!$C$16="N","",IFERROR(BDP($C60,'Field Check'!$C$18,'Field Check'!$C$17,TEXT(Summary!$C$12-3,"0"))/100,"")))</f>
        <v/>
      </c>
      <c r="U60" s="56">
        <f>IF($C60="","",IF(Summary!$C$16="N","",IFERROR(BDP($C60,'Field Check'!$C$18,'Field Check'!$C$17,TEXT(Summary!$C$12-2,"0"))/100,"")))</f>
        <v/>
      </c>
      <c r="V60" s="56">
        <f>IF($C60="","",IF(Summary!$C$16="N","",IFERROR(BDP($C60,'Field Check'!$C$18,'Field Check'!$C$17,TEXT(Summary!$C$12-1,"0"))/100,"")))</f>
        <v/>
      </c>
      <c r="W60" s="57">
        <f>IF($C60="","",IFERROR(AVERAGE(R60:V60),""))</f>
        <v/>
      </c>
      <c r="X60" s="58">
        <f>IF($C60="","",IF(ISNUMBER($Q60)*(N($Q60)&gt;0)=0,"",IFERROR($J60/$Q60,"")))</f>
        <v/>
      </c>
      <c r="Y60" s="59">
        <f>IF($C60="","",IF(ISNUMBER(HSI!$I$55),HSI!$I$55/100,""))</f>
        <v/>
      </c>
      <c r="Z60" s="60">
        <f>IF($C60="","",IF(Summary!$C$16="N","",IFERROR(BDP($C60,'Field Check'!$C$19)/100,"")))</f>
        <v/>
      </c>
      <c r="AA60" s="61">
        <f>IF($C60="","",IF(N($Y60)+N($Z60)=0,"",N($Y60)+N($Z60)))</f>
        <v/>
      </c>
      <c r="AB60" s="60">
        <f>IF($C60="","",IF(Summary!$C$16="N","",IFERROR(BDP($C60,'Field Check'!$C$20)/100,"")))</f>
        <v/>
      </c>
      <c r="AC60" s="45">
        <f>IF($C60="","",IF(N($Y60)=0,"",IFERROR($AB60/$Y60,"")))</f>
        <v/>
      </c>
      <c r="AD60" s="55">
        <f>IF($C60="","",IF(Summary!$C$16="N","",IFERROR(BDP($C60,'Field Check'!$C$21),"")))</f>
        <v/>
      </c>
      <c r="AE60" s="55">
        <f>IF($C60="","",IF(Summary!$C$16="N","",IFERROR(BDP($C60,'Field Check'!$C$22),"")))</f>
        <v/>
      </c>
      <c r="AF60" s="55">
        <f>IF($C60="","",IF(Summary!$C$16="N","",IFERROR(BDP($C60,'Field Check'!$C$23),"")))</f>
        <v/>
      </c>
      <c r="AG60" s="40">
        <f>IF($C60="","",TRIM(IF(ISNUMBER($W60)*(N($W60)&gt;$D$7)&gt;0,"payout high  ","")&amp;IF(ISNUMBER($AC60)*(N($AC60)&lt;$F$7)&gt;0,"FCF below dvd  ","")&amp;IF(ISNUMBER($AE60)*(N($AE60)&gt;$H$7)&gt;0,"leverage high","")))</f>
        <v/>
      </c>
      <c r="AH60" s="40">
        <f>IF($C60="","",IF(HSI!$F$55="HKD","",IF(HSI!$F$55="","","DPS in "&amp;HSI!$F$55)))</f>
        <v/>
      </c>
    </row>
    <row r="61">
      <c r="B61" s="52" t="inlineStr">
        <is>
          <t>HSI</t>
        </is>
      </c>
      <c r="C61" s="6">
        <f>IF(HSI!$C$56="","",HSI!$C$56)</f>
        <v/>
      </c>
      <c r="D61" s="6">
        <f>IF($C61="","",HSI!$D$56)</f>
        <v/>
      </c>
      <c r="E61" s="6">
        <f>IF($C61="","",HSI!$E$56)</f>
        <v/>
      </c>
      <c r="F61" s="53">
        <f>IF($C61="","",SUMIFS('Dvd Calendar'!$E$746:$AR$746,'Dvd Calendar'!$E$745:$AR$745,"&gt;="&amp;DATE(Summary!$C$12-5,1,1),'Dvd Calendar'!$E$745:$AR$745,"&lt;="&amp;DATE(Summary!$C$12-5,12,31)))</f>
        <v/>
      </c>
      <c r="G61" s="53">
        <f>IF($C61="","",SUMIFS('Dvd Calendar'!$E$746:$AR$746,'Dvd Calendar'!$E$745:$AR$745,"&gt;="&amp;DATE(Summary!$C$12-4,1,1),'Dvd Calendar'!$E$745:$AR$745,"&lt;="&amp;DATE(Summary!$C$12-4,12,31)))</f>
        <v/>
      </c>
      <c r="H61" s="53">
        <f>IF($C61="","",SUMIFS('Dvd Calendar'!$E$746:$AR$746,'Dvd Calendar'!$E$745:$AR$745,"&gt;="&amp;DATE(Summary!$C$12-3,1,1),'Dvd Calendar'!$E$745:$AR$745,"&lt;="&amp;DATE(Summary!$C$12-3,12,31)))</f>
        <v/>
      </c>
      <c r="I61" s="53">
        <f>IF($C61="","",SUMIFS('Dvd Calendar'!$E$746:$AR$746,'Dvd Calendar'!$E$745:$AR$745,"&gt;="&amp;DATE(Summary!$C$12-2,1,1),'Dvd Calendar'!$E$745:$AR$745,"&lt;="&amp;DATE(Summary!$C$12-2,12,31)))</f>
        <v/>
      </c>
      <c r="J61" s="53">
        <f>IF($C61="","",SUMIFS('Dvd Calendar'!$E$746:$AR$746,'Dvd Calendar'!$E$745:$AR$745,"&gt;="&amp;DATE(Summary!$C$12-1,1,1),'Dvd Calendar'!$E$745:$AR$745,"&lt;="&amp;DATE(Summary!$C$12-1,12,31)))</f>
        <v/>
      </c>
      <c r="K61" s="54">
        <f>IF($C61="","",SUMIFS('Dvd Calendar'!$E$746:$AR$746,'Dvd Calendar'!$E$745:$AR$745,"&gt;="&amp;DATE(Summary!$C$12,1,1),'Dvd Calendar'!$E$745:$AR$745,"&lt;="&amp;MIN(Summary!$C$11,DATE(Summary!$C$12,12,31))))</f>
        <v/>
      </c>
      <c r="L61" s="38">
        <f>IF($C61="","",AVERAGE(F61:J61))</f>
        <v/>
      </c>
      <c r="M61" s="55">
        <f>IF($C61="","",IF(Summary!$C$16="N","",IFERROR(BDP($C61,'Field Check'!$C$16,'Field Check'!$C$17,TEXT(Summary!$C$12-5,"0")),"")))</f>
        <v/>
      </c>
      <c r="N61" s="55">
        <f>IF($C61="","",IF(Summary!$C$16="N","",IFERROR(BDP($C61,'Field Check'!$C$16,'Field Check'!$C$17,TEXT(Summary!$C$12-4,"0")),"")))</f>
        <v/>
      </c>
      <c r="O61" s="55">
        <f>IF($C61="","",IF(Summary!$C$16="N","",IFERROR(BDP($C61,'Field Check'!$C$16,'Field Check'!$C$17,TEXT(Summary!$C$12-3,"0")),"")))</f>
        <v/>
      </c>
      <c r="P61" s="55">
        <f>IF($C61="","",IF(Summary!$C$16="N","",IFERROR(BDP($C61,'Field Check'!$C$16,'Field Check'!$C$17,TEXT(Summary!$C$12-2,"0")),"")))</f>
        <v/>
      </c>
      <c r="Q61" s="55">
        <f>IF($C61="","",IF(Summary!$C$16="N","",IFERROR(BDP($C61,'Field Check'!$C$16,'Field Check'!$C$17,TEXT(Summary!$C$12-1,"0")),"")))</f>
        <v/>
      </c>
      <c r="R61" s="56">
        <f>IF($C61="","",IF(Summary!$C$16="N","",IFERROR(BDP($C61,'Field Check'!$C$18,'Field Check'!$C$17,TEXT(Summary!$C$12-5,"0"))/100,"")))</f>
        <v/>
      </c>
      <c r="S61" s="56">
        <f>IF($C61="","",IF(Summary!$C$16="N","",IFERROR(BDP($C61,'Field Check'!$C$18,'Field Check'!$C$17,TEXT(Summary!$C$12-4,"0"))/100,"")))</f>
        <v/>
      </c>
      <c r="T61" s="56">
        <f>IF($C61="","",IF(Summary!$C$16="N","",IFERROR(BDP($C61,'Field Check'!$C$18,'Field Check'!$C$17,TEXT(Summary!$C$12-3,"0"))/100,"")))</f>
        <v/>
      </c>
      <c r="U61" s="56">
        <f>IF($C61="","",IF(Summary!$C$16="N","",IFERROR(BDP($C61,'Field Check'!$C$18,'Field Check'!$C$17,TEXT(Summary!$C$12-2,"0"))/100,"")))</f>
        <v/>
      </c>
      <c r="V61" s="56">
        <f>IF($C61="","",IF(Summary!$C$16="N","",IFERROR(BDP($C61,'Field Check'!$C$18,'Field Check'!$C$17,TEXT(Summary!$C$12-1,"0"))/100,"")))</f>
        <v/>
      </c>
      <c r="W61" s="57">
        <f>IF($C61="","",IFERROR(AVERAGE(R61:V61),""))</f>
        <v/>
      </c>
      <c r="X61" s="58">
        <f>IF($C61="","",IF(ISNUMBER($Q61)*(N($Q61)&gt;0)=0,"",IFERROR($J61/$Q61,"")))</f>
        <v/>
      </c>
      <c r="Y61" s="59">
        <f>IF($C61="","",IF(ISNUMBER(HSI!$I$56),HSI!$I$56/100,""))</f>
        <v/>
      </c>
      <c r="Z61" s="60">
        <f>IF($C61="","",IF(Summary!$C$16="N","",IFERROR(BDP($C61,'Field Check'!$C$19)/100,"")))</f>
        <v/>
      </c>
      <c r="AA61" s="61">
        <f>IF($C61="","",IF(N($Y61)+N($Z61)=0,"",N($Y61)+N($Z61)))</f>
        <v/>
      </c>
      <c r="AB61" s="60">
        <f>IF($C61="","",IF(Summary!$C$16="N","",IFERROR(BDP($C61,'Field Check'!$C$20)/100,"")))</f>
        <v/>
      </c>
      <c r="AC61" s="45">
        <f>IF($C61="","",IF(N($Y61)=0,"",IFERROR($AB61/$Y61,"")))</f>
        <v/>
      </c>
      <c r="AD61" s="55">
        <f>IF($C61="","",IF(Summary!$C$16="N","",IFERROR(BDP($C61,'Field Check'!$C$21),"")))</f>
        <v/>
      </c>
      <c r="AE61" s="55">
        <f>IF($C61="","",IF(Summary!$C$16="N","",IFERROR(BDP($C61,'Field Check'!$C$22),"")))</f>
        <v/>
      </c>
      <c r="AF61" s="55">
        <f>IF($C61="","",IF(Summary!$C$16="N","",IFERROR(BDP($C61,'Field Check'!$C$23),"")))</f>
        <v/>
      </c>
      <c r="AG61" s="40">
        <f>IF($C61="","",TRIM(IF(ISNUMBER($W61)*(N($W61)&gt;$D$7)&gt;0,"payout high  ","")&amp;IF(ISNUMBER($AC61)*(N($AC61)&lt;$F$7)&gt;0,"FCF below dvd  ","")&amp;IF(ISNUMBER($AE61)*(N($AE61)&gt;$H$7)&gt;0,"leverage high","")))</f>
        <v/>
      </c>
      <c r="AH61" s="40">
        <f>IF($C61="","",IF(HSI!$F$56="HKD","",IF(HSI!$F$56="","","DPS in "&amp;HSI!$F$56)))</f>
        <v/>
      </c>
    </row>
    <row r="62">
      <c r="B62" s="52" t="inlineStr">
        <is>
          <t>HSI</t>
        </is>
      </c>
      <c r="C62" s="6">
        <f>IF(HSI!$C$57="","",HSI!$C$57)</f>
        <v/>
      </c>
      <c r="D62" s="6">
        <f>IF($C62="","",HSI!$D$57)</f>
        <v/>
      </c>
      <c r="E62" s="6">
        <f>IF($C62="","",HSI!$E$57)</f>
        <v/>
      </c>
      <c r="F62" s="53">
        <f>IF($C62="","",SUMIFS('Dvd Calendar'!$E$761:$AR$761,'Dvd Calendar'!$E$760:$AR$760,"&gt;="&amp;DATE(Summary!$C$12-5,1,1),'Dvd Calendar'!$E$760:$AR$760,"&lt;="&amp;DATE(Summary!$C$12-5,12,31)))</f>
        <v/>
      </c>
      <c r="G62" s="53">
        <f>IF($C62="","",SUMIFS('Dvd Calendar'!$E$761:$AR$761,'Dvd Calendar'!$E$760:$AR$760,"&gt;="&amp;DATE(Summary!$C$12-4,1,1),'Dvd Calendar'!$E$760:$AR$760,"&lt;="&amp;DATE(Summary!$C$12-4,12,31)))</f>
        <v/>
      </c>
      <c r="H62" s="53">
        <f>IF($C62="","",SUMIFS('Dvd Calendar'!$E$761:$AR$761,'Dvd Calendar'!$E$760:$AR$760,"&gt;="&amp;DATE(Summary!$C$12-3,1,1),'Dvd Calendar'!$E$760:$AR$760,"&lt;="&amp;DATE(Summary!$C$12-3,12,31)))</f>
        <v/>
      </c>
      <c r="I62" s="53">
        <f>IF($C62="","",SUMIFS('Dvd Calendar'!$E$761:$AR$761,'Dvd Calendar'!$E$760:$AR$760,"&gt;="&amp;DATE(Summary!$C$12-2,1,1),'Dvd Calendar'!$E$760:$AR$760,"&lt;="&amp;DATE(Summary!$C$12-2,12,31)))</f>
        <v/>
      </c>
      <c r="J62" s="53">
        <f>IF($C62="","",SUMIFS('Dvd Calendar'!$E$761:$AR$761,'Dvd Calendar'!$E$760:$AR$760,"&gt;="&amp;DATE(Summary!$C$12-1,1,1),'Dvd Calendar'!$E$760:$AR$760,"&lt;="&amp;DATE(Summary!$C$12-1,12,31)))</f>
        <v/>
      </c>
      <c r="K62" s="54">
        <f>IF($C62="","",SUMIFS('Dvd Calendar'!$E$761:$AR$761,'Dvd Calendar'!$E$760:$AR$760,"&gt;="&amp;DATE(Summary!$C$12,1,1),'Dvd Calendar'!$E$760:$AR$760,"&lt;="&amp;MIN(Summary!$C$11,DATE(Summary!$C$12,12,31))))</f>
        <v/>
      </c>
      <c r="L62" s="38">
        <f>IF($C62="","",AVERAGE(F62:J62))</f>
        <v/>
      </c>
      <c r="M62" s="55">
        <f>IF($C62="","",IF(Summary!$C$16="N","",IFERROR(BDP($C62,'Field Check'!$C$16,'Field Check'!$C$17,TEXT(Summary!$C$12-5,"0")),"")))</f>
        <v/>
      </c>
      <c r="N62" s="55">
        <f>IF($C62="","",IF(Summary!$C$16="N","",IFERROR(BDP($C62,'Field Check'!$C$16,'Field Check'!$C$17,TEXT(Summary!$C$12-4,"0")),"")))</f>
        <v/>
      </c>
      <c r="O62" s="55">
        <f>IF($C62="","",IF(Summary!$C$16="N","",IFERROR(BDP($C62,'Field Check'!$C$16,'Field Check'!$C$17,TEXT(Summary!$C$12-3,"0")),"")))</f>
        <v/>
      </c>
      <c r="P62" s="55">
        <f>IF($C62="","",IF(Summary!$C$16="N","",IFERROR(BDP($C62,'Field Check'!$C$16,'Field Check'!$C$17,TEXT(Summary!$C$12-2,"0")),"")))</f>
        <v/>
      </c>
      <c r="Q62" s="55">
        <f>IF($C62="","",IF(Summary!$C$16="N","",IFERROR(BDP($C62,'Field Check'!$C$16,'Field Check'!$C$17,TEXT(Summary!$C$12-1,"0")),"")))</f>
        <v/>
      </c>
      <c r="R62" s="56">
        <f>IF($C62="","",IF(Summary!$C$16="N","",IFERROR(BDP($C62,'Field Check'!$C$18,'Field Check'!$C$17,TEXT(Summary!$C$12-5,"0"))/100,"")))</f>
        <v/>
      </c>
      <c r="S62" s="56">
        <f>IF($C62="","",IF(Summary!$C$16="N","",IFERROR(BDP($C62,'Field Check'!$C$18,'Field Check'!$C$17,TEXT(Summary!$C$12-4,"0"))/100,"")))</f>
        <v/>
      </c>
      <c r="T62" s="56">
        <f>IF($C62="","",IF(Summary!$C$16="N","",IFERROR(BDP($C62,'Field Check'!$C$18,'Field Check'!$C$17,TEXT(Summary!$C$12-3,"0"))/100,"")))</f>
        <v/>
      </c>
      <c r="U62" s="56">
        <f>IF($C62="","",IF(Summary!$C$16="N","",IFERROR(BDP($C62,'Field Check'!$C$18,'Field Check'!$C$17,TEXT(Summary!$C$12-2,"0"))/100,"")))</f>
        <v/>
      </c>
      <c r="V62" s="56">
        <f>IF($C62="","",IF(Summary!$C$16="N","",IFERROR(BDP($C62,'Field Check'!$C$18,'Field Check'!$C$17,TEXT(Summary!$C$12-1,"0"))/100,"")))</f>
        <v/>
      </c>
      <c r="W62" s="57">
        <f>IF($C62="","",IFERROR(AVERAGE(R62:V62),""))</f>
        <v/>
      </c>
      <c r="X62" s="58">
        <f>IF($C62="","",IF(ISNUMBER($Q62)*(N($Q62)&gt;0)=0,"",IFERROR($J62/$Q62,"")))</f>
        <v/>
      </c>
      <c r="Y62" s="59">
        <f>IF($C62="","",IF(ISNUMBER(HSI!$I$57),HSI!$I$57/100,""))</f>
        <v/>
      </c>
      <c r="Z62" s="60">
        <f>IF($C62="","",IF(Summary!$C$16="N","",IFERROR(BDP($C62,'Field Check'!$C$19)/100,"")))</f>
        <v/>
      </c>
      <c r="AA62" s="61">
        <f>IF($C62="","",IF(N($Y62)+N($Z62)=0,"",N($Y62)+N($Z62)))</f>
        <v/>
      </c>
      <c r="AB62" s="60">
        <f>IF($C62="","",IF(Summary!$C$16="N","",IFERROR(BDP($C62,'Field Check'!$C$20)/100,"")))</f>
        <v/>
      </c>
      <c r="AC62" s="45">
        <f>IF($C62="","",IF(N($Y62)=0,"",IFERROR($AB62/$Y62,"")))</f>
        <v/>
      </c>
      <c r="AD62" s="55">
        <f>IF($C62="","",IF(Summary!$C$16="N","",IFERROR(BDP($C62,'Field Check'!$C$21),"")))</f>
        <v/>
      </c>
      <c r="AE62" s="55">
        <f>IF($C62="","",IF(Summary!$C$16="N","",IFERROR(BDP($C62,'Field Check'!$C$22),"")))</f>
        <v/>
      </c>
      <c r="AF62" s="55">
        <f>IF($C62="","",IF(Summary!$C$16="N","",IFERROR(BDP($C62,'Field Check'!$C$23),"")))</f>
        <v/>
      </c>
      <c r="AG62" s="40">
        <f>IF($C62="","",TRIM(IF(ISNUMBER($W62)*(N($W62)&gt;$D$7)&gt;0,"payout high  ","")&amp;IF(ISNUMBER($AC62)*(N($AC62)&lt;$F$7)&gt;0,"FCF below dvd  ","")&amp;IF(ISNUMBER($AE62)*(N($AE62)&gt;$H$7)&gt;0,"leverage high","")))</f>
        <v/>
      </c>
      <c r="AH62" s="40">
        <f>IF($C62="","",IF(HSI!$F$57="HKD","",IF(HSI!$F$57="","","DPS in "&amp;HSI!$F$57)))</f>
        <v/>
      </c>
    </row>
    <row r="63">
      <c r="B63" s="52" t="inlineStr">
        <is>
          <t>HSI</t>
        </is>
      </c>
      <c r="C63" s="6">
        <f>IF(HSI!$C$58="","",HSI!$C$58)</f>
        <v/>
      </c>
      <c r="D63" s="6">
        <f>IF($C63="","",HSI!$D$58)</f>
        <v/>
      </c>
      <c r="E63" s="6">
        <f>IF($C63="","",HSI!$E$58)</f>
        <v/>
      </c>
      <c r="F63" s="53">
        <f>IF($C63="","",SUMIFS('Dvd Calendar'!$E$776:$AR$776,'Dvd Calendar'!$E$775:$AR$775,"&gt;="&amp;DATE(Summary!$C$12-5,1,1),'Dvd Calendar'!$E$775:$AR$775,"&lt;="&amp;DATE(Summary!$C$12-5,12,31)))</f>
        <v/>
      </c>
      <c r="G63" s="53">
        <f>IF($C63="","",SUMIFS('Dvd Calendar'!$E$776:$AR$776,'Dvd Calendar'!$E$775:$AR$775,"&gt;="&amp;DATE(Summary!$C$12-4,1,1),'Dvd Calendar'!$E$775:$AR$775,"&lt;="&amp;DATE(Summary!$C$12-4,12,31)))</f>
        <v/>
      </c>
      <c r="H63" s="53">
        <f>IF($C63="","",SUMIFS('Dvd Calendar'!$E$776:$AR$776,'Dvd Calendar'!$E$775:$AR$775,"&gt;="&amp;DATE(Summary!$C$12-3,1,1),'Dvd Calendar'!$E$775:$AR$775,"&lt;="&amp;DATE(Summary!$C$12-3,12,31)))</f>
        <v/>
      </c>
      <c r="I63" s="53">
        <f>IF($C63="","",SUMIFS('Dvd Calendar'!$E$776:$AR$776,'Dvd Calendar'!$E$775:$AR$775,"&gt;="&amp;DATE(Summary!$C$12-2,1,1),'Dvd Calendar'!$E$775:$AR$775,"&lt;="&amp;DATE(Summary!$C$12-2,12,31)))</f>
        <v/>
      </c>
      <c r="J63" s="53">
        <f>IF($C63="","",SUMIFS('Dvd Calendar'!$E$776:$AR$776,'Dvd Calendar'!$E$775:$AR$775,"&gt;="&amp;DATE(Summary!$C$12-1,1,1),'Dvd Calendar'!$E$775:$AR$775,"&lt;="&amp;DATE(Summary!$C$12-1,12,31)))</f>
        <v/>
      </c>
      <c r="K63" s="54">
        <f>IF($C63="","",SUMIFS('Dvd Calendar'!$E$776:$AR$776,'Dvd Calendar'!$E$775:$AR$775,"&gt;="&amp;DATE(Summary!$C$12,1,1),'Dvd Calendar'!$E$775:$AR$775,"&lt;="&amp;MIN(Summary!$C$11,DATE(Summary!$C$12,12,31))))</f>
        <v/>
      </c>
      <c r="L63" s="38">
        <f>IF($C63="","",AVERAGE(F63:J63))</f>
        <v/>
      </c>
      <c r="M63" s="55">
        <f>IF($C63="","",IF(Summary!$C$16="N","",IFERROR(BDP($C63,'Field Check'!$C$16,'Field Check'!$C$17,TEXT(Summary!$C$12-5,"0")),"")))</f>
        <v/>
      </c>
      <c r="N63" s="55">
        <f>IF($C63="","",IF(Summary!$C$16="N","",IFERROR(BDP($C63,'Field Check'!$C$16,'Field Check'!$C$17,TEXT(Summary!$C$12-4,"0")),"")))</f>
        <v/>
      </c>
      <c r="O63" s="55">
        <f>IF($C63="","",IF(Summary!$C$16="N","",IFERROR(BDP($C63,'Field Check'!$C$16,'Field Check'!$C$17,TEXT(Summary!$C$12-3,"0")),"")))</f>
        <v/>
      </c>
      <c r="P63" s="55">
        <f>IF($C63="","",IF(Summary!$C$16="N","",IFERROR(BDP($C63,'Field Check'!$C$16,'Field Check'!$C$17,TEXT(Summary!$C$12-2,"0")),"")))</f>
        <v/>
      </c>
      <c r="Q63" s="55">
        <f>IF($C63="","",IF(Summary!$C$16="N","",IFERROR(BDP($C63,'Field Check'!$C$16,'Field Check'!$C$17,TEXT(Summary!$C$12-1,"0")),"")))</f>
        <v/>
      </c>
      <c r="R63" s="56">
        <f>IF($C63="","",IF(Summary!$C$16="N","",IFERROR(BDP($C63,'Field Check'!$C$18,'Field Check'!$C$17,TEXT(Summary!$C$12-5,"0"))/100,"")))</f>
        <v/>
      </c>
      <c r="S63" s="56">
        <f>IF($C63="","",IF(Summary!$C$16="N","",IFERROR(BDP($C63,'Field Check'!$C$18,'Field Check'!$C$17,TEXT(Summary!$C$12-4,"0"))/100,"")))</f>
        <v/>
      </c>
      <c r="T63" s="56">
        <f>IF($C63="","",IF(Summary!$C$16="N","",IFERROR(BDP($C63,'Field Check'!$C$18,'Field Check'!$C$17,TEXT(Summary!$C$12-3,"0"))/100,"")))</f>
        <v/>
      </c>
      <c r="U63" s="56">
        <f>IF($C63="","",IF(Summary!$C$16="N","",IFERROR(BDP($C63,'Field Check'!$C$18,'Field Check'!$C$17,TEXT(Summary!$C$12-2,"0"))/100,"")))</f>
        <v/>
      </c>
      <c r="V63" s="56">
        <f>IF($C63="","",IF(Summary!$C$16="N","",IFERROR(BDP($C63,'Field Check'!$C$18,'Field Check'!$C$17,TEXT(Summary!$C$12-1,"0"))/100,"")))</f>
        <v/>
      </c>
      <c r="W63" s="57">
        <f>IF($C63="","",IFERROR(AVERAGE(R63:V63),""))</f>
        <v/>
      </c>
      <c r="X63" s="58">
        <f>IF($C63="","",IF(ISNUMBER($Q63)*(N($Q63)&gt;0)=0,"",IFERROR($J63/$Q63,"")))</f>
        <v/>
      </c>
      <c r="Y63" s="59">
        <f>IF($C63="","",IF(ISNUMBER(HSI!$I$58),HSI!$I$58/100,""))</f>
        <v/>
      </c>
      <c r="Z63" s="60">
        <f>IF($C63="","",IF(Summary!$C$16="N","",IFERROR(BDP($C63,'Field Check'!$C$19)/100,"")))</f>
        <v/>
      </c>
      <c r="AA63" s="61">
        <f>IF($C63="","",IF(N($Y63)+N($Z63)=0,"",N($Y63)+N($Z63)))</f>
        <v/>
      </c>
      <c r="AB63" s="60">
        <f>IF($C63="","",IF(Summary!$C$16="N","",IFERROR(BDP($C63,'Field Check'!$C$20)/100,"")))</f>
        <v/>
      </c>
      <c r="AC63" s="45">
        <f>IF($C63="","",IF(N($Y63)=0,"",IFERROR($AB63/$Y63,"")))</f>
        <v/>
      </c>
      <c r="AD63" s="55">
        <f>IF($C63="","",IF(Summary!$C$16="N","",IFERROR(BDP($C63,'Field Check'!$C$21),"")))</f>
        <v/>
      </c>
      <c r="AE63" s="55">
        <f>IF($C63="","",IF(Summary!$C$16="N","",IFERROR(BDP($C63,'Field Check'!$C$22),"")))</f>
        <v/>
      </c>
      <c r="AF63" s="55">
        <f>IF($C63="","",IF(Summary!$C$16="N","",IFERROR(BDP($C63,'Field Check'!$C$23),"")))</f>
        <v/>
      </c>
      <c r="AG63" s="40">
        <f>IF($C63="","",TRIM(IF(ISNUMBER($W63)*(N($W63)&gt;$D$7)&gt;0,"payout high  ","")&amp;IF(ISNUMBER($AC63)*(N($AC63)&lt;$F$7)&gt;0,"FCF below dvd  ","")&amp;IF(ISNUMBER($AE63)*(N($AE63)&gt;$H$7)&gt;0,"leverage high","")))</f>
        <v/>
      </c>
      <c r="AH63" s="40">
        <f>IF($C63="","",IF(HSI!$F$58="HKD","",IF(HSI!$F$58="","","DPS in "&amp;HSI!$F$58)))</f>
        <v/>
      </c>
    </row>
    <row r="64">
      <c r="B64" s="52" t="inlineStr">
        <is>
          <t>HSI</t>
        </is>
      </c>
      <c r="C64" s="6">
        <f>IF(HSI!$C$59="","",HSI!$C$59)</f>
        <v/>
      </c>
      <c r="D64" s="6">
        <f>IF($C64="","",HSI!$D$59)</f>
        <v/>
      </c>
      <c r="E64" s="6">
        <f>IF($C64="","",HSI!$E$59)</f>
        <v/>
      </c>
      <c r="F64" s="53">
        <f>IF($C64="","",SUMIFS('Dvd Calendar'!$E$791:$AR$791,'Dvd Calendar'!$E$790:$AR$790,"&gt;="&amp;DATE(Summary!$C$12-5,1,1),'Dvd Calendar'!$E$790:$AR$790,"&lt;="&amp;DATE(Summary!$C$12-5,12,31)))</f>
        <v/>
      </c>
      <c r="G64" s="53">
        <f>IF($C64="","",SUMIFS('Dvd Calendar'!$E$791:$AR$791,'Dvd Calendar'!$E$790:$AR$790,"&gt;="&amp;DATE(Summary!$C$12-4,1,1),'Dvd Calendar'!$E$790:$AR$790,"&lt;="&amp;DATE(Summary!$C$12-4,12,31)))</f>
        <v/>
      </c>
      <c r="H64" s="53">
        <f>IF($C64="","",SUMIFS('Dvd Calendar'!$E$791:$AR$791,'Dvd Calendar'!$E$790:$AR$790,"&gt;="&amp;DATE(Summary!$C$12-3,1,1),'Dvd Calendar'!$E$790:$AR$790,"&lt;="&amp;DATE(Summary!$C$12-3,12,31)))</f>
        <v/>
      </c>
      <c r="I64" s="53">
        <f>IF($C64="","",SUMIFS('Dvd Calendar'!$E$791:$AR$791,'Dvd Calendar'!$E$790:$AR$790,"&gt;="&amp;DATE(Summary!$C$12-2,1,1),'Dvd Calendar'!$E$790:$AR$790,"&lt;="&amp;DATE(Summary!$C$12-2,12,31)))</f>
        <v/>
      </c>
      <c r="J64" s="53">
        <f>IF($C64="","",SUMIFS('Dvd Calendar'!$E$791:$AR$791,'Dvd Calendar'!$E$790:$AR$790,"&gt;="&amp;DATE(Summary!$C$12-1,1,1),'Dvd Calendar'!$E$790:$AR$790,"&lt;="&amp;DATE(Summary!$C$12-1,12,31)))</f>
        <v/>
      </c>
      <c r="K64" s="54">
        <f>IF($C64="","",SUMIFS('Dvd Calendar'!$E$791:$AR$791,'Dvd Calendar'!$E$790:$AR$790,"&gt;="&amp;DATE(Summary!$C$12,1,1),'Dvd Calendar'!$E$790:$AR$790,"&lt;="&amp;MIN(Summary!$C$11,DATE(Summary!$C$12,12,31))))</f>
        <v/>
      </c>
      <c r="L64" s="38">
        <f>IF($C64="","",AVERAGE(F64:J64))</f>
        <v/>
      </c>
      <c r="M64" s="55">
        <f>IF($C64="","",IF(Summary!$C$16="N","",IFERROR(BDP($C64,'Field Check'!$C$16,'Field Check'!$C$17,TEXT(Summary!$C$12-5,"0")),"")))</f>
        <v/>
      </c>
      <c r="N64" s="55">
        <f>IF($C64="","",IF(Summary!$C$16="N","",IFERROR(BDP($C64,'Field Check'!$C$16,'Field Check'!$C$17,TEXT(Summary!$C$12-4,"0")),"")))</f>
        <v/>
      </c>
      <c r="O64" s="55">
        <f>IF($C64="","",IF(Summary!$C$16="N","",IFERROR(BDP($C64,'Field Check'!$C$16,'Field Check'!$C$17,TEXT(Summary!$C$12-3,"0")),"")))</f>
        <v/>
      </c>
      <c r="P64" s="55">
        <f>IF($C64="","",IF(Summary!$C$16="N","",IFERROR(BDP($C64,'Field Check'!$C$16,'Field Check'!$C$17,TEXT(Summary!$C$12-2,"0")),"")))</f>
        <v/>
      </c>
      <c r="Q64" s="55">
        <f>IF($C64="","",IF(Summary!$C$16="N","",IFERROR(BDP($C64,'Field Check'!$C$16,'Field Check'!$C$17,TEXT(Summary!$C$12-1,"0")),"")))</f>
        <v/>
      </c>
      <c r="R64" s="56">
        <f>IF($C64="","",IF(Summary!$C$16="N","",IFERROR(BDP($C64,'Field Check'!$C$18,'Field Check'!$C$17,TEXT(Summary!$C$12-5,"0"))/100,"")))</f>
        <v/>
      </c>
      <c r="S64" s="56">
        <f>IF($C64="","",IF(Summary!$C$16="N","",IFERROR(BDP($C64,'Field Check'!$C$18,'Field Check'!$C$17,TEXT(Summary!$C$12-4,"0"))/100,"")))</f>
        <v/>
      </c>
      <c r="T64" s="56">
        <f>IF($C64="","",IF(Summary!$C$16="N","",IFERROR(BDP($C64,'Field Check'!$C$18,'Field Check'!$C$17,TEXT(Summary!$C$12-3,"0"))/100,"")))</f>
        <v/>
      </c>
      <c r="U64" s="56">
        <f>IF($C64="","",IF(Summary!$C$16="N","",IFERROR(BDP($C64,'Field Check'!$C$18,'Field Check'!$C$17,TEXT(Summary!$C$12-2,"0"))/100,"")))</f>
        <v/>
      </c>
      <c r="V64" s="56">
        <f>IF($C64="","",IF(Summary!$C$16="N","",IFERROR(BDP($C64,'Field Check'!$C$18,'Field Check'!$C$17,TEXT(Summary!$C$12-1,"0"))/100,"")))</f>
        <v/>
      </c>
      <c r="W64" s="57">
        <f>IF($C64="","",IFERROR(AVERAGE(R64:V64),""))</f>
        <v/>
      </c>
      <c r="X64" s="58">
        <f>IF($C64="","",IF(ISNUMBER($Q64)*(N($Q64)&gt;0)=0,"",IFERROR($J64/$Q64,"")))</f>
        <v/>
      </c>
      <c r="Y64" s="59">
        <f>IF($C64="","",IF(ISNUMBER(HSI!$I$59),HSI!$I$59/100,""))</f>
        <v/>
      </c>
      <c r="Z64" s="60">
        <f>IF($C64="","",IF(Summary!$C$16="N","",IFERROR(BDP($C64,'Field Check'!$C$19)/100,"")))</f>
        <v/>
      </c>
      <c r="AA64" s="61">
        <f>IF($C64="","",IF(N($Y64)+N($Z64)=0,"",N($Y64)+N($Z64)))</f>
        <v/>
      </c>
      <c r="AB64" s="60">
        <f>IF($C64="","",IF(Summary!$C$16="N","",IFERROR(BDP($C64,'Field Check'!$C$20)/100,"")))</f>
        <v/>
      </c>
      <c r="AC64" s="45">
        <f>IF($C64="","",IF(N($Y64)=0,"",IFERROR($AB64/$Y64,"")))</f>
        <v/>
      </c>
      <c r="AD64" s="55">
        <f>IF($C64="","",IF(Summary!$C$16="N","",IFERROR(BDP($C64,'Field Check'!$C$21),"")))</f>
        <v/>
      </c>
      <c r="AE64" s="55">
        <f>IF($C64="","",IF(Summary!$C$16="N","",IFERROR(BDP($C64,'Field Check'!$C$22),"")))</f>
        <v/>
      </c>
      <c r="AF64" s="55">
        <f>IF($C64="","",IF(Summary!$C$16="N","",IFERROR(BDP($C64,'Field Check'!$C$23),"")))</f>
        <v/>
      </c>
      <c r="AG64" s="40">
        <f>IF($C64="","",TRIM(IF(ISNUMBER($W64)*(N($W64)&gt;$D$7)&gt;0,"payout high  ","")&amp;IF(ISNUMBER($AC64)*(N($AC64)&lt;$F$7)&gt;0,"FCF below dvd  ","")&amp;IF(ISNUMBER($AE64)*(N($AE64)&gt;$H$7)&gt;0,"leverage high","")))</f>
        <v/>
      </c>
      <c r="AH64" s="40">
        <f>IF($C64="","",IF(HSI!$F$59="HKD","",IF(HSI!$F$59="","","DPS in "&amp;HSI!$F$59)))</f>
        <v/>
      </c>
    </row>
    <row r="65">
      <c r="B65" s="52" t="inlineStr">
        <is>
          <t>HSI</t>
        </is>
      </c>
      <c r="C65" s="6">
        <f>IF(HSI!$C$60="","",HSI!$C$60)</f>
        <v/>
      </c>
      <c r="D65" s="6">
        <f>IF($C65="","",HSI!$D$60)</f>
        <v/>
      </c>
      <c r="E65" s="6">
        <f>IF($C65="","",HSI!$E$60)</f>
        <v/>
      </c>
      <c r="F65" s="53">
        <f>IF($C65="","",SUMIFS('Dvd Calendar'!$E$806:$AR$806,'Dvd Calendar'!$E$805:$AR$805,"&gt;="&amp;DATE(Summary!$C$12-5,1,1),'Dvd Calendar'!$E$805:$AR$805,"&lt;="&amp;DATE(Summary!$C$12-5,12,31)))</f>
        <v/>
      </c>
      <c r="G65" s="53">
        <f>IF($C65="","",SUMIFS('Dvd Calendar'!$E$806:$AR$806,'Dvd Calendar'!$E$805:$AR$805,"&gt;="&amp;DATE(Summary!$C$12-4,1,1),'Dvd Calendar'!$E$805:$AR$805,"&lt;="&amp;DATE(Summary!$C$12-4,12,31)))</f>
        <v/>
      </c>
      <c r="H65" s="53">
        <f>IF($C65="","",SUMIFS('Dvd Calendar'!$E$806:$AR$806,'Dvd Calendar'!$E$805:$AR$805,"&gt;="&amp;DATE(Summary!$C$12-3,1,1),'Dvd Calendar'!$E$805:$AR$805,"&lt;="&amp;DATE(Summary!$C$12-3,12,31)))</f>
        <v/>
      </c>
      <c r="I65" s="53">
        <f>IF($C65="","",SUMIFS('Dvd Calendar'!$E$806:$AR$806,'Dvd Calendar'!$E$805:$AR$805,"&gt;="&amp;DATE(Summary!$C$12-2,1,1),'Dvd Calendar'!$E$805:$AR$805,"&lt;="&amp;DATE(Summary!$C$12-2,12,31)))</f>
        <v/>
      </c>
      <c r="J65" s="53">
        <f>IF($C65="","",SUMIFS('Dvd Calendar'!$E$806:$AR$806,'Dvd Calendar'!$E$805:$AR$805,"&gt;="&amp;DATE(Summary!$C$12-1,1,1),'Dvd Calendar'!$E$805:$AR$805,"&lt;="&amp;DATE(Summary!$C$12-1,12,31)))</f>
        <v/>
      </c>
      <c r="K65" s="54">
        <f>IF($C65="","",SUMIFS('Dvd Calendar'!$E$806:$AR$806,'Dvd Calendar'!$E$805:$AR$805,"&gt;="&amp;DATE(Summary!$C$12,1,1),'Dvd Calendar'!$E$805:$AR$805,"&lt;="&amp;MIN(Summary!$C$11,DATE(Summary!$C$12,12,31))))</f>
        <v/>
      </c>
      <c r="L65" s="38">
        <f>IF($C65="","",AVERAGE(F65:J65))</f>
        <v/>
      </c>
      <c r="M65" s="55">
        <f>IF($C65="","",IF(Summary!$C$16="N","",IFERROR(BDP($C65,'Field Check'!$C$16,'Field Check'!$C$17,TEXT(Summary!$C$12-5,"0")),"")))</f>
        <v/>
      </c>
      <c r="N65" s="55">
        <f>IF($C65="","",IF(Summary!$C$16="N","",IFERROR(BDP($C65,'Field Check'!$C$16,'Field Check'!$C$17,TEXT(Summary!$C$12-4,"0")),"")))</f>
        <v/>
      </c>
      <c r="O65" s="55">
        <f>IF($C65="","",IF(Summary!$C$16="N","",IFERROR(BDP($C65,'Field Check'!$C$16,'Field Check'!$C$17,TEXT(Summary!$C$12-3,"0")),"")))</f>
        <v/>
      </c>
      <c r="P65" s="55">
        <f>IF($C65="","",IF(Summary!$C$16="N","",IFERROR(BDP($C65,'Field Check'!$C$16,'Field Check'!$C$17,TEXT(Summary!$C$12-2,"0")),"")))</f>
        <v/>
      </c>
      <c r="Q65" s="55">
        <f>IF($C65="","",IF(Summary!$C$16="N","",IFERROR(BDP($C65,'Field Check'!$C$16,'Field Check'!$C$17,TEXT(Summary!$C$12-1,"0")),"")))</f>
        <v/>
      </c>
      <c r="R65" s="56">
        <f>IF($C65="","",IF(Summary!$C$16="N","",IFERROR(BDP($C65,'Field Check'!$C$18,'Field Check'!$C$17,TEXT(Summary!$C$12-5,"0"))/100,"")))</f>
        <v/>
      </c>
      <c r="S65" s="56">
        <f>IF($C65="","",IF(Summary!$C$16="N","",IFERROR(BDP($C65,'Field Check'!$C$18,'Field Check'!$C$17,TEXT(Summary!$C$12-4,"0"))/100,"")))</f>
        <v/>
      </c>
      <c r="T65" s="56">
        <f>IF($C65="","",IF(Summary!$C$16="N","",IFERROR(BDP($C65,'Field Check'!$C$18,'Field Check'!$C$17,TEXT(Summary!$C$12-3,"0"))/100,"")))</f>
        <v/>
      </c>
      <c r="U65" s="56">
        <f>IF($C65="","",IF(Summary!$C$16="N","",IFERROR(BDP($C65,'Field Check'!$C$18,'Field Check'!$C$17,TEXT(Summary!$C$12-2,"0"))/100,"")))</f>
        <v/>
      </c>
      <c r="V65" s="56">
        <f>IF($C65="","",IF(Summary!$C$16="N","",IFERROR(BDP($C65,'Field Check'!$C$18,'Field Check'!$C$17,TEXT(Summary!$C$12-1,"0"))/100,"")))</f>
        <v/>
      </c>
      <c r="W65" s="57">
        <f>IF($C65="","",IFERROR(AVERAGE(R65:V65),""))</f>
        <v/>
      </c>
      <c r="X65" s="58">
        <f>IF($C65="","",IF(ISNUMBER($Q65)*(N($Q65)&gt;0)=0,"",IFERROR($J65/$Q65,"")))</f>
        <v/>
      </c>
      <c r="Y65" s="59">
        <f>IF($C65="","",IF(ISNUMBER(HSI!$I$60),HSI!$I$60/100,""))</f>
        <v/>
      </c>
      <c r="Z65" s="60">
        <f>IF($C65="","",IF(Summary!$C$16="N","",IFERROR(BDP($C65,'Field Check'!$C$19)/100,"")))</f>
        <v/>
      </c>
      <c r="AA65" s="61">
        <f>IF($C65="","",IF(N($Y65)+N($Z65)=0,"",N($Y65)+N($Z65)))</f>
        <v/>
      </c>
      <c r="AB65" s="60">
        <f>IF($C65="","",IF(Summary!$C$16="N","",IFERROR(BDP($C65,'Field Check'!$C$20)/100,"")))</f>
        <v/>
      </c>
      <c r="AC65" s="45">
        <f>IF($C65="","",IF(N($Y65)=0,"",IFERROR($AB65/$Y65,"")))</f>
        <v/>
      </c>
      <c r="AD65" s="55">
        <f>IF($C65="","",IF(Summary!$C$16="N","",IFERROR(BDP($C65,'Field Check'!$C$21),"")))</f>
        <v/>
      </c>
      <c r="AE65" s="55">
        <f>IF($C65="","",IF(Summary!$C$16="N","",IFERROR(BDP($C65,'Field Check'!$C$22),"")))</f>
        <v/>
      </c>
      <c r="AF65" s="55">
        <f>IF($C65="","",IF(Summary!$C$16="N","",IFERROR(BDP($C65,'Field Check'!$C$23),"")))</f>
        <v/>
      </c>
      <c r="AG65" s="40">
        <f>IF($C65="","",TRIM(IF(ISNUMBER($W65)*(N($W65)&gt;$D$7)&gt;0,"payout high  ","")&amp;IF(ISNUMBER($AC65)*(N($AC65)&lt;$F$7)&gt;0,"FCF below dvd  ","")&amp;IF(ISNUMBER($AE65)*(N($AE65)&gt;$H$7)&gt;0,"leverage high","")))</f>
        <v/>
      </c>
      <c r="AH65" s="40">
        <f>IF($C65="","",IF(HSI!$F$60="HKD","",IF(HSI!$F$60="","","DPS in "&amp;HSI!$F$60)))</f>
        <v/>
      </c>
    </row>
    <row r="66">
      <c r="B66" s="52" t="inlineStr">
        <is>
          <t>HSI</t>
        </is>
      </c>
      <c r="C66" s="6">
        <f>IF(HSI!$C$61="","",HSI!$C$61)</f>
        <v/>
      </c>
      <c r="D66" s="6">
        <f>IF($C66="","",HSI!$D$61)</f>
        <v/>
      </c>
      <c r="E66" s="6">
        <f>IF($C66="","",HSI!$E$61)</f>
        <v/>
      </c>
      <c r="F66" s="53">
        <f>IF($C66="","",SUMIFS('Dvd Calendar'!$E$821:$AR$821,'Dvd Calendar'!$E$820:$AR$820,"&gt;="&amp;DATE(Summary!$C$12-5,1,1),'Dvd Calendar'!$E$820:$AR$820,"&lt;="&amp;DATE(Summary!$C$12-5,12,31)))</f>
        <v/>
      </c>
      <c r="G66" s="53">
        <f>IF($C66="","",SUMIFS('Dvd Calendar'!$E$821:$AR$821,'Dvd Calendar'!$E$820:$AR$820,"&gt;="&amp;DATE(Summary!$C$12-4,1,1),'Dvd Calendar'!$E$820:$AR$820,"&lt;="&amp;DATE(Summary!$C$12-4,12,31)))</f>
        <v/>
      </c>
      <c r="H66" s="53">
        <f>IF($C66="","",SUMIFS('Dvd Calendar'!$E$821:$AR$821,'Dvd Calendar'!$E$820:$AR$820,"&gt;="&amp;DATE(Summary!$C$12-3,1,1),'Dvd Calendar'!$E$820:$AR$820,"&lt;="&amp;DATE(Summary!$C$12-3,12,31)))</f>
        <v/>
      </c>
      <c r="I66" s="53">
        <f>IF($C66="","",SUMIFS('Dvd Calendar'!$E$821:$AR$821,'Dvd Calendar'!$E$820:$AR$820,"&gt;="&amp;DATE(Summary!$C$12-2,1,1),'Dvd Calendar'!$E$820:$AR$820,"&lt;="&amp;DATE(Summary!$C$12-2,12,31)))</f>
        <v/>
      </c>
      <c r="J66" s="53">
        <f>IF($C66="","",SUMIFS('Dvd Calendar'!$E$821:$AR$821,'Dvd Calendar'!$E$820:$AR$820,"&gt;="&amp;DATE(Summary!$C$12-1,1,1),'Dvd Calendar'!$E$820:$AR$820,"&lt;="&amp;DATE(Summary!$C$12-1,12,31)))</f>
        <v/>
      </c>
      <c r="K66" s="54">
        <f>IF($C66="","",SUMIFS('Dvd Calendar'!$E$821:$AR$821,'Dvd Calendar'!$E$820:$AR$820,"&gt;="&amp;DATE(Summary!$C$12,1,1),'Dvd Calendar'!$E$820:$AR$820,"&lt;="&amp;MIN(Summary!$C$11,DATE(Summary!$C$12,12,31))))</f>
        <v/>
      </c>
      <c r="L66" s="38">
        <f>IF($C66="","",AVERAGE(F66:J66))</f>
        <v/>
      </c>
      <c r="M66" s="55">
        <f>IF($C66="","",IF(Summary!$C$16="N","",IFERROR(BDP($C66,'Field Check'!$C$16,'Field Check'!$C$17,TEXT(Summary!$C$12-5,"0")),"")))</f>
        <v/>
      </c>
      <c r="N66" s="55">
        <f>IF($C66="","",IF(Summary!$C$16="N","",IFERROR(BDP($C66,'Field Check'!$C$16,'Field Check'!$C$17,TEXT(Summary!$C$12-4,"0")),"")))</f>
        <v/>
      </c>
      <c r="O66" s="55">
        <f>IF($C66="","",IF(Summary!$C$16="N","",IFERROR(BDP($C66,'Field Check'!$C$16,'Field Check'!$C$17,TEXT(Summary!$C$12-3,"0")),"")))</f>
        <v/>
      </c>
      <c r="P66" s="55">
        <f>IF($C66="","",IF(Summary!$C$16="N","",IFERROR(BDP($C66,'Field Check'!$C$16,'Field Check'!$C$17,TEXT(Summary!$C$12-2,"0")),"")))</f>
        <v/>
      </c>
      <c r="Q66" s="55">
        <f>IF($C66="","",IF(Summary!$C$16="N","",IFERROR(BDP($C66,'Field Check'!$C$16,'Field Check'!$C$17,TEXT(Summary!$C$12-1,"0")),"")))</f>
        <v/>
      </c>
      <c r="R66" s="56">
        <f>IF($C66="","",IF(Summary!$C$16="N","",IFERROR(BDP($C66,'Field Check'!$C$18,'Field Check'!$C$17,TEXT(Summary!$C$12-5,"0"))/100,"")))</f>
        <v/>
      </c>
      <c r="S66" s="56">
        <f>IF($C66="","",IF(Summary!$C$16="N","",IFERROR(BDP($C66,'Field Check'!$C$18,'Field Check'!$C$17,TEXT(Summary!$C$12-4,"0"))/100,"")))</f>
        <v/>
      </c>
      <c r="T66" s="56">
        <f>IF($C66="","",IF(Summary!$C$16="N","",IFERROR(BDP($C66,'Field Check'!$C$18,'Field Check'!$C$17,TEXT(Summary!$C$12-3,"0"))/100,"")))</f>
        <v/>
      </c>
      <c r="U66" s="56">
        <f>IF($C66="","",IF(Summary!$C$16="N","",IFERROR(BDP($C66,'Field Check'!$C$18,'Field Check'!$C$17,TEXT(Summary!$C$12-2,"0"))/100,"")))</f>
        <v/>
      </c>
      <c r="V66" s="56">
        <f>IF($C66="","",IF(Summary!$C$16="N","",IFERROR(BDP($C66,'Field Check'!$C$18,'Field Check'!$C$17,TEXT(Summary!$C$12-1,"0"))/100,"")))</f>
        <v/>
      </c>
      <c r="W66" s="57">
        <f>IF($C66="","",IFERROR(AVERAGE(R66:V66),""))</f>
        <v/>
      </c>
      <c r="X66" s="58">
        <f>IF($C66="","",IF(ISNUMBER($Q66)*(N($Q66)&gt;0)=0,"",IFERROR($J66/$Q66,"")))</f>
        <v/>
      </c>
      <c r="Y66" s="59">
        <f>IF($C66="","",IF(ISNUMBER(HSI!$I$61),HSI!$I$61/100,""))</f>
        <v/>
      </c>
      <c r="Z66" s="60">
        <f>IF($C66="","",IF(Summary!$C$16="N","",IFERROR(BDP($C66,'Field Check'!$C$19)/100,"")))</f>
        <v/>
      </c>
      <c r="AA66" s="61">
        <f>IF($C66="","",IF(N($Y66)+N($Z66)=0,"",N($Y66)+N($Z66)))</f>
        <v/>
      </c>
      <c r="AB66" s="60">
        <f>IF($C66="","",IF(Summary!$C$16="N","",IFERROR(BDP($C66,'Field Check'!$C$20)/100,"")))</f>
        <v/>
      </c>
      <c r="AC66" s="45">
        <f>IF($C66="","",IF(N($Y66)=0,"",IFERROR($AB66/$Y66,"")))</f>
        <v/>
      </c>
      <c r="AD66" s="55">
        <f>IF($C66="","",IF(Summary!$C$16="N","",IFERROR(BDP($C66,'Field Check'!$C$21),"")))</f>
        <v/>
      </c>
      <c r="AE66" s="55">
        <f>IF($C66="","",IF(Summary!$C$16="N","",IFERROR(BDP($C66,'Field Check'!$C$22),"")))</f>
        <v/>
      </c>
      <c r="AF66" s="55">
        <f>IF($C66="","",IF(Summary!$C$16="N","",IFERROR(BDP($C66,'Field Check'!$C$23),"")))</f>
        <v/>
      </c>
      <c r="AG66" s="40">
        <f>IF($C66="","",TRIM(IF(ISNUMBER($W66)*(N($W66)&gt;$D$7)&gt;0,"payout high  ","")&amp;IF(ISNUMBER($AC66)*(N($AC66)&lt;$F$7)&gt;0,"FCF below dvd  ","")&amp;IF(ISNUMBER($AE66)*(N($AE66)&gt;$H$7)&gt;0,"leverage high","")))</f>
        <v/>
      </c>
      <c r="AH66" s="40">
        <f>IF($C66="","",IF(HSI!$F$61="HKD","",IF(HSI!$F$61="","","DPS in "&amp;HSI!$F$61)))</f>
        <v/>
      </c>
    </row>
    <row r="67">
      <c r="B67" s="52" t="inlineStr">
        <is>
          <t>HSI</t>
        </is>
      </c>
      <c r="C67" s="6">
        <f>IF(HSI!$C$62="","",HSI!$C$62)</f>
        <v/>
      </c>
      <c r="D67" s="6">
        <f>IF($C67="","",HSI!$D$62)</f>
        <v/>
      </c>
      <c r="E67" s="6">
        <f>IF($C67="","",HSI!$E$62)</f>
        <v/>
      </c>
      <c r="F67" s="53">
        <f>IF($C67="","",SUMIFS('Dvd Calendar'!$E$836:$AR$836,'Dvd Calendar'!$E$835:$AR$835,"&gt;="&amp;DATE(Summary!$C$12-5,1,1),'Dvd Calendar'!$E$835:$AR$835,"&lt;="&amp;DATE(Summary!$C$12-5,12,31)))</f>
        <v/>
      </c>
      <c r="G67" s="53">
        <f>IF($C67="","",SUMIFS('Dvd Calendar'!$E$836:$AR$836,'Dvd Calendar'!$E$835:$AR$835,"&gt;="&amp;DATE(Summary!$C$12-4,1,1),'Dvd Calendar'!$E$835:$AR$835,"&lt;="&amp;DATE(Summary!$C$12-4,12,31)))</f>
        <v/>
      </c>
      <c r="H67" s="53">
        <f>IF($C67="","",SUMIFS('Dvd Calendar'!$E$836:$AR$836,'Dvd Calendar'!$E$835:$AR$835,"&gt;="&amp;DATE(Summary!$C$12-3,1,1),'Dvd Calendar'!$E$835:$AR$835,"&lt;="&amp;DATE(Summary!$C$12-3,12,31)))</f>
        <v/>
      </c>
      <c r="I67" s="53">
        <f>IF($C67="","",SUMIFS('Dvd Calendar'!$E$836:$AR$836,'Dvd Calendar'!$E$835:$AR$835,"&gt;="&amp;DATE(Summary!$C$12-2,1,1),'Dvd Calendar'!$E$835:$AR$835,"&lt;="&amp;DATE(Summary!$C$12-2,12,31)))</f>
        <v/>
      </c>
      <c r="J67" s="53">
        <f>IF($C67="","",SUMIFS('Dvd Calendar'!$E$836:$AR$836,'Dvd Calendar'!$E$835:$AR$835,"&gt;="&amp;DATE(Summary!$C$12-1,1,1),'Dvd Calendar'!$E$835:$AR$835,"&lt;="&amp;DATE(Summary!$C$12-1,12,31)))</f>
        <v/>
      </c>
      <c r="K67" s="54">
        <f>IF($C67="","",SUMIFS('Dvd Calendar'!$E$836:$AR$836,'Dvd Calendar'!$E$835:$AR$835,"&gt;="&amp;DATE(Summary!$C$12,1,1),'Dvd Calendar'!$E$835:$AR$835,"&lt;="&amp;MIN(Summary!$C$11,DATE(Summary!$C$12,12,31))))</f>
        <v/>
      </c>
      <c r="L67" s="38">
        <f>IF($C67="","",AVERAGE(F67:J67))</f>
        <v/>
      </c>
      <c r="M67" s="55">
        <f>IF($C67="","",IF(Summary!$C$16="N","",IFERROR(BDP($C67,'Field Check'!$C$16,'Field Check'!$C$17,TEXT(Summary!$C$12-5,"0")),"")))</f>
        <v/>
      </c>
      <c r="N67" s="55">
        <f>IF($C67="","",IF(Summary!$C$16="N","",IFERROR(BDP($C67,'Field Check'!$C$16,'Field Check'!$C$17,TEXT(Summary!$C$12-4,"0")),"")))</f>
        <v/>
      </c>
      <c r="O67" s="55">
        <f>IF($C67="","",IF(Summary!$C$16="N","",IFERROR(BDP($C67,'Field Check'!$C$16,'Field Check'!$C$17,TEXT(Summary!$C$12-3,"0")),"")))</f>
        <v/>
      </c>
      <c r="P67" s="55">
        <f>IF($C67="","",IF(Summary!$C$16="N","",IFERROR(BDP($C67,'Field Check'!$C$16,'Field Check'!$C$17,TEXT(Summary!$C$12-2,"0")),"")))</f>
        <v/>
      </c>
      <c r="Q67" s="55">
        <f>IF($C67="","",IF(Summary!$C$16="N","",IFERROR(BDP($C67,'Field Check'!$C$16,'Field Check'!$C$17,TEXT(Summary!$C$12-1,"0")),"")))</f>
        <v/>
      </c>
      <c r="R67" s="56">
        <f>IF($C67="","",IF(Summary!$C$16="N","",IFERROR(BDP($C67,'Field Check'!$C$18,'Field Check'!$C$17,TEXT(Summary!$C$12-5,"0"))/100,"")))</f>
        <v/>
      </c>
      <c r="S67" s="56">
        <f>IF($C67="","",IF(Summary!$C$16="N","",IFERROR(BDP($C67,'Field Check'!$C$18,'Field Check'!$C$17,TEXT(Summary!$C$12-4,"0"))/100,"")))</f>
        <v/>
      </c>
      <c r="T67" s="56">
        <f>IF($C67="","",IF(Summary!$C$16="N","",IFERROR(BDP($C67,'Field Check'!$C$18,'Field Check'!$C$17,TEXT(Summary!$C$12-3,"0"))/100,"")))</f>
        <v/>
      </c>
      <c r="U67" s="56">
        <f>IF($C67="","",IF(Summary!$C$16="N","",IFERROR(BDP($C67,'Field Check'!$C$18,'Field Check'!$C$17,TEXT(Summary!$C$12-2,"0"))/100,"")))</f>
        <v/>
      </c>
      <c r="V67" s="56">
        <f>IF($C67="","",IF(Summary!$C$16="N","",IFERROR(BDP($C67,'Field Check'!$C$18,'Field Check'!$C$17,TEXT(Summary!$C$12-1,"0"))/100,"")))</f>
        <v/>
      </c>
      <c r="W67" s="57">
        <f>IF($C67="","",IFERROR(AVERAGE(R67:V67),""))</f>
        <v/>
      </c>
      <c r="X67" s="58">
        <f>IF($C67="","",IF(ISNUMBER($Q67)*(N($Q67)&gt;0)=0,"",IFERROR($J67/$Q67,"")))</f>
        <v/>
      </c>
      <c r="Y67" s="59">
        <f>IF($C67="","",IF(ISNUMBER(HSI!$I$62),HSI!$I$62/100,""))</f>
        <v/>
      </c>
      <c r="Z67" s="60">
        <f>IF($C67="","",IF(Summary!$C$16="N","",IFERROR(BDP($C67,'Field Check'!$C$19)/100,"")))</f>
        <v/>
      </c>
      <c r="AA67" s="61">
        <f>IF($C67="","",IF(N($Y67)+N($Z67)=0,"",N($Y67)+N($Z67)))</f>
        <v/>
      </c>
      <c r="AB67" s="60">
        <f>IF($C67="","",IF(Summary!$C$16="N","",IFERROR(BDP($C67,'Field Check'!$C$20)/100,"")))</f>
        <v/>
      </c>
      <c r="AC67" s="45">
        <f>IF($C67="","",IF(N($Y67)=0,"",IFERROR($AB67/$Y67,"")))</f>
        <v/>
      </c>
      <c r="AD67" s="55">
        <f>IF($C67="","",IF(Summary!$C$16="N","",IFERROR(BDP($C67,'Field Check'!$C$21),"")))</f>
        <v/>
      </c>
      <c r="AE67" s="55">
        <f>IF($C67="","",IF(Summary!$C$16="N","",IFERROR(BDP($C67,'Field Check'!$C$22),"")))</f>
        <v/>
      </c>
      <c r="AF67" s="55">
        <f>IF($C67="","",IF(Summary!$C$16="N","",IFERROR(BDP($C67,'Field Check'!$C$23),"")))</f>
        <v/>
      </c>
      <c r="AG67" s="40">
        <f>IF($C67="","",TRIM(IF(ISNUMBER($W67)*(N($W67)&gt;$D$7)&gt;0,"payout high  ","")&amp;IF(ISNUMBER($AC67)*(N($AC67)&lt;$F$7)&gt;0,"FCF below dvd  ","")&amp;IF(ISNUMBER($AE67)*(N($AE67)&gt;$H$7)&gt;0,"leverage high","")))</f>
        <v/>
      </c>
      <c r="AH67" s="40">
        <f>IF($C67="","",IF(HSI!$F$62="HKD","",IF(HSI!$F$62="","","DPS in "&amp;HSI!$F$62)))</f>
        <v/>
      </c>
    </row>
    <row r="68">
      <c r="B68" s="52" t="inlineStr">
        <is>
          <t>HSI</t>
        </is>
      </c>
      <c r="C68" s="6">
        <f>IF(HSI!$C$63="","",HSI!$C$63)</f>
        <v/>
      </c>
      <c r="D68" s="6">
        <f>IF($C68="","",HSI!$D$63)</f>
        <v/>
      </c>
      <c r="E68" s="6">
        <f>IF($C68="","",HSI!$E$63)</f>
        <v/>
      </c>
      <c r="F68" s="53">
        <f>IF($C68="","",SUMIFS('Dvd Calendar'!$E$851:$AR$851,'Dvd Calendar'!$E$850:$AR$850,"&gt;="&amp;DATE(Summary!$C$12-5,1,1),'Dvd Calendar'!$E$850:$AR$850,"&lt;="&amp;DATE(Summary!$C$12-5,12,31)))</f>
        <v/>
      </c>
      <c r="G68" s="53">
        <f>IF($C68="","",SUMIFS('Dvd Calendar'!$E$851:$AR$851,'Dvd Calendar'!$E$850:$AR$850,"&gt;="&amp;DATE(Summary!$C$12-4,1,1),'Dvd Calendar'!$E$850:$AR$850,"&lt;="&amp;DATE(Summary!$C$12-4,12,31)))</f>
        <v/>
      </c>
      <c r="H68" s="53">
        <f>IF($C68="","",SUMIFS('Dvd Calendar'!$E$851:$AR$851,'Dvd Calendar'!$E$850:$AR$850,"&gt;="&amp;DATE(Summary!$C$12-3,1,1),'Dvd Calendar'!$E$850:$AR$850,"&lt;="&amp;DATE(Summary!$C$12-3,12,31)))</f>
        <v/>
      </c>
      <c r="I68" s="53">
        <f>IF($C68="","",SUMIFS('Dvd Calendar'!$E$851:$AR$851,'Dvd Calendar'!$E$850:$AR$850,"&gt;="&amp;DATE(Summary!$C$12-2,1,1),'Dvd Calendar'!$E$850:$AR$850,"&lt;="&amp;DATE(Summary!$C$12-2,12,31)))</f>
        <v/>
      </c>
      <c r="J68" s="53">
        <f>IF($C68="","",SUMIFS('Dvd Calendar'!$E$851:$AR$851,'Dvd Calendar'!$E$850:$AR$850,"&gt;="&amp;DATE(Summary!$C$12-1,1,1),'Dvd Calendar'!$E$850:$AR$850,"&lt;="&amp;DATE(Summary!$C$12-1,12,31)))</f>
        <v/>
      </c>
      <c r="K68" s="54">
        <f>IF($C68="","",SUMIFS('Dvd Calendar'!$E$851:$AR$851,'Dvd Calendar'!$E$850:$AR$850,"&gt;="&amp;DATE(Summary!$C$12,1,1),'Dvd Calendar'!$E$850:$AR$850,"&lt;="&amp;MIN(Summary!$C$11,DATE(Summary!$C$12,12,31))))</f>
        <v/>
      </c>
      <c r="L68" s="38">
        <f>IF($C68="","",AVERAGE(F68:J68))</f>
        <v/>
      </c>
      <c r="M68" s="55">
        <f>IF($C68="","",IF(Summary!$C$16="N","",IFERROR(BDP($C68,'Field Check'!$C$16,'Field Check'!$C$17,TEXT(Summary!$C$12-5,"0")),"")))</f>
        <v/>
      </c>
      <c r="N68" s="55">
        <f>IF($C68="","",IF(Summary!$C$16="N","",IFERROR(BDP($C68,'Field Check'!$C$16,'Field Check'!$C$17,TEXT(Summary!$C$12-4,"0")),"")))</f>
        <v/>
      </c>
      <c r="O68" s="55">
        <f>IF($C68="","",IF(Summary!$C$16="N","",IFERROR(BDP($C68,'Field Check'!$C$16,'Field Check'!$C$17,TEXT(Summary!$C$12-3,"0")),"")))</f>
        <v/>
      </c>
      <c r="P68" s="55">
        <f>IF($C68="","",IF(Summary!$C$16="N","",IFERROR(BDP($C68,'Field Check'!$C$16,'Field Check'!$C$17,TEXT(Summary!$C$12-2,"0")),"")))</f>
        <v/>
      </c>
      <c r="Q68" s="55">
        <f>IF($C68="","",IF(Summary!$C$16="N","",IFERROR(BDP($C68,'Field Check'!$C$16,'Field Check'!$C$17,TEXT(Summary!$C$12-1,"0")),"")))</f>
        <v/>
      </c>
      <c r="R68" s="56">
        <f>IF($C68="","",IF(Summary!$C$16="N","",IFERROR(BDP($C68,'Field Check'!$C$18,'Field Check'!$C$17,TEXT(Summary!$C$12-5,"0"))/100,"")))</f>
        <v/>
      </c>
      <c r="S68" s="56">
        <f>IF($C68="","",IF(Summary!$C$16="N","",IFERROR(BDP($C68,'Field Check'!$C$18,'Field Check'!$C$17,TEXT(Summary!$C$12-4,"0"))/100,"")))</f>
        <v/>
      </c>
      <c r="T68" s="56">
        <f>IF($C68="","",IF(Summary!$C$16="N","",IFERROR(BDP($C68,'Field Check'!$C$18,'Field Check'!$C$17,TEXT(Summary!$C$12-3,"0"))/100,"")))</f>
        <v/>
      </c>
      <c r="U68" s="56">
        <f>IF($C68="","",IF(Summary!$C$16="N","",IFERROR(BDP($C68,'Field Check'!$C$18,'Field Check'!$C$17,TEXT(Summary!$C$12-2,"0"))/100,"")))</f>
        <v/>
      </c>
      <c r="V68" s="56">
        <f>IF($C68="","",IF(Summary!$C$16="N","",IFERROR(BDP($C68,'Field Check'!$C$18,'Field Check'!$C$17,TEXT(Summary!$C$12-1,"0"))/100,"")))</f>
        <v/>
      </c>
      <c r="W68" s="57">
        <f>IF($C68="","",IFERROR(AVERAGE(R68:V68),""))</f>
        <v/>
      </c>
      <c r="X68" s="58">
        <f>IF($C68="","",IF(ISNUMBER($Q68)*(N($Q68)&gt;0)=0,"",IFERROR($J68/$Q68,"")))</f>
        <v/>
      </c>
      <c r="Y68" s="59">
        <f>IF($C68="","",IF(ISNUMBER(HSI!$I$63),HSI!$I$63/100,""))</f>
        <v/>
      </c>
      <c r="Z68" s="60">
        <f>IF($C68="","",IF(Summary!$C$16="N","",IFERROR(BDP($C68,'Field Check'!$C$19)/100,"")))</f>
        <v/>
      </c>
      <c r="AA68" s="61">
        <f>IF($C68="","",IF(N($Y68)+N($Z68)=0,"",N($Y68)+N($Z68)))</f>
        <v/>
      </c>
      <c r="AB68" s="60">
        <f>IF($C68="","",IF(Summary!$C$16="N","",IFERROR(BDP($C68,'Field Check'!$C$20)/100,"")))</f>
        <v/>
      </c>
      <c r="AC68" s="45">
        <f>IF($C68="","",IF(N($Y68)=0,"",IFERROR($AB68/$Y68,"")))</f>
        <v/>
      </c>
      <c r="AD68" s="55">
        <f>IF($C68="","",IF(Summary!$C$16="N","",IFERROR(BDP($C68,'Field Check'!$C$21),"")))</f>
        <v/>
      </c>
      <c r="AE68" s="55">
        <f>IF($C68="","",IF(Summary!$C$16="N","",IFERROR(BDP($C68,'Field Check'!$C$22),"")))</f>
        <v/>
      </c>
      <c r="AF68" s="55">
        <f>IF($C68="","",IF(Summary!$C$16="N","",IFERROR(BDP($C68,'Field Check'!$C$23),"")))</f>
        <v/>
      </c>
      <c r="AG68" s="40">
        <f>IF($C68="","",TRIM(IF(ISNUMBER($W68)*(N($W68)&gt;$D$7)&gt;0,"payout high  ","")&amp;IF(ISNUMBER($AC68)*(N($AC68)&lt;$F$7)&gt;0,"FCF below dvd  ","")&amp;IF(ISNUMBER($AE68)*(N($AE68)&gt;$H$7)&gt;0,"leverage high","")))</f>
        <v/>
      </c>
      <c r="AH68" s="40">
        <f>IF($C68="","",IF(HSI!$F$63="HKD","",IF(HSI!$F$63="","","DPS in "&amp;HSI!$F$63)))</f>
        <v/>
      </c>
    </row>
    <row r="69">
      <c r="B69" s="52" t="inlineStr">
        <is>
          <t>HSI</t>
        </is>
      </c>
      <c r="C69" s="6">
        <f>IF(HSI!$C$64="","",HSI!$C$64)</f>
        <v/>
      </c>
      <c r="D69" s="6">
        <f>IF($C69="","",HSI!$D$64)</f>
        <v/>
      </c>
      <c r="E69" s="6">
        <f>IF($C69="","",HSI!$E$64)</f>
        <v/>
      </c>
      <c r="F69" s="53">
        <f>IF($C69="","",SUMIFS('Dvd Calendar'!$E$866:$AR$866,'Dvd Calendar'!$E$865:$AR$865,"&gt;="&amp;DATE(Summary!$C$12-5,1,1),'Dvd Calendar'!$E$865:$AR$865,"&lt;="&amp;DATE(Summary!$C$12-5,12,31)))</f>
        <v/>
      </c>
      <c r="G69" s="53">
        <f>IF($C69="","",SUMIFS('Dvd Calendar'!$E$866:$AR$866,'Dvd Calendar'!$E$865:$AR$865,"&gt;="&amp;DATE(Summary!$C$12-4,1,1),'Dvd Calendar'!$E$865:$AR$865,"&lt;="&amp;DATE(Summary!$C$12-4,12,31)))</f>
        <v/>
      </c>
      <c r="H69" s="53">
        <f>IF($C69="","",SUMIFS('Dvd Calendar'!$E$866:$AR$866,'Dvd Calendar'!$E$865:$AR$865,"&gt;="&amp;DATE(Summary!$C$12-3,1,1),'Dvd Calendar'!$E$865:$AR$865,"&lt;="&amp;DATE(Summary!$C$12-3,12,31)))</f>
        <v/>
      </c>
      <c r="I69" s="53">
        <f>IF($C69="","",SUMIFS('Dvd Calendar'!$E$866:$AR$866,'Dvd Calendar'!$E$865:$AR$865,"&gt;="&amp;DATE(Summary!$C$12-2,1,1),'Dvd Calendar'!$E$865:$AR$865,"&lt;="&amp;DATE(Summary!$C$12-2,12,31)))</f>
        <v/>
      </c>
      <c r="J69" s="53">
        <f>IF($C69="","",SUMIFS('Dvd Calendar'!$E$866:$AR$866,'Dvd Calendar'!$E$865:$AR$865,"&gt;="&amp;DATE(Summary!$C$12-1,1,1),'Dvd Calendar'!$E$865:$AR$865,"&lt;="&amp;DATE(Summary!$C$12-1,12,31)))</f>
        <v/>
      </c>
      <c r="K69" s="54">
        <f>IF($C69="","",SUMIFS('Dvd Calendar'!$E$866:$AR$866,'Dvd Calendar'!$E$865:$AR$865,"&gt;="&amp;DATE(Summary!$C$12,1,1),'Dvd Calendar'!$E$865:$AR$865,"&lt;="&amp;MIN(Summary!$C$11,DATE(Summary!$C$12,12,31))))</f>
        <v/>
      </c>
      <c r="L69" s="38">
        <f>IF($C69="","",AVERAGE(F69:J69))</f>
        <v/>
      </c>
      <c r="M69" s="55">
        <f>IF($C69="","",IF(Summary!$C$16="N","",IFERROR(BDP($C69,'Field Check'!$C$16,'Field Check'!$C$17,TEXT(Summary!$C$12-5,"0")),"")))</f>
        <v/>
      </c>
      <c r="N69" s="55">
        <f>IF($C69="","",IF(Summary!$C$16="N","",IFERROR(BDP($C69,'Field Check'!$C$16,'Field Check'!$C$17,TEXT(Summary!$C$12-4,"0")),"")))</f>
        <v/>
      </c>
      <c r="O69" s="55">
        <f>IF($C69="","",IF(Summary!$C$16="N","",IFERROR(BDP($C69,'Field Check'!$C$16,'Field Check'!$C$17,TEXT(Summary!$C$12-3,"0")),"")))</f>
        <v/>
      </c>
      <c r="P69" s="55">
        <f>IF($C69="","",IF(Summary!$C$16="N","",IFERROR(BDP($C69,'Field Check'!$C$16,'Field Check'!$C$17,TEXT(Summary!$C$12-2,"0")),"")))</f>
        <v/>
      </c>
      <c r="Q69" s="55">
        <f>IF($C69="","",IF(Summary!$C$16="N","",IFERROR(BDP($C69,'Field Check'!$C$16,'Field Check'!$C$17,TEXT(Summary!$C$12-1,"0")),"")))</f>
        <v/>
      </c>
      <c r="R69" s="56">
        <f>IF($C69="","",IF(Summary!$C$16="N","",IFERROR(BDP($C69,'Field Check'!$C$18,'Field Check'!$C$17,TEXT(Summary!$C$12-5,"0"))/100,"")))</f>
        <v/>
      </c>
      <c r="S69" s="56">
        <f>IF($C69="","",IF(Summary!$C$16="N","",IFERROR(BDP($C69,'Field Check'!$C$18,'Field Check'!$C$17,TEXT(Summary!$C$12-4,"0"))/100,"")))</f>
        <v/>
      </c>
      <c r="T69" s="56">
        <f>IF($C69="","",IF(Summary!$C$16="N","",IFERROR(BDP($C69,'Field Check'!$C$18,'Field Check'!$C$17,TEXT(Summary!$C$12-3,"0"))/100,"")))</f>
        <v/>
      </c>
      <c r="U69" s="56">
        <f>IF($C69="","",IF(Summary!$C$16="N","",IFERROR(BDP($C69,'Field Check'!$C$18,'Field Check'!$C$17,TEXT(Summary!$C$12-2,"0"))/100,"")))</f>
        <v/>
      </c>
      <c r="V69" s="56">
        <f>IF($C69="","",IF(Summary!$C$16="N","",IFERROR(BDP($C69,'Field Check'!$C$18,'Field Check'!$C$17,TEXT(Summary!$C$12-1,"0"))/100,"")))</f>
        <v/>
      </c>
      <c r="W69" s="57">
        <f>IF($C69="","",IFERROR(AVERAGE(R69:V69),""))</f>
        <v/>
      </c>
      <c r="X69" s="58">
        <f>IF($C69="","",IF(ISNUMBER($Q69)*(N($Q69)&gt;0)=0,"",IFERROR($J69/$Q69,"")))</f>
        <v/>
      </c>
      <c r="Y69" s="59">
        <f>IF($C69="","",IF(ISNUMBER(HSI!$I$64),HSI!$I$64/100,""))</f>
        <v/>
      </c>
      <c r="Z69" s="60">
        <f>IF($C69="","",IF(Summary!$C$16="N","",IFERROR(BDP($C69,'Field Check'!$C$19)/100,"")))</f>
        <v/>
      </c>
      <c r="AA69" s="61">
        <f>IF($C69="","",IF(N($Y69)+N($Z69)=0,"",N($Y69)+N($Z69)))</f>
        <v/>
      </c>
      <c r="AB69" s="60">
        <f>IF($C69="","",IF(Summary!$C$16="N","",IFERROR(BDP($C69,'Field Check'!$C$20)/100,"")))</f>
        <v/>
      </c>
      <c r="AC69" s="45">
        <f>IF($C69="","",IF(N($Y69)=0,"",IFERROR($AB69/$Y69,"")))</f>
        <v/>
      </c>
      <c r="AD69" s="55">
        <f>IF($C69="","",IF(Summary!$C$16="N","",IFERROR(BDP($C69,'Field Check'!$C$21),"")))</f>
        <v/>
      </c>
      <c r="AE69" s="55">
        <f>IF($C69="","",IF(Summary!$C$16="N","",IFERROR(BDP($C69,'Field Check'!$C$22),"")))</f>
        <v/>
      </c>
      <c r="AF69" s="55">
        <f>IF($C69="","",IF(Summary!$C$16="N","",IFERROR(BDP($C69,'Field Check'!$C$23),"")))</f>
        <v/>
      </c>
      <c r="AG69" s="40">
        <f>IF($C69="","",TRIM(IF(ISNUMBER($W69)*(N($W69)&gt;$D$7)&gt;0,"payout high  ","")&amp;IF(ISNUMBER($AC69)*(N($AC69)&lt;$F$7)&gt;0,"FCF below dvd  ","")&amp;IF(ISNUMBER($AE69)*(N($AE69)&gt;$H$7)&gt;0,"leverage high","")))</f>
        <v/>
      </c>
      <c r="AH69" s="40">
        <f>IF($C69="","",IF(HSI!$F$64="HKD","",IF(HSI!$F$64="","","DPS in "&amp;HSI!$F$64)))</f>
        <v/>
      </c>
    </row>
    <row r="70">
      <c r="B70" s="52" t="inlineStr">
        <is>
          <t>HSI</t>
        </is>
      </c>
      <c r="C70" s="6">
        <f>IF(HSI!$C$65="","",HSI!$C$65)</f>
        <v/>
      </c>
      <c r="D70" s="6">
        <f>IF($C70="","",HSI!$D$65)</f>
        <v/>
      </c>
      <c r="E70" s="6">
        <f>IF($C70="","",HSI!$E$65)</f>
        <v/>
      </c>
      <c r="F70" s="53">
        <f>IF($C70="","",SUMIFS('Dvd Calendar'!$E$881:$AR$881,'Dvd Calendar'!$E$880:$AR$880,"&gt;="&amp;DATE(Summary!$C$12-5,1,1),'Dvd Calendar'!$E$880:$AR$880,"&lt;="&amp;DATE(Summary!$C$12-5,12,31)))</f>
        <v/>
      </c>
      <c r="G70" s="53">
        <f>IF($C70="","",SUMIFS('Dvd Calendar'!$E$881:$AR$881,'Dvd Calendar'!$E$880:$AR$880,"&gt;="&amp;DATE(Summary!$C$12-4,1,1),'Dvd Calendar'!$E$880:$AR$880,"&lt;="&amp;DATE(Summary!$C$12-4,12,31)))</f>
        <v/>
      </c>
      <c r="H70" s="53">
        <f>IF($C70="","",SUMIFS('Dvd Calendar'!$E$881:$AR$881,'Dvd Calendar'!$E$880:$AR$880,"&gt;="&amp;DATE(Summary!$C$12-3,1,1),'Dvd Calendar'!$E$880:$AR$880,"&lt;="&amp;DATE(Summary!$C$12-3,12,31)))</f>
        <v/>
      </c>
      <c r="I70" s="53">
        <f>IF($C70="","",SUMIFS('Dvd Calendar'!$E$881:$AR$881,'Dvd Calendar'!$E$880:$AR$880,"&gt;="&amp;DATE(Summary!$C$12-2,1,1),'Dvd Calendar'!$E$880:$AR$880,"&lt;="&amp;DATE(Summary!$C$12-2,12,31)))</f>
        <v/>
      </c>
      <c r="J70" s="53">
        <f>IF($C70="","",SUMIFS('Dvd Calendar'!$E$881:$AR$881,'Dvd Calendar'!$E$880:$AR$880,"&gt;="&amp;DATE(Summary!$C$12-1,1,1),'Dvd Calendar'!$E$880:$AR$880,"&lt;="&amp;DATE(Summary!$C$12-1,12,31)))</f>
        <v/>
      </c>
      <c r="K70" s="54">
        <f>IF($C70="","",SUMIFS('Dvd Calendar'!$E$881:$AR$881,'Dvd Calendar'!$E$880:$AR$880,"&gt;="&amp;DATE(Summary!$C$12,1,1),'Dvd Calendar'!$E$880:$AR$880,"&lt;="&amp;MIN(Summary!$C$11,DATE(Summary!$C$12,12,31))))</f>
        <v/>
      </c>
      <c r="L70" s="38">
        <f>IF($C70="","",AVERAGE(F70:J70))</f>
        <v/>
      </c>
      <c r="M70" s="55">
        <f>IF($C70="","",IF(Summary!$C$16="N","",IFERROR(BDP($C70,'Field Check'!$C$16,'Field Check'!$C$17,TEXT(Summary!$C$12-5,"0")),"")))</f>
        <v/>
      </c>
      <c r="N70" s="55">
        <f>IF($C70="","",IF(Summary!$C$16="N","",IFERROR(BDP($C70,'Field Check'!$C$16,'Field Check'!$C$17,TEXT(Summary!$C$12-4,"0")),"")))</f>
        <v/>
      </c>
      <c r="O70" s="55">
        <f>IF($C70="","",IF(Summary!$C$16="N","",IFERROR(BDP($C70,'Field Check'!$C$16,'Field Check'!$C$17,TEXT(Summary!$C$12-3,"0")),"")))</f>
        <v/>
      </c>
      <c r="P70" s="55">
        <f>IF($C70="","",IF(Summary!$C$16="N","",IFERROR(BDP($C70,'Field Check'!$C$16,'Field Check'!$C$17,TEXT(Summary!$C$12-2,"0")),"")))</f>
        <v/>
      </c>
      <c r="Q70" s="55">
        <f>IF($C70="","",IF(Summary!$C$16="N","",IFERROR(BDP($C70,'Field Check'!$C$16,'Field Check'!$C$17,TEXT(Summary!$C$12-1,"0")),"")))</f>
        <v/>
      </c>
      <c r="R70" s="56">
        <f>IF($C70="","",IF(Summary!$C$16="N","",IFERROR(BDP($C70,'Field Check'!$C$18,'Field Check'!$C$17,TEXT(Summary!$C$12-5,"0"))/100,"")))</f>
        <v/>
      </c>
      <c r="S70" s="56">
        <f>IF($C70="","",IF(Summary!$C$16="N","",IFERROR(BDP($C70,'Field Check'!$C$18,'Field Check'!$C$17,TEXT(Summary!$C$12-4,"0"))/100,"")))</f>
        <v/>
      </c>
      <c r="T70" s="56">
        <f>IF($C70="","",IF(Summary!$C$16="N","",IFERROR(BDP($C70,'Field Check'!$C$18,'Field Check'!$C$17,TEXT(Summary!$C$12-3,"0"))/100,"")))</f>
        <v/>
      </c>
      <c r="U70" s="56">
        <f>IF($C70="","",IF(Summary!$C$16="N","",IFERROR(BDP($C70,'Field Check'!$C$18,'Field Check'!$C$17,TEXT(Summary!$C$12-2,"0"))/100,"")))</f>
        <v/>
      </c>
      <c r="V70" s="56">
        <f>IF($C70="","",IF(Summary!$C$16="N","",IFERROR(BDP($C70,'Field Check'!$C$18,'Field Check'!$C$17,TEXT(Summary!$C$12-1,"0"))/100,"")))</f>
        <v/>
      </c>
      <c r="W70" s="57">
        <f>IF($C70="","",IFERROR(AVERAGE(R70:V70),""))</f>
        <v/>
      </c>
      <c r="X70" s="58">
        <f>IF($C70="","",IF(ISNUMBER($Q70)*(N($Q70)&gt;0)=0,"",IFERROR($J70/$Q70,"")))</f>
        <v/>
      </c>
      <c r="Y70" s="59">
        <f>IF($C70="","",IF(ISNUMBER(HSI!$I$65),HSI!$I$65/100,""))</f>
        <v/>
      </c>
      <c r="Z70" s="60">
        <f>IF($C70="","",IF(Summary!$C$16="N","",IFERROR(BDP($C70,'Field Check'!$C$19)/100,"")))</f>
        <v/>
      </c>
      <c r="AA70" s="61">
        <f>IF($C70="","",IF(N($Y70)+N($Z70)=0,"",N($Y70)+N($Z70)))</f>
        <v/>
      </c>
      <c r="AB70" s="60">
        <f>IF($C70="","",IF(Summary!$C$16="N","",IFERROR(BDP($C70,'Field Check'!$C$20)/100,"")))</f>
        <v/>
      </c>
      <c r="AC70" s="45">
        <f>IF($C70="","",IF(N($Y70)=0,"",IFERROR($AB70/$Y70,"")))</f>
        <v/>
      </c>
      <c r="AD70" s="55">
        <f>IF($C70="","",IF(Summary!$C$16="N","",IFERROR(BDP($C70,'Field Check'!$C$21),"")))</f>
        <v/>
      </c>
      <c r="AE70" s="55">
        <f>IF($C70="","",IF(Summary!$C$16="N","",IFERROR(BDP($C70,'Field Check'!$C$22),"")))</f>
        <v/>
      </c>
      <c r="AF70" s="55">
        <f>IF($C70="","",IF(Summary!$C$16="N","",IFERROR(BDP($C70,'Field Check'!$C$23),"")))</f>
        <v/>
      </c>
      <c r="AG70" s="40">
        <f>IF($C70="","",TRIM(IF(ISNUMBER($W70)*(N($W70)&gt;$D$7)&gt;0,"payout high  ","")&amp;IF(ISNUMBER($AC70)*(N($AC70)&lt;$F$7)&gt;0,"FCF below dvd  ","")&amp;IF(ISNUMBER($AE70)*(N($AE70)&gt;$H$7)&gt;0,"leverage high","")))</f>
        <v/>
      </c>
      <c r="AH70" s="40">
        <f>IF($C70="","",IF(HSI!$F$65="HKD","",IF(HSI!$F$65="","","DPS in "&amp;HSI!$F$65)))</f>
        <v/>
      </c>
    </row>
    <row r="71">
      <c r="B71" s="52" t="inlineStr">
        <is>
          <t>HSI</t>
        </is>
      </c>
      <c r="C71" s="6">
        <f>IF(HSI!$C$66="","",HSI!$C$66)</f>
        <v/>
      </c>
      <c r="D71" s="6">
        <f>IF($C71="","",HSI!$D$66)</f>
        <v/>
      </c>
      <c r="E71" s="6">
        <f>IF($C71="","",HSI!$E$66)</f>
        <v/>
      </c>
      <c r="F71" s="53">
        <f>IF($C71="","",SUMIFS('Dvd Calendar'!$E$896:$AR$896,'Dvd Calendar'!$E$895:$AR$895,"&gt;="&amp;DATE(Summary!$C$12-5,1,1),'Dvd Calendar'!$E$895:$AR$895,"&lt;="&amp;DATE(Summary!$C$12-5,12,31)))</f>
        <v/>
      </c>
      <c r="G71" s="53">
        <f>IF($C71="","",SUMIFS('Dvd Calendar'!$E$896:$AR$896,'Dvd Calendar'!$E$895:$AR$895,"&gt;="&amp;DATE(Summary!$C$12-4,1,1),'Dvd Calendar'!$E$895:$AR$895,"&lt;="&amp;DATE(Summary!$C$12-4,12,31)))</f>
        <v/>
      </c>
      <c r="H71" s="53">
        <f>IF($C71="","",SUMIFS('Dvd Calendar'!$E$896:$AR$896,'Dvd Calendar'!$E$895:$AR$895,"&gt;="&amp;DATE(Summary!$C$12-3,1,1),'Dvd Calendar'!$E$895:$AR$895,"&lt;="&amp;DATE(Summary!$C$12-3,12,31)))</f>
        <v/>
      </c>
      <c r="I71" s="53">
        <f>IF($C71="","",SUMIFS('Dvd Calendar'!$E$896:$AR$896,'Dvd Calendar'!$E$895:$AR$895,"&gt;="&amp;DATE(Summary!$C$12-2,1,1),'Dvd Calendar'!$E$895:$AR$895,"&lt;="&amp;DATE(Summary!$C$12-2,12,31)))</f>
        <v/>
      </c>
      <c r="J71" s="53">
        <f>IF($C71="","",SUMIFS('Dvd Calendar'!$E$896:$AR$896,'Dvd Calendar'!$E$895:$AR$895,"&gt;="&amp;DATE(Summary!$C$12-1,1,1),'Dvd Calendar'!$E$895:$AR$895,"&lt;="&amp;DATE(Summary!$C$12-1,12,31)))</f>
        <v/>
      </c>
      <c r="K71" s="54">
        <f>IF($C71="","",SUMIFS('Dvd Calendar'!$E$896:$AR$896,'Dvd Calendar'!$E$895:$AR$895,"&gt;="&amp;DATE(Summary!$C$12,1,1),'Dvd Calendar'!$E$895:$AR$895,"&lt;="&amp;MIN(Summary!$C$11,DATE(Summary!$C$12,12,31))))</f>
        <v/>
      </c>
      <c r="L71" s="38">
        <f>IF($C71="","",AVERAGE(F71:J71))</f>
        <v/>
      </c>
      <c r="M71" s="55">
        <f>IF($C71="","",IF(Summary!$C$16="N","",IFERROR(BDP($C71,'Field Check'!$C$16,'Field Check'!$C$17,TEXT(Summary!$C$12-5,"0")),"")))</f>
        <v/>
      </c>
      <c r="N71" s="55">
        <f>IF($C71="","",IF(Summary!$C$16="N","",IFERROR(BDP($C71,'Field Check'!$C$16,'Field Check'!$C$17,TEXT(Summary!$C$12-4,"0")),"")))</f>
        <v/>
      </c>
      <c r="O71" s="55">
        <f>IF($C71="","",IF(Summary!$C$16="N","",IFERROR(BDP($C71,'Field Check'!$C$16,'Field Check'!$C$17,TEXT(Summary!$C$12-3,"0")),"")))</f>
        <v/>
      </c>
      <c r="P71" s="55">
        <f>IF($C71="","",IF(Summary!$C$16="N","",IFERROR(BDP($C71,'Field Check'!$C$16,'Field Check'!$C$17,TEXT(Summary!$C$12-2,"0")),"")))</f>
        <v/>
      </c>
      <c r="Q71" s="55">
        <f>IF($C71="","",IF(Summary!$C$16="N","",IFERROR(BDP($C71,'Field Check'!$C$16,'Field Check'!$C$17,TEXT(Summary!$C$12-1,"0")),"")))</f>
        <v/>
      </c>
      <c r="R71" s="56">
        <f>IF($C71="","",IF(Summary!$C$16="N","",IFERROR(BDP($C71,'Field Check'!$C$18,'Field Check'!$C$17,TEXT(Summary!$C$12-5,"0"))/100,"")))</f>
        <v/>
      </c>
      <c r="S71" s="56">
        <f>IF($C71="","",IF(Summary!$C$16="N","",IFERROR(BDP($C71,'Field Check'!$C$18,'Field Check'!$C$17,TEXT(Summary!$C$12-4,"0"))/100,"")))</f>
        <v/>
      </c>
      <c r="T71" s="56">
        <f>IF($C71="","",IF(Summary!$C$16="N","",IFERROR(BDP($C71,'Field Check'!$C$18,'Field Check'!$C$17,TEXT(Summary!$C$12-3,"0"))/100,"")))</f>
        <v/>
      </c>
      <c r="U71" s="56">
        <f>IF($C71="","",IF(Summary!$C$16="N","",IFERROR(BDP($C71,'Field Check'!$C$18,'Field Check'!$C$17,TEXT(Summary!$C$12-2,"0"))/100,"")))</f>
        <v/>
      </c>
      <c r="V71" s="56">
        <f>IF($C71="","",IF(Summary!$C$16="N","",IFERROR(BDP($C71,'Field Check'!$C$18,'Field Check'!$C$17,TEXT(Summary!$C$12-1,"0"))/100,"")))</f>
        <v/>
      </c>
      <c r="W71" s="57">
        <f>IF($C71="","",IFERROR(AVERAGE(R71:V71),""))</f>
        <v/>
      </c>
      <c r="X71" s="58">
        <f>IF($C71="","",IF(ISNUMBER($Q71)*(N($Q71)&gt;0)=0,"",IFERROR($J71/$Q71,"")))</f>
        <v/>
      </c>
      <c r="Y71" s="59">
        <f>IF($C71="","",IF(ISNUMBER(HSI!$I$66),HSI!$I$66/100,""))</f>
        <v/>
      </c>
      <c r="Z71" s="60">
        <f>IF($C71="","",IF(Summary!$C$16="N","",IFERROR(BDP($C71,'Field Check'!$C$19)/100,"")))</f>
        <v/>
      </c>
      <c r="AA71" s="61">
        <f>IF($C71="","",IF(N($Y71)+N($Z71)=0,"",N($Y71)+N($Z71)))</f>
        <v/>
      </c>
      <c r="AB71" s="60">
        <f>IF($C71="","",IF(Summary!$C$16="N","",IFERROR(BDP($C71,'Field Check'!$C$20)/100,"")))</f>
        <v/>
      </c>
      <c r="AC71" s="45">
        <f>IF($C71="","",IF(N($Y71)=0,"",IFERROR($AB71/$Y71,"")))</f>
        <v/>
      </c>
      <c r="AD71" s="55">
        <f>IF($C71="","",IF(Summary!$C$16="N","",IFERROR(BDP($C71,'Field Check'!$C$21),"")))</f>
        <v/>
      </c>
      <c r="AE71" s="55">
        <f>IF($C71="","",IF(Summary!$C$16="N","",IFERROR(BDP($C71,'Field Check'!$C$22),"")))</f>
        <v/>
      </c>
      <c r="AF71" s="55">
        <f>IF($C71="","",IF(Summary!$C$16="N","",IFERROR(BDP($C71,'Field Check'!$C$23),"")))</f>
        <v/>
      </c>
      <c r="AG71" s="40">
        <f>IF($C71="","",TRIM(IF(ISNUMBER($W71)*(N($W71)&gt;$D$7)&gt;0,"payout high  ","")&amp;IF(ISNUMBER($AC71)*(N($AC71)&lt;$F$7)&gt;0,"FCF below dvd  ","")&amp;IF(ISNUMBER($AE71)*(N($AE71)&gt;$H$7)&gt;0,"leverage high","")))</f>
        <v/>
      </c>
      <c r="AH71" s="40">
        <f>IF($C71="","",IF(HSI!$F$66="HKD","",IF(HSI!$F$66="","","DPS in "&amp;HSI!$F$66)))</f>
        <v/>
      </c>
    </row>
    <row r="72">
      <c r="B72" s="52" t="inlineStr">
        <is>
          <t>HSI</t>
        </is>
      </c>
      <c r="C72" s="6">
        <f>IF(HSI!$C$67="","",HSI!$C$67)</f>
        <v/>
      </c>
      <c r="D72" s="6">
        <f>IF($C72="","",HSI!$D$67)</f>
        <v/>
      </c>
      <c r="E72" s="6">
        <f>IF($C72="","",HSI!$E$67)</f>
        <v/>
      </c>
      <c r="F72" s="53">
        <f>IF($C72="","",SUMIFS('Dvd Calendar'!$E$911:$AR$911,'Dvd Calendar'!$E$910:$AR$910,"&gt;="&amp;DATE(Summary!$C$12-5,1,1),'Dvd Calendar'!$E$910:$AR$910,"&lt;="&amp;DATE(Summary!$C$12-5,12,31)))</f>
        <v/>
      </c>
      <c r="G72" s="53">
        <f>IF($C72="","",SUMIFS('Dvd Calendar'!$E$911:$AR$911,'Dvd Calendar'!$E$910:$AR$910,"&gt;="&amp;DATE(Summary!$C$12-4,1,1),'Dvd Calendar'!$E$910:$AR$910,"&lt;="&amp;DATE(Summary!$C$12-4,12,31)))</f>
        <v/>
      </c>
      <c r="H72" s="53">
        <f>IF($C72="","",SUMIFS('Dvd Calendar'!$E$911:$AR$911,'Dvd Calendar'!$E$910:$AR$910,"&gt;="&amp;DATE(Summary!$C$12-3,1,1),'Dvd Calendar'!$E$910:$AR$910,"&lt;="&amp;DATE(Summary!$C$12-3,12,31)))</f>
        <v/>
      </c>
      <c r="I72" s="53">
        <f>IF($C72="","",SUMIFS('Dvd Calendar'!$E$911:$AR$911,'Dvd Calendar'!$E$910:$AR$910,"&gt;="&amp;DATE(Summary!$C$12-2,1,1),'Dvd Calendar'!$E$910:$AR$910,"&lt;="&amp;DATE(Summary!$C$12-2,12,31)))</f>
        <v/>
      </c>
      <c r="J72" s="53">
        <f>IF($C72="","",SUMIFS('Dvd Calendar'!$E$911:$AR$911,'Dvd Calendar'!$E$910:$AR$910,"&gt;="&amp;DATE(Summary!$C$12-1,1,1),'Dvd Calendar'!$E$910:$AR$910,"&lt;="&amp;DATE(Summary!$C$12-1,12,31)))</f>
        <v/>
      </c>
      <c r="K72" s="54">
        <f>IF($C72="","",SUMIFS('Dvd Calendar'!$E$911:$AR$911,'Dvd Calendar'!$E$910:$AR$910,"&gt;="&amp;DATE(Summary!$C$12,1,1),'Dvd Calendar'!$E$910:$AR$910,"&lt;="&amp;MIN(Summary!$C$11,DATE(Summary!$C$12,12,31))))</f>
        <v/>
      </c>
      <c r="L72" s="38">
        <f>IF($C72="","",AVERAGE(F72:J72))</f>
        <v/>
      </c>
      <c r="M72" s="55">
        <f>IF($C72="","",IF(Summary!$C$16="N","",IFERROR(BDP($C72,'Field Check'!$C$16,'Field Check'!$C$17,TEXT(Summary!$C$12-5,"0")),"")))</f>
        <v/>
      </c>
      <c r="N72" s="55">
        <f>IF($C72="","",IF(Summary!$C$16="N","",IFERROR(BDP($C72,'Field Check'!$C$16,'Field Check'!$C$17,TEXT(Summary!$C$12-4,"0")),"")))</f>
        <v/>
      </c>
      <c r="O72" s="55">
        <f>IF($C72="","",IF(Summary!$C$16="N","",IFERROR(BDP($C72,'Field Check'!$C$16,'Field Check'!$C$17,TEXT(Summary!$C$12-3,"0")),"")))</f>
        <v/>
      </c>
      <c r="P72" s="55">
        <f>IF($C72="","",IF(Summary!$C$16="N","",IFERROR(BDP($C72,'Field Check'!$C$16,'Field Check'!$C$17,TEXT(Summary!$C$12-2,"0")),"")))</f>
        <v/>
      </c>
      <c r="Q72" s="55">
        <f>IF($C72="","",IF(Summary!$C$16="N","",IFERROR(BDP($C72,'Field Check'!$C$16,'Field Check'!$C$17,TEXT(Summary!$C$12-1,"0")),"")))</f>
        <v/>
      </c>
      <c r="R72" s="56">
        <f>IF($C72="","",IF(Summary!$C$16="N","",IFERROR(BDP($C72,'Field Check'!$C$18,'Field Check'!$C$17,TEXT(Summary!$C$12-5,"0"))/100,"")))</f>
        <v/>
      </c>
      <c r="S72" s="56">
        <f>IF($C72="","",IF(Summary!$C$16="N","",IFERROR(BDP($C72,'Field Check'!$C$18,'Field Check'!$C$17,TEXT(Summary!$C$12-4,"0"))/100,"")))</f>
        <v/>
      </c>
      <c r="T72" s="56">
        <f>IF($C72="","",IF(Summary!$C$16="N","",IFERROR(BDP($C72,'Field Check'!$C$18,'Field Check'!$C$17,TEXT(Summary!$C$12-3,"0"))/100,"")))</f>
        <v/>
      </c>
      <c r="U72" s="56">
        <f>IF($C72="","",IF(Summary!$C$16="N","",IFERROR(BDP($C72,'Field Check'!$C$18,'Field Check'!$C$17,TEXT(Summary!$C$12-2,"0"))/100,"")))</f>
        <v/>
      </c>
      <c r="V72" s="56">
        <f>IF($C72="","",IF(Summary!$C$16="N","",IFERROR(BDP($C72,'Field Check'!$C$18,'Field Check'!$C$17,TEXT(Summary!$C$12-1,"0"))/100,"")))</f>
        <v/>
      </c>
      <c r="W72" s="57">
        <f>IF($C72="","",IFERROR(AVERAGE(R72:V72),""))</f>
        <v/>
      </c>
      <c r="X72" s="58">
        <f>IF($C72="","",IF(ISNUMBER($Q72)*(N($Q72)&gt;0)=0,"",IFERROR($J72/$Q72,"")))</f>
        <v/>
      </c>
      <c r="Y72" s="59">
        <f>IF($C72="","",IF(ISNUMBER(HSI!$I$67),HSI!$I$67/100,""))</f>
        <v/>
      </c>
      <c r="Z72" s="60">
        <f>IF($C72="","",IF(Summary!$C$16="N","",IFERROR(BDP($C72,'Field Check'!$C$19)/100,"")))</f>
        <v/>
      </c>
      <c r="AA72" s="61">
        <f>IF($C72="","",IF(N($Y72)+N($Z72)=0,"",N($Y72)+N($Z72)))</f>
        <v/>
      </c>
      <c r="AB72" s="60">
        <f>IF($C72="","",IF(Summary!$C$16="N","",IFERROR(BDP($C72,'Field Check'!$C$20)/100,"")))</f>
        <v/>
      </c>
      <c r="AC72" s="45">
        <f>IF($C72="","",IF(N($Y72)=0,"",IFERROR($AB72/$Y72,"")))</f>
        <v/>
      </c>
      <c r="AD72" s="55">
        <f>IF($C72="","",IF(Summary!$C$16="N","",IFERROR(BDP($C72,'Field Check'!$C$21),"")))</f>
        <v/>
      </c>
      <c r="AE72" s="55">
        <f>IF($C72="","",IF(Summary!$C$16="N","",IFERROR(BDP($C72,'Field Check'!$C$22),"")))</f>
        <v/>
      </c>
      <c r="AF72" s="55">
        <f>IF($C72="","",IF(Summary!$C$16="N","",IFERROR(BDP($C72,'Field Check'!$C$23),"")))</f>
        <v/>
      </c>
      <c r="AG72" s="40">
        <f>IF($C72="","",TRIM(IF(ISNUMBER($W72)*(N($W72)&gt;$D$7)&gt;0,"payout high  ","")&amp;IF(ISNUMBER($AC72)*(N($AC72)&lt;$F$7)&gt;0,"FCF below dvd  ","")&amp;IF(ISNUMBER($AE72)*(N($AE72)&gt;$H$7)&gt;0,"leverage high","")))</f>
        <v/>
      </c>
      <c r="AH72" s="40">
        <f>IF($C72="","",IF(HSI!$F$67="HKD","",IF(HSI!$F$67="","","DPS in "&amp;HSI!$F$67)))</f>
        <v/>
      </c>
    </row>
    <row r="73">
      <c r="B73" s="52" t="inlineStr">
        <is>
          <t>HSI</t>
        </is>
      </c>
      <c r="C73" s="6">
        <f>IF(HSI!$C$68="","",HSI!$C$68)</f>
        <v/>
      </c>
      <c r="D73" s="6">
        <f>IF($C73="","",HSI!$D$68)</f>
        <v/>
      </c>
      <c r="E73" s="6">
        <f>IF($C73="","",HSI!$E$68)</f>
        <v/>
      </c>
      <c r="F73" s="53">
        <f>IF($C73="","",SUMIFS('Dvd Calendar'!$E$926:$AR$926,'Dvd Calendar'!$E$925:$AR$925,"&gt;="&amp;DATE(Summary!$C$12-5,1,1),'Dvd Calendar'!$E$925:$AR$925,"&lt;="&amp;DATE(Summary!$C$12-5,12,31)))</f>
        <v/>
      </c>
      <c r="G73" s="53">
        <f>IF($C73="","",SUMIFS('Dvd Calendar'!$E$926:$AR$926,'Dvd Calendar'!$E$925:$AR$925,"&gt;="&amp;DATE(Summary!$C$12-4,1,1),'Dvd Calendar'!$E$925:$AR$925,"&lt;="&amp;DATE(Summary!$C$12-4,12,31)))</f>
        <v/>
      </c>
      <c r="H73" s="53">
        <f>IF($C73="","",SUMIFS('Dvd Calendar'!$E$926:$AR$926,'Dvd Calendar'!$E$925:$AR$925,"&gt;="&amp;DATE(Summary!$C$12-3,1,1),'Dvd Calendar'!$E$925:$AR$925,"&lt;="&amp;DATE(Summary!$C$12-3,12,31)))</f>
        <v/>
      </c>
      <c r="I73" s="53">
        <f>IF($C73="","",SUMIFS('Dvd Calendar'!$E$926:$AR$926,'Dvd Calendar'!$E$925:$AR$925,"&gt;="&amp;DATE(Summary!$C$12-2,1,1),'Dvd Calendar'!$E$925:$AR$925,"&lt;="&amp;DATE(Summary!$C$12-2,12,31)))</f>
        <v/>
      </c>
      <c r="J73" s="53">
        <f>IF($C73="","",SUMIFS('Dvd Calendar'!$E$926:$AR$926,'Dvd Calendar'!$E$925:$AR$925,"&gt;="&amp;DATE(Summary!$C$12-1,1,1),'Dvd Calendar'!$E$925:$AR$925,"&lt;="&amp;DATE(Summary!$C$12-1,12,31)))</f>
        <v/>
      </c>
      <c r="K73" s="54">
        <f>IF($C73="","",SUMIFS('Dvd Calendar'!$E$926:$AR$926,'Dvd Calendar'!$E$925:$AR$925,"&gt;="&amp;DATE(Summary!$C$12,1,1),'Dvd Calendar'!$E$925:$AR$925,"&lt;="&amp;MIN(Summary!$C$11,DATE(Summary!$C$12,12,31))))</f>
        <v/>
      </c>
      <c r="L73" s="38">
        <f>IF($C73="","",AVERAGE(F73:J73))</f>
        <v/>
      </c>
      <c r="M73" s="55">
        <f>IF($C73="","",IF(Summary!$C$16="N","",IFERROR(BDP($C73,'Field Check'!$C$16,'Field Check'!$C$17,TEXT(Summary!$C$12-5,"0")),"")))</f>
        <v/>
      </c>
      <c r="N73" s="55">
        <f>IF($C73="","",IF(Summary!$C$16="N","",IFERROR(BDP($C73,'Field Check'!$C$16,'Field Check'!$C$17,TEXT(Summary!$C$12-4,"0")),"")))</f>
        <v/>
      </c>
      <c r="O73" s="55">
        <f>IF($C73="","",IF(Summary!$C$16="N","",IFERROR(BDP($C73,'Field Check'!$C$16,'Field Check'!$C$17,TEXT(Summary!$C$12-3,"0")),"")))</f>
        <v/>
      </c>
      <c r="P73" s="55">
        <f>IF($C73="","",IF(Summary!$C$16="N","",IFERROR(BDP($C73,'Field Check'!$C$16,'Field Check'!$C$17,TEXT(Summary!$C$12-2,"0")),"")))</f>
        <v/>
      </c>
      <c r="Q73" s="55">
        <f>IF($C73="","",IF(Summary!$C$16="N","",IFERROR(BDP($C73,'Field Check'!$C$16,'Field Check'!$C$17,TEXT(Summary!$C$12-1,"0")),"")))</f>
        <v/>
      </c>
      <c r="R73" s="56">
        <f>IF($C73="","",IF(Summary!$C$16="N","",IFERROR(BDP($C73,'Field Check'!$C$18,'Field Check'!$C$17,TEXT(Summary!$C$12-5,"0"))/100,"")))</f>
        <v/>
      </c>
      <c r="S73" s="56">
        <f>IF($C73="","",IF(Summary!$C$16="N","",IFERROR(BDP($C73,'Field Check'!$C$18,'Field Check'!$C$17,TEXT(Summary!$C$12-4,"0"))/100,"")))</f>
        <v/>
      </c>
      <c r="T73" s="56">
        <f>IF($C73="","",IF(Summary!$C$16="N","",IFERROR(BDP($C73,'Field Check'!$C$18,'Field Check'!$C$17,TEXT(Summary!$C$12-3,"0"))/100,"")))</f>
        <v/>
      </c>
      <c r="U73" s="56">
        <f>IF($C73="","",IF(Summary!$C$16="N","",IFERROR(BDP($C73,'Field Check'!$C$18,'Field Check'!$C$17,TEXT(Summary!$C$12-2,"0"))/100,"")))</f>
        <v/>
      </c>
      <c r="V73" s="56">
        <f>IF($C73="","",IF(Summary!$C$16="N","",IFERROR(BDP($C73,'Field Check'!$C$18,'Field Check'!$C$17,TEXT(Summary!$C$12-1,"0"))/100,"")))</f>
        <v/>
      </c>
      <c r="W73" s="57">
        <f>IF($C73="","",IFERROR(AVERAGE(R73:V73),""))</f>
        <v/>
      </c>
      <c r="X73" s="58">
        <f>IF($C73="","",IF(ISNUMBER($Q73)*(N($Q73)&gt;0)=0,"",IFERROR($J73/$Q73,"")))</f>
        <v/>
      </c>
      <c r="Y73" s="59">
        <f>IF($C73="","",IF(ISNUMBER(HSI!$I$68),HSI!$I$68/100,""))</f>
        <v/>
      </c>
      <c r="Z73" s="60">
        <f>IF($C73="","",IF(Summary!$C$16="N","",IFERROR(BDP($C73,'Field Check'!$C$19)/100,"")))</f>
        <v/>
      </c>
      <c r="AA73" s="61">
        <f>IF($C73="","",IF(N($Y73)+N($Z73)=0,"",N($Y73)+N($Z73)))</f>
        <v/>
      </c>
      <c r="AB73" s="60">
        <f>IF($C73="","",IF(Summary!$C$16="N","",IFERROR(BDP($C73,'Field Check'!$C$20)/100,"")))</f>
        <v/>
      </c>
      <c r="AC73" s="45">
        <f>IF($C73="","",IF(N($Y73)=0,"",IFERROR($AB73/$Y73,"")))</f>
        <v/>
      </c>
      <c r="AD73" s="55">
        <f>IF($C73="","",IF(Summary!$C$16="N","",IFERROR(BDP($C73,'Field Check'!$C$21),"")))</f>
        <v/>
      </c>
      <c r="AE73" s="55">
        <f>IF($C73="","",IF(Summary!$C$16="N","",IFERROR(BDP($C73,'Field Check'!$C$22),"")))</f>
        <v/>
      </c>
      <c r="AF73" s="55">
        <f>IF($C73="","",IF(Summary!$C$16="N","",IFERROR(BDP($C73,'Field Check'!$C$23),"")))</f>
        <v/>
      </c>
      <c r="AG73" s="40">
        <f>IF($C73="","",TRIM(IF(ISNUMBER($W73)*(N($W73)&gt;$D$7)&gt;0,"payout high  ","")&amp;IF(ISNUMBER($AC73)*(N($AC73)&lt;$F$7)&gt;0,"FCF below dvd  ","")&amp;IF(ISNUMBER($AE73)*(N($AE73)&gt;$H$7)&gt;0,"leverage high","")))</f>
        <v/>
      </c>
      <c r="AH73" s="40">
        <f>IF($C73="","",IF(HSI!$F$68="HKD","",IF(HSI!$F$68="","","DPS in "&amp;HSI!$F$68)))</f>
        <v/>
      </c>
    </row>
    <row r="74">
      <c r="B74" s="52" t="inlineStr">
        <is>
          <t>HSI</t>
        </is>
      </c>
      <c r="C74" s="6">
        <f>IF(HSI!$C$69="","",HSI!$C$69)</f>
        <v/>
      </c>
      <c r="D74" s="6">
        <f>IF($C74="","",HSI!$D$69)</f>
        <v/>
      </c>
      <c r="E74" s="6">
        <f>IF($C74="","",HSI!$E$69)</f>
        <v/>
      </c>
      <c r="F74" s="53">
        <f>IF($C74="","",SUMIFS('Dvd Calendar'!$E$941:$AR$941,'Dvd Calendar'!$E$940:$AR$940,"&gt;="&amp;DATE(Summary!$C$12-5,1,1),'Dvd Calendar'!$E$940:$AR$940,"&lt;="&amp;DATE(Summary!$C$12-5,12,31)))</f>
        <v/>
      </c>
      <c r="G74" s="53">
        <f>IF($C74="","",SUMIFS('Dvd Calendar'!$E$941:$AR$941,'Dvd Calendar'!$E$940:$AR$940,"&gt;="&amp;DATE(Summary!$C$12-4,1,1),'Dvd Calendar'!$E$940:$AR$940,"&lt;="&amp;DATE(Summary!$C$12-4,12,31)))</f>
        <v/>
      </c>
      <c r="H74" s="53">
        <f>IF($C74="","",SUMIFS('Dvd Calendar'!$E$941:$AR$941,'Dvd Calendar'!$E$940:$AR$940,"&gt;="&amp;DATE(Summary!$C$12-3,1,1),'Dvd Calendar'!$E$940:$AR$940,"&lt;="&amp;DATE(Summary!$C$12-3,12,31)))</f>
        <v/>
      </c>
      <c r="I74" s="53">
        <f>IF($C74="","",SUMIFS('Dvd Calendar'!$E$941:$AR$941,'Dvd Calendar'!$E$940:$AR$940,"&gt;="&amp;DATE(Summary!$C$12-2,1,1),'Dvd Calendar'!$E$940:$AR$940,"&lt;="&amp;DATE(Summary!$C$12-2,12,31)))</f>
        <v/>
      </c>
      <c r="J74" s="53">
        <f>IF($C74="","",SUMIFS('Dvd Calendar'!$E$941:$AR$941,'Dvd Calendar'!$E$940:$AR$940,"&gt;="&amp;DATE(Summary!$C$12-1,1,1),'Dvd Calendar'!$E$940:$AR$940,"&lt;="&amp;DATE(Summary!$C$12-1,12,31)))</f>
        <v/>
      </c>
      <c r="K74" s="54">
        <f>IF($C74="","",SUMIFS('Dvd Calendar'!$E$941:$AR$941,'Dvd Calendar'!$E$940:$AR$940,"&gt;="&amp;DATE(Summary!$C$12,1,1),'Dvd Calendar'!$E$940:$AR$940,"&lt;="&amp;MIN(Summary!$C$11,DATE(Summary!$C$12,12,31))))</f>
        <v/>
      </c>
      <c r="L74" s="38">
        <f>IF($C74="","",AVERAGE(F74:J74))</f>
        <v/>
      </c>
      <c r="M74" s="55">
        <f>IF($C74="","",IF(Summary!$C$16="N","",IFERROR(BDP($C74,'Field Check'!$C$16,'Field Check'!$C$17,TEXT(Summary!$C$12-5,"0")),"")))</f>
        <v/>
      </c>
      <c r="N74" s="55">
        <f>IF($C74="","",IF(Summary!$C$16="N","",IFERROR(BDP($C74,'Field Check'!$C$16,'Field Check'!$C$17,TEXT(Summary!$C$12-4,"0")),"")))</f>
        <v/>
      </c>
      <c r="O74" s="55">
        <f>IF($C74="","",IF(Summary!$C$16="N","",IFERROR(BDP($C74,'Field Check'!$C$16,'Field Check'!$C$17,TEXT(Summary!$C$12-3,"0")),"")))</f>
        <v/>
      </c>
      <c r="P74" s="55">
        <f>IF($C74="","",IF(Summary!$C$16="N","",IFERROR(BDP($C74,'Field Check'!$C$16,'Field Check'!$C$17,TEXT(Summary!$C$12-2,"0")),"")))</f>
        <v/>
      </c>
      <c r="Q74" s="55">
        <f>IF($C74="","",IF(Summary!$C$16="N","",IFERROR(BDP($C74,'Field Check'!$C$16,'Field Check'!$C$17,TEXT(Summary!$C$12-1,"0")),"")))</f>
        <v/>
      </c>
      <c r="R74" s="56">
        <f>IF($C74="","",IF(Summary!$C$16="N","",IFERROR(BDP($C74,'Field Check'!$C$18,'Field Check'!$C$17,TEXT(Summary!$C$12-5,"0"))/100,"")))</f>
        <v/>
      </c>
      <c r="S74" s="56">
        <f>IF($C74="","",IF(Summary!$C$16="N","",IFERROR(BDP($C74,'Field Check'!$C$18,'Field Check'!$C$17,TEXT(Summary!$C$12-4,"0"))/100,"")))</f>
        <v/>
      </c>
      <c r="T74" s="56">
        <f>IF($C74="","",IF(Summary!$C$16="N","",IFERROR(BDP($C74,'Field Check'!$C$18,'Field Check'!$C$17,TEXT(Summary!$C$12-3,"0"))/100,"")))</f>
        <v/>
      </c>
      <c r="U74" s="56">
        <f>IF($C74="","",IF(Summary!$C$16="N","",IFERROR(BDP($C74,'Field Check'!$C$18,'Field Check'!$C$17,TEXT(Summary!$C$12-2,"0"))/100,"")))</f>
        <v/>
      </c>
      <c r="V74" s="56">
        <f>IF($C74="","",IF(Summary!$C$16="N","",IFERROR(BDP($C74,'Field Check'!$C$18,'Field Check'!$C$17,TEXT(Summary!$C$12-1,"0"))/100,"")))</f>
        <v/>
      </c>
      <c r="W74" s="57">
        <f>IF($C74="","",IFERROR(AVERAGE(R74:V74),""))</f>
        <v/>
      </c>
      <c r="X74" s="58">
        <f>IF($C74="","",IF(ISNUMBER($Q74)*(N($Q74)&gt;0)=0,"",IFERROR($J74/$Q74,"")))</f>
        <v/>
      </c>
      <c r="Y74" s="59">
        <f>IF($C74="","",IF(ISNUMBER(HSI!$I$69),HSI!$I$69/100,""))</f>
        <v/>
      </c>
      <c r="Z74" s="60">
        <f>IF($C74="","",IF(Summary!$C$16="N","",IFERROR(BDP($C74,'Field Check'!$C$19)/100,"")))</f>
        <v/>
      </c>
      <c r="AA74" s="61">
        <f>IF($C74="","",IF(N($Y74)+N($Z74)=0,"",N($Y74)+N($Z74)))</f>
        <v/>
      </c>
      <c r="AB74" s="60">
        <f>IF($C74="","",IF(Summary!$C$16="N","",IFERROR(BDP($C74,'Field Check'!$C$20)/100,"")))</f>
        <v/>
      </c>
      <c r="AC74" s="45">
        <f>IF($C74="","",IF(N($Y74)=0,"",IFERROR($AB74/$Y74,"")))</f>
        <v/>
      </c>
      <c r="AD74" s="55">
        <f>IF($C74="","",IF(Summary!$C$16="N","",IFERROR(BDP($C74,'Field Check'!$C$21),"")))</f>
        <v/>
      </c>
      <c r="AE74" s="55">
        <f>IF($C74="","",IF(Summary!$C$16="N","",IFERROR(BDP($C74,'Field Check'!$C$22),"")))</f>
        <v/>
      </c>
      <c r="AF74" s="55">
        <f>IF($C74="","",IF(Summary!$C$16="N","",IFERROR(BDP($C74,'Field Check'!$C$23),"")))</f>
        <v/>
      </c>
      <c r="AG74" s="40">
        <f>IF($C74="","",TRIM(IF(ISNUMBER($W74)*(N($W74)&gt;$D$7)&gt;0,"payout high  ","")&amp;IF(ISNUMBER($AC74)*(N($AC74)&lt;$F$7)&gt;0,"FCF below dvd  ","")&amp;IF(ISNUMBER($AE74)*(N($AE74)&gt;$H$7)&gt;0,"leverage high","")))</f>
        <v/>
      </c>
      <c r="AH74" s="40">
        <f>IF($C74="","",IF(HSI!$F$69="HKD","",IF(HSI!$F$69="","","DPS in "&amp;HSI!$F$69)))</f>
        <v/>
      </c>
    </row>
    <row r="75">
      <c r="B75" s="52" t="inlineStr">
        <is>
          <t>HSI</t>
        </is>
      </c>
      <c r="C75" s="6">
        <f>IF(HSI!$C$70="","",HSI!$C$70)</f>
        <v/>
      </c>
      <c r="D75" s="6">
        <f>IF($C75="","",HSI!$D$70)</f>
        <v/>
      </c>
      <c r="E75" s="6">
        <f>IF($C75="","",HSI!$E$70)</f>
        <v/>
      </c>
      <c r="F75" s="53">
        <f>IF($C75="","",SUMIFS('Dvd Calendar'!$E$956:$AR$956,'Dvd Calendar'!$E$955:$AR$955,"&gt;="&amp;DATE(Summary!$C$12-5,1,1),'Dvd Calendar'!$E$955:$AR$955,"&lt;="&amp;DATE(Summary!$C$12-5,12,31)))</f>
        <v/>
      </c>
      <c r="G75" s="53">
        <f>IF($C75="","",SUMIFS('Dvd Calendar'!$E$956:$AR$956,'Dvd Calendar'!$E$955:$AR$955,"&gt;="&amp;DATE(Summary!$C$12-4,1,1),'Dvd Calendar'!$E$955:$AR$955,"&lt;="&amp;DATE(Summary!$C$12-4,12,31)))</f>
        <v/>
      </c>
      <c r="H75" s="53">
        <f>IF($C75="","",SUMIFS('Dvd Calendar'!$E$956:$AR$956,'Dvd Calendar'!$E$955:$AR$955,"&gt;="&amp;DATE(Summary!$C$12-3,1,1),'Dvd Calendar'!$E$955:$AR$955,"&lt;="&amp;DATE(Summary!$C$12-3,12,31)))</f>
        <v/>
      </c>
      <c r="I75" s="53">
        <f>IF($C75="","",SUMIFS('Dvd Calendar'!$E$956:$AR$956,'Dvd Calendar'!$E$955:$AR$955,"&gt;="&amp;DATE(Summary!$C$12-2,1,1),'Dvd Calendar'!$E$955:$AR$955,"&lt;="&amp;DATE(Summary!$C$12-2,12,31)))</f>
        <v/>
      </c>
      <c r="J75" s="53">
        <f>IF($C75="","",SUMIFS('Dvd Calendar'!$E$956:$AR$956,'Dvd Calendar'!$E$955:$AR$955,"&gt;="&amp;DATE(Summary!$C$12-1,1,1),'Dvd Calendar'!$E$955:$AR$955,"&lt;="&amp;DATE(Summary!$C$12-1,12,31)))</f>
        <v/>
      </c>
      <c r="K75" s="54">
        <f>IF($C75="","",SUMIFS('Dvd Calendar'!$E$956:$AR$956,'Dvd Calendar'!$E$955:$AR$955,"&gt;="&amp;DATE(Summary!$C$12,1,1),'Dvd Calendar'!$E$955:$AR$955,"&lt;="&amp;MIN(Summary!$C$11,DATE(Summary!$C$12,12,31))))</f>
        <v/>
      </c>
      <c r="L75" s="38">
        <f>IF($C75="","",AVERAGE(F75:J75))</f>
        <v/>
      </c>
      <c r="M75" s="55">
        <f>IF($C75="","",IF(Summary!$C$16="N","",IFERROR(BDP($C75,'Field Check'!$C$16,'Field Check'!$C$17,TEXT(Summary!$C$12-5,"0")),"")))</f>
        <v/>
      </c>
      <c r="N75" s="55">
        <f>IF($C75="","",IF(Summary!$C$16="N","",IFERROR(BDP($C75,'Field Check'!$C$16,'Field Check'!$C$17,TEXT(Summary!$C$12-4,"0")),"")))</f>
        <v/>
      </c>
      <c r="O75" s="55">
        <f>IF($C75="","",IF(Summary!$C$16="N","",IFERROR(BDP($C75,'Field Check'!$C$16,'Field Check'!$C$17,TEXT(Summary!$C$12-3,"0")),"")))</f>
        <v/>
      </c>
      <c r="P75" s="55">
        <f>IF($C75="","",IF(Summary!$C$16="N","",IFERROR(BDP($C75,'Field Check'!$C$16,'Field Check'!$C$17,TEXT(Summary!$C$12-2,"0")),"")))</f>
        <v/>
      </c>
      <c r="Q75" s="55">
        <f>IF($C75="","",IF(Summary!$C$16="N","",IFERROR(BDP($C75,'Field Check'!$C$16,'Field Check'!$C$17,TEXT(Summary!$C$12-1,"0")),"")))</f>
        <v/>
      </c>
      <c r="R75" s="56">
        <f>IF($C75="","",IF(Summary!$C$16="N","",IFERROR(BDP($C75,'Field Check'!$C$18,'Field Check'!$C$17,TEXT(Summary!$C$12-5,"0"))/100,"")))</f>
        <v/>
      </c>
      <c r="S75" s="56">
        <f>IF($C75="","",IF(Summary!$C$16="N","",IFERROR(BDP($C75,'Field Check'!$C$18,'Field Check'!$C$17,TEXT(Summary!$C$12-4,"0"))/100,"")))</f>
        <v/>
      </c>
      <c r="T75" s="56">
        <f>IF($C75="","",IF(Summary!$C$16="N","",IFERROR(BDP($C75,'Field Check'!$C$18,'Field Check'!$C$17,TEXT(Summary!$C$12-3,"0"))/100,"")))</f>
        <v/>
      </c>
      <c r="U75" s="56">
        <f>IF($C75="","",IF(Summary!$C$16="N","",IFERROR(BDP($C75,'Field Check'!$C$18,'Field Check'!$C$17,TEXT(Summary!$C$12-2,"0"))/100,"")))</f>
        <v/>
      </c>
      <c r="V75" s="56">
        <f>IF($C75="","",IF(Summary!$C$16="N","",IFERROR(BDP($C75,'Field Check'!$C$18,'Field Check'!$C$17,TEXT(Summary!$C$12-1,"0"))/100,"")))</f>
        <v/>
      </c>
      <c r="W75" s="57">
        <f>IF($C75="","",IFERROR(AVERAGE(R75:V75),""))</f>
        <v/>
      </c>
      <c r="X75" s="58">
        <f>IF($C75="","",IF(ISNUMBER($Q75)*(N($Q75)&gt;0)=0,"",IFERROR($J75/$Q75,"")))</f>
        <v/>
      </c>
      <c r="Y75" s="59">
        <f>IF($C75="","",IF(ISNUMBER(HSI!$I$70),HSI!$I$70/100,""))</f>
        <v/>
      </c>
      <c r="Z75" s="60">
        <f>IF($C75="","",IF(Summary!$C$16="N","",IFERROR(BDP($C75,'Field Check'!$C$19)/100,"")))</f>
        <v/>
      </c>
      <c r="AA75" s="61">
        <f>IF($C75="","",IF(N($Y75)+N($Z75)=0,"",N($Y75)+N($Z75)))</f>
        <v/>
      </c>
      <c r="AB75" s="60">
        <f>IF($C75="","",IF(Summary!$C$16="N","",IFERROR(BDP($C75,'Field Check'!$C$20)/100,"")))</f>
        <v/>
      </c>
      <c r="AC75" s="45">
        <f>IF($C75="","",IF(N($Y75)=0,"",IFERROR($AB75/$Y75,"")))</f>
        <v/>
      </c>
      <c r="AD75" s="55">
        <f>IF($C75="","",IF(Summary!$C$16="N","",IFERROR(BDP($C75,'Field Check'!$C$21),"")))</f>
        <v/>
      </c>
      <c r="AE75" s="55">
        <f>IF($C75="","",IF(Summary!$C$16="N","",IFERROR(BDP($C75,'Field Check'!$C$22),"")))</f>
        <v/>
      </c>
      <c r="AF75" s="55">
        <f>IF($C75="","",IF(Summary!$C$16="N","",IFERROR(BDP($C75,'Field Check'!$C$23),"")))</f>
        <v/>
      </c>
      <c r="AG75" s="40">
        <f>IF($C75="","",TRIM(IF(ISNUMBER($W75)*(N($W75)&gt;$D$7)&gt;0,"payout high  ","")&amp;IF(ISNUMBER($AC75)*(N($AC75)&lt;$F$7)&gt;0,"FCF below dvd  ","")&amp;IF(ISNUMBER($AE75)*(N($AE75)&gt;$H$7)&gt;0,"leverage high","")))</f>
        <v/>
      </c>
      <c r="AH75" s="40">
        <f>IF($C75="","",IF(HSI!$F$70="HKD","",IF(HSI!$F$70="","","DPS in "&amp;HSI!$F$70)))</f>
        <v/>
      </c>
    </row>
    <row r="76">
      <c r="B76" s="52" t="inlineStr">
        <is>
          <t>HSI</t>
        </is>
      </c>
      <c r="C76" s="6">
        <f>IF(HSI!$C$71="","",HSI!$C$71)</f>
        <v/>
      </c>
      <c r="D76" s="6">
        <f>IF($C76="","",HSI!$D$71)</f>
        <v/>
      </c>
      <c r="E76" s="6">
        <f>IF($C76="","",HSI!$E$71)</f>
        <v/>
      </c>
      <c r="F76" s="53">
        <f>IF($C76="","",SUMIFS('Dvd Calendar'!$E$971:$AR$971,'Dvd Calendar'!$E$970:$AR$970,"&gt;="&amp;DATE(Summary!$C$12-5,1,1),'Dvd Calendar'!$E$970:$AR$970,"&lt;="&amp;DATE(Summary!$C$12-5,12,31)))</f>
        <v/>
      </c>
      <c r="G76" s="53">
        <f>IF($C76="","",SUMIFS('Dvd Calendar'!$E$971:$AR$971,'Dvd Calendar'!$E$970:$AR$970,"&gt;="&amp;DATE(Summary!$C$12-4,1,1),'Dvd Calendar'!$E$970:$AR$970,"&lt;="&amp;DATE(Summary!$C$12-4,12,31)))</f>
        <v/>
      </c>
      <c r="H76" s="53">
        <f>IF($C76="","",SUMIFS('Dvd Calendar'!$E$971:$AR$971,'Dvd Calendar'!$E$970:$AR$970,"&gt;="&amp;DATE(Summary!$C$12-3,1,1),'Dvd Calendar'!$E$970:$AR$970,"&lt;="&amp;DATE(Summary!$C$12-3,12,31)))</f>
        <v/>
      </c>
      <c r="I76" s="53">
        <f>IF($C76="","",SUMIFS('Dvd Calendar'!$E$971:$AR$971,'Dvd Calendar'!$E$970:$AR$970,"&gt;="&amp;DATE(Summary!$C$12-2,1,1),'Dvd Calendar'!$E$970:$AR$970,"&lt;="&amp;DATE(Summary!$C$12-2,12,31)))</f>
        <v/>
      </c>
      <c r="J76" s="53">
        <f>IF($C76="","",SUMIFS('Dvd Calendar'!$E$971:$AR$971,'Dvd Calendar'!$E$970:$AR$970,"&gt;="&amp;DATE(Summary!$C$12-1,1,1),'Dvd Calendar'!$E$970:$AR$970,"&lt;="&amp;DATE(Summary!$C$12-1,12,31)))</f>
        <v/>
      </c>
      <c r="K76" s="54">
        <f>IF($C76="","",SUMIFS('Dvd Calendar'!$E$971:$AR$971,'Dvd Calendar'!$E$970:$AR$970,"&gt;="&amp;DATE(Summary!$C$12,1,1),'Dvd Calendar'!$E$970:$AR$970,"&lt;="&amp;MIN(Summary!$C$11,DATE(Summary!$C$12,12,31))))</f>
        <v/>
      </c>
      <c r="L76" s="38">
        <f>IF($C76="","",AVERAGE(F76:J76))</f>
        <v/>
      </c>
      <c r="M76" s="55">
        <f>IF($C76="","",IF(Summary!$C$16="N","",IFERROR(BDP($C76,'Field Check'!$C$16,'Field Check'!$C$17,TEXT(Summary!$C$12-5,"0")),"")))</f>
        <v/>
      </c>
      <c r="N76" s="55">
        <f>IF($C76="","",IF(Summary!$C$16="N","",IFERROR(BDP($C76,'Field Check'!$C$16,'Field Check'!$C$17,TEXT(Summary!$C$12-4,"0")),"")))</f>
        <v/>
      </c>
      <c r="O76" s="55">
        <f>IF($C76="","",IF(Summary!$C$16="N","",IFERROR(BDP($C76,'Field Check'!$C$16,'Field Check'!$C$17,TEXT(Summary!$C$12-3,"0")),"")))</f>
        <v/>
      </c>
      <c r="P76" s="55">
        <f>IF($C76="","",IF(Summary!$C$16="N","",IFERROR(BDP($C76,'Field Check'!$C$16,'Field Check'!$C$17,TEXT(Summary!$C$12-2,"0")),"")))</f>
        <v/>
      </c>
      <c r="Q76" s="55">
        <f>IF($C76="","",IF(Summary!$C$16="N","",IFERROR(BDP($C76,'Field Check'!$C$16,'Field Check'!$C$17,TEXT(Summary!$C$12-1,"0")),"")))</f>
        <v/>
      </c>
      <c r="R76" s="56">
        <f>IF($C76="","",IF(Summary!$C$16="N","",IFERROR(BDP($C76,'Field Check'!$C$18,'Field Check'!$C$17,TEXT(Summary!$C$12-5,"0"))/100,"")))</f>
        <v/>
      </c>
      <c r="S76" s="56">
        <f>IF($C76="","",IF(Summary!$C$16="N","",IFERROR(BDP($C76,'Field Check'!$C$18,'Field Check'!$C$17,TEXT(Summary!$C$12-4,"0"))/100,"")))</f>
        <v/>
      </c>
      <c r="T76" s="56">
        <f>IF($C76="","",IF(Summary!$C$16="N","",IFERROR(BDP($C76,'Field Check'!$C$18,'Field Check'!$C$17,TEXT(Summary!$C$12-3,"0"))/100,"")))</f>
        <v/>
      </c>
      <c r="U76" s="56">
        <f>IF($C76="","",IF(Summary!$C$16="N","",IFERROR(BDP($C76,'Field Check'!$C$18,'Field Check'!$C$17,TEXT(Summary!$C$12-2,"0"))/100,"")))</f>
        <v/>
      </c>
      <c r="V76" s="56">
        <f>IF($C76="","",IF(Summary!$C$16="N","",IFERROR(BDP($C76,'Field Check'!$C$18,'Field Check'!$C$17,TEXT(Summary!$C$12-1,"0"))/100,"")))</f>
        <v/>
      </c>
      <c r="W76" s="57">
        <f>IF($C76="","",IFERROR(AVERAGE(R76:V76),""))</f>
        <v/>
      </c>
      <c r="X76" s="58">
        <f>IF($C76="","",IF(ISNUMBER($Q76)*(N($Q76)&gt;0)=0,"",IFERROR($J76/$Q76,"")))</f>
        <v/>
      </c>
      <c r="Y76" s="59">
        <f>IF($C76="","",IF(ISNUMBER(HSI!$I$71),HSI!$I$71/100,""))</f>
        <v/>
      </c>
      <c r="Z76" s="60">
        <f>IF($C76="","",IF(Summary!$C$16="N","",IFERROR(BDP($C76,'Field Check'!$C$19)/100,"")))</f>
        <v/>
      </c>
      <c r="AA76" s="61">
        <f>IF($C76="","",IF(N($Y76)+N($Z76)=0,"",N($Y76)+N($Z76)))</f>
        <v/>
      </c>
      <c r="AB76" s="60">
        <f>IF($C76="","",IF(Summary!$C$16="N","",IFERROR(BDP($C76,'Field Check'!$C$20)/100,"")))</f>
        <v/>
      </c>
      <c r="AC76" s="45">
        <f>IF($C76="","",IF(N($Y76)=0,"",IFERROR($AB76/$Y76,"")))</f>
        <v/>
      </c>
      <c r="AD76" s="55">
        <f>IF($C76="","",IF(Summary!$C$16="N","",IFERROR(BDP($C76,'Field Check'!$C$21),"")))</f>
        <v/>
      </c>
      <c r="AE76" s="55">
        <f>IF($C76="","",IF(Summary!$C$16="N","",IFERROR(BDP($C76,'Field Check'!$C$22),"")))</f>
        <v/>
      </c>
      <c r="AF76" s="55">
        <f>IF($C76="","",IF(Summary!$C$16="N","",IFERROR(BDP($C76,'Field Check'!$C$23),"")))</f>
        <v/>
      </c>
      <c r="AG76" s="40">
        <f>IF($C76="","",TRIM(IF(ISNUMBER($W76)*(N($W76)&gt;$D$7)&gt;0,"payout high  ","")&amp;IF(ISNUMBER($AC76)*(N($AC76)&lt;$F$7)&gt;0,"FCF below dvd  ","")&amp;IF(ISNUMBER($AE76)*(N($AE76)&gt;$H$7)&gt;0,"leverage high","")))</f>
        <v/>
      </c>
      <c r="AH76" s="40">
        <f>IF($C76="","",IF(HSI!$F$71="HKD","",IF(HSI!$F$71="","","DPS in "&amp;HSI!$F$71)))</f>
        <v/>
      </c>
    </row>
    <row r="77">
      <c r="B77" s="52" t="inlineStr">
        <is>
          <t>HSI</t>
        </is>
      </c>
      <c r="C77" s="6">
        <f>IF(HSI!$C$72="","",HSI!$C$72)</f>
        <v/>
      </c>
      <c r="D77" s="6">
        <f>IF($C77="","",HSI!$D$72)</f>
        <v/>
      </c>
      <c r="E77" s="6">
        <f>IF($C77="","",HSI!$E$72)</f>
        <v/>
      </c>
      <c r="F77" s="53">
        <f>IF($C77="","",SUMIFS('Dvd Calendar'!$E$986:$AR$986,'Dvd Calendar'!$E$985:$AR$985,"&gt;="&amp;DATE(Summary!$C$12-5,1,1),'Dvd Calendar'!$E$985:$AR$985,"&lt;="&amp;DATE(Summary!$C$12-5,12,31)))</f>
        <v/>
      </c>
      <c r="G77" s="53">
        <f>IF($C77="","",SUMIFS('Dvd Calendar'!$E$986:$AR$986,'Dvd Calendar'!$E$985:$AR$985,"&gt;="&amp;DATE(Summary!$C$12-4,1,1),'Dvd Calendar'!$E$985:$AR$985,"&lt;="&amp;DATE(Summary!$C$12-4,12,31)))</f>
        <v/>
      </c>
      <c r="H77" s="53">
        <f>IF($C77="","",SUMIFS('Dvd Calendar'!$E$986:$AR$986,'Dvd Calendar'!$E$985:$AR$985,"&gt;="&amp;DATE(Summary!$C$12-3,1,1),'Dvd Calendar'!$E$985:$AR$985,"&lt;="&amp;DATE(Summary!$C$12-3,12,31)))</f>
        <v/>
      </c>
      <c r="I77" s="53">
        <f>IF($C77="","",SUMIFS('Dvd Calendar'!$E$986:$AR$986,'Dvd Calendar'!$E$985:$AR$985,"&gt;="&amp;DATE(Summary!$C$12-2,1,1),'Dvd Calendar'!$E$985:$AR$985,"&lt;="&amp;DATE(Summary!$C$12-2,12,31)))</f>
        <v/>
      </c>
      <c r="J77" s="53">
        <f>IF($C77="","",SUMIFS('Dvd Calendar'!$E$986:$AR$986,'Dvd Calendar'!$E$985:$AR$985,"&gt;="&amp;DATE(Summary!$C$12-1,1,1),'Dvd Calendar'!$E$985:$AR$985,"&lt;="&amp;DATE(Summary!$C$12-1,12,31)))</f>
        <v/>
      </c>
      <c r="K77" s="54">
        <f>IF($C77="","",SUMIFS('Dvd Calendar'!$E$986:$AR$986,'Dvd Calendar'!$E$985:$AR$985,"&gt;="&amp;DATE(Summary!$C$12,1,1),'Dvd Calendar'!$E$985:$AR$985,"&lt;="&amp;MIN(Summary!$C$11,DATE(Summary!$C$12,12,31))))</f>
        <v/>
      </c>
      <c r="L77" s="38">
        <f>IF($C77="","",AVERAGE(F77:J77))</f>
        <v/>
      </c>
      <c r="M77" s="55">
        <f>IF($C77="","",IF(Summary!$C$16="N","",IFERROR(BDP($C77,'Field Check'!$C$16,'Field Check'!$C$17,TEXT(Summary!$C$12-5,"0")),"")))</f>
        <v/>
      </c>
      <c r="N77" s="55">
        <f>IF($C77="","",IF(Summary!$C$16="N","",IFERROR(BDP($C77,'Field Check'!$C$16,'Field Check'!$C$17,TEXT(Summary!$C$12-4,"0")),"")))</f>
        <v/>
      </c>
      <c r="O77" s="55">
        <f>IF($C77="","",IF(Summary!$C$16="N","",IFERROR(BDP($C77,'Field Check'!$C$16,'Field Check'!$C$17,TEXT(Summary!$C$12-3,"0")),"")))</f>
        <v/>
      </c>
      <c r="P77" s="55">
        <f>IF($C77="","",IF(Summary!$C$16="N","",IFERROR(BDP($C77,'Field Check'!$C$16,'Field Check'!$C$17,TEXT(Summary!$C$12-2,"0")),"")))</f>
        <v/>
      </c>
      <c r="Q77" s="55">
        <f>IF($C77="","",IF(Summary!$C$16="N","",IFERROR(BDP($C77,'Field Check'!$C$16,'Field Check'!$C$17,TEXT(Summary!$C$12-1,"0")),"")))</f>
        <v/>
      </c>
      <c r="R77" s="56">
        <f>IF($C77="","",IF(Summary!$C$16="N","",IFERROR(BDP($C77,'Field Check'!$C$18,'Field Check'!$C$17,TEXT(Summary!$C$12-5,"0"))/100,"")))</f>
        <v/>
      </c>
      <c r="S77" s="56">
        <f>IF($C77="","",IF(Summary!$C$16="N","",IFERROR(BDP($C77,'Field Check'!$C$18,'Field Check'!$C$17,TEXT(Summary!$C$12-4,"0"))/100,"")))</f>
        <v/>
      </c>
      <c r="T77" s="56">
        <f>IF($C77="","",IF(Summary!$C$16="N","",IFERROR(BDP($C77,'Field Check'!$C$18,'Field Check'!$C$17,TEXT(Summary!$C$12-3,"0"))/100,"")))</f>
        <v/>
      </c>
      <c r="U77" s="56">
        <f>IF($C77="","",IF(Summary!$C$16="N","",IFERROR(BDP($C77,'Field Check'!$C$18,'Field Check'!$C$17,TEXT(Summary!$C$12-2,"0"))/100,"")))</f>
        <v/>
      </c>
      <c r="V77" s="56">
        <f>IF($C77="","",IF(Summary!$C$16="N","",IFERROR(BDP($C77,'Field Check'!$C$18,'Field Check'!$C$17,TEXT(Summary!$C$12-1,"0"))/100,"")))</f>
        <v/>
      </c>
      <c r="W77" s="57">
        <f>IF($C77="","",IFERROR(AVERAGE(R77:V77),""))</f>
        <v/>
      </c>
      <c r="X77" s="58">
        <f>IF($C77="","",IF(ISNUMBER($Q77)*(N($Q77)&gt;0)=0,"",IFERROR($J77/$Q77,"")))</f>
        <v/>
      </c>
      <c r="Y77" s="59">
        <f>IF($C77="","",IF(ISNUMBER(HSI!$I$72),HSI!$I$72/100,""))</f>
        <v/>
      </c>
      <c r="Z77" s="60">
        <f>IF($C77="","",IF(Summary!$C$16="N","",IFERROR(BDP($C77,'Field Check'!$C$19)/100,"")))</f>
        <v/>
      </c>
      <c r="AA77" s="61">
        <f>IF($C77="","",IF(N($Y77)+N($Z77)=0,"",N($Y77)+N($Z77)))</f>
        <v/>
      </c>
      <c r="AB77" s="60">
        <f>IF($C77="","",IF(Summary!$C$16="N","",IFERROR(BDP($C77,'Field Check'!$C$20)/100,"")))</f>
        <v/>
      </c>
      <c r="AC77" s="45">
        <f>IF($C77="","",IF(N($Y77)=0,"",IFERROR($AB77/$Y77,"")))</f>
        <v/>
      </c>
      <c r="AD77" s="55">
        <f>IF($C77="","",IF(Summary!$C$16="N","",IFERROR(BDP($C77,'Field Check'!$C$21),"")))</f>
        <v/>
      </c>
      <c r="AE77" s="55">
        <f>IF($C77="","",IF(Summary!$C$16="N","",IFERROR(BDP($C77,'Field Check'!$C$22),"")))</f>
        <v/>
      </c>
      <c r="AF77" s="55">
        <f>IF($C77="","",IF(Summary!$C$16="N","",IFERROR(BDP($C77,'Field Check'!$C$23),"")))</f>
        <v/>
      </c>
      <c r="AG77" s="40">
        <f>IF($C77="","",TRIM(IF(ISNUMBER($W77)*(N($W77)&gt;$D$7)&gt;0,"payout high  ","")&amp;IF(ISNUMBER($AC77)*(N($AC77)&lt;$F$7)&gt;0,"FCF below dvd  ","")&amp;IF(ISNUMBER($AE77)*(N($AE77)&gt;$H$7)&gt;0,"leverage high","")))</f>
        <v/>
      </c>
      <c r="AH77" s="40">
        <f>IF($C77="","",IF(HSI!$F$72="HKD","",IF(HSI!$F$72="","","DPS in "&amp;HSI!$F$72)))</f>
        <v/>
      </c>
    </row>
    <row r="78">
      <c r="B78" s="52" t="inlineStr">
        <is>
          <t>HSI</t>
        </is>
      </c>
      <c r="C78" s="6">
        <f>IF(HSI!$C$73="","",HSI!$C$73)</f>
        <v/>
      </c>
      <c r="D78" s="6">
        <f>IF($C78="","",HSI!$D$73)</f>
        <v/>
      </c>
      <c r="E78" s="6">
        <f>IF($C78="","",HSI!$E$73)</f>
        <v/>
      </c>
      <c r="F78" s="53">
        <f>IF($C78="","",SUMIFS('Dvd Calendar'!$E$1001:$AR$1001,'Dvd Calendar'!$E$1000:$AR$1000,"&gt;="&amp;DATE(Summary!$C$12-5,1,1),'Dvd Calendar'!$E$1000:$AR$1000,"&lt;="&amp;DATE(Summary!$C$12-5,12,31)))</f>
        <v/>
      </c>
      <c r="G78" s="53">
        <f>IF($C78="","",SUMIFS('Dvd Calendar'!$E$1001:$AR$1001,'Dvd Calendar'!$E$1000:$AR$1000,"&gt;="&amp;DATE(Summary!$C$12-4,1,1),'Dvd Calendar'!$E$1000:$AR$1000,"&lt;="&amp;DATE(Summary!$C$12-4,12,31)))</f>
        <v/>
      </c>
      <c r="H78" s="53">
        <f>IF($C78="","",SUMIFS('Dvd Calendar'!$E$1001:$AR$1001,'Dvd Calendar'!$E$1000:$AR$1000,"&gt;="&amp;DATE(Summary!$C$12-3,1,1),'Dvd Calendar'!$E$1000:$AR$1000,"&lt;="&amp;DATE(Summary!$C$12-3,12,31)))</f>
        <v/>
      </c>
      <c r="I78" s="53">
        <f>IF($C78="","",SUMIFS('Dvd Calendar'!$E$1001:$AR$1001,'Dvd Calendar'!$E$1000:$AR$1000,"&gt;="&amp;DATE(Summary!$C$12-2,1,1),'Dvd Calendar'!$E$1000:$AR$1000,"&lt;="&amp;DATE(Summary!$C$12-2,12,31)))</f>
        <v/>
      </c>
      <c r="J78" s="53">
        <f>IF($C78="","",SUMIFS('Dvd Calendar'!$E$1001:$AR$1001,'Dvd Calendar'!$E$1000:$AR$1000,"&gt;="&amp;DATE(Summary!$C$12-1,1,1),'Dvd Calendar'!$E$1000:$AR$1000,"&lt;="&amp;DATE(Summary!$C$12-1,12,31)))</f>
        <v/>
      </c>
      <c r="K78" s="54">
        <f>IF($C78="","",SUMIFS('Dvd Calendar'!$E$1001:$AR$1001,'Dvd Calendar'!$E$1000:$AR$1000,"&gt;="&amp;DATE(Summary!$C$12,1,1),'Dvd Calendar'!$E$1000:$AR$1000,"&lt;="&amp;MIN(Summary!$C$11,DATE(Summary!$C$12,12,31))))</f>
        <v/>
      </c>
      <c r="L78" s="38">
        <f>IF($C78="","",AVERAGE(F78:J78))</f>
        <v/>
      </c>
      <c r="M78" s="55">
        <f>IF($C78="","",IF(Summary!$C$16="N","",IFERROR(BDP($C78,'Field Check'!$C$16,'Field Check'!$C$17,TEXT(Summary!$C$12-5,"0")),"")))</f>
        <v/>
      </c>
      <c r="N78" s="55">
        <f>IF($C78="","",IF(Summary!$C$16="N","",IFERROR(BDP($C78,'Field Check'!$C$16,'Field Check'!$C$17,TEXT(Summary!$C$12-4,"0")),"")))</f>
        <v/>
      </c>
      <c r="O78" s="55">
        <f>IF($C78="","",IF(Summary!$C$16="N","",IFERROR(BDP($C78,'Field Check'!$C$16,'Field Check'!$C$17,TEXT(Summary!$C$12-3,"0")),"")))</f>
        <v/>
      </c>
      <c r="P78" s="55">
        <f>IF($C78="","",IF(Summary!$C$16="N","",IFERROR(BDP($C78,'Field Check'!$C$16,'Field Check'!$C$17,TEXT(Summary!$C$12-2,"0")),"")))</f>
        <v/>
      </c>
      <c r="Q78" s="55">
        <f>IF($C78="","",IF(Summary!$C$16="N","",IFERROR(BDP($C78,'Field Check'!$C$16,'Field Check'!$C$17,TEXT(Summary!$C$12-1,"0")),"")))</f>
        <v/>
      </c>
      <c r="R78" s="56">
        <f>IF($C78="","",IF(Summary!$C$16="N","",IFERROR(BDP($C78,'Field Check'!$C$18,'Field Check'!$C$17,TEXT(Summary!$C$12-5,"0"))/100,"")))</f>
        <v/>
      </c>
      <c r="S78" s="56">
        <f>IF($C78="","",IF(Summary!$C$16="N","",IFERROR(BDP($C78,'Field Check'!$C$18,'Field Check'!$C$17,TEXT(Summary!$C$12-4,"0"))/100,"")))</f>
        <v/>
      </c>
      <c r="T78" s="56">
        <f>IF($C78="","",IF(Summary!$C$16="N","",IFERROR(BDP($C78,'Field Check'!$C$18,'Field Check'!$C$17,TEXT(Summary!$C$12-3,"0"))/100,"")))</f>
        <v/>
      </c>
      <c r="U78" s="56">
        <f>IF($C78="","",IF(Summary!$C$16="N","",IFERROR(BDP($C78,'Field Check'!$C$18,'Field Check'!$C$17,TEXT(Summary!$C$12-2,"0"))/100,"")))</f>
        <v/>
      </c>
      <c r="V78" s="56">
        <f>IF($C78="","",IF(Summary!$C$16="N","",IFERROR(BDP($C78,'Field Check'!$C$18,'Field Check'!$C$17,TEXT(Summary!$C$12-1,"0"))/100,"")))</f>
        <v/>
      </c>
      <c r="W78" s="57">
        <f>IF($C78="","",IFERROR(AVERAGE(R78:V78),""))</f>
        <v/>
      </c>
      <c r="X78" s="58">
        <f>IF($C78="","",IF(ISNUMBER($Q78)*(N($Q78)&gt;0)=0,"",IFERROR($J78/$Q78,"")))</f>
        <v/>
      </c>
      <c r="Y78" s="59">
        <f>IF($C78="","",IF(ISNUMBER(HSI!$I$73),HSI!$I$73/100,""))</f>
        <v/>
      </c>
      <c r="Z78" s="60">
        <f>IF($C78="","",IF(Summary!$C$16="N","",IFERROR(BDP($C78,'Field Check'!$C$19)/100,"")))</f>
        <v/>
      </c>
      <c r="AA78" s="61">
        <f>IF($C78="","",IF(N($Y78)+N($Z78)=0,"",N($Y78)+N($Z78)))</f>
        <v/>
      </c>
      <c r="AB78" s="60">
        <f>IF($C78="","",IF(Summary!$C$16="N","",IFERROR(BDP($C78,'Field Check'!$C$20)/100,"")))</f>
        <v/>
      </c>
      <c r="AC78" s="45">
        <f>IF($C78="","",IF(N($Y78)=0,"",IFERROR($AB78/$Y78,"")))</f>
        <v/>
      </c>
      <c r="AD78" s="55">
        <f>IF($C78="","",IF(Summary!$C$16="N","",IFERROR(BDP($C78,'Field Check'!$C$21),"")))</f>
        <v/>
      </c>
      <c r="AE78" s="55">
        <f>IF($C78="","",IF(Summary!$C$16="N","",IFERROR(BDP($C78,'Field Check'!$C$22),"")))</f>
        <v/>
      </c>
      <c r="AF78" s="55">
        <f>IF($C78="","",IF(Summary!$C$16="N","",IFERROR(BDP($C78,'Field Check'!$C$23),"")))</f>
        <v/>
      </c>
      <c r="AG78" s="40">
        <f>IF($C78="","",TRIM(IF(ISNUMBER($W78)*(N($W78)&gt;$D$7)&gt;0,"payout high  ","")&amp;IF(ISNUMBER($AC78)*(N($AC78)&lt;$F$7)&gt;0,"FCF below dvd  ","")&amp;IF(ISNUMBER($AE78)*(N($AE78)&gt;$H$7)&gt;0,"leverage high","")))</f>
        <v/>
      </c>
      <c r="AH78" s="40">
        <f>IF($C78="","",IF(HSI!$F$73="HKD","",IF(HSI!$F$73="","","DPS in "&amp;HSI!$F$73)))</f>
        <v/>
      </c>
    </row>
    <row r="79">
      <c r="B79" s="52" t="inlineStr">
        <is>
          <t>HSI</t>
        </is>
      </c>
      <c r="C79" s="6">
        <f>IF(HSI!$C$74="","",HSI!$C$74)</f>
        <v/>
      </c>
      <c r="D79" s="6">
        <f>IF($C79="","",HSI!$D$74)</f>
        <v/>
      </c>
      <c r="E79" s="6">
        <f>IF($C79="","",HSI!$E$74)</f>
        <v/>
      </c>
      <c r="F79" s="53">
        <f>IF($C79="","",SUMIFS('Dvd Calendar'!$E$1016:$AR$1016,'Dvd Calendar'!$E$1015:$AR$1015,"&gt;="&amp;DATE(Summary!$C$12-5,1,1),'Dvd Calendar'!$E$1015:$AR$1015,"&lt;="&amp;DATE(Summary!$C$12-5,12,31)))</f>
        <v/>
      </c>
      <c r="G79" s="53">
        <f>IF($C79="","",SUMIFS('Dvd Calendar'!$E$1016:$AR$1016,'Dvd Calendar'!$E$1015:$AR$1015,"&gt;="&amp;DATE(Summary!$C$12-4,1,1),'Dvd Calendar'!$E$1015:$AR$1015,"&lt;="&amp;DATE(Summary!$C$12-4,12,31)))</f>
        <v/>
      </c>
      <c r="H79" s="53">
        <f>IF($C79="","",SUMIFS('Dvd Calendar'!$E$1016:$AR$1016,'Dvd Calendar'!$E$1015:$AR$1015,"&gt;="&amp;DATE(Summary!$C$12-3,1,1),'Dvd Calendar'!$E$1015:$AR$1015,"&lt;="&amp;DATE(Summary!$C$12-3,12,31)))</f>
        <v/>
      </c>
      <c r="I79" s="53">
        <f>IF($C79="","",SUMIFS('Dvd Calendar'!$E$1016:$AR$1016,'Dvd Calendar'!$E$1015:$AR$1015,"&gt;="&amp;DATE(Summary!$C$12-2,1,1),'Dvd Calendar'!$E$1015:$AR$1015,"&lt;="&amp;DATE(Summary!$C$12-2,12,31)))</f>
        <v/>
      </c>
      <c r="J79" s="53">
        <f>IF($C79="","",SUMIFS('Dvd Calendar'!$E$1016:$AR$1016,'Dvd Calendar'!$E$1015:$AR$1015,"&gt;="&amp;DATE(Summary!$C$12-1,1,1),'Dvd Calendar'!$E$1015:$AR$1015,"&lt;="&amp;DATE(Summary!$C$12-1,12,31)))</f>
        <v/>
      </c>
      <c r="K79" s="54">
        <f>IF($C79="","",SUMIFS('Dvd Calendar'!$E$1016:$AR$1016,'Dvd Calendar'!$E$1015:$AR$1015,"&gt;="&amp;DATE(Summary!$C$12,1,1),'Dvd Calendar'!$E$1015:$AR$1015,"&lt;="&amp;MIN(Summary!$C$11,DATE(Summary!$C$12,12,31))))</f>
        <v/>
      </c>
      <c r="L79" s="38">
        <f>IF($C79="","",AVERAGE(F79:J79))</f>
        <v/>
      </c>
      <c r="M79" s="55">
        <f>IF($C79="","",IF(Summary!$C$16="N","",IFERROR(BDP($C79,'Field Check'!$C$16,'Field Check'!$C$17,TEXT(Summary!$C$12-5,"0")),"")))</f>
        <v/>
      </c>
      <c r="N79" s="55">
        <f>IF($C79="","",IF(Summary!$C$16="N","",IFERROR(BDP($C79,'Field Check'!$C$16,'Field Check'!$C$17,TEXT(Summary!$C$12-4,"0")),"")))</f>
        <v/>
      </c>
      <c r="O79" s="55">
        <f>IF($C79="","",IF(Summary!$C$16="N","",IFERROR(BDP($C79,'Field Check'!$C$16,'Field Check'!$C$17,TEXT(Summary!$C$12-3,"0")),"")))</f>
        <v/>
      </c>
      <c r="P79" s="55">
        <f>IF($C79="","",IF(Summary!$C$16="N","",IFERROR(BDP($C79,'Field Check'!$C$16,'Field Check'!$C$17,TEXT(Summary!$C$12-2,"0")),"")))</f>
        <v/>
      </c>
      <c r="Q79" s="55">
        <f>IF($C79="","",IF(Summary!$C$16="N","",IFERROR(BDP($C79,'Field Check'!$C$16,'Field Check'!$C$17,TEXT(Summary!$C$12-1,"0")),"")))</f>
        <v/>
      </c>
      <c r="R79" s="56">
        <f>IF($C79="","",IF(Summary!$C$16="N","",IFERROR(BDP($C79,'Field Check'!$C$18,'Field Check'!$C$17,TEXT(Summary!$C$12-5,"0"))/100,"")))</f>
        <v/>
      </c>
      <c r="S79" s="56">
        <f>IF($C79="","",IF(Summary!$C$16="N","",IFERROR(BDP($C79,'Field Check'!$C$18,'Field Check'!$C$17,TEXT(Summary!$C$12-4,"0"))/100,"")))</f>
        <v/>
      </c>
      <c r="T79" s="56">
        <f>IF($C79="","",IF(Summary!$C$16="N","",IFERROR(BDP($C79,'Field Check'!$C$18,'Field Check'!$C$17,TEXT(Summary!$C$12-3,"0"))/100,"")))</f>
        <v/>
      </c>
      <c r="U79" s="56">
        <f>IF($C79="","",IF(Summary!$C$16="N","",IFERROR(BDP($C79,'Field Check'!$C$18,'Field Check'!$C$17,TEXT(Summary!$C$12-2,"0"))/100,"")))</f>
        <v/>
      </c>
      <c r="V79" s="56">
        <f>IF($C79="","",IF(Summary!$C$16="N","",IFERROR(BDP($C79,'Field Check'!$C$18,'Field Check'!$C$17,TEXT(Summary!$C$12-1,"0"))/100,"")))</f>
        <v/>
      </c>
      <c r="W79" s="57">
        <f>IF($C79="","",IFERROR(AVERAGE(R79:V79),""))</f>
        <v/>
      </c>
      <c r="X79" s="58">
        <f>IF($C79="","",IF(ISNUMBER($Q79)*(N($Q79)&gt;0)=0,"",IFERROR($J79/$Q79,"")))</f>
        <v/>
      </c>
      <c r="Y79" s="59">
        <f>IF($C79="","",IF(ISNUMBER(HSI!$I$74),HSI!$I$74/100,""))</f>
        <v/>
      </c>
      <c r="Z79" s="60">
        <f>IF($C79="","",IF(Summary!$C$16="N","",IFERROR(BDP($C79,'Field Check'!$C$19)/100,"")))</f>
        <v/>
      </c>
      <c r="AA79" s="61">
        <f>IF($C79="","",IF(N($Y79)+N($Z79)=0,"",N($Y79)+N($Z79)))</f>
        <v/>
      </c>
      <c r="AB79" s="60">
        <f>IF($C79="","",IF(Summary!$C$16="N","",IFERROR(BDP($C79,'Field Check'!$C$20)/100,"")))</f>
        <v/>
      </c>
      <c r="AC79" s="45">
        <f>IF($C79="","",IF(N($Y79)=0,"",IFERROR($AB79/$Y79,"")))</f>
        <v/>
      </c>
      <c r="AD79" s="55">
        <f>IF($C79="","",IF(Summary!$C$16="N","",IFERROR(BDP($C79,'Field Check'!$C$21),"")))</f>
        <v/>
      </c>
      <c r="AE79" s="55">
        <f>IF($C79="","",IF(Summary!$C$16="N","",IFERROR(BDP($C79,'Field Check'!$C$22),"")))</f>
        <v/>
      </c>
      <c r="AF79" s="55">
        <f>IF($C79="","",IF(Summary!$C$16="N","",IFERROR(BDP($C79,'Field Check'!$C$23),"")))</f>
        <v/>
      </c>
      <c r="AG79" s="40">
        <f>IF($C79="","",TRIM(IF(ISNUMBER($W79)*(N($W79)&gt;$D$7)&gt;0,"payout high  ","")&amp;IF(ISNUMBER($AC79)*(N($AC79)&lt;$F$7)&gt;0,"FCF below dvd  ","")&amp;IF(ISNUMBER($AE79)*(N($AE79)&gt;$H$7)&gt;0,"leverage high","")))</f>
        <v/>
      </c>
      <c r="AH79" s="40">
        <f>IF($C79="","",IF(HSI!$F$74="HKD","",IF(HSI!$F$74="","","DPS in "&amp;HSI!$F$74)))</f>
        <v/>
      </c>
    </row>
    <row r="80">
      <c r="B80" s="52" t="inlineStr">
        <is>
          <t>HSI</t>
        </is>
      </c>
      <c r="C80" s="6">
        <f>IF(HSI!$C$75="","",HSI!$C$75)</f>
        <v/>
      </c>
      <c r="D80" s="6">
        <f>IF($C80="","",HSI!$D$75)</f>
        <v/>
      </c>
      <c r="E80" s="6">
        <f>IF($C80="","",HSI!$E$75)</f>
        <v/>
      </c>
      <c r="F80" s="53">
        <f>IF($C80="","",SUMIFS('Dvd Calendar'!$E$1031:$AR$1031,'Dvd Calendar'!$E$1030:$AR$1030,"&gt;="&amp;DATE(Summary!$C$12-5,1,1),'Dvd Calendar'!$E$1030:$AR$1030,"&lt;="&amp;DATE(Summary!$C$12-5,12,31)))</f>
        <v/>
      </c>
      <c r="G80" s="53">
        <f>IF($C80="","",SUMIFS('Dvd Calendar'!$E$1031:$AR$1031,'Dvd Calendar'!$E$1030:$AR$1030,"&gt;="&amp;DATE(Summary!$C$12-4,1,1),'Dvd Calendar'!$E$1030:$AR$1030,"&lt;="&amp;DATE(Summary!$C$12-4,12,31)))</f>
        <v/>
      </c>
      <c r="H80" s="53">
        <f>IF($C80="","",SUMIFS('Dvd Calendar'!$E$1031:$AR$1031,'Dvd Calendar'!$E$1030:$AR$1030,"&gt;="&amp;DATE(Summary!$C$12-3,1,1),'Dvd Calendar'!$E$1030:$AR$1030,"&lt;="&amp;DATE(Summary!$C$12-3,12,31)))</f>
        <v/>
      </c>
      <c r="I80" s="53">
        <f>IF($C80="","",SUMIFS('Dvd Calendar'!$E$1031:$AR$1031,'Dvd Calendar'!$E$1030:$AR$1030,"&gt;="&amp;DATE(Summary!$C$12-2,1,1),'Dvd Calendar'!$E$1030:$AR$1030,"&lt;="&amp;DATE(Summary!$C$12-2,12,31)))</f>
        <v/>
      </c>
      <c r="J80" s="53">
        <f>IF($C80="","",SUMIFS('Dvd Calendar'!$E$1031:$AR$1031,'Dvd Calendar'!$E$1030:$AR$1030,"&gt;="&amp;DATE(Summary!$C$12-1,1,1),'Dvd Calendar'!$E$1030:$AR$1030,"&lt;="&amp;DATE(Summary!$C$12-1,12,31)))</f>
        <v/>
      </c>
      <c r="K80" s="54">
        <f>IF($C80="","",SUMIFS('Dvd Calendar'!$E$1031:$AR$1031,'Dvd Calendar'!$E$1030:$AR$1030,"&gt;="&amp;DATE(Summary!$C$12,1,1),'Dvd Calendar'!$E$1030:$AR$1030,"&lt;="&amp;MIN(Summary!$C$11,DATE(Summary!$C$12,12,31))))</f>
        <v/>
      </c>
      <c r="L80" s="38">
        <f>IF($C80="","",AVERAGE(F80:J80))</f>
        <v/>
      </c>
      <c r="M80" s="55">
        <f>IF($C80="","",IF(Summary!$C$16="N","",IFERROR(BDP($C80,'Field Check'!$C$16,'Field Check'!$C$17,TEXT(Summary!$C$12-5,"0")),"")))</f>
        <v/>
      </c>
      <c r="N80" s="55">
        <f>IF($C80="","",IF(Summary!$C$16="N","",IFERROR(BDP($C80,'Field Check'!$C$16,'Field Check'!$C$17,TEXT(Summary!$C$12-4,"0")),"")))</f>
        <v/>
      </c>
      <c r="O80" s="55">
        <f>IF($C80="","",IF(Summary!$C$16="N","",IFERROR(BDP($C80,'Field Check'!$C$16,'Field Check'!$C$17,TEXT(Summary!$C$12-3,"0")),"")))</f>
        <v/>
      </c>
      <c r="P80" s="55">
        <f>IF($C80="","",IF(Summary!$C$16="N","",IFERROR(BDP($C80,'Field Check'!$C$16,'Field Check'!$C$17,TEXT(Summary!$C$12-2,"0")),"")))</f>
        <v/>
      </c>
      <c r="Q80" s="55">
        <f>IF($C80="","",IF(Summary!$C$16="N","",IFERROR(BDP($C80,'Field Check'!$C$16,'Field Check'!$C$17,TEXT(Summary!$C$12-1,"0")),"")))</f>
        <v/>
      </c>
      <c r="R80" s="56">
        <f>IF($C80="","",IF(Summary!$C$16="N","",IFERROR(BDP($C80,'Field Check'!$C$18,'Field Check'!$C$17,TEXT(Summary!$C$12-5,"0"))/100,"")))</f>
        <v/>
      </c>
      <c r="S80" s="56">
        <f>IF($C80="","",IF(Summary!$C$16="N","",IFERROR(BDP($C80,'Field Check'!$C$18,'Field Check'!$C$17,TEXT(Summary!$C$12-4,"0"))/100,"")))</f>
        <v/>
      </c>
      <c r="T80" s="56">
        <f>IF($C80="","",IF(Summary!$C$16="N","",IFERROR(BDP($C80,'Field Check'!$C$18,'Field Check'!$C$17,TEXT(Summary!$C$12-3,"0"))/100,"")))</f>
        <v/>
      </c>
      <c r="U80" s="56">
        <f>IF($C80="","",IF(Summary!$C$16="N","",IFERROR(BDP($C80,'Field Check'!$C$18,'Field Check'!$C$17,TEXT(Summary!$C$12-2,"0"))/100,"")))</f>
        <v/>
      </c>
      <c r="V80" s="56">
        <f>IF($C80="","",IF(Summary!$C$16="N","",IFERROR(BDP($C80,'Field Check'!$C$18,'Field Check'!$C$17,TEXT(Summary!$C$12-1,"0"))/100,"")))</f>
        <v/>
      </c>
      <c r="W80" s="57">
        <f>IF($C80="","",IFERROR(AVERAGE(R80:V80),""))</f>
        <v/>
      </c>
      <c r="X80" s="58">
        <f>IF($C80="","",IF(ISNUMBER($Q80)*(N($Q80)&gt;0)=0,"",IFERROR($J80/$Q80,"")))</f>
        <v/>
      </c>
      <c r="Y80" s="59">
        <f>IF($C80="","",IF(ISNUMBER(HSI!$I$75),HSI!$I$75/100,""))</f>
        <v/>
      </c>
      <c r="Z80" s="60">
        <f>IF($C80="","",IF(Summary!$C$16="N","",IFERROR(BDP($C80,'Field Check'!$C$19)/100,"")))</f>
        <v/>
      </c>
      <c r="AA80" s="61">
        <f>IF($C80="","",IF(N($Y80)+N($Z80)=0,"",N($Y80)+N($Z80)))</f>
        <v/>
      </c>
      <c r="AB80" s="60">
        <f>IF($C80="","",IF(Summary!$C$16="N","",IFERROR(BDP($C80,'Field Check'!$C$20)/100,"")))</f>
        <v/>
      </c>
      <c r="AC80" s="45">
        <f>IF($C80="","",IF(N($Y80)=0,"",IFERROR($AB80/$Y80,"")))</f>
        <v/>
      </c>
      <c r="AD80" s="55">
        <f>IF($C80="","",IF(Summary!$C$16="N","",IFERROR(BDP($C80,'Field Check'!$C$21),"")))</f>
        <v/>
      </c>
      <c r="AE80" s="55">
        <f>IF($C80="","",IF(Summary!$C$16="N","",IFERROR(BDP($C80,'Field Check'!$C$22),"")))</f>
        <v/>
      </c>
      <c r="AF80" s="55">
        <f>IF($C80="","",IF(Summary!$C$16="N","",IFERROR(BDP($C80,'Field Check'!$C$23),"")))</f>
        <v/>
      </c>
      <c r="AG80" s="40">
        <f>IF($C80="","",TRIM(IF(ISNUMBER($W80)*(N($W80)&gt;$D$7)&gt;0,"payout high  ","")&amp;IF(ISNUMBER($AC80)*(N($AC80)&lt;$F$7)&gt;0,"FCF below dvd  ","")&amp;IF(ISNUMBER($AE80)*(N($AE80)&gt;$H$7)&gt;0,"leverage high","")))</f>
        <v/>
      </c>
      <c r="AH80" s="40">
        <f>IF($C80="","",IF(HSI!$F$75="HKD","",IF(HSI!$F$75="","","DPS in "&amp;HSI!$F$75)))</f>
        <v/>
      </c>
    </row>
    <row r="81">
      <c r="B81" s="52" t="inlineStr">
        <is>
          <t>HSI</t>
        </is>
      </c>
      <c r="C81" s="6">
        <f>IF(HSI!$C$76="","",HSI!$C$76)</f>
        <v/>
      </c>
      <c r="D81" s="6">
        <f>IF($C81="","",HSI!$D$76)</f>
        <v/>
      </c>
      <c r="E81" s="6">
        <f>IF($C81="","",HSI!$E$76)</f>
        <v/>
      </c>
      <c r="F81" s="53">
        <f>IF($C81="","",SUMIFS('Dvd Calendar'!$E$1046:$AR$1046,'Dvd Calendar'!$E$1045:$AR$1045,"&gt;="&amp;DATE(Summary!$C$12-5,1,1),'Dvd Calendar'!$E$1045:$AR$1045,"&lt;="&amp;DATE(Summary!$C$12-5,12,31)))</f>
        <v/>
      </c>
      <c r="G81" s="53">
        <f>IF($C81="","",SUMIFS('Dvd Calendar'!$E$1046:$AR$1046,'Dvd Calendar'!$E$1045:$AR$1045,"&gt;="&amp;DATE(Summary!$C$12-4,1,1),'Dvd Calendar'!$E$1045:$AR$1045,"&lt;="&amp;DATE(Summary!$C$12-4,12,31)))</f>
        <v/>
      </c>
      <c r="H81" s="53">
        <f>IF($C81="","",SUMIFS('Dvd Calendar'!$E$1046:$AR$1046,'Dvd Calendar'!$E$1045:$AR$1045,"&gt;="&amp;DATE(Summary!$C$12-3,1,1),'Dvd Calendar'!$E$1045:$AR$1045,"&lt;="&amp;DATE(Summary!$C$12-3,12,31)))</f>
        <v/>
      </c>
      <c r="I81" s="53">
        <f>IF($C81="","",SUMIFS('Dvd Calendar'!$E$1046:$AR$1046,'Dvd Calendar'!$E$1045:$AR$1045,"&gt;="&amp;DATE(Summary!$C$12-2,1,1),'Dvd Calendar'!$E$1045:$AR$1045,"&lt;="&amp;DATE(Summary!$C$12-2,12,31)))</f>
        <v/>
      </c>
      <c r="J81" s="53">
        <f>IF($C81="","",SUMIFS('Dvd Calendar'!$E$1046:$AR$1046,'Dvd Calendar'!$E$1045:$AR$1045,"&gt;="&amp;DATE(Summary!$C$12-1,1,1),'Dvd Calendar'!$E$1045:$AR$1045,"&lt;="&amp;DATE(Summary!$C$12-1,12,31)))</f>
        <v/>
      </c>
      <c r="K81" s="54">
        <f>IF($C81="","",SUMIFS('Dvd Calendar'!$E$1046:$AR$1046,'Dvd Calendar'!$E$1045:$AR$1045,"&gt;="&amp;DATE(Summary!$C$12,1,1),'Dvd Calendar'!$E$1045:$AR$1045,"&lt;="&amp;MIN(Summary!$C$11,DATE(Summary!$C$12,12,31))))</f>
        <v/>
      </c>
      <c r="L81" s="38">
        <f>IF($C81="","",AVERAGE(F81:J81))</f>
        <v/>
      </c>
      <c r="M81" s="55">
        <f>IF($C81="","",IF(Summary!$C$16="N","",IFERROR(BDP($C81,'Field Check'!$C$16,'Field Check'!$C$17,TEXT(Summary!$C$12-5,"0")),"")))</f>
        <v/>
      </c>
      <c r="N81" s="55">
        <f>IF($C81="","",IF(Summary!$C$16="N","",IFERROR(BDP($C81,'Field Check'!$C$16,'Field Check'!$C$17,TEXT(Summary!$C$12-4,"0")),"")))</f>
        <v/>
      </c>
      <c r="O81" s="55">
        <f>IF($C81="","",IF(Summary!$C$16="N","",IFERROR(BDP($C81,'Field Check'!$C$16,'Field Check'!$C$17,TEXT(Summary!$C$12-3,"0")),"")))</f>
        <v/>
      </c>
      <c r="P81" s="55">
        <f>IF($C81="","",IF(Summary!$C$16="N","",IFERROR(BDP($C81,'Field Check'!$C$16,'Field Check'!$C$17,TEXT(Summary!$C$12-2,"0")),"")))</f>
        <v/>
      </c>
      <c r="Q81" s="55">
        <f>IF($C81="","",IF(Summary!$C$16="N","",IFERROR(BDP($C81,'Field Check'!$C$16,'Field Check'!$C$17,TEXT(Summary!$C$12-1,"0")),"")))</f>
        <v/>
      </c>
      <c r="R81" s="56">
        <f>IF($C81="","",IF(Summary!$C$16="N","",IFERROR(BDP($C81,'Field Check'!$C$18,'Field Check'!$C$17,TEXT(Summary!$C$12-5,"0"))/100,"")))</f>
        <v/>
      </c>
      <c r="S81" s="56">
        <f>IF($C81="","",IF(Summary!$C$16="N","",IFERROR(BDP($C81,'Field Check'!$C$18,'Field Check'!$C$17,TEXT(Summary!$C$12-4,"0"))/100,"")))</f>
        <v/>
      </c>
      <c r="T81" s="56">
        <f>IF($C81="","",IF(Summary!$C$16="N","",IFERROR(BDP($C81,'Field Check'!$C$18,'Field Check'!$C$17,TEXT(Summary!$C$12-3,"0"))/100,"")))</f>
        <v/>
      </c>
      <c r="U81" s="56">
        <f>IF($C81="","",IF(Summary!$C$16="N","",IFERROR(BDP($C81,'Field Check'!$C$18,'Field Check'!$C$17,TEXT(Summary!$C$12-2,"0"))/100,"")))</f>
        <v/>
      </c>
      <c r="V81" s="56">
        <f>IF($C81="","",IF(Summary!$C$16="N","",IFERROR(BDP($C81,'Field Check'!$C$18,'Field Check'!$C$17,TEXT(Summary!$C$12-1,"0"))/100,"")))</f>
        <v/>
      </c>
      <c r="W81" s="57">
        <f>IF($C81="","",IFERROR(AVERAGE(R81:V81),""))</f>
        <v/>
      </c>
      <c r="X81" s="58">
        <f>IF($C81="","",IF(ISNUMBER($Q81)*(N($Q81)&gt;0)=0,"",IFERROR($J81/$Q81,"")))</f>
        <v/>
      </c>
      <c r="Y81" s="59">
        <f>IF($C81="","",IF(ISNUMBER(HSI!$I$76),HSI!$I$76/100,""))</f>
        <v/>
      </c>
      <c r="Z81" s="60">
        <f>IF($C81="","",IF(Summary!$C$16="N","",IFERROR(BDP($C81,'Field Check'!$C$19)/100,"")))</f>
        <v/>
      </c>
      <c r="AA81" s="61">
        <f>IF($C81="","",IF(N($Y81)+N($Z81)=0,"",N($Y81)+N($Z81)))</f>
        <v/>
      </c>
      <c r="AB81" s="60">
        <f>IF($C81="","",IF(Summary!$C$16="N","",IFERROR(BDP($C81,'Field Check'!$C$20)/100,"")))</f>
        <v/>
      </c>
      <c r="AC81" s="45">
        <f>IF($C81="","",IF(N($Y81)=0,"",IFERROR($AB81/$Y81,"")))</f>
        <v/>
      </c>
      <c r="AD81" s="55">
        <f>IF($C81="","",IF(Summary!$C$16="N","",IFERROR(BDP($C81,'Field Check'!$C$21),"")))</f>
        <v/>
      </c>
      <c r="AE81" s="55">
        <f>IF($C81="","",IF(Summary!$C$16="N","",IFERROR(BDP($C81,'Field Check'!$C$22),"")))</f>
        <v/>
      </c>
      <c r="AF81" s="55">
        <f>IF($C81="","",IF(Summary!$C$16="N","",IFERROR(BDP($C81,'Field Check'!$C$23),"")))</f>
        <v/>
      </c>
      <c r="AG81" s="40">
        <f>IF($C81="","",TRIM(IF(ISNUMBER($W81)*(N($W81)&gt;$D$7)&gt;0,"payout high  ","")&amp;IF(ISNUMBER($AC81)*(N($AC81)&lt;$F$7)&gt;0,"FCF below dvd  ","")&amp;IF(ISNUMBER($AE81)*(N($AE81)&gt;$H$7)&gt;0,"leverage high","")))</f>
        <v/>
      </c>
      <c r="AH81" s="40">
        <f>IF($C81="","",IF(HSI!$F$76="HKD","",IF(HSI!$F$76="","","DPS in "&amp;HSI!$F$76)))</f>
        <v/>
      </c>
    </row>
    <row r="82">
      <c r="B82" s="52" t="inlineStr">
        <is>
          <t>HSI</t>
        </is>
      </c>
      <c r="C82" s="6">
        <f>IF(HSI!$C$77="","",HSI!$C$77)</f>
        <v/>
      </c>
      <c r="D82" s="6">
        <f>IF($C82="","",HSI!$D$77)</f>
        <v/>
      </c>
      <c r="E82" s="6">
        <f>IF($C82="","",HSI!$E$77)</f>
        <v/>
      </c>
      <c r="F82" s="53">
        <f>IF($C82="","",SUMIFS('Dvd Calendar'!$E$1061:$AR$1061,'Dvd Calendar'!$E$1060:$AR$1060,"&gt;="&amp;DATE(Summary!$C$12-5,1,1),'Dvd Calendar'!$E$1060:$AR$1060,"&lt;="&amp;DATE(Summary!$C$12-5,12,31)))</f>
        <v/>
      </c>
      <c r="G82" s="53">
        <f>IF($C82="","",SUMIFS('Dvd Calendar'!$E$1061:$AR$1061,'Dvd Calendar'!$E$1060:$AR$1060,"&gt;="&amp;DATE(Summary!$C$12-4,1,1),'Dvd Calendar'!$E$1060:$AR$1060,"&lt;="&amp;DATE(Summary!$C$12-4,12,31)))</f>
        <v/>
      </c>
      <c r="H82" s="53">
        <f>IF($C82="","",SUMIFS('Dvd Calendar'!$E$1061:$AR$1061,'Dvd Calendar'!$E$1060:$AR$1060,"&gt;="&amp;DATE(Summary!$C$12-3,1,1),'Dvd Calendar'!$E$1060:$AR$1060,"&lt;="&amp;DATE(Summary!$C$12-3,12,31)))</f>
        <v/>
      </c>
      <c r="I82" s="53">
        <f>IF($C82="","",SUMIFS('Dvd Calendar'!$E$1061:$AR$1061,'Dvd Calendar'!$E$1060:$AR$1060,"&gt;="&amp;DATE(Summary!$C$12-2,1,1),'Dvd Calendar'!$E$1060:$AR$1060,"&lt;="&amp;DATE(Summary!$C$12-2,12,31)))</f>
        <v/>
      </c>
      <c r="J82" s="53">
        <f>IF($C82="","",SUMIFS('Dvd Calendar'!$E$1061:$AR$1061,'Dvd Calendar'!$E$1060:$AR$1060,"&gt;="&amp;DATE(Summary!$C$12-1,1,1),'Dvd Calendar'!$E$1060:$AR$1060,"&lt;="&amp;DATE(Summary!$C$12-1,12,31)))</f>
        <v/>
      </c>
      <c r="K82" s="54">
        <f>IF($C82="","",SUMIFS('Dvd Calendar'!$E$1061:$AR$1061,'Dvd Calendar'!$E$1060:$AR$1060,"&gt;="&amp;DATE(Summary!$C$12,1,1),'Dvd Calendar'!$E$1060:$AR$1060,"&lt;="&amp;MIN(Summary!$C$11,DATE(Summary!$C$12,12,31))))</f>
        <v/>
      </c>
      <c r="L82" s="38">
        <f>IF($C82="","",AVERAGE(F82:J82))</f>
        <v/>
      </c>
      <c r="M82" s="55">
        <f>IF($C82="","",IF(Summary!$C$16="N","",IFERROR(BDP($C82,'Field Check'!$C$16,'Field Check'!$C$17,TEXT(Summary!$C$12-5,"0")),"")))</f>
        <v/>
      </c>
      <c r="N82" s="55">
        <f>IF($C82="","",IF(Summary!$C$16="N","",IFERROR(BDP($C82,'Field Check'!$C$16,'Field Check'!$C$17,TEXT(Summary!$C$12-4,"0")),"")))</f>
        <v/>
      </c>
      <c r="O82" s="55">
        <f>IF($C82="","",IF(Summary!$C$16="N","",IFERROR(BDP($C82,'Field Check'!$C$16,'Field Check'!$C$17,TEXT(Summary!$C$12-3,"0")),"")))</f>
        <v/>
      </c>
      <c r="P82" s="55">
        <f>IF($C82="","",IF(Summary!$C$16="N","",IFERROR(BDP($C82,'Field Check'!$C$16,'Field Check'!$C$17,TEXT(Summary!$C$12-2,"0")),"")))</f>
        <v/>
      </c>
      <c r="Q82" s="55">
        <f>IF($C82="","",IF(Summary!$C$16="N","",IFERROR(BDP($C82,'Field Check'!$C$16,'Field Check'!$C$17,TEXT(Summary!$C$12-1,"0")),"")))</f>
        <v/>
      </c>
      <c r="R82" s="56">
        <f>IF($C82="","",IF(Summary!$C$16="N","",IFERROR(BDP($C82,'Field Check'!$C$18,'Field Check'!$C$17,TEXT(Summary!$C$12-5,"0"))/100,"")))</f>
        <v/>
      </c>
      <c r="S82" s="56">
        <f>IF($C82="","",IF(Summary!$C$16="N","",IFERROR(BDP($C82,'Field Check'!$C$18,'Field Check'!$C$17,TEXT(Summary!$C$12-4,"0"))/100,"")))</f>
        <v/>
      </c>
      <c r="T82" s="56">
        <f>IF($C82="","",IF(Summary!$C$16="N","",IFERROR(BDP($C82,'Field Check'!$C$18,'Field Check'!$C$17,TEXT(Summary!$C$12-3,"0"))/100,"")))</f>
        <v/>
      </c>
      <c r="U82" s="56">
        <f>IF($C82="","",IF(Summary!$C$16="N","",IFERROR(BDP($C82,'Field Check'!$C$18,'Field Check'!$C$17,TEXT(Summary!$C$12-2,"0"))/100,"")))</f>
        <v/>
      </c>
      <c r="V82" s="56">
        <f>IF($C82="","",IF(Summary!$C$16="N","",IFERROR(BDP($C82,'Field Check'!$C$18,'Field Check'!$C$17,TEXT(Summary!$C$12-1,"0"))/100,"")))</f>
        <v/>
      </c>
      <c r="W82" s="57">
        <f>IF($C82="","",IFERROR(AVERAGE(R82:V82),""))</f>
        <v/>
      </c>
      <c r="X82" s="58">
        <f>IF($C82="","",IF(ISNUMBER($Q82)*(N($Q82)&gt;0)=0,"",IFERROR($J82/$Q82,"")))</f>
        <v/>
      </c>
      <c r="Y82" s="59">
        <f>IF($C82="","",IF(ISNUMBER(HSI!$I$77),HSI!$I$77/100,""))</f>
        <v/>
      </c>
      <c r="Z82" s="60">
        <f>IF($C82="","",IF(Summary!$C$16="N","",IFERROR(BDP($C82,'Field Check'!$C$19)/100,"")))</f>
        <v/>
      </c>
      <c r="AA82" s="61">
        <f>IF($C82="","",IF(N($Y82)+N($Z82)=0,"",N($Y82)+N($Z82)))</f>
        <v/>
      </c>
      <c r="AB82" s="60">
        <f>IF($C82="","",IF(Summary!$C$16="N","",IFERROR(BDP($C82,'Field Check'!$C$20)/100,"")))</f>
        <v/>
      </c>
      <c r="AC82" s="45">
        <f>IF($C82="","",IF(N($Y82)=0,"",IFERROR($AB82/$Y82,"")))</f>
        <v/>
      </c>
      <c r="AD82" s="55">
        <f>IF($C82="","",IF(Summary!$C$16="N","",IFERROR(BDP($C82,'Field Check'!$C$21),"")))</f>
        <v/>
      </c>
      <c r="AE82" s="55">
        <f>IF($C82="","",IF(Summary!$C$16="N","",IFERROR(BDP($C82,'Field Check'!$C$22),"")))</f>
        <v/>
      </c>
      <c r="AF82" s="55">
        <f>IF($C82="","",IF(Summary!$C$16="N","",IFERROR(BDP($C82,'Field Check'!$C$23),"")))</f>
        <v/>
      </c>
      <c r="AG82" s="40">
        <f>IF($C82="","",TRIM(IF(ISNUMBER($W82)*(N($W82)&gt;$D$7)&gt;0,"payout high  ","")&amp;IF(ISNUMBER($AC82)*(N($AC82)&lt;$F$7)&gt;0,"FCF below dvd  ","")&amp;IF(ISNUMBER($AE82)*(N($AE82)&gt;$H$7)&gt;0,"leverage high","")))</f>
        <v/>
      </c>
      <c r="AH82" s="40">
        <f>IF($C82="","",IF(HSI!$F$77="HKD","",IF(HSI!$F$77="","","DPS in "&amp;HSI!$F$77)))</f>
        <v/>
      </c>
    </row>
    <row r="83">
      <c r="B83" s="52" t="inlineStr">
        <is>
          <t>HSI</t>
        </is>
      </c>
      <c r="C83" s="6">
        <f>IF(HSI!$C$78="","",HSI!$C$78)</f>
        <v/>
      </c>
      <c r="D83" s="6">
        <f>IF($C83="","",HSI!$D$78)</f>
        <v/>
      </c>
      <c r="E83" s="6">
        <f>IF($C83="","",HSI!$E$78)</f>
        <v/>
      </c>
      <c r="F83" s="53">
        <f>IF($C83="","",SUMIFS('Dvd Calendar'!$E$1076:$AR$1076,'Dvd Calendar'!$E$1075:$AR$1075,"&gt;="&amp;DATE(Summary!$C$12-5,1,1),'Dvd Calendar'!$E$1075:$AR$1075,"&lt;="&amp;DATE(Summary!$C$12-5,12,31)))</f>
        <v/>
      </c>
      <c r="G83" s="53">
        <f>IF($C83="","",SUMIFS('Dvd Calendar'!$E$1076:$AR$1076,'Dvd Calendar'!$E$1075:$AR$1075,"&gt;="&amp;DATE(Summary!$C$12-4,1,1),'Dvd Calendar'!$E$1075:$AR$1075,"&lt;="&amp;DATE(Summary!$C$12-4,12,31)))</f>
        <v/>
      </c>
      <c r="H83" s="53">
        <f>IF($C83="","",SUMIFS('Dvd Calendar'!$E$1076:$AR$1076,'Dvd Calendar'!$E$1075:$AR$1075,"&gt;="&amp;DATE(Summary!$C$12-3,1,1),'Dvd Calendar'!$E$1075:$AR$1075,"&lt;="&amp;DATE(Summary!$C$12-3,12,31)))</f>
        <v/>
      </c>
      <c r="I83" s="53">
        <f>IF($C83="","",SUMIFS('Dvd Calendar'!$E$1076:$AR$1076,'Dvd Calendar'!$E$1075:$AR$1075,"&gt;="&amp;DATE(Summary!$C$12-2,1,1),'Dvd Calendar'!$E$1075:$AR$1075,"&lt;="&amp;DATE(Summary!$C$12-2,12,31)))</f>
        <v/>
      </c>
      <c r="J83" s="53">
        <f>IF($C83="","",SUMIFS('Dvd Calendar'!$E$1076:$AR$1076,'Dvd Calendar'!$E$1075:$AR$1075,"&gt;="&amp;DATE(Summary!$C$12-1,1,1),'Dvd Calendar'!$E$1075:$AR$1075,"&lt;="&amp;DATE(Summary!$C$12-1,12,31)))</f>
        <v/>
      </c>
      <c r="K83" s="54">
        <f>IF($C83="","",SUMIFS('Dvd Calendar'!$E$1076:$AR$1076,'Dvd Calendar'!$E$1075:$AR$1075,"&gt;="&amp;DATE(Summary!$C$12,1,1),'Dvd Calendar'!$E$1075:$AR$1075,"&lt;="&amp;MIN(Summary!$C$11,DATE(Summary!$C$12,12,31))))</f>
        <v/>
      </c>
      <c r="L83" s="38">
        <f>IF($C83="","",AVERAGE(F83:J83))</f>
        <v/>
      </c>
      <c r="M83" s="55">
        <f>IF($C83="","",IF(Summary!$C$16="N","",IFERROR(BDP($C83,'Field Check'!$C$16,'Field Check'!$C$17,TEXT(Summary!$C$12-5,"0")),"")))</f>
        <v/>
      </c>
      <c r="N83" s="55">
        <f>IF($C83="","",IF(Summary!$C$16="N","",IFERROR(BDP($C83,'Field Check'!$C$16,'Field Check'!$C$17,TEXT(Summary!$C$12-4,"0")),"")))</f>
        <v/>
      </c>
      <c r="O83" s="55">
        <f>IF($C83="","",IF(Summary!$C$16="N","",IFERROR(BDP($C83,'Field Check'!$C$16,'Field Check'!$C$17,TEXT(Summary!$C$12-3,"0")),"")))</f>
        <v/>
      </c>
      <c r="P83" s="55">
        <f>IF($C83="","",IF(Summary!$C$16="N","",IFERROR(BDP($C83,'Field Check'!$C$16,'Field Check'!$C$17,TEXT(Summary!$C$12-2,"0")),"")))</f>
        <v/>
      </c>
      <c r="Q83" s="55">
        <f>IF($C83="","",IF(Summary!$C$16="N","",IFERROR(BDP($C83,'Field Check'!$C$16,'Field Check'!$C$17,TEXT(Summary!$C$12-1,"0")),"")))</f>
        <v/>
      </c>
      <c r="R83" s="56">
        <f>IF($C83="","",IF(Summary!$C$16="N","",IFERROR(BDP($C83,'Field Check'!$C$18,'Field Check'!$C$17,TEXT(Summary!$C$12-5,"0"))/100,"")))</f>
        <v/>
      </c>
      <c r="S83" s="56">
        <f>IF($C83="","",IF(Summary!$C$16="N","",IFERROR(BDP($C83,'Field Check'!$C$18,'Field Check'!$C$17,TEXT(Summary!$C$12-4,"0"))/100,"")))</f>
        <v/>
      </c>
      <c r="T83" s="56">
        <f>IF($C83="","",IF(Summary!$C$16="N","",IFERROR(BDP($C83,'Field Check'!$C$18,'Field Check'!$C$17,TEXT(Summary!$C$12-3,"0"))/100,"")))</f>
        <v/>
      </c>
      <c r="U83" s="56">
        <f>IF($C83="","",IF(Summary!$C$16="N","",IFERROR(BDP($C83,'Field Check'!$C$18,'Field Check'!$C$17,TEXT(Summary!$C$12-2,"0"))/100,"")))</f>
        <v/>
      </c>
      <c r="V83" s="56">
        <f>IF($C83="","",IF(Summary!$C$16="N","",IFERROR(BDP($C83,'Field Check'!$C$18,'Field Check'!$C$17,TEXT(Summary!$C$12-1,"0"))/100,"")))</f>
        <v/>
      </c>
      <c r="W83" s="57">
        <f>IF($C83="","",IFERROR(AVERAGE(R83:V83),""))</f>
        <v/>
      </c>
      <c r="X83" s="58">
        <f>IF($C83="","",IF(ISNUMBER($Q83)*(N($Q83)&gt;0)=0,"",IFERROR($J83/$Q83,"")))</f>
        <v/>
      </c>
      <c r="Y83" s="59">
        <f>IF($C83="","",IF(ISNUMBER(HSI!$I$78),HSI!$I$78/100,""))</f>
        <v/>
      </c>
      <c r="Z83" s="60">
        <f>IF($C83="","",IF(Summary!$C$16="N","",IFERROR(BDP($C83,'Field Check'!$C$19)/100,"")))</f>
        <v/>
      </c>
      <c r="AA83" s="61">
        <f>IF($C83="","",IF(N($Y83)+N($Z83)=0,"",N($Y83)+N($Z83)))</f>
        <v/>
      </c>
      <c r="AB83" s="60">
        <f>IF($C83="","",IF(Summary!$C$16="N","",IFERROR(BDP($C83,'Field Check'!$C$20)/100,"")))</f>
        <v/>
      </c>
      <c r="AC83" s="45">
        <f>IF($C83="","",IF(N($Y83)=0,"",IFERROR($AB83/$Y83,"")))</f>
        <v/>
      </c>
      <c r="AD83" s="55">
        <f>IF($C83="","",IF(Summary!$C$16="N","",IFERROR(BDP($C83,'Field Check'!$C$21),"")))</f>
        <v/>
      </c>
      <c r="AE83" s="55">
        <f>IF($C83="","",IF(Summary!$C$16="N","",IFERROR(BDP($C83,'Field Check'!$C$22),"")))</f>
        <v/>
      </c>
      <c r="AF83" s="55">
        <f>IF($C83="","",IF(Summary!$C$16="N","",IFERROR(BDP($C83,'Field Check'!$C$23),"")))</f>
        <v/>
      </c>
      <c r="AG83" s="40">
        <f>IF($C83="","",TRIM(IF(ISNUMBER($W83)*(N($W83)&gt;$D$7)&gt;0,"payout high  ","")&amp;IF(ISNUMBER($AC83)*(N($AC83)&lt;$F$7)&gt;0,"FCF below dvd  ","")&amp;IF(ISNUMBER($AE83)*(N($AE83)&gt;$H$7)&gt;0,"leverage high","")))</f>
        <v/>
      </c>
      <c r="AH83" s="40">
        <f>IF($C83="","",IF(HSI!$F$78="HKD","",IF(HSI!$F$78="","","DPS in "&amp;HSI!$F$78)))</f>
        <v/>
      </c>
    </row>
    <row r="84">
      <c r="B84" s="52" t="inlineStr">
        <is>
          <t>HSI</t>
        </is>
      </c>
      <c r="C84" s="6">
        <f>IF(HSI!$C$79="","",HSI!$C$79)</f>
        <v/>
      </c>
      <c r="D84" s="6">
        <f>IF($C84="","",HSI!$D$79)</f>
        <v/>
      </c>
      <c r="E84" s="6">
        <f>IF($C84="","",HSI!$E$79)</f>
        <v/>
      </c>
      <c r="F84" s="53">
        <f>IF($C84="","",SUMIFS('Dvd Calendar'!$E$1091:$AR$1091,'Dvd Calendar'!$E$1090:$AR$1090,"&gt;="&amp;DATE(Summary!$C$12-5,1,1),'Dvd Calendar'!$E$1090:$AR$1090,"&lt;="&amp;DATE(Summary!$C$12-5,12,31)))</f>
        <v/>
      </c>
      <c r="G84" s="53">
        <f>IF($C84="","",SUMIFS('Dvd Calendar'!$E$1091:$AR$1091,'Dvd Calendar'!$E$1090:$AR$1090,"&gt;="&amp;DATE(Summary!$C$12-4,1,1),'Dvd Calendar'!$E$1090:$AR$1090,"&lt;="&amp;DATE(Summary!$C$12-4,12,31)))</f>
        <v/>
      </c>
      <c r="H84" s="53">
        <f>IF($C84="","",SUMIFS('Dvd Calendar'!$E$1091:$AR$1091,'Dvd Calendar'!$E$1090:$AR$1090,"&gt;="&amp;DATE(Summary!$C$12-3,1,1),'Dvd Calendar'!$E$1090:$AR$1090,"&lt;="&amp;DATE(Summary!$C$12-3,12,31)))</f>
        <v/>
      </c>
      <c r="I84" s="53">
        <f>IF($C84="","",SUMIFS('Dvd Calendar'!$E$1091:$AR$1091,'Dvd Calendar'!$E$1090:$AR$1090,"&gt;="&amp;DATE(Summary!$C$12-2,1,1),'Dvd Calendar'!$E$1090:$AR$1090,"&lt;="&amp;DATE(Summary!$C$12-2,12,31)))</f>
        <v/>
      </c>
      <c r="J84" s="53">
        <f>IF($C84="","",SUMIFS('Dvd Calendar'!$E$1091:$AR$1091,'Dvd Calendar'!$E$1090:$AR$1090,"&gt;="&amp;DATE(Summary!$C$12-1,1,1),'Dvd Calendar'!$E$1090:$AR$1090,"&lt;="&amp;DATE(Summary!$C$12-1,12,31)))</f>
        <v/>
      </c>
      <c r="K84" s="54">
        <f>IF($C84="","",SUMIFS('Dvd Calendar'!$E$1091:$AR$1091,'Dvd Calendar'!$E$1090:$AR$1090,"&gt;="&amp;DATE(Summary!$C$12,1,1),'Dvd Calendar'!$E$1090:$AR$1090,"&lt;="&amp;MIN(Summary!$C$11,DATE(Summary!$C$12,12,31))))</f>
        <v/>
      </c>
      <c r="L84" s="38">
        <f>IF($C84="","",AVERAGE(F84:J84))</f>
        <v/>
      </c>
      <c r="M84" s="55">
        <f>IF($C84="","",IF(Summary!$C$16="N","",IFERROR(BDP($C84,'Field Check'!$C$16,'Field Check'!$C$17,TEXT(Summary!$C$12-5,"0")),"")))</f>
        <v/>
      </c>
      <c r="N84" s="55">
        <f>IF($C84="","",IF(Summary!$C$16="N","",IFERROR(BDP($C84,'Field Check'!$C$16,'Field Check'!$C$17,TEXT(Summary!$C$12-4,"0")),"")))</f>
        <v/>
      </c>
      <c r="O84" s="55">
        <f>IF($C84="","",IF(Summary!$C$16="N","",IFERROR(BDP($C84,'Field Check'!$C$16,'Field Check'!$C$17,TEXT(Summary!$C$12-3,"0")),"")))</f>
        <v/>
      </c>
      <c r="P84" s="55">
        <f>IF($C84="","",IF(Summary!$C$16="N","",IFERROR(BDP($C84,'Field Check'!$C$16,'Field Check'!$C$17,TEXT(Summary!$C$12-2,"0")),"")))</f>
        <v/>
      </c>
      <c r="Q84" s="55">
        <f>IF($C84="","",IF(Summary!$C$16="N","",IFERROR(BDP($C84,'Field Check'!$C$16,'Field Check'!$C$17,TEXT(Summary!$C$12-1,"0")),"")))</f>
        <v/>
      </c>
      <c r="R84" s="56">
        <f>IF($C84="","",IF(Summary!$C$16="N","",IFERROR(BDP($C84,'Field Check'!$C$18,'Field Check'!$C$17,TEXT(Summary!$C$12-5,"0"))/100,"")))</f>
        <v/>
      </c>
      <c r="S84" s="56">
        <f>IF($C84="","",IF(Summary!$C$16="N","",IFERROR(BDP($C84,'Field Check'!$C$18,'Field Check'!$C$17,TEXT(Summary!$C$12-4,"0"))/100,"")))</f>
        <v/>
      </c>
      <c r="T84" s="56">
        <f>IF($C84="","",IF(Summary!$C$16="N","",IFERROR(BDP($C84,'Field Check'!$C$18,'Field Check'!$C$17,TEXT(Summary!$C$12-3,"0"))/100,"")))</f>
        <v/>
      </c>
      <c r="U84" s="56">
        <f>IF($C84="","",IF(Summary!$C$16="N","",IFERROR(BDP($C84,'Field Check'!$C$18,'Field Check'!$C$17,TEXT(Summary!$C$12-2,"0"))/100,"")))</f>
        <v/>
      </c>
      <c r="V84" s="56">
        <f>IF($C84="","",IF(Summary!$C$16="N","",IFERROR(BDP($C84,'Field Check'!$C$18,'Field Check'!$C$17,TEXT(Summary!$C$12-1,"0"))/100,"")))</f>
        <v/>
      </c>
      <c r="W84" s="57">
        <f>IF($C84="","",IFERROR(AVERAGE(R84:V84),""))</f>
        <v/>
      </c>
      <c r="X84" s="58">
        <f>IF($C84="","",IF(ISNUMBER($Q84)*(N($Q84)&gt;0)=0,"",IFERROR($J84/$Q84,"")))</f>
        <v/>
      </c>
      <c r="Y84" s="59">
        <f>IF($C84="","",IF(ISNUMBER(HSI!$I$79),HSI!$I$79/100,""))</f>
        <v/>
      </c>
      <c r="Z84" s="60">
        <f>IF($C84="","",IF(Summary!$C$16="N","",IFERROR(BDP($C84,'Field Check'!$C$19)/100,"")))</f>
        <v/>
      </c>
      <c r="AA84" s="61">
        <f>IF($C84="","",IF(N($Y84)+N($Z84)=0,"",N($Y84)+N($Z84)))</f>
        <v/>
      </c>
      <c r="AB84" s="60">
        <f>IF($C84="","",IF(Summary!$C$16="N","",IFERROR(BDP($C84,'Field Check'!$C$20)/100,"")))</f>
        <v/>
      </c>
      <c r="AC84" s="45">
        <f>IF($C84="","",IF(N($Y84)=0,"",IFERROR($AB84/$Y84,"")))</f>
        <v/>
      </c>
      <c r="AD84" s="55">
        <f>IF($C84="","",IF(Summary!$C$16="N","",IFERROR(BDP($C84,'Field Check'!$C$21),"")))</f>
        <v/>
      </c>
      <c r="AE84" s="55">
        <f>IF($C84="","",IF(Summary!$C$16="N","",IFERROR(BDP($C84,'Field Check'!$C$22),"")))</f>
        <v/>
      </c>
      <c r="AF84" s="55">
        <f>IF($C84="","",IF(Summary!$C$16="N","",IFERROR(BDP($C84,'Field Check'!$C$23),"")))</f>
        <v/>
      </c>
      <c r="AG84" s="40">
        <f>IF($C84="","",TRIM(IF(ISNUMBER($W84)*(N($W84)&gt;$D$7)&gt;0,"payout high  ","")&amp;IF(ISNUMBER($AC84)*(N($AC84)&lt;$F$7)&gt;0,"FCF below dvd  ","")&amp;IF(ISNUMBER($AE84)*(N($AE84)&gt;$H$7)&gt;0,"leverage high","")))</f>
        <v/>
      </c>
      <c r="AH84" s="40">
        <f>IF($C84="","",IF(HSI!$F$79="HKD","",IF(HSI!$F$79="","","DPS in "&amp;HSI!$F$79)))</f>
        <v/>
      </c>
    </row>
    <row r="85">
      <c r="B85" s="52" t="inlineStr">
        <is>
          <t>HSI</t>
        </is>
      </c>
      <c r="C85" s="6">
        <f>IF(HSI!$C$80="","",HSI!$C$80)</f>
        <v/>
      </c>
      <c r="D85" s="6">
        <f>IF($C85="","",HSI!$D$80)</f>
        <v/>
      </c>
      <c r="E85" s="6">
        <f>IF($C85="","",HSI!$E$80)</f>
        <v/>
      </c>
      <c r="F85" s="53">
        <f>IF($C85="","",SUMIFS('Dvd Calendar'!$E$1106:$AR$1106,'Dvd Calendar'!$E$1105:$AR$1105,"&gt;="&amp;DATE(Summary!$C$12-5,1,1),'Dvd Calendar'!$E$1105:$AR$1105,"&lt;="&amp;DATE(Summary!$C$12-5,12,31)))</f>
        <v/>
      </c>
      <c r="G85" s="53">
        <f>IF($C85="","",SUMIFS('Dvd Calendar'!$E$1106:$AR$1106,'Dvd Calendar'!$E$1105:$AR$1105,"&gt;="&amp;DATE(Summary!$C$12-4,1,1),'Dvd Calendar'!$E$1105:$AR$1105,"&lt;="&amp;DATE(Summary!$C$12-4,12,31)))</f>
        <v/>
      </c>
      <c r="H85" s="53">
        <f>IF($C85="","",SUMIFS('Dvd Calendar'!$E$1106:$AR$1106,'Dvd Calendar'!$E$1105:$AR$1105,"&gt;="&amp;DATE(Summary!$C$12-3,1,1),'Dvd Calendar'!$E$1105:$AR$1105,"&lt;="&amp;DATE(Summary!$C$12-3,12,31)))</f>
        <v/>
      </c>
      <c r="I85" s="53">
        <f>IF($C85="","",SUMIFS('Dvd Calendar'!$E$1106:$AR$1106,'Dvd Calendar'!$E$1105:$AR$1105,"&gt;="&amp;DATE(Summary!$C$12-2,1,1),'Dvd Calendar'!$E$1105:$AR$1105,"&lt;="&amp;DATE(Summary!$C$12-2,12,31)))</f>
        <v/>
      </c>
      <c r="J85" s="53">
        <f>IF($C85="","",SUMIFS('Dvd Calendar'!$E$1106:$AR$1106,'Dvd Calendar'!$E$1105:$AR$1105,"&gt;="&amp;DATE(Summary!$C$12-1,1,1),'Dvd Calendar'!$E$1105:$AR$1105,"&lt;="&amp;DATE(Summary!$C$12-1,12,31)))</f>
        <v/>
      </c>
      <c r="K85" s="54">
        <f>IF($C85="","",SUMIFS('Dvd Calendar'!$E$1106:$AR$1106,'Dvd Calendar'!$E$1105:$AR$1105,"&gt;="&amp;DATE(Summary!$C$12,1,1),'Dvd Calendar'!$E$1105:$AR$1105,"&lt;="&amp;MIN(Summary!$C$11,DATE(Summary!$C$12,12,31))))</f>
        <v/>
      </c>
      <c r="L85" s="38">
        <f>IF($C85="","",AVERAGE(F85:J85))</f>
        <v/>
      </c>
      <c r="M85" s="55">
        <f>IF($C85="","",IF(Summary!$C$16="N","",IFERROR(BDP($C85,'Field Check'!$C$16,'Field Check'!$C$17,TEXT(Summary!$C$12-5,"0")),"")))</f>
        <v/>
      </c>
      <c r="N85" s="55">
        <f>IF($C85="","",IF(Summary!$C$16="N","",IFERROR(BDP($C85,'Field Check'!$C$16,'Field Check'!$C$17,TEXT(Summary!$C$12-4,"0")),"")))</f>
        <v/>
      </c>
      <c r="O85" s="55">
        <f>IF($C85="","",IF(Summary!$C$16="N","",IFERROR(BDP($C85,'Field Check'!$C$16,'Field Check'!$C$17,TEXT(Summary!$C$12-3,"0")),"")))</f>
        <v/>
      </c>
      <c r="P85" s="55">
        <f>IF($C85="","",IF(Summary!$C$16="N","",IFERROR(BDP($C85,'Field Check'!$C$16,'Field Check'!$C$17,TEXT(Summary!$C$12-2,"0")),"")))</f>
        <v/>
      </c>
      <c r="Q85" s="55">
        <f>IF($C85="","",IF(Summary!$C$16="N","",IFERROR(BDP($C85,'Field Check'!$C$16,'Field Check'!$C$17,TEXT(Summary!$C$12-1,"0")),"")))</f>
        <v/>
      </c>
      <c r="R85" s="56">
        <f>IF($C85="","",IF(Summary!$C$16="N","",IFERROR(BDP($C85,'Field Check'!$C$18,'Field Check'!$C$17,TEXT(Summary!$C$12-5,"0"))/100,"")))</f>
        <v/>
      </c>
      <c r="S85" s="56">
        <f>IF($C85="","",IF(Summary!$C$16="N","",IFERROR(BDP($C85,'Field Check'!$C$18,'Field Check'!$C$17,TEXT(Summary!$C$12-4,"0"))/100,"")))</f>
        <v/>
      </c>
      <c r="T85" s="56">
        <f>IF($C85="","",IF(Summary!$C$16="N","",IFERROR(BDP($C85,'Field Check'!$C$18,'Field Check'!$C$17,TEXT(Summary!$C$12-3,"0"))/100,"")))</f>
        <v/>
      </c>
      <c r="U85" s="56">
        <f>IF($C85="","",IF(Summary!$C$16="N","",IFERROR(BDP($C85,'Field Check'!$C$18,'Field Check'!$C$17,TEXT(Summary!$C$12-2,"0"))/100,"")))</f>
        <v/>
      </c>
      <c r="V85" s="56">
        <f>IF($C85="","",IF(Summary!$C$16="N","",IFERROR(BDP($C85,'Field Check'!$C$18,'Field Check'!$C$17,TEXT(Summary!$C$12-1,"0"))/100,"")))</f>
        <v/>
      </c>
      <c r="W85" s="57">
        <f>IF($C85="","",IFERROR(AVERAGE(R85:V85),""))</f>
        <v/>
      </c>
      <c r="X85" s="58">
        <f>IF($C85="","",IF(ISNUMBER($Q85)*(N($Q85)&gt;0)=0,"",IFERROR($J85/$Q85,"")))</f>
        <v/>
      </c>
      <c r="Y85" s="59">
        <f>IF($C85="","",IF(ISNUMBER(HSI!$I$80),HSI!$I$80/100,""))</f>
        <v/>
      </c>
      <c r="Z85" s="60">
        <f>IF($C85="","",IF(Summary!$C$16="N","",IFERROR(BDP($C85,'Field Check'!$C$19)/100,"")))</f>
        <v/>
      </c>
      <c r="AA85" s="61">
        <f>IF($C85="","",IF(N($Y85)+N($Z85)=0,"",N($Y85)+N($Z85)))</f>
        <v/>
      </c>
      <c r="AB85" s="60">
        <f>IF($C85="","",IF(Summary!$C$16="N","",IFERROR(BDP($C85,'Field Check'!$C$20)/100,"")))</f>
        <v/>
      </c>
      <c r="AC85" s="45">
        <f>IF($C85="","",IF(N($Y85)=0,"",IFERROR($AB85/$Y85,"")))</f>
        <v/>
      </c>
      <c r="AD85" s="55">
        <f>IF($C85="","",IF(Summary!$C$16="N","",IFERROR(BDP($C85,'Field Check'!$C$21),"")))</f>
        <v/>
      </c>
      <c r="AE85" s="55">
        <f>IF($C85="","",IF(Summary!$C$16="N","",IFERROR(BDP($C85,'Field Check'!$C$22),"")))</f>
        <v/>
      </c>
      <c r="AF85" s="55">
        <f>IF($C85="","",IF(Summary!$C$16="N","",IFERROR(BDP($C85,'Field Check'!$C$23),"")))</f>
        <v/>
      </c>
      <c r="AG85" s="40">
        <f>IF($C85="","",TRIM(IF(ISNUMBER($W85)*(N($W85)&gt;$D$7)&gt;0,"payout high  ","")&amp;IF(ISNUMBER($AC85)*(N($AC85)&lt;$F$7)&gt;0,"FCF below dvd  ","")&amp;IF(ISNUMBER($AE85)*(N($AE85)&gt;$H$7)&gt;0,"leverage high","")))</f>
        <v/>
      </c>
      <c r="AH85" s="40">
        <f>IF($C85="","",IF(HSI!$F$80="HKD","",IF(HSI!$F$80="","","DPS in "&amp;HSI!$F$80)))</f>
        <v/>
      </c>
    </row>
    <row r="86">
      <c r="B86" s="52" t="inlineStr">
        <is>
          <t>HSI</t>
        </is>
      </c>
      <c r="C86" s="6">
        <f>IF(HSI!$C$81="","",HSI!$C$81)</f>
        <v/>
      </c>
      <c r="D86" s="6">
        <f>IF($C86="","",HSI!$D$81)</f>
        <v/>
      </c>
      <c r="E86" s="6">
        <f>IF($C86="","",HSI!$E$81)</f>
        <v/>
      </c>
      <c r="F86" s="53">
        <f>IF($C86="","",SUMIFS('Dvd Calendar'!$E$1121:$AR$1121,'Dvd Calendar'!$E$1120:$AR$1120,"&gt;="&amp;DATE(Summary!$C$12-5,1,1),'Dvd Calendar'!$E$1120:$AR$1120,"&lt;="&amp;DATE(Summary!$C$12-5,12,31)))</f>
        <v/>
      </c>
      <c r="G86" s="53">
        <f>IF($C86="","",SUMIFS('Dvd Calendar'!$E$1121:$AR$1121,'Dvd Calendar'!$E$1120:$AR$1120,"&gt;="&amp;DATE(Summary!$C$12-4,1,1),'Dvd Calendar'!$E$1120:$AR$1120,"&lt;="&amp;DATE(Summary!$C$12-4,12,31)))</f>
        <v/>
      </c>
      <c r="H86" s="53">
        <f>IF($C86="","",SUMIFS('Dvd Calendar'!$E$1121:$AR$1121,'Dvd Calendar'!$E$1120:$AR$1120,"&gt;="&amp;DATE(Summary!$C$12-3,1,1),'Dvd Calendar'!$E$1120:$AR$1120,"&lt;="&amp;DATE(Summary!$C$12-3,12,31)))</f>
        <v/>
      </c>
      <c r="I86" s="53">
        <f>IF($C86="","",SUMIFS('Dvd Calendar'!$E$1121:$AR$1121,'Dvd Calendar'!$E$1120:$AR$1120,"&gt;="&amp;DATE(Summary!$C$12-2,1,1),'Dvd Calendar'!$E$1120:$AR$1120,"&lt;="&amp;DATE(Summary!$C$12-2,12,31)))</f>
        <v/>
      </c>
      <c r="J86" s="53">
        <f>IF($C86="","",SUMIFS('Dvd Calendar'!$E$1121:$AR$1121,'Dvd Calendar'!$E$1120:$AR$1120,"&gt;="&amp;DATE(Summary!$C$12-1,1,1),'Dvd Calendar'!$E$1120:$AR$1120,"&lt;="&amp;DATE(Summary!$C$12-1,12,31)))</f>
        <v/>
      </c>
      <c r="K86" s="54">
        <f>IF($C86="","",SUMIFS('Dvd Calendar'!$E$1121:$AR$1121,'Dvd Calendar'!$E$1120:$AR$1120,"&gt;="&amp;DATE(Summary!$C$12,1,1),'Dvd Calendar'!$E$1120:$AR$1120,"&lt;="&amp;MIN(Summary!$C$11,DATE(Summary!$C$12,12,31))))</f>
        <v/>
      </c>
      <c r="L86" s="38">
        <f>IF($C86="","",AVERAGE(F86:J86))</f>
        <v/>
      </c>
      <c r="M86" s="55">
        <f>IF($C86="","",IF(Summary!$C$16="N","",IFERROR(BDP($C86,'Field Check'!$C$16,'Field Check'!$C$17,TEXT(Summary!$C$12-5,"0")),"")))</f>
        <v/>
      </c>
      <c r="N86" s="55">
        <f>IF($C86="","",IF(Summary!$C$16="N","",IFERROR(BDP($C86,'Field Check'!$C$16,'Field Check'!$C$17,TEXT(Summary!$C$12-4,"0")),"")))</f>
        <v/>
      </c>
      <c r="O86" s="55">
        <f>IF($C86="","",IF(Summary!$C$16="N","",IFERROR(BDP($C86,'Field Check'!$C$16,'Field Check'!$C$17,TEXT(Summary!$C$12-3,"0")),"")))</f>
        <v/>
      </c>
      <c r="P86" s="55">
        <f>IF($C86="","",IF(Summary!$C$16="N","",IFERROR(BDP($C86,'Field Check'!$C$16,'Field Check'!$C$17,TEXT(Summary!$C$12-2,"0")),"")))</f>
        <v/>
      </c>
      <c r="Q86" s="55">
        <f>IF($C86="","",IF(Summary!$C$16="N","",IFERROR(BDP($C86,'Field Check'!$C$16,'Field Check'!$C$17,TEXT(Summary!$C$12-1,"0")),"")))</f>
        <v/>
      </c>
      <c r="R86" s="56">
        <f>IF($C86="","",IF(Summary!$C$16="N","",IFERROR(BDP($C86,'Field Check'!$C$18,'Field Check'!$C$17,TEXT(Summary!$C$12-5,"0"))/100,"")))</f>
        <v/>
      </c>
      <c r="S86" s="56">
        <f>IF($C86="","",IF(Summary!$C$16="N","",IFERROR(BDP($C86,'Field Check'!$C$18,'Field Check'!$C$17,TEXT(Summary!$C$12-4,"0"))/100,"")))</f>
        <v/>
      </c>
      <c r="T86" s="56">
        <f>IF($C86="","",IF(Summary!$C$16="N","",IFERROR(BDP($C86,'Field Check'!$C$18,'Field Check'!$C$17,TEXT(Summary!$C$12-3,"0"))/100,"")))</f>
        <v/>
      </c>
      <c r="U86" s="56">
        <f>IF($C86="","",IF(Summary!$C$16="N","",IFERROR(BDP($C86,'Field Check'!$C$18,'Field Check'!$C$17,TEXT(Summary!$C$12-2,"0"))/100,"")))</f>
        <v/>
      </c>
      <c r="V86" s="56">
        <f>IF($C86="","",IF(Summary!$C$16="N","",IFERROR(BDP($C86,'Field Check'!$C$18,'Field Check'!$C$17,TEXT(Summary!$C$12-1,"0"))/100,"")))</f>
        <v/>
      </c>
      <c r="W86" s="57">
        <f>IF($C86="","",IFERROR(AVERAGE(R86:V86),""))</f>
        <v/>
      </c>
      <c r="X86" s="58">
        <f>IF($C86="","",IF(ISNUMBER($Q86)*(N($Q86)&gt;0)=0,"",IFERROR($J86/$Q86,"")))</f>
        <v/>
      </c>
      <c r="Y86" s="59">
        <f>IF($C86="","",IF(ISNUMBER(HSI!$I$81),HSI!$I$81/100,""))</f>
        <v/>
      </c>
      <c r="Z86" s="60">
        <f>IF($C86="","",IF(Summary!$C$16="N","",IFERROR(BDP($C86,'Field Check'!$C$19)/100,"")))</f>
        <v/>
      </c>
      <c r="AA86" s="61">
        <f>IF($C86="","",IF(N($Y86)+N($Z86)=0,"",N($Y86)+N($Z86)))</f>
        <v/>
      </c>
      <c r="AB86" s="60">
        <f>IF($C86="","",IF(Summary!$C$16="N","",IFERROR(BDP($C86,'Field Check'!$C$20)/100,"")))</f>
        <v/>
      </c>
      <c r="AC86" s="45">
        <f>IF($C86="","",IF(N($Y86)=0,"",IFERROR($AB86/$Y86,"")))</f>
        <v/>
      </c>
      <c r="AD86" s="55">
        <f>IF($C86="","",IF(Summary!$C$16="N","",IFERROR(BDP($C86,'Field Check'!$C$21),"")))</f>
        <v/>
      </c>
      <c r="AE86" s="55">
        <f>IF($C86="","",IF(Summary!$C$16="N","",IFERROR(BDP($C86,'Field Check'!$C$22),"")))</f>
        <v/>
      </c>
      <c r="AF86" s="55">
        <f>IF($C86="","",IF(Summary!$C$16="N","",IFERROR(BDP($C86,'Field Check'!$C$23),"")))</f>
        <v/>
      </c>
      <c r="AG86" s="40">
        <f>IF($C86="","",TRIM(IF(ISNUMBER($W86)*(N($W86)&gt;$D$7)&gt;0,"payout high  ","")&amp;IF(ISNUMBER($AC86)*(N($AC86)&lt;$F$7)&gt;0,"FCF below dvd  ","")&amp;IF(ISNUMBER($AE86)*(N($AE86)&gt;$H$7)&gt;0,"leverage high","")))</f>
        <v/>
      </c>
      <c r="AH86" s="40">
        <f>IF($C86="","",IF(HSI!$F$81="HKD","",IF(HSI!$F$81="","","DPS in "&amp;HSI!$F$81)))</f>
        <v/>
      </c>
    </row>
    <row r="87">
      <c r="B87" s="52" t="inlineStr">
        <is>
          <t>HSI</t>
        </is>
      </c>
      <c r="C87" s="6">
        <f>IF(HSI!$C$82="","",HSI!$C$82)</f>
        <v/>
      </c>
      <c r="D87" s="6">
        <f>IF($C87="","",HSI!$D$82)</f>
        <v/>
      </c>
      <c r="E87" s="6">
        <f>IF($C87="","",HSI!$E$82)</f>
        <v/>
      </c>
      <c r="F87" s="53">
        <f>IF($C87="","",SUMIFS('Dvd Calendar'!$E$1136:$AR$1136,'Dvd Calendar'!$E$1135:$AR$1135,"&gt;="&amp;DATE(Summary!$C$12-5,1,1),'Dvd Calendar'!$E$1135:$AR$1135,"&lt;="&amp;DATE(Summary!$C$12-5,12,31)))</f>
        <v/>
      </c>
      <c r="G87" s="53">
        <f>IF($C87="","",SUMIFS('Dvd Calendar'!$E$1136:$AR$1136,'Dvd Calendar'!$E$1135:$AR$1135,"&gt;="&amp;DATE(Summary!$C$12-4,1,1),'Dvd Calendar'!$E$1135:$AR$1135,"&lt;="&amp;DATE(Summary!$C$12-4,12,31)))</f>
        <v/>
      </c>
      <c r="H87" s="53">
        <f>IF($C87="","",SUMIFS('Dvd Calendar'!$E$1136:$AR$1136,'Dvd Calendar'!$E$1135:$AR$1135,"&gt;="&amp;DATE(Summary!$C$12-3,1,1),'Dvd Calendar'!$E$1135:$AR$1135,"&lt;="&amp;DATE(Summary!$C$12-3,12,31)))</f>
        <v/>
      </c>
      <c r="I87" s="53">
        <f>IF($C87="","",SUMIFS('Dvd Calendar'!$E$1136:$AR$1136,'Dvd Calendar'!$E$1135:$AR$1135,"&gt;="&amp;DATE(Summary!$C$12-2,1,1),'Dvd Calendar'!$E$1135:$AR$1135,"&lt;="&amp;DATE(Summary!$C$12-2,12,31)))</f>
        <v/>
      </c>
      <c r="J87" s="53">
        <f>IF($C87="","",SUMIFS('Dvd Calendar'!$E$1136:$AR$1136,'Dvd Calendar'!$E$1135:$AR$1135,"&gt;="&amp;DATE(Summary!$C$12-1,1,1),'Dvd Calendar'!$E$1135:$AR$1135,"&lt;="&amp;DATE(Summary!$C$12-1,12,31)))</f>
        <v/>
      </c>
      <c r="K87" s="54">
        <f>IF($C87="","",SUMIFS('Dvd Calendar'!$E$1136:$AR$1136,'Dvd Calendar'!$E$1135:$AR$1135,"&gt;="&amp;DATE(Summary!$C$12,1,1),'Dvd Calendar'!$E$1135:$AR$1135,"&lt;="&amp;MIN(Summary!$C$11,DATE(Summary!$C$12,12,31))))</f>
        <v/>
      </c>
      <c r="L87" s="38">
        <f>IF($C87="","",AVERAGE(F87:J87))</f>
        <v/>
      </c>
      <c r="M87" s="55">
        <f>IF($C87="","",IF(Summary!$C$16="N","",IFERROR(BDP($C87,'Field Check'!$C$16,'Field Check'!$C$17,TEXT(Summary!$C$12-5,"0")),"")))</f>
        <v/>
      </c>
      <c r="N87" s="55">
        <f>IF($C87="","",IF(Summary!$C$16="N","",IFERROR(BDP($C87,'Field Check'!$C$16,'Field Check'!$C$17,TEXT(Summary!$C$12-4,"0")),"")))</f>
        <v/>
      </c>
      <c r="O87" s="55">
        <f>IF($C87="","",IF(Summary!$C$16="N","",IFERROR(BDP($C87,'Field Check'!$C$16,'Field Check'!$C$17,TEXT(Summary!$C$12-3,"0")),"")))</f>
        <v/>
      </c>
      <c r="P87" s="55">
        <f>IF($C87="","",IF(Summary!$C$16="N","",IFERROR(BDP($C87,'Field Check'!$C$16,'Field Check'!$C$17,TEXT(Summary!$C$12-2,"0")),"")))</f>
        <v/>
      </c>
      <c r="Q87" s="55">
        <f>IF($C87="","",IF(Summary!$C$16="N","",IFERROR(BDP($C87,'Field Check'!$C$16,'Field Check'!$C$17,TEXT(Summary!$C$12-1,"0")),"")))</f>
        <v/>
      </c>
      <c r="R87" s="56">
        <f>IF($C87="","",IF(Summary!$C$16="N","",IFERROR(BDP($C87,'Field Check'!$C$18,'Field Check'!$C$17,TEXT(Summary!$C$12-5,"0"))/100,"")))</f>
        <v/>
      </c>
      <c r="S87" s="56">
        <f>IF($C87="","",IF(Summary!$C$16="N","",IFERROR(BDP($C87,'Field Check'!$C$18,'Field Check'!$C$17,TEXT(Summary!$C$12-4,"0"))/100,"")))</f>
        <v/>
      </c>
      <c r="T87" s="56">
        <f>IF($C87="","",IF(Summary!$C$16="N","",IFERROR(BDP($C87,'Field Check'!$C$18,'Field Check'!$C$17,TEXT(Summary!$C$12-3,"0"))/100,"")))</f>
        <v/>
      </c>
      <c r="U87" s="56">
        <f>IF($C87="","",IF(Summary!$C$16="N","",IFERROR(BDP($C87,'Field Check'!$C$18,'Field Check'!$C$17,TEXT(Summary!$C$12-2,"0"))/100,"")))</f>
        <v/>
      </c>
      <c r="V87" s="56">
        <f>IF($C87="","",IF(Summary!$C$16="N","",IFERROR(BDP($C87,'Field Check'!$C$18,'Field Check'!$C$17,TEXT(Summary!$C$12-1,"0"))/100,"")))</f>
        <v/>
      </c>
      <c r="W87" s="57">
        <f>IF($C87="","",IFERROR(AVERAGE(R87:V87),""))</f>
        <v/>
      </c>
      <c r="X87" s="58">
        <f>IF($C87="","",IF(ISNUMBER($Q87)*(N($Q87)&gt;0)=0,"",IFERROR($J87/$Q87,"")))</f>
        <v/>
      </c>
      <c r="Y87" s="59">
        <f>IF($C87="","",IF(ISNUMBER(HSI!$I$82),HSI!$I$82/100,""))</f>
        <v/>
      </c>
      <c r="Z87" s="60">
        <f>IF($C87="","",IF(Summary!$C$16="N","",IFERROR(BDP($C87,'Field Check'!$C$19)/100,"")))</f>
        <v/>
      </c>
      <c r="AA87" s="61">
        <f>IF($C87="","",IF(N($Y87)+N($Z87)=0,"",N($Y87)+N($Z87)))</f>
        <v/>
      </c>
      <c r="AB87" s="60">
        <f>IF($C87="","",IF(Summary!$C$16="N","",IFERROR(BDP($C87,'Field Check'!$C$20)/100,"")))</f>
        <v/>
      </c>
      <c r="AC87" s="45">
        <f>IF($C87="","",IF(N($Y87)=0,"",IFERROR($AB87/$Y87,"")))</f>
        <v/>
      </c>
      <c r="AD87" s="55">
        <f>IF($C87="","",IF(Summary!$C$16="N","",IFERROR(BDP($C87,'Field Check'!$C$21),"")))</f>
        <v/>
      </c>
      <c r="AE87" s="55">
        <f>IF($C87="","",IF(Summary!$C$16="N","",IFERROR(BDP($C87,'Field Check'!$C$22),"")))</f>
        <v/>
      </c>
      <c r="AF87" s="55">
        <f>IF($C87="","",IF(Summary!$C$16="N","",IFERROR(BDP($C87,'Field Check'!$C$23),"")))</f>
        <v/>
      </c>
      <c r="AG87" s="40">
        <f>IF($C87="","",TRIM(IF(ISNUMBER($W87)*(N($W87)&gt;$D$7)&gt;0,"payout high  ","")&amp;IF(ISNUMBER($AC87)*(N($AC87)&lt;$F$7)&gt;0,"FCF below dvd  ","")&amp;IF(ISNUMBER($AE87)*(N($AE87)&gt;$H$7)&gt;0,"leverage high","")))</f>
        <v/>
      </c>
      <c r="AH87" s="40">
        <f>IF($C87="","",IF(HSI!$F$82="HKD","",IF(HSI!$F$82="","","DPS in "&amp;HSI!$F$82)))</f>
        <v/>
      </c>
    </row>
    <row r="88">
      <c r="B88" s="52" t="inlineStr">
        <is>
          <t>HSI</t>
        </is>
      </c>
      <c r="C88" s="6">
        <f>IF(HSI!$C$83="","",HSI!$C$83)</f>
        <v/>
      </c>
      <c r="D88" s="6">
        <f>IF($C88="","",HSI!$D$83)</f>
        <v/>
      </c>
      <c r="E88" s="6">
        <f>IF($C88="","",HSI!$E$83)</f>
        <v/>
      </c>
      <c r="F88" s="53">
        <f>IF($C88="","",SUMIFS('Dvd Calendar'!$E$1151:$AR$1151,'Dvd Calendar'!$E$1150:$AR$1150,"&gt;="&amp;DATE(Summary!$C$12-5,1,1),'Dvd Calendar'!$E$1150:$AR$1150,"&lt;="&amp;DATE(Summary!$C$12-5,12,31)))</f>
        <v/>
      </c>
      <c r="G88" s="53">
        <f>IF($C88="","",SUMIFS('Dvd Calendar'!$E$1151:$AR$1151,'Dvd Calendar'!$E$1150:$AR$1150,"&gt;="&amp;DATE(Summary!$C$12-4,1,1),'Dvd Calendar'!$E$1150:$AR$1150,"&lt;="&amp;DATE(Summary!$C$12-4,12,31)))</f>
        <v/>
      </c>
      <c r="H88" s="53">
        <f>IF($C88="","",SUMIFS('Dvd Calendar'!$E$1151:$AR$1151,'Dvd Calendar'!$E$1150:$AR$1150,"&gt;="&amp;DATE(Summary!$C$12-3,1,1),'Dvd Calendar'!$E$1150:$AR$1150,"&lt;="&amp;DATE(Summary!$C$12-3,12,31)))</f>
        <v/>
      </c>
      <c r="I88" s="53">
        <f>IF($C88="","",SUMIFS('Dvd Calendar'!$E$1151:$AR$1151,'Dvd Calendar'!$E$1150:$AR$1150,"&gt;="&amp;DATE(Summary!$C$12-2,1,1),'Dvd Calendar'!$E$1150:$AR$1150,"&lt;="&amp;DATE(Summary!$C$12-2,12,31)))</f>
        <v/>
      </c>
      <c r="J88" s="53">
        <f>IF($C88="","",SUMIFS('Dvd Calendar'!$E$1151:$AR$1151,'Dvd Calendar'!$E$1150:$AR$1150,"&gt;="&amp;DATE(Summary!$C$12-1,1,1),'Dvd Calendar'!$E$1150:$AR$1150,"&lt;="&amp;DATE(Summary!$C$12-1,12,31)))</f>
        <v/>
      </c>
      <c r="K88" s="54">
        <f>IF($C88="","",SUMIFS('Dvd Calendar'!$E$1151:$AR$1151,'Dvd Calendar'!$E$1150:$AR$1150,"&gt;="&amp;DATE(Summary!$C$12,1,1),'Dvd Calendar'!$E$1150:$AR$1150,"&lt;="&amp;MIN(Summary!$C$11,DATE(Summary!$C$12,12,31))))</f>
        <v/>
      </c>
      <c r="L88" s="38">
        <f>IF($C88="","",AVERAGE(F88:J88))</f>
        <v/>
      </c>
      <c r="M88" s="55">
        <f>IF($C88="","",IF(Summary!$C$16="N","",IFERROR(BDP($C88,'Field Check'!$C$16,'Field Check'!$C$17,TEXT(Summary!$C$12-5,"0")),"")))</f>
        <v/>
      </c>
      <c r="N88" s="55">
        <f>IF($C88="","",IF(Summary!$C$16="N","",IFERROR(BDP($C88,'Field Check'!$C$16,'Field Check'!$C$17,TEXT(Summary!$C$12-4,"0")),"")))</f>
        <v/>
      </c>
      <c r="O88" s="55">
        <f>IF($C88="","",IF(Summary!$C$16="N","",IFERROR(BDP($C88,'Field Check'!$C$16,'Field Check'!$C$17,TEXT(Summary!$C$12-3,"0")),"")))</f>
        <v/>
      </c>
      <c r="P88" s="55">
        <f>IF($C88="","",IF(Summary!$C$16="N","",IFERROR(BDP($C88,'Field Check'!$C$16,'Field Check'!$C$17,TEXT(Summary!$C$12-2,"0")),"")))</f>
        <v/>
      </c>
      <c r="Q88" s="55">
        <f>IF($C88="","",IF(Summary!$C$16="N","",IFERROR(BDP($C88,'Field Check'!$C$16,'Field Check'!$C$17,TEXT(Summary!$C$12-1,"0")),"")))</f>
        <v/>
      </c>
      <c r="R88" s="56">
        <f>IF($C88="","",IF(Summary!$C$16="N","",IFERROR(BDP($C88,'Field Check'!$C$18,'Field Check'!$C$17,TEXT(Summary!$C$12-5,"0"))/100,"")))</f>
        <v/>
      </c>
      <c r="S88" s="56">
        <f>IF($C88="","",IF(Summary!$C$16="N","",IFERROR(BDP($C88,'Field Check'!$C$18,'Field Check'!$C$17,TEXT(Summary!$C$12-4,"0"))/100,"")))</f>
        <v/>
      </c>
      <c r="T88" s="56">
        <f>IF($C88="","",IF(Summary!$C$16="N","",IFERROR(BDP($C88,'Field Check'!$C$18,'Field Check'!$C$17,TEXT(Summary!$C$12-3,"0"))/100,"")))</f>
        <v/>
      </c>
      <c r="U88" s="56">
        <f>IF($C88="","",IF(Summary!$C$16="N","",IFERROR(BDP($C88,'Field Check'!$C$18,'Field Check'!$C$17,TEXT(Summary!$C$12-2,"0"))/100,"")))</f>
        <v/>
      </c>
      <c r="V88" s="56">
        <f>IF($C88="","",IF(Summary!$C$16="N","",IFERROR(BDP($C88,'Field Check'!$C$18,'Field Check'!$C$17,TEXT(Summary!$C$12-1,"0"))/100,"")))</f>
        <v/>
      </c>
      <c r="W88" s="57">
        <f>IF($C88="","",IFERROR(AVERAGE(R88:V88),""))</f>
        <v/>
      </c>
      <c r="X88" s="58">
        <f>IF($C88="","",IF(ISNUMBER($Q88)*(N($Q88)&gt;0)=0,"",IFERROR($J88/$Q88,"")))</f>
        <v/>
      </c>
      <c r="Y88" s="59">
        <f>IF($C88="","",IF(ISNUMBER(HSI!$I$83),HSI!$I$83/100,""))</f>
        <v/>
      </c>
      <c r="Z88" s="60">
        <f>IF($C88="","",IF(Summary!$C$16="N","",IFERROR(BDP($C88,'Field Check'!$C$19)/100,"")))</f>
        <v/>
      </c>
      <c r="AA88" s="61">
        <f>IF($C88="","",IF(N($Y88)+N($Z88)=0,"",N($Y88)+N($Z88)))</f>
        <v/>
      </c>
      <c r="AB88" s="60">
        <f>IF($C88="","",IF(Summary!$C$16="N","",IFERROR(BDP($C88,'Field Check'!$C$20)/100,"")))</f>
        <v/>
      </c>
      <c r="AC88" s="45">
        <f>IF($C88="","",IF(N($Y88)=0,"",IFERROR($AB88/$Y88,"")))</f>
        <v/>
      </c>
      <c r="AD88" s="55">
        <f>IF($C88="","",IF(Summary!$C$16="N","",IFERROR(BDP($C88,'Field Check'!$C$21),"")))</f>
        <v/>
      </c>
      <c r="AE88" s="55">
        <f>IF($C88="","",IF(Summary!$C$16="N","",IFERROR(BDP($C88,'Field Check'!$C$22),"")))</f>
        <v/>
      </c>
      <c r="AF88" s="55">
        <f>IF($C88="","",IF(Summary!$C$16="N","",IFERROR(BDP($C88,'Field Check'!$C$23),"")))</f>
        <v/>
      </c>
      <c r="AG88" s="40">
        <f>IF($C88="","",TRIM(IF(ISNUMBER($W88)*(N($W88)&gt;$D$7)&gt;0,"payout high  ","")&amp;IF(ISNUMBER($AC88)*(N($AC88)&lt;$F$7)&gt;0,"FCF below dvd  ","")&amp;IF(ISNUMBER($AE88)*(N($AE88)&gt;$H$7)&gt;0,"leverage high","")))</f>
        <v/>
      </c>
      <c r="AH88" s="40">
        <f>IF($C88="","",IF(HSI!$F$83="HKD","",IF(HSI!$F$83="","","DPS in "&amp;HSI!$F$83)))</f>
        <v/>
      </c>
    </row>
    <row r="89">
      <c r="B89" s="52" t="inlineStr">
        <is>
          <t>HSI</t>
        </is>
      </c>
      <c r="C89" s="6">
        <f>IF(HSI!$C$84="","",HSI!$C$84)</f>
        <v/>
      </c>
      <c r="D89" s="6">
        <f>IF($C89="","",HSI!$D$84)</f>
        <v/>
      </c>
      <c r="E89" s="6">
        <f>IF($C89="","",HSI!$E$84)</f>
        <v/>
      </c>
      <c r="F89" s="53">
        <f>IF($C89="","",SUMIFS('Dvd Calendar'!$E$1166:$AR$1166,'Dvd Calendar'!$E$1165:$AR$1165,"&gt;="&amp;DATE(Summary!$C$12-5,1,1),'Dvd Calendar'!$E$1165:$AR$1165,"&lt;="&amp;DATE(Summary!$C$12-5,12,31)))</f>
        <v/>
      </c>
      <c r="G89" s="53">
        <f>IF($C89="","",SUMIFS('Dvd Calendar'!$E$1166:$AR$1166,'Dvd Calendar'!$E$1165:$AR$1165,"&gt;="&amp;DATE(Summary!$C$12-4,1,1),'Dvd Calendar'!$E$1165:$AR$1165,"&lt;="&amp;DATE(Summary!$C$12-4,12,31)))</f>
        <v/>
      </c>
      <c r="H89" s="53">
        <f>IF($C89="","",SUMIFS('Dvd Calendar'!$E$1166:$AR$1166,'Dvd Calendar'!$E$1165:$AR$1165,"&gt;="&amp;DATE(Summary!$C$12-3,1,1),'Dvd Calendar'!$E$1165:$AR$1165,"&lt;="&amp;DATE(Summary!$C$12-3,12,31)))</f>
        <v/>
      </c>
      <c r="I89" s="53">
        <f>IF($C89="","",SUMIFS('Dvd Calendar'!$E$1166:$AR$1166,'Dvd Calendar'!$E$1165:$AR$1165,"&gt;="&amp;DATE(Summary!$C$12-2,1,1),'Dvd Calendar'!$E$1165:$AR$1165,"&lt;="&amp;DATE(Summary!$C$12-2,12,31)))</f>
        <v/>
      </c>
      <c r="J89" s="53">
        <f>IF($C89="","",SUMIFS('Dvd Calendar'!$E$1166:$AR$1166,'Dvd Calendar'!$E$1165:$AR$1165,"&gt;="&amp;DATE(Summary!$C$12-1,1,1),'Dvd Calendar'!$E$1165:$AR$1165,"&lt;="&amp;DATE(Summary!$C$12-1,12,31)))</f>
        <v/>
      </c>
      <c r="K89" s="54">
        <f>IF($C89="","",SUMIFS('Dvd Calendar'!$E$1166:$AR$1166,'Dvd Calendar'!$E$1165:$AR$1165,"&gt;="&amp;DATE(Summary!$C$12,1,1),'Dvd Calendar'!$E$1165:$AR$1165,"&lt;="&amp;MIN(Summary!$C$11,DATE(Summary!$C$12,12,31))))</f>
        <v/>
      </c>
      <c r="L89" s="38">
        <f>IF($C89="","",AVERAGE(F89:J89))</f>
        <v/>
      </c>
      <c r="M89" s="55">
        <f>IF($C89="","",IF(Summary!$C$16="N","",IFERROR(BDP($C89,'Field Check'!$C$16,'Field Check'!$C$17,TEXT(Summary!$C$12-5,"0")),"")))</f>
        <v/>
      </c>
      <c r="N89" s="55">
        <f>IF($C89="","",IF(Summary!$C$16="N","",IFERROR(BDP($C89,'Field Check'!$C$16,'Field Check'!$C$17,TEXT(Summary!$C$12-4,"0")),"")))</f>
        <v/>
      </c>
      <c r="O89" s="55">
        <f>IF($C89="","",IF(Summary!$C$16="N","",IFERROR(BDP($C89,'Field Check'!$C$16,'Field Check'!$C$17,TEXT(Summary!$C$12-3,"0")),"")))</f>
        <v/>
      </c>
      <c r="P89" s="55">
        <f>IF($C89="","",IF(Summary!$C$16="N","",IFERROR(BDP($C89,'Field Check'!$C$16,'Field Check'!$C$17,TEXT(Summary!$C$12-2,"0")),"")))</f>
        <v/>
      </c>
      <c r="Q89" s="55">
        <f>IF($C89="","",IF(Summary!$C$16="N","",IFERROR(BDP($C89,'Field Check'!$C$16,'Field Check'!$C$17,TEXT(Summary!$C$12-1,"0")),"")))</f>
        <v/>
      </c>
      <c r="R89" s="56">
        <f>IF($C89="","",IF(Summary!$C$16="N","",IFERROR(BDP($C89,'Field Check'!$C$18,'Field Check'!$C$17,TEXT(Summary!$C$12-5,"0"))/100,"")))</f>
        <v/>
      </c>
      <c r="S89" s="56">
        <f>IF($C89="","",IF(Summary!$C$16="N","",IFERROR(BDP($C89,'Field Check'!$C$18,'Field Check'!$C$17,TEXT(Summary!$C$12-4,"0"))/100,"")))</f>
        <v/>
      </c>
      <c r="T89" s="56">
        <f>IF($C89="","",IF(Summary!$C$16="N","",IFERROR(BDP($C89,'Field Check'!$C$18,'Field Check'!$C$17,TEXT(Summary!$C$12-3,"0"))/100,"")))</f>
        <v/>
      </c>
      <c r="U89" s="56">
        <f>IF($C89="","",IF(Summary!$C$16="N","",IFERROR(BDP($C89,'Field Check'!$C$18,'Field Check'!$C$17,TEXT(Summary!$C$12-2,"0"))/100,"")))</f>
        <v/>
      </c>
      <c r="V89" s="56">
        <f>IF($C89="","",IF(Summary!$C$16="N","",IFERROR(BDP($C89,'Field Check'!$C$18,'Field Check'!$C$17,TEXT(Summary!$C$12-1,"0"))/100,"")))</f>
        <v/>
      </c>
      <c r="W89" s="57">
        <f>IF($C89="","",IFERROR(AVERAGE(R89:V89),""))</f>
        <v/>
      </c>
      <c r="X89" s="58">
        <f>IF($C89="","",IF(ISNUMBER($Q89)*(N($Q89)&gt;0)=0,"",IFERROR($J89/$Q89,"")))</f>
        <v/>
      </c>
      <c r="Y89" s="59">
        <f>IF($C89="","",IF(ISNUMBER(HSI!$I$84),HSI!$I$84/100,""))</f>
        <v/>
      </c>
      <c r="Z89" s="60">
        <f>IF($C89="","",IF(Summary!$C$16="N","",IFERROR(BDP($C89,'Field Check'!$C$19)/100,"")))</f>
        <v/>
      </c>
      <c r="AA89" s="61">
        <f>IF($C89="","",IF(N($Y89)+N($Z89)=0,"",N($Y89)+N($Z89)))</f>
        <v/>
      </c>
      <c r="AB89" s="60">
        <f>IF($C89="","",IF(Summary!$C$16="N","",IFERROR(BDP($C89,'Field Check'!$C$20)/100,"")))</f>
        <v/>
      </c>
      <c r="AC89" s="45">
        <f>IF($C89="","",IF(N($Y89)=0,"",IFERROR($AB89/$Y89,"")))</f>
        <v/>
      </c>
      <c r="AD89" s="55">
        <f>IF($C89="","",IF(Summary!$C$16="N","",IFERROR(BDP($C89,'Field Check'!$C$21),"")))</f>
        <v/>
      </c>
      <c r="AE89" s="55">
        <f>IF($C89="","",IF(Summary!$C$16="N","",IFERROR(BDP($C89,'Field Check'!$C$22),"")))</f>
        <v/>
      </c>
      <c r="AF89" s="55">
        <f>IF($C89="","",IF(Summary!$C$16="N","",IFERROR(BDP($C89,'Field Check'!$C$23),"")))</f>
        <v/>
      </c>
      <c r="AG89" s="40">
        <f>IF($C89="","",TRIM(IF(ISNUMBER($W89)*(N($W89)&gt;$D$7)&gt;0,"payout high  ","")&amp;IF(ISNUMBER($AC89)*(N($AC89)&lt;$F$7)&gt;0,"FCF below dvd  ","")&amp;IF(ISNUMBER($AE89)*(N($AE89)&gt;$H$7)&gt;0,"leverage high","")))</f>
        <v/>
      </c>
      <c r="AH89" s="40">
        <f>IF($C89="","",IF(HSI!$F$84="HKD","",IF(HSI!$F$84="","","DPS in "&amp;HSI!$F$84)))</f>
        <v/>
      </c>
    </row>
    <row r="90">
      <c r="B90" s="52" t="inlineStr">
        <is>
          <t>HSI</t>
        </is>
      </c>
      <c r="C90" s="6">
        <f>IF(HSI!$C$85="","",HSI!$C$85)</f>
        <v/>
      </c>
      <c r="D90" s="6">
        <f>IF($C90="","",HSI!$D$85)</f>
        <v/>
      </c>
      <c r="E90" s="6">
        <f>IF($C90="","",HSI!$E$85)</f>
        <v/>
      </c>
      <c r="F90" s="53">
        <f>IF($C90="","",SUMIFS('Dvd Calendar'!$E$1181:$AR$1181,'Dvd Calendar'!$E$1180:$AR$1180,"&gt;="&amp;DATE(Summary!$C$12-5,1,1),'Dvd Calendar'!$E$1180:$AR$1180,"&lt;="&amp;DATE(Summary!$C$12-5,12,31)))</f>
        <v/>
      </c>
      <c r="G90" s="53">
        <f>IF($C90="","",SUMIFS('Dvd Calendar'!$E$1181:$AR$1181,'Dvd Calendar'!$E$1180:$AR$1180,"&gt;="&amp;DATE(Summary!$C$12-4,1,1),'Dvd Calendar'!$E$1180:$AR$1180,"&lt;="&amp;DATE(Summary!$C$12-4,12,31)))</f>
        <v/>
      </c>
      <c r="H90" s="53">
        <f>IF($C90="","",SUMIFS('Dvd Calendar'!$E$1181:$AR$1181,'Dvd Calendar'!$E$1180:$AR$1180,"&gt;="&amp;DATE(Summary!$C$12-3,1,1),'Dvd Calendar'!$E$1180:$AR$1180,"&lt;="&amp;DATE(Summary!$C$12-3,12,31)))</f>
        <v/>
      </c>
      <c r="I90" s="53">
        <f>IF($C90="","",SUMIFS('Dvd Calendar'!$E$1181:$AR$1181,'Dvd Calendar'!$E$1180:$AR$1180,"&gt;="&amp;DATE(Summary!$C$12-2,1,1),'Dvd Calendar'!$E$1180:$AR$1180,"&lt;="&amp;DATE(Summary!$C$12-2,12,31)))</f>
        <v/>
      </c>
      <c r="J90" s="53">
        <f>IF($C90="","",SUMIFS('Dvd Calendar'!$E$1181:$AR$1181,'Dvd Calendar'!$E$1180:$AR$1180,"&gt;="&amp;DATE(Summary!$C$12-1,1,1),'Dvd Calendar'!$E$1180:$AR$1180,"&lt;="&amp;DATE(Summary!$C$12-1,12,31)))</f>
        <v/>
      </c>
      <c r="K90" s="54">
        <f>IF($C90="","",SUMIFS('Dvd Calendar'!$E$1181:$AR$1181,'Dvd Calendar'!$E$1180:$AR$1180,"&gt;="&amp;DATE(Summary!$C$12,1,1),'Dvd Calendar'!$E$1180:$AR$1180,"&lt;="&amp;MIN(Summary!$C$11,DATE(Summary!$C$12,12,31))))</f>
        <v/>
      </c>
      <c r="L90" s="38">
        <f>IF($C90="","",AVERAGE(F90:J90))</f>
        <v/>
      </c>
      <c r="M90" s="55">
        <f>IF($C90="","",IF(Summary!$C$16="N","",IFERROR(BDP($C90,'Field Check'!$C$16,'Field Check'!$C$17,TEXT(Summary!$C$12-5,"0")),"")))</f>
        <v/>
      </c>
      <c r="N90" s="55">
        <f>IF($C90="","",IF(Summary!$C$16="N","",IFERROR(BDP($C90,'Field Check'!$C$16,'Field Check'!$C$17,TEXT(Summary!$C$12-4,"0")),"")))</f>
        <v/>
      </c>
      <c r="O90" s="55">
        <f>IF($C90="","",IF(Summary!$C$16="N","",IFERROR(BDP($C90,'Field Check'!$C$16,'Field Check'!$C$17,TEXT(Summary!$C$12-3,"0")),"")))</f>
        <v/>
      </c>
      <c r="P90" s="55">
        <f>IF($C90="","",IF(Summary!$C$16="N","",IFERROR(BDP($C90,'Field Check'!$C$16,'Field Check'!$C$17,TEXT(Summary!$C$12-2,"0")),"")))</f>
        <v/>
      </c>
      <c r="Q90" s="55">
        <f>IF($C90="","",IF(Summary!$C$16="N","",IFERROR(BDP($C90,'Field Check'!$C$16,'Field Check'!$C$17,TEXT(Summary!$C$12-1,"0")),"")))</f>
        <v/>
      </c>
      <c r="R90" s="56">
        <f>IF($C90="","",IF(Summary!$C$16="N","",IFERROR(BDP($C90,'Field Check'!$C$18,'Field Check'!$C$17,TEXT(Summary!$C$12-5,"0"))/100,"")))</f>
        <v/>
      </c>
      <c r="S90" s="56">
        <f>IF($C90="","",IF(Summary!$C$16="N","",IFERROR(BDP($C90,'Field Check'!$C$18,'Field Check'!$C$17,TEXT(Summary!$C$12-4,"0"))/100,"")))</f>
        <v/>
      </c>
      <c r="T90" s="56">
        <f>IF($C90="","",IF(Summary!$C$16="N","",IFERROR(BDP($C90,'Field Check'!$C$18,'Field Check'!$C$17,TEXT(Summary!$C$12-3,"0"))/100,"")))</f>
        <v/>
      </c>
      <c r="U90" s="56">
        <f>IF($C90="","",IF(Summary!$C$16="N","",IFERROR(BDP($C90,'Field Check'!$C$18,'Field Check'!$C$17,TEXT(Summary!$C$12-2,"0"))/100,"")))</f>
        <v/>
      </c>
      <c r="V90" s="56">
        <f>IF($C90="","",IF(Summary!$C$16="N","",IFERROR(BDP($C90,'Field Check'!$C$18,'Field Check'!$C$17,TEXT(Summary!$C$12-1,"0"))/100,"")))</f>
        <v/>
      </c>
      <c r="W90" s="57">
        <f>IF($C90="","",IFERROR(AVERAGE(R90:V90),""))</f>
        <v/>
      </c>
      <c r="X90" s="58">
        <f>IF($C90="","",IF(ISNUMBER($Q90)*(N($Q90)&gt;0)=0,"",IFERROR($J90/$Q90,"")))</f>
        <v/>
      </c>
      <c r="Y90" s="59">
        <f>IF($C90="","",IF(ISNUMBER(HSI!$I$85),HSI!$I$85/100,""))</f>
        <v/>
      </c>
      <c r="Z90" s="60">
        <f>IF($C90="","",IF(Summary!$C$16="N","",IFERROR(BDP($C90,'Field Check'!$C$19)/100,"")))</f>
        <v/>
      </c>
      <c r="AA90" s="61">
        <f>IF($C90="","",IF(N($Y90)+N($Z90)=0,"",N($Y90)+N($Z90)))</f>
        <v/>
      </c>
      <c r="AB90" s="60">
        <f>IF($C90="","",IF(Summary!$C$16="N","",IFERROR(BDP($C90,'Field Check'!$C$20)/100,"")))</f>
        <v/>
      </c>
      <c r="AC90" s="45">
        <f>IF($C90="","",IF(N($Y90)=0,"",IFERROR($AB90/$Y90,"")))</f>
        <v/>
      </c>
      <c r="AD90" s="55">
        <f>IF($C90="","",IF(Summary!$C$16="N","",IFERROR(BDP($C90,'Field Check'!$C$21),"")))</f>
        <v/>
      </c>
      <c r="AE90" s="55">
        <f>IF($C90="","",IF(Summary!$C$16="N","",IFERROR(BDP($C90,'Field Check'!$C$22),"")))</f>
        <v/>
      </c>
      <c r="AF90" s="55">
        <f>IF($C90="","",IF(Summary!$C$16="N","",IFERROR(BDP($C90,'Field Check'!$C$23),"")))</f>
        <v/>
      </c>
      <c r="AG90" s="40">
        <f>IF($C90="","",TRIM(IF(ISNUMBER($W90)*(N($W90)&gt;$D$7)&gt;0,"payout high  ","")&amp;IF(ISNUMBER($AC90)*(N($AC90)&lt;$F$7)&gt;0,"FCF below dvd  ","")&amp;IF(ISNUMBER($AE90)*(N($AE90)&gt;$H$7)&gt;0,"leverage high","")))</f>
        <v/>
      </c>
      <c r="AH90" s="40">
        <f>IF($C90="","",IF(HSI!$F$85="HKD","",IF(HSI!$F$85="","","DPS in "&amp;HSI!$F$85)))</f>
        <v/>
      </c>
    </row>
    <row r="91">
      <c r="B91" s="52" t="inlineStr">
        <is>
          <t>HSI</t>
        </is>
      </c>
      <c r="C91" s="6">
        <f>IF(HSI!$C$86="","",HSI!$C$86)</f>
        <v/>
      </c>
      <c r="D91" s="6">
        <f>IF($C91="","",HSI!$D$86)</f>
        <v/>
      </c>
      <c r="E91" s="6">
        <f>IF($C91="","",HSI!$E$86)</f>
        <v/>
      </c>
      <c r="F91" s="53">
        <f>IF($C91="","",SUMIFS('Dvd Calendar'!$E$1196:$AR$1196,'Dvd Calendar'!$E$1195:$AR$1195,"&gt;="&amp;DATE(Summary!$C$12-5,1,1),'Dvd Calendar'!$E$1195:$AR$1195,"&lt;="&amp;DATE(Summary!$C$12-5,12,31)))</f>
        <v/>
      </c>
      <c r="G91" s="53">
        <f>IF($C91="","",SUMIFS('Dvd Calendar'!$E$1196:$AR$1196,'Dvd Calendar'!$E$1195:$AR$1195,"&gt;="&amp;DATE(Summary!$C$12-4,1,1),'Dvd Calendar'!$E$1195:$AR$1195,"&lt;="&amp;DATE(Summary!$C$12-4,12,31)))</f>
        <v/>
      </c>
      <c r="H91" s="53">
        <f>IF($C91="","",SUMIFS('Dvd Calendar'!$E$1196:$AR$1196,'Dvd Calendar'!$E$1195:$AR$1195,"&gt;="&amp;DATE(Summary!$C$12-3,1,1),'Dvd Calendar'!$E$1195:$AR$1195,"&lt;="&amp;DATE(Summary!$C$12-3,12,31)))</f>
        <v/>
      </c>
      <c r="I91" s="53">
        <f>IF($C91="","",SUMIFS('Dvd Calendar'!$E$1196:$AR$1196,'Dvd Calendar'!$E$1195:$AR$1195,"&gt;="&amp;DATE(Summary!$C$12-2,1,1),'Dvd Calendar'!$E$1195:$AR$1195,"&lt;="&amp;DATE(Summary!$C$12-2,12,31)))</f>
        <v/>
      </c>
      <c r="J91" s="53">
        <f>IF($C91="","",SUMIFS('Dvd Calendar'!$E$1196:$AR$1196,'Dvd Calendar'!$E$1195:$AR$1195,"&gt;="&amp;DATE(Summary!$C$12-1,1,1),'Dvd Calendar'!$E$1195:$AR$1195,"&lt;="&amp;DATE(Summary!$C$12-1,12,31)))</f>
        <v/>
      </c>
      <c r="K91" s="54">
        <f>IF($C91="","",SUMIFS('Dvd Calendar'!$E$1196:$AR$1196,'Dvd Calendar'!$E$1195:$AR$1195,"&gt;="&amp;DATE(Summary!$C$12,1,1),'Dvd Calendar'!$E$1195:$AR$1195,"&lt;="&amp;MIN(Summary!$C$11,DATE(Summary!$C$12,12,31))))</f>
        <v/>
      </c>
      <c r="L91" s="38">
        <f>IF($C91="","",AVERAGE(F91:J91))</f>
        <v/>
      </c>
      <c r="M91" s="55">
        <f>IF($C91="","",IF(Summary!$C$16="N","",IFERROR(BDP($C91,'Field Check'!$C$16,'Field Check'!$C$17,TEXT(Summary!$C$12-5,"0")),"")))</f>
        <v/>
      </c>
      <c r="N91" s="55">
        <f>IF($C91="","",IF(Summary!$C$16="N","",IFERROR(BDP($C91,'Field Check'!$C$16,'Field Check'!$C$17,TEXT(Summary!$C$12-4,"0")),"")))</f>
        <v/>
      </c>
      <c r="O91" s="55">
        <f>IF($C91="","",IF(Summary!$C$16="N","",IFERROR(BDP($C91,'Field Check'!$C$16,'Field Check'!$C$17,TEXT(Summary!$C$12-3,"0")),"")))</f>
        <v/>
      </c>
      <c r="P91" s="55">
        <f>IF($C91="","",IF(Summary!$C$16="N","",IFERROR(BDP($C91,'Field Check'!$C$16,'Field Check'!$C$17,TEXT(Summary!$C$12-2,"0")),"")))</f>
        <v/>
      </c>
      <c r="Q91" s="55">
        <f>IF($C91="","",IF(Summary!$C$16="N","",IFERROR(BDP($C91,'Field Check'!$C$16,'Field Check'!$C$17,TEXT(Summary!$C$12-1,"0")),"")))</f>
        <v/>
      </c>
      <c r="R91" s="56">
        <f>IF($C91="","",IF(Summary!$C$16="N","",IFERROR(BDP($C91,'Field Check'!$C$18,'Field Check'!$C$17,TEXT(Summary!$C$12-5,"0"))/100,"")))</f>
        <v/>
      </c>
      <c r="S91" s="56">
        <f>IF($C91="","",IF(Summary!$C$16="N","",IFERROR(BDP($C91,'Field Check'!$C$18,'Field Check'!$C$17,TEXT(Summary!$C$12-4,"0"))/100,"")))</f>
        <v/>
      </c>
      <c r="T91" s="56">
        <f>IF($C91="","",IF(Summary!$C$16="N","",IFERROR(BDP($C91,'Field Check'!$C$18,'Field Check'!$C$17,TEXT(Summary!$C$12-3,"0"))/100,"")))</f>
        <v/>
      </c>
      <c r="U91" s="56">
        <f>IF($C91="","",IF(Summary!$C$16="N","",IFERROR(BDP($C91,'Field Check'!$C$18,'Field Check'!$C$17,TEXT(Summary!$C$12-2,"0"))/100,"")))</f>
        <v/>
      </c>
      <c r="V91" s="56">
        <f>IF($C91="","",IF(Summary!$C$16="N","",IFERROR(BDP($C91,'Field Check'!$C$18,'Field Check'!$C$17,TEXT(Summary!$C$12-1,"0"))/100,"")))</f>
        <v/>
      </c>
      <c r="W91" s="57">
        <f>IF($C91="","",IFERROR(AVERAGE(R91:V91),""))</f>
        <v/>
      </c>
      <c r="X91" s="58">
        <f>IF($C91="","",IF(ISNUMBER($Q91)*(N($Q91)&gt;0)=0,"",IFERROR($J91/$Q91,"")))</f>
        <v/>
      </c>
      <c r="Y91" s="59">
        <f>IF($C91="","",IF(ISNUMBER(HSI!$I$86),HSI!$I$86/100,""))</f>
        <v/>
      </c>
      <c r="Z91" s="60">
        <f>IF($C91="","",IF(Summary!$C$16="N","",IFERROR(BDP($C91,'Field Check'!$C$19)/100,"")))</f>
        <v/>
      </c>
      <c r="AA91" s="61">
        <f>IF($C91="","",IF(N($Y91)+N($Z91)=0,"",N($Y91)+N($Z91)))</f>
        <v/>
      </c>
      <c r="AB91" s="60">
        <f>IF($C91="","",IF(Summary!$C$16="N","",IFERROR(BDP($C91,'Field Check'!$C$20)/100,"")))</f>
        <v/>
      </c>
      <c r="AC91" s="45">
        <f>IF($C91="","",IF(N($Y91)=0,"",IFERROR($AB91/$Y91,"")))</f>
        <v/>
      </c>
      <c r="AD91" s="55">
        <f>IF($C91="","",IF(Summary!$C$16="N","",IFERROR(BDP($C91,'Field Check'!$C$21),"")))</f>
        <v/>
      </c>
      <c r="AE91" s="55">
        <f>IF($C91="","",IF(Summary!$C$16="N","",IFERROR(BDP($C91,'Field Check'!$C$22),"")))</f>
        <v/>
      </c>
      <c r="AF91" s="55">
        <f>IF($C91="","",IF(Summary!$C$16="N","",IFERROR(BDP($C91,'Field Check'!$C$23),"")))</f>
        <v/>
      </c>
      <c r="AG91" s="40">
        <f>IF($C91="","",TRIM(IF(ISNUMBER($W91)*(N($W91)&gt;$D$7)&gt;0,"payout high  ","")&amp;IF(ISNUMBER($AC91)*(N($AC91)&lt;$F$7)&gt;0,"FCF below dvd  ","")&amp;IF(ISNUMBER($AE91)*(N($AE91)&gt;$H$7)&gt;0,"leverage high","")))</f>
        <v/>
      </c>
      <c r="AH91" s="40">
        <f>IF($C91="","",IF(HSI!$F$86="HKD","",IF(HSI!$F$86="","","DPS in "&amp;HSI!$F$86)))</f>
        <v/>
      </c>
    </row>
    <row r="92">
      <c r="B92" s="52" t="inlineStr">
        <is>
          <t>HSI</t>
        </is>
      </c>
      <c r="C92" s="6">
        <f>IF(HSI!$C$87="","",HSI!$C$87)</f>
        <v/>
      </c>
      <c r="D92" s="6">
        <f>IF($C92="","",HSI!$D$87)</f>
        <v/>
      </c>
      <c r="E92" s="6">
        <f>IF($C92="","",HSI!$E$87)</f>
        <v/>
      </c>
      <c r="F92" s="53">
        <f>IF($C92="","",SUMIFS('Dvd Calendar'!$E$1211:$AR$1211,'Dvd Calendar'!$E$1210:$AR$1210,"&gt;="&amp;DATE(Summary!$C$12-5,1,1),'Dvd Calendar'!$E$1210:$AR$1210,"&lt;="&amp;DATE(Summary!$C$12-5,12,31)))</f>
        <v/>
      </c>
      <c r="G92" s="53">
        <f>IF($C92="","",SUMIFS('Dvd Calendar'!$E$1211:$AR$1211,'Dvd Calendar'!$E$1210:$AR$1210,"&gt;="&amp;DATE(Summary!$C$12-4,1,1),'Dvd Calendar'!$E$1210:$AR$1210,"&lt;="&amp;DATE(Summary!$C$12-4,12,31)))</f>
        <v/>
      </c>
      <c r="H92" s="53">
        <f>IF($C92="","",SUMIFS('Dvd Calendar'!$E$1211:$AR$1211,'Dvd Calendar'!$E$1210:$AR$1210,"&gt;="&amp;DATE(Summary!$C$12-3,1,1),'Dvd Calendar'!$E$1210:$AR$1210,"&lt;="&amp;DATE(Summary!$C$12-3,12,31)))</f>
        <v/>
      </c>
      <c r="I92" s="53">
        <f>IF($C92="","",SUMIFS('Dvd Calendar'!$E$1211:$AR$1211,'Dvd Calendar'!$E$1210:$AR$1210,"&gt;="&amp;DATE(Summary!$C$12-2,1,1),'Dvd Calendar'!$E$1210:$AR$1210,"&lt;="&amp;DATE(Summary!$C$12-2,12,31)))</f>
        <v/>
      </c>
      <c r="J92" s="53">
        <f>IF($C92="","",SUMIFS('Dvd Calendar'!$E$1211:$AR$1211,'Dvd Calendar'!$E$1210:$AR$1210,"&gt;="&amp;DATE(Summary!$C$12-1,1,1),'Dvd Calendar'!$E$1210:$AR$1210,"&lt;="&amp;DATE(Summary!$C$12-1,12,31)))</f>
        <v/>
      </c>
      <c r="K92" s="54">
        <f>IF($C92="","",SUMIFS('Dvd Calendar'!$E$1211:$AR$1211,'Dvd Calendar'!$E$1210:$AR$1210,"&gt;="&amp;DATE(Summary!$C$12,1,1),'Dvd Calendar'!$E$1210:$AR$1210,"&lt;="&amp;MIN(Summary!$C$11,DATE(Summary!$C$12,12,31))))</f>
        <v/>
      </c>
      <c r="L92" s="38">
        <f>IF($C92="","",AVERAGE(F92:J92))</f>
        <v/>
      </c>
      <c r="M92" s="55">
        <f>IF($C92="","",IF(Summary!$C$16="N","",IFERROR(BDP($C92,'Field Check'!$C$16,'Field Check'!$C$17,TEXT(Summary!$C$12-5,"0")),"")))</f>
        <v/>
      </c>
      <c r="N92" s="55">
        <f>IF($C92="","",IF(Summary!$C$16="N","",IFERROR(BDP($C92,'Field Check'!$C$16,'Field Check'!$C$17,TEXT(Summary!$C$12-4,"0")),"")))</f>
        <v/>
      </c>
      <c r="O92" s="55">
        <f>IF($C92="","",IF(Summary!$C$16="N","",IFERROR(BDP($C92,'Field Check'!$C$16,'Field Check'!$C$17,TEXT(Summary!$C$12-3,"0")),"")))</f>
        <v/>
      </c>
      <c r="P92" s="55">
        <f>IF($C92="","",IF(Summary!$C$16="N","",IFERROR(BDP($C92,'Field Check'!$C$16,'Field Check'!$C$17,TEXT(Summary!$C$12-2,"0")),"")))</f>
        <v/>
      </c>
      <c r="Q92" s="55">
        <f>IF($C92="","",IF(Summary!$C$16="N","",IFERROR(BDP($C92,'Field Check'!$C$16,'Field Check'!$C$17,TEXT(Summary!$C$12-1,"0")),"")))</f>
        <v/>
      </c>
      <c r="R92" s="56">
        <f>IF($C92="","",IF(Summary!$C$16="N","",IFERROR(BDP($C92,'Field Check'!$C$18,'Field Check'!$C$17,TEXT(Summary!$C$12-5,"0"))/100,"")))</f>
        <v/>
      </c>
      <c r="S92" s="56">
        <f>IF($C92="","",IF(Summary!$C$16="N","",IFERROR(BDP($C92,'Field Check'!$C$18,'Field Check'!$C$17,TEXT(Summary!$C$12-4,"0"))/100,"")))</f>
        <v/>
      </c>
      <c r="T92" s="56">
        <f>IF($C92="","",IF(Summary!$C$16="N","",IFERROR(BDP($C92,'Field Check'!$C$18,'Field Check'!$C$17,TEXT(Summary!$C$12-3,"0"))/100,"")))</f>
        <v/>
      </c>
      <c r="U92" s="56">
        <f>IF($C92="","",IF(Summary!$C$16="N","",IFERROR(BDP($C92,'Field Check'!$C$18,'Field Check'!$C$17,TEXT(Summary!$C$12-2,"0"))/100,"")))</f>
        <v/>
      </c>
      <c r="V92" s="56">
        <f>IF($C92="","",IF(Summary!$C$16="N","",IFERROR(BDP($C92,'Field Check'!$C$18,'Field Check'!$C$17,TEXT(Summary!$C$12-1,"0"))/100,"")))</f>
        <v/>
      </c>
      <c r="W92" s="57">
        <f>IF($C92="","",IFERROR(AVERAGE(R92:V92),""))</f>
        <v/>
      </c>
      <c r="X92" s="58">
        <f>IF($C92="","",IF(ISNUMBER($Q92)*(N($Q92)&gt;0)=0,"",IFERROR($J92/$Q92,"")))</f>
        <v/>
      </c>
      <c r="Y92" s="59">
        <f>IF($C92="","",IF(ISNUMBER(HSI!$I$87),HSI!$I$87/100,""))</f>
        <v/>
      </c>
      <c r="Z92" s="60">
        <f>IF($C92="","",IF(Summary!$C$16="N","",IFERROR(BDP($C92,'Field Check'!$C$19)/100,"")))</f>
        <v/>
      </c>
      <c r="AA92" s="61">
        <f>IF($C92="","",IF(N($Y92)+N($Z92)=0,"",N($Y92)+N($Z92)))</f>
        <v/>
      </c>
      <c r="AB92" s="60">
        <f>IF($C92="","",IF(Summary!$C$16="N","",IFERROR(BDP($C92,'Field Check'!$C$20)/100,"")))</f>
        <v/>
      </c>
      <c r="AC92" s="45">
        <f>IF($C92="","",IF(N($Y92)=0,"",IFERROR($AB92/$Y92,"")))</f>
        <v/>
      </c>
      <c r="AD92" s="55">
        <f>IF($C92="","",IF(Summary!$C$16="N","",IFERROR(BDP($C92,'Field Check'!$C$21),"")))</f>
        <v/>
      </c>
      <c r="AE92" s="55">
        <f>IF($C92="","",IF(Summary!$C$16="N","",IFERROR(BDP($C92,'Field Check'!$C$22),"")))</f>
        <v/>
      </c>
      <c r="AF92" s="55">
        <f>IF($C92="","",IF(Summary!$C$16="N","",IFERROR(BDP($C92,'Field Check'!$C$23),"")))</f>
        <v/>
      </c>
      <c r="AG92" s="40">
        <f>IF($C92="","",TRIM(IF(ISNUMBER($W92)*(N($W92)&gt;$D$7)&gt;0,"payout high  ","")&amp;IF(ISNUMBER($AC92)*(N($AC92)&lt;$F$7)&gt;0,"FCF below dvd  ","")&amp;IF(ISNUMBER($AE92)*(N($AE92)&gt;$H$7)&gt;0,"leverage high","")))</f>
        <v/>
      </c>
      <c r="AH92" s="40">
        <f>IF($C92="","",IF(HSI!$F$87="HKD","",IF(HSI!$F$87="","","DPS in "&amp;HSI!$F$87)))</f>
        <v/>
      </c>
    </row>
    <row r="93">
      <c r="B93" s="52" t="inlineStr">
        <is>
          <t>HSI</t>
        </is>
      </c>
      <c r="C93" s="6">
        <f>IF(HSI!$C$88="","",HSI!$C$88)</f>
        <v/>
      </c>
      <c r="D93" s="6">
        <f>IF($C93="","",HSI!$D$88)</f>
        <v/>
      </c>
      <c r="E93" s="6">
        <f>IF($C93="","",HSI!$E$88)</f>
        <v/>
      </c>
      <c r="F93" s="53">
        <f>IF($C93="","",SUMIFS('Dvd Calendar'!$E$1226:$AR$1226,'Dvd Calendar'!$E$1225:$AR$1225,"&gt;="&amp;DATE(Summary!$C$12-5,1,1),'Dvd Calendar'!$E$1225:$AR$1225,"&lt;="&amp;DATE(Summary!$C$12-5,12,31)))</f>
        <v/>
      </c>
      <c r="G93" s="53">
        <f>IF($C93="","",SUMIFS('Dvd Calendar'!$E$1226:$AR$1226,'Dvd Calendar'!$E$1225:$AR$1225,"&gt;="&amp;DATE(Summary!$C$12-4,1,1),'Dvd Calendar'!$E$1225:$AR$1225,"&lt;="&amp;DATE(Summary!$C$12-4,12,31)))</f>
        <v/>
      </c>
      <c r="H93" s="53">
        <f>IF($C93="","",SUMIFS('Dvd Calendar'!$E$1226:$AR$1226,'Dvd Calendar'!$E$1225:$AR$1225,"&gt;="&amp;DATE(Summary!$C$12-3,1,1),'Dvd Calendar'!$E$1225:$AR$1225,"&lt;="&amp;DATE(Summary!$C$12-3,12,31)))</f>
        <v/>
      </c>
      <c r="I93" s="53">
        <f>IF($C93="","",SUMIFS('Dvd Calendar'!$E$1226:$AR$1226,'Dvd Calendar'!$E$1225:$AR$1225,"&gt;="&amp;DATE(Summary!$C$12-2,1,1),'Dvd Calendar'!$E$1225:$AR$1225,"&lt;="&amp;DATE(Summary!$C$12-2,12,31)))</f>
        <v/>
      </c>
      <c r="J93" s="53">
        <f>IF($C93="","",SUMIFS('Dvd Calendar'!$E$1226:$AR$1226,'Dvd Calendar'!$E$1225:$AR$1225,"&gt;="&amp;DATE(Summary!$C$12-1,1,1),'Dvd Calendar'!$E$1225:$AR$1225,"&lt;="&amp;DATE(Summary!$C$12-1,12,31)))</f>
        <v/>
      </c>
      <c r="K93" s="54">
        <f>IF($C93="","",SUMIFS('Dvd Calendar'!$E$1226:$AR$1226,'Dvd Calendar'!$E$1225:$AR$1225,"&gt;="&amp;DATE(Summary!$C$12,1,1),'Dvd Calendar'!$E$1225:$AR$1225,"&lt;="&amp;MIN(Summary!$C$11,DATE(Summary!$C$12,12,31))))</f>
        <v/>
      </c>
      <c r="L93" s="38">
        <f>IF($C93="","",AVERAGE(F93:J93))</f>
        <v/>
      </c>
      <c r="M93" s="55">
        <f>IF($C93="","",IF(Summary!$C$16="N","",IFERROR(BDP($C93,'Field Check'!$C$16,'Field Check'!$C$17,TEXT(Summary!$C$12-5,"0")),"")))</f>
        <v/>
      </c>
      <c r="N93" s="55">
        <f>IF($C93="","",IF(Summary!$C$16="N","",IFERROR(BDP($C93,'Field Check'!$C$16,'Field Check'!$C$17,TEXT(Summary!$C$12-4,"0")),"")))</f>
        <v/>
      </c>
      <c r="O93" s="55">
        <f>IF($C93="","",IF(Summary!$C$16="N","",IFERROR(BDP($C93,'Field Check'!$C$16,'Field Check'!$C$17,TEXT(Summary!$C$12-3,"0")),"")))</f>
        <v/>
      </c>
      <c r="P93" s="55">
        <f>IF($C93="","",IF(Summary!$C$16="N","",IFERROR(BDP($C93,'Field Check'!$C$16,'Field Check'!$C$17,TEXT(Summary!$C$12-2,"0")),"")))</f>
        <v/>
      </c>
      <c r="Q93" s="55">
        <f>IF($C93="","",IF(Summary!$C$16="N","",IFERROR(BDP($C93,'Field Check'!$C$16,'Field Check'!$C$17,TEXT(Summary!$C$12-1,"0")),"")))</f>
        <v/>
      </c>
      <c r="R93" s="56">
        <f>IF($C93="","",IF(Summary!$C$16="N","",IFERROR(BDP($C93,'Field Check'!$C$18,'Field Check'!$C$17,TEXT(Summary!$C$12-5,"0"))/100,"")))</f>
        <v/>
      </c>
      <c r="S93" s="56">
        <f>IF($C93="","",IF(Summary!$C$16="N","",IFERROR(BDP($C93,'Field Check'!$C$18,'Field Check'!$C$17,TEXT(Summary!$C$12-4,"0"))/100,"")))</f>
        <v/>
      </c>
      <c r="T93" s="56">
        <f>IF($C93="","",IF(Summary!$C$16="N","",IFERROR(BDP($C93,'Field Check'!$C$18,'Field Check'!$C$17,TEXT(Summary!$C$12-3,"0"))/100,"")))</f>
        <v/>
      </c>
      <c r="U93" s="56">
        <f>IF($C93="","",IF(Summary!$C$16="N","",IFERROR(BDP($C93,'Field Check'!$C$18,'Field Check'!$C$17,TEXT(Summary!$C$12-2,"0"))/100,"")))</f>
        <v/>
      </c>
      <c r="V93" s="56">
        <f>IF($C93="","",IF(Summary!$C$16="N","",IFERROR(BDP($C93,'Field Check'!$C$18,'Field Check'!$C$17,TEXT(Summary!$C$12-1,"0"))/100,"")))</f>
        <v/>
      </c>
      <c r="W93" s="57">
        <f>IF($C93="","",IFERROR(AVERAGE(R93:V93),""))</f>
        <v/>
      </c>
      <c r="X93" s="58">
        <f>IF($C93="","",IF(ISNUMBER($Q93)*(N($Q93)&gt;0)=0,"",IFERROR($J93/$Q93,"")))</f>
        <v/>
      </c>
      <c r="Y93" s="59">
        <f>IF($C93="","",IF(ISNUMBER(HSI!$I$88),HSI!$I$88/100,""))</f>
        <v/>
      </c>
      <c r="Z93" s="60">
        <f>IF($C93="","",IF(Summary!$C$16="N","",IFERROR(BDP($C93,'Field Check'!$C$19)/100,"")))</f>
        <v/>
      </c>
      <c r="AA93" s="61">
        <f>IF($C93="","",IF(N($Y93)+N($Z93)=0,"",N($Y93)+N($Z93)))</f>
        <v/>
      </c>
      <c r="AB93" s="60">
        <f>IF($C93="","",IF(Summary!$C$16="N","",IFERROR(BDP($C93,'Field Check'!$C$20)/100,"")))</f>
        <v/>
      </c>
      <c r="AC93" s="45">
        <f>IF($C93="","",IF(N($Y93)=0,"",IFERROR($AB93/$Y93,"")))</f>
        <v/>
      </c>
      <c r="AD93" s="55">
        <f>IF($C93="","",IF(Summary!$C$16="N","",IFERROR(BDP($C93,'Field Check'!$C$21),"")))</f>
        <v/>
      </c>
      <c r="AE93" s="55">
        <f>IF($C93="","",IF(Summary!$C$16="N","",IFERROR(BDP($C93,'Field Check'!$C$22),"")))</f>
        <v/>
      </c>
      <c r="AF93" s="55">
        <f>IF($C93="","",IF(Summary!$C$16="N","",IFERROR(BDP($C93,'Field Check'!$C$23),"")))</f>
        <v/>
      </c>
      <c r="AG93" s="40">
        <f>IF($C93="","",TRIM(IF(ISNUMBER($W93)*(N($W93)&gt;$D$7)&gt;0,"payout high  ","")&amp;IF(ISNUMBER($AC93)*(N($AC93)&lt;$F$7)&gt;0,"FCF below dvd  ","")&amp;IF(ISNUMBER($AE93)*(N($AE93)&gt;$H$7)&gt;0,"leverage high","")))</f>
        <v/>
      </c>
      <c r="AH93" s="40">
        <f>IF($C93="","",IF(HSI!$F$88="HKD","",IF(HSI!$F$88="","","DPS in "&amp;HSI!$F$88)))</f>
        <v/>
      </c>
    </row>
    <row r="94">
      <c r="B94" s="52" t="inlineStr">
        <is>
          <t>HSI</t>
        </is>
      </c>
      <c r="C94" s="6">
        <f>IF(HSI!$C$89="","",HSI!$C$89)</f>
        <v/>
      </c>
      <c r="D94" s="6">
        <f>IF($C94="","",HSI!$D$89)</f>
        <v/>
      </c>
      <c r="E94" s="6">
        <f>IF($C94="","",HSI!$E$89)</f>
        <v/>
      </c>
      <c r="F94" s="53">
        <f>IF($C94="","",SUMIFS('Dvd Calendar'!$E$1241:$AR$1241,'Dvd Calendar'!$E$1240:$AR$1240,"&gt;="&amp;DATE(Summary!$C$12-5,1,1),'Dvd Calendar'!$E$1240:$AR$1240,"&lt;="&amp;DATE(Summary!$C$12-5,12,31)))</f>
        <v/>
      </c>
      <c r="G94" s="53">
        <f>IF($C94="","",SUMIFS('Dvd Calendar'!$E$1241:$AR$1241,'Dvd Calendar'!$E$1240:$AR$1240,"&gt;="&amp;DATE(Summary!$C$12-4,1,1),'Dvd Calendar'!$E$1240:$AR$1240,"&lt;="&amp;DATE(Summary!$C$12-4,12,31)))</f>
        <v/>
      </c>
      <c r="H94" s="53">
        <f>IF($C94="","",SUMIFS('Dvd Calendar'!$E$1241:$AR$1241,'Dvd Calendar'!$E$1240:$AR$1240,"&gt;="&amp;DATE(Summary!$C$12-3,1,1),'Dvd Calendar'!$E$1240:$AR$1240,"&lt;="&amp;DATE(Summary!$C$12-3,12,31)))</f>
        <v/>
      </c>
      <c r="I94" s="53">
        <f>IF($C94="","",SUMIFS('Dvd Calendar'!$E$1241:$AR$1241,'Dvd Calendar'!$E$1240:$AR$1240,"&gt;="&amp;DATE(Summary!$C$12-2,1,1),'Dvd Calendar'!$E$1240:$AR$1240,"&lt;="&amp;DATE(Summary!$C$12-2,12,31)))</f>
        <v/>
      </c>
      <c r="J94" s="53">
        <f>IF($C94="","",SUMIFS('Dvd Calendar'!$E$1241:$AR$1241,'Dvd Calendar'!$E$1240:$AR$1240,"&gt;="&amp;DATE(Summary!$C$12-1,1,1),'Dvd Calendar'!$E$1240:$AR$1240,"&lt;="&amp;DATE(Summary!$C$12-1,12,31)))</f>
        <v/>
      </c>
      <c r="K94" s="54">
        <f>IF($C94="","",SUMIFS('Dvd Calendar'!$E$1241:$AR$1241,'Dvd Calendar'!$E$1240:$AR$1240,"&gt;="&amp;DATE(Summary!$C$12,1,1),'Dvd Calendar'!$E$1240:$AR$1240,"&lt;="&amp;MIN(Summary!$C$11,DATE(Summary!$C$12,12,31))))</f>
        <v/>
      </c>
      <c r="L94" s="38">
        <f>IF($C94="","",AVERAGE(F94:J94))</f>
        <v/>
      </c>
      <c r="M94" s="55">
        <f>IF($C94="","",IF(Summary!$C$16="N","",IFERROR(BDP($C94,'Field Check'!$C$16,'Field Check'!$C$17,TEXT(Summary!$C$12-5,"0")),"")))</f>
        <v/>
      </c>
      <c r="N94" s="55">
        <f>IF($C94="","",IF(Summary!$C$16="N","",IFERROR(BDP($C94,'Field Check'!$C$16,'Field Check'!$C$17,TEXT(Summary!$C$12-4,"0")),"")))</f>
        <v/>
      </c>
      <c r="O94" s="55">
        <f>IF($C94="","",IF(Summary!$C$16="N","",IFERROR(BDP($C94,'Field Check'!$C$16,'Field Check'!$C$17,TEXT(Summary!$C$12-3,"0")),"")))</f>
        <v/>
      </c>
      <c r="P94" s="55">
        <f>IF($C94="","",IF(Summary!$C$16="N","",IFERROR(BDP($C94,'Field Check'!$C$16,'Field Check'!$C$17,TEXT(Summary!$C$12-2,"0")),"")))</f>
        <v/>
      </c>
      <c r="Q94" s="55">
        <f>IF($C94="","",IF(Summary!$C$16="N","",IFERROR(BDP($C94,'Field Check'!$C$16,'Field Check'!$C$17,TEXT(Summary!$C$12-1,"0")),"")))</f>
        <v/>
      </c>
      <c r="R94" s="56">
        <f>IF($C94="","",IF(Summary!$C$16="N","",IFERROR(BDP($C94,'Field Check'!$C$18,'Field Check'!$C$17,TEXT(Summary!$C$12-5,"0"))/100,"")))</f>
        <v/>
      </c>
      <c r="S94" s="56">
        <f>IF($C94="","",IF(Summary!$C$16="N","",IFERROR(BDP($C94,'Field Check'!$C$18,'Field Check'!$C$17,TEXT(Summary!$C$12-4,"0"))/100,"")))</f>
        <v/>
      </c>
      <c r="T94" s="56">
        <f>IF($C94="","",IF(Summary!$C$16="N","",IFERROR(BDP($C94,'Field Check'!$C$18,'Field Check'!$C$17,TEXT(Summary!$C$12-3,"0"))/100,"")))</f>
        <v/>
      </c>
      <c r="U94" s="56">
        <f>IF($C94="","",IF(Summary!$C$16="N","",IFERROR(BDP($C94,'Field Check'!$C$18,'Field Check'!$C$17,TEXT(Summary!$C$12-2,"0"))/100,"")))</f>
        <v/>
      </c>
      <c r="V94" s="56">
        <f>IF($C94="","",IF(Summary!$C$16="N","",IFERROR(BDP($C94,'Field Check'!$C$18,'Field Check'!$C$17,TEXT(Summary!$C$12-1,"0"))/100,"")))</f>
        <v/>
      </c>
      <c r="W94" s="57">
        <f>IF($C94="","",IFERROR(AVERAGE(R94:V94),""))</f>
        <v/>
      </c>
      <c r="X94" s="58">
        <f>IF($C94="","",IF(ISNUMBER($Q94)*(N($Q94)&gt;0)=0,"",IFERROR($J94/$Q94,"")))</f>
        <v/>
      </c>
      <c r="Y94" s="59">
        <f>IF($C94="","",IF(ISNUMBER(HSI!$I$89),HSI!$I$89/100,""))</f>
        <v/>
      </c>
      <c r="Z94" s="60">
        <f>IF($C94="","",IF(Summary!$C$16="N","",IFERROR(BDP($C94,'Field Check'!$C$19)/100,"")))</f>
        <v/>
      </c>
      <c r="AA94" s="61">
        <f>IF($C94="","",IF(N($Y94)+N($Z94)=0,"",N($Y94)+N($Z94)))</f>
        <v/>
      </c>
      <c r="AB94" s="60">
        <f>IF($C94="","",IF(Summary!$C$16="N","",IFERROR(BDP($C94,'Field Check'!$C$20)/100,"")))</f>
        <v/>
      </c>
      <c r="AC94" s="45">
        <f>IF($C94="","",IF(N($Y94)=0,"",IFERROR($AB94/$Y94,"")))</f>
        <v/>
      </c>
      <c r="AD94" s="55">
        <f>IF($C94="","",IF(Summary!$C$16="N","",IFERROR(BDP($C94,'Field Check'!$C$21),"")))</f>
        <v/>
      </c>
      <c r="AE94" s="55">
        <f>IF($C94="","",IF(Summary!$C$16="N","",IFERROR(BDP($C94,'Field Check'!$C$22),"")))</f>
        <v/>
      </c>
      <c r="AF94" s="55">
        <f>IF($C94="","",IF(Summary!$C$16="N","",IFERROR(BDP($C94,'Field Check'!$C$23),"")))</f>
        <v/>
      </c>
      <c r="AG94" s="40">
        <f>IF($C94="","",TRIM(IF(ISNUMBER($W94)*(N($W94)&gt;$D$7)&gt;0,"payout high  ","")&amp;IF(ISNUMBER($AC94)*(N($AC94)&lt;$F$7)&gt;0,"FCF below dvd  ","")&amp;IF(ISNUMBER($AE94)*(N($AE94)&gt;$H$7)&gt;0,"leverage high","")))</f>
        <v/>
      </c>
      <c r="AH94" s="40">
        <f>IF($C94="","",IF(HSI!$F$89="HKD","",IF(HSI!$F$89="","","DPS in "&amp;HSI!$F$89)))</f>
        <v/>
      </c>
    </row>
    <row r="95">
      <c r="B95" s="52" t="inlineStr">
        <is>
          <t>HSI</t>
        </is>
      </c>
      <c r="C95" s="6">
        <f>IF(HSI!$C$90="","",HSI!$C$90)</f>
        <v/>
      </c>
      <c r="D95" s="6">
        <f>IF($C95="","",HSI!$D$90)</f>
        <v/>
      </c>
      <c r="E95" s="6">
        <f>IF($C95="","",HSI!$E$90)</f>
        <v/>
      </c>
      <c r="F95" s="53">
        <f>IF($C95="","",SUMIFS('Dvd Calendar'!$E$1256:$AR$1256,'Dvd Calendar'!$E$1255:$AR$1255,"&gt;="&amp;DATE(Summary!$C$12-5,1,1),'Dvd Calendar'!$E$1255:$AR$1255,"&lt;="&amp;DATE(Summary!$C$12-5,12,31)))</f>
        <v/>
      </c>
      <c r="G95" s="53">
        <f>IF($C95="","",SUMIFS('Dvd Calendar'!$E$1256:$AR$1256,'Dvd Calendar'!$E$1255:$AR$1255,"&gt;="&amp;DATE(Summary!$C$12-4,1,1),'Dvd Calendar'!$E$1255:$AR$1255,"&lt;="&amp;DATE(Summary!$C$12-4,12,31)))</f>
        <v/>
      </c>
      <c r="H95" s="53">
        <f>IF($C95="","",SUMIFS('Dvd Calendar'!$E$1256:$AR$1256,'Dvd Calendar'!$E$1255:$AR$1255,"&gt;="&amp;DATE(Summary!$C$12-3,1,1),'Dvd Calendar'!$E$1255:$AR$1255,"&lt;="&amp;DATE(Summary!$C$12-3,12,31)))</f>
        <v/>
      </c>
      <c r="I95" s="53">
        <f>IF($C95="","",SUMIFS('Dvd Calendar'!$E$1256:$AR$1256,'Dvd Calendar'!$E$1255:$AR$1255,"&gt;="&amp;DATE(Summary!$C$12-2,1,1),'Dvd Calendar'!$E$1255:$AR$1255,"&lt;="&amp;DATE(Summary!$C$12-2,12,31)))</f>
        <v/>
      </c>
      <c r="J95" s="53">
        <f>IF($C95="","",SUMIFS('Dvd Calendar'!$E$1256:$AR$1256,'Dvd Calendar'!$E$1255:$AR$1255,"&gt;="&amp;DATE(Summary!$C$12-1,1,1),'Dvd Calendar'!$E$1255:$AR$1255,"&lt;="&amp;DATE(Summary!$C$12-1,12,31)))</f>
        <v/>
      </c>
      <c r="K95" s="54">
        <f>IF($C95="","",SUMIFS('Dvd Calendar'!$E$1256:$AR$1256,'Dvd Calendar'!$E$1255:$AR$1255,"&gt;="&amp;DATE(Summary!$C$12,1,1),'Dvd Calendar'!$E$1255:$AR$1255,"&lt;="&amp;MIN(Summary!$C$11,DATE(Summary!$C$12,12,31))))</f>
        <v/>
      </c>
      <c r="L95" s="38">
        <f>IF($C95="","",AVERAGE(F95:J95))</f>
        <v/>
      </c>
      <c r="M95" s="55">
        <f>IF($C95="","",IF(Summary!$C$16="N","",IFERROR(BDP($C95,'Field Check'!$C$16,'Field Check'!$C$17,TEXT(Summary!$C$12-5,"0")),"")))</f>
        <v/>
      </c>
      <c r="N95" s="55">
        <f>IF($C95="","",IF(Summary!$C$16="N","",IFERROR(BDP($C95,'Field Check'!$C$16,'Field Check'!$C$17,TEXT(Summary!$C$12-4,"0")),"")))</f>
        <v/>
      </c>
      <c r="O95" s="55">
        <f>IF($C95="","",IF(Summary!$C$16="N","",IFERROR(BDP($C95,'Field Check'!$C$16,'Field Check'!$C$17,TEXT(Summary!$C$12-3,"0")),"")))</f>
        <v/>
      </c>
      <c r="P95" s="55">
        <f>IF($C95="","",IF(Summary!$C$16="N","",IFERROR(BDP($C95,'Field Check'!$C$16,'Field Check'!$C$17,TEXT(Summary!$C$12-2,"0")),"")))</f>
        <v/>
      </c>
      <c r="Q95" s="55">
        <f>IF($C95="","",IF(Summary!$C$16="N","",IFERROR(BDP($C95,'Field Check'!$C$16,'Field Check'!$C$17,TEXT(Summary!$C$12-1,"0")),"")))</f>
        <v/>
      </c>
      <c r="R95" s="56">
        <f>IF($C95="","",IF(Summary!$C$16="N","",IFERROR(BDP($C95,'Field Check'!$C$18,'Field Check'!$C$17,TEXT(Summary!$C$12-5,"0"))/100,"")))</f>
        <v/>
      </c>
      <c r="S95" s="56">
        <f>IF($C95="","",IF(Summary!$C$16="N","",IFERROR(BDP($C95,'Field Check'!$C$18,'Field Check'!$C$17,TEXT(Summary!$C$12-4,"0"))/100,"")))</f>
        <v/>
      </c>
      <c r="T95" s="56">
        <f>IF($C95="","",IF(Summary!$C$16="N","",IFERROR(BDP($C95,'Field Check'!$C$18,'Field Check'!$C$17,TEXT(Summary!$C$12-3,"0"))/100,"")))</f>
        <v/>
      </c>
      <c r="U95" s="56">
        <f>IF($C95="","",IF(Summary!$C$16="N","",IFERROR(BDP($C95,'Field Check'!$C$18,'Field Check'!$C$17,TEXT(Summary!$C$12-2,"0"))/100,"")))</f>
        <v/>
      </c>
      <c r="V95" s="56">
        <f>IF($C95="","",IF(Summary!$C$16="N","",IFERROR(BDP($C95,'Field Check'!$C$18,'Field Check'!$C$17,TEXT(Summary!$C$12-1,"0"))/100,"")))</f>
        <v/>
      </c>
      <c r="W95" s="57">
        <f>IF($C95="","",IFERROR(AVERAGE(R95:V95),""))</f>
        <v/>
      </c>
      <c r="X95" s="58">
        <f>IF($C95="","",IF(ISNUMBER($Q95)*(N($Q95)&gt;0)=0,"",IFERROR($J95/$Q95,"")))</f>
        <v/>
      </c>
      <c r="Y95" s="59">
        <f>IF($C95="","",IF(ISNUMBER(HSI!$I$90),HSI!$I$90/100,""))</f>
        <v/>
      </c>
      <c r="Z95" s="60">
        <f>IF($C95="","",IF(Summary!$C$16="N","",IFERROR(BDP($C95,'Field Check'!$C$19)/100,"")))</f>
        <v/>
      </c>
      <c r="AA95" s="61">
        <f>IF($C95="","",IF(N($Y95)+N($Z95)=0,"",N($Y95)+N($Z95)))</f>
        <v/>
      </c>
      <c r="AB95" s="60">
        <f>IF($C95="","",IF(Summary!$C$16="N","",IFERROR(BDP($C95,'Field Check'!$C$20)/100,"")))</f>
        <v/>
      </c>
      <c r="AC95" s="45">
        <f>IF($C95="","",IF(N($Y95)=0,"",IFERROR($AB95/$Y95,"")))</f>
        <v/>
      </c>
      <c r="AD95" s="55">
        <f>IF($C95="","",IF(Summary!$C$16="N","",IFERROR(BDP($C95,'Field Check'!$C$21),"")))</f>
        <v/>
      </c>
      <c r="AE95" s="55">
        <f>IF($C95="","",IF(Summary!$C$16="N","",IFERROR(BDP($C95,'Field Check'!$C$22),"")))</f>
        <v/>
      </c>
      <c r="AF95" s="55">
        <f>IF($C95="","",IF(Summary!$C$16="N","",IFERROR(BDP($C95,'Field Check'!$C$23),"")))</f>
        <v/>
      </c>
      <c r="AG95" s="40">
        <f>IF($C95="","",TRIM(IF(ISNUMBER($W95)*(N($W95)&gt;$D$7)&gt;0,"payout high  ","")&amp;IF(ISNUMBER($AC95)*(N($AC95)&lt;$F$7)&gt;0,"FCF below dvd  ","")&amp;IF(ISNUMBER($AE95)*(N($AE95)&gt;$H$7)&gt;0,"leverage high","")))</f>
        <v/>
      </c>
      <c r="AH95" s="40">
        <f>IF($C95="","",IF(HSI!$F$90="HKD","",IF(HSI!$F$90="","","DPS in "&amp;HSI!$F$90)))</f>
        <v/>
      </c>
    </row>
    <row r="96">
      <c r="B96" s="52" t="inlineStr">
        <is>
          <t>HSI</t>
        </is>
      </c>
      <c r="C96" s="6">
        <f>IF(HSI!$C$91="","",HSI!$C$91)</f>
        <v/>
      </c>
      <c r="D96" s="6">
        <f>IF($C96="","",HSI!$D$91)</f>
        <v/>
      </c>
      <c r="E96" s="6">
        <f>IF($C96="","",HSI!$E$91)</f>
        <v/>
      </c>
      <c r="F96" s="53">
        <f>IF($C96="","",SUMIFS('Dvd Calendar'!$E$1271:$AR$1271,'Dvd Calendar'!$E$1270:$AR$1270,"&gt;="&amp;DATE(Summary!$C$12-5,1,1),'Dvd Calendar'!$E$1270:$AR$1270,"&lt;="&amp;DATE(Summary!$C$12-5,12,31)))</f>
        <v/>
      </c>
      <c r="G96" s="53">
        <f>IF($C96="","",SUMIFS('Dvd Calendar'!$E$1271:$AR$1271,'Dvd Calendar'!$E$1270:$AR$1270,"&gt;="&amp;DATE(Summary!$C$12-4,1,1),'Dvd Calendar'!$E$1270:$AR$1270,"&lt;="&amp;DATE(Summary!$C$12-4,12,31)))</f>
        <v/>
      </c>
      <c r="H96" s="53">
        <f>IF($C96="","",SUMIFS('Dvd Calendar'!$E$1271:$AR$1271,'Dvd Calendar'!$E$1270:$AR$1270,"&gt;="&amp;DATE(Summary!$C$12-3,1,1),'Dvd Calendar'!$E$1270:$AR$1270,"&lt;="&amp;DATE(Summary!$C$12-3,12,31)))</f>
        <v/>
      </c>
      <c r="I96" s="53">
        <f>IF($C96="","",SUMIFS('Dvd Calendar'!$E$1271:$AR$1271,'Dvd Calendar'!$E$1270:$AR$1270,"&gt;="&amp;DATE(Summary!$C$12-2,1,1),'Dvd Calendar'!$E$1270:$AR$1270,"&lt;="&amp;DATE(Summary!$C$12-2,12,31)))</f>
        <v/>
      </c>
      <c r="J96" s="53">
        <f>IF($C96="","",SUMIFS('Dvd Calendar'!$E$1271:$AR$1271,'Dvd Calendar'!$E$1270:$AR$1270,"&gt;="&amp;DATE(Summary!$C$12-1,1,1),'Dvd Calendar'!$E$1270:$AR$1270,"&lt;="&amp;DATE(Summary!$C$12-1,12,31)))</f>
        <v/>
      </c>
      <c r="K96" s="54">
        <f>IF($C96="","",SUMIFS('Dvd Calendar'!$E$1271:$AR$1271,'Dvd Calendar'!$E$1270:$AR$1270,"&gt;="&amp;DATE(Summary!$C$12,1,1),'Dvd Calendar'!$E$1270:$AR$1270,"&lt;="&amp;MIN(Summary!$C$11,DATE(Summary!$C$12,12,31))))</f>
        <v/>
      </c>
      <c r="L96" s="38">
        <f>IF($C96="","",AVERAGE(F96:J96))</f>
        <v/>
      </c>
      <c r="M96" s="55">
        <f>IF($C96="","",IF(Summary!$C$16="N","",IFERROR(BDP($C96,'Field Check'!$C$16,'Field Check'!$C$17,TEXT(Summary!$C$12-5,"0")),"")))</f>
        <v/>
      </c>
      <c r="N96" s="55">
        <f>IF($C96="","",IF(Summary!$C$16="N","",IFERROR(BDP($C96,'Field Check'!$C$16,'Field Check'!$C$17,TEXT(Summary!$C$12-4,"0")),"")))</f>
        <v/>
      </c>
      <c r="O96" s="55">
        <f>IF($C96="","",IF(Summary!$C$16="N","",IFERROR(BDP($C96,'Field Check'!$C$16,'Field Check'!$C$17,TEXT(Summary!$C$12-3,"0")),"")))</f>
        <v/>
      </c>
      <c r="P96" s="55">
        <f>IF($C96="","",IF(Summary!$C$16="N","",IFERROR(BDP($C96,'Field Check'!$C$16,'Field Check'!$C$17,TEXT(Summary!$C$12-2,"0")),"")))</f>
        <v/>
      </c>
      <c r="Q96" s="55">
        <f>IF($C96="","",IF(Summary!$C$16="N","",IFERROR(BDP($C96,'Field Check'!$C$16,'Field Check'!$C$17,TEXT(Summary!$C$12-1,"0")),"")))</f>
        <v/>
      </c>
      <c r="R96" s="56">
        <f>IF($C96="","",IF(Summary!$C$16="N","",IFERROR(BDP($C96,'Field Check'!$C$18,'Field Check'!$C$17,TEXT(Summary!$C$12-5,"0"))/100,"")))</f>
        <v/>
      </c>
      <c r="S96" s="56">
        <f>IF($C96="","",IF(Summary!$C$16="N","",IFERROR(BDP($C96,'Field Check'!$C$18,'Field Check'!$C$17,TEXT(Summary!$C$12-4,"0"))/100,"")))</f>
        <v/>
      </c>
      <c r="T96" s="56">
        <f>IF($C96="","",IF(Summary!$C$16="N","",IFERROR(BDP($C96,'Field Check'!$C$18,'Field Check'!$C$17,TEXT(Summary!$C$12-3,"0"))/100,"")))</f>
        <v/>
      </c>
      <c r="U96" s="56">
        <f>IF($C96="","",IF(Summary!$C$16="N","",IFERROR(BDP($C96,'Field Check'!$C$18,'Field Check'!$C$17,TEXT(Summary!$C$12-2,"0"))/100,"")))</f>
        <v/>
      </c>
      <c r="V96" s="56">
        <f>IF($C96="","",IF(Summary!$C$16="N","",IFERROR(BDP($C96,'Field Check'!$C$18,'Field Check'!$C$17,TEXT(Summary!$C$12-1,"0"))/100,"")))</f>
        <v/>
      </c>
      <c r="W96" s="57">
        <f>IF($C96="","",IFERROR(AVERAGE(R96:V96),""))</f>
        <v/>
      </c>
      <c r="X96" s="58">
        <f>IF($C96="","",IF(ISNUMBER($Q96)*(N($Q96)&gt;0)=0,"",IFERROR($J96/$Q96,"")))</f>
        <v/>
      </c>
      <c r="Y96" s="59">
        <f>IF($C96="","",IF(ISNUMBER(HSI!$I$91),HSI!$I$91/100,""))</f>
        <v/>
      </c>
      <c r="Z96" s="60">
        <f>IF($C96="","",IF(Summary!$C$16="N","",IFERROR(BDP($C96,'Field Check'!$C$19)/100,"")))</f>
        <v/>
      </c>
      <c r="AA96" s="61">
        <f>IF($C96="","",IF(N($Y96)+N($Z96)=0,"",N($Y96)+N($Z96)))</f>
        <v/>
      </c>
      <c r="AB96" s="60">
        <f>IF($C96="","",IF(Summary!$C$16="N","",IFERROR(BDP($C96,'Field Check'!$C$20)/100,"")))</f>
        <v/>
      </c>
      <c r="AC96" s="45">
        <f>IF($C96="","",IF(N($Y96)=0,"",IFERROR($AB96/$Y96,"")))</f>
        <v/>
      </c>
      <c r="AD96" s="55">
        <f>IF($C96="","",IF(Summary!$C$16="N","",IFERROR(BDP($C96,'Field Check'!$C$21),"")))</f>
        <v/>
      </c>
      <c r="AE96" s="55">
        <f>IF($C96="","",IF(Summary!$C$16="N","",IFERROR(BDP($C96,'Field Check'!$C$22),"")))</f>
        <v/>
      </c>
      <c r="AF96" s="55">
        <f>IF($C96="","",IF(Summary!$C$16="N","",IFERROR(BDP($C96,'Field Check'!$C$23),"")))</f>
        <v/>
      </c>
      <c r="AG96" s="40">
        <f>IF($C96="","",TRIM(IF(ISNUMBER($W96)*(N($W96)&gt;$D$7)&gt;0,"payout high  ","")&amp;IF(ISNUMBER($AC96)*(N($AC96)&lt;$F$7)&gt;0,"FCF below dvd  ","")&amp;IF(ISNUMBER($AE96)*(N($AE96)&gt;$H$7)&gt;0,"leverage high","")))</f>
        <v/>
      </c>
      <c r="AH96" s="40">
        <f>IF($C96="","",IF(HSI!$F$91="HKD","",IF(HSI!$F$91="","","DPS in "&amp;HSI!$F$91)))</f>
        <v/>
      </c>
    </row>
    <row r="97">
      <c r="B97" s="52" t="inlineStr">
        <is>
          <t>HSI</t>
        </is>
      </c>
      <c r="C97" s="6">
        <f>IF(HSI!$C$92="","",HSI!$C$92)</f>
        <v/>
      </c>
      <c r="D97" s="6">
        <f>IF($C97="","",HSI!$D$92)</f>
        <v/>
      </c>
      <c r="E97" s="6">
        <f>IF($C97="","",HSI!$E$92)</f>
        <v/>
      </c>
      <c r="F97" s="53">
        <f>IF($C97="","",SUMIFS('Dvd Calendar'!$E$1286:$AR$1286,'Dvd Calendar'!$E$1285:$AR$1285,"&gt;="&amp;DATE(Summary!$C$12-5,1,1),'Dvd Calendar'!$E$1285:$AR$1285,"&lt;="&amp;DATE(Summary!$C$12-5,12,31)))</f>
        <v/>
      </c>
      <c r="G97" s="53">
        <f>IF($C97="","",SUMIFS('Dvd Calendar'!$E$1286:$AR$1286,'Dvd Calendar'!$E$1285:$AR$1285,"&gt;="&amp;DATE(Summary!$C$12-4,1,1),'Dvd Calendar'!$E$1285:$AR$1285,"&lt;="&amp;DATE(Summary!$C$12-4,12,31)))</f>
        <v/>
      </c>
      <c r="H97" s="53">
        <f>IF($C97="","",SUMIFS('Dvd Calendar'!$E$1286:$AR$1286,'Dvd Calendar'!$E$1285:$AR$1285,"&gt;="&amp;DATE(Summary!$C$12-3,1,1),'Dvd Calendar'!$E$1285:$AR$1285,"&lt;="&amp;DATE(Summary!$C$12-3,12,31)))</f>
        <v/>
      </c>
      <c r="I97" s="53">
        <f>IF($C97="","",SUMIFS('Dvd Calendar'!$E$1286:$AR$1286,'Dvd Calendar'!$E$1285:$AR$1285,"&gt;="&amp;DATE(Summary!$C$12-2,1,1),'Dvd Calendar'!$E$1285:$AR$1285,"&lt;="&amp;DATE(Summary!$C$12-2,12,31)))</f>
        <v/>
      </c>
      <c r="J97" s="53">
        <f>IF($C97="","",SUMIFS('Dvd Calendar'!$E$1286:$AR$1286,'Dvd Calendar'!$E$1285:$AR$1285,"&gt;="&amp;DATE(Summary!$C$12-1,1,1),'Dvd Calendar'!$E$1285:$AR$1285,"&lt;="&amp;DATE(Summary!$C$12-1,12,31)))</f>
        <v/>
      </c>
      <c r="K97" s="54">
        <f>IF($C97="","",SUMIFS('Dvd Calendar'!$E$1286:$AR$1286,'Dvd Calendar'!$E$1285:$AR$1285,"&gt;="&amp;DATE(Summary!$C$12,1,1),'Dvd Calendar'!$E$1285:$AR$1285,"&lt;="&amp;MIN(Summary!$C$11,DATE(Summary!$C$12,12,31))))</f>
        <v/>
      </c>
      <c r="L97" s="38">
        <f>IF($C97="","",AVERAGE(F97:J97))</f>
        <v/>
      </c>
      <c r="M97" s="55">
        <f>IF($C97="","",IF(Summary!$C$16="N","",IFERROR(BDP($C97,'Field Check'!$C$16,'Field Check'!$C$17,TEXT(Summary!$C$12-5,"0")),"")))</f>
        <v/>
      </c>
      <c r="N97" s="55">
        <f>IF($C97="","",IF(Summary!$C$16="N","",IFERROR(BDP($C97,'Field Check'!$C$16,'Field Check'!$C$17,TEXT(Summary!$C$12-4,"0")),"")))</f>
        <v/>
      </c>
      <c r="O97" s="55">
        <f>IF($C97="","",IF(Summary!$C$16="N","",IFERROR(BDP($C97,'Field Check'!$C$16,'Field Check'!$C$17,TEXT(Summary!$C$12-3,"0")),"")))</f>
        <v/>
      </c>
      <c r="P97" s="55">
        <f>IF($C97="","",IF(Summary!$C$16="N","",IFERROR(BDP($C97,'Field Check'!$C$16,'Field Check'!$C$17,TEXT(Summary!$C$12-2,"0")),"")))</f>
        <v/>
      </c>
      <c r="Q97" s="55">
        <f>IF($C97="","",IF(Summary!$C$16="N","",IFERROR(BDP($C97,'Field Check'!$C$16,'Field Check'!$C$17,TEXT(Summary!$C$12-1,"0")),"")))</f>
        <v/>
      </c>
      <c r="R97" s="56">
        <f>IF($C97="","",IF(Summary!$C$16="N","",IFERROR(BDP($C97,'Field Check'!$C$18,'Field Check'!$C$17,TEXT(Summary!$C$12-5,"0"))/100,"")))</f>
        <v/>
      </c>
      <c r="S97" s="56">
        <f>IF($C97="","",IF(Summary!$C$16="N","",IFERROR(BDP($C97,'Field Check'!$C$18,'Field Check'!$C$17,TEXT(Summary!$C$12-4,"0"))/100,"")))</f>
        <v/>
      </c>
      <c r="T97" s="56">
        <f>IF($C97="","",IF(Summary!$C$16="N","",IFERROR(BDP($C97,'Field Check'!$C$18,'Field Check'!$C$17,TEXT(Summary!$C$12-3,"0"))/100,"")))</f>
        <v/>
      </c>
      <c r="U97" s="56">
        <f>IF($C97="","",IF(Summary!$C$16="N","",IFERROR(BDP($C97,'Field Check'!$C$18,'Field Check'!$C$17,TEXT(Summary!$C$12-2,"0"))/100,"")))</f>
        <v/>
      </c>
      <c r="V97" s="56">
        <f>IF($C97="","",IF(Summary!$C$16="N","",IFERROR(BDP($C97,'Field Check'!$C$18,'Field Check'!$C$17,TEXT(Summary!$C$12-1,"0"))/100,"")))</f>
        <v/>
      </c>
      <c r="W97" s="57">
        <f>IF($C97="","",IFERROR(AVERAGE(R97:V97),""))</f>
        <v/>
      </c>
      <c r="X97" s="58">
        <f>IF($C97="","",IF(ISNUMBER($Q97)*(N($Q97)&gt;0)=0,"",IFERROR($J97/$Q97,"")))</f>
        <v/>
      </c>
      <c r="Y97" s="59">
        <f>IF($C97="","",IF(ISNUMBER(HSI!$I$92),HSI!$I$92/100,""))</f>
        <v/>
      </c>
      <c r="Z97" s="60">
        <f>IF($C97="","",IF(Summary!$C$16="N","",IFERROR(BDP($C97,'Field Check'!$C$19)/100,"")))</f>
        <v/>
      </c>
      <c r="AA97" s="61">
        <f>IF($C97="","",IF(N($Y97)+N($Z97)=0,"",N($Y97)+N($Z97)))</f>
        <v/>
      </c>
      <c r="AB97" s="60">
        <f>IF($C97="","",IF(Summary!$C$16="N","",IFERROR(BDP($C97,'Field Check'!$C$20)/100,"")))</f>
        <v/>
      </c>
      <c r="AC97" s="45">
        <f>IF($C97="","",IF(N($Y97)=0,"",IFERROR($AB97/$Y97,"")))</f>
        <v/>
      </c>
      <c r="AD97" s="55">
        <f>IF($C97="","",IF(Summary!$C$16="N","",IFERROR(BDP($C97,'Field Check'!$C$21),"")))</f>
        <v/>
      </c>
      <c r="AE97" s="55">
        <f>IF($C97="","",IF(Summary!$C$16="N","",IFERROR(BDP($C97,'Field Check'!$C$22),"")))</f>
        <v/>
      </c>
      <c r="AF97" s="55">
        <f>IF($C97="","",IF(Summary!$C$16="N","",IFERROR(BDP($C97,'Field Check'!$C$23),"")))</f>
        <v/>
      </c>
      <c r="AG97" s="40">
        <f>IF($C97="","",TRIM(IF(ISNUMBER($W97)*(N($W97)&gt;$D$7)&gt;0,"payout high  ","")&amp;IF(ISNUMBER($AC97)*(N($AC97)&lt;$F$7)&gt;0,"FCF below dvd  ","")&amp;IF(ISNUMBER($AE97)*(N($AE97)&gt;$H$7)&gt;0,"leverage high","")))</f>
        <v/>
      </c>
      <c r="AH97" s="40">
        <f>IF($C97="","",IF(HSI!$F$92="HKD","",IF(HSI!$F$92="","","DPS in "&amp;HSI!$F$92)))</f>
        <v/>
      </c>
    </row>
    <row r="98">
      <c r="B98" s="52" t="inlineStr">
        <is>
          <t>HSI</t>
        </is>
      </c>
      <c r="C98" s="6">
        <f>IF(HSI!$C$93="","",HSI!$C$93)</f>
        <v/>
      </c>
      <c r="D98" s="6">
        <f>IF($C98="","",HSI!$D$93)</f>
        <v/>
      </c>
      <c r="E98" s="6">
        <f>IF($C98="","",HSI!$E$93)</f>
        <v/>
      </c>
      <c r="F98" s="53">
        <f>IF($C98="","",SUMIFS('Dvd Calendar'!$E$1301:$AR$1301,'Dvd Calendar'!$E$1300:$AR$1300,"&gt;="&amp;DATE(Summary!$C$12-5,1,1),'Dvd Calendar'!$E$1300:$AR$1300,"&lt;="&amp;DATE(Summary!$C$12-5,12,31)))</f>
        <v/>
      </c>
      <c r="G98" s="53">
        <f>IF($C98="","",SUMIFS('Dvd Calendar'!$E$1301:$AR$1301,'Dvd Calendar'!$E$1300:$AR$1300,"&gt;="&amp;DATE(Summary!$C$12-4,1,1),'Dvd Calendar'!$E$1300:$AR$1300,"&lt;="&amp;DATE(Summary!$C$12-4,12,31)))</f>
        <v/>
      </c>
      <c r="H98" s="53">
        <f>IF($C98="","",SUMIFS('Dvd Calendar'!$E$1301:$AR$1301,'Dvd Calendar'!$E$1300:$AR$1300,"&gt;="&amp;DATE(Summary!$C$12-3,1,1),'Dvd Calendar'!$E$1300:$AR$1300,"&lt;="&amp;DATE(Summary!$C$12-3,12,31)))</f>
        <v/>
      </c>
      <c r="I98" s="53">
        <f>IF($C98="","",SUMIFS('Dvd Calendar'!$E$1301:$AR$1301,'Dvd Calendar'!$E$1300:$AR$1300,"&gt;="&amp;DATE(Summary!$C$12-2,1,1),'Dvd Calendar'!$E$1300:$AR$1300,"&lt;="&amp;DATE(Summary!$C$12-2,12,31)))</f>
        <v/>
      </c>
      <c r="J98" s="53">
        <f>IF($C98="","",SUMIFS('Dvd Calendar'!$E$1301:$AR$1301,'Dvd Calendar'!$E$1300:$AR$1300,"&gt;="&amp;DATE(Summary!$C$12-1,1,1),'Dvd Calendar'!$E$1300:$AR$1300,"&lt;="&amp;DATE(Summary!$C$12-1,12,31)))</f>
        <v/>
      </c>
      <c r="K98" s="54">
        <f>IF($C98="","",SUMIFS('Dvd Calendar'!$E$1301:$AR$1301,'Dvd Calendar'!$E$1300:$AR$1300,"&gt;="&amp;DATE(Summary!$C$12,1,1),'Dvd Calendar'!$E$1300:$AR$1300,"&lt;="&amp;MIN(Summary!$C$11,DATE(Summary!$C$12,12,31))))</f>
        <v/>
      </c>
      <c r="L98" s="38">
        <f>IF($C98="","",AVERAGE(F98:J98))</f>
        <v/>
      </c>
      <c r="M98" s="55">
        <f>IF($C98="","",IF(Summary!$C$16="N","",IFERROR(BDP($C98,'Field Check'!$C$16,'Field Check'!$C$17,TEXT(Summary!$C$12-5,"0")),"")))</f>
        <v/>
      </c>
      <c r="N98" s="55">
        <f>IF($C98="","",IF(Summary!$C$16="N","",IFERROR(BDP($C98,'Field Check'!$C$16,'Field Check'!$C$17,TEXT(Summary!$C$12-4,"0")),"")))</f>
        <v/>
      </c>
      <c r="O98" s="55">
        <f>IF($C98="","",IF(Summary!$C$16="N","",IFERROR(BDP($C98,'Field Check'!$C$16,'Field Check'!$C$17,TEXT(Summary!$C$12-3,"0")),"")))</f>
        <v/>
      </c>
      <c r="P98" s="55">
        <f>IF($C98="","",IF(Summary!$C$16="N","",IFERROR(BDP($C98,'Field Check'!$C$16,'Field Check'!$C$17,TEXT(Summary!$C$12-2,"0")),"")))</f>
        <v/>
      </c>
      <c r="Q98" s="55">
        <f>IF($C98="","",IF(Summary!$C$16="N","",IFERROR(BDP($C98,'Field Check'!$C$16,'Field Check'!$C$17,TEXT(Summary!$C$12-1,"0")),"")))</f>
        <v/>
      </c>
      <c r="R98" s="56">
        <f>IF($C98="","",IF(Summary!$C$16="N","",IFERROR(BDP($C98,'Field Check'!$C$18,'Field Check'!$C$17,TEXT(Summary!$C$12-5,"0"))/100,"")))</f>
        <v/>
      </c>
      <c r="S98" s="56">
        <f>IF($C98="","",IF(Summary!$C$16="N","",IFERROR(BDP($C98,'Field Check'!$C$18,'Field Check'!$C$17,TEXT(Summary!$C$12-4,"0"))/100,"")))</f>
        <v/>
      </c>
      <c r="T98" s="56">
        <f>IF($C98="","",IF(Summary!$C$16="N","",IFERROR(BDP($C98,'Field Check'!$C$18,'Field Check'!$C$17,TEXT(Summary!$C$12-3,"0"))/100,"")))</f>
        <v/>
      </c>
      <c r="U98" s="56">
        <f>IF($C98="","",IF(Summary!$C$16="N","",IFERROR(BDP($C98,'Field Check'!$C$18,'Field Check'!$C$17,TEXT(Summary!$C$12-2,"0"))/100,"")))</f>
        <v/>
      </c>
      <c r="V98" s="56">
        <f>IF($C98="","",IF(Summary!$C$16="N","",IFERROR(BDP($C98,'Field Check'!$C$18,'Field Check'!$C$17,TEXT(Summary!$C$12-1,"0"))/100,"")))</f>
        <v/>
      </c>
      <c r="W98" s="57">
        <f>IF($C98="","",IFERROR(AVERAGE(R98:V98),""))</f>
        <v/>
      </c>
      <c r="X98" s="58">
        <f>IF($C98="","",IF(ISNUMBER($Q98)*(N($Q98)&gt;0)=0,"",IFERROR($J98/$Q98,"")))</f>
        <v/>
      </c>
      <c r="Y98" s="59">
        <f>IF($C98="","",IF(ISNUMBER(HSI!$I$93),HSI!$I$93/100,""))</f>
        <v/>
      </c>
      <c r="Z98" s="60">
        <f>IF($C98="","",IF(Summary!$C$16="N","",IFERROR(BDP($C98,'Field Check'!$C$19)/100,"")))</f>
        <v/>
      </c>
      <c r="AA98" s="61">
        <f>IF($C98="","",IF(N($Y98)+N($Z98)=0,"",N($Y98)+N($Z98)))</f>
        <v/>
      </c>
      <c r="AB98" s="60">
        <f>IF($C98="","",IF(Summary!$C$16="N","",IFERROR(BDP($C98,'Field Check'!$C$20)/100,"")))</f>
        <v/>
      </c>
      <c r="AC98" s="45">
        <f>IF($C98="","",IF(N($Y98)=0,"",IFERROR($AB98/$Y98,"")))</f>
        <v/>
      </c>
      <c r="AD98" s="55">
        <f>IF($C98="","",IF(Summary!$C$16="N","",IFERROR(BDP($C98,'Field Check'!$C$21),"")))</f>
        <v/>
      </c>
      <c r="AE98" s="55">
        <f>IF($C98="","",IF(Summary!$C$16="N","",IFERROR(BDP($C98,'Field Check'!$C$22),"")))</f>
        <v/>
      </c>
      <c r="AF98" s="55">
        <f>IF($C98="","",IF(Summary!$C$16="N","",IFERROR(BDP($C98,'Field Check'!$C$23),"")))</f>
        <v/>
      </c>
      <c r="AG98" s="40">
        <f>IF($C98="","",TRIM(IF(ISNUMBER($W98)*(N($W98)&gt;$D$7)&gt;0,"payout high  ","")&amp;IF(ISNUMBER($AC98)*(N($AC98)&lt;$F$7)&gt;0,"FCF below dvd  ","")&amp;IF(ISNUMBER($AE98)*(N($AE98)&gt;$H$7)&gt;0,"leverage high","")))</f>
        <v/>
      </c>
      <c r="AH98" s="40">
        <f>IF($C98="","",IF(HSI!$F$93="HKD","",IF(HSI!$F$93="","","DPS in "&amp;HSI!$F$93)))</f>
        <v/>
      </c>
    </row>
    <row r="99">
      <c r="B99" s="52" t="inlineStr">
        <is>
          <t>HSI</t>
        </is>
      </c>
      <c r="C99" s="6">
        <f>IF(HSI!$C$94="","",HSI!$C$94)</f>
        <v/>
      </c>
      <c r="D99" s="6">
        <f>IF($C99="","",HSI!$D$94)</f>
        <v/>
      </c>
      <c r="E99" s="6">
        <f>IF($C99="","",HSI!$E$94)</f>
        <v/>
      </c>
      <c r="F99" s="53">
        <f>IF($C99="","",SUMIFS('Dvd Calendar'!$E$1316:$AR$1316,'Dvd Calendar'!$E$1315:$AR$1315,"&gt;="&amp;DATE(Summary!$C$12-5,1,1),'Dvd Calendar'!$E$1315:$AR$1315,"&lt;="&amp;DATE(Summary!$C$12-5,12,31)))</f>
        <v/>
      </c>
      <c r="G99" s="53">
        <f>IF($C99="","",SUMIFS('Dvd Calendar'!$E$1316:$AR$1316,'Dvd Calendar'!$E$1315:$AR$1315,"&gt;="&amp;DATE(Summary!$C$12-4,1,1),'Dvd Calendar'!$E$1315:$AR$1315,"&lt;="&amp;DATE(Summary!$C$12-4,12,31)))</f>
        <v/>
      </c>
      <c r="H99" s="53">
        <f>IF($C99="","",SUMIFS('Dvd Calendar'!$E$1316:$AR$1316,'Dvd Calendar'!$E$1315:$AR$1315,"&gt;="&amp;DATE(Summary!$C$12-3,1,1),'Dvd Calendar'!$E$1315:$AR$1315,"&lt;="&amp;DATE(Summary!$C$12-3,12,31)))</f>
        <v/>
      </c>
      <c r="I99" s="53">
        <f>IF($C99="","",SUMIFS('Dvd Calendar'!$E$1316:$AR$1316,'Dvd Calendar'!$E$1315:$AR$1315,"&gt;="&amp;DATE(Summary!$C$12-2,1,1),'Dvd Calendar'!$E$1315:$AR$1315,"&lt;="&amp;DATE(Summary!$C$12-2,12,31)))</f>
        <v/>
      </c>
      <c r="J99" s="53">
        <f>IF($C99="","",SUMIFS('Dvd Calendar'!$E$1316:$AR$1316,'Dvd Calendar'!$E$1315:$AR$1315,"&gt;="&amp;DATE(Summary!$C$12-1,1,1),'Dvd Calendar'!$E$1315:$AR$1315,"&lt;="&amp;DATE(Summary!$C$12-1,12,31)))</f>
        <v/>
      </c>
      <c r="K99" s="54">
        <f>IF($C99="","",SUMIFS('Dvd Calendar'!$E$1316:$AR$1316,'Dvd Calendar'!$E$1315:$AR$1315,"&gt;="&amp;DATE(Summary!$C$12,1,1),'Dvd Calendar'!$E$1315:$AR$1315,"&lt;="&amp;MIN(Summary!$C$11,DATE(Summary!$C$12,12,31))))</f>
        <v/>
      </c>
      <c r="L99" s="38">
        <f>IF($C99="","",AVERAGE(F99:J99))</f>
        <v/>
      </c>
      <c r="M99" s="55">
        <f>IF($C99="","",IF(Summary!$C$16="N","",IFERROR(BDP($C99,'Field Check'!$C$16,'Field Check'!$C$17,TEXT(Summary!$C$12-5,"0")),"")))</f>
        <v/>
      </c>
      <c r="N99" s="55">
        <f>IF($C99="","",IF(Summary!$C$16="N","",IFERROR(BDP($C99,'Field Check'!$C$16,'Field Check'!$C$17,TEXT(Summary!$C$12-4,"0")),"")))</f>
        <v/>
      </c>
      <c r="O99" s="55">
        <f>IF($C99="","",IF(Summary!$C$16="N","",IFERROR(BDP($C99,'Field Check'!$C$16,'Field Check'!$C$17,TEXT(Summary!$C$12-3,"0")),"")))</f>
        <v/>
      </c>
      <c r="P99" s="55">
        <f>IF($C99="","",IF(Summary!$C$16="N","",IFERROR(BDP($C99,'Field Check'!$C$16,'Field Check'!$C$17,TEXT(Summary!$C$12-2,"0")),"")))</f>
        <v/>
      </c>
      <c r="Q99" s="55">
        <f>IF($C99="","",IF(Summary!$C$16="N","",IFERROR(BDP($C99,'Field Check'!$C$16,'Field Check'!$C$17,TEXT(Summary!$C$12-1,"0")),"")))</f>
        <v/>
      </c>
      <c r="R99" s="56">
        <f>IF($C99="","",IF(Summary!$C$16="N","",IFERROR(BDP($C99,'Field Check'!$C$18,'Field Check'!$C$17,TEXT(Summary!$C$12-5,"0"))/100,"")))</f>
        <v/>
      </c>
      <c r="S99" s="56">
        <f>IF($C99="","",IF(Summary!$C$16="N","",IFERROR(BDP($C99,'Field Check'!$C$18,'Field Check'!$C$17,TEXT(Summary!$C$12-4,"0"))/100,"")))</f>
        <v/>
      </c>
      <c r="T99" s="56">
        <f>IF($C99="","",IF(Summary!$C$16="N","",IFERROR(BDP($C99,'Field Check'!$C$18,'Field Check'!$C$17,TEXT(Summary!$C$12-3,"0"))/100,"")))</f>
        <v/>
      </c>
      <c r="U99" s="56">
        <f>IF($C99="","",IF(Summary!$C$16="N","",IFERROR(BDP($C99,'Field Check'!$C$18,'Field Check'!$C$17,TEXT(Summary!$C$12-2,"0"))/100,"")))</f>
        <v/>
      </c>
      <c r="V99" s="56">
        <f>IF($C99="","",IF(Summary!$C$16="N","",IFERROR(BDP($C99,'Field Check'!$C$18,'Field Check'!$C$17,TEXT(Summary!$C$12-1,"0"))/100,"")))</f>
        <v/>
      </c>
      <c r="W99" s="57">
        <f>IF($C99="","",IFERROR(AVERAGE(R99:V99),""))</f>
        <v/>
      </c>
      <c r="X99" s="58">
        <f>IF($C99="","",IF(ISNUMBER($Q99)*(N($Q99)&gt;0)=0,"",IFERROR($J99/$Q99,"")))</f>
        <v/>
      </c>
      <c r="Y99" s="59">
        <f>IF($C99="","",IF(ISNUMBER(HSI!$I$94),HSI!$I$94/100,""))</f>
        <v/>
      </c>
      <c r="Z99" s="60">
        <f>IF($C99="","",IF(Summary!$C$16="N","",IFERROR(BDP($C99,'Field Check'!$C$19)/100,"")))</f>
        <v/>
      </c>
      <c r="AA99" s="61">
        <f>IF($C99="","",IF(N($Y99)+N($Z99)=0,"",N($Y99)+N($Z99)))</f>
        <v/>
      </c>
      <c r="AB99" s="60">
        <f>IF($C99="","",IF(Summary!$C$16="N","",IFERROR(BDP($C99,'Field Check'!$C$20)/100,"")))</f>
        <v/>
      </c>
      <c r="AC99" s="45">
        <f>IF($C99="","",IF(N($Y99)=0,"",IFERROR($AB99/$Y99,"")))</f>
        <v/>
      </c>
      <c r="AD99" s="55">
        <f>IF($C99="","",IF(Summary!$C$16="N","",IFERROR(BDP($C99,'Field Check'!$C$21),"")))</f>
        <v/>
      </c>
      <c r="AE99" s="55">
        <f>IF($C99="","",IF(Summary!$C$16="N","",IFERROR(BDP($C99,'Field Check'!$C$22),"")))</f>
        <v/>
      </c>
      <c r="AF99" s="55">
        <f>IF($C99="","",IF(Summary!$C$16="N","",IFERROR(BDP($C99,'Field Check'!$C$23),"")))</f>
        <v/>
      </c>
      <c r="AG99" s="40">
        <f>IF($C99="","",TRIM(IF(ISNUMBER($W99)*(N($W99)&gt;$D$7)&gt;0,"payout high  ","")&amp;IF(ISNUMBER($AC99)*(N($AC99)&lt;$F$7)&gt;0,"FCF below dvd  ","")&amp;IF(ISNUMBER($AE99)*(N($AE99)&gt;$H$7)&gt;0,"leverage high","")))</f>
        <v/>
      </c>
      <c r="AH99" s="40">
        <f>IF($C99="","",IF(HSI!$F$94="HKD","",IF(HSI!$F$94="","","DPS in "&amp;HSI!$F$94)))</f>
        <v/>
      </c>
    </row>
    <row r="100">
      <c r="B100" s="52" t="inlineStr">
        <is>
          <t>HSI</t>
        </is>
      </c>
      <c r="C100" s="6">
        <f>IF(HSI!$C$95="","",HSI!$C$95)</f>
        <v/>
      </c>
      <c r="D100" s="6">
        <f>IF($C100="","",HSI!$D$95)</f>
        <v/>
      </c>
      <c r="E100" s="6">
        <f>IF($C100="","",HSI!$E$95)</f>
        <v/>
      </c>
      <c r="F100" s="53">
        <f>IF($C100="","",SUMIFS('Dvd Calendar'!$E$1331:$AR$1331,'Dvd Calendar'!$E$1330:$AR$1330,"&gt;="&amp;DATE(Summary!$C$12-5,1,1),'Dvd Calendar'!$E$1330:$AR$1330,"&lt;="&amp;DATE(Summary!$C$12-5,12,31)))</f>
        <v/>
      </c>
      <c r="G100" s="53">
        <f>IF($C100="","",SUMIFS('Dvd Calendar'!$E$1331:$AR$1331,'Dvd Calendar'!$E$1330:$AR$1330,"&gt;="&amp;DATE(Summary!$C$12-4,1,1),'Dvd Calendar'!$E$1330:$AR$1330,"&lt;="&amp;DATE(Summary!$C$12-4,12,31)))</f>
        <v/>
      </c>
      <c r="H100" s="53">
        <f>IF($C100="","",SUMIFS('Dvd Calendar'!$E$1331:$AR$1331,'Dvd Calendar'!$E$1330:$AR$1330,"&gt;="&amp;DATE(Summary!$C$12-3,1,1),'Dvd Calendar'!$E$1330:$AR$1330,"&lt;="&amp;DATE(Summary!$C$12-3,12,31)))</f>
        <v/>
      </c>
      <c r="I100" s="53">
        <f>IF($C100="","",SUMIFS('Dvd Calendar'!$E$1331:$AR$1331,'Dvd Calendar'!$E$1330:$AR$1330,"&gt;="&amp;DATE(Summary!$C$12-2,1,1),'Dvd Calendar'!$E$1330:$AR$1330,"&lt;="&amp;DATE(Summary!$C$12-2,12,31)))</f>
        <v/>
      </c>
      <c r="J100" s="53">
        <f>IF($C100="","",SUMIFS('Dvd Calendar'!$E$1331:$AR$1331,'Dvd Calendar'!$E$1330:$AR$1330,"&gt;="&amp;DATE(Summary!$C$12-1,1,1),'Dvd Calendar'!$E$1330:$AR$1330,"&lt;="&amp;DATE(Summary!$C$12-1,12,31)))</f>
        <v/>
      </c>
      <c r="K100" s="54">
        <f>IF($C100="","",SUMIFS('Dvd Calendar'!$E$1331:$AR$1331,'Dvd Calendar'!$E$1330:$AR$1330,"&gt;="&amp;DATE(Summary!$C$12,1,1),'Dvd Calendar'!$E$1330:$AR$1330,"&lt;="&amp;MIN(Summary!$C$11,DATE(Summary!$C$12,12,31))))</f>
        <v/>
      </c>
      <c r="L100" s="38">
        <f>IF($C100="","",AVERAGE(F100:J100))</f>
        <v/>
      </c>
      <c r="M100" s="55">
        <f>IF($C100="","",IF(Summary!$C$16="N","",IFERROR(BDP($C100,'Field Check'!$C$16,'Field Check'!$C$17,TEXT(Summary!$C$12-5,"0")),"")))</f>
        <v/>
      </c>
      <c r="N100" s="55">
        <f>IF($C100="","",IF(Summary!$C$16="N","",IFERROR(BDP($C100,'Field Check'!$C$16,'Field Check'!$C$17,TEXT(Summary!$C$12-4,"0")),"")))</f>
        <v/>
      </c>
      <c r="O100" s="55">
        <f>IF($C100="","",IF(Summary!$C$16="N","",IFERROR(BDP($C100,'Field Check'!$C$16,'Field Check'!$C$17,TEXT(Summary!$C$12-3,"0")),"")))</f>
        <v/>
      </c>
      <c r="P100" s="55">
        <f>IF($C100="","",IF(Summary!$C$16="N","",IFERROR(BDP($C100,'Field Check'!$C$16,'Field Check'!$C$17,TEXT(Summary!$C$12-2,"0")),"")))</f>
        <v/>
      </c>
      <c r="Q100" s="55">
        <f>IF($C100="","",IF(Summary!$C$16="N","",IFERROR(BDP($C100,'Field Check'!$C$16,'Field Check'!$C$17,TEXT(Summary!$C$12-1,"0")),"")))</f>
        <v/>
      </c>
      <c r="R100" s="56">
        <f>IF($C100="","",IF(Summary!$C$16="N","",IFERROR(BDP($C100,'Field Check'!$C$18,'Field Check'!$C$17,TEXT(Summary!$C$12-5,"0"))/100,"")))</f>
        <v/>
      </c>
      <c r="S100" s="56">
        <f>IF($C100="","",IF(Summary!$C$16="N","",IFERROR(BDP($C100,'Field Check'!$C$18,'Field Check'!$C$17,TEXT(Summary!$C$12-4,"0"))/100,"")))</f>
        <v/>
      </c>
      <c r="T100" s="56">
        <f>IF($C100="","",IF(Summary!$C$16="N","",IFERROR(BDP($C100,'Field Check'!$C$18,'Field Check'!$C$17,TEXT(Summary!$C$12-3,"0"))/100,"")))</f>
        <v/>
      </c>
      <c r="U100" s="56">
        <f>IF($C100="","",IF(Summary!$C$16="N","",IFERROR(BDP($C100,'Field Check'!$C$18,'Field Check'!$C$17,TEXT(Summary!$C$12-2,"0"))/100,"")))</f>
        <v/>
      </c>
      <c r="V100" s="56">
        <f>IF($C100="","",IF(Summary!$C$16="N","",IFERROR(BDP($C100,'Field Check'!$C$18,'Field Check'!$C$17,TEXT(Summary!$C$12-1,"0"))/100,"")))</f>
        <v/>
      </c>
      <c r="W100" s="57">
        <f>IF($C100="","",IFERROR(AVERAGE(R100:V100),""))</f>
        <v/>
      </c>
      <c r="X100" s="58">
        <f>IF($C100="","",IF(ISNUMBER($Q100)*(N($Q100)&gt;0)=0,"",IFERROR($J100/$Q100,"")))</f>
        <v/>
      </c>
      <c r="Y100" s="59">
        <f>IF($C100="","",IF(ISNUMBER(HSI!$I$95),HSI!$I$95/100,""))</f>
        <v/>
      </c>
      <c r="Z100" s="60">
        <f>IF($C100="","",IF(Summary!$C$16="N","",IFERROR(BDP($C100,'Field Check'!$C$19)/100,"")))</f>
        <v/>
      </c>
      <c r="AA100" s="61">
        <f>IF($C100="","",IF(N($Y100)+N($Z100)=0,"",N($Y100)+N($Z100)))</f>
        <v/>
      </c>
      <c r="AB100" s="60">
        <f>IF($C100="","",IF(Summary!$C$16="N","",IFERROR(BDP($C100,'Field Check'!$C$20)/100,"")))</f>
        <v/>
      </c>
      <c r="AC100" s="45">
        <f>IF($C100="","",IF(N($Y100)=0,"",IFERROR($AB100/$Y100,"")))</f>
        <v/>
      </c>
      <c r="AD100" s="55">
        <f>IF($C100="","",IF(Summary!$C$16="N","",IFERROR(BDP($C100,'Field Check'!$C$21),"")))</f>
        <v/>
      </c>
      <c r="AE100" s="55">
        <f>IF($C100="","",IF(Summary!$C$16="N","",IFERROR(BDP($C100,'Field Check'!$C$22),"")))</f>
        <v/>
      </c>
      <c r="AF100" s="55">
        <f>IF($C100="","",IF(Summary!$C$16="N","",IFERROR(BDP($C100,'Field Check'!$C$23),"")))</f>
        <v/>
      </c>
      <c r="AG100" s="40">
        <f>IF($C100="","",TRIM(IF(ISNUMBER($W100)*(N($W100)&gt;$D$7)&gt;0,"payout high  ","")&amp;IF(ISNUMBER($AC100)*(N($AC100)&lt;$F$7)&gt;0,"FCF below dvd  ","")&amp;IF(ISNUMBER($AE100)*(N($AE100)&gt;$H$7)&gt;0,"leverage high","")))</f>
        <v/>
      </c>
      <c r="AH100" s="40">
        <f>IF($C100="","",IF(HSI!$F$95="HKD","",IF(HSI!$F$95="","","DPS in "&amp;HSI!$F$95)))</f>
        <v/>
      </c>
    </row>
    <row r="101">
      <c r="B101" s="52" t="inlineStr">
        <is>
          <t>HSI</t>
        </is>
      </c>
      <c r="C101" s="6">
        <f>IF(HSI!$C$96="","",HSI!$C$96)</f>
        <v/>
      </c>
      <c r="D101" s="6">
        <f>IF($C101="","",HSI!$D$96)</f>
        <v/>
      </c>
      <c r="E101" s="6">
        <f>IF($C101="","",HSI!$E$96)</f>
        <v/>
      </c>
      <c r="F101" s="53">
        <f>IF($C101="","",SUMIFS('Dvd Calendar'!$E$1346:$AR$1346,'Dvd Calendar'!$E$1345:$AR$1345,"&gt;="&amp;DATE(Summary!$C$12-5,1,1),'Dvd Calendar'!$E$1345:$AR$1345,"&lt;="&amp;DATE(Summary!$C$12-5,12,31)))</f>
        <v/>
      </c>
      <c r="G101" s="53">
        <f>IF($C101="","",SUMIFS('Dvd Calendar'!$E$1346:$AR$1346,'Dvd Calendar'!$E$1345:$AR$1345,"&gt;="&amp;DATE(Summary!$C$12-4,1,1),'Dvd Calendar'!$E$1345:$AR$1345,"&lt;="&amp;DATE(Summary!$C$12-4,12,31)))</f>
        <v/>
      </c>
      <c r="H101" s="53">
        <f>IF($C101="","",SUMIFS('Dvd Calendar'!$E$1346:$AR$1346,'Dvd Calendar'!$E$1345:$AR$1345,"&gt;="&amp;DATE(Summary!$C$12-3,1,1),'Dvd Calendar'!$E$1345:$AR$1345,"&lt;="&amp;DATE(Summary!$C$12-3,12,31)))</f>
        <v/>
      </c>
      <c r="I101" s="53">
        <f>IF($C101="","",SUMIFS('Dvd Calendar'!$E$1346:$AR$1346,'Dvd Calendar'!$E$1345:$AR$1345,"&gt;="&amp;DATE(Summary!$C$12-2,1,1),'Dvd Calendar'!$E$1345:$AR$1345,"&lt;="&amp;DATE(Summary!$C$12-2,12,31)))</f>
        <v/>
      </c>
      <c r="J101" s="53">
        <f>IF($C101="","",SUMIFS('Dvd Calendar'!$E$1346:$AR$1346,'Dvd Calendar'!$E$1345:$AR$1345,"&gt;="&amp;DATE(Summary!$C$12-1,1,1),'Dvd Calendar'!$E$1345:$AR$1345,"&lt;="&amp;DATE(Summary!$C$12-1,12,31)))</f>
        <v/>
      </c>
      <c r="K101" s="54">
        <f>IF($C101="","",SUMIFS('Dvd Calendar'!$E$1346:$AR$1346,'Dvd Calendar'!$E$1345:$AR$1345,"&gt;="&amp;DATE(Summary!$C$12,1,1),'Dvd Calendar'!$E$1345:$AR$1345,"&lt;="&amp;MIN(Summary!$C$11,DATE(Summary!$C$12,12,31))))</f>
        <v/>
      </c>
      <c r="L101" s="38">
        <f>IF($C101="","",AVERAGE(F101:J101))</f>
        <v/>
      </c>
      <c r="M101" s="55">
        <f>IF($C101="","",IF(Summary!$C$16="N","",IFERROR(BDP($C101,'Field Check'!$C$16,'Field Check'!$C$17,TEXT(Summary!$C$12-5,"0")),"")))</f>
        <v/>
      </c>
      <c r="N101" s="55">
        <f>IF($C101="","",IF(Summary!$C$16="N","",IFERROR(BDP($C101,'Field Check'!$C$16,'Field Check'!$C$17,TEXT(Summary!$C$12-4,"0")),"")))</f>
        <v/>
      </c>
      <c r="O101" s="55">
        <f>IF($C101="","",IF(Summary!$C$16="N","",IFERROR(BDP($C101,'Field Check'!$C$16,'Field Check'!$C$17,TEXT(Summary!$C$12-3,"0")),"")))</f>
        <v/>
      </c>
      <c r="P101" s="55">
        <f>IF($C101="","",IF(Summary!$C$16="N","",IFERROR(BDP($C101,'Field Check'!$C$16,'Field Check'!$C$17,TEXT(Summary!$C$12-2,"0")),"")))</f>
        <v/>
      </c>
      <c r="Q101" s="55">
        <f>IF($C101="","",IF(Summary!$C$16="N","",IFERROR(BDP($C101,'Field Check'!$C$16,'Field Check'!$C$17,TEXT(Summary!$C$12-1,"0")),"")))</f>
        <v/>
      </c>
      <c r="R101" s="56">
        <f>IF($C101="","",IF(Summary!$C$16="N","",IFERROR(BDP($C101,'Field Check'!$C$18,'Field Check'!$C$17,TEXT(Summary!$C$12-5,"0"))/100,"")))</f>
        <v/>
      </c>
      <c r="S101" s="56">
        <f>IF($C101="","",IF(Summary!$C$16="N","",IFERROR(BDP($C101,'Field Check'!$C$18,'Field Check'!$C$17,TEXT(Summary!$C$12-4,"0"))/100,"")))</f>
        <v/>
      </c>
      <c r="T101" s="56">
        <f>IF($C101="","",IF(Summary!$C$16="N","",IFERROR(BDP($C101,'Field Check'!$C$18,'Field Check'!$C$17,TEXT(Summary!$C$12-3,"0"))/100,"")))</f>
        <v/>
      </c>
      <c r="U101" s="56">
        <f>IF($C101="","",IF(Summary!$C$16="N","",IFERROR(BDP($C101,'Field Check'!$C$18,'Field Check'!$C$17,TEXT(Summary!$C$12-2,"0"))/100,"")))</f>
        <v/>
      </c>
      <c r="V101" s="56">
        <f>IF($C101="","",IF(Summary!$C$16="N","",IFERROR(BDP($C101,'Field Check'!$C$18,'Field Check'!$C$17,TEXT(Summary!$C$12-1,"0"))/100,"")))</f>
        <v/>
      </c>
      <c r="W101" s="57">
        <f>IF($C101="","",IFERROR(AVERAGE(R101:V101),""))</f>
        <v/>
      </c>
      <c r="X101" s="58">
        <f>IF($C101="","",IF(ISNUMBER($Q101)*(N($Q101)&gt;0)=0,"",IFERROR($J101/$Q101,"")))</f>
        <v/>
      </c>
      <c r="Y101" s="59">
        <f>IF($C101="","",IF(ISNUMBER(HSI!$I$96),HSI!$I$96/100,""))</f>
        <v/>
      </c>
      <c r="Z101" s="60">
        <f>IF($C101="","",IF(Summary!$C$16="N","",IFERROR(BDP($C101,'Field Check'!$C$19)/100,"")))</f>
        <v/>
      </c>
      <c r="AA101" s="61">
        <f>IF($C101="","",IF(N($Y101)+N($Z101)=0,"",N($Y101)+N($Z101)))</f>
        <v/>
      </c>
      <c r="AB101" s="60">
        <f>IF($C101="","",IF(Summary!$C$16="N","",IFERROR(BDP($C101,'Field Check'!$C$20)/100,"")))</f>
        <v/>
      </c>
      <c r="AC101" s="45">
        <f>IF($C101="","",IF(N($Y101)=0,"",IFERROR($AB101/$Y101,"")))</f>
        <v/>
      </c>
      <c r="AD101" s="55">
        <f>IF($C101="","",IF(Summary!$C$16="N","",IFERROR(BDP($C101,'Field Check'!$C$21),"")))</f>
        <v/>
      </c>
      <c r="AE101" s="55">
        <f>IF($C101="","",IF(Summary!$C$16="N","",IFERROR(BDP($C101,'Field Check'!$C$22),"")))</f>
        <v/>
      </c>
      <c r="AF101" s="55">
        <f>IF($C101="","",IF(Summary!$C$16="N","",IFERROR(BDP($C101,'Field Check'!$C$23),"")))</f>
        <v/>
      </c>
      <c r="AG101" s="40">
        <f>IF($C101="","",TRIM(IF(ISNUMBER($W101)*(N($W101)&gt;$D$7)&gt;0,"payout high  ","")&amp;IF(ISNUMBER($AC101)*(N($AC101)&lt;$F$7)&gt;0,"FCF below dvd  ","")&amp;IF(ISNUMBER($AE101)*(N($AE101)&gt;$H$7)&gt;0,"leverage high","")))</f>
        <v/>
      </c>
      <c r="AH101" s="40">
        <f>IF($C101="","",IF(HSI!$F$96="HKD","",IF(HSI!$F$96="","","DPS in "&amp;HSI!$F$96)))</f>
        <v/>
      </c>
    </row>
    <row r="102">
      <c r="B102" s="52" t="inlineStr">
        <is>
          <t>HSI</t>
        </is>
      </c>
      <c r="C102" s="6">
        <f>IF(HSI!$C$97="","",HSI!$C$97)</f>
        <v/>
      </c>
      <c r="D102" s="6">
        <f>IF($C102="","",HSI!$D$97)</f>
        <v/>
      </c>
      <c r="E102" s="6">
        <f>IF($C102="","",HSI!$E$97)</f>
        <v/>
      </c>
      <c r="F102" s="53">
        <f>IF($C102="","",SUMIFS('Dvd Calendar'!$E$1361:$AR$1361,'Dvd Calendar'!$E$1360:$AR$1360,"&gt;="&amp;DATE(Summary!$C$12-5,1,1),'Dvd Calendar'!$E$1360:$AR$1360,"&lt;="&amp;DATE(Summary!$C$12-5,12,31)))</f>
        <v/>
      </c>
      <c r="G102" s="53">
        <f>IF($C102="","",SUMIFS('Dvd Calendar'!$E$1361:$AR$1361,'Dvd Calendar'!$E$1360:$AR$1360,"&gt;="&amp;DATE(Summary!$C$12-4,1,1),'Dvd Calendar'!$E$1360:$AR$1360,"&lt;="&amp;DATE(Summary!$C$12-4,12,31)))</f>
        <v/>
      </c>
      <c r="H102" s="53">
        <f>IF($C102="","",SUMIFS('Dvd Calendar'!$E$1361:$AR$1361,'Dvd Calendar'!$E$1360:$AR$1360,"&gt;="&amp;DATE(Summary!$C$12-3,1,1),'Dvd Calendar'!$E$1360:$AR$1360,"&lt;="&amp;DATE(Summary!$C$12-3,12,31)))</f>
        <v/>
      </c>
      <c r="I102" s="53">
        <f>IF($C102="","",SUMIFS('Dvd Calendar'!$E$1361:$AR$1361,'Dvd Calendar'!$E$1360:$AR$1360,"&gt;="&amp;DATE(Summary!$C$12-2,1,1),'Dvd Calendar'!$E$1360:$AR$1360,"&lt;="&amp;DATE(Summary!$C$12-2,12,31)))</f>
        <v/>
      </c>
      <c r="J102" s="53">
        <f>IF($C102="","",SUMIFS('Dvd Calendar'!$E$1361:$AR$1361,'Dvd Calendar'!$E$1360:$AR$1360,"&gt;="&amp;DATE(Summary!$C$12-1,1,1),'Dvd Calendar'!$E$1360:$AR$1360,"&lt;="&amp;DATE(Summary!$C$12-1,12,31)))</f>
        <v/>
      </c>
      <c r="K102" s="54">
        <f>IF($C102="","",SUMIFS('Dvd Calendar'!$E$1361:$AR$1361,'Dvd Calendar'!$E$1360:$AR$1360,"&gt;="&amp;DATE(Summary!$C$12,1,1),'Dvd Calendar'!$E$1360:$AR$1360,"&lt;="&amp;MIN(Summary!$C$11,DATE(Summary!$C$12,12,31))))</f>
        <v/>
      </c>
      <c r="L102" s="38">
        <f>IF($C102="","",AVERAGE(F102:J102))</f>
        <v/>
      </c>
      <c r="M102" s="55">
        <f>IF($C102="","",IF(Summary!$C$16="N","",IFERROR(BDP($C102,'Field Check'!$C$16,'Field Check'!$C$17,TEXT(Summary!$C$12-5,"0")),"")))</f>
        <v/>
      </c>
      <c r="N102" s="55">
        <f>IF($C102="","",IF(Summary!$C$16="N","",IFERROR(BDP($C102,'Field Check'!$C$16,'Field Check'!$C$17,TEXT(Summary!$C$12-4,"0")),"")))</f>
        <v/>
      </c>
      <c r="O102" s="55">
        <f>IF($C102="","",IF(Summary!$C$16="N","",IFERROR(BDP($C102,'Field Check'!$C$16,'Field Check'!$C$17,TEXT(Summary!$C$12-3,"0")),"")))</f>
        <v/>
      </c>
      <c r="P102" s="55">
        <f>IF($C102="","",IF(Summary!$C$16="N","",IFERROR(BDP($C102,'Field Check'!$C$16,'Field Check'!$C$17,TEXT(Summary!$C$12-2,"0")),"")))</f>
        <v/>
      </c>
      <c r="Q102" s="55">
        <f>IF($C102="","",IF(Summary!$C$16="N","",IFERROR(BDP($C102,'Field Check'!$C$16,'Field Check'!$C$17,TEXT(Summary!$C$12-1,"0")),"")))</f>
        <v/>
      </c>
      <c r="R102" s="56">
        <f>IF($C102="","",IF(Summary!$C$16="N","",IFERROR(BDP($C102,'Field Check'!$C$18,'Field Check'!$C$17,TEXT(Summary!$C$12-5,"0"))/100,"")))</f>
        <v/>
      </c>
      <c r="S102" s="56">
        <f>IF($C102="","",IF(Summary!$C$16="N","",IFERROR(BDP($C102,'Field Check'!$C$18,'Field Check'!$C$17,TEXT(Summary!$C$12-4,"0"))/100,"")))</f>
        <v/>
      </c>
      <c r="T102" s="56">
        <f>IF($C102="","",IF(Summary!$C$16="N","",IFERROR(BDP($C102,'Field Check'!$C$18,'Field Check'!$C$17,TEXT(Summary!$C$12-3,"0"))/100,"")))</f>
        <v/>
      </c>
      <c r="U102" s="56">
        <f>IF($C102="","",IF(Summary!$C$16="N","",IFERROR(BDP($C102,'Field Check'!$C$18,'Field Check'!$C$17,TEXT(Summary!$C$12-2,"0"))/100,"")))</f>
        <v/>
      </c>
      <c r="V102" s="56">
        <f>IF($C102="","",IF(Summary!$C$16="N","",IFERROR(BDP($C102,'Field Check'!$C$18,'Field Check'!$C$17,TEXT(Summary!$C$12-1,"0"))/100,"")))</f>
        <v/>
      </c>
      <c r="W102" s="57">
        <f>IF($C102="","",IFERROR(AVERAGE(R102:V102),""))</f>
        <v/>
      </c>
      <c r="X102" s="58">
        <f>IF($C102="","",IF(ISNUMBER($Q102)*(N($Q102)&gt;0)=0,"",IFERROR($J102/$Q102,"")))</f>
        <v/>
      </c>
      <c r="Y102" s="59">
        <f>IF($C102="","",IF(ISNUMBER(HSI!$I$97),HSI!$I$97/100,""))</f>
        <v/>
      </c>
      <c r="Z102" s="60">
        <f>IF($C102="","",IF(Summary!$C$16="N","",IFERROR(BDP($C102,'Field Check'!$C$19)/100,"")))</f>
        <v/>
      </c>
      <c r="AA102" s="61">
        <f>IF($C102="","",IF(N($Y102)+N($Z102)=0,"",N($Y102)+N($Z102)))</f>
        <v/>
      </c>
      <c r="AB102" s="60">
        <f>IF($C102="","",IF(Summary!$C$16="N","",IFERROR(BDP($C102,'Field Check'!$C$20)/100,"")))</f>
        <v/>
      </c>
      <c r="AC102" s="45">
        <f>IF($C102="","",IF(N($Y102)=0,"",IFERROR($AB102/$Y102,"")))</f>
        <v/>
      </c>
      <c r="AD102" s="55">
        <f>IF($C102="","",IF(Summary!$C$16="N","",IFERROR(BDP($C102,'Field Check'!$C$21),"")))</f>
        <v/>
      </c>
      <c r="AE102" s="55">
        <f>IF($C102="","",IF(Summary!$C$16="N","",IFERROR(BDP($C102,'Field Check'!$C$22),"")))</f>
        <v/>
      </c>
      <c r="AF102" s="55">
        <f>IF($C102="","",IF(Summary!$C$16="N","",IFERROR(BDP($C102,'Field Check'!$C$23),"")))</f>
        <v/>
      </c>
      <c r="AG102" s="40">
        <f>IF($C102="","",TRIM(IF(ISNUMBER($W102)*(N($W102)&gt;$D$7)&gt;0,"payout high  ","")&amp;IF(ISNUMBER($AC102)*(N($AC102)&lt;$F$7)&gt;0,"FCF below dvd  ","")&amp;IF(ISNUMBER($AE102)*(N($AE102)&gt;$H$7)&gt;0,"leverage high","")))</f>
        <v/>
      </c>
      <c r="AH102" s="40">
        <f>IF($C102="","",IF(HSI!$F$97="HKD","",IF(HSI!$F$97="","","DPS in "&amp;HSI!$F$97)))</f>
        <v/>
      </c>
    </row>
    <row r="103">
      <c r="B103" s="52" t="inlineStr">
        <is>
          <t>HSI</t>
        </is>
      </c>
      <c r="C103" s="6">
        <f>IF(HSI!$C$98="","",HSI!$C$98)</f>
        <v/>
      </c>
      <c r="D103" s="6">
        <f>IF($C103="","",HSI!$D$98)</f>
        <v/>
      </c>
      <c r="E103" s="6">
        <f>IF($C103="","",HSI!$E$98)</f>
        <v/>
      </c>
      <c r="F103" s="53">
        <f>IF($C103="","",SUMIFS('Dvd Calendar'!$E$1376:$AR$1376,'Dvd Calendar'!$E$1375:$AR$1375,"&gt;="&amp;DATE(Summary!$C$12-5,1,1),'Dvd Calendar'!$E$1375:$AR$1375,"&lt;="&amp;DATE(Summary!$C$12-5,12,31)))</f>
        <v/>
      </c>
      <c r="G103" s="53">
        <f>IF($C103="","",SUMIFS('Dvd Calendar'!$E$1376:$AR$1376,'Dvd Calendar'!$E$1375:$AR$1375,"&gt;="&amp;DATE(Summary!$C$12-4,1,1),'Dvd Calendar'!$E$1375:$AR$1375,"&lt;="&amp;DATE(Summary!$C$12-4,12,31)))</f>
        <v/>
      </c>
      <c r="H103" s="53">
        <f>IF($C103="","",SUMIFS('Dvd Calendar'!$E$1376:$AR$1376,'Dvd Calendar'!$E$1375:$AR$1375,"&gt;="&amp;DATE(Summary!$C$12-3,1,1),'Dvd Calendar'!$E$1375:$AR$1375,"&lt;="&amp;DATE(Summary!$C$12-3,12,31)))</f>
        <v/>
      </c>
      <c r="I103" s="53">
        <f>IF($C103="","",SUMIFS('Dvd Calendar'!$E$1376:$AR$1376,'Dvd Calendar'!$E$1375:$AR$1375,"&gt;="&amp;DATE(Summary!$C$12-2,1,1),'Dvd Calendar'!$E$1375:$AR$1375,"&lt;="&amp;DATE(Summary!$C$12-2,12,31)))</f>
        <v/>
      </c>
      <c r="J103" s="53">
        <f>IF($C103="","",SUMIFS('Dvd Calendar'!$E$1376:$AR$1376,'Dvd Calendar'!$E$1375:$AR$1375,"&gt;="&amp;DATE(Summary!$C$12-1,1,1),'Dvd Calendar'!$E$1375:$AR$1375,"&lt;="&amp;DATE(Summary!$C$12-1,12,31)))</f>
        <v/>
      </c>
      <c r="K103" s="54">
        <f>IF($C103="","",SUMIFS('Dvd Calendar'!$E$1376:$AR$1376,'Dvd Calendar'!$E$1375:$AR$1375,"&gt;="&amp;DATE(Summary!$C$12,1,1),'Dvd Calendar'!$E$1375:$AR$1375,"&lt;="&amp;MIN(Summary!$C$11,DATE(Summary!$C$12,12,31))))</f>
        <v/>
      </c>
      <c r="L103" s="38">
        <f>IF($C103="","",AVERAGE(F103:J103))</f>
        <v/>
      </c>
      <c r="M103" s="55">
        <f>IF($C103="","",IF(Summary!$C$16="N","",IFERROR(BDP($C103,'Field Check'!$C$16,'Field Check'!$C$17,TEXT(Summary!$C$12-5,"0")),"")))</f>
        <v/>
      </c>
      <c r="N103" s="55">
        <f>IF($C103="","",IF(Summary!$C$16="N","",IFERROR(BDP($C103,'Field Check'!$C$16,'Field Check'!$C$17,TEXT(Summary!$C$12-4,"0")),"")))</f>
        <v/>
      </c>
      <c r="O103" s="55">
        <f>IF($C103="","",IF(Summary!$C$16="N","",IFERROR(BDP($C103,'Field Check'!$C$16,'Field Check'!$C$17,TEXT(Summary!$C$12-3,"0")),"")))</f>
        <v/>
      </c>
      <c r="P103" s="55">
        <f>IF($C103="","",IF(Summary!$C$16="N","",IFERROR(BDP($C103,'Field Check'!$C$16,'Field Check'!$C$17,TEXT(Summary!$C$12-2,"0")),"")))</f>
        <v/>
      </c>
      <c r="Q103" s="55">
        <f>IF($C103="","",IF(Summary!$C$16="N","",IFERROR(BDP($C103,'Field Check'!$C$16,'Field Check'!$C$17,TEXT(Summary!$C$12-1,"0")),"")))</f>
        <v/>
      </c>
      <c r="R103" s="56">
        <f>IF($C103="","",IF(Summary!$C$16="N","",IFERROR(BDP($C103,'Field Check'!$C$18,'Field Check'!$C$17,TEXT(Summary!$C$12-5,"0"))/100,"")))</f>
        <v/>
      </c>
      <c r="S103" s="56">
        <f>IF($C103="","",IF(Summary!$C$16="N","",IFERROR(BDP($C103,'Field Check'!$C$18,'Field Check'!$C$17,TEXT(Summary!$C$12-4,"0"))/100,"")))</f>
        <v/>
      </c>
      <c r="T103" s="56">
        <f>IF($C103="","",IF(Summary!$C$16="N","",IFERROR(BDP($C103,'Field Check'!$C$18,'Field Check'!$C$17,TEXT(Summary!$C$12-3,"0"))/100,"")))</f>
        <v/>
      </c>
      <c r="U103" s="56">
        <f>IF($C103="","",IF(Summary!$C$16="N","",IFERROR(BDP($C103,'Field Check'!$C$18,'Field Check'!$C$17,TEXT(Summary!$C$12-2,"0"))/100,"")))</f>
        <v/>
      </c>
      <c r="V103" s="56">
        <f>IF($C103="","",IF(Summary!$C$16="N","",IFERROR(BDP($C103,'Field Check'!$C$18,'Field Check'!$C$17,TEXT(Summary!$C$12-1,"0"))/100,"")))</f>
        <v/>
      </c>
      <c r="W103" s="57">
        <f>IF($C103="","",IFERROR(AVERAGE(R103:V103),""))</f>
        <v/>
      </c>
      <c r="X103" s="58">
        <f>IF($C103="","",IF(ISNUMBER($Q103)*(N($Q103)&gt;0)=0,"",IFERROR($J103/$Q103,"")))</f>
        <v/>
      </c>
      <c r="Y103" s="59">
        <f>IF($C103="","",IF(ISNUMBER(HSI!$I$98),HSI!$I$98/100,""))</f>
        <v/>
      </c>
      <c r="Z103" s="60">
        <f>IF($C103="","",IF(Summary!$C$16="N","",IFERROR(BDP($C103,'Field Check'!$C$19)/100,"")))</f>
        <v/>
      </c>
      <c r="AA103" s="61">
        <f>IF($C103="","",IF(N($Y103)+N($Z103)=0,"",N($Y103)+N($Z103)))</f>
        <v/>
      </c>
      <c r="AB103" s="60">
        <f>IF($C103="","",IF(Summary!$C$16="N","",IFERROR(BDP($C103,'Field Check'!$C$20)/100,"")))</f>
        <v/>
      </c>
      <c r="AC103" s="45">
        <f>IF($C103="","",IF(N($Y103)=0,"",IFERROR($AB103/$Y103,"")))</f>
        <v/>
      </c>
      <c r="AD103" s="55">
        <f>IF($C103="","",IF(Summary!$C$16="N","",IFERROR(BDP($C103,'Field Check'!$C$21),"")))</f>
        <v/>
      </c>
      <c r="AE103" s="55">
        <f>IF($C103="","",IF(Summary!$C$16="N","",IFERROR(BDP($C103,'Field Check'!$C$22),"")))</f>
        <v/>
      </c>
      <c r="AF103" s="55">
        <f>IF($C103="","",IF(Summary!$C$16="N","",IFERROR(BDP($C103,'Field Check'!$C$23),"")))</f>
        <v/>
      </c>
      <c r="AG103" s="40">
        <f>IF($C103="","",TRIM(IF(ISNUMBER($W103)*(N($W103)&gt;$D$7)&gt;0,"payout high  ","")&amp;IF(ISNUMBER($AC103)*(N($AC103)&lt;$F$7)&gt;0,"FCF below dvd  ","")&amp;IF(ISNUMBER($AE103)*(N($AE103)&gt;$H$7)&gt;0,"leverage high","")))</f>
        <v/>
      </c>
      <c r="AH103" s="40">
        <f>IF($C103="","",IF(HSI!$F$98="HKD","",IF(HSI!$F$98="","","DPS in "&amp;HSI!$F$98)))</f>
        <v/>
      </c>
    </row>
    <row r="104">
      <c r="B104" s="52" t="inlineStr">
        <is>
          <t>HSI</t>
        </is>
      </c>
      <c r="C104" s="6">
        <f>IF(HSI!$C$99="","",HSI!$C$99)</f>
        <v/>
      </c>
      <c r="D104" s="6">
        <f>IF($C104="","",HSI!$D$99)</f>
        <v/>
      </c>
      <c r="E104" s="6">
        <f>IF($C104="","",HSI!$E$99)</f>
        <v/>
      </c>
      <c r="F104" s="53">
        <f>IF($C104="","",SUMIFS('Dvd Calendar'!$E$1391:$AR$1391,'Dvd Calendar'!$E$1390:$AR$1390,"&gt;="&amp;DATE(Summary!$C$12-5,1,1),'Dvd Calendar'!$E$1390:$AR$1390,"&lt;="&amp;DATE(Summary!$C$12-5,12,31)))</f>
        <v/>
      </c>
      <c r="G104" s="53">
        <f>IF($C104="","",SUMIFS('Dvd Calendar'!$E$1391:$AR$1391,'Dvd Calendar'!$E$1390:$AR$1390,"&gt;="&amp;DATE(Summary!$C$12-4,1,1),'Dvd Calendar'!$E$1390:$AR$1390,"&lt;="&amp;DATE(Summary!$C$12-4,12,31)))</f>
        <v/>
      </c>
      <c r="H104" s="53">
        <f>IF($C104="","",SUMIFS('Dvd Calendar'!$E$1391:$AR$1391,'Dvd Calendar'!$E$1390:$AR$1390,"&gt;="&amp;DATE(Summary!$C$12-3,1,1),'Dvd Calendar'!$E$1390:$AR$1390,"&lt;="&amp;DATE(Summary!$C$12-3,12,31)))</f>
        <v/>
      </c>
      <c r="I104" s="53">
        <f>IF($C104="","",SUMIFS('Dvd Calendar'!$E$1391:$AR$1391,'Dvd Calendar'!$E$1390:$AR$1390,"&gt;="&amp;DATE(Summary!$C$12-2,1,1),'Dvd Calendar'!$E$1390:$AR$1390,"&lt;="&amp;DATE(Summary!$C$12-2,12,31)))</f>
        <v/>
      </c>
      <c r="J104" s="53">
        <f>IF($C104="","",SUMIFS('Dvd Calendar'!$E$1391:$AR$1391,'Dvd Calendar'!$E$1390:$AR$1390,"&gt;="&amp;DATE(Summary!$C$12-1,1,1),'Dvd Calendar'!$E$1390:$AR$1390,"&lt;="&amp;DATE(Summary!$C$12-1,12,31)))</f>
        <v/>
      </c>
      <c r="K104" s="54">
        <f>IF($C104="","",SUMIFS('Dvd Calendar'!$E$1391:$AR$1391,'Dvd Calendar'!$E$1390:$AR$1390,"&gt;="&amp;DATE(Summary!$C$12,1,1),'Dvd Calendar'!$E$1390:$AR$1390,"&lt;="&amp;MIN(Summary!$C$11,DATE(Summary!$C$12,12,31))))</f>
        <v/>
      </c>
      <c r="L104" s="38">
        <f>IF($C104="","",AVERAGE(F104:J104))</f>
        <v/>
      </c>
      <c r="M104" s="55">
        <f>IF($C104="","",IF(Summary!$C$16="N","",IFERROR(BDP($C104,'Field Check'!$C$16,'Field Check'!$C$17,TEXT(Summary!$C$12-5,"0")),"")))</f>
        <v/>
      </c>
      <c r="N104" s="55">
        <f>IF($C104="","",IF(Summary!$C$16="N","",IFERROR(BDP($C104,'Field Check'!$C$16,'Field Check'!$C$17,TEXT(Summary!$C$12-4,"0")),"")))</f>
        <v/>
      </c>
      <c r="O104" s="55">
        <f>IF($C104="","",IF(Summary!$C$16="N","",IFERROR(BDP($C104,'Field Check'!$C$16,'Field Check'!$C$17,TEXT(Summary!$C$12-3,"0")),"")))</f>
        <v/>
      </c>
      <c r="P104" s="55">
        <f>IF($C104="","",IF(Summary!$C$16="N","",IFERROR(BDP($C104,'Field Check'!$C$16,'Field Check'!$C$17,TEXT(Summary!$C$12-2,"0")),"")))</f>
        <v/>
      </c>
      <c r="Q104" s="55">
        <f>IF($C104="","",IF(Summary!$C$16="N","",IFERROR(BDP($C104,'Field Check'!$C$16,'Field Check'!$C$17,TEXT(Summary!$C$12-1,"0")),"")))</f>
        <v/>
      </c>
      <c r="R104" s="56">
        <f>IF($C104="","",IF(Summary!$C$16="N","",IFERROR(BDP($C104,'Field Check'!$C$18,'Field Check'!$C$17,TEXT(Summary!$C$12-5,"0"))/100,"")))</f>
        <v/>
      </c>
      <c r="S104" s="56">
        <f>IF($C104="","",IF(Summary!$C$16="N","",IFERROR(BDP($C104,'Field Check'!$C$18,'Field Check'!$C$17,TEXT(Summary!$C$12-4,"0"))/100,"")))</f>
        <v/>
      </c>
      <c r="T104" s="56">
        <f>IF($C104="","",IF(Summary!$C$16="N","",IFERROR(BDP($C104,'Field Check'!$C$18,'Field Check'!$C$17,TEXT(Summary!$C$12-3,"0"))/100,"")))</f>
        <v/>
      </c>
      <c r="U104" s="56">
        <f>IF($C104="","",IF(Summary!$C$16="N","",IFERROR(BDP($C104,'Field Check'!$C$18,'Field Check'!$C$17,TEXT(Summary!$C$12-2,"0"))/100,"")))</f>
        <v/>
      </c>
      <c r="V104" s="56">
        <f>IF($C104="","",IF(Summary!$C$16="N","",IFERROR(BDP($C104,'Field Check'!$C$18,'Field Check'!$C$17,TEXT(Summary!$C$12-1,"0"))/100,"")))</f>
        <v/>
      </c>
      <c r="W104" s="57">
        <f>IF($C104="","",IFERROR(AVERAGE(R104:V104),""))</f>
        <v/>
      </c>
      <c r="X104" s="58">
        <f>IF($C104="","",IF(ISNUMBER($Q104)*(N($Q104)&gt;0)=0,"",IFERROR($J104/$Q104,"")))</f>
        <v/>
      </c>
      <c r="Y104" s="59">
        <f>IF($C104="","",IF(ISNUMBER(HSI!$I$99),HSI!$I$99/100,""))</f>
        <v/>
      </c>
      <c r="Z104" s="60">
        <f>IF($C104="","",IF(Summary!$C$16="N","",IFERROR(BDP($C104,'Field Check'!$C$19)/100,"")))</f>
        <v/>
      </c>
      <c r="AA104" s="61">
        <f>IF($C104="","",IF(N($Y104)+N($Z104)=0,"",N($Y104)+N($Z104)))</f>
        <v/>
      </c>
      <c r="AB104" s="60">
        <f>IF($C104="","",IF(Summary!$C$16="N","",IFERROR(BDP($C104,'Field Check'!$C$20)/100,"")))</f>
        <v/>
      </c>
      <c r="AC104" s="45">
        <f>IF($C104="","",IF(N($Y104)=0,"",IFERROR($AB104/$Y104,"")))</f>
        <v/>
      </c>
      <c r="AD104" s="55">
        <f>IF($C104="","",IF(Summary!$C$16="N","",IFERROR(BDP($C104,'Field Check'!$C$21),"")))</f>
        <v/>
      </c>
      <c r="AE104" s="55">
        <f>IF($C104="","",IF(Summary!$C$16="N","",IFERROR(BDP($C104,'Field Check'!$C$22),"")))</f>
        <v/>
      </c>
      <c r="AF104" s="55">
        <f>IF($C104="","",IF(Summary!$C$16="N","",IFERROR(BDP($C104,'Field Check'!$C$23),"")))</f>
        <v/>
      </c>
      <c r="AG104" s="40">
        <f>IF($C104="","",TRIM(IF(ISNUMBER($W104)*(N($W104)&gt;$D$7)&gt;0,"payout high  ","")&amp;IF(ISNUMBER($AC104)*(N($AC104)&lt;$F$7)&gt;0,"FCF below dvd  ","")&amp;IF(ISNUMBER($AE104)*(N($AE104)&gt;$H$7)&gt;0,"leverage high","")))</f>
        <v/>
      </c>
      <c r="AH104" s="40">
        <f>IF($C104="","",IF(HSI!$F$99="HKD","",IF(HSI!$F$99="","","DPS in "&amp;HSI!$F$99)))</f>
        <v/>
      </c>
    </row>
    <row r="105">
      <c r="B105" s="52" t="inlineStr">
        <is>
          <t>HSI</t>
        </is>
      </c>
      <c r="C105" s="6">
        <f>IF(HSI!$C$100="","",HSI!$C$100)</f>
        <v/>
      </c>
      <c r="D105" s="6">
        <f>IF($C105="","",HSI!$D$100)</f>
        <v/>
      </c>
      <c r="E105" s="6">
        <f>IF($C105="","",HSI!$E$100)</f>
        <v/>
      </c>
      <c r="F105" s="53">
        <f>IF($C105="","",SUMIFS('Dvd Calendar'!$E$1406:$AR$1406,'Dvd Calendar'!$E$1405:$AR$1405,"&gt;="&amp;DATE(Summary!$C$12-5,1,1),'Dvd Calendar'!$E$1405:$AR$1405,"&lt;="&amp;DATE(Summary!$C$12-5,12,31)))</f>
        <v/>
      </c>
      <c r="G105" s="53">
        <f>IF($C105="","",SUMIFS('Dvd Calendar'!$E$1406:$AR$1406,'Dvd Calendar'!$E$1405:$AR$1405,"&gt;="&amp;DATE(Summary!$C$12-4,1,1),'Dvd Calendar'!$E$1405:$AR$1405,"&lt;="&amp;DATE(Summary!$C$12-4,12,31)))</f>
        <v/>
      </c>
      <c r="H105" s="53">
        <f>IF($C105="","",SUMIFS('Dvd Calendar'!$E$1406:$AR$1406,'Dvd Calendar'!$E$1405:$AR$1405,"&gt;="&amp;DATE(Summary!$C$12-3,1,1),'Dvd Calendar'!$E$1405:$AR$1405,"&lt;="&amp;DATE(Summary!$C$12-3,12,31)))</f>
        <v/>
      </c>
      <c r="I105" s="53">
        <f>IF($C105="","",SUMIFS('Dvd Calendar'!$E$1406:$AR$1406,'Dvd Calendar'!$E$1405:$AR$1405,"&gt;="&amp;DATE(Summary!$C$12-2,1,1),'Dvd Calendar'!$E$1405:$AR$1405,"&lt;="&amp;DATE(Summary!$C$12-2,12,31)))</f>
        <v/>
      </c>
      <c r="J105" s="53">
        <f>IF($C105="","",SUMIFS('Dvd Calendar'!$E$1406:$AR$1406,'Dvd Calendar'!$E$1405:$AR$1405,"&gt;="&amp;DATE(Summary!$C$12-1,1,1),'Dvd Calendar'!$E$1405:$AR$1405,"&lt;="&amp;DATE(Summary!$C$12-1,12,31)))</f>
        <v/>
      </c>
      <c r="K105" s="54">
        <f>IF($C105="","",SUMIFS('Dvd Calendar'!$E$1406:$AR$1406,'Dvd Calendar'!$E$1405:$AR$1405,"&gt;="&amp;DATE(Summary!$C$12,1,1),'Dvd Calendar'!$E$1405:$AR$1405,"&lt;="&amp;MIN(Summary!$C$11,DATE(Summary!$C$12,12,31))))</f>
        <v/>
      </c>
      <c r="L105" s="38">
        <f>IF($C105="","",AVERAGE(F105:J105))</f>
        <v/>
      </c>
      <c r="M105" s="55">
        <f>IF($C105="","",IF(Summary!$C$16="N","",IFERROR(BDP($C105,'Field Check'!$C$16,'Field Check'!$C$17,TEXT(Summary!$C$12-5,"0")),"")))</f>
        <v/>
      </c>
      <c r="N105" s="55">
        <f>IF($C105="","",IF(Summary!$C$16="N","",IFERROR(BDP($C105,'Field Check'!$C$16,'Field Check'!$C$17,TEXT(Summary!$C$12-4,"0")),"")))</f>
        <v/>
      </c>
      <c r="O105" s="55">
        <f>IF($C105="","",IF(Summary!$C$16="N","",IFERROR(BDP($C105,'Field Check'!$C$16,'Field Check'!$C$17,TEXT(Summary!$C$12-3,"0")),"")))</f>
        <v/>
      </c>
      <c r="P105" s="55">
        <f>IF($C105="","",IF(Summary!$C$16="N","",IFERROR(BDP($C105,'Field Check'!$C$16,'Field Check'!$C$17,TEXT(Summary!$C$12-2,"0")),"")))</f>
        <v/>
      </c>
      <c r="Q105" s="55">
        <f>IF($C105="","",IF(Summary!$C$16="N","",IFERROR(BDP($C105,'Field Check'!$C$16,'Field Check'!$C$17,TEXT(Summary!$C$12-1,"0")),"")))</f>
        <v/>
      </c>
      <c r="R105" s="56">
        <f>IF($C105="","",IF(Summary!$C$16="N","",IFERROR(BDP($C105,'Field Check'!$C$18,'Field Check'!$C$17,TEXT(Summary!$C$12-5,"0"))/100,"")))</f>
        <v/>
      </c>
      <c r="S105" s="56">
        <f>IF($C105="","",IF(Summary!$C$16="N","",IFERROR(BDP($C105,'Field Check'!$C$18,'Field Check'!$C$17,TEXT(Summary!$C$12-4,"0"))/100,"")))</f>
        <v/>
      </c>
      <c r="T105" s="56">
        <f>IF($C105="","",IF(Summary!$C$16="N","",IFERROR(BDP($C105,'Field Check'!$C$18,'Field Check'!$C$17,TEXT(Summary!$C$12-3,"0"))/100,"")))</f>
        <v/>
      </c>
      <c r="U105" s="56">
        <f>IF($C105="","",IF(Summary!$C$16="N","",IFERROR(BDP($C105,'Field Check'!$C$18,'Field Check'!$C$17,TEXT(Summary!$C$12-2,"0"))/100,"")))</f>
        <v/>
      </c>
      <c r="V105" s="56">
        <f>IF($C105="","",IF(Summary!$C$16="N","",IFERROR(BDP($C105,'Field Check'!$C$18,'Field Check'!$C$17,TEXT(Summary!$C$12-1,"0"))/100,"")))</f>
        <v/>
      </c>
      <c r="W105" s="57">
        <f>IF($C105="","",IFERROR(AVERAGE(R105:V105),""))</f>
        <v/>
      </c>
      <c r="X105" s="58">
        <f>IF($C105="","",IF(ISNUMBER($Q105)*(N($Q105)&gt;0)=0,"",IFERROR($J105/$Q105,"")))</f>
        <v/>
      </c>
      <c r="Y105" s="59">
        <f>IF($C105="","",IF(ISNUMBER(HSI!$I$100),HSI!$I$100/100,""))</f>
        <v/>
      </c>
      <c r="Z105" s="60">
        <f>IF($C105="","",IF(Summary!$C$16="N","",IFERROR(BDP($C105,'Field Check'!$C$19)/100,"")))</f>
        <v/>
      </c>
      <c r="AA105" s="61">
        <f>IF($C105="","",IF(N($Y105)+N($Z105)=0,"",N($Y105)+N($Z105)))</f>
        <v/>
      </c>
      <c r="AB105" s="60">
        <f>IF($C105="","",IF(Summary!$C$16="N","",IFERROR(BDP($C105,'Field Check'!$C$20)/100,"")))</f>
        <v/>
      </c>
      <c r="AC105" s="45">
        <f>IF($C105="","",IF(N($Y105)=0,"",IFERROR($AB105/$Y105,"")))</f>
        <v/>
      </c>
      <c r="AD105" s="55">
        <f>IF($C105="","",IF(Summary!$C$16="N","",IFERROR(BDP($C105,'Field Check'!$C$21),"")))</f>
        <v/>
      </c>
      <c r="AE105" s="55">
        <f>IF($C105="","",IF(Summary!$C$16="N","",IFERROR(BDP($C105,'Field Check'!$C$22),"")))</f>
        <v/>
      </c>
      <c r="AF105" s="55">
        <f>IF($C105="","",IF(Summary!$C$16="N","",IFERROR(BDP($C105,'Field Check'!$C$23),"")))</f>
        <v/>
      </c>
      <c r="AG105" s="40">
        <f>IF($C105="","",TRIM(IF(ISNUMBER($W105)*(N($W105)&gt;$D$7)&gt;0,"payout high  ","")&amp;IF(ISNUMBER($AC105)*(N($AC105)&lt;$F$7)&gt;0,"FCF below dvd  ","")&amp;IF(ISNUMBER($AE105)*(N($AE105)&gt;$H$7)&gt;0,"leverage high","")))</f>
        <v/>
      </c>
      <c r="AH105" s="40">
        <f>IF($C105="","",IF(HSI!$F$100="HKD","",IF(HSI!$F$100="","","DPS in "&amp;HSI!$F$100)))</f>
        <v/>
      </c>
    </row>
    <row r="106">
      <c r="B106" s="52" t="inlineStr">
        <is>
          <t>HSI</t>
        </is>
      </c>
      <c r="C106" s="6">
        <f>IF(HSI!$C$101="","",HSI!$C$101)</f>
        <v/>
      </c>
      <c r="D106" s="6">
        <f>IF($C106="","",HSI!$D$101)</f>
        <v/>
      </c>
      <c r="E106" s="6">
        <f>IF($C106="","",HSI!$E$101)</f>
        <v/>
      </c>
      <c r="F106" s="53">
        <f>IF($C106="","",SUMIFS('Dvd Calendar'!$E$1421:$AR$1421,'Dvd Calendar'!$E$1420:$AR$1420,"&gt;="&amp;DATE(Summary!$C$12-5,1,1),'Dvd Calendar'!$E$1420:$AR$1420,"&lt;="&amp;DATE(Summary!$C$12-5,12,31)))</f>
        <v/>
      </c>
      <c r="G106" s="53">
        <f>IF($C106="","",SUMIFS('Dvd Calendar'!$E$1421:$AR$1421,'Dvd Calendar'!$E$1420:$AR$1420,"&gt;="&amp;DATE(Summary!$C$12-4,1,1),'Dvd Calendar'!$E$1420:$AR$1420,"&lt;="&amp;DATE(Summary!$C$12-4,12,31)))</f>
        <v/>
      </c>
      <c r="H106" s="53">
        <f>IF($C106="","",SUMIFS('Dvd Calendar'!$E$1421:$AR$1421,'Dvd Calendar'!$E$1420:$AR$1420,"&gt;="&amp;DATE(Summary!$C$12-3,1,1),'Dvd Calendar'!$E$1420:$AR$1420,"&lt;="&amp;DATE(Summary!$C$12-3,12,31)))</f>
        <v/>
      </c>
      <c r="I106" s="53">
        <f>IF($C106="","",SUMIFS('Dvd Calendar'!$E$1421:$AR$1421,'Dvd Calendar'!$E$1420:$AR$1420,"&gt;="&amp;DATE(Summary!$C$12-2,1,1),'Dvd Calendar'!$E$1420:$AR$1420,"&lt;="&amp;DATE(Summary!$C$12-2,12,31)))</f>
        <v/>
      </c>
      <c r="J106" s="53">
        <f>IF($C106="","",SUMIFS('Dvd Calendar'!$E$1421:$AR$1421,'Dvd Calendar'!$E$1420:$AR$1420,"&gt;="&amp;DATE(Summary!$C$12-1,1,1),'Dvd Calendar'!$E$1420:$AR$1420,"&lt;="&amp;DATE(Summary!$C$12-1,12,31)))</f>
        <v/>
      </c>
      <c r="K106" s="54">
        <f>IF($C106="","",SUMIFS('Dvd Calendar'!$E$1421:$AR$1421,'Dvd Calendar'!$E$1420:$AR$1420,"&gt;="&amp;DATE(Summary!$C$12,1,1),'Dvd Calendar'!$E$1420:$AR$1420,"&lt;="&amp;MIN(Summary!$C$11,DATE(Summary!$C$12,12,31))))</f>
        <v/>
      </c>
      <c r="L106" s="38">
        <f>IF($C106="","",AVERAGE(F106:J106))</f>
        <v/>
      </c>
      <c r="M106" s="55">
        <f>IF($C106="","",IF(Summary!$C$16="N","",IFERROR(BDP($C106,'Field Check'!$C$16,'Field Check'!$C$17,TEXT(Summary!$C$12-5,"0")),"")))</f>
        <v/>
      </c>
      <c r="N106" s="55">
        <f>IF($C106="","",IF(Summary!$C$16="N","",IFERROR(BDP($C106,'Field Check'!$C$16,'Field Check'!$C$17,TEXT(Summary!$C$12-4,"0")),"")))</f>
        <v/>
      </c>
      <c r="O106" s="55">
        <f>IF($C106="","",IF(Summary!$C$16="N","",IFERROR(BDP($C106,'Field Check'!$C$16,'Field Check'!$C$17,TEXT(Summary!$C$12-3,"0")),"")))</f>
        <v/>
      </c>
      <c r="P106" s="55">
        <f>IF($C106="","",IF(Summary!$C$16="N","",IFERROR(BDP($C106,'Field Check'!$C$16,'Field Check'!$C$17,TEXT(Summary!$C$12-2,"0")),"")))</f>
        <v/>
      </c>
      <c r="Q106" s="55">
        <f>IF($C106="","",IF(Summary!$C$16="N","",IFERROR(BDP($C106,'Field Check'!$C$16,'Field Check'!$C$17,TEXT(Summary!$C$12-1,"0")),"")))</f>
        <v/>
      </c>
      <c r="R106" s="56">
        <f>IF($C106="","",IF(Summary!$C$16="N","",IFERROR(BDP($C106,'Field Check'!$C$18,'Field Check'!$C$17,TEXT(Summary!$C$12-5,"0"))/100,"")))</f>
        <v/>
      </c>
      <c r="S106" s="56">
        <f>IF($C106="","",IF(Summary!$C$16="N","",IFERROR(BDP($C106,'Field Check'!$C$18,'Field Check'!$C$17,TEXT(Summary!$C$12-4,"0"))/100,"")))</f>
        <v/>
      </c>
      <c r="T106" s="56">
        <f>IF($C106="","",IF(Summary!$C$16="N","",IFERROR(BDP($C106,'Field Check'!$C$18,'Field Check'!$C$17,TEXT(Summary!$C$12-3,"0"))/100,"")))</f>
        <v/>
      </c>
      <c r="U106" s="56">
        <f>IF($C106="","",IF(Summary!$C$16="N","",IFERROR(BDP($C106,'Field Check'!$C$18,'Field Check'!$C$17,TEXT(Summary!$C$12-2,"0"))/100,"")))</f>
        <v/>
      </c>
      <c r="V106" s="56">
        <f>IF($C106="","",IF(Summary!$C$16="N","",IFERROR(BDP($C106,'Field Check'!$C$18,'Field Check'!$C$17,TEXT(Summary!$C$12-1,"0"))/100,"")))</f>
        <v/>
      </c>
      <c r="W106" s="57">
        <f>IF($C106="","",IFERROR(AVERAGE(R106:V106),""))</f>
        <v/>
      </c>
      <c r="X106" s="58">
        <f>IF($C106="","",IF(ISNUMBER($Q106)*(N($Q106)&gt;0)=0,"",IFERROR($J106/$Q106,"")))</f>
        <v/>
      </c>
      <c r="Y106" s="59">
        <f>IF($C106="","",IF(ISNUMBER(HSI!$I$101),HSI!$I$101/100,""))</f>
        <v/>
      </c>
      <c r="Z106" s="60">
        <f>IF($C106="","",IF(Summary!$C$16="N","",IFERROR(BDP($C106,'Field Check'!$C$19)/100,"")))</f>
        <v/>
      </c>
      <c r="AA106" s="61">
        <f>IF($C106="","",IF(N($Y106)+N($Z106)=0,"",N($Y106)+N($Z106)))</f>
        <v/>
      </c>
      <c r="AB106" s="60">
        <f>IF($C106="","",IF(Summary!$C$16="N","",IFERROR(BDP($C106,'Field Check'!$C$20)/100,"")))</f>
        <v/>
      </c>
      <c r="AC106" s="45">
        <f>IF($C106="","",IF(N($Y106)=0,"",IFERROR($AB106/$Y106,"")))</f>
        <v/>
      </c>
      <c r="AD106" s="55">
        <f>IF($C106="","",IF(Summary!$C$16="N","",IFERROR(BDP($C106,'Field Check'!$C$21),"")))</f>
        <v/>
      </c>
      <c r="AE106" s="55">
        <f>IF($C106="","",IF(Summary!$C$16="N","",IFERROR(BDP($C106,'Field Check'!$C$22),"")))</f>
        <v/>
      </c>
      <c r="AF106" s="55">
        <f>IF($C106="","",IF(Summary!$C$16="N","",IFERROR(BDP($C106,'Field Check'!$C$23),"")))</f>
        <v/>
      </c>
      <c r="AG106" s="40">
        <f>IF($C106="","",TRIM(IF(ISNUMBER($W106)*(N($W106)&gt;$D$7)&gt;0,"payout high  ","")&amp;IF(ISNUMBER($AC106)*(N($AC106)&lt;$F$7)&gt;0,"FCF below dvd  ","")&amp;IF(ISNUMBER($AE106)*(N($AE106)&gt;$H$7)&gt;0,"leverage high","")))</f>
        <v/>
      </c>
      <c r="AH106" s="40">
        <f>IF($C106="","",IF(HSI!$F$101="HKD","",IF(HSI!$F$101="","","DPS in "&amp;HSI!$F$101)))</f>
        <v/>
      </c>
    </row>
    <row r="107">
      <c r="B107" s="52" t="inlineStr">
        <is>
          <t>HSI</t>
        </is>
      </c>
      <c r="C107" s="6">
        <f>IF(HSI!$C$102="","",HSI!$C$102)</f>
        <v/>
      </c>
      <c r="D107" s="6">
        <f>IF($C107="","",HSI!$D$102)</f>
        <v/>
      </c>
      <c r="E107" s="6">
        <f>IF($C107="","",HSI!$E$102)</f>
        <v/>
      </c>
      <c r="F107" s="53">
        <f>IF($C107="","",SUMIFS('Dvd Calendar'!$E$1436:$AR$1436,'Dvd Calendar'!$E$1435:$AR$1435,"&gt;="&amp;DATE(Summary!$C$12-5,1,1),'Dvd Calendar'!$E$1435:$AR$1435,"&lt;="&amp;DATE(Summary!$C$12-5,12,31)))</f>
        <v/>
      </c>
      <c r="G107" s="53">
        <f>IF($C107="","",SUMIFS('Dvd Calendar'!$E$1436:$AR$1436,'Dvd Calendar'!$E$1435:$AR$1435,"&gt;="&amp;DATE(Summary!$C$12-4,1,1),'Dvd Calendar'!$E$1435:$AR$1435,"&lt;="&amp;DATE(Summary!$C$12-4,12,31)))</f>
        <v/>
      </c>
      <c r="H107" s="53">
        <f>IF($C107="","",SUMIFS('Dvd Calendar'!$E$1436:$AR$1436,'Dvd Calendar'!$E$1435:$AR$1435,"&gt;="&amp;DATE(Summary!$C$12-3,1,1),'Dvd Calendar'!$E$1435:$AR$1435,"&lt;="&amp;DATE(Summary!$C$12-3,12,31)))</f>
        <v/>
      </c>
      <c r="I107" s="53">
        <f>IF($C107="","",SUMIFS('Dvd Calendar'!$E$1436:$AR$1436,'Dvd Calendar'!$E$1435:$AR$1435,"&gt;="&amp;DATE(Summary!$C$12-2,1,1),'Dvd Calendar'!$E$1435:$AR$1435,"&lt;="&amp;DATE(Summary!$C$12-2,12,31)))</f>
        <v/>
      </c>
      <c r="J107" s="53">
        <f>IF($C107="","",SUMIFS('Dvd Calendar'!$E$1436:$AR$1436,'Dvd Calendar'!$E$1435:$AR$1435,"&gt;="&amp;DATE(Summary!$C$12-1,1,1),'Dvd Calendar'!$E$1435:$AR$1435,"&lt;="&amp;DATE(Summary!$C$12-1,12,31)))</f>
        <v/>
      </c>
      <c r="K107" s="54">
        <f>IF($C107="","",SUMIFS('Dvd Calendar'!$E$1436:$AR$1436,'Dvd Calendar'!$E$1435:$AR$1435,"&gt;="&amp;DATE(Summary!$C$12,1,1),'Dvd Calendar'!$E$1435:$AR$1435,"&lt;="&amp;MIN(Summary!$C$11,DATE(Summary!$C$12,12,31))))</f>
        <v/>
      </c>
      <c r="L107" s="38">
        <f>IF($C107="","",AVERAGE(F107:J107))</f>
        <v/>
      </c>
      <c r="M107" s="55">
        <f>IF($C107="","",IF(Summary!$C$16="N","",IFERROR(BDP($C107,'Field Check'!$C$16,'Field Check'!$C$17,TEXT(Summary!$C$12-5,"0")),"")))</f>
        <v/>
      </c>
      <c r="N107" s="55">
        <f>IF($C107="","",IF(Summary!$C$16="N","",IFERROR(BDP($C107,'Field Check'!$C$16,'Field Check'!$C$17,TEXT(Summary!$C$12-4,"0")),"")))</f>
        <v/>
      </c>
      <c r="O107" s="55">
        <f>IF($C107="","",IF(Summary!$C$16="N","",IFERROR(BDP($C107,'Field Check'!$C$16,'Field Check'!$C$17,TEXT(Summary!$C$12-3,"0")),"")))</f>
        <v/>
      </c>
      <c r="P107" s="55">
        <f>IF($C107="","",IF(Summary!$C$16="N","",IFERROR(BDP($C107,'Field Check'!$C$16,'Field Check'!$C$17,TEXT(Summary!$C$12-2,"0")),"")))</f>
        <v/>
      </c>
      <c r="Q107" s="55">
        <f>IF($C107="","",IF(Summary!$C$16="N","",IFERROR(BDP($C107,'Field Check'!$C$16,'Field Check'!$C$17,TEXT(Summary!$C$12-1,"0")),"")))</f>
        <v/>
      </c>
      <c r="R107" s="56">
        <f>IF($C107="","",IF(Summary!$C$16="N","",IFERROR(BDP($C107,'Field Check'!$C$18,'Field Check'!$C$17,TEXT(Summary!$C$12-5,"0"))/100,"")))</f>
        <v/>
      </c>
      <c r="S107" s="56">
        <f>IF($C107="","",IF(Summary!$C$16="N","",IFERROR(BDP($C107,'Field Check'!$C$18,'Field Check'!$C$17,TEXT(Summary!$C$12-4,"0"))/100,"")))</f>
        <v/>
      </c>
      <c r="T107" s="56">
        <f>IF($C107="","",IF(Summary!$C$16="N","",IFERROR(BDP($C107,'Field Check'!$C$18,'Field Check'!$C$17,TEXT(Summary!$C$12-3,"0"))/100,"")))</f>
        <v/>
      </c>
      <c r="U107" s="56">
        <f>IF($C107="","",IF(Summary!$C$16="N","",IFERROR(BDP($C107,'Field Check'!$C$18,'Field Check'!$C$17,TEXT(Summary!$C$12-2,"0"))/100,"")))</f>
        <v/>
      </c>
      <c r="V107" s="56">
        <f>IF($C107="","",IF(Summary!$C$16="N","",IFERROR(BDP($C107,'Field Check'!$C$18,'Field Check'!$C$17,TEXT(Summary!$C$12-1,"0"))/100,"")))</f>
        <v/>
      </c>
      <c r="W107" s="57">
        <f>IF($C107="","",IFERROR(AVERAGE(R107:V107),""))</f>
        <v/>
      </c>
      <c r="X107" s="58">
        <f>IF($C107="","",IF(ISNUMBER($Q107)*(N($Q107)&gt;0)=0,"",IFERROR($J107/$Q107,"")))</f>
        <v/>
      </c>
      <c r="Y107" s="59">
        <f>IF($C107="","",IF(ISNUMBER(HSI!$I$102),HSI!$I$102/100,""))</f>
        <v/>
      </c>
      <c r="Z107" s="60">
        <f>IF($C107="","",IF(Summary!$C$16="N","",IFERROR(BDP($C107,'Field Check'!$C$19)/100,"")))</f>
        <v/>
      </c>
      <c r="AA107" s="61">
        <f>IF($C107="","",IF(N($Y107)+N($Z107)=0,"",N($Y107)+N($Z107)))</f>
        <v/>
      </c>
      <c r="AB107" s="60">
        <f>IF($C107="","",IF(Summary!$C$16="N","",IFERROR(BDP($C107,'Field Check'!$C$20)/100,"")))</f>
        <v/>
      </c>
      <c r="AC107" s="45">
        <f>IF($C107="","",IF(N($Y107)=0,"",IFERROR($AB107/$Y107,"")))</f>
        <v/>
      </c>
      <c r="AD107" s="55">
        <f>IF($C107="","",IF(Summary!$C$16="N","",IFERROR(BDP($C107,'Field Check'!$C$21),"")))</f>
        <v/>
      </c>
      <c r="AE107" s="55">
        <f>IF($C107="","",IF(Summary!$C$16="N","",IFERROR(BDP($C107,'Field Check'!$C$22),"")))</f>
        <v/>
      </c>
      <c r="AF107" s="55">
        <f>IF($C107="","",IF(Summary!$C$16="N","",IFERROR(BDP($C107,'Field Check'!$C$23),"")))</f>
        <v/>
      </c>
      <c r="AG107" s="40">
        <f>IF($C107="","",TRIM(IF(ISNUMBER($W107)*(N($W107)&gt;$D$7)&gt;0,"payout high  ","")&amp;IF(ISNUMBER($AC107)*(N($AC107)&lt;$F$7)&gt;0,"FCF below dvd  ","")&amp;IF(ISNUMBER($AE107)*(N($AE107)&gt;$H$7)&gt;0,"leverage high","")))</f>
        <v/>
      </c>
      <c r="AH107" s="40">
        <f>IF($C107="","",IF(HSI!$F$102="HKD","",IF(HSI!$F$102="","","DPS in "&amp;HSI!$F$102)))</f>
        <v/>
      </c>
    </row>
    <row r="108">
      <c r="B108" s="52" t="inlineStr">
        <is>
          <t>HSI</t>
        </is>
      </c>
      <c r="C108" s="6">
        <f>IF(HSI!$C$103="","",HSI!$C$103)</f>
        <v/>
      </c>
      <c r="D108" s="6">
        <f>IF($C108="","",HSI!$D$103)</f>
        <v/>
      </c>
      <c r="E108" s="6">
        <f>IF($C108="","",HSI!$E$103)</f>
        <v/>
      </c>
      <c r="F108" s="53">
        <f>IF($C108="","",SUMIFS('Dvd Calendar'!$E$1451:$AR$1451,'Dvd Calendar'!$E$1450:$AR$1450,"&gt;="&amp;DATE(Summary!$C$12-5,1,1),'Dvd Calendar'!$E$1450:$AR$1450,"&lt;="&amp;DATE(Summary!$C$12-5,12,31)))</f>
        <v/>
      </c>
      <c r="G108" s="53">
        <f>IF($C108="","",SUMIFS('Dvd Calendar'!$E$1451:$AR$1451,'Dvd Calendar'!$E$1450:$AR$1450,"&gt;="&amp;DATE(Summary!$C$12-4,1,1),'Dvd Calendar'!$E$1450:$AR$1450,"&lt;="&amp;DATE(Summary!$C$12-4,12,31)))</f>
        <v/>
      </c>
      <c r="H108" s="53">
        <f>IF($C108="","",SUMIFS('Dvd Calendar'!$E$1451:$AR$1451,'Dvd Calendar'!$E$1450:$AR$1450,"&gt;="&amp;DATE(Summary!$C$12-3,1,1),'Dvd Calendar'!$E$1450:$AR$1450,"&lt;="&amp;DATE(Summary!$C$12-3,12,31)))</f>
        <v/>
      </c>
      <c r="I108" s="53">
        <f>IF($C108="","",SUMIFS('Dvd Calendar'!$E$1451:$AR$1451,'Dvd Calendar'!$E$1450:$AR$1450,"&gt;="&amp;DATE(Summary!$C$12-2,1,1),'Dvd Calendar'!$E$1450:$AR$1450,"&lt;="&amp;DATE(Summary!$C$12-2,12,31)))</f>
        <v/>
      </c>
      <c r="J108" s="53">
        <f>IF($C108="","",SUMIFS('Dvd Calendar'!$E$1451:$AR$1451,'Dvd Calendar'!$E$1450:$AR$1450,"&gt;="&amp;DATE(Summary!$C$12-1,1,1),'Dvd Calendar'!$E$1450:$AR$1450,"&lt;="&amp;DATE(Summary!$C$12-1,12,31)))</f>
        <v/>
      </c>
      <c r="K108" s="54">
        <f>IF($C108="","",SUMIFS('Dvd Calendar'!$E$1451:$AR$1451,'Dvd Calendar'!$E$1450:$AR$1450,"&gt;="&amp;DATE(Summary!$C$12,1,1),'Dvd Calendar'!$E$1450:$AR$1450,"&lt;="&amp;MIN(Summary!$C$11,DATE(Summary!$C$12,12,31))))</f>
        <v/>
      </c>
      <c r="L108" s="38">
        <f>IF($C108="","",AVERAGE(F108:J108))</f>
        <v/>
      </c>
      <c r="M108" s="55">
        <f>IF($C108="","",IF(Summary!$C$16="N","",IFERROR(BDP($C108,'Field Check'!$C$16,'Field Check'!$C$17,TEXT(Summary!$C$12-5,"0")),"")))</f>
        <v/>
      </c>
      <c r="N108" s="55">
        <f>IF($C108="","",IF(Summary!$C$16="N","",IFERROR(BDP($C108,'Field Check'!$C$16,'Field Check'!$C$17,TEXT(Summary!$C$12-4,"0")),"")))</f>
        <v/>
      </c>
      <c r="O108" s="55">
        <f>IF($C108="","",IF(Summary!$C$16="N","",IFERROR(BDP($C108,'Field Check'!$C$16,'Field Check'!$C$17,TEXT(Summary!$C$12-3,"0")),"")))</f>
        <v/>
      </c>
      <c r="P108" s="55">
        <f>IF($C108="","",IF(Summary!$C$16="N","",IFERROR(BDP($C108,'Field Check'!$C$16,'Field Check'!$C$17,TEXT(Summary!$C$12-2,"0")),"")))</f>
        <v/>
      </c>
      <c r="Q108" s="55">
        <f>IF($C108="","",IF(Summary!$C$16="N","",IFERROR(BDP($C108,'Field Check'!$C$16,'Field Check'!$C$17,TEXT(Summary!$C$12-1,"0")),"")))</f>
        <v/>
      </c>
      <c r="R108" s="56">
        <f>IF($C108="","",IF(Summary!$C$16="N","",IFERROR(BDP($C108,'Field Check'!$C$18,'Field Check'!$C$17,TEXT(Summary!$C$12-5,"0"))/100,"")))</f>
        <v/>
      </c>
      <c r="S108" s="56">
        <f>IF($C108="","",IF(Summary!$C$16="N","",IFERROR(BDP($C108,'Field Check'!$C$18,'Field Check'!$C$17,TEXT(Summary!$C$12-4,"0"))/100,"")))</f>
        <v/>
      </c>
      <c r="T108" s="56">
        <f>IF($C108="","",IF(Summary!$C$16="N","",IFERROR(BDP($C108,'Field Check'!$C$18,'Field Check'!$C$17,TEXT(Summary!$C$12-3,"0"))/100,"")))</f>
        <v/>
      </c>
      <c r="U108" s="56">
        <f>IF($C108="","",IF(Summary!$C$16="N","",IFERROR(BDP($C108,'Field Check'!$C$18,'Field Check'!$C$17,TEXT(Summary!$C$12-2,"0"))/100,"")))</f>
        <v/>
      </c>
      <c r="V108" s="56">
        <f>IF($C108="","",IF(Summary!$C$16="N","",IFERROR(BDP($C108,'Field Check'!$C$18,'Field Check'!$C$17,TEXT(Summary!$C$12-1,"0"))/100,"")))</f>
        <v/>
      </c>
      <c r="W108" s="57">
        <f>IF($C108="","",IFERROR(AVERAGE(R108:V108),""))</f>
        <v/>
      </c>
      <c r="X108" s="58">
        <f>IF($C108="","",IF(ISNUMBER($Q108)*(N($Q108)&gt;0)=0,"",IFERROR($J108/$Q108,"")))</f>
        <v/>
      </c>
      <c r="Y108" s="59">
        <f>IF($C108="","",IF(ISNUMBER(HSI!$I$103),HSI!$I$103/100,""))</f>
        <v/>
      </c>
      <c r="Z108" s="60">
        <f>IF($C108="","",IF(Summary!$C$16="N","",IFERROR(BDP($C108,'Field Check'!$C$19)/100,"")))</f>
        <v/>
      </c>
      <c r="AA108" s="61">
        <f>IF($C108="","",IF(N($Y108)+N($Z108)=0,"",N($Y108)+N($Z108)))</f>
        <v/>
      </c>
      <c r="AB108" s="60">
        <f>IF($C108="","",IF(Summary!$C$16="N","",IFERROR(BDP($C108,'Field Check'!$C$20)/100,"")))</f>
        <v/>
      </c>
      <c r="AC108" s="45">
        <f>IF($C108="","",IF(N($Y108)=0,"",IFERROR($AB108/$Y108,"")))</f>
        <v/>
      </c>
      <c r="AD108" s="55">
        <f>IF($C108="","",IF(Summary!$C$16="N","",IFERROR(BDP($C108,'Field Check'!$C$21),"")))</f>
        <v/>
      </c>
      <c r="AE108" s="55">
        <f>IF($C108="","",IF(Summary!$C$16="N","",IFERROR(BDP($C108,'Field Check'!$C$22),"")))</f>
        <v/>
      </c>
      <c r="AF108" s="55">
        <f>IF($C108="","",IF(Summary!$C$16="N","",IFERROR(BDP($C108,'Field Check'!$C$23),"")))</f>
        <v/>
      </c>
      <c r="AG108" s="40">
        <f>IF($C108="","",TRIM(IF(ISNUMBER($W108)*(N($W108)&gt;$D$7)&gt;0,"payout high  ","")&amp;IF(ISNUMBER($AC108)*(N($AC108)&lt;$F$7)&gt;0,"FCF below dvd  ","")&amp;IF(ISNUMBER($AE108)*(N($AE108)&gt;$H$7)&gt;0,"leverage high","")))</f>
        <v/>
      </c>
      <c r="AH108" s="40">
        <f>IF($C108="","",IF(HSI!$F$103="HKD","",IF(HSI!$F$103="","","DPS in "&amp;HSI!$F$103)))</f>
        <v/>
      </c>
    </row>
    <row r="109">
      <c r="B109" s="52" t="inlineStr">
        <is>
          <t>HSI</t>
        </is>
      </c>
      <c r="C109" s="6">
        <f>IF(HSI!$C$104="","",HSI!$C$104)</f>
        <v/>
      </c>
      <c r="D109" s="6">
        <f>IF($C109="","",HSI!$D$104)</f>
        <v/>
      </c>
      <c r="E109" s="6">
        <f>IF($C109="","",HSI!$E$104)</f>
        <v/>
      </c>
      <c r="F109" s="53">
        <f>IF($C109="","",SUMIFS('Dvd Calendar'!$E$1466:$AR$1466,'Dvd Calendar'!$E$1465:$AR$1465,"&gt;="&amp;DATE(Summary!$C$12-5,1,1),'Dvd Calendar'!$E$1465:$AR$1465,"&lt;="&amp;DATE(Summary!$C$12-5,12,31)))</f>
        <v/>
      </c>
      <c r="G109" s="53">
        <f>IF($C109="","",SUMIFS('Dvd Calendar'!$E$1466:$AR$1466,'Dvd Calendar'!$E$1465:$AR$1465,"&gt;="&amp;DATE(Summary!$C$12-4,1,1),'Dvd Calendar'!$E$1465:$AR$1465,"&lt;="&amp;DATE(Summary!$C$12-4,12,31)))</f>
        <v/>
      </c>
      <c r="H109" s="53">
        <f>IF($C109="","",SUMIFS('Dvd Calendar'!$E$1466:$AR$1466,'Dvd Calendar'!$E$1465:$AR$1465,"&gt;="&amp;DATE(Summary!$C$12-3,1,1),'Dvd Calendar'!$E$1465:$AR$1465,"&lt;="&amp;DATE(Summary!$C$12-3,12,31)))</f>
        <v/>
      </c>
      <c r="I109" s="53">
        <f>IF($C109="","",SUMIFS('Dvd Calendar'!$E$1466:$AR$1466,'Dvd Calendar'!$E$1465:$AR$1465,"&gt;="&amp;DATE(Summary!$C$12-2,1,1),'Dvd Calendar'!$E$1465:$AR$1465,"&lt;="&amp;DATE(Summary!$C$12-2,12,31)))</f>
        <v/>
      </c>
      <c r="J109" s="53">
        <f>IF($C109="","",SUMIFS('Dvd Calendar'!$E$1466:$AR$1466,'Dvd Calendar'!$E$1465:$AR$1465,"&gt;="&amp;DATE(Summary!$C$12-1,1,1),'Dvd Calendar'!$E$1465:$AR$1465,"&lt;="&amp;DATE(Summary!$C$12-1,12,31)))</f>
        <v/>
      </c>
      <c r="K109" s="54">
        <f>IF($C109="","",SUMIFS('Dvd Calendar'!$E$1466:$AR$1466,'Dvd Calendar'!$E$1465:$AR$1465,"&gt;="&amp;DATE(Summary!$C$12,1,1),'Dvd Calendar'!$E$1465:$AR$1465,"&lt;="&amp;MIN(Summary!$C$11,DATE(Summary!$C$12,12,31))))</f>
        <v/>
      </c>
      <c r="L109" s="38">
        <f>IF($C109="","",AVERAGE(F109:J109))</f>
        <v/>
      </c>
      <c r="M109" s="55">
        <f>IF($C109="","",IF(Summary!$C$16="N","",IFERROR(BDP($C109,'Field Check'!$C$16,'Field Check'!$C$17,TEXT(Summary!$C$12-5,"0")),"")))</f>
        <v/>
      </c>
      <c r="N109" s="55">
        <f>IF($C109="","",IF(Summary!$C$16="N","",IFERROR(BDP($C109,'Field Check'!$C$16,'Field Check'!$C$17,TEXT(Summary!$C$12-4,"0")),"")))</f>
        <v/>
      </c>
      <c r="O109" s="55">
        <f>IF($C109="","",IF(Summary!$C$16="N","",IFERROR(BDP($C109,'Field Check'!$C$16,'Field Check'!$C$17,TEXT(Summary!$C$12-3,"0")),"")))</f>
        <v/>
      </c>
      <c r="P109" s="55">
        <f>IF($C109="","",IF(Summary!$C$16="N","",IFERROR(BDP($C109,'Field Check'!$C$16,'Field Check'!$C$17,TEXT(Summary!$C$12-2,"0")),"")))</f>
        <v/>
      </c>
      <c r="Q109" s="55">
        <f>IF($C109="","",IF(Summary!$C$16="N","",IFERROR(BDP($C109,'Field Check'!$C$16,'Field Check'!$C$17,TEXT(Summary!$C$12-1,"0")),"")))</f>
        <v/>
      </c>
      <c r="R109" s="56">
        <f>IF($C109="","",IF(Summary!$C$16="N","",IFERROR(BDP($C109,'Field Check'!$C$18,'Field Check'!$C$17,TEXT(Summary!$C$12-5,"0"))/100,"")))</f>
        <v/>
      </c>
      <c r="S109" s="56">
        <f>IF($C109="","",IF(Summary!$C$16="N","",IFERROR(BDP($C109,'Field Check'!$C$18,'Field Check'!$C$17,TEXT(Summary!$C$12-4,"0"))/100,"")))</f>
        <v/>
      </c>
      <c r="T109" s="56">
        <f>IF($C109="","",IF(Summary!$C$16="N","",IFERROR(BDP($C109,'Field Check'!$C$18,'Field Check'!$C$17,TEXT(Summary!$C$12-3,"0"))/100,"")))</f>
        <v/>
      </c>
      <c r="U109" s="56">
        <f>IF($C109="","",IF(Summary!$C$16="N","",IFERROR(BDP($C109,'Field Check'!$C$18,'Field Check'!$C$17,TEXT(Summary!$C$12-2,"0"))/100,"")))</f>
        <v/>
      </c>
      <c r="V109" s="56">
        <f>IF($C109="","",IF(Summary!$C$16="N","",IFERROR(BDP($C109,'Field Check'!$C$18,'Field Check'!$C$17,TEXT(Summary!$C$12-1,"0"))/100,"")))</f>
        <v/>
      </c>
      <c r="W109" s="57">
        <f>IF($C109="","",IFERROR(AVERAGE(R109:V109),""))</f>
        <v/>
      </c>
      <c r="X109" s="58">
        <f>IF($C109="","",IF(ISNUMBER($Q109)*(N($Q109)&gt;0)=0,"",IFERROR($J109/$Q109,"")))</f>
        <v/>
      </c>
      <c r="Y109" s="59">
        <f>IF($C109="","",IF(ISNUMBER(HSI!$I$104),HSI!$I$104/100,""))</f>
        <v/>
      </c>
      <c r="Z109" s="60">
        <f>IF($C109="","",IF(Summary!$C$16="N","",IFERROR(BDP($C109,'Field Check'!$C$19)/100,"")))</f>
        <v/>
      </c>
      <c r="AA109" s="61">
        <f>IF($C109="","",IF(N($Y109)+N($Z109)=0,"",N($Y109)+N($Z109)))</f>
        <v/>
      </c>
      <c r="AB109" s="60">
        <f>IF($C109="","",IF(Summary!$C$16="N","",IFERROR(BDP($C109,'Field Check'!$C$20)/100,"")))</f>
        <v/>
      </c>
      <c r="AC109" s="45">
        <f>IF($C109="","",IF(N($Y109)=0,"",IFERROR($AB109/$Y109,"")))</f>
        <v/>
      </c>
      <c r="AD109" s="55">
        <f>IF($C109="","",IF(Summary!$C$16="N","",IFERROR(BDP($C109,'Field Check'!$C$21),"")))</f>
        <v/>
      </c>
      <c r="AE109" s="55">
        <f>IF($C109="","",IF(Summary!$C$16="N","",IFERROR(BDP($C109,'Field Check'!$C$22),"")))</f>
        <v/>
      </c>
      <c r="AF109" s="55">
        <f>IF($C109="","",IF(Summary!$C$16="N","",IFERROR(BDP($C109,'Field Check'!$C$23),"")))</f>
        <v/>
      </c>
      <c r="AG109" s="40">
        <f>IF($C109="","",TRIM(IF(ISNUMBER($W109)*(N($W109)&gt;$D$7)&gt;0,"payout high  ","")&amp;IF(ISNUMBER($AC109)*(N($AC109)&lt;$F$7)&gt;0,"FCF below dvd  ","")&amp;IF(ISNUMBER($AE109)*(N($AE109)&gt;$H$7)&gt;0,"leverage high","")))</f>
        <v/>
      </c>
      <c r="AH109" s="40">
        <f>IF($C109="","",IF(HSI!$F$104="HKD","",IF(HSI!$F$104="","","DPS in "&amp;HSI!$F$104)))</f>
        <v/>
      </c>
    </row>
    <row r="110">
      <c r="B110" s="52" t="inlineStr">
        <is>
          <t>HSI</t>
        </is>
      </c>
      <c r="C110" s="6">
        <f>IF(HSI!$C$105="","",HSI!$C$105)</f>
        <v/>
      </c>
      <c r="D110" s="6">
        <f>IF($C110="","",HSI!$D$105)</f>
        <v/>
      </c>
      <c r="E110" s="6">
        <f>IF($C110="","",HSI!$E$105)</f>
        <v/>
      </c>
      <c r="F110" s="53">
        <f>IF($C110="","",SUMIFS('Dvd Calendar'!$E$1481:$AR$1481,'Dvd Calendar'!$E$1480:$AR$1480,"&gt;="&amp;DATE(Summary!$C$12-5,1,1),'Dvd Calendar'!$E$1480:$AR$1480,"&lt;="&amp;DATE(Summary!$C$12-5,12,31)))</f>
        <v/>
      </c>
      <c r="G110" s="53">
        <f>IF($C110="","",SUMIFS('Dvd Calendar'!$E$1481:$AR$1481,'Dvd Calendar'!$E$1480:$AR$1480,"&gt;="&amp;DATE(Summary!$C$12-4,1,1),'Dvd Calendar'!$E$1480:$AR$1480,"&lt;="&amp;DATE(Summary!$C$12-4,12,31)))</f>
        <v/>
      </c>
      <c r="H110" s="53">
        <f>IF($C110="","",SUMIFS('Dvd Calendar'!$E$1481:$AR$1481,'Dvd Calendar'!$E$1480:$AR$1480,"&gt;="&amp;DATE(Summary!$C$12-3,1,1),'Dvd Calendar'!$E$1480:$AR$1480,"&lt;="&amp;DATE(Summary!$C$12-3,12,31)))</f>
        <v/>
      </c>
      <c r="I110" s="53">
        <f>IF($C110="","",SUMIFS('Dvd Calendar'!$E$1481:$AR$1481,'Dvd Calendar'!$E$1480:$AR$1480,"&gt;="&amp;DATE(Summary!$C$12-2,1,1),'Dvd Calendar'!$E$1480:$AR$1480,"&lt;="&amp;DATE(Summary!$C$12-2,12,31)))</f>
        <v/>
      </c>
      <c r="J110" s="53">
        <f>IF($C110="","",SUMIFS('Dvd Calendar'!$E$1481:$AR$1481,'Dvd Calendar'!$E$1480:$AR$1480,"&gt;="&amp;DATE(Summary!$C$12-1,1,1),'Dvd Calendar'!$E$1480:$AR$1480,"&lt;="&amp;DATE(Summary!$C$12-1,12,31)))</f>
        <v/>
      </c>
      <c r="K110" s="54">
        <f>IF($C110="","",SUMIFS('Dvd Calendar'!$E$1481:$AR$1481,'Dvd Calendar'!$E$1480:$AR$1480,"&gt;="&amp;DATE(Summary!$C$12,1,1),'Dvd Calendar'!$E$1480:$AR$1480,"&lt;="&amp;MIN(Summary!$C$11,DATE(Summary!$C$12,12,31))))</f>
        <v/>
      </c>
      <c r="L110" s="38">
        <f>IF($C110="","",AVERAGE(F110:J110))</f>
        <v/>
      </c>
      <c r="M110" s="55">
        <f>IF($C110="","",IF(Summary!$C$16="N","",IFERROR(BDP($C110,'Field Check'!$C$16,'Field Check'!$C$17,TEXT(Summary!$C$12-5,"0")),"")))</f>
        <v/>
      </c>
      <c r="N110" s="55">
        <f>IF($C110="","",IF(Summary!$C$16="N","",IFERROR(BDP($C110,'Field Check'!$C$16,'Field Check'!$C$17,TEXT(Summary!$C$12-4,"0")),"")))</f>
        <v/>
      </c>
      <c r="O110" s="55">
        <f>IF($C110="","",IF(Summary!$C$16="N","",IFERROR(BDP($C110,'Field Check'!$C$16,'Field Check'!$C$17,TEXT(Summary!$C$12-3,"0")),"")))</f>
        <v/>
      </c>
      <c r="P110" s="55">
        <f>IF($C110="","",IF(Summary!$C$16="N","",IFERROR(BDP($C110,'Field Check'!$C$16,'Field Check'!$C$17,TEXT(Summary!$C$12-2,"0")),"")))</f>
        <v/>
      </c>
      <c r="Q110" s="55">
        <f>IF($C110="","",IF(Summary!$C$16="N","",IFERROR(BDP($C110,'Field Check'!$C$16,'Field Check'!$C$17,TEXT(Summary!$C$12-1,"0")),"")))</f>
        <v/>
      </c>
      <c r="R110" s="56">
        <f>IF($C110="","",IF(Summary!$C$16="N","",IFERROR(BDP($C110,'Field Check'!$C$18,'Field Check'!$C$17,TEXT(Summary!$C$12-5,"0"))/100,"")))</f>
        <v/>
      </c>
      <c r="S110" s="56">
        <f>IF($C110="","",IF(Summary!$C$16="N","",IFERROR(BDP($C110,'Field Check'!$C$18,'Field Check'!$C$17,TEXT(Summary!$C$12-4,"0"))/100,"")))</f>
        <v/>
      </c>
      <c r="T110" s="56">
        <f>IF($C110="","",IF(Summary!$C$16="N","",IFERROR(BDP($C110,'Field Check'!$C$18,'Field Check'!$C$17,TEXT(Summary!$C$12-3,"0"))/100,"")))</f>
        <v/>
      </c>
      <c r="U110" s="56">
        <f>IF($C110="","",IF(Summary!$C$16="N","",IFERROR(BDP($C110,'Field Check'!$C$18,'Field Check'!$C$17,TEXT(Summary!$C$12-2,"0"))/100,"")))</f>
        <v/>
      </c>
      <c r="V110" s="56">
        <f>IF($C110="","",IF(Summary!$C$16="N","",IFERROR(BDP($C110,'Field Check'!$C$18,'Field Check'!$C$17,TEXT(Summary!$C$12-1,"0"))/100,"")))</f>
        <v/>
      </c>
      <c r="W110" s="57">
        <f>IF($C110="","",IFERROR(AVERAGE(R110:V110),""))</f>
        <v/>
      </c>
      <c r="X110" s="58">
        <f>IF($C110="","",IF(ISNUMBER($Q110)*(N($Q110)&gt;0)=0,"",IFERROR($J110/$Q110,"")))</f>
        <v/>
      </c>
      <c r="Y110" s="59">
        <f>IF($C110="","",IF(ISNUMBER(HSI!$I$105),HSI!$I$105/100,""))</f>
        <v/>
      </c>
      <c r="Z110" s="60">
        <f>IF($C110="","",IF(Summary!$C$16="N","",IFERROR(BDP($C110,'Field Check'!$C$19)/100,"")))</f>
        <v/>
      </c>
      <c r="AA110" s="61">
        <f>IF($C110="","",IF(N($Y110)+N($Z110)=0,"",N($Y110)+N($Z110)))</f>
        <v/>
      </c>
      <c r="AB110" s="60">
        <f>IF($C110="","",IF(Summary!$C$16="N","",IFERROR(BDP($C110,'Field Check'!$C$20)/100,"")))</f>
        <v/>
      </c>
      <c r="AC110" s="45">
        <f>IF($C110="","",IF(N($Y110)=0,"",IFERROR($AB110/$Y110,"")))</f>
        <v/>
      </c>
      <c r="AD110" s="55">
        <f>IF($C110="","",IF(Summary!$C$16="N","",IFERROR(BDP($C110,'Field Check'!$C$21),"")))</f>
        <v/>
      </c>
      <c r="AE110" s="55">
        <f>IF($C110="","",IF(Summary!$C$16="N","",IFERROR(BDP($C110,'Field Check'!$C$22),"")))</f>
        <v/>
      </c>
      <c r="AF110" s="55">
        <f>IF($C110="","",IF(Summary!$C$16="N","",IFERROR(BDP($C110,'Field Check'!$C$23),"")))</f>
        <v/>
      </c>
      <c r="AG110" s="40">
        <f>IF($C110="","",TRIM(IF(ISNUMBER($W110)*(N($W110)&gt;$D$7)&gt;0,"payout high  ","")&amp;IF(ISNUMBER($AC110)*(N($AC110)&lt;$F$7)&gt;0,"FCF below dvd  ","")&amp;IF(ISNUMBER($AE110)*(N($AE110)&gt;$H$7)&gt;0,"leverage high","")))</f>
        <v/>
      </c>
      <c r="AH110" s="40">
        <f>IF($C110="","",IF(HSI!$F$105="HKD","",IF(HSI!$F$105="","","DPS in "&amp;HSI!$F$105)))</f>
        <v/>
      </c>
    </row>
    <row r="111">
      <c r="B111" s="52" t="inlineStr">
        <is>
          <t>HSI</t>
        </is>
      </c>
      <c r="C111" s="6">
        <f>IF(HSI!$C$106="","",HSI!$C$106)</f>
        <v/>
      </c>
      <c r="D111" s="6">
        <f>IF($C111="","",HSI!$D$106)</f>
        <v/>
      </c>
      <c r="E111" s="6">
        <f>IF($C111="","",HSI!$E$106)</f>
        <v/>
      </c>
      <c r="F111" s="53">
        <f>IF($C111="","",SUMIFS('Dvd Calendar'!$E$1496:$AR$1496,'Dvd Calendar'!$E$1495:$AR$1495,"&gt;="&amp;DATE(Summary!$C$12-5,1,1),'Dvd Calendar'!$E$1495:$AR$1495,"&lt;="&amp;DATE(Summary!$C$12-5,12,31)))</f>
        <v/>
      </c>
      <c r="G111" s="53">
        <f>IF($C111="","",SUMIFS('Dvd Calendar'!$E$1496:$AR$1496,'Dvd Calendar'!$E$1495:$AR$1495,"&gt;="&amp;DATE(Summary!$C$12-4,1,1),'Dvd Calendar'!$E$1495:$AR$1495,"&lt;="&amp;DATE(Summary!$C$12-4,12,31)))</f>
        <v/>
      </c>
      <c r="H111" s="53">
        <f>IF($C111="","",SUMIFS('Dvd Calendar'!$E$1496:$AR$1496,'Dvd Calendar'!$E$1495:$AR$1495,"&gt;="&amp;DATE(Summary!$C$12-3,1,1),'Dvd Calendar'!$E$1495:$AR$1495,"&lt;="&amp;DATE(Summary!$C$12-3,12,31)))</f>
        <v/>
      </c>
      <c r="I111" s="53">
        <f>IF($C111="","",SUMIFS('Dvd Calendar'!$E$1496:$AR$1496,'Dvd Calendar'!$E$1495:$AR$1495,"&gt;="&amp;DATE(Summary!$C$12-2,1,1),'Dvd Calendar'!$E$1495:$AR$1495,"&lt;="&amp;DATE(Summary!$C$12-2,12,31)))</f>
        <v/>
      </c>
      <c r="J111" s="53">
        <f>IF($C111="","",SUMIFS('Dvd Calendar'!$E$1496:$AR$1496,'Dvd Calendar'!$E$1495:$AR$1495,"&gt;="&amp;DATE(Summary!$C$12-1,1,1),'Dvd Calendar'!$E$1495:$AR$1495,"&lt;="&amp;DATE(Summary!$C$12-1,12,31)))</f>
        <v/>
      </c>
      <c r="K111" s="54">
        <f>IF($C111="","",SUMIFS('Dvd Calendar'!$E$1496:$AR$1496,'Dvd Calendar'!$E$1495:$AR$1495,"&gt;="&amp;DATE(Summary!$C$12,1,1),'Dvd Calendar'!$E$1495:$AR$1495,"&lt;="&amp;MIN(Summary!$C$11,DATE(Summary!$C$12,12,31))))</f>
        <v/>
      </c>
      <c r="L111" s="38">
        <f>IF($C111="","",AVERAGE(F111:J111))</f>
        <v/>
      </c>
      <c r="M111" s="55">
        <f>IF($C111="","",IF(Summary!$C$16="N","",IFERROR(BDP($C111,'Field Check'!$C$16,'Field Check'!$C$17,TEXT(Summary!$C$12-5,"0")),"")))</f>
        <v/>
      </c>
      <c r="N111" s="55">
        <f>IF($C111="","",IF(Summary!$C$16="N","",IFERROR(BDP($C111,'Field Check'!$C$16,'Field Check'!$C$17,TEXT(Summary!$C$12-4,"0")),"")))</f>
        <v/>
      </c>
      <c r="O111" s="55">
        <f>IF($C111="","",IF(Summary!$C$16="N","",IFERROR(BDP($C111,'Field Check'!$C$16,'Field Check'!$C$17,TEXT(Summary!$C$12-3,"0")),"")))</f>
        <v/>
      </c>
      <c r="P111" s="55">
        <f>IF($C111="","",IF(Summary!$C$16="N","",IFERROR(BDP($C111,'Field Check'!$C$16,'Field Check'!$C$17,TEXT(Summary!$C$12-2,"0")),"")))</f>
        <v/>
      </c>
      <c r="Q111" s="55">
        <f>IF($C111="","",IF(Summary!$C$16="N","",IFERROR(BDP($C111,'Field Check'!$C$16,'Field Check'!$C$17,TEXT(Summary!$C$12-1,"0")),"")))</f>
        <v/>
      </c>
      <c r="R111" s="56">
        <f>IF($C111="","",IF(Summary!$C$16="N","",IFERROR(BDP($C111,'Field Check'!$C$18,'Field Check'!$C$17,TEXT(Summary!$C$12-5,"0"))/100,"")))</f>
        <v/>
      </c>
      <c r="S111" s="56">
        <f>IF($C111="","",IF(Summary!$C$16="N","",IFERROR(BDP($C111,'Field Check'!$C$18,'Field Check'!$C$17,TEXT(Summary!$C$12-4,"0"))/100,"")))</f>
        <v/>
      </c>
      <c r="T111" s="56">
        <f>IF($C111="","",IF(Summary!$C$16="N","",IFERROR(BDP($C111,'Field Check'!$C$18,'Field Check'!$C$17,TEXT(Summary!$C$12-3,"0"))/100,"")))</f>
        <v/>
      </c>
      <c r="U111" s="56">
        <f>IF($C111="","",IF(Summary!$C$16="N","",IFERROR(BDP($C111,'Field Check'!$C$18,'Field Check'!$C$17,TEXT(Summary!$C$12-2,"0"))/100,"")))</f>
        <v/>
      </c>
      <c r="V111" s="56">
        <f>IF($C111="","",IF(Summary!$C$16="N","",IFERROR(BDP($C111,'Field Check'!$C$18,'Field Check'!$C$17,TEXT(Summary!$C$12-1,"0"))/100,"")))</f>
        <v/>
      </c>
      <c r="W111" s="57">
        <f>IF($C111="","",IFERROR(AVERAGE(R111:V111),""))</f>
        <v/>
      </c>
      <c r="X111" s="58">
        <f>IF($C111="","",IF(ISNUMBER($Q111)*(N($Q111)&gt;0)=0,"",IFERROR($J111/$Q111,"")))</f>
        <v/>
      </c>
      <c r="Y111" s="59">
        <f>IF($C111="","",IF(ISNUMBER(HSI!$I$106),HSI!$I$106/100,""))</f>
        <v/>
      </c>
      <c r="Z111" s="60">
        <f>IF($C111="","",IF(Summary!$C$16="N","",IFERROR(BDP($C111,'Field Check'!$C$19)/100,"")))</f>
        <v/>
      </c>
      <c r="AA111" s="61">
        <f>IF($C111="","",IF(N($Y111)+N($Z111)=0,"",N($Y111)+N($Z111)))</f>
        <v/>
      </c>
      <c r="AB111" s="60">
        <f>IF($C111="","",IF(Summary!$C$16="N","",IFERROR(BDP($C111,'Field Check'!$C$20)/100,"")))</f>
        <v/>
      </c>
      <c r="AC111" s="45">
        <f>IF($C111="","",IF(N($Y111)=0,"",IFERROR($AB111/$Y111,"")))</f>
        <v/>
      </c>
      <c r="AD111" s="55">
        <f>IF($C111="","",IF(Summary!$C$16="N","",IFERROR(BDP($C111,'Field Check'!$C$21),"")))</f>
        <v/>
      </c>
      <c r="AE111" s="55">
        <f>IF($C111="","",IF(Summary!$C$16="N","",IFERROR(BDP($C111,'Field Check'!$C$22),"")))</f>
        <v/>
      </c>
      <c r="AF111" s="55">
        <f>IF($C111="","",IF(Summary!$C$16="N","",IFERROR(BDP($C111,'Field Check'!$C$23),"")))</f>
        <v/>
      </c>
      <c r="AG111" s="40">
        <f>IF($C111="","",TRIM(IF(ISNUMBER($W111)*(N($W111)&gt;$D$7)&gt;0,"payout high  ","")&amp;IF(ISNUMBER($AC111)*(N($AC111)&lt;$F$7)&gt;0,"FCF below dvd  ","")&amp;IF(ISNUMBER($AE111)*(N($AE111)&gt;$H$7)&gt;0,"leverage high","")))</f>
        <v/>
      </c>
      <c r="AH111" s="40">
        <f>IF($C111="","",IF(HSI!$F$106="HKD","",IF(HSI!$F$106="","","DPS in "&amp;HSI!$F$106)))</f>
        <v/>
      </c>
    </row>
    <row r="112">
      <c r="B112" s="52" t="inlineStr">
        <is>
          <t>HSTECH</t>
        </is>
      </c>
      <c r="C112" s="6">
        <f>IF(HSTECH!$C$7="","",HSTECH!$C$7)</f>
        <v/>
      </c>
      <c r="D112" s="6">
        <f>IF($C112="","",HSTECH!$D$7)</f>
        <v/>
      </c>
      <c r="E112" s="6">
        <f>IF($C112="","",HSTECH!$E$7)</f>
        <v/>
      </c>
      <c r="F112" s="53">
        <f>IF($C112="","",SUMIFS('Dvd Calendar'!$E$1516:$AR$1516,'Dvd Calendar'!$E$1515:$AR$1515,"&gt;="&amp;DATE(Summary!$C$12-5,1,1),'Dvd Calendar'!$E$1515:$AR$1515,"&lt;="&amp;DATE(Summary!$C$12-5,12,31)))</f>
        <v/>
      </c>
      <c r="G112" s="53">
        <f>IF($C112="","",SUMIFS('Dvd Calendar'!$E$1516:$AR$1516,'Dvd Calendar'!$E$1515:$AR$1515,"&gt;="&amp;DATE(Summary!$C$12-4,1,1),'Dvd Calendar'!$E$1515:$AR$1515,"&lt;="&amp;DATE(Summary!$C$12-4,12,31)))</f>
        <v/>
      </c>
      <c r="H112" s="53">
        <f>IF($C112="","",SUMIFS('Dvd Calendar'!$E$1516:$AR$1516,'Dvd Calendar'!$E$1515:$AR$1515,"&gt;="&amp;DATE(Summary!$C$12-3,1,1),'Dvd Calendar'!$E$1515:$AR$1515,"&lt;="&amp;DATE(Summary!$C$12-3,12,31)))</f>
        <v/>
      </c>
      <c r="I112" s="53">
        <f>IF($C112="","",SUMIFS('Dvd Calendar'!$E$1516:$AR$1516,'Dvd Calendar'!$E$1515:$AR$1515,"&gt;="&amp;DATE(Summary!$C$12-2,1,1),'Dvd Calendar'!$E$1515:$AR$1515,"&lt;="&amp;DATE(Summary!$C$12-2,12,31)))</f>
        <v/>
      </c>
      <c r="J112" s="53">
        <f>IF($C112="","",SUMIFS('Dvd Calendar'!$E$1516:$AR$1516,'Dvd Calendar'!$E$1515:$AR$1515,"&gt;="&amp;DATE(Summary!$C$12-1,1,1),'Dvd Calendar'!$E$1515:$AR$1515,"&lt;="&amp;DATE(Summary!$C$12-1,12,31)))</f>
        <v/>
      </c>
      <c r="K112" s="54">
        <f>IF($C112="","",SUMIFS('Dvd Calendar'!$E$1516:$AR$1516,'Dvd Calendar'!$E$1515:$AR$1515,"&gt;="&amp;DATE(Summary!$C$12,1,1),'Dvd Calendar'!$E$1515:$AR$1515,"&lt;="&amp;MIN(Summary!$C$11,DATE(Summary!$C$12,12,31))))</f>
        <v/>
      </c>
      <c r="L112" s="38">
        <f>IF($C112="","",AVERAGE(F112:J112))</f>
        <v/>
      </c>
      <c r="M112" s="55">
        <f>IF($C112="","",IF(Summary!$C$16="N","",IFERROR(BDP($C112,'Field Check'!$C$16,'Field Check'!$C$17,TEXT(Summary!$C$12-5,"0")),"")))</f>
        <v/>
      </c>
      <c r="N112" s="55">
        <f>IF($C112="","",IF(Summary!$C$16="N","",IFERROR(BDP($C112,'Field Check'!$C$16,'Field Check'!$C$17,TEXT(Summary!$C$12-4,"0")),"")))</f>
        <v/>
      </c>
      <c r="O112" s="55">
        <f>IF($C112="","",IF(Summary!$C$16="N","",IFERROR(BDP($C112,'Field Check'!$C$16,'Field Check'!$C$17,TEXT(Summary!$C$12-3,"0")),"")))</f>
        <v/>
      </c>
      <c r="P112" s="55">
        <f>IF($C112="","",IF(Summary!$C$16="N","",IFERROR(BDP($C112,'Field Check'!$C$16,'Field Check'!$C$17,TEXT(Summary!$C$12-2,"0")),"")))</f>
        <v/>
      </c>
      <c r="Q112" s="55">
        <f>IF($C112="","",IF(Summary!$C$16="N","",IFERROR(BDP($C112,'Field Check'!$C$16,'Field Check'!$C$17,TEXT(Summary!$C$12-1,"0")),"")))</f>
        <v/>
      </c>
      <c r="R112" s="56">
        <f>IF($C112="","",IF(Summary!$C$16="N","",IFERROR(BDP($C112,'Field Check'!$C$18,'Field Check'!$C$17,TEXT(Summary!$C$12-5,"0"))/100,"")))</f>
        <v/>
      </c>
      <c r="S112" s="56">
        <f>IF($C112="","",IF(Summary!$C$16="N","",IFERROR(BDP($C112,'Field Check'!$C$18,'Field Check'!$C$17,TEXT(Summary!$C$12-4,"0"))/100,"")))</f>
        <v/>
      </c>
      <c r="T112" s="56">
        <f>IF($C112="","",IF(Summary!$C$16="N","",IFERROR(BDP($C112,'Field Check'!$C$18,'Field Check'!$C$17,TEXT(Summary!$C$12-3,"0"))/100,"")))</f>
        <v/>
      </c>
      <c r="U112" s="56">
        <f>IF($C112="","",IF(Summary!$C$16="N","",IFERROR(BDP($C112,'Field Check'!$C$18,'Field Check'!$C$17,TEXT(Summary!$C$12-2,"0"))/100,"")))</f>
        <v/>
      </c>
      <c r="V112" s="56">
        <f>IF($C112="","",IF(Summary!$C$16="N","",IFERROR(BDP($C112,'Field Check'!$C$18,'Field Check'!$C$17,TEXT(Summary!$C$12-1,"0"))/100,"")))</f>
        <v/>
      </c>
      <c r="W112" s="57">
        <f>IF($C112="","",IFERROR(AVERAGE(R112:V112),""))</f>
        <v/>
      </c>
      <c r="X112" s="58">
        <f>IF($C112="","",IF(ISNUMBER($Q112)*(N($Q112)&gt;0)=0,"",IFERROR($J112/$Q112,"")))</f>
        <v/>
      </c>
      <c r="Y112" s="59">
        <f>IF($C112="","",IF(ISNUMBER(HSTECH!$I$7),HSTECH!$I$7/100,""))</f>
        <v/>
      </c>
      <c r="Z112" s="60">
        <f>IF($C112="","",IF(Summary!$C$16="N","",IFERROR(BDP($C112,'Field Check'!$C$19)/100,"")))</f>
        <v/>
      </c>
      <c r="AA112" s="61">
        <f>IF($C112="","",IF(N($Y112)+N($Z112)=0,"",N($Y112)+N($Z112)))</f>
        <v/>
      </c>
      <c r="AB112" s="60">
        <f>IF($C112="","",IF(Summary!$C$16="N","",IFERROR(BDP($C112,'Field Check'!$C$20)/100,"")))</f>
        <v/>
      </c>
      <c r="AC112" s="45">
        <f>IF($C112="","",IF(N($Y112)=0,"",IFERROR($AB112/$Y112,"")))</f>
        <v/>
      </c>
      <c r="AD112" s="55">
        <f>IF($C112="","",IF(Summary!$C$16="N","",IFERROR(BDP($C112,'Field Check'!$C$21),"")))</f>
        <v/>
      </c>
      <c r="AE112" s="55">
        <f>IF($C112="","",IF(Summary!$C$16="N","",IFERROR(BDP($C112,'Field Check'!$C$22),"")))</f>
        <v/>
      </c>
      <c r="AF112" s="55">
        <f>IF($C112="","",IF(Summary!$C$16="N","",IFERROR(BDP($C112,'Field Check'!$C$23),"")))</f>
        <v/>
      </c>
      <c r="AG112" s="40">
        <f>IF($C112="","",TRIM(IF(ISNUMBER($W112)*(N($W112)&gt;$D$7)&gt;0,"payout high  ","")&amp;IF(ISNUMBER($AC112)*(N($AC112)&lt;$F$7)&gt;0,"FCF below dvd  ","")&amp;IF(ISNUMBER($AE112)*(N($AE112)&gt;$H$7)&gt;0,"leverage high","")))</f>
        <v/>
      </c>
      <c r="AH112" s="40">
        <f>IF($C112="","",IF(HSTECH!$F$7="HKD","",IF(HSTECH!$F$7="","","DPS in "&amp;HSTECH!$F$7)))</f>
        <v/>
      </c>
    </row>
    <row r="113">
      <c r="B113" s="52" t="inlineStr">
        <is>
          <t>HSTECH</t>
        </is>
      </c>
      <c r="C113" s="6">
        <f>IF(HSTECH!$C$8="","",HSTECH!$C$8)</f>
        <v/>
      </c>
      <c r="D113" s="6">
        <f>IF($C113="","",HSTECH!$D$8)</f>
        <v/>
      </c>
      <c r="E113" s="6">
        <f>IF($C113="","",HSTECH!$E$8)</f>
        <v/>
      </c>
      <c r="F113" s="53">
        <f>IF($C113="","",SUMIFS('Dvd Calendar'!$E$1531:$AR$1531,'Dvd Calendar'!$E$1530:$AR$1530,"&gt;="&amp;DATE(Summary!$C$12-5,1,1),'Dvd Calendar'!$E$1530:$AR$1530,"&lt;="&amp;DATE(Summary!$C$12-5,12,31)))</f>
        <v/>
      </c>
      <c r="G113" s="53">
        <f>IF($C113="","",SUMIFS('Dvd Calendar'!$E$1531:$AR$1531,'Dvd Calendar'!$E$1530:$AR$1530,"&gt;="&amp;DATE(Summary!$C$12-4,1,1),'Dvd Calendar'!$E$1530:$AR$1530,"&lt;="&amp;DATE(Summary!$C$12-4,12,31)))</f>
        <v/>
      </c>
      <c r="H113" s="53">
        <f>IF($C113="","",SUMIFS('Dvd Calendar'!$E$1531:$AR$1531,'Dvd Calendar'!$E$1530:$AR$1530,"&gt;="&amp;DATE(Summary!$C$12-3,1,1),'Dvd Calendar'!$E$1530:$AR$1530,"&lt;="&amp;DATE(Summary!$C$12-3,12,31)))</f>
        <v/>
      </c>
      <c r="I113" s="53">
        <f>IF($C113="","",SUMIFS('Dvd Calendar'!$E$1531:$AR$1531,'Dvd Calendar'!$E$1530:$AR$1530,"&gt;="&amp;DATE(Summary!$C$12-2,1,1),'Dvd Calendar'!$E$1530:$AR$1530,"&lt;="&amp;DATE(Summary!$C$12-2,12,31)))</f>
        <v/>
      </c>
      <c r="J113" s="53">
        <f>IF($C113="","",SUMIFS('Dvd Calendar'!$E$1531:$AR$1531,'Dvd Calendar'!$E$1530:$AR$1530,"&gt;="&amp;DATE(Summary!$C$12-1,1,1),'Dvd Calendar'!$E$1530:$AR$1530,"&lt;="&amp;DATE(Summary!$C$12-1,12,31)))</f>
        <v/>
      </c>
      <c r="K113" s="54">
        <f>IF($C113="","",SUMIFS('Dvd Calendar'!$E$1531:$AR$1531,'Dvd Calendar'!$E$1530:$AR$1530,"&gt;="&amp;DATE(Summary!$C$12,1,1),'Dvd Calendar'!$E$1530:$AR$1530,"&lt;="&amp;MIN(Summary!$C$11,DATE(Summary!$C$12,12,31))))</f>
        <v/>
      </c>
      <c r="L113" s="38">
        <f>IF($C113="","",AVERAGE(F113:J113))</f>
        <v/>
      </c>
      <c r="M113" s="55">
        <f>IF($C113="","",IF(Summary!$C$16="N","",IFERROR(BDP($C113,'Field Check'!$C$16,'Field Check'!$C$17,TEXT(Summary!$C$12-5,"0")),"")))</f>
        <v/>
      </c>
      <c r="N113" s="55">
        <f>IF($C113="","",IF(Summary!$C$16="N","",IFERROR(BDP($C113,'Field Check'!$C$16,'Field Check'!$C$17,TEXT(Summary!$C$12-4,"0")),"")))</f>
        <v/>
      </c>
      <c r="O113" s="55">
        <f>IF($C113="","",IF(Summary!$C$16="N","",IFERROR(BDP($C113,'Field Check'!$C$16,'Field Check'!$C$17,TEXT(Summary!$C$12-3,"0")),"")))</f>
        <v/>
      </c>
      <c r="P113" s="55">
        <f>IF($C113="","",IF(Summary!$C$16="N","",IFERROR(BDP($C113,'Field Check'!$C$16,'Field Check'!$C$17,TEXT(Summary!$C$12-2,"0")),"")))</f>
        <v/>
      </c>
      <c r="Q113" s="55">
        <f>IF($C113="","",IF(Summary!$C$16="N","",IFERROR(BDP($C113,'Field Check'!$C$16,'Field Check'!$C$17,TEXT(Summary!$C$12-1,"0")),"")))</f>
        <v/>
      </c>
      <c r="R113" s="56">
        <f>IF($C113="","",IF(Summary!$C$16="N","",IFERROR(BDP($C113,'Field Check'!$C$18,'Field Check'!$C$17,TEXT(Summary!$C$12-5,"0"))/100,"")))</f>
        <v/>
      </c>
      <c r="S113" s="56">
        <f>IF($C113="","",IF(Summary!$C$16="N","",IFERROR(BDP($C113,'Field Check'!$C$18,'Field Check'!$C$17,TEXT(Summary!$C$12-4,"0"))/100,"")))</f>
        <v/>
      </c>
      <c r="T113" s="56">
        <f>IF($C113="","",IF(Summary!$C$16="N","",IFERROR(BDP($C113,'Field Check'!$C$18,'Field Check'!$C$17,TEXT(Summary!$C$12-3,"0"))/100,"")))</f>
        <v/>
      </c>
      <c r="U113" s="56">
        <f>IF($C113="","",IF(Summary!$C$16="N","",IFERROR(BDP($C113,'Field Check'!$C$18,'Field Check'!$C$17,TEXT(Summary!$C$12-2,"0"))/100,"")))</f>
        <v/>
      </c>
      <c r="V113" s="56">
        <f>IF($C113="","",IF(Summary!$C$16="N","",IFERROR(BDP($C113,'Field Check'!$C$18,'Field Check'!$C$17,TEXT(Summary!$C$12-1,"0"))/100,"")))</f>
        <v/>
      </c>
      <c r="W113" s="57">
        <f>IF($C113="","",IFERROR(AVERAGE(R113:V113),""))</f>
        <v/>
      </c>
      <c r="X113" s="58">
        <f>IF($C113="","",IF(ISNUMBER($Q113)*(N($Q113)&gt;0)=0,"",IFERROR($J113/$Q113,"")))</f>
        <v/>
      </c>
      <c r="Y113" s="59">
        <f>IF($C113="","",IF(ISNUMBER(HSTECH!$I$8),HSTECH!$I$8/100,""))</f>
        <v/>
      </c>
      <c r="Z113" s="60">
        <f>IF($C113="","",IF(Summary!$C$16="N","",IFERROR(BDP($C113,'Field Check'!$C$19)/100,"")))</f>
        <v/>
      </c>
      <c r="AA113" s="61">
        <f>IF($C113="","",IF(N($Y113)+N($Z113)=0,"",N($Y113)+N($Z113)))</f>
        <v/>
      </c>
      <c r="AB113" s="60">
        <f>IF($C113="","",IF(Summary!$C$16="N","",IFERROR(BDP($C113,'Field Check'!$C$20)/100,"")))</f>
        <v/>
      </c>
      <c r="AC113" s="45">
        <f>IF($C113="","",IF(N($Y113)=0,"",IFERROR($AB113/$Y113,"")))</f>
        <v/>
      </c>
      <c r="AD113" s="55">
        <f>IF($C113="","",IF(Summary!$C$16="N","",IFERROR(BDP($C113,'Field Check'!$C$21),"")))</f>
        <v/>
      </c>
      <c r="AE113" s="55">
        <f>IF($C113="","",IF(Summary!$C$16="N","",IFERROR(BDP($C113,'Field Check'!$C$22),"")))</f>
        <v/>
      </c>
      <c r="AF113" s="55">
        <f>IF($C113="","",IF(Summary!$C$16="N","",IFERROR(BDP($C113,'Field Check'!$C$23),"")))</f>
        <v/>
      </c>
      <c r="AG113" s="40">
        <f>IF($C113="","",TRIM(IF(ISNUMBER($W113)*(N($W113)&gt;$D$7)&gt;0,"payout high  ","")&amp;IF(ISNUMBER($AC113)*(N($AC113)&lt;$F$7)&gt;0,"FCF below dvd  ","")&amp;IF(ISNUMBER($AE113)*(N($AE113)&gt;$H$7)&gt;0,"leverage high","")))</f>
        <v/>
      </c>
      <c r="AH113" s="40">
        <f>IF($C113="","",IF(HSTECH!$F$8="HKD","",IF(HSTECH!$F$8="","","DPS in "&amp;HSTECH!$F$8)))</f>
        <v/>
      </c>
    </row>
    <row r="114">
      <c r="B114" s="52" t="inlineStr">
        <is>
          <t>HSTECH</t>
        </is>
      </c>
      <c r="C114" s="6">
        <f>IF(HSTECH!$C$9="","",HSTECH!$C$9)</f>
        <v/>
      </c>
      <c r="D114" s="6">
        <f>IF($C114="","",HSTECH!$D$9)</f>
        <v/>
      </c>
      <c r="E114" s="6">
        <f>IF($C114="","",HSTECH!$E$9)</f>
        <v/>
      </c>
      <c r="F114" s="53">
        <f>IF($C114="","",SUMIFS('Dvd Calendar'!$E$1546:$AR$1546,'Dvd Calendar'!$E$1545:$AR$1545,"&gt;="&amp;DATE(Summary!$C$12-5,1,1),'Dvd Calendar'!$E$1545:$AR$1545,"&lt;="&amp;DATE(Summary!$C$12-5,12,31)))</f>
        <v/>
      </c>
      <c r="G114" s="53">
        <f>IF($C114="","",SUMIFS('Dvd Calendar'!$E$1546:$AR$1546,'Dvd Calendar'!$E$1545:$AR$1545,"&gt;="&amp;DATE(Summary!$C$12-4,1,1),'Dvd Calendar'!$E$1545:$AR$1545,"&lt;="&amp;DATE(Summary!$C$12-4,12,31)))</f>
        <v/>
      </c>
      <c r="H114" s="53">
        <f>IF($C114="","",SUMIFS('Dvd Calendar'!$E$1546:$AR$1546,'Dvd Calendar'!$E$1545:$AR$1545,"&gt;="&amp;DATE(Summary!$C$12-3,1,1),'Dvd Calendar'!$E$1545:$AR$1545,"&lt;="&amp;DATE(Summary!$C$12-3,12,31)))</f>
        <v/>
      </c>
      <c r="I114" s="53">
        <f>IF($C114="","",SUMIFS('Dvd Calendar'!$E$1546:$AR$1546,'Dvd Calendar'!$E$1545:$AR$1545,"&gt;="&amp;DATE(Summary!$C$12-2,1,1),'Dvd Calendar'!$E$1545:$AR$1545,"&lt;="&amp;DATE(Summary!$C$12-2,12,31)))</f>
        <v/>
      </c>
      <c r="J114" s="53">
        <f>IF($C114="","",SUMIFS('Dvd Calendar'!$E$1546:$AR$1546,'Dvd Calendar'!$E$1545:$AR$1545,"&gt;="&amp;DATE(Summary!$C$12-1,1,1),'Dvd Calendar'!$E$1545:$AR$1545,"&lt;="&amp;DATE(Summary!$C$12-1,12,31)))</f>
        <v/>
      </c>
      <c r="K114" s="54">
        <f>IF($C114="","",SUMIFS('Dvd Calendar'!$E$1546:$AR$1546,'Dvd Calendar'!$E$1545:$AR$1545,"&gt;="&amp;DATE(Summary!$C$12,1,1),'Dvd Calendar'!$E$1545:$AR$1545,"&lt;="&amp;MIN(Summary!$C$11,DATE(Summary!$C$12,12,31))))</f>
        <v/>
      </c>
      <c r="L114" s="38">
        <f>IF($C114="","",AVERAGE(F114:J114))</f>
        <v/>
      </c>
      <c r="M114" s="55">
        <f>IF($C114="","",IF(Summary!$C$16="N","",IFERROR(BDP($C114,'Field Check'!$C$16,'Field Check'!$C$17,TEXT(Summary!$C$12-5,"0")),"")))</f>
        <v/>
      </c>
      <c r="N114" s="55">
        <f>IF($C114="","",IF(Summary!$C$16="N","",IFERROR(BDP($C114,'Field Check'!$C$16,'Field Check'!$C$17,TEXT(Summary!$C$12-4,"0")),"")))</f>
        <v/>
      </c>
      <c r="O114" s="55">
        <f>IF($C114="","",IF(Summary!$C$16="N","",IFERROR(BDP($C114,'Field Check'!$C$16,'Field Check'!$C$17,TEXT(Summary!$C$12-3,"0")),"")))</f>
        <v/>
      </c>
      <c r="P114" s="55">
        <f>IF($C114="","",IF(Summary!$C$16="N","",IFERROR(BDP($C114,'Field Check'!$C$16,'Field Check'!$C$17,TEXT(Summary!$C$12-2,"0")),"")))</f>
        <v/>
      </c>
      <c r="Q114" s="55">
        <f>IF($C114="","",IF(Summary!$C$16="N","",IFERROR(BDP($C114,'Field Check'!$C$16,'Field Check'!$C$17,TEXT(Summary!$C$12-1,"0")),"")))</f>
        <v/>
      </c>
      <c r="R114" s="56">
        <f>IF($C114="","",IF(Summary!$C$16="N","",IFERROR(BDP($C114,'Field Check'!$C$18,'Field Check'!$C$17,TEXT(Summary!$C$12-5,"0"))/100,"")))</f>
        <v/>
      </c>
      <c r="S114" s="56">
        <f>IF($C114="","",IF(Summary!$C$16="N","",IFERROR(BDP($C114,'Field Check'!$C$18,'Field Check'!$C$17,TEXT(Summary!$C$12-4,"0"))/100,"")))</f>
        <v/>
      </c>
      <c r="T114" s="56">
        <f>IF($C114="","",IF(Summary!$C$16="N","",IFERROR(BDP($C114,'Field Check'!$C$18,'Field Check'!$C$17,TEXT(Summary!$C$12-3,"0"))/100,"")))</f>
        <v/>
      </c>
      <c r="U114" s="56">
        <f>IF($C114="","",IF(Summary!$C$16="N","",IFERROR(BDP($C114,'Field Check'!$C$18,'Field Check'!$C$17,TEXT(Summary!$C$12-2,"0"))/100,"")))</f>
        <v/>
      </c>
      <c r="V114" s="56">
        <f>IF($C114="","",IF(Summary!$C$16="N","",IFERROR(BDP($C114,'Field Check'!$C$18,'Field Check'!$C$17,TEXT(Summary!$C$12-1,"0"))/100,"")))</f>
        <v/>
      </c>
      <c r="W114" s="57">
        <f>IF($C114="","",IFERROR(AVERAGE(R114:V114),""))</f>
        <v/>
      </c>
      <c r="X114" s="58">
        <f>IF($C114="","",IF(ISNUMBER($Q114)*(N($Q114)&gt;0)=0,"",IFERROR($J114/$Q114,"")))</f>
        <v/>
      </c>
      <c r="Y114" s="59">
        <f>IF($C114="","",IF(ISNUMBER(HSTECH!$I$9),HSTECH!$I$9/100,""))</f>
        <v/>
      </c>
      <c r="Z114" s="60">
        <f>IF($C114="","",IF(Summary!$C$16="N","",IFERROR(BDP($C114,'Field Check'!$C$19)/100,"")))</f>
        <v/>
      </c>
      <c r="AA114" s="61">
        <f>IF($C114="","",IF(N($Y114)+N($Z114)=0,"",N($Y114)+N($Z114)))</f>
        <v/>
      </c>
      <c r="AB114" s="60">
        <f>IF($C114="","",IF(Summary!$C$16="N","",IFERROR(BDP($C114,'Field Check'!$C$20)/100,"")))</f>
        <v/>
      </c>
      <c r="AC114" s="45">
        <f>IF($C114="","",IF(N($Y114)=0,"",IFERROR($AB114/$Y114,"")))</f>
        <v/>
      </c>
      <c r="AD114" s="55">
        <f>IF($C114="","",IF(Summary!$C$16="N","",IFERROR(BDP($C114,'Field Check'!$C$21),"")))</f>
        <v/>
      </c>
      <c r="AE114" s="55">
        <f>IF($C114="","",IF(Summary!$C$16="N","",IFERROR(BDP($C114,'Field Check'!$C$22),"")))</f>
        <v/>
      </c>
      <c r="AF114" s="55">
        <f>IF($C114="","",IF(Summary!$C$16="N","",IFERROR(BDP($C114,'Field Check'!$C$23),"")))</f>
        <v/>
      </c>
      <c r="AG114" s="40">
        <f>IF($C114="","",TRIM(IF(ISNUMBER($W114)*(N($W114)&gt;$D$7)&gt;0,"payout high  ","")&amp;IF(ISNUMBER($AC114)*(N($AC114)&lt;$F$7)&gt;0,"FCF below dvd  ","")&amp;IF(ISNUMBER($AE114)*(N($AE114)&gt;$H$7)&gt;0,"leverage high","")))</f>
        <v/>
      </c>
      <c r="AH114" s="40">
        <f>IF($C114="","",IF(HSTECH!$F$9="HKD","",IF(HSTECH!$F$9="","","DPS in "&amp;HSTECH!$F$9)))</f>
        <v/>
      </c>
    </row>
    <row r="115">
      <c r="B115" s="52" t="inlineStr">
        <is>
          <t>HSTECH</t>
        </is>
      </c>
      <c r="C115" s="6">
        <f>IF(HSTECH!$C$10="","",HSTECH!$C$10)</f>
        <v/>
      </c>
      <c r="D115" s="6">
        <f>IF($C115="","",HSTECH!$D$10)</f>
        <v/>
      </c>
      <c r="E115" s="6">
        <f>IF($C115="","",HSTECH!$E$10)</f>
        <v/>
      </c>
      <c r="F115" s="53">
        <f>IF($C115="","",SUMIFS('Dvd Calendar'!$E$1561:$AR$1561,'Dvd Calendar'!$E$1560:$AR$1560,"&gt;="&amp;DATE(Summary!$C$12-5,1,1),'Dvd Calendar'!$E$1560:$AR$1560,"&lt;="&amp;DATE(Summary!$C$12-5,12,31)))</f>
        <v/>
      </c>
      <c r="G115" s="53">
        <f>IF($C115="","",SUMIFS('Dvd Calendar'!$E$1561:$AR$1561,'Dvd Calendar'!$E$1560:$AR$1560,"&gt;="&amp;DATE(Summary!$C$12-4,1,1),'Dvd Calendar'!$E$1560:$AR$1560,"&lt;="&amp;DATE(Summary!$C$12-4,12,31)))</f>
        <v/>
      </c>
      <c r="H115" s="53">
        <f>IF($C115="","",SUMIFS('Dvd Calendar'!$E$1561:$AR$1561,'Dvd Calendar'!$E$1560:$AR$1560,"&gt;="&amp;DATE(Summary!$C$12-3,1,1),'Dvd Calendar'!$E$1560:$AR$1560,"&lt;="&amp;DATE(Summary!$C$12-3,12,31)))</f>
        <v/>
      </c>
      <c r="I115" s="53">
        <f>IF($C115="","",SUMIFS('Dvd Calendar'!$E$1561:$AR$1561,'Dvd Calendar'!$E$1560:$AR$1560,"&gt;="&amp;DATE(Summary!$C$12-2,1,1),'Dvd Calendar'!$E$1560:$AR$1560,"&lt;="&amp;DATE(Summary!$C$12-2,12,31)))</f>
        <v/>
      </c>
      <c r="J115" s="53">
        <f>IF($C115="","",SUMIFS('Dvd Calendar'!$E$1561:$AR$1561,'Dvd Calendar'!$E$1560:$AR$1560,"&gt;="&amp;DATE(Summary!$C$12-1,1,1),'Dvd Calendar'!$E$1560:$AR$1560,"&lt;="&amp;DATE(Summary!$C$12-1,12,31)))</f>
        <v/>
      </c>
      <c r="K115" s="54">
        <f>IF($C115="","",SUMIFS('Dvd Calendar'!$E$1561:$AR$1561,'Dvd Calendar'!$E$1560:$AR$1560,"&gt;="&amp;DATE(Summary!$C$12,1,1),'Dvd Calendar'!$E$1560:$AR$1560,"&lt;="&amp;MIN(Summary!$C$11,DATE(Summary!$C$12,12,31))))</f>
        <v/>
      </c>
      <c r="L115" s="38">
        <f>IF($C115="","",AVERAGE(F115:J115))</f>
        <v/>
      </c>
      <c r="M115" s="55">
        <f>IF($C115="","",IF(Summary!$C$16="N","",IFERROR(BDP($C115,'Field Check'!$C$16,'Field Check'!$C$17,TEXT(Summary!$C$12-5,"0")),"")))</f>
        <v/>
      </c>
      <c r="N115" s="55">
        <f>IF($C115="","",IF(Summary!$C$16="N","",IFERROR(BDP($C115,'Field Check'!$C$16,'Field Check'!$C$17,TEXT(Summary!$C$12-4,"0")),"")))</f>
        <v/>
      </c>
      <c r="O115" s="55">
        <f>IF($C115="","",IF(Summary!$C$16="N","",IFERROR(BDP($C115,'Field Check'!$C$16,'Field Check'!$C$17,TEXT(Summary!$C$12-3,"0")),"")))</f>
        <v/>
      </c>
      <c r="P115" s="55">
        <f>IF($C115="","",IF(Summary!$C$16="N","",IFERROR(BDP($C115,'Field Check'!$C$16,'Field Check'!$C$17,TEXT(Summary!$C$12-2,"0")),"")))</f>
        <v/>
      </c>
      <c r="Q115" s="55">
        <f>IF($C115="","",IF(Summary!$C$16="N","",IFERROR(BDP($C115,'Field Check'!$C$16,'Field Check'!$C$17,TEXT(Summary!$C$12-1,"0")),"")))</f>
        <v/>
      </c>
      <c r="R115" s="56">
        <f>IF($C115="","",IF(Summary!$C$16="N","",IFERROR(BDP($C115,'Field Check'!$C$18,'Field Check'!$C$17,TEXT(Summary!$C$12-5,"0"))/100,"")))</f>
        <v/>
      </c>
      <c r="S115" s="56">
        <f>IF($C115="","",IF(Summary!$C$16="N","",IFERROR(BDP($C115,'Field Check'!$C$18,'Field Check'!$C$17,TEXT(Summary!$C$12-4,"0"))/100,"")))</f>
        <v/>
      </c>
      <c r="T115" s="56">
        <f>IF($C115="","",IF(Summary!$C$16="N","",IFERROR(BDP($C115,'Field Check'!$C$18,'Field Check'!$C$17,TEXT(Summary!$C$12-3,"0"))/100,"")))</f>
        <v/>
      </c>
      <c r="U115" s="56">
        <f>IF($C115="","",IF(Summary!$C$16="N","",IFERROR(BDP($C115,'Field Check'!$C$18,'Field Check'!$C$17,TEXT(Summary!$C$12-2,"0"))/100,"")))</f>
        <v/>
      </c>
      <c r="V115" s="56">
        <f>IF($C115="","",IF(Summary!$C$16="N","",IFERROR(BDP($C115,'Field Check'!$C$18,'Field Check'!$C$17,TEXT(Summary!$C$12-1,"0"))/100,"")))</f>
        <v/>
      </c>
      <c r="W115" s="57">
        <f>IF($C115="","",IFERROR(AVERAGE(R115:V115),""))</f>
        <v/>
      </c>
      <c r="X115" s="58">
        <f>IF($C115="","",IF(ISNUMBER($Q115)*(N($Q115)&gt;0)=0,"",IFERROR($J115/$Q115,"")))</f>
        <v/>
      </c>
      <c r="Y115" s="59">
        <f>IF($C115="","",IF(ISNUMBER(HSTECH!$I$10),HSTECH!$I$10/100,""))</f>
        <v/>
      </c>
      <c r="Z115" s="60">
        <f>IF($C115="","",IF(Summary!$C$16="N","",IFERROR(BDP($C115,'Field Check'!$C$19)/100,"")))</f>
        <v/>
      </c>
      <c r="AA115" s="61">
        <f>IF($C115="","",IF(N($Y115)+N($Z115)=0,"",N($Y115)+N($Z115)))</f>
        <v/>
      </c>
      <c r="AB115" s="60">
        <f>IF($C115="","",IF(Summary!$C$16="N","",IFERROR(BDP($C115,'Field Check'!$C$20)/100,"")))</f>
        <v/>
      </c>
      <c r="AC115" s="45">
        <f>IF($C115="","",IF(N($Y115)=0,"",IFERROR($AB115/$Y115,"")))</f>
        <v/>
      </c>
      <c r="AD115" s="55">
        <f>IF($C115="","",IF(Summary!$C$16="N","",IFERROR(BDP($C115,'Field Check'!$C$21),"")))</f>
        <v/>
      </c>
      <c r="AE115" s="55">
        <f>IF($C115="","",IF(Summary!$C$16="N","",IFERROR(BDP($C115,'Field Check'!$C$22),"")))</f>
        <v/>
      </c>
      <c r="AF115" s="55">
        <f>IF($C115="","",IF(Summary!$C$16="N","",IFERROR(BDP($C115,'Field Check'!$C$23),"")))</f>
        <v/>
      </c>
      <c r="AG115" s="40">
        <f>IF($C115="","",TRIM(IF(ISNUMBER($W115)*(N($W115)&gt;$D$7)&gt;0,"payout high  ","")&amp;IF(ISNUMBER($AC115)*(N($AC115)&lt;$F$7)&gt;0,"FCF below dvd  ","")&amp;IF(ISNUMBER($AE115)*(N($AE115)&gt;$H$7)&gt;0,"leverage high","")))</f>
        <v/>
      </c>
      <c r="AH115" s="40">
        <f>IF($C115="","",IF(HSTECH!$F$10="HKD","",IF(HSTECH!$F$10="","","DPS in "&amp;HSTECH!$F$10)))</f>
        <v/>
      </c>
    </row>
    <row r="116">
      <c r="B116" s="52" t="inlineStr">
        <is>
          <t>HSTECH</t>
        </is>
      </c>
      <c r="C116" s="6">
        <f>IF(HSTECH!$C$11="","",HSTECH!$C$11)</f>
        <v/>
      </c>
      <c r="D116" s="6">
        <f>IF($C116="","",HSTECH!$D$11)</f>
        <v/>
      </c>
      <c r="E116" s="6">
        <f>IF($C116="","",HSTECH!$E$11)</f>
        <v/>
      </c>
      <c r="F116" s="53">
        <f>IF($C116="","",SUMIFS('Dvd Calendar'!$E$1576:$AR$1576,'Dvd Calendar'!$E$1575:$AR$1575,"&gt;="&amp;DATE(Summary!$C$12-5,1,1),'Dvd Calendar'!$E$1575:$AR$1575,"&lt;="&amp;DATE(Summary!$C$12-5,12,31)))</f>
        <v/>
      </c>
      <c r="G116" s="53">
        <f>IF($C116="","",SUMIFS('Dvd Calendar'!$E$1576:$AR$1576,'Dvd Calendar'!$E$1575:$AR$1575,"&gt;="&amp;DATE(Summary!$C$12-4,1,1),'Dvd Calendar'!$E$1575:$AR$1575,"&lt;="&amp;DATE(Summary!$C$12-4,12,31)))</f>
        <v/>
      </c>
      <c r="H116" s="53">
        <f>IF($C116="","",SUMIFS('Dvd Calendar'!$E$1576:$AR$1576,'Dvd Calendar'!$E$1575:$AR$1575,"&gt;="&amp;DATE(Summary!$C$12-3,1,1),'Dvd Calendar'!$E$1575:$AR$1575,"&lt;="&amp;DATE(Summary!$C$12-3,12,31)))</f>
        <v/>
      </c>
      <c r="I116" s="53">
        <f>IF($C116="","",SUMIFS('Dvd Calendar'!$E$1576:$AR$1576,'Dvd Calendar'!$E$1575:$AR$1575,"&gt;="&amp;DATE(Summary!$C$12-2,1,1),'Dvd Calendar'!$E$1575:$AR$1575,"&lt;="&amp;DATE(Summary!$C$12-2,12,31)))</f>
        <v/>
      </c>
      <c r="J116" s="53">
        <f>IF($C116="","",SUMIFS('Dvd Calendar'!$E$1576:$AR$1576,'Dvd Calendar'!$E$1575:$AR$1575,"&gt;="&amp;DATE(Summary!$C$12-1,1,1),'Dvd Calendar'!$E$1575:$AR$1575,"&lt;="&amp;DATE(Summary!$C$12-1,12,31)))</f>
        <v/>
      </c>
      <c r="K116" s="54">
        <f>IF($C116="","",SUMIFS('Dvd Calendar'!$E$1576:$AR$1576,'Dvd Calendar'!$E$1575:$AR$1575,"&gt;="&amp;DATE(Summary!$C$12,1,1),'Dvd Calendar'!$E$1575:$AR$1575,"&lt;="&amp;MIN(Summary!$C$11,DATE(Summary!$C$12,12,31))))</f>
        <v/>
      </c>
      <c r="L116" s="38">
        <f>IF($C116="","",AVERAGE(F116:J116))</f>
        <v/>
      </c>
      <c r="M116" s="55">
        <f>IF($C116="","",IF(Summary!$C$16="N","",IFERROR(BDP($C116,'Field Check'!$C$16,'Field Check'!$C$17,TEXT(Summary!$C$12-5,"0")),"")))</f>
        <v/>
      </c>
      <c r="N116" s="55">
        <f>IF($C116="","",IF(Summary!$C$16="N","",IFERROR(BDP($C116,'Field Check'!$C$16,'Field Check'!$C$17,TEXT(Summary!$C$12-4,"0")),"")))</f>
        <v/>
      </c>
      <c r="O116" s="55">
        <f>IF($C116="","",IF(Summary!$C$16="N","",IFERROR(BDP($C116,'Field Check'!$C$16,'Field Check'!$C$17,TEXT(Summary!$C$12-3,"0")),"")))</f>
        <v/>
      </c>
      <c r="P116" s="55">
        <f>IF($C116="","",IF(Summary!$C$16="N","",IFERROR(BDP($C116,'Field Check'!$C$16,'Field Check'!$C$17,TEXT(Summary!$C$12-2,"0")),"")))</f>
        <v/>
      </c>
      <c r="Q116" s="55">
        <f>IF($C116="","",IF(Summary!$C$16="N","",IFERROR(BDP($C116,'Field Check'!$C$16,'Field Check'!$C$17,TEXT(Summary!$C$12-1,"0")),"")))</f>
        <v/>
      </c>
      <c r="R116" s="56">
        <f>IF($C116="","",IF(Summary!$C$16="N","",IFERROR(BDP($C116,'Field Check'!$C$18,'Field Check'!$C$17,TEXT(Summary!$C$12-5,"0"))/100,"")))</f>
        <v/>
      </c>
      <c r="S116" s="56">
        <f>IF($C116="","",IF(Summary!$C$16="N","",IFERROR(BDP($C116,'Field Check'!$C$18,'Field Check'!$C$17,TEXT(Summary!$C$12-4,"0"))/100,"")))</f>
        <v/>
      </c>
      <c r="T116" s="56">
        <f>IF($C116="","",IF(Summary!$C$16="N","",IFERROR(BDP($C116,'Field Check'!$C$18,'Field Check'!$C$17,TEXT(Summary!$C$12-3,"0"))/100,"")))</f>
        <v/>
      </c>
      <c r="U116" s="56">
        <f>IF($C116="","",IF(Summary!$C$16="N","",IFERROR(BDP($C116,'Field Check'!$C$18,'Field Check'!$C$17,TEXT(Summary!$C$12-2,"0"))/100,"")))</f>
        <v/>
      </c>
      <c r="V116" s="56">
        <f>IF($C116="","",IF(Summary!$C$16="N","",IFERROR(BDP($C116,'Field Check'!$C$18,'Field Check'!$C$17,TEXT(Summary!$C$12-1,"0"))/100,"")))</f>
        <v/>
      </c>
      <c r="W116" s="57">
        <f>IF($C116="","",IFERROR(AVERAGE(R116:V116),""))</f>
        <v/>
      </c>
      <c r="X116" s="58">
        <f>IF($C116="","",IF(ISNUMBER($Q116)*(N($Q116)&gt;0)=0,"",IFERROR($J116/$Q116,"")))</f>
        <v/>
      </c>
      <c r="Y116" s="59">
        <f>IF($C116="","",IF(ISNUMBER(HSTECH!$I$11),HSTECH!$I$11/100,""))</f>
        <v/>
      </c>
      <c r="Z116" s="60">
        <f>IF($C116="","",IF(Summary!$C$16="N","",IFERROR(BDP($C116,'Field Check'!$C$19)/100,"")))</f>
        <v/>
      </c>
      <c r="AA116" s="61">
        <f>IF($C116="","",IF(N($Y116)+N($Z116)=0,"",N($Y116)+N($Z116)))</f>
        <v/>
      </c>
      <c r="AB116" s="60">
        <f>IF($C116="","",IF(Summary!$C$16="N","",IFERROR(BDP($C116,'Field Check'!$C$20)/100,"")))</f>
        <v/>
      </c>
      <c r="AC116" s="45">
        <f>IF($C116="","",IF(N($Y116)=0,"",IFERROR($AB116/$Y116,"")))</f>
        <v/>
      </c>
      <c r="AD116" s="55">
        <f>IF($C116="","",IF(Summary!$C$16="N","",IFERROR(BDP($C116,'Field Check'!$C$21),"")))</f>
        <v/>
      </c>
      <c r="AE116" s="55">
        <f>IF($C116="","",IF(Summary!$C$16="N","",IFERROR(BDP($C116,'Field Check'!$C$22),"")))</f>
        <v/>
      </c>
      <c r="AF116" s="55">
        <f>IF($C116="","",IF(Summary!$C$16="N","",IFERROR(BDP($C116,'Field Check'!$C$23),"")))</f>
        <v/>
      </c>
      <c r="AG116" s="40">
        <f>IF($C116="","",TRIM(IF(ISNUMBER($W116)*(N($W116)&gt;$D$7)&gt;0,"payout high  ","")&amp;IF(ISNUMBER($AC116)*(N($AC116)&lt;$F$7)&gt;0,"FCF below dvd  ","")&amp;IF(ISNUMBER($AE116)*(N($AE116)&gt;$H$7)&gt;0,"leverage high","")))</f>
        <v/>
      </c>
      <c r="AH116" s="40">
        <f>IF($C116="","",IF(HSTECH!$F$11="HKD","",IF(HSTECH!$F$11="","","DPS in "&amp;HSTECH!$F$11)))</f>
        <v/>
      </c>
    </row>
    <row r="117">
      <c r="B117" s="52" t="inlineStr">
        <is>
          <t>HSTECH</t>
        </is>
      </c>
      <c r="C117" s="6">
        <f>IF(HSTECH!$C$12="","",HSTECH!$C$12)</f>
        <v/>
      </c>
      <c r="D117" s="6">
        <f>IF($C117="","",HSTECH!$D$12)</f>
        <v/>
      </c>
      <c r="E117" s="6">
        <f>IF($C117="","",HSTECH!$E$12)</f>
        <v/>
      </c>
      <c r="F117" s="53">
        <f>IF($C117="","",SUMIFS('Dvd Calendar'!$E$1591:$AR$1591,'Dvd Calendar'!$E$1590:$AR$1590,"&gt;="&amp;DATE(Summary!$C$12-5,1,1),'Dvd Calendar'!$E$1590:$AR$1590,"&lt;="&amp;DATE(Summary!$C$12-5,12,31)))</f>
        <v/>
      </c>
      <c r="G117" s="53">
        <f>IF($C117="","",SUMIFS('Dvd Calendar'!$E$1591:$AR$1591,'Dvd Calendar'!$E$1590:$AR$1590,"&gt;="&amp;DATE(Summary!$C$12-4,1,1),'Dvd Calendar'!$E$1590:$AR$1590,"&lt;="&amp;DATE(Summary!$C$12-4,12,31)))</f>
        <v/>
      </c>
      <c r="H117" s="53">
        <f>IF($C117="","",SUMIFS('Dvd Calendar'!$E$1591:$AR$1591,'Dvd Calendar'!$E$1590:$AR$1590,"&gt;="&amp;DATE(Summary!$C$12-3,1,1),'Dvd Calendar'!$E$1590:$AR$1590,"&lt;="&amp;DATE(Summary!$C$12-3,12,31)))</f>
        <v/>
      </c>
      <c r="I117" s="53">
        <f>IF($C117="","",SUMIFS('Dvd Calendar'!$E$1591:$AR$1591,'Dvd Calendar'!$E$1590:$AR$1590,"&gt;="&amp;DATE(Summary!$C$12-2,1,1),'Dvd Calendar'!$E$1590:$AR$1590,"&lt;="&amp;DATE(Summary!$C$12-2,12,31)))</f>
        <v/>
      </c>
      <c r="J117" s="53">
        <f>IF($C117="","",SUMIFS('Dvd Calendar'!$E$1591:$AR$1591,'Dvd Calendar'!$E$1590:$AR$1590,"&gt;="&amp;DATE(Summary!$C$12-1,1,1),'Dvd Calendar'!$E$1590:$AR$1590,"&lt;="&amp;DATE(Summary!$C$12-1,12,31)))</f>
        <v/>
      </c>
      <c r="K117" s="54">
        <f>IF($C117="","",SUMIFS('Dvd Calendar'!$E$1591:$AR$1591,'Dvd Calendar'!$E$1590:$AR$1590,"&gt;="&amp;DATE(Summary!$C$12,1,1),'Dvd Calendar'!$E$1590:$AR$1590,"&lt;="&amp;MIN(Summary!$C$11,DATE(Summary!$C$12,12,31))))</f>
        <v/>
      </c>
      <c r="L117" s="38">
        <f>IF($C117="","",AVERAGE(F117:J117))</f>
        <v/>
      </c>
      <c r="M117" s="55">
        <f>IF($C117="","",IF(Summary!$C$16="N","",IFERROR(BDP($C117,'Field Check'!$C$16,'Field Check'!$C$17,TEXT(Summary!$C$12-5,"0")),"")))</f>
        <v/>
      </c>
      <c r="N117" s="55">
        <f>IF($C117="","",IF(Summary!$C$16="N","",IFERROR(BDP($C117,'Field Check'!$C$16,'Field Check'!$C$17,TEXT(Summary!$C$12-4,"0")),"")))</f>
        <v/>
      </c>
      <c r="O117" s="55">
        <f>IF($C117="","",IF(Summary!$C$16="N","",IFERROR(BDP($C117,'Field Check'!$C$16,'Field Check'!$C$17,TEXT(Summary!$C$12-3,"0")),"")))</f>
        <v/>
      </c>
      <c r="P117" s="55">
        <f>IF($C117="","",IF(Summary!$C$16="N","",IFERROR(BDP($C117,'Field Check'!$C$16,'Field Check'!$C$17,TEXT(Summary!$C$12-2,"0")),"")))</f>
        <v/>
      </c>
      <c r="Q117" s="55">
        <f>IF($C117="","",IF(Summary!$C$16="N","",IFERROR(BDP($C117,'Field Check'!$C$16,'Field Check'!$C$17,TEXT(Summary!$C$12-1,"0")),"")))</f>
        <v/>
      </c>
      <c r="R117" s="56">
        <f>IF($C117="","",IF(Summary!$C$16="N","",IFERROR(BDP($C117,'Field Check'!$C$18,'Field Check'!$C$17,TEXT(Summary!$C$12-5,"0"))/100,"")))</f>
        <v/>
      </c>
      <c r="S117" s="56">
        <f>IF($C117="","",IF(Summary!$C$16="N","",IFERROR(BDP($C117,'Field Check'!$C$18,'Field Check'!$C$17,TEXT(Summary!$C$12-4,"0"))/100,"")))</f>
        <v/>
      </c>
      <c r="T117" s="56">
        <f>IF($C117="","",IF(Summary!$C$16="N","",IFERROR(BDP($C117,'Field Check'!$C$18,'Field Check'!$C$17,TEXT(Summary!$C$12-3,"0"))/100,"")))</f>
        <v/>
      </c>
      <c r="U117" s="56">
        <f>IF($C117="","",IF(Summary!$C$16="N","",IFERROR(BDP($C117,'Field Check'!$C$18,'Field Check'!$C$17,TEXT(Summary!$C$12-2,"0"))/100,"")))</f>
        <v/>
      </c>
      <c r="V117" s="56">
        <f>IF($C117="","",IF(Summary!$C$16="N","",IFERROR(BDP($C117,'Field Check'!$C$18,'Field Check'!$C$17,TEXT(Summary!$C$12-1,"0"))/100,"")))</f>
        <v/>
      </c>
      <c r="W117" s="57">
        <f>IF($C117="","",IFERROR(AVERAGE(R117:V117),""))</f>
        <v/>
      </c>
      <c r="X117" s="58">
        <f>IF($C117="","",IF(ISNUMBER($Q117)*(N($Q117)&gt;0)=0,"",IFERROR($J117/$Q117,"")))</f>
        <v/>
      </c>
      <c r="Y117" s="59">
        <f>IF($C117="","",IF(ISNUMBER(HSTECH!$I$12),HSTECH!$I$12/100,""))</f>
        <v/>
      </c>
      <c r="Z117" s="60">
        <f>IF($C117="","",IF(Summary!$C$16="N","",IFERROR(BDP($C117,'Field Check'!$C$19)/100,"")))</f>
        <v/>
      </c>
      <c r="AA117" s="61">
        <f>IF($C117="","",IF(N($Y117)+N($Z117)=0,"",N($Y117)+N($Z117)))</f>
        <v/>
      </c>
      <c r="AB117" s="60">
        <f>IF($C117="","",IF(Summary!$C$16="N","",IFERROR(BDP($C117,'Field Check'!$C$20)/100,"")))</f>
        <v/>
      </c>
      <c r="AC117" s="45">
        <f>IF($C117="","",IF(N($Y117)=0,"",IFERROR($AB117/$Y117,"")))</f>
        <v/>
      </c>
      <c r="AD117" s="55">
        <f>IF($C117="","",IF(Summary!$C$16="N","",IFERROR(BDP($C117,'Field Check'!$C$21),"")))</f>
        <v/>
      </c>
      <c r="AE117" s="55">
        <f>IF($C117="","",IF(Summary!$C$16="N","",IFERROR(BDP($C117,'Field Check'!$C$22),"")))</f>
        <v/>
      </c>
      <c r="AF117" s="55">
        <f>IF($C117="","",IF(Summary!$C$16="N","",IFERROR(BDP($C117,'Field Check'!$C$23),"")))</f>
        <v/>
      </c>
      <c r="AG117" s="40">
        <f>IF($C117="","",TRIM(IF(ISNUMBER($W117)*(N($W117)&gt;$D$7)&gt;0,"payout high  ","")&amp;IF(ISNUMBER($AC117)*(N($AC117)&lt;$F$7)&gt;0,"FCF below dvd  ","")&amp;IF(ISNUMBER($AE117)*(N($AE117)&gt;$H$7)&gt;0,"leverage high","")))</f>
        <v/>
      </c>
      <c r="AH117" s="40">
        <f>IF($C117="","",IF(HSTECH!$F$12="HKD","",IF(HSTECH!$F$12="","","DPS in "&amp;HSTECH!$F$12)))</f>
        <v/>
      </c>
    </row>
    <row r="118">
      <c r="B118" s="52" t="inlineStr">
        <is>
          <t>HSTECH</t>
        </is>
      </c>
      <c r="C118" s="6">
        <f>IF(HSTECH!$C$13="","",HSTECH!$C$13)</f>
        <v/>
      </c>
      <c r="D118" s="6">
        <f>IF($C118="","",HSTECH!$D$13)</f>
        <v/>
      </c>
      <c r="E118" s="6">
        <f>IF($C118="","",HSTECH!$E$13)</f>
        <v/>
      </c>
      <c r="F118" s="53">
        <f>IF($C118="","",SUMIFS('Dvd Calendar'!$E$1606:$AR$1606,'Dvd Calendar'!$E$1605:$AR$1605,"&gt;="&amp;DATE(Summary!$C$12-5,1,1),'Dvd Calendar'!$E$1605:$AR$1605,"&lt;="&amp;DATE(Summary!$C$12-5,12,31)))</f>
        <v/>
      </c>
      <c r="G118" s="53">
        <f>IF($C118="","",SUMIFS('Dvd Calendar'!$E$1606:$AR$1606,'Dvd Calendar'!$E$1605:$AR$1605,"&gt;="&amp;DATE(Summary!$C$12-4,1,1),'Dvd Calendar'!$E$1605:$AR$1605,"&lt;="&amp;DATE(Summary!$C$12-4,12,31)))</f>
        <v/>
      </c>
      <c r="H118" s="53">
        <f>IF($C118="","",SUMIFS('Dvd Calendar'!$E$1606:$AR$1606,'Dvd Calendar'!$E$1605:$AR$1605,"&gt;="&amp;DATE(Summary!$C$12-3,1,1),'Dvd Calendar'!$E$1605:$AR$1605,"&lt;="&amp;DATE(Summary!$C$12-3,12,31)))</f>
        <v/>
      </c>
      <c r="I118" s="53">
        <f>IF($C118="","",SUMIFS('Dvd Calendar'!$E$1606:$AR$1606,'Dvd Calendar'!$E$1605:$AR$1605,"&gt;="&amp;DATE(Summary!$C$12-2,1,1),'Dvd Calendar'!$E$1605:$AR$1605,"&lt;="&amp;DATE(Summary!$C$12-2,12,31)))</f>
        <v/>
      </c>
      <c r="J118" s="53">
        <f>IF($C118="","",SUMIFS('Dvd Calendar'!$E$1606:$AR$1606,'Dvd Calendar'!$E$1605:$AR$1605,"&gt;="&amp;DATE(Summary!$C$12-1,1,1),'Dvd Calendar'!$E$1605:$AR$1605,"&lt;="&amp;DATE(Summary!$C$12-1,12,31)))</f>
        <v/>
      </c>
      <c r="K118" s="54">
        <f>IF($C118="","",SUMIFS('Dvd Calendar'!$E$1606:$AR$1606,'Dvd Calendar'!$E$1605:$AR$1605,"&gt;="&amp;DATE(Summary!$C$12,1,1),'Dvd Calendar'!$E$1605:$AR$1605,"&lt;="&amp;MIN(Summary!$C$11,DATE(Summary!$C$12,12,31))))</f>
        <v/>
      </c>
      <c r="L118" s="38">
        <f>IF($C118="","",AVERAGE(F118:J118))</f>
        <v/>
      </c>
      <c r="M118" s="55">
        <f>IF($C118="","",IF(Summary!$C$16="N","",IFERROR(BDP($C118,'Field Check'!$C$16,'Field Check'!$C$17,TEXT(Summary!$C$12-5,"0")),"")))</f>
        <v/>
      </c>
      <c r="N118" s="55">
        <f>IF($C118="","",IF(Summary!$C$16="N","",IFERROR(BDP($C118,'Field Check'!$C$16,'Field Check'!$C$17,TEXT(Summary!$C$12-4,"0")),"")))</f>
        <v/>
      </c>
      <c r="O118" s="55">
        <f>IF($C118="","",IF(Summary!$C$16="N","",IFERROR(BDP($C118,'Field Check'!$C$16,'Field Check'!$C$17,TEXT(Summary!$C$12-3,"0")),"")))</f>
        <v/>
      </c>
      <c r="P118" s="55">
        <f>IF($C118="","",IF(Summary!$C$16="N","",IFERROR(BDP($C118,'Field Check'!$C$16,'Field Check'!$C$17,TEXT(Summary!$C$12-2,"0")),"")))</f>
        <v/>
      </c>
      <c r="Q118" s="55">
        <f>IF($C118="","",IF(Summary!$C$16="N","",IFERROR(BDP($C118,'Field Check'!$C$16,'Field Check'!$C$17,TEXT(Summary!$C$12-1,"0")),"")))</f>
        <v/>
      </c>
      <c r="R118" s="56">
        <f>IF($C118="","",IF(Summary!$C$16="N","",IFERROR(BDP($C118,'Field Check'!$C$18,'Field Check'!$C$17,TEXT(Summary!$C$12-5,"0"))/100,"")))</f>
        <v/>
      </c>
      <c r="S118" s="56">
        <f>IF($C118="","",IF(Summary!$C$16="N","",IFERROR(BDP($C118,'Field Check'!$C$18,'Field Check'!$C$17,TEXT(Summary!$C$12-4,"0"))/100,"")))</f>
        <v/>
      </c>
      <c r="T118" s="56">
        <f>IF($C118="","",IF(Summary!$C$16="N","",IFERROR(BDP($C118,'Field Check'!$C$18,'Field Check'!$C$17,TEXT(Summary!$C$12-3,"0"))/100,"")))</f>
        <v/>
      </c>
      <c r="U118" s="56">
        <f>IF($C118="","",IF(Summary!$C$16="N","",IFERROR(BDP($C118,'Field Check'!$C$18,'Field Check'!$C$17,TEXT(Summary!$C$12-2,"0"))/100,"")))</f>
        <v/>
      </c>
      <c r="V118" s="56">
        <f>IF($C118="","",IF(Summary!$C$16="N","",IFERROR(BDP($C118,'Field Check'!$C$18,'Field Check'!$C$17,TEXT(Summary!$C$12-1,"0"))/100,"")))</f>
        <v/>
      </c>
      <c r="W118" s="57">
        <f>IF($C118="","",IFERROR(AVERAGE(R118:V118),""))</f>
        <v/>
      </c>
      <c r="X118" s="58">
        <f>IF($C118="","",IF(ISNUMBER($Q118)*(N($Q118)&gt;0)=0,"",IFERROR($J118/$Q118,"")))</f>
        <v/>
      </c>
      <c r="Y118" s="59">
        <f>IF($C118="","",IF(ISNUMBER(HSTECH!$I$13),HSTECH!$I$13/100,""))</f>
        <v/>
      </c>
      <c r="Z118" s="60">
        <f>IF($C118="","",IF(Summary!$C$16="N","",IFERROR(BDP($C118,'Field Check'!$C$19)/100,"")))</f>
        <v/>
      </c>
      <c r="AA118" s="61">
        <f>IF($C118="","",IF(N($Y118)+N($Z118)=0,"",N($Y118)+N($Z118)))</f>
        <v/>
      </c>
      <c r="AB118" s="60">
        <f>IF($C118="","",IF(Summary!$C$16="N","",IFERROR(BDP($C118,'Field Check'!$C$20)/100,"")))</f>
        <v/>
      </c>
      <c r="AC118" s="45">
        <f>IF($C118="","",IF(N($Y118)=0,"",IFERROR($AB118/$Y118,"")))</f>
        <v/>
      </c>
      <c r="AD118" s="55">
        <f>IF($C118="","",IF(Summary!$C$16="N","",IFERROR(BDP($C118,'Field Check'!$C$21),"")))</f>
        <v/>
      </c>
      <c r="AE118" s="55">
        <f>IF($C118="","",IF(Summary!$C$16="N","",IFERROR(BDP($C118,'Field Check'!$C$22),"")))</f>
        <v/>
      </c>
      <c r="AF118" s="55">
        <f>IF($C118="","",IF(Summary!$C$16="N","",IFERROR(BDP($C118,'Field Check'!$C$23),"")))</f>
        <v/>
      </c>
      <c r="AG118" s="40">
        <f>IF($C118="","",TRIM(IF(ISNUMBER($W118)*(N($W118)&gt;$D$7)&gt;0,"payout high  ","")&amp;IF(ISNUMBER($AC118)*(N($AC118)&lt;$F$7)&gt;0,"FCF below dvd  ","")&amp;IF(ISNUMBER($AE118)*(N($AE118)&gt;$H$7)&gt;0,"leverage high","")))</f>
        <v/>
      </c>
      <c r="AH118" s="40">
        <f>IF($C118="","",IF(HSTECH!$F$13="HKD","",IF(HSTECH!$F$13="","","DPS in "&amp;HSTECH!$F$13)))</f>
        <v/>
      </c>
    </row>
    <row r="119">
      <c r="B119" s="52" t="inlineStr">
        <is>
          <t>HSTECH</t>
        </is>
      </c>
      <c r="C119" s="6">
        <f>IF(HSTECH!$C$14="","",HSTECH!$C$14)</f>
        <v/>
      </c>
      <c r="D119" s="6">
        <f>IF($C119="","",HSTECH!$D$14)</f>
        <v/>
      </c>
      <c r="E119" s="6">
        <f>IF($C119="","",HSTECH!$E$14)</f>
        <v/>
      </c>
      <c r="F119" s="53">
        <f>IF($C119="","",SUMIFS('Dvd Calendar'!$E$1621:$AR$1621,'Dvd Calendar'!$E$1620:$AR$1620,"&gt;="&amp;DATE(Summary!$C$12-5,1,1),'Dvd Calendar'!$E$1620:$AR$1620,"&lt;="&amp;DATE(Summary!$C$12-5,12,31)))</f>
        <v/>
      </c>
      <c r="G119" s="53">
        <f>IF($C119="","",SUMIFS('Dvd Calendar'!$E$1621:$AR$1621,'Dvd Calendar'!$E$1620:$AR$1620,"&gt;="&amp;DATE(Summary!$C$12-4,1,1),'Dvd Calendar'!$E$1620:$AR$1620,"&lt;="&amp;DATE(Summary!$C$12-4,12,31)))</f>
        <v/>
      </c>
      <c r="H119" s="53">
        <f>IF($C119="","",SUMIFS('Dvd Calendar'!$E$1621:$AR$1621,'Dvd Calendar'!$E$1620:$AR$1620,"&gt;="&amp;DATE(Summary!$C$12-3,1,1),'Dvd Calendar'!$E$1620:$AR$1620,"&lt;="&amp;DATE(Summary!$C$12-3,12,31)))</f>
        <v/>
      </c>
      <c r="I119" s="53">
        <f>IF($C119="","",SUMIFS('Dvd Calendar'!$E$1621:$AR$1621,'Dvd Calendar'!$E$1620:$AR$1620,"&gt;="&amp;DATE(Summary!$C$12-2,1,1),'Dvd Calendar'!$E$1620:$AR$1620,"&lt;="&amp;DATE(Summary!$C$12-2,12,31)))</f>
        <v/>
      </c>
      <c r="J119" s="53">
        <f>IF($C119="","",SUMIFS('Dvd Calendar'!$E$1621:$AR$1621,'Dvd Calendar'!$E$1620:$AR$1620,"&gt;="&amp;DATE(Summary!$C$12-1,1,1),'Dvd Calendar'!$E$1620:$AR$1620,"&lt;="&amp;DATE(Summary!$C$12-1,12,31)))</f>
        <v/>
      </c>
      <c r="K119" s="54">
        <f>IF($C119="","",SUMIFS('Dvd Calendar'!$E$1621:$AR$1621,'Dvd Calendar'!$E$1620:$AR$1620,"&gt;="&amp;DATE(Summary!$C$12,1,1),'Dvd Calendar'!$E$1620:$AR$1620,"&lt;="&amp;MIN(Summary!$C$11,DATE(Summary!$C$12,12,31))))</f>
        <v/>
      </c>
      <c r="L119" s="38">
        <f>IF($C119="","",AVERAGE(F119:J119))</f>
        <v/>
      </c>
      <c r="M119" s="55">
        <f>IF($C119="","",IF(Summary!$C$16="N","",IFERROR(BDP($C119,'Field Check'!$C$16,'Field Check'!$C$17,TEXT(Summary!$C$12-5,"0")),"")))</f>
        <v/>
      </c>
      <c r="N119" s="55">
        <f>IF($C119="","",IF(Summary!$C$16="N","",IFERROR(BDP($C119,'Field Check'!$C$16,'Field Check'!$C$17,TEXT(Summary!$C$12-4,"0")),"")))</f>
        <v/>
      </c>
      <c r="O119" s="55">
        <f>IF($C119="","",IF(Summary!$C$16="N","",IFERROR(BDP($C119,'Field Check'!$C$16,'Field Check'!$C$17,TEXT(Summary!$C$12-3,"0")),"")))</f>
        <v/>
      </c>
      <c r="P119" s="55">
        <f>IF($C119="","",IF(Summary!$C$16="N","",IFERROR(BDP($C119,'Field Check'!$C$16,'Field Check'!$C$17,TEXT(Summary!$C$12-2,"0")),"")))</f>
        <v/>
      </c>
      <c r="Q119" s="55">
        <f>IF($C119="","",IF(Summary!$C$16="N","",IFERROR(BDP($C119,'Field Check'!$C$16,'Field Check'!$C$17,TEXT(Summary!$C$12-1,"0")),"")))</f>
        <v/>
      </c>
      <c r="R119" s="56">
        <f>IF($C119="","",IF(Summary!$C$16="N","",IFERROR(BDP($C119,'Field Check'!$C$18,'Field Check'!$C$17,TEXT(Summary!$C$12-5,"0"))/100,"")))</f>
        <v/>
      </c>
      <c r="S119" s="56">
        <f>IF($C119="","",IF(Summary!$C$16="N","",IFERROR(BDP($C119,'Field Check'!$C$18,'Field Check'!$C$17,TEXT(Summary!$C$12-4,"0"))/100,"")))</f>
        <v/>
      </c>
      <c r="T119" s="56">
        <f>IF($C119="","",IF(Summary!$C$16="N","",IFERROR(BDP($C119,'Field Check'!$C$18,'Field Check'!$C$17,TEXT(Summary!$C$12-3,"0"))/100,"")))</f>
        <v/>
      </c>
      <c r="U119" s="56">
        <f>IF($C119="","",IF(Summary!$C$16="N","",IFERROR(BDP($C119,'Field Check'!$C$18,'Field Check'!$C$17,TEXT(Summary!$C$12-2,"0"))/100,"")))</f>
        <v/>
      </c>
      <c r="V119" s="56">
        <f>IF($C119="","",IF(Summary!$C$16="N","",IFERROR(BDP($C119,'Field Check'!$C$18,'Field Check'!$C$17,TEXT(Summary!$C$12-1,"0"))/100,"")))</f>
        <v/>
      </c>
      <c r="W119" s="57">
        <f>IF($C119="","",IFERROR(AVERAGE(R119:V119),""))</f>
        <v/>
      </c>
      <c r="X119" s="58">
        <f>IF($C119="","",IF(ISNUMBER($Q119)*(N($Q119)&gt;0)=0,"",IFERROR($J119/$Q119,"")))</f>
        <v/>
      </c>
      <c r="Y119" s="59">
        <f>IF($C119="","",IF(ISNUMBER(HSTECH!$I$14),HSTECH!$I$14/100,""))</f>
        <v/>
      </c>
      <c r="Z119" s="60">
        <f>IF($C119="","",IF(Summary!$C$16="N","",IFERROR(BDP($C119,'Field Check'!$C$19)/100,"")))</f>
        <v/>
      </c>
      <c r="AA119" s="61">
        <f>IF($C119="","",IF(N($Y119)+N($Z119)=0,"",N($Y119)+N($Z119)))</f>
        <v/>
      </c>
      <c r="AB119" s="60">
        <f>IF($C119="","",IF(Summary!$C$16="N","",IFERROR(BDP($C119,'Field Check'!$C$20)/100,"")))</f>
        <v/>
      </c>
      <c r="AC119" s="45">
        <f>IF($C119="","",IF(N($Y119)=0,"",IFERROR($AB119/$Y119,"")))</f>
        <v/>
      </c>
      <c r="AD119" s="55">
        <f>IF($C119="","",IF(Summary!$C$16="N","",IFERROR(BDP($C119,'Field Check'!$C$21),"")))</f>
        <v/>
      </c>
      <c r="AE119" s="55">
        <f>IF($C119="","",IF(Summary!$C$16="N","",IFERROR(BDP($C119,'Field Check'!$C$22),"")))</f>
        <v/>
      </c>
      <c r="AF119" s="55">
        <f>IF($C119="","",IF(Summary!$C$16="N","",IFERROR(BDP($C119,'Field Check'!$C$23),"")))</f>
        <v/>
      </c>
      <c r="AG119" s="40">
        <f>IF($C119="","",TRIM(IF(ISNUMBER($W119)*(N($W119)&gt;$D$7)&gt;0,"payout high  ","")&amp;IF(ISNUMBER($AC119)*(N($AC119)&lt;$F$7)&gt;0,"FCF below dvd  ","")&amp;IF(ISNUMBER($AE119)*(N($AE119)&gt;$H$7)&gt;0,"leverage high","")))</f>
        <v/>
      </c>
      <c r="AH119" s="40">
        <f>IF($C119="","",IF(HSTECH!$F$14="HKD","",IF(HSTECH!$F$14="","","DPS in "&amp;HSTECH!$F$14)))</f>
        <v/>
      </c>
    </row>
    <row r="120">
      <c r="B120" s="52" t="inlineStr">
        <is>
          <t>HSTECH</t>
        </is>
      </c>
      <c r="C120" s="6">
        <f>IF(HSTECH!$C$15="","",HSTECH!$C$15)</f>
        <v/>
      </c>
      <c r="D120" s="6">
        <f>IF($C120="","",HSTECH!$D$15)</f>
        <v/>
      </c>
      <c r="E120" s="6">
        <f>IF($C120="","",HSTECH!$E$15)</f>
        <v/>
      </c>
      <c r="F120" s="53">
        <f>IF($C120="","",SUMIFS('Dvd Calendar'!$E$1636:$AR$1636,'Dvd Calendar'!$E$1635:$AR$1635,"&gt;="&amp;DATE(Summary!$C$12-5,1,1),'Dvd Calendar'!$E$1635:$AR$1635,"&lt;="&amp;DATE(Summary!$C$12-5,12,31)))</f>
        <v/>
      </c>
      <c r="G120" s="53">
        <f>IF($C120="","",SUMIFS('Dvd Calendar'!$E$1636:$AR$1636,'Dvd Calendar'!$E$1635:$AR$1635,"&gt;="&amp;DATE(Summary!$C$12-4,1,1),'Dvd Calendar'!$E$1635:$AR$1635,"&lt;="&amp;DATE(Summary!$C$12-4,12,31)))</f>
        <v/>
      </c>
      <c r="H120" s="53">
        <f>IF($C120="","",SUMIFS('Dvd Calendar'!$E$1636:$AR$1636,'Dvd Calendar'!$E$1635:$AR$1635,"&gt;="&amp;DATE(Summary!$C$12-3,1,1),'Dvd Calendar'!$E$1635:$AR$1635,"&lt;="&amp;DATE(Summary!$C$12-3,12,31)))</f>
        <v/>
      </c>
      <c r="I120" s="53">
        <f>IF($C120="","",SUMIFS('Dvd Calendar'!$E$1636:$AR$1636,'Dvd Calendar'!$E$1635:$AR$1635,"&gt;="&amp;DATE(Summary!$C$12-2,1,1),'Dvd Calendar'!$E$1635:$AR$1635,"&lt;="&amp;DATE(Summary!$C$12-2,12,31)))</f>
        <v/>
      </c>
      <c r="J120" s="53">
        <f>IF($C120="","",SUMIFS('Dvd Calendar'!$E$1636:$AR$1636,'Dvd Calendar'!$E$1635:$AR$1635,"&gt;="&amp;DATE(Summary!$C$12-1,1,1),'Dvd Calendar'!$E$1635:$AR$1635,"&lt;="&amp;DATE(Summary!$C$12-1,12,31)))</f>
        <v/>
      </c>
      <c r="K120" s="54">
        <f>IF($C120="","",SUMIFS('Dvd Calendar'!$E$1636:$AR$1636,'Dvd Calendar'!$E$1635:$AR$1635,"&gt;="&amp;DATE(Summary!$C$12,1,1),'Dvd Calendar'!$E$1635:$AR$1635,"&lt;="&amp;MIN(Summary!$C$11,DATE(Summary!$C$12,12,31))))</f>
        <v/>
      </c>
      <c r="L120" s="38">
        <f>IF($C120="","",AVERAGE(F120:J120))</f>
        <v/>
      </c>
      <c r="M120" s="55">
        <f>IF($C120="","",IF(Summary!$C$16="N","",IFERROR(BDP($C120,'Field Check'!$C$16,'Field Check'!$C$17,TEXT(Summary!$C$12-5,"0")),"")))</f>
        <v/>
      </c>
      <c r="N120" s="55">
        <f>IF($C120="","",IF(Summary!$C$16="N","",IFERROR(BDP($C120,'Field Check'!$C$16,'Field Check'!$C$17,TEXT(Summary!$C$12-4,"0")),"")))</f>
        <v/>
      </c>
      <c r="O120" s="55">
        <f>IF($C120="","",IF(Summary!$C$16="N","",IFERROR(BDP($C120,'Field Check'!$C$16,'Field Check'!$C$17,TEXT(Summary!$C$12-3,"0")),"")))</f>
        <v/>
      </c>
      <c r="P120" s="55">
        <f>IF($C120="","",IF(Summary!$C$16="N","",IFERROR(BDP($C120,'Field Check'!$C$16,'Field Check'!$C$17,TEXT(Summary!$C$12-2,"0")),"")))</f>
        <v/>
      </c>
      <c r="Q120" s="55">
        <f>IF($C120="","",IF(Summary!$C$16="N","",IFERROR(BDP($C120,'Field Check'!$C$16,'Field Check'!$C$17,TEXT(Summary!$C$12-1,"0")),"")))</f>
        <v/>
      </c>
      <c r="R120" s="56">
        <f>IF($C120="","",IF(Summary!$C$16="N","",IFERROR(BDP($C120,'Field Check'!$C$18,'Field Check'!$C$17,TEXT(Summary!$C$12-5,"0"))/100,"")))</f>
        <v/>
      </c>
      <c r="S120" s="56">
        <f>IF($C120="","",IF(Summary!$C$16="N","",IFERROR(BDP($C120,'Field Check'!$C$18,'Field Check'!$C$17,TEXT(Summary!$C$12-4,"0"))/100,"")))</f>
        <v/>
      </c>
      <c r="T120" s="56">
        <f>IF($C120="","",IF(Summary!$C$16="N","",IFERROR(BDP($C120,'Field Check'!$C$18,'Field Check'!$C$17,TEXT(Summary!$C$12-3,"0"))/100,"")))</f>
        <v/>
      </c>
      <c r="U120" s="56">
        <f>IF($C120="","",IF(Summary!$C$16="N","",IFERROR(BDP($C120,'Field Check'!$C$18,'Field Check'!$C$17,TEXT(Summary!$C$12-2,"0"))/100,"")))</f>
        <v/>
      </c>
      <c r="V120" s="56">
        <f>IF($C120="","",IF(Summary!$C$16="N","",IFERROR(BDP($C120,'Field Check'!$C$18,'Field Check'!$C$17,TEXT(Summary!$C$12-1,"0"))/100,"")))</f>
        <v/>
      </c>
      <c r="W120" s="57">
        <f>IF($C120="","",IFERROR(AVERAGE(R120:V120),""))</f>
        <v/>
      </c>
      <c r="X120" s="58">
        <f>IF($C120="","",IF(ISNUMBER($Q120)*(N($Q120)&gt;0)=0,"",IFERROR($J120/$Q120,"")))</f>
        <v/>
      </c>
      <c r="Y120" s="59">
        <f>IF($C120="","",IF(ISNUMBER(HSTECH!$I$15),HSTECH!$I$15/100,""))</f>
        <v/>
      </c>
      <c r="Z120" s="60">
        <f>IF($C120="","",IF(Summary!$C$16="N","",IFERROR(BDP($C120,'Field Check'!$C$19)/100,"")))</f>
        <v/>
      </c>
      <c r="AA120" s="61">
        <f>IF($C120="","",IF(N($Y120)+N($Z120)=0,"",N($Y120)+N($Z120)))</f>
        <v/>
      </c>
      <c r="AB120" s="60">
        <f>IF($C120="","",IF(Summary!$C$16="N","",IFERROR(BDP($C120,'Field Check'!$C$20)/100,"")))</f>
        <v/>
      </c>
      <c r="AC120" s="45">
        <f>IF($C120="","",IF(N($Y120)=0,"",IFERROR($AB120/$Y120,"")))</f>
        <v/>
      </c>
      <c r="AD120" s="55">
        <f>IF($C120="","",IF(Summary!$C$16="N","",IFERROR(BDP($C120,'Field Check'!$C$21),"")))</f>
        <v/>
      </c>
      <c r="AE120" s="55">
        <f>IF($C120="","",IF(Summary!$C$16="N","",IFERROR(BDP($C120,'Field Check'!$C$22),"")))</f>
        <v/>
      </c>
      <c r="AF120" s="55">
        <f>IF($C120="","",IF(Summary!$C$16="N","",IFERROR(BDP($C120,'Field Check'!$C$23),"")))</f>
        <v/>
      </c>
      <c r="AG120" s="40">
        <f>IF($C120="","",TRIM(IF(ISNUMBER($W120)*(N($W120)&gt;$D$7)&gt;0,"payout high  ","")&amp;IF(ISNUMBER($AC120)*(N($AC120)&lt;$F$7)&gt;0,"FCF below dvd  ","")&amp;IF(ISNUMBER($AE120)*(N($AE120)&gt;$H$7)&gt;0,"leverage high","")))</f>
        <v/>
      </c>
      <c r="AH120" s="40">
        <f>IF($C120="","",IF(HSTECH!$F$15="HKD","",IF(HSTECH!$F$15="","","DPS in "&amp;HSTECH!$F$15)))</f>
        <v/>
      </c>
    </row>
    <row r="121">
      <c r="B121" s="52" t="inlineStr">
        <is>
          <t>HSTECH</t>
        </is>
      </c>
      <c r="C121" s="6">
        <f>IF(HSTECH!$C$16="","",HSTECH!$C$16)</f>
        <v/>
      </c>
      <c r="D121" s="6">
        <f>IF($C121="","",HSTECH!$D$16)</f>
        <v/>
      </c>
      <c r="E121" s="6">
        <f>IF($C121="","",HSTECH!$E$16)</f>
        <v/>
      </c>
      <c r="F121" s="53">
        <f>IF($C121="","",SUMIFS('Dvd Calendar'!$E$1651:$AR$1651,'Dvd Calendar'!$E$1650:$AR$1650,"&gt;="&amp;DATE(Summary!$C$12-5,1,1),'Dvd Calendar'!$E$1650:$AR$1650,"&lt;="&amp;DATE(Summary!$C$12-5,12,31)))</f>
        <v/>
      </c>
      <c r="G121" s="53">
        <f>IF($C121="","",SUMIFS('Dvd Calendar'!$E$1651:$AR$1651,'Dvd Calendar'!$E$1650:$AR$1650,"&gt;="&amp;DATE(Summary!$C$12-4,1,1),'Dvd Calendar'!$E$1650:$AR$1650,"&lt;="&amp;DATE(Summary!$C$12-4,12,31)))</f>
        <v/>
      </c>
      <c r="H121" s="53">
        <f>IF($C121="","",SUMIFS('Dvd Calendar'!$E$1651:$AR$1651,'Dvd Calendar'!$E$1650:$AR$1650,"&gt;="&amp;DATE(Summary!$C$12-3,1,1),'Dvd Calendar'!$E$1650:$AR$1650,"&lt;="&amp;DATE(Summary!$C$12-3,12,31)))</f>
        <v/>
      </c>
      <c r="I121" s="53">
        <f>IF($C121="","",SUMIFS('Dvd Calendar'!$E$1651:$AR$1651,'Dvd Calendar'!$E$1650:$AR$1650,"&gt;="&amp;DATE(Summary!$C$12-2,1,1),'Dvd Calendar'!$E$1650:$AR$1650,"&lt;="&amp;DATE(Summary!$C$12-2,12,31)))</f>
        <v/>
      </c>
      <c r="J121" s="53">
        <f>IF($C121="","",SUMIFS('Dvd Calendar'!$E$1651:$AR$1651,'Dvd Calendar'!$E$1650:$AR$1650,"&gt;="&amp;DATE(Summary!$C$12-1,1,1),'Dvd Calendar'!$E$1650:$AR$1650,"&lt;="&amp;DATE(Summary!$C$12-1,12,31)))</f>
        <v/>
      </c>
      <c r="K121" s="54">
        <f>IF($C121="","",SUMIFS('Dvd Calendar'!$E$1651:$AR$1651,'Dvd Calendar'!$E$1650:$AR$1650,"&gt;="&amp;DATE(Summary!$C$12,1,1),'Dvd Calendar'!$E$1650:$AR$1650,"&lt;="&amp;MIN(Summary!$C$11,DATE(Summary!$C$12,12,31))))</f>
        <v/>
      </c>
      <c r="L121" s="38">
        <f>IF($C121="","",AVERAGE(F121:J121))</f>
        <v/>
      </c>
      <c r="M121" s="55">
        <f>IF($C121="","",IF(Summary!$C$16="N","",IFERROR(BDP($C121,'Field Check'!$C$16,'Field Check'!$C$17,TEXT(Summary!$C$12-5,"0")),"")))</f>
        <v/>
      </c>
      <c r="N121" s="55">
        <f>IF($C121="","",IF(Summary!$C$16="N","",IFERROR(BDP($C121,'Field Check'!$C$16,'Field Check'!$C$17,TEXT(Summary!$C$12-4,"0")),"")))</f>
        <v/>
      </c>
      <c r="O121" s="55">
        <f>IF($C121="","",IF(Summary!$C$16="N","",IFERROR(BDP($C121,'Field Check'!$C$16,'Field Check'!$C$17,TEXT(Summary!$C$12-3,"0")),"")))</f>
        <v/>
      </c>
      <c r="P121" s="55">
        <f>IF($C121="","",IF(Summary!$C$16="N","",IFERROR(BDP($C121,'Field Check'!$C$16,'Field Check'!$C$17,TEXT(Summary!$C$12-2,"0")),"")))</f>
        <v/>
      </c>
      <c r="Q121" s="55">
        <f>IF($C121="","",IF(Summary!$C$16="N","",IFERROR(BDP($C121,'Field Check'!$C$16,'Field Check'!$C$17,TEXT(Summary!$C$12-1,"0")),"")))</f>
        <v/>
      </c>
      <c r="R121" s="56">
        <f>IF($C121="","",IF(Summary!$C$16="N","",IFERROR(BDP($C121,'Field Check'!$C$18,'Field Check'!$C$17,TEXT(Summary!$C$12-5,"0"))/100,"")))</f>
        <v/>
      </c>
      <c r="S121" s="56">
        <f>IF($C121="","",IF(Summary!$C$16="N","",IFERROR(BDP($C121,'Field Check'!$C$18,'Field Check'!$C$17,TEXT(Summary!$C$12-4,"0"))/100,"")))</f>
        <v/>
      </c>
      <c r="T121" s="56">
        <f>IF($C121="","",IF(Summary!$C$16="N","",IFERROR(BDP($C121,'Field Check'!$C$18,'Field Check'!$C$17,TEXT(Summary!$C$12-3,"0"))/100,"")))</f>
        <v/>
      </c>
      <c r="U121" s="56">
        <f>IF($C121="","",IF(Summary!$C$16="N","",IFERROR(BDP($C121,'Field Check'!$C$18,'Field Check'!$C$17,TEXT(Summary!$C$12-2,"0"))/100,"")))</f>
        <v/>
      </c>
      <c r="V121" s="56">
        <f>IF($C121="","",IF(Summary!$C$16="N","",IFERROR(BDP($C121,'Field Check'!$C$18,'Field Check'!$C$17,TEXT(Summary!$C$12-1,"0"))/100,"")))</f>
        <v/>
      </c>
      <c r="W121" s="57">
        <f>IF($C121="","",IFERROR(AVERAGE(R121:V121),""))</f>
        <v/>
      </c>
      <c r="X121" s="58">
        <f>IF($C121="","",IF(ISNUMBER($Q121)*(N($Q121)&gt;0)=0,"",IFERROR($J121/$Q121,"")))</f>
        <v/>
      </c>
      <c r="Y121" s="59">
        <f>IF($C121="","",IF(ISNUMBER(HSTECH!$I$16),HSTECH!$I$16/100,""))</f>
        <v/>
      </c>
      <c r="Z121" s="60">
        <f>IF($C121="","",IF(Summary!$C$16="N","",IFERROR(BDP($C121,'Field Check'!$C$19)/100,"")))</f>
        <v/>
      </c>
      <c r="AA121" s="61">
        <f>IF($C121="","",IF(N($Y121)+N($Z121)=0,"",N($Y121)+N($Z121)))</f>
        <v/>
      </c>
      <c r="AB121" s="60">
        <f>IF($C121="","",IF(Summary!$C$16="N","",IFERROR(BDP($C121,'Field Check'!$C$20)/100,"")))</f>
        <v/>
      </c>
      <c r="AC121" s="45">
        <f>IF($C121="","",IF(N($Y121)=0,"",IFERROR($AB121/$Y121,"")))</f>
        <v/>
      </c>
      <c r="AD121" s="55">
        <f>IF($C121="","",IF(Summary!$C$16="N","",IFERROR(BDP($C121,'Field Check'!$C$21),"")))</f>
        <v/>
      </c>
      <c r="AE121" s="55">
        <f>IF($C121="","",IF(Summary!$C$16="N","",IFERROR(BDP($C121,'Field Check'!$C$22),"")))</f>
        <v/>
      </c>
      <c r="AF121" s="55">
        <f>IF($C121="","",IF(Summary!$C$16="N","",IFERROR(BDP($C121,'Field Check'!$C$23),"")))</f>
        <v/>
      </c>
      <c r="AG121" s="40">
        <f>IF($C121="","",TRIM(IF(ISNUMBER($W121)*(N($W121)&gt;$D$7)&gt;0,"payout high  ","")&amp;IF(ISNUMBER($AC121)*(N($AC121)&lt;$F$7)&gt;0,"FCF below dvd  ","")&amp;IF(ISNUMBER($AE121)*(N($AE121)&gt;$H$7)&gt;0,"leverage high","")))</f>
        <v/>
      </c>
      <c r="AH121" s="40">
        <f>IF($C121="","",IF(HSTECH!$F$16="HKD","",IF(HSTECH!$F$16="","","DPS in "&amp;HSTECH!$F$16)))</f>
        <v/>
      </c>
    </row>
    <row r="122">
      <c r="B122" s="52" t="inlineStr">
        <is>
          <t>HSTECH</t>
        </is>
      </c>
      <c r="C122" s="6">
        <f>IF(HSTECH!$C$17="","",HSTECH!$C$17)</f>
        <v/>
      </c>
      <c r="D122" s="6">
        <f>IF($C122="","",HSTECH!$D$17)</f>
        <v/>
      </c>
      <c r="E122" s="6">
        <f>IF($C122="","",HSTECH!$E$17)</f>
        <v/>
      </c>
      <c r="F122" s="53">
        <f>IF($C122="","",SUMIFS('Dvd Calendar'!$E$1666:$AR$1666,'Dvd Calendar'!$E$1665:$AR$1665,"&gt;="&amp;DATE(Summary!$C$12-5,1,1),'Dvd Calendar'!$E$1665:$AR$1665,"&lt;="&amp;DATE(Summary!$C$12-5,12,31)))</f>
        <v/>
      </c>
      <c r="G122" s="53">
        <f>IF($C122="","",SUMIFS('Dvd Calendar'!$E$1666:$AR$1666,'Dvd Calendar'!$E$1665:$AR$1665,"&gt;="&amp;DATE(Summary!$C$12-4,1,1),'Dvd Calendar'!$E$1665:$AR$1665,"&lt;="&amp;DATE(Summary!$C$12-4,12,31)))</f>
        <v/>
      </c>
      <c r="H122" s="53">
        <f>IF($C122="","",SUMIFS('Dvd Calendar'!$E$1666:$AR$1666,'Dvd Calendar'!$E$1665:$AR$1665,"&gt;="&amp;DATE(Summary!$C$12-3,1,1),'Dvd Calendar'!$E$1665:$AR$1665,"&lt;="&amp;DATE(Summary!$C$12-3,12,31)))</f>
        <v/>
      </c>
      <c r="I122" s="53">
        <f>IF($C122="","",SUMIFS('Dvd Calendar'!$E$1666:$AR$1666,'Dvd Calendar'!$E$1665:$AR$1665,"&gt;="&amp;DATE(Summary!$C$12-2,1,1),'Dvd Calendar'!$E$1665:$AR$1665,"&lt;="&amp;DATE(Summary!$C$12-2,12,31)))</f>
        <v/>
      </c>
      <c r="J122" s="53">
        <f>IF($C122="","",SUMIFS('Dvd Calendar'!$E$1666:$AR$1666,'Dvd Calendar'!$E$1665:$AR$1665,"&gt;="&amp;DATE(Summary!$C$12-1,1,1),'Dvd Calendar'!$E$1665:$AR$1665,"&lt;="&amp;DATE(Summary!$C$12-1,12,31)))</f>
        <v/>
      </c>
      <c r="K122" s="54">
        <f>IF($C122="","",SUMIFS('Dvd Calendar'!$E$1666:$AR$1666,'Dvd Calendar'!$E$1665:$AR$1665,"&gt;="&amp;DATE(Summary!$C$12,1,1),'Dvd Calendar'!$E$1665:$AR$1665,"&lt;="&amp;MIN(Summary!$C$11,DATE(Summary!$C$12,12,31))))</f>
        <v/>
      </c>
      <c r="L122" s="38">
        <f>IF($C122="","",AVERAGE(F122:J122))</f>
        <v/>
      </c>
      <c r="M122" s="55">
        <f>IF($C122="","",IF(Summary!$C$16="N","",IFERROR(BDP($C122,'Field Check'!$C$16,'Field Check'!$C$17,TEXT(Summary!$C$12-5,"0")),"")))</f>
        <v/>
      </c>
      <c r="N122" s="55">
        <f>IF($C122="","",IF(Summary!$C$16="N","",IFERROR(BDP($C122,'Field Check'!$C$16,'Field Check'!$C$17,TEXT(Summary!$C$12-4,"0")),"")))</f>
        <v/>
      </c>
      <c r="O122" s="55">
        <f>IF($C122="","",IF(Summary!$C$16="N","",IFERROR(BDP($C122,'Field Check'!$C$16,'Field Check'!$C$17,TEXT(Summary!$C$12-3,"0")),"")))</f>
        <v/>
      </c>
      <c r="P122" s="55">
        <f>IF($C122="","",IF(Summary!$C$16="N","",IFERROR(BDP($C122,'Field Check'!$C$16,'Field Check'!$C$17,TEXT(Summary!$C$12-2,"0")),"")))</f>
        <v/>
      </c>
      <c r="Q122" s="55">
        <f>IF($C122="","",IF(Summary!$C$16="N","",IFERROR(BDP($C122,'Field Check'!$C$16,'Field Check'!$C$17,TEXT(Summary!$C$12-1,"0")),"")))</f>
        <v/>
      </c>
      <c r="R122" s="56">
        <f>IF($C122="","",IF(Summary!$C$16="N","",IFERROR(BDP($C122,'Field Check'!$C$18,'Field Check'!$C$17,TEXT(Summary!$C$12-5,"0"))/100,"")))</f>
        <v/>
      </c>
      <c r="S122" s="56">
        <f>IF($C122="","",IF(Summary!$C$16="N","",IFERROR(BDP($C122,'Field Check'!$C$18,'Field Check'!$C$17,TEXT(Summary!$C$12-4,"0"))/100,"")))</f>
        <v/>
      </c>
      <c r="T122" s="56">
        <f>IF($C122="","",IF(Summary!$C$16="N","",IFERROR(BDP($C122,'Field Check'!$C$18,'Field Check'!$C$17,TEXT(Summary!$C$12-3,"0"))/100,"")))</f>
        <v/>
      </c>
      <c r="U122" s="56">
        <f>IF($C122="","",IF(Summary!$C$16="N","",IFERROR(BDP($C122,'Field Check'!$C$18,'Field Check'!$C$17,TEXT(Summary!$C$12-2,"0"))/100,"")))</f>
        <v/>
      </c>
      <c r="V122" s="56">
        <f>IF($C122="","",IF(Summary!$C$16="N","",IFERROR(BDP($C122,'Field Check'!$C$18,'Field Check'!$C$17,TEXT(Summary!$C$12-1,"0"))/100,"")))</f>
        <v/>
      </c>
      <c r="W122" s="57">
        <f>IF($C122="","",IFERROR(AVERAGE(R122:V122),""))</f>
        <v/>
      </c>
      <c r="X122" s="58">
        <f>IF($C122="","",IF(ISNUMBER($Q122)*(N($Q122)&gt;0)=0,"",IFERROR($J122/$Q122,"")))</f>
        <v/>
      </c>
      <c r="Y122" s="59">
        <f>IF($C122="","",IF(ISNUMBER(HSTECH!$I$17),HSTECH!$I$17/100,""))</f>
        <v/>
      </c>
      <c r="Z122" s="60">
        <f>IF($C122="","",IF(Summary!$C$16="N","",IFERROR(BDP($C122,'Field Check'!$C$19)/100,"")))</f>
        <v/>
      </c>
      <c r="AA122" s="61">
        <f>IF($C122="","",IF(N($Y122)+N($Z122)=0,"",N($Y122)+N($Z122)))</f>
        <v/>
      </c>
      <c r="AB122" s="60">
        <f>IF($C122="","",IF(Summary!$C$16="N","",IFERROR(BDP($C122,'Field Check'!$C$20)/100,"")))</f>
        <v/>
      </c>
      <c r="AC122" s="45">
        <f>IF($C122="","",IF(N($Y122)=0,"",IFERROR($AB122/$Y122,"")))</f>
        <v/>
      </c>
      <c r="AD122" s="55">
        <f>IF($C122="","",IF(Summary!$C$16="N","",IFERROR(BDP($C122,'Field Check'!$C$21),"")))</f>
        <v/>
      </c>
      <c r="AE122" s="55">
        <f>IF($C122="","",IF(Summary!$C$16="N","",IFERROR(BDP($C122,'Field Check'!$C$22),"")))</f>
        <v/>
      </c>
      <c r="AF122" s="55">
        <f>IF($C122="","",IF(Summary!$C$16="N","",IFERROR(BDP($C122,'Field Check'!$C$23),"")))</f>
        <v/>
      </c>
      <c r="AG122" s="40">
        <f>IF($C122="","",TRIM(IF(ISNUMBER($W122)*(N($W122)&gt;$D$7)&gt;0,"payout high  ","")&amp;IF(ISNUMBER($AC122)*(N($AC122)&lt;$F$7)&gt;0,"FCF below dvd  ","")&amp;IF(ISNUMBER($AE122)*(N($AE122)&gt;$H$7)&gt;0,"leverage high","")))</f>
        <v/>
      </c>
      <c r="AH122" s="40">
        <f>IF($C122="","",IF(HSTECH!$F$17="HKD","",IF(HSTECH!$F$17="","","DPS in "&amp;HSTECH!$F$17)))</f>
        <v/>
      </c>
    </row>
    <row r="123">
      <c r="B123" s="52" t="inlineStr">
        <is>
          <t>HSTECH</t>
        </is>
      </c>
      <c r="C123" s="6">
        <f>IF(HSTECH!$C$18="","",HSTECH!$C$18)</f>
        <v/>
      </c>
      <c r="D123" s="6">
        <f>IF($C123="","",HSTECH!$D$18)</f>
        <v/>
      </c>
      <c r="E123" s="6">
        <f>IF($C123="","",HSTECH!$E$18)</f>
        <v/>
      </c>
      <c r="F123" s="53">
        <f>IF($C123="","",SUMIFS('Dvd Calendar'!$E$1681:$AR$1681,'Dvd Calendar'!$E$1680:$AR$1680,"&gt;="&amp;DATE(Summary!$C$12-5,1,1),'Dvd Calendar'!$E$1680:$AR$1680,"&lt;="&amp;DATE(Summary!$C$12-5,12,31)))</f>
        <v/>
      </c>
      <c r="G123" s="53">
        <f>IF($C123="","",SUMIFS('Dvd Calendar'!$E$1681:$AR$1681,'Dvd Calendar'!$E$1680:$AR$1680,"&gt;="&amp;DATE(Summary!$C$12-4,1,1),'Dvd Calendar'!$E$1680:$AR$1680,"&lt;="&amp;DATE(Summary!$C$12-4,12,31)))</f>
        <v/>
      </c>
      <c r="H123" s="53">
        <f>IF($C123="","",SUMIFS('Dvd Calendar'!$E$1681:$AR$1681,'Dvd Calendar'!$E$1680:$AR$1680,"&gt;="&amp;DATE(Summary!$C$12-3,1,1),'Dvd Calendar'!$E$1680:$AR$1680,"&lt;="&amp;DATE(Summary!$C$12-3,12,31)))</f>
        <v/>
      </c>
      <c r="I123" s="53">
        <f>IF($C123="","",SUMIFS('Dvd Calendar'!$E$1681:$AR$1681,'Dvd Calendar'!$E$1680:$AR$1680,"&gt;="&amp;DATE(Summary!$C$12-2,1,1),'Dvd Calendar'!$E$1680:$AR$1680,"&lt;="&amp;DATE(Summary!$C$12-2,12,31)))</f>
        <v/>
      </c>
      <c r="J123" s="53">
        <f>IF($C123="","",SUMIFS('Dvd Calendar'!$E$1681:$AR$1681,'Dvd Calendar'!$E$1680:$AR$1680,"&gt;="&amp;DATE(Summary!$C$12-1,1,1),'Dvd Calendar'!$E$1680:$AR$1680,"&lt;="&amp;DATE(Summary!$C$12-1,12,31)))</f>
        <v/>
      </c>
      <c r="K123" s="54">
        <f>IF($C123="","",SUMIFS('Dvd Calendar'!$E$1681:$AR$1681,'Dvd Calendar'!$E$1680:$AR$1680,"&gt;="&amp;DATE(Summary!$C$12,1,1),'Dvd Calendar'!$E$1680:$AR$1680,"&lt;="&amp;MIN(Summary!$C$11,DATE(Summary!$C$12,12,31))))</f>
        <v/>
      </c>
      <c r="L123" s="38">
        <f>IF($C123="","",AVERAGE(F123:J123))</f>
        <v/>
      </c>
      <c r="M123" s="55">
        <f>IF($C123="","",IF(Summary!$C$16="N","",IFERROR(BDP($C123,'Field Check'!$C$16,'Field Check'!$C$17,TEXT(Summary!$C$12-5,"0")),"")))</f>
        <v/>
      </c>
      <c r="N123" s="55">
        <f>IF($C123="","",IF(Summary!$C$16="N","",IFERROR(BDP($C123,'Field Check'!$C$16,'Field Check'!$C$17,TEXT(Summary!$C$12-4,"0")),"")))</f>
        <v/>
      </c>
      <c r="O123" s="55">
        <f>IF($C123="","",IF(Summary!$C$16="N","",IFERROR(BDP($C123,'Field Check'!$C$16,'Field Check'!$C$17,TEXT(Summary!$C$12-3,"0")),"")))</f>
        <v/>
      </c>
      <c r="P123" s="55">
        <f>IF($C123="","",IF(Summary!$C$16="N","",IFERROR(BDP($C123,'Field Check'!$C$16,'Field Check'!$C$17,TEXT(Summary!$C$12-2,"0")),"")))</f>
        <v/>
      </c>
      <c r="Q123" s="55">
        <f>IF($C123="","",IF(Summary!$C$16="N","",IFERROR(BDP($C123,'Field Check'!$C$16,'Field Check'!$C$17,TEXT(Summary!$C$12-1,"0")),"")))</f>
        <v/>
      </c>
      <c r="R123" s="56">
        <f>IF($C123="","",IF(Summary!$C$16="N","",IFERROR(BDP($C123,'Field Check'!$C$18,'Field Check'!$C$17,TEXT(Summary!$C$12-5,"0"))/100,"")))</f>
        <v/>
      </c>
      <c r="S123" s="56">
        <f>IF($C123="","",IF(Summary!$C$16="N","",IFERROR(BDP($C123,'Field Check'!$C$18,'Field Check'!$C$17,TEXT(Summary!$C$12-4,"0"))/100,"")))</f>
        <v/>
      </c>
      <c r="T123" s="56">
        <f>IF($C123="","",IF(Summary!$C$16="N","",IFERROR(BDP($C123,'Field Check'!$C$18,'Field Check'!$C$17,TEXT(Summary!$C$12-3,"0"))/100,"")))</f>
        <v/>
      </c>
      <c r="U123" s="56">
        <f>IF($C123="","",IF(Summary!$C$16="N","",IFERROR(BDP($C123,'Field Check'!$C$18,'Field Check'!$C$17,TEXT(Summary!$C$12-2,"0"))/100,"")))</f>
        <v/>
      </c>
      <c r="V123" s="56">
        <f>IF($C123="","",IF(Summary!$C$16="N","",IFERROR(BDP($C123,'Field Check'!$C$18,'Field Check'!$C$17,TEXT(Summary!$C$12-1,"0"))/100,"")))</f>
        <v/>
      </c>
      <c r="W123" s="57">
        <f>IF($C123="","",IFERROR(AVERAGE(R123:V123),""))</f>
        <v/>
      </c>
      <c r="X123" s="58">
        <f>IF($C123="","",IF(ISNUMBER($Q123)*(N($Q123)&gt;0)=0,"",IFERROR($J123/$Q123,"")))</f>
        <v/>
      </c>
      <c r="Y123" s="59">
        <f>IF($C123="","",IF(ISNUMBER(HSTECH!$I$18),HSTECH!$I$18/100,""))</f>
        <v/>
      </c>
      <c r="Z123" s="60">
        <f>IF($C123="","",IF(Summary!$C$16="N","",IFERROR(BDP($C123,'Field Check'!$C$19)/100,"")))</f>
        <v/>
      </c>
      <c r="AA123" s="61">
        <f>IF($C123="","",IF(N($Y123)+N($Z123)=0,"",N($Y123)+N($Z123)))</f>
        <v/>
      </c>
      <c r="AB123" s="60">
        <f>IF($C123="","",IF(Summary!$C$16="N","",IFERROR(BDP($C123,'Field Check'!$C$20)/100,"")))</f>
        <v/>
      </c>
      <c r="AC123" s="45">
        <f>IF($C123="","",IF(N($Y123)=0,"",IFERROR($AB123/$Y123,"")))</f>
        <v/>
      </c>
      <c r="AD123" s="55">
        <f>IF($C123="","",IF(Summary!$C$16="N","",IFERROR(BDP($C123,'Field Check'!$C$21),"")))</f>
        <v/>
      </c>
      <c r="AE123" s="55">
        <f>IF($C123="","",IF(Summary!$C$16="N","",IFERROR(BDP($C123,'Field Check'!$C$22),"")))</f>
        <v/>
      </c>
      <c r="AF123" s="55">
        <f>IF($C123="","",IF(Summary!$C$16="N","",IFERROR(BDP($C123,'Field Check'!$C$23),"")))</f>
        <v/>
      </c>
      <c r="AG123" s="40">
        <f>IF($C123="","",TRIM(IF(ISNUMBER($W123)*(N($W123)&gt;$D$7)&gt;0,"payout high  ","")&amp;IF(ISNUMBER($AC123)*(N($AC123)&lt;$F$7)&gt;0,"FCF below dvd  ","")&amp;IF(ISNUMBER($AE123)*(N($AE123)&gt;$H$7)&gt;0,"leverage high","")))</f>
        <v/>
      </c>
      <c r="AH123" s="40">
        <f>IF($C123="","",IF(HSTECH!$F$18="HKD","",IF(HSTECH!$F$18="","","DPS in "&amp;HSTECH!$F$18)))</f>
        <v/>
      </c>
    </row>
    <row r="124">
      <c r="B124" s="52" t="inlineStr">
        <is>
          <t>HSTECH</t>
        </is>
      </c>
      <c r="C124" s="6">
        <f>IF(HSTECH!$C$19="","",HSTECH!$C$19)</f>
        <v/>
      </c>
      <c r="D124" s="6">
        <f>IF($C124="","",HSTECH!$D$19)</f>
        <v/>
      </c>
      <c r="E124" s="6">
        <f>IF($C124="","",HSTECH!$E$19)</f>
        <v/>
      </c>
      <c r="F124" s="53">
        <f>IF($C124="","",SUMIFS('Dvd Calendar'!$E$1696:$AR$1696,'Dvd Calendar'!$E$1695:$AR$1695,"&gt;="&amp;DATE(Summary!$C$12-5,1,1),'Dvd Calendar'!$E$1695:$AR$1695,"&lt;="&amp;DATE(Summary!$C$12-5,12,31)))</f>
        <v/>
      </c>
      <c r="G124" s="53">
        <f>IF($C124="","",SUMIFS('Dvd Calendar'!$E$1696:$AR$1696,'Dvd Calendar'!$E$1695:$AR$1695,"&gt;="&amp;DATE(Summary!$C$12-4,1,1),'Dvd Calendar'!$E$1695:$AR$1695,"&lt;="&amp;DATE(Summary!$C$12-4,12,31)))</f>
        <v/>
      </c>
      <c r="H124" s="53">
        <f>IF($C124="","",SUMIFS('Dvd Calendar'!$E$1696:$AR$1696,'Dvd Calendar'!$E$1695:$AR$1695,"&gt;="&amp;DATE(Summary!$C$12-3,1,1),'Dvd Calendar'!$E$1695:$AR$1695,"&lt;="&amp;DATE(Summary!$C$12-3,12,31)))</f>
        <v/>
      </c>
      <c r="I124" s="53">
        <f>IF($C124="","",SUMIFS('Dvd Calendar'!$E$1696:$AR$1696,'Dvd Calendar'!$E$1695:$AR$1695,"&gt;="&amp;DATE(Summary!$C$12-2,1,1),'Dvd Calendar'!$E$1695:$AR$1695,"&lt;="&amp;DATE(Summary!$C$12-2,12,31)))</f>
        <v/>
      </c>
      <c r="J124" s="53">
        <f>IF($C124="","",SUMIFS('Dvd Calendar'!$E$1696:$AR$1696,'Dvd Calendar'!$E$1695:$AR$1695,"&gt;="&amp;DATE(Summary!$C$12-1,1,1),'Dvd Calendar'!$E$1695:$AR$1695,"&lt;="&amp;DATE(Summary!$C$12-1,12,31)))</f>
        <v/>
      </c>
      <c r="K124" s="54">
        <f>IF($C124="","",SUMIFS('Dvd Calendar'!$E$1696:$AR$1696,'Dvd Calendar'!$E$1695:$AR$1695,"&gt;="&amp;DATE(Summary!$C$12,1,1),'Dvd Calendar'!$E$1695:$AR$1695,"&lt;="&amp;MIN(Summary!$C$11,DATE(Summary!$C$12,12,31))))</f>
        <v/>
      </c>
      <c r="L124" s="38">
        <f>IF($C124="","",AVERAGE(F124:J124))</f>
        <v/>
      </c>
      <c r="M124" s="55">
        <f>IF($C124="","",IF(Summary!$C$16="N","",IFERROR(BDP($C124,'Field Check'!$C$16,'Field Check'!$C$17,TEXT(Summary!$C$12-5,"0")),"")))</f>
        <v/>
      </c>
      <c r="N124" s="55">
        <f>IF($C124="","",IF(Summary!$C$16="N","",IFERROR(BDP($C124,'Field Check'!$C$16,'Field Check'!$C$17,TEXT(Summary!$C$12-4,"0")),"")))</f>
        <v/>
      </c>
      <c r="O124" s="55">
        <f>IF($C124="","",IF(Summary!$C$16="N","",IFERROR(BDP($C124,'Field Check'!$C$16,'Field Check'!$C$17,TEXT(Summary!$C$12-3,"0")),"")))</f>
        <v/>
      </c>
      <c r="P124" s="55">
        <f>IF($C124="","",IF(Summary!$C$16="N","",IFERROR(BDP($C124,'Field Check'!$C$16,'Field Check'!$C$17,TEXT(Summary!$C$12-2,"0")),"")))</f>
        <v/>
      </c>
      <c r="Q124" s="55">
        <f>IF($C124="","",IF(Summary!$C$16="N","",IFERROR(BDP($C124,'Field Check'!$C$16,'Field Check'!$C$17,TEXT(Summary!$C$12-1,"0")),"")))</f>
        <v/>
      </c>
      <c r="R124" s="56">
        <f>IF($C124="","",IF(Summary!$C$16="N","",IFERROR(BDP($C124,'Field Check'!$C$18,'Field Check'!$C$17,TEXT(Summary!$C$12-5,"0"))/100,"")))</f>
        <v/>
      </c>
      <c r="S124" s="56">
        <f>IF($C124="","",IF(Summary!$C$16="N","",IFERROR(BDP($C124,'Field Check'!$C$18,'Field Check'!$C$17,TEXT(Summary!$C$12-4,"0"))/100,"")))</f>
        <v/>
      </c>
      <c r="T124" s="56">
        <f>IF($C124="","",IF(Summary!$C$16="N","",IFERROR(BDP($C124,'Field Check'!$C$18,'Field Check'!$C$17,TEXT(Summary!$C$12-3,"0"))/100,"")))</f>
        <v/>
      </c>
      <c r="U124" s="56">
        <f>IF($C124="","",IF(Summary!$C$16="N","",IFERROR(BDP($C124,'Field Check'!$C$18,'Field Check'!$C$17,TEXT(Summary!$C$12-2,"0"))/100,"")))</f>
        <v/>
      </c>
      <c r="V124" s="56">
        <f>IF($C124="","",IF(Summary!$C$16="N","",IFERROR(BDP($C124,'Field Check'!$C$18,'Field Check'!$C$17,TEXT(Summary!$C$12-1,"0"))/100,"")))</f>
        <v/>
      </c>
      <c r="W124" s="57">
        <f>IF($C124="","",IFERROR(AVERAGE(R124:V124),""))</f>
        <v/>
      </c>
      <c r="X124" s="58">
        <f>IF($C124="","",IF(ISNUMBER($Q124)*(N($Q124)&gt;0)=0,"",IFERROR($J124/$Q124,"")))</f>
        <v/>
      </c>
      <c r="Y124" s="59">
        <f>IF($C124="","",IF(ISNUMBER(HSTECH!$I$19),HSTECH!$I$19/100,""))</f>
        <v/>
      </c>
      <c r="Z124" s="60">
        <f>IF($C124="","",IF(Summary!$C$16="N","",IFERROR(BDP($C124,'Field Check'!$C$19)/100,"")))</f>
        <v/>
      </c>
      <c r="AA124" s="61">
        <f>IF($C124="","",IF(N($Y124)+N($Z124)=0,"",N($Y124)+N($Z124)))</f>
        <v/>
      </c>
      <c r="AB124" s="60">
        <f>IF($C124="","",IF(Summary!$C$16="N","",IFERROR(BDP($C124,'Field Check'!$C$20)/100,"")))</f>
        <v/>
      </c>
      <c r="AC124" s="45">
        <f>IF($C124="","",IF(N($Y124)=0,"",IFERROR($AB124/$Y124,"")))</f>
        <v/>
      </c>
      <c r="AD124" s="55">
        <f>IF($C124="","",IF(Summary!$C$16="N","",IFERROR(BDP($C124,'Field Check'!$C$21),"")))</f>
        <v/>
      </c>
      <c r="AE124" s="55">
        <f>IF($C124="","",IF(Summary!$C$16="N","",IFERROR(BDP($C124,'Field Check'!$C$22),"")))</f>
        <v/>
      </c>
      <c r="AF124" s="55">
        <f>IF($C124="","",IF(Summary!$C$16="N","",IFERROR(BDP($C124,'Field Check'!$C$23),"")))</f>
        <v/>
      </c>
      <c r="AG124" s="40">
        <f>IF($C124="","",TRIM(IF(ISNUMBER($W124)*(N($W124)&gt;$D$7)&gt;0,"payout high  ","")&amp;IF(ISNUMBER($AC124)*(N($AC124)&lt;$F$7)&gt;0,"FCF below dvd  ","")&amp;IF(ISNUMBER($AE124)*(N($AE124)&gt;$H$7)&gt;0,"leverage high","")))</f>
        <v/>
      </c>
      <c r="AH124" s="40">
        <f>IF($C124="","",IF(HSTECH!$F$19="HKD","",IF(HSTECH!$F$19="","","DPS in "&amp;HSTECH!$F$19)))</f>
        <v/>
      </c>
    </row>
    <row r="125">
      <c r="B125" s="52" t="inlineStr">
        <is>
          <t>HSTECH</t>
        </is>
      </c>
      <c r="C125" s="6">
        <f>IF(HSTECH!$C$20="","",HSTECH!$C$20)</f>
        <v/>
      </c>
      <c r="D125" s="6">
        <f>IF($C125="","",HSTECH!$D$20)</f>
        <v/>
      </c>
      <c r="E125" s="6">
        <f>IF($C125="","",HSTECH!$E$20)</f>
        <v/>
      </c>
      <c r="F125" s="53">
        <f>IF($C125="","",SUMIFS('Dvd Calendar'!$E$1711:$AR$1711,'Dvd Calendar'!$E$1710:$AR$1710,"&gt;="&amp;DATE(Summary!$C$12-5,1,1),'Dvd Calendar'!$E$1710:$AR$1710,"&lt;="&amp;DATE(Summary!$C$12-5,12,31)))</f>
        <v/>
      </c>
      <c r="G125" s="53">
        <f>IF($C125="","",SUMIFS('Dvd Calendar'!$E$1711:$AR$1711,'Dvd Calendar'!$E$1710:$AR$1710,"&gt;="&amp;DATE(Summary!$C$12-4,1,1),'Dvd Calendar'!$E$1710:$AR$1710,"&lt;="&amp;DATE(Summary!$C$12-4,12,31)))</f>
        <v/>
      </c>
      <c r="H125" s="53">
        <f>IF($C125="","",SUMIFS('Dvd Calendar'!$E$1711:$AR$1711,'Dvd Calendar'!$E$1710:$AR$1710,"&gt;="&amp;DATE(Summary!$C$12-3,1,1),'Dvd Calendar'!$E$1710:$AR$1710,"&lt;="&amp;DATE(Summary!$C$12-3,12,31)))</f>
        <v/>
      </c>
      <c r="I125" s="53">
        <f>IF($C125="","",SUMIFS('Dvd Calendar'!$E$1711:$AR$1711,'Dvd Calendar'!$E$1710:$AR$1710,"&gt;="&amp;DATE(Summary!$C$12-2,1,1),'Dvd Calendar'!$E$1710:$AR$1710,"&lt;="&amp;DATE(Summary!$C$12-2,12,31)))</f>
        <v/>
      </c>
      <c r="J125" s="53">
        <f>IF($C125="","",SUMIFS('Dvd Calendar'!$E$1711:$AR$1711,'Dvd Calendar'!$E$1710:$AR$1710,"&gt;="&amp;DATE(Summary!$C$12-1,1,1),'Dvd Calendar'!$E$1710:$AR$1710,"&lt;="&amp;DATE(Summary!$C$12-1,12,31)))</f>
        <v/>
      </c>
      <c r="K125" s="54">
        <f>IF($C125="","",SUMIFS('Dvd Calendar'!$E$1711:$AR$1711,'Dvd Calendar'!$E$1710:$AR$1710,"&gt;="&amp;DATE(Summary!$C$12,1,1),'Dvd Calendar'!$E$1710:$AR$1710,"&lt;="&amp;MIN(Summary!$C$11,DATE(Summary!$C$12,12,31))))</f>
        <v/>
      </c>
      <c r="L125" s="38">
        <f>IF($C125="","",AVERAGE(F125:J125))</f>
        <v/>
      </c>
      <c r="M125" s="55">
        <f>IF($C125="","",IF(Summary!$C$16="N","",IFERROR(BDP($C125,'Field Check'!$C$16,'Field Check'!$C$17,TEXT(Summary!$C$12-5,"0")),"")))</f>
        <v/>
      </c>
      <c r="N125" s="55">
        <f>IF($C125="","",IF(Summary!$C$16="N","",IFERROR(BDP($C125,'Field Check'!$C$16,'Field Check'!$C$17,TEXT(Summary!$C$12-4,"0")),"")))</f>
        <v/>
      </c>
      <c r="O125" s="55">
        <f>IF($C125="","",IF(Summary!$C$16="N","",IFERROR(BDP($C125,'Field Check'!$C$16,'Field Check'!$C$17,TEXT(Summary!$C$12-3,"0")),"")))</f>
        <v/>
      </c>
      <c r="P125" s="55">
        <f>IF($C125="","",IF(Summary!$C$16="N","",IFERROR(BDP($C125,'Field Check'!$C$16,'Field Check'!$C$17,TEXT(Summary!$C$12-2,"0")),"")))</f>
        <v/>
      </c>
      <c r="Q125" s="55">
        <f>IF($C125="","",IF(Summary!$C$16="N","",IFERROR(BDP($C125,'Field Check'!$C$16,'Field Check'!$C$17,TEXT(Summary!$C$12-1,"0")),"")))</f>
        <v/>
      </c>
      <c r="R125" s="56">
        <f>IF($C125="","",IF(Summary!$C$16="N","",IFERROR(BDP($C125,'Field Check'!$C$18,'Field Check'!$C$17,TEXT(Summary!$C$12-5,"0"))/100,"")))</f>
        <v/>
      </c>
      <c r="S125" s="56">
        <f>IF($C125="","",IF(Summary!$C$16="N","",IFERROR(BDP($C125,'Field Check'!$C$18,'Field Check'!$C$17,TEXT(Summary!$C$12-4,"0"))/100,"")))</f>
        <v/>
      </c>
      <c r="T125" s="56">
        <f>IF($C125="","",IF(Summary!$C$16="N","",IFERROR(BDP($C125,'Field Check'!$C$18,'Field Check'!$C$17,TEXT(Summary!$C$12-3,"0"))/100,"")))</f>
        <v/>
      </c>
      <c r="U125" s="56">
        <f>IF($C125="","",IF(Summary!$C$16="N","",IFERROR(BDP($C125,'Field Check'!$C$18,'Field Check'!$C$17,TEXT(Summary!$C$12-2,"0"))/100,"")))</f>
        <v/>
      </c>
      <c r="V125" s="56">
        <f>IF($C125="","",IF(Summary!$C$16="N","",IFERROR(BDP($C125,'Field Check'!$C$18,'Field Check'!$C$17,TEXT(Summary!$C$12-1,"0"))/100,"")))</f>
        <v/>
      </c>
      <c r="W125" s="57">
        <f>IF($C125="","",IFERROR(AVERAGE(R125:V125),""))</f>
        <v/>
      </c>
      <c r="X125" s="58">
        <f>IF($C125="","",IF(ISNUMBER($Q125)*(N($Q125)&gt;0)=0,"",IFERROR($J125/$Q125,"")))</f>
        <v/>
      </c>
      <c r="Y125" s="59">
        <f>IF($C125="","",IF(ISNUMBER(HSTECH!$I$20),HSTECH!$I$20/100,""))</f>
        <v/>
      </c>
      <c r="Z125" s="60">
        <f>IF($C125="","",IF(Summary!$C$16="N","",IFERROR(BDP($C125,'Field Check'!$C$19)/100,"")))</f>
        <v/>
      </c>
      <c r="AA125" s="61">
        <f>IF($C125="","",IF(N($Y125)+N($Z125)=0,"",N($Y125)+N($Z125)))</f>
        <v/>
      </c>
      <c r="AB125" s="60">
        <f>IF($C125="","",IF(Summary!$C$16="N","",IFERROR(BDP($C125,'Field Check'!$C$20)/100,"")))</f>
        <v/>
      </c>
      <c r="AC125" s="45">
        <f>IF($C125="","",IF(N($Y125)=0,"",IFERROR($AB125/$Y125,"")))</f>
        <v/>
      </c>
      <c r="AD125" s="55">
        <f>IF($C125="","",IF(Summary!$C$16="N","",IFERROR(BDP($C125,'Field Check'!$C$21),"")))</f>
        <v/>
      </c>
      <c r="AE125" s="55">
        <f>IF($C125="","",IF(Summary!$C$16="N","",IFERROR(BDP($C125,'Field Check'!$C$22),"")))</f>
        <v/>
      </c>
      <c r="AF125" s="55">
        <f>IF($C125="","",IF(Summary!$C$16="N","",IFERROR(BDP($C125,'Field Check'!$C$23),"")))</f>
        <v/>
      </c>
      <c r="AG125" s="40">
        <f>IF($C125="","",TRIM(IF(ISNUMBER($W125)*(N($W125)&gt;$D$7)&gt;0,"payout high  ","")&amp;IF(ISNUMBER($AC125)*(N($AC125)&lt;$F$7)&gt;0,"FCF below dvd  ","")&amp;IF(ISNUMBER($AE125)*(N($AE125)&gt;$H$7)&gt;0,"leverage high","")))</f>
        <v/>
      </c>
      <c r="AH125" s="40">
        <f>IF($C125="","",IF(HSTECH!$F$20="HKD","",IF(HSTECH!$F$20="","","DPS in "&amp;HSTECH!$F$20)))</f>
        <v/>
      </c>
    </row>
    <row r="126">
      <c r="B126" s="52" t="inlineStr">
        <is>
          <t>HSTECH</t>
        </is>
      </c>
      <c r="C126" s="6">
        <f>IF(HSTECH!$C$21="","",HSTECH!$C$21)</f>
        <v/>
      </c>
      <c r="D126" s="6">
        <f>IF($C126="","",HSTECH!$D$21)</f>
        <v/>
      </c>
      <c r="E126" s="6">
        <f>IF($C126="","",HSTECH!$E$21)</f>
        <v/>
      </c>
      <c r="F126" s="53">
        <f>IF($C126="","",SUMIFS('Dvd Calendar'!$E$1726:$AR$1726,'Dvd Calendar'!$E$1725:$AR$1725,"&gt;="&amp;DATE(Summary!$C$12-5,1,1),'Dvd Calendar'!$E$1725:$AR$1725,"&lt;="&amp;DATE(Summary!$C$12-5,12,31)))</f>
        <v/>
      </c>
      <c r="G126" s="53">
        <f>IF($C126="","",SUMIFS('Dvd Calendar'!$E$1726:$AR$1726,'Dvd Calendar'!$E$1725:$AR$1725,"&gt;="&amp;DATE(Summary!$C$12-4,1,1),'Dvd Calendar'!$E$1725:$AR$1725,"&lt;="&amp;DATE(Summary!$C$12-4,12,31)))</f>
        <v/>
      </c>
      <c r="H126" s="53">
        <f>IF($C126="","",SUMIFS('Dvd Calendar'!$E$1726:$AR$1726,'Dvd Calendar'!$E$1725:$AR$1725,"&gt;="&amp;DATE(Summary!$C$12-3,1,1),'Dvd Calendar'!$E$1725:$AR$1725,"&lt;="&amp;DATE(Summary!$C$12-3,12,31)))</f>
        <v/>
      </c>
      <c r="I126" s="53">
        <f>IF($C126="","",SUMIFS('Dvd Calendar'!$E$1726:$AR$1726,'Dvd Calendar'!$E$1725:$AR$1725,"&gt;="&amp;DATE(Summary!$C$12-2,1,1),'Dvd Calendar'!$E$1725:$AR$1725,"&lt;="&amp;DATE(Summary!$C$12-2,12,31)))</f>
        <v/>
      </c>
      <c r="J126" s="53">
        <f>IF($C126="","",SUMIFS('Dvd Calendar'!$E$1726:$AR$1726,'Dvd Calendar'!$E$1725:$AR$1725,"&gt;="&amp;DATE(Summary!$C$12-1,1,1),'Dvd Calendar'!$E$1725:$AR$1725,"&lt;="&amp;DATE(Summary!$C$12-1,12,31)))</f>
        <v/>
      </c>
      <c r="K126" s="54">
        <f>IF($C126="","",SUMIFS('Dvd Calendar'!$E$1726:$AR$1726,'Dvd Calendar'!$E$1725:$AR$1725,"&gt;="&amp;DATE(Summary!$C$12,1,1),'Dvd Calendar'!$E$1725:$AR$1725,"&lt;="&amp;MIN(Summary!$C$11,DATE(Summary!$C$12,12,31))))</f>
        <v/>
      </c>
      <c r="L126" s="38">
        <f>IF($C126="","",AVERAGE(F126:J126))</f>
        <v/>
      </c>
      <c r="M126" s="55">
        <f>IF($C126="","",IF(Summary!$C$16="N","",IFERROR(BDP($C126,'Field Check'!$C$16,'Field Check'!$C$17,TEXT(Summary!$C$12-5,"0")),"")))</f>
        <v/>
      </c>
      <c r="N126" s="55">
        <f>IF($C126="","",IF(Summary!$C$16="N","",IFERROR(BDP($C126,'Field Check'!$C$16,'Field Check'!$C$17,TEXT(Summary!$C$12-4,"0")),"")))</f>
        <v/>
      </c>
      <c r="O126" s="55">
        <f>IF($C126="","",IF(Summary!$C$16="N","",IFERROR(BDP($C126,'Field Check'!$C$16,'Field Check'!$C$17,TEXT(Summary!$C$12-3,"0")),"")))</f>
        <v/>
      </c>
      <c r="P126" s="55">
        <f>IF($C126="","",IF(Summary!$C$16="N","",IFERROR(BDP($C126,'Field Check'!$C$16,'Field Check'!$C$17,TEXT(Summary!$C$12-2,"0")),"")))</f>
        <v/>
      </c>
      <c r="Q126" s="55">
        <f>IF($C126="","",IF(Summary!$C$16="N","",IFERROR(BDP($C126,'Field Check'!$C$16,'Field Check'!$C$17,TEXT(Summary!$C$12-1,"0")),"")))</f>
        <v/>
      </c>
      <c r="R126" s="56">
        <f>IF($C126="","",IF(Summary!$C$16="N","",IFERROR(BDP($C126,'Field Check'!$C$18,'Field Check'!$C$17,TEXT(Summary!$C$12-5,"0"))/100,"")))</f>
        <v/>
      </c>
      <c r="S126" s="56">
        <f>IF($C126="","",IF(Summary!$C$16="N","",IFERROR(BDP($C126,'Field Check'!$C$18,'Field Check'!$C$17,TEXT(Summary!$C$12-4,"0"))/100,"")))</f>
        <v/>
      </c>
      <c r="T126" s="56">
        <f>IF($C126="","",IF(Summary!$C$16="N","",IFERROR(BDP($C126,'Field Check'!$C$18,'Field Check'!$C$17,TEXT(Summary!$C$12-3,"0"))/100,"")))</f>
        <v/>
      </c>
      <c r="U126" s="56">
        <f>IF($C126="","",IF(Summary!$C$16="N","",IFERROR(BDP($C126,'Field Check'!$C$18,'Field Check'!$C$17,TEXT(Summary!$C$12-2,"0"))/100,"")))</f>
        <v/>
      </c>
      <c r="V126" s="56">
        <f>IF($C126="","",IF(Summary!$C$16="N","",IFERROR(BDP($C126,'Field Check'!$C$18,'Field Check'!$C$17,TEXT(Summary!$C$12-1,"0"))/100,"")))</f>
        <v/>
      </c>
      <c r="W126" s="57">
        <f>IF($C126="","",IFERROR(AVERAGE(R126:V126),""))</f>
        <v/>
      </c>
      <c r="X126" s="58">
        <f>IF($C126="","",IF(ISNUMBER($Q126)*(N($Q126)&gt;0)=0,"",IFERROR($J126/$Q126,"")))</f>
        <v/>
      </c>
      <c r="Y126" s="59">
        <f>IF($C126="","",IF(ISNUMBER(HSTECH!$I$21),HSTECH!$I$21/100,""))</f>
        <v/>
      </c>
      <c r="Z126" s="60">
        <f>IF($C126="","",IF(Summary!$C$16="N","",IFERROR(BDP($C126,'Field Check'!$C$19)/100,"")))</f>
        <v/>
      </c>
      <c r="AA126" s="61">
        <f>IF($C126="","",IF(N($Y126)+N($Z126)=0,"",N($Y126)+N($Z126)))</f>
        <v/>
      </c>
      <c r="AB126" s="60">
        <f>IF($C126="","",IF(Summary!$C$16="N","",IFERROR(BDP($C126,'Field Check'!$C$20)/100,"")))</f>
        <v/>
      </c>
      <c r="AC126" s="45">
        <f>IF($C126="","",IF(N($Y126)=0,"",IFERROR($AB126/$Y126,"")))</f>
        <v/>
      </c>
      <c r="AD126" s="55">
        <f>IF($C126="","",IF(Summary!$C$16="N","",IFERROR(BDP($C126,'Field Check'!$C$21),"")))</f>
        <v/>
      </c>
      <c r="AE126" s="55">
        <f>IF($C126="","",IF(Summary!$C$16="N","",IFERROR(BDP($C126,'Field Check'!$C$22),"")))</f>
        <v/>
      </c>
      <c r="AF126" s="55">
        <f>IF($C126="","",IF(Summary!$C$16="N","",IFERROR(BDP($C126,'Field Check'!$C$23),"")))</f>
        <v/>
      </c>
      <c r="AG126" s="40">
        <f>IF($C126="","",TRIM(IF(ISNUMBER($W126)*(N($W126)&gt;$D$7)&gt;0,"payout high  ","")&amp;IF(ISNUMBER($AC126)*(N($AC126)&lt;$F$7)&gt;0,"FCF below dvd  ","")&amp;IF(ISNUMBER($AE126)*(N($AE126)&gt;$H$7)&gt;0,"leverage high","")))</f>
        <v/>
      </c>
      <c r="AH126" s="40">
        <f>IF($C126="","",IF(HSTECH!$F$21="HKD","",IF(HSTECH!$F$21="","","DPS in "&amp;HSTECH!$F$21)))</f>
        <v/>
      </c>
    </row>
    <row r="127">
      <c r="B127" s="52" t="inlineStr">
        <is>
          <t>HSTECH</t>
        </is>
      </c>
      <c r="C127" s="6">
        <f>IF(HSTECH!$C$22="","",HSTECH!$C$22)</f>
        <v/>
      </c>
      <c r="D127" s="6">
        <f>IF($C127="","",HSTECH!$D$22)</f>
        <v/>
      </c>
      <c r="E127" s="6">
        <f>IF($C127="","",HSTECH!$E$22)</f>
        <v/>
      </c>
      <c r="F127" s="53">
        <f>IF($C127="","",SUMIFS('Dvd Calendar'!$E$1741:$AR$1741,'Dvd Calendar'!$E$1740:$AR$1740,"&gt;="&amp;DATE(Summary!$C$12-5,1,1),'Dvd Calendar'!$E$1740:$AR$1740,"&lt;="&amp;DATE(Summary!$C$12-5,12,31)))</f>
        <v/>
      </c>
      <c r="G127" s="53">
        <f>IF($C127="","",SUMIFS('Dvd Calendar'!$E$1741:$AR$1741,'Dvd Calendar'!$E$1740:$AR$1740,"&gt;="&amp;DATE(Summary!$C$12-4,1,1),'Dvd Calendar'!$E$1740:$AR$1740,"&lt;="&amp;DATE(Summary!$C$12-4,12,31)))</f>
        <v/>
      </c>
      <c r="H127" s="53">
        <f>IF($C127="","",SUMIFS('Dvd Calendar'!$E$1741:$AR$1741,'Dvd Calendar'!$E$1740:$AR$1740,"&gt;="&amp;DATE(Summary!$C$12-3,1,1),'Dvd Calendar'!$E$1740:$AR$1740,"&lt;="&amp;DATE(Summary!$C$12-3,12,31)))</f>
        <v/>
      </c>
      <c r="I127" s="53">
        <f>IF($C127="","",SUMIFS('Dvd Calendar'!$E$1741:$AR$1741,'Dvd Calendar'!$E$1740:$AR$1740,"&gt;="&amp;DATE(Summary!$C$12-2,1,1),'Dvd Calendar'!$E$1740:$AR$1740,"&lt;="&amp;DATE(Summary!$C$12-2,12,31)))</f>
        <v/>
      </c>
      <c r="J127" s="53">
        <f>IF($C127="","",SUMIFS('Dvd Calendar'!$E$1741:$AR$1741,'Dvd Calendar'!$E$1740:$AR$1740,"&gt;="&amp;DATE(Summary!$C$12-1,1,1),'Dvd Calendar'!$E$1740:$AR$1740,"&lt;="&amp;DATE(Summary!$C$12-1,12,31)))</f>
        <v/>
      </c>
      <c r="K127" s="54">
        <f>IF($C127="","",SUMIFS('Dvd Calendar'!$E$1741:$AR$1741,'Dvd Calendar'!$E$1740:$AR$1740,"&gt;="&amp;DATE(Summary!$C$12,1,1),'Dvd Calendar'!$E$1740:$AR$1740,"&lt;="&amp;MIN(Summary!$C$11,DATE(Summary!$C$12,12,31))))</f>
        <v/>
      </c>
      <c r="L127" s="38">
        <f>IF($C127="","",AVERAGE(F127:J127))</f>
        <v/>
      </c>
      <c r="M127" s="55">
        <f>IF($C127="","",IF(Summary!$C$16="N","",IFERROR(BDP($C127,'Field Check'!$C$16,'Field Check'!$C$17,TEXT(Summary!$C$12-5,"0")),"")))</f>
        <v/>
      </c>
      <c r="N127" s="55">
        <f>IF($C127="","",IF(Summary!$C$16="N","",IFERROR(BDP($C127,'Field Check'!$C$16,'Field Check'!$C$17,TEXT(Summary!$C$12-4,"0")),"")))</f>
        <v/>
      </c>
      <c r="O127" s="55">
        <f>IF($C127="","",IF(Summary!$C$16="N","",IFERROR(BDP($C127,'Field Check'!$C$16,'Field Check'!$C$17,TEXT(Summary!$C$12-3,"0")),"")))</f>
        <v/>
      </c>
      <c r="P127" s="55">
        <f>IF($C127="","",IF(Summary!$C$16="N","",IFERROR(BDP($C127,'Field Check'!$C$16,'Field Check'!$C$17,TEXT(Summary!$C$12-2,"0")),"")))</f>
        <v/>
      </c>
      <c r="Q127" s="55">
        <f>IF($C127="","",IF(Summary!$C$16="N","",IFERROR(BDP($C127,'Field Check'!$C$16,'Field Check'!$C$17,TEXT(Summary!$C$12-1,"0")),"")))</f>
        <v/>
      </c>
      <c r="R127" s="56">
        <f>IF($C127="","",IF(Summary!$C$16="N","",IFERROR(BDP($C127,'Field Check'!$C$18,'Field Check'!$C$17,TEXT(Summary!$C$12-5,"0"))/100,"")))</f>
        <v/>
      </c>
      <c r="S127" s="56">
        <f>IF($C127="","",IF(Summary!$C$16="N","",IFERROR(BDP($C127,'Field Check'!$C$18,'Field Check'!$C$17,TEXT(Summary!$C$12-4,"0"))/100,"")))</f>
        <v/>
      </c>
      <c r="T127" s="56">
        <f>IF($C127="","",IF(Summary!$C$16="N","",IFERROR(BDP($C127,'Field Check'!$C$18,'Field Check'!$C$17,TEXT(Summary!$C$12-3,"0"))/100,"")))</f>
        <v/>
      </c>
      <c r="U127" s="56">
        <f>IF($C127="","",IF(Summary!$C$16="N","",IFERROR(BDP($C127,'Field Check'!$C$18,'Field Check'!$C$17,TEXT(Summary!$C$12-2,"0"))/100,"")))</f>
        <v/>
      </c>
      <c r="V127" s="56">
        <f>IF($C127="","",IF(Summary!$C$16="N","",IFERROR(BDP($C127,'Field Check'!$C$18,'Field Check'!$C$17,TEXT(Summary!$C$12-1,"0"))/100,"")))</f>
        <v/>
      </c>
      <c r="W127" s="57">
        <f>IF($C127="","",IFERROR(AVERAGE(R127:V127),""))</f>
        <v/>
      </c>
      <c r="X127" s="58">
        <f>IF($C127="","",IF(ISNUMBER($Q127)*(N($Q127)&gt;0)=0,"",IFERROR($J127/$Q127,"")))</f>
        <v/>
      </c>
      <c r="Y127" s="59">
        <f>IF($C127="","",IF(ISNUMBER(HSTECH!$I$22),HSTECH!$I$22/100,""))</f>
        <v/>
      </c>
      <c r="Z127" s="60">
        <f>IF($C127="","",IF(Summary!$C$16="N","",IFERROR(BDP($C127,'Field Check'!$C$19)/100,"")))</f>
        <v/>
      </c>
      <c r="AA127" s="61">
        <f>IF($C127="","",IF(N($Y127)+N($Z127)=0,"",N($Y127)+N($Z127)))</f>
        <v/>
      </c>
      <c r="AB127" s="60">
        <f>IF($C127="","",IF(Summary!$C$16="N","",IFERROR(BDP($C127,'Field Check'!$C$20)/100,"")))</f>
        <v/>
      </c>
      <c r="AC127" s="45">
        <f>IF($C127="","",IF(N($Y127)=0,"",IFERROR($AB127/$Y127,"")))</f>
        <v/>
      </c>
      <c r="AD127" s="55">
        <f>IF($C127="","",IF(Summary!$C$16="N","",IFERROR(BDP($C127,'Field Check'!$C$21),"")))</f>
        <v/>
      </c>
      <c r="AE127" s="55">
        <f>IF($C127="","",IF(Summary!$C$16="N","",IFERROR(BDP($C127,'Field Check'!$C$22),"")))</f>
        <v/>
      </c>
      <c r="AF127" s="55">
        <f>IF($C127="","",IF(Summary!$C$16="N","",IFERROR(BDP($C127,'Field Check'!$C$23),"")))</f>
        <v/>
      </c>
      <c r="AG127" s="40">
        <f>IF($C127="","",TRIM(IF(ISNUMBER($W127)*(N($W127)&gt;$D$7)&gt;0,"payout high  ","")&amp;IF(ISNUMBER($AC127)*(N($AC127)&lt;$F$7)&gt;0,"FCF below dvd  ","")&amp;IF(ISNUMBER($AE127)*(N($AE127)&gt;$H$7)&gt;0,"leverage high","")))</f>
        <v/>
      </c>
      <c r="AH127" s="40">
        <f>IF($C127="","",IF(HSTECH!$F$22="HKD","",IF(HSTECH!$F$22="","","DPS in "&amp;HSTECH!$F$22)))</f>
        <v/>
      </c>
    </row>
    <row r="128">
      <c r="B128" s="52" t="inlineStr">
        <is>
          <t>HSTECH</t>
        </is>
      </c>
      <c r="C128" s="6">
        <f>IF(HSTECH!$C$23="","",HSTECH!$C$23)</f>
        <v/>
      </c>
      <c r="D128" s="6">
        <f>IF($C128="","",HSTECH!$D$23)</f>
        <v/>
      </c>
      <c r="E128" s="6">
        <f>IF($C128="","",HSTECH!$E$23)</f>
        <v/>
      </c>
      <c r="F128" s="53">
        <f>IF($C128="","",SUMIFS('Dvd Calendar'!$E$1756:$AR$1756,'Dvd Calendar'!$E$1755:$AR$1755,"&gt;="&amp;DATE(Summary!$C$12-5,1,1),'Dvd Calendar'!$E$1755:$AR$1755,"&lt;="&amp;DATE(Summary!$C$12-5,12,31)))</f>
        <v/>
      </c>
      <c r="G128" s="53">
        <f>IF($C128="","",SUMIFS('Dvd Calendar'!$E$1756:$AR$1756,'Dvd Calendar'!$E$1755:$AR$1755,"&gt;="&amp;DATE(Summary!$C$12-4,1,1),'Dvd Calendar'!$E$1755:$AR$1755,"&lt;="&amp;DATE(Summary!$C$12-4,12,31)))</f>
        <v/>
      </c>
      <c r="H128" s="53">
        <f>IF($C128="","",SUMIFS('Dvd Calendar'!$E$1756:$AR$1756,'Dvd Calendar'!$E$1755:$AR$1755,"&gt;="&amp;DATE(Summary!$C$12-3,1,1),'Dvd Calendar'!$E$1755:$AR$1755,"&lt;="&amp;DATE(Summary!$C$12-3,12,31)))</f>
        <v/>
      </c>
      <c r="I128" s="53">
        <f>IF($C128="","",SUMIFS('Dvd Calendar'!$E$1756:$AR$1756,'Dvd Calendar'!$E$1755:$AR$1755,"&gt;="&amp;DATE(Summary!$C$12-2,1,1),'Dvd Calendar'!$E$1755:$AR$1755,"&lt;="&amp;DATE(Summary!$C$12-2,12,31)))</f>
        <v/>
      </c>
      <c r="J128" s="53">
        <f>IF($C128="","",SUMIFS('Dvd Calendar'!$E$1756:$AR$1756,'Dvd Calendar'!$E$1755:$AR$1755,"&gt;="&amp;DATE(Summary!$C$12-1,1,1),'Dvd Calendar'!$E$1755:$AR$1755,"&lt;="&amp;DATE(Summary!$C$12-1,12,31)))</f>
        <v/>
      </c>
      <c r="K128" s="54">
        <f>IF($C128="","",SUMIFS('Dvd Calendar'!$E$1756:$AR$1756,'Dvd Calendar'!$E$1755:$AR$1755,"&gt;="&amp;DATE(Summary!$C$12,1,1),'Dvd Calendar'!$E$1755:$AR$1755,"&lt;="&amp;MIN(Summary!$C$11,DATE(Summary!$C$12,12,31))))</f>
        <v/>
      </c>
      <c r="L128" s="38">
        <f>IF($C128="","",AVERAGE(F128:J128))</f>
        <v/>
      </c>
      <c r="M128" s="55">
        <f>IF($C128="","",IF(Summary!$C$16="N","",IFERROR(BDP($C128,'Field Check'!$C$16,'Field Check'!$C$17,TEXT(Summary!$C$12-5,"0")),"")))</f>
        <v/>
      </c>
      <c r="N128" s="55">
        <f>IF($C128="","",IF(Summary!$C$16="N","",IFERROR(BDP($C128,'Field Check'!$C$16,'Field Check'!$C$17,TEXT(Summary!$C$12-4,"0")),"")))</f>
        <v/>
      </c>
      <c r="O128" s="55">
        <f>IF($C128="","",IF(Summary!$C$16="N","",IFERROR(BDP($C128,'Field Check'!$C$16,'Field Check'!$C$17,TEXT(Summary!$C$12-3,"0")),"")))</f>
        <v/>
      </c>
      <c r="P128" s="55">
        <f>IF($C128="","",IF(Summary!$C$16="N","",IFERROR(BDP($C128,'Field Check'!$C$16,'Field Check'!$C$17,TEXT(Summary!$C$12-2,"0")),"")))</f>
        <v/>
      </c>
      <c r="Q128" s="55">
        <f>IF($C128="","",IF(Summary!$C$16="N","",IFERROR(BDP($C128,'Field Check'!$C$16,'Field Check'!$C$17,TEXT(Summary!$C$12-1,"0")),"")))</f>
        <v/>
      </c>
      <c r="R128" s="56">
        <f>IF($C128="","",IF(Summary!$C$16="N","",IFERROR(BDP($C128,'Field Check'!$C$18,'Field Check'!$C$17,TEXT(Summary!$C$12-5,"0"))/100,"")))</f>
        <v/>
      </c>
      <c r="S128" s="56">
        <f>IF($C128="","",IF(Summary!$C$16="N","",IFERROR(BDP($C128,'Field Check'!$C$18,'Field Check'!$C$17,TEXT(Summary!$C$12-4,"0"))/100,"")))</f>
        <v/>
      </c>
      <c r="T128" s="56">
        <f>IF($C128="","",IF(Summary!$C$16="N","",IFERROR(BDP($C128,'Field Check'!$C$18,'Field Check'!$C$17,TEXT(Summary!$C$12-3,"0"))/100,"")))</f>
        <v/>
      </c>
      <c r="U128" s="56">
        <f>IF($C128="","",IF(Summary!$C$16="N","",IFERROR(BDP($C128,'Field Check'!$C$18,'Field Check'!$C$17,TEXT(Summary!$C$12-2,"0"))/100,"")))</f>
        <v/>
      </c>
      <c r="V128" s="56">
        <f>IF($C128="","",IF(Summary!$C$16="N","",IFERROR(BDP($C128,'Field Check'!$C$18,'Field Check'!$C$17,TEXT(Summary!$C$12-1,"0"))/100,"")))</f>
        <v/>
      </c>
      <c r="W128" s="57">
        <f>IF($C128="","",IFERROR(AVERAGE(R128:V128),""))</f>
        <v/>
      </c>
      <c r="X128" s="58">
        <f>IF($C128="","",IF(ISNUMBER($Q128)*(N($Q128)&gt;0)=0,"",IFERROR($J128/$Q128,"")))</f>
        <v/>
      </c>
      <c r="Y128" s="59">
        <f>IF($C128="","",IF(ISNUMBER(HSTECH!$I$23),HSTECH!$I$23/100,""))</f>
        <v/>
      </c>
      <c r="Z128" s="60">
        <f>IF($C128="","",IF(Summary!$C$16="N","",IFERROR(BDP($C128,'Field Check'!$C$19)/100,"")))</f>
        <v/>
      </c>
      <c r="AA128" s="61">
        <f>IF($C128="","",IF(N($Y128)+N($Z128)=0,"",N($Y128)+N($Z128)))</f>
        <v/>
      </c>
      <c r="AB128" s="60">
        <f>IF($C128="","",IF(Summary!$C$16="N","",IFERROR(BDP($C128,'Field Check'!$C$20)/100,"")))</f>
        <v/>
      </c>
      <c r="AC128" s="45">
        <f>IF($C128="","",IF(N($Y128)=0,"",IFERROR($AB128/$Y128,"")))</f>
        <v/>
      </c>
      <c r="AD128" s="55">
        <f>IF($C128="","",IF(Summary!$C$16="N","",IFERROR(BDP($C128,'Field Check'!$C$21),"")))</f>
        <v/>
      </c>
      <c r="AE128" s="55">
        <f>IF($C128="","",IF(Summary!$C$16="N","",IFERROR(BDP($C128,'Field Check'!$C$22),"")))</f>
        <v/>
      </c>
      <c r="AF128" s="55">
        <f>IF($C128="","",IF(Summary!$C$16="N","",IFERROR(BDP($C128,'Field Check'!$C$23),"")))</f>
        <v/>
      </c>
      <c r="AG128" s="40">
        <f>IF($C128="","",TRIM(IF(ISNUMBER($W128)*(N($W128)&gt;$D$7)&gt;0,"payout high  ","")&amp;IF(ISNUMBER($AC128)*(N($AC128)&lt;$F$7)&gt;0,"FCF below dvd  ","")&amp;IF(ISNUMBER($AE128)*(N($AE128)&gt;$H$7)&gt;0,"leverage high","")))</f>
        <v/>
      </c>
      <c r="AH128" s="40">
        <f>IF($C128="","",IF(HSTECH!$F$23="HKD","",IF(HSTECH!$F$23="","","DPS in "&amp;HSTECH!$F$23)))</f>
        <v/>
      </c>
    </row>
    <row r="129">
      <c r="B129" s="52" t="inlineStr">
        <is>
          <t>HSTECH</t>
        </is>
      </c>
      <c r="C129" s="6">
        <f>IF(HSTECH!$C$24="","",HSTECH!$C$24)</f>
        <v/>
      </c>
      <c r="D129" s="6">
        <f>IF($C129="","",HSTECH!$D$24)</f>
        <v/>
      </c>
      <c r="E129" s="6">
        <f>IF($C129="","",HSTECH!$E$24)</f>
        <v/>
      </c>
      <c r="F129" s="53">
        <f>IF($C129="","",SUMIFS('Dvd Calendar'!$E$1771:$AR$1771,'Dvd Calendar'!$E$1770:$AR$1770,"&gt;="&amp;DATE(Summary!$C$12-5,1,1),'Dvd Calendar'!$E$1770:$AR$1770,"&lt;="&amp;DATE(Summary!$C$12-5,12,31)))</f>
        <v/>
      </c>
      <c r="G129" s="53">
        <f>IF($C129="","",SUMIFS('Dvd Calendar'!$E$1771:$AR$1771,'Dvd Calendar'!$E$1770:$AR$1770,"&gt;="&amp;DATE(Summary!$C$12-4,1,1),'Dvd Calendar'!$E$1770:$AR$1770,"&lt;="&amp;DATE(Summary!$C$12-4,12,31)))</f>
        <v/>
      </c>
      <c r="H129" s="53">
        <f>IF($C129="","",SUMIFS('Dvd Calendar'!$E$1771:$AR$1771,'Dvd Calendar'!$E$1770:$AR$1770,"&gt;="&amp;DATE(Summary!$C$12-3,1,1),'Dvd Calendar'!$E$1770:$AR$1770,"&lt;="&amp;DATE(Summary!$C$12-3,12,31)))</f>
        <v/>
      </c>
      <c r="I129" s="53">
        <f>IF($C129="","",SUMIFS('Dvd Calendar'!$E$1771:$AR$1771,'Dvd Calendar'!$E$1770:$AR$1770,"&gt;="&amp;DATE(Summary!$C$12-2,1,1),'Dvd Calendar'!$E$1770:$AR$1770,"&lt;="&amp;DATE(Summary!$C$12-2,12,31)))</f>
        <v/>
      </c>
      <c r="J129" s="53">
        <f>IF($C129="","",SUMIFS('Dvd Calendar'!$E$1771:$AR$1771,'Dvd Calendar'!$E$1770:$AR$1770,"&gt;="&amp;DATE(Summary!$C$12-1,1,1),'Dvd Calendar'!$E$1770:$AR$1770,"&lt;="&amp;DATE(Summary!$C$12-1,12,31)))</f>
        <v/>
      </c>
      <c r="K129" s="54">
        <f>IF($C129="","",SUMIFS('Dvd Calendar'!$E$1771:$AR$1771,'Dvd Calendar'!$E$1770:$AR$1770,"&gt;="&amp;DATE(Summary!$C$12,1,1),'Dvd Calendar'!$E$1770:$AR$1770,"&lt;="&amp;MIN(Summary!$C$11,DATE(Summary!$C$12,12,31))))</f>
        <v/>
      </c>
      <c r="L129" s="38">
        <f>IF($C129="","",AVERAGE(F129:J129))</f>
        <v/>
      </c>
      <c r="M129" s="55">
        <f>IF($C129="","",IF(Summary!$C$16="N","",IFERROR(BDP($C129,'Field Check'!$C$16,'Field Check'!$C$17,TEXT(Summary!$C$12-5,"0")),"")))</f>
        <v/>
      </c>
      <c r="N129" s="55">
        <f>IF($C129="","",IF(Summary!$C$16="N","",IFERROR(BDP($C129,'Field Check'!$C$16,'Field Check'!$C$17,TEXT(Summary!$C$12-4,"0")),"")))</f>
        <v/>
      </c>
      <c r="O129" s="55">
        <f>IF($C129="","",IF(Summary!$C$16="N","",IFERROR(BDP($C129,'Field Check'!$C$16,'Field Check'!$C$17,TEXT(Summary!$C$12-3,"0")),"")))</f>
        <v/>
      </c>
      <c r="P129" s="55">
        <f>IF($C129="","",IF(Summary!$C$16="N","",IFERROR(BDP($C129,'Field Check'!$C$16,'Field Check'!$C$17,TEXT(Summary!$C$12-2,"0")),"")))</f>
        <v/>
      </c>
      <c r="Q129" s="55">
        <f>IF($C129="","",IF(Summary!$C$16="N","",IFERROR(BDP($C129,'Field Check'!$C$16,'Field Check'!$C$17,TEXT(Summary!$C$12-1,"0")),"")))</f>
        <v/>
      </c>
      <c r="R129" s="56">
        <f>IF($C129="","",IF(Summary!$C$16="N","",IFERROR(BDP($C129,'Field Check'!$C$18,'Field Check'!$C$17,TEXT(Summary!$C$12-5,"0"))/100,"")))</f>
        <v/>
      </c>
      <c r="S129" s="56">
        <f>IF($C129="","",IF(Summary!$C$16="N","",IFERROR(BDP($C129,'Field Check'!$C$18,'Field Check'!$C$17,TEXT(Summary!$C$12-4,"0"))/100,"")))</f>
        <v/>
      </c>
      <c r="T129" s="56">
        <f>IF($C129="","",IF(Summary!$C$16="N","",IFERROR(BDP($C129,'Field Check'!$C$18,'Field Check'!$C$17,TEXT(Summary!$C$12-3,"0"))/100,"")))</f>
        <v/>
      </c>
      <c r="U129" s="56">
        <f>IF($C129="","",IF(Summary!$C$16="N","",IFERROR(BDP($C129,'Field Check'!$C$18,'Field Check'!$C$17,TEXT(Summary!$C$12-2,"0"))/100,"")))</f>
        <v/>
      </c>
      <c r="V129" s="56">
        <f>IF($C129="","",IF(Summary!$C$16="N","",IFERROR(BDP($C129,'Field Check'!$C$18,'Field Check'!$C$17,TEXT(Summary!$C$12-1,"0"))/100,"")))</f>
        <v/>
      </c>
      <c r="W129" s="57">
        <f>IF($C129="","",IFERROR(AVERAGE(R129:V129),""))</f>
        <v/>
      </c>
      <c r="X129" s="58">
        <f>IF($C129="","",IF(ISNUMBER($Q129)*(N($Q129)&gt;0)=0,"",IFERROR($J129/$Q129,"")))</f>
        <v/>
      </c>
      <c r="Y129" s="59">
        <f>IF($C129="","",IF(ISNUMBER(HSTECH!$I$24),HSTECH!$I$24/100,""))</f>
        <v/>
      </c>
      <c r="Z129" s="60">
        <f>IF($C129="","",IF(Summary!$C$16="N","",IFERROR(BDP($C129,'Field Check'!$C$19)/100,"")))</f>
        <v/>
      </c>
      <c r="AA129" s="61">
        <f>IF($C129="","",IF(N($Y129)+N($Z129)=0,"",N($Y129)+N($Z129)))</f>
        <v/>
      </c>
      <c r="AB129" s="60">
        <f>IF($C129="","",IF(Summary!$C$16="N","",IFERROR(BDP($C129,'Field Check'!$C$20)/100,"")))</f>
        <v/>
      </c>
      <c r="AC129" s="45">
        <f>IF($C129="","",IF(N($Y129)=0,"",IFERROR($AB129/$Y129,"")))</f>
        <v/>
      </c>
      <c r="AD129" s="55">
        <f>IF($C129="","",IF(Summary!$C$16="N","",IFERROR(BDP($C129,'Field Check'!$C$21),"")))</f>
        <v/>
      </c>
      <c r="AE129" s="55">
        <f>IF($C129="","",IF(Summary!$C$16="N","",IFERROR(BDP($C129,'Field Check'!$C$22),"")))</f>
        <v/>
      </c>
      <c r="AF129" s="55">
        <f>IF($C129="","",IF(Summary!$C$16="N","",IFERROR(BDP($C129,'Field Check'!$C$23),"")))</f>
        <v/>
      </c>
      <c r="AG129" s="40">
        <f>IF($C129="","",TRIM(IF(ISNUMBER($W129)*(N($W129)&gt;$D$7)&gt;0,"payout high  ","")&amp;IF(ISNUMBER($AC129)*(N($AC129)&lt;$F$7)&gt;0,"FCF below dvd  ","")&amp;IF(ISNUMBER($AE129)*(N($AE129)&gt;$H$7)&gt;0,"leverage high","")))</f>
        <v/>
      </c>
      <c r="AH129" s="40">
        <f>IF($C129="","",IF(HSTECH!$F$24="HKD","",IF(HSTECH!$F$24="","","DPS in "&amp;HSTECH!$F$24)))</f>
        <v/>
      </c>
    </row>
    <row r="130">
      <c r="B130" s="52" t="inlineStr">
        <is>
          <t>HSTECH</t>
        </is>
      </c>
      <c r="C130" s="6">
        <f>IF(HSTECH!$C$25="","",HSTECH!$C$25)</f>
        <v/>
      </c>
      <c r="D130" s="6">
        <f>IF($C130="","",HSTECH!$D$25)</f>
        <v/>
      </c>
      <c r="E130" s="6">
        <f>IF($C130="","",HSTECH!$E$25)</f>
        <v/>
      </c>
      <c r="F130" s="53">
        <f>IF($C130="","",SUMIFS('Dvd Calendar'!$E$1786:$AR$1786,'Dvd Calendar'!$E$1785:$AR$1785,"&gt;="&amp;DATE(Summary!$C$12-5,1,1),'Dvd Calendar'!$E$1785:$AR$1785,"&lt;="&amp;DATE(Summary!$C$12-5,12,31)))</f>
        <v/>
      </c>
      <c r="G130" s="53">
        <f>IF($C130="","",SUMIFS('Dvd Calendar'!$E$1786:$AR$1786,'Dvd Calendar'!$E$1785:$AR$1785,"&gt;="&amp;DATE(Summary!$C$12-4,1,1),'Dvd Calendar'!$E$1785:$AR$1785,"&lt;="&amp;DATE(Summary!$C$12-4,12,31)))</f>
        <v/>
      </c>
      <c r="H130" s="53">
        <f>IF($C130="","",SUMIFS('Dvd Calendar'!$E$1786:$AR$1786,'Dvd Calendar'!$E$1785:$AR$1785,"&gt;="&amp;DATE(Summary!$C$12-3,1,1),'Dvd Calendar'!$E$1785:$AR$1785,"&lt;="&amp;DATE(Summary!$C$12-3,12,31)))</f>
        <v/>
      </c>
      <c r="I130" s="53">
        <f>IF($C130="","",SUMIFS('Dvd Calendar'!$E$1786:$AR$1786,'Dvd Calendar'!$E$1785:$AR$1785,"&gt;="&amp;DATE(Summary!$C$12-2,1,1),'Dvd Calendar'!$E$1785:$AR$1785,"&lt;="&amp;DATE(Summary!$C$12-2,12,31)))</f>
        <v/>
      </c>
      <c r="J130" s="53">
        <f>IF($C130="","",SUMIFS('Dvd Calendar'!$E$1786:$AR$1786,'Dvd Calendar'!$E$1785:$AR$1785,"&gt;="&amp;DATE(Summary!$C$12-1,1,1),'Dvd Calendar'!$E$1785:$AR$1785,"&lt;="&amp;DATE(Summary!$C$12-1,12,31)))</f>
        <v/>
      </c>
      <c r="K130" s="54">
        <f>IF($C130="","",SUMIFS('Dvd Calendar'!$E$1786:$AR$1786,'Dvd Calendar'!$E$1785:$AR$1785,"&gt;="&amp;DATE(Summary!$C$12,1,1),'Dvd Calendar'!$E$1785:$AR$1785,"&lt;="&amp;MIN(Summary!$C$11,DATE(Summary!$C$12,12,31))))</f>
        <v/>
      </c>
      <c r="L130" s="38">
        <f>IF($C130="","",AVERAGE(F130:J130))</f>
        <v/>
      </c>
      <c r="M130" s="55">
        <f>IF($C130="","",IF(Summary!$C$16="N","",IFERROR(BDP($C130,'Field Check'!$C$16,'Field Check'!$C$17,TEXT(Summary!$C$12-5,"0")),"")))</f>
        <v/>
      </c>
      <c r="N130" s="55">
        <f>IF($C130="","",IF(Summary!$C$16="N","",IFERROR(BDP($C130,'Field Check'!$C$16,'Field Check'!$C$17,TEXT(Summary!$C$12-4,"0")),"")))</f>
        <v/>
      </c>
      <c r="O130" s="55">
        <f>IF($C130="","",IF(Summary!$C$16="N","",IFERROR(BDP($C130,'Field Check'!$C$16,'Field Check'!$C$17,TEXT(Summary!$C$12-3,"0")),"")))</f>
        <v/>
      </c>
      <c r="P130" s="55">
        <f>IF($C130="","",IF(Summary!$C$16="N","",IFERROR(BDP($C130,'Field Check'!$C$16,'Field Check'!$C$17,TEXT(Summary!$C$12-2,"0")),"")))</f>
        <v/>
      </c>
      <c r="Q130" s="55">
        <f>IF($C130="","",IF(Summary!$C$16="N","",IFERROR(BDP($C130,'Field Check'!$C$16,'Field Check'!$C$17,TEXT(Summary!$C$12-1,"0")),"")))</f>
        <v/>
      </c>
      <c r="R130" s="56">
        <f>IF($C130="","",IF(Summary!$C$16="N","",IFERROR(BDP($C130,'Field Check'!$C$18,'Field Check'!$C$17,TEXT(Summary!$C$12-5,"0"))/100,"")))</f>
        <v/>
      </c>
      <c r="S130" s="56">
        <f>IF($C130="","",IF(Summary!$C$16="N","",IFERROR(BDP($C130,'Field Check'!$C$18,'Field Check'!$C$17,TEXT(Summary!$C$12-4,"0"))/100,"")))</f>
        <v/>
      </c>
      <c r="T130" s="56">
        <f>IF($C130="","",IF(Summary!$C$16="N","",IFERROR(BDP($C130,'Field Check'!$C$18,'Field Check'!$C$17,TEXT(Summary!$C$12-3,"0"))/100,"")))</f>
        <v/>
      </c>
      <c r="U130" s="56">
        <f>IF($C130="","",IF(Summary!$C$16="N","",IFERROR(BDP($C130,'Field Check'!$C$18,'Field Check'!$C$17,TEXT(Summary!$C$12-2,"0"))/100,"")))</f>
        <v/>
      </c>
      <c r="V130" s="56">
        <f>IF($C130="","",IF(Summary!$C$16="N","",IFERROR(BDP($C130,'Field Check'!$C$18,'Field Check'!$C$17,TEXT(Summary!$C$12-1,"0"))/100,"")))</f>
        <v/>
      </c>
      <c r="W130" s="57">
        <f>IF($C130="","",IFERROR(AVERAGE(R130:V130),""))</f>
        <v/>
      </c>
      <c r="X130" s="58">
        <f>IF($C130="","",IF(ISNUMBER($Q130)*(N($Q130)&gt;0)=0,"",IFERROR($J130/$Q130,"")))</f>
        <v/>
      </c>
      <c r="Y130" s="59">
        <f>IF($C130="","",IF(ISNUMBER(HSTECH!$I$25),HSTECH!$I$25/100,""))</f>
        <v/>
      </c>
      <c r="Z130" s="60">
        <f>IF($C130="","",IF(Summary!$C$16="N","",IFERROR(BDP($C130,'Field Check'!$C$19)/100,"")))</f>
        <v/>
      </c>
      <c r="AA130" s="61">
        <f>IF($C130="","",IF(N($Y130)+N($Z130)=0,"",N($Y130)+N($Z130)))</f>
        <v/>
      </c>
      <c r="AB130" s="60">
        <f>IF($C130="","",IF(Summary!$C$16="N","",IFERROR(BDP($C130,'Field Check'!$C$20)/100,"")))</f>
        <v/>
      </c>
      <c r="AC130" s="45">
        <f>IF($C130="","",IF(N($Y130)=0,"",IFERROR($AB130/$Y130,"")))</f>
        <v/>
      </c>
      <c r="AD130" s="55">
        <f>IF($C130="","",IF(Summary!$C$16="N","",IFERROR(BDP($C130,'Field Check'!$C$21),"")))</f>
        <v/>
      </c>
      <c r="AE130" s="55">
        <f>IF($C130="","",IF(Summary!$C$16="N","",IFERROR(BDP($C130,'Field Check'!$C$22),"")))</f>
        <v/>
      </c>
      <c r="AF130" s="55">
        <f>IF($C130="","",IF(Summary!$C$16="N","",IFERROR(BDP($C130,'Field Check'!$C$23),"")))</f>
        <v/>
      </c>
      <c r="AG130" s="40">
        <f>IF($C130="","",TRIM(IF(ISNUMBER($W130)*(N($W130)&gt;$D$7)&gt;0,"payout high  ","")&amp;IF(ISNUMBER($AC130)*(N($AC130)&lt;$F$7)&gt;0,"FCF below dvd  ","")&amp;IF(ISNUMBER($AE130)*(N($AE130)&gt;$H$7)&gt;0,"leverage high","")))</f>
        <v/>
      </c>
      <c r="AH130" s="40">
        <f>IF($C130="","",IF(HSTECH!$F$25="HKD","",IF(HSTECH!$F$25="","","DPS in "&amp;HSTECH!$F$25)))</f>
        <v/>
      </c>
    </row>
    <row r="131">
      <c r="B131" s="52" t="inlineStr">
        <is>
          <t>HSTECH</t>
        </is>
      </c>
      <c r="C131" s="6">
        <f>IF(HSTECH!$C$26="","",HSTECH!$C$26)</f>
        <v/>
      </c>
      <c r="D131" s="6">
        <f>IF($C131="","",HSTECH!$D$26)</f>
        <v/>
      </c>
      <c r="E131" s="6">
        <f>IF($C131="","",HSTECH!$E$26)</f>
        <v/>
      </c>
      <c r="F131" s="53">
        <f>IF($C131="","",SUMIFS('Dvd Calendar'!$E$1801:$AR$1801,'Dvd Calendar'!$E$1800:$AR$1800,"&gt;="&amp;DATE(Summary!$C$12-5,1,1),'Dvd Calendar'!$E$1800:$AR$1800,"&lt;="&amp;DATE(Summary!$C$12-5,12,31)))</f>
        <v/>
      </c>
      <c r="G131" s="53">
        <f>IF($C131="","",SUMIFS('Dvd Calendar'!$E$1801:$AR$1801,'Dvd Calendar'!$E$1800:$AR$1800,"&gt;="&amp;DATE(Summary!$C$12-4,1,1),'Dvd Calendar'!$E$1800:$AR$1800,"&lt;="&amp;DATE(Summary!$C$12-4,12,31)))</f>
        <v/>
      </c>
      <c r="H131" s="53">
        <f>IF($C131="","",SUMIFS('Dvd Calendar'!$E$1801:$AR$1801,'Dvd Calendar'!$E$1800:$AR$1800,"&gt;="&amp;DATE(Summary!$C$12-3,1,1),'Dvd Calendar'!$E$1800:$AR$1800,"&lt;="&amp;DATE(Summary!$C$12-3,12,31)))</f>
        <v/>
      </c>
      <c r="I131" s="53">
        <f>IF($C131="","",SUMIFS('Dvd Calendar'!$E$1801:$AR$1801,'Dvd Calendar'!$E$1800:$AR$1800,"&gt;="&amp;DATE(Summary!$C$12-2,1,1),'Dvd Calendar'!$E$1800:$AR$1800,"&lt;="&amp;DATE(Summary!$C$12-2,12,31)))</f>
        <v/>
      </c>
      <c r="J131" s="53">
        <f>IF($C131="","",SUMIFS('Dvd Calendar'!$E$1801:$AR$1801,'Dvd Calendar'!$E$1800:$AR$1800,"&gt;="&amp;DATE(Summary!$C$12-1,1,1),'Dvd Calendar'!$E$1800:$AR$1800,"&lt;="&amp;DATE(Summary!$C$12-1,12,31)))</f>
        <v/>
      </c>
      <c r="K131" s="54">
        <f>IF($C131="","",SUMIFS('Dvd Calendar'!$E$1801:$AR$1801,'Dvd Calendar'!$E$1800:$AR$1800,"&gt;="&amp;DATE(Summary!$C$12,1,1),'Dvd Calendar'!$E$1800:$AR$1800,"&lt;="&amp;MIN(Summary!$C$11,DATE(Summary!$C$12,12,31))))</f>
        <v/>
      </c>
      <c r="L131" s="38">
        <f>IF($C131="","",AVERAGE(F131:J131))</f>
        <v/>
      </c>
      <c r="M131" s="55">
        <f>IF($C131="","",IF(Summary!$C$16="N","",IFERROR(BDP($C131,'Field Check'!$C$16,'Field Check'!$C$17,TEXT(Summary!$C$12-5,"0")),"")))</f>
        <v/>
      </c>
      <c r="N131" s="55">
        <f>IF($C131="","",IF(Summary!$C$16="N","",IFERROR(BDP($C131,'Field Check'!$C$16,'Field Check'!$C$17,TEXT(Summary!$C$12-4,"0")),"")))</f>
        <v/>
      </c>
      <c r="O131" s="55">
        <f>IF($C131="","",IF(Summary!$C$16="N","",IFERROR(BDP($C131,'Field Check'!$C$16,'Field Check'!$C$17,TEXT(Summary!$C$12-3,"0")),"")))</f>
        <v/>
      </c>
      <c r="P131" s="55">
        <f>IF($C131="","",IF(Summary!$C$16="N","",IFERROR(BDP($C131,'Field Check'!$C$16,'Field Check'!$C$17,TEXT(Summary!$C$12-2,"0")),"")))</f>
        <v/>
      </c>
      <c r="Q131" s="55">
        <f>IF($C131="","",IF(Summary!$C$16="N","",IFERROR(BDP($C131,'Field Check'!$C$16,'Field Check'!$C$17,TEXT(Summary!$C$12-1,"0")),"")))</f>
        <v/>
      </c>
      <c r="R131" s="56">
        <f>IF($C131="","",IF(Summary!$C$16="N","",IFERROR(BDP($C131,'Field Check'!$C$18,'Field Check'!$C$17,TEXT(Summary!$C$12-5,"0"))/100,"")))</f>
        <v/>
      </c>
      <c r="S131" s="56">
        <f>IF($C131="","",IF(Summary!$C$16="N","",IFERROR(BDP($C131,'Field Check'!$C$18,'Field Check'!$C$17,TEXT(Summary!$C$12-4,"0"))/100,"")))</f>
        <v/>
      </c>
      <c r="T131" s="56">
        <f>IF($C131="","",IF(Summary!$C$16="N","",IFERROR(BDP($C131,'Field Check'!$C$18,'Field Check'!$C$17,TEXT(Summary!$C$12-3,"0"))/100,"")))</f>
        <v/>
      </c>
      <c r="U131" s="56">
        <f>IF($C131="","",IF(Summary!$C$16="N","",IFERROR(BDP($C131,'Field Check'!$C$18,'Field Check'!$C$17,TEXT(Summary!$C$12-2,"0"))/100,"")))</f>
        <v/>
      </c>
      <c r="V131" s="56">
        <f>IF($C131="","",IF(Summary!$C$16="N","",IFERROR(BDP($C131,'Field Check'!$C$18,'Field Check'!$C$17,TEXT(Summary!$C$12-1,"0"))/100,"")))</f>
        <v/>
      </c>
      <c r="W131" s="57">
        <f>IF($C131="","",IFERROR(AVERAGE(R131:V131),""))</f>
        <v/>
      </c>
      <c r="X131" s="58">
        <f>IF($C131="","",IF(ISNUMBER($Q131)*(N($Q131)&gt;0)=0,"",IFERROR($J131/$Q131,"")))</f>
        <v/>
      </c>
      <c r="Y131" s="59">
        <f>IF($C131="","",IF(ISNUMBER(HSTECH!$I$26),HSTECH!$I$26/100,""))</f>
        <v/>
      </c>
      <c r="Z131" s="60">
        <f>IF($C131="","",IF(Summary!$C$16="N","",IFERROR(BDP($C131,'Field Check'!$C$19)/100,"")))</f>
        <v/>
      </c>
      <c r="AA131" s="61">
        <f>IF($C131="","",IF(N($Y131)+N($Z131)=0,"",N($Y131)+N($Z131)))</f>
        <v/>
      </c>
      <c r="AB131" s="60">
        <f>IF($C131="","",IF(Summary!$C$16="N","",IFERROR(BDP($C131,'Field Check'!$C$20)/100,"")))</f>
        <v/>
      </c>
      <c r="AC131" s="45">
        <f>IF($C131="","",IF(N($Y131)=0,"",IFERROR($AB131/$Y131,"")))</f>
        <v/>
      </c>
      <c r="AD131" s="55">
        <f>IF($C131="","",IF(Summary!$C$16="N","",IFERROR(BDP($C131,'Field Check'!$C$21),"")))</f>
        <v/>
      </c>
      <c r="AE131" s="55">
        <f>IF($C131="","",IF(Summary!$C$16="N","",IFERROR(BDP($C131,'Field Check'!$C$22),"")))</f>
        <v/>
      </c>
      <c r="AF131" s="55">
        <f>IF($C131="","",IF(Summary!$C$16="N","",IFERROR(BDP($C131,'Field Check'!$C$23),"")))</f>
        <v/>
      </c>
      <c r="AG131" s="40">
        <f>IF($C131="","",TRIM(IF(ISNUMBER($W131)*(N($W131)&gt;$D$7)&gt;0,"payout high  ","")&amp;IF(ISNUMBER($AC131)*(N($AC131)&lt;$F$7)&gt;0,"FCF below dvd  ","")&amp;IF(ISNUMBER($AE131)*(N($AE131)&gt;$H$7)&gt;0,"leverage high","")))</f>
        <v/>
      </c>
      <c r="AH131" s="40">
        <f>IF($C131="","",IF(HSTECH!$F$26="HKD","",IF(HSTECH!$F$26="","","DPS in "&amp;HSTECH!$F$26)))</f>
        <v/>
      </c>
    </row>
    <row r="132">
      <c r="B132" s="52" t="inlineStr">
        <is>
          <t>HSTECH</t>
        </is>
      </c>
      <c r="C132" s="6">
        <f>IF(HSTECH!$C$27="","",HSTECH!$C$27)</f>
        <v/>
      </c>
      <c r="D132" s="6">
        <f>IF($C132="","",HSTECH!$D$27)</f>
        <v/>
      </c>
      <c r="E132" s="6">
        <f>IF($C132="","",HSTECH!$E$27)</f>
        <v/>
      </c>
      <c r="F132" s="53">
        <f>IF($C132="","",SUMIFS('Dvd Calendar'!$E$1816:$AR$1816,'Dvd Calendar'!$E$1815:$AR$1815,"&gt;="&amp;DATE(Summary!$C$12-5,1,1),'Dvd Calendar'!$E$1815:$AR$1815,"&lt;="&amp;DATE(Summary!$C$12-5,12,31)))</f>
        <v/>
      </c>
      <c r="G132" s="53">
        <f>IF($C132="","",SUMIFS('Dvd Calendar'!$E$1816:$AR$1816,'Dvd Calendar'!$E$1815:$AR$1815,"&gt;="&amp;DATE(Summary!$C$12-4,1,1),'Dvd Calendar'!$E$1815:$AR$1815,"&lt;="&amp;DATE(Summary!$C$12-4,12,31)))</f>
        <v/>
      </c>
      <c r="H132" s="53">
        <f>IF($C132="","",SUMIFS('Dvd Calendar'!$E$1816:$AR$1816,'Dvd Calendar'!$E$1815:$AR$1815,"&gt;="&amp;DATE(Summary!$C$12-3,1,1),'Dvd Calendar'!$E$1815:$AR$1815,"&lt;="&amp;DATE(Summary!$C$12-3,12,31)))</f>
        <v/>
      </c>
      <c r="I132" s="53">
        <f>IF($C132="","",SUMIFS('Dvd Calendar'!$E$1816:$AR$1816,'Dvd Calendar'!$E$1815:$AR$1815,"&gt;="&amp;DATE(Summary!$C$12-2,1,1),'Dvd Calendar'!$E$1815:$AR$1815,"&lt;="&amp;DATE(Summary!$C$12-2,12,31)))</f>
        <v/>
      </c>
      <c r="J132" s="53">
        <f>IF($C132="","",SUMIFS('Dvd Calendar'!$E$1816:$AR$1816,'Dvd Calendar'!$E$1815:$AR$1815,"&gt;="&amp;DATE(Summary!$C$12-1,1,1),'Dvd Calendar'!$E$1815:$AR$1815,"&lt;="&amp;DATE(Summary!$C$12-1,12,31)))</f>
        <v/>
      </c>
      <c r="K132" s="54">
        <f>IF($C132="","",SUMIFS('Dvd Calendar'!$E$1816:$AR$1816,'Dvd Calendar'!$E$1815:$AR$1815,"&gt;="&amp;DATE(Summary!$C$12,1,1),'Dvd Calendar'!$E$1815:$AR$1815,"&lt;="&amp;MIN(Summary!$C$11,DATE(Summary!$C$12,12,31))))</f>
        <v/>
      </c>
      <c r="L132" s="38">
        <f>IF($C132="","",AVERAGE(F132:J132))</f>
        <v/>
      </c>
      <c r="M132" s="55">
        <f>IF($C132="","",IF(Summary!$C$16="N","",IFERROR(BDP($C132,'Field Check'!$C$16,'Field Check'!$C$17,TEXT(Summary!$C$12-5,"0")),"")))</f>
        <v/>
      </c>
      <c r="N132" s="55">
        <f>IF($C132="","",IF(Summary!$C$16="N","",IFERROR(BDP($C132,'Field Check'!$C$16,'Field Check'!$C$17,TEXT(Summary!$C$12-4,"0")),"")))</f>
        <v/>
      </c>
      <c r="O132" s="55">
        <f>IF($C132="","",IF(Summary!$C$16="N","",IFERROR(BDP($C132,'Field Check'!$C$16,'Field Check'!$C$17,TEXT(Summary!$C$12-3,"0")),"")))</f>
        <v/>
      </c>
      <c r="P132" s="55">
        <f>IF($C132="","",IF(Summary!$C$16="N","",IFERROR(BDP($C132,'Field Check'!$C$16,'Field Check'!$C$17,TEXT(Summary!$C$12-2,"0")),"")))</f>
        <v/>
      </c>
      <c r="Q132" s="55">
        <f>IF($C132="","",IF(Summary!$C$16="N","",IFERROR(BDP($C132,'Field Check'!$C$16,'Field Check'!$C$17,TEXT(Summary!$C$12-1,"0")),"")))</f>
        <v/>
      </c>
      <c r="R132" s="56">
        <f>IF($C132="","",IF(Summary!$C$16="N","",IFERROR(BDP($C132,'Field Check'!$C$18,'Field Check'!$C$17,TEXT(Summary!$C$12-5,"0"))/100,"")))</f>
        <v/>
      </c>
      <c r="S132" s="56">
        <f>IF($C132="","",IF(Summary!$C$16="N","",IFERROR(BDP($C132,'Field Check'!$C$18,'Field Check'!$C$17,TEXT(Summary!$C$12-4,"0"))/100,"")))</f>
        <v/>
      </c>
      <c r="T132" s="56">
        <f>IF($C132="","",IF(Summary!$C$16="N","",IFERROR(BDP($C132,'Field Check'!$C$18,'Field Check'!$C$17,TEXT(Summary!$C$12-3,"0"))/100,"")))</f>
        <v/>
      </c>
      <c r="U132" s="56">
        <f>IF($C132="","",IF(Summary!$C$16="N","",IFERROR(BDP($C132,'Field Check'!$C$18,'Field Check'!$C$17,TEXT(Summary!$C$12-2,"0"))/100,"")))</f>
        <v/>
      </c>
      <c r="V132" s="56">
        <f>IF($C132="","",IF(Summary!$C$16="N","",IFERROR(BDP($C132,'Field Check'!$C$18,'Field Check'!$C$17,TEXT(Summary!$C$12-1,"0"))/100,"")))</f>
        <v/>
      </c>
      <c r="W132" s="57">
        <f>IF($C132="","",IFERROR(AVERAGE(R132:V132),""))</f>
        <v/>
      </c>
      <c r="X132" s="58">
        <f>IF($C132="","",IF(ISNUMBER($Q132)*(N($Q132)&gt;0)=0,"",IFERROR($J132/$Q132,"")))</f>
        <v/>
      </c>
      <c r="Y132" s="59">
        <f>IF($C132="","",IF(ISNUMBER(HSTECH!$I$27),HSTECH!$I$27/100,""))</f>
        <v/>
      </c>
      <c r="Z132" s="60">
        <f>IF($C132="","",IF(Summary!$C$16="N","",IFERROR(BDP($C132,'Field Check'!$C$19)/100,"")))</f>
        <v/>
      </c>
      <c r="AA132" s="61">
        <f>IF($C132="","",IF(N($Y132)+N($Z132)=0,"",N($Y132)+N($Z132)))</f>
        <v/>
      </c>
      <c r="AB132" s="60">
        <f>IF($C132="","",IF(Summary!$C$16="N","",IFERROR(BDP($C132,'Field Check'!$C$20)/100,"")))</f>
        <v/>
      </c>
      <c r="AC132" s="45">
        <f>IF($C132="","",IF(N($Y132)=0,"",IFERROR($AB132/$Y132,"")))</f>
        <v/>
      </c>
      <c r="AD132" s="55">
        <f>IF($C132="","",IF(Summary!$C$16="N","",IFERROR(BDP($C132,'Field Check'!$C$21),"")))</f>
        <v/>
      </c>
      <c r="AE132" s="55">
        <f>IF($C132="","",IF(Summary!$C$16="N","",IFERROR(BDP($C132,'Field Check'!$C$22),"")))</f>
        <v/>
      </c>
      <c r="AF132" s="55">
        <f>IF($C132="","",IF(Summary!$C$16="N","",IFERROR(BDP($C132,'Field Check'!$C$23),"")))</f>
        <v/>
      </c>
      <c r="AG132" s="40">
        <f>IF($C132="","",TRIM(IF(ISNUMBER($W132)*(N($W132)&gt;$D$7)&gt;0,"payout high  ","")&amp;IF(ISNUMBER($AC132)*(N($AC132)&lt;$F$7)&gt;0,"FCF below dvd  ","")&amp;IF(ISNUMBER($AE132)*(N($AE132)&gt;$H$7)&gt;0,"leverage high","")))</f>
        <v/>
      </c>
      <c r="AH132" s="40">
        <f>IF($C132="","",IF(HSTECH!$F$27="HKD","",IF(HSTECH!$F$27="","","DPS in "&amp;HSTECH!$F$27)))</f>
        <v/>
      </c>
    </row>
    <row r="133">
      <c r="B133" s="52" t="inlineStr">
        <is>
          <t>HSTECH</t>
        </is>
      </c>
      <c r="C133" s="6">
        <f>IF(HSTECH!$C$28="","",HSTECH!$C$28)</f>
        <v/>
      </c>
      <c r="D133" s="6">
        <f>IF($C133="","",HSTECH!$D$28)</f>
        <v/>
      </c>
      <c r="E133" s="6">
        <f>IF($C133="","",HSTECH!$E$28)</f>
        <v/>
      </c>
      <c r="F133" s="53">
        <f>IF($C133="","",SUMIFS('Dvd Calendar'!$E$1831:$AR$1831,'Dvd Calendar'!$E$1830:$AR$1830,"&gt;="&amp;DATE(Summary!$C$12-5,1,1),'Dvd Calendar'!$E$1830:$AR$1830,"&lt;="&amp;DATE(Summary!$C$12-5,12,31)))</f>
        <v/>
      </c>
      <c r="G133" s="53">
        <f>IF($C133="","",SUMIFS('Dvd Calendar'!$E$1831:$AR$1831,'Dvd Calendar'!$E$1830:$AR$1830,"&gt;="&amp;DATE(Summary!$C$12-4,1,1),'Dvd Calendar'!$E$1830:$AR$1830,"&lt;="&amp;DATE(Summary!$C$12-4,12,31)))</f>
        <v/>
      </c>
      <c r="H133" s="53">
        <f>IF($C133="","",SUMIFS('Dvd Calendar'!$E$1831:$AR$1831,'Dvd Calendar'!$E$1830:$AR$1830,"&gt;="&amp;DATE(Summary!$C$12-3,1,1),'Dvd Calendar'!$E$1830:$AR$1830,"&lt;="&amp;DATE(Summary!$C$12-3,12,31)))</f>
        <v/>
      </c>
      <c r="I133" s="53">
        <f>IF($C133="","",SUMIFS('Dvd Calendar'!$E$1831:$AR$1831,'Dvd Calendar'!$E$1830:$AR$1830,"&gt;="&amp;DATE(Summary!$C$12-2,1,1),'Dvd Calendar'!$E$1830:$AR$1830,"&lt;="&amp;DATE(Summary!$C$12-2,12,31)))</f>
        <v/>
      </c>
      <c r="J133" s="53">
        <f>IF($C133="","",SUMIFS('Dvd Calendar'!$E$1831:$AR$1831,'Dvd Calendar'!$E$1830:$AR$1830,"&gt;="&amp;DATE(Summary!$C$12-1,1,1),'Dvd Calendar'!$E$1830:$AR$1830,"&lt;="&amp;DATE(Summary!$C$12-1,12,31)))</f>
        <v/>
      </c>
      <c r="K133" s="54">
        <f>IF($C133="","",SUMIFS('Dvd Calendar'!$E$1831:$AR$1831,'Dvd Calendar'!$E$1830:$AR$1830,"&gt;="&amp;DATE(Summary!$C$12,1,1),'Dvd Calendar'!$E$1830:$AR$1830,"&lt;="&amp;MIN(Summary!$C$11,DATE(Summary!$C$12,12,31))))</f>
        <v/>
      </c>
      <c r="L133" s="38">
        <f>IF($C133="","",AVERAGE(F133:J133))</f>
        <v/>
      </c>
      <c r="M133" s="55">
        <f>IF($C133="","",IF(Summary!$C$16="N","",IFERROR(BDP($C133,'Field Check'!$C$16,'Field Check'!$C$17,TEXT(Summary!$C$12-5,"0")),"")))</f>
        <v/>
      </c>
      <c r="N133" s="55">
        <f>IF($C133="","",IF(Summary!$C$16="N","",IFERROR(BDP($C133,'Field Check'!$C$16,'Field Check'!$C$17,TEXT(Summary!$C$12-4,"0")),"")))</f>
        <v/>
      </c>
      <c r="O133" s="55">
        <f>IF($C133="","",IF(Summary!$C$16="N","",IFERROR(BDP($C133,'Field Check'!$C$16,'Field Check'!$C$17,TEXT(Summary!$C$12-3,"0")),"")))</f>
        <v/>
      </c>
      <c r="P133" s="55">
        <f>IF($C133="","",IF(Summary!$C$16="N","",IFERROR(BDP($C133,'Field Check'!$C$16,'Field Check'!$C$17,TEXT(Summary!$C$12-2,"0")),"")))</f>
        <v/>
      </c>
      <c r="Q133" s="55">
        <f>IF($C133="","",IF(Summary!$C$16="N","",IFERROR(BDP($C133,'Field Check'!$C$16,'Field Check'!$C$17,TEXT(Summary!$C$12-1,"0")),"")))</f>
        <v/>
      </c>
      <c r="R133" s="56">
        <f>IF($C133="","",IF(Summary!$C$16="N","",IFERROR(BDP($C133,'Field Check'!$C$18,'Field Check'!$C$17,TEXT(Summary!$C$12-5,"0"))/100,"")))</f>
        <v/>
      </c>
      <c r="S133" s="56">
        <f>IF($C133="","",IF(Summary!$C$16="N","",IFERROR(BDP($C133,'Field Check'!$C$18,'Field Check'!$C$17,TEXT(Summary!$C$12-4,"0"))/100,"")))</f>
        <v/>
      </c>
      <c r="T133" s="56">
        <f>IF($C133="","",IF(Summary!$C$16="N","",IFERROR(BDP($C133,'Field Check'!$C$18,'Field Check'!$C$17,TEXT(Summary!$C$12-3,"0"))/100,"")))</f>
        <v/>
      </c>
      <c r="U133" s="56">
        <f>IF($C133="","",IF(Summary!$C$16="N","",IFERROR(BDP($C133,'Field Check'!$C$18,'Field Check'!$C$17,TEXT(Summary!$C$12-2,"0"))/100,"")))</f>
        <v/>
      </c>
      <c r="V133" s="56">
        <f>IF($C133="","",IF(Summary!$C$16="N","",IFERROR(BDP($C133,'Field Check'!$C$18,'Field Check'!$C$17,TEXT(Summary!$C$12-1,"0"))/100,"")))</f>
        <v/>
      </c>
      <c r="W133" s="57">
        <f>IF($C133="","",IFERROR(AVERAGE(R133:V133),""))</f>
        <v/>
      </c>
      <c r="X133" s="58">
        <f>IF($C133="","",IF(ISNUMBER($Q133)*(N($Q133)&gt;0)=0,"",IFERROR($J133/$Q133,"")))</f>
        <v/>
      </c>
      <c r="Y133" s="59">
        <f>IF($C133="","",IF(ISNUMBER(HSTECH!$I$28),HSTECH!$I$28/100,""))</f>
        <v/>
      </c>
      <c r="Z133" s="60">
        <f>IF($C133="","",IF(Summary!$C$16="N","",IFERROR(BDP($C133,'Field Check'!$C$19)/100,"")))</f>
        <v/>
      </c>
      <c r="AA133" s="61">
        <f>IF($C133="","",IF(N($Y133)+N($Z133)=0,"",N($Y133)+N($Z133)))</f>
        <v/>
      </c>
      <c r="AB133" s="60">
        <f>IF($C133="","",IF(Summary!$C$16="N","",IFERROR(BDP($C133,'Field Check'!$C$20)/100,"")))</f>
        <v/>
      </c>
      <c r="AC133" s="45">
        <f>IF($C133="","",IF(N($Y133)=0,"",IFERROR($AB133/$Y133,"")))</f>
        <v/>
      </c>
      <c r="AD133" s="55">
        <f>IF($C133="","",IF(Summary!$C$16="N","",IFERROR(BDP($C133,'Field Check'!$C$21),"")))</f>
        <v/>
      </c>
      <c r="AE133" s="55">
        <f>IF($C133="","",IF(Summary!$C$16="N","",IFERROR(BDP($C133,'Field Check'!$C$22),"")))</f>
        <v/>
      </c>
      <c r="AF133" s="55">
        <f>IF($C133="","",IF(Summary!$C$16="N","",IFERROR(BDP($C133,'Field Check'!$C$23),"")))</f>
        <v/>
      </c>
      <c r="AG133" s="40">
        <f>IF($C133="","",TRIM(IF(ISNUMBER($W133)*(N($W133)&gt;$D$7)&gt;0,"payout high  ","")&amp;IF(ISNUMBER($AC133)*(N($AC133)&lt;$F$7)&gt;0,"FCF below dvd  ","")&amp;IF(ISNUMBER($AE133)*(N($AE133)&gt;$H$7)&gt;0,"leverage high","")))</f>
        <v/>
      </c>
      <c r="AH133" s="40">
        <f>IF($C133="","",IF(HSTECH!$F$28="HKD","",IF(HSTECH!$F$28="","","DPS in "&amp;HSTECH!$F$28)))</f>
        <v/>
      </c>
    </row>
    <row r="134">
      <c r="B134" s="52" t="inlineStr">
        <is>
          <t>HSTECH</t>
        </is>
      </c>
      <c r="C134" s="6">
        <f>IF(HSTECH!$C$29="","",HSTECH!$C$29)</f>
        <v/>
      </c>
      <c r="D134" s="6">
        <f>IF($C134="","",HSTECH!$D$29)</f>
        <v/>
      </c>
      <c r="E134" s="6">
        <f>IF($C134="","",HSTECH!$E$29)</f>
        <v/>
      </c>
      <c r="F134" s="53">
        <f>IF($C134="","",SUMIFS('Dvd Calendar'!$E$1846:$AR$1846,'Dvd Calendar'!$E$1845:$AR$1845,"&gt;="&amp;DATE(Summary!$C$12-5,1,1),'Dvd Calendar'!$E$1845:$AR$1845,"&lt;="&amp;DATE(Summary!$C$12-5,12,31)))</f>
        <v/>
      </c>
      <c r="G134" s="53">
        <f>IF($C134="","",SUMIFS('Dvd Calendar'!$E$1846:$AR$1846,'Dvd Calendar'!$E$1845:$AR$1845,"&gt;="&amp;DATE(Summary!$C$12-4,1,1),'Dvd Calendar'!$E$1845:$AR$1845,"&lt;="&amp;DATE(Summary!$C$12-4,12,31)))</f>
        <v/>
      </c>
      <c r="H134" s="53">
        <f>IF($C134="","",SUMIFS('Dvd Calendar'!$E$1846:$AR$1846,'Dvd Calendar'!$E$1845:$AR$1845,"&gt;="&amp;DATE(Summary!$C$12-3,1,1),'Dvd Calendar'!$E$1845:$AR$1845,"&lt;="&amp;DATE(Summary!$C$12-3,12,31)))</f>
        <v/>
      </c>
      <c r="I134" s="53">
        <f>IF($C134="","",SUMIFS('Dvd Calendar'!$E$1846:$AR$1846,'Dvd Calendar'!$E$1845:$AR$1845,"&gt;="&amp;DATE(Summary!$C$12-2,1,1),'Dvd Calendar'!$E$1845:$AR$1845,"&lt;="&amp;DATE(Summary!$C$12-2,12,31)))</f>
        <v/>
      </c>
      <c r="J134" s="53">
        <f>IF($C134="","",SUMIFS('Dvd Calendar'!$E$1846:$AR$1846,'Dvd Calendar'!$E$1845:$AR$1845,"&gt;="&amp;DATE(Summary!$C$12-1,1,1),'Dvd Calendar'!$E$1845:$AR$1845,"&lt;="&amp;DATE(Summary!$C$12-1,12,31)))</f>
        <v/>
      </c>
      <c r="K134" s="54">
        <f>IF($C134="","",SUMIFS('Dvd Calendar'!$E$1846:$AR$1846,'Dvd Calendar'!$E$1845:$AR$1845,"&gt;="&amp;DATE(Summary!$C$12,1,1),'Dvd Calendar'!$E$1845:$AR$1845,"&lt;="&amp;MIN(Summary!$C$11,DATE(Summary!$C$12,12,31))))</f>
        <v/>
      </c>
      <c r="L134" s="38">
        <f>IF($C134="","",AVERAGE(F134:J134))</f>
        <v/>
      </c>
      <c r="M134" s="55">
        <f>IF($C134="","",IF(Summary!$C$16="N","",IFERROR(BDP($C134,'Field Check'!$C$16,'Field Check'!$C$17,TEXT(Summary!$C$12-5,"0")),"")))</f>
        <v/>
      </c>
      <c r="N134" s="55">
        <f>IF($C134="","",IF(Summary!$C$16="N","",IFERROR(BDP($C134,'Field Check'!$C$16,'Field Check'!$C$17,TEXT(Summary!$C$12-4,"0")),"")))</f>
        <v/>
      </c>
      <c r="O134" s="55">
        <f>IF($C134="","",IF(Summary!$C$16="N","",IFERROR(BDP($C134,'Field Check'!$C$16,'Field Check'!$C$17,TEXT(Summary!$C$12-3,"0")),"")))</f>
        <v/>
      </c>
      <c r="P134" s="55">
        <f>IF($C134="","",IF(Summary!$C$16="N","",IFERROR(BDP($C134,'Field Check'!$C$16,'Field Check'!$C$17,TEXT(Summary!$C$12-2,"0")),"")))</f>
        <v/>
      </c>
      <c r="Q134" s="55">
        <f>IF($C134="","",IF(Summary!$C$16="N","",IFERROR(BDP($C134,'Field Check'!$C$16,'Field Check'!$C$17,TEXT(Summary!$C$12-1,"0")),"")))</f>
        <v/>
      </c>
      <c r="R134" s="56">
        <f>IF($C134="","",IF(Summary!$C$16="N","",IFERROR(BDP($C134,'Field Check'!$C$18,'Field Check'!$C$17,TEXT(Summary!$C$12-5,"0"))/100,"")))</f>
        <v/>
      </c>
      <c r="S134" s="56">
        <f>IF($C134="","",IF(Summary!$C$16="N","",IFERROR(BDP($C134,'Field Check'!$C$18,'Field Check'!$C$17,TEXT(Summary!$C$12-4,"0"))/100,"")))</f>
        <v/>
      </c>
      <c r="T134" s="56">
        <f>IF($C134="","",IF(Summary!$C$16="N","",IFERROR(BDP($C134,'Field Check'!$C$18,'Field Check'!$C$17,TEXT(Summary!$C$12-3,"0"))/100,"")))</f>
        <v/>
      </c>
      <c r="U134" s="56">
        <f>IF($C134="","",IF(Summary!$C$16="N","",IFERROR(BDP($C134,'Field Check'!$C$18,'Field Check'!$C$17,TEXT(Summary!$C$12-2,"0"))/100,"")))</f>
        <v/>
      </c>
      <c r="V134" s="56">
        <f>IF($C134="","",IF(Summary!$C$16="N","",IFERROR(BDP($C134,'Field Check'!$C$18,'Field Check'!$C$17,TEXT(Summary!$C$12-1,"0"))/100,"")))</f>
        <v/>
      </c>
      <c r="W134" s="57">
        <f>IF($C134="","",IFERROR(AVERAGE(R134:V134),""))</f>
        <v/>
      </c>
      <c r="X134" s="58">
        <f>IF($C134="","",IF(ISNUMBER($Q134)*(N($Q134)&gt;0)=0,"",IFERROR($J134/$Q134,"")))</f>
        <v/>
      </c>
      <c r="Y134" s="59">
        <f>IF($C134="","",IF(ISNUMBER(HSTECH!$I$29),HSTECH!$I$29/100,""))</f>
        <v/>
      </c>
      <c r="Z134" s="60">
        <f>IF($C134="","",IF(Summary!$C$16="N","",IFERROR(BDP($C134,'Field Check'!$C$19)/100,"")))</f>
        <v/>
      </c>
      <c r="AA134" s="61">
        <f>IF($C134="","",IF(N($Y134)+N($Z134)=0,"",N($Y134)+N($Z134)))</f>
        <v/>
      </c>
      <c r="AB134" s="60">
        <f>IF($C134="","",IF(Summary!$C$16="N","",IFERROR(BDP($C134,'Field Check'!$C$20)/100,"")))</f>
        <v/>
      </c>
      <c r="AC134" s="45">
        <f>IF($C134="","",IF(N($Y134)=0,"",IFERROR($AB134/$Y134,"")))</f>
        <v/>
      </c>
      <c r="AD134" s="55">
        <f>IF($C134="","",IF(Summary!$C$16="N","",IFERROR(BDP($C134,'Field Check'!$C$21),"")))</f>
        <v/>
      </c>
      <c r="AE134" s="55">
        <f>IF($C134="","",IF(Summary!$C$16="N","",IFERROR(BDP($C134,'Field Check'!$C$22),"")))</f>
        <v/>
      </c>
      <c r="AF134" s="55">
        <f>IF($C134="","",IF(Summary!$C$16="N","",IFERROR(BDP($C134,'Field Check'!$C$23),"")))</f>
        <v/>
      </c>
      <c r="AG134" s="40">
        <f>IF($C134="","",TRIM(IF(ISNUMBER($W134)*(N($W134)&gt;$D$7)&gt;0,"payout high  ","")&amp;IF(ISNUMBER($AC134)*(N($AC134)&lt;$F$7)&gt;0,"FCF below dvd  ","")&amp;IF(ISNUMBER($AE134)*(N($AE134)&gt;$H$7)&gt;0,"leverage high","")))</f>
        <v/>
      </c>
      <c r="AH134" s="40">
        <f>IF($C134="","",IF(HSTECH!$F$29="HKD","",IF(HSTECH!$F$29="","","DPS in "&amp;HSTECH!$F$29)))</f>
        <v/>
      </c>
    </row>
    <row r="135">
      <c r="B135" s="52" t="inlineStr">
        <is>
          <t>HSTECH</t>
        </is>
      </c>
      <c r="C135" s="6">
        <f>IF(HSTECH!$C$30="","",HSTECH!$C$30)</f>
        <v/>
      </c>
      <c r="D135" s="6">
        <f>IF($C135="","",HSTECH!$D$30)</f>
        <v/>
      </c>
      <c r="E135" s="6">
        <f>IF($C135="","",HSTECH!$E$30)</f>
        <v/>
      </c>
      <c r="F135" s="53">
        <f>IF($C135="","",SUMIFS('Dvd Calendar'!$E$1861:$AR$1861,'Dvd Calendar'!$E$1860:$AR$1860,"&gt;="&amp;DATE(Summary!$C$12-5,1,1),'Dvd Calendar'!$E$1860:$AR$1860,"&lt;="&amp;DATE(Summary!$C$12-5,12,31)))</f>
        <v/>
      </c>
      <c r="G135" s="53">
        <f>IF($C135="","",SUMIFS('Dvd Calendar'!$E$1861:$AR$1861,'Dvd Calendar'!$E$1860:$AR$1860,"&gt;="&amp;DATE(Summary!$C$12-4,1,1),'Dvd Calendar'!$E$1860:$AR$1860,"&lt;="&amp;DATE(Summary!$C$12-4,12,31)))</f>
        <v/>
      </c>
      <c r="H135" s="53">
        <f>IF($C135="","",SUMIFS('Dvd Calendar'!$E$1861:$AR$1861,'Dvd Calendar'!$E$1860:$AR$1860,"&gt;="&amp;DATE(Summary!$C$12-3,1,1),'Dvd Calendar'!$E$1860:$AR$1860,"&lt;="&amp;DATE(Summary!$C$12-3,12,31)))</f>
        <v/>
      </c>
      <c r="I135" s="53">
        <f>IF($C135="","",SUMIFS('Dvd Calendar'!$E$1861:$AR$1861,'Dvd Calendar'!$E$1860:$AR$1860,"&gt;="&amp;DATE(Summary!$C$12-2,1,1),'Dvd Calendar'!$E$1860:$AR$1860,"&lt;="&amp;DATE(Summary!$C$12-2,12,31)))</f>
        <v/>
      </c>
      <c r="J135" s="53">
        <f>IF($C135="","",SUMIFS('Dvd Calendar'!$E$1861:$AR$1861,'Dvd Calendar'!$E$1860:$AR$1860,"&gt;="&amp;DATE(Summary!$C$12-1,1,1),'Dvd Calendar'!$E$1860:$AR$1860,"&lt;="&amp;DATE(Summary!$C$12-1,12,31)))</f>
        <v/>
      </c>
      <c r="K135" s="54">
        <f>IF($C135="","",SUMIFS('Dvd Calendar'!$E$1861:$AR$1861,'Dvd Calendar'!$E$1860:$AR$1860,"&gt;="&amp;DATE(Summary!$C$12,1,1),'Dvd Calendar'!$E$1860:$AR$1860,"&lt;="&amp;MIN(Summary!$C$11,DATE(Summary!$C$12,12,31))))</f>
        <v/>
      </c>
      <c r="L135" s="38">
        <f>IF($C135="","",AVERAGE(F135:J135))</f>
        <v/>
      </c>
      <c r="M135" s="55">
        <f>IF($C135="","",IF(Summary!$C$16="N","",IFERROR(BDP($C135,'Field Check'!$C$16,'Field Check'!$C$17,TEXT(Summary!$C$12-5,"0")),"")))</f>
        <v/>
      </c>
      <c r="N135" s="55">
        <f>IF($C135="","",IF(Summary!$C$16="N","",IFERROR(BDP($C135,'Field Check'!$C$16,'Field Check'!$C$17,TEXT(Summary!$C$12-4,"0")),"")))</f>
        <v/>
      </c>
      <c r="O135" s="55">
        <f>IF($C135="","",IF(Summary!$C$16="N","",IFERROR(BDP($C135,'Field Check'!$C$16,'Field Check'!$C$17,TEXT(Summary!$C$12-3,"0")),"")))</f>
        <v/>
      </c>
      <c r="P135" s="55">
        <f>IF($C135="","",IF(Summary!$C$16="N","",IFERROR(BDP($C135,'Field Check'!$C$16,'Field Check'!$C$17,TEXT(Summary!$C$12-2,"0")),"")))</f>
        <v/>
      </c>
      <c r="Q135" s="55">
        <f>IF($C135="","",IF(Summary!$C$16="N","",IFERROR(BDP($C135,'Field Check'!$C$16,'Field Check'!$C$17,TEXT(Summary!$C$12-1,"0")),"")))</f>
        <v/>
      </c>
      <c r="R135" s="56">
        <f>IF($C135="","",IF(Summary!$C$16="N","",IFERROR(BDP($C135,'Field Check'!$C$18,'Field Check'!$C$17,TEXT(Summary!$C$12-5,"0"))/100,"")))</f>
        <v/>
      </c>
      <c r="S135" s="56">
        <f>IF($C135="","",IF(Summary!$C$16="N","",IFERROR(BDP($C135,'Field Check'!$C$18,'Field Check'!$C$17,TEXT(Summary!$C$12-4,"0"))/100,"")))</f>
        <v/>
      </c>
      <c r="T135" s="56">
        <f>IF($C135="","",IF(Summary!$C$16="N","",IFERROR(BDP($C135,'Field Check'!$C$18,'Field Check'!$C$17,TEXT(Summary!$C$12-3,"0"))/100,"")))</f>
        <v/>
      </c>
      <c r="U135" s="56">
        <f>IF($C135="","",IF(Summary!$C$16="N","",IFERROR(BDP($C135,'Field Check'!$C$18,'Field Check'!$C$17,TEXT(Summary!$C$12-2,"0"))/100,"")))</f>
        <v/>
      </c>
      <c r="V135" s="56">
        <f>IF($C135="","",IF(Summary!$C$16="N","",IFERROR(BDP($C135,'Field Check'!$C$18,'Field Check'!$C$17,TEXT(Summary!$C$12-1,"0"))/100,"")))</f>
        <v/>
      </c>
      <c r="W135" s="57">
        <f>IF($C135="","",IFERROR(AVERAGE(R135:V135),""))</f>
        <v/>
      </c>
      <c r="X135" s="58">
        <f>IF($C135="","",IF(ISNUMBER($Q135)*(N($Q135)&gt;0)=0,"",IFERROR($J135/$Q135,"")))</f>
        <v/>
      </c>
      <c r="Y135" s="59">
        <f>IF($C135="","",IF(ISNUMBER(HSTECH!$I$30),HSTECH!$I$30/100,""))</f>
        <v/>
      </c>
      <c r="Z135" s="60">
        <f>IF($C135="","",IF(Summary!$C$16="N","",IFERROR(BDP($C135,'Field Check'!$C$19)/100,"")))</f>
        <v/>
      </c>
      <c r="AA135" s="61">
        <f>IF($C135="","",IF(N($Y135)+N($Z135)=0,"",N($Y135)+N($Z135)))</f>
        <v/>
      </c>
      <c r="AB135" s="60">
        <f>IF($C135="","",IF(Summary!$C$16="N","",IFERROR(BDP($C135,'Field Check'!$C$20)/100,"")))</f>
        <v/>
      </c>
      <c r="AC135" s="45">
        <f>IF($C135="","",IF(N($Y135)=0,"",IFERROR($AB135/$Y135,"")))</f>
        <v/>
      </c>
      <c r="AD135" s="55">
        <f>IF($C135="","",IF(Summary!$C$16="N","",IFERROR(BDP($C135,'Field Check'!$C$21),"")))</f>
        <v/>
      </c>
      <c r="AE135" s="55">
        <f>IF($C135="","",IF(Summary!$C$16="N","",IFERROR(BDP($C135,'Field Check'!$C$22),"")))</f>
        <v/>
      </c>
      <c r="AF135" s="55">
        <f>IF($C135="","",IF(Summary!$C$16="N","",IFERROR(BDP($C135,'Field Check'!$C$23),"")))</f>
        <v/>
      </c>
      <c r="AG135" s="40">
        <f>IF($C135="","",TRIM(IF(ISNUMBER($W135)*(N($W135)&gt;$D$7)&gt;0,"payout high  ","")&amp;IF(ISNUMBER($AC135)*(N($AC135)&lt;$F$7)&gt;0,"FCF below dvd  ","")&amp;IF(ISNUMBER($AE135)*(N($AE135)&gt;$H$7)&gt;0,"leverage high","")))</f>
        <v/>
      </c>
      <c r="AH135" s="40">
        <f>IF($C135="","",IF(HSTECH!$F$30="HKD","",IF(HSTECH!$F$30="","","DPS in "&amp;HSTECH!$F$30)))</f>
        <v/>
      </c>
    </row>
    <row r="136">
      <c r="B136" s="52" t="inlineStr">
        <is>
          <t>HSTECH</t>
        </is>
      </c>
      <c r="C136" s="6">
        <f>IF(HSTECH!$C$31="","",HSTECH!$C$31)</f>
        <v/>
      </c>
      <c r="D136" s="6">
        <f>IF($C136="","",HSTECH!$D$31)</f>
        <v/>
      </c>
      <c r="E136" s="6">
        <f>IF($C136="","",HSTECH!$E$31)</f>
        <v/>
      </c>
      <c r="F136" s="53">
        <f>IF($C136="","",SUMIFS('Dvd Calendar'!$E$1876:$AR$1876,'Dvd Calendar'!$E$1875:$AR$1875,"&gt;="&amp;DATE(Summary!$C$12-5,1,1),'Dvd Calendar'!$E$1875:$AR$1875,"&lt;="&amp;DATE(Summary!$C$12-5,12,31)))</f>
        <v/>
      </c>
      <c r="G136" s="53">
        <f>IF($C136="","",SUMIFS('Dvd Calendar'!$E$1876:$AR$1876,'Dvd Calendar'!$E$1875:$AR$1875,"&gt;="&amp;DATE(Summary!$C$12-4,1,1),'Dvd Calendar'!$E$1875:$AR$1875,"&lt;="&amp;DATE(Summary!$C$12-4,12,31)))</f>
        <v/>
      </c>
      <c r="H136" s="53">
        <f>IF($C136="","",SUMIFS('Dvd Calendar'!$E$1876:$AR$1876,'Dvd Calendar'!$E$1875:$AR$1875,"&gt;="&amp;DATE(Summary!$C$12-3,1,1),'Dvd Calendar'!$E$1875:$AR$1875,"&lt;="&amp;DATE(Summary!$C$12-3,12,31)))</f>
        <v/>
      </c>
      <c r="I136" s="53">
        <f>IF($C136="","",SUMIFS('Dvd Calendar'!$E$1876:$AR$1876,'Dvd Calendar'!$E$1875:$AR$1875,"&gt;="&amp;DATE(Summary!$C$12-2,1,1),'Dvd Calendar'!$E$1875:$AR$1875,"&lt;="&amp;DATE(Summary!$C$12-2,12,31)))</f>
        <v/>
      </c>
      <c r="J136" s="53">
        <f>IF($C136="","",SUMIFS('Dvd Calendar'!$E$1876:$AR$1876,'Dvd Calendar'!$E$1875:$AR$1875,"&gt;="&amp;DATE(Summary!$C$12-1,1,1),'Dvd Calendar'!$E$1875:$AR$1875,"&lt;="&amp;DATE(Summary!$C$12-1,12,31)))</f>
        <v/>
      </c>
      <c r="K136" s="54">
        <f>IF($C136="","",SUMIFS('Dvd Calendar'!$E$1876:$AR$1876,'Dvd Calendar'!$E$1875:$AR$1875,"&gt;="&amp;DATE(Summary!$C$12,1,1),'Dvd Calendar'!$E$1875:$AR$1875,"&lt;="&amp;MIN(Summary!$C$11,DATE(Summary!$C$12,12,31))))</f>
        <v/>
      </c>
      <c r="L136" s="38">
        <f>IF($C136="","",AVERAGE(F136:J136))</f>
        <v/>
      </c>
      <c r="M136" s="55">
        <f>IF($C136="","",IF(Summary!$C$16="N","",IFERROR(BDP($C136,'Field Check'!$C$16,'Field Check'!$C$17,TEXT(Summary!$C$12-5,"0")),"")))</f>
        <v/>
      </c>
      <c r="N136" s="55">
        <f>IF($C136="","",IF(Summary!$C$16="N","",IFERROR(BDP($C136,'Field Check'!$C$16,'Field Check'!$C$17,TEXT(Summary!$C$12-4,"0")),"")))</f>
        <v/>
      </c>
      <c r="O136" s="55">
        <f>IF($C136="","",IF(Summary!$C$16="N","",IFERROR(BDP($C136,'Field Check'!$C$16,'Field Check'!$C$17,TEXT(Summary!$C$12-3,"0")),"")))</f>
        <v/>
      </c>
      <c r="P136" s="55">
        <f>IF($C136="","",IF(Summary!$C$16="N","",IFERROR(BDP($C136,'Field Check'!$C$16,'Field Check'!$C$17,TEXT(Summary!$C$12-2,"0")),"")))</f>
        <v/>
      </c>
      <c r="Q136" s="55">
        <f>IF($C136="","",IF(Summary!$C$16="N","",IFERROR(BDP($C136,'Field Check'!$C$16,'Field Check'!$C$17,TEXT(Summary!$C$12-1,"0")),"")))</f>
        <v/>
      </c>
      <c r="R136" s="56">
        <f>IF($C136="","",IF(Summary!$C$16="N","",IFERROR(BDP($C136,'Field Check'!$C$18,'Field Check'!$C$17,TEXT(Summary!$C$12-5,"0"))/100,"")))</f>
        <v/>
      </c>
      <c r="S136" s="56">
        <f>IF($C136="","",IF(Summary!$C$16="N","",IFERROR(BDP($C136,'Field Check'!$C$18,'Field Check'!$C$17,TEXT(Summary!$C$12-4,"0"))/100,"")))</f>
        <v/>
      </c>
      <c r="T136" s="56">
        <f>IF($C136="","",IF(Summary!$C$16="N","",IFERROR(BDP($C136,'Field Check'!$C$18,'Field Check'!$C$17,TEXT(Summary!$C$12-3,"0"))/100,"")))</f>
        <v/>
      </c>
      <c r="U136" s="56">
        <f>IF($C136="","",IF(Summary!$C$16="N","",IFERROR(BDP($C136,'Field Check'!$C$18,'Field Check'!$C$17,TEXT(Summary!$C$12-2,"0"))/100,"")))</f>
        <v/>
      </c>
      <c r="V136" s="56">
        <f>IF($C136="","",IF(Summary!$C$16="N","",IFERROR(BDP($C136,'Field Check'!$C$18,'Field Check'!$C$17,TEXT(Summary!$C$12-1,"0"))/100,"")))</f>
        <v/>
      </c>
      <c r="W136" s="57">
        <f>IF($C136="","",IFERROR(AVERAGE(R136:V136),""))</f>
        <v/>
      </c>
      <c r="X136" s="58">
        <f>IF($C136="","",IF(ISNUMBER($Q136)*(N($Q136)&gt;0)=0,"",IFERROR($J136/$Q136,"")))</f>
        <v/>
      </c>
      <c r="Y136" s="59">
        <f>IF($C136="","",IF(ISNUMBER(HSTECH!$I$31),HSTECH!$I$31/100,""))</f>
        <v/>
      </c>
      <c r="Z136" s="60">
        <f>IF($C136="","",IF(Summary!$C$16="N","",IFERROR(BDP($C136,'Field Check'!$C$19)/100,"")))</f>
        <v/>
      </c>
      <c r="AA136" s="61">
        <f>IF($C136="","",IF(N($Y136)+N($Z136)=0,"",N($Y136)+N($Z136)))</f>
        <v/>
      </c>
      <c r="AB136" s="60">
        <f>IF($C136="","",IF(Summary!$C$16="N","",IFERROR(BDP($C136,'Field Check'!$C$20)/100,"")))</f>
        <v/>
      </c>
      <c r="AC136" s="45">
        <f>IF($C136="","",IF(N($Y136)=0,"",IFERROR($AB136/$Y136,"")))</f>
        <v/>
      </c>
      <c r="AD136" s="55">
        <f>IF($C136="","",IF(Summary!$C$16="N","",IFERROR(BDP($C136,'Field Check'!$C$21),"")))</f>
        <v/>
      </c>
      <c r="AE136" s="55">
        <f>IF($C136="","",IF(Summary!$C$16="N","",IFERROR(BDP($C136,'Field Check'!$C$22),"")))</f>
        <v/>
      </c>
      <c r="AF136" s="55">
        <f>IF($C136="","",IF(Summary!$C$16="N","",IFERROR(BDP($C136,'Field Check'!$C$23),"")))</f>
        <v/>
      </c>
      <c r="AG136" s="40">
        <f>IF($C136="","",TRIM(IF(ISNUMBER($W136)*(N($W136)&gt;$D$7)&gt;0,"payout high  ","")&amp;IF(ISNUMBER($AC136)*(N($AC136)&lt;$F$7)&gt;0,"FCF below dvd  ","")&amp;IF(ISNUMBER($AE136)*(N($AE136)&gt;$H$7)&gt;0,"leverage high","")))</f>
        <v/>
      </c>
      <c r="AH136" s="40">
        <f>IF($C136="","",IF(HSTECH!$F$31="HKD","",IF(HSTECH!$F$31="","","DPS in "&amp;HSTECH!$F$31)))</f>
        <v/>
      </c>
    </row>
    <row r="137">
      <c r="B137" s="52" t="inlineStr">
        <is>
          <t>HSTECH</t>
        </is>
      </c>
      <c r="C137" s="6">
        <f>IF(HSTECH!$C$32="","",HSTECH!$C$32)</f>
        <v/>
      </c>
      <c r="D137" s="6">
        <f>IF($C137="","",HSTECH!$D$32)</f>
        <v/>
      </c>
      <c r="E137" s="6">
        <f>IF($C137="","",HSTECH!$E$32)</f>
        <v/>
      </c>
      <c r="F137" s="53">
        <f>IF($C137="","",SUMIFS('Dvd Calendar'!$E$1891:$AR$1891,'Dvd Calendar'!$E$1890:$AR$1890,"&gt;="&amp;DATE(Summary!$C$12-5,1,1),'Dvd Calendar'!$E$1890:$AR$1890,"&lt;="&amp;DATE(Summary!$C$12-5,12,31)))</f>
        <v/>
      </c>
      <c r="G137" s="53">
        <f>IF($C137="","",SUMIFS('Dvd Calendar'!$E$1891:$AR$1891,'Dvd Calendar'!$E$1890:$AR$1890,"&gt;="&amp;DATE(Summary!$C$12-4,1,1),'Dvd Calendar'!$E$1890:$AR$1890,"&lt;="&amp;DATE(Summary!$C$12-4,12,31)))</f>
        <v/>
      </c>
      <c r="H137" s="53">
        <f>IF($C137="","",SUMIFS('Dvd Calendar'!$E$1891:$AR$1891,'Dvd Calendar'!$E$1890:$AR$1890,"&gt;="&amp;DATE(Summary!$C$12-3,1,1),'Dvd Calendar'!$E$1890:$AR$1890,"&lt;="&amp;DATE(Summary!$C$12-3,12,31)))</f>
        <v/>
      </c>
      <c r="I137" s="53">
        <f>IF($C137="","",SUMIFS('Dvd Calendar'!$E$1891:$AR$1891,'Dvd Calendar'!$E$1890:$AR$1890,"&gt;="&amp;DATE(Summary!$C$12-2,1,1),'Dvd Calendar'!$E$1890:$AR$1890,"&lt;="&amp;DATE(Summary!$C$12-2,12,31)))</f>
        <v/>
      </c>
      <c r="J137" s="53">
        <f>IF($C137="","",SUMIFS('Dvd Calendar'!$E$1891:$AR$1891,'Dvd Calendar'!$E$1890:$AR$1890,"&gt;="&amp;DATE(Summary!$C$12-1,1,1),'Dvd Calendar'!$E$1890:$AR$1890,"&lt;="&amp;DATE(Summary!$C$12-1,12,31)))</f>
        <v/>
      </c>
      <c r="K137" s="54">
        <f>IF($C137="","",SUMIFS('Dvd Calendar'!$E$1891:$AR$1891,'Dvd Calendar'!$E$1890:$AR$1890,"&gt;="&amp;DATE(Summary!$C$12,1,1),'Dvd Calendar'!$E$1890:$AR$1890,"&lt;="&amp;MIN(Summary!$C$11,DATE(Summary!$C$12,12,31))))</f>
        <v/>
      </c>
      <c r="L137" s="38">
        <f>IF($C137="","",AVERAGE(F137:J137))</f>
        <v/>
      </c>
      <c r="M137" s="55">
        <f>IF($C137="","",IF(Summary!$C$16="N","",IFERROR(BDP($C137,'Field Check'!$C$16,'Field Check'!$C$17,TEXT(Summary!$C$12-5,"0")),"")))</f>
        <v/>
      </c>
      <c r="N137" s="55">
        <f>IF($C137="","",IF(Summary!$C$16="N","",IFERROR(BDP($C137,'Field Check'!$C$16,'Field Check'!$C$17,TEXT(Summary!$C$12-4,"0")),"")))</f>
        <v/>
      </c>
      <c r="O137" s="55">
        <f>IF($C137="","",IF(Summary!$C$16="N","",IFERROR(BDP($C137,'Field Check'!$C$16,'Field Check'!$C$17,TEXT(Summary!$C$12-3,"0")),"")))</f>
        <v/>
      </c>
      <c r="P137" s="55">
        <f>IF($C137="","",IF(Summary!$C$16="N","",IFERROR(BDP($C137,'Field Check'!$C$16,'Field Check'!$C$17,TEXT(Summary!$C$12-2,"0")),"")))</f>
        <v/>
      </c>
      <c r="Q137" s="55">
        <f>IF($C137="","",IF(Summary!$C$16="N","",IFERROR(BDP($C137,'Field Check'!$C$16,'Field Check'!$C$17,TEXT(Summary!$C$12-1,"0")),"")))</f>
        <v/>
      </c>
      <c r="R137" s="56">
        <f>IF($C137="","",IF(Summary!$C$16="N","",IFERROR(BDP($C137,'Field Check'!$C$18,'Field Check'!$C$17,TEXT(Summary!$C$12-5,"0"))/100,"")))</f>
        <v/>
      </c>
      <c r="S137" s="56">
        <f>IF($C137="","",IF(Summary!$C$16="N","",IFERROR(BDP($C137,'Field Check'!$C$18,'Field Check'!$C$17,TEXT(Summary!$C$12-4,"0"))/100,"")))</f>
        <v/>
      </c>
      <c r="T137" s="56">
        <f>IF($C137="","",IF(Summary!$C$16="N","",IFERROR(BDP($C137,'Field Check'!$C$18,'Field Check'!$C$17,TEXT(Summary!$C$12-3,"0"))/100,"")))</f>
        <v/>
      </c>
      <c r="U137" s="56">
        <f>IF($C137="","",IF(Summary!$C$16="N","",IFERROR(BDP($C137,'Field Check'!$C$18,'Field Check'!$C$17,TEXT(Summary!$C$12-2,"0"))/100,"")))</f>
        <v/>
      </c>
      <c r="V137" s="56">
        <f>IF($C137="","",IF(Summary!$C$16="N","",IFERROR(BDP($C137,'Field Check'!$C$18,'Field Check'!$C$17,TEXT(Summary!$C$12-1,"0"))/100,"")))</f>
        <v/>
      </c>
      <c r="W137" s="57">
        <f>IF($C137="","",IFERROR(AVERAGE(R137:V137),""))</f>
        <v/>
      </c>
      <c r="X137" s="58">
        <f>IF($C137="","",IF(ISNUMBER($Q137)*(N($Q137)&gt;0)=0,"",IFERROR($J137/$Q137,"")))</f>
        <v/>
      </c>
      <c r="Y137" s="59">
        <f>IF($C137="","",IF(ISNUMBER(HSTECH!$I$32),HSTECH!$I$32/100,""))</f>
        <v/>
      </c>
      <c r="Z137" s="60">
        <f>IF($C137="","",IF(Summary!$C$16="N","",IFERROR(BDP($C137,'Field Check'!$C$19)/100,"")))</f>
        <v/>
      </c>
      <c r="AA137" s="61">
        <f>IF($C137="","",IF(N($Y137)+N($Z137)=0,"",N($Y137)+N($Z137)))</f>
        <v/>
      </c>
      <c r="AB137" s="60">
        <f>IF($C137="","",IF(Summary!$C$16="N","",IFERROR(BDP($C137,'Field Check'!$C$20)/100,"")))</f>
        <v/>
      </c>
      <c r="AC137" s="45">
        <f>IF($C137="","",IF(N($Y137)=0,"",IFERROR($AB137/$Y137,"")))</f>
        <v/>
      </c>
      <c r="AD137" s="55">
        <f>IF($C137="","",IF(Summary!$C$16="N","",IFERROR(BDP($C137,'Field Check'!$C$21),"")))</f>
        <v/>
      </c>
      <c r="AE137" s="55">
        <f>IF($C137="","",IF(Summary!$C$16="N","",IFERROR(BDP($C137,'Field Check'!$C$22),"")))</f>
        <v/>
      </c>
      <c r="AF137" s="55">
        <f>IF($C137="","",IF(Summary!$C$16="N","",IFERROR(BDP($C137,'Field Check'!$C$23),"")))</f>
        <v/>
      </c>
      <c r="AG137" s="40">
        <f>IF($C137="","",TRIM(IF(ISNUMBER($W137)*(N($W137)&gt;$D$7)&gt;0,"payout high  ","")&amp;IF(ISNUMBER($AC137)*(N($AC137)&lt;$F$7)&gt;0,"FCF below dvd  ","")&amp;IF(ISNUMBER($AE137)*(N($AE137)&gt;$H$7)&gt;0,"leverage high","")))</f>
        <v/>
      </c>
      <c r="AH137" s="40">
        <f>IF($C137="","",IF(HSTECH!$F$32="HKD","",IF(HSTECH!$F$32="","","DPS in "&amp;HSTECH!$F$32)))</f>
        <v/>
      </c>
    </row>
    <row r="138">
      <c r="B138" s="52" t="inlineStr">
        <is>
          <t>HSTECH</t>
        </is>
      </c>
      <c r="C138" s="6">
        <f>IF(HSTECH!$C$33="","",HSTECH!$C$33)</f>
        <v/>
      </c>
      <c r="D138" s="6">
        <f>IF($C138="","",HSTECH!$D$33)</f>
        <v/>
      </c>
      <c r="E138" s="6">
        <f>IF($C138="","",HSTECH!$E$33)</f>
        <v/>
      </c>
      <c r="F138" s="53">
        <f>IF($C138="","",SUMIFS('Dvd Calendar'!$E$1906:$AR$1906,'Dvd Calendar'!$E$1905:$AR$1905,"&gt;="&amp;DATE(Summary!$C$12-5,1,1),'Dvd Calendar'!$E$1905:$AR$1905,"&lt;="&amp;DATE(Summary!$C$12-5,12,31)))</f>
        <v/>
      </c>
      <c r="G138" s="53">
        <f>IF($C138="","",SUMIFS('Dvd Calendar'!$E$1906:$AR$1906,'Dvd Calendar'!$E$1905:$AR$1905,"&gt;="&amp;DATE(Summary!$C$12-4,1,1),'Dvd Calendar'!$E$1905:$AR$1905,"&lt;="&amp;DATE(Summary!$C$12-4,12,31)))</f>
        <v/>
      </c>
      <c r="H138" s="53">
        <f>IF($C138="","",SUMIFS('Dvd Calendar'!$E$1906:$AR$1906,'Dvd Calendar'!$E$1905:$AR$1905,"&gt;="&amp;DATE(Summary!$C$12-3,1,1),'Dvd Calendar'!$E$1905:$AR$1905,"&lt;="&amp;DATE(Summary!$C$12-3,12,31)))</f>
        <v/>
      </c>
      <c r="I138" s="53">
        <f>IF($C138="","",SUMIFS('Dvd Calendar'!$E$1906:$AR$1906,'Dvd Calendar'!$E$1905:$AR$1905,"&gt;="&amp;DATE(Summary!$C$12-2,1,1),'Dvd Calendar'!$E$1905:$AR$1905,"&lt;="&amp;DATE(Summary!$C$12-2,12,31)))</f>
        <v/>
      </c>
      <c r="J138" s="53">
        <f>IF($C138="","",SUMIFS('Dvd Calendar'!$E$1906:$AR$1906,'Dvd Calendar'!$E$1905:$AR$1905,"&gt;="&amp;DATE(Summary!$C$12-1,1,1),'Dvd Calendar'!$E$1905:$AR$1905,"&lt;="&amp;DATE(Summary!$C$12-1,12,31)))</f>
        <v/>
      </c>
      <c r="K138" s="54">
        <f>IF($C138="","",SUMIFS('Dvd Calendar'!$E$1906:$AR$1906,'Dvd Calendar'!$E$1905:$AR$1905,"&gt;="&amp;DATE(Summary!$C$12,1,1),'Dvd Calendar'!$E$1905:$AR$1905,"&lt;="&amp;MIN(Summary!$C$11,DATE(Summary!$C$12,12,31))))</f>
        <v/>
      </c>
      <c r="L138" s="38">
        <f>IF($C138="","",AVERAGE(F138:J138))</f>
        <v/>
      </c>
      <c r="M138" s="55">
        <f>IF($C138="","",IF(Summary!$C$16="N","",IFERROR(BDP($C138,'Field Check'!$C$16,'Field Check'!$C$17,TEXT(Summary!$C$12-5,"0")),"")))</f>
        <v/>
      </c>
      <c r="N138" s="55">
        <f>IF($C138="","",IF(Summary!$C$16="N","",IFERROR(BDP($C138,'Field Check'!$C$16,'Field Check'!$C$17,TEXT(Summary!$C$12-4,"0")),"")))</f>
        <v/>
      </c>
      <c r="O138" s="55">
        <f>IF($C138="","",IF(Summary!$C$16="N","",IFERROR(BDP($C138,'Field Check'!$C$16,'Field Check'!$C$17,TEXT(Summary!$C$12-3,"0")),"")))</f>
        <v/>
      </c>
      <c r="P138" s="55">
        <f>IF($C138="","",IF(Summary!$C$16="N","",IFERROR(BDP($C138,'Field Check'!$C$16,'Field Check'!$C$17,TEXT(Summary!$C$12-2,"0")),"")))</f>
        <v/>
      </c>
      <c r="Q138" s="55">
        <f>IF($C138="","",IF(Summary!$C$16="N","",IFERROR(BDP($C138,'Field Check'!$C$16,'Field Check'!$C$17,TEXT(Summary!$C$12-1,"0")),"")))</f>
        <v/>
      </c>
      <c r="R138" s="56">
        <f>IF($C138="","",IF(Summary!$C$16="N","",IFERROR(BDP($C138,'Field Check'!$C$18,'Field Check'!$C$17,TEXT(Summary!$C$12-5,"0"))/100,"")))</f>
        <v/>
      </c>
      <c r="S138" s="56">
        <f>IF($C138="","",IF(Summary!$C$16="N","",IFERROR(BDP($C138,'Field Check'!$C$18,'Field Check'!$C$17,TEXT(Summary!$C$12-4,"0"))/100,"")))</f>
        <v/>
      </c>
      <c r="T138" s="56">
        <f>IF($C138="","",IF(Summary!$C$16="N","",IFERROR(BDP($C138,'Field Check'!$C$18,'Field Check'!$C$17,TEXT(Summary!$C$12-3,"0"))/100,"")))</f>
        <v/>
      </c>
      <c r="U138" s="56">
        <f>IF($C138="","",IF(Summary!$C$16="N","",IFERROR(BDP($C138,'Field Check'!$C$18,'Field Check'!$C$17,TEXT(Summary!$C$12-2,"0"))/100,"")))</f>
        <v/>
      </c>
      <c r="V138" s="56">
        <f>IF($C138="","",IF(Summary!$C$16="N","",IFERROR(BDP($C138,'Field Check'!$C$18,'Field Check'!$C$17,TEXT(Summary!$C$12-1,"0"))/100,"")))</f>
        <v/>
      </c>
      <c r="W138" s="57">
        <f>IF($C138="","",IFERROR(AVERAGE(R138:V138),""))</f>
        <v/>
      </c>
      <c r="X138" s="58">
        <f>IF($C138="","",IF(ISNUMBER($Q138)*(N($Q138)&gt;0)=0,"",IFERROR($J138/$Q138,"")))</f>
        <v/>
      </c>
      <c r="Y138" s="59">
        <f>IF($C138="","",IF(ISNUMBER(HSTECH!$I$33),HSTECH!$I$33/100,""))</f>
        <v/>
      </c>
      <c r="Z138" s="60">
        <f>IF($C138="","",IF(Summary!$C$16="N","",IFERROR(BDP($C138,'Field Check'!$C$19)/100,"")))</f>
        <v/>
      </c>
      <c r="AA138" s="61">
        <f>IF($C138="","",IF(N($Y138)+N($Z138)=0,"",N($Y138)+N($Z138)))</f>
        <v/>
      </c>
      <c r="AB138" s="60">
        <f>IF($C138="","",IF(Summary!$C$16="N","",IFERROR(BDP($C138,'Field Check'!$C$20)/100,"")))</f>
        <v/>
      </c>
      <c r="AC138" s="45">
        <f>IF($C138="","",IF(N($Y138)=0,"",IFERROR($AB138/$Y138,"")))</f>
        <v/>
      </c>
      <c r="AD138" s="55">
        <f>IF($C138="","",IF(Summary!$C$16="N","",IFERROR(BDP($C138,'Field Check'!$C$21),"")))</f>
        <v/>
      </c>
      <c r="AE138" s="55">
        <f>IF($C138="","",IF(Summary!$C$16="N","",IFERROR(BDP($C138,'Field Check'!$C$22),"")))</f>
        <v/>
      </c>
      <c r="AF138" s="55">
        <f>IF($C138="","",IF(Summary!$C$16="N","",IFERROR(BDP($C138,'Field Check'!$C$23),"")))</f>
        <v/>
      </c>
      <c r="AG138" s="40">
        <f>IF($C138="","",TRIM(IF(ISNUMBER($W138)*(N($W138)&gt;$D$7)&gt;0,"payout high  ","")&amp;IF(ISNUMBER($AC138)*(N($AC138)&lt;$F$7)&gt;0,"FCF below dvd  ","")&amp;IF(ISNUMBER($AE138)*(N($AE138)&gt;$H$7)&gt;0,"leverage high","")))</f>
        <v/>
      </c>
      <c r="AH138" s="40">
        <f>IF($C138="","",IF(HSTECH!$F$33="HKD","",IF(HSTECH!$F$33="","","DPS in "&amp;HSTECH!$F$33)))</f>
        <v/>
      </c>
    </row>
    <row r="139">
      <c r="B139" s="52" t="inlineStr">
        <is>
          <t>HSTECH</t>
        </is>
      </c>
      <c r="C139" s="6">
        <f>IF(HSTECH!$C$34="","",HSTECH!$C$34)</f>
        <v/>
      </c>
      <c r="D139" s="6">
        <f>IF($C139="","",HSTECH!$D$34)</f>
        <v/>
      </c>
      <c r="E139" s="6">
        <f>IF($C139="","",HSTECH!$E$34)</f>
        <v/>
      </c>
      <c r="F139" s="53">
        <f>IF($C139="","",SUMIFS('Dvd Calendar'!$E$1921:$AR$1921,'Dvd Calendar'!$E$1920:$AR$1920,"&gt;="&amp;DATE(Summary!$C$12-5,1,1),'Dvd Calendar'!$E$1920:$AR$1920,"&lt;="&amp;DATE(Summary!$C$12-5,12,31)))</f>
        <v/>
      </c>
      <c r="G139" s="53">
        <f>IF($C139="","",SUMIFS('Dvd Calendar'!$E$1921:$AR$1921,'Dvd Calendar'!$E$1920:$AR$1920,"&gt;="&amp;DATE(Summary!$C$12-4,1,1),'Dvd Calendar'!$E$1920:$AR$1920,"&lt;="&amp;DATE(Summary!$C$12-4,12,31)))</f>
        <v/>
      </c>
      <c r="H139" s="53">
        <f>IF($C139="","",SUMIFS('Dvd Calendar'!$E$1921:$AR$1921,'Dvd Calendar'!$E$1920:$AR$1920,"&gt;="&amp;DATE(Summary!$C$12-3,1,1),'Dvd Calendar'!$E$1920:$AR$1920,"&lt;="&amp;DATE(Summary!$C$12-3,12,31)))</f>
        <v/>
      </c>
      <c r="I139" s="53">
        <f>IF($C139="","",SUMIFS('Dvd Calendar'!$E$1921:$AR$1921,'Dvd Calendar'!$E$1920:$AR$1920,"&gt;="&amp;DATE(Summary!$C$12-2,1,1),'Dvd Calendar'!$E$1920:$AR$1920,"&lt;="&amp;DATE(Summary!$C$12-2,12,31)))</f>
        <v/>
      </c>
      <c r="J139" s="53">
        <f>IF($C139="","",SUMIFS('Dvd Calendar'!$E$1921:$AR$1921,'Dvd Calendar'!$E$1920:$AR$1920,"&gt;="&amp;DATE(Summary!$C$12-1,1,1),'Dvd Calendar'!$E$1920:$AR$1920,"&lt;="&amp;DATE(Summary!$C$12-1,12,31)))</f>
        <v/>
      </c>
      <c r="K139" s="54">
        <f>IF($C139="","",SUMIFS('Dvd Calendar'!$E$1921:$AR$1921,'Dvd Calendar'!$E$1920:$AR$1920,"&gt;="&amp;DATE(Summary!$C$12,1,1),'Dvd Calendar'!$E$1920:$AR$1920,"&lt;="&amp;MIN(Summary!$C$11,DATE(Summary!$C$12,12,31))))</f>
        <v/>
      </c>
      <c r="L139" s="38">
        <f>IF($C139="","",AVERAGE(F139:J139))</f>
        <v/>
      </c>
      <c r="M139" s="55">
        <f>IF($C139="","",IF(Summary!$C$16="N","",IFERROR(BDP($C139,'Field Check'!$C$16,'Field Check'!$C$17,TEXT(Summary!$C$12-5,"0")),"")))</f>
        <v/>
      </c>
      <c r="N139" s="55">
        <f>IF($C139="","",IF(Summary!$C$16="N","",IFERROR(BDP($C139,'Field Check'!$C$16,'Field Check'!$C$17,TEXT(Summary!$C$12-4,"0")),"")))</f>
        <v/>
      </c>
      <c r="O139" s="55">
        <f>IF($C139="","",IF(Summary!$C$16="N","",IFERROR(BDP($C139,'Field Check'!$C$16,'Field Check'!$C$17,TEXT(Summary!$C$12-3,"0")),"")))</f>
        <v/>
      </c>
      <c r="P139" s="55">
        <f>IF($C139="","",IF(Summary!$C$16="N","",IFERROR(BDP($C139,'Field Check'!$C$16,'Field Check'!$C$17,TEXT(Summary!$C$12-2,"0")),"")))</f>
        <v/>
      </c>
      <c r="Q139" s="55">
        <f>IF($C139="","",IF(Summary!$C$16="N","",IFERROR(BDP($C139,'Field Check'!$C$16,'Field Check'!$C$17,TEXT(Summary!$C$12-1,"0")),"")))</f>
        <v/>
      </c>
      <c r="R139" s="56">
        <f>IF($C139="","",IF(Summary!$C$16="N","",IFERROR(BDP($C139,'Field Check'!$C$18,'Field Check'!$C$17,TEXT(Summary!$C$12-5,"0"))/100,"")))</f>
        <v/>
      </c>
      <c r="S139" s="56">
        <f>IF($C139="","",IF(Summary!$C$16="N","",IFERROR(BDP($C139,'Field Check'!$C$18,'Field Check'!$C$17,TEXT(Summary!$C$12-4,"0"))/100,"")))</f>
        <v/>
      </c>
      <c r="T139" s="56">
        <f>IF($C139="","",IF(Summary!$C$16="N","",IFERROR(BDP($C139,'Field Check'!$C$18,'Field Check'!$C$17,TEXT(Summary!$C$12-3,"0"))/100,"")))</f>
        <v/>
      </c>
      <c r="U139" s="56">
        <f>IF($C139="","",IF(Summary!$C$16="N","",IFERROR(BDP($C139,'Field Check'!$C$18,'Field Check'!$C$17,TEXT(Summary!$C$12-2,"0"))/100,"")))</f>
        <v/>
      </c>
      <c r="V139" s="56">
        <f>IF($C139="","",IF(Summary!$C$16="N","",IFERROR(BDP($C139,'Field Check'!$C$18,'Field Check'!$C$17,TEXT(Summary!$C$12-1,"0"))/100,"")))</f>
        <v/>
      </c>
      <c r="W139" s="57">
        <f>IF($C139="","",IFERROR(AVERAGE(R139:V139),""))</f>
        <v/>
      </c>
      <c r="X139" s="58">
        <f>IF($C139="","",IF(ISNUMBER($Q139)*(N($Q139)&gt;0)=0,"",IFERROR($J139/$Q139,"")))</f>
        <v/>
      </c>
      <c r="Y139" s="59">
        <f>IF($C139="","",IF(ISNUMBER(HSTECH!$I$34),HSTECH!$I$34/100,""))</f>
        <v/>
      </c>
      <c r="Z139" s="60">
        <f>IF($C139="","",IF(Summary!$C$16="N","",IFERROR(BDP($C139,'Field Check'!$C$19)/100,"")))</f>
        <v/>
      </c>
      <c r="AA139" s="61">
        <f>IF($C139="","",IF(N($Y139)+N($Z139)=0,"",N($Y139)+N($Z139)))</f>
        <v/>
      </c>
      <c r="AB139" s="60">
        <f>IF($C139="","",IF(Summary!$C$16="N","",IFERROR(BDP($C139,'Field Check'!$C$20)/100,"")))</f>
        <v/>
      </c>
      <c r="AC139" s="45">
        <f>IF($C139="","",IF(N($Y139)=0,"",IFERROR($AB139/$Y139,"")))</f>
        <v/>
      </c>
      <c r="AD139" s="55">
        <f>IF($C139="","",IF(Summary!$C$16="N","",IFERROR(BDP($C139,'Field Check'!$C$21),"")))</f>
        <v/>
      </c>
      <c r="AE139" s="55">
        <f>IF($C139="","",IF(Summary!$C$16="N","",IFERROR(BDP($C139,'Field Check'!$C$22),"")))</f>
        <v/>
      </c>
      <c r="AF139" s="55">
        <f>IF($C139="","",IF(Summary!$C$16="N","",IFERROR(BDP($C139,'Field Check'!$C$23),"")))</f>
        <v/>
      </c>
      <c r="AG139" s="40">
        <f>IF($C139="","",TRIM(IF(ISNUMBER($W139)*(N($W139)&gt;$D$7)&gt;0,"payout high  ","")&amp;IF(ISNUMBER($AC139)*(N($AC139)&lt;$F$7)&gt;0,"FCF below dvd  ","")&amp;IF(ISNUMBER($AE139)*(N($AE139)&gt;$H$7)&gt;0,"leverage high","")))</f>
        <v/>
      </c>
      <c r="AH139" s="40">
        <f>IF($C139="","",IF(HSTECH!$F$34="HKD","",IF(HSTECH!$F$34="","","DPS in "&amp;HSTECH!$F$34)))</f>
        <v/>
      </c>
    </row>
    <row r="140">
      <c r="B140" s="52" t="inlineStr">
        <is>
          <t>HSTECH</t>
        </is>
      </c>
      <c r="C140" s="6">
        <f>IF(HSTECH!$C$35="","",HSTECH!$C$35)</f>
        <v/>
      </c>
      <c r="D140" s="6">
        <f>IF($C140="","",HSTECH!$D$35)</f>
        <v/>
      </c>
      <c r="E140" s="6">
        <f>IF($C140="","",HSTECH!$E$35)</f>
        <v/>
      </c>
      <c r="F140" s="53">
        <f>IF($C140="","",SUMIFS('Dvd Calendar'!$E$1936:$AR$1936,'Dvd Calendar'!$E$1935:$AR$1935,"&gt;="&amp;DATE(Summary!$C$12-5,1,1),'Dvd Calendar'!$E$1935:$AR$1935,"&lt;="&amp;DATE(Summary!$C$12-5,12,31)))</f>
        <v/>
      </c>
      <c r="G140" s="53">
        <f>IF($C140="","",SUMIFS('Dvd Calendar'!$E$1936:$AR$1936,'Dvd Calendar'!$E$1935:$AR$1935,"&gt;="&amp;DATE(Summary!$C$12-4,1,1),'Dvd Calendar'!$E$1935:$AR$1935,"&lt;="&amp;DATE(Summary!$C$12-4,12,31)))</f>
        <v/>
      </c>
      <c r="H140" s="53">
        <f>IF($C140="","",SUMIFS('Dvd Calendar'!$E$1936:$AR$1936,'Dvd Calendar'!$E$1935:$AR$1935,"&gt;="&amp;DATE(Summary!$C$12-3,1,1),'Dvd Calendar'!$E$1935:$AR$1935,"&lt;="&amp;DATE(Summary!$C$12-3,12,31)))</f>
        <v/>
      </c>
      <c r="I140" s="53">
        <f>IF($C140="","",SUMIFS('Dvd Calendar'!$E$1936:$AR$1936,'Dvd Calendar'!$E$1935:$AR$1935,"&gt;="&amp;DATE(Summary!$C$12-2,1,1),'Dvd Calendar'!$E$1935:$AR$1935,"&lt;="&amp;DATE(Summary!$C$12-2,12,31)))</f>
        <v/>
      </c>
      <c r="J140" s="53">
        <f>IF($C140="","",SUMIFS('Dvd Calendar'!$E$1936:$AR$1936,'Dvd Calendar'!$E$1935:$AR$1935,"&gt;="&amp;DATE(Summary!$C$12-1,1,1),'Dvd Calendar'!$E$1935:$AR$1935,"&lt;="&amp;DATE(Summary!$C$12-1,12,31)))</f>
        <v/>
      </c>
      <c r="K140" s="54">
        <f>IF($C140="","",SUMIFS('Dvd Calendar'!$E$1936:$AR$1936,'Dvd Calendar'!$E$1935:$AR$1935,"&gt;="&amp;DATE(Summary!$C$12,1,1),'Dvd Calendar'!$E$1935:$AR$1935,"&lt;="&amp;MIN(Summary!$C$11,DATE(Summary!$C$12,12,31))))</f>
        <v/>
      </c>
      <c r="L140" s="38">
        <f>IF($C140="","",AVERAGE(F140:J140))</f>
        <v/>
      </c>
      <c r="M140" s="55">
        <f>IF($C140="","",IF(Summary!$C$16="N","",IFERROR(BDP($C140,'Field Check'!$C$16,'Field Check'!$C$17,TEXT(Summary!$C$12-5,"0")),"")))</f>
        <v/>
      </c>
      <c r="N140" s="55">
        <f>IF($C140="","",IF(Summary!$C$16="N","",IFERROR(BDP($C140,'Field Check'!$C$16,'Field Check'!$C$17,TEXT(Summary!$C$12-4,"0")),"")))</f>
        <v/>
      </c>
      <c r="O140" s="55">
        <f>IF($C140="","",IF(Summary!$C$16="N","",IFERROR(BDP($C140,'Field Check'!$C$16,'Field Check'!$C$17,TEXT(Summary!$C$12-3,"0")),"")))</f>
        <v/>
      </c>
      <c r="P140" s="55">
        <f>IF($C140="","",IF(Summary!$C$16="N","",IFERROR(BDP($C140,'Field Check'!$C$16,'Field Check'!$C$17,TEXT(Summary!$C$12-2,"0")),"")))</f>
        <v/>
      </c>
      <c r="Q140" s="55">
        <f>IF($C140="","",IF(Summary!$C$16="N","",IFERROR(BDP($C140,'Field Check'!$C$16,'Field Check'!$C$17,TEXT(Summary!$C$12-1,"0")),"")))</f>
        <v/>
      </c>
      <c r="R140" s="56">
        <f>IF($C140="","",IF(Summary!$C$16="N","",IFERROR(BDP($C140,'Field Check'!$C$18,'Field Check'!$C$17,TEXT(Summary!$C$12-5,"0"))/100,"")))</f>
        <v/>
      </c>
      <c r="S140" s="56">
        <f>IF($C140="","",IF(Summary!$C$16="N","",IFERROR(BDP($C140,'Field Check'!$C$18,'Field Check'!$C$17,TEXT(Summary!$C$12-4,"0"))/100,"")))</f>
        <v/>
      </c>
      <c r="T140" s="56">
        <f>IF($C140="","",IF(Summary!$C$16="N","",IFERROR(BDP($C140,'Field Check'!$C$18,'Field Check'!$C$17,TEXT(Summary!$C$12-3,"0"))/100,"")))</f>
        <v/>
      </c>
      <c r="U140" s="56">
        <f>IF($C140="","",IF(Summary!$C$16="N","",IFERROR(BDP($C140,'Field Check'!$C$18,'Field Check'!$C$17,TEXT(Summary!$C$12-2,"0"))/100,"")))</f>
        <v/>
      </c>
      <c r="V140" s="56">
        <f>IF($C140="","",IF(Summary!$C$16="N","",IFERROR(BDP($C140,'Field Check'!$C$18,'Field Check'!$C$17,TEXT(Summary!$C$12-1,"0"))/100,"")))</f>
        <v/>
      </c>
      <c r="W140" s="57">
        <f>IF($C140="","",IFERROR(AVERAGE(R140:V140),""))</f>
        <v/>
      </c>
      <c r="X140" s="58">
        <f>IF($C140="","",IF(ISNUMBER($Q140)*(N($Q140)&gt;0)=0,"",IFERROR($J140/$Q140,"")))</f>
        <v/>
      </c>
      <c r="Y140" s="59">
        <f>IF($C140="","",IF(ISNUMBER(HSTECH!$I$35),HSTECH!$I$35/100,""))</f>
        <v/>
      </c>
      <c r="Z140" s="60">
        <f>IF($C140="","",IF(Summary!$C$16="N","",IFERROR(BDP($C140,'Field Check'!$C$19)/100,"")))</f>
        <v/>
      </c>
      <c r="AA140" s="61">
        <f>IF($C140="","",IF(N($Y140)+N($Z140)=0,"",N($Y140)+N($Z140)))</f>
        <v/>
      </c>
      <c r="AB140" s="60">
        <f>IF($C140="","",IF(Summary!$C$16="N","",IFERROR(BDP($C140,'Field Check'!$C$20)/100,"")))</f>
        <v/>
      </c>
      <c r="AC140" s="45">
        <f>IF($C140="","",IF(N($Y140)=0,"",IFERROR($AB140/$Y140,"")))</f>
        <v/>
      </c>
      <c r="AD140" s="55">
        <f>IF($C140="","",IF(Summary!$C$16="N","",IFERROR(BDP($C140,'Field Check'!$C$21),"")))</f>
        <v/>
      </c>
      <c r="AE140" s="55">
        <f>IF($C140="","",IF(Summary!$C$16="N","",IFERROR(BDP($C140,'Field Check'!$C$22),"")))</f>
        <v/>
      </c>
      <c r="AF140" s="55">
        <f>IF($C140="","",IF(Summary!$C$16="N","",IFERROR(BDP($C140,'Field Check'!$C$23),"")))</f>
        <v/>
      </c>
      <c r="AG140" s="40">
        <f>IF($C140="","",TRIM(IF(ISNUMBER($W140)*(N($W140)&gt;$D$7)&gt;0,"payout high  ","")&amp;IF(ISNUMBER($AC140)*(N($AC140)&lt;$F$7)&gt;0,"FCF below dvd  ","")&amp;IF(ISNUMBER($AE140)*(N($AE140)&gt;$H$7)&gt;0,"leverage high","")))</f>
        <v/>
      </c>
      <c r="AH140" s="40">
        <f>IF($C140="","",IF(HSTECH!$F$35="HKD","",IF(HSTECH!$F$35="","","DPS in "&amp;HSTECH!$F$35)))</f>
        <v/>
      </c>
    </row>
    <row r="141">
      <c r="B141" s="52" t="inlineStr">
        <is>
          <t>HSTECH</t>
        </is>
      </c>
      <c r="C141" s="6">
        <f>IF(HSTECH!$C$36="","",HSTECH!$C$36)</f>
        <v/>
      </c>
      <c r="D141" s="6">
        <f>IF($C141="","",HSTECH!$D$36)</f>
        <v/>
      </c>
      <c r="E141" s="6">
        <f>IF($C141="","",HSTECH!$E$36)</f>
        <v/>
      </c>
      <c r="F141" s="53">
        <f>IF($C141="","",SUMIFS('Dvd Calendar'!$E$1951:$AR$1951,'Dvd Calendar'!$E$1950:$AR$1950,"&gt;="&amp;DATE(Summary!$C$12-5,1,1),'Dvd Calendar'!$E$1950:$AR$1950,"&lt;="&amp;DATE(Summary!$C$12-5,12,31)))</f>
        <v/>
      </c>
      <c r="G141" s="53">
        <f>IF($C141="","",SUMIFS('Dvd Calendar'!$E$1951:$AR$1951,'Dvd Calendar'!$E$1950:$AR$1950,"&gt;="&amp;DATE(Summary!$C$12-4,1,1),'Dvd Calendar'!$E$1950:$AR$1950,"&lt;="&amp;DATE(Summary!$C$12-4,12,31)))</f>
        <v/>
      </c>
      <c r="H141" s="53">
        <f>IF($C141="","",SUMIFS('Dvd Calendar'!$E$1951:$AR$1951,'Dvd Calendar'!$E$1950:$AR$1950,"&gt;="&amp;DATE(Summary!$C$12-3,1,1),'Dvd Calendar'!$E$1950:$AR$1950,"&lt;="&amp;DATE(Summary!$C$12-3,12,31)))</f>
        <v/>
      </c>
      <c r="I141" s="53">
        <f>IF($C141="","",SUMIFS('Dvd Calendar'!$E$1951:$AR$1951,'Dvd Calendar'!$E$1950:$AR$1950,"&gt;="&amp;DATE(Summary!$C$12-2,1,1),'Dvd Calendar'!$E$1950:$AR$1950,"&lt;="&amp;DATE(Summary!$C$12-2,12,31)))</f>
        <v/>
      </c>
      <c r="J141" s="53">
        <f>IF($C141="","",SUMIFS('Dvd Calendar'!$E$1951:$AR$1951,'Dvd Calendar'!$E$1950:$AR$1950,"&gt;="&amp;DATE(Summary!$C$12-1,1,1),'Dvd Calendar'!$E$1950:$AR$1950,"&lt;="&amp;DATE(Summary!$C$12-1,12,31)))</f>
        <v/>
      </c>
      <c r="K141" s="54">
        <f>IF($C141="","",SUMIFS('Dvd Calendar'!$E$1951:$AR$1951,'Dvd Calendar'!$E$1950:$AR$1950,"&gt;="&amp;DATE(Summary!$C$12,1,1),'Dvd Calendar'!$E$1950:$AR$1950,"&lt;="&amp;MIN(Summary!$C$11,DATE(Summary!$C$12,12,31))))</f>
        <v/>
      </c>
      <c r="L141" s="38">
        <f>IF($C141="","",AVERAGE(F141:J141))</f>
        <v/>
      </c>
      <c r="M141" s="55">
        <f>IF($C141="","",IF(Summary!$C$16="N","",IFERROR(BDP($C141,'Field Check'!$C$16,'Field Check'!$C$17,TEXT(Summary!$C$12-5,"0")),"")))</f>
        <v/>
      </c>
      <c r="N141" s="55">
        <f>IF($C141="","",IF(Summary!$C$16="N","",IFERROR(BDP($C141,'Field Check'!$C$16,'Field Check'!$C$17,TEXT(Summary!$C$12-4,"0")),"")))</f>
        <v/>
      </c>
      <c r="O141" s="55">
        <f>IF($C141="","",IF(Summary!$C$16="N","",IFERROR(BDP($C141,'Field Check'!$C$16,'Field Check'!$C$17,TEXT(Summary!$C$12-3,"0")),"")))</f>
        <v/>
      </c>
      <c r="P141" s="55">
        <f>IF($C141="","",IF(Summary!$C$16="N","",IFERROR(BDP($C141,'Field Check'!$C$16,'Field Check'!$C$17,TEXT(Summary!$C$12-2,"0")),"")))</f>
        <v/>
      </c>
      <c r="Q141" s="55">
        <f>IF($C141="","",IF(Summary!$C$16="N","",IFERROR(BDP($C141,'Field Check'!$C$16,'Field Check'!$C$17,TEXT(Summary!$C$12-1,"0")),"")))</f>
        <v/>
      </c>
      <c r="R141" s="56">
        <f>IF($C141="","",IF(Summary!$C$16="N","",IFERROR(BDP($C141,'Field Check'!$C$18,'Field Check'!$C$17,TEXT(Summary!$C$12-5,"0"))/100,"")))</f>
        <v/>
      </c>
      <c r="S141" s="56">
        <f>IF($C141="","",IF(Summary!$C$16="N","",IFERROR(BDP($C141,'Field Check'!$C$18,'Field Check'!$C$17,TEXT(Summary!$C$12-4,"0"))/100,"")))</f>
        <v/>
      </c>
      <c r="T141" s="56">
        <f>IF($C141="","",IF(Summary!$C$16="N","",IFERROR(BDP($C141,'Field Check'!$C$18,'Field Check'!$C$17,TEXT(Summary!$C$12-3,"0"))/100,"")))</f>
        <v/>
      </c>
      <c r="U141" s="56">
        <f>IF($C141="","",IF(Summary!$C$16="N","",IFERROR(BDP($C141,'Field Check'!$C$18,'Field Check'!$C$17,TEXT(Summary!$C$12-2,"0"))/100,"")))</f>
        <v/>
      </c>
      <c r="V141" s="56">
        <f>IF($C141="","",IF(Summary!$C$16="N","",IFERROR(BDP($C141,'Field Check'!$C$18,'Field Check'!$C$17,TEXT(Summary!$C$12-1,"0"))/100,"")))</f>
        <v/>
      </c>
      <c r="W141" s="57">
        <f>IF($C141="","",IFERROR(AVERAGE(R141:V141),""))</f>
        <v/>
      </c>
      <c r="X141" s="58">
        <f>IF($C141="","",IF(ISNUMBER($Q141)*(N($Q141)&gt;0)=0,"",IFERROR($J141/$Q141,"")))</f>
        <v/>
      </c>
      <c r="Y141" s="59">
        <f>IF($C141="","",IF(ISNUMBER(HSTECH!$I$36),HSTECH!$I$36/100,""))</f>
        <v/>
      </c>
      <c r="Z141" s="60">
        <f>IF($C141="","",IF(Summary!$C$16="N","",IFERROR(BDP($C141,'Field Check'!$C$19)/100,"")))</f>
        <v/>
      </c>
      <c r="AA141" s="61">
        <f>IF($C141="","",IF(N($Y141)+N($Z141)=0,"",N($Y141)+N($Z141)))</f>
        <v/>
      </c>
      <c r="AB141" s="60">
        <f>IF($C141="","",IF(Summary!$C$16="N","",IFERROR(BDP($C141,'Field Check'!$C$20)/100,"")))</f>
        <v/>
      </c>
      <c r="AC141" s="45">
        <f>IF($C141="","",IF(N($Y141)=0,"",IFERROR($AB141/$Y141,"")))</f>
        <v/>
      </c>
      <c r="AD141" s="55">
        <f>IF($C141="","",IF(Summary!$C$16="N","",IFERROR(BDP($C141,'Field Check'!$C$21),"")))</f>
        <v/>
      </c>
      <c r="AE141" s="55">
        <f>IF($C141="","",IF(Summary!$C$16="N","",IFERROR(BDP($C141,'Field Check'!$C$22),"")))</f>
        <v/>
      </c>
      <c r="AF141" s="55">
        <f>IF($C141="","",IF(Summary!$C$16="N","",IFERROR(BDP($C141,'Field Check'!$C$23),"")))</f>
        <v/>
      </c>
      <c r="AG141" s="40">
        <f>IF($C141="","",TRIM(IF(ISNUMBER($W141)*(N($W141)&gt;$D$7)&gt;0,"payout high  ","")&amp;IF(ISNUMBER($AC141)*(N($AC141)&lt;$F$7)&gt;0,"FCF below dvd  ","")&amp;IF(ISNUMBER($AE141)*(N($AE141)&gt;$H$7)&gt;0,"leverage high","")))</f>
        <v/>
      </c>
      <c r="AH141" s="40">
        <f>IF($C141="","",IF(HSTECH!$F$36="HKD","",IF(HSTECH!$F$36="","","DPS in "&amp;HSTECH!$F$36)))</f>
        <v/>
      </c>
    </row>
    <row r="142">
      <c r="B142" s="52" t="inlineStr">
        <is>
          <t>HSTECH</t>
        </is>
      </c>
      <c r="C142" s="6">
        <f>IF(HSTECH!$C$37="","",HSTECH!$C$37)</f>
        <v/>
      </c>
      <c r="D142" s="6">
        <f>IF($C142="","",HSTECH!$D$37)</f>
        <v/>
      </c>
      <c r="E142" s="6">
        <f>IF($C142="","",HSTECH!$E$37)</f>
        <v/>
      </c>
      <c r="F142" s="53">
        <f>IF($C142="","",SUMIFS('Dvd Calendar'!$E$1966:$AR$1966,'Dvd Calendar'!$E$1965:$AR$1965,"&gt;="&amp;DATE(Summary!$C$12-5,1,1),'Dvd Calendar'!$E$1965:$AR$1965,"&lt;="&amp;DATE(Summary!$C$12-5,12,31)))</f>
        <v/>
      </c>
      <c r="G142" s="53">
        <f>IF($C142="","",SUMIFS('Dvd Calendar'!$E$1966:$AR$1966,'Dvd Calendar'!$E$1965:$AR$1965,"&gt;="&amp;DATE(Summary!$C$12-4,1,1),'Dvd Calendar'!$E$1965:$AR$1965,"&lt;="&amp;DATE(Summary!$C$12-4,12,31)))</f>
        <v/>
      </c>
      <c r="H142" s="53">
        <f>IF($C142="","",SUMIFS('Dvd Calendar'!$E$1966:$AR$1966,'Dvd Calendar'!$E$1965:$AR$1965,"&gt;="&amp;DATE(Summary!$C$12-3,1,1),'Dvd Calendar'!$E$1965:$AR$1965,"&lt;="&amp;DATE(Summary!$C$12-3,12,31)))</f>
        <v/>
      </c>
      <c r="I142" s="53">
        <f>IF($C142="","",SUMIFS('Dvd Calendar'!$E$1966:$AR$1966,'Dvd Calendar'!$E$1965:$AR$1965,"&gt;="&amp;DATE(Summary!$C$12-2,1,1),'Dvd Calendar'!$E$1965:$AR$1965,"&lt;="&amp;DATE(Summary!$C$12-2,12,31)))</f>
        <v/>
      </c>
      <c r="J142" s="53">
        <f>IF($C142="","",SUMIFS('Dvd Calendar'!$E$1966:$AR$1966,'Dvd Calendar'!$E$1965:$AR$1965,"&gt;="&amp;DATE(Summary!$C$12-1,1,1),'Dvd Calendar'!$E$1965:$AR$1965,"&lt;="&amp;DATE(Summary!$C$12-1,12,31)))</f>
        <v/>
      </c>
      <c r="K142" s="54">
        <f>IF($C142="","",SUMIFS('Dvd Calendar'!$E$1966:$AR$1966,'Dvd Calendar'!$E$1965:$AR$1965,"&gt;="&amp;DATE(Summary!$C$12,1,1),'Dvd Calendar'!$E$1965:$AR$1965,"&lt;="&amp;MIN(Summary!$C$11,DATE(Summary!$C$12,12,31))))</f>
        <v/>
      </c>
      <c r="L142" s="38">
        <f>IF($C142="","",AVERAGE(F142:J142))</f>
        <v/>
      </c>
      <c r="M142" s="55">
        <f>IF($C142="","",IF(Summary!$C$16="N","",IFERROR(BDP($C142,'Field Check'!$C$16,'Field Check'!$C$17,TEXT(Summary!$C$12-5,"0")),"")))</f>
        <v/>
      </c>
      <c r="N142" s="55">
        <f>IF($C142="","",IF(Summary!$C$16="N","",IFERROR(BDP($C142,'Field Check'!$C$16,'Field Check'!$C$17,TEXT(Summary!$C$12-4,"0")),"")))</f>
        <v/>
      </c>
      <c r="O142" s="55">
        <f>IF($C142="","",IF(Summary!$C$16="N","",IFERROR(BDP($C142,'Field Check'!$C$16,'Field Check'!$C$17,TEXT(Summary!$C$12-3,"0")),"")))</f>
        <v/>
      </c>
      <c r="P142" s="55">
        <f>IF($C142="","",IF(Summary!$C$16="N","",IFERROR(BDP($C142,'Field Check'!$C$16,'Field Check'!$C$17,TEXT(Summary!$C$12-2,"0")),"")))</f>
        <v/>
      </c>
      <c r="Q142" s="55">
        <f>IF($C142="","",IF(Summary!$C$16="N","",IFERROR(BDP($C142,'Field Check'!$C$16,'Field Check'!$C$17,TEXT(Summary!$C$12-1,"0")),"")))</f>
        <v/>
      </c>
      <c r="R142" s="56">
        <f>IF($C142="","",IF(Summary!$C$16="N","",IFERROR(BDP($C142,'Field Check'!$C$18,'Field Check'!$C$17,TEXT(Summary!$C$12-5,"0"))/100,"")))</f>
        <v/>
      </c>
      <c r="S142" s="56">
        <f>IF($C142="","",IF(Summary!$C$16="N","",IFERROR(BDP($C142,'Field Check'!$C$18,'Field Check'!$C$17,TEXT(Summary!$C$12-4,"0"))/100,"")))</f>
        <v/>
      </c>
      <c r="T142" s="56">
        <f>IF($C142="","",IF(Summary!$C$16="N","",IFERROR(BDP($C142,'Field Check'!$C$18,'Field Check'!$C$17,TEXT(Summary!$C$12-3,"0"))/100,"")))</f>
        <v/>
      </c>
      <c r="U142" s="56">
        <f>IF($C142="","",IF(Summary!$C$16="N","",IFERROR(BDP($C142,'Field Check'!$C$18,'Field Check'!$C$17,TEXT(Summary!$C$12-2,"0"))/100,"")))</f>
        <v/>
      </c>
      <c r="V142" s="56">
        <f>IF($C142="","",IF(Summary!$C$16="N","",IFERROR(BDP($C142,'Field Check'!$C$18,'Field Check'!$C$17,TEXT(Summary!$C$12-1,"0"))/100,"")))</f>
        <v/>
      </c>
      <c r="W142" s="57">
        <f>IF($C142="","",IFERROR(AVERAGE(R142:V142),""))</f>
        <v/>
      </c>
      <c r="X142" s="58">
        <f>IF($C142="","",IF(ISNUMBER($Q142)*(N($Q142)&gt;0)=0,"",IFERROR($J142/$Q142,"")))</f>
        <v/>
      </c>
      <c r="Y142" s="59">
        <f>IF($C142="","",IF(ISNUMBER(HSTECH!$I$37),HSTECH!$I$37/100,""))</f>
        <v/>
      </c>
      <c r="Z142" s="60">
        <f>IF($C142="","",IF(Summary!$C$16="N","",IFERROR(BDP($C142,'Field Check'!$C$19)/100,"")))</f>
        <v/>
      </c>
      <c r="AA142" s="61">
        <f>IF($C142="","",IF(N($Y142)+N($Z142)=0,"",N($Y142)+N($Z142)))</f>
        <v/>
      </c>
      <c r="AB142" s="60">
        <f>IF($C142="","",IF(Summary!$C$16="N","",IFERROR(BDP($C142,'Field Check'!$C$20)/100,"")))</f>
        <v/>
      </c>
      <c r="AC142" s="45">
        <f>IF($C142="","",IF(N($Y142)=0,"",IFERROR($AB142/$Y142,"")))</f>
        <v/>
      </c>
      <c r="AD142" s="55">
        <f>IF($C142="","",IF(Summary!$C$16="N","",IFERROR(BDP($C142,'Field Check'!$C$21),"")))</f>
        <v/>
      </c>
      <c r="AE142" s="55">
        <f>IF($C142="","",IF(Summary!$C$16="N","",IFERROR(BDP($C142,'Field Check'!$C$22),"")))</f>
        <v/>
      </c>
      <c r="AF142" s="55">
        <f>IF($C142="","",IF(Summary!$C$16="N","",IFERROR(BDP($C142,'Field Check'!$C$23),"")))</f>
        <v/>
      </c>
      <c r="AG142" s="40">
        <f>IF($C142="","",TRIM(IF(ISNUMBER($W142)*(N($W142)&gt;$D$7)&gt;0,"payout high  ","")&amp;IF(ISNUMBER($AC142)*(N($AC142)&lt;$F$7)&gt;0,"FCF below dvd  ","")&amp;IF(ISNUMBER($AE142)*(N($AE142)&gt;$H$7)&gt;0,"leverage high","")))</f>
        <v/>
      </c>
      <c r="AH142" s="40">
        <f>IF($C142="","",IF(HSTECH!$F$37="HKD","",IF(HSTECH!$F$37="","","DPS in "&amp;HSTECH!$F$37)))</f>
        <v/>
      </c>
    </row>
    <row r="143">
      <c r="B143" s="52" t="inlineStr">
        <is>
          <t>HSTECH</t>
        </is>
      </c>
      <c r="C143" s="6">
        <f>IF(HSTECH!$C$38="","",HSTECH!$C$38)</f>
        <v/>
      </c>
      <c r="D143" s="6">
        <f>IF($C143="","",HSTECH!$D$38)</f>
        <v/>
      </c>
      <c r="E143" s="6">
        <f>IF($C143="","",HSTECH!$E$38)</f>
        <v/>
      </c>
      <c r="F143" s="53">
        <f>IF($C143="","",SUMIFS('Dvd Calendar'!$E$1981:$AR$1981,'Dvd Calendar'!$E$1980:$AR$1980,"&gt;="&amp;DATE(Summary!$C$12-5,1,1),'Dvd Calendar'!$E$1980:$AR$1980,"&lt;="&amp;DATE(Summary!$C$12-5,12,31)))</f>
        <v/>
      </c>
      <c r="G143" s="53">
        <f>IF($C143="","",SUMIFS('Dvd Calendar'!$E$1981:$AR$1981,'Dvd Calendar'!$E$1980:$AR$1980,"&gt;="&amp;DATE(Summary!$C$12-4,1,1),'Dvd Calendar'!$E$1980:$AR$1980,"&lt;="&amp;DATE(Summary!$C$12-4,12,31)))</f>
        <v/>
      </c>
      <c r="H143" s="53">
        <f>IF($C143="","",SUMIFS('Dvd Calendar'!$E$1981:$AR$1981,'Dvd Calendar'!$E$1980:$AR$1980,"&gt;="&amp;DATE(Summary!$C$12-3,1,1),'Dvd Calendar'!$E$1980:$AR$1980,"&lt;="&amp;DATE(Summary!$C$12-3,12,31)))</f>
        <v/>
      </c>
      <c r="I143" s="53">
        <f>IF($C143="","",SUMIFS('Dvd Calendar'!$E$1981:$AR$1981,'Dvd Calendar'!$E$1980:$AR$1980,"&gt;="&amp;DATE(Summary!$C$12-2,1,1),'Dvd Calendar'!$E$1980:$AR$1980,"&lt;="&amp;DATE(Summary!$C$12-2,12,31)))</f>
        <v/>
      </c>
      <c r="J143" s="53">
        <f>IF($C143="","",SUMIFS('Dvd Calendar'!$E$1981:$AR$1981,'Dvd Calendar'!$E$1980:$AR$1980,"&gt;="&amp;DATE(Summary!$C$12-1,1,1),'Dvd Calendar'!$E$1980:$AR$1980,"&lt;="&amp;DATE(Summary!$C$12-1,12,31)))</f>
        <v/>
      </c>
      <c r="K143" s="54">
        <f>IF($C143="","",SUMIFS('Dvd Calendar'!$E$1981:$AR$1981,'Dvd Calendar'!$E$1980:$AR$1980,"&gt;="&amp;DATE(Summary!$C$12,1,1),'Dvd Calendar'!$E$1980:$AR$1980,"&lt;="&amp;MIN(Summary!$C$11,DATE(Summary!$C$12,12,31))))</f>
        <v/>
      </c>
      <c r="L143" s="38">
        <f>IF($C143="","",AVERAGE(F143:J143))</f>
        <v/>
      </c>
      <c r="M143" s="55">
        <f>IF($C143="","",IF(Summary!$C$16="N","",IFERROR(BDP($C143,'Field Check'!$C$16,'Field Check'!$C$17,TEXT(Summary!$C$12-5,"0")),"")))</f>
        <v/>
      </c>
      <c r="N143" s="55">
        <f>IF($C143="","",IF(Summary!$C$16="N","",IFERROR(BDP($C143,'Field Check'!$C$16,'Field Check'!$C$17,TEXT(Summary!$C$12-4,"0")),"")))</f>
        <v/>
      </c>
      <c r="O143" s="55">
        <f>IF($C143="","",IF(Summary!$C$16="N","",IFERROR(BDP($C143,'Field Check'!$C$16,'Field Check'!$C$17,TEXT(Summary!$C$12-3,"0")),"")))</f>
        <v/>
      </c>
      <c r="P143" s="55">
        <f>IF($C143="","",IF(Summary!$C$16="N","",IFERROR(BDP($C143,'Field Check'!$C$16,'Field Check'!$C$17,TEXT(Summary!$C$12-2,"0")),"")))</f>
        <v/>
      </c>
      <c r="Q143" s="55">
        <f>IF($C143="","",IF(Summary!$C$16="N","",IFERROR(BDP($C143,'Field Check'!$C$16,'Field Check'!$C$17,TEXT(Summary!$C$12-1,"0")),"")))</f>
        <v/>
      </c>
      <c r="R143" s="56">
        <f>IF($C143="","",IF(Summary!$C$16="N","",IFERROR(BDP($C143,'Field Check'!$C$18,'Field Check'!$C$17,TEXT(Summary!$C$12-5,"0"))/100,"")))</f>
        <v/>
      </c>
      <c r="S143" s="56">
        <f>IF($C143="","",IF(Summary!$C$16="N","",IFERROR(BDP($C143,'Field Check'!$C$18,'Field Check'!$C$17,TEXT(Summary!$C$12-4,"0"))/100,"")))</f>
        <v/>
      </c>
      <c r="T143" s="56">
        <f>IF($C143="","",IF(Summary!$C$16="N","",IFERROR(BDP($C143,'Field Check'!$C$18,'Field Check'!$C$17,TEXT(Summary!$C$12-3,"0"))/100,"")))</f>
        <v/>
      </c>
      <c r="U143" s="56">
        <f>IF($C143="","",IF(Summary!$C$16="N","",IFERROR(BDP($C143,'Field Check'!$C$18,'Field Check'!$C$17,TEXT(Summary!$C$12-2,"0"))/100,"")))</f>
        <v/>
      </c>
      <c r="V143" s="56">
        <f>IF($C143="","",IF(Summary!$C$16="N","",IFERROR(BDP($C143,'Field Check'!$C$18,'Field Check'!$C$17,TEXT(Summary!$C$12-1,"0"))/100,"")))</f>
        <v/>
      </c>
      <c r="W143" s="57">
        <f>IF($C143="","",IFERROR(AVERAGE(R143:V143),""))</f>
        <v/>
      </c>
      <c r="X143" s="58">
        <f>IF($C143="","",IF(ISNUMBER($Q143)*(N($Q143)&gt;0)=0,"",IFERROR($J143/$Q143,"")))</f>
        <v/>
      </c>
      <c r="Y143" s="59">
        <f>IF($C143="","",IF(ISNUMBER(HSTECH!$I$38),HSTECH!$I$38/100,""))</f>
        <v/>
      </c>
      <c r="Z143" s="60">
        <f>IF($C143="","",IF(Summary!$C$16="N","",IFERROR(BDP($C143,'Field Check'!$C$19)/100,"")))</f>
        <v/>
      </c>
      <c r="AA143" s="61">
        <f>IF($C143="","",IF(N($Y143)+N($Z143)=0,"",N($Y143)+N($Z143)))</f>
        <v/>
      </c>
      <c r="AB143" s="60">
        <f>IF($C143="","",IF(Summary!$C$16="N","",IFERROR(BDP($C143,'Field Check'!$C$20)/100,"")))</f>
        <v/>
      </c>
      <c r="AC143" s="45">
        <f>IF($C143="","",IF(N($Y143)=0,"",IFERROR($AB143/$Y143,"")))</f>
        <v/>
      </c>
      <c r="AD143" s="55">
        <f>IF($C143="","",IF(Summary!$C$16="N","",IFERROR(BDP($C143,'Field Check'!$C$21),"")))</f>
        <v/>
      </c>
      <c r="AE143" s="55">
        <f>IF($C143="","",IF(Summary!$C$16="N","",IFERROR(BDP($C143,'Field Check'!$C$22),"")))</f>
        <v/>
      </c>
      <c r="AF143" s="55">
        <f>IF($C143="","",IF(Summary!$C$16="N","",IFERROR(BDP($C143,'Field Check'!$C$23),"")))</f>
        <v/>
      </c>
      <c r="AG143" s="40">
        <f>IF($C143="","",TRIM(IF(ISNUMBER($W143)*(N($W143)&gt;$D$7)&gt;0,"payout high  ","")&amp;IF(ISNUMBER($AC143)*(N($AC143)&lt;$F$7)&gt;0,"FCF below dvd  ","")&amp;IF(ISNUMBER($AE143)*(N($AE143)&gt;$H$7)&gt;0,"leverage high","")))</f>
        <v/>
      </c>
      <c r="AH143" s="40">
        <f>IF($C143="","",IF(HSTECH!$F$38="HKD","",IF(HSTECH!$F$38="","","DPS in "&amp;HSTECH!$F$38)))</f>
        <v/>
      </c>
    </row>
    <row r="144">
      <c r="B144" s="52" t="inlineStr">
        <is>
          <t>HSTECH</t>
        </is>
      </c>
      <c r="C144" s="6">
        <f>IF(HSTECH!$C$39="","",HSTECH!$C$39)</f>
        <v/>
      </c>
      <c r="D144" s="6">
        <f>IF($C144="","",HSTECH!$D$39)</f>
        <v/>
      </c>
      <c r="E144" s="6">
        <f>IF($C144="","",HSTECH!$E$39)</f>
        <v/>
      </c>
      <c r="F144" s="53">
        <f>IF($C144="","",SUMIFS('Dvd Calendar'!$E$1996:$AR$1996,'Dvd Calendar'!$E$1995:$AR$1995,"&gt;="&amp;DATE(Summary!$C$12-5,1,1),'Dvd Calendar'!$E$1995:$AR$1995,"&lt;="&amp;DATE(Summary!$C$12-5,12,31)))</f>
        <v/>
      </c>
      <c r="G144" s="53">
        <f>IF($C144="","",SUMIFS('Dvd Calendar'!$E$1996:$AR$1996,'Dvd Calendar'!$E$1995:$AR$1995,"&gt;="&amp;DATE(Summary!$C$12-4,1,1),'Dvd Calendar'!$E$1995:$AR$1995,"&lt;="&amp;DATE(Summary!$C$12-4,12,31)))</f>
        <v/>
      </c>
      <c r="H144" s="53">
        <f>IF($C144="","",SUMIFS('Dvd Calendar'!$E$1996:$AR$1996,'Dvd Calendar'!$E$1995:$AR$1995,"&gt;="&amp;DATE(Summary!$C$12-3,1,1),'Dvd Calendar'!$E$1995:$AR$1995,"&lt;="&amp;DATE(Summary!$C$12-3,12,31)))</f>
        <v/>
      </c>
      <c r="I144" s="53">
        <f>IF($C144="","",SUMIFS('Dvd Calendar'!$E$1996:$AR$1996,'Dvd Calendar'!$E$1995:$AR$1995,"&gt;="&amp;DATE(Summary!$C$12-2,1,1),'Dvd Calendar'!$E$1995:$AR$1995,"&lt;="&amp;DATE(Summary!$C$12-2,12,31)))</f>
        <v/>
      </c>
      <c r="J144" s="53">
        <f>IF($C144="","",SUMIFS('Dvd Calendar'!$E$1996:$AR$1996,'Dvd Calendar'!$E$1995:$AR$1995,"&gt;="&amp;DATE(Summary!$C$12-1,1,1),'Dvd Calendar'!$E$1995:$AR$1995,"&lt;="&amp;DATE(Summary!$C$12-1,12,31)))</f>
        <v/>
      </c>
      <c r="K144" s="54">
        <f>IF($C144="","",SUMIFS('Dvd Calendar'!$E$1996:$AR$1996,'Dvd Calendar'!$E$1995:$AR$1995,"&gt;="&amp;DATE(Summary!$C$12,1,1),'Dvd Calendar'!$E$1995:$AR$1995,"&lt;="&amp;MIN(Summary!$C$11,DATE(Summary!$C$12,12,31))))</f>
        <v/>
      </c>
      <c r="L144" s="38">
        <f>IF($C144="","",AVERAGE(F144:J144))</f>
        <v/>
      </c>
      <c r="M144" s="55">
        <f>IF($C144="","",IF(Summary!$C$16="N","",IFERROR(BDP($C144,'Field Check'!$C$16,'Field Check'!$C$17,TEXT(Summary!$C$12-5,"0")),"")))</f>
        <v/>
      </c>
      <c r="N144" s="55">
        <f>IF($C144="","",IF(Summary!$C$16="N","",IFERROR(BDP($C144,'Field Check'!$C$16,'Field Check'!$C$17,TEXT(Summary!$C$12-4,"0")),"")))</f>
        <v/>
      </c>
      <c r="O144" s="55">
        <f>IF($C144="","",IF(Summary!$C$16="N","",IFERROR(BDP($C144,'Field Check'!$C$16,'Field Check'!$C$17,TEXT(Summary!$C$12-3,"0")),"")))</f>
        <v/>
      </c>
      <c r="P144" s="55">
        <f>IF($C144="","",IF(Summary!$C$16="N","",IFERROR(BDP($C144,'Field Check'!$C$16,'Field Check'!$C$17,TEXT(Summary!$C$12-2,"0")),"")))</f>
        <v/>
      </c>
      <c r="Q144" s="55">
        <f>IF($C144="","",IF(Summary!$C$16="N","",IFERROR(BDP($C144,'Field Check'!$C$16,'Field Check'!$C$17,TEXT(Summary!$C$12-1,"0")),"")))</f>
        <v/>
      </c>
      <c r="R144" s="56">
        <f>IF($C144="","",IF(Summary!$C$16="N","",IFERROR(BDP($C144,'Field Check'!$C$18,'Field Check'!$C$17,TEXT(Summary!$C$12-5,"0"))/100,"")))</f>
        <v/>
      </c>
      <c r="S144" s="56">
        <f>IF($C144="","",IF(Summary!$C$16="N","",IFERROR(BDP($C144,'Field Check'!$C$18,'Field Check'!$C$17,TEXT(Summary!$C$12-4,"0"))/100,"")))</f>
        <v/>
      </c>
      <c r="T144" s="56">
        <f>IF($C144="","",IF(Summary!$C$16="N","",IFERROR(BDP($C144,'Field Check'!$C$18,'Field Check'!$C$17,TEXT(Summary!$C$12-3,"0"))/100,"")))</f>
        <v/>
      </c>
      <c r="U144" s="56">
        <f>IF($C144="","",IF(Summary!$C$16="N","",IFERROR(BDP($C144,'Field Check'!$C$18,'Field Check'!$C$17,TEXT(Summary!$C$12-2,"0"))/100,"")))</f>
        <v/>
      </c>
      <c r="V144" s="56">
        <f>IF($C144="","",IF(Summary!$C$16="N","",IFERROR(BDP($C144,'Field Check'!$C$18,'Field Check'!$C$17,TEXT(Summary!$C$12-1,"0"))/100,"")))</f>
        <v/>
      </c>
      <c r="W144" s="57">
        <f>IF($C144="","",IFERROR(AVERAGE(R144:V144),""))</f>
        <v/>
      </c>
      <c r="X144" s="58">
        <f>IF($C144="","",IF(ISNUMBER($Q144)*(N($Q144)&gt;0)=0,"",IFERROR($J144/$Q144,"")))</f>
        <v/>
      </c>
      <c r="Y144" s="59">
        <f>IF($C144="","",IF(ISNUMBER(HSTECH!$I$39),HSTECH!$I$39/100,""))</f>
        <v/>
      </c>
      <c r="Z144" s="60">
        <f>IF($C144="","",IF(Summary!$C$16="N","",IFERROR(BDP($C144,'Field Check'!$C$19)/100,"")))</f>
        <v/>
      </c>
      <c r="AA144" s="61">
        <f>IF($C144="","",IF(N($Y144)+N($Z144)=0,"",N($Y144)+N($Z144)))</f>
        <v/>
      </c>
      <c r="AB144" s="60">
        <f>IF($C144="","",IF(Summary!$C$16="N","",IFERROR(BDP($C144,'Field Check'!$C$20)/100,"")))</f>
        <v/>
      </c>
      <c r="AC144" s="45">
        <f>IF($C144="","",IF(N($Y144)=0,"",IFERROR($AB144/$Y144,"")))</f>
        <v/>
      </c>
      <c r="AD144" s="55">
        <f>IF($C144="","",IF(Summary!$C$16="N","",IFERROR(BDP($C144,'Field Check'!$C$21),"")))</f>
        <v/>
      </c>
      <c r="AE144" s="55">
        <f>IF($C144="","",IF(Summary!$C$16="N","",IFERROR(BDP($C144,'Field Check'!$C$22),"")))</f>
        <v/>
      </c>
      <c r="AF144" s="55">
        <f>IF($C144="","",IF(Summary!$C$16="N","",IFERROR(BDP($C144,'Field Check'!$C$23),"")))</f>
        <v/>
      </c>
      <c r="AG144" s="40">
        <f>IF($C144="","",TRIM(IF(ISNUMBER($W144)*(N($W144)&gt;$D$7)&gt;0,"payout high  ","")&amp;IF(ISNUMBER($AC144)*(N($AC144)&lt;$F$7)&gt;0,"FCF below dvd  ","")&amp;IF(ISNUMBER($AE144)*(N($AE144)&gt;$H$7)&gt;0,"leverage high","")))</f>
        <v/>
      </c>
      <c r="AH144" s="40">
        <f>IF($C144="","",IF(HSTECH!$F$39="HKD","",IF(HSTECH!$F$39="","","DPS in "&amp;HSTECH!$F$39)))</f>
        <v/>
      </c>
    </row>
    <row r="145">
      <c r="B145" s="52" t="inlineStr">
        <is>
          <t>HSTECH</t>
        </is>
      </c>
      <c r="C145" s="6">
        <f>IF(HSTECH!$C$40="","",HSTECH!$C$40)</f>
        <v/>
      </c>
      <c r="D145" s="6">
        <f>IF($C145="","",HSTECH!$D$40)</f>
        <v/>
      </c>
      <c r="E145" s="6">
        <f>IF($C145="","",HSTECH!$E$40)</f>
        <v/>
      </c>
      <c r="F145" s="53">
        <f>IF($C145="","",SUMIFS('Dvd Calendar'!$E$2011:$AR$2011,'Dvd Calendar'!$E$2010:$AR$2010,"&gt;="&amp;DATE(Summary!$C$12-5,1,1),'Dvd Calendar'!$E$2010:$AR$2010,"&lt;="&amp;DATE(Summary!$C$12-5,12,31)))</f>
        <v/>
      </c>
      <c r="G145" s="53">
        <f>IF($C145="","",SUMIFS('Dvd Calendar'!$E$2011:$AR$2011,'Dvd Calendar'!$E$2010:$AR$2010,"&gt;="&amp;DATE(Summary!$C$12-4,1,1),'Dvd Calendar'!$E$2010:$AR$2010,"&lt;="&amp;DATE(Summary!$C$12-4,12,31)))</f>
        <v/>
      </c>
      <c r="H145" s="53">
        <f>IF($C145="","",SUMIFS('Dvd Calendar'!$E$2011:$AR$2011,'Dvd Calendar'!$E$2010:$AR$2010,"&gt;="&amp;DATE(Summary!$C$12-3,1,1),'Dvd Calendar'!$E$2010:$AR$2010,"&lt;="&amp;DATE(Summary!$C$12-3,12,31)))</f>
        <v/>
      </c>
      <c r="I145" s="53">
        <f>IF($C145="","",SUMIFS('Dvd Calendar'!$E$2011:$AR$2011,'Dvd Calendar'!$E$2010:$AR$2010,"&gt;="&amp;DATE(Summary!$C$12-2,1,1),'Dvd Calendar'!$E$2010:$AR$2010,"&lt;="&amp;DATE(Summary!$C$12-2,12,31)))</f>
        <v/>
      </c>
      <c r="J145" s="53">
        <f>IF($C145="","",SUMIFS('Dvd Calendar'!$E$2011:$AR$2011,'Dvd Calendar'!$E$2010:$AR$2010,"&gt;="&amp;DATE(Summary!$C$12-1,1,1),'Dvd Calendar'!$E$2010:$AR$2010,"&lt;="&amp;DATE(Summary!$C$12-1,12,31)))</f>
        <v/>
      </c>
      <c r="K145" s="54">
        <f>IF($C145="","",SUMIFS('Dvd Calendar'!$E$2011:$AR$2011,'Dvd Calendar'!$E$2010:$AR$2010,"&gt;="&amp;DATE(Summary!$C$12,1,1),'Dvd Calendar'!$E$2010:$AR$2010,"&lt;="&amp;MIN(Summary!$C$11,DATE(Summary!$C$12,12,31))))</f>
        <v/>
      </c>
      <c r="L145" s="38">
        <f>IF($C145="","",AVERAGE(F145:J145))</f>
        <v/>
      </c>
      <c r="M145" s="55">
        <f>IF($C145="","",IF(Summary!$C$16="N","",IFERROR(BDP($C145,'Field Check'!$C$16,'Field Check'!$C$17,TEXT(Summary!$C$12-5,"0")),"")))</f>
        <v/>
      </c>
      <c r="N145" s="55">
        <f>IF($C145="","",IF(Summary!$C$16="N","",IFERROR(BDP($C145,'Field Check'!$C$16,'Field Check'!$C$17,TEXT(Summary!$C$12-4,"0")),"")))</f>
        <v/>
      </c>
      <c r="O145" s="55">
        <f>IF($C145="","",IF(Summary!$C$16="N","",IFERROR(BDP($C145,'Field Check'!$C$16,'Field Check'!$C$17,TEXT(Summary!$C$12-3,"0")),"")))</f>
        <v/>
      </c>
      <c r="P145" s="55">
        <f>IF($C145="","",IF(Summary!$C$16="N","",IFERROR(BDP($C145,'Field Check'!$C$16,'Field Check'!$C$17,TEXT(Summary!$C$12-2,"0")),"")))</f>
        <v/>
      </c>
      <c r="Q145" s="55">
        <f>IF($C145="","",IF(Summary!$C$16="N","",IFERROR(BDP($C145,'Field Check'!$C$16,'Field Check'!$C$17,TEXT(Summary!$C$12-1,"0")),"")))</f>
        <v/>
      </c>
      <c r="R145" s="56">
        <f>IF($C145="","",IF(Summary!$C$16="N","",IFERROR(BDP($C145,'Field Check'!$C$18,'Field Check'!$C$17,TEXT(Summary!$C$12-5,"0"))/100,"")))</f>
        <v/>
      </c>
      <c r="S145" s="56">
        <f>IF($C145="","",IF(Summary!$C$16="N","",IFERROR(BDP($C145,'Field Check'!$C$18,'Field Check'!$C$17,TEXT(Summary!$C$12-4,"0"))/100,"")))</f>
        <v/>
      </c>
      <c r="T145" s="56">
        <f>IF($C145="","",IF(Summary!$C$16="N","",IFERROR(BDP($C145,'Field Check'!$C$18,'Field Check'!$C$17,TEXT(Summary!$C$12-3,"0"))/100,"")))</f>
        <v/>
      </c>
      <c r="U145" s="56">
        <f>IF($C145="","",IF(Summary!$C$16="N","",IFERROR(BDP($C145,'Field Check'!$C$18,'Field Check'!$C$17,TEXT(Summary!$C$12-2,"0"))/100,"")))</f>
        <v/>
      </c>
      <c r="V145" s="56">
        <f>IF($C145="","",IF(Summary!$C$16="N","",IFERROR(BDP($C145,'Field Check'!$C$18,'Field Check'!$C$17,TEXT(Summary!$C$12-1,"0"))/100,"")))</f>
        <v/>
      </c>
      <c r="W145" s="57">
        <f>IF($C145="","",IFERROR(AVERAGE(R145:V145),""))</f>
        <v/>
      </c>
      <c r="X145" s="58">
        <f>IF($C145="","",IF(ISNUMBER($Q145)*(N($Q145)&gt;0)=0,"",IFERROR($J145/$Q145,"")))</f>
        <v/>
      </c>
      <c r="Y145" s="59">
        <f>IF($C145="","",IF(ISNUMBER(HSTECH!$I$40),HSTECH!$I$40/100,""))</f>
        <v/>
      </c>
      <c r="Z145" s="60">
        <f>IF($C145="","",IF(Summary!$C$16="N","",IFERROR(BDP($C145,'Field Check'!$C$19)/100,"")))</f>
        <v/>
      </c>
      <c r="AA145" s="61">
        <f>IF($C145="","",IF(N($Y145)+N($Z145)=0,"",N($Y145)+N($Z145)))</f>
        <v/>
      </c>
      <c r="AB145" s="60">
        <f>IF($C145="","",IF(Summary!$C$16="N","",IFERROR(BDP($C145,'Field Check'!$C$20)/100,"")))</f>
        <v/>
      </c>
      <c r="AC145" s="45">
        <f>IF($C145="","",IF(N($Y145)=0,"",IFERROR($AB145/$Y145,"")))</f>
        <v/>
      </c>
      <c r="AD145" s="55">
        <f>IF($C145="","",IF(Summary!$C$16="N","",IFERROR(BDP($C145,'Field Check'!$C$21),"")))</f>
        <v/>
      </c>
      <c r="AE145" s="55">
        <f>IF($C145="","",IF(Summary!$C$16="N","",IFERROR(BDP($C145,'Field Check'!$C$22),"")))</f>
        <v/>
      </c>
      <c r="AF145" s="55">
        <f>IF($C145="","",IF(Summary!$C$16="N","",IFERROR(BDP($C145,'Field Check'!$C$23),"")))</f>
        <v/>
      </c>
      <c r="AG145" s="40">
        <f>IF($C145="","",TRIM(IF(ISNUMBER($W145)*(N($W145)&gt;$D$7)&gt;0,"payout high  ","")&amp;IF(ISNUMBER($AC145)*(N($AC145)&lt;$F$7)&gt;0,"FCF below dvd  ","")&amp;IF(ISNUMBER($AE145)*(N($AE145)&gt;$H$7)&gt;0,"leverage high","")))</f>
        <v/>
      </c>
      <c r="AH145" s="40">
        <f>IF($C145="","",IF(HSTECH!$F$40="HKD","",IF(HSTECH!$F$40="","","DPS in "&amp;HSTECH!$F$40)))</f>
        <v/>
      </c>
    </row>
    <row r="146">
      <c r="B146" s="52" t="inlineStr">
        <is>
          <t>HSTECH</t>
        </is>
      </c>
      <c r="C146" s="6">
        <f>IF(HSTECH!$C$41="","",HSTECH!$C$41)</f>
        <v/>
      </c>
      <c r="D146" s="6">
        <f>IF($C146="","",HSTECH!$D$41)</f>
        <v/>
      </c>
      <c r="E146" s="6">
        <f>IF($C146="","",HSTECH!$E$41)</f>
        <v/>
      </c>
      <c r="F146" s="53">
        <f>IF($C146="","",SUMIFS('Dvd Calendar'!$E$2026:$AR$2026,'Dvd Calendar'!$E$2025:$AR$2025,"&gt;="&amp;DATE(Summary!$C$12-5,1,1),'Dvd Calendar'!$E$2025:$AR$2025,"&lt;="&amp;DATE(Summary!$C$12-5,12,31)))</f>
        <v/>
      </c>
      <c r="G146" s="53">
        <f>IF($C146="","",SUMIFS('Dvd Calendar'!$E$2026:$AR$2026,'Dvd Calendar'!$E$2025:$AR$2025,"&gt;="&amp;DATE(Summary!$C$12-4,1,1),'Dvd Calendar'!$E$2025:$AR$2025,"&lt;="&amp;DATE(Summary!$C$12-4,12,31)))</f>
        <v/>
      </c>
      <c r="H146" s="53">
        <f>IF($C146="","",SUMIFS('Dvd Calendar'!$E$2026:$AR$2026,'Dvd Calendar'!$E$2025:$AR$2025,"&gt;="&amp;DATE(Summary!$C$12-3,1,1),'Dvd Calendar'!$E$2025:$AR$2025,"&lt;="&amp;DATE(Summary!$C$12-3,12,31)))</f>
        <v/>
      </c>
      <c r="I146" s="53">
        <f>IF($C146="","",SUMIFS('Dvd Calendar'!$E$2026:$AR$2026,'Dvd Calendar'!$E$2025:$AR$2025,"&gt;="&amp;DATE(Summary!$C$12-2,1,1),'Dvd Calendar'!$E$2025:$AR$2025,"&lt;="&amp;DATE(Summary!$C$12-2,12,31)))</f>
        <v/>
      </c>
      <c r="J146" s="53">
        <f>IF($C146="","",SUMIFS('Dvd Calendar'!$E$2026:$AR$2026,'Dvd Calendar'!$E$2025:$AR$2025,"&gt;="&amp;DATE(Summary!$C$12-1,1,1),'Dvd Calendar'!$E$2025:$AR$2025,"&lt;="&amp;DATE(Summary!$C$12-1,12,31)))</f>
        <v/>
      </c>
      <c r="K146" s="54">
        <f>IF($C146="","",SUMIFS('Dvd Calendar'!$E$2026:$AR$2026,'Dvd Calendar'!$E$2025:$AR$2025,"&gt;="&amp;DATE(Summary!$C$12,1,1),'Dvd Calendar'!$E$2025:$AR$2025,"&lt;="&amp;MIN(Summary!$C$11,DATE(Summary!$C$12,12,31))))</f>
        <v/>
      </c>
      <c r="L146" s="38">
        <f>IF($C146="","",AVERAGE(F146:J146))</f>
        <v/>
      </c>
      <c r="M146" s="55">
        <f>IF($C146="","",IF(Summary!$C$16="N","",IFERROR(BDP($C146,'Field Check'!$C$16,'Field Check'!$C$17,TEXT(Summary!$C$12-5,"0")),"")))</f>
        <v/>
      </c>
      <c r="N146" s="55">
        <f>IF($C146="","",IF(Summary!$C$16="N","",IFERROR(BDP($C146,'Field Check'!$C$16,'Field Check'!$C$17,TEXT(Summary!$C$12-4,"0")),"")))</f>
        <v/>
      </c>
      <c r="O146" s="55">
        <f>IF($C146="","",IF(Summary!$C$16="N","",IFERROR(BDP($C146,'Field Check'!$C$16,'Field Check'!$C$17,TEXT(Summary!$C$12-3,"0")),"")))</f>
        <v/>
      </c>
      <c r="P146" s="55">
        <f>IF($C146="","",IF(Summary!$C$16="N","",IFERROR(BDP($C146,'Field Check'!$C$16,'Field Check'!$C$17,TEXT(Summary!$C$12-2,"0")),"")))</f>
        <v/>
      </c>
      <c r="Q146" s="55">
        <f>IF($C146="","",IF(Summary!$C$16="N","",IFERROR(BDP($C146,'Field Check'!$C$16,'Field Check'!$C$17,TEXT(Summary!$C$12-1,"0")),"")))</f>
        <v/>
      </c>
      <c r="R146" s="56">
        <f>IF($C146="","",IF(Summary!$C$16="N","",IFERROR(BDP($C146,'Field Check'!$C$18,'Field Check'!$C$17,TEXT(Summary!$C$12-5,"0"))/100,"")))</f>
        <v/>
      </c>
      <c r="S146" s="56">
        <f>IF($C146="","",IF(Summary!$C$16="N","",IFERROR(BDP($C146,'Field Check'!$C$18,'Field Check'!$C$17,TEXT(Summary!$C$12-4,"0"))/100,"")))</f>
        <v/>
      </c>
      <c r="T146" s="56">
        <f>IF($C146="","",IF(Summary!$C$16="N","",IFERROR(BDP($C146,'Field Check'!$C$18,'Field Check'!$C$17,TEXT(Summary!$C$12-3,"0"))/100,"")))</f>
        <v/>
      </c>
      <c r="U146" s="56">
        <f>IF($C146="","",IF(Summary!$C$16="N","",IFERROR(BDP($C146,'Field Check'!$C$18,'Field Check'!$C$17,TEXT(Summary!$C$12-2,"0"))/100,"")))</f>
        <v/>
      </c>
      <c r="V146" s="56">
        <f>IF($C146="","",IF(Summary!$C$16="N","",IFERROR(BDP($C146,'Field Check'!$C$18,'Field Check'!$C$17,TEXT(Summary!$C$12-1,"0"))/100,"")))</f>
        <v/>
      </c>
      <c r="W146" s="57">
        <f>IF($C146="","",IFERROR(AVERAGE(R146:V146),""))</f>
        <v/>
      </c>
      <c r="X146" s="58">
        <f>IF($C146="","",IF(ISNUMBER($Q146)*(N($Q146)&gt;0)=0,"",IFERROR($J146/$Q146,"")))</f>
        <v/>
      </c>
      <c r="Y146" s="59">
        <f>IF($C146="","",IF(ISNUMBER(HSTECH!$I$41),HSTECH!$I$41/100,""))</f>
        <v/>
      </c>
      <c r="Z146" s="60">
        <f>IF($C146="","",IF(Summary!$C$16="N","",IFERROR(BDP($C146,'Field Check'!$C$19)/100,"")))</f>
        <v/>
      </c>
      <c r="AA146" s="61">
        <f>IF($C146="","",IF(N($Y146)+N($Z146)=0,"",N($Y146)+N($Z146)))</f>
        <v/>
      </c>
      <c r="AB146" s="60">
        <f>IF($C146="","",IF(Summary!$C$16="N","",IFERROR(BDP($C146,'Field Check'!$C$20)/100,"")))</f>
        <v/>
      </c>
      <c r="AC146" s="45">
        <f>IF($C146="","",IF(N($Y146)=0,"",IFERROR($AB146/$Y146,"")))</f>
        <v/>
      </c>
      <c r="AD146" s="55">
        <f>IF($C146="","",IF(Summary!$C$16="N","",IFERROR(BDP($C146,'Field Check'!$C$21),"")))</f>
        <v/>
      </c>
      <c r="AE146" s="55">
        <f>IF($C146="","",IF(Summary!$C$16="N","",IFERROR(BDP($C146,'Field Check'!$C$22),"")))</f>
        <v/>
      </c>
      <c r="AF146" s="55">
        <f>IF($C146="","",IF(Summary!$C$16="N","",IFERROR(BDP($C146,'Field Check'!$C$23),"")))</f>
        <v/>
      </c>
      <c r="AG146" s="40">
        <f>IF($C146="","",TRIM(IF(ISNUMBER($W146)*(N($W146)&gt;$D$7)&gt;0,"payout high  ","")&amp;IF(ISNUMBER($AC146)*(N($AC146)&lt;$F$7)&gt;0,"FCF below dvd  ","")&amp;IF(ISNUMBER($AE146)*(N($AE146)&gt;$H$7)&gt;0,"leverage high","")))</f>
        <v/>
      </c>
      <c r="AH146" s="40">
        <f>IF($C146="","",IF(HSTECH!$F$41="HKD","",IF(HSTECH!$F$41="","","DPS in "&amp;HSTECH!$F$41)))</f>
        <v/>
      </c>
    </row>
    <row r="147">
      <c r="B147" s="52" t="inlineStr">
        <is>
          <t>HSTECH</t>
        </is>
      </c>
      <c r="C147" s="6">
        <f>IF(HSTECH!$C$42="","",HSTECH!$C$42)</f>
        <v/>
      </c>
      <c r="D147" s="6">
        <f>IF($C147="","",HSTECH!$D$42)</f>
        <v/>
      </c>
      <c r="E147" s="6">
        <f>IF($C147="","",HSTECH!$E$42)</f>
        <v/>
      </c>
      <c r="F147" s="53">
        <f>IF($C147="","",SUMIFS('Dvd Calendar'!$E$2041:$AR$2041,'Dvd Calendar'!$E$2040:$AR$2040,"&gt;="&amp;DATE(Summary!$C$12-5,1,1),'Dvd Calendar'!$E$2040:$AR$2040,"&lt;="&amp;DATE(Summary!$C$12-5,12,31)))</f>
        <v/>
      </c>
      <c r="G147" s="53">
        <f>IF($C147="","",SUMIFS('Dvd Calendar'!$E$2041:$AR$2041,'Dvd Calendar'!$E$2040:$AR$2040,"&gt;="&amp;DATE(Summary!$C$12-4,1,1),'Dvd Calendar'!$E$2040:$AR$2040,"&lt;="&amp;DATE(Summary!$C$12-4,12,31)))</f>
        <v/>
      </c>
      <c r="H147" s="53">
        <f>IF($C147="","",SUMIFS('Dvd Calendar'!$E$2041:$AR$2041,'Dvd Calendar'!$E$2040:$AR$2040,"&gt;="&amp;DATE(Summary!$C$12-3,1,1),'Dvd Calendar'!$E$2040:$AR$2040,"&lt;="&amp;DATE(Summary!$C$12-3,12,31)))</f>
        <v/>
      </c>
      <c r="I147" s="53">
        <f>IF($C147="","",SUMIFS('Dvd Calendar'!$E$2041:$AR$2041,'Dvd Calendar'!$E$2040:$AR$2040,"&gt;="&amp;DATE(Summary!$C$12-2,1,1),'Dvd Calendar'!$E$2040:$AR$2040,"&lt;="&amp;DATE(Summary!$C$12-2,12,31)))</f>
        <v/>
      </c>
      <c r="J147" s="53">
        <f>IF($C147="","",SUMIFS('Dvd Calendar'!$E$2041:$AR$2041,'Dvd Calendar'!$E$2040:$AR$2040,"&gt;="&amp;DATE(Summary!$C$12-1,1,1),'Dvd Calendar'!$E$2040:$AR$2040,"&lt;="&amp;DATE(Summary!$C$12-1,12,31)))</f>
        <v/>
      </c>
      <c r="K147" s="54">
        <f>IF($C147="","",SUMIFS('Dvd Calendar'!$E$2041:$AR$2041,'Dvd Calendar'!$E$2040:$AR$2040,"&gt;="&amp;DATE(Summary!$C$12,1,1),'Dvd Calendar'!$E$2040:$AR$2040,"&lt;="&amp;MIN(Summary!$C$11,DATE(Summary!$C$12,12,31))))</f>
        <v/>
      </c>
      <c r="L147" s="38">
        <f>IF($C147="","",AVERAGE(F147:J147))</f>
        <v/>
      </c>
      <c r="M147" s="55">
        <f>IF($C147="","",IF(Summary!$C$16="N","",IFERROR(BDP($C147,'Field Check'!$C$16,'Field Check'!$C$17,TEXT(Summary!$C$12-5,"0")),"")))</f>
        <v/>
      </c>
      <c r="N147" s="55">
        <f>IF($C147="","",IF(Summary!$C$16="N","",IFERROR(BDP($C147,'Field Check'!$C$16,'Field Check'!$C$17,TEXT(Summary!$C$12-4,"0")),"")))</f>
        <v/>
      </c>
      <c r="O147" s="55">
        <f>IF($C147="","",IF(Summary!$C$16="N","",IFERROR(BDP($C147,'Field Check'!$C$16,'Field Check'!$C$17,TEXT(Summary!$C$12-3,"0")),"")))</f>
        <v/>
      </c>
      <c r="P147" s="55">
        <f>IF($C147="","",IF(Summary!$C$16="N","",IFERROR(BDP($C147,'Field Check'!$C$16,'Field Check'!$C$17,TEXT(Summary!$C$12-2,"0")),"")))</f>
        <v/>
      </c>
      <c r="Q147" s="55">
        <f>IF($C147="","",IF(Summary!$C$16="N","",IFERROR(BDP($C147,'Field Check'!$C$16,'Field Check'!$C$17,TEXT(Summary!$C$12-1,"0")),"")))</f>
        <v/>
      </c>
      <c r="R147" s="56">
        <f>IF($C147="","",IF(Summary!$C$16="N","",IFERROR(BDP($C147,'Field Check'!$C$18,'Field Check'!$C$17,TEXT(Summary!$C$12-5,"0"))/100,"")))</f>
        <v/>
      </c>
      <c r="S147" s="56">
        <f>IF($C147="","",IF(Summary!$C$16="N","",IFERROR(BDP($C147,'Field Check'!$C$18,'Field Check'!$C$17,TEXT(Summary!$C$12-4,"0"))/100,"")))</f>
        <v/>
      </c>
      <c r="T147" s="56">
        <f>IF($C147="","",IF(Summary!$C$16="N","",IFERROR(BDP($C147,'Field Check'!$C$18,'Field Check'!$C$17,TEXT(Summary!$C$12-3,"0"))/100,"")))</f>
        <v/>
      </c>
      <c r="U147" s="56">
        <f>IF($C147="","",IF(Summary!$C$16="N","",IFERROR(BDP($C147,'Field Check'!$C$18,'Field Check'!$C$17,TEXT(Summary!$C$12-2,"0"))/100,"")))</f>
        <v/>
      </c>
      <c r="V147" s="56">
        <f>IF($C147="","",IF(Summary!$C$16="N","",IFERROR(BDP($C147,'Field Check'!$C$18,'Field Check'!$C$17,TEXT(Summary!$C$12-1,"0"))/100,"")))</f>
        <v/>
      </c>
      <c r="W147" s="57">
        <f>IF($C147="","",IFERROR(AVERAGE(R147:V147),""))</f>
        <v/>
      </c>
      <c r="X147" s="58">
        <f>IF($C147="","",IF(ISNUMBER($Q147)*(N($Q147)&gt;0)=0,"",IFERROR($J147/$Q147,"")))</f>
        <v/>
      </c>
      <c r="Y147" s="59">
        <f>IF($C147="","",IF(ISNUMBER(HSTECH!$I$42),HSTECH!$I$42/100,""))</f>
        <v/>
      </c>
      <c r="Z147" s="60">
        <f>IF($C147="","",IF(Summary!$C$16="N","",IFERROR(BDP($C147,'Field Check'!$C$19)/100,"")))</f>
        <v/>
      </c>
      <c r="AA147" s="61">
        <f>IF($C147="","",IF(N($Y147)+N($Z147)=0,"",N($Y147)+N($Z147)))</f>
        <v/>
      </c>
      <c r="AB147" s="60">
        <f>IF($C147="","",IF(Summary!$C$16="N","",IFERROR(BDP($C147,'Field Check'!$C$20)/100,"")))</f>
        <v/>
      </c>
      <c r="AC147" s="45">
        <f>IF($C147="","",IF(N($Y147)=0,"",IFERROR($AB147/$Y147,"")))</f>
        <v/>
      </c>
      <c r="AD147" s="55">
        <f>IF($C147="","",IF(Summary!$C$16="N","",IFERROR(BDP($C147,'Field Check'!$C$21),"")))</f>
        <v/>
      </c>
      <c r="AE147" s="55">
        <f>IF($C147="","",IF(Summary!$C$16="N","",IFERROR(BDP($C147,'Field Check'!$C$22),"")))</f>
        <v/>
      </c>
      <c r="AF147" s="55">
        <f>IF($C147="","",IF(Summary!$C$16="N","",IFERROR(BDP($C147,'Field Check'!$C$23),"")))</f>
        <v/>
      </c>
      <c r="AG147" s="40">
        <f>IF($C147="","",TRIM(IF(ISNUMBER($W147)*(N($W147)&gt;$D$7)&gt;0,"payout high  ","")&amp;IF(ISNUMBER($AC147)*(N($AC147)&lt;$F$7)&gt;0,"FCF below dvd  ","")&amp;IF(ISNUMBER($AE147)*(N($AE147)&gt;$H$7)&gt;0,"leverage high","")))</f>
        <v/>
      </c>
      <c r="AH147" s="40">
        <f>IF($C147="","",IF(HSTECH!$F$42="HKD","",IF(HSTECH!$F$42="","","DPS in "&amp;HSTECH!$F$42)))</f>
        <v/>
      </c>
    </row>
    <row r="148">
      <c r="B148" s="52" t="inlineStr">
        <is>
          <t>HSTECH</t>
        </is>
      </c>
      <c r="C148" s="6">
        <f>IF(HSTECH!$C$43="","",HSTECH!$C$43)</f>
        <v/>
      </c>
      <c r="D148" s="6">
        <f>IF($C148="","",HSTECH!$D$43)</f>
        <v/>
      </c>
      <c r="E148" s="6">
        <f>IF($C148="","",HSTECH!$E$43)</f>
        <v/>
      </c>
      <c r="F148" s="53">
        <f>IF($C148="","",SUMIFS('Dvd Calendar'!$E$2056:$AR$2056,'Dvd Calendar'!$E$2055:$AR$2055,"&gt;="&amp;DATE(Summary!$C$12-5,1,1),'Dvd Calendar'!$E$2055:$AR$2055,"&lt;="&amp;DATE(Summary!$C$12-5,12,31)))</f>
        <v/>
      </c>
      <c r="G148" s="53">
        <f>IF($C148="","",SUMIFS('Dvd Calendar'!$E$2056:$AR$2056,'Dvd Calendar'!$E$2055:$AR$2055,"&gt;="&amp;DATE(Summary!$C$12-4,1,1),'Dvd Calendar'!$E$2055:$AR$2055,"&lt;="&amp;DATE(Summary!$C$12-4,12,31)))</f>
        <v/>
      </c>
      <c r="H148" s="53">
        <f>IF($C148="","",SUMIFS('Dvd Calendar'!$E$2056:$AR$2056,'Dvd Calendar'!$E$2055:$AR$2055,"&gt;="&amp;DATE(Summary!$C$12-3,1,1),'Dvd Calendar'!$E$2055:$AR$2055,"&lt;="&amp;DATE(Summary!$C$12-3,12,31)))</f>
        <v/>
      </c>
      <c r="I148" s="53">
        <f>IF($C148="","",SUMIFS('Dvd Calendar'!$E$2056:$AR$2056,'Dvd Calendar'!$E$2055:$AR$2055,"&gt;="&amp;DATE(Summary!$C$12-2,1,1),'Dvd Calendar'!$E$2055:$AR$2055,"&lt;="&amp;DATE(Summary!$C$12-2,12,31)))</f>
        <v/>
      </c>
      <c r="J148" s="53">
        <f>IF($C148="","",SUMIFS('Dvd Calendar'!$E$2056:$AR$2056,'Dvd Calendar'!$E$2055:$AR$2055,"&gt;="&amp;DATE(Summary!$C$12-1,1,1),'Dvd Calendar'!$E$2055:$AR$2055,"&lt;="&amp;DATE(Summary!$C$12-1,12,31)))</f>
        <v/>
      </c>
      <c r="K148" s="54">
        <f>IF($C148="","",SUMIFS('Dvd Calendar'!$E$2056:$AR$2056,'Dvd Calendar'!$E$2055:$AR$2055,"&gt;="&amp;DATE(Summary!$C$12,1,1),'Dvd Calendar'!$E$2055:$AR$2055,"&lt;="&amp;MIN(Summary!$C$11,DATE(Summary!$C$12,12,31))))</f>
        <v/>
      </c>
      <c r="L148" s="38">
        <f>IF($C148="","",AVERAGE(F148:J148))</f>
        <v/>
      </c>
      <c r="M148" s="55">
        <f>IF($C148="","",IF(Summary!$C$16="N","",IFERROR(BDP($C148,'Field Check'!$C$16,'Field Check'!$C$17,TEXT(Summary!$C$12-5,"0")),"")))</f>
        <v/>
      </c>
      <c r="N148" s="55">
        <f>IF($C148="","",IF(Summary!$C$16="N","",IFERROR(BDP($C148,'Field Check'!$C$16,'Field Check'!$C$17,TEXT(Summary!$C$12-4,"0")),"")))</f>
        <v/>
      </c>
      <c r="O148" s="55">
        <f>IF($C148="","",IF(Summary!$C$16="N","",IFERROR(BDP($C148,'Field Check'!$C$16,'Field Check'!$C$17,TEXT(Summary!$C$12-3,"0")),"")))</f>
        <v/>
      </c>
      <c r="P148" s="55">
        <f>IF($C148="","",IF(Summary!$C$16="N","",IFERROR(BDP($C148,'Field Check'!$C$16,'Field Check'!$C$17,TEXT(Summary!$C$12-2,"0")),"")))</f>
        <v/>
      </c>
      <c r="Q148" s="55">
        <f>IF($C148="","",IF(Summary!$C$16="N","",IFERROR(BDP($C148,'Field Check'!$C$16,'Field Check'!$C$17,TEXT(Summary!$C$12-1,"0")),"")))</f>
        <v/>
      </c>
      <c r="R148" s="56">
        <f>IF($C148="","",IF(Summary!$C$16="N","",IFERROR(BDP($C148,'Field Check'!$C$18,'Field Check'!$C$17,TEXT(Summary!$C$12-5,"0"))/100,"")))</f>
        <v/>
      </c>
      <c r="S148" s="56">
        <f>IF($C148="","",IF(Summary!$C$16="N","",IFERROR(BDP($C148,'Field Check'!$C$18,'Field Check'!$C$17,TEXT(Summary!$C$12-4,"0"))/100,"")))</f>
        <v/>
      </c>
      <c r="T148" s="56">
        <f>IF($C148="","",IF(Summary!$C$16="N","",IFERROR(BDP($C148,'Field Check'!$C$18,'Field Check'!$C$17,TEXT(Summary!$C$12-3,"0"))/100,"")))</f>
        <v/>
      </c>
      <c r="U148" s="56">
        <f>IF($C148="","",IF(Summary!$C$16="N","",IFERROR(BDP($C148,'Field Check'!$C$18,'Field Check'!$C$17,TEXT(Summary!$C$12-2,"0"))/100,"")))</f>
        <v/>
      </c>
      <c r="V148" s="56">
        <f>IF($C148="","",IF(Summary!$C$16="N","",IFERROR(BDP($C148,'Field Check'!$C$18,'Field Check'!$C$17,TEXT(Summary!$C$12-1,"0"))/100,"")))</f>
        <v/>
      </c>
      <c r="W148" s="57">
        <f>IF($C148="","",IFERROR(AVERAGE(R148:V148),""))</f>
        <v/>
      </c>
      <c r="X148" s="58">
        <f>IF($C148="","",IF(ISNUMBER($Q148)*(N($Q148)&gt;0)=0,"",IFERROR($J148/$Q148,"")))</f>
        <v/>
      </c>
      <c r="Y148" s="59">
        <f>IF($C148="","",IF(ISNUMBER(HSTECH!$I$43),HSTECH!$I$43/100,""))</f>
        <v/>
      </c>
      <c r="Z148" s="60">
        <f>IF($C148="","",IF(Summary!$C$16="N","",IFERROR(BDP($C148,'Field Check'!$C$19)/100,"")))</f>
        <v/>
      </c>
      <c r="AA148" s="61">
        <f>IF($C148="","",IF(N($Y148)+N($Z148)=0,"",N($Y148)+N($Z148)))</f>
        <v/>
      </c>
      <c r="AB148" s="60">
        <f>IF($C148="","",IF(Summary!$C$16="N","",IFERROR(BDP($C148,'Field Check'!$C$20)/100,"")))</f>
        <v/>
      </c>
      <c r="AC148" s="45">
        <f>IF($C148="","",IF(N($Y148)=0,"",IFERROR($AB148/$Y148,"")))</f>
        <v/>
      </c>
      <c r="AD148" s="55">
        <f>IF($C148="","",IF(Summary!$C$16="N","",IFERROR(BDP($C148,'Field Check'!$C$21),"")))</f>
        <v/>
      </c>
      <c r="AE148" s="55">
        <f>IF($C148="","",IF(Summary!$C$16="N","",IFERROR(BDP($C148,'Field Check'!$C$22),"")))</f>
        <v/>
      </c>
      <c r="AF148" s="55">
        <f>IF($C148="","",IF(Summary!$C$16="N","",IFERROR(BDP($C148,'Field Check'!$C$23),"")))</f>
        <v/>
      </c>
      <c r="AG148" s="40">
        <f>IF($C148="","",TRIM(IF(ISNUMBER($W148)*(N($W148)&gt;$D$7)&gt;0,"payout high  ","")&amp;IF(ISNUMBER($AC148)*(N($AC148)&lt;$F$7)&gt;0,"FCF below dvd  ","")&amp;IF(ISNUMBER($AE148)*(N($AE148)&gt;$H$7)&gt;0,"leverage high","")))</f>
        <v/>
      </c>
      <c r="AH148" s="40">
        <f>IF($C148="","",IF(HSTECH!$F$43="HKD","",IF(HSTECH!$F$43="","","DPS in "&amp;HSTECH!$F$43)))</f>
        <v/>
      </c>
    </row>
    <row r="149">
      <c r="B149" s="52" t="inlineStr">
        <is>
          <t>HSTECH</t>
        </is>
      </c>
      <c r="C149" s="6">
        <f>IF(HSTECH!$C$44="","",HSTECH!$C$44)</f>
        <v/>
      </c>
      <c r="D149" s="6">
        <f>IF($C149="","",HSTECH!$D$44)</f>
        <v/>
      </c>
      <c r="E149" s="6">
        <f>IF($C149="","",HSTECH!$E$44)</f>
        <v/>
      </c>
      <c r="F149" s="53">
        <f>IF($C149="","",SUMIFS('Dvd Calendar'!$E$2071:$AR$2071,'Dvd Calendar'!$E$2070:$AR$2070,"&gt;="&amp;DATE(Summary!$C$12-5,1,1),'Dvd Calendar'!$E$2070:$AR$2070,"&lt;="&amp;DATE(Summary!$C$12-5,12,31)))</f>
        <v/>
      </c>
      <c r="G149" s="53">
        <f>IF($C149="","",SUMIFS('Dvd Calendar'!$E$2071:$AR$2071,'Dvd Calendar'!$E$2070:$AR$2070,"&gt;="&amp;DATE(Summary!$C$12-4,1,1),'Dvd Calendar'!$E$2070:$AR$2070,"&lt;="&amp;DATE(Summary!$C$12-4,12,31)))</f>
        <v/>
      </c>
      <c r="H149" s="53">
        <f>IF($C149="","",SUMIFS('Dvd Calendar'!$E$2071:$AR$2071,'Dvd Calendar'!$E$2070:$AR$2070,"&gt;="&amp;DATE(Summary!$C$12-3,1,1),'Dvd Calendar'!$E$2070:$AR$2070,"&lt;="&amp;DATE(Summary!$C$12-3,12,31)))</f>
        <v/>
      </c>
      <c r="I149" s="53">
        <f>IF($C149="","",SUMIFS('Dvd Calendar'!$E$2071:$AR$2071,'Dvd Calendar'!$E$2070:$AR$2070,"&gt;="&amp;DATE(Summary!$C$12-2,1,1),'Dvd Calendar'!$E$2070:$AR$2070,"&lt;="&amp;DATE(Summary!$C$12-2,12,31)))</f>
        <v/>
      </c>
      <c r="J149" s="53">
        <f>IF($C149="","",SUMIFS('Dvd Calendar'!$E$2071:$AR$2071,'Dvd Calendar'!$E$2070:$AR$2070,"&gt;="&amp;DATE(Summary!$C$12-1,1,1),'Dvd Calendar'!$E$2070:$AR$2070,"&lt;="&amp;DATE(Summary!$C$12-1,12,31)))</f>
        <v/>
      </c>
      <c r="K149" s="54">
        <f>IF($C149="","",SUMIFS('Dvd Calendar'!$E$2071:$AR$2071,'Dvd Calendar'!$E$2070:$AR$2070,"&gt;="&amp;DATE(Summary!$C$12,1,1),'Dvd Calendar'!$E$2070:$AR$2070,"&lt;="&amp;MIN(Summary!$C$11,DATE(Summary!$C$12,12,31))))</f>
        <v/>
      </c>
      <c r="L149" s="38">
        <f>IF($C149="","",AVERAGE(F149:J149))</f>
        <v/>
      </c>
      <c r="M149" s="55">
        <f>IF($C149="","",IF(Summary!$C$16="N","",IFERROR(BDP($C149,'Field Check'!$C$16,'Field Check'!$C$17,TEXT(Summary!$C$12-5,"0")),"")))</f>
        <v/>
      </c>
      <c r="N149" s="55">
        <f>IF($C149="","",IF(Summary!$C$16="N","",IFERROR(BDP($C149,'Field Check'!$C$16,'Field Check'!$C$17,TEXT(Summary!$C$12-4,"0")),"")))</f>
        <v/>
      </c>
      <c r="O149" s="55">
        <f>IF($C149="","",IF(Summary!$C$16="N","",IFERROR(BDP($C149,'Field Check'!$C$16,'Field Check'!$C$17,TEXT(Summary!$C$12-3,"0")),"")))</f>
        <v/>
      </c>
      <c r="P149" s="55">
        <f>IF($C149="","",IF(Summary!$C$16="N","",IFERROR(BDP($C149,'Field Check'!$C$16,'Field Check'!$C$17,TEXT(Summary!$C$12-2,"0")),"")))</f>
        <v/>
      </c>
      <c r="Q149" s="55">
        <f>IF($C149="","",IF(Summary!$C$16="N","",IFERROR(BDP($C149,'Field Check'!$C$16,'Field Check'!$C$17,TEXT(Summary!$C$12-1,"0")),"")))</f>
        <v/>
      </c>
      <c r="R149" s="56">
        <f>IF($C149="","",IF(Summary!$C$16="N","",IFERROR(BDP($C149,'Field Check'!$C$18,'Field Check'!$C$17,TEXT(Summary!$C$12-5,"0"))/100,"")))</f>
        <v/>
      </c>
      <c r="S149" s="56">
        <f>IF($C149="","",IF(Summary!$C$16="N","",IFERROR(BDP($C149,'Field Check'!$C$18,'Field Check'!$C$17,TEXT(Summary!$C$12-4,"0"))/100,"")))</f>
        <v/>
      </c>
      <c r="T149" s="56">
        <f>IF($C149="","",IF(Summary!$C$16="N","",IFERROR(BDP($C149,'Field Check'!$C$18,'Field Check'!$C$17,TEXT(Summary!$C$12-3,"0"))/100,"")))</f>
        <v/>
      </c>
      <c r="U149" s="56">
        <f>IF($C149="","",IF(Summary!$C$16="N","",IFERROR(BDP($C149,'Field Check'!$C$18,'Field Check'!$C$17,TEXT(Summary!$C$12-2,"0"))/100,"")))</f>
        <v/>
      </c>
      <c r="V149" s="56">
        <f>IF($C149="","",IF(Summary!$C$16="N","",IFERROR(BDP($C149,'Field Check'!$C$18,'Field Check'!$C$17,TEXT(Summary!$C$12-1,"0"))/100,"")))</f>
        <v/>
      </c>
      <c r="W149" s="57">
        <f>IF($C149="","",IFERROR(AVERAGE(R149:V149),""))</f>
        <v/>
      </c>
      <c r="X149" s="58">
        <f>IF($C149="","",IF(ISNUMBER($Q149)*(N($Q149)&gt;0)=0,"",IFERROR($J149/$Q149,"")))</f>
        <v/>
      </c>
      <c r="Y149" s="59">
        <f>IF($C149="","",IF(ISNUMBER(HSTECH!$I$44),HSTECH!$I$44/100,""))</f>
        <v/>
      </c>
      <c r="Z149" s="60">
        <f>IF($C149="","",IF(Summary!$C$16="N","",IFERROR(BDP($C149,'Field Check'!$C$19)/100,"")))</f>
        <v/>
      </c>
      <c r="AA149" s="61">
        <f>IF($C149="","",IF(N($Y149)+N($Z149)=0,"",N($Y149)+N($Z149)))</f>
        <v/>
      </c>
      <c r="AB149" s="60">
        <f>IF($C149="","",IF(Summary!$C$16="N","",IFERROR(BDP($C149,'Field Check'!$C$20)/100,"")))</f>
        <v/>
      </c>
      <c r="AC149" s="45">
        <f>IF($C149="","",IF(N($Y149)=0,"",IFERROR($AB149/$Y149,"")))</f>
        <v/>
      </c>
      <c r="AD149" s="55">
        <f>IF($C149="","",IF(Summary!$C$16="N","",IFERROR(BDP($C149,'Field Check'!$C$21),"")))</f>
        <v/>
      </c>
      <c r="AE149" s="55">
        <f>IF($C149="","",IF(Summary!$C$16="N","",IFERROR(BDP($C149,'Field Check'!$C$22),"")))</f>
        <v/>
      </c>
      <c r="AF149" s="55">
        <f>IF($C149="","",IF(Summary!$C$16="N","",IFERROR(BDP($C149,'Field Check'!$C$23),"")))</f>
        <v/>
      </c>
      <c r="AG149" s="40">
        <f>IF($C149="","",TRIM(IF(ISNUMBER($W149)*(N($W149)&gt;$D$7)&gt;0,"payout high  ","")&amp;IF(ISNUMBER($AC149)*(N($AC149)&lt;$F$7)&gt;0,"FCF below dvd  ","")&amp;IF(ISNUMBER($AE149)*(N($AE149)&gt;$H$7)&gt;0,"leverage high","")))</f>
        <v/>
      </c>
      <c r="AH149" s="40">
        <f>IF($C149="","",IF(HSTECH!$F$44="HKD","",IF(HSTECH!$F$44="","","DPS in "&amp;HSTECH!$F$44)))</f>
        <v/>
      </c>
    </row>
    <row r="150">
      <c r="B150" s="52" t="inlineStr">
        <is>
          <t>HSTECH</t>
        </is>
      </c>
      <c r="C150" s="6">
        <f>IF(HSTECH!$C$45="","",HSTECH!$C$45)</f>
        <v/>
      </c>
      <c r="D150" s="6">
        <f>IF($C150="","",HSTECH!$D$45)</f>
        <v/>
      </c>
      <c r="E150" s="6">
        <f>IF($C150="","",HSTECH!$E$45)</f>
        <v/>
      </c>
      <c r="F150" s="53">
        <f>IF($C150="","",SUMIFS('Dvd Calendar'!$E$2086:$AR$2086,'Dvd Calendar'!$E$2085:$AR$2085,"&gt;="&amp;DATE(Summary!$C$12-5,1,1),'Dvd Calendar'!$E$2085:$AR$2085,"&lt;="&amp;DATE(Summary!$C$12-5,12,31)))</f>
        <v/>
      </c>
      <c r="G150" s="53">
        <f>IF($C150="","",SUMIFS('Dvd Calendar'!$E$2086:$AR$2086,'Dvd Calendar'!$E$2085:$AR$2085,"&gt;="&amp;DATE(Summary!$C$12-4,1,1),'Dvd Calendar'!$E$2085:$AR$2085,"&lt;="&amp;DATE(Summary!$C$12-4,12,31)))</f>
        <v/>
      </c>
      <c r="H150" s="53">
        <f>IF($C150="","",SUMIFS('Dvd Calendar'!$E$2086:$AR$2086,'Dvd Calendar'!$E$2085:$AR$2085,"&gt;="&amp;DATE(Summary!$C$12-3,1,1),'Dvd Calendar'!$E$2085:$AR$2085,"&lt;="&amp;DATE(Summary!$C$12-3,12,31)))</f>
        <v/>
      </c>
      <c r="I150" s="53">
        <f>IF($C150="","",SUMIFS('Dvd Calendar'!$E$2086:$AR$2086,'Dvd Calendar'!$E$2085:$AR$2085,"&gt;="&amp;DATE(Summary!$C$12-2,1,1),'Dvd Calendar'!$E$2085:$AR$2085,"&lt;="&amp;DATE(Summary!$C$12-2,12,31)))</f>
        <v/>
      </c>
      <c r="J150" s="53">
        <f>IF($C150="","",SUMIFS('Dvd Calendar'!$E$2086:$AR$2086,'Dvd Calendar'!$E$2085:$AR$2085,"&gt;="&amp;DATE(Summary!$C$12-1,1,1),'Dvd Calendar'!$E$2085:$AR$2085,"&lt;="&amp;DATE(Summary!$C$12-1,12,31)))</f>
        <v/>
      </c>
      <c r="K150" s="54">
        <f>IF($C150="","",SUMIFS('Dvd Calendar'!$E$2086:$AR$2086,'Dvd Calendar'!$E$2085:$AR$2085,"&gt;="&amp;DATE(Summary!$C$12,1,1),'Dvd Calendar'!$E$2085:$AR$2085,"&lt;="&amp;MIN(Summary!$C$11,DATE(Summary!$C$12,12,31))))</f>
        <v/>
      </c>
      <c r="L150" s="38">
        <f>IF($C150="","",AVERAGE(F150:J150))</f>
        <v/>
      </c>
      <c r="M150" s="55">
        <f>IF($C150="","",IF(Summary!$C$16="N","",IFERROR(BDP($C150,'Field Check'!$C$16,'Field Check'!$C$17,TEXT(Summary!$C$12-5,"0")),"")))</f>
        <v/>
      </c>
      <c r="N150" s="55">
        <f>IF($C150="","",IF(Summary!$C$16="N","",IFERROR(BDP($C150,'Field Check'!$C$16,'Field Check'!$C$17,TEXT(Summary!$C$12-4,"0")),"")))</f>
        <v/>
      </c>
      <c r="O150" s="55">
        <f>IF($C150="","",IF(Summary!$C$16="N","",IFERROR(BDP($C150,'Field Check'!$C$16,'Field Check'!$C$17,TEXT(Summary!$C$12-3,"0")),"")))</f>
        <v/>
      </c>
      <c r="P150" s="55">
        <f>IF($C150="","",IF(Summary!$C$16="N","",IFERROR(BDP($C150,'Field Check'!$C$16,'Field Check'!$C$17,TEXT(Summary!$C$12-2,"0")),"")))</f>
        <v/>
      </c>
      <c r="Q150" s="55">
        <f>IF($C150="","",IF(Summary!$C$16="N","",IFERROR(BDP($C150,'Field Check'!$C$16,'Field Check'!$C$17,TEXT(Summary!$C$12-1,"0")),"")))</f>
        <v/>
      </c>
      <c r="R150" s="56">
        <f>IF($C150="","",IF(Summary!$C$16="N","",IFERROR(BDP($C150,'Field Check'!$C$18,'Field Check'!$C$17,TEXT(Summary!$C$12-5,"0"))/100,"")))</f>
        <v/>
      </c>
      <c r="S150" s="56">
        <f>IF($C150="","",IF(Summary!$C$16="N","",IFERROR(BDP($C150,'Field Check'!$C$18,'Field Check'!$C$17,TEXT(Summary!$C$12-4,"0"))/100,"")))</f>
        <v/>
      </c>
      <c r="T150" s="56">
        <f>IF($C150="","",IF(Summary!$C$16="N","",IFERROR(BDP($C150,'Field Check'!$C$18,'Field Check'!$C$17,TEXT(Summary!$C$12-3,"0"))/100,"")))</f>
        <v/>
      </c>
      <c r="U150" s="56">
        <f>IF($C150="","",IF(Summary!$C$16="N","",IFERROR(BDP($C150,'Field Check'!$C$18,'Field Check'!$C$17,TEXT(Summary!$C$12-2,"0"))/100,"")))</f>
        <v/>
      </c>
      <c r="V150" s="56">
        <f>IF($C150="","",IF(Summary!$C$16="N","",IFERROR(BDP($C150,'Field Check'!$C$18,'Field Check'!$C$17,TEXT(Summary!$C$12-1,"0"))/100,"")))</f>
        <v/>
      </c>
      <c r="W150" s="57">
        <f>IF($C150="","",IFERROR(AVERAGE(R150:V150),""))</f>
        <v/>
      </c>
      <c r="X150" s="58">
        <f>IF($C150="","",IF(ISNUMBER($Q150)*(N($Q150)&gt;0)=0,"",IFERROR($J150/$Q150,"")))</f>
        <v/>
      </c>
      <c r="Y150" s="59">
        <f>IF($C150="","",IF(ISNUMBER(HSTECH!$I$45),HSTECH!$I$45/100,""))</f>
        <v/>
      </c>
      <c r="Z150" s="60">
        <f>IF($C150="","",IF(Summary!$C$16="N","",IFERROR(BDP($C150,'Field Check'!$C$19)/100,"")))</f>
        <v/>
      </c>
      <c r="AA150" s="61">
        <f>IF($C150="","",IF(N($Y150)+N($Z150)=0,"",N($Y150)+N($Z150)))</f>
        <v/>
      </c>
      <c r="AB150" s="60">
        <f>IF($C150="","",IF(Summary!$C$16="N","",IFERROR(BDP($C150,'Field Check'!$C$20)/100,"")))</f>
        <v/>
      </c>
      <c r="AC150" s="45">
        <f>IF($C150="","",IF(N($Y150)=0,"",IFERROR($AB150/$Y150,"")))</f>
        <v/>
      </c>
      <c r="AD150" s="55">
        <f>IF($C150="","",IF(Summary!$C$16="N","",IFERROR(BDP($C150,'Field Check'!$C$21),"")))</f>
        <v/>
      </c>
      <c r="AE150" s="55">
        <f>IF($C150="","",IF(Summary!$C$16="N","",IFERROR(BDP($C150,'Field Check'!$C$22),"")))</f>
        <v/>
      </c>
      <c r="AF150" s="55">
        <f>IF($C150="","",IF(Summary!$C$16="N","",IFERROR(BDP($C150,'Field Check'!$C$23),"")))</f>
        <v/>
      </c>
      <c r="AG150" s="40">
        <f>IF($C150="","",TRIM(IF(ISNUMBER($W150)*(N($W150)&gt;$D$7)&gt;0,"payout high  ","")&amp;IF(ISNUMBER($AC150)*(N($AC150)&lt;$F$7)&gt;0,"FCF below dvd  ","")&amp;IF(ISNUMBER($AE150)*(N($AE150)&gt;$H$7)&gt;0,"leverage high","")))</f>
        <v/>
      </c>
      <c r="AH150" s="40">
        <f>IF($C150="","",IF(HSTECH!$F$45="HKD","",IF(HSTECH!$F$45="","","DPS in "&amp;HSTECH!$F$45)))</f>
        <v/>
      </c>
    </row>
    <row r="151">
      <c r="B151" s="52" t="inlineStr">
        <is>
          <t>HSTECH</t>
        </is>
      </c>
      <c r="C151" s="6">
        <f>IF(HSTECH!$C$46="","",HSTECH!$C$46)</f>
        <v/>
      </c>
      <c r="D151" s="6">
        <f>IF($C151="","",HSTECH!$D$46)</f>
        <v/>
      </c>
      <c r="E151" s="6">
        <f>IF($C151="","",HSTECH!$E$46)</f>
        <v/>
      </c>
      <c r="F151" s="53">
        <f>IF($C151="","",SUMIFS('Dvd Calendar'!$E$2101:$AR$2101,'Dvd Calendar'!$E$2100:$AR$2100,"&gt;="&amp;DATE(Summary!$C$12-5,1,1),'Dvd Calendar'!$E$2100:$AR$2100,"&lt;="&amp;DATE(Summary!$C$12-5,12,31)))</f>
        <v/>
      </c>
      <c r="G151" s="53">
        <f>IF($C151="","",SUMIFS('Dvd Calendar'!$E$2101:$AR$2101,'Dvd Calendar'!$E$2100:$AR$2100,"&gt;="&amp;DATE(Summary!$C$12-4,1,1),'Dvd Calendar'!$E$2100:$AR$2100,"&lt;="&amp;DATE(Summary!$C$12-4,12,31)))</f>
        <v/>
      </c>
      <c r="H151" s="53">
        <f>IF($C151="","",SUMIFS('Dvd Calendar'!$E$2101:$AR$2101,'Dvd Calendar'!$E$2100:$AR$2100,"&gt;="&amp;DATE(Summary!$C$12-3,1,1),'Dvd Calendar'!$E$2100:$AR$2100,"&lt;="&amp;DATE(Summary!$C$12-3,12,31)))</f>
        <v/>
      </c>
      <c r="I151" s="53">
        <f>IF($C151="","",SUMIFS('Dvd Calendar'!$E$2101:$AR$2101,'Dvd Calendar'!$E$2100:$AR$2100,"&gt;="&amp;DATE(Summary!$C$12-2,1,1),'Dvd Calendar'!$E$2100:$AR$2100,"&lt;="&amp;DATE(Summary!$C$12-2,12,31)))</f>
        <v/>
      </c>
      <c r="J151" s="53">
        <f>IF($C151="","",SUMIFS('Dvd Calendar'!$E$2101:$AR$2101,'Dvd Calendar'!$E$2100:$AR$2100,"&gt;="&amp;DATE(Summary!$C$12-1,1,1),'Dvd Calendar'!$E$2100:$AR$2100,"&lt;="&amp;DATE(Summary!$C$12-1,12,31)))</f>
        <v/>
      </c>
      <c r="K151" s="54">
        <f>IF($C151="","",SUMIFS('Dvd Calendar'!$E$2101:$AR$2101,'Dvd Calendar'!$E$2100:$AR$2100,"&gt;="&amp;DATE(Summary!$C$12,1,1),'Dvd Calendar'!$E$2100:$AR$2100,"&lt;="&amp;MIN(Summary!$C$11,DATE(Summary!$C$12,12,31))))</f>
        <v/>
      </c>
      <c r="L151" s="38">
        <f>IF($C151="","",AVERAGE(F151:J151))</f>
        <v/>
      </c>
      <c r="M151" s="55">
        <f>IF($C151="","",IF(Summary!$C$16="N","",IFERROR(BDP($C151,'Field Check'!$C$16,'Field Check'!$C$17,TEXT(Summary!$C$12-5,"0")),"")))</f>
        <v/>
      </c>
      <c r="N151" s="55">
        <f>IF($C151="","",IF(Summary!$C$16="N","",IFERROR(BDP($C151,'Field Check'!$C$16,'Field Check'!$C$17,TEXT(Summary!$C$12-4,"0")),"")))</f>
        <v/>
      </c>
      <c r="O151" s="55">
        <f>IF($C151="","",IF(Summary!$C$16="N","",IFERROR(BDP($C151,'Field Check'!$C$16,'Field Check'!$C$17,TEXT(Summary!$C$12-3,"0")),"")))</f>
        <v/>
      </c>
      <c r="P151" s="55">
        <f>IF($C151="","",IF(Summary!$C$16="N","",IFERROR(BDP($C151,'Field Check'!$C$16,'Field Check'!$C$17,TEXT(Summary!$C$12-2,"0")),"")))</f>
        <v/>
      </c>
      <c r="Q151" s="55">
        <f>IF($C151="","",IF(Summary!$C$16="N","",IFERROR(BDP($C151,'Field Check'!$C$16,'Field Check'!$C$17,TEXT(Summary!$C$12-1,"0")),"")))</f>
        <v/>
      </c>
      <c r="R151" s="56">
        <f>IF($C151="","",IF(Summary!$C$16="N","",IFERROR(BDP($C151,'Field Check'!$C$18,'Field Check'!$C$17,TEXT(Summary!$C$12-5,"0"))/100,"")))</f>
        <v/>
      </c>
      <c r="S151" s="56">
        <f>IF($C151="","",IF(Summary!$C$16="N","",IFERROR(BDP($C151,'Field Check'!$C$18,'Field Check'!$C$17,TEXT(Summary!$C$12-4,"0"))/100,"")))</f>
        <v/>
      </c>
      <c r="T151" s="56">
        <f>IF($C151="","",IF(Summary!$C$16="N","",IFERROR(BDP($C151,'Field Check'!$C$18,'Field Check'!$C$17,TEXT(Summary!$C$12-3,"0"))/100,"")))</f>
        <v/>
      </c>
      <c r="U151" s="56">
        <f>IF($C151="","",IF(Summary!$C$16="N","",IFERROR(BDP($C151,'Field Check'!$C$18,'Field Check'!$C$17,TEXT(Summary!$C$12-2,"0"))/100,"")))</f>
        <v/>
      </c>
      <c r="V151" s="56">
        <f>IF($C151="","",IF(Summary!$C$16="N","",IFERROR(BDP($C151,'Field Check'!$C$18,'Field Check'!$C$17,TEXT(Summary!$C$12-1,"0"))/100,"")))</f>
        <v/>
      </c>
      <c r="W151" s="57">
        <f>IF($C151="","",IFERROR(AVERAGE(R151:V151),""))</f>
        <v/>
      </c>
      <c r="X151" s="58">
        <f>IF($C151="","",IF(ISNUMBER($Q151)*(N($Q151)&gt;0)=0,"",IFERROR($J151/$Q151,"")))</f>
        <v/>
      </c>
      <c r="Y151" s="59">
        <f>IF($C151="","",IF(ISNUMBER(HSTECH!$I$46),HSTECH!$I$46/100,""))</f>
        <v/>
      </c>
      <c r="Z151" s="60">
        <f>IF($C151="","",IF(Summary!$C$16="N","",IFERROR(BDP($C151,'Field Check'!$C$19)/100,"")))</f>
        <v/>
      </c>
      <c r="AA151" s="61">
        <f>IF($C151="","",IF(N($Y151)+N($Z151)=0,"",N($Y151)+N($Z151)))</f>
        <v/>
      </c>
      <c r="AB151" s="60">
        <f>IF($C151="","",IF(Summary!$C$16="N","",IFERROR(BDP($C151,'Field Check'!$C$20)/100,"")))</f>
        <v/>
      </c>
      <c r="AC151" s="45">
        <f>IF($C151="","",IF(N($Y151)=0,"",IFERROR($AB151/$Y151,"")))</f>
        <v/>
      </c>
      <c r="AD151" s="55">
        <f>IF($C151="","",IF(Summary!$C$16="N","",IFERROR(BDP($C151,'Field Check'!$C$21),"")))</f>
        <v/>
      </c>
      <c r="AE151" s="55">
        <f>IF($C151="","",IF(Summary!$C$16="N","",IFERROR(BDP($C151,'Field Check'!$C$22),"")))</f>
        <v/>
      </c>
      <c r="AF151" s="55">
        <f>IF($C151="","",IF(Summary!$C$16="N","",IFERROR(BDP($C151,'Field Check'!$C$23),"")))</f>
        <v/>
      </c>
      <c r="AG151" s="40">
        <f>IF($C151="","",TRIM(IF(ISNUMBER($W151)*(N($W151)&gt;$D$7)&gt;0,"payout high  ","")&amp;IF(ISNUMBER($AC151)*(N($AC151)&lt;$F$7)&gt;0,"FCF below dvd  ","")&amp;IF(ISNUMBER($AE151)*(N($AE151)&gt;$H$7)&gt;0,"leverage high","")))</f>
        <v/>
      </c>
      <c r="AH151" s="40">
        <f>IF($C151="","",IF(HSTECH!$F$46="HKD","",IF(HSTECH!$F$46="","","DPS in "&amp;HSTECH!$F$46)))</f>
        <v/>
      </c>
    </row>
    <row r="152">
      <c r="B152" s="52" t="inlineStr">
        <is>
          <t>HSCEI</t>
        </is>
      </c>
      <c r="C152" s="6">
        <f>IF(HSCEI!$C$7="","",HSCEI!$C$7)</f>
        <v/>
      </c>
      <c r="D152" s="6">
        <f>IF($C152="","",HSCEI!$D$7)</f>
        <v/>
      </c>
      <c r="E152" s="6">
        <f>IF($C152="","",HSCEI!$E$7)</f>
        <v/>
      </c>
      <c r="F152" s="53">
        <f>IF($C152="","",SUMIFS('Dvd Calendar'!$E$2121:$AR$2121,'Dvd Calendar'!$E$2120:$AR$2120,"&gt;="&amp;DATE(Summary!$C$12-5,1,1),'Dvd Calendar'!$E$2120:$AR$2120,"&lt;="&amp;DATE(Summary!$C$12-5,12,31)))</f>
        <v/>
      </c>
      <c r="G152" s="53">
        <f>IF($C152="","",SUMIFS('Dvd Calendar'!$E$2121:$AR$2121,'Dvd Calendar'!$E$2120:$AR$2120,"&gt;="&amp;DATE(Summary!$C$12-4,1,1),'Dvd Calendar'!$E$2120:$AR$2120,"&lt;="&amp;DATE(Summary!$C$12-4,12,31)))</f>
        <v/>
      </c>
      <c r="H152" s="53">
        <f>IF($C152="","",SUMIFS('Dvd Calendar'!$E$2121:$AR$2121,'Dvd Calendar'!$E$2120:$AR$2120,"&gt;="&amp;DATE(Summary!$C$12-3,1,1),'Dvd Calendar'!$E$2120:$AR$2120,"&lt;="&amp;DATE(Summary!$C$12-3,12,31)))</f>
        <v/>
      </c>
      <c r="I152" s="53">
        <f>IF($C152="","",SUMIFS('Dvd Calendar'!$E$2121:$AR$2121,'Dvd Calendar'!$E$2120:$AR$2120,"&gt;="&amp;DATE(Summary!$C$12-2,1,1),'Dvd Calendar'!$E$2120:$AR$2120,"&lt;="&amp;DATE(Summary!$C$12-2,12,31)))</f>
        <v/>
      </c>
      <c r="J152" s="53">
        <f>IF($C152="","",SUMIFS('Dvd Calendar'!$E$2121:$AR$2121,'Dvd Calendar'!$E$2120:$AR$2120,"&gt;="&amp;DATE(Summary!$C$12-1,1,1),'Dvd Calendar'!$E$2120:$AR$2120,"&lt;="&amp;DATE(Summary!$C$12-1,12,31)))</f>
        <v/>
      </c>
      <c r="K152" s="54">
        <f>IF($C152="","",SUMIFS('Dvd Calendar'!$E$2121:$AR$2121,'Dvd Calendar'!$E$2120:$AR$2120,"&gt;="&amp;DATE(Summary!$C$12,1,1),'Dvd Calendar'!$E$2120:$AR$2120,"&lt;="&amp;MIN(Summary!$C$11,DATE(Summary!$C$12,12,31))))</f>
        <v/>
      </c>
      <c r="L152" s="38">
        <f>IF($C152="","",AVERAGE(F152:J152))</f>
        <v/>
      </c>
      <c r="M152" s="55">
        <f>IF($C152="","",IF(Summary!$C$16="N","",IFERROR(BDP($C152,'Field Check'!$C$16,'Field Check'!$C$17,TEXT(Summary!$C$12-5,"0")),"")))</f>
        <v/>
      </c>
      <c r="N152" s="55">
        <f>IF($C152="","",IF(Summary!$C$16="N","",IFERROR(BDP($C152,'Field Check'!$C$16,'Field Check'!$C$17,TEXT(Summary!$C$12-4,"0")),"")))</f>
        <v/>
      </c>
      <c r="O152" s="55">
        <f>IF($C152="","",IF(Summary!$C$16="N","",IFERROR(BDP($C152,'Field Check'!$C$16,'Field Check'!$C$17,TEXT(Summary!$C$12-3,"0")),"")))</f>
        <v/>
      </c>
      <c r="P152" s="55">
        <f>IF($C152="","",IF(Summary!$C$16="N","",IFERROR(BDP($C152,'Field Check'!$C$16,'Field Check'!$C$17,TEXT(Summary!$C$12-2,"0")),"")))</f>
        <v/>
      </c>
      <c r="Q152" s="55">
        <f>IF($C152="","",IF(Summary!$C$16="N","",IFERROR(BDP($C152,'Field Check'!$C$16,'Field Check'!$C$17,TEXT(Summary!$C$12-1,"0")),"")))</f>
        <v/>
      </c>
      <c r="R152" s="56">
        <f>IF($C152="","",IF(Summary!$C$16="N","",IFERROR(BDP($C152,'Field Check'!$C$18,'Field Check'!$C$17,TEXT(Summary!$C$12-5,"0"))/100,"")))</f>
        <v/>
      </c>
      <c r="S152" s="56">
        <f>IF($C152="","",IF(Summary!$C$16="N","",IFERROR(BDP($C152,'Field Check'!$C$18,'Field Check'!$C$17,TEXT(Summary!$C$12-4,"0"))/100,"")))</f>
        <v/>
      </c>
      <c r="T152" s="56">
        <f>IF($C152="","",IF(Summary!$C$16="N","",IFERROR(BDP($C152,'Field Check'!$C$18,'Field Check'!$C$17,TEXT(Summary!$C$12-3,"0"))/100,"")))</f>
        <v/>
      </c>
      <c r="U152" s="56">
        <f>IF($C152="","",IF(Summary!$C$16="N","",IFERROR(BDP($C152,'Field Check'!$C$18,'Field Check'!$C$17,TEXT(Summary!$C$12-2,"0"))/100,"")))</f>
        <v/>
      </c>
      <c r="V152" s="56">
        <f>IF($C152="","",IF(Summary!$C$16="N","",IFERROR(BDP($C152,'Field Check'!$C$18,'Field Check'!$C$17,TEXT(Summary!$C$12-1,"0"))/100,"")))</f>
        <v/>
      </c>
      <c r="W152" s="57">
        <f>IF($C152="","",IFERROR(AVERAGE(R152:V152),""))</f>
        <v/>
      </c>
      <c r="X152" s="58">
        <f>IF($C152="","",IF(ISNUMBER($Q152)*(N($Q152)&gt;0)=0,"",IFERROR($J152/$Q152,"")))</f>
        <v/>
      </c>
      <c r="Y152" s="59">
        <f>IF($C152="","",IF(ISNUMBER(HSCEI!$I$7),HSCEI!$I$7/100,""))</f>
        <v/>
      </c>
      <c r="Z152" s="60">
        <f>IF($C152="","",IF(Summary!$C$16="N","",IFERROR(BDP($C152,'Field Check'!$C$19)/100,"")))</f>
        <v/>
      </c>
      <c r="AA152" s="61">
        <f>IF($C152="","",IF(N($Y152)+N($Z152)=0,"",N($Y152)+N($Z152)))</f>
        <v/>
      </c>
      <c r="AB152" s="60">
        <f>IF($C152="","",IF(Summary!$C$16="N","",IFERROR(BDP($C152,'Field Check'!$C$20)/100,"")))</f>
        <v/>
      </c>
      <c r="AC152" s="45">
        <f>IF($C152="","",IF(N($Y152)=0,"",IFERROR($AB152/$Y152,"")))</f>
        <v/>
      </c>
      <c r="AD152" s="55">
        <f>IF($C152="","",IF(Summary!$C$16="N","",IFERROR(BDP($C152,'Field Check'!$C$21),"")))</f>
        <v/>
      </c>
      <c r="AE152" s="55">
        <f>IF($C152="","",IF(Summary!$C$16="N","",IFERROR(BDP($C152,'Field Check'!$C$22),"")))</f>
        <v/>
      </c>
      <c r="AF152" s="55">
        <f>IF($C152="","",IF(Summary!$C$16="N","",IFERROR(BDP($C152,'Field Check'!$C$23),"")))</f>
        <v/>
      </c>
      <c r="AG152" s="40">
        <f>IF($C152="","",TRIM(IF(ISNUMBER($W152)*(N($W152)&gt;$D$7)&gt;0,"payout high  ","")&amp;IF(ISNUMBER($AC152)*(N($AC152)&lt;$F$7)&gt;0,"FCF below dvd  ","")&amp;IF(ISNUMBER($AE152)*(N($AE152)&gt;$H$7)&gt;0,"leverage high","")))</f>
        <v/>
      </c>
      <c r="AH152" s="40">
        <f>IF($C152="","",IF(HSCEI!$F$7="HKD","",IF(HSCEI!$F$7="","","DPS in "&amp;HSCEI!$F$7)))</f>
        <v/>
      </c>
    </row>
    <row r="153">
      <c r="B153" s="52" t="inlineStr">
        <is>
          <t>HSCEI</t>
        </is>
      </c>
      <c r="C153" s="6">
        <f>IF(HSCEI!$C$8="","",HSCEI!$C$8)</f>
        <v/>
      </c>
      <c r="D153" s="6">
        <f>IF($C153="","",HSCEI!$D$8)</f>
        <v/>
      </c>
      <c r="E153" s="6">
        <f>IF($C153="","",HSCEI!$E$8)</f>
        <v/>
      </c>
      <c r="F153" s="53">
        <f>IF($C153="","",SUMIFS('Dvd Calendar'!$E$2136:$AR$2136,'Dvd Calendar'!$E$2135:$AR$2135,"&gt;="&amp;DATE(Summary!$C$12-5,1,1),'Dvd Calendar'!$E$2135:$AR$2135,"&lt;="&amp;DATE(Summary!$C$12-5,12,31)))</f>
        <v/>
      </c>
      <c r="G153" s="53">
        <f>IF($C153="","",SUMIFS('Dvd Calendar'!$E$2136:$AR$2136,'Dvd Calendar'!$E$2135:$AR$2135,"&gt;="&amp;DATE(Summary!$C$12-4,1,1),'Dvd Calendar'!$E$2135:$AR$2135,"&lt;="&amp;DATE(Summary!$C$12-4,12,31)))</f>
        <v/>
      </c>
      <c r="H153" s="53">
        <f>IF($C153="","",SUMIFS('Dvd Calendar'!$E$2136:$AR$2136,'Dvd Calendar'!$E$2135:$AR$2135,"&gt;="&amp;DATE(Summary!$C$12-3,1,1),'Dvd Calendar'!$E$2135:$AR$2135,"&lt;="&amp;DATE(Summary!$C$12-3,12,31)))</f>
        <v/>
      </c>
      <c r="I153" s="53">
        <f>IF($C153="","",SUMIFS('Dvd Calendar'!$E$2136:$AR$2136,'Dvd Calendar'!$E$2135:$AR$2135,"&gt;="&amp;DATE(Summary!$C$12-2,1,1),'Dvd Calendar'!$E$2135:$AR$2135,"&lt;="&amp;DATE(Summary!$C$12-2,12,31)))</f>
        <v/>
      </c>
      <c r="J153" s="53">
        <f>IF($C153="","",SUMIFS('Dvd Calendar'!$E$2136:$AR$2136,'Dvd Calendar'!$E$2135:$AR$2135,"&gt;="&amp;DATE(Summary!$C$12-1,1,1),'Dvd Calendar'!$E$2135:$AR$2135,"&lt;="&amp;DATE(Summary!$C$12-1,12,31)))</f>
        <v/>
      </c>
      <c r="K153" s="54">
        <f>IF($C153="","",SUMIFS('Dvd Calendar'!$E$2136:$AR$2136,'Dvd Calendar'!$E$2135:$AR$2135,"&gt;="&amp;DATE(Summary!$C$12,1,1),'Dvd Calendar'!$E$2135:$AR$2135,"&lt;="&amp;MIN(Summary!$C$11,DATE(Summary!$C$12,12,31))))</f>
        <v/>
      </c>
      <c r="L153" s="38">
        <f>IF($C153="","",AVERAGE(F153:J153))</f>
        <v/>
      </c>
      <c r="M153" s="55">
        <f>IF($C153="","",IF(Summary!$C$16="N","",IFERROR(BDP($C153,'Field Check'!$C$16,'Field Check'!$C$17,TEXT(Summary!$C$12-5,"0")),"")))</f>
        <v/>
      </c>
      <c r="N153" s="55">
        <f>IF($C153="","",IF(Summary!$C$16="N","",IFERROR(BDP($C153,'Field Check'!$C$16,'Field Check'!$C$17,TEXT(Summary!$C$12-4,"0")),"")))</f>
        <v/>
      </c>
      <c r="O153" s="55">
        <f>IF($C153="","",IF(Summary!$C$16="N","",IFERROR(BDP($C153,'Field Check'!$C$16,'Field Check'!$C$17,TEXT(Summary!$C$12-3,"0")),"")))</f>
        <v/>
      </c>
      <c r="P153" s="55">
        <f>IF($C153="","",IF(Summary!$C$16="N","",IFERROR(BDP($C153,'Field Check'!$C$16,'Field Check'!$C$17,TEXT(Summary!$C$12-2,"0")),"")))</f>
        <v/>
      </c>
      <c r="Q153" s="55">
        <f>IF($C153="","",IF(Summary!$C$16="N","",IFERROR(BDP($C153,'Field Check'!$C$16,'Field Check'!$C$17,TEXT(Summary!$C$12-1,"0")),"")))</f>
        <v/>
      </c>
      <c r="R153" s="56">
        <f>IF($C153="","",IF(Summary!$C$16="N","",IFERROR(BDP($C153,'Field Check'!$C$18,'Field Check'!$C$17,TEXT(Summary!$C$12-5,"0"))/100,"")))</f>
        <v/>
      </c>
      <c r="S153" s="56">
        <f>IF($C153="","",IF(Summary!$C$16="N","",IFERROR(BDP($C153,'Field Check'!$C$18,'Field Check'!$C$17,TEXT(Summary!$C$12-4,"0"))/100,"")))</f>
        <v/>
      </c>
      <c r="T153" s="56">
        <f>IF($C153="","",IF(Summary!$C$16="N","",IFERROR(BDP($C153,'Field Check'!$C$18,'Field Check'!$C$17,TEXT(Summary!$C$12-3,"0"))/100,"")))</f>
        <v/>
      </c>
      <c r="U153" s="56">
        <f>IF($C153="","",IF(Summary!$C$16="N","",IFERROR(BDP($C153,'Field Check'!$C$18,'Field Check'!$C$17,TEXT(Summary!$C$12-2,"0"))/100,"")))</f>
        <v/>
      </c>
      <c r="V153" s="56">
        <f>IF($C153="","",IF(Summary!$C$16="N","",IFERROR(BDP($C153,'Field Check'!$C$18,'Field Check'!$C$17,TEXT(Summary!$C$12-1,"0"))/100,"")))</f>
        <v/>
      </c>
      <c r="W153" s="57">
        <f>IF($C153="","",IFERROR(AVERAGE(R153:V153),""))</f>
        <v/>
      </c>
      <c r="X153" s="58">
        <f>IF($C153="","",IF(ISNUMBER($Q153)*(N($Q153)&gt;0)=0,"",IFERROR($J153/$Q153,"")))</f>
        <v/>
      </c>
      <c r="Y153" s="59">
        <f>IF($C153="","",IF(ISNUMBER(HSCEI!$I$8),HSCEI!$I$8/100,""))</f>
        <v/>
      </c>
      <c r="Z153" s="60">
        <f>IF($C153="","",IF(Summary!$C$16="N","",IFERROR(BDP($C153,'Field Check'!$C$19)/100,"")))</f>
        <v/>
      </c>
      <c r="AA153" s="61">
        <f>IF($C153="","",IF(N($Y153)+N($Z153)=0,"",N($Y153)+N($Z153)))</f>
        <v/>
      </c>
      <c r="AB153" s="60">
        <f>IF($C153="","",IF(Summary!$C$16="N","",IFERROR(BDP($C153,'Field Check'!$C$20)/100,"")))</f>
        <v/>
      </c>
      <c r="AC153" s="45">
        <f>IF($C153="","",IF(N($Y153)=0,"",IFERROR($AB153/$Y153,"")))</f>
        <v/>
      </c>
      <c r="AD153" s="55">
        <f>IF($C153="","",IF(Summary!$C$16="N","",IFERROR(BDP($C153,'Field Check'!$C$21),"")))</f>
        <v/>
      </c>
      <c r="AE153" s="55">
        <f>IF($C153="","",IF(Summary!$C$16="N","",IFERROR(BDP($C153,'Field Check'!$C$22),"")))</f>
        <v/>
      </c>
      <c r="AF153" s="55">
        <f>IF($C153="","",IF(Summary!$C$16="N","",IFERROR(BDP($C153,'Field Check'!$C$23),"")))</f>
        <v/>
      </c>
      <c r="AG153" s="40">
        <f>IF($C153="","",TRIM(IF(ISNUMBER($W153)*(N($W153)&gt;$D$7)&gt;0,"payout high  ","")&amp;IF(ISNUMBER($AC153)*(N($AC153)&lt;$F$7)&gt;0,"FCF below dvd  ","")&amp;IF(ISNUMBER($AE153)*(N($AE153)&gt;$H$7)&gt;0,"leverage high","")))</f>
        <v/>
      </c>
      <c r="AH153" s="40">
        <f>IF($C153="","",IF(HSCEI!$F$8="HKD","",IF(HSCEI!$F$8="","","DPS in "&amp;HSCEI!$F$8)))</f>
        <v/>
      </c>
    </row>
    <row r="154">
      <c r="B154" s="52" t="inlineStr">
        <is>
          <t>HSCEI</t>
        </is>
      </c>
      <c r="C154" s="6">
        <f>IF(HSCEI!$C$9="","",HSCEI!$C$9)</f>
        <v/>
      </c>
      <c r="D154" s="6">
        <f>IF($C154="","",HSCEI!$D$9)</f>
        <v/>
      </c>
      <c r="E154" s="6">
        <f>IF($C154="","",HSCEI!$E$9)</f>
        <v/>
      </c>
      <c r="F154" s="53">
        <f>IF($C154="","",SUMIFS('Dvd Calendar'!$E$2151:$AR$2151,'Dvd Calendar'!$E$2150:$AR$2150,"&gt;="&amp;DATE(Summary!$C$12-5,1,1),'Dvd Calendar'!$E$2150:$AR$2150,"&lt;="&amp;DATE(Summary!$C$12-5,12,31)))</f>
        <v/>
      </c>
      <c r="G154" s="53">
        <f>IF($C154="","",SUMIFS('Dvd Calendar'!$E$2151:$AR$2151,'Dvd Calendar'!$E$2150:$AR$2150,"&gt;="&amp;DATE(Summary!$C$12-4,1,1),'Dvd Calendar'!$E$2150:$AR$2150,"&lt;="&amp;DATE(Summary!$C$12-4,12,31)))</f>
        <v/>
      </c>
      <c r="H154" s="53">
        <f>IF($C154="","",SUMIFS('Dvd Calendar'!$E$2151:$AR$2151,'Dvd Calendar'!$E$2150:$AR$2150,"&gt;="&amp;DATE(Summary!$C$12-3,1,1),'Dvd Calendar'!$E$2150:$AR$2150,"&lt;="&amp;DATE(Summary!$C$12-3,12,31)))</f>
        <v/>
      </c>
      <c r="I154" s="53">
        <f>IF($C154="","",SUMIFS('Dvd Calendar'!$E$2151:$AR$2151,'Dvd Calendar'!$E$2150:$AR$2150,"&gt;="&amp;DATE(Summary!$C$12-2,1,1),'Dvd Calendar'!$E$2150:$AR$2150,"&lt;="&amp;DATE(Summary!$C$12-2,12,31)))</f>
        <v/>
      </c>
      <c r="J154" s="53">
        <f>IF($C154="","",SUMIFS('Dvd Calendar'!$E$2151:$AR$2151,'Dvd Calendar'!$E$2150:$AR$2150,"&gt;="&amp;DATE(Summary!$C$12-1,1,1),'Dvd Calendar'!$E$2150:$AR$2150,"&lt;="&amp;DATE(Summary!$C$12-1,12,31)))</f>
        <v/>
      </c>
      <c r="K154" s="54">
        <f>IF($C154="","",SUMIFS('Dvd Calendar'!$E$2151:$AR$2151,'Dvd Calendar'!$E$2150:$AR$2150,"&gt;="&amp;DATE(Summary!$C$12,1,1),'Dvd Calendar'!$E$2150:$AR$2150,"&lt;="&amp;MIN(Summary!$C$11,DATE(Summary!$C$12,12,31))))</f>
        <v/>
      </c>
      <c r="L154" s="38">
        <f>IF($C154="","",AVERAGE(F154:J154))</f>
        <v/>
      </c>
      <c r="M154" s="55">
        <f>IF($C154="","",IF(Summary!$C$16="N","",IFERROR(BDP($C154,'Field Check'!$C$16,'Field Check'!$C$17,TEXT(Summary!$C$12-5,"0")),"")))</f>
        <v/>
      </c>
      <c r="N154" s="55">
        <f>IF($C154="","",IF(Summary!$C$16="N","",IFERROR(BDP($C154,'Field Check'!$C$16,'Field Check'!$C$17,TEXT(Summary!$C$12-4,"0")),"")))</f>
        <v/>
      </c>
      <c r="O154" s="55">
        <f>IF($C154="","",IF(Summary!$C$16="N","",IFERROR(BDP($C154,'Field Check'!$C$16,'Field Check'!$C$17,TEXT(Summary!$C$12-3,"0")),"")))</f>
        <v/>
      </c>
      <c r="P154" s="55">
        <f>IF($C154="","",IF(Summary!$C$16="N","",IFERROR(BDP($C154,'Field Check'!$C$16,'Field Check'!$C$17,TEXT(Summary!$C$12-2,"0")),"")))</f>
        <v/>
      </c>
      <c r="Q154" s="55">
        <f>IF($C154="","",IF(Summary!$C$16="N","",IFERROR(BDP($C154,'Field Check'!$C$16,'Field Check'!$C$17,TEXT(Summary!$C$12-1,"0")),"")))</f>
        <v/>
      </c>
      <c r="R154" s="56">
        <f>IF($C154="","",IF(Summary!$C$16="N","",IFERROR(BDP($C154,'Field Check'!$C$18,'Field Check'!$C$17,TEXT(Summary!$C$12-5,"0"))/100,"")))</f>
        <v/>
      </c>
      <c r="S154" s="56">
        <f>IF($C154="","",IF(Summary!$C$16="N","",IFERROR(BDP($C154,'Field Check'!$C$18,'Field Check'!$C$17,TEXT(Summary!$C$12-4,"0"))/100,"")))</f>
        <v/>
      </c>
      <c r="T154" s="56">
        <f>IF($C154="","",IF(Summary!$C$16="N","",IFERROR(BDP($C154,'Field Check'!$C$18,'Field Check'!$C$17,TEXT(Summary!$C$12-3,"0"))/100,"")))</f>
        <v/>
      </c>
      <c r="U154" s="56">
        <f>IF($C154="","",IF(Summary!$C$16="N","",IFERROR(BDP($C154,'Field Check'!$C$18,'Field Check'!$C$17,TEXT(Summary!$C$12-2,"0"))/100,"")))</f>
        <v/>
      </c>
      <c r="V154" s="56">
        <f>IF($C154="","",IF(Summary!$C$16="N","",IFERROR(BDP($C154,'Field Check'!$C$18,'Field Check'!$C$17,TEXT(Summary!$C$12-1,"0"))/100,"")))</f>
        <v/>
      </c>
      <c r="W154" s="57">
        <f>IF($C154="","",IFERROR(AVERAGE(R154:V154),""))</f>
        <v/>
      </c>
      <c r="X154" s="58">
        <f>IF($C154="","",IF(ISNUMBER($Q154)*(N($Q154)&gt;0)=0,"",IFERROR($J154/$Q154,"")))</f>
        <v/>
      </c>
      <c r="Y154" s="59">
        <f>IF($C154="","",IF(ISNUMBER(HSCEI!$I$9),HSCEI!$I$9/100,""))</f>
        <v/>
      </c>
      <c r="Z154" s="60">
        <f>IF($C154="","",IF(Summary!$C$16="N","",IFERROR(BDP($C154,'Field Check'!$C$19)/100,"")))</f>
        <v/>
      </c>
      <c r="AA154" s="61">
        <f>IF($C154="","",IF(N($Y154)+N($Z154)=0,"",N($Y154)+N($Z154)))</f>
        <v/>
      </c>
      <c r="AB154" s="60">
        <f>IF($C154="","",IF(Summary!$C$16="N","",IFERROR(BDP($C154,'Field Check'!$C$20)/100,"")))</f>
        <v/>
      </c>
      <c r="AC154" s="45">
        <f>IF($C154="","",IF(N($Y154)=0,"",IFERROR($AB154/$Y154,"")))</f>
        <v/>
      </c>
      <c r="AD154" s="55">
        <f>IF($C154="","",IF(Summary!$C$16="N","",IFERROR(BDP($C154,'Field Check'!$C$21),"")))</f>
        <v/>
      </c>
      <c r="AE154" s="55">
        <f>IF($C154="","",IF(Summary!$C$16="N","",IFERROR(BDP($C154,'Field Check'!$C$22),"")))</f>
        <v/>
      </c>
      <c r="AF154" s="55">
        <f>IF($C154="","",IF(Summary!$C$16="N","",IFERROR(BDP($C154,'Field Check'!$C$23),"")))</f>
        <v/>
      </c>
      <c r="AG154" s="40">
        <f>IF($C154="","",TRIM(IF(ISNUMBER($W154)*(N($W154)&gt;$D$7)&gt;0,"payout high  ","")&amp;IF(ISNUMBER($AC154)*(N($AC154)&lt;$F$7)&gt;0,"FCF below dvd  ","")&amp;IF(ISNUMBER($AE154)*(N($AE154)&gt;$H$7)&gt;0,"leverage high","")))</f>
        <v/>
      </c>
      <c r="AH154" s="40">
        <f>IF($C154="","",IF(HSCEI!$F$9="HKD","",IF(HSCEI!$F$9="","","DPS in "&amp;HSCEI!$F$9)))</f>
        <v/>
      </c>
    </row>
    <row r="155">
      <c r="B155" s="52" t="inlineStr">
        <is>
          <t>HSCEI</t>
        </is>
      </c>
      <c r="C155" s="6">
        <f>IF(HSCEI!$C$10="","",HSCEI!$C$10)</f>
        <v/>
      </c>
      <c r="D155" s="6">
        <f>IF($C155="","",HSCEI!$D$10)</f>
        <v/>
      </c>
      <c r="E155" s="6">
        <f>IF($C155="","",HSCEI!$E$10)</f>
        <v/>
      </c>
      <c r="F155" s="53">
        <f>IF($C155="","",SUMIFS('Dvd Calendar'!$E$2166:$AR$2166,'Dvd Calendar'!$E$2165:$AR$2165,"&gt;="&amp;DATE(Summary!$C$12-5,1,1),'Dvd Calendar'!$E$2165:$AR$2165,"&lt;="&amp;DATE(Summary!$C$12-5,12,31)))</f>
        <v/>
      </c>
      <c r="G155" s="53">
        <f>IF($C155="","",SUMIFS('Dvd Calendar'!$E$2166:$AR$2166,'Dvd Calendar'!$E$2165:$AR$2165,"&gt;="&amp;DATE(Summary!$C$12-4,1,1),'Dvd Calendar'!$E$2165:$AR$2165,"&lt;="&amp;DATE(Summary!$C$12-4,12,31)))</f>
        <v/>
      </c>
      <c r="H155" s="53">
        <f>IF($C155="","",SUMIFS('Dvd Calendar'!$E$2166:$AR$2166,'Dvd Calendar'!$E$2165:$AR$2165,"&gt;="&amp;DATE(Summary!$C$12-3,1,1),'Dvd Calendar'!$E$2165:$AR$2165,"&lt;="&amp;DATE(Summary!$C$12-3,12,31)))</f>
        <v/>
      </c>
      <c r="I155" s="53">
        <f>IF($C155="","",SUMIFS('Dvd Calendar'!$E$2166:$AR$2166,'Dvd Calendar'!$E$2165:$AR$2165,"&gt;="&amp;DATE(Summary!$C$12-2,1,1),'Dvd Calendar'!$E$2165:$AR$2165,"&lt;="&amp;DATE(Summary!$C$12-2,12,31)))</f>
        <v/>
      </c>
      <c r="J155" s="53">
        <f>IF($C155="","",SUMIFS('Dvd Calendar'!$E$2166:$AR$2166,'Dvd Calendar'!$E$2165:$AR$2165,"&gt;="&amp;DATE(Summary!$C$12-1,1,1),'Dvd Calendar'!$E$2165:$AR$2165,"&lt;="&amp;DATE(Summary!$C$12-1,12,31)))</f>
        <v/>
      </c>
      <c r="K155" s="54">
        <f>IF($C155="","",SUMIFS('Dvd Calendar'!$E$2166:$AR$2166,'Dvd Calendar'!$E$2165:$AR$2165,"&gt;="&amp;DATE(Summary!$C$12,1,1),'Dvd Calendar'!$E$2165:$AR$2165,"&lt;="&amp;MIN(Summary!$C$11,DATE(Summary!$C$12,12,31))))</f>
        <v/>
      </c>
      <c r="L155" s="38">
        <f>IF($C155="","",AVERAGE(F155:J155))</f>
        <v/>
      </c>
      <c r="M155" s="55">
        <f>IF($C155="","",IF(Summary!$C$16="N","",IFERROR(BDP($C155,'Field Check'!$C$16,'Field Check'!$C$17,TEXT(Summary!$C$12-5,"0")),"")))</f>
        <v/>
      </c>
      <c r="N155" s="55">
        <f>IF($C155="","",IF(Summary!$C$16="N","",IFERROR(BDP($C155,'Field Check'!$C$16,'Field Check'!$C$17,TEXT(Summary!$C$12-4,"0")),"")))</f>
        <v/>
      </c>
      <c r="O155" s="55">
        <f>IF($C155="","",IF(Summary!$C$16="N","",IFERROR(BDP($C155,'Field Check'!$C$16,'Field Check'!$C$17,TEXT(Summary!$C$12-3,"0")),"")))</f>
        <v/>
      </c>
      <c r="P155" s="55">
        <f>IF($C155="","",IF(Summary!$C$16="N","",IFERROR(BDP($C155,'Field Check'!$C$16,'Field Check'!$C$17,TEXT(Summary!$C$12-2,"0")),"")))</f>
        <v/>
      </c>
      <c r="Q155" s="55">
        <f>IF($C155="","",IF(Summary!$C$16="N","",IFERROR(BDP($C155,'Field Check'!$C$16,'Field Check'!$C$17,TEXT(Summary!$C$12-1,"0")),"")))</f>
        <v/>
      </c>
      <c r="R155" s="56">
        <f>IF($C155="","",IF(Summary!$C$16="N","",IFERROR(BDP($C155,'Field Check'!$C$18,'Field Check'!$C$17,TEXT(Summary!$C$12-5,"0"))/100,"")))</f>
        <v/>
      </c>
      <c r="S155" s="56">
        <f>IF($C155="","",IF(Summary!$C$16="N","",IFERROR(BDP($C155,'Field Check'!$C$18,'Field Check'!$C$17,TEXT(Summary!$C$12-4,"0"))/100,"")))</f>
        <v/>
      </c>
      <c r="T155" s="56">
        <f>IF($C155="","",IF(Summary!$C$16="N","",IFERROR(BDP($C155,'Field Check'!$C$18,'Field Check'!$C$17,TEXT(Summary!$C$12-3,"0"))/100,"")))</f>
        <v/>
      </c>
      <c r="U155" s="56">
        <f>IF($C155="","",IF(Summary!$C$16="N","",IFERROR(BDP($C155,'Field Check'!$C$18,'Field Check'!$C$17,TEXT(Summary!$C$12-2,"0"))/100,"")))</f>
        <v/>
      </c>
      <c r="V155" s="56">
        <f>IF($C155="","",IF(Summary!$C$16="N","",IFERROR(BDP($C155,'Field Check'!$C$18,'Field Check'!$C$17,TEXT(Summary!$C$12-1,"0"))/100,"")))</f>
        <v/>
      </c>
      <c r="W155" s="57">
        <f>IF($C155="","",IFERROR(AVERAGE(R155:V155),""))</f>
        <v/>
      </c>
      <c r="X155" s="58">
        <f>IF($C155="","",IF(ISNUMBER($Q155)*(N($Q155)&gt;0)=0,"",IFERROR($J155/$Q155,"")))</f>
        <v/>
      </c>
      <c r="Y155" s="59">
        <f>IF($C155="","",IF(ISNUMBER(HSCEI!$I$10),HSCEI!$I$10/100,""))</f>
        <v/>
      </c>
      <c r="Z155" s="60">
        <f>IF($C155="","",IF(Summary!$C$16="N","",IFERROR(BDP($C155,'Field Check'!$C$19)/100,"")))</f>
        <v/>
      </c>
      <c r="AA155" s="61">
        <f>IF($C155="","",IF(N($Y155)+N($Z155)=0,"",N($Y155)+N($Z155)))</f>
        <v/>
      </c>
      <c r="AB155" s="60">
        <f>IF($C155="","",IF(Summary!$C$16="N","",IFERROR(BDP($C155,'Field Check'!$C$20)/100,"")))</f>
        <v/>
      </c>
      <c r="AC155" s="45">
        <f>IF($C155="","",IF(N($Y155)=0,"",IFERROR($AB155/$Y155,"")))</f>
        <v/>
      </c>
      <c r="AD155" s="55">
        <f>IF($C155="","",IF(Summary!$C$16="N","",IFERROR(BDP($C155,'Field Check'!$C$21),"")))</f>
        <v/>
      </c>
      <c r="AE155" s="55">
        <f>IF($C155="","",IF(Summary!$C$16="N","",IFERROR(BDP($C155,'Field Check'!$C$22),"")))</f>
        <v/>
      </c>
      <c r="AF155" s="55">
        <f>IF($C155="","",IF(Summary!$C$16="N","",IFERROR(BDP($C155,'Field Check'!$C$23),"")))</f>
        <v/>
      </c>
      <c r="AG155" s="40">
        <f>IF($C155="","",TRIM(IF(ISNUMBER($W155)*(N($W155)&gt;$D$7)&gt;0,"payout high  ","")&amp;IF(ISNUMBER($AC155)*(N($AC155)&lt;$F$7)&gt;0,"FCF below dvd  ","")&amp;IF(ISNUMBER($AE155)*(N($AE155)&gt;$H$7)&gt;0,"leverage high","")))</f>
        <v/>
      </c>
      <c r="AH155" s="40">
        <f>IF($C155="","",IF(HSCEI!$F$10="HKD","",IF(HSCEI!$F$10="","","DPS in "&amp;HSCEI!$F$10)))</f>
        <v/>
      </c>
    </row>
    <row r="156">
      <c r="B156" s="52" t="inlineStr">
        <is>
          <t>HSCEI</t>
        </is>
      </c>
      <c r="C156" s="6">
        <f>IF(HSCEI!$C$11="","",HSCEI!$C$11)</f>
        <v/>
      </c>
      <c r="D156" s="6">
        <f>IF($C156="","",HSCEI!$D$11)</f>
        <v/>
      </c>
      <c r="E156" s="6">
        <f>IF($C156="","",HSCEI!$E$11)</f>
        <v/>
      </c>
      <c r="F156" s="53">
        <f>IF($C156="","",SUMIFS('Dvd Calendar'!$E$2181:$AR$2181,'Dvd Calendar'!$E$2180:$AR$2180,"&gt;="&amp;DATE(Summary!$C$12-5,1,1),'Dvd Calendar'!$E$2180:$AR$2180,"&lt;="&amp;DATE(Summary!$C$12-5,12,31)))</f>
        <v/>
      </c>
      <c r="G156" s="53">
        <f>IF($C156="","",SUMIFS('Dvd Calendar'!$E$2181:$AR$2181,'Dvd Calendar'!$E$2180:$AR$2180,"&gt;="&amp;DATE(Summary!$C$12-4,1,1),'Dvd Calendar'!$E$2180:$AR$2180,"&lt;="&amp;DATE(Summary!$C$12-4,12,31)))</f>
        <v/>
      </c>
      <c r="H156" s="53">
        <f>IF($C156="","",SUMIFS('Dvd Calendar'!$E$2181:$AR$2181,'Dvd Calendar'!$E$2180:$AR$2180,"&gt;="&amp;DATE(Summary!$C$12-3,1,1),'Dvd Calendar'!$E$2180:$AR$2180,"&lt;="&amp;DATE(Summary!$C$12-3,12,31)))</f>
        <v/>
      </c>
      <c r="I156" s="53">
        <f>IF($C156="","",SUMIFS('Dvd Calendar'!$E$2181:$AR$2181,'Dvd Calendar'!$E$2180:$AR$2180,"&gt;="&amp;DATE(Summary!$C$12-2,1,1),'Dvd Calendar'!$E$2180:$AR$2180,"&lt;="&amp;DATE(Summary!$C$12-2,12,31)))</f>
        <v/>
      </c>
      <c r="J156" s="53">
        <f>IF($C156="","",SUMIFS('Dvd Calendar'!$E$2181:$AR$2181,'Dvd Calendar'!$E$2180:$AR$2180,"&gt;="&amp;DATE(Summary!$C$12-1,1,1),'Dvd Calendar'!$E$2180:$AR$2180,"&lt;="&amp;DATE(Summary!$C$12-1,12,31)))</f>
        <v/>
      </c>
      <c r="K156" s="54">
        <f>IF($C156="","",SUMIFS('Dvd Calendar'!$E$2181:$AR$2181,'Dvd Calendar'!$E$2180:$AR$2180,"&gt;="&amp;DATE(Summary!$C$12,1,1),'Dvd Calendar'!$E$2180:$AR$2180,"&lt;="&amp;MIN(Summary!$C$11,DATE(Summary!$C$12,12,31))))</f>
        <v/>
      </c>
      <c r="L156" s="38">
        <f>IF($C156="","",AVERAGE(F156:J156))</f>
        <v/>
      </c>
      <c r="M156" s="55">
        <f>IF($C156="","",IF(Summary!$C$16="N","",IFERROR(BDP($C156,'Field Check'!$C$16,'Field Check'!$C$17,TEXT(Summary!$C$12-5,"0")),"")))</f>
        <v/>
      </c>
      <c r="N156" s="55">
        <f>IF($C156="","",IF(Summary!$C$16="N","",IFERROR(BDP($C156,'Field Check'!$C$16,'Field Check'!$C$17,TEXT(Summary!$C$12-4,"0")),"")))</f>
        <v/>
      </c>
      <c r="O156" s="55">
        <f>IF($C156="","",IF(Summary!$C$16="N","",IFERROR(BDP($C156,'Field Check'!$C$16,'Field Check'!$C$17,TEXT(Summary!$C$12-3,"0")),"")))</f>
        <v/>
      </c>
      <c r="P156" s="55">
        <f>IF($C156="","",IF(Summary!$C$16="N","",IFERROR(BDP($C156,'Field Check'!$C$16,'Field Check'!$C$17,TEXT(Summary!$C$12-2,"0")),"")))</f>
        <v/>
      </c>
      <c r="Q156" s="55">
        <f>IF($C156="","",IF(Summary!$C$16="N","",IFERROR(BDP($C156,'Field Check'!$C$16,'Field Check'!$C$17,TEXT(Summary!$C$12-1,"0")),"")))</f>
        <v/>
      </c>
      <c r="R156" s="56">
        <f>IF($C156="","",IF(Summary!$C$16="N","",IFERROR(BDP($C156,'Field Check'!$C$18,'Field Check'!$C$17,TEXT(Summary!$C$12-5,"0"))/100,"")))</f>
        <v/>
      </c>
      <c r="S156" s="56">
        <f>IF($C156="","",IF(Summary!$C$16="N","",IFERROR(BDP($C156,'Field Check'!$C$18,'Field Check'!$C$17,TEXT(Summary!$C$12-4,"0"))/100,"")))</f>
        <v/>
      </c>
      <c r="T156" s="56">
        <f>IF($C156="","",IF(Summary!$C$16="N","",IFERROR(BDP($C156,'Field Check'!$C$18,'Field Check'!$C$17,TEXT(Summary!$C$12-3,"0"))/100,"")))</f>
        <v/>
      </c>
      <c r="U156" s="56">
        <f>IF($C156="","",IF(Summary!$C$16="N","",IFERROR(BDP($C156,'Field Check'!$C$18,'Field Check'!$C$17,TEXT(Summary!$C$12-2,"0"))/100,"")))</f>
        <v/>
      </c>
      <c r="V156" s="56">
        <f>IF($C156="","",IF(Summary!$C$16="N","",IFERROR(BDP($C156,'Field Check'!$C$18,'Field Check'!$C$17,TEXT(Summary!$C$12-1,"0"))/100,"")))</f>
        <v/>
      </c>
      <c r="W156" s="57">
        <f>IF($C156="","",IFERROR(AVERAGE(R156:V156),""))</f>
        <v/>
      </c>
      <c r="X156" s="58">
        <f>IF($C156="","",IF(ISNUMBER($Q156)*(N($Q156)&gt;0)=0,"",IFERROR($J156/$Q156,"")))</f>
        <v/>
      </c>
      <c r="Y156" s="59">
        <f>IF($C156="","",IF(ISNUMBER(HSCEI!$I$11),HSCEI!$I$11/100,""))</f>
        <v/>
      </c>
      <c r="Z156" s="60">
        <f>IF($C156="","",IF(Summary!$C$16="N","",IFERROR(BDP($C156,'Field Check'!$C$19)/100,"")))</f>
        <v/>
      </c>
      <c r="AA156" s="61">
        <f>IF($C156="","",IF(N($Y156)+N($Z156)=0,"",N($Y156)+N($Z156)))</f>
        <v/>
      </c>
      <c r="AB156" s="60">
        <f>IF($C156="","",IF(Summary!$C$16="N","",IFERROR(BDP($C156,'Field Check'!$C$20)/100,"")))</f>
        <v/>
      </c>
      <c r="AC156" s="45">
        <f>IF($C156="","",IF(N($Y156)=0,"",IFERROR($AB156/$Y156,"")))</f>
        <v/>
      </c>
      <c r="AD156" s="55">
        <f>IF($C156="","",IF(Summary!$C$16="N","",IFERROR(BDP($C156,'Field Check'!$C$21),"")))</f>
        <v/>
      </c>
      <c r="AE156" s="55">
        <f>IF($C156="","",IF(Summary!$C$16="N","",IFERROR(BDP($C156,'Field Check'!$C$22),"")))</f>
        <v/>
      </c>
      <c r="AF156" s="55">
        <f>IF($C156="","",IF(Summary!$C$16="N","",IFERROR(BDP($C156,'Field Check'!$C$23),"")))</f>
        <v/>
      </c>
      <c r="AG156" s="40">
        <f>IF($C156="","",TRIM(IF(ISNUMBER($W156)*(N($W156)&gt;$D$7)&gt;0,"payout high  ","")&amp;IF(ISNUMBER($AC156)*(N($AC156)&lt;$F$7)&gt;0,"FCF below dvd  ","")&amp;IF(ISNUMBER($AE156)*(N($AE156)&gt;$H$7)&gt;0,"leverage high","")))</f>
        <v/>
      </c>
      <c r="AH156" s="40">
        <f>IF($C156="","",IF(HSCEI!$F$11="HKD","",IF(HSCEI!$F$11="","","DPS in "&amp;HSCEI!$F$11)))</f>
        <v/>
      </c>
    </row>
    <row r="157">
      <c r="B157" s="52" t="inlineStr">
        <is>
          <t>HSCEI</t>
        </is>
      </c>
      <c r="C157" s="6">
        <f>IF(HSCEI!$C$12="","",HSCEI!$C$12)</f>
        <v/>
      </c>
      <c r="D157" s="6">
        <f>IF($C157="","",HSCEI!$D$12)</f>
        <v/>
      </c>
      <c r="E157" s="6">
        <f>IF($C157="","",HSCEI!$E$12)</f>
        <v/>
      </c>
      <c r="F157" s="53">
        <f>IF($C157="","",SUMIFS('Dvd Calendar'!$E$2196:$AR$2196,'Dvd Calendar'!$E$2195:$AR$2195,"&gt;="&amp;DATE(Summary!$C$12-5,1,1),'Dvd Calendar'!$E$2195:$AR$2195,"&lt;="&amp;DATE(Summary!$C$12-5,12,31)))</f>
        <v/>
      </c>
      <c r="G157" s="53">
        <f>IF($C157="","",SUMIFS('Dvd Calendar'!$E$2196:$AR$2196,'Dvd Calendar'!$E$2195:$AR$2195,"&gt;="&amp;DATE(Summary!$C$12-4,1,1),'Dvd Calendar'!$E$2195:$AR$2195,"&lt;="&amp;DATE(Summary!$C$12-4,12,31)))</f>
        <v/>
      </c>
      <c r="H157" s="53">
        <f>IF($C157="","",SUMIFS('Dvd Calendar'!$E$2196:$AR$2196,'Dvd Calendar'!$E$2195:$AR$2195,"&gt;="&amp;DATE(Summary!$C$12-3,1,1),'Dvd Calendar'!$E$2195:$AR$2195,"&lt;="&amp;DATE(Summary!$C$12-3,12,31)))</f>
        <v/>
      </c>
      <c r="I157" s="53">
        <f>IF($C157="","",SUMIFS('Dvd Calendar'!$E$2196:$AR$2196,'Dvd Calendar'!$E$2195:$AR$2195,"&gt;="&amp;DATE(Summary!$C$12-2,1,1),'Dvd Calendar'!$E$2195:$AR$2195,"&lt;="&amp;DATE(Summary!$C$12-2,12,31)))</f>
        <v/>
      </c>
      <c r="J157" s="53">
        <f>IF($C157="","",SUMIFS('Dvd Calendar'!$E$2196:$AR$2196,'Dvd Calendar'!$E$2195:$AR$2195,"&gt;="&amp;DATE(Summary!$C$12-1,1,1),'Dvd Calendar'!$E$2195:$AR$2195,"&lt;="&amp;DATE(Summary!$C$12-1,12,31)))</f>
        <v/>
      </c>
      <c r="K157" s="54">
        <f>IF($C157="","",SUMIFS('Dvd Calendar'!$E$2196:$AR$2196,'Dvd Calendar'!$E$2195:$AR$2195,"&gt;="&amp;DATE(Summary!$C$12,1,1),'Dvd Calendar'!$E$2195:$AR$2195,"&lt;="&amp;MIN(Summary!$C$11,DATE(Summary!$C$12,12,31))))</f>
        <v/>
      </c>
      <c r="L157" s="38">
        <f>IF($C157="","",AVERAGE(F157:J157))</f>
        <v/>
      </c>
      <c r="M157" s="55">
        <f>IF($C157="","",IF(Summary!$C$16="N","",IFERROR(BDP($C157,'Field Check'!$C$16,'Field Check'!$C$17,TEXT(Summary!$C$12-5,"0")),"")))</f>
        <v/>
      </c>
      <c r="N157" s="55">
        <f>IF($C157="","",IF(Summary!$C$16="N","",IFERROR(BDP($C157,'Field Check'!$C$16,'Field Check'!$C$17,TEXT(Summary!$C$12-4,"0")),"")))</f>
        <v/>
      </c>
      <c r="O157" s="55">
        <f>IF($C157="","",IF(Summary!$C$16="N","",IFERROR(BDP($C157,'Field Check'!$C$16,'Field Check'!$C$17,TEXT(Summary!$C$12-3,"0")),"")))</f>
        <v/>
      </c>
      <c r="P157" s="55">
        <f>IF($C157="","",IF(Summary!$C$16="N","",IFERROR(BDP($C157,'Field Check'!$C$16,'Field Check'!$C$17,TEXT(Summary!$C$12-2,"0")),"")))</f>
        <v/>
      </c>
      <c r="Q157" s="55">
        <f>IF($C157="","",IF(Summary!$C$16="N","",IFERROR(BDP($C157,'Field Check'!$C$16,'Field Check'!$C$17,TEXT(Summary!$C$12-1,"0")),"")))</f>
        <v/>
      </c>
      <c r="R157" s="56">
        <f>IF($C157="","",IF(Summary!$C$16="N","",IFERROR(BDP($C157,'Field Check'!$C$18,'Field Check'!$C$17,TEXT(Summary!$C$12-5,"0"))/100,"")))</f>
        <v/>
      </c>
      <c r="S157" s="56">
        <f>IF($C157="","",IF(Summary!$C$16="N","",IFERROR(BDP($C157,'Field Check'!$C$18,'Field Check'!$C$17,TEXT(Summary!$C$12-4,"0"))/100,"")))</f>
        <v/>
      </c>
      <c r="T157" s="56">
        <f>IF($C157="","",IF(Summary!$C$16="N","",IFERROR(BDP($C157,'Field Check'!$C$18,'Field Check'!$C$17,TEXT(Summary!$C$12-3,"0"))/100,"")))</f>
        <v/>
      </c>
      <c r="U157" s="56">
        <f>IF($C157="","",IF(Summary!$C$16="N","",IFERROR(BDP($C157,'Field Check'!$C$18,'Field Check'!$C$17,TEXT(Summary!$C$12-2,"0"))/100,"")))</f>
        <v/>
      </c>
      <c r="V157" s="56">
        <f>IF($C157="","",IF(Summary!$C$16="N","",IFERROR(BDP($C157,'Field Check'!$C$18,'Field Check'!$C$17,TEXT(Summary!$C$12-1,"0"))/100,"")))</f>
        <v/>
      </c>
      <c r="W157" s="57">
        <f>IF($C157="","",IFERROR(AVERAGE(R157:V157),""))</f>
        <v/>
      </c>
      <c r="X157" s="58">
        <f>IF($C157="","",IF(ISNUMBER($Q157)*(N($Q157)&gt;0)=0,"",IFERROR($J157/$Q157,"")))</f>
        <v/>
      </c>
      <c r="Y157" s="59">
        <f>IF($C157="","",IF(ISNUMBER(HSCEI!$I$12),HSCEI!$I$12/100,""))</f>
        <v/>
      </c>
      <c r="Z157" s="60">
        <f>IF($C157="","",IF(Summary!$C$16="N","",IFERROR(BDP($C157,'Field Check'!$C$19)/100,"")))</f>
        <v/>
      </c>
      <c r="AA157" s="61">
        <f>IF($C157="","",IF(N($Y157)+N($Z157)=0,"",N($Y157)+N($Z157)))</f>
        <v/>
      </c>
      <c r="AB157" s="60">
        <f>IF($C157="","",IF(Summary!$C$16="N","",IFERROR(BDP($C157,'Field Check'!$C$20)/100,"")))</f>
        <v/>
      </c>
      <c r="AC157" s="45">
        <f>IF($C157="","",IF(N($Y157)=0,"",IFERROR($AB157/$Y157,"")))</f>
        <v/>
      </c>
      <c r="AD157" s="55">
        <f>IF($C157="","",IF(Summary!$C$16="N","",IFERROR(BDP($C157,'Field Check'!$C$21),"")))</f>
        <v/>
      </c>
      <c r="AE157" s="55">
        <f>IF($C157="","",IF(Summary!$C$16="N","",IFERROR(BDP($C157,'Field Check'!$C$22),"")))</f>
        <v/>
      </c>
      <c r="AF157" s="55">
        <f>IF($C157="","",IF(Summary!$C$16="N","",IFERROR(BDP($C157,'Field Check'!$C$23),"")))</f>
        <v/>
      </c>
      <c r="AG157" s="40">
        <f>IF($C157="","",TRIM(IF(ISNUMBER($W157)*(N($W157)&gt;$D$7)&gt;0,"payout high  ","")&amp;IF(ISNUMBER($AC157)*(N($AC157)&lt;$F$7)&gt;0,"FCF below dvd  ","")&amp;IF(ISNUMBER($AE157)*(N($AE157)&gt;$H$7)&gt;0,"leverage high","")))</f>
        <v/>
      </c>
      <c r="AH157" s="40">
        <f>IF($C157="","",IF(HSCEI!$F$12="HKD","",IF(HSCEI!$F$12="","","DPS in "&amp;HSCEI!$F$12)))</f>
        <v/>
      </c>
    </row>
    <row r="158">
      <c r="B158" s="52" t="inlineStr">
        <is>
          <t>HSCEI</t>
        </is>
      </c>
      <c r="C158" s="6">
        <f>IF(HSCEI!$C$13="","",HSCEI!$C$13)</f>
        <v/>
      </c>
      <c r="D158" s="6">
        <f>IF($C158="","",HSCEI!$D$13)</f>
        <v/>
      </c>
      <c r="E158" s="6">
        <f>IF($C158="","",HSCEI!$E$13)</f>
        <v/>
      </c>
      <c r="F158" s="53">
        <f>IF($C158="","",SUMIFS('Dvd Calendar'!$E$2211:$AR$2211,'Dvd Calendar'!$E$2210:$AR$2210,"&gt;="&amp;DATE(Summary!$C$12-5,1,1),'Dvd Calendar'!$E$2210:$AR$2210,"&lt;="&amp;DATE(Summary!$C$12-5,12,31)))</f>
        <v/>
      </c>
      <c r="G158" s="53">
        <f>IF($C158="","",SUMIFS('Dvd Calendar'!$E$2211:$AR$2211,'Dvd Calendar'!$E$2210:$AR$2210,"&gt;="&amp;DATE(Summary!$C$12-4,1,1),'Dvd Calendar'!$E$2210:$AR$2210,"&lt;="&amp;DATE(Summary!$C$12-4,12,31)))</f>
        <v/>
      </c>
      <c r="H158" s="53">
        <f>IF($C158="","",SUMIFS('Dvd Calendar'!$E$2211:$AR$2211,'Dvd Calendar'!$E$2210:$AR$2210,"&gt;="&amp;DATE(Summary!$C$12-3,1,1),'Dvd Calendar'!$E$2210:$AR$2210,"&lt;="&amp;DATE(Summary!$C$12-3,12,31)))</f>
        <v/>
      </c>
      <c r="I158" s="53">
        <f>IF($C158="","",SUMIFS('Dvd Calendar'!$E$2211:$AR$2211,'Dvd Calendar'!$E$2210:$AR$2210,"&gt;="&amp;DATE(Summary!$C$12-2,1,1),'Dvd Calendar'!$E$2210:$AR$2210,"&lt;="&amp;DATE(Summary!$C$12-2,12,31)))</f>
        <v/>
      </c>
      <c r="J158" s="53">
        <f>IF($C158="","",SUMIFS('Dvd Calendar'!$E$2211:$AR$2211,'Dvd Calendar'!$E$2210:$AR$2210,"&gt;="&amp;DATE(Summary!$C$12-1,1,1),'Dvd Calendar'!$E$2210:$AR$2210,"&lt;="&amp;DATE(Summary!$C$12-1,12,31)))</f>
        <v/>
      </c>
      <c r="K158" s="54">
        <f>IF($C158="","",SUMIFS('Dvd Calendar'!$E$2211:$AR$2211,'Dvd Calendar'!$E$2210:$AR$2210,"&gt;="&amp;DATE(Summary!$C$12,1,1),'Dvd Calendar'!$E$2210:$AR$2210,"&lt;="&amp;MIN(Summary!$C$11,DATE(Summary!$C$12,12,31))))</f>
        <v/>
      </c>
      <c r="L158" s="38">
        <f>IF($C158="","",AVERAGE(F158:J158))</f>
        <v/>
      </c>
      <c r="M158" s="55">
        <f>IF($C158="","",IF(Summary!$C$16="N","",IFERROR(BDP($C158,'Field Check'!$C$16,'Field Check'!$C$17,TEXT(Summary!$C$12-5,"0")),"")))</f>
        <v/>
      </c>
      <c r="N158" s="55">
        <f>IF($C158="","",IF(Summary!$C$16="N","",IFERROR(BDP($C158,'Field Check'!$C$16,'Field Check'!$C$17,TEXT(Summary!$C$12-4,"0")),"")))</f>
        <v/>
      </c>
      <c r="O158" s="55">
        <f>IF($C158="","",IF(Summary!$C$16="N","",IFERROR(BDP($C158,'Field Check'!$C$16,'Field Check'!$C$17,TEXT(Summary!$C$12-3,"0")),"")))</f>
        <v/>
      </c>
      <c r="P158" s="55">
        <f>IF($C158="","",IF(Summary!$C$16="N","",IFERROR(BDP($C158,'Field Check'!$C$16,'Field Check'!$C$17,TEXT(Summary!$C$12-2,"0")),"")))</f>
        <v/>
      </c>
      <c r="Q158" s="55">
        <f>IF($C158="","",IF(Summary!$C$16="N","",IFERROR(BDP($C158,'Field Check'!$C$16,'Field Check'!$C$17,TEXT(Summary!$C$12-1,"0")),"")))</f>
        <v/>
      </c>
      <c r="R158" s="56">
        <f>IF($C158="","",IF(Summary!$C$16="N","",IFERROR(BDP($C158,'Field Check'!$C$18,'Field Check'!$C$17,TEXT(Summary!$C$12-5,"0"))/100,"")))</f>
        <v/>
      </c>
      <c r="S158" s="56">
        <f>IF($C158="","",IF(Summary!$C$16="N","",IFERROR(BDP($C158,'Field Check'!$C$18,'Field Check'!$C$17,TEXT(Summary!$C$12-4,"0"))/100,"")))</f>
        <v/>
      </c>
      <c r="T158" s="56">
        <f>IF($C158="","",IF(Summary!$C$16="N","",IFERROR(BDP($C158,'Field Check'!$C$18,'Field Check'!$C$17,TEXT(Summary!$C$12-3,"0"))/100,"")))</f>
        <v/>
      </c>
      <c r="U158" s="56">
        <f>IF($C158="","",IF(Summary!$C$16="N","",IFERROR(BDP($C158,'Field Check'!$C$18,'Field Check'!$C$17,TEXT(Summary!$C$12-2,"0"))/100,"")))</f>
        <v/>
      </c>
      <c r="V158" s="56">
        <f>IF($C158="","",IF(Summary!$C$16="N","",IFERROR(BDP($C158,'Field Check'!$C$18,'Field Check'!$C$17,TEXT(Summary!$C$12-1,"0"))/100,"")))</f>
        <v/>
      </c>
      <c r="W158" s="57">
        <f>IF($C158="","",IFERROR(AVERAGE(R158:V158),""))</f>
        <v/>
      </c>
      <c r="X158" s="58">
        <f>IF($C158="","",IF(ISNUMBER($Q158)*(N($Q158)&gt;0)=0,"",IFERROR($J158/$Q158,"")))</f>
        <v/>
      </c>
      <c r="Y158" s="59">
        <f>IF($C158="","",IF(ISNUMBER(HSCEI!$I$13),HSCEI!$I$13/100,""))</f>
        <v/>
      </c>
      <c r="Z158" s="60">
        <f>IF($C158="","",IF(Summary!$C$16="N","",IFERROR(BDP($C158,'Field Check'!$C$19)/100,"")))</f>
        <v/>
      </c>
      <c r="AA158" s="61">
        <f>IF($C158="","",IF(N($Y158)+N($Z158)=0,"",N($Y158)+N($Z158)))</f>
        <v/>
      </c>
      <c r="AB158" s="60">
        <f>IF($C158="","",IF(Summary!$C$16="N","",IFERROR(BDP($C158,'Field Check'!$C$20)/100,"")))</f>
        <v/>
      </c>
      <c r="AC158" s="45">
        <f>IF($C158="","",IF(N($Y158)=0,"",IFERROR($AB158/$Y158,"")))</f>
        <v/>
      </c>
      <c r="AD158" s="55">
        <f>IF($C158="","",IF(Summary!$C$16="N","",IFERROR(BDP($C158,'Field Check'!$C$21),"")))</f>
        <v/>
      </c>
      <c r="AE158" s="55">
        <f>IF($C158="","",IF(Summary!$C$16="N","",IFERROR(BDP($C158,'Field Check'!$C$22),"")))</f>
        <v/>
      </c>
      <c r="AF158" s="55">
        <f>IF($C158="","",IF(Summary!$C$16="N","",IFERROR(BDP($C158,'Field Check'!$C$23),"")))</f>
        <v/>
      </c>
      <c r="AG158" s="40">
        <f>IF($C158="","",TRIM(IF(ISNUMBER($W158)*(N($W158)&gt;$D$7)&gt;0,"payout high  ","")&amp;IF(ISNUMBER($AC158)*(N($AC158)&lt;$F$7)&gt;0,"FCF below dvd  ","")&amp;IF(ISNUMBER($AE158)*(N($AE158)&gt;$H$7)&gt;0,"leverage high","")))</f>
        <v/>
      </c>
      <c r="AH158" s="40">
        <f>IF($C158="","",IF(HSCEI!$F$13="HKD","",IF(HSCEI!$F$13="","","DPS in "&amp;HSCEI!$F$13)))</f>
        <v/>
      </c>
    </row>
    <row r="159">
      <c r="B159" s="52" t="inlineStr">
        <is>
          <t>HSCEI</t>
        </is>
      </c>
      <c r="C159" s="6">
        <f>IF(HSCEI!$C$14="","",HSCEI!$C$14)</f>
        <v/>
      </c>
      <c r="D159" s="6">
        <f>IF($C159="","",HSCEI!$D$14)</f>
        <v/>
      </c>
      <c r="E159" s="6">
        <f>IF($C159="","",HSCEI!$E$14)</f>
        <v/>
      </c>
      <c r="F159" s="53">
        <f>IF($C159="","",SUMIFS('Dvd Calendar'!$E$2226:$AR$2226,'Dvd Calendar'!$E$2225:$AR$2225,"&gt;="&amp;DATE(Summary!$C$12-5,1,1),'Dvd Calendar'!$E$2225:$AR$2225,"&lt;="&amp;DATE(Summary!$C$12-5,12,31)))</f>
        <v/>
      </c>
      <c r="G159" s="53">
        <f>IF($C159="","",SUMIFS('Dvd Calendar'!$E$2226:$AR$2226,'Dvd Calendar'!$E$2225:$AR$2225,"&gt;="&amp;DATE(Summary!$C$12-4,1,1),'Dvd Calendar'!$E$2225:$AR$2225,"&lt;="&amp;DATE(Summary!$C$12-4,12,31)))</f>
        <v/>
      </c>
      <c r="H159" s="53">
        <f>IF($C159="","",SUMIFS('Dvd Calendar'!$E$2226:$AR$2226,'Dvd Calendar'!$E$2225:$AR$2225,"&gt;="&amp;DATE(Summary!$C$12-3,1,1),'Dvd Calendar'!$E$2225:$AR$2225,"&lt;="&amp;DATE(Summary!$C$12-3,12,31)))</f>
        <v/>
      </c>
      <c r="I159" s="53">
        <f>IF($C159="","",SUMIFS('Dvd Calendar'!$E$2226:$AR$2226,'Dvd Calendar'!$E$2225:$AR$2225,"&gt;="&amp;DATE(Summary!$C$12-2,1,1),'Dvd Calendar'!$E$2225:$AR$2225,"&lt;="&amp;DATE(Summary!$C$12-2,12,31)))</f>
        <v/>
      </c>
      <c r="J159" s="53">
        <f>IF($C159="","",SUMIFS('Dvd Calendar'!$E$2226:$AR$2226,'Dvd Calendar'!$E$2225:$AR$2225,"&gt;="&amp;DATE(Summary!$C$12-1,1,1),'Dvd Calendar'!$E$2225:$AR$2225,"&lt;="&amp;DATE(Summary!$C$12-1,12,31)))</f>
        <v/>
      </c>
      <c r="K159" s="54">
        <f>IF($C159="","",SUMIFS('Dvd Calendar'!$E$2226:$AR$2226,'Dvd Calendar'!$E$2225:$AR$2225,"&gt;="&amp;DATE(Summary!$C$12,1,1),'Dvd Calendar'!$E$2225:$AR$2225,"&lt;="&amp;MIN(Summary!$C$11,DATE(Summary!$C$12,12,31))))</f>
        <v/>
      </c>
      <c r="L159" s="38">
        <f>IF($C159="","",AVERAGE(F159:J159))</f>
        <v/>
      </c>
      <c r="M159" s="55">
        <f>IF($C159="","",IF(Summary!$C$16="N","",IFERROR(BDP($C159,'Field Check'!$C$16,'Field Check'!$C$17,TEXT(Summary!$C$12-5,"0")),"")))</f>
        <v/>
      </c>
      <c r="N159" s="55">
        <f>IF($C159="","",IF(Summary!$C$16="N","",IFERROR(BDP($C159,'Field Check'!$C$16,'Field Check'!$C$17,TEXT(Summary!$C$12-4,"0")),"")))</f>
        <v/>
      </c>
      <c r="O159" s="55">
        <f>IF($C159="","",IF(Summary!$C$16="N","",IFERROR(BDP($C159,'Field Check'!$C$16,'Field Check'!$C$17,TEXT(Summary!$C$12-3,"0")),"")))</f>
        <v/>
      </c>
      <c r="P159" s="55">
        <f>IF($C159="","",IF(Summary!$C$16="N","",IFERROR(BDP($C159,'Field Check'!$C$16,'Field Check'!$C$17,TEXT(Summary!$C$12-2,"0")),"")))</f>
        <v/>
      </c>
      <c r="Q159" s="55">
        <f>IF($C159="","",IF(Summary!$C$16="N","",IFERROR(BDP($C159,'Field Check'!$C$16,'Field Check'!$C$17,TEXT(Summary!$C$12-1,"0")),"")))</f>
        <v/>
      </c>
      <c r="R159" s="56">
        <f>IF($C159="","",IF(Summary!$C$16="N","",IFERROR(BDP($C159,'Field Check'!$C$18,'Field Check'!$C$17,TEXT(Summary!$C$12-5,"0"))/100,"")))</f>
        <v/>
      </c>
      <c r="S159" s="56">
        <f>IF($C159="","",IF(Summary!$C$16="N","",IFERROR(BDP($C159,'Field Check'!$C$18,'Field Check'!$C$17,TEXT(Summary!$C$12-4,"0"))/100,"")))</f>
        <v/>
      </c>
      <c r="T159" s="56">
        <f>IF($C159="","",IF(Summary!$C$16="N","",IFERROR(BDP($C159,'Field Check'!$C$18,'Field Check'!$C$17,TEXT(Summary!$C$12-3,"0"))/100,"")))</f>
        <v/>
      </c>
      <c r="U159" s="56">
        <f>IF($C159="","",IF(Summary!$C$16="N","",IFERROR(BDP($C159,'Field Check'!$C$18,'Field Check'!$C$17,TEXT(Summary!$C$12-2,"0"))/100,"")))</f>
        <v/>
      </c>
      <c r="V159" s="56">
        <f>IF($C159="","",IF(Summary!$C$16="N","",IFERROR(BDP($C159,'Field Check'!$C$18,'Field Check'!$C$17,TEXT(Summary!$C$12-1,"0"))/100,"")))</f>
        <v/>
      </c>
      <c r="W159" s="57">
        <f>IF($C159="","",IFERROR(AVERAGE(R159:V159),""))</f>
        <v/>
      </c>
      <c r="X159" s="58">
        <f>IF($C159="","",IF(ISNUMBER($Q159)*(N($Q159)&gt;0)=0,"",IFERROR($J159/$Q159,"")))</f>
        <v/>
      </c>
      <c r="Y159" s="59">
        <f>IF($C159="","",IF(ISNUMBER(HSCEI!$I$14),HSCEI!$I$14/100,""))</f>
        <v/>
      </c>
      <c r="Z159" s="60">
        <f>IF($C159="","",IF(Summary!$C$16="N","",IFERROR(BDP($C159,'Field Check'!$C$19)/100,"")))</f>
        <v/>
      </c>
      <c r="AA159" s="61">
        <f>IF($C159="","",IF(N($Y159)+N($Z159)=0,"",N($Y159)+N($Z159)))</f>
        <v/>
      </c>
      <c r="AB159" s="60">
        <f>IF($C159="","",IF(Summary!$C$16="N","",IFERROR(BDP($C159,'Field Check'!$C$20)/100,"")))</f>
        <v/>
      </c>
      <c r="AC159" s="45">
        <f>IF($C159="","",IF(N($Y159)=0,"",IFERROR($AB159/$Y159,"")))</f>
        <v/>
      </c>
      <c r="AD159" s="55">
        <f>IF($C159="","",IF(Summary!$C$16="N","",IFERROR(BDP($C159,'Field Check'!$C$21),"")))</f>
        <v/>
      </c>
      <c r="AE159" s="55">
        <f>IF($C159="","",IF(Summary!$C$16="N","",IFERROR(BDP($C159,'Field Check'!$C$22),"")))</f>
        <v/>
      </c>
      <c r="AF159" s="55">
        <f>IF($C159="","",IF(Summary!$C$16="N","",IFERROR(BDP($C159,'Field Check'!$C$23),"")))</f>
        <v/>
      </c>
      <c r="AG159" s="40">
        <f>IF($C159="","",TRIM(IF(ISNUMBER($W159)*(N($W159)&gt;$D$7)&gt;0,"payout high  ","")&amp;IF(ISNUMBER($AC159)*(N($AC159)&lt;$F$7)&gt;0,"FCF below dvd  ","")&amp;IF(ISNUMBER($AE159)*(N($AE159)&gt;$H$7)&gt;0,"leverage high","")))</f>
        <v/>
      </c>
      <c r="AH159" s="40">
        <f>IF($C159="","",IF(HSCEI!$F$14="HKD","",IF(HSCEI!$F$14="","","DPS in "&amp;HSCEI!$F$14)))</f>
        <v/>
      </c>
    </row>
    <row r="160">
      <c r="B160" s="52" t="inlineStr">
        <is>
          <t>HSCEI</t>
        </is>
      </c>
      <c r="C160" s="6">
        <f>IF(HSCEI!$C$15="","",HSCEI!$C$15)</f>
        <v/>
      </c>
      <c r="D160" s="6">
        <f>IF($C160="","",HSCEI!$D$15)</f>
        <v/>
      </c>
      <c r="E160" s="6">
        <f>IF($C160="","",HSCEI!$E$15)</f>
        <v/>
      </c>
      <c r="F160" s="53">
        <f>IF($C160="","",SUMIFS('Dvd Calendar'!$E$2241:$AR$2241,'Dvd Calendar'!$E$2240:$AR$2240,"&gt;="&amp;DATE(Summary!$C$12-5,1,1),'Dvd Calendar'!$E$2240:$AR$2240,"&lt;="&amp;DATE(Summary!$C$12-5,12,31)))</f>
        <v/>
      </c>
      <c r="G160" s="53">
        <f>IF($C160="","",SUMIFS('Dvd Calendar'!$E$2241:$AR$2241,'Dvd Calendar'!$E$2240:$AR$2240,"&gt;="&amp;DATE(Summary!$C$12-4,1,1),'Dvd Calendar'!$E$2240:$AR$2240,"&lt;="&amp;DATE(Summary!$C$12-4,12,31)))</f>
        <v/>
      </c>
      <c r="H160" s="53">
        <f>IF($C160="","",SUMIFS('Dvd Calendar'!$E$2241:$AR$2241,'Dvd Calendar'!$E$2240:$AR$2240,"&gt;="&amp;DATE(Summary!$C$12-3,1,1),'Dvd Calendar'!$E$2240:$AR$2240,"&lt;="&amp;DATE(Summary!$C$12-3,12,31)))</f>
        <v/>
      </c>
      <c r="I160" s="53">
        <f>IF($C160="","",SUMIFS('Dvd Calendar'!$E$2241:$AR$2241,'Dvd Calendar'!$E$2240:$AR$2240,"&gt;="&amp;DATE(Summary!$C$12-2,1,1),'Dvd Calendar'!$E$2240:$AR$2240,"&lt;="&amp;DATE(Summary!$C$12-2,12,31)))</f>
        <v/>
      </c>
      <c r="J160" s="53">
        <f>IF($C160="","",SUMIFS('Dvd Calendar'!$E$2241:$AR$2241,'Dvd Calendar'!$E$2240:$AR$2240,"&gt;="&amp;DATE(Summary!$C$12-1,1,1),'Dvd Calendar'!$E$2240:$AR$2240,"&lt;="&amp;DATE(Summary!$C$12-1,12,31)))</f>
        <v/>
      </c>
      <c r="K160" s="54">
        <f>IF($C160="","",SUMIFS('Dvd Calendar'!$E$2241:$AR$2241,'Dvd Calendar'!$E$2240:$AR$2240,"&gt;="&amp;DATE(Summary!$C$12,1,1),'Dvd Calendar'!$E$2240:$AR$2240,"&lt;="&amp;MIN(Summary!$C$11,DATE(Summary!$C$12,12,31))))</f>
        <v/>
      </c>
      <c r="L160" s="38">
        <f>IF($C160="","",AVERAGE(F160:J160))</f>
        <v/>
      </c>
      <c r="M160" s="55">
        <f>IF($C160="","",IF(Summary!$C$16="N","",IFERROR(BDP($C160,'Field Check'!$C$16,'Field Check'!$C$17,TEXT(Summary!$C$12-5,"0")),"")))</f>
        <v/>
      </c>
      <c r="N160" s="55">
        <f>IF($C160="","",IF(Summary!$C$16="N","",IFERROR(BDP($C160,'Field Check'!$C$16,'Field Check'!$C$17,TEXT(Summary!$C$12-4,"0")),"")))</f>
        <v/>
      </c>
      <c r="O160" s="55">
        <f>IF($C160="","",IF(Summary!$C$16="N","",IFERROR(BDP($C160,'Field Check'!$C$16,'Field Check'!$C$17,TEXT(Summary!$C$12-3,"0")),"")))</f>
        <v/>
      </c>
      <c r="P160" s="55">
        <f>IF($C160="","",IF(Summary!$C$16="N","",IFERROR(BDP($C160,'Field Check'!$C$16,'Field Check'!$C$17,TEXT(Summary!$C$12-2,"0")),"")))</f>
        <v/>
      </c>
      <c r="Q160" s="55">
        <f>IF($C160="","",IF(Summary!$C$16="N","",IFERROR(BDP($C160,'Field Check'!$C$16,'Field Check'!$C$17,TEXT(Summary!$C$12-1,"0")),"")))</f>
        <v/>
      </c>
      <c r="R160" s="56">
        <f>IF($C160="","",IF(Summary!$C$16="N","",IFERROR(BDP($C160,'Field Check'!$C$18,'Field Check'!$C$17,TEXT(Summary!$C$12-5,"0"))/100,"")))</f>
        <v/>
      </c>
      <c r="S160" s="56">
        <f>IF($C160="","",IF(Summary!$C$16="N","",IFERROR(BDP($C160,'Field Check'!$C$18,'Field Check'!$C$17,TEXT(Summary!$C$12-4,"0"))/100,"")))</f>
        <v/>
      </c>
      <c r="T160" s="56">
        <f>IF($C160="","",IF(Summary!$C$16="N","",IFERROR(BDP($C160,'Field Check'!$C$18,'Field Check'!$C$17,TEXT(Summary!$C$12-3,"0"))/100,"")))</f>
        <v/>
      </c>
      <c r="U160" s="56">
        <f>IF($C160="","",IF(Summary!$C$16="N","",IFERROR(BDP($C160,'Field Check'!$C$18,'Field Check'!$C$17,TEXT(Summary!$C$12-2,"0"))/100,"")))</f>
        <v/>
      </c>
      <c r="V160" s="56">
        <f>IF($C160="","",IF(Summary!$C$16="N","",IFERROR(BDP($C160,'Field Check'!$C$18,'Field Check'!$C$17,TEXT(Summary!$C$12-1,"0"))/100,"")))</f>
        <v/>
      </c>
      <c r="W160" s="57">
        <f>IF($C160="","",IFERROR(AVERAGE(R160:V160),""))</f>
        <v/>
      </c>
      <c r="X160" s="58">
        <f>IF($C160="","",IF(ISNUMBER($Q160)*(N($Q160)&gt;0)=0,"",IFERROR($J160/$Q160,"")))</f>
        <v/>
      </c>
      <c r="Y160" s="59">
        <f>IF($C160="","",IF(ISNUMBER(HSCEI!$I$15),HSCEI!$I$15/100,""))</f>
        <v/>
      </c>
      <c r="Z160" s="60">
        <f>IF($C160="","",IF(Summary!$C$16="N","",IFERROR(BDP($C160,'Field Check'!$C$19)/100,"")))</f>
        <v/>
      </c>
      <c r="AA160" s="61">
        <f>IF($C160="","",IF(N($Y160)+N($Z160)=0,"",N($Y160)+N($Z160)))</f>
        <v/>
      </c>
      <c r="AB160" s="60">
        <f>IF($C160="","",IF(Summary!$C$16="N","",IFERROR(BDP($C160,'Field Check'!$C$20)/100,"")))</f>
        <v/>
      </c>
      <c r="AC160" s="45">
        <f>IF($C160="","",IF(N($Y160)=0,"",IFERROR($AB160/$Y160,"")))</f>
        <v/>
      </c>
      <c r="AD160" s="55">
        <f>IF($C160="","",IF(Summary!$C$16="N","",IFERROR(BDP($C160,'Field Check'!$C$21),"")))</f>
        <v/>
      </c>
      <c r="AE160" s="55">
        <f>IF($C160="","",IF(Summary!$C$16="N","",IFERROR(BDP($C160,'Field Check'!$C$22),"")))</f>
        <v/>
      </c>
      <c r="AF160" s="55">
        <f>IF($C160="","",IF(Summary!$C$16="N","",IFERROR(BDP($C160,'Field Check'!$C$23),"")))</f>
        <v/>
      </c>
      <c r="AG160" s="40">
        <f>IF($C160="","",TRIM(IF(ISNUMBER($W160)*(N($W160)&gt;$D$7)&gt;0,"payout high  ","")&amp;IF(ISNUMBER($AC160)*(N($AC160)&lt;$F$7)&gt;0,"FCF below dvd  ","")&amp;IF(ISNUMBER($AE160)*(N($AE160)&gt;$H$7)&gt;0,"leverage high","")))</f>
        <v/>
      </c>
      <c r="AH160" s="40">
        <f>IF($C160="","",IF(HSCEI!$F$15="HKD","",IF(HSCEI!$F$15="","","DPS in "&amp;HSCEI!$F$15)))</f>
        <v/>
      </c>
    </row>
    <row r="161">
      <c r="B161" s="52" t="inlineStr">
        <is>
          <t>HSCEI</t>
        </is>
      </c>
      <c r="C161" s="6">
        <f>IF(HSCEI!$C$16="","",HSCEI!$C$16)</f>
        <v/>
      </c>
      <c r="D161" s="6">
        <f>IF($C161="","",HSCEI!$D$16)</f>
        <v/>
      </c>
      <c r="E161" s="6">
        <f>IF($C161="","",HSCEI!$E$16)</f>
        <v/>
      </c>
      <c r="F161" s="53">
        <f>IF($C161="","",SUMIFS('Dvd Calendar'!$E$2256:$AR$2256,'Dvd Calendar'!$E$2255:$AR$2255,"&gt;="&amp;DATE(Summary!$C$12-5,1,1),'Dvd Calendar'!$E$2255:$AR$2255,"&lt;="&amp;DATE(Summary!$C$12-5,12,31)))</f>
        <v/>
      </c>
      <c r="G161" s="53">
        <f>IF($C161="","",SUMIFS('Dvd Calendar'!$E$2256:$AR$2256,'Dvd Calendar'!$E$2255:$AR$2255,"&gt;="&amp;DATE(Summary!$C$12-4,1,1),'Dvd Calendar'!$E$2255:$AR$2255,"&lt;="&amp;DATE(Summary!$C$12-4,12,31)))</f>
        <v/>
      </c>
      <c r="H161" s="53">
        <f>IF($C161="","",SUMIFS('Dvd Calendar'!$E$2256:$AR$2256,'Dvd Calendar'!$E$2255:$AR$2255,"&gt;="&amp;DATE(Summary!$C$12-3,1,1),'Dvd Calendar'!$E$2255:$AR$2255,"&lt;="&amp;DATE(Summary!$C$12-3,12,31)))</f>
        <v/>
      </c>
      <c r="I161" s="53">
        <f>IF($C161="","",SUMIFS('Dvd Calendar'!$E$2256:$AR$2256,'Dvd Calendar'!$E$2255:$AR$2255,"&gt;="&amp;DATE(Summary!$C$12-2,1,1),'Dvd Calendar'!$E$2255:$AR$2255,"&lt;="&amp;DATE(Summary!$C$12-2,12,31)))</f>
        <v/>
      </c>
      <c r="J161" s="53">
        <f>IF($C161="","",SUMIFS('Dvd Calendar'!$E$2256:$AR$2256,'Dvd Calendar'!$E$2255:$AR$2255,"&gt;="&amp;DATE(Summary!$C$12-1,1,1),'Dvd Calendar'!$E$2255:$AR$2255,"&lt;="&amp;DATE(Summary!$C$12-1,12,31)))</f>
        <v/>
      </c>
      <c r="K161" s="54">
        <f>IF($C161="","",SUMIFS('Dvd Calendar'!$E$2256:$AR$2256,'Dvd Calendar'!$E$2255:$AR$2255,"&gt;="&amp;DATE(Summary!$C$12,1,1),'Dvd Calendar'!$E$2255:$AR$2255,"&lt;="&amp;MIN(Summary!$C$11,DATE(Summary!$C$12,12,31))))</f>
        <v/>
      </c>
      <c r="L161" s="38">
        <f>IF($C161="","",AVERAGE(F161:J161))</f>
        <v/>
      </c>
      <c r="M161" s="55">
        <f>IF($C161="","",IF(Summary!$C$16="N","",IFERROR(BDP($C161,'Field Check'!$C$16,'Field Check'!$C$17,TEXT(Summary!$C$12-5,"0")),"")))</f>
        <v/>
      </c>
      <c r="N161" s="55">
        <f>IF($C161="","",IF(Summary!$C$16="N","",IFERROR(BDP($C161,'Field Check'!$C$16,'Field Check'!$C$17,TEXT(Summary!$C$12-4,"0")),"")))</f>
        <v/>
      </c>
      <c r="O161" s="55">
        <f>IF($C161="","",IF(Summary!$C$16="N","",IFERROR(BDP($C161,'Field Check'!$C$16,'Field Check'!$C$17,TEXT(Summary!$C$12-3,"0")),"")))</f>
        <v/>
      </c>
      <c r="P161" s="55">
        <f>IF($C161="","",IF(Summary!$C$16="N","",IFERROR(BDP($C161,'Field Check'!$C$16,'Field Check'!$C$17,TEXT(Summary!$C$12-2,"0")),"")))</f>
        <v/>
      </c>
      <c r="Q161" s="55">
        <f>IF($C161="","",IF(Summary!$C$16="N","",IFERROR(BDP($C161,'Field Check'!$C$16,'Field Check'!$C$17,TEXT(Summary!$C$12-1,"0")),"")))</f>
        <v/>
      </c>
      <c r="R161" s="56">
        <f>IF($C161="","",IF(Summary!$C$16="N","",IFERROR(BDP($C161,'Field Check'!$C$18,'Field Check'!$C$17,TEXT(Summary!$C$12-5,"0"))/100,"")))</f>
        <v/>
      </c>
      <c r="S161" s="56">
        <f>IF($C161="","",IF(Summary!$C$16="N","",IFERROR(BDP($C161,'Field Check'!$C$18,'Field Check'!$C$17,TEXT(Summary!$C$12-4,"0"))/100,"")))</f>
        <v/>
      </c>
      <c r="T161" s="56">
        <f>IF($C161="","",IF(Summary!$C$16="N","",IFERROR(BDP($C161,'Field Check'!$C$18,'Field Check'!$C$17,TEXT(Summary!$C$12-3,"0"))/100,"")))</f>
        <v/>
      </c>
      <c r="U161" s="56">
        <f>IF($C161="","",IF(Summary!$C$16="N","",IFERROR(BDP($C161,'Field Check'!$C$18,'Field Check'!$C$17,TEXT(Summary!$C$12-2,"0"))/100,"")))</f>
        <v/>
      </c>
      <c r="V161" s="56">
        <f>IF($C161="","",IF(Summary!$C$16="N","",IFERROR(BDP($C161,'Field Check'!$C$18,'Field Check'!$C$17,TEXT(Summary!$C$12-1,"0"))/100,"")))</f>
        <v/>
      </c>
      <c r="W161" s="57">
        <f>IF($C161="","",IFERROR(AVERAGE(R161:V161),""))</f>
        <v/>
      </c>
      <c r="X161" s="58">
        <f>IF($C161="","",IF(ISNUMBER($Q161)*(N($Q161)&gt;0)=0,"",IFERROR($J161/$Q161,"")))</f>
        <v/>
      </c>
      <c r="Y161" s="59">
        <f>IF($C161="","",IF(ISNUMBER(HSCEI!$I$16),HSCEI!$I$16/100,""))</f>
        <v/>
      </c>
      <c r="Z161" s="60">
        <f>IF($C161="","",IF(Summary!$C$16="N","",IFERROR(BDP($C161,'Field Check'!$C$19)/100,"")))</f>
        <v/>
      </c>
      <c r="AA161" s="61">
        <f>IF($C161="","",IF(N($Y161)+N($Z161)=0,"",N($Y161)+N($Z161)))</f>
        <v/>
      </c>
      <c r="AB161" s="60">
        <f>IF($C161="","",IF(Summary!$C$16="N","",IFERROR(BDP($C161,'Field Check'!$C$20)/100,"")))</f>
        <v/>
      </c>
      <c r="AC161" s="45">
        <f>IF($C161="","",IF(N($Y161)=0,"",IFERROR($AB161/$Y161,"")))</f>
        <v/>
      </c>
      <c r="AD161" s="55">
        <f>IF($C161="","",IF(Summary!$C$16="N","",IFERROR(BDP($C161,'Field Check'!$C$21),"")))</f>
        <v/>
      </c>
      <c r="AE161" s="55">
        <f>IF($C161="","",IF(Summary!$C$16="N","",IFERROR(BDP($C161,'Field Check'!$C$22),"")))</f>
        <v/>
      </c>
      <c r="AF161" s="55">
        <f>IF($C161="","",IF(Summary!$C$16="N","",IFERROR(BDP($C161,'Field Check'!$C$23),"")))</f>
        <v/>
      </c>
      <c r="AG161" s="40">
        <f>IF($C161="","",TRIM(IF(ISNUMBER($W161)*(N($W161)&gt;$D$7)&gt;0,"payout high  ","")&amp;IF(ISNUMBER($AC161)*(N($AC161)&lt;$F$7)&gt;0,"FCF below dvd  ","")&amp;IF(ISNUMBER($AE161)*(N($AE161)&gt;$H$7)&gt;0,"leverage high","")))</f>
        <v/>
      </c>
      <c r="AH161" s="40">
        <f>IF($C161="","",IF(HSCEI!$F$16="HKD","",IF(HSCEI!$F$16="","","DPS in "&amp;HSCEI!$F$16)))</f>
        <v/>
      </c>
    </row>
    <row r="162">
      <c r="B162" s="52" t="inlineStr">
        <is>
          <t>HSCEI</t>
        </is>
      </c>
      <c r="C162" s="6">
        <f>IF(HSCEI!$C$17="","",HSCEI!$C$17)</f>
        <v/>
      </c>
      <c r="D162" s="6">
        <f>IF($C162="","",HSCEI!$D$17)</f>
        <v/>
      </c>
      <c r="E162" s="6">
        <f>IF($C162="","",HSCEI!$E$17)</f>
        <v/>
      </c>
      <c r="F162" s="53">
        <f>IF($C162="","",SUMIFS('Dvd Calendar'!$E$2271:$AR$2271,'Dvd Calendar'!$E$2270:$AR$2270,"&gt;="&amp;DATE(Summary!$C$12-5,1,1),'Dvd Calendar'!$E$2270:$AR$2270,"&lt;="&amp;DATE(Summary!$C$12-5,12,31)))</f>
        <v/>
      </c>
      <c r="G162" s="53">
        <f>IF($C162="","",SUMIFS('Dvd Calendar'!$E$2271:$AR$2271,'Dvd Calendar'!$E$2270:$AR$2270,"&gt;="&amp;DATE(Summary!$C$12-4,1,1),'Dvd Calendar'!$E$2270:$AR$2270,"&lt;="&amp;DATE(Summary!$C$12-4,12,31)))</f>
        <v/>
      </c>
      <c r="H162" s="53">
        <f>IF($C162="","",SUMIFS('Dvd Calendar'!$E$2271:$AR$2271,'Dvd Calendar'!$E$2270:$AR$2270,"&gt;="&amp;DATE(Summary!$C$12-3,1,1),'Dvd Calendar'!$E$2270:$AR$2270,"&lt;="&amp;DATE(Summary!$C$12-3,12,31)))</f>
        <v/>
      </c>
      <c r="I162" s="53">
        <f>IF($C162="","",SUMIFS('Dvd Calendar'!$E$2271:$AR$2271,'Dvd Calendar'!$E$2270:$AR$2270,"&gt;="&amp;DATE(Summary!$C$12-2,1,1),'Dvd Calendar'!$E$2270:$AR$2270,"&lt;="&amp;DATE(Summary!$C$12-2,12,31)))</f>
        <v/>
      </c>
      <c r="J162" s="53">
        <f>IF($C162="","",SUMIFS('Dvd Calendar'!$E$2271:$AR$2271,'Dvd Calendar'!$E$2270:$AR$2270,"&gt;="&amp;DATE(Summary!$C$12-1,1,1),'Dvd Calendar'!$E$2270:$AR$2270,"&lt;="&amp;DATE(Summary!$C$12-1,12,31)))</f>
        <v/>
      </c>
      <c r="K162" s="54">
        <f>IF($C162="","",SUMIFS('Dvd Calendar'!$E$2271:$AR$2271,'Dvd Calendar'!$E$2270:$AR$2270,"&gt;="&amp;DATE(Summary!$C$12,1,1),'Dvd Calendar'!$E$2270:$AR$2270,"&lt;="&amp;MIN(Summary!$C$11,DATE(Summary!$C$12,12,31))))</f>
        <v/>
      </c>
      <c r="L162" s="38">
        <f>IF($C162="","",AVERAGE(F162:J162))</f>
        <v/>
      </c>
      <c r="M162" s="55">
        <f>IF($C162="","",IF(Summary!$C$16="N","",IFERROR(BDP($C162,'Field Check'!$C$16,'Field Check'!$C$17,TEXT(Summary!$C$12-5,"0")),"")))</f>
        <v/>
      </c>
      <c r="N162" s="55">
        <f>IF($C162="","",IF(Summary!$C$16="N","",IFERROR(BDP($C162,'Field Check'!$C$16,'Field Check'!$C$17,TEXT(Summary!$C$12-4,"0")),"")))</f>
        <v/>
      </c>
      <c r="O162" s="55">
        <f>IF($C162="","",IF(Summary!$C$16="N","",IFERROR(BDP($C162,'Field Check'!$C$16,'Field Check'!$C$17,TEXT(Summary!$C$12-3,"0")),"")))</f>
        <v/>
      </c>
      <c r="P162" s="55">
        <f>IF($C162="","",IF(Summary!$C$16="N","",IFERROR(BDP($C162,'Field Check'!$C$16,'Field Check'!$C$17,TEXT(Summary!$C$12-2,"0")),"")))</f>
        <v/>
      </c>
      <c r="Q162" s="55">
        <f>IF($C162="","",IF(Summary!$C$16="N","",IFERROR(BDP($C162,'Field Check'!$C$16,'Field Check'!$C$17,TEXT(Summary!$C$12-1,"0")),"")))</f>
        <v/>
      </c>
      <c r="R162" s="56">
        <f>IF($C162="","",IF(Summary!$C$16="N","",IFERROR(BDP($C162,'Field Check'!$C$18,'Field Check'!$C$17,TEXT(Summary!$C$12-5,"0"))/100,"")))</f>
        <v/>
      </c>
      <c r="S162" s="56">
        <f>IF($C162="","",IF(Summary!$C$16="N","",IFERROR(BDP($C162,'Field Check'!$C$18,'Field Check'!$C$17,TEXT(Summary!$C$12-4,"0"))/100,"")))</f>
        <v/>
      </c>
      <c r="T162" s="56">
        <f>IF($C162="","",IF(Summary!$C$16="N","",IFERROR(BDP($C162,'Field Check'!$C$18,'Field Check'!$C$17,TEXT(Summary!$C$12-3,"0"))/100,"")))</f>
        <v/>
      </c>
      <c r="U162" s="56">
        <f>IF($C162="","",IF(Summary!$C$16="N","",IFERROR(BDP($C162,'Field Check'!$C$18,'Field Check'!$C$17,TEXT(Summary!$C$12-2,"0"))/100,"")))</f>
        <v/>
      </c>
      <c r="V162" s="56">
        <f>IF($C162="","",IF(Summary!$C$16="N","",IFERROR(BDP($C162,'Field Check'!$C$18,'Field Check'!$C$17,TEXT(Summary!$C$12-1,"0"))/100,"")))</f>
        <v/>
      </c>
      <c r="W162" s="57">
        <f>IF($C162="","",IFERROR(AVERAGE(R162:V162),""))</f>
        <v/>
      </c>
      <c r="X162" s="58">
        <f>IF($C162="","",IF(ISNUMBER($Q162)*(N($Q162)&gt;0)=0,"",IFERROR($J162/$Q162,"")))</f>
        <v/>
      </c>
      <c r="Y162" s="59">
        <f>IF($C162="","",IF(ISNUMBER(HSCEI!$I$17),HSCEI!$I$17/100,""))</f>
        <v/>
      </c>
      <c r="Z162" s="60">
        <f>IF($C162="","",IF(Summary!$C$16="N","",IFERROR(BDP($C162,'Field Check'!$C$19)/100,"")))</f>
        <v/>
      </c>
      <c r="AA162" s="61">
        <f>IF($C162="","",IF(N($Y162)+N($Z162)=0,"",N($Y162)+N($Z162)))</f>
        <v/>
      </c>
      <c r="AB162" s="60">
        <f>IF($C162="","",IF(Summary!$C$16="N","",IFERROR(BDP($C162,'Field Check'!$C$20)/100,"")))</f>
        <v/>
      </c>
      <c r="AC162" s="45">
        <f>IF($C162="","",IF(N($Y162)=0,"",IFERROR($AB162/$Y162,"")))</f>
        <v/>
      </c>
      <c r="AD162" s="55">
        <f>IF($C162="","",IF(Summary!$C$16="N","",IFERROR(BDP($C162,'Field Check'!$C$21),"")))</f>
        <v/>
      </c>
      <c r="AE162" s="55">
        <f>IF($C162="","",IF(Summary!$C$16="N","",IFERROR(BDP($C162,'Field Check'!$C$22),"")))</f>
        <v/>
      </c>
      <c r="AF162" s="55">
        <f>IF($C162="","",IF(Summary!$C$16="N","",IFERROR(BDP($C162,'Field Check'!$C$23),"")))</f>
        <v/>
      </c>
      <c r="AG162" s="40">
        <f>IF($C162="","",TRIM(IF(ISNUMBER($W162)*(N($W162)&gt;$D$7)&gt;0,"payout high  ","")&amp;IF(ISNUMBER($AC162)*(N($AC162)&lt;$F$7)&gt;0,"FCF below dvd  ","")&amp;IF(ISNUMBER($AE162)*(N($AE162)&gt;$H$7)&gt;0,"leverage high","")))</f>
        <v/>
      </c>
      <c r="AH162" s="40">
        <f>IF($C162="","",IF(HSCEI!$F$17="HKD","",IF(HSCEI!$F$17="","","DPS in "&amp;HSCEI!$F$17)))</f>
        <v/>
      </c>
    </row>
    <row r="163">
      <c r="B163" s="52" t="inlineStr">
        <is>
          <t>HSCEI</t>
        </is>
      </c>
      <c r="C163" s="6">
        <f>IF(HSCEI!$C$18="","",HSCEI!$C$18)</f>
        <v/>
      </c>
      <c r="D163" s="6">
        <f>IF($C163="","",HSCEI!$D$18)</f>
        <v/>
      </c>
      <c r="E163" s="6">
        <f>IF($C163="","",HSCEI!$E$18)</f>
        <v/>
      </c>
      <c r="F163" s="53">
        <f>IF($C163="","",SUMIFS('Dvd Calendar'!$E$2286:$AR$2286,'Dvd Calendar'!$E$2285:$AR$2285,"&gt;="&amp;DATE(Summary!$C$12-5,1,1),'Dvd Calendar'!$E$2285:$AR$2285,"&lt;="&amp;DATE(Summary!$C$12-5,12,31)))</f>
        <v/>
      </c>
      <c r="G163" s="53">
        <f>IF($C163="","",SUMIFS('Dvd Calendar'!$E$2286:$AR$2286,'Dvd Calendar'!$E$2285:$AR$2285,"&gt;="&amp;DATE(Summary!$C$12-4,1,1),'Dvd Calendar'!$E$2285:$AR$2285,"&lt;="&amp;DATE(Summary!$C$12-4,12,31)))</f>
        <v/>
      </c>
      <c r="H163" s="53">
        <f>IF($C163="","",SUMIFS('Dvd Calendar'!$E$2286:$AR$2286,'Dvd Calendar'!$E$2285:$AR$2285,"&gt;="&amp;DATE(Summary!$C$12-3,1,1),'Dvd Calendar'!$E$2285:$AR$2285,"&lt;="&amp;DATE(Summary!$C$12-3,12,31)))</f>
        <v/>
      </c>
      <c r="I163" s="53">
        <f>IF($C163="","",SUMIFS('Dvd Calendar'!$E$2286:$AR$2286,'Dvd Calendar'!$E$2285:$AR$2285,"&gt;="&amp;DATE(Summary!$C$12-2,1,1),'Dvd Calendar'!$E$2285:$AR$2285,"&lt;="&amp;DATE(Summary!$C$12-2,12,31)))</f>
        <v/>
      </c>
      <c r="J163" s="53">
        <f>IF($C163="","",SUMIFS('Dvd Calendar'!$E$2286:$AR$2286,'Dvd Calendar'!$E$2285:$AR$2285,"&gt;="&amp;DATE(Summary!$C$12-1,1,1),'Dvd Calendar'!$E$2285:$AR$2285,"&lt;="&amp;DATE(Summary!$C$12-1,12,31)))</f>
        <v/>
      </c>
      <c r="K163" s="54">
        <f>IF($C163="","",SUMIFS('Dvd Calendar'!$E$2286:$AR$2286,'Dvd Calendar'!$E$2285:$AR$2285,"&gt;="&amp;DATE(Summary!$C$12,1,1),'Dvd Calendar'!$E$2285:$AR$2285,"&lt;="&amp;MIN(Summary!$C$11,DATE(Summary!$C$12,12,31))))</f>
        <v/>
      </c>
      <c r="L163" s="38">
        <f>IF($C163="","",AVERAGE(F163:J163))</f>
        <v/>
      </c>
      <c r="M163" s="55">
        <f>IF($C163="","",IF(Summary!$C$16="N","",IFERROR(BDP($C163,'Field Check'!$C$16,'Field Check'!$C$17,TEXT(Summary!$C$12-5,"0")),"")))</f>
        <v/>
      </c>
      <c r="N163" s="55">
        <f>IF($C163="","",IF(Summary!$C$16="N","",IFERROR(BDP($C163,'Field Check'!$C$16,'Field Check'!$C$17,TEXT(Summary!$C$12-4,"0")),"")))</f>
        <v/>
      </c>
      <c r="O163" s="55">
        <f>IF($C163="","",IF(Summary!$C$16="N","",IFERROR(BDP($C163,'Field Check'!$C$16,'Field Check'!$C$17,TEXT(Summary!$C$12-3,"0")),"")))</f>
        <v/>
      </c>
      <c r="P163" s="55">
        <f>IF($C163="","",IF(Summary!$C$16="N","",IFERROR(BDP($C163,'Field Check'!$C$16,'Field Check'!$C$17,TEXT(Summary!$C$12-2,"0")),"")))</f>
        <v/>
      </c>
      <c r="Q163" s="55">
        <f>IF($C163="","",IF(Summary!$C$16="N","",IFERROR(BDP($C163,'Field Check'!$C$16,'Field Check'!$C$17,TEXT(Summary!$C$12-1,"0")),"")))</f>
        <v/>
      </c>
      <c r="R163" s="56">
        <f>IF($C163="","",IF(Summary!$C$16="N","",IFERROR(BDP($C163,'Field Check'!$C$18,'Field Check'!$C$17,TEXT(Summary!$C$12-5,"0"))/100,"")))</f>
        <v/>
      </c>
      <c r="S163" s="56">
        <f>IF($C163="","",IF(Summary!$C$16="N","",IFERROR(BDP($C163,'Field Check'!$C$18,'Field Check'!$C$17,TEXT(Summary!$C$12-4,"0"))/100,"")))</f>
        <v/>
      </c>
      <c r="T163" s="56">
        <f>IF($C163="","",IF(Summary!$C$16="N","",IFERROR(BDP($C163,'Field Check'!$C$18,'Field Check'!$C$17,TEXT(Summary!$C$12-3,"0"))/100,"")))</f>
        <v/>
      </c>
      <c r="U163" s="56">
        <f>IF($C163="","",IF(Summary!$C$16="N","",IFERROR(BDP($C163,'Field Check'!$C$18,'Field Check'!$C$17,TEXT(Summary!$C$12-2,"0"))/100,"")))</f>
        <v/>
      </c>
      <c r="V163" s="56">
        <f>IF($C163="","",IF(Summary!$C$16="N","",IFERROR(BDP($C163,'Field Check'!$C$18,'Field Check'!$C$17,TEXT(Summary!$C$12-1,"0"))/100,"")))</f>
        <v/>
      </c>
      <c r="W163" s="57">
        <f>IF($C163="","",IFERROR(AVERAGE(R163:V163),""))</f>
        <v/>
      </c>
      <c r="X163" s="58">
        <f>IF($C163="","",IF(ISNUMBER($Q163)*(N($Q163)&gt;0)=0,"",IFERROR($J163/$Q163,"")))</f>
        <v/>
      </c>
      <c r="Y163" s="59">
        <f>IF($C163="","",IF(ISNUMBER(HSCEI!$I$18),HSCEI!$I$18/100,""))</f>
        <v/>
      </c>
      <c r="Z163" s="60">
        <f>IF($C163="","",IF(Summary!$C$16="N","",IFERROR(BDP($C163,'Field Check'!$C$19)/100,"")))</f>
        <v/>
      </c>
      <c r="AA163" s="61">
        <f>IF($C163="","",IF(N($Y163)+N($Z163)=0,"",N($Y163)+N($Z163)))</f>
        <v/>
      </c>
      <c r="AB163" s="60">
        <f>IF($C163="","",IF(Summary!$C$16="N","",IFERROR(BDP($C163,'Field Check'!$C$20)/100,"")))</f>
        <v/>
      </c>
      <c r="AC163" s="45">
        <f>IF($C163="","",IF(N($Y163)=0,"",IFERROR($AB163/$Y163,"")))</f>
        <v/>
      </c>
      <c r="AD163" s="55">
        <f>IF($C163="","",IF(Summary!$C$16="N","",IFERROR(BDP($C163,'Field Check'!$C$21),"")))</f>
        <v/>
      </c>
      <c r="AE163" s="55">
        <f>IF($C163="","",IF(Summary!$C$16="N","",IFERROR(BDP($C163,'Field Check'!$C$22),"")))</f>
        <v/>
      </c>
      <c r="AF163" s="55">
        <f>IF($C163="","",IF(Summary!$C$16="N","",IFERROR(BDP($C163,'Field Check'!$C$23),"")))</f>
        <v/>
      </c>
      <c r="AG163" s="40">
        <f>IF($C163="","",TRIM(IF(ISNUMBER($W163)*(N($W163)&gt;$D$7)&gt;0,"payout high  ","")&amp;IF(ISNUMBER($AC163)*(N($AC163)&lt;$F$7)&gt;0,"FCF below dvd  ","")&amp;IF(ISNUMBER($AE163)*(N($AE163)&gt;$H$7)&gt;0,"leverage high","")))</f>
        <v/>
      </c>
      <c r="AH163" s="40">
        <f>IF($C163="","",IF(HSCEI!$F$18="HKD","",IF(HSCEI!$F$18="","","DPS in "&amp;HSCEI!$F$18)))</f>
        <v/>
      </c>
    </row>
    <row r="164">
      <c r="B164" s="52" t="inlineStr">
        <is>
          <t>HSCEI</t>
        </is>
      </c>
      <c r="C164" s="6">
        <f>IF(HSCEI!$C$19="","",HSCEI!$C$19)</f>
        <v/>
      </c>
      <c r="D164" s="6">
        <f>IF($C164="","",HSCEI!$D$19)</f>
        <v/>
      </c>
      <c r="E164" s="6">
        <f>IF($C164="","",HSCEI!$E$19)</f>
        <v/>
      </c>
      <c r="F164" s="53">
        <f>IF($C164="","",SUMIFS('Dvd Calendar'!$E$2301:$AR$2301,'Dvd Calendar'!$E$2300:$AR$2300,"&gt;="&amp;DATE(Summary!$C$12-5,1,1),'Dvd Calendar'!$E$2300:$AR$2300,"&lt;="&amp;DATE(Summary!$C$12-5,12,31)))</f>
        <v/>
      </c>
      <c r="G164" s="53">
        <f>IF($C164="","",SUMIFS('Dvd Calendar'!$E$2301:$AR$2301,'Dvd Calendar'!$E$2300:$AR$2300,"&gt;="&amp;DATE(Summary!$C$12-4,1,1),'Dvd Calendar'!$E$2300:$AR$2300,"&lt;="&amp;DATE(Summary!$C$12-4,12,31)))</f>
        <v/>
      </c>
      <c r="H164" s="53">
        <f>IF($C164="","",SUMIFS('Dvd Calendar'!$E$2301:$AR$2301,'Dvd Calendar'!$E$2300:$AR$2300,"&gt;="&amp;DATE(Summary!$C$12-3,1,1),'Dvd Calendar'!$E$2300:$AR$2300,"&lt;="&amp;DATE(Summary!$C$12-3,12,31)))</f>
        <v/>
      </c>
      <c r="I164" s="53">
        <f>IF($C164="","",SUMIFS('Dvd Calendar'!$E$2301:$AR$2301,'Dvd Calendar'!$E$2300:$AR$2300,"&gt;="&amp;DATE(Summary!$C$12-2,1,1),'Dvd Calendar'!$E$2300:$AR$2300,"&lt;="&amp;DATE(Summary!$C$12-2,12,31)))</f>
        <v/>
      </c>
      <c r="J164" s="53">
        <f>IF($C164="","",SUMIFS('Dvd Calendar'!$E$2301:$AR$2301,'Dvd Calendar'!$E$2300:$AR$2300,"&gt;="&amp;DATE(Summary!$C$12-1,1,1),'Dvd Calendar'!$E$2300:$AR$2300,"&lt;="&amp;DATE(Summary!$C$12-1,12,31)))</f>
        <v/>
      </c>
      <c r="K164" s="54">
        <f>IF($C164="","",SUMIFS('Dvd Calendar'!$E$2301:$AR$2301,'Dvd Calendar'!$E$2300:$AR$2300,"&gt;="&amp;DATE(Summary!$C$12,1,1),'Dvd Calendar'!$E$2300:$AR$2300,"&lt;="&amp;MIN(Summary!$C$11,DATE(Summary!$C$12,12,31))))</f>
        <v/>
      </c>
      <c r="L164" s="38">
        <f>IF($C164="","",AVERAGE(F164:J164))</f>
        <v/>
      </c>
      <c r="M164" s="55">
        <f>IF($C164="","",IF(Summary!$C$16="N","",IFERROR(BDP($C164,'Field Check'!$C$16,'Field Check'!$C$17,TEXT(Summary!$C$12-5,"0")),"")))</f>
        <v/>
      </c>
      <c r="N164" s="55">
        <f>IF($C164="","",IF(Summary!$C$16="N","",IFERROR(BDP($C164,'Field Check'!$C$16,'Field Check'!$C$17,TEXT(Summary!$C$12-4,"0")),"")))</f>
        <v/>
      </c>
      <c r="O164" s="55">
        <f>IF($C164="","",IF(Summary!$C$16="N","",IFERROR(BDP($C164,'Field Check'!$C$16,'Field Check'!$C$17,TEXT(Summary!$C$12-3,"0")),"")))</f>
        <v/>
      </c>
      <c r="P164" s="55">
        <f>IF($C164="","",IF(Summary!$C$16="N","",IFERROR(BDP($C164,'Field Check'!$C$16,'Field Check'!$C$17,TEXT(Summary!$C$12-2,"0")),"")))</f>
        <v/>
      </c>
      <c r="Q164" s="55">
        <f>IF($C164="","",IF(Summary!$C$16="N","",IFERROR(BDP($C164,'Field Check'!$C$16,'Field Check'!$C$17,TEXT(Summary!$C$12-1,"0")),"")))</f>
        <v/>
      </c>
      <c r="R164" s="56">
        <f>IF($C164="","",IF(Summary!$C$16="N","",IFERROR(BDP($C164,'Field Check'!$C$18,'Field Check'!$C$17,TEXT(Summary!$C$12-5,"0"))/100,"")))</f>
        <v/>
      </c>
      <c r="S164" s="56">
        <f>IF($C164="","",IF(Summary!$C$16="N","",IFERROR(BDP($C164,'Field Check'!$C$18,'Field Check'!$C$17,TEXT(Summary!$C$12-4,"0"))/100,"")))</f>
        <v/>
      </c>
      <c r="T164" s="56">
        <f>IF($C164="","",IF(Summary!$C$16="N","",IFERROR(BDP($C164,'Field Check'!$C$18,'Field Check'!$C$17,TEXT(Summary!$C$12-3,"0"))/100,"")))</f>
        <v/>
      </c>
      <c r="U164" s="56">
        <f>IF($C164="","",IF(Summary!$C$16="N","",IFERROR(BDP($C164,'Field Check'!$C$18,'Field Check'!$C$17,TEXT(Summary!$C$12-2,"0"))/100,"")))</f>
        <v/>
      </c>
      <c r="V164" s="56">
        <f>IF($C164="","",IF(Summary!$C$16="N","",IFERROR(BDP($C164,'Field Check'!$C$18,'Field Check'!$C$17,TEXT(Summary!$C$12-1,"0"))/100,"")))</f>
        <v/>
      </c>
      <c r="W164" s="57">
        <f>IF($C164="","",IFERROR(AVERAGE(R164:V164),""))</f>
        <v/>
      </c>
      <c r="X164" s="58">
        <f>IF($C164="","",IF(ISNUMBER($Q164)*(N($Q164)&gt;0)=0,"",IFERROR($J164/$Q164,"")))</f>
        <v/>
      </c>
      <c r="Y164" s="59">
        <f>IF($C164="","",IF(ISNUMBER(HSCEI!$I$19),HSCEI!$I$19/100,""))</f>
        <v/>
      </c>
      <c r="Z164" s="60">
        <f>IF($C164="","",IF(Summary!$C$16="N","",IFERROR(BDP($C164,'Field Check'!$C$19)/100,"")))</f>
        <v/>
      </c>
      <c r="AA164" s="61">
        <f>IF($C164="","",IF(N($Y164)+N($Z164)=0,"",N($Y164)+N($Z164)))</f>
        <v/>
      </c>
      <c r="AB164" s="60">
        <f>IF($C164="","",IF(Summary!$C$16="N","",IFERROR(BDP($C164,'Field Check'!$C$20)/100,"")))</f>
        <v/>
      </c>
      <c r="AC164" s="45">
        <f>IF($C164="","",IF(N($Y164)=0,"",IFERROR($AB164/$Y164,"")))</f>
        <v/>
      </c>
      <c r="AD164" s="55">
        <f>IF($C164="","",IF(Summary!$C$16="N","",IFERROR(BDP($C164,'Field Check'!$C$21),"")))</f>
        <v/>
      </c>
      <c r="AE164" s="55">
        <f>IF($C164="","",IF(Summary!$C$16="N","",IFERROR(BDP($C164,'Field Check'!$C$22),"")))</f>
        <v/>
      </c>
      <c r="AF164" s="55">
        <f>IF($C164="","",IF(Summary!$C$16="N","",IFERROR(BDP($C164,'Field Check'!$C$23),"")))</f>
        <v/>
      </c>
      <c r="AG164" s="40">
        <f>IF($C164="","",TRIM(IF(ISNUMBER($W164)*(N($W164)&gt;$D$7)&gt;0,"payout high  ","")&amp;IF(ISNUMBER($AC164)*(N($AC164)&lt;$F$7)&gt;0,"FCF below dvd  ","")&amp;IF(ISNUMBER($AE164)*(N($AE164)&gt;$H$7)&gt;0,"leverage high","")))</f>
        <v/>
      </c>
      <c r="AH164" s="40">
        <f>IF($C164="","",IF(HSCEI!$F$19="HKD","",IF(HSCEI!$F$19="","","DPS in "&amp;HSCEI!$F$19)))</f>
        <v/>
      </c>
    </row>
    <row r="165">
      <c r="B165" s="52" t="inlineStr">
        <is>
          <t>HSCEI</t>
        </is>
      </c>
      <c r="C165" s="6">
        <f>IF(HSCEI!$C$20="","",HSCEI!$C$20)</f>
        <v/>
      </c>
      <c r="D165" s="6">
        <f>IF($C165="","",HSCEI!$D$20)</f>
        <v/>
      </c>
      <c r="E165" s="6">
        <f>IF($C165="","",HSCEI!$E$20)</f>
        <v/>
      </c>
      <c r="F165" s="53">
        <f>IF($C165="","",SUMIFS('Dvd Calendar'!$E$2316:$AR$2316,'Dvd Calendar'!$E$2315:$AR$2315,"&gt;="&amp;DATE(Summary!$C$12-5,1,1),'Dvd Calendar'!$E$2315:$AR$2315,"&lt;="&amp;DATE(Summary!$C$12-5,12,31)))</f>
        <v/>
      </c>
      <c r="G165" s="53">
        <f>IF($C165="","",SUMIFS('Dvd Calendar'!$E$2316:$AR$2316,'Dvd Calendar'!$E$2315:$AR$2315,"&gt;="&amp;DATE(Summary!$C$12-4,1,1),'Dvd Calendar'!$E$2315:$AR$2315,"&lt;="&amp;DATE(Summary!$C$12-4,12,31)))</f>
        <v/>
      </c>
      <c r="H165" s="53">
        <f>IF($C165="","",SUMIFS('Dvd Calendar'!$E$2316:$AR$2316,'Dvd Calendar'!$E$2315:$AR$2315,"&gt;="&amp;DATE(Summary!$C$12-3,1,1),'Dvd Calendar'!$E$2315:$AR$2315,"&lt;="&amp;DATE(Summary!$C$12-3,12,31)))</f>
        <v/>
      </c>
      <c r="I165" s="53">
        <f>IF($C165="","",SUMIFS('Dvd Calendar'!$E$2316:$AR$2316,'Dvd Calendar'!$E$2315:$AR$2315,"&gt;="&amp;DATE(Summary!$C$12-2,1,1),'Dvd Calendar'!$E$2315:$AR$2315,"&lt;="&amp;DATE(Summary!$C$12-2,12,31)))</f>
        <v/>
      </c>
      <c r="J165" s="53">
        <f>IF($C165="","",SUMIFS('Dvd Calendar'!$E$2316:$AR$2316,'Dvd Calendar'!$E$2315:$AR$2315,"&gt;="&amp;DATE(Summary!$C$12-1,1,1),'Dvd Calendar'!$E$2315:$AR$2315,"&lt;="&amp;DATE(Summary!$C$12-1,12,31)))</f>
        <v/>
      </c>
      <c r="K165" s="54">
        <f>IF($C165="","",SUMIFS('Dvd Calendar'!$E$2316:$AR$2316,'Dvd Calendar'!$E$2315:$AR$2315,"&gt;="&amp;DATE(Summary!$C$12,1,1),'Dvd Calendar'!$E$2315:$AR$2315,"&lt;="&amp;MIN(Summary!$C$11,DATE(Summary!$C$12,12,31))))</f>
        <v/>
      </c>
      <c r="L165" s="38">
        <f>IF($C165="","",AVERAGE(F165:J165))</f>
        <v/>
      </c>
      <c r="M165" s="55">
        <f>IF($C165="","",IF(Summary!$C$16="N","",IFERROR(BDP($C165,'Field Check'!$C$16,'Field Check'!$C$17,TEXT(Summary!$C$12-5,"0")),"")))</f>
        <v/>
      </c>
      <c r="N165" s="55">
        <f>IF($C165="","",IF(Summary!$C$16="N","",IFERROR(BDP($C165,'Field Check'!$C$16,'Field Check'!$C$17,TEXT(Summary!$C$12-4,"0")),"")))</f>
        <v/>
      </c>
      <c r="O165" s="55">
        <f>IF($C165="","",IF(Summary!$C$16="N","",IFERROR(BDP($C165,'Field Check'!$C$16,'Field Check'!$C$17,TEXT(Summary!$C$12-3,"0")),"")))</f>
        <v/>
      </c>
      <c r="P165" s="55">
        <f>IF($C165="","",IF(Summary!$C$16="N","",IFERROR(BDP($C165,'Field Check'!$C$16,'Field Check'!$C$17,TEXT(Summary!$C$12-2,"0")),"")))</f>
        <v/>
      </c>
      <c r="Q165" s="55">
        <f>IF($C165="","",IF(Summary!$C$16="N","",IFERROR(BDP($C165,'Field Check'!$C$16,'Field Check'!$C$17,TEXT(Summary!$C$12-1,"0")),"")))</f>
        <v/>
      </c>
      <c r="R165" s="56">
        <f>IF($C165="","",IF(Summary!$C$16="N","",IFERROR(BDP($C165,'Field Check'!$C$18,'Field Check'!$C$17,TEXT(Summary!$C$12-5,"0"))/100,"")))</f>
        <v/>
      </c>
      <c r="S165" s="56">
        <f>IF($C165="","",IF(Summary!$C$16="N","",IFERROR(BDP($C165,'Field Check'!$C$18,'Field Check'!$C$17,TEXT(Summary!$C$12-4,"0"))/100,"")))</f>
        <v/>
      </c>
      <c r="T165" s="56">
        <f>IF($C165="","",IF(Summary!$C$16="N","",IFERROR(BDP($C165,'Field Check'!$C$18,'Field Check'!$C$17,TEXT(Summary!$C$12-3,"0"))/100,"")))</f>
        <v/>
      </c>
      <c r="U165" s="56">
        <f>IF($C165="","",IF(Summary!$C$16="N","",IFERROR(BDP($C165,'Field Check'!$C$18,'Field Check'!$C$17,TEXT(Summary!$C$12-2,"0"))/100,"")))</f>
        <v/>
      </c>
      <c r="V165" s="56">
        <f>IF($C165="","",IF(Summary!$C$16="N","",IFERROR(BDP($C165,'Field Check'!$C$18,'Field Check'!$C$17,TEXT(Summary!$C$12-1,"0"))/100,"")))</f>
        <v/>
      </c>
      <c r="W165" s="57">
        <f>IF($C165="","",IFERROR(AVERAGE(R165:V165),""))</f>
        <v/>
      </c>
      <c r="X165" s="58">
        <f>IF($C165="","",IF(ISNUMBER($Q165)*(N($Q165)&gt;0)=0,"",IFERROR($J165/$Q165,"")))</f>
        <v/>
      </c>
      <c r="Y165" s="59">
        <f>IF($C165="","",IF(ISNUMBER(HSCEI!$I$20),HSCEI!$I$20/100,""))</f>
        <v/>
      </c>
      <c r="Z165" s="60">
        <f>IF($C165="","",IF(Summary!$C$16="N","",IFERROR(BDP($C165,'Field Check'!$C$19)/100,"")))</f>
        <v/>
      </c>
      <c r="AA165" s="61">
        <f>IF($C165="","",IF(N($Y165)+N($Z165)=0,"",N($Y165)+N($Z165)))</f>
        <v/>
      </c>
      <c r="AB165" s="60">
        <f>IF($C165="","",IF(Summary!$C$16="N","",IFERROR(BDP($C165,'Field Check'!$C$20)/100,"")))</f>
        <v/>
      </c>
      <c r="AC165" s="45">
        <f>IF($C165="","",IF(N($Y165)=0,"",IFERROR($AB165/$Y165,"")))</f>
        <v/>
      </c>
      <c r="AD165" s="55">
        <f>IF($C165="","",IF(Summary!$C$16="N","",IFERROR(BDP($C165,'Field Check'!$C$21),"")))</f>
        <v/>
      </c>
      <c r="AE165" s="55">
        <f>IF($C165="","",IF(Summary!$C$16="N","",IFERROR(BDP($C165,'Field Check'!$C$22),"")))</f>
        <v/>
      </c>
      <c r="AF165" s="55">
        <f>IF($C165="","",IF(Summary!$C$16="N","",IFERROR(BDP($C165,'Field Check'!$C$23),"")))</f>
        <v/>
      </c>
      <c r="AG165" s="40">
        <f>IF($C165="","",TRIM(IF(ISNUMBER($W165)*(N($W165)&gt;$D$7)&gt;0,"payout high  ","")&amp;IF(ISNUMBER($AC165)*(N($AC165)&lt;$F$7)&gt;0,"FCF below dvd  ","")&amp;IF(ISNUMBER($AE165)*(N($AE165)&gt;$H$7)&gt;0,"leverage high","")))</f>
        <v/>
      </c>
      <c r="AH165" s="40">
        <f>IF($C165="","",IF(HSCEI!$F$20="HKD","",IF(HSCEI!$F$20="","","DPS in "&amp;HSCEI!$F$20)))</f>
        <v/>
      </c>
    </row>
    <row r="166">
      <c r="B166" s="52" t="inlineStr">
        <is>
          <t>HSCEI</t>
        </is>
      </c>
      <c r="C166" s="6">
        <f>IF(HSCEI!$C$21="","",HSCEI!$C$21)</f>
        <v/>
      </c>
      <c r="D166" s="6">
        <f>IF($C166="","",HSCEI!$D$21)</f>
        <v/>
      </c>
      <c r="E166" s="6">
        <f>IF($C166="","",HSCEI!$E$21)</f>
        <v/>
      </c>
      <c r="F166" s="53">
        <f>IF($C166="","",SUMIFS('Dvd Calendar'!$E$2331:$AR$2331,'Dvd Calendar'!$E$2330:$AR$2330,"&gt;="&amp;DATE(Summary!$C$12-5,1,1),'Dvd Calendar'!$E$2330:$AR$2330,"&lt;="&amp;DATE(Summary!$C$12-5,12,31)))</f>
        <v/>
      </c>
      <c r="G166" s="53">
        <f>IF($C166="","",SUMIFS('Dvd Calendar'!$E$2331:$AR$2331,'Dvd Calendar'!$E$2330:$AR$2330,"&gt;="&amp;DATE(Summary!$C$12-4,1,1),'Dvd Calendar'!$E$2330:$AR$2330,"&lt;="&amp;DATE(Summary!$C$12-4,12,31)))</f>
        <v/>
      </c>
      <c r="H166" s="53">
        <f>IF($C166="","",SUMIFS('Dvd Calendar'!$E$2331:$AR$2331,'Dvd Calendar'!$E$2330:$AR$2330,"&gt;="&amp;DATE(Summary!$C$12-3,1,1),'Dvd Calendar'!$E$2330:$AR$2330,"&lt;="&amp;DATE(Summary!$C$12-3,12,31)))</f>
        <v/>
      </c>
      <c r="I166" s="53">
        <f>IF($C166="","",SUMIFS('Dvd Calendar'!$E$2331:$AR$2331,'Dvd Calendar'!$E$2330:$AR$2330,"&gt;="&amp;DATE(Summary!$C$12-2,1,1),'Dvd Calendar'!$E$2330:$AR$2330,"&lt;="&amp;DATE(Summary!$C$12-2,12,31)))</f>
        <v/>
      </c>
      <c r="J166" s="53">
        <f>IF($C166="","",SUMIFS('Dvd Calendar'!$E$2331:$AR$2331,'Dvd Calendar'!$E$2330:$AR$2330,"&gt;="&amp;DATE(Summary!$C$12-1,1,1),'Dvd Calendar'!$E$2330:$AR$2330,"&lt;="&amp;DATE(Summary!$C$12-1,12,31)))</f>
        <v/>
      </c>
      <c r="K166" s="54">
        <f>IF($C166="","",SUMIFS('Dvd Calendar'!$E$2331:$AR$2331,'Dvd Calendar'!$E$2330:$AR$2330,"&gt;="&amp;DATE(Summary!$C$12,1,1),'Dvd Calendar'!$E$2330:$AR$2330,"&lt;="&amp;MIN(Summary!$C$11,DATE(Summary!$C$12,12,31))))</f>
        <v/>
      </c>
      <c r="L166" s="38">
        <f>IF($C166="","",AVERAGE(F166:J166))</f>
        <v/>
      </c>
      <c r="M166" s="55">
        <f>IF($C166="","",IF(Summary!$C$16="N","",IFERROR(BDP($C166,'Field Check'!$C$16,'Field Check'!$C$17,TEXT(Summary!$C$12-5,"0")),"")))</f>
        <v/>
      </c>
      <c r="N166" s="55">
        <f>IF($C166="","",IF(Summary!$C$16="N","",IFERROR(BDP($C166,'Field Check'!$C$16,'Field Check'!$C$17,TEXT(Summary!$C$12-4,"0")),"")))</f>
        <v/>
      </c>
      <c r="O166" s="55">
        <f>IF($C166="","",IF(Summary!$C$16="N","",IFERROR(BDP($C166,'Field Check'!$C$16,'Field Check'!$C$17,TEXT(Summary!$C$12-3,"0")),"")))</f>
        <v/>
      </c>
      <c r="P166" s="55">
        <f>IF($C166="","",IF(Summary!$C$16="N","",IFERROR(BDP($C166,'Field Check'!$C$16,'Field Check'!$C$17,TEXT(Summary!$C$12-2,"0")),"")))</f>
        <v/>
      </c>
      <c r="Q166" s="55">
        <f>IF($C166="","",IF(Summary!$C$16="N","",IFERROR(BDP($C166,'Field Check'!$C$16,'Field Check'!$C$17,TEXT(Summary!$C$12-1,"0")),"")))</f>
        <v/>
      </c>
      <c r="R166" s="56">
        <f>IF($C166="","",IF(Summary!$C$16="N","",IFERROR(BDP($C166,'Field Check'!$C$18,'Field Check'!$C$17,TEXT(Summary!$C$12-5,"0"))/100,"")))</f>
        <v/>
      </c>
      <c r="S166" s="56">
        <f>IF($C166="","",IF(Summary!$C$16="N","",IFERROR(BDP($C166,'Field Check'!$C$18,'Field Check'!$C$17,TEXT(Summary!$C$12-4,"0"))/100,"")))</f>
        <v/>
      </c>
      <c r="T166" s="56">
        <f>IF($C166="","",IF(Summary!$C$16="N","",IFERROR(BDP($C166,'Field Check'!$C$18,'Field Check'!$C$17,TEXT(Summary!$C$12-3,"0"))/100,"")))</f>
        <v/>
      </c>
      <c r="U166" s="56">
        <f>IF($C166="","",IF(Summary!$C$16="N","",IFERROR(BDP($C166,'Field Check'!$C$18,'Field Check'!$C$17,TEXT(Summary!$C$12-2,"0"))/100,"")))</f>
        <v/>
      </c>
      <c r="V166" s="56">
        <f>IF($C166="","",IF(Summary!$C$16="N","",IFERROR(BDP($C166,'Field Check'!$C$18,'Field Check'!$C$17,TEXT(Summary!$C$12-1,"0"))/100,"")))</f>
        <v/>
      </c>
      <c r="W166" s="57">
        <f>IF($C166="","",IFERROR(AVERAGE(R166:V166),""))</f>
        <v/>
      </c>
      <c r="X166" s="58">
        <f>IF($C166="","",IF(ISNUMBER($Q166)*(N($Q166)&gt;0)=0,"",IFERROR($J166/$Q166,"")))</f>
        <v/>
      </c>
      <c r="Y166" s="59">
        <f>IF($C166="","",IF(ISNUMBER(HSCEI!$I$21),HSCEI!$I$21/100,""))</f>
        <v/>
      </c>
      <c r="Z166" s="60">
        <f>IF($C166="","",IF(Summary!$C$16="N","",IFERROR(BDP($C166,'Field Check'!$C$19)/100,"")))</f>
        <v/>
      </c>
      <c r="AA166" s="61">
        <f>IF($C166="","",IF(N($Y166)+N($Z166)=0,"",N($Y166)+N($Z166)))</f>
        <v/>
      </c>
      <c r="AB166" s="60">
        <f>IF($C166="","",IF(Summary!$C$16="N","",IFERROR(BDP($C166,'Field Check'!$C$20)/100,"")))</f>
        <v/>
      </c>
      <c r="AC166" s="45">
        <f>IF($C166="","",IF(N($Y166)=0,"",IFERROR($AB166/$Y166,"")))</f>
        <v/>
      </c>
      <c r="AD166" s="55">
        <f>IF($C166="","",IF(Summary!$C$16="N","",IFERROR(BDP($C166,'Field Check'!$C$21),"")))</f>
        <v/>
      </c>
      <c r="AE166" s="55">
        <f>IF($C166="","",IF(Summary!$C$16="N","",IFERROR(BDP($C166,'Field Check'!$C$22),"")))</f>
        <v/>
      </c>
      <c r="AF166" s="55">
        <f>IF($C166="","",IF(Summary!$C$16="N","",IFERROR(BDP($C166,'Field Check'!$C$23),"")))</f>
        <v/>
      </c>
      <c r="AG166" s="40">
        <f>IF($C166="","",TRIM(IF(ISNUMBER($W166)*(N($W166)&gt;$D$7)&gt;0,"payout high  ","")&amp;IF(ISNUMBER($AC166)*(N($AC166)&lt;$F$7)&gt;0,"FCF below dvd  ","")&amp;IF(ISNUMBER($AE166)*(N($AE166)&gt;$H$7)&gt;0,"leverage high","")))</f>
        <v/>
      </c>
      <c r="AH166" s="40">
        <f>IF($C166="","",IF(HSCEI!$F$21="HKD","",IF(HSCEI!$F$21="","","DPS in "&amp;HSCEI!$F$21)))</f>
        <v/>
      </c>
    </row>
    <row r="167">
      <c r="B167" s="52" t="inlineStr">
        <is>
          <t>HSCEI</t>
        </is>
      </c>
      <c r="C167" s="6">
        <f>IF(HSCEI!$C$22="","",HSCEI!$C$22)</f>
        <v/>
      </c>
      <c r="D167" s="6">
        <f>IF($C167="","",HSCEI!$D$22)</f>
        <v/>
      </c>
      <c r="E167" s="6">
        <f>IF($C167="","",HSCEI!$E$22)</f>
        <v/>
      </c>
      <c r="F167" s="53">
        <f>IF($C167="","",SUMIFS('Dvd Calendar'!$E$2346:$AR$2346,'Dvd Calendar'!$E$2345:$AR$2345,"&gt;="&amp;DATE(Summary!$C$12-5,1,1),'Dvd Calendar'!$E$2345:$AR$2345,"&lt;="&amp;DATE(Summary!$C$12-5,12,31)))</f>
        <v/>
      </c>
      <c r="G167" s="53">
        <f>IF($C167="","",SUMIFS('Dvd Calendar'!$E$2346:$AR$2346,'Dvd Calendar'!$E$2345:$AR$2345,"&gt;="&amp;DATE(Summary!$C$12-4,1,1),'Dvd Calendar'!$E$2345:$AR$2345,"&lt;="&amp;DATE(Summary!$C$12-4,12,31)))</f>
        <v/>
      </c>
      <c r="H167" s="53">
        <f>IF($C167="","",SUMIFS('Dvd Calendar'!$E$2346:$AR$2346,'Dvd Calendar'!$E$2345:$AR$2345,"&gt;="&amp;DATE(Summary!$C$12-3,1,1),'Dvd Calendar'!$E$2345:$AR$2345,"&lt;="&amp;DATE(Summary!$C$12-3,12,31)))</f>
        <v/>
      </c>
      <c r="I167" s="53">
        <f>IF($C167="","",SUMIFS('Dvd Calendar'!$E$2346:$AR$2346,'Dvd Calendar'!$E$2345:$AR$2345,"&gt;="&amp;DATE(Summary!$C$12-2,1,1),'Dvd Calendar'!$E$2345:$AR$2345,"&lt;="&amp;DATE(Summary!$C$12-2,12,31)))</f>
        <v/>
      </c>
      <c r="J167" s="53">
        <f>IF($C167="","",SUMIFS('Dvd Calendar'!$E$2346:$AR$2346,'Dvd Calendar'!$E$2345:$AR$2345,"&gt;="&amp;DATE(Summary!$C$12-1,1,1),'Dvd Calendar'!$E$2345:$AR$2345,"&lt;="&amp;DATE(Summary!$C$12-1,12,31)))</f>
        <v/>
      </c>
      <c r="K167" s="54">
        <f>IF($C167="","",SUMIFS('Dvd Calendar'!$E$2346:$AR$2346,'Dvd Calendar'!$E$2345:$AR$2345,"&gt;="&amp;DATE(Summary!$C$12,1,1),'Dvd Calendar'!$E$2345:$AR$2345,"&lt;="&amp;MIN(Summary!$C$11,DATE(Summary!$C$12,12,31))))</f>
        <v/>
      </c>
      <c r="L167" s="38">
        <f>IF($C167="","",AVERAGE(F167:J167))</f>
        <v/>
      </c>
      <c r="M167" s="55">
        <f>IF($C167="","",IF(Summary!$C$16="N","",IFERROR(BDP($C167,'Field Check'!$C$16,'Field Check'!$C$17,TEXT(Summary!$C$12-5,"0")),"")))</f>
        <v/>
      </c>
      <c r="N167" s="55">
        <f>IF($C167="","",IF(Summary!$C$16="N","",IFERROR(BDP($C167,'Field Check'!$C$16,'Field Check'!$C$17,TEXT(Summary!$C$12-4,"0")),"")))</f>
        <v/>
      </c>
      <c r="O167" s="55">
        <f>IF($C167="","",IF(Summary!$C$16="N","",IFERROR(BDP($C167,'Field Check'!$C$16,'Field Check'!$C$17,TEXT(Summary!$C$12-3,"0")),"")))</f>
        <v/>
      </c>
      <c r="P167" s="55">
        <f>IF($C167="","",IF(Summary!$C$16="N","",IFERROR(BDP($C167,'Field Check'!$C$16,'Field Check'!$C$17,TEXT(Summary!$C$12-2,"0")),"")))</f>
        <v/>
      </c>
      <c r="Q167" s="55">
        <f>IF($C167="","",IF(Summary!$C$16="N","",IFERROR(BDP($C167,'Field Check'!$C$16,'Field Check'!$C$17,TEXT(Summary!$C$12-1,"0")),"")))</f>
        <v/>
      </c>
      <c r="R167" s="56">
        <f>IF($C167="","",IF(Summary!$C$16="N","",IFERROR(BDP($C167,'Field Check'!$C$18,'Field Check'!$C$17,TEXT(Summary!$C$12-5,"0"))/100,"")))</f>
        <v/>
      </c>
      <c r="S167" s="56">
        <f>IF($C167="","",IF(Summary!$C$16="N","",IFERROR(BDP($C167,'Field Check'!$C$18,'Field Check'!$C$17,TEXT(Summary!$C$12-4,"0"))/100,"")))</f>
        <v/>
      </c>
      <c r="T167" s="56">
        <f>IF($C167="","",IF(Summary!$C$16="N","",IFERROR(BDP($C167,'Field Check'!$C$18,'Field Check'!$C$17,TEXT(Summary!$C$12-3,"0"))/100,"")))</f>
        <v/>
      </c>
      <c r="U167" s="56">
        <f>IF($C167="","",IF(Summary!$C$16="N","",IFERROR(BDP($C167,'Field Check'!$C$18,'Field Check'!$C$17,TEXT(Summary!$C$12-2,"0"))/100,"")))</f>
        <v/>
      </c>
      <c r="V167" s="56">
        <f>IF($C167="","",IF(Summary!$C$16="N","",IFERROR(BDP($C167,'Field Check'!$C$18,'Field Check'!$C$17,TEXT(Summary!$C$12-1,"0"))/100,"")))</f>
        <v/>
      </c>
      <c r="W167" s="57">
        <f>IF($C167="","",IFERROR(AVERAGE(R167:V167),""))</f>
        <v/>
      </c>
      <c r="X167" s="58">
        <f>IF($C167="","",IF(ISNUMBER($Q167)*(N($Q167)&gt;0)=0,"",IFERROR($J167/$Q167,"")))</f>
        <v/>
      </c>
      <c r="Y167" s="59">
        <f>IF($C167="","",IF(ISNUMBER(HSCEI!$I$22),HSCEI!$I$22/100,""))</f>
        <v/>
      </c>
      <c r="Z167" s="60">
        <f>IF($C167="","",IF(Summary!$C$16="N","",IFERROR(BDP($C167,'Field Check'!$C$19)/100,"")))</f>
        <v/>
      </c>
      <c r="AA167" s="61">
        <f>IF($C167="","",IF(N($Y167)+N($Z167)=0,"",N($Y167)+N($Z167)))</f>
        <v/>
      </c>
      <c r="AB167" s="60">
        <f>IF($C167="","",IF(Summary!$C$16="N","",IFERROR(BDP($C167,'Field Check'!$C$20)/100,"")))</f>
        <v/>
      </c>
      <c r="AC167" s="45">
        <f>IF($C167="","",IF(N($Y167)=0,"",IFERROR($AB167/$Y167,"")))</f>
        <v/>
      </c>
      <c r="AD167" s="55">
        <f>IF($C167="","",IF(Summary!$C$16="N","",IFERROR(BDP($C167,'Field Check'!$C$21),"")))</f>
        <v/>
      </c>
      <c r="AE167" s="55">
        <f>IF($C167="","",IF(Summary!$C$16="N","",IFERROR(BDP($C167,'Field Check'!$C$22),"")))</f>
        <v/>
      </c>
      <c r="AF167" s="55">
        <f>IF($C167="","",IF(Summary!$C$16="N","",IFERROR(BDP($C167,'Field Check'!$C$23),"")))</f>
        <v/>
      </c>
      <c r="AG167" s="40">
        <f>IF($C167="","",TRIM(IF(ISNUMBER($W167)*(N($W167)&gt;$D$7)&gt;0,"payout high  ","")&amp;IF(ISNUMBER($AC167)*(N($AC167)&lt;$F$7)&gt;0,"FCF below dvd  ","")&amp;IF(ISNUMBER($AE167)*(N($AE167)&gt;$H$7)&gt;0,"leverage high","")))</f>
        <v/>
      </c>
      <c r="AH167" s="40">
        <f>IF($C167="","",IF(HSCEI!$F$22="HKD","",IF(HSCEI!$F$22="","","DPS in "&amp;HSCEI!$F$22)))</f>
        <v/>
      </c>
    </row>
    <row r="168">
      <c r="B168" s="52" t="inlineStr">
        <is>
          <t>HSCEI</t>
        </is>
      </c>
      <c r="C168" s="6">
        <f>IF(HSCEI!$C$23="","",HSCEI!$C$23)</f>
        <v/>
      </c>
      <c r="D168" s="6">
        <f>IF($C168="","",HSCEI!$D$23)</f>
        <v/>
      </c>
      <c r="E168" s="6">
        <f>IF($C168="","",HSCEI!$E$23)</f>
        <v/>
      </c>
      <c r="F168" s="53">
        <f>IF($C168="","",SUMIFS('Dvd Calendar'!$E$2361:$AR$2361,'Dvd Calendar'!$E$2360:$AR$2360,"&gt;="&amp;DATE(Summary!$C$12-5,1,1),'Dvd Calendar'!$E$2360:$AR$2360,"&lt;="&amp;DATE(Summary!$C$12-5,12,31)))</f>
        <v/>
      </c>
      <c r="G168" s="53">
        <f>IF($C168="","",SUMIFS('Dvd Calendar'!$E$2361:$AR$2361,'Dvd Calendar'!$E$2360:$AR$2360,"&gt;="&amp;DATE(Summary!$C$12-4,1,1),'Dvd Calendar'!$E$2360:$AR$2360,"&lt;="&amp;DATE(Summary!$C$12-4,12,31)))</f>
        <v/>
      </c>
      <c r="H168" s="53">
        <f>IF($C168="","",SUMIFS('Dvd Calendar'!$E$2361:$AR$2361,'Dvd Calendar'!$E$2360:$AR$2360,"&gt;="&amp;DATE(Summary!$C$12-3,1,1),'Dvd Calendar'!$E$2360:$AR$2360,"&lt;="&amp;DATE(Summary!$C$12-3,12,31)))</f>
        <v/>
      </c>
      <c r="I168" s="53">
        <f>IF($C168="","",SUMIFS('Dvd Calendar'!$E$2361:$AR$2361,'Dvd Calendar'!$E$2360:$AR$2360,"&gt;="&amp;DATE(Summary!$C$12-2,1,1),'Dvd Calendar'!$E$2360:$AR$2360,"&lt;="&amp;DATE(Summary!$C$12-2,12,31)))</f>
        <v/>
      </c>
      <c r="J168" s="53">
        <f>IF($C168="","",SUMIFS('Dvd Calendar'!$E$2361:$AR$2361,'Dvd Calendar'!$E$2360:$AR$2360,"&gt;="&amp;DATE(Summary!$C$12-1,1,1),'Dvd Calendar'!$E$2360:$AR$2360,"&lt;="&amp;DATE(Summary!$C$12-1,12,31)))</f>
        <v/>
      </c>
      <c r="K168" s="54">
        <f>IF($C168="","",SUMIFS('Dvd Calendar'!$E$2361:$AR$2361,'Dvd Calendar'!$E$2360:$AR$2360,"&gt;="&amp;DATE(Summary!$C$12,1,1),'Dvd Calendar'!$E$2360:$AR$2360,"&lt;="&amp;MIN(Summary!$C$11,DATE(Summary!$C$12,12,31))))</f>
        <v/>
      </c>
      <c r="L168" s="38">
        <f>IF($C168="","",AVERAGE(F168:J168))</f>
        <v/>
      </c>
      <c r="M168" s="55">
        <f>IF($C168="","",IF(Summary!$C$16="N","",IFERROR(BDP($C168,'Field Check'!$C$16,'Field Check'!$C$17,TEXT(Summary!$C$12-5,"0")),"")))</f>
        <v/>
      </c>
      <c r="N168" s="55">
        <f>IF($C168="","",IF(Summary!$C$16="N","",IFERROR(BDP($C168,'Field Check'!$C$16,'Field Check'!$C$17,TEXT(Summary!$C$12-4,"0")),"")))</f>
        <v/>
      </c>
      <c r="O168" s="55">
        <f>IF($C168="","",IF(Summary!$C$16="N","",IFERROR(BDP($C168,'Field Check'!$C$16,'Field Check'!$C$17,TEXT(Summary!$C$12-3,"0")),"")))</f>
        <v/>
      </c>
      <c r="P168" s="55">
        <f>IF($C168="","",IF(Summary!$C$16="N","",IFERROR(BDP($C168,'Field Check'!$C$16,'Field Check'!$C$17,TEXT(Summary!$C$12-2,"0")),"")))</f>
        <v/>
      </c>
      <c r="Q168" s="55">
        <f>IF($C168="","",IF(Summary!$C$16="N","",IFERROR(BDP($C168,'Field Check'!$C$16,'Field Check'!$C$17,TEXT(Summary!$C$12-1,"0")),"")))</f>
        <v/>
      </c>
      <c r="R168" s="56">
        <f>IF($C168="","",IF(Summary!$C$16="N","",IFERROR(BDP($C168,'Field Check'!$C$18,'Field Check'!$C$17,TEXT(Summary!$C$12-5,"0"))/100,"")))</f>
        <v/>
      </c>
      <c r="S168" s="56">
        <f>IF($C168="","",IF(Summary!$C$16="N","",IFERROR(BDP($C168,'Field Check'!$C$18,'Field Check'!$C$17,TEXT(Summary!$C$12-4,"0"))/100,"")))</f>
        <v/>
      </c>
      <c r="T168" s="56">
        <f>IF($C168="","",IF(Summary!$C$16="N","",IFERROR(BDP($C168,'Field Check'!$C$18,'Field Check'!$C$17,TEXT(Summary!$C$12-3,"0"))/100,"")))</f>
        <v/>
      </c>
      <c r="U168" s="56">
        <f>IF($C168="","",IF(Summary!$C$16="N","",IFERROR(BDP($C168,'Field Check'!$C$18,'Field Check'!$C$17,TEXT(Summary!$C$12-2,"0"))/100,"")))</f>
        <v/>
      </c>
      <c r="V168" s="56">
        <f>IF($C168="","",IF(Summary!$C$16="N","",IFERROR(BDP($C168,'Field Check'!$C$18,'Field Check'!$C$17,TEXT(Summary!$C$12-1,"0"))/100,"")))</f>
        <v/>
      </c>
      <c r="W168" s="57">
        <f>IF($C168="","",IFERROR(AVERAGE(R168:V168),""))</f>
        <v/>
      </c>
      <c r="X168" s="58">
        <f>IF($C168="","",IF(ISNUMBER($Q168)*(N($Q168)&gt;0)=0,"",IFERROR($J168/$Q168,"")))</f>
        <v/>
      </c>
      <c r="Y168" s="59">
        <f>IF($C168="","",IF(ISNUMBER(HSCEI!$I$23),HSCEI!$I$23/100,""))</f>
        <v/>
      </c>
      <c r="Z168" s="60">
        <f>IF($C168="","",IF(Summary!$C$16="N","",IFERROR(BDP($C168,'Field Check'!$C$19)/100,"")))</f>
        <v/>
      </c>
      <c r="AA168" s="61">
        <f>IF($C168="","",IF(N($Y168)+N($Z168)=0,"",N($Y168)+N($Z168)))</f>
        <v/>
      </c>
      <c r="AB168" s="60">
        <f>IF($C168="","",IF(Summary!$C$16="N","",IFERROR(BDP($C168,'Field Check'!$C$20)/100,"")))</f>
        <v/>
      </c>
      <c r="AC168" s="45">
        <f>IF($C168="","",IF(N($Y168)=0,"",IFERROR($AB168/$Y168,"")))</f>
        <v/>
      </c>
      <c r="AD168" s="55">
        <f>IF($C168="","",IF(Summary!$C$16="N","",IFERROR(BDP($C168,'Field Check'!$C$21),"")))</f>
        <v/>
      </c>
      <c r="AE168" s="55">
        <f>IF($C168="","",IF(Summary!$C$16="N","",IFERROR(BDP($C168,'Field Check'!$C$22),"")))</f>
        <v/>
      </c>
      <c r="AF168" s="55">
        <f>IF($C168="","",IF(Summary!$C$16="N","",IFERROR(BDP($C168,'Field Check'!$C$23),"")))</f>
        <v/>
      </c>
      <c r="AG168" s="40">
        <f>IF($C168="","",TRIM(IF(ISNUMBER($W168)*(N($W168)&gt;$D$7)&gt;0,"payout high  ","")&amp;IF(ISNUMBER($AC168)*(N($AC168)&lt;$F$7)&gt;0,"FCF below dvd  ","")&amp;IF(ISNUMBER($AE168)*(N($AE168)&gt;$H$7)&gt;0,"leverage high","")))</f>
        <v/>
      </c>
      <c r="AH168" s="40">
        <f>IF($C168="","",IF(HSCEI!$F$23="HKD","",IF(HSCEI!$F$23="","","DPS in "&amp;HSCEI!$F$23)))</f>
        <v/>
      </c>
    </row>
    <row r="169">
      <c r="B169" s="52" t="inlineStr">
        <is>
          <t>HSCEI</t>
        </is>
      </c>
      <c r="C169" s="6">
        <f>IF(HSCEI!$C$24="","",HSCEI!$C$24)</f>
        <v/>
      </c>
      <c r="D169" s="6">
        <f>IF($C169="","",HSCEI!$D$24)</f>
        <v/>
      </c>
      <c r="E169" s="6">
        <f>IF($C169="","",HSCEI!$E$24)</f>
        <v/>
      </c>
      <c r="F169" s="53">
        <f>IF($C169="","",SUMIFS('Dvd Calendar'!$E$2376:$AR$2376,'Dvd Calendar'!$E$2375:$AR$2375,"&gt;="&amp;DATE(Summary!$C$12-5,1,1),'Dvd Calendar'!$E$2375:$AR$2375,"&lt;="&amp;DATE(Summary!$C$12-5,12,31)))</f>
        <v/>
      </c>
      <c r="G169" s="53">
        <f>IF($C169="","",SUMIFS('Dvd Calendar'!$E$2376:$AR$2376,'Dvd Calendar'!$E$2375:$AR$2375,"&gt;="&amp;DATE(Summary!$C$12-4,1,1),'Dvd Calendar'!$E$2375:$AR$2375,"&lt;="&amp;DATE(Summary!$C$12-4,12,31)))</f>
        <v/>
      </c>
      <c r="H169" s="53">
        <f>IF($C169="","",SUMIFS('Dvd Calendar'!$E$2376:$AR$2376,'Dvd Calendar'!$E$2375:$AR$2375,"&gt;="&amp;DATE(Summary!$C$12-3,1,1),'Dvd Calendar'!$E$2375:$AR$2375,"&lt;="&amp;DATE(Summary!$C$12-3,12,31)))</f>
        <v/>
      </c>
      <c r="I169" s="53">
        <f>IF($C169="","",SUMIFS('Dvd Calendar'!$E$2376:$AR$2376,'Dvd Calendar'!$E$2375:$AR$2375,"&gt;="&amp;DATE(Summary!$C$12-2,1,1),'Dvd Calendar'!$E$2375:$AR$2375,"&lt;="&amp;DATE(Summary!$C$12-2,12,31)))</f>
        <v/>
      </c>
      <c r="J169" s="53">
        <f>IF($C169="","",SUMIFS('Dvd Calendar'!$E$2376:$AR$2376,'Dvd Calendar'!$E$2375:$AR$2375,"&gt;="&amp;DATE(Summary!$C$12-1,1,1),'Dvd Calendar'!$E$2375:$AR$2375,"&lt;="&amp;DATE(Summary!$C$12-1,12,31)))</f>
        <v/>
      </c>
      <c r="K169" s="54">
        <f>IF($C169="","",SUMIFS('Dvd Calendar'!$E$2376:$AR$2376,'Dvd Calendar'!$E$2375:$AR$2375,"&gt;="&amp;DATE(Summary!$C$12,1,1),'Dvd Calendar'!$E$2375:$AR$2375,"&lt;="&amp;MIN(Summary!$C$11,DATE(Summary!$C$12,12,31))))</f>
        <v/>
      </c>
      <c r="L169" s="38">
        <f>IF($C169="","",AVERAGE(F169:J169))</f>
        <v/>
      </c>
      <c r="M169" s="55">
        <f>IF($C169="","",IF(Summary!$C$16="N","",IFERROR(BDP($C169,'Field Check'!$C$16,'Field Check'!$C$17,TEXT(Summary!$C$12-5,"0")),"")))</f>
        <v/>
      </c>
      <c r="N169" s="55">
        <f>IF($C169="","",IF(Summary!$C$16="N","",IFERROR(BDP($C169,'Field Check'!$C$16,'Field Check'!$C$17,TEXT(Summary!$C$12-4,"0")),"")))</f>
        <v/>
      </c>
      <c r="O169" s="55">
        <f>IF($C169="","",IF(Summary!$C$16="N","",IFERROR(BDP($C169,'Field Check'!$C$16,'Field Check'!$C$17,TEXT(Summary!$C$12-3,"0")),"")))</f>
        <v/>
      </c>
      <c r="P169" s="55">
        <f>IF($C169="","",IF(Summary!$C$16="N","",IFERROR(BDP($C169,'Field Check'!$C$16,'Field Check'!$C$17,TEXT(Summary!$C$12-2,"0")),"")))</f>
        <v/>
      </c>
      <c r="Q169" s="55">
        <f>IF($C169="","",IF(Summary!$C$16="N","",IFERROR(BDP($C169,'Field Check'!$C$16,'Field Check'!$C$17,TEXT(Summary!$C$12-1,"0")),"")))</f>
        <v/>
      </c>
      <c r="R169" s="56">
        <f>IF($C169="","",IF(Summary!$C$16="N","",IFERROR(BDP($C169,'Field Check'!$C$18,'Field Check'!$C$17,TEXT(Summary!$C$12-5,"0"))/100,"")))</f>
        <v/>
      </c>
      <c r="S169" s="56">
        <f>IF($C169="","",IF(Summary!$C$16="N","",IFERROR(BDP($C169,'Field Check'!$C$18,'Field Check'!$C$17,TEXT(Summary!$C$12-4,"0"))/100,"")))</f>
        <v/>
      </c>
      <c r="T169" s="56">
        <f>IF($C169="","",IF(Summary!$C$16="N","",IFERROR(BDP($C169,'Field Check'!$C$18,'Field Check'!$C$17,TEXT(Summary!$C$12-3,"0"))/100,"")))</f>
        <v/>
      </c>
      <c r="U169" s="56">
        <f>IF($C169="","",IF(Summary!$C$16="N","",IFERROR(BDP($C169,'Field Check'!$C$18,'Field Check'!$C$17,TEXT(Summary!$C$12-2,"0"))/100,"")))</f>
        <v/>
      </c>
      <c r="V169" s="56">
        <f>IF($C169="","",IF(Summary!$C$16="N","",IFERROR(BDP($C169,'Field Check'!$C$18,'Field Check'!$C$17,TEXT(Summary!$C$12-1,"0"))/100,"")))</f>
        <v/>
      </c>
      <c r="W169" s="57">
        <f>IF($C169="","",IFERROR(AVERAGE(R169:V169),""))</f>
        <v/>
      </c>
      <c r="X169" s="58">
        <f>IF($C169="","",IF(ISNUMBER($Q169)*(N($Q169)&gt;0)=0,"",IFERROR($J169/$Q169,"")))</f>
        <v/>
      </c>
      <c r="Y169" s="59">
        <f>IF($C169="","",IF(ISNUMBER(HSCEI!$I$24),HSCEI!$I$24/100,""))</f>
        <v/>
      </c>
      <c r="Z169" s="60">
        <f>IF($C169="","",IF(Summary!$C$16="N","",IFERROR(BDP($C169,'Field Check'!$C$19)/100,"")))</f>
        <v/>
      </c>
      <c r="AA169" s="61">
        <f>IF($C169="","",IF(N($Y169)+N($Z169)=0,"",N($Y169)+N($Z169)))</f>
        <v/>
      </c>
      <c r="AB169" s="60">
        <f>IF($C169="","",IF(Summary!$C$16="N","",IFERROR(BDP($C169,'Field Check'!$C$20)/100,"")))</f>
        <v/>
      </c>
      <c r="AC169" s="45">
        <f>IF($C169="","",IF(N($Y169)=0,"",IFERROR($AB169/$Y169,"")))</f>
        <v/>
      </c>
      <c r="AD169" s="55">
        <f>IF($C169="","",IF(Summary!$C$16="N","",IFERROR(BDP($C169,'Field Check'!$C$21),"")))</f>
        <v/>
      </c>
      <c r="AE169" s="55">
        <f>IF($C169="","",IF(Summary!$C$16="N","",IFERROR(BDP($C169,'Field Check'!$C$22),"")))</f>
        <v/>
      </c>
      <c r="AF169" s="55">
        <f>IF($C169="","",IF(Summary!$C$16="N","",IFERROR(BDP($C169,'Field Check'!$C$23),"")))</f>
        <v/>
      </c>
      <c r="AG169" s="40">
        <f>IF($C169="","",TRIM(IF(ISNUMBER($W169)*(N($W169)&gt;$D$7)&gt;0,"payout high  ","")&amp;IF(ISNUMBER($AC169)*(N($AC169)&lt;$F$7)&gt;0,"FCF below dvd  ","")&amp;IF(ISNUMBER($AE169)*(N($AE169)&gt;$H$7)&gt;0,"leverage high","")))</f>
        <v/>
      </c>
      <c r="AH169" s="40">
        <f>IF($C169="","",IF(HSCEI!$F$24="HKD","",IF(HSCEI!$F$24="","","DPS in "&amp;HSCEI!$F$24)))</f>
        <v/>
      </c>
    </row>
    <row r="170">
      <c r="B170" s="52" t="inlineStr">
        <is>
          <t>HSCEI</t>
        </is>
      </c>
      <c r="C170" s="6">
        <f>IF(HSCEI!$C$25="","",HSCEI!$C$25)</f>
        <v/>
      </c>
      <c r="D170" s="6">
        <f>IF($C170="","",HSCEI!$D$25)</f>
        <v/>
      </c>
      <c r="E170" s="6">
        <f>IF($C170="","",HSCEI!$E$25)</f>
        <v/>
      </c>
      <c r="F170" s="53">
        <f>IF($C170="","",SUMIFS('Dvd Calendar'!$E$2391:$AR$2391,'Dvd Calendar'!$E$2390:$AR$2390,"&gt;="&amp;DATE(Summary!$C$12-5,1,1),'Dvd Calendar'!$E$2390:$AR$2390,"&lt;="&amp;DATE(Summary!$C$12-5,12,31)))</f>
        <v/>
      </c>
      <c r="G170" s="53">
        <f>IF($C170="","",SUMIFS('Dvd Calendar'!$E$2391:$AR$2391,'Dvd Calendar'!$E$2390:$AR$2390,"&gt;="&amp;DATE(Summary!$C$12-4,1,1),'Dvd Calendar'!$E$2390:$AR$2390,"&lt;="&amp;DATE(Summary!$C$12-4,12,31)))</f>
        <v/>
      </c>
      <c r="H170" s="53">
        <f>IF($C170="","",SUMIFS('Dvd Calendar'!$E$2391:$AR$2391,'Dvd Calendar'!$E$2390:$AR$2390,"&gt;="&amp;DATE(Summary!$C$12-3,1,1),'Dvd Calendar'!$E$2390:$AR$2390,"&lt;="&amp;DATE(Summary!$C$12-3,12,31)))</f>
        <v/>
      </c>
      <c r="I170" s="53">
        <f>IF($C170="","",SUMIFS('Dvd Calendar'!$E$2391:$AR$2391,'Dvd Calendar'!$E$2390:$AR$2390,"&gt;="&amp;DATE(Summary!$C$12-2,1,1),'Dvd Calendar'!$E$2390:$AR$2390,"&lt;="&amp;DATE(Summary!$C$12-2,12,31)))</f>
        <v/>
      </c>
      <c r="J170" s="53">
        <f>IF($C170="","",SUMIFS('Dvd Calendar'!$E$2391:$AR$2391,'Dvd Calendar'!$E$2390:$AR$2390,"&gt;="&amp;DATE(Summary!$C$12-1,1,1),'Dvd Calendar'!$E$2390:$AR$2390,"&lt;="&amp;DATE(Summary!$C$12-1,12,31)))</f>
        <v/>
      </c>
      <c r="K170" s="54">
        <f>IF($C170="","",SUMIFS('Dvd Calendar'!$E$2391:$AR$2391,'Dvd Calendar'!$E$2390:$AR$2390,"&gt;="&amp;DATE(Summary!$C$12,1,1),'Dvd Calendar'!$E$2390:$AR$2390,"&lt;="&amp;MIN(Summary!$C$11,DATE(Summary!$C$12,12,31))))</f>
        <v/>
      </c>
      <c r="L170" s="38">
        <f>IF($C170="","",AVERAGE(F170:J170))</f>
        <v/>
      </c>
      <c r="M170" s="55">
        <f>IF($C170="","",IF(Summary!$C$16="N","",IFERROR(BDP($C170,'Field Check'!$C$16,'Field Check'!$C$17,TEXT(Summary!$C$12-5,"0")),"")))</f>
        <v/>
      </c>
      <c r="N170" s="55">
        <f>IF($C170="","",IF(Summary!$C$16="N","",IFERROR(BDP($C170,'Field Check'!$C$16,'Field Check'!$C$17,TEXT(Summary!$C$12-4,"0")),"")))</f>
        <v/>
      </c>
      <c r="O170" s="55">
        <f>IF($C170="","",IF(Summary!$C$16="N","",IFERROR(BDP($C170,'Field Check'!$C$16,'Field Check'!$C$17,TEXT(Summary!$C$12-3,"0")),"")))</f>
        <v/>
      </c>
      <c r="P170" s="55">
        <f>IF($C170="","",IF(Summary!$C$16="N","",IFERROR(BDP($C170,'Field Check'!$C$16,'Field Check'!$C$17,TEXT(Summary!$C$12-2,"0")),"")))</f>
        <v/>
      </c>
      <c r="Q170" s="55">
        <f>IF($C170="","",IF(Summary!$C$16="N","",IFERROR(BDP($C170,'Field Check'!$C$16,'Field Check'!$C$17,TEXT(Summary!$C$12-1,"0")),"")))</f>
        <v/>
      </c>
      <c r="R170" s="56">
        <f>IF($C170="","",IF(Summary!$C$16="N","",IFERROR(BDP($C170,'Field Check'!$C$18,'Field Check'!$C$17,TEXT(Summary!$C$12-5,"0"))/100,"")))</f>
        <v/>
      </c>
      <c r="S170" s="56">
        <f>IF($C170="","",IF(Summary!$C$16="N","",IFERROR(BDP($C170,'Field Check'!$C$18,'Field Check'!$C$17,TEXT(Summary!$C$12-4,"0"))/100,"")))</f>
        <v/>
      </c>
      <c r="T170" s="56">
        <f>IF($C170="","",IF(Summary!$C$16="N","",IFERROR(BDP($C170,'Field Check'!$C$18,'Field Check'!$C$17,TEXT(Summary!$C$12-3,"0"))/100,"")))</f>
        <v/>
      </c>
      <c r="U170" s="56">
        <f>IF($C170="","",IF(Summary!$C$16="N","",IFERROR(BDP($C170,'Field Check'!$C$18,'Field Check'!$C$17,TEXT(Summary!$C$12-2,"0"))/100,"")))</f>
        <v/>
      </c>
      <c r="V170" s="56">
        <f>IF($C170="","",IF(Summary!$C$16="N","",IFERROR(BDP($C170,'Field Check'!$C$18,'Field Check'!$C$17,TEXT(Summary!$C$12-1,"0"))/100,"")))</f>
        <v/>
      </c>
      <c r="W170" s="57">
        <f>IF($C170="","",IFERROR(AVERAGE(R170:V170),""))</f>
        <v/>
      </c>
      <c r="X170" s="58">
        <f>IF($C170="","",IF(ISNUMBER($Q170)*(N($Q170)&gt;0)=0,"",IFERROR($J170/$Q170,"")))</f>
        <v/>
      </c>
      <c r="Y170" s="59">
        <f>IF($C170="","",IF(ISNUMBER(HSCEI!$I$25),HSCEI!$I$25/100,""))</f>
        <v/>
      </c>
      <c r="Z170" s="60">
        <f>IF($C170="","",IF(Summary!$C$16="N","",IFERROR(BDP($C170,'Field Check'!$C$19)/100,"")))</f>
        <v/>
      </c>
      <c r="AA170" s="61">
        <f>IF($C170="","",IF(N($Y170)+N($Z170)=0,"",N($Y170)+N($Z170)))</f>
        <v/>
      </c>
      <c r="AB170" s="60">
        <f>IF($C170="","",IF(Summary!$C$16="N","",IFERROR(BDP($C170,'Field Check'!$C$20)/100,"")))</f>
        <v/>
      </c>
      <c r="AC170" s="45">
        <f>IF($C170="","",IF(N($Y170)=0,"",IFERROR($AB170/$Y170,"")))</f>
        <v/>
      </c>
      <c r="AD170" s="55">
        <f>IF($C170="","",IF(Summary!$C$16="N","",IFERROR(BDP($C170,'Field Check'!$C$21),"")))</f>
        <v/>
      </c>
      <c r="AE170" s="55">
        <f>IF($C170="","",IF(Summary!$C$16="N","",IFERROR(BDP($C170,'Field Check'!$C$22),"")))</f>
        <v/>
      </c>
      <c r="AF170" s="55">
        <f>IF($C170="","",IF(Summary!$C$16="N","",IFERROR(BDP($C170,'Field Check'!$C$23),"")))</f>
        <v/>
      </c>
      <c r="AG170" s="40">
        <f>IF($C170="","",TRIM(IF(ISNUMBER($W170)*(N($W170)&gt;$D$7)&gt;0,"payout high  ","")&amp;IF(ISNUMBER($AC170)*(N($AC170)&lt;$F$7)&gt;0,"FCF below dvd  ","")&amp;IF(ISNUMBER($AE170)*(N($AE170)&gt;$H$7)&gt;0,"leverage high","")))</f>
        <v/>
      </c>
      <c r="AH170" s="40">
        <f>IF($C170="","",IF(HSCEI!$F$25="HKD","",IF(HSCEI!$F$25="","","DPS in "&amp;HSCEI!$F$25)))</f>
        <v/>
      </c>
    </row>
    <row r="171">
      <c r="B171" s="52" t="inlineStr">
        <is>
          <t>HSCEI</t>
        </is>
      </c>
      <c r="C171" s="6">
        <f>IF(HSCEI!$C$26="","",HSCEI!$C$26)</f>
        <v/>
      </c>
      <c r="D171" s="6">
        <f>IF($C171="","",HSCEI!$D$26)</f>
        <v/>
      </c>
      <c r="E171" s="6">
        <f>IF($C171="","",HSCEI!$E$26)</f>
        <v/>
      </c>
      <c r="F171" s="53">
        <f>IF($C171="","",SUMIFS('Dvd Calendar'!$E$2406:$AR$2406,'Dvd Calendar'!$E$2405:$AR$2405,"&gt;="&amp;DATE(Summary!$C$12-5,1,1),'Dvd Calendar'!$E$2405:$AR$2405,"&lt;="&amp;DATE(Summary!$C$12-5,12,31)))</f>
        <v/>
      </c>
      <c r="G171" s="53">
        <f>IF($C171="","",SUMIFS('Dvd Calendar'!$E$2406:$AR$2406,'Dvd Calendar'!$E$2405:$AR$2405,"&gt;="&amp;DATE(Summary!$C$12-4,1,1),'Dvd Calendar'!$E$2405:$AR$2405,"&lt;="&amp;DATE(Summary!$C$12-4,12,31)))</f>
        <v/>
      </c>
      <c r="H171" s="53">
        <f>IF($C171="","",SUMIFS('Dvd Calendar'!$E$2406:$AR$2406,'Dvd Calendar'!$E$2405:$AR$2405,"&gt;="&amp;DATE(Summary!$C$12-3,1,1),'Dvd Calendar'!$E$2405:$AR$2405,"&lt;="&amp;DATE(Summary!$C$12-3,12,31)))</f>
        <v/>
      </c>
      <c r="I171" s="53">
        <f>IF($C171="","",SUMIFS('Dvd Calendar'!$E$2406:$AR$2406,'Dvd Calendar'!$E$2405:$AR$2405,"&gt;="&amp;DATE(Summary!$C$12-2,1,1),'Dvd Calendar'!$E$2405:$AR$2405,"&lt;="&amp;DATE(Summary!$C$12-2,12,31)))</f>
        <v/>
      </c>
      <c r="J171" s="53">
        <f>IF($C171="","",SUMIFS('Dvd Calendar'!$E$2406:$AR$2406,'Dvd Calendar'!$E$2405:$AR$2405,"&gt;="&amp;DATE(Summary!$C$12-1,1,1),'Dvd Calendar'!$E$2405:$AR$2405,"&lt;="&amp;DATE(Summary!$C$12-1,12,31)))</f>
        <v/>
      </c>
      <c r="K171" s="54">
        <f>IF($C171="","",SUMIFS('Dvd Calendar'!$E$2406:$AR$2406,'Dvd Calendar'!$E$2405:$AR$2405,"&gt;="&amp;DATE(Summary!$C$12,1,1),'Dvd Calendar'!$E$2405:$AR$2405,"&lt;="&amp;MIN(Summary!$C$11,DATE(Summary!$C$12,12,31))))</f>
        <v/>
      </c>
      <c r="L171" s="38">
        <f>IF($C171="","",AVERAGE(F171:J171))</f>
        <v/>
      </c>
      <c r="M171" s="55">
        <f>IF($C171="","",IF(Summary!$C$16="N","",IFERROR(BDP($C171,'Field Check'!$C$16,'Field Check'!$C$17,TEXT(Summary!$C$12-5,"0")),"")))</f>
        <v/>
      </c>
      <c r="N171" s="55">
        <f>IF($C171="","",IF(Summary!$C$16="N","",IFERROR(BDP($C171,'Field Check'!$C$16,'Field Check'!$C$17,TEXT(Summary!$C$12-4,"0")),"")))</f>
        <v/>
      </c>
      <c r="O171" s="55">
        <f>IF($C171="","",IF(Summary!$C$16="N","",IFERROR(BDP($C171,'Field Check'!$C$16,'Field Check'!$C$17,TEXT(Summary!$C$12-3,"0")),"")))</f>
        <v/>
      </c>
      <c r="P171" s="55">
        <f>IF($C171="","",IF(Summary!$C$16="N","",IFERROR(BDP($C171,'Field Check'!$C$16,'Field Check'!$C$17,TEXT(Summary!$C$12-2,"0")),"")))</f>
        <v/>
      </c>
      <c r="Q171" s="55">
        <f>IF($C171="","",IF(Summary!$C$16="N","",IFERROR(BDP($C171,'Field Check'!$C$16,'Field Check'!$C$17,TEXT(Summary!$C$12-1,"0")),"")))</f>
        <v/>
      </c>
      <c r="R171" s="56">
        <f>IF($C171="","",IF(Summary!$C$16="N","",IFERROR(BDP($C171,'Field Check'!$C$18,'Field Check'!$C$17,TEXT(Summary!$C$12-5,"0"))/100,"")))</f>
        <v/>
      </c>
      <c r="S171" s="56">
        <f>IF($C171="","",IF(Summary!$C$16="N","",IFERROR(BDP($C171,'Field Check'!$C$18,'Field Check'!$C$17,TEXT(Summary!$C$12-4,"0"))/100,"")))</f>
        <v/>
      </c>
      <c r="T171" s="56">
        <f>IF($C171="","",IF(Summary!$C$16="N","",IFERROR(BDP($C171,'Field Check'!$C$18,'Field Check'!$C$17,TEXT(Summary!$C$12-3,"0"))/100,"")))</f>
        <v/>
      </c>
      <c r="U171" s="56">
        <f>IF($C171="","",IF(Summary!$C$16="N","",IFERROR(BDP($C171,'Field Check'!$C$18,'Field Check'!$C$17,TEXT(Summary!$C$12-2,"0"))/100,"")))</f>
        <v/>
      </c>
      <c r="V171" s="56">
        <f>IF($C171="","",IF(Summary!$C$16="N","",IFERROR(BDP($C171,'Field Check'!$C$18,'Field Check'!$C$17,TEXT(Summary!$C$12-1,"0"))/100,"")))</f>
        <v/>
      </c>
      <c r="W171" s="57">
        <f>IF($C171="","",IFERROR(AVERAGE(R171:V171),""))</f>
        <v/>
      </c>
      <c r="X171" s="58">
        <f>IF($C171="","",IF(ISNUMBER($Q171)*(N($Q171)&gt;0)=0,"",IFERROR($J171/$Q171,"")))</f>
        <v/>
      </c>
      <c r="Y171" s="59">
        <f>IF($C171="","",IF(ISNUMBER(HSCEI!$I$26),HSCEI!$I$26/100,""))</f>
        <v/>
      </c>
      <c r="Z171" s="60">
        <f>IF($C171="","",IF(Summary!$C$16="N","",IFERROR(BDP($C171,'Field Check'!$C$19)/100,"")))</f>
        <v/>
      </c>
      <c r="AA171" s="61">
        <f>IF($C171="","",IF(N($Y171)+N($Z171)=0,"",N($Y171)+N($Z171)))</f>
        <v/>
      </c>
      <c r="AB171" s="60">
        <f>IF($C171="","",IF(Summary!$C$16="N","",IFERROR(BDP($C171,'Field Check'!$C$20)/100,"")))</f>
        <v/>
      </c>
      <c r="AC171" s="45">
        <f>IF($C171="","",IF(N($Y171)=0,"",IFERROR($AB171/$Y171,"")))</f>
        <v/>
      </c>
      <c r="AD171" s="55">
        <f>IF($C171="","",IF(Summary!$C$16="N","",IFERROR(BDP($C171,'Field Check'!$C$21),"")))</f>
        <v/>
      </c>
      <c r="AE171" s="55">
        <f>IF($C171="","",IF(Summary!$C$16="N","",IFERROR(BDP($C171,'Field Check'!$C$22),"")))</f>
        <v/>
      </c>
      <c r="AF171" s="55">
        <f>IF($C171="","",IF(Summary!$C$16="N","",IFERROR(BDP($C171,'Field Check'!$C$23),"")))</f>
        <v/>
      </c>
      <c r="AG171" s="40">
        <f>IF($C171="","",TRIM(IF(ISNUMBER($W171)*(N($W171)&gt;$D$7)&gt;0,"payout high  ","")&amp;IF(ISNUMBER($AC171)*(N($AC171)&lt;$F$7)&gt;0,"FCF below dvd  ","")&amp;IF(ISNUMBER($AE171)*(N($AE171)&gt;$H$7)&gt;0,"leverage high","")))</f>
        <v/>
      </c>
      <c r="AH171" s="40">
        <f>IF($C171="","",IF(HSCEI!$F$26="HKD","",IF(HSCEI!$F$26="","","DPS in "&amp;HSCEI!$F$26)))</f>
        <v/>
      </c>
    </row>
    <row r="172">
      <c r="B172" s="52" t="inlineStr">
        <is>
          <t>HSCEI</t>
        </is>
      </c>
      <c r="C172" s="6">
        <f>IF(HSCEI!$C$27="","",HSCEI!$C$27)</f>
        <v/>
      </c>
      <c r="D172" s="6">
        <f>IF($C172="","",HSCEI!$D$27)</f>
        <v/>
      </c>
      <c r="E172" s="6">
        <f>IF($C172="","",HSCEI!$E$27)</f>
        <v/>
      </c>
      <c r="F172" s="53">
        <f>IF($C172="","",SUMIFS('Dvd Calendar'!$E$2421:$AR$2421,'Dvd Calendar'!$E$2420:$AR$2420,"&gt;="&amp;DATE(Summary!$C$12-5,1,1),'Dvd Calendar'!$E$2420:$AR$2420,"&lt;="&amp;DATE(Summary!$C$12-5,12,31)))</f>
        <v/>
      </c>
      <c r="G172" s="53">
        <f>IF($C172="","",SUMIFS('Dvd Calendar'!$E$2421:$AR$2421,'Dvd Calendar'!$E$2420:$AR$2420,"&gt;="&amp;DATE(Summary!$C$12-4,1,1),'Dvd Calendar'!$E$2420:$AR$2420,"&lt;="&amp;DATE(Summary!$C$12-4,12,31)))</f>
        <v/>
      </c>
      <c r="H172" s="53">
        <f>IF($C172="","",SUMIFS('Dvd Calendar'!$E$2421:$AR$2421,'Dvd Calendar'!$E$2420:$AR$2420,"&gt;="&amp;DATE(Summary!$C$12-3,1,1),'Dvd Calendar'!$E$2420:$AR$2420,"&lt;="&amp;DATE(Summary!$C$12-3,12,31)))</f>
        <v/>
      </c>
      <c r="I172" s="53">
        <f>IF($C172="","",SUMIFS('Dvd Calendar'!$E$2421:$AR$2421,'Dvd Calendar'!$E$2420:$AR$2420,"&gt;="&amp;DATE(Summary!$C$12-2,1,1),'Dvd Calendar'!$E$2420:$AR$2420,"&lt;="&amp;DATE(Summary!$C$12-2,12,31)))</f>
        <v/>
      </c>
      <c r="J172" s="53">
        <f>IF($C172="","",SUMIFS('Dvd Calendar'!$E$2421:$AR$2421,'Dvd Calendar'!$E$2420:$AR$2420,"&gt;="&amp;DATE(Summary!$C$12-1,1,1),'Dvd Calendar'!$E$2420:$AR$2420,"&lt;="&amp;DATE(Summary!$C$12-1,12,31)))</f>
        <v/>
      </c>
      <c r="K172" s="54">
        <f>IF($C172="","",SUMIFS('Dvd Calendar'!$E$2421:$AR$2421,'Dvd Calendar'!$E$2420:$AR$2420,"&gt;="&amp;DATE(Summary!$C$12,1,1),'Dvd Calendar'!$E$2420:$AR$2420,"&lt;="&amp;MIN(Summary!$C$11,DATE(Summary!$C$12,12,31))))</f>
        <v/>
      </c>
      <c r="L172" s="38">
        <f>IF($C172="","",AVERAGE(F172:J172))</f>
        <v/>
      </c>
      <c r="M172" s="55">
        <f>IF($C172="","",IF(Summary!$C$16="N","",IFERROR(BDP($C172,'Field Check'!$C$16,'Field Check'!$C$17,TEXT(Summary!$C$12-5,"0")),"")))</f>
        <v/>
      </c>
      <c r="N172" s="55">
        <f>IF($C172="","",IF(Summary!$C$16="N","",IFERROR(BDP($C172,'Field Check'!$C$16,'Field Check'!$C$17,TEXT(Summary!$C$12-4,"0")),"")))</f>
        <v/>
      </c>
      <c r="O172" s="55">
        <f>IF($C172="","",IF(Summary!$C$16="N","",IFERROR(BDP($C172,'Field Check'!$C$16,'Field Check'!$C$17,TEXT(Summary!$C$12-3,"0")),"")))</f>
        <v/>
      </c>
      <c r="P172" s="55">
        <f>IF($C172="","",IF(Summary!$C$16="N","",IFERROR(BDP($C172,'Field Check'!$C$16,'Field Check'!$C$17,TEXT(Summary!$C$12-2,"0")),"")))</f>
        <v/>
      </c>
      <c r="Q172" s="55">
        <f>IF($C172="","",IF(Summary!$C$16="N","",IFERROR(BDP($C172,'Field Check'!$C$16,'Field Check'!$C$17,TEXT(Summary!$C$12-1,"0")),"")))</f>
        <v/>
      </c>
      <c r="R172" s="56">
        <f>IF($C172="","",IF(Summary!$C$16="N","",IFERROR(BDP($C172,'Field Check'!$C$18,'Field Check'!$C$17,TEXT(Summary!$C$12-5,"0"))/100,"")))</f>
        <v/>
      </c>
      <c r="S172" s="56">
        <f>IF($C172="","",IF(Summary!$C$16="N","",IFERROR(BDP($C172,'Field Check'!$C$18,'Field Check'!$C$17,TEXT(Summary!$C$12-4,"0"))/100,"")))</f>
        <v/>
      </c>
      <c r="T172" s="56">
        <f>IF($C172="","",IF(Summary!$C$16="N","",IFERROR(BDP($C172,'Field Check'!$C$18,'Field Check'!$C$17,TEXT(Summary!$C$12-3,"0"))/100,"")))</f>
        <v/>
      </c>
      <c r="U172" s="56">
        <f>IF($C172="","",IF(Summary!$C$16="N","",IFERROR(BDP($C172,'Field Check'!$C$18,'Field Check'!$C$17,TEXT(Summary!$C$12-2,"0"))/100,"")))</f>
        <v/>
      </c>
      <c r="V172" s="56">
        <f>IF($C172="","",IF(Summary!$C$16="N","",IFERROR(BDP($C172,'Field Check'!$C$18,'Field Check'!$C$17,TEXT(Summary!$C$12-1,"0"))/100,"")))</f>
        <v/>
      </c>
      <c r="W172" s="57">
        <f>IF($C172="","",IFERROR(AVERAGE(R172:V172),""))</f>
        <v/>
      </c>
      <c r="X172" s="58">
        <f>IF($C172="","",IF(ISNUMBER($Q172)*(N($Q172)&gt;0)=0,"",IFERROR($J172/$Q172,"")))</f>
        <v/>
      </c>
      <c r="Y172" s="59">
        <f>IF($C172="","",IF(ISNUMBER(HSCEI!$I$27),HSCEI!$I$27/100,""))</f>
        <v/>
      </c>
      <c r="Z172" s="60">
        <f>IF($C172="","",IF(Summary!$C$16="N","",IFERROR(BDP($C172,'Field Check'!$C$19)/100,"")))</f>
        <v/>
      </c>
      <c r="AA172" s="61">
        <f>IF($C172="","",IF(N($Y172)+N($Z172)=0,"",N($Y172)+N($Z172)))</f>
        <v/>
      </c>
      <c r="AB172" s="60">
        <f>IF($C172="","",IF(Summary!$C$16="N","",IFERROR(BDP($C172,'Field Check'!$C$20)/100,"")))</f>
        <v/>
      </c>
      <c r="AC172" s="45">
        <f>IF($C172="","",IF(N($Y172)=0,"",IFERROR($AB172/$Y172,"")))</f>
        <v/>
      </c>
      <c r="AD172" s="55">
        <f>IF($C172="","",IF(Summary!$C$16="N","",IFERROR(BDP($C172,'Field Check'!$C$21),"")))</f>
        <v/>
      </c>
      <c r="AE172" s="55">
        <f>IF($C172="","",IF(Summary!$C$16="N","",IFERROR(BDP($C172,'Field Check'!$C$22),"")))</f>
        <v/>
      </c>
      <c r="AF172" s="55">
        <f>IF($C172="","",IF(Summary!$C$16="N","",IFERROR(BDP($C172,'Field Check'!$C$23),"")))</f>
        <v/>
      </c>
      <c r="AG172" s="40">
        <f>IF($C172="","",TRIM(IF(ISNUMBER($W172)*(N($W172)&gt;$D$7)&gt;0,"payout high  ","")&amp;IF(ISNUMBER($AC172)*(N($AC172)&lt;$F$7)&gt;0,"FCF below dvd  ","")&amp;IF(ISNUMBER($AE172)*(N($AE172)&gt;$H$7)&gt;0,"leverage high","")))</f>
        <v/>
      </c>
      <c r="AH172" s="40">
        <f>IF($C172="","",IF(HSCEI!$F$27="HKD","",IF(HSCEI!$F$27="","","DPS in "&amp;HSCEI!$F$27)))</f>
        <v/>
      </c>
    </row>
    <row r="173">
      <c r="B173" s="52" t="inlineStr">
        <is>
          <t>HSCEI</t>
        </is>
      </c>
      <c r="C173" s="6">
        <f>IF(HSCEI!$C$28="","",HSCEI!$C$28)</f>
        <v/>
      </c>
      <c r="D173" s="6">
        <f>IF($C173="","",HSCEI!$D$28)</f>
        <v/>
      </c>
      <c r="E173" s="6">
        <f>IF($C173="","",HSCEI!$E$28)</f>
        <v/>
      </c>
      <c r="F173" s="53">
        <f>IF($C173="","",SUMIFS('Dvd Calendar'!$E$2436:$AR$2436,'Dvd Calendar'!$E$2435:$AR$2435,"&gt;="&amp;DATE(Summary!$C$12-5,1,1),'Dvd Calendar'!$E$2435:$AR$2435,"&lt;="&amp;DATE(Summary!$C$12-5,12,31)))</f>
        <v/>
      </c>
      <c r="G173" s="53">
        <f>IF($C173="","",SUMIFS('Dvd Calendar'!$E$2436:$AR$2436,'Dvd Calendar'!$E$2435:$AR$2435,"&gt;="&amp;DATE(Summary!$C$12-4,1,1),'Dvd Calendar'!$E$2435:$AR$2435,"&lt;="&amp;DATE(Summary!$C$12-4,12,31)))</f>
        <v/>
      </c>
      <c r="H173" s="53">
        <f>IF($C173="","",SUMIFS('Dvd Calendar'!$E$2436:$AR$2436,'Dvd Calendar'!$E$2435:$AR$2435,"&gt;="&amp;DATE(Summary!$C$12-3,1,1),'Dvd Calendar'!$E$2435:$AR$2435,"&lt;="&amp;DATE(Summary!$C$12-3,12,31)))</f>
        <v/>
      </c>
      <c r="I173" s="53">
        <f>IF($C173="","",SUMIFS('Dvd Calendar'!$E$2436:$AR$2436,'Dvd Calendar'!$E$2435:$AR$2435,"&gt;="&amp;DATE(Summary!$C$12-2,1,1),'Dvd Calendar'!$E$2435:$AR$2435,"&lt;="&amp;DATE(Summary!$C$12-2,12,31)))</f>
        <v/>
      </c>
      <c r="J173" s="53">
        <f>IF($C173="","",SUMIFS('Dvd Calendar'!$E$2436:$AR$2436,'Dvd Calendar'!$E$2435:$AR$2435,"&gt;="&amp;DATE(Summary!$C$12-1,1,1),'Dvd Calendar'!$E$2435:$AR$2435,"&lt;="&amp;DATE(Summary!$C$12-1,12,31)))</f>
        <v/>
      </c>
      <c r="K173" s="54">
        <f>IF($C173="","",SUMIFS('Dvd Calendar'!$E$2436:$AR$2436,'Dvd Calendar'!$E$2435:$AR$2435,"&gt;="&amp;DATE(Summary!$C$12,1,1),'Dvd Calendar'!$E$2435:$AR$2435,"&lt;="&amp;MIN(Summary!$C$11,DATE(Summary!$C$12,12,31))))</f>
        <v/>
      </c>
      <c r="L173" s="38">
        <f>IF($C173="","",AVERAGE(F173:J173))</f>
        <v/>
      </c>
      <c r="M173" s="55">
        <f>IF($C173="","",IF(Summary!$C$16="N","",IFERROR(BDP($C173,'Field Check'!$C$16,'Field Check'!$C$17,TEXT(Summary!$C$12-5,"0")),"")))</f>
        <v/>
      </c>
      <c r="N173" s="55">
        <f>IF($C173="","",IF(Summary!$C$16="N","",IFERROR(BDP($C173,'Field Check'!$C$16,'Field Check'!$C$17,TEXT(Summary!$C$12-4,"0")),"")))</f>
        <v/>
      </c>
      <c r="O173" s="55">
        <f>IF($C173="","",IF(Summary!$C$16="N","",IFERROR(BDP($C173,'Field Check'!$C$16,'Field Check'!$C$17,TEXT(Summary!$C$12-3,"0")),"")))</f>
        <v/>
      </c>
      <c r="P173" s="55">
        <f>IF($C173="","",IF(Summary!$C$16="N","",IFERROR(BDP($C173,'Field Check'!$C$16,'Field Check'!$C$17,TEXT(Summary!$C$12-2,"0")),"")))</f>
        <v/>
      </c>
      <c r="Q173" s="55">
        <f>IF($C173="","",IF(Summary!$C$16="N","",IFERROR(BDP($C173,'Field Check'!$C$16,'Field Check'!$C$17,TEXT(Summary!$C$12-1,"0")),"")))</f>
        <v/>
      </c>
      <c r="R173" s="56">
        <f>IF($C173="","",IF(Summary!$C$16="N","",IFERROR(BDP($C173,'Field Check'!$C$18,'Field Check'!$C$17,TEXT(Summary!$C$12-5,"0"))/100,"")))</f>
        <v/>
      </c>
      <c r="S173" s="56">
        <f>IF($C173="","",IF(Summary!$C$16="N","",IFERROR(BDP($C173,'Field Check'!$C$18,'Field Check'!$C$17,TEXT(Summary!$C$12-4,"0"))/100,"")))</f>
        <v/>
      </c>
      <c r="T173" s="56">
        <f>IF($C173="","",IF(Summary!$C$16="N","",IFERROR(BDP($C173,'Field Check'!$C$18,'Field Check'!$C$17,TEXT(Summary!$C$12-3,"0"))/100,"")))</f>
        <v/>
      </c>
      <c r="U173" s="56">
        <f>IF($C173="","",IF(Summary!$C$16="N","",IFERROR(BDP($C173,'Field Check'!$C$18,'Field Check'!$C$17,TEXT(Summary!$C$12-2,"0"))/100,"")))</f>
        <v/>
      </c>
      <c r="V173" s="56">
        <f>IF($C173="","",IF(Summary!$C$16="N","",IFERROR(BDP($C173,'Field Check'!$C$18,'Field Check'!$C$17,TEXT(Summary!$C$12-1,"0"))/100,"")))</f>
        <v/>
      </c>
      <c r="W173" s="57">
        <f>IF($C173="","",IFERROR(AVERAGE(R173:V173),""))</f>
        <v/>
      </c>
      <c r="X173" s="58">
        <f>IF($C173="","",IF(ISNUMBER($Q173)*(N($Q173)&gt;0)=0,"",IFERROR($J173/$Q173,"")))</f>
        <v/>
      </c>
      <c r="Y173" s="59">
        <f>IF($C173="","",IF(ISNUMBER(HSCEI!$I$28),HSCEI!$I$28/100,""))</f>
        <v/>
      </c>
      <c r="Z173" s="60">
        <f>IF($C173="","",IF(Summary!$C$16="N","",IFERROR(BDP($C173,'Field Check'!$C$19)/100,"")))</f>
        <v/>
      </c>
      <c r="AA173" s="61">
        <f>IF($C173="","",IF(N($Y173)+N($Z173)=0,"",N($Y173)+N($Z173)))</f>
        <v/>
      </c>
      <c r="AB173" s="60">
        <f>IF($C173="","",IF(Summary!$C$16="N","",IFERROR(BDP($C173,'Field Check'!$C$20)/100,"")))</f>
        <v/>
      </c>
      <c r="AC173" s="45">
        <f>IF($C173="","",IF(N($Y173)=0,"",IFERROR($AB173/$Y173,"")))</f>
        <v/>
      </c>
      <c r="AD173" s="55">
        <f>IF($C173="","",IF(Summary!$C$16="N","",IFERROR(BDP($C173,'Field Check'!$C$21),"")))</f>
        <v/>
      </c>
      <c r="AE173" s="55">
        <f>IF($C173="","",IF(Summary!$C$16="N","",IFERROR(BDP($C173,'Field Check'!$C$22),"")))</f>
        <v/>
      </c>
      <c r="AF173" s="55">
        <f>IF($C173="","",IF(Summary!$C$16="N","",IFERROR(BDP($C173,'Field Check'!$C$23),"")))</f>
        <v/>
      </c>
      <c r="AG173" s="40">
        <f>IF($C173="","",TRIM(IF(ISNUMBER($W173)*(N($W173)&gt;$D$7)&gt;0,"payout high  ","")&amp;IF(ISNUMBER($AC173)*(N($AC173)&lt;$F$7)&gt;0,"FCF below dvd  ","")&amp;IF(ISNUMBER($AE173)*(N($AE173)&gt;$H$7)&gt;0,"leverage high","")))</f>
        <v/>
      </c>
      <c r="AH173" s="40">
        <f>IF($C173="","",IF(HSCEI!$F$28="HKD","",IF(HSCEI!$F$28="","","DPS in "&amp;HSCEI!$F$28)))</f>
        <v/>
      </c>
    </row>
    <row r="174">
      <c r="B174" s="52" t="inlineStr">
        <is>
          <t>HSCEI</t>
        </is>
      </c>
      <c r="C174" s="6">
        <f>IF(HSCEI!$C$29="","",HSCEI!$C$29)</f>
        <v/>
      </c>
      <c r="D174" s="6">
        <f>IF($C174="","",HSCEI!$D$29)</f>
        <v/>
      </c>
      <c r="E174" s="6">
        <f>IF($C174="","",HSCEI!$E$29)</f>
        <v/>
      </c>
      <c r="F174" s="53">
        <f>IF($C174="","",SUMIFS('Dvd Calendar'!$E$2451:$AR$2451,'Dvd Calendar'!$E$2450:$AR$2450,"&gt;="&amp;DATE(Summary!$C$12-5,1,1),'Dvd Calendar'!$E$2450:$AR$2450,"&lt;="&amp;DATE(Summary!$C$12-5,12,31)))</f>
        <v/>
      </c>
      <c r="G174" s="53">
        <f>IF($C174="","",SUMIFS('Dvd Calendar'!$E$2451:$AR$2451,'Dvd Calendar'!$E$2450:$AR$2450,"&gt;="&amp;DATE(Summary!$C$12-4,1,1),'Dvd Calendar'!$E$2450:$AR$2450,"&lt;="&amp;DATE(Summary!$C$12-4,12,31)))</f>
        <v/>
      </c>
      <c r="H174" s="53">
        <f>IF($C174="","",SUMIFS('Dvd Calendar'!$E$2451:$AR$2451,'Dvd Calendar'!$E$2450:$AR$2450,"&gt;="&amp;DATE(Summary!$C$12-3,1,1),'Dvd Calendar'!$E$2450:$AR$2450,"&lt;="&amp;DATE(Summary!$C$12-3,12,31)))</f>
        <v/>
      </c>
      <c r="I174" s="53">
        <f>IF($C174="","",SUMIFS('Dvd Calendar'!$E$2451:$AR$2451,'Dvd Calendar'!$E$2450:$AR$2450,"&gt;="&amp;DATE(Summary!$C$12-2,1,1),'Dvd Calendar'!$E$2450:$AR$2450,"&lt;="&amp;DATE(Summary!$C$12-2,12,31)))</f>
        <v/>
      </c>
      <c r="J174" s="53">
        <f>IF($C174="","",SUMIFS('Dvd Calendar'!$E$2451:$AR$2451,'Dvd Calendar'!$E$2450:$AR$2450,"&gt;="&amp;DATE(Summary!$C$12-1,1,1),'Dvd Calendar'!$E$2450:$AR$2450,"&lt;="&amp;DATE(Summary!$C$12-1,12,31)))</f>
        <v/>
      </c>
      <c r="K174" s="54">
        <f>IF($C174="","",SUMIFS('Dvd Calendar'!$E$2451:$AR$2451,'Dvd Calendar'!$E$2450:$AR$2450,"&gt;="&amp;DATE(Summary!$C$12,1,1),'Dvd Calendar'!$E$2450:$AR$2450,"&lt;="&amp;MIN(Summary!$C$11,DATE(Summary!$C$12,12,31))))</f>
        <v/>
      </c>
      <c r="L174" s="38">
        <f>IF($C174="","",AVERAGE(F174:J174))</f>
        <v/>
      </c>
      <c r="M174" s="55">
        <f>IF($C174="","",IF(Summary!$C$16="N","",IFERROR(BDP($C174,'Field Check'!$C$16,'Field Check'!$C$17,TEXT(Summary!$C$12-5,"0")),"")))</f>
        <v/>
      </c>
      <c r="N174" s="55">
        <f>IF($C174="","",IF(Summary!$C$16="N","",IFERROR(BDP($C174,'Field Check'!$C$16,'Field Check'!$C$17,TEXT(Summary!$C$12-4,"0")),"")))</f>
        <v/>
      </c>
      <c r="O174" s="55">
        <f>IF($C174="","",IF(Summary!$C$16="N","",IFERROR(BDP($C174,'Field Check'!$C$16,'Field Check'!$C$17,TEXT(Summary!$C$12-3,"0")),"")))</f>
        <v/>
      </c>
      <c r="P174" s="55">
        <f>IF($C174="","",IF(Summary!$C$16="N","",IFERROR(BDP($C174,'Field Check'!$C$16,'Field Check'!$C$17,TEXT(Summary!$C$12-2,"0")),"")))</f>
        <v/>
      </c>
      <c r="Q174" s="55">
        <f>IF($C174="","",IF(Summary!$C$16="N","",IFERROR(BDP($C174,'Field Check'!$C$16,'Field Check'!$C$17,TEXT(Summary!$C$12-1,"0")),"")))</f>
        <v/>
      </c>
      <c r="R174" s="56">
        <f>IF($C174="","",IF(Summary!$C$16="N","",IFERROR(BDP($C174,'Field Check'!$C$18,'Field Check'!$C$17,TEXT(Summary!$C$12-5,"0"))/100,"")))</f>
        <v/>
      </c>
      <c r="S174" s="56">
        <f>IF($C174="","",IF(Summary!$C$16="N","",IFERROR(BDP($C174,'Field Check'!$C$18,'Field Check'!$C$17,TEXT(Summary!$C$12-4,"0"))/100,"")))</f>
        <v/>
      </c>
      <c r="T174" s="56">
        <f>IF($C174="","",IF(Summary!$C$16="N","",IFERROR(BDP($C174,'Field Check'!$C$18,'Field Check'!$C$17,TEXT(Summary!$C$12-3,"0"))/100,"")))</f>
        <v/>
      </c>
      <c r="U174" s="56">
        <f>IF($C174="","",IF(Summary!$C$16="N","",IFERROR(BDP($C174,'Field Check'!$C$18,'Field Check'!$C$17,TEXT(Summary!$C$12-2,"0"))/100,"")))</f>
        <v/>
      </c>
      <c r="V174" s="56">
        <f>IF($C174="","",IF(Summary!$C$16="N","",IFERROR(BDP($C174,'Field Check'!$C$18,'Field Check'!$C$17,TEXT(Summary!$C$12-1,"0"))/100,"")))</f>
        <v/>
      </c>
      <c r="W174" s="57">
        <f>IF($C174="","",IFERROR(AVERAGE(R174:V174),""))</f>
        <v/>
      </c>
      <c r="X174" s="58">
        <f>IF($C174="","",IF(ISNUMBER($Q174)*(N($Q174)&gt;0)=0,"",IFERROR($J174/$Q174,"")))</f>
        <v/>
      </c>
      <c r="Y174" s="59">
        <f>IF($C174="","",IF(ISNUMBER(HSCEI!$I$29),HSCEI!$I$29/100,""))</f>
        <v/>
      </c>
      <c r="Z174" s="60">
        <f>IF($C174="","",IF(Summary!$C$16="N","",IFERROR(BDP($C174,'Field Check'!$C$19)/100,"")))</f>
        <v/>
      </c>
      <c r="AA174" s="61">
        <f>IF($C174="","",IF(N($Y174)+N($Z174)=0,"",N($Y174)+N($Z174)))</f>
        <v/>
      </c>
      <c r="AB174" s="60">
        <f>IF($C174="","",IF(Summary!$C$16="N","",IFERROR(BDP($C174,'Field Check'!$C$20)/100,"")))</f>
        <v/>
      </c>
      <c r="AC174" s="45">
        <f>IF($C174="","",IF(N($Y174)=0,"",IFERROR($AB174/$Y174,"")))</f>
        <v/>
      </c>
      <c r="AD174" s="55">
        <f>IF($C174="","",IF(Summary!$C$16="N","",IFERROR(BDP($C174,'Field Check'!$C$21),"")))</f>
        <v/>
      </c>
      <c r="AE174" s="55">
        <f>IF($C174="","",IF(Summary!$C$16="N","",IFERROR(BDP($C174,'Field Check'!$C$22),"")))</f>
        <v/>
      </c>
      <c r="AF174" s="55">
        <f>IF($C174="","",IF(Summary!$C$16="N","",IFERROR(BDP($C174,'Field Check'!$C$23),"")))</f>
        <v/>
      </c>
      <c r="AG174" s="40">
        <f>IF($C174="","",TRIM(IF(ISNUMBER($W174)*(N($W174)&gt;$D$7)&gt;0,"payout high  ","")&amp;IF(ISNUMBER($AC174)*(N($AC174)&lt;$F$7)&gt;0,"FCF below dvd  ","")&amp;IF(ISNUMBER($AE174)*(N($AE174)&gt;$H$7)&gt;0,"leverage high","")))</f>
        <v/>
      </c>
      <c r="AH174" s="40">
        <f>IF($C174="","",IF(HSCEI!$F$29="HKD","",IF(HSCEI!$F$29="","","DPS in "&amp;HSCEI!$F$29)))</f>
        <v/>
      </c>
    </row>
    <row r="175">
      <c r="B175" s="52" t="inlineStr">
        <is>
          <t>HSCEI</t>
        </is>
      </c>
      <c r="C175" s="6">
        <f>IF(HSCEI!$C$30="","",HSCEI!$C$30)</f>
        <v/>
      </c>
      <c r="D175" s="6">
        <f>IF($C175="","",HSCEI!$D$30)</f>
        <v/>
      </c>
      <c r="E175" s="6">
        <f>IF($C175="","",HSCEI!$E$30)</f>
        <v/>
      </c>
      <c r="F175" s="53">
        <f>IF($C175="","",SUMIFS('Dvd Calendar'!$E$2466:$AR$2466,'Dvd Calendar'!$E$2465:$AR$2465,"&gt;="&amp;DATE(Summary!$C$12-5,1,1),'Dvd Calendar'!$E$2465:$AR$2465,"&lt;="&amp;DATE(Summary!$C$12-5,12,31)))</f>
        <v/>
      </c>
      <c r="G175" s="53">
        <f>IF($C175="","",SUMIFS('Dvd Calendar'!$E$2466:$AR$2466,'Dvd Calendar'!$E$2465:$AR$2465,"&gt;="&amp;DATE(Summary!$C$12-4,1,1),'Dvd Calendar'!$E$2465:$AR$2465,"&lt;="&amp;DATE(Summary!$C$12-4,12,31)))</f>
        <v/>
      </c>
      <c r="H175" s="53">
        <f>IF($C175="","",SUMIFS('Dvd Calendar'!$E$2466:$AR$2466,'Dvd Calendar'!$E$2465:$AR$2465,"&gt;="&amp;DATE(Summary!$C$12-3,1,1),'Dvd Calendar'!$E$2465:$AR$2465,"&lt;="&amp;DATE(Summary!$C$12-3,12,31)))</f>
        <v/>
      </c>
      <c r="I175" s="53">
        <f>IF($C175="","",SUMIFS('Dvd Calendar'!$E$2466:$AR$2466,'Dvd Calendar'!$E$2465:$AR$2465,"&gt;="&amp;DATE(Summary!$C$12-2,1,1),'Dvd Calendar'!$E$2465:$AR$2465,"&lt;="&amp;DATE(Summary!$C$12-2,12,31)))</f>
        <v/>
      </c>
      <c r="J175" s="53">
        <f>IF($C175="","",SUMIFS('Dvd Calendar'!$E$2466:$AR$2466,'Dvd Calendar'!$E$2465:$AR$2465,"&gt;="&amp;DATE(Summary!$C$12-1,1,1),'Dvd Calendar'!$E$2465:$AR$2465,"&lt;="&amp;DATE(Summary!$C$12-1,12,31)))</f>
        <v/>
      </c>
      <c r="K175" s="54">
        <f>IF($C175="","",SUMIFS('Dvd Calendar'!$E$2466:$AR$2466,'Dvd Calendar'!$E$2465:$AR$2465,"&gt;="&amp;DATE(Summary!$C$12,1,1),'Dvd Calendar'!$E$2465:$AR$2465,"&lt;="&amp;MIN(Summary!$C$11,DATE(Summary!$C$12,12,31))))</f>
        <v/>
      </c>
      <c r="L175" s="38">
        <f>IF($C175="","",AVERAGE(F175:J175))</f>
        <v/>
      </c>
      <c r="M175" s="55">
        <f>IF($C175="","",IF(Summary!$C$16="N","",IFERROR(BDP($C175,'Field Check'!$C$16,'Field Check'!$C$17,TEXT(Summary!$C$12-5,"0")),"")))</f>
        <v/>
      </c>
      <c r="N175" s="55">
        <f>IF($C175="","",IF(Summary!$C$16="N","",IFERROR(BDP($C175,'Field Check'!$C$16,'Field Check'!$C$17,TEXT(Summary!$C$12-4,"0")),"")))</f>
        <v/>
      </c>
      <c r="O175" s="55">
        <f>IF($C175="","",IF(Summary!$C$16="N","",IFERROR(BDP($C175,'Field Check'!$C$16,'Field Check'!$C$17,TEXT(Summary!$C$12-3,"0")),"")))</f>
        <v/>
      </c>
      <c r="P175" s="55">
        <f>IF($C175="","",IF(Summary!$C$16="N","",IFERROR(BDP($C175,'Field Check'!$C$16,'Field Check'!$C$17,TEXT(Summary!$C$12-2,"0")),"")))</f>
        <v/>
      </c>
      <c r="Q175" s="55">
        <f>IF($C175="","",IF(Summary!$C$16="N","",IFERROR(BDP($C175,'Field Check'!$C$16,'Field Check'!$C$17,TEXT(Summary!$C$12-1,"0")),"")))</f>
        <v/>
      </c>
      <c r="R175" s="56">
        <f>IF($C175="","",IF(Summary!$C$16="N","",IFERROR(BDP($C175,'Field Check'!$C$18,'Field Check'!$C$17,TEXT(Summary!$C$12-5,"0"))/100,"")))</f>
        <v/>
      </c>
      <c r="S175" s="56">
        <f>IF($C175="","",IF(Summary!$C$16="N","",IFERROR(BDP($C175,'Field Check'!$C$18,'Field Check'!$C$17,TEXT(Summary!$C$12-4,"0"))/100,"")))</f>
        <v/>
      </c>
      <c r="T175" s="56">
        <f>IF($C175="","",IF(Summary!$C$16="N","",IFERROR(BDP($C175,'Field Check'!$C$18,'Field Check'!$C$17,TEXT(Summary!$C$12-3,"0"))/100,"")))</f>
        <v/>
      </c>
      <c r="U175" s="56">
        <f>IF($C175="","",IF(Summary!$C$16="N","",IFERROR(BDP($C175,'Field Check'!$C$18,'Field Check'!$C$17,TEXT(Summary!$C$12-2,"0"))/100,"")))</f>
        <v/>
      </c>
      <c r="V175" s="56">
        <f>IF($C175="","",IF(Summary!$C$16="N","",IFERROR(BDP($C175,'Field Check'!$C$18,'Field Check'!$C$17,TEXT(Summary!$C$12-1,"0"))/100,"")))</f>
        <v/>
      </c>
      <c r="W175" s="57">
        <f>IF($C175="","",IFERROR(AVERAGE(R175:V175),""))</f>
        <v/>
      </c>
      <c r="X175" s="58">
        <f>IF($C175="","",IF(ISNUMBER($Q175)*(N($Q175)&gt;0)=0,"",IFERROR($J175/$Q175,"")))</f>
        <v/>
      </c>
      <c r="Y175" s="59">
        <f>IF($C175="","",IF(ISNUMBER(HSCEI!$I$30),HSCEI!$I$30/100,""))</f>
        <v/>
      </c>
      <c r="Z175" s="60">
        <f>IF($C175="","",IF(Summary!$C$16="N","",IFERROR(BDP($C175,'Field Check'!$C$19)/100,"")))</f>
        <v/>
      </c>
      <c r="AA175" s="61">
        <f>IF($C175="","",IF(N($Y175)+N($Z175)=0,"",N($Y175)+N($Z175)))</f>
        <v/>
      </c>
      <c r="AB175" s="60">
        <f>IF($C175="","",IF(Summary!$C$16="N","",IFERROR(BDP($C175,'Field Check'!$C$20)/100,"")))</f>
        <v/>
      </c>
      <c r="AC175" s="45">
        <f>IF($C175="","",IF(N($Y175)=0,"",IFERROR($AB175/$Y175,"")))</f>
        <v/>
      </c>
      <c r="AD175" s="55">
        <f>IF($C175="","",IF(Summary!$C$16="N","",IFERROR(BDP($C175,'Field Check'!$C$21),"")))</f>
        <v/>
      </c>
      <c r="AE175" s="55">
        <f>IF($C175="","",IF(Summary!$C$16="N","",IFERROR(BDP($C175,'Field Check'!$C$22),"")))</f>
        <v/>
      </c>
      <c r="AF175" s="55">
        <f>IF($C175="","",IF(Summary!$C$16="N","",IFERROR(BDP($C175,'Field Check'!$C$23),"")))</f>
        <v/>
      </c>
      <c r="AG175" s="40">
        <f>IF($C175="","",TRIM(IF(ISNUMBER($W175)*(N($W175)&gt;$D$7)&gt;0,"payout high  ","")&amp;IF(ISNUMBER($AC175)*(N($AC175)&lt;$F$7)&gt;0,"FCF below dvd  ","")&amp;IF(ISNUMBER($AE175)*(N($AE175)&gt;$H$7)&gt;0,"leverage high","")))</f>
        <v/>
      </c>
      <c r="AH175" s="40">
        <f>IF($C175="","",IF(HSCEI!$F$30="HKD","",IF(HSCEI!$F$30="","","DPS in "&amp;HSCEI!$F$30)))</f>
        <v/>
      </c>
    </row>
    <row r="176">
      <c r="B176" s="52" t="inlineStr">
        <is>
          <t>HSCEI</t>
        </is>
      </c>
      <c r="C176" s="6">
        <f>IF(HSCEI!$C$31="","",HSCEI!$C$31)</f>
        <v/>
      </c>
      <c r="D176" s="6">
        <f>IF($C176="","",HSCEI!$D$31)</f>
        <v/>
      </c>
      <c r="E176" s="6">
        <f>IF($C176="","",HSCEI!$E$31)</f>
        <v/>
      </c>
      <c r="F176" s="53">
        <f>IF($C176="","",SUMIFS('Dvd Calendar'!$E$2481:$AR$2481,'Dvd Calendar'!$E$2480:$AR$2480,"&gt;="&amp;DATE(Summary!$C$12-5,1,1),'Dvd Calendar'!$E$2480:$AR$2480,"&lt;="&amp;DATE(Summary!$C$12-5,12,31)))</f>
        <v/>
      </c>
      <c r="G176" s="53">
        <f>IF($C176="","",SUMIFS('Dvd Calendar'!$E$2481:$AR$2481,'Dvd Calendar'!$E$2480:$AR$2480,"&gt;="&amp;DATE(Summary!$C$12-4,1,1),'Dvd Calendar'!$E$2480:$AR$2480,"&lt;="&amp;DATE(Summary!$C$12-4,12,31)))</f>
        <v/>
      </c>
      <c r="H176" s="53">
        <f>IF($C176="","",SUMIFS('Dvd Calendar'!$E$2481:$AR$2481,'Dvd Calendar'!$E$2480:$AR$2480,"&gt;="&amp;DATE(Summary!$C$12-3,1,1),'Dvd Calendar'!$E$2480:$AR$2480,"&lt;="&amp;DATE(Summary!$C$12-3,12,31)))</f>
        <v/>
      </c>
      <c r="I176" s="53">
        <f>IF($C176="","",SUMIFS('Dvd Calendar'!$E$2481:$AR$2481,'Dvd Calendar'!$E$2480:$AR$2480,"&gt;="&amp;DATE(Summary!$C$12-2,1,1),'Dvd Calendar'!$E$2480:$AR$2480,"&lt;="&amp;DATE(Summary!$C$12-2,12,31)))</f>
        <v/>
      </c>
      <c r="J176" s="53">
        <f>IF($C176="","",SUMIFS('Dvd Calendar'!$E$2481:$AR$2481,'Dvd Calendar'!$E$2480:$AR$2480,"&gt;="&amp;DATE(Summary!$C$12-1,1,1),'Dvd Calendar'!$E$2480:$AR$2480,"&lt;="&amp;DATE(Summary!$C$12-1,12,31)))</f>
        <v/>
      </c>
      <c r="K176" s="54">
        <f>IF($C176="","",SUMIFS('Dvd Calendar'!$E$2481:$AR$2481,'Dvd Calendar'!$E$2480:$AR$2480,"&gt;="&amp;DATE(Summary!$C$12,1,1),'Dvd Calendar'!$E$2480:$AR$2480,"&lt;="&amp;MIN(Summary!$C$11,DATE(Summary!$C$12,12,31))))</f>
        <v/>
      </c>
      <c r="L176" s="38">
        <f>IF($C176="","",AVERAGE(F176:J176))</f>
        <v/>
      </c>
      <c r="M176" s="55">
        <f>IF($C176="","",IF(Summary!$C$16="N","",IFERROR(BDP($C176,'Field Check'!$C$16,'Field Check'!$C$17,TEXT(Summary!$C$12-5,"0")),"")))</f>
        <v/>
      </c>
      <c r="N176" s="55">
        <f>IF($C176="","",IF(Summary!$C$16="N","",IFERROR(BDP($C176,'Field Check'!$C$16,'Field Check'!$C$17,TEXT(Summary!$C$12-4,"0")),"")))</f>
        <v/>
      </c>
      <c r="O176" s="55">
        <f>IF($C176="","",IF(Summary!$C$16="N","",IFERROR(BDP($C176,'Field Check'!$C$16,'Field Check'!$C$17,TEXT(Summary!$C$12-3,"0")),"")))</f>
        <v/>
      </c>
      <c r="P176" s="55">
        <f>IF($C176="","",IF(Summary!$C$16="N","",IFERROR(BDP($C176,'Field Check'!$C$16,'Field Check'!$C$17,TEXT(Summary!$C$12-2,"0")),"")))</f>
        <v/>
      </c>
      <c r="Q176" s="55">
        <f>IF($C176="","",IF(Summary!$C$16="N","",IFERROR(BDP($C176,'Field Check'!$C$16,'Field Check'!$C$17,TEXT(Summary!$C$12-1,"0")),"")))</f>
        <v/>
      </c>
      <c r="R176" s="56">
        <f>IF($C176="","",IF(Summary!$C$16="N","",IFERROR(BDP($C176,'Field Check'!$C$18,'Field Check'!$C$17,TEXT(Summary!$C$12-5,"0"))/100,"")))</f>
        <v/>
      </c>
      <c r="S176" s="56">
        <f>IF($C176="","",IF(Summary!$C$16="N","",IFERROR(BDP($C176,'Field Check'!$C$18,'Field Check'!$C$17,TEXT(Summary!$C$12-4,"0"))/100,"")))</f>
        <v/>
      </c>
      <c r="T176" s="56">
        <f>IF($C176="","",IF(Summary!$C$16="N","",IFERROR(BDP($C176,'Field Check'!$C$18,'Field Check'!$C$17,TEXT(Summary!$C$12-3,"0"))/100,"")))</f>
        <v/>
      </c>
      <c r="U176" s="56">
        <f>IF($C176="","",IF(Summary!$C$16="N","",IFERROR(BDP($C176,'Field Check'!$C$18,'Field Check'!$C$17,TEXT(Summary!$C$12-2,"0"))/100,"")))</f>
        <v/>
      </c>
      <c r="V176" s="56">
        <f>IF($C176="","",IF(Summary!$C$16="N","",IFERROR(BDP($C176,'Field Check'!$C$18,'Field Check'!$C$17,TEXT(Summary!$C$12-1,"0"))/100,"")))</f>
        <v/>
      </c>
      <c r="W176" s="57">
        <f>IF($C176="","",IFERROR(AVERAGE(R176:V176),""))</f>
        <v/>
      </c>
      <c r="X176" s="58">
        <f>IF($C176="","",IF(ISNUMBER($Q176)*(N($Q176)&gt;0)=0,"",IFERROR($J176/$Q176,"")))</f>
        <v/>
      </c>
      <c r="Y176" s="59">
        <f>IF($C176="","",IF(ISNUMBER(HSCEI!$I$31),HSCEI!$I$31/100,""))</f>
        <v/>
      </c>
      <c r="Z176" s="60">
        <f>IF($C176="","",IF(Summary!$C$16="N","",IFERROR(BDP($C176,'Field Check'!$C$19)/100,"")))</f>
        <v/>
      </c>
      <c r="AA176" s="61">
        <f>IF($C176="","",IF(N($Y176)+N($Z176)=0,"",N($Y176)+N($Z176)))</f>
        <v/>
      </c>
      <c r="AB176" s="60">
        <f>IF($C176="","",IF(Summary!$C$16="N","",IFERROR(BDP($C176,'Field Check'!$C$20)/100,"")))</f>
        <v/>
      </c>
      <c r="AC176" s="45">
        <f>IF($C176="","",IF(N($Y176)=0,"",IFERROR($AB176/$Y176,"")))</f>
        <v/>
      </c>
      <c r="AD176" s="55">
        <f>IF($C176="","",IF(Summary!$C$16="N","",IFERROR(BDP($C176,'Field Check'!$C$21),"")))</f>
        <v/>
      </c>
      <c r="AE176" s="55">
        <f>IF($C176="","",IF(Summary!$C$16="N","",IFERROR(BDP($C176,'Field Check'!$C$22),"")))</f>
        <v/>
      </c>
      <c r="AF176" s="55">
        <f>IF($C176="","",IF(Summary!$C$16="N","",IFERROR(BDP($C176,'Field Check'!$C$23),"")))</f>
        <v/>
      </c>
      <c r="AG176" s="40">
        <f>IF($C176="","",TRIM(IF(ISNUMBER($W176)*(N($W176)&gt;$D$7)&gt;0,"payout high  ","")&amp;IF(ISNUMBER($AC176)*(N($AC176)&lt;$F$7)&gt;0,"FCF below dvd  ","")&amp;IF(ISNUMBER($AE176)*(N($AE176)&gt;$H$7)&gt;0,"leverage high","")))</f>
        <v/>
      </c>
      <c r="AH176" s="40">
        <f>IF($C176="","",IF(HSCEI!$F$31="HKD","",IF(HSCEI!$F$31="","","DPS in "&amp;HSCEI!$F$31)))</f>
        <v/>
      </c>
    </row>
    <row r="177">
      <c r="B177" s="52" t="inlineStr">
        <is>
          <t>HSCEI</t>
        </is>
      </c>
      <c r="C177" s="6">
        <f>IF(HSCEI!$C$32="","",HSCEI!$C$32)</f>
        <v/>
      </c>
      <c r="D177" s="6">
        <f>IF($C177="","",HSCEI!$D$32)</f>
        <v/>
      </c>
      <c r="E177" s="6">
        <f>IF($C177="","",HSCEI!$E$32)</f>
        <v/>
      </c>
      <c r="F177" s="53">
        <f>IF($C177="","",SUMIFS('Dvd Calendar'!$E$2496:$AR$2496,'Dvd Calendar'!$E$2495:$AR$2495,"&gt;="&amp;DATE(Summary!$C$12-5,1,1),'Dvd Calendar'!$E$2495:$AR$2495,"&lt;="&amp;DATE(Summary!$C$12-5,12,31)))</f>
        <v/>
      </c>
      <c r="G177" s="53">
        <f>IF($C177="","",SUMIFS('Dvd Calendar'!$E$2496:$AR$2496,'Dvd Calendar'!$E$2495:$AR$2495,"&gt;="&amp;DATE(Summary!$C$12-4,1,1),'Dvd Calendar'!$E$2495:$AR$2495,"&lt;="&amp;DATE(Summary!$C$12-4,12,31)))</f>
        <v/>
      </c>
      <c r="H177" s="53">
        <f>IF($C177="","",SUMIFS('Dvd Calendar'!$E$2496:$AR$2496,'Dvd Calendar'!$E$2495:$AR$2495,"&gt;="&amp;DATE(Summary!$C$12-3,1,1),'Dvd Calendar'!$E$2495:$AR$2495,"&lt;="&amp;DATE(Summary!$C$12-3,12,31)))</f>
        <v/>
      </c>
      <c r="I177" s="53">
        <f>IF($C177="","",SUMIFS('Dvd Calendar'!$E$2496:$AR$2496,'Dvd Calendar'!$E$2495:$AR$2495,"&gt;="&amp;DATE(Summary!$C$12-2,1,1),'Dvd Calendar'!$E$2495:$AR$2495,"&lt;="&amp;DATE(Summary!$C$12-2,12,31)))</f>
        <v/>
      </c>
      <c r="J177" s="53">
        <f>IF($C177="","",SUMIFS('Dvd Calendar'!$E$2496:$AR$2496,'Dvd Calendar'!$E$2495:$AR$2495,"&gt;="&amp;DATE(Summary!$C$12-1,1,1),'Dvd Calendar'!$E$2495:$AR$2495,"&lt;="&amp;DATE(Summary!$C$12-1,12,31)))</f>
        <v/>
      </c>
      <c r="K177" s="54">
        <f>IF($C177="","",SUMIFS('Dvd Calendar'!$E$2496:$AR$2496,'Dvd Calendar'!$E$2495:$AR$2495,"&gt;="&amp;DATE(Summary!$C$12,1,1),'Dvd Calendar'!$E$2495:$AR$2495,"&lt;="&amp;MIN(Summary!$C$11,DATE(Summary!$C$12,12,31))))</f>
        <v/>
      </c>
      <c r="L177" s="38">
        <f>IF($C177="","",AVERAGE(F177:J177))</f>
        <v/>
      </c>
      <c r="M177" s="55">
        <f>IF($C177="","",IF(Summary!$C$16="N","",IFERROR(BDP($C177,'Field Check'!$C$16,'Field Check'!$C$17,TEXT(Summary!$C$12-5,"0")),"")))</f>
        <v/>
      </c>
      <c r="N177" s="55">
        <f>IF($C177="","",IF(Summary!$C$16="N","",IFERROR(BDP($C177,'Field Check'!$C$16,'Field Check'!$C$17,TEXT(Summary!$C$12-4,"0")),"")))</f>
        <v/>
      </c>
      <c r="O177" s="55">
        <f>IF($C177="","",IF(Summary!$C$16="N","",IFERROR(BDP($C177,'Field Check'!$C$16,'Field Check'!$C$17,TEXT(Summary!$C$12-3,"0")),"")))</f>
        <v/>
      </c>
      <c r="P177" s="55">
        <f>IF($C177="","",IF(Summary!$C$16="N","",IFERROR(BDP($C177,'Field Check'!$C$16,'Field Check'!$C$17,TEXT(Summary!$C$12-2,"0")),"")))</f>
        <v/>
      </c>
      <c r="Q177" s="55">
        <f>IF($C177="","",IF(Summary!$C$16="N","",IFERROR(BDP($C177,'Field Check'!$C$16,'Field Check'!$C$17,TEXT(Summary!$C$12-1,"0")),"")))</f>
        <v/>
      </c>
      <c r="R177" s="56">
        <f>IF($C177="","",IF(Summary!$C$16="N","",IFERROR(BDP($C177,'Field Check'!$C$18,'Field Check'!$C$17,TEXT(Summary!$C$12-5,"0"))/100,"")))</f>
        <v/>
      </c>
      <c r="S177" s="56">
        <f>IF($C177="","",IF(Summary!$C$16="N","",IFERROR(BDP($C177,'Field Check'!$C$18,'Field Check'!$C$17,TEXT(Summary!$C$12-4,"0"))/100,"")))</f>
        <v/>
      </c>
      <c r="T177" s="56">
        <f>IF($C177="","",IF(Summary!$C$16="N","",IFERROR(BDP($C177,'Field Check'!$C$18,'Field Check'!$C$17,TEXT(Summary!$C$12-3,"0"))/100,"")))</f>
        <v/>
      </c>
      <c r="U177" s="56">
        <f>IF($C177="","",IF(Summary!$C$16="N","",IFERROR(BDP($C177,'Field Check'!$C$18,'Field Check'!$C$17,TEXT(Summary!$C$12-2,"0"))/100,"")))</f>
        <v/>
      </c>
      <c r="V177" s="56">
        <f>IF($C177="","",IF(Summary!$C$16="N","",IFERROR(BDP($C177,'Field Check'!$C$18,'Field Check'!$C$17,TEXT(Summary!$C$12-1,"0"))/100,"")))</f>
        <v/>
      </c>
      <c r="W177" s="57">
        <f>IF($C177="","",IFERROR(AVERAGE(R177:V177),""))</f>
        <v/>
      </c>
      <c r="X177" s="58">
        <f>IF($C177="","",IF(ISNUMBER($Q177)*(N($Q177)&gt;0)=0,"",IFERROR($J177/$Q177,"")))</f>
        <v/>
      </c>
      <c r="Y177" s="59">
        <f>IF($C177="","",IF(ISNUMBER(HSCEI!$I$32),HSCEI!$I$32/100,""))</f>
        <v/>
      </c>
      <c r="Z177" s="60">
        <f>IF($C177="","",IF(Summary!$C$16="N","",IFERROR(BDP($C177,'Field Check'!$C$19)/100,"")))</f>
        <v/>
      </c>
      <c r="AA177" s="61">
        <f>IF($C177="","",IF(N($Y177)+N($Z177)=0,"",N($Y177)+N($Z177)))</f>
        <v/>
      </c>
      <c r="AB177" s="60">
        <f>IF($C177="","",IF(Summary!$C$16="N","",IFERROR(BDP($C177,'Field Check'!$C$20)/100,"")))</f>
        <v/>
      </c>
      <c r="AC177" s="45">
        <f>IF($C177="","",IF(N($Y177)=0,"",IFERROR($AB177/$Y177,"")))</f>
        <v/>
      </c>
      <c r="AD177" s="55">
        <f>IF($C177="","",IF(Summary!$C$16="N","",IFERROR(BDP($C177,'Field Check'!$C$21),"")))</f>
        <v/>
      </c>
      <c r="AE177" s="55">
        <f>IF($C177="","",IF(Summary!$C$16="N","",IFERROR(BDP($C177,'Field Check'!$C$22),"")))</f>
        <v/>
      </c>
      <c r="AF177" s="55">
        <f>IF($C177="","",IF(Summary!$C$16="N","",IFERROR(BDP($C177,'Field Check'!$C$23),"")))</f>
        <v/>
      </c>
      <c r="AG177" s="40">
        <f>IF($C177="","",TRIM(IF(ISNUMBER($W177)*(N($W177)&gt;$D$7)&gt;0,"payout high  ","")&amp;IF(ISNUMBER($AC177)*(N($AC177)&lt;$F$7)&gt;0,"FCF below dvd  ","")&amp;IF(ISNUMBER($AE177)*(N($AE177)&gt;$H$7)&gt;0,"leverage high","")))</f>
        <v/>
      </c>
      <c r="AH177" s="40">
        <f>IF($C177="","",IF(HSCEI!$F$32="HKD","",IF(HSCEI!$F$32="","","DPS in "&amp;HSCEI!$F$32)))</f>
        <v/>
      </c>
    </row>
    <row r="178">
      <c r="B178" s="52" t="inlineStr">
        <is>
          <t>HSCEI</t>
        </is>
      </c>
      <c r="C178" s="6">
        <f>IF(HSCEI!$C$33="","",HSCEI!$C$33)</f>
        <v/>
      </c>
      <c r="D178" s="6">
        <f>IF($C178="","",HSCEI!$D$33)</f>
        <v/>
      </c>
      <c r="E178" s="6">
        <f>IF($C178="","",HSCEI!$E$33)</f>
        <v/>
      </c>
      <c r="F178" s="53">
        <f>IF($C178="","",SUMIFS('Dvd Calendar'!$E$2511:$AR$2511,'Dvd Calendar'!$E$2510:$AR$2510,"&gt;="&amp;DATE(Summary!$C$12-5,1,1),'Dvd Calendar'!$E$2510:$AR$2510,"&lt;="&amp;DATE(Summary!$C$12-5,12,31)))</f>
        <v/>
      </c>
      <c r="G178" s="53">
        <f>IF($C178="","",SUMIFS('Dvd Calendar'!$E$2511:$AR$2511,'Dvd Calendar'!$E$2510:$AR$2510,"&gt;="&amp;DATE(Summary!$C$12-4,1,1),'Dvd Calendar'!$E$2510:$AR$2510,"&lt;="&amp;DATE(Summary!$C$12-4,12,31)))</f>
        <v/>
      </c>
      <c r="H178" s="53">
        <f>IF($C178="","",SUMIFS('Dvd Calendar'!$E$2511:$AR$2511,'Dvd Calendar'!$E$2510:$AR$2510,"&gt;="&amp;DATE(Summary!$C$12-3,1,1),'Dvd Calendar'!$E$2510:$AR$2510,"&lt;="&amp;DATE(Summary!$C$12-3,12,31)))</f>
        <v/>
      </c>
      <c r="I178" s="53">
        <f>IF($C178="","",SUMIFS('Dvd Calendar'!$E$2511:$AR$2511,'Dvd Calendar'!$E$2510:$AR$2510,"&gt;="&amp;DATE(Summary!$C$12-2,1,1),'Dvd Calendar'!$E$2510:$AR$2510,"&lt;="&amp;DATE(Summary!$C$12-2,12,31)))</f>
        <v/>
      </c>
      <c r="J178" s="53">
        <f>IF($C178="","",SUMIFS('Dvd Calendar'!$E$2511:$AR$2511,'Dvd Calendar'!$E$2510:$AR$2510,"&gt;="&amp;DATE(Summary!$C$12-1,1,1),'Dvd Calendar'!$E$2510:$AR$2510,"&lt;="&amp;DATE(Summary!$C$12-1,12,31)))</f>
        <v/>
      </c>
      <c r="K178" s="54">
        <f>IF($C178="","",SUMIFS('Dvd Calendar'!$E$2511:$AR$2511,'Dvd Calendar'!$E$2510:$AR$2510,"&gt;="&amp;DATE(Summary!$C$12,1,1),'Dvd Calendar'!$E$2510:$AR$2510,"&lt;="&amp;MIN(Summary!$C$11,DATE(Summary!$C$12,12,31))))</f>
        <v/>
      </c>
      <c r="L178" s="38">
        <f>IF($C178="","",AVERAGE(F178:J178))</f>
        <v/>
      </c>
      <c r="M178" s="55">
        <f>IF($C178="","",IF(Summary!$C$16="N","",IFERROR(BDP($C178,'Field Check'!$C$16,'Field Check'!$C$17,TEXT(Summary!$C$12-5,"0")),"")))</f>
        <v/>
      </c>
      <c r="N178" s="55">
        <f>IF($C178="","",IF(Summary!$C$16="N","",IFERROR(BDP($C178,'Field Check'!$C$16,'Field Check'!$C$17,TEXT(Summary!$C$12-4,"0")),"")))</f>
        <v/>
      </c>
      <c r="O178" s="55">
        <f>IF($C178="","",IF(Summary!$C$16="N","",IFERROR(BDP($C178,'Field Check'!$C$16,'Field Check'!$C$17,TEXT(Summary!$C$12-3,"0")),"")))</f>
        <v/>
      </c>
      <c r="P178" s="55">
        <f>IF($C178="","",IF(Summary!$C$16="N","",IFERROR(BDP($C178,'Field Check'!$C$16,'Field Check'!$C$17,TEXT(Summary!$C$12-2,"0")),"")))</f>
        <v/>
      </c>
      <c r="Q178" s="55">
        <f>IF($C178="","",IF(Summary!$C$16="N","",IFERROR(BDP($C178,'Field Check'!$C$16,'Field Check'!$C$17,TEXT(Summary!$C$12-1,"0")),"")))</f>
        <v/>
      </c>
      <c r="R178" s="56">
        <f>IF($C178="","",IF(Summary!$C$16="N","",IFERROR(BDP($C178,'Field Check'!$C$18,'Field Check'!$C$17,TEXT(Summary!$C$12-5,"0"))/100,"")))</f>
        <v/>
      </c>
      <c r="S178" s="56">
        <f>IF($C178="","",IF(Summary!$C$16="N","",IFERROR(BDP($C178,'Field Check'!$C$18,'Field Check'!$C$17,TEXT(Summary!$C$12-4,"0"))/100,"")))</f>
        <v/>
      </c>
      <c r="T178" s="56">
        <f>IF($C178="","",IF(Summary!$C$16="N","",IFERROR(BDP($C178,'Field Check'!$C$18,'Field Check'!$C$17,TEXT(Summary!$C$12-3,"0"))/100,"")))</f>
        <v/>
      </c>
      <c r="U178" s="56">
        <f>IF($C178="","",IF(Summary!$C$16="N","",IFERROR(BDP($C178,'Field Check'!$C$18,'Field Check'!$C$17,TEXT(Summary!$C$12-2,"0"))/100,"")))</f>
        <v/>
      </c>
      <c r="V178" s="56">
        <f>IF($C178="","",IF(Summary!$C$16="N","",IFERROR(BDP($C178,'Field Check'!$C$18,'Field Check'!$C$17,TEXT(Summary!$C$12-1,"0"))/100,"")))</f>
        <v/>
      </c>
      <c r="W178" s="57">
        <f>IF($C178="","",IFERROR(AVERAGE(R178:V178),""))</f>
        <v/>
      </c>
      <c r="X178" s="58">
        <f>IF($C178="","",IF(ISNUMBER($Q178)*(N($Q178)&gt;0)=0,"",IFERROR($J178/$Q178,"")))</f>
        <v/>
      </c>
      <c r="Y178" s="59">
        <f>IF($C178="","",IF(ISNUMBER(HSCEI!$I$33),HSCEI!$I$33/100,""))</f>
        <v/>
      </c>
      <c r="Z178" s="60">
        <f>IF($C178="","",IF(Summary!$C$16="N","",IFERROR(BDP($C178,'Field Check'!$C$19)/100,"")))</f>
        <v/>
      </c>
      <c r="AA178" s="61">
        <f>IF($C178="","",IF(N($Y178)+N($Z178)=0,"",N($Y178)+N($Z178)))</f>
        <v/>
      </c>
      <c r="AB178" s="60">
        <f>IF($C178="","",IF(Summary!$C$16="N","",IFERROR(BDP($C178,'Field Check'!$C$20)/100,"")))</f>
        <v/>
      </c>
      <c r="AC178" s="45">
        <f>IF($C178="","",IF(N($Y178)=0,"",IFERROR($AB178/$Y178,"")))</f>
        <v/>
      </c>
      <c r="AD178" s="55">
        <f>IF($C178="","",IF(Summary!$C$16="N","",IFERROR(BDP($C178,'Field Check'!$C$21),"")))</f>
        <v/>
      </c>
      <c r="AE178" s="55">
        <f>IF($C178="","",IF(Summary!$C$16="N","",IFERROR(BDP($C178,'Field Check'!$C$22),"")))</f>
        <v/>
      </c>
      <c r="AF178" s="55">
        <f>IF($C178="","",IF(Summary!$C$16="N","",IFERROR(BDP($C178,'Field Check'!$C$23),"")))</f>
        <v/>
      </c>
      <c r="AG178" s="40">
        <f>IF($C178="","",TRIM(IF(ISNUMBER($W178)*(N($W178)&gt;$D$7)&gt;0,"payout high  ","")&amp;IF(ISNUMBER($AC178)*(N($AC178)&lt;$F$7)&gt;0,"FCF below dvd  ","")&amp;IF(ISNUMBER($AE178)*(N($AE178)&gt;$H$7)&gt;0,"leverage high","")))</f>
        <v/>
      </c>
      <c r="AH178" s="40">
        <f>IF($C178="","",IF(HSCEI!$F$33="HKD","",IF(HSCEI!$F$33="","","DPS in "&amp;HSCEI!$F$33)))</f>
        <v/>
      </c>
    </row>
    <row r="179">
      <c r="B179" s="52" t="inlineStr">
        <is>
          <t>HSCEI</t>
        </is>
      </c>
      <c r="C179" s="6">
        <f>IF(HSCEI!$C$34="","",HSCEI!$C$34)</f>
        <v/>
      </c>
      <c r="D179" s="6">
        <f>IF($C179="","",HSCEI!$D$34)</f>
        <v/>
      </c>
      <c r="E179" s="6">
        <f>IF($C179="","",HSCEI!$E$34)</f>
        <v/>
      </c>
      <c r="F179" s="53">
        <f>IF($C179="","",SUMIFS('Dvd Calendar'!$E$2526:$AR$2526,'Dvd Calendar'!$E$2525:$AR$2525,"&gt;="&amp;DATE(Summary!$C$12-5,1,1),'Dvd Calendar'!$E$2525:$AR$2525,"&lt;="&amp;DATE(Summary!$C$12-5,12,31)))</f>
        <v/>
      </c>
      <c r="G179" s="53">
        <f>IF($C179="","",SUMIFS('Dvd Calendar'!$E$2526:$AR$2526,'Dvd Calendar'!$E$2525:$AR$2525,"&gt;="&amp;DATE(Summary!$C$12-4,1,1),'Dvd Calendar'!$E$2525:$AR$2525,"&lt;="&amp;DATE(Summary!$C$12-4,12,31)))</f>
        <v/>
      </c>
      <c r="H179" s="53">
        <f>IF($C179="","",SUMIFS('Dvd Calendar'!$E$2526:$AR$2526,'Dvd Calendar'!$E$2525:$AR$2525,"&gt;="&amp;DATE(Summary!$C$12-3,1,1),'Dvd Calendar'!$E$2525:$AR$2525,"&lt;="&amp;DATE(Summary!$C$12-3,12,31)))</f>
        <v/>
      </c>
      <c r="I179" s="53">
        <f>IF($C179="","",SUMIFS('Dvd Calendar'!$E$2526:$AR$2526,'Dvd Calendar'!$E$2525:$AR$2525,"&gt;="&amp;DATE(Summary!$C$12-2,1,1),'Dvd Calendar'!$E$2525:$AR$2525,"&lt;="&amp;DATE(Summary!$C$12-2,12,31)))</f>
        <v/>
      </c>
      <c r="J179" s="53">
        <f>IF($C179="","",SUMIFS('Dvd Calendar'!$E$2526:$AR$2526,'Dvd Calendar'!$E$2525:$AR$2525,"&gt;="&amp;DATE(Summary!$C$12-1,1,1),'Dvd Calendar'!$E$2525:$AR$2525,"&lt;="&amp;DATE(Summary!$C$12-1,12,31)))</f>
        <v/>
      </c>
      <c r="K179" s="54">
        <f>IF($C179="","",SUMIFS('Dvd Calendar'!$E$2526:$AR$2526,'Dvd Calendar'!$E$2525:$AR$2525,"&gt;="&amp;DATE(Summary!$C$12,1,1),'Dvd Calendar'!$E$2525:$AR$2525,"&lt;="&amp;MIN(Summary!$C$11,DATE(Summary!$C$12,12,31))))</f>
        <v/>
      </c>
      <c r="L179" s="38">
        <f>IF($C179="","",AVERAGE(F179:J179))</f>
        <v/>
      </c>
      <c r="M179" s="55">
        <f>IF($C179="","",IF(Summary!$C$16="N","",IFERROR(BDP($C179,'Field Check'!$C$16,'Field Check'!$C$17,TEXT(Summary!$C$12-5,"0")),"")))</f>
        <v/>
      </c>
      <c r="N179" s="55">
        <f>IF($C179="","",IF(Summary!$C$16="N","",IFERROR(BDP($C179,'Field Check'!$C$16,'Field Check'!$C$17,TEXT(Summary!$C$12-4,"0")),"")))</f>
        <v/>
      </c>
      <c r="O179" s="55">
        <f>IF($C179="","",IF(Summary!$C$16="N","",IFERROR(BDP($C179,'Field Check'!$C$16,'Field Check'!$C$17,TEXT(Summary!$C$12-3,"0")),"")))</f>
        <v/>
      </c>
      <c r="P179" s="55">
        <f>IF($C179="","",IF(Summary!$C$16="N","",IFERROR(BDP($C179,'Field Check'!$C$16,'Field Check'!$C$17,TEXT(Summary!$C$12-2,"0")),"")))</f>
        <v/>
      </c>
      <c r="Q179" s="55">
        <f>IF($C179="","",IF(Summary!$C$16="N","",IFERROR(BDP($C179,'Field Check'!$C$16,'Field Check'!$C$17,TEXT(Summary!$C$12-1,"0")),"")))</f>
        <v/>
      </c>
      <c r="R179" s="56">
        <f>IF($C179="","",IF(Summary!$C$16="N","",IFERROR(BDP($C179,'Field Check'!$C$18,'Field Check'!$C$17,TEXT(Summary!$C$12-5,"0"))/100,"")))</f>
        <v/>
      </c>
      <c r="S179" s="56">
        <f>IF($C179="","",IF(Summary!$C$16="N","",IFERROR(BDP($C179,'Field Check'!$C$18,'Field Check'!$C$17,TEXT(Summary!$C$12-4,"0"))/100,"")))</f>
        <v/>
      </c>
      <c r="T179" s="56">
        <f>IF($C179="","",IF(Summary!$C$16="N","",IFERROR(BDP($C179,'Field Check'!$C$18,'Field Check'!$C$17,TEXT(Summary!$C$12-3,"0"))/100,"")))</f>
        <v/>
      </c>
      <c r="U179" s="56">
        <f>IF($C179="","",IF(Summary!$C$16="N","",IFERROR(BDP($C179,'Field Check'!$C$18,'Field Check'!$C$17,TEXT(Summary!$C$12-2,"0"))/100,"")))</f>
        <v/>
      </c>
      <c r="V179" s="56">
        <f>IF($C179="","",IF(Summary!$C$16="N","",IFERROR(BDP($C179,'Field Check'!$C$18,'Field Check'!$C$17,TEXT(Summary!$C$12-1,"0"))/100,"")))</f>
        <v/>
      </c>
      <c r="W179" s="57">
        <f>IF($C179="","",IFERROR(AVERAGE(R179:V179),""))</f>
        <v/>
      </c>
      <c r="X179" s="58">
        <f>IF($C179="","",IF(ISNUMBER($Q179)*(N($Q179)&gt;0)=0,"",IFERROR($J179/$Q179,"")))</f>
        <v/>
      </c>
      <c r="Y179" s="59">
        <f>IF($C179="","",IF(ISNUMBER(HSCEI!$I$34),HSCEI!$I$34/100,""))</f>
        <v/>
      </c>
      <c r="Z179" s="60">
        <f>IF($C179="","",IF(Summary!$C$16="N","",IFERROR(BDP($C179,'Field Check'!$C$19)/100,"")))</f>
        <v/>
      </c>
      <c r="AA179" s="61">
        <f>IF($C179="","",IF(N($Y179)+N($Z179)=0,"",N($Y179)+N($Z179)))</f>
        <v/>
      </c>
      <c r="AB179" s="60">
        <f>IF($C179="","",IF(Summary!$C$16="N","",IFERROR(BDP($C179,'Field Check'!$C$20)/100,"")))</f>
        <v/>
      </c>
      <c r="AC179" s="45">
        <f>IF($C179="","",IF(N($Y179)=0,"",IFERROR($AB179/$Y179,"")))</f>
        <v/>
      </c>
      <c r="AD179" s="55">
        <f>IF($C179="","",IF(Summary!$C$16="N","",IFERROR(BDP($C179,'Field Check'!$C$21),"")))</f>
        <v/>
      </c>
      <c r="AE179" s="55">
        <f>IF($C179="","",IF(Summary!$C$16="N","",IFERROR(BDP($C179,'Field Check'!$C$22),"")))</f>
        <v/>
      </c>
      <c r="AF179" s="55">
        <f>IF($C179="","",IF(Summary!$C$16="N","",IFERROR(BDP($C179,'Field Check'!$C$23),"")))</f>
        <v/>
      </c>
      <c r="AG179" s="40">
        <f>IF($C179="","",TRIM(IF(ISNUMBER($W179)*(N($W179)&gt;$D$7)&gt;0,"payout high  ","")&amp;IF(ISNUMBER($AC179)*(N($AC179)&lt;$F$7)&gt;0,"FCF below dvd  ","")&amp;IF(ISNUMBER($AE179)*(N($AE179)&gt;$H$7)&gt;0,"leverage high","")))</f>
        <v/>
      </c>
      <c r="AH179" s="40">
        <f>IF($C179="","",IF(HSCEI!$F$34="HKD","",IF(HSCEI!$F$34="","","DPS in "&amp;HSCEI!$F$34)))</f>
        <v/>
      </c>
    </row>
    <row r="180">
      <c r="B180" s="52" t="inlineStr">
        <is>
          <t>HSCEI</t>
        </is>
      </c>
      <c r="C180" s="6">
        <f>IF(HSCEI!$C$35="","",HSCEI!$C$35)</f>
        <v/>
      </c>
      <c r="D180" s="6">
        <f>IF($C180="","",HSCEI!$D$35)</f>
        <v/>
      </c>
      <c r="E180" s="6">
        <f>IF($C180="","",HSCEI!$E$35)</f>
        <v/>
      </c>
      <c r="F180" s="53">
        <f>IF($C180="","",SUMIFS('Dvd Calendar'!$E$2541:$AR$2541,'Dvd Calendar'!$E$2540:$AR$2540,"&gt;="&amp;DATE(Summary!$C$12-5,1,1),'Dvd Calendar'!$E$2540:$AR$2540,"&lt;="&amp;DATE(Summary!$C$12-5,12,31)))</f>
        <v/>
      </c>
      <c r="G180" s="53">
        <f>IF($C180="","",SUMIFS('Dvd Calendar'!$E$2541:$AR$2541,'Dvd Calendar'!$E$2540:$AR$2540,"&gt;="&amp;DATE(Summary!$C$12-4,1,1),'Dvd Calendar'!$E$2540:$AR$2540,"&lt;="&amp;DATE(Summary!$C$12-4,12,31)))</f>
        <v/>
      </c>
      <c r="H180" s="53">
        <f>IF($C180="","",SUMIFS('Dvd Calendar'!$E$2541:$AR$2541,'Dvd Calendar'!$E$2540:$AR$2540,"&gt;="&amp;DATE(Summary!$C$12-3,1,1),'Dvd Calendar'!$E$2540:$AR$2540,"&lt;="&amp;DATE(Summary!$C$12-3,12,31)))</f>
        <v/>
      </c>
      <c r="I180" s="53">
        <f>IF($C180="","",SUMIFS('Dvd Calendar'!$E$2541:$AR$2541,'Dvd Calendar'!$E$2540:$AR$2540,"&gt;="&amp;DATE(Summary!$C$12-2,1,1),'Dvd Calendar'!$E$2540:$AR$2540,"&lt;="&amp;DATE(Summary!$C$12-2,12,31)))</f>
        <v/>
      </c>
      <c r="J180" s="53">
        <f>IF($C180="","",SUMIFS('Dvd Calendar'!$E$2541:$AR$2541,'Dvd Calendar'!$E$2540:$AR$2540,"&gt;="&amp;DATE(Summary!$C$12-1,1,1),'Dvd Calendar'!$E$2540:$AR$2540,"&lt;="&amp;DATE(Summary!$C$12-1,12,31)))</f>
        <v/>
      </c>
      <c r="K180" s="54">
        <f>IF($C180="","",SUMIFS('Dvd Calendar'!$E$2541:$AR$2541,'Dvd Calendar'!$E$2540:$AR$2540,"&gt;="&amp;DATE(Summary!$C$12,1,1),'Dvd Calendar'!$E$2540:$AR$2540,"&lt;="&amp;MIN(Summary!$C$11,DATE(Summary!$C$12,12,31))))</f>
        <v/>
      </c>
      <c r="L180" s="38">
        <f>IF($C180="","",AVERAGE(F180:J180))</f>
        <v/>
      </c>
      <c r="M180" s="55">
        <f>IF($C180="","",IF(Summary!$C$16="N","",IFERROR(BDP($C180,'Field Check'!$C$16,'Field Check'!$C$17,TEXT(Summary!$C$12-5,"0")),"")))</f>
        <v/>
      </c>
      <c r="N180" s="55">
        <f>IF($C180="","",IF(Summary!$C$16="N","",IFERROR(BDP($C180,'Field Check'!$C$16,'Field Check'!$C$17,TEXT(Summary!$C$12-4,"0")),"")))</f>
        <v/>
      </c>
      <c r="O180" s="55">
        <f>IF($C180="","",IF(Summary!$C$16="N","",IFERROR(BDP($C180,'Field Check'!$C$16,'Field Check'!$C$17,TEXT(Summary!$C$12-3,"0")),"")))</f>
        <v/>
      </c>
      <c r="P180" s="55">
        <f>IF($C180="","",IF(Summary!$C$16="N","",IFERROR(BDP($C180,'Field Check'!$C$16,'Field Check'!$C$17,TEXT(Summary!$C$12-2,"0")),"")))</f>
        <v/>
      </c>
      <c r="Q180" s="55">
        <f>IF($C180="","",IF(Summary!$C$16="N","",IFERROR(BDP($C180,'Field Check'!$C$16,'Field Check'!$C$17,TEXT(Summary!$C$12-1,"0")),"")))</f>
        <v/>
      </c>
      <c r="R180" s="56">
        <f>IF($C180="","",IF(Summary!$C$16="N","",IFERROR(BDP($C180,'Field Check'!$C$18,'Field Check'!$C$17,TEXT(Summary!$C$12-5,"0"))/100,"")))</f>
        <v/>
      </c>
      <c r="S180" s="56">
        <f>IF($C180="","",IF(Summary!$C$16="N","",IFERROR(BDP($C180,'Field Check'!$C$18,'Field Check'!$C$17,TEXT(Summary!$C$12-4,"0"))/100,"")))</f>
        <v/>
      </c>
      <c r="T180" s="56">
        <f>IF($C180="","",IF(Summary!$C$16="N","",IFERROR(BDP($C180,'Field Check'!$C$18,'Field Check'!$C$17,TEXT(Summary!$C$12-3,"0"))/100,"")))</f>
        <v/>
      </c>
      <c r="U180" s="56">
        <f>IF($C180="","",IF(Summary!$C$16="N","",IFERROR(BDP($C180,'Field Check'!$C$18,'Field Check'!$C$17,TEXT(Summary!$C$12-2,"0"))/100,"")))</f>
        <v/>
      </c>
      <c r="V180" s="56">
        <f>IF($C180="","",IF(Summary!$C$16="N","",IFERROR(BDP($C180,'Field Check'!$C$18,'Field Check'!$C$17,TEXT(Summary!$C$12-1,"0"))/100,"")))</f>
        <v/>
      </c>
      <c r="W180" s="57">
        <f>IF($C180="","",IFERROR(AVERAGE(R180:V180),""))</f>
        <v/>
      </c>
      <c r="X180" s="58">
        <f>IF($C180="","",IF(ISNUMBER($Q180)*(N($Q180)&gt;0)=0,"",IFERROR($J180/$Q180,"")))</f>
        <v/>
      </c>
      <c r="Y180" s="59">
        <f>IF($C180="","",IF(ISNUMBER(HSCEI!$I$35),HSCEI!$I$35/100,""))</f>
        <v/>
      </c>
      <c r="Z180" s="60">
        <f>IF($C180="","",IF(Summary!$C$16="N","",IFERROR(BDP($C180,'Field Check'!$C$19)/100,"")))</f>
        <v/>
      </c>
      <c r="AA180" s="61">
        <f>IF($C180="","",IF(N($Y180)+N($Z180)=0,"",N($Y180)+N($Z180)))</f>
        <v/>
      </c>
      <c r="AB180" s="60">
        <f>IF($C180="","",IF(Summary!$C$16="N","",IFERROR(BDP($C180,'Field Check'!$C$20)/100,"")))</f>
        <v/>
      </c>
      <c r="AC180" s="45">
        <f>IF($C180="","",IF(N($Y180)=0,"",IFERROR($AB180/$Y180,"")))</f>
        <v/>
      </c>
      <c r="AD180" s="55">
        <f>IF($C180="","",IF(Summary!$C$16="N","",IFERROR(BDP($C180,'Field Check'!$C$21),"")))</f>
        <v/>
      </c>
      <c r="AE180" s="55">
        <f>IF($C180="","",IF(Summary!$C$16="N","",IFERROR(BDP($C180,'Field Check'!$C$22),"")))</f>
        <v/>
      </c>
      <c r="AF180" s="55">
        <f>IF($C180="","",IF(Summary!$C$16="N","",IFERROR(BDP($C180,'Field Check'!$C$23),"")))</f>
        <v/>
      </c>
      <c r="AG180" s="40">
        <f>IF($C180="","",TRIM(IF(ISNUMBER($W180)*(N($W180)&gt;$D$7)&gt;0,"payout high  ","")&amp;IF(ISNUMBER($AC180)*(N($AC180)&lt;$F$7)&gt;0,"FCF below dvd  ","")&amp;IF(ISNUMBER($AE180)*(N($AE180)&gt;$H$7)&gt;0,"leverage high","")))</f>
        <v/>
      </c>
      <c r="AH180" s="40">
        <f>IF($C180="","",IF(HSCEI!$F$35="HKD","",IF(HSCEI!$F$35="","","DPS in "&amp;HSCEI!$F$35)))</f>
        <v/>
      </c>
    </row>
    <row r="181">
      <c r="B181" s="52" t="inlineStr">
        <is>
          <t>HSCEI</t>
        </is>
      </c>
      <c r="C181" s="6">
        <f>IF(HSCEI!$C$36="","",HSCEI!$C$36)</f>
        <v/>
      </c>
      <c r="D181" s="6">
        <f>IF($C181="","",HSCEI!$D$36)</f>
        <v/>
      </c>
      <c r="E181" s="6">
        <f>IF($C181="","",HSCEI!$E$36)</f>
        <v/>
      </c>
      <c r="F181" s="53">
        <f>IF($C181="","",SUMIFS('Dvd Calendar'!$E$2556:$AR$2556,'Dvd Calendar'!$E$2555:$AR$2555,"&gt;="&amp;DATE(Summary!$C$12-5,1,1),'Dvd Calendar'!$E$2555:$AR$2555,"&lt;="&amp;DATE(Summary!$C$12-5,12,31)))</f>
        <v/>
      </c>
      <c r="G181" s="53">
        <f>IF($C181="","",SUMIFS('Dvd Calendar'!$E$2556:$AR$2556,'Dvd Calendar'!$E$2555:$AR$2555,"&gt;="&amp;DATE(Summary!$C$12-4,1,1),'Dvd Calendar'!$E$2555:$AR$2555,"&lt;="&amp;DATE(Summary!$C$12-4,12,31)))</f>
        <v/>
      </c>
      <c r="H181" s="53">
        <f>IF($C181="","",SUMIFS('Dvd Calendar'!$E$2556:$AR$2556,'Dvd Calendar'!$E$2555:$AR$2555,"&gt;="&amp;DATE(Summary!$C$12-3,1,1),'Dvd Calendar'!$E$2555:$AR$2555,"&lt;="&amp;DATE(Summary!$C$12-3,12,31)))</f>
        <v/>
      </c>
      <c r="I181" s="53">
        <f>IF($C181="","",SUMIFS('Dvd Calendar'!$E$2556:$AR$2556,'Dvd Calendar'!$E$2555:$AR$2555,"&gt;="&amp;DATE(Summary!$C$12-2,1,1),'Dvd Calendar'!$E$2555:$AR$2555,"&lt;="&amp;DATE(Summary!$C$12-2,12,31)))</f>
        <v/>
      </c>
      <c r="J181" s="53">
        <f>IF($C181="","",SUMIFS('Dvd Calendar'!$E$2556:$AR$2556,'Dvd Calendar'!$E$2555:$AR$2555,"&gt;="&amp;DATE(Summary!$C$12-1,1,1),'Dvd Calendar'!$E$2555:$AR$2555,"&lt;="&amp;DATE(Summary!$C$12-1,12,31)))</f>
        <v/>
      </c>
      <c r="K181" s="54">
        <f>IF($C181="","",SUMIFS('Dvd Calendar'!$E$2556:$AR$2556,'Dvd Calendar'!$E$2555:$AR$2555,"&gt;="&amp;DATE(Summary!$C$12,1,1),'Dvd Calendar'!$E$2555:$AR$2555,"&lt;="&amp;MIN(Summary!$C$11,DATE(Summary!$C$12,12,31))))</f>
        <v/>
      </c>
      <c r="L181" s="38">
        <f>IF($C181="","",AVERAGE(F181:J181))</f>
        <v/>
      </c>
      <c r="M181" s="55">
        <f>IF($C181="","",IF(Summary!$C$16="N","",IFERROR(BDP($C181,'Field Check'!$C$16,'Field Check'!$C$17,TEXT(Summary!$C$12-5,"0")),"")))</f>
        <v/>
      </c>
      <c r="N181" s="55">
        <f>IF($C181="","",IF(Summary!$C$16="N","",IFERROR(BDP($C181,'Field Check'!$C$16,'Field Check'!$C$17,TEXT(Summary!$C$12-4,"0")),"")))</f>
        <v/>
      </c>
      <c r="O181" s="55">
        <f>IF($C181="","",IF(Summary!$C$16="N","",IFERROR(BDP($C181,'Field Check'!$C$16,'Field Check'!$C$17,TEXT(Summary!$C$12-3,"0")),"")))</f>
        <v/>
      </c>
      <c r="P181" s="55">
        <f>IF($C181="","",IF(Summary!$C$16="N","",IFERROR(BDP($C181,'Field Check'!$C$16,'Field Check'!$C$17,TEXT(Summary!$C$12-2,"0")),"")))</f>
        <v/>
      </c>
      <c r="Q181" s="55">
        <f>IF($C181="","",IF(Summary!$C$16="N","",IFERROR(BDP($C181,'Field Check'!$C$16,'Field Check'!$C$17,TEXT(Summary!$C$12-1,"0")),"")))</f>
        <v/>
      </c>
      <c r="R181" s="56">
        <f>IF($C181="","",IF(Summary!$C$16="N","",IFERROR(BDP($C181,'Field Check'!$C$18,'Field Check'!$C$17,TEXT(Summary!$C$12-5,"0"))/100,"")))</f>
        <v/>
      </c>
      <c r="S181" s="56">
        <f>IF($C181="","",IF(Summary!$C$16="N","",IFERROR(BDP($C181,'Field Check'!$C$18,'Field Check'!$C$17,TEXT(Summary!$C$12-4,"0"))/100,"")))</f>
        <v/>
      </c>
      <c r="T181" s="56">
        <f>IF($C181="","",IF(Summary!$C$16="N","",IFERROR(BDP($C181,'Field Check'!$C$18,'Field Check'!$C$17,TEXT(Summary!$C$12-3,"0"))/100,"")))</f>
        <v/>
      </c>
      <c r="U181" s="56">
        <f>IF($C181="","",IF(Summary!$C$16="N","",IFERROR(BDP($C181,'Field Check'!$C$18,'Field Check'!$C$17,TEXT(Summary!$C$12-2,"0"))/100,"")))</f>
        <v/>
      </c>
      <c r="V181" s="56">
        <f>IF($C181="","",IF(Summary!$C$16="N","",IFERROR(BDP($C181,'Field Check'!$C$18,'Field Check'!$C$17,TEXT(Summary!$C$12-1,"0"))/100,"")))</f>
        <v/>
      </c>
      <c r="W181" s="57">
        <f>IF($C181="","",IFERROR(AVERAGE(R181:V181),""))</f>
        <v/>
      </c>
      <c r="X181" s="58">
        <f>IF($C181="","",IF(ISNUMBER($Q181)*(N($Q181)&gt;0)=0,"",IFERROR($J181/$Q181,"")))</f>
        <v/>
      </c>
      <c r="Y181" s="59">
        <f>IF($C181="","",IF(ISNUMBER(HSCEI!$I$36),HSCEI!$I$36/100,""))</f>
        <v/>
      </c>
      <c r="Z181" s="60">
        <f>IF($C181="","",IF(Summary!$C$16="N","",IFERROR(BDP($C181,'Field Check'!$C$19)/100,"")))</f>
        <v/>
      </c>
      <c r="AA181" s="61">
        <f>IF($C181="","",IF(N($Y181)+N($Z181)=0,"",N($Y181)+N($Z181)))</f>
        <v/>
      </c>
      <c r="AB181" s="60">
        <f>IF($C181="","",IF(Summary!$C$16="N","",IFERROR(BDP($C181,'Field Check'!$C$20)/100,"")))</f>
        <v/>
      </c>
      <c r="AC181" s="45">
        <f>IF($C181="","",IF(N($Y181)=0,"",IFERROR($AB181/$Y181,"")))</f>
        <v/>
      </c>
      <c r="AD181" s="55">
        <f>IF($C181="","",IF(Summary!$C$16="N","",IFERROR(BDP($C181,'Field Check'!$C$21),"")))</f>
        <v/>
      </c>
      <c r="AE181" s="55">
        <f>IF($C181="","",IF(Summary!$C$16="N","",IFERROR(BDP($C181,'Field Check'!$C$22),"")))</f>
        <v/>
      </c>
      <c r="AF181" s="55">
        <f>IF($C181="","",IF(Summary!$C$16="N","",IFERROR(BDP($C181,'Field Check'!$C$23),"")))</f>
        <v/>
      </c>
      <c r="AG181" s="40">
        <f>IF($C181="","",TRIM(IF(ISNUMBER($W181)*(N($W181)&gt;$D$7)&gt;0,"payout high  ","")&amp;IF(ISNUMBER($AC181)*(N($AC181)&lt;$F$7)&gt;0,"FCF below dvd  ","")&amp;IF(ISNUMBER($AE181)*(N($AE181)&gt;$H$7)&gt;0,"leverage high","")))</f>
        <v/>
      </c>
      <c r="AH181" s="40">
        <f>IF($C181="","",IF(HSCEI!$F$36="HKD","",IF(HSCEI!$F$36="","","DPS in "&amp;HSCEI!$F$36)))</f>
        <v/>
      </c>
    </row>
    <row r="182">
      <c r="B182" s="52" t="inlineStr">
        <is>
          <t>HSCEI</t>
        </is>
      </c>
      <c r="C182" s="6">
        <f>IF(HSCEI!$C$37="","",HSCEI!$C$37)</f>
        <v/>
      </c>
      <c r="D182" s="6">
        <f>IF($C182="","",HSCEI!$D$37)</f>
        <v/>
      </c>
      <c r="E182" s="6">
        <f>IF($C182="","",HSCEI!$E$37)</f>
        <v/>
      </c>
      <c r="F182" s="53">
        <f>IF($C182="","",SUMIFS('Dvd Calendar'!$E$2571:$AR$2571,'Dvd Calendar'!$E$2570:$AR$2570,"&gt;="&amp;DATE(Summary!$C$12-5,1,1),'Dvd Calendar'!$E$2570:$AR$2570,"&lt;="&amp;DATE(Summary!$C$12-5,12,31)))</f>
        <v/>
      </c>
      <c r="G182" s="53">
        <f>IF($C182="","",SUMIFS('Dvd Calendar'!$E$2571:$AR$2571,'Dvd Calendar'!$E$2570:$AR$2570,"&gt;="&amp;DATE(Summary!$C$12-4,1,1),'Dvd Calendar'!$E$2570:$AR$2570,"&lt;="&amp;DATE(Summary!$C$12-4,12,31)))</f>
        <v/>
      </c>
      <c r="H182" s="53">
        <f>IF($C182="","",SUMIFS('Dvd Calendar'!$E$2571:$AR$2571,'Dvd Calendar'!$E$2570:$AR$2570,"&gt;="&amp;DATE(Summary!$C$12-3,1,1),'Dvd Calendar'!$E$2570:$AR$2570,"&lt;="&amp;DATE(Summary!$C$12-3,12,31)))</f>
        <v/>
      </c>
      <c r="I182" s="53">
        <f>IF($C182="","",SUMIFS('Dvd Calendar'!$E$2571:$AR$2571,'Dvd Calendar'!$E$2570:$AR$2570,"&gt;="&amp;DATE(Summary!$C$12-2,1,1),'Dvd Calendar'!$E$2570:$AR$2570,"&lt;="&amp;DATE(Summary!$C$12-2,12,31)))</f>
        <v/>
      </c>
      <c r="J182" s="53">
        <f>IF($C182="","",SUMIFS('Dvd Calendar'!$E$2571:$AR$2571,'Dvd Calendar'!$E$2570:$AR$2570,"&gt;="&amp;DATE(Summary!$C$12-1,1,1),'Dvd Calendar'!$E$2570:$AR$2570,"&lt;="&amp;DATE(Summary!$C$12-1,12,31)))</f>
        <v/>
      </c>
      <c r="K182" s="54">
        <f>IF($C182="","",SUMIFS('Dvd Calendar'!$E$2571:$AR$2571,'Dvd Calendar'!$E$2570:$AR$2570,"&gt;="&amp;DATE(Summary!$C$12,1,1),'Dvd Calendar'!$E$2570:$AR$2570,"&lt;="&amp;MIN(Summary!$C$11,DATE(Summary!$C$12,12,31))))</f>
        <v/>
      </c>
      <c r="L182" s="38">
        <f>IF($C182="","",AVERAGE(F182:J182))</f>
        <v/>
      </c>
      <c r="M182" s="55">
        <f>IF($C182="","",IF(Summary!$C$16="N","",IFERROR(BDP($C182,'Field Check'!$C$16,'Field Check'!$C$17,TEXT(Summary!$C$12-5,"0")),"")))</f>
        <v/>
      </c>
      <c r="N182" s="55">
        <f>IF($C182="","",IF(Summary!$C$16="N","",IFERROR(BDP($C182,'Field Check'!$C$16,'Field Check'!$C$17,TEXT(Summary!$C$12-4,"0")),"")))</f>
        <v/>
      </c>
      <c r="O182" s="55">
        <f>IF($C182="","",IF(Summary!$C$16="N","",IFERROR(BDP($C182,'Field Check'!$C$16,'Field Check'!$C$17,TEXT(Summary!$C$12-3,"0")),"")))</f>
        <v/>
      </c>
      <c r="P182" s="55">
        <f>IF($C182="","",IF(Summary!$C$16="N","",IFERROR(BDP($C182,'Field Check'!$C$16,'Field Check'!$C$17,TEXT(Summary!$C$12-2,"0")),"")))</f>
        <v/>
      </c>
      <c r="Q182" s="55">
        <f>IF($C182="","",IF(Summary!$C$16="N","",IFERROR(BDP($C182,'Field Check'!$C$16,'Field Check'!$C$17,TEXT(Summary!$C$12-1,"0")),"")))</f>
        <v/>
      </c>
      <c r="R182" s="56">
        <f>IF($C182="","",IF(Summary!$C$16="N","",IFERROR(BDP($C182,'Field Check'!$C$18,'Field Check'!$C$17,TEXT(Summary!$C$12-5,"0"))/100,"")))</f>
        <v/>
      </c>
      <c r="S182" s="56">
        <f>IF($C182="","",IF(Summary!$C$16="N","",IFERROR(BDP($C182,'Field Check'!$C$18,'Field Check'!$C$17,TEXT(Summary!$C$12-4,"0"))/100,"")))</f>
        <v/>
      </c>
      <c r="T182" s="56">
        <f>IF($C182="","",IF(Summary!$C$16="N","",IFERROR(BDP($C182,'Field Check'!$C$18,'Field Check'!$C$17,TEXT(Summary!$C$12-3,"0"))/100,"")))</f>
        <v/>
      </c>
      <c r="U182" s="56">
        <f>IF($C182="","",IF(Summary!$C$16="N","",IFERROR(BDP($C182,'Field Check'!$C$18,'Field Check'!$C$17,TEXT(Summary!$C$12-2,"0"))/100,"")))</f>
        <v/>
      </c>
      <c r="V182" s="56">
        <f>IF($C182="","",IF(Summary!$C$16="N","",IFERROR(BDP($C182,'Field Check'!$C$18,'Field Check'!$C$17,TEXT(Summary!$C$12-1,"0"))/100,"")))</f>
        <v/>
      </c>
      <c r="W182" s="57">
        <f>IF($C182="","",IFERROR(AVERAGE(R182:V182),""))</f>
        <v/>
      </c>
      <c r="X182" s="58">
        <f>IF($C182="","",IF(ISNUMBER($Q182)*(N($Q182)&gt;0)=0,"",IFERROR($J182/$Q182,"")))</f>
        <v/>
      </c>
      <c r="Y182" s="59">
        <f>IF($C182="","",IF(ISNUMBER(HSCEI!$I$37),HSCEI!$I$37/100,""))</f>
        <v/>
      </c>
      <c r="Z182" s="60">
        <f>IF($C182="","",IF(Summary!$C$16="N","",IFERROR(BDP($C182,'Field Check'!$C$19)/100,"")))</f>
        <v/>
      </c>
      <c r="AA182" s="61">
        <f>IF($C182="","",IF(N($Y182)+N($Z182)=0,"",N($Y182)+N($Z182)))</f>
        <v/>
      </c>
      <c r="AB182" s="60">
        <f>IF($C182="","",IF(Summary!$C$16="N","",IFERROR(BDP($C182,'Field Check'!$C$20)/100,"")))</f>
        <v/>
      </c>
      <c r="AC182" s="45">
        <f>IF($C182="","",IF(N($Y182)=0,"",IFERROR($AB182/$Y182,"")))</f>
        <v/>
      </c>
      <c r="AD182" s="55">
        <f>IF($C182="","",IF(Summary!$C$16="N","",IFERROR(BDP($C182,'Field Check'!$C$21),"")))</f>
        <v/>
      </c>
      <c r="AE182" s="55">
        <f>IF($C182="","",IF(Summary!$C$16="N","",IFERROR(BDP($C182,'Field Check'!$C$22),"")))</f>
        <v/>
      </c>
      <c r="AF182" s="55">
        <f>IF($C182="","",IF(Summary!$C$16="N","",IFERROR(BDP($C182,'Field Check'!$C$23),"")))</f>
        <v/>
      </c>
      <c r="AG182" s="40">
        <f>IF($C182="","",TRIM(IF(ISNUMBER($W182)*(N($W182)&gt;$D$7)&gt;0,"payout high  ","")&amp;IF(ISNUMBER($AC182)*(N($AC182)&lt;$F$7)&gt;0,"FCF below dvd  ","")&amp;IF(ISNUMBER($AE182)*(N($AE182)&gt;$H$7)&gt;0,"leverage high","")))</f>
        <v/>
      </c>
      <c r="AH182" s="40">
        <f>IF($C182="","",IF(HSCEI!$F$37="HKD","",IF(HSCEI!$F$37="","","DPS in "&amp;HSCEI!$F$37)))</f>
        <v/>
      </c>
    </row>
    <row r="183">
      <c r="B183" s="52" t="inlineStr">
        <is>
          <t>HSCEI</t>
        </is>
      </c>
      <c r="C183" s="6">
        <f>IF(HSCEI!$C$38="","",HSCEI!$C$38)</f>
        <v/>
      </c>
      <c r="D183" s="6">
        <f>IF($C183="","",HSCEI!$D$38)</f>
        <v/>
      </c>
      <c r="E183" s="6">
        <f>IF($C183="","",HSCEI!$E$38)</f>
        <v/>
      </c>
      <c r="F183" s="53">
        <f>IF($C183="","",SUMIFS('Dvd Calendar'!$E$2586:$AR$2586,'Dvd Calendar'!$E$2585:$AR$2585,"&gt;="&amp;DATE(Summary!$C$12-5,1,1),'Dvd Calendar'!$E$2585:$AR$2585,"&lt;="&amp;DATE(Summary!$C$12-5,12,31)))</f>
        <v/>
      </c>
      <c r="G183" s="53">
        <f>IF($C183="","",SUMIFS('Dvd Calendar'!$E$2586:$AR$2586,'Dvd Calendar'!$E$2585:$AR$2585,"&gt;="&amp;DATE(Summary!$C$12-4,1,1),'Dvd Calendar'!$E$2585:$AR$2585,"&lt;="&amp;DATE(Summary!$C$12-4,12,31)))</f>
        <v/>
      </c>
      <c r="H183" s="53">
        <f>IF($C183="","",SUMIFS('Dvd Calendar'!$E$2586:$AR$2586,'Dvd Calendar'!$E$2585:$AR$2585,"&gt;="&amp;DATE(Summary!$C$12-3,1,1),'Dvd Calendar'!$E$2585:$AR$2585,"&lt;="&amp;DATE(Summary!$C$12-3,12,31)))</f>
        <v/>
      </c>
      <c r="I183" s="53">
        <f>IF($C183="","",SUMIFS('Dvd Calendar'!$E$2586:$AR$2586,'Dvd Calendar'!$E$2585:$AR$2585,"&gt;="&amp;DATE(Summary!$C$12-2,1,1),'Dvd Calendar'!$E$2585:$AR$2585,"&lt;="&amp;DATE(Summary!$C$12-2,12,31)))</f>
        <v/>
      </c>
      <c r="J183" s="53">
        <f>IF($C183="","",SUMIFS('Dvd Calendar'!$E$2586:$AR$2586,'Dvd Calendar'!$E$2585:$AR$2585,"&gt;="&amp;DATE(Summary!$C$12-1,1,1),'Dvd Calendar'!$E$2585:$AR$2585,"&lt;="&amp;DATE(Summary!$C$12-1,12,31)))</f>
        <v/>
      </c>
      <c r="K183" s="54">
        <f>IF($C183="","",SUMIFS('Dvd Calendar'!$E$2586:$AR$2586,'Dvd Calendar'!$E$2585:$AR$2585,"&gt;="&amp;DATE(Summary!$C$12,1,1),'Dvd Calendar'!$E$2585:$AR$2585,"&lt;="&amp;MIN(Summary!$C$11,DATE(Summary!$C$12,12,31))))</f>
        <v/>
      </c>
      <c r="L183" s="38">
        <f>IF($C183="","",AVERAGE(F183:J183))</f>
        <v/>
      </c>
      <c r="M183" s="55">
        <f>IF($C183="","",IF(Summary!$C$16="N","",IFERROR(BDP($C183,'Field Check'!$C$16,'Field Check'!$C$17,TEXT(Summary!$C$12-5,"0")),"")))</f>
        <v/>
      </c>
      <c r="N183" s="55">
        <f>IF($C183="","",IF(Summary!$C$16="N","",IFERROR(BDP($C183,'Field Check'!$C$16,'Field Check'!$C$17,TEXT(Summary!$C$12-4,"0")),"")))</f>
        <v/>
      </c>
      <c r="O183" s="55">
        <f>IF($C183="","",IF(Summary!$C$16="N","",IFERROR(BDP($C183,'Field Check'!$C$16,'Field Check'!$C$17,TEXT(Summary!$C$12-3,"0")),"")))</f>
        <v/>
      </c>
      <c r="P183" s="55">
        <f>IF($C183="","",IF(Summary!$C$16="N","",IFERROR(BDP($C183,'Field Check'!$C$16,'Field Check'!$C$17,TEXT(Summary!$C$12-2,"0")),"")))</f>
        <v/>
      </c>
      <c r="Q183" s="55">
        <f>IF($C183="","",IF(Summary!$C$16="N","",IFERROR(BDP($C183,'Field Check'!$C$16,'Field Check'!$C$17,TEXT(Summary!$C$12-1,"0")),"")))</f>
        <v/>
      </c>
      <c r="R183" s="56">
        <f>IF($C183="","",IF(Summary!$C$16="N","",IFERROR(BDP($C183,'Field Check'!$C$18,'Field Check'!$C$17,TEXT(Summary!$C$12-5,"0"))/100,"")))</f>
        <v/>
      </c>
      <c r="S183" s="56">
        <f>IF($C183="","",IF(Summary!$C$16="N","",IFERROR(BDP($C183,'Field Check'!$C$18,'Field Check'!$C$17,TEXT(Summary!$C$12-4,"0"))/100,"")))</f>
        <v/>
      </c>
      <c r="T183" s="56">
        <f>IF($C183="","",IF(Summary!$C$16="N","",IFERROR(BDP($C183,'Field Check'!$C$18,'Field Check'!$C$17,TEXT(Summary!$C$12-3,"0"))/100,"")))</f>
        <v/>
      </c>
      <c r="U183" s="56">
        <f>IF($C183="","",IF(Summary!$C$16="N","",IFERROR(BDP($C183,'Field Check'!$C$18,'Field Check'!$C$17,TEXT(Summary!$C$12-2,"0"))/100,"")))</f>
        <v/>
      </c>
      <c r="V183" s="56">
        <f>IF($C183="","",IF(Summary!$C$16="N","",IFERROR(BDP($C183,'Field Check'!$C$18,'Field Check'!$C$17,TEXT(Summary!$C$12-1,"0"))/100,"")))</f>
        <v/>
      </c>
      <c r="W183" s="57">
        <f>IF($C183="","",IFERROR(AVERAGE(R183:V183),""))</f>
        <v/>
      </c>
      <c r="X183" s="58">
        <f>IF($C183="","",IF(ISNUMBER($Q183)*(N($Q183)&gt;0)=0,"",IFERROR($J183/$Q183,"")))</f>
        <v/>
      </c>
      <c r="Y183" s="59">
        <f>IF($C183="","",IF(ISNUMBER(HSCEI!$I$38),HSCEI!$I$38/100,""))</f>
        <v/>
      </c>
      <c r="Z183" s="60">
        <f>IF($C183="","",IF(Summary!$C$16="N","",IFERROR(BDP($C183,'Field Check'!$C$19)/100,"")))</f>
        <v/>
      </c>
      <c r="AA183" s="61">
        <f>IF($C183="","",IF(N($Y183)+N($Z183)=0,"",N($Y183)+N($Z183)))</f>
        <v/>
      </c>
      <c r="AB183" s="60">
        <f>IF($C183="","",IF(Summary!$C$16="N","",IFERROR(BDP($C183,'Field Check'!$C$20)/100,"")))</f>
        <v/>
      </c>
      <c r="AC183" s="45">
        <f>IF($C183="","",IF(N($Y183)=0,"",IFERROR($AB183/$Y183,"")))</f>
        <v/>
      </c>
      <c r="AD183" s="55">
        <f>IF($C183="","",IF(Summary!$C$16="N","",IFERROR(BDP($C183,'Field Check'!$C$21),"")))</f>
        <v/>
      </c>
      <c r="AE183" s="55">
        <f>IF($C183="","",IF(Summary!$C$16="N","",IFERROR(BDP($C183,'Field Check'!$C$22),"")))</f>
        <v/>
      </c>
      <c r="AF183" s="55">
        <f>IF($C183="","",IF(Summary!$C$16="N","",IFERROR(BDP($C183,'Field Check'!$C$23),"")))</f>
        <v/>
      </c>
      <c r="AG183" s="40">
        <f>IF($C183="","",TRIM(IF(ISNUMBER($W183)*(N($W183)&gt;$D$7)&gt;0,"payout high  ","")&amp;IF(ISNUMBER($AC183)*(N($AC183)&lt;$F$7)&gt;0,"FCF below dvd  ","")&amp;IF(ISNUMBER($AE183)*(N($AE183)&gt;$H$7)&gt;0,"leverage high","")))</f>
        <v/>
      </c>
      <c r="AH183" s="40">
        <f>IF($C183="","",IF(HSCEI!$F$38="HKD","",IF(HSCEI!$F$38="","","DPS in "&amp;HSCEI!$F$38)))</f>
        <v/>
      </c>
    </row>
    <row r="184">
      <c r="B184" s="52" t="inlineStr">
        <is>
          <t>HSCEI</t>
        </is>
      </c>
      <c r="C184" s="6">
        <f>IF(HSCEI!$C$39="","",HSCEI!$C$39)</f>
        <v/>
      </c>
      <c r="D184" s="6">
        <f>IF($C184="","",HSCEI!$D$39)</f>
        <v/>
      </c>
      <c r="E184" s="6">
        <f>IF($C184="","",HSCEI!$E$39)</f>
        <v/>
      </c>
      <c r="F184" s="53">
        <f>IF($C184="","",SUMIFS('Dvd Calendar'!$E$2601:$AR$2601,'Dvd Calendar'!$E$2600:$AR$2600,"&gt;="&amp;DATE(Summary!$C$12-5,1,1),'Dvd Calendar'!$E$2600:$AR$2600,"&lt;="&amp;DATE(Summary!$C$12-5,12,31)))</f>
        <v/>
      </c>
      <c r="G184" s="53">
        <f>IF($C184="","",SUMIFS('Dvd Calendar'!$E$2601:$AR$2601,'Dvd Calendar'!$E$2600:$AR$2600,"&gt;="&amp;DATE(Summary!$C$12-4,1,1),'Dvd Calendar'!$E$2600:$AR$2600,"&lt;="&amp;DATE(Summary!$C$12-4,12,31)))</f>
        <v/>
      </c>
      <c r="H184" s="53">
        <f>IF($C184="","",SUMIFS('Dvd Calendar'!$E$2601:$AR$2601,'Dvd Calendar'!$E$2600:$AR$2600,"&gt;="&amp;DATE(Summary!$C$12-3,1,1),'Dvd Calendar'!$E$2600:$AR$2600,"&lt;="&amp;DATE(Summary!$C$12-3,12,31)))</f>
        <v/>
      </c>
      <c r="I184" s="53">
        <f>IF($C184="","",SUMIFS('Dvd Calendar'!$E$2601:$AR$2601,'Dvd Calendar'!$E$2600:$AR$2600,"&gt;="&amp;DATE(Summary!$C$12-2,1,1),'Dvd Calendar'!$E$2600:$AR$2600,"&lt;="&amp;DATE(Summary!$C$12-2,12,31)))</f>
        <v/>
      </c>
      <c r="J184" s="53">
        <f>IF($C184="","",SUMIFS('Dvd Calendar'!$E$2601:$AR$2601,'Dvd Calendar'!$E$2600:$AR$2600,"&gt;="&amp;DATE(Summary!$C$12-1,1,1),'Dvd Calendar'!$E$2600:$AR$2600,"&lt;="&amp;DATE(Summary!$C$12-1,12,31)))</f>
        <v/>
      </c>
      <c r="K184" s="54">
        <f>IF($C184="","",SUMIFS('Dvd Calendar'!$E$2601:$AR$2601,'Dvd Calendar'!$E$2600:$AR$2600,"&gt;="&amp;DATE(Summary!$C$12,1,1),'Dvd Calendar'!$E$2600:$AR$2600,"&lt;="&amp;MIN(Summary!$C$11,DATE(Summary!$C$12,12,31))))</f>
        <v/>
      </c>
      <c r="L184" s="38">
        <f>IF($C184="","",AVERAGE(F184:J184))</f>
        <v/>
      </c>
      <c r="M184" s="55">
        <f>IF($C184="","",IF(Summary!$C$16="N","",IFERROR(BDP($C184,'Field Check'!$C$16,'Field Check'!$C$17,TEXT(Summary!$C$12-5,"0")),"")))</f>
        <v/>
      </c>
      <c r="N184" s="55">
        <f>IF($C184="","",IF(Summary!$C$16="N","",IFERROR(BDP($C184,'Field Check'!$C$16,'Field Check'!$C$17,TEXT(Summary!$C$12-4,"0")),"")))</f>
        <v/>
      </c>
      <c r="O184" s="55">
        <f>IF($C184="","",IF(Summary!$C$16="N","",IFERROR(BDP($C184,'Field Check'!$C$16,'Field Check'!$C$17,TEXT(Summary!$C$12-3,"0")),"")))</f>
        <v/>
      </c>
      <c r="P184" s="55">
        <f>IF($C184="","",IF(Summary!$C$16="N","",IFERROR(BDP($C184,'Field Check'!$C$16,'Field Check'!$C$17,TEXT(Summary!$C$12-2,"0")),"")))</f>
        <v/>
      </c>
      <c r="Q184" s="55">
        <f>IF($C184="","",IF(Summary!$C$16="N","",IFERROR(BDP($C184,'Field Check'!$C$16,'Field Check'!$C$17,TEXT(Summary!$C$12-1,"0")),"")))</f>
        <v/>
      </c>
      <c r="R184" s="56">
        <f>IF($C184="","",IF(Summary!$C$16="N","",IFERROR(BDP($C184,'Field Check'!$C$18,'Field Check'!$C$17,TEXT(Summary!$C$12-5,"0"))/100,"")))</f>
        <v/>
      </c>
      <c r="S184" s="56">
        <f>IF($C184="","",IF(Summary!$C$16="N","",IFERROR(BDP($C184,'Field Check'!$C$18,'Field Check'!$C$17,TEXT(Summary!$C$12-4,"0"))/100,"")))</f>
        <v/>
      </c>
      <c r="T184" s="56">
        <f>IF($C184="","",IF(Summary!$C$16="N","",IFERROR(BDP($C184,'Field Check'!$C$18,'Field Check'!$C$17,TEXT(Summary!$C$12-3,"0"))/100,"")))</f>
        <v/>
      </c>
      <c r="U184" s="56">
        <f>IF($C184="","",IF(Summary!$C$16="N","",IFERROR(BDP($C184,'Field Check'!$C$18,'Field Check'!$C$17,TEXT(Summary!$C$12-2,"0"))/100,"")))</f>
        <v/>
      </c>
      <c r="V184" s="56">
        <f>IF($C184="","",IF(Summary!$C$16="N","",IFERROR(BDP($C184,'Field Check'!$C$18,'Field Check'!$C$17,TEXT(Summary!$C$12-1,"0"))/100,"")))</f>
        <v/>
      </c>
      <c r="W184" s="57">
        <f>IF($C184="","",IFERROR(AVERAGE(R184:V184),""))</f>
        <v/>
      </c>
      <c r="X184" s="58">
        <f>IF($C184="","",IF(ISNUMBER($Q184)*(N($Q184)&gt;0)=0,"",IFERROR($J184/$Q184,"")))</f>
        <v/>
      </c>
      <c r="Y184" s="59">
        <f>IF($C184="","",IF(ISNUMBER(HSCEI!$I$39),HSCEI!$I$39/100,""))</f>
        <v/>
      </c>
      <c r="Z184" s="60">
        <f>IF($C184="","",IF(Summary!$C$16="N","",IFERROR(BDP($C184,'Field Check'!$C$19)/100,"")))</f>
        <v/>
      </c>
      <c r="AA184" s="61">
        <f>IF($C184="","",IF(N($Y184)+N($Z184)=0,"",N($Y184)+N($Z184)))</f>
        <v/>
      </c>
      <c r="AB184" s="60">
        <f>IF($C184="","",IF(Summary!$C$16="N","",IFERROR(BDP($C184,'Field Check'!$C$20)/100,"")))</f>
        <v/>
      </c>
      <c r="AC184" s="45">
        <f>IF($C184="","",IF(N($Y184)=0,"",IFERROR($AB184/$Y184,"")))</f>
        <v/>
      </c>
      <c r="AD184" s="55">
        <f>IF($C184="","",IF(Summary!$C$16="N","",IFERROR(BDP($C184,'Field Check'!$C$21),"")))</f>
        <v/>
      </c>
      <c r="AE184" s="55">
        <f>IF($C184="","",IF(Summary!$C$16="N","",IFERROR(BDP($C184,'Field Check'!$C$22),"")))</f>
        <v/>
      </c>
      <c r="AF184" s="55">
        <f>IF($C184="","",IF(Summary!$C$16="N","",IFERROR(BDP($C184,'Field Check'!$C$23),"")))</f>
        <v/>
      </c>
      <c r="AG184" s="40">
        <f>IF($C184="","",TRIM(IF(ISNUMBER($W184)*(N($W184)&gt;$D$7)&gt;0,"payout high  ","")&amp;IF(ISNUMBER($AC184)*(N($AC184)&lt;$F$7)&gt;0,"FCF below dvd  ","")&amp;IF(ISNUMBER($AE184)*(N($AE184)&gt;$H$7)&gt;0,"leverage high","")))</f>
        <v/>
      </c>
      <c r="AH184" s="40">
        <f>IF($C184="","",IF(HSCEI!$F$39="HKD","",IF(HSCEI!$F$39="","","DPS in "&amp;HSCEI!$F$39)))</f>
        <v/>
      </c>
    </row>
    <row r="185">
      <c r="B185" s="52" t="inlineStr">
        <is>
          <t>HSCEI</t>
        </is>
      </c>
      <c r="C185" s="6">
        <f>IF(HSCEI!$C$40="","",HSCEI!$C$40)</f>
        <v/>
      </c>
      <c r="D185" s="6">
        <f>IF($C185="","",HSCEI!$D$40)</f>
        <v/>
      </c>
      <c r="E185" s="6">
        <f>IF($C185="","",HSCEI!$E$40)</f>
        <v/>
      </c>
      <c r="F185" s="53">
        <f>IF($C185="","",SUMIFS('Dvd Calendar'!$E$2616:$AR$2616,'Dvd Calendar'!$E$2615:$AR$2615,"&gt;="&amp;DATE(Summary!$C$12-5,1,1),'Dvd Calendar'!$E$2615:$AR$2615,"&lt;="&amp;DATE(Summary!$C$12-5,12,31)))</f>
        <v/>
      </c>
      <c r="G185" s="53">
        <f>IF($C185="","",SUMIFS('Dvd Calendar'!$E$2616:$AR$2616,'Dvd Calendar'!$E$2615:$AR$2615,"&gt;="&amp;DATE(Summary!$C$12-4,1,1),'Dvd Calendar'!$E$2615:$AR$2615,"&lt;="&amp;DATE(Summary!$C$12-4,12,31)))</f>
        <v/>
      </c>
      <c r="H185" s="53">
        <f>IF($C185="","",SUMIFS('Dvd Calendar'!$E$2616:$AR$2616,'Dvd Calendar'!$E$2615:$AR$2615,"&gt;="&amp;DATE(Summary!$C$12-3,1,1),'Dvd Calendar'!$E$2615:$AR$2615,"&lt;="&amp;DATE(Summary!$C$12-3,12,31)))</f>
        <v/>
      </c>
      <c r="I185" s="53">
        <f>IF($C185="","",SUMIFS('Dvd Calendar'!$E$2616:$AR$2616,'Dvd Calendar'!$E$2615:$AR$2615,"&gt;="&amp;DATE(Summary!$C$12-2,1,1),'Dvd Calendar'!$E$2615:$AR$2615,"&lt;="&amp;DATE(Summary!$C$12-2,12,31)))</f>
        <v/>
      </c>
      <c r="J185" s="53">
        <f>IF($C185="","",SUMIFS('Dvd Calendar'!$E$2616:$AR$2616,'Dvd Calendar'!$E$2615:$AR$2615,"&gt;="&amp;DATE(Summary!$C$12-1,1,1),'Dvd Calendar'!$E$2615:$AR$2615,"&lt;="&amp;DATE(Summary!$C$12-1,12,31)))</f>
        <v/>
      </c>
      <c r="K185" s="54">
        <f>IF($C185="","",SUMIFS('Dvd Calendar'!$E$2616:$AR$2616,'Dvd Calendar'!$E$2615:$AR$2615,"&gt;="&amp;DATE(Summary!$C$12,1,1),'Dvd Calendar'!$E$2615:$AR$2615,"&lt;="&amp;MIN(Summary!$C$11,DATE(Summary!$C$12,12,31))))</f>
        <v/>
      </c>
      <c r="L185" s="38">
        <f>IF($C185="","",AVERAGE(F185:J185))</f>
        <v/>
      </c>
      <c r="M185" s="55">
        <f>IF($C185="","",IF(Summary!$C$16="N","",IFERROR(BDP($C185,'Field Check'!$C$16,'Field Check'!$C$17,TEXT(Summary!$C$12-5,"0")),"")))</f>
        <v/>
      </c>
      <c r="N185" s="55">
        <f>IF($C185="","",IF(Summary!$C$16="N","",IFERROR(BDP($C185,'Field Check'!$C$16,'Field Check'!$C$17,TEXT(Summary!$C$12-4,"0")),"")))</f>
        <v/>
      </c>
      <c r="O185" s="55">
        <f>IF($C185="","",IF(Summary!$C$16="N","",IFERROR(BDP($C185,'Field Check'!$C$16,'Field Check'!$C$17,TEXT(Summary!$C$12-3,"0")),"")))</f>
        <v/>
      </c>
      <c r="P185" s="55">
        <f>IF($C185="","",IF(Summary!$C$16="N","",IFERROR(BDP($C185,'Field Check'!$C$16,'Field Check'!$C$17,TEXT(Summary!$C$12-2,"0")),"")))</f>
        <v/>
      </c>
      <c r="Q185" s="55">
        <f>IF($C185="","",IF(Summary!$C$16="N","",IFERROR(BDP($C185,'Field Check'!$C$16,'Field Check'!$C$17,TEXT(Summary!$C$12-1,"0")),"")))</f>
        <v/>
      </c>
      <c r="R185" s="56">
        <f>IF($C185="","",IF(Summary!$C$16="N","",IFERROR(BDP($C185,'Field Check'!$C$18,'Field Check'!$C$17,TEXT(Summary!$C$12-5,"0"))/100,"")))</f>
        <v/>
      </c>
      <c r="S185" s="56">
        <f>IF($C185="","",IF(Summary!$C$16="N","",IFERROR(BDP($C185,'Field Check'!$C$18,'Field Check'!$C$17,TEXT(Summary!$C$12-4,"0"))/100,"")))</f>
        <v/>
      </c>
      <c r="T185" s="56">
        <f>IF($C185="","",IF(Summary!$C$16="N","",IFERROR(BDP($C185,'Field Check'!$C$18,'Field Check'!$C$17,TEXT(Summary!$C$12-3,"0"))/100,"")))</f>
        <v/>
      </c>
      <c r="U185" s="56">
        <f>IF($C185="","",IF(Summary!$C$16="N","",IFERROR(BDP($C185,'Field Check'!$C$18,'Field Check'!$C$17,TEXT(Summary!$C$12-2,"0"))/100,"")))</f>
        <v/>
      </c>
      <c r="V185" s="56">
        <f>IF($C185="","",IF(Summary!$C$16="N","",IFERROR(BDP($C185,'Field Check'!$C$18,'Field Check'!$C$17,TEXT(Summary!$C$12-1,"0"))/100,"")))</f>
        <v/>
      </c>
      <c r="W185" s="57">
        <f>IF($C185="","",IFERROR(AVERAGE(R185:V185),""))</f>
        <v/>
      </c>
      <c r="X185" s="58">
        <f>IF($C185="","",IF(ISNUMBER($Q185)*(N($Q185)&gt;0)=0,"",IFERROR($J185/$Q185,"")))</f>
        <v/>
      </c>
      <c r="Y185" s="59">
        <f>IF($C185="","",IF(ISNUMBER(HSCEI!$I$40),HSCEI!$I$40/100,""))</f>
        <v/>
      </c>
      <c r="Z185" s="60">
        <f>IF($C185="","",IF(Summary!$C$16="N","",IFERROR(BDP($C185,'Field Check'!$C$19)/100,"")))</f>
        <v/>
      </c>
      <c r="AA185" s="61">
        <f>IF($C185="","",IF(N($Y185)+N($Z185)=0,"",N($Y185)+N($Z185)))</f>
        <v/>
      </c>
      <c r="AB185" s="60">
        <f>IF($C185="","",IF(Summary!$C$16="N","",IFERROR(BDP($C185,'Field Check'!$C$20)/100,"")))</f>
        <v/>
      </c>
      <c r="AC185" s="45">
        <f>IF($C185="","",IF(N($Y185)=0,"",IFERROR($AB185/$Y185,"")))</f>
        <v/>
      </c>
      <c r="AD185" s="55">
        <f>IF($C185="","",IF(Summary!$C$16="N","",IFERROR(BDP($C185,'Field Check'!$C$21),"")))</f>
        <v/>
      </c>
      <c r="AE185" s="55">
        <f>IF($C185="","",IF(Summary!$C$16="N","",IFERROR(BDP($C185,'Field Check'!$C$22),"")))</f>
        <v/>
      </c>
      <c r="AF185" s="55">
        <f>IF($C185="","",IF(Summary!$C$16="N","",IFERROR(BDP($C185,'Field Check'!$C$23),"")))</f>
        <v/>
      </c>
      <c r="AG185" s="40">
        <f>IF($C185="","",TRIM(IF(ISNUMBER($W185)*(N($W185)&gt;$D$7)&gt;0,"payout high  ","")&amp;IF(ISNUMBER($AC185)*(N($AC185)&lt;$F$7)&gt;0,"FCF below dvd  ","")&amp;IF(ISNUMBER($AE185)*(N($AE185)&gt;$H$7)&gt;0,"leverage high","")))</f>
        <v/>
      </c>
      <c r="AH185" s="40">
        <f>IF($C185="","",IF(HSCEI!$F$40="HKD","",IF(HSCEI!$F$40="","","DPS in "&amp;HSCEI!$F$40)))</f>
        <v/>
      </c>
    </row>
    <row r="186">
      <c r="B186" s="52" t="inlineStr">
        <is>
          <t>HSCEI</t>
        </is>
      </c>
      <c r="C186" s="6">
        <f>IF(HSCEI!$C$41="","",HSCEI!$C$41)</f>
        <v/>
      </c>
      <c r="D186" s="6">
        <f>IF($C186="","",HSCEI!$D$41)</f>
        <v/>
      </c>
      <c r="E186" s="6">
        <f>IF($C186="","",HSCEI!$E$41)</f>
        <v/>
      </c>
      <c r="F186" s="53">
        <f>IF($C186="","",SUMIFS('Dvd Calendar'!$E$2631:$AR$2631,'Dvd Calendar'!$E$2630:$AR$2630,"&gt;="&amp;DATE(Summary!$C$12-5,1,1),'Dvd Calendar'!$E$2630:$AR$2630,"&lt;="&amp;DATE(Summary!$C$12-5,12,31)))</f>
        <v/>
      </c>
      <c r="G186" s="53">
        <f>IF($C186="","",SUMIFS('Dvd Calendar'!$E$2631:$AR$2631,'Dvd Calendar'!$E$2630:$AR$2630,"&gt;="&amp;DATE(Summary!$C$12-4,1,1),'Dvd Calendar'!$E$2630:$AR$2630,"&lt;="&amp;DATE(Summary!$C$12-4,12,31)))</f>
        <v/>
      </c>
      <c r="H186" s="53">
        <f>IF($C186="","",SUMIFS('Dvd Calendar'!$E$2631:$AR$2631,'Dvd Calendar'!$E$2630:$AR$2630,"&gt;="&amp;DATE(Summary!$C$12-3,1,1),'Dvd Calendar'!$E$2630:$AR$2630,"&lt;="&amp;DATE(Summary!$C$12-3,12,31)))</f>
        <v/>
      </c>
      <c r="I186" s="53">
        <f>IF($C186="","",SUMIFS('Dvd Calendar'!$E$2631:$AR$2631,'Dvd Calendar'!$E$2630:$AR$2630,"&gt;="&amp;DATE(Summary!$C$12-2,1,1),'Dvd Calendar'!$E$2630:$AR$2630,"&lt;="&amp;DATE(Summary!$C$12-2,12,31)))</f>
        <v/>
      </c>
      <c r="J186" s="53">
        <f>IF($C186="","",SUMIFS('Dvd Calendar'!$E$2631:$AR$2631,'Dvd Calendar'!$E$2630:$AR$2630,"&gt;="&amp;DATE(Summary!$C$12-1,1,1),'Dvd Calendar'!$E$2630:$AR$2630,"&lt;="&amp;DATE(Summary!$C$12-1,12,31)))</f>
        <v/>
      </c>
      <c r="K186" s="54">
        <f>IF($C186="","",SUMIFS('Dvd Calendar'!$E$2631:$AR$2631,'Dvd Calendar'!$E$2630:$AR$2630,"&gt;="&amp;DATE(Summary!$C$12,1,1),'Dvd Calendar'!$E$2630:$AR$2630,"&lt;="&amp;MIN(Summary!$C$11,DATE(Summary!$C$12,12,31))))</f>
        <v/>
      </c>
      <c r="L186" s="38">
        <f>IF($C186="","",AVERAGE(F186:J186))</f>
        <v/>
      </c>
      <c r="M186" s="55">
        <f>IF($C186="","",IF(Summary!$C$16="N","",IFERROR(BDP($C186,'Field Check'!$C$16,'Field Check'!$C$17,TEXT(Summary!$C$12-5,"0")),"")))</f>
        <v/>
      </c>
      <c r="N186" s="55">
        <f>IF($C186="","",IF(Summary!$C$16="N","",IFERROR(BDP($C186,'Field Check'!$C$16,'Field Check'!$C$17,TEXT(Summary!$C$12-4,"0")),"")))</f>
        <v/>
      </c>
      <c r="O186" s="55">
        <f>IF($C186="","",IF(Summary!$C$16="N","",IFERROR(BDP($C186,'Field Check'!$C$16,'Field Check'!$C$17,TEXT(Summary!$C$12-3,"0")),"")))</f>
        <v/>
      </c>
      <c r="P186" s="55">
        <f>IF($C186="","",IF(Summary!$C$16="N","",IFERROR(BDP($C186,'Field Check'!$C$16,'Field Check'!$C$17,TEXT(Summary!$C$12-2,"0")),"")))</f>
        <v/>
      </c>
      <c r="Q186" s="55">
        <f>IF($C186="","",IF(Summary!$C$16="N","",IFERROR(BDP($C186,'Field Check'!$C$16,'Field Check'!$C$17,TEXT(Summary!$C$12-1,"0")),"")))</f>
        <v/>
      </c>
      <c r="R186" s="56">
        <f>IF($C186="","",IF(Summary!$C$16="N","",IFERROR(BDP($C186,'Field Check'!$C$18,'Field Check'!$C$17,TEXT(Summary!$C$12-5,"0"))/100,"")))</f>
        <v/>
      </c>
      <c r="S186" s="56">
        <f>IF($C186="","",IF(Summary!$C$16="N","",IFERROR(BDP($C186,'Field Check'!$C$18,'Field Check'!$C$17,TEXT(Summary!$C$12-4,"0"))/100,"")))</f>
        <v/>
      </c>
      <c r="T186" s="56">
        <f>IF($C186="","",IF(Summary!$C$16="N","",IFERROR(BDP($C186,'Field Check'!$C$18,'Field Check'!$C$17,TEXT(Summary!$C$12-3,"0"))/100,"")))</f>
        <v/>
      </c>
      <c r="U186" s="56">
        <f>IF($C186="","",IF(Summary!$C$16="N","",IFERROR(BDP($C186,'Field Check'!$C$18,'Field Check'!$C$17,TEXT(Summary!$C$12-2,"0"))/100,"")))</f>
        <v/>
      </c>
      <c r="V186" s="56">
        <f>IF($C186="","",IF(Summary!$C$16="N","",IFERROR(BDP($C186,'Field Check'!$C$18,'Field Check'!$C$17,TEXT(Summary!$C$12-1,"0"))/100,"")))</f>
        <v/>
      </c>
      <c r="W186" s="57">
        <f>IF($C186="","",IFERROR(AVERAGE(R186:V186),""))</f>
        <v/>
      </c>
      <c r="X186" s="58">
        <f>IF($C186="","",IF(ISNUMBER($Q186)*(N($Q186)&gt;0)=0,"",IFERROR($J186/$Q186,"")))</f>
        <v/>
      </c>
      <c r="Y186" s="59">
        <f>IF($C186="","",IF(ISNUMBER(HSCEI!$I$41),HSCEI!$I$41/100,""))</f>
        <v/>
      </c>
      <c r="Z186" s="60">
        <f>IF($C186="","",IF(Summary!$C$16="N","",IFERROR(BDP($C186,'Field Check'!$C$19)/100,"")))</f>
        <v/>
      </c>
      <c r="AA186" s="61">
        <f>IF($C186="","",IF(N($Y186)+N($Z186)=0,"",N($Y186)+N($Z186)))</f>
        <v/>
      </c>
      <c r="AB186" s="60">
        <f>IF($C186="","",IF(Summary!$C$16="N","",IFERROR(BDP($C186,'Field Check'!$C$20)/100,"")))</f>
        <v/>
      </c>
      <c r="AC186" s="45">
        <f>IF($C186="","",IF(N($Y186)=0,"",IFERROR($AB186/$Y186,"")))</f>
        <v/>
      </c>
      <c r="AD186" s="55">
        <f>IF($C186="","",IF(Summary!$C$16="N","",IFERROR(BDP($C186,'Field Check'!$C$21),"")))</f>
        <v/>
      </c>
      <c r="AE186" s="55">
        <f>IF($C186="","",IF(Summary!$C$16="N","",IFERROR(BDP($C186,'Field Check'!$C$22),"")))</f>
        <v/>
      </c>
      <c r="AF186" s="55">
        <f>IF($C186="","",IF(Summary!$C$16="N","",IFERROR(BDP($C186,'Field Check'!$C$23),"")))</f>
        <v/>
      </c>
      <c r="AG186" s="40">
        <f>IF($C186="","",TRIM(IF(ISNUMBER($W186)*(N($W186)&gt;$D$7)&gt;0,"payout high  ","")&amp;IF(ISNUMBER($AC186)*(N($AC186)&lt;$F$7)&gt;0,"FCF below dvd  ","")&amp;IF(ISNUMBER($AE186)*(N($AE186)&gt;$H$7)&gt;0,"leverage high","")))</f>
        <v/>
      </c>
      <c r="AH186" s="40">
        <f>IF($C186="","",IF(HSCEI!$F$41="HKD","",IF(HSCEI!$F$41="","","DPS in "&amp;HSCEI!$F$41)))</f>
        <v/>
      </c>
    </row>
    <row r="187">
      <c r="B187" s="52" t="inlineStr">
        <is>
          <t>HSCEI</t>
        </is>
      </c>
      <c r="C187" s="6">
        <f>IF(HSCEI!$C$42="","",HSCEI!$C$42)</f>
        <v/>
      </c>
      <c r="D187" s="6">
        <f>IF($C187="","",HSCEI!$D$42)</f>
        <v/>
      </c>
      <c r="E187" s="6">
        <f>IF($C187="","",HSCEI!$E$42)</f>
        <v/>
      </c>
      <c r="F187" s="53">
        <f>IF($C187="","",SUMIFS('Dvd Calendar'!$E$2646:$AR$2646,'Dvd Calendar'!$E$2645:$AR$2645,"&gt;="&amp;DATE(Summary!$C$12-5,1,1),'Dvd Calendar'!$E$2645:$AR$2645,"&lt;="&amp;DATE(Summary!$C$12-5,12,31)))</f>
        <v/>
      </c>
      <c r="G187" s="53">
        <f>IF($C187="","",SUMIFS('Dvd Calendar'!$E$2646:$AR$2646,'Dvd Calendar'!$E$2645:$AR$2645,"&gt;="&amp;DATE(Summary!$C$12-4,1,1),'Dvd Calendar'!$E$2645:$AR$2645,"&lt;="&amp;DATE(Summary!$C$12-4,12,31)))</f>
        <v/>
      </c>
      <c r="H187" s="53">
        <f>IF($C187="","",SUMIFS('Dvd Calendar'!$E$2646:$AR$2646,'Dvd Calendar'!$E$2645:$AR$2645,"&gt;="&amp;DATE(Summary!$C$12-3,1,1),'Dvd Calendar'!$E$2645:$AR$2645,"&lt;="&amp;DATE(Summary!$C$12-3,12,31)))</f>
        <v/>
      </c>
      <c r="I187" s="53">
        <f>IF($C187="","",SUMIFS('Dvd Calendar'!$E$2646:$AR$2646,'Dvd Calendar'!$E$2645:$AR$2645,"&gt;="&amp;DATE(Summary!$C$12-2,1,1),'Dvd Calendar'!$E$2645:$AR$2645,"&lt;="&amp;DATE(Summary!$C$12-2,12,31)))</f>
        <v/>
      </c>
      <c r="J187" s="53">
        <f>IF($C187="","",SUMIFS('Dvd Calendar'!$E$2646:$AR$2646,'Dvd Calendar'!$E$2645:$AR$2645,"&gt;="&amp;DATE(Summary!$C$12-1,1,1),'Dvd Calendar'!$E$2645:$AR$2645,"&lt;="&amp;DATE(Summary!$C$12-1,12,31)))</f>
        <v/>
      </c>
      <c r="K187" s="54">
        <f>IF($C187="","",SUMIFS('Dvd Calendar'!$E$2646:$AR$2646,'Dvd Calendar'!$E$2645:$AR$2645,"&gt;="&amp;DATE(Summary!$C$12,1,1),'Dvd Calendar'!$E$2645:$AR$2645,"&lt;="&amp;MIN(Summary!$C$11,DATE(Summary!$C$12,12,31))))</f>
        <v/>
      </c>
      <c r="L187" s="38">
        <f>IF($C187="","",AVERAGE(F187:J187))</f>
        <v/>
      </c>
      <c r="M187" s="55">
        <f>IF($C187="","",IF(Summary!$C$16="N","",IFERROR(BDP($C187,'Field Check'!$C$16,'Field Check'!$C$17,TEXT(Summary!$C$12-5,"0")),"")))</f>
        <v/>
      </c>
      <c r="N187" s="55">
        <f>IF($C187="","",IF(Summary!$C$16="N","",IFERROR(BDP($C187,'Field Check'!$C$16,'Field Check'!$C$17,TEXT(Summary!$C$12-4,"0")),"")))</f>
        <v/>
      </c>
      <c r="O187" s="55">
        <f>IF($C187="","",IF(Summary!$C$16="N","",IFERROR(BDP($C187,'Field Check'!$C$16,'Field Check'!$C$17,TEXT(Summary!$C$12-3,"0")),"")))</f>
        <v/>
      </c>
      <c r="P187" s="55">
        <f>IF($C187="","",IF(Summary!$C$16="N","",IFERROR(BDP($C187,'Field Check'!$C$16,'Field Check'!$C$17,TEXT(Summary!$C$12-2,"0")),"")))</f>
        <v/>
      </c>
      <c r="Q187" s="55">
        <f>IF($C187="","",IF(Summary!$C$16="N","",IFERROR(BDP($C187,'Field Check'!$C$16,'Field Check'!$C$17,TEXT(Summary!$C$12-1,"0")),"")))</f>
        <v/>
      </c>
      <c r="R187" s="56">
        <f>IF($C187="","",IF(Summary!$C$16="N","",IFERROR(BDP($C187,'Field Check'!$C$18,'Field Check'!$C$17,TEXT(Summary!$C$12-5,"0"))/100,"")))</f>
        <v/>
      </c>
      <c r="S187" s="56">
        <f>IF($C187="","",IF(Summary!$C$16="N","",IFERROR(BDP($C187,'Field Check'!$C$18,'Field Check'!$C$17,TEXT(Summary!$C$12-4,"0"))/100,"")))</f>
        <v/>
      </c>
      <c r="T187" s="56">
        <f>IF($C187="","",IF(Summary!$C$16="N","",IFERROR(BDP($C187,'Field Check'!$C$18,'Field Check'!$C$17,TEXT(Summary!$C$12-3,"0"))/100,"")))</f>
        <v/>
      </c>
      <c r="U187" s="56">
        <f>IF($C187="","",IF(Summary!$C$16="N","",IFERROR(BDP($C187,'Field Check'!$C$18,'Field Check'!$C$17,TEXT(Summary!$C$12-2,"0"))/100,"")))</f>
        <v/>
      </c>
      <c r="V187" s="56">
        <f>IF($C187="","",IF(Summary!$C$16="N","",IFERROR(BDP($C187,'Field Check'!$C$18,'Field Check'!$C$17,TEXT(Summary!$C$12-1,"0"))/100,"")))</f>
        <v/>
      </c>
      <c r="W187" s="57">
        <f>IF($C187="","",IFERROR(AVERAGE(R187:V187),""))</f>
        <v/>
      </c>
      <c r="X187" s="58">
        <f>IF($C187="","",IF(ISNUMBER($Q187)*(N($Q187)&gt;0)=0,"",IFERROR($J187/$Q187,"")))</f>
        <v/>
      </c>
      <c r="Y187" s="59">
        <f>IF($C187="","",IF(ISNUMBER(HSCEI!$I$42),HSCEI!$I$42/100,""))</f>
        <v/>
      </c>
      <c r="Z187" s="60">
        <f>IF($C187="","",IF(Summary!$C$16="N","",IFERROR(BDP($C187,'Field Check'!$C$19)/100,"")))</f>
        <v/>
      </c>
      <c r="AA187" s="61">
        <f>IF($C187="","",IF(N($Y187)+N($Z187)=0,"",N($Y187)+N($Z187)))</f>
        <v/>
      </c>
      <c r="AB187" s="60">
        <f>IF($C187="","",IF(Summary!$C$16="N","",IFERROR(BDP($C187,'Field Check'!$C$20)/100,"")))</f>
        <v/>
      </c>
      <c r="AC187" s="45">
        <f>IF($C187="","",IF(N($Y187)=0,"",IFERROR($AB187/$Y187,"")))</f>
        <v/>
      </c>
      <c r="AD187" s="55">
        <f>IF($C187="","",IF(Summary!$C$16="N","",IFERROR(BDP($C187,'Field Check'!$C$21),"")))</f>
        <v/>
      </c>
      <c r="AE187" s="55">
        <f>IF($C187="","",IF(Summary!$C$16="N","",IFERROR(BDP($C187,'Field Check'!$C$22),"")))</f>
        <v/>
      </c>
      <c r="AF187" s="55">
        <f>IF($C187="","",IF(Summary!$C$16="N","",IFERROR(BDP($C187,'Field Check'!$C$23),"")))</f>
        <v/>
      </c>
      <c r="AG187" s="40">
        <f>IF($C187="","",TRIM(IF(ISNUMBER($W187)*(N($W187)&gt;$D$7)&gt;0,"payout high  ","")&amp;IF(ISNUMBER($AC187)*(N($AC187)&lt;$F$7)&gt;0,"FCF below dvd  ","")&amp;IF(ISNUMBER($AE187)*(N($AE187)&gt;$H$7)&gt;0,"leverage high","")))</f>
        <v/>
      </c>
      <c r="AH187" s="40">
        <f>IF($C187="","",IF(HSCEI!$F$42="HKD","",IF(HSCEI!$F$42="","","DPS in "&amp;HSCEI!$F$42)))</f>
        <v/>
      </c>
    </row>
    <row r="188">
      <c r="B188" s="52" t="inlineStr">
        <is>
          <t>HSCEI</t>
        </is>
      </c>
      <c r="C188" s="6">
        <f>IF(HSCEI!$C$43="","",HSCEI!$C$43)</f>
        <v/>
      </c>
      <c r="D188" s="6">
        <f>IF($C188="","",HSCEI!$D$43)</f>
        <v/>
      </c>
      <c r="E188" s="6">
        <f>IF($C188="","",HSCEI!$E$43)</f>
        <v/>
      </c>
      <c r="F188" s="53">
        <f>IF($C188="","",SUMIFS('Dvd Calendar'!$E$2661:$AR$2661,'Dvd Calendar'!$E$2660:$AR$2660,"&gt;="&amp;DATE(Summary!$C$12-5,1,1),'Dvd Calendar'!$E$2660:$AR$2660,"&lt;="&amp;DATE(Summary!$C$12-5,12,31)))</f>
        <v/>
      </c>
      <c r="G188" s="53">
        <f>IF($C188="","",SUMIFS('Dvd Calendar'!$E$2661:$AR$2661,'Dvd Calendar'!$E$2660:$AR$2660,"&gt;="&amp;DATE(Summary!$C$12-4,1,1),'Dvd Calendar'!$E$2660:$AR$2660,"&lt;="&amp;DATE(Summary!$C$12-4,12,31)))</f>
        <v/>
      </c>
      <c r="H188" s="53">
        <f>IF($C188="","",SUMIFS('Dvd Calendar'!$E$2661:$AR$2661,'Dvd Calendar'!$E$2660:$AR$2660,"&gt;="&amp;DATE(Summary!$C$12-3,1,1),'Dvd Calendar'!$E$2660:$AR$2660,"&lt;="&amp;DATE(Summary!$C$12-3,12,31)))</f>
        <v/>
      </c>
      <c r="I188" s="53">
        <f>IF($C188="","",SUMIFS('Dvd Calendar'!$E$2661:$AR$2661,'Dvd Calendar'!$E$2660:$AR$2660,"&gt;="&amp;DATE(Summary!$C$12-2,1,1),'Dvd Calendar'!$E$2660:$AR$2660,"&lt;="&amp;DATE(Summary!$C$12-2,12,31)))</f>
        <v/>
      </c>
      <c r="J188" s="53">
        <f>IF($C188="","",SUMIFS('Dvd Calendar'!$E$2661:$AR$2661,'Dvd Calendar'!$E$2660:$AR$2660,"&gt;="&amp;DATE(Summary!$C$12-1,1,1),'Dvd Calendar'!$E$2660:$AR$2660,"&lt;="&amp;DATE(Summary!$C$12-1,12,31)))</f>
        <v/>
      </c>
      <c r="K188" s="54">
        <f>IF($C188="","",SUMIFS('Dvd Calendar'!$E$2661:$AR$2661,'Dvd Calendar'!$E$2660:$AR$2660,"&gt;="&amp;DATE(Summary!$C$12,1,1),'Dvd Calendar'!$E$2660:$AR$2660,"&lt;="&amp;MIN(Summary!$C$11,DATE(Summary!$C$12,12,31))))</f>
        <v/>
      </c>
      <c r="L188" s="38">
        <f>IF($C188="","",AVERAGE(F188:J188))</f>
        <v/>
      </c>
      <c r="M188" s="55">
        <f>IF($C188="","",IF(Summary!$C$16="N","",IFERROR(BDP($C188,'Field Check'!$C$16,'Field Check'!$C$17,TEXT(Summary!$C$12-5,"0")),"")))</f>
        <v/>
      </c>
      <c r="N188" s="55">
        <f>IF($C188="","",IF(Summary!$C$16="N","",IFERROR(BDP($C188,'Field Check'!$C$16,'Field Check'!$C$17,TEXT(Summary!$C$12-4,"0")),"")))</f>
        <v/>
      </c>
      <c r="O188" s="55">
        <f>IF($C188="","",IF(Summary!$C$16="N","",IFERROR(BDP($C188,'Field Check'!$C$16,'Field Check'!$C$17,TEXT(Summary!$C$12-3,"0")),"")))</f>
        <v/>
      </c>
      <c r="P188" s="55">
        <f>IF($C188="","",IF(Summary!$C$16="N","",IFERROR(BDP($C188,'Field Check'!$C$16,'Field Check'!$C$17,TEXT(Summary!$C$12-2,"0")),"")))</f>
        <v/>
      </c>
      <c r="Q188" s="55">
        <f>IF($C188="","",IF(Summary!$C$16="N","",IFERROR(BDP($C188,'Field Check'!$C$16,'Field Check'!$C$17,TEXT(Summary!$C$12-1,"0")),"")))</f>
        <v/>
      </c>
      <c r="R188" s="56">
        <f>IF($C188="","",IF(Summary!$C$16="N","",IFERROR(BDP($C188,'Field Check'!$C$18,'Field Check'!$C$17,TEXT(Summary!$C$12-5,"0"))/100,"")))</f>
        <v/>
      </c>
      <c r="S188" s="56">
        <f>IF($C188="","",IF(Summary!$C$16="N","",IFERROR(BDP($C188,'Field Check'!$C$18,'Field Check'!$C$17,TEXT(Summary!$C$12-4,"0"))/100,"")))</f>
        <v/>
      </c>
      <c r="T188" s="56">
        <f>IF($C188="","",IF(Summary!$C$16="N","",IFERROR(BDP($C188,'Field Check'!$C$18,'Field Check'!$C$17,TEXT(Summary!$C$12-3,"0"))/100,"")))</f>
        <v/>
      </c>
      <c r="U188" s="56">
        <f>IF($C188="","",IF(Summary!$C$16="N","",IFERROR(BDP($C188,'Field Check'!$C$18,'Field Check'!$C$17,TEXT(Summary!$C$12-2,"0"))/100,"")))</f>
        <v/>
      </c>
      <c r="V188" s="56">
        <f>IF($C188="","",IF(Summary!$C$16="N","",IFERROR(BDP($C188,'Field Check'!$C$18,'Field Check'!$C$17,TEXT(Summary!$C$12-1,"0"))/100,"")))</f>
        <v/>
      </c>
      <c r="W188" s="57">
        <f>IF($C188="","",IFERROR(AVERAGE(R188:V188),""))</f>
        <v/>
      </c>
      <c r="X188" s="58">
        <f>IF($C188="","",IF(ISNUMBER($Q188)*(N($Q188)&gt;0)=0,"",IFERROR($J188/$Q188,"")))</f>
        <v/>
      </c>
      <c r="Y188" s="59">
        <f>IF($C188="","",IF(ISNUMBER(HSCEI!$I$43),HSCEI!$I$43/100,""))</f>
        <v/>
      </c>
      <c r="Z188" s="60">
        <f>IF($C188="","",IF(Summary!$C$16="N","",IFERROR(BDP($C188,'Field Check'!$C$19)/100,"")))</f>
        <v/>
      </c>
      <c r="AA188" s="61">
        <f>IF($C188="","",IF(N($Y188)+N($Z188)=0,"",N($Y188)+N($Z188)))</f>
        <v/>
      </c>
      <c r="AB188" s="60">
        <f>IF($C188="","",IF(Summary!$C$16="N","",IFERROR(BDP($C188,'Field Check'!$C$20)/100,"")))</f>
        <v/>
      </c>
      <c r="AC188" s="45">
        <f>IF($C188="","",IF(N($Y188)=0,"",IFERROR($AB188/$Y188,"")))</f>
        <v/>
      </c>
      <c r="AD188" s="55">
        <f>IF($C188="","",IF(Summary!$C$16="N","",IFERROR(BDP($C188,'Field Check'!$C$21),"")))</f>
        <v/>
      </c>
      <c r="AE188" s="55">
        <f>IF($C188="","",IF(Summary!$C$16="N","",IFERROR(BDP($C188,'Field Check'!$C$22),"")))</f>
        <v/>
      </c>
      <c r="AF188" s="55">
        <f>IF($C188="","",IF(Summary!$C$16="N","",IFERROR(BDP($C188,'Field Check'!$C$23),"")))</f>
        <v/>
      </c>
      <c r="AG188" s="40">
        <f>IF($C188="","",TRIM(IF(ISNUMBER($W188)*(N($W188)&gt;$D$7)&gt;0,"payout high  ","")&amp;IF(ISNUMBER($AC188)*(N($AC188)&lt;$F$7)&gt;0,"FCF below dvd  ","")&amp;IF(ISNUMBER($AE188)*(N($AE188)&gt;$H$7)&gt;0,"leverage high","")))</f>
        <v/>
      </c>
      <c r="AH188" s="40">
        <f>IF($C188="","",IF(HSCEI!$F$43="HKD","",IF(HSCEI!$F$43="","","DPS in "&amp;HSCEI!$F$43)))</f>
        <v/>
      </c>
    </row>
    <row r="189">
      <c r="B189" s="52" t="inlineStr">
        <is>
          <t>HSCEI</t>
        </is>
      </c>
      <c r="C189" s="6">
        <f>IF(HSCEI!$C$44="","",HSCEI!$C$44)</f>
        <v/>
      </c>
      <c r="D189" s="6">
        <f>IF($C189="","",HSCEI!$D$44)</f>
        <v/>
      </c>
      <c r="E189" s="6">
        <f>IF($C189="","",HSCEI!$E$44)</f>
        <v/>
      </c>
      <c r="F189" s="53">
        <f>IF($C189="","",SUMIFS('Dvd Calendar'!$E$2676:$AR$2676,'Dvd Calendar'!$E$2675:$AR$2675,"&gt;="&amp;DATE(Summary!$C$12-5,1,1),'Dvd Calendar'!$E$2675:$AR$2675,"&lt;="&amp;DATE(Summary!$C$12-5,12,31)))</f>
        <v/>
      </c>
      <c r="G189" s="53">
        <f>IF($C189="","",SUMIFS('Dvd Calendar'!$E$2676:$AR$2676,'Dvd Calendar'!$E$2675:$AR$2675,"&gt;="&amp;DATE(Summary!$C$12-4,1,1),'Dvd Calendar'!$E$2675:$AR$2675,"&lt;="&amp;DATE(Summary!$C$12-4,12,31)))</f>
        <v/>
      </c>
      <c r="H189" s="53">
        <f>IF($C189="","",SUMIFS('Dvd Calendar'!$E$2676:$AR$2676,'Dvd Calendar'!$E$2675:$AR$2675,"&gt;="&amp;DATE(Summary!$C$12-3,1,1),'Dvd Calendar'!$E$2675:$AR$2675,"&lt;="&amp;DATE(Summary!$C$12-3,12,31)))</f>
        <v/>
      </c>
      <c r="I189" s="53">
        <f>IF($C189="","",SUMIFS('Dvd Calendar'!$E$2676:$AR$2676,'Dvd Calendar'!$E$2675:$AR$2675,"&gt;="&amp;DATE(Summary!$C$12-2,1,1),'Dvd Calendar'!$E$2675:$AR$2675,"&lt;="&amp;DATE(Summary!$C$12-2,12,31)))</f>
        <v/>
      </c>
      <c r="J189" s="53">
        <f>IF($C189="","",SUMIFS('Dvd Calendar'!$E$2676:$AR$2676,'Dvd Calendar'!$E$2675:$AR$2675,"&gt;="&amp;DATE(Summary!$C$12-1,1,1),'Dvd Calendar'!$E$2675:$AR$2675,"&lt;="&amp;DATE(Summary!$C$12-1,12,31)))</f>
        <v/>
      </c>
      <c r="K189" s="54">
        <f>IF($C189="","",SUMIFS('Dvd Calendar'!$E$2676:$AR$2676,'Dvd Calendar'!$E$2675:$AR$2675,"&gt;="&amp;DATE(Summary!$C$12,1,1),'Dvd Calendar'!$E$2675:$AR$2675,"&lt;="&amp;MIN(Summary!$C$11,DATE(Summary!$C$12,12,31))))</f>
        <v/>
      </c>
      <c r="L189" s="38">
        <f>IF($C189="","",AVERAGE(F189:J189))</f>
        <v/>
      </c>
      <c r="M189" s="55">
        <f>IF($C189="","",IF(Summary!$C$16="N","",IFERROR(BDP($C189,'Field Check'!$C$16,'Field Check'!$C$17,TEXT(Summary!$C$12-5,"0")),"")))</f>
        <v/>
      </c>
      <c r="N189" s="55">
        <f>IF($C189="","",IF(Summary!$C$16="N","",IFERROR(BDP($C189,'Field Check'!$C$16,'Field Check'!$C$17,TEXT(Summary!$C$12-4,"0")),"")))</f>
        <v/>
      </c>
      <c r="O189" s="55">
        <f>IF($C189="","",IF(Summary!$C$16="N","",IFERROR(BDP($C189,'Field Check'!$C$16,'Field Check'!$C$17,TEXT(Summary!$C$12-3,"0")),"")))</f>
        <v/>
      </c>
      <c r="P189" s="55">
        <f>IF($C189="","",IF(Summary!$C$16="N","",IFERROR(BDP($C189,'Field Check'!$C$16,'Field Check'!$C$17,TEXT(Summary!$C$12-2,"0")),"")))</f>
        <v/>
      </c>
      <c r="Q189" s="55">
        <f>IF($C189="","",IF(Summary!$C$16="N","",IFERROR(BDP($C189,'Field Check'!$C$16,'Field Check'!$C$17,TEXT(Summary!$C$12-1,"0")),"")))</f>
        <v/>
      </c>
      <c r="R189" s="56">
        <f>IF($C189="","",IF(Summary!$C$16="N","",IFERROR(BDP($C189,'Field Check'!$C$18,'Field Check'!$C$17,TEXT(Summary!$C$12-5,"0"))/100,"")))</f>
        <v/>
      </c>
      <c r="S189" s="56">
        <f>IF($C189="","",IF(Summary!$C$16="N","",IFERROR(BDP($C189,'Field Check'!$C$18,'Field Check'!$C$17,TEXT(Summary!$C$12-4,"0"))/100,"")))</f>
        <v/>
      </c>
      <c r="T189" s="56">
        <f>IF($C189="","",IF(Summary!$C$16="N","",IFERROR(BDP($C189,'Field Check'!$C$18,'Field Check'!$C$17,TEXT(Summary!$C$12-3,"0"))/100,"")))</f>
        <v/>
      </c>
      <c r="U189" s="56">
        <f>IF($C189="","",IF(Summary!$C$16="N","",IFERROR(BDP($C189,'Field Check'!$C$18,'Field Check'!$C$17,TEXT(Summary!$C$12-2,"0"))/100,"")))</f>
        <v/>
      </c>
      <c r="V189" s="56">
        <f>IF($C189="","",IF(Summary!$C$16="N","",IFERROR(BDP($C189,'Field Check'!$C$18,'Field Check'!$C$17,TEXT(Summary!$C$12-1,"0"))/100,"")))</f>
        <v/>
      </c>
      <c r="W189" s="57">
        <f>IF($C189="","",IFERROR(AVERAGE(R189:V189),""))</f>
        <v/>
      </c>
      <c r="X189" s="58">
        <f>IF($C189="","",IF(ISNUMBER($Q189)*(N($Q189)&gt;0)=0,"",IFERROR($J189/$Q189,"")))</f>
        <v/>
      </c>
      <c r="Y189" s="59">
        <f>IF($C189="","",IF(ISNUMBER(HSCEI!$I$44),HSCEI!$I$44/100,""))</f>
        <v/>
      </c>
      <c r="Z189" s="60">
        <f>IF($C189="","",IF(Summary!$C$16="N","",IFERROR(BDP($C189,'Field Check'!$C$19)/100,"")))</f>
        <v/>
      </c>
      <c r="AA189" s="61">
        <f>IF($C189="","",IF(N($Y189)+N($Z189)=0,"",N($Y189)+N($Z189)))</f>
        <v/>
      </c>
      <c r="AB189" s="60">
        <f>IF($C189="","",IF(Summary!$C$16="N","",IFERROR(BDP($C189,'Field Check'!$C$20)/100,"")))</f>
        <v/>
      </c>
      <c r="AC189" s="45">
        <f>IF($C189="","",IF(N($Y189)=0,"",IFERROR($AB189/$Y189,"")))</f>
        <v/>
      </c>
      <c r="AD189" s="55">
        <f>IF($C189="","",IF(Summary!$C$16="N","",IFERROR(BDP($C189,'Field Check'!$C$21),"")))</f>
        <v/>
      </c>
      <c r="AE189" s="55">
        <f>IF($C189="","",IF(Summary!$C$16="N","",IFERROR(BDP($C189,'Field Check'!$C$22),"")))</f>
        <v/>
      </c>
      <c r="AF189" s="55">
        <f>IF($C189="","",IF(Summary!$C$16="N","",IFERROR(BDP($C189,'Field Check'!$C$23),"")))</f>
        <v/>
      </c>
      <c r="AG189" s="40">
        <f>IF($C189="","",TRIM(IF(ISNUMBER($W189)*(N($W189)&gt;$D$7)&gt;0,"payout high  ","")&amp;IF(ISNUMBER($AC189)*(N($AC189)&lt;$F$7)&gt;0,"FCF below dvd  ","")&amp;IF(ISNUMBER($AE189)*(N($AE189)&gt;$H$7)&gt;0,"leverage high","")))</f>
        <v/>
      </c>
      <c r="AH189" s="40">
        <f>IF($C189="","",IF(HSCEI!$F$44="HKD","",IF(HSCEI!$F$44="","","DPS in "&amp;HSCEI!$F$44)))</f>
        <v/>
      </c>
    </row>
    <row r="190">
      <c r="B190" s="52" t="inlineStr">
        <is>
          <t>HSCEI</t>
        </is>
      </c>
      <c r="C190" s="6">
        <f>IF(HSCEI!$C$45="","",HSCEI!$C$45)</f>
        <v/>
      </c>
      <c r="D190" s="6">
        <f>IF($C190="","",HSCEI!$D$45)</f>
        <v/>
      </c>
      <c r="E190" s="6">
        <f>IF($C190="","",HSCEI!$E$45)</f>
        <v/>
      </c>
      <c r="F190" s="53">
        <f>IF($C190="","",SUMIFS('Dvd Calendar'!$E$2691:$AR$2691,'Dvd Calendar'!$E$2690:$AR$2690,"&gt;="&amp;DATE(Summary!$C$12-5,1,1),'Dvd Calendar'!$E$2690:$AR$2690,"&lt;="&amp;DATE(Summary!$C$12-5,12,31)))</f>
        <v/>
      </c>
      <c r="G190" s="53">
        <f>IF($C190="","",SUMIFS('Dvd Calendar'!$E$2691:$AR$2691,'Dvd Calendar'!$E$2690:$AR$2690,"&gt;="&amp;DATE(Summary!$C$12-4,1,1),'Dvd Calendar'!$E$2690:$AR$2690,"&lt;="&amp;DATE(Summary!$C$12-4,12,31)))</f>
        <v/>
      </c>
      <c r="H190" s="53">
        <f>IF($C190="","",SUMIFS('Dvd Calendar'!$E$2691:$AR$2691,'Dvd Calendar'!$E$2690:$AR$2690,"&gt;="&amp;DATE(Summary!$C$12-3,1,1),'Dvd Calendar'!$E$2690:$AR$2690,"&lt;="&amp;DATE(Summary!$C$12-3,12,31)))</f>
        <v/>
      </c>
      <c r="I190" s="53">
        <f>IF($C190="","",SUMIFS('Dvd Calendar'!$E$2691:$AR$2691,'Dvd Calendar'!$E$2690:$AR$2690,"&gt;="&amp;DATE(Summary!$C$12-2,1,1),'Dvd Calendar'!$E$2690:$AR$2690,"&lt;="&amp;DATE(Summary!$C$12-2,12,31)))</f>
        <v/>
      </c>
      <c r="J190" s="53">
        <f>IF($C190="","",SUMIFS('Dvd Calendar'!$E$2691:$AR$2691,'Dvd Calendar'!$E$2690:$AR$2690,"&gt;="&amp;DATE(Summary!$C$12-1,1,1),'Dvd Calendar'!$E$2690:$AR$2690,"&lt;="&amp;DATE(Summary!$C$12-1,12,31)))</f>
        <v/>
      </c>
      <c r="K190" s="54">
        <f>IF($C190="","",SUMIFS('Dvd Calendar'!$E$2691:$AR$2691,'Dvd Calendar'!$E$2690:$AR$2690,"&gt;="&amp;DATE(Summary!$C$12,1,1),'Dvd Calendar'!$E$2690:$AR$2690,"&lt;="&amp;MIN(Summary!$C$11,DATE(Summary!$C$12,12,31))))</f>
        <v/>
      </c>
      <c r="L190" s="38">
        <f>IF($C190="","",AVERAGE(F190:J190))</f>
        <v/>
      </c>
      <c r="M190" s="55">
        <f>IF($C190="","",IF(Summary!$C$16="N","",IFERROR(BDP($C190,'Field Check'!$C$16,'Field Check'!$C$17,TEXT(Summary!$C$12-5,"0")),"")))</f>
        <v/>
      </c>
      <c r="N190" s="55">
        <f>IF($C190="","",IF(Summary!$C$16="N","",IFERROR(BDP($C190,'Field Check'!$C$16,'Field Check'!$C$17,TEXT(Summary!$C$12-4,"0")),"")))</f>
        <v/>
      </c>
      <c r="O190" s="55">
        <f>IF($C190="","",IF(Summary!$C$16="N","",IFERROR(BDP($C190,'Field Check'!$C$16,'Field Check'!$C$17,TEXT(Summary!$C$12-3,"0")),"")))</f>
        <v/>
      </c>
      <c r="P190" s="55">
        <f>IF($C190="","",IF(Summary!$C$16="N","",IFERROR(BDP($C190,'Field Check'!$C$16,'Field Check'!$C$17,TEXT(Summary!$C$12-2,"0")),"")))</f>
        <v/>
      </c>
      <c r="Q190" s="55">
        <f>IF($C190="","",IF(Summary!$C$16="N","",IFERROR(BDP($C190,'Field Check'!$C$16,'Field Check'!$C$17,TEXT(Summary!$C$12-1,"0")),"")))</f>
        <v/>
      </c>
      <c r="R190" s="56">
        <f>IF($C190="","",IF(Summary!$C$16="N","",IFERROR(BDP($C190,'Field Check'!$C$18,'Field Check'!$C$17,TEXT(Summary!$C$12-5,"0"))/100,"")))</f>
        <v/>
      </c>
      <c r="S190" s="56">
        <f>IF($C190="","",IF(Summary!$C$16="N","",IFERROR(BDP($C190,'Field Check'!$C$18,'Field Check'!$C$17,TEXT(Summary!$C$12-4,"0"))/100,"")))</f>
        <v/>
      </c>
      <c r="T190" s="56">
        <f>IF($C190="","",IF(Summary!$C$16="N","",IFERROR(BDP($C190,'Field Check'!$C$18,'Field Check'!$C$17,TEXT(Summary!$C$12-3,"0"))/100,"")))</f>
        <v/>
      </c>
      <c r="U190" s="56">
        <f>IF($C190="","",IF(Summary!$C$16="N","",IFERROR(BDP($C190,'Field Check'!$C$18,'Field Check'!$C$17,TEXT(Summary!$C$12-2,"0"))/100,"")))</f>
        <v/>
      </c>
      <c r="V190" s="56">
        <f>IF($C190="","",IF(Summary!$C$16="N","",IFERROR(BDP($C190,'Field Check'!$C$18,'Field Check'!$C$17,TEXT(Summary!$C$12-1,"0"))/100,"")))</f>
        <v/>
      </c>
      <c r="W190" s="57">
        <f>IF($C190="","",IFERROR(AVERAGE(R190:V190),""))</f>
        <v/>
      </c>
      <c r="X190" s="58">
        <f>IF($C190="","",IF(ISNUMBER($Q190)*(N($Q190)&gt;0)=0,"",IFERROR($J190/$Q190,"")))</f>
        <v/>
      </c>
      <c r="Y190" s="59">
        <f>IF($C190="","",IF(ISNUMBER(HSCEI!$I$45),HSCEI!$I$45/100,""))</f>
        <v/>
      </c>
      <c r="Z190" s="60">
        <f>IF($C190="","",IF(Summary!$C$16="N","",IFERROR(BDP($C190,'Field Check'!$C$19)/100,"")))</f>
        <v/>
      </c>
      <c r="AA190" s="61">
        <f>IF($C190="","",IF(N($Y190)+N($Z190)=0,"",N($Y190)+N($Z190)))</f>
        <v/>
      </c>
      <c r="AB190" s="60">
        <f>IF($C190="","",IF(Summary!$C$16="N","",IFERROR(BDP($C190,'Field Check'!$C$20)/100,"")))</f>
        <v/>
      </c>
      <c r="AC190" s="45">
        <f>IF($C190="","",IF(N($Y190)=0,"",IFERROR($AB190/$Y190,"")))</f>
        <v/>
      </c>
      <c r="AD190" s="55">
        <f>IF($C190="","",IF(Summary!$C$16="N","",IFERROR(BDP($C190,'Field Check'!$C$21),"")))</f>
        <v/>
      </c>
      <c r="AE190" s="55">
        <f>IF($C190="","",IF(Summary!$C$16="N","",IFERROR(BDP($C190,'Field Check'!$C$22),"")))</f>
        <v/>
      </c>
      <c r="AF190" s="55">
        <f>IF($C190="","",IF(Summary!$C$16="N","",IFERROR(BDP($C190,'Field Check'!$C$23),"")))</f>
        <v/>
      </c>
      <c r="AG190" s="40">
        <f>IF($C190="","",TRIM(IF(ISNUMBER($W190)*(N($W190)&gt;$D$7)&gt;0,"payout high  ","")&amp;IF(ISNUMBER($AC190)*(N($AC190)&lt;$F$7)&gt;0,"FCF below dvd  ","")&amp;IF(ISNUMBER($AE190)*(N($AE190)&gt;$H$7)&gt;0,"leverage high","")))</f>
        <v/>
      </c>
      <c r="AH190" s="40">
        <f>IF($C190="","",IF(HSCEI!$F$45="HKD","",IF(HSCEI!$F$45="","","DPS in "&amp;HSCEI!$F$45)))</f>
        <v/>
      </c>
    </row>
    <row r="191">
      <c r="B191" s="52" t="inlineStr">
        <is>
          <t>HSCEI</t>
        </is>
      </c>
      <c r="C191" s="6">
        <f>IF(HSCEI!$C$46="","",HSCEI!$C$46)</f>
        <v/>
      </c>
      <c r="D191" s="6">
        <f>IF($C191="","",HSCEI!$D$46)</f>
        <v/>
      </c>
      <c r="E191" s="6">
        <f>IF($C191="","",HSCEI!$E$46)</f>
        <v/>
      </c>
      <c r="F191" s="53">
        <f>IF($C191="","",SUMIFS('Dvd Calendar'!$E$2706:$AR$2706,'Dvd Calendar'!$E$2705:$AR$2705,"&gt;="&amp;DATE(Summary!$C$12-5,1,1),'Dvd Calendar'!$E$2705:$AR$2705,"&lt;="&amp;DATE(Summary!$C$12-5,12,31)))</f>
        <v/>
      </c>
      <c r="G191" s="53">
        <f>IF($C191="","",SUMIFS('Dvd Calendar'!$E$2706:$AR$2706,'Dvd Calendar'!$E$2705:$AR$2705,"&gt;="&amp;DATE(Summary!$C$12-4,1,1),'Dvd Calendar'!$E$2705:$AR$2705,"&lt;="&amp;DATE(Summary!$C$12-4,12,31)))</f>
        <v/>
      </c>
      <c r="H191" s="53">
        <f>IF($C191="","",SUMIFS('Dvd Calendar'!$E$2706:$AR$2706,'Dvd Calendar'!$E$2705:$AR$2705,"&gt;="&amp;DATE(Summary!$C$12-3,1,1),'Dvd Calendar'!$E$2705:$AR$2705,"&lt;="&amp;DATE(Summary!$C$12-3,12,31)))</f>
        <v/>
      </c>
      <c r="I191" s="53">
        <f>IF($C191="","",SUMIFS('Dvd Calendar'!$E$2706:$AR$2706,'Dvd Calendar'!$E$2705:$AR$2705,"&gt;="&amp;DATE(Summary!$C$12-2,1,1),'Dvd Calendar'!$E$2705:$AR$2705,"&lt;="&amp;DATE(Summary!$C$12-2,12,31)))</f>
        <v/>
      </c>
      <c r="J191" s="53">
        <f>IF($C191="","",SUMIFS('Dvd Calendar'!$E$2706:$AR$2706,'Dvd Calendar'!$E$2705:$AR$2705,"&gt;="&amp;DATE(Summary!$C$12-1,1,1),'Dvd Calendar'!$E$2705:$AR$2705,"&lt;="&amp;DATE(Summary!$C$12-1,12,31)))</f>
        <v/>
      </c>
      <c r="K191" s="54">
        <f>IF($C191="","",SUMIFS('Dvd Calendar'!$E$2706:$AR$2706,'Dvd Calendar'!$E$2705:$AR$2705,"&gt;="&amp;DATE(Summary!$C$12,1,1),'Dvd Calendar'!$E$2705:$AR$2705,"&lt;="&amp;MIN(Summary!$C$11,DATE(Summary!$C$12,12,31))))</f>
        <v/>
      </c>
      <c r="L191" s="38">
        <f>IF($C191="","",AVERAGE(F191:J191))</f>
        <v/>
      </c>
      <c r="M191" s="55">
        <f>IF($C191="","",IF(Summary!$C$16="N","",IFERROR(BDP($C191,'Field Check'!$C$16,'Field Check'!$C$17,TEXT(Summary!$C$12-5,"0")),"")))</f>
        <v/>
      </c>
      <c r="N191" s="55">
        <f>IF($C191="","",IF(Summary!$C$16="N","",IFERROR(BDP($C191,'Field Check'!$C$16,'Field Check'!$C$17,TEXT(Summary!$C$12-4,"0")),"")))</f>
        <v/>
      </c>
      <c r="O191" s="55">
        <f>IF($C191="","",IF(Summary!$C$16="N","",IFERROR(BDP($C191,'Field Check'!$C$16,'Field Check'!$C$17,TEXT(Summary!$C$12-3,"0")),"")))</f>
        <v/>
      </c>
      <c r="P191" s="55">
        <f>IF($C191="","",IF(Summary!$C$16="N","",IFERROR(BDP($C191,'Field Check'!$C$16,'Field Check'!$C$17,TEXT(Summary!$C$12-2,"0")),"")))</f>
        <v/>
      </c>
      <c r="Q191" s="55">
        <f>IF($C191="","",IF(Summary!$C$16="N","",IFERROR(BDP($C191,'Field Check'!$C$16,'Field Check'!$C$17,TEXT(Summary!$C$12-1,"0")),"")))</f>
        <v/>
      </c>
      <c r="R191" s="56">
        <f>IF($C191="","",IF(Summary!$C$16="N","",IFERROR(BDP($C191,'Field Check'!$C$18,'Field Check'!$C$17,TEXT(Summary!$C$12-5,"0"))/100,"")))</f>
        <v/>
      </c>
      <c r="S191" s="56">
        <f>IF($C191="","",IF(Summary!$C$16="N","",IFERROR(BDP($C191,'Field Check'!$C$18,'Field Check'!$C$17,TEXT(Summary!$C$12-4,"0"))/100,"")))</f>
        <v/>
      </c>
      <c r="T191" s="56">
        <f>IF($C191="","",IF(Summary!$C$16="N","",IFERROR(BDP($C191,'Field Check'!$C$18,'Field Check'!$C$17,TEXT(Summary!$C$12-3,"0"))/100,"")))</f>
        <v/>
      </c>
      <c r="U191" s="56">
        <f>IF($C191="","",IF(Summary!$C$16="N","",IFERROR(BDP($C191,'Field Check'!$C$18,'Field Check'!$C$17,TEXT(Summary!$C$12-2,"0"))/100,"")))</f>
        <v/>
      </c>
      <c r="V191" s="56">
        <f>IF($C191="","",IF(Summary!$C$16="N","",IFERROR(BDP($C191,'Field Check'!$C$18,'Field Check'!$C$17,TEXT(Summary!$C$12-1,"0"))/100,"")))</f>
        <v/>
      </c>
      <c r="W191" s="57">
        <f>IF($C191="","",IFERROR(AVERAGE(R191:V191),""))</f>
        <v/>
      </c>
      <c r="X191" s="58">
        <f>IF($C191="","",IF(ISNUMBER($Q191)*(N($Q191)&gt;0)=0,"",IFERROR($J191/$Q191,"")))</f>
        <v/>
      </c>
      <c r="Y191" s="59">
        <f>IF($C191="","",IF(ISNUMBER(HSCEI!$I$46),HSCEI!$I$46/100,""))</f>
        <v/>
      </c>
      <c r="Z191" s="60">
        <f>IF($C191="","",IF(Summary!$C$16="N","",IFERROR(BDP($C191,'Field Check'!$C$19)/100,"")))</f>
        <v/>
      </c>
      <c r="AA191" s="61">
        <f>IF($C191="","",IF(N($Y191)+N($Z191)=0,"",N($Y191)+N($Z191)))</f>
        <v/>
      </c>
      <c r="AB191" s="60">
        <f>IF($C191="","",IF(Summary!$C$16="N","",IFERROR(BDP($C191,'Field Check'!$C$20)/100,"")))</f>
        <v/>
      </c>
      <c r="AC191" s="45">
        <f>IF($C191="","",IF(N($Y191)=0,"",IFERROR($AB191/$Y191,"")))</f>
        <v/>
      </c>
      <c r="AD191" s="55">
        <f>IF($C191="","",IF(Summary!$C$16="N","",IFERROR(BDP($C191,'Field Check'!$C$21),"")))</f>
        <v/>
      </c>
      <c r="AE191" s="55">
        <f>IF($C191="","",IF(Summary!$C$16="N","",IFERROR(BDP($C191,'Field Check'!$C$22),"")))</f>
        <v/>
      </c>
      <c r="AF191" s="55">
        <f>IF($C191="","",IF(Summary!$C$16="N","",IFERROR(BDP($C191,'Field Check'!$C$23),"")))</f>
        <v/>
      </c>
      <c r="AG191" s="40">
        <f>IF($C191="","",TRIM(IF(ISNUMBER($W191)*(N($W191)&gt;$D$7)&gt;0,"payout high  ","")&amp;IF(ISNUMBER($AC191)*(N($AC191)&lt;$F$7)&gt;0,"FCF below dvd  ","")&amp;IF(ISNUMBER($AE191)*(N($AE191)&gt;$H$7)&gt;0,"leverage high","")))</f>
        <v/>
      </c>
      <c r="AH191" s="40">
        <f>IF($C191="","",IF(HSCEI!$F$46="HKD","",IF(HSCEI!$F$46="","","DPS in "&amp;HSCEI!$F$46)))</f>
        <v/>
      </c>
    </row>
    <row r="192">
      <c r="B192" s="52" t="inlineStr">
        <is>
          <t>HSCEI</t>
        </is>
      </c>
      <c r="C192" s="6">
        <f>IF(HSCEI!$C$47="","",HSCEI!$C$47)</f>
        <v/>
      </c>
      <c r="D192" s="6">
        <f>IF($C192="","",HSCEI!$D$47)</f>
        <v/>
      </c>
      <c r="E192" s="6">
        <f>IF($C192="","",HSCEI!$E$47)</f>
        <v/>
      </c>
      <c r="F192" s="53">
        <f>IF($C192="","",SUMIFS('Dvd Calendar'!$E$2721:$AR$2721,'Dvd Calendar'!$E$2720:$AR$2720,"&gt;="&amp;DATE(Summary!$C$12-5,1,1),'Dvd Calendar'!$E$2720:$AR$2720,"&lt;="&amp;DATE(Summary!$C$12-5,12,31)))</f>
        <v/>
      </c>
      <c r="G192" s="53">
        <f>IF($C192="","",SUMIFS('Dvd Calendar'!$E$2721:$AR$2721,'Dvd Calendar'!$E$2720:$AR$2720,"&gt;="&amp;DATE(Summary!$C$12-4,1,1),'Dvd Calendar'!$E$2720:$AR$2720,"&lt;="&amp;DATE(Summary!$C$12-4,12,31)))</f>
        <v/>
      </c>
      <c r="H192" s="53">
        <f>IF($C192="","",SUMIFS('Dvd Calendar'!$E$2721:$AR$2721,'Dvd Calendar'!$E$2720:$AR$2720,"&gt;="&amp;DATE(Summary!$C$12-3,1,1),'Dvd Calendar'!$E$2720:$AR$2720,"&lt;="&amp;DATE(Summary!$C$12-3,12,31)))</f>
        <v/>
      </c>
      <c r="I192" s="53">
        <f>IF($C192="","",SUMIFS('Dvd Calendar'!$E$2721:$AR$2721,'Dvd Calendar'!$E$2720:$AR$2720,"&gt;="&amp;DATE(Summary!$C$12-2,1,1),'Dvd Calendar'!$E$2720:$AR$2720,"&lt;="&amp;DATE(Summary!$C$12-2,12,31)))</f>
        <v/>
      </c>
      <c r="J192" s="53">
        <f>IF($C192="","",SUMIFS('Dvd Calendar'!$E$2721:$AR$2721,'Dvd Calendar'!$E$2720:$AR$2720,"&gt;="&amp;DATE(Summary!$C$12-1,1,1),'Dvd Calendar'!$E$2720:$AR$2720,"&lt;="&amp;DATE(Summary!$C$12-1,12,31)))</f>
        <v/>
      </c>
      <c r="K192" s="54">
        <f>IF($C192="","",SUMIFS('Dvd Calendar'!$E$2721:$AR$2721,'Dvd Calendar'!$E$2720:$AR$2720,"&gt;="&amp;DATE(Summary!$C$12,1,1),'Dvd Calendar'!$E$2720:$AR$2720,"&lt;="&amp;MIN(Summary!$C$11,DATE(Summary!$C$12,12,31))))</f>
        <v/>
      </c>
      <c r="L192" s="38">
        <f>IF($C192="","",AVERAGE(F192:J192))</f>
        <v/>
      </c>
      <c r="M192" s="55">
        <f>IF($C192="","",IF(Summary!$C$16="N","",IFERROR(BDP($C192,'Field Check'!$C$16,'Field Check'!$C$17,TEXT(Summary!$C$12-5,"0")),"")))</f>
        <v/>
      </c>
      <c r="N192" s="55">
        <f>IF($C192="","",IF(Summary!$C$16="N","",IFERROR(BDP($C192,'Field Check'!$C$16,'Field Check'!$C$17,TEXT(Summary!$C$12-4,"0")),"")))</f>
        <v/>
      </c>
      <c r="O192" s="55">
        <f>IF($C192="","",IF(Summary!$C$16="N","",IFERROR(BDP($C192,'Field Check'!$C$16,'Field Check'!$C$17,TEXT(Summary!$C$12-3,"0")),"")))</f>
        <v/>
      </c>
      <c r="P192" s="55">
        <f>IF($C192="","",IF(Summary!$C$16="N","",IFERROR(BDP($C192,'Field Check'!$C$16,'Field Check'!$C$17,TEXT(Summary!$C$12-2,"0")),"")))</f>
        <v/>
      </c>
      <c r="Q192" s="55">
        <f>IF($C192="","",IF(Summary!$C$16="N","",IFERROR(BDP($C192,'Field Check'!$C$16,'Field Check'!$C$17,TEXT(Summary!$C$12-1,"0")),"")))</f>
        <v/>
      </c>
      <c r="R192" s="56">
        <f>IF($C192="","",IF(Summary!$C$16="N","",IFERROR(BDP($C192,'Field Check'!$C$18,'Field Check'!$C$17,TEXT(Summary!$C$12-5,"0"))/100,"")))</f>
        <v/>
      </c>
      <c r="S192" s="56">
        <f>IF($C192="","",IF(Summary!$C$16="N","",IFERROR(BDP($C192,'Field Check'!$C$18,'Field Check'!$C$17,TEXT(Summary!$C$12-4,"0"))/100,"")))</f>
        <v/>
      </c>
      <c r="T192" s="56">
        <f>IF($C192="","",IF(Summary!$C$16="N","",IFERROR(BDP($C192,'Field Check'!$C$18,'Field Check'!$C$17,TEXT(Summary!$C$12-3,"0"))/100,"")))</f>
        <v/>
      </c>
      <c r="U192" s="56">
        <f>IF($C192="","",IF(Summary!$C$16="N","",IFERROR(BDP($C192,'Field Check'!$C$18,'Field Check'!$C$17,TEXT(Summary!$C$12-2,"0"))/100,"")))</f>
        <v/>
      </c>
      <c r="V192" s="56">
        <f>IF($C192="","",IF(Summary!$C$16="N","",IFERROR(BDP($C192,'Field Check'!$C$18,'Field Check'!$C$17,TEXT(Summary!$C$12-1,"0"))/100,"")))</f>
        <v/>
      </c>
      <c r="W192" s="57">
        <f>IF($C192="","",IFERROR(AVERAGE(R192:V192),""))</f>
        <v/>
      </c>
      <c r="X192" s="58">
        <f>IF($C192="","",IF(ISNUMBER($Q192)*(N($Q192)&gt;0)=0,"",IFERROR($J192/$Q192,"")))</f>
        <v/>
      </c>
      <c r="Y192" s="59">
        <f>IF($C192="","",IF(ISNUMBER(HSCEI!$I$47),HSCEI!$I$47/100,""))</f>
        <v/>
      </c>
      <c r="Z192" s="60">
        <f>IF($C192="","",IF(Summary!$C$16="N","",IFERROR(BDP($C192,'Field Check'!$C$19)/100,"")))</f>
        <v/>
      </c>
      <c r="AA192" s="61">
        <f>IF($C192="","",IF(N($Y192)+N($Z192)=0,"",N($Y192)+N($Z192)))</f>
        <v/>
      </c>
      <c r="AB192" s="60">
        <f>IF($C192="","",IF(Summary!$C$16="N","",IFERROR(BDP($C192,'Field Check'!$C$20)/100,"")))</f>
        <v/>
      </c>
      <c r="AC192" s="45">
        <f>IF($C192="","",IF(N($Y192)=0,"",IFERROR($AB192/$Y192,"")))</f>
        <v/>
      </c>
      <c r="AD192" s="55">
        <f>IF($C192="","",IF(Summary!$C$16="N","",IFERROR(BDP($C192,'Field Check'!$C$21),"")))</f>
        <v/>
      </c>
      <c r="AE192" s="55">
        <f>IF($C192="","",IF(Summary!$C$16="N","",IFERROR(BDP($C192,'Field Check'!$C$22),"")))</f>
        <v/>
      </c>
      <c r="AF192" s="55">
        <f>IF($C192="","",IF(Summary!$C$16="N","",IFERROR(BDP($C192,'Field Check'!$C$23),"")))</f>
        <v/>
      </c>
      <c r="AG192" s="40">
        <f>IF($C192="","",TRIM(IF(ISNUMBER($W192)*(N($W192)&gt;$D$7)&gt;0,"payout high  ","")&amp;IF(ISNUMBER($AC192)*(N($AC192)&lt;$F$7)&gt;0,"FCF below dvd  ","")&amp;IF(ISNUMBER($AE192)*(N($AE192)&gt;$H$7)&gt;0,"leverage high","")))</f>
        <v/>
      </c>
      <c r="AH192" s="40">
        <f>IF($C192="","",IF(HSCEI!$F$47="HKD","",IF(HSCEI!$F$47="","","DPS in "&amp;HSCEI!$F$47)))</f>
        <v/>
      </c>
    </row>
    <row r="193">
      <c r="B193" s="52" t="inlineStr">
        <is>
          <t>HSCEI</t>
        </is>
      </c>
      <c r="C193" s="6">
        <f>IF(HSCEI!$C$48="","",HSCEI!$C$48)</f>
        <v/>
      </c>
      <c r="D193" s="6">
        <f>IF($C193="","",HSCEI!$D$48)</f>
        <v/>
      </c>
      <c r="E193" s="6">
        <f>IF($C193="","",HSCEI!$E$48)</f>
        <v/>
      </c>
      <c r="F193" s="53">
        <f>IF($C193="","",SUMIFS('Dvd Calendar'!$E$2736:$AR$2736,'Dvd Calendar'!$E$2735:$AR$2735,"&gt;="&amp;DATE(Summary!$C$12-5,1,1),'Dvd Calendar'!$E$2735:$AR$2735,"&lt;="&amp;DATE(Summary!$C$12-5,12,31)))</f>
        <v/>
      </c>
      <c r="G193" s="53">
        <f>IF($C193="","",SUMIFS('Dvd Calendar'!$E$2736:$AR$2736,'Dvd Calendar'!$E$2735:$AR$2735,"&gt;="&amp;DATE(Summary!$C$12-4,1,1),'Dvd Calendar'!$E$2735:$AR$2735,"&lt;="&amp;DATE(Summary!$C$12-4,12,31)))</f>
        <v/>
      </c>
      <c r="H193" s="53">
        <f>IF($C193="","",SUMIFS('Dvd Calendar'!$E$2736:$AR$2736,'Dvd Calendar'!$E$2735:$AR$2735,"&gt;="&amp;DATE(Summary!$C$12-3,1,1),'Dvd Calendar'!$E$2735:$AR$2735,"&lt;="&amp;DATE(Summary!$C$12-3,12,31)))</f>
        <v/>
      </c>
      <c r="I193" s="53">
        <f>IF($C193="","",SUMIFS('Dvd Calendar'!$E$2736:$AR$2736,'Dvd Calendar'!$E$2735:$AR$2735,"&gt;="&amp;DATE(Summary!$C$12-2,1,1),'Dvd Calendar'!$E$2735:$AR$2735,"&lt;="&amp;DATE(Summary!$C$12-2,12,31)))</f>
        <v/>
      </c>
      <c r="J193" s="53">
        <f>IF($C193="","",SUMIFS('Dvd Calendar'!$E$2736:$AR$2736,'Dvd Calendar'!$E$2735:$AR$2735,"&gt;="&amp;DATE(Summary!$C$12-1,1,1),'Dvd Calendar'!$E$2735:$AR$2735,"&lt;="&amp;DATE(Summary!$C$12-1,12,31)))</f>
        <v/>
      </c>
      <c r="K193" s="54">
        <f>IF($C193="","",SUMIFS('Dvd Calendar'!$E$2736:$AR$2736,'Dvd Calendar'!$E$2735:$AR$2735,"&gt;="&amp;DATE(Summary!$C$12,1,1),'Dvd Calendar'!$E$2735:$AR$2735,"&lt;="&amp;MIN(Summary!$C$11,DATE(Summary!$C$12,12,31))))</f>
        <v/>
      </c>
      <c r="L193" s="38">
        <f>IF($C193="","",AVERAGE(F193:J193))</f>
        <v/>
      </c>
      <c r="M193" s="55">
        <f>IF($C193="","",IF(Summary!$C$16="N","",IFERROR(BDP($C193,'Field Check'!$C$16,'Field Check'!$C$17,TEXT(Summary!$C$12-5,"0")),"")))</f>
        <v/>
      </c>
      <c r="N193" s="55">
        <f>IF($C193="","",IF(Summary!$C$16="N","",IFERROR(BDP($C193,'Field Check'!$C$16,'Field Check'!$C$17,TEXT(Summary!$C$12-4,"0")),"")))</f>
        <v/>
      </c>
      <c r="O193" s="55">
        <f>IF($C193="","",IF(Summary!$C$16="N","",IFERROR(BDP($C193,'Field Check'!$C$16,'Field Check'!$C$17,TEXT(Summary!$C$12-3,"0")),"")))</f>
        <v/>
      </c>
      <c r="P193" s="55">
        <f>IF($C193="","",IF(Summary!$C$16="N","",IFERROR(BDP($C193,'Field Check'!$C$16,'Field Check'!$C$17,TEXT(Summary!$C$12-2,"0")),"")))</f>
        <v/>
      </c>
      <c r="Q193" s="55">
        <f>IF($C193="","",IF(Summary!$C$16="N","",IFERROR(BDP($C193,'Field Check'!$C$16,'Field Check'!$C$17,TEXT(Summary!$C$12-1,"0")),"")))</f>
        <v/>
      </c>
      <c r="R193" s="56">
        <f>IF($C193="","",IF(Summary!$C$16="N","",IFERROR(BDP($C193,'Field Check'!$C$18,'Field Check'!$C$17,TEXT(Summary!$C$12-5,"0"))/100,"")))</f>
        <v/>
      </c>
      <c r="S193" s="56">
        <f>IF($C193="","",IF(Summary!$C$16="N","",IFERROR(BDP($C193,'Field Check'!$C$18,'Field Check'!$C$17,TEXT(Summary!$C$12-4,"0"))/100,"")))</f>
        <v/>
      </c>
      <c r="T193" s="56">
        <f>IF($C193="","",IF(Summary!$C$16="N","",IFERROR(BDP($C193,'Field Check'!$C$18,'Field Check'!$C$17,TEXT(Summary!$C$12-3,"0"))/100,"")))</f>
        <v/>
      </c>
      <c r="U193" s="56">
        <f>IF($C193="","",IF(Summary!$C$16="N","",IFERROR(BDP($C193,'Field Check'!$C$18,'Field Check'!$C$17,TEXT(Summary!$C$12-2,"0"))/100,"")))</f>
        <v/>
      </c>
      <c r="V193" s="56">
        <f>IF($C193="","",IF(Summary!$C$16="N","",IFERROR(BDP($C193,'Field Check'!$C$18,'Field Check'!$C$17,TEXT(Summary!$C$12-1,"0"))/100,"")))</f>
        <v/>
      </c>
      <c r="W193" s="57">
        <f>IF($C193="","",IFERROR(AVERAGE(R193:V193),""))</f>
        <v/>
      </c>
      <c r="X193" s="58">
        <f>IF($C193="","",IF(ISNUMBER($Q193)*(N($Q193)&gt;0)=0,"",IFERROR($J193/$Q193,"")))</f>
        <v/>
      </c>
      <c r="Y193" s="59">
        <f>IF($C193="","",IF(ISNUMBER(HSCEI!$I$48),HSCEI!$I$48/100,""))</f>
        <v/>
      </c>
      <c r="Z193" s="60">
        <f>IF($C193="","",IF(Summary!$C$16="N","",IFERROR(BDP($C193,'Field Check'!$C$19)/100,"")))</f>
        <v/>
      </c>
      <c r="AA193" s="61">
        <f>IF($C193="","",IF(N($Y193)+N($Z193)=0,"",N($Y193)+N($Z193)))</f>
        <v/>
      </c>
      <c r="AB193" s="60">
        <f>IF($C193="","",IF(Summary!$C$16="N","",IFERROR(BDP($C193,'Field Check'!$C$20)/100,"")))</f>
        <v/>
      </c>
      <c r="AC193" s="45">
        <f>IF($C193="","",IF(N($Y193)=0,"",IFERROR($AB193/$Y193,"")))</f>
        <v/>
      </c>
      <c r="AD193" s="55">
        <f>IF($C193="","",IF(Summary!$C$16="N","",IFERROR(BDP($C193,'Field Check'!$C$21),"")))</f>
        <v/>
      </c>
      <c r="AE193" s="55">
        <f>IF($C193="","",IF(Summary!$C$16="N","",IFERROR(BDP($C193,'Field Check'!$C$22),"")))</f>
        <v/>
      </c>
      <c r="AF193" s="55">
        <f>IF($C193="","",IF(Summary!$C$16="N","",IFERROR(BDP($C193,'Field Check'!$C$23),"")))</f>
        <v/>
      </c>
      <c r="AG193" s="40">
        <f>IF($C193="","",TRIM(IF(ISNUMBER($W193)*(N($W193)&gt;$D$7)&gt;0,"payout high  ","")&amp;IF(ISNUMBER($AC193)*(N($AC193)&lt;$F$7)&gt;0,"FCF below dvd  ","")&amp;IF(ISNUMBER($AE193)*(N($AE193)&gt;$H$7)&gt;0,"leverage high","")))</f>
        <v/>
      </c>
      <c r="AH193" s="40">
        <f>IF($C193="","",IF(HSCEI!$F$48="HKD","",IF(HSCEI!$F$48="","","DPS in "&amp;HSCEI!$F$48)))</f>
        <v/>
      </c>
    </row>
    <row r="194">
      <c r="B194" s="52" t="inlineStr">
        <is>
          <t>HSCEI</t>
        </is>
      </c>
      <c r="C194" s="6">
        <f>IF(HSCEI!$C$49="","",HSCEI!$C$49)</f>
        <v/>
      </c>
      <c r="D194" s="6">
        <f>IF($C194="","",HSCEI!$D$49)</f>
        <v/>
      </c>
      <c r="E194" s="6">
        <f>IF($C194="","",HSCEI!$E$49)</f>
        <v/>
      </c>
      <c r="F194" s="53">
        <f>IF($C194="","",SUMIFS('Dvd Calendar'!$E$2751:$AR$2751,'Dvd Calendar'!$E$2750:$AR$2750,"&gt;="&amp;DATE(Summary!$C$12-5,1,1),'Dvd Calendar'!$E$2750:$AR$2750,"&lt;="&amp;DATE(Summary!$C$12-5,12,31)))</f>
        <v/>
      </c>
      <c r="G194" s="53">
        <f>IF($C194="","",SUMIFS('Dvd Calendar'!$E$2751:$AR$2751,'Dvd Calendar'!$E$2750:$AR$2750,"&gt;="&amp;DATE(Summary!$C$12-4,1,1),'Dvd Calendar'!$E$2750:$AR$2750,"&lt;="&amp;DATE(Summary!$C$12-4,12,31)))</f>
        <v/>
      </c>
      <c r="H194" s="53">
        <f>IF($C194="","",SUMIFS('Dvd Calendar'!$E$2751:$AR$2751,'Dvd Calendar'!$E$2750:$AR$2750,"&gt;="&amp;DATE(Summary!$C$12-3,1,1),'Dvd Calendar'!$E$2750:$AR$2750,"&lt;="&amp;DATE(Summary!$C$12-3,12,31)))</f>
        <v/>
      </c>
      <c r="I194" s="53">
        <f>IF($C194="","",SUMIFS('Dvd Calendar'!$E$2751:$AR$2751,'Dvd Calendar'!$E$2750:$AR$2750,"&gt;="&amp;DATE(Summary!$C$12-2,1,1),'Dvd Calendar'!$E$2750:$AR$2750,"&lt;="&amp;DATE(Summary!$C$12-2,12,31)))</f>
        <v/>
      </c>
      <c r="J194" s="53">
        <f>IF($C194="","",SUMIFS('Dvd Calendar'!$E$2751:$AR$2751,'Dvd Calendar'!$E$2750:$AR$2750,"&gt;="&amp;DATE(Summary!$C$12-1,1,1),'Dvd Calendar'!$E$2750:$AR$2750,"&lt;="&amp;DATE(Summary!$C$12-1,12,31)))</f>
        <v/>
      </c>
      <c r="K194" s="54">
        <f>IF($C194="","",SUMIFS('Dvd Calendar'!$E$2751:$AR$2751,'Dvd Calendar'!$E$2750:$AR$2750,"&gt;="&amp;DATE(Summary!$C$12,1,1),'Dvd Calendar'!$E$2750:$AR$2750,"&lt;="&amp;MIN(Summary!$C$11,DATE(Summary!$C$12,12,31))))</f>
        <v/>
      </c>
      <c r="L194" s="38">
        <f>IF($C194="","",AVERAGE(F194:J194))</f>
        <v/>
      </c>
      <c r="M194" s="55">
        <f>IF($C194="","",IF(Summary!$C$16="N","",IFERROR(BDP($C194,'Field Check'!$C$16,'Field Check'!$C$17,TEXT(Summary!$C$12-5,"0")),"")))</f>
        <v/>
      </c>
      <c r="N194" s="55">
        <f>IF($C194="","",IF(Summary!$C$16="N","",IFERROR(BDP($C194,'Field Check'!$C$16,'Field Check'!$C$17,TEXT(Summary!$C$12-4,"0")),"")))</f>
        <v/>
      </c>
      <c r="O194" s="55">
        <f>IF($C194="","",IF(Summary!$C$16="N","",IFERROR(BDP($C194,'Field Check'!$C$16,'Field Check'!$C$17,TEXT(Summary!$C$12-3,"0")),"")))</f>
        <v/>
      </c>
      <c r="P194" s="55">
        <f>IF($C194="","",IF(Summary!$C$16="N","",IFERROR(BDP($C194,'Field Check'!$C$16,'Field Check'!$C$17,TEXT(Summary!$C$12-2,"0")),"")))</f>
        <v/>
      </c>
      <c r="Q194" s="55">
        <f>IF($C194="","",IF(Summary!$C$16="N","",IFERROR(BDP($C194,'Field Check'!$C$16,'Field Check'!$C$17,TEXT(Summary!$C$12-1,"0")),"")))</f>
        <v/>
      </c>
      <c r="R194" s="56">
        <f>IF($C194="","",IF(Summary!$C$16="N","",IFERROR(BDP($C194,'Field Check'!$C$18,'Field Check'!$C$17,TEXT(Summary!$C$12-5,"0"))/100,"")))</f>
        <v/>
      </c>
      <c r="S194" s="56">
        <f>IF($C194="","",IF(Summary!$C$16="N","",IFERROR(BDP($C194,'Field Check'!$C$18,'Field Check'!$C$17,TEXT(Summary!$C$12-4,"0"))/100,"")))</f>
        <v/>
      </c>
      <c r="T194" s="56">
        <f>IF($C194="","",IF(Summary!$C$16="N","",IFERROR(BDP($C194,'Field Check'!$C$18,'Field Check'!$C$17,TEXT(Summary!$C$12-3,"0"))/100,"")))</f>
        <v/>
      </c>
      <c r="U194" s="56">
        <f>IF($C194="","",IF(Summary!$C$16="N","",IFERROR(BDP($C194,'Field Check'!$C$18,'Field Check'!$C$17,TEXT(Summary!$C$12-2,"0"))/100,"")))</f>
        <v/>
      </c>
      <c r="V194" s="56">
        <f>IF($C194="","",IF(Summary!$C$16="N","",IFERROR(BDP($C194,'Field Check'!$C$18,'Field Check'!$C$17,TEXT(Summary!$C$12-1,"0"))/100,"")))</f>
        <v/>
      </c>
      <c r="W194" s="57">
        <f>IF($C194="","",IFERROR(AVERAGE(R194:V194),""))</f>
        <v/>
      </c>
      <c r="X194" s="58">
        <f>IF($C194="","",IF(ISNUMBER($Q194)*(N($Q194)&gt;0)=0,"",IFERROR($J194/$Q194,"")))</f>
        <v/>
      </c>
      <c r="Y194" s="59">
        <f>IF($C194="","",IF(ISNUMBER(HSCEI!$I$49),HSCEI!$I$49/100,""))</f>
        <v/>
      </c>
      <c r="Z194" s="60">
        <f>IF($C194="","",IF(Summary!$C$16="N","",IFERROR(BDP($C194,'Field Check'!$C$19)/100,"")))</f>
        <v/>
      </c>
      <c r="AA194" s="61">
        <f>IF($C194="","",IF(N($Y194)+N($Z194)=0,"",N($Y194)+N($Z194)))</f>
        <v/>
      </c>
      <c r="AB194" s="60">
        <f>IF($C194="","",IF(Summary!$C$16="N","",IFERROR(BDP($C194,'Field Check'!$C$20)/100,"")))</f>
        <v/>
      </c>
      <c r="AC194" s="45">
        <f>IF($C194="","",IF(N($Y194)=0,"",IFERROR($AB194/$Y194,"")))</f>
        <v/>
      </c>
      <c r="AD194" s="55">
        <f>IF($C194="","",IF(Summary!$C$16="N","",IFERROR(BDP($C194,'Field Check'!$C$21),"")))</f>
        <v/>
      </c>
      <c r="AE194" s="55">
        <f>IF($C194="","",IF(Summary!$C$16="N","",IFERROR(BDP($C194,'Field Check'!$C$22),"")))</f>
        <v/>
      </c>
      <c r="AF194" s="55">
        <f>IF($C194="","",IF(Summary!$C$16="N","",IFERROR(BDP($C194,'Field Check'!$C$23),"")))</f>
        <v/>
      </c>
      <c r="AG194" s="40">
        <f>IF($C194="","",TRIM(IF(ISNUMBER($W194)*(N($W194)&gt;$D$7)&gt;0,"payout high  ","")&amp;IF(ISNUMBER($AC194)*(N($AC194)&lt;$F$7)&gt;0,"FCF below dvd  ","")&amp;IF(ISNUMBER($AE194)*(N($AE194)&gt;$H$7)&gt;0,"leverage high","")))</f>
        <v/>
      </c>
      <c r="AH194" s="40">
        <f>IF($C194="","",IF(HSCEI!$F$49="HKD","",IF(HSCEI!$F$49="","","DPS in "&amp;HSCEI!$F$49)))</f>
        <v/>
      </c>
    </row>
    <row r="195">
      <c r="B195" s="52" t="inlineStr">
        <is>
          <t>HSCEI</t>
        </is>
      </c>
      <c r="C195" s="6">
        <f>IF(HSCEI!$C$50="","",HSCEI!$C$50)</f>
        <v/>
      </c>
      <c r="D195" s="6">
        <f>IF($C195="","",HSCEI!$D$50)</f>
        <v/>
      </c>
      <c r="E195" s="6">
        <f>IF($C195="","",HSCEI!$E$50)</f>
        <v/>
      </c>
      <c r="F195" s="53">
        <f>IF($C195="","",SUMIFS('Dvd Calendar'!$E$2766:$AR$2766,'Dvd Calendar'!$E$2765:$AR$2765,"&gt;="&amp;DATE(Summary!$C$12-5,1,1),'Dvd Calendar'!$E$2765:$AR$2765,"&lt;="&amp;DATE(Summary!$C$12-5,12,31)))</f>
        <v/>
      </c>
      <c r="G195" s="53">
        <f>IF($C195="","",SUMIFS('Dvd Calendar'!$E$2766:$AR$2766,'Dvd Calendar'!$E$2765:$AR$2765,"&gt;="&amp;DATE(Summary!$C$12-4,1,1),'Dvd Calendar'!$E$2765:$AR$2765,"&lt;="&amp;DATE(Summary!$C$12-4,12,31)))</f>
        <v/>
      </c>
      <c r="H195" s="53">
        <f>IF($C195="","",SUMIFS('Dvd Calendar'!$E$2766:$AR$2766,'Dvd Calendar'!$E$2765:$AR$2765,"&gt;="&amp;DATE(Summary!$C$12-3,1,1),'Dvd Calendar'!$E$2765:$AR$2765,"&lt;="&amp;DATE(Summary!$C$12-3,12,31)))</f>
        <v/>
      </c>
      <c r="I195" s="53">
        <f>IF($C195="","",SUMIFS('Dvd Calendar'!$E$2766:$AR$2766,'Dvd Calendar'!$E$2765:$AR$2765,"&gt;="&amp;DATE(Summary!$C$12-2,1,1),'Dvd Calendar'!$E$2765:$AR$2765,"&lt;="&amp;DATE(Summary!$C$12-2,12,31)))</f>
        <v/>
      </c>
      <c r="J195" s="53">
        <f>IF($C195="","",SUMIFS('Dvd Calendar'!$E$2766:$AR$2766,'Dvd Calendar'!$E$2765:$AR$2765,"&gt;="&amp;DATE(Summary!$C$12-1,1,1),'Dvd Calendar'!$E$2765:$AR$2765,"&lt;="&amp;DATE(Summary!$C$12-1,12,31)))</f>
        <v/>
      </c>
      <c r="K195" s="54">
        <f>IF($C195="","",SUMIFS('Dvd Calendar'!$E$2766:$AR$2766,'Dvd Calendar'!$E$2765:$AR$2765,"&gt;="&amp;DATE(Summary!$C$12,1,1),'Dvd Calendar'!$E$2765:$AR$2765,"&lt;="&amp;MIN(Summary!$C$11,DATE(Summary!$C$12,12,31))))</f>
        <v/>
      </c>
      <c r="L195" s="38">
        <f>IF($C195="","",AVERAGE(F195:J195))</f>
        <v/>
      </c>
      <c r="M195" s="55">
        <f>IF($C195="","",IF(Summary!$C$16="N","",IFERROR(BDP($C195,'Field Check'!$C$16,'Field Check'!$C$17,TEXT(Summary!$C$12-5,"0")),"")))</f>
        <v/>
      </c>
      <c r="N195" s="55">
        <f>IF($C195="","",IF(Summary!$C$16="N","",IFERROR(BDP($C195,'Field Check'!$C$16,'Field Check'!$C$17,TEXT(Summary!$C$12-4,"0")),"")))</f>
        <v/>
      </c>
      <c r="O195" s="55">
        <f>IF($C195="","",IF(Summary!$C$16="N","",IFERROR(BDP($C195,'Field Check'!$C$16,'Field Check'!$C$17,TEXT(Summary!$C$12-3,"0")),"")))</f>
        <v/>
      </c>
      <c r="P195" s="55">
        <f>IF($C195="","",IF(Summary!$C$16="N","",IFERROR(BDP($C195,'Field Check'!$C$16,'Field Check'!$C$17,TEXT(Summary!$C$12-2,"0")),"")))</f>
        <v/>
      </c>
      <c r="Q195" s="55">
        <f>IF($C195="","",IF(Summary!$C$16="N","",IFERROR(BDP($C195,'Field Check'!$C$16,'Field Check'!$C$17,TEXT(Summary!$C$12-1,"0")),"")))</f>
        <v/>
      </c>
      <c r="R195" s="56">
        <f>IF($C195="","",IF(Summary!$C$16="N","",IFERROR(BDP($C195,'Field Check'!$C$18,'Field Check'!$C$17,TEXT(Summary!$C$12-5,"0"))/100,"")))</f>
        <v/>
      </c>
      <c r="S195" s="56">
        <f>IF($C195="","",IF(Summary!$C$16="N","",IFERROR(BDP($C195,'Field Check'!$C$18,'Field Check'!$C$17,TEXT(Summary!$C$12-4,"0"))/100,"")))</f>
        <v/>
      </c>
      <c r="T195" s="56">
        <f>IF($C195="","",IF(Summary!$C$16="N","",IFERROR(BDP($C195,'Field Check'!$C$18,'Field Check'!$C$17,TEXT(Summary!$C$12-3,"0"))/100,"")))</f>
        <v/>
      </c>
      <c r="U195" s="56">
        <f>IF($C195="","",IF(Summary!$C$16="N","",IFERROR(BDP($C195,'Field Check'!$C$18,'Field Check'!$C$17,TEXT(Summary!$C$12-2,"0"))/100,"")))</f>
        <v/>
      </c>
      <c r="V195" s="56">
        <f>IF($C195="","",IF(Summary!$C$16="N","",IFERROR(BDP($C195,'Field Check'!$C$18,'Field Check'!$C$17,TEXT(Summary!$C$12-1,"0"))/100,"")))</f>
        <v/>
      </c>
      <c r="W195" s="57">
        <f>IF($C195="","",IFERROR(AVERAGE(R195:V195),""))</f>
        <v/>
      </c>
      <c r="X195" s="58">
        <f>IF($C195="","",IF(ISNUMBER($Q195)*(N($Q195)&gt;0)=0,"",IFERROR($J195/$Q195,"")))</f>
        <v/>
      </c>
      <c r="Y195" s="59">
        <f>IF($C195="","",IF(ISNUMBER(HSCEI!$I$50),HSCEI!$I$50/100,""))</f>
        <v/>
      </c>
      <c r="Z195" s="60">
        <f>IF($C195="","",IF(Summary!$C$16="N","",IFERROR(BDP($C195,'Field Check'!$C$19)/100,"")))</f>
        <v/>
      </c>
      <c r="AA195" s="61">
        <f>IF($C195="","",IF(N($Y195)+N($Z195)=0,"",N($Y195)+N($Z195)))</f>
        <v/>
      </c>
      <c r="AB195" s="60">
        <f>IF($C195="","",IF(Summary!$C$16="N","",IFERROR(BDP($C195,'Field Check'!$C$20)/100,"")))</f>
        <v/>
      </c>
      <c r="AC195" s="45">
        <f>IF($C195="","",IF(N($Y195)=0,"",IFERROR($AB195/$Y195,"")))</f>
        <v/>
      </c>
      <c r="AD195" s="55">
        <f>IF($C195="","",IF(Summary!$C$16="N","",IFERROR(BDP($C195,'Field Check'!$C$21),"")))</f>
        <v/>
      </c>
      <c r="AE195" s="55">
        <f>IF($C195="","",IF(Summary!$C$16="N","",IFERROR(BDP($C195,'Field Check'!$C$22),"")))</f>
        <v/>
      </c>
      <c r="AF195" s="55">
        <f>IF($C195="","",IF(Summary!$C$16="N","",IFERROR(BDP($C195,'Field Check'!$C$23),"")))</f>
        <v/>
      </c>
      <c r="AG195" s="40">
        <f>IF($C195="","",TRIM(IF(ISNUMBER($W195)*(N($W195)&gt;$D$7)&gt;0,"payout high  ","")&amp;IF(ISNUMBER($AC195)*(N($AC195)&lt;$F$7)&gt;0,"FCF below dvd  ","")&amp;IF(ISNUMBER($AE195)*(N($AE195)&gt;$H$7)&gt;0,"leverage high","")))</f>
        <v/>
      </c>
      <c r="AH195" s="40">
        <f>IF($C195="","",IF(HSCEI!$F$50="HKD","",IF(HSCEI!$F$50="","","DPS in "&amp;HSCEI!$F$50)))</f>
        <v/>
      </c>
    </row>
    <row r="196">
      <c r="B196" s="52" t="inlineStr">
        <is>
          <t>HSCEI</t>
        </is>
      </c>
      <c r="C196" s="6">
        <f>IF(HSCEI!$C$51="","",HSCEI!$C$51)</f>
        <v/>
      </c>
      <c r="D196" s="6">
        <f>IF($C196="","",HSCEI!$D$51)</f>
        <v/>
      </c>
      <c r="E196" s="6">
        <f>IF($C196="","",HSCEI!$E$51)</f>
        <v/>
      </c>
      <c r="F196" s="53">
        <f>IF($C196="","",SUMIFS('Dvd Calendar'!$E$2781:$AR$2781,'Dvd Calendar'!$E$2780:$AR$2780,"&gt;="&amp;DATE(Summary!$C$12-5,1,1),'Dvd Calendar'!$E$2780:$AR$2780,"&lt;="&amp;DATE(Summary!$C$12-5,12,31)))</f>
        <v/>
      </c>
      <c r="G196" s="53">
        <f>IF($C196="","",SUMIFS('Dvd Calendar'!$E$2781:$AR$2781,'Dvd Calendar'!$E$2780:$AR$2780,"&gt;="&amp;DATE(Summary!$C$12-4,1,1),'Dvd Calendar'!$E$2780:$AR$2780,"&lt;="&amp;DATE(Summary!$C$12-4,12,31)))</f>
        <v/>
      </c>
      <c r="H196" s="53">
        <f>IF($C196="","",SUMIFS('Dvd Calendar'!$E$2781:$AR$2781,'Dvd Calendar'!$E$2780:$AR$2780,"&gt;="&amp;DATE(Summary!$C$12-3,1,1),'Dvd Calendar'!$E$2780:$AR$2780,"&lt;="&amp;DATE(Summary!$C$12-3,12,31)))</f>
        <v/>
      </c>
      <c r="I196" s="53">
        <f>IF($C196="","",SUMIFS('Dvd Calendar'!$E$2781:$AR$2781,'Dvd Calendar'!$E$2780:$AR$2780,"&gt;="&amp;DATE(Summary!$C$12-2,1,1),'Dvd Calendar'!$E$2780:$AR$2780,"&lt;="&amp;DATE(Summary!$C$12-2,12,31)))</f>
        <v/>
      </c>
      <c r="J196" s="53">
        <f>IF($C196="","",SUMIFS('Dvd Calendar'!$E$2781:$AR$2781,'Dvd Calendar'!$E$2780:$AR$2780,"&gt;="&amp;DATE(Summary!$C$12-1,1,1),'Dvd Calendar'!$E$2780:$AR$2780,"&lt;="&amp;DATE(Summary!$C$12-1,12,31)))</f>
        <v/>
      </c>
      <c r="K196" s="54">
        <f>IF($C196="","",SUMIFS('Dvd Calendar'!$E$2781:$AR$2781,'Dvd Calendar'!$E$2780:$AR$2780,"&gt;="&amp;DATE(Summary!$C$12,1,1),'Dvd Calendar'!$E$2780:$AR$2780,"&lt;="&amp;MIN(Summary!$C$11,DATE(Summary!$C$12,12,31))))</f>
        <v/>
      </c>
      <c r="L196" s="38">
        <f>IF($C196="","",AVERAGE(F196:J196))</f>
        <v/>
      </c>
      <c r="M196" s="55">
        <f>IF($C196="","",IF(Summary!$C$16="N","",IFERROR(BDP($C196,'Field Check'!$C$16,'Field Check'!$C$17,TEXT(Summary!$C$12-5,"0")),"")))</f>
        <v/>
      </c>
      <c r="N196" s="55">
        <f>IF($C196="","",IF(Summary!$C$16="N","",IFERROR(BDP($C196,'Field Check'!$C$16,'Field Check'!$C$17,TEXT(Summary!$C$12-4,"0")),"")))</f>
        <v/>
      </c>
      <c r="O196" s="55">
        <f>IF($C196="","",IF(Summary!$C$16="N","",IFERROR(BDP($C196,'Field Check'!$C$16,'Field Check'!$C$17,TEXT(Summary!$C$12-3,"0")),"")))</f>
        <v/>
      </c>
      <c r="P196" s="55">
        <f>IF($C196="","",IF(Summary!$C$16="N","",IFERROR(BDP($C196,'Field Check'!$C$16,'Field Check'!$C$17,TEXT(Summary!$C$12-2,"0")),"")))</f>
        <v/>
      </c>
      <c r="Q196" s="55">
        <f>IF($C196="","",IF(Summary!$C$16="N","",IFERROR(BDP($C196,'Field Check'!$C$16,'Field Check'!$C$17,TEXT(Summary!$C$12-1,"0")),"")))</f>
        <v/>
      </c>
      <c r="R196" s="56">
        <f>IF($C196="","",IF(Summary!$C$16="N","",IFERROR(BDP($C196,'Field Check'!$C$18,'Field Check'!$C$17,TEXT(Summary!$C$12-5,"0"))/100,"")))</f>
        <v/>
      </c>
      <c r="S196" s="56">
        <f>IF($C196="","",IF(Summary!$C$16="N","",IFERROR(BDP($C196,'Field Check'!$C$18,'Field Check'!$C$17,TEXT(Summary!$C$12-4,"0"))/100,"")))</f>
        <v/>
      </c>
      <c r="T196" s="56">
        <f>IF($C196="","",IF(Summary!$C$16="N","",IFERROR(BDP($C196,'Field Check'!$C$18,'Field Check'!$C$17,TEXT(Summary!$C$12-3,"0"))/100,"")))</f>
        <v/>
      </c>
      <c r="U196" s="56">
        <f>IF($C196="","",IF(Summary!$C$16="N","",IFERROR(BDP($C196,'Field Check'!$C$18,'Field Check'!$C$17,TEXT(Summary!$C$12-2,"0"))/100,"")))</f>
        <v/>
      </c>
      <c r="V196" s="56">
        <f>IF($C196="","",IF(Summary!$C$16="N","",IFERROR(BDP($C196,'Field Check'!$C$18,'Field Check'!$C$17,TEXT(Summary!$C$12-1,"0"))/100,"")))</f>
        <v/>
      </c>
      <c r="W196" s="57">
        <f>IF($C196="","",IFERROR(AVERAGE(R196:V196),""))</f>
        <v/>
      </c>
      <c r="X196" s="58">
        <f>IF($C196="","",IF(ISNUMBER($Q196)*(N($Q196)&gt;0)=0,"",IFERROR($J196/$Q196,"")))</f>
        <v/>
      </c>
      <c r="Y196" s="59">
        <f>IF($C196="","",IF(ISNUMBER(HSCEI!$I$51),HSCEI!$I$51/100,""))</f>
        <v/>
      </c>
      <c r="Z196" s="60">
        <f>IF($C196="","",IF(Summary!$C$16="N","",IFERROR(BDP($C196,'Field Check'!$C$19)/100,"")))</f>
        <v/>
      </c>
      <c r="AA196" s="61">
        <f>IF($C196="","",IF(N($Y196)+N($Z196)=0,"",N($Y196)+N($Z196)))</f>
        <v/>
      </c>
      <c r="AB196" s="60">
        <f>IF($C196="","",IF(Summary!$C$16="N","",IFERROR(BDP($C196,'Field Check'!$C$20)/100,"")))</f>
        <v/>
      </c>
      <c r="AC196" s="45">
        <f>IF($C196="","",IF(N($Y196)=0,"",IFERROR($AB196/$Y196,"")))</f>
        <v/>
      </c>
      <c r="AD196" s="55">
        <f>IF($C196="","",IF(Summary!$C$16="N","",IFERROR(BDP($C196,'Field Check'!$C$21),"")))</f>
        <v/>
      </c>
      <c r="AE196" s="55">
        <f>IF($C196="","",IF(Summary!$C$16="N","",IFERROR(BDP($C196,'Field Check'!$C$22),"")))</f>
        <v/>
      </c>
      <c r="AF196" s="55">
        <f>IF($C196="","",IF(Summary!$C$16="N","",IFERROR(BDP($C196,'Field Check'!$C$23),"")))</f>
        <v/>
      </c>
      <c r="AG196" s="40">
        <f>IF($C196="","",TRIM(IF(ISNUMBER($W196)*(N($W196)&gt;$D$7)&gt;0,"payout high  ","")&amp;IF(ISNUMBER($AC196)*(N($AC196)&lt;$F$7)&gt;0,"FCF below dvd  ","")&amp;IF(ISNUMBER($AE196)*(N($AE196)&gt;$H$7)&gt;0,"leverage high","")))</f>
        <v/>
      </c>
      <c r="AH196" s="40">
        <f>IF($C196="","",IF(HSCEI!$F$51="HKD","",IF(HSCEI!$F$51="","","DPS in "&amp;HSCEI!$F$51)))</f>
        <v/>
      </c>
    </row>
    <row r="197">
      <c r="B197" s="52" t="inlineStr">
        <is>
          <t>HSCEI</t>
        </is>
      </c>
      <c r="C197" s="6">
        <f>IF(HSCEI!$C$52="","",HSCEI!$C$52)</f>
        <v/>
      </c>
      <c r="D197" s="6">
        <f>IF($C197="","",HSCEI!$D$52)</f>
        <v/>
      </c>
      <c r="E197" s="6">
        <f>IF($C197="","",HSCEI!$E$52)</f>
        <v/>
      </c>
      <c r="F197" s="53">
        <f>IF($C197="","",SUMIFS('Dvd Calendar'!$E$2796:$AR$2796,'Dvd Calendar'!$E$2795:$AR$2795,"&gt;="&amp;DATE(Summary!$C$12-5,1,1),'Dvd Calendar'!$E$2795:$AR$2795,"&lt;="&amp;DATE(Summary!$C$12-5,12,31)))</f>
        <v/>
      </c>
      <c r="G197" s="53">
        <f>IF($C197="","",SUMIFS('Dvd Calendar'!$E$2796:$AR$2796,'Dvd Calendar'!$E$2795:$AR$2795,"&gt;="&amp;DATE(Summary!$C$12-4,1,1),'Dvd Calendar'!$E$2795:$AR$2795,"&lt;="&amp;DATE(Summary!$C$12-4,12,31)))</f>
        <v/>
      </c>
      <c r="H197" s="53">
        <f>IF($C197="","",SUMIFS('Dvd Calendar'!$E$2796:$AR$2796,'Dvd Calendar'!$E$2795:$AR$2795,"&gt;="&amp;DATE(Summary!$C$12-3,1,1),'Dvd Calendar'!$E$2795:$AR$2795,"&lt;="&amp;DATE(Summary!$C$12-3,12,31)))</f>
        <v/>
      </c>
      <c r="I197" s="53">
        <f>IF($C197="","",SUMIFS('Dvd Calendar'!$E$2796:$AR$2796,'Dvd Calendar'!$E$2795:$AR$2795,"&gt;="&amp;DATE(Summary!$C$12-2,1,1),'Dvd Calendar'!$E$2795:$AR$2795,"&lt;="&amp;DATE(Summary!$C$12-2,12,31)))</f>
        <v/>
      </c>
      <c r="J197" s="53">
        <f>IF($C197="","",SUMIFS('Dvd Calendar'!$E$2796:$AR$2796,'Dvd Calendar'!$E$2795:$AR$2795,"&gt;="&amp;DATE(Summary!$C$12-1,1,1),'Dvd Calendar'!$E$2795:$AR$2795,"&lt;="&amp;DATE(Summary!$C$12-1,12,31)))</f>
        <v/>
      </c>
      <c r="K197" s="54">
        <f>IF($C197="","",SUMIFS('Dvd Calendar'!$E$2796:$AR$2796,'Dvd Calendar'!$E$2795:$AR$2795,"&gt;="&amp;DATE(Summary!$C$12,1,1),'Dvd Calendar'!$E$2795:$AR$2795,"&lt;="&amp;MIN(Summary!$C$11,DATE(Summary!$C$12,12,31))))</f>
        <v/>
      </c>
      <c r="L197" s="38">
        <f>IF($C197="","",AVERAGE(F197:J197))</f>
        <v/>
      </c>
      <c r="M197" s="55">
        <f>IF($C197="","",IF(Summary!$C$16="N","",IFERROR(BDP($C197,'Field Check'!$C$16,'Field Check'!$C$17,TEXT(Summary!$C$12-5,"0")),"")))</f>
        <v/>
      </c>
      <c r="N197" s="55">
        <f>IF($C197="","",IF(Summary!$C$16="N","",IFERROR(BDP($C197,'Field Check'!$C$16,'Field Check'!$C$17,TEXT(Summary!$C$12-4,"0")),"")))</f>
        <v/>
      </c>
      <c r="O197" s="55">
        <f>IF($C197="","",IF(Summary!$C$16="N","",IFERROR(BDP($C197,'Field Check'!$C$16,'Field Check'!$C$17,TEXT(Summary!$C$12-3,"0")),"")))</f>
        <v/>
      </c>
      <c r="P197" s="55">
        <f>IF($C197="","",IF(Summary!$C$16="N","",IFERROR(BDP($C197,'Field Check'!$C$16,'Field Check'!$C$17,TEXT(Summary!$C$12-2,"0")),"")))</f>
        <v/>
      </c>
      <c r="Q197" s="55">
        <f>IF($C197="","",IF(Summary!$C$16="N","",IFERROR(BDP($C197,'Field Check'!$C$16,'Field Check'!$C$17,TEXT(Summary!$C$12-1,"0")),"")))</f>
        <v/>
      </c>
      <c r="R197" s="56">
        <f>IF($C197="","",IF(Summary!$C$16="N","",IFERROR(BDP($C197,'Field Check'!$C$18,'Field Check'!$C$17,TEXT(Summary!$C$12-5,"0"))/100,"")))</f>
        <v/>
      </c>
      <c r="S197" s="56">
        <f>IF($C197="","",IF(Summary!$C$16="N","",IFERROR(BDP($C197,'Field Check'!$C$18,'Field Check'!$C$17,TEXT(Summary!$C$12-4,"0"))/100,"")))</f>
        <v/>
      </c>
      <c r="T197" s="56">
        <f>IF($C197="","",IF(Summary!$C$16="N","",IFERROR(BDP($C197,'Field Check'!$C$18,'Field Check'!$C$17,TEXT(Summary!$C$12-3,"0"))/100,"")))</f>
        <v/>
      </c>
      <c r="U197" s="56">
        <f>IF($C197="","",IF(Summary!$C$16="N","",IFERROR(BDP($C197,'Field Check'!$C$18,'Field Check'!$C$17,TEXT(Summary!$C$12-2,"0"))/100,"")))</f>
        <v/>
      </c>
      <c r="V197" s="56">
        <f>IF($C197="","",IF(Summary!$C$16="N","",IFERROR(BDP($C197,'Field Check'!$C$18,'Field Check'!$C$17,TEXT(Summary!$C$12-1,"0"))/100,"")))</f>
        <v/>
      </c>
      <c r="W197" s="57">
        <f>IF($C197="","",IFERROR(AVERAGE(R197:V197),""))</f>
        <v/>
      </c>
      <c r="X197" s="58">
        <f>IF($C197="","",IF(ISNUMBER($Q197)*(N($Q197)&gt;0)=0,"",IFERROR($J197/$Q197,"")))</f>
        <v/>
      </c>
      <c r="Y197" s="59">
        <f>IF($C197="","",IF(ISNUMBER(HSCEI!$I$52),HSCEI!$I$52/100,""))</f>
        <v/>
      </c>
      <c r="Z197" s="60">
        <f>IF($C197="","",IF(Summary!$C$16="N","",IFERROR(BDP($C197,'Field Check'!$C$19)/100,"")))</f>
        <v/>
      </c>
      <c r="AA197" s="61">
        <f>IF($C197="","",IF(N($Y197)+N($Z197)=0,"",N($Y197)+N($Z197)))</f>
        <v/>
      </c>
      <c r="AB197" s="60">
        <f>IF($C197="","",IF(Summary!$C$16="N","",IFERROR(BDP($C197,'Field Check'!$C$20)/100,"")))</f>
        <v/>
      </c>
      <c r="AC197" s="45">
        <f>IF($C197="","",IF(N($Y197)=0,"",IFERROR($AB197/$Y197,"")))</f>
        <v/>
      </c>
      <c r="AD197" s="55">
        <f>IF($C197="","",IF(Summary!$C$16="N","",IFERROR(BDP($C197,'Field Check'!$C$21),"")))</f>
        <v/>
      </c>
      <c r="AE197" s="55">
        <f>IF($C197="","",IF(Summary!$C$16="N","",IFERROR(BDP($C197,'Field Check'!$C$22),"")))</f>
        <v/>
      </c>
      <c r="AF197" s="55">
        <f>IF($C197="","",IF(Summary!$C$16="N","",IFERROR(BDP($C197,'Field Check'!$C$23),"")))</f>
        <v/>
      </c>
      <c r="AG197" s="40">
        <f>IF($C197="","",TRIM(IF(ISNUMBER($W197)*(N($W197)&gt;$D$7)&gt;0,"payout high  ","")&amp;IF(ISNUMBER($AC197)*(N($AC197)&lt;$F$7)&gt;0,"FCF below dvd  ","")&amp;IF(ISNUMBER($AE197)*(N($AE197)&gt;$H$7)&gt;0,"leverage high","")))</f>
        <v/>
      </c>
      <c r="AH197" s="40">
        <f>IF($C197="","",IF(HSCEI!$F$52="HKD","",IF(HSCEI!$F$52="","","DPS in "&amp;HSCEI!$F$52)))</f>
        <v/>
      </c>
    </row>
    <row r="198">
      <c r="B198" s="52" t="inlineStr">
        <is>
          <t>HSCEI</t>
        </is>
      </c>
      <c r="C198" s="6">
        <f>IF(HSCEI!$C$53="","",HSCEI!$C$53)</f>
        <v/>
      </c>
      <c r="D198" s="6">
        <f>IF($C198="","",HSCEI!$D$53)</f>
        <v/>
      </c>
      <c r="E198" s="6">
        <f>IF($C198="","",HSCEI!$E$53)</f>
        <v/>
      </c>
      <c r="F198" s="53">
        <f>IF($C198="","",SUMIFS('Dvd Calendar'!$E$2811:$AR$2811,'Dvd Calendar'!$E$2810:$AR$2810,"&gt;="&amp;DATE(Summary!$C$12-5,1,1),'Dvd Calendar'!$E$2810:$AR$2810,"&lt;="&amp;DATE(Summary!$C$12-5,12,31)))</f>
        <v/>
      </c>
      <c r="G198" s="53">
        <f>IF($C198="","",SUMIFS('Dvd Calendar'!$E$2811:$AR$2811,'Dvd Calendar'!$E$2810:$AR$2810,"&gt;="&amp;DATE(Summary!$C$12-4,1,1),'Dvd Calendar'!$E$2810:$AR$2810,"&lt;="&amp;DATE(Summary!$C$12-4,12,31)))</f>
        <v/>
      </c>
      <c r="H198" s="53">
        <f>IF($C198="","",SUMIFS('Dvd Calendar'!$E$2811:$AR$2811,'Dvd Calendar'!$E$2810:$AR$2810,"&gt;="&amp;DATE(Summary!$C$12-3,1,1),'Dvd Calendar'!$E$2810:$AR$2810,"&lt;="&amp;DATE(Summary!$C$12-3,12,31)))</f>
        <v/>
      </c>
      <c r="I198" s="53">
        <f>IF($C198="","",SUMIFS('Dvd Calendar'!$E$2811:$AR$2811,'Dvd Calendar'!$E$2810:$AR$2810,"&gt;="&amp;DATE(Summary!$C$12-2,1,1),'Dvd Calendar'!$E$2810:$AR$2810,"&lt;="&amp;DATE(Summary!$C$12-2,12,31)))</f>
        <v/>
      </c>
      <c r="J198" s="53">
        <f>IF($C198="","",SUMIFS('Dvd Calendar'!$E$2811:$AR$2811,'Dvd Calendar'!$E$2810:$AR$2810,"&gt;="&amp;DATE(Summary!$C$12-1,1,1),'Dvd Calendar'!$E$2810:$AR$2810,"&lt;="&amp;DATE(Summary!$C$12-1,12,31)))</f>
        <v/>
      </c>
      <c r="K198" s="54">
        <f>IF($C198="","",SUMIFS('Dvd Calendar'!$E$2811:$AR$2811,'Dvd Calendar'!$E$2810:$AR$2810,"&gt;="&amp;DATE(Summary!$C$12,1,1),'Dvd Calendar'!$E$2810:$AR$2810,"&lt;="&amp;MIN(Summary!$C$11,DATE(Summary!$C$12,12,31))))</f>
        <v/>
      </c>
      <c r="L198" s="38">
        <f>IF($C198="","",AVERAGE(F198:J198))</f>
        <v/>
      </c>
      <c r="M198" s="55">
        <f>IF($C198="","",IF(Summary!$C$16="N","",IFERROR(BDP($C198,'Field Check'!$C$16,'Field Check'!$C$17,TEXT(Summary!$C$12-5,"0")),"")))</f>
        <v/>
      </c>
      <c r="N198" s="55">
        <f>IF($C198="","",IF(Summary!$C$16="N","",IFERROR(BDP($C198,'Field Check'!$C$16,'Field Check'!$C$17,TEXT(Summary!$C$12-4,"0")),"")))</f>
        <v/>
      </c>
      <c r="O198" s="55">
        <f>IF($C198="","",IF(Summary!$C$16="N","",IFERROR(BDP($C198,'Field Check'!$C$16,'Field Check'!$C$17,TEXT(Summary!$C$12-3,"0")),"")))</f>
        <v/>
      </c>
      <c r="P198" s="55">
        <f>IF($C198="","",IF(Summary!$C$16="N","",IFERROR(BDP($C198,'Field Check'!$C$16,'Field Check'!$C$17,TEXT(Summary!$C$12-2,"0")),"")))</f>
        <v/>
      </c>
      <c r="Q198" s="55">
        <f>IF($C198="","",IF(Summary!$C$16="N","",IFERROR(BDP($C198,'Field Check'!$C$16,'Field Check'!$C$17,TEXT(Summary!$C$12-1,"0")),"")))</f>
        <v/>
      </c>
      <c r="R198" s="56">
        <f>IF($C198="","",IF(Summary!$C$16="N","",IFERROR(BDP($C198,'Field Check'!$C$18,'Field Check'!$C$17,TEXT(Summary!$C$12-5,"0"))/100,"")))</f>
        <v/>
      </c>
      <c r="S198" s="56">
        <f>IF($C198="","",IF(Summary!$C$16="N","",IFERROR(BDP($C198,'Field Check'!$C$18,'Field Check'!$C$17,TEXT(Summary!$C$12-4,"0"))/100,"")))</f>
        <v/>
      </c>
      <c r="T198" s="56">
        <f>IF($C198="","",IF(Summary!$C$16="N","",IFERROR(BDP($C198,'Field Check'!$C$18,'Field Check'!$C$17,TEXT(Summary!$C$12-3,"0"))/100,"")))</f>
        <v/>
      </c>
      <c r="U198" s="56">
        <f>IF($C198="","",IF(Summary!$C$16="N","",IFERROR(BDP($C198,'Field Check'!$C$18,'Field Check'!$C$17,TEXT(Summary!$C$12-2,"0"))/100,"")))</f>
        <v/>
      </c>
      <c r="V198" s="56">
        <f>IF($C198="","",IF(Summary!$C$16="N","",IFERROR(BDP($C198,'Field Check'!$C$18,'Field Check'!$C$17,TEXT(Summary!$C$12-1,"0"))/100,"")))</f>
        <v/>
      </c>
      <c r="W198" s="57">
        <f>IF($C198="","",IFERROR(AVERAGE(R198:V198),""))</f>
        <v/>
      </c>
      <c r="X198" s="58">
        <f>IF($C198="","",IF(ISNUMBER($Q198)*(N($Q198)&gt;0)=0,"",IFERROR($J198/$Q198,"")))</f>
        <v/>
      </c>
      <c r="Y198" s="59">
        <f>IF($C198="","",IF(ISNUMBER(HSCEI!$I$53),HSCEI!$I$53/100,""))</f>
        <v/>
      </c>
      <c r="Z198" s="60">
        <f>IF($C198="","",IF(Summary!$C$16="N","",IFERROR(BDP($C198,'Field Check'!$C$19)/100,"")))</f>
        <v/>
      </c>
      <c r="AA198" s="61">
        <f>IF($C198="","",IF(N($Y198)+N($Z198)=0,"",N($Y198)+N($Z198)))</f>
        <v/>
      </c>
      <c r="AB198" s="60">
        <f>IF($C198="","",IF(Summary!$C$16="N","",IFERROR(BDP($C198,'Field Check'!$C$20)/100,"")))</f>
        <v/>
      </c>
      <c r="AC198" s="45">
        <f>IF($C198="","",IF(N($Y198)=0,"",IFERROR($AB198/$Y198,"")))</f>
        <v/>
      </c>
      <c r="AD198" s="55">
        <f>IF($C198="","",IF(Summary!$C$16="N","",IFERROR(BDP($C198,'Field Check'!$C$21),"")))</f>
        <v/>
      </c>
      <c r="AE198" s="55">
        <f>IF($C198="","",IF(Summary!$C$16="N","",IFERROR(BDP($C198,'Field Check'!$C$22),"")))</f>
        <v/>
      </c>
      <c r="AF198" s="55">
        <f>IF($C198="","",IF(Summary!$C$16="N","",IFERROR(BDP($C198,'Field Check'!$C$23),"")))</f>
        <v/>
      </c>
      <c r="AG198" s="40">
        <f>IF($C198="","",TRIM(IF(ISNUMBER($W198)*(N($W198)&gt;$D$7)&gt;0,"payout high  ","")&amp;IF(ISNUMBER($AC198)*(N($AC198)&lt;$F$7)&gt;0,"FCF below dvd  ","")&amp;IF(ISNUMBER($AE198)*(N($AE198)&gt;$H$7)&gt;0,"leverage high","")))</f>
        <v/>
      </c>
      <c r="AH198" s="40">
        <f>IF($C198="","",IF(HSCEI!$F$53="HKD","",IF(HSCEI!$F$53="","","DPS in "&amp;HSCEI!$F$53)))</f>
        <v/>
      </c>
    </row>
    <row r="199">
      <c r="B199" s="52" t="inlineStr">
        <is>
          <t>HSCEI</t>
        </is>
      </c>
      <c r="C199" s="6">
        <f>IF(HSCEI!$C$54="","",HSCEI!$C$54)</f>
        <v/>
      </c>
      <c r="D199" s="6">
        <f>IF($C199="","",HSCEI!$D$54)</f>
        <v/>
      </c>
      <c r="E199" s="6">
        <f>IF($C199="","",HSCEI!$E$54)</f>
        <v/>
      </c>
      <c r="F199" s="53">
        <f>IF($C199="","",SUMIFS('Dvd Calendar'!$E$2826:$AR$2826,'Dvd Calendar'!$E$2825:$AR$2825,"&gt;="&amp;DATE(Summary!$C$12-5,1,1),'Dvd Calendar'!$E$2825:$AR$2825,"&lt;="&amp;DATE(Summary!$C$12-5,12,31)))</f>
        <v/>
      </c>
      <c r="G199" s="53">
        <f>IF($C199="","",SUMIFS('Dvd Calendar'!$E$2826:$AR$2826,'Dvd Calendar'!$E$2825:$AR$2825,"&gt;="&amp;DATE(Summary!$C$12-4,1,1),'Dvd Calendar'!$E$2825:$AR$2825,"&lt;="&amp;DATE(Summary!$C$12-4,12,31)))</f>
        <v/>
      </c>
      <c r="H199" s="53">
        <f>IF($C199="","",SUMIFS('Dvd Calendar'!$E$2826:$AR$2826,'Dvd Calendar'!$E$2825:$AR$2825,"&gt;="&amp;DATE(Summary!$C$12-3,1,1),'Dvd Calendar'!$E$2825:$AR$2825,"&lt;="&amp;DATE(Summary!$C$12-3,12,31)))</f>
        <v/>
      </c>
      <c r="I199" s="53">
        <f>IF($C199="","",SUMIFS('Dvd Calendar'!$E$2826:$AR$2826,'Dvd Calendar'!$E$2825:$AR$2825,"&gt;="&amp;DATE(Summary!$C$12-2,1,1),'Dvd Calendar'!$E$2825:$AR$2825,"&lt;="&amp;DATE(Summary!$C$12-2,12,31)))</f>
        <v/>
      </c>
      <c r="J199" s="53">
        <f>IF($C199="","",SUMIFS('Dvd Calendar'!$E$2826:$AR$2826,'Dvd Calendar'!$E$2825:$AR$2825,"&gt;="&amp;DATE(Summary!$C$12-1,1,1),'Dvd Calendar'!$E$2825:$AR$2825,"&lt;="&amp;DATE(Summary!$C$12-1,12,31)))</f>
        <v/>
      </c>
      <c r="K199" s="54">
        <f>IF($C199="","",SUMIFS('Dvd Calendar'!$E$2826:$AR$2826,'Dvd Calendar'!$E$2825:$AR$2825,"&gt;="&amp;DATE(Summary!$C$12,1,1),'Dvd Calendar'!$E$2825:$AR$2825,"&lt;="&amp;MIN(Summary!$C$11,DATE(Summary!$C$12,12,31))))</f>
        <v/>
      </c>
      <c r="L199" s="38">
        <f>IF($C199="","",AVERAGE(F199:J199))</f>
        <v/>
      </c>
      <c r="M199" s="55">
        <f>IF($C199="","",IF(Summary!$C$16="N","",IFERROR(BDP($C199,'Field Check'!$C$16,'Field Check'!$C$17,TEXT(Summary!$C$12-5,"0")),"")))</f>
        <v/>
      </c>
      <c r="N199" s="55">
        <f>IF($C199="","",IF(Summary!$C$16="N","",IFERROR(BDP($C199,'Field Check'!$C$16,'Field Check'!$C$17,TEXT(Summary!$C$12-4,"0")),"")))</f>
        <v/>
      </c>
      <c r="O199" s="55">
        <f>IF($C199="","",IF(Summary!$C$16="N","",IFERROR(BDP($C199,'Field Check'!$C$16,'Field Check'!$C$17,TEXT(Summary!$C$12-3,"0")),"")))</f>
        <v/>
      </c>
      <c r="P199" s="55">
        <f>IF($C199="","",IF(Summary!$C$16="N","",IFERROR(BDP($C199,'Field Check'!$C$16,'Field Check'!$C$17,TEXT(Summary!$C$12-2,"0")),"")))</f>
        <v/>
      </c>
      <c r="Q199" s="55">
        <f>IF($C199="","",IF(Summary!$C$16="N","",IFERROR(BDP($C199,'Field Check'!$C$16,'Field Check'!$C$17,TEXT(Summary!$C$12-1,"0")),"")))</f>
        <v/>
      </c>
      <c r="R199" s="56">
        <f>IF($C199="","",IF(Summary!$C$16="N","",IFERROR(BDP($C199,'Field Check'!$C$18,'Field Check'!$C$17,TEXT(Summary!$C$12-5,"0"))/100,"")))</f>
        <v/>
      </c>
      <c r="S199" s="56">
        <f>IF($C199="","",IF(Summary!$C$16="N","",IFERROR(BDP($C199,'Field Check'!$C$18,'Field Check'!$C$17,TEXT(Summary!$C$12-4,"0"))/100,"")))</f>
        <v/>
      </c>
      <c r="T199" s="56">
        <f>IF($C199="","",IF(Summary!$C$16="N","",IFERROR(BDP($C199,'Field Check'!$C$18,'Field Check'!$C$17,TEXT(Summary!$C$12-3,"0"))/100,"")))</f>
        <v/>
      </c>
      <c r="U199" s="56">
        <f>IF($C199="","",IF(Summary!$C$16="N","",IFERROR(BDP($C199,'Field Check'!$C$18,'Field Check'!$C$17,TEXT(Summary!$C$12-2,"0"))/100,"")))</f>
        <v/>
      </c>
      <c r="V199" s="56">
        <f>IF($C199="","",IF(Summary!$C$16="N","",IFERROR(BDP($C199,'Field Check'!$C$18,'Field Check'!$C$17,TEXT(Summary!$C$12-1,"0"))/100,"")))</f>
        <v/>
      </c>
      <c r="W199" s="57">
        <f>IF($C199="","",IFERROR(AVERAGE(R199:V199),""))</f>
        <v/>
      </c>
      <c r="X199" s="58">
        <f>IF($C199="","",IF(ISNUMBER($Q199)*(N($Q199)&gt;0)=0,"",IFERROR($J199/$Q199,"")))</f>
        <v/>
      </c>
      <c r="Y199" s="59">
        <f>IF($C199="","",IF(ISNUMBER(HSCEI!$I$54),HSCEI!$I$54/100,""))</f>
        <v/>
      </c>
      <c r="Z199" s="60">
        <f>IF($C199="","",IF(Summary!$C$16="N","",IFERROR(BDP($C199,'Field Check'!$C$19)/100,"")))</f>
        <v/>
      </c>
      <c r="AA199" s="61">
        <f>IF($C199="","",IF(N($Y199)+N($Z199)=0,"",N($Y199)+N($Z199)))</f>
        <v/>
      </c>
      <c r="AB199" s="60">
        <f>IF($C199="","",IF(Summary!$C$16="N","",IFERROR(BDP($C199,'Field Check'!$C$20)/100,"")))</f>
        <v/>
      </c>
      <c r="AC199" s="45">
        <f>IF($C199="","",IF(N($Y199)=0,"",IFERROR($AB199/$Y199,"")))</f>
        <v/>
      </c>
      <c r="AD199" s="55">
        <f>IF($C199="","",IF(Summary!$C$16="N","",IFERROR(BDP($C199,'Field Check'!$C$21),"")))</f>
        <v/>
      </c>
      <c r="AE199" s="55">
        <f>IF($C199="","",IF(Summary!$C$16="N","",IFERROR(BDP($C199,'Field Check'!$C$22),"")))</f>
        <v/>
      </c>
      <c r="AF199" s="55">
        <f>IF($C199="","",IF(Summary!$C$16="N","",IFERROR(BDP($C199,'Field Check'!$C$23),"")))</f>
        <v/>
      </c>
      <c r="AG199" s="40">
        <f>IF($C199="","",TRIM(IF(ISNUMBER($W199)*(N($W199)&gt;$D$7)&gt;0,"payout high  ","")&amp;IF(ISNUMBER($AC199)*(N($AC199)&lt;$F$7)&gt;0,"FCF below dvd  ","")&amp;IF(ISNUMBER($AE199)*(N($AE199)&gt;$H$7)&gt;0,"leverage high","")))</f>
        <v/>
      </c>
      <c r="AH199" s="40">
        <f>IF($C199="","",IF(HSCEI!$F$54="HKD","",IF(HSCEI!$F$54="","","DPS in "&amp;HSCEI!$F$54)))</f>
        <v/>
      </c>
    </row>
    <row r="200">
      <c r="B200" s="52" t="inlineStr">
        <is>
          <t>HSCEI</t>
        </is>
      </c>
      <c r="C200" s="6">
        <f>IF(HSCEI!$C$55="","",HSCEI!$C$55)</f>
        <v/>
      </c>
      <c r="D200" s="6">
        <f>IF($C200="","",HSCEI!$D$55)</f>
        <v/>
      </c>
      <c r="E200" s="6">
        <f>IF($C200="","",HSCEI!$E$55)</f>
        <v/>
      </c>
      <c r="F200" s="53">
        <f>IF($C200="","",SUMIFS('Dvd Calendar'!$E$2841:$AR$2841,'Dvd Calendar'!$E$2840:$AR$2840,"&gt;="&amp;DATE(Summary!$C$12-5,1,1),'Dvd Calendar'!$E$2840:$AR$2840,"&lt;="&amp;DATE(Summary!$C$12-5,12,31)))</f>
        <v/>
      </c>
      <c r="G200" s="53">
        <f>IF($C200="","",SUMIFS('Dvd Calendar'!$E$2841:$AR$2841,'Dvd Calendar'!$E$2840:$AR$2840,"&gt;="&amp;DATE(Summary!$C$12-4,1,1),'Dvd Calendar'!$E$2840:$AR$2840,"&lt;="&amp;DATE(Summary!$C$12-4,12,31)))</f>
        <v/>
      </c>
      <c r="H200" s="53">
        <f>IF($C200="","",SUMIFS('Dvd Calendar'!$E$2841:$AR$2841,'Dvd Calendar'!$E$2840:$AR$2840,"&gt;="&amp;DATE(Summary!$C$12-3,1,1),'Dvd Calendar'!$E$2840:$AR$2840,"&lt;="&amp;DATE(Summary!$C$12-3,12,31)))</f>
        <v/>
      </c>
      <c r="I200" s="53">
        <f>IF($C200="","",SUMIFS('Dvd Calendar'!$E$2841:$AR$2841,'Dvd Calendar'!$E$2840:$AR$2840,"&gt;="&amp;DATE(Summary!$C$12-2,1,1),'Dvd Calendar'!$E$2840:$AR$2840,"&lt;="&amp;DATE(Summary!$C$12-2,12,31)))</f>
        <v/>
      </c>
      <c r="J200" s="53">
        <f>IF($C200="","",SUMIFS('Dvd Calendar'!$E$2841:$AR$2841,'Dvd Calendar'!$E$2840:$AR$2840,"&gt;="&amp;DATE(Summary!$C$12-1,1,1),'Dvd Calendar'!$E$2840:$AR$2840,"&lt;="&amp;DATE(Summary!$C$12-1,12,31)))</f>
        <v/>
      </c>
      <c r="K200" s="54">
        <f>IF($C200="","",SUMIFS('Dvd Calendar'!$E$2841:$AR$2841,'Dvd Calendar'!$E$2840:$AR$2840,"&gt;="&amp;DATE(Summary!$C$12,1,1),'Dvd Calendar'!$E$2840:$AR$2840,"&lt;="&amp;MIN(Summary!$C$11,DATE(Summary!$C$12,12,31))))</f>
        <v/>
      </c>
      <c r="L200" s="38">
        <f>IF($C200="","",AVERAGE(F200:J200))</f>
        <v/>
      </c>
      <c r="M200" s="55">
        <f>IF($C200="","",IF(Summary!$C$16="N","",IFERROR(BDP($C200,'Field Check'!$C$16,'Field Check'!$C$17,TEXT(Summary!$C$12-5,"0")),"")))</f>
        <v/>
      </c>
      <c r="N200" s="55">
        <f>IF($C200="","",IF(Summary!$C$16="N","",IFERROR(BDP($C200,'Field Check'!$C$16,'Field Check'!$C$17,TEXT(Summary!$C$12-4,"0")),"")))</f>
        <v/>
      </c>
      <c r="O200" s="55">
        <f>IF($C200="","",IF(Summary!$C$16="N","",IFERROR(BDP($C200,'Field Check'!$C$16,'Field Check'!$C$17,TEXT(Summary!$C$12-3,"0")),"")))</f>
        <v/>
      </c>
      <c r="P200" s="55">
        <f>IF($C200="","",IF(Summary!$C$16="N","",IFERROR(BDP($C200,'Field Check'!$C$16,'Field Check'!$C$17,TEXT(Summary!$C$12-2,"0")),"")))</f>
        <v/>
      </c>
      <c r="Q200" s="55">
        <f>IF($C200="","",IF(Summary!$C$16="N","",IFERROR(BDP($C200,'Field Check'!$C$16,'Field Check'!$C$17,TEXT(Summary!$C$12-1,"0")),"")))</f>
        <v/>
      </c>
      <c r="R200" s="56">
        <f>IF($C200="","",IF(Summary!$C$16="N","",IFERROR(BDP($C200,'Field Check'!$C$18,'Field Check'!$C$17,TEXT(Summary!$C$12-5,"0"))/100,"")))</f>
        <v/>
      </c>
      <c r="S200" s="56">
        <f>IF($C200="","",IF(Summary!$C$16="N","",IFERROR(BDP($C200,'Field Check'!$C$18,'Field Check'!$C$17,TEXT(Summary!$C$12-4,"0"))/100,"")))</f>
        <v/>
      </c>
      <c r="T200" s="56">
        <f>IF($C200="","",IF(Summary!$C$16="N","",IFERROR(BDP($C200,'Field Check'!$C$18,'Field Check'!$C$17,TEXT(Summary!$C$12-3,"0"))/100,"")))</f>
        <v/>
      </c>
      <c r="U200" s="56">
        <f>IF($C200="","",IF(Summary!$C$16="N","",IFERROR(BDP($C200,'Field Check'!$C$18,'Field Check'!$C$17,TEXT(Summary!$C$12-2,"0"))/100,"")))</f>
        <v/>
      </c>
      <c r="V200" s="56">
        <f>IF($C200="","",IF(Summary!$C$16="N","",IFERROR(BDP($C200,'Field Check'!$C$18,'Field Check'!$C$17,TEXT(Summary!$C$12-1,"0"))/100,"")))</f>
        <v/>
      </c>
      <c r="W200" s="57">
        <f>IF($C200="","",IFERROR(AVERAGE(R200:V200),""))</f>
        <v/>
      </c>
      <c r="X200" s="58">
        <f>IF($C200="","",IF(ISNUMBER($Q200)*(N($Q200)&gt;0)=0,"",IFERROR($J200/$Q200,"")))</f>
        <v/>
      </c>
      <c r="Y200" s="59">
        <f>IF($C200="","",IF(ISNUMBER(HSCEI!$I$55),HSCEI!$I$55/100,""))</f>
        <v/>
      </c>
      <c r="Z200" s="60">
        <f>IF($C200="","",IF(Summary!$C$16="N","",IFERROR(BDP($C200,'Field Check'!$C$19)/100,"")))</f>
        <v/>
      </c>
      <c r="AA200" s="61">
        <f>IF($C200="","",IF(N($Y200)+N($Z200)=0,"",N($Y200)+N($Z200)))</f>
        <v/>
      </c>
      <c r="AB200" s="60">
        <f>IF($C200="","",IF(Summary!$C$16="N","",IFERROR(BDP($C200,'Field Check'!$C$20)/100,"")))</f>
        <v/>
      </c>
      <c r="AC200" s="45">
        <f>IF($C200="","",IF(N($Y200)=0,"",IFERROR($AB200/$Y200,"")))</f>
        <v/>
      </c>
      <c r="AD200" s="55">
        <f>IF($C200="","",IF(Summary!$C$16="N","",IFERROR(BDP($C200,'Field Check'!$C$21),"")))</f>
        <v/>
      </c>
      <c r="AE200" s="55">
        <f>IF($C200="","",IF(Summary!$C$16="N","",IFERROR(BDP($C200,'Field Check'!$C$22),"")))</f>
        <v/>
      </c>
      <c r="AF200" s="55">
        <f>IF($C200="","",IF(Summary!$C$16="N","",IFERROR(BDP($C200,'Field Check'!$C$23),"")))</f>
        <v/>
      </c>
      <c r="AG200" s="40">
        <f>IF($C200="","",TRIM(IF(ISNUMBER($W200)*(N($W200)&gt;$D$7)&gt;0,"payout high  ","")&amp;IF(ISNUMBER($AC200)*(N($AC200)&lt;$F$7)&gt;0,"FCF below dvd  ","")&amp;IF(ISNUMBER($AE200)*(N($AE200)&gt;$H$7)&gt;0,"leverage high","")))</f>
        <v/>
      </c>
      <c r="AH200" s="40">
        <f>IF($C200="","",IF(HSCEI!$F$55="HKD","",IF(HSCEI!$F$55="","","DPS in "&amp;HSCEI!$F$55)))</f>
        <v/>
      </c>
    </row>
    <row r="201">
      <c r="B201" s="52" t="inlineStr">
        <is>
          <t>HSCEI</t>
        </is>
      </c>
      <c r="C201" s="6">
        <f>IF(HSCEI!$C$56="","",HSCEI!$C$56)</f>
        <v/>
      </c>
      <c r="D201" s="6">
        <f>IF($C201="","",HSCEI!$D$56)</f>
        <v/>
      </c>
      <c r="E201" s="6">
        <f>IF($C201="","",HSCEI!$E$56)</f>
        <v/>
      </c>
      <c r="F201" s="53">
        <f>IF($C201="","",SUMIFS('Dvd Calendar'!$E$2856:$AR$2856,'Dvd Calendar'!$E$2855:$AR$2855,"&gt;="&amp;DATE(Summary!$C$12-5,1,1),'Dvd Calendar'!$E$2855:$AR$2855,"&lt;="&amp;DATE(Summary!$C$12-5,12,31)))</f>
        <v/>
      </c>
      <c r="G201" s="53">
        <f>IF($C201="","",SUMIFS('Dvd Calendar'!$E$2856:$AR$2856,'Dvd Calendar'!$E$2855:$AR$2855,"&gt;="&amp;DATE(Summary!$C$12-4,1,1),'Dvd Calendar'!$E$2855:$AR$2855,"&lt;="&amp;DATE(Summary!$C$12-4,12,31)))</f>
        <v/>
      </c>
      <c r="H201" s="53">
        <f>IF($C201="","",SUMIFS('Dvd Calendar'!$E$2856:$AR$2856,'Dvd Calendar'!$E$2855:$AR$2855,"&gt;="&amp;DATE(Summary!$C$12-3,1,1),'Dvd Calendar'!$E$2855:$AR$2855,"&lt;="&amp;DATE(Summary!$C$12-3,12,31)))</f>
        <v/>
      </c>
      <c r="I201" s="53">
        <f>IF($C201="","",SUMIFS('Dvd Calendar'!$E$2856:$AR$2856,'Dvd Calendar'!$E$2855:$AR$2855,"&gt;="&amp;DATE(Summary!$C$12-2,1,1),'Dvd Calendar'!$E$2855:$AR$2855,"&lt;="&amp;DATE(Summary!$C$12-2,12,31)))</f>
        <v/>
      </c>
      <c r="J201" s="53">
        <f>IF($C201="","",SUMIFS('Dvd Calendar'!$E$2856:$AR$2856,'Dvd Calendar'!$E$2855:$AR$2855,"&gt;="&amp;DATE(Summary!$C$12-1,1,1),'Dvd Calendar'!$E$2855:$AR$2855,"&lt;="&amp;DATE(Summary!$C$12-1,12,31)))</f>
        <v/>
      </c>
      <c r="K201" s="54">
        <f>IF($C201="","",SUMIFS('Dvd Calendar'!$E$2856:$AR$2856,'Dvd Calendar'!$E$2855:$AR$2855,"&gt;="&amp;DATE(Summary!$C$12,1,1),'Dvd Calendar'!$E$2855:$AR$2855,"&lt;="&amp;MIN(Summary!$C$11,DATE(Summary!$C$12,12,31))))</f>
        <v/>
      </c>
      <c r="L201" s="38">
        <f>IF($C201="","",AVERAGE(F201:J201))</f>
        <v/>
      </c>
      <c r="M201" s="55">
        <f>IF($C201="","",IF(Summary!$C$16="N","",IFERROR(BDP($C201,'Field Check'!$C$16,'Field Check'!$C$17,TEXT(Summary!$C$12-5,"0")),"")))</f>
        <v/>
      </c>
      <c r="N201" s="55">
        <f>IF($C201="","",IF(Summary!$C$16="N","",IFERROR(BDP($C201,'Field Check'!$C$16,'Field Check'!$C$17,TEXT(Summary!$C$12-4,"0")),"")))</f>
        <v/>
      </c>
      <c r="O201" s="55">
        <f>IF($C201="","",IF(Summary!$C$16="N","",IFERROR(BDP($C201,'Field Check'!$C$16,'Field Check'!$C$17,TEXT(Summary!$C$12-3,"0")),"")))</f>
        <v/>
      </c>
      <c r="P201" s="55">
        <f>IF($C201="","",IF(Summary!$C$16="N","",IFERROR(BDP($C201,'Field Check'!$C$16,'Field Check'!$C$17,TEXT(Summary!$C$12-2,"0")),"")))</f>
        <v/>
      </c>
      <c r="Q201" s="55">
        <f>IF($C201="","",IF(Summary!$C$16="N","",IFERROR(BDP($C201,'Field Check'!$C$16,'Field Check'!$C$17,TEXT(Summary!$C$12-1,"0")),"")))</f>
        <v/>
      </c>
      <c r="R201" s="56">
        <f>IF($C201="","",IF(Summary!$C$16="N","",IFERROR(BDP($C201,'Field Check'!$C$18,'Field Check'!$C$17,TEXT(Summary!$C$12-5,"0"))/100,"")))</f>
        <v/>
      </c>
      <c r="S201" s="56">
        <f>IF($C201="","",IF(Summary!$C$16="N","",IFERROR(BDP($C201,'Field Check'!$C$18,'Field Check'!$C$17,TEXT(Summary!$C$12-4,"0"))/100,"")))</f>
        <v/>
      </c>
      <c r="T201" s="56">
        <f>IF($C201="","",IF(Summary!$C$16="N","",IFERROR(BDP($C201,'Field Check'!$C$18,'Field Check'!$C$17,TEXT(Summary!$C$12-3,"0"))/100,"")))</f>
        <v/>
      </c>
      <c r="U201" s="56">
        <f>IF($C201="","",IF(Summary!$C$16="N","",IFERROR(BDP($C201,'Field Check'!$C$18,'Field Check'!$C$17,TEXT(Summary!$C$12-2,"0"))/100,"")))</f>
        <v/>
      </c>
      <c r="V201" s="56">
        <f>IF($C201="","",IF(Summary!$C$16="N","",IFERROR(BDP($C201,'Field Check'!$C$18,'Field Check'!$C$17,TEXT(Summary!$C$12-1,"0"))/100,"")))</f>
        <v/>
      </c>
      <c r="W201" s="57">
        <f>IF($C201="","",IFERROR(AVERAGE(R201:V201),""))</f>
        <v/>
      </c>
      <c r="X201" s="58">
        <f>IF($C201="","",IF(ISNUMBER($Q201)*(N($Q201)&gt;0)=0,"",IFERROR($J201/$Q201,"")))</f>
        <v/>
      </c>
      <c r="Y201" s="59">
        <f>IF($C201="","",IF(ISNUMBER(HSCEI!$I$56),HSCEI!$I$56/100,""))</f>
        <v/>
      </c>
      <c r="Z201" s="60">
        <f>IF($C201="","",IF(Summary!$C$16="N","",IFERROR(BDP($C201,'Field Check'!$C$19)/100,"")))</f>
        <v/>
      </c>
      <c r="AA201" s="61">
        <f>IF($C201="","",IF(N($Y201)+N($Z201)=0,"",N($Y201)+N($Z201)))</f>
        <v/>
      </c>
      <c r="AB201" s="60">
        <f>IF($C201="","",IF(Summary!$C$16="N","",IFERROR(BDP($C201,'Field Check'!$C$20)/100,"")))</f>
        <v/>
      </c>
      <c r="AC201" s="45">
        <f>IF($C201="","",IF(N($Y201)=0,"",IFERROR($AB201/$Y201,"")))</f>
        <v/>
      </c>
      <c r="AD201" s="55">
        <f>IF($C201="","",IF(Summary!$C$16="N","",IFERROR(BDP($C201,'Field Check'!$C$21),"")))</f>
        <v/>
      </c>
      <c r="AE201" s="55">
        <f>IF($C201="","",IF(Summary!$C$16="N","",IFERROR(BDP($C201,'Field Check'!$C$22),"")))</f>
        <v/>
      </c>
      <c r="AF201" s="55">
        <f>IF($C201="","",IF(Summary!$C$16="N","",IFERROR(BDP($C201,'Field Check'!$C$23),"")))</f>
        <v/>
      </c>
      <c r="AG201" s="40">
        <f>IF($C201="","",TRIM(IF(ISNUMBER($W201)*(N($W201)&gt;$D$7)&gt;0,"payout high  ","")&amp;IF(ISNUMBER($AC201)*(N($AC201)&lt;$F$7)&gt;0,"FCF below dvd  ","")&amp;IF(ISNUMBER($AE201)*(N($AE201)&gt;$H$7)&gt;0,"leverage high","")))</f>
        <v/>
      </c>
      <c r="AH201" s="40">
        <f>IF($C201="","",IF(HSCEI!$F$56="HKD","",IF(HSCEI!$F$56="","","DPS in "&amp;HSCEI!$F$56)))</f>
        <v/>
      </c>
    </row>
    <row r="202">
      <c r="B202" s="52" t="inlineStr">
        <is>
          <t>HSCEI</t>
        </is>
      </c>
      <c r="C202" s="6">
        <f>IF(HSCEI!$C$57="","",HSCEI!$C$57)</f>
        <v/>
      </c>
      <c r="D202" s="6">
        <f>IF($C202="","",HSCEI!$D$57)</f>
        <v/>
      </c>
      <c r="E202" s="6">
        <f>IF($C202="","",HSCEI!$E$57)</f>
        <v/>
      </c>
      <c r="F202" s="53">
        <f>IF($C202="","",SUMIFS('Dvd Calendar'!$E$2871:$AR$2871,'Dvd Calendar'!$E$2870:$AR$2870,"&gt;="&amp;DATE(Summary!$C$12-5,1,1),'Dvd Calendar'!$E$2870:$AR$2870,"&lt;="&amp;DATE(Summary!$C$12-5,12,31)))</f>
        <v/>
      </c>
      <c r="G202" s="53">
        <f>IF($C202="","",SUMIFS('Dvd Calendar'!$E$2871:$AR$2871,'Dvd Calendar'!$E$2870:$AR$2870,"&gt;="&amp;DATE(Summary!$C$12-4,1,1),'Dvd Calendar'!$E$2870:$AR$2870,"&lt;="&amp;DATE(Summary!$C$12-4,12,31)))</f>
        <v/>
      </c>
      <c r="H202" s="53">
        <f>IF($C202="","",SUMIFS('Dvd Calendar'!$E$2871:$AR$2871,'Dvd Calendar'!$E$2870:$AR$2870,"&gt;="&amp;DATE(Summary!$C$12-3,1,1),'Dvd Calendar'!$E$2870:$AR$2870,"&lt;="&amp;DATE(Summary!$C$12-3,12,31)))</f>
        <v/>
      </c>
      <c r="I202" s="53">
        <f>IF($C202="","",SUMIFS('Dvd Calendar'!$E$2871:$AR$2871,'Dvd Calendar'!$E$2870:$AR$2870,"&gt;="&amp;DATE(Summary!$C$12-2,1,1),'Dvd Calendar'!$E$2870:$AR$2870,"&lt;="&amp;DATE(Summary!$C$12-2,12,31)))</f>
        <v/>
      </c>
      <c r="J202" s="53">
        <f>IF($C202="","",SUMIFS('Dvd Calendar'!$E$2871:$AR$2871,'Dvd Calendar'!$E$2870:$AR$2870,"&gt;="&amp;DATE(Summary!$C$12-1,1,1),'Dvd Calendar'!$E$2870:$AR$2870,"&lt;="&amp;DATE(Summary!$C$12-1,12,31)))</f>
        <v/>
      </c>
      <c r="K202" s="54">
        <f>IF($C202="","",SUMIFS('Dvd Calendar'!$E$2871:$AR$2871,'Dvd Calendar'!$E$2870:$AR$2870,"&gt;="&amp;DATE(Summary!$C$12,1,1),'Dvd Calendar'!$E$2870:$AR$2870,"&lt;="&amp;MIN(Summary!$C$11,DATE(Summary!$C$12,12,31))))</f>
        <v/>
      </c>
      <c r="L202" s="38">
        <f>IF($C202="","",AVERAGE(F202:J202))</f>
        <v/>
      </c>
      <c r="M202" s="55">
        <f>IF($C202="","",IF(Summary!$C$16="N","",IFERROR(BDP($C202,'Field Check'!$C$16,'Field Check'!$C$17,TEXT(Summary!$C$12-5,"0")),"")))</f>
        <v/>
      </c>
      <c r="N202" s="55">
        <f>IF($C202="","",IF(Summary!$C$16="N","",IFERROR(BDP($C202,'Field Check'!$C$16,'Field Check'!$C$17,TEXT(Summary!$C$12-4,"0")),"")))</f>
        <v/>
      </c>
      <c r="O202" s="55">
        <f>IF($C202="","",IF(Summary!$C$16="N","",IFERROR(BDP($C202,'Field Check'!$C$16,'Field Check'!$C$17,TEXT(Summary!$C$12-3,"0")),"")))</f>
        <v/>
      </c>
      <c r="P202" s="55">
        <f>IF($C202="","",IF(Summary!$C$16="N","",IFERROR(BDP($C202,'Field Check'!$C$16,'Field Check'!$C$17,TEXT(Summary!$C$12-2,"0")),"")))</f>
        <v/>
      </c>
      <c r="Q202" s="55">
        <f>IF($C202="","",IF(Summary!$C$16="N","",IFERROR(BDP($C202,'Field Check'!$C$16,'Field Check'!$C$17,TEXT(Summary!$C$12-1,"0")),"")))</f>
        <v/>
      </c>
      <c r="R202" s="56">
        <f>IF($C202="","",IF(Summary!$C$16="N","",IFERROR(BDP($C202,'Field Check'!$C$18,'Field Check'!$C$17,TEXT(Summary!$C$12-5,"0"))/100,"")))</f>
        <v/>
      </c>
      <c r="S202" s="56">
        <f>IF($C202="","",IF(Summary!$C$16="N","",IFERROR(BDP($C202,'Field Check'!$C$18,'Field Check'!$C$17,TEXT(Summary!$C$12-4,"0"))/100,"")))</f>
        <v/>
      </c>
      <c r="T202" s="56">
        <f>IF($C202="","",IF(Summary!$C$16="N","",IFERROR(BDP($C202,'Field Check'!$C$18,'Field Check'!$C$17,TEXT(Summary!$C$12-3,"0"))/100,"")))</f>
        <v/>
      </c>
      <c r="U202" s="56">
        <f>IF($C202="","",IF(Summary!$C$16="N","",IFERROR(BDP($C202,'Field Check'!$C$18,'Field Check'!$C$17,TEXT(Summary!$C$12-2,"0"))/100,"")))</f>
        <v/>
      </c>
      <c r="V202" s="56">
        <f>IF($C202="","",IF(Summary!$C$16="N","",IFERROR(BDP($C202,'Field Check'!$C$18,'Field Check'!$C$17,TEXT(Summary!$C$12-1,"0"))/100,"")))</f>
        <v/>
      </c>
      <c r="W202" s="57">
        <f>IF($C202="","",IFERROR(AVERAGE(R202:V202),""))</f>
        <v/>
      </c>
      <c r="X202" s="58">
        <f>IF($C202="","",IF(ISNUMBER($Q202)*(N($Q202)&gt;0)=0,"",IFERROR($J202/$Q202,"")))</f>
        <v/>
      </c>
      <c r="Y202" s="59">
        <f>IF($C202="","",IF(ISNUMBER(HSCEI!$I$57),HSCEI!$I$57/100,""))</f>
        <v/>
      </c>
      <c r="Z202" s="60">
        <f>IF($C202="","",IF(Summary!$C$16="N","",IFERROR(BDP($C202,'Field Check'!$C$19)/100,"")))</f>
        <v/>
      </c>
      <c r="AA202" s="61">
        <f>IF($C202="","",IF(N($Y202)+N($Z202)=0,"",N($Y202)+N($Z202)))</f>
        <v/>
      </c>
      <c r="AB202" s="60">
        <f>IF($C202="","",IF(Summary!$C$16="N","",IFERROR(BDP($C202,'Field Check'!$C$20)/100,"")))</f>
        <v/>
      </c>
      <c r="AC202" s="45">
        <f>IF($C202="","",IF(N($Y202)=0,"",IFERROR($AB202/$Y202,"")))</f>
        <v/>
      </c>
      <c r="AD202" s="55">
        <f>IF($C202="","",IF(Summary!$C$16="N","",IFERROR(BDP($C202,'Field Check'!$C$21),"")))</f>
        <v/>
      </c>
      <c r="AE202" s="55">
        <f>IF($C202="","",IF(Summary!$C$16="N","",IFERROR(BDP($C202,'Field Check'!$C$22),"")))</f>
        <v/>
      </c>
      <c r="AF202" s="55">
        <f>IF($C202="","",IF(Summary!$C$16="N","",IFERROR(BDP($C202,'Field Check'!$C$23),"")))</f>
        <v/>
      </c>
      <c r="AG202" s="40">
        <f>IF($C202="","",TRIM(IF(ISNUMBER($W202)*(N($W202)&gt;$D$7)&gt;0,"payout high  ","")&amp;IF(ISNUMBER($AC202)*(N($AC202)&lt;$F$7)&gt;0,"FCF below dvd  ","")&amp;IF(ISNUMBER($AE202)*(N($AE202)&gt;$H$7)&gt;0,"leverage high","")))</f>
        <v/>
      </c>
      <c r="AH202" s="40">
        <f>IF($C202="","",IF(HSCEI!$F$57="HKD","",IF(HSCEI!$F$57="","","DPS in "&amp;HSCEI!$F$57)))</f>
        <v/>
      </c>
    </row>
    <row r="203">
      <c r="B203" s="52" t="inlineStr">
        <is>
          <t>HSCEI</t>
        </is>
      </c>
      <c r="C203" s="6">
        <f>IF(HSCEI!$C$58="","",HSCEI!$C$58)</f>
        <v/>
      </c>
      <c r="D203" s="6">
        <f>IF($C203="","",HSCEI!$D$58)</f>
        <v/>
      </c>
      <c r="E203" s="6">
        <f>IF($C203="","",HSCEI!$E$58)</f>
        <v/>
      </c>
      <c r="F203" s="53">
        <f>IF($C203="","",SUMIFS('Dvd Calendar'!$E$2886:$AR$2886,'Dvd Calendar'!$E$2885:$AR$2885,"&gt;="&amp;DATE(Summary!$C$12-5,1,1),'Dvd Calendar'!$E$2885:$AR$2885,"&lt;="&amp;DATE(Summary!$C$12-5,12,31)))</f>
        <v/>
      </c>
      <c r="G203" s="53">
        <f>IF($C203="","",SUMIFS('Dvd Calendar'!$E$2886:$AR$2886,'Dvd Calendar'!$E$2885:$AR$2885,"&gt;="&amp;DATE(Summary!$C$12-4,1,1),'Dvd Calendar'!$E$2885:$AR$2885,"&lt;="&amp;DATE(Summary!$C$12-4,12,31)))</f>
        <v/>
      </c>
      <c r="H203" s="53">
        <f>IF($C203="","",SUMIFS('Dvd Calendar'!$E$2886:$AR$2886,'Dvd Calendar'!$E$2885:$AR$2885,"&gt;="&amp;DATE(Summary!$C$12-3,1,1),'Dvd Calendar'!$E$2885:$AR$2885,"&lt;="&amp;DATE(Summary!$C$12-3,12,31)))</f>
        <v/>
      </c>
      <c r="I203" s="53">
        <f>IF($C203="","",SUMIFS('Dvd Calendar'!$E$2886:$AR$2886,'Dvd Calendar'!$E$2885:$AR$2885,"&gt;="&amp;DATE(Summary!$C$12-2,1,1),'Dvd Calendar'!$E$2885:$AR$2885,"&lt;="&amp;DATE(Summary!$C$12-2,12,31)))</f>
        <v/>
      </c>
      <c r="J203" s="53">
        <f>IF($C203="","",SUMIFS('Dvd Calendar'!$E$2886:$AR$2886,'Dvd Calendar'!$E$2885:$AR$2885,"&gt;="&amp;DATE(Summary!$C$12-1,1,1),'Dvd Calendar'!$E$2885:$AR$2885,"&lt;="&amp;DATE(Summary!$C$12-1,12,31)))</f>
        <v/>
      </c>
      <c r="K203" s="54">
        <f>IF($C203="","",SUMIFS('Dvd Calendar'!$E$2886:$AR$2886,'Dvd Calendar'!$E$2885:$AR$2885,"&gt;="&amp;DATE(Summary!$C$12,1,1),'Dvd Calendar'!$E$2885:$AR$2885,"&lt;="&amp;MIN(Summary!$C$11,DATE(Summary!$C$12,12,31))))</f>
        <v/>
      </c>
      <c r="L203" s="38">
        <f>IF($C203="","",AVERAGE(F203:J203))</f>
        <v/>
      </c>
      <c r="M203" s="55">
        <f>IF($C203="","",IF(Summary!$C$16="N","",IFERROR(BDP($C203,'Field Check'!$C$16,'Field Check'!$C$17,TEXT(Summary!$C$12-5,"0")),"")))</f>
        <v/>
      </c>
      <c r="N203" s="55">
        <f>IF($C203="","",IF(Summary!$C$16="N","",IFERROR(BDP($C203,'Field Check'!$C$16,'Field Check'!$C$17,TEXT(Summary!$C$12-4,"0")),"")))</f>
        <v/>
      </c>
      <c r="O203" s="55">
        <f>IF($C203="","",IF(Summary!$C$16="N","",IFERROR(BDP($C203,'Field Check'!$C$16,'Field Check'!$C$17,TEXT(Summary!$C$12-3,"0")),"")))</f>
        <v/>
      </c>
      <c r="P203" s="55">
        <f>IF($C203="","",IF(Summary!$C$16="N","",IFERROR(BDP($C203,'Field Check'!$C$16,'Field Check'!$C$17,TEXT(Summary!$C$12-2,"0")),"")))</f>
        <v/>
      </c>
      <c r="Q203" s="55">
        <f>IF($C203="","",IF(Summary!$C$16="N","",IFERROR(BDP($C203,'Field Check'!$C$16,'Field Check'!$C$17,TEXT(Summary!$C$12-1,"0")),"")))</f>
        <v/>
      </c>
      <c r="R203" s="56">
        <f>IF($C203="","",IF(Summary!$C$16="N","",IFERROR(BDP($C203,'Field Check'!$C$18,'Field Check'!$C$17,TEXT(Summary!$C$12-5,"0"))/100,"")))</f>
        <v/>
      </c>
      <c r="S203" s="56">
        <f>IF($C203="","",IF(Summary!$C$16="N","",IFERROR(BDP($C203,'Field Check'!$C$18,'Field Check'!$C$17,TEXT(Summary!$C$12-4,"0"))/100,"")))</f>
        <v/>
      </c>
      <c r="T203" s="56">
        <f>IF($C203="","",IF(Summary!$C$16="N","",IFERROR(BDP($C203,'Field Check'!$C$18,'Field Check'!$C$17,TEXT(Summary!$C$12-3,"0"))/100,"")))</f>
        <v/>
      </c>
      <c r="U203" s="56">
        <f>IF($C203="","",IF(Summary!$C$16="N","",IFERROR(BDP($C203,'Field Check'!$C$18,'Field Check'!$C$17,TEXT(Summary!$C$12-2,"0"))/100,"")))</f>
        <v/>
      </c>
      <c r="V203" s="56">
        <f>IF($C203="","",IF(Summary!$C$16="N","",IFERROR(BDP($C203,'Field Check'!$C$18,'Field Check'!$C$17,TEXT(Summary!$C$12-1,"0"))/100,"")))</f>
        <v/>
      </c>
      <c r="W203" s="57">
        <f>IF($C203="","",IFERROR(AVERAGE(R203:V203),""))</f>
        <v/>
      </c>
      <c r="X203" s="58">
        <f>IF($C203="","",IF(ISNUMBER($Q203)*(N($Q203)&gt;0)=0,"",IFERROR($J203/$Q203,"")))</f>
        <v/>
      </c>
      <c r="Y203" s="59">
        <f>IF($C203="","",IF(ISNUMBER(HSCEI!$I$58),HSCEI!$I$58/100,""))</f>
        <v/>
      </c>
      <c r="Z203" s="60">
        <f>IF($C203="","",IF(Summary!$C$16="N","",IFERROR(BDP($C203,'Field Check'!$C$19)/100,"")))</f>
        <v/>
      </c>
      <c r="AA203" s="61">
        <f>IF($C203="","",IF(N($Y203)+N($Z203)=0,"",N($Y203)+N($Z203)))</f>
        <v/>
      </c>
      <c r="AB203" s="60">
        <f>IF($C203="","",IF(Summary!$C$16="N","",IFERROR(BDP($C203,'Field Check'!$C$20)/100,"")))</f>
        <v/>
      </c>
      <c r="AC203" s="45">
        <f>IF($C203="","",IF(N($Y203)=0,"",IFERROR($AB203/$Y203,"")))</f>
        <v/>
      </c>
      <c r="AD203" s="55">
        <f>IF($C203="","",IF(Summary!$C$16="N","",IFERROR(BDP($C203,'Field Check'!$C$21),"")))</f>
        <v/>
      </c>
      <c r="AE203" s="55">
        <f>IF($C203="","",IF(Summary!$C$16="N","",IFERROR(BDP($C203,'Field Check'!$C$22),"")))</f>
        <v/>
      </c>
      <c r="AF203" s="55">
        <f>IF($C203="","",IF(Summary!$C$16="N","",IFERROR(BDP($C203,'Field Check'!$C$23),"")))</f>
        <v/>
      </c>
      <c r="AG203" s="40">
        <f>IF($C203="","",TRIM(IF(ISNUMBER($W203)*(N($W203)&gt;$D$7)&gt;0,"payout high  ","")&amp;IF(ISNUMBER($AC203)*(N($AC203)&lt;$F$7)&gt;0,"FCF below dvd  ","")&amp;IF(ISNUMBER($AE203)*(N($AE203)&gt;$H$7)&gt;0,"leverage high","")))</f>
        <v/>
      </c>
      <c r="AH203" s="40">
        <f>IF($C203="","",IF(HSCEI!$F$58="HKD","",IF(HSCEI!$F$58="","","DPS in "&amp;HSCEI!$F$58)))</f>
        <v/>
      </c>
    </row>
    <row r="204">
      <c r="B204" s="52" t="inlineStr">
        <is>
          <t>HSCEI</t>
        </is>
      </c>
      <c r="C204" s="6">
        <f>IF(HSCEI!$C$59="","",HSCEI!$C$59)</f>
        <v/>
      </c>
      <c r="D204" s="6">
        <f>IF($C204="","",HSCEI!$D$59)</f>
        <v/>
      </c>
      <c r="E204" s="6">
        <f>IF($C204="","",HSCEI!$E$59)</f>
        <v/>
      </c>
      <c r="F204" s="53">
        <f>IF($C204="","",SUMIFS('Dvd Calendar'!$E$2901:$AR$2901,'Dvd Calendar'!$E$2900:$AR$2900,"&gt;="&amp;DATE(Summary!$C$12-5,1,1),'Dvd Calendar'!$E$2900:$AR$2900,"&lt;="&amp;DATE(Summary!$C$12-5,12,31)))</f>
        <v/>
      </c>
      <c r="G204" s="53">
        <f>IF($C204="","",SUMIFS('Dvd Calendar'!$E$2901:$AR$2901,'Dvd Calendar'!$E$2900:$AR$2900,"&gt;="&amp;DATE(Summary!$C$12-4,1,1),'Dvd Calendar'!$E$2900:$AR$2900,"&lt;="&amp;DATE(Summary!$C$12-4,12,31)))</f>
        <v/>
      </c>
      <c r="H204" s="53">
        <f>IF($C204="","",SUMIFS('Dvd Calendar'!$E$2901:$AR$2901,'Dvd Calendar'!$E$2900:$AR$2900,"&gt;="&amp;DATE(Summary!$C$12-3,1,1),'Dvd Calendar'!$E$2900:$AR$2900,"&lt;="&amp;DATE(Summary!$C$12-3,12,31)))</f>
        <v/>
      </c>
      <c r="I204" s="53">
        <f>IF($C204="","",SUMIFS('Dvd Calendar'!$E$2901:$AR$2901,'Dvd Calendar'!$E$2900:$AR$2900,"&gt;="&amp;DATE(Summary!$C$12-2,1,1),'Dvd Calendar'!$E$2900:$AR$2900,"&lt;="&amp;DATE(Summary!$C$12-2,12,31)))</f>
        <v/>
      </c>
      <c r="J204" s="53">
        <f>IF($C204="","",SUMIFS('Dvd Calendar'!$E$2901:$AR$2901,'Dvd Calendar'!$E$2900:$AR$2900,"&gt;="&amp;DATE(Summary!$C$12-1,1,1),'Dvd Calendar'!$E$2900:$AR$2900,"&lt;="&amp;DATE(Summary!$C$12-1,12,31)))</f>
        <v/>
      </c>
      <c r="K204" s="54">
        <f>IF($C204="","",SUMIFS('Dvd Calendar'!$E$2901:$AR$2901,'Dvd Calendar'!$E$2900:$AR$2900,"&gt;="&amp;DATE(Summary!$C$12,1,1),'Dvd Calendar'!$E$2900:$AR$2900,"&lt;="&amp;MIN(Summary!$C$11,DATE(Summary!$C$12,12,31))))</f>
        <v/>
      </c>
      <c r="L204" s="38">
        <f>IF($C204="","",AVERAGE(F204:J204))</f>
        <v/>
      </c>
      <c r="M204" s="55">
        <f>IF($C204="","",IF(Summary!$C$16="N","",IFERROR(BDP($C204,'Field Check'!$C$16,'Field Check'!$C$17,TEXT(Summary!$C$12-5,"0")),"")))</f>
        <v/>
      </c>
      <c r="N204" s="55">
        <f>IF($C204="","",IF(Summary!$C$16="N","",IFERROR(BDP($C204,'Field Check'!$C$16,'Field Check'!$C$17,TEXT(Summary!$C$12-4,"0")),"")))</f>
        <v/>
      </c>
      <c r="O204" s="55">
        <f>IF($C204="","",IF(Summary!$C$16="N","",IFERROR(BDP($C204,'Field Check'!$C$16,'Field Check'!$C$17,TEXT(Summary!$C$12-3,"0")),"")))</f>
        <v/>
      </c>
      <c r="P204" s="55">
        <f>IF($C204="","",IF(Summary!$C$16="N","",IFERROR(BDP($C204,'Field Check'!$C$16,'Field Check'!$C$17,TEXT(Summary!$C$12-2,"0")),"")))</f>
        <v/>
      </c>
      <c r="Q204" s="55">
        <f>IF($C204="","",IF(Summary!$C$16="N","",IFERROR(BDP($C204,'Field Check'!$C$16,'Field Check'!$C$17,TEXT(Summary!$C$12-1,"0")),"")))</f>
        <v/>
      </c>
      <c r="R204" s="56">
        <f>IF($C204="","",IF(Summary!$C$16="N","",IFERROR(BDP($C204,'Field Check'!$C$18,'Field Check'!$C$17,TEXT(Summary!$C$12-5,"0"))/100,"")))</f>
        <v/>
      </c>
      <c r="S204" s="56">
        <f>IF($C204="","",IF(Summary!$C$16="N","",IFERROR(BDP($C204,'Field Check'!$C$18,'Field Check'!$C$17,TEXT(Summary!$C$12-4,"0"))/100,"")))</f>
        <v/>
      </c>
      <c r="T204" s="56">
        <f>IF($C204="","",IF(Summary!$C$16="N","",IFERROR(BDP($C204,'Field Check'!$C$18,'Field Check'!$C$17,TEXT(Summary!$C$12-3,"0"))/100,"")))</f>
        <v/>
      </c>
      <c r="U204" s="56">
        <f>IF($C204="","",IF(Summary!$C$16="N","",IFERROR(BDP($C204,'Field Check'!$C$18,'Field Check'!$C$17,TEXT(Summary!$C$12-2,"0"))/100,"")))</f>
        <v/>
      </c>
      <c r="V204" s="56">
        <f>IF($C204="","",IF(Summary!$C$16="N","",IFERROR(BDP($C204,'Field Check'!$C$18,'Field Check'!$C$17,TEXT(Summary!$C$12-1,"0"))/100,"")))</f>
        <v/>
      </c>
      <c r="W204" s="57">
        <f>IF($C204="","",IFERROR(AVERAGE(R204:V204),""))</f>
        <v/>
      </c>
      <c r="X204" s="58">
        <f>IF($C204="","",IF(ISNUMBER($Q204)*(N($Q204)&gt;0)=0,"",IFERROR($J204/$Q204,"")))</f>
        <v/>
      </c>
      <c r="Y204" s="59">
        <f>IF($C204="","",IF(ISNUMBER(HSCEI!$I$59),HSCEI!$I$59/100,""))</f>
        <v/>
      </c>
      <c r="Z204" s="60">
        <f>IF($C204="","",IF(Summary!$C$16="N","",IFERROR(BDP($C204,'Field Check'!$C$19)/100,"")))</f>
        <v/>
      </c>
      <c r="AA204" s="61">
        <f>IF($C204="","",IF(N($Y204)+N($Z204)=0,"",N($Y204)+N($Z204)))</f>
        <v/>
      </c>
      <c r="AB204" s="60">
        <f>IF($C204="","",IF(Summary!$C$16="N","",IFERROR(BDP($C204,'Field Check'!$C$20)/100,"")))</f>
        <v/>
      </c>
      <c r="AC204" s="45">
        <f>IF($C204="","",IF(N($Y204)=0,"",IFERROR($AB204/$Y204,"")))</f>
        <v/>
      </c>
      <c r="AD204" s="55">
        <f>IF($C204="","",IF(Summary!$C$16="N","",IFERROR(BDP($C204,'Field Check'!$C$21),"")))</f>
        <v/>
      </c>
      <c r="AE204" s="55">
        <f>IF($C204="","",IF(Summary!$C$16="N","",IFERROR(BDP($C204,'Field Check'!$C$22),"")))</f>
        <v/>
      </c>
      <c r="AF204" s="55">
        <f>IF($C204="","",IF(Summary!$C$16="N","",IFERROR(BDP($C204,'Field Check'!$C$23),"")))</f>
        <v/>
      </c>
      <c r="AG204" s="40">
        <f>IF($C204="","",TRIM(IF(ISNUMBER($W204)*(N($W204)&gt;$D$7)&gt;0,"payout high  ","")&amp;IF(ISNUMBER($AC204)*(N($AC204)&lt;$F$7)&gt;0,"FCF below dvd  ","")&amp;IF(ISNUMBER($AE204)*(N($AE204)&gt;$H$7)&gt;0,"leverage high","")))</f>
        <v/>
      </c>
      <c r="AH204" s="40">
        <f>IF($C204="","",IF(HSCEI!$F$59="HKD","",IF(HSCEI!$F$59="","","DPS in "&amp;HSCEI!$F$59)))</f>
        <v/>
      </c>
    </row>
    <row r="205">
      <c r="B205" s="52" t="inlineStr">
        <is>
          <t>HSCEI</t>
        </is>
      </c>
      <c r="C205" s="6">
        <f>IF(HSCEI!$C$60="","",HSCEI!$C$60)</f>
        <v/>
      </c>
      <c r="D205" s="6">
        <f>IF($C205="","",HSCEI!$D$60)</f>
        <v/>
      </c>
      <c r="E205" s="6">
        <f>IF($C205="","",HSCEI!$E$60)</f>
        <v/>
      </c>
      <c r="F205" s="53">
        <f>IF($C205="","",SUMIFS('Dvd Calendar'!$E$2916:$AR$2916,'Dvd Calendar'!$E$2915:$AR$2915,"&gt;="&amp;DATE(Summary!$C$12-5,1,1),'Dvd Calendar'!$E$2915:$AR$2915,"&lt;="&amp;DATE(Summary!$C$12-5,12,31)))</f>
        <v/>
      </c>
      <c r="G205" s="53">
        <f>IF($C205="","",SUMIFS('Dvd Calendar'!$E$2916:$AR$2916,'Dvd Calendar'!$E$2915:$AR$2915,"&gt;="&amp;DATE(Summary!$C$12-4,1,1),'Dvd Calendar'!$E$2915:$AR$2915,"&lt;="&amp;DATE(Summary!$C$12-4,12,31)))</f>
        <v/>
      </c>
      <c r="H205" s="53">
        <f>IF($C205="","",SUMIFS('Dvd Calendar'!$E$2916:$AR$2916,'Dvd Calendar'!$E$2915:$AR$2915,"&gt;="&amp;DATE(Summary!$C$12-3,1,1),'Dvd Calendar'!$E$2915:$AR$2915,"&lt;="&amp;DATE(Summary!$C$12-3,12,31)))</f>
        <v/>
      </c>
      <c r="I205" s="53">
        <f>IF($C205="","",SUMIFS('Dvd Calendar'!$E$2916:$AR$2916,'Dvd Calendar'!$E$2915:$AR$2915,"&gt;="&amp;DATE(Summary!$C$12-2,1,1),'Dvd Calendar'!$E$2915:$AR$2915,"&lt;="&amp;DATE(Summary!$C$12-2,12,31)))</f>
        <v/>
      </c>
      <c r="J205" s="53">
        <f>IF($C205="","",SUMIFS('Dvd Calendar'!$E$2916:$AR$2916,'Dvd Calendar'!$E$2915:$AR$2915,"&gt;="&amp;DATE(Summary!$C$12-1,1,1),'Dvd Calendar'!$E$2915:$AR$2915,"&lt;="&amp;DATE(Summary!$C$12-1,12,31)))</f>
        <v/>
      </c>
      <c r="K205" s="54">
        <f>IF($C205="","",SUMIFS('Dvd Calendar'!$E$2916:$AR$2916,'Dvd Calendar'!$E$2915:$AR$2915,"&gt;="&amp;DATE(Summary!$C$12,1,1),'Dvd Calendar'!$E$2915:$AR$2915,"&lt;="&amp;MIN(Summary!$C$11,DATE(Summary!$C$12,12,31))))</f>
        <v/>
      </c>
      <c r="L205" s="38">
        <f>IF($C205="","",AVERAGE(F205:J205))</f>
        <v/>
      </c>
      <c r="M205" s="55">
        <f>IF($C205="","",IF(Summary!$C$16="N","",IFERROR(BDP($C205,'Field Check'!$C$16,'Field Check'!$C$17,TEXT(Summary!$C$12-5,"0")),"")))</f>
        <v/>
      </c>
      <c r="N205" s="55">
        <f>IF($C205="","",IF(Summary!$C$16="N","",IFERROR(BDP($C205,'Field Check'!$C$16,'Field Check'!$C$17,TEXT(Summary!$C$12-4,"0")),"")))</f>
        <v/>
      </c>
      <c r="O205" s="55">
        <f>IF($C205="","",IF(Summary!$C$16="N","",IFERROR(BDP($C205,'Field Check'!$C$16,'Field Check'!$C$17,TEXT(Summary!$C$12-3,"0")),"")))</f>
        <v/>
      </c>
      <c r="P205" s="55">
        <f>IF($C205="","",IF(Summary!$C$16="N","",IFERROR(BDP($C205,'Field Check'!$C$16,'Field Check'!$C$17,TEXT(Summary!$C$12-2,"0")),"")))</f>
        <v/>
      </c>
      <c r="Q205" s="55">
        <f>IF($C205="","",IF(Summary!$C$16="N","",IFERROR(BDP($C205,'Field Check'!$C$16,'Field Check'!$C$17,TEXT(Summary!$C$12-1,"0")),"")))</f>
        <v/>
      </c>
      <c r="R205" s="56">
        <f>IF($C205="","",IF(Summary!$C$16="N","",IFERROR(BDP($C205,'Field Check'!$C$18,'Field Check'!$C$17,TEXT(Summary!$C$12-5,"0"))/100,"")))</f>
        <v/>
      </c>
      <c r="S205" s="56">
        <f>IF($C205="","",IF(Summary!$C$16="N","",IFERROR(BDP($C205,'Field Check'!$C$18,'Field Check'!$C$17,TEXT(Summary!$C$12-4,"0"))/100,"")))</f>
        <v/>
      </c>
      <c r="T205" s="56">
        <f>IF($C205="","",IF(Summary!$C$16="N","",IFERROR(BDP($C205,'Field Check'!$C$18,'Field Check'!$C$17,TEXT(Summary!$C$12-3,"0"))/100,"")))</f>
        <v/>
      </c>
      <c r="U205" s="56">
        <f>IF($C205="","",IF(Summary!$C$16="N","",IFERROR(BDP($C205,'Field Check'!$C$18,'Field Check'!$C$17,TEXT(Summary!$C$12-2,"0"))/100,"")))</f>
        <v/>
      </c>
      <c r="V205" s="56">
        <f>IF($C205="","",IF(Summary!$C$16="N","",IFERROR(BDP($C205,'Field Check'!$C$18,'Field Check'!$C$17,TEXT(Summary!$C$12-1,"0"))/100,"")))</f>
        <v/>
      </c>
      <c r="W205" s="57">
        <f>IF($C205="","",IFERROR(AVERAGE(R205:V205),""))</f>
        <v/>
      </c>
      <c r="X205" s="58">
        <f>IF($C205="","",IF(ISNUMBER($Q205)*(N($Q205)&gt;0)=0,"",IFERROR($J205/$Q205,"")))</f>
        <v/>
      </c>
      <c r="Y205" s="59">
        <f>IF($C205="","",IF(ISNUMBER(HSCEI!$I$60),HSCEI!$I$60/100,""))</f>
        <v/>
      </c>
      <c r="Z205" s="60">
        <f>IF($C205="","",IF(Summary!$C$16="N","",IFERROR(BDP($C205,'Field Check'!$C$19)/100,"")))</f>
        <v/>
      </c>
      <c r="AA205" s="61">
        <f>IF($C205="","",IF(N($Y205)+N($Z205)=0,"",N($Y205)+N($Z205)))</f>
        <v/>
      </c>
      <c r="AB205" s="60">
        <f>IF($C205="","",IF(Summary!$C$16="N","",IFERROR(BDP($C205,'Field Check'!$C$20)/100,"")))</f>
        <v/>
      </c>
      <c r="AC205" s="45">
        <f>IF($C205="","",IF(N($Y205)=0,"",IFERROR($AB205/$Y205,"")))</f>
        <v/>
      </c>
      <c r="AD205" s="55">
        <f>IF($C205="","",IF(Summary!$C$16="N","",IFERROR(BDP($C205,'Field Check'!$C$21),"")))</f>
        <v/>
      </c>
      <c r="AE205" s="55">
        <f>IF($C205="","",IF(Summary!$C$16="N","",IFERROR(BDP($C205,'Field Check'!$C$22),"")))</f>
        <v/>
      </c>
      <c r="AF205" s="55">
        <f>IF($C205="","",IF(Summary!$C$16="N","",IFERROR(BDP($C205,'Field Check'!$C$23),"")))</f>
        <v/>
      </c>
      <c r="AG205" s="40">
        <f>IF($C205="","",TRIM(IF(ISNUMBER($W205)*(N($W205)&gt;$D$7)&gt;0,"payout high  ","")&amp;IF(ISNUMBER($AC205)*(N($AC205)&lt;$F$7)&gt;0,"FCF below dvd  ","")&amp;IF(ISNUMBER($AE205)*(N($AE205)&gt;$H$7)&gt;0,"leverage high","")))</f>
        <v/>
      </c>
      <c r="AH205" s="40">
        <f>IF($C205="","",IF(HSCEI!$F$60="HKD","",IF(HSCEI!$F$60="","","DPS in "&amp;HSCEI!$F$60)))</f>
        <v/>
      </c>
    </row>
    <row r="206">
      <c r="B206" s="52" t="inlineStr">
        <is>
          <t>HSCEI</t>
        </is>
      </c>
      <c r="C206" s="6">
        <f>IF(HSCEI!$C$61="","",HSCEI!$C$61)</f>
        <v/>
      </c>
      <c r="D206" s="6">
        <f>IF($C206="","",HSCEI!$D$61)</f>
        <v/>
      </c>
      <c r="E206" s="6">
        <f>IF($C206="","",HSCEI!$E$61)</f>
        <v/>
      </c>
      <c r="F206" s="53">
        <f>IF($C206="","",SUMIFS('Dvd Calendar'!$E$2931:$AR$2931,'Dvd Calendar'!$E$2930:$AR$2930,"&gt;="&amp;DATE(Summary!$C$12-5,1,1),'Dvd Calendar'!$E$2930:$AR$2930,"&lt;="&amp;DATE(Summary!$C$12-5,12,31)))</f>
        <v/>
      </c>
      <c r="G206" s="53">
        <f>IF($C206="","",SUMIFS('Dvd Calendar'!$E$2931:$AR$2931,'Dvd Calendar'!$E$2930:$AR$2930,"&gt;="&amp;DATE(Summary!$C$12-4,1,1),'Dvd Calendar'!$E$2930:$AR$2930,"&lt;="&amp;DATE(Summary!$C$12-4,12,31)))</f>
        <v/>
      </c>
      <c r="H206" s="53">
        <f>IF($C206="","",SUMIFS('Dvd Calendar'!$E$2931:$AR$2931,'Dvd Calendar'!$E$2930:$AR$2930,"&gt;="&amp;DATE(Summary!$C$12-3,1,1),'Dvd Calendar'!$E$2930:$AR$2930,"&lt;="&amp;DATE(Summary!$C$12-3,12,31)))</f>
        <v/>
      </c>
      <c r="I206" s="53">
        <f>IF($C206="","",SUMIFS('Dvd Calendar'!$E$2931:$AR$2931,'Dvd Calendar'!$E$2930:$AR$2930,"&gt;="&amp;DATE(Summary!$C$12-2,1,1),'Dvd Calendar'!$E$2930:$AR$2930,"&lt;="&amp;DATE(Summary!$C$12-2,12,31)))</f>
        <v/>
      </c>
      <c r="J206" s="53">
        <f>IF($C206="","",SUMIFS('Dvd Calendar'!$E$2931:$AR$2931,'Dvd Calendar'!$E$2930:$AR$2930,"&gt;="&amp;DATE(Summary!$C$12-1,1,1),'Dvd Calendar'!$E$2930:$AR$2930,"&lt;="&amp;DATE(Summary!$C$12-1,12,31)))</f>
        <v/>
      </c>
      <c r="K206" s="54">
        <f>IF($C206="","",SUMIFS('Dvd Calendar'!$E$2931:$AR$2931,'Dvd Calendar'!$E$2930:$AR$2930,"&gt;="&amp;DATE(Summary!$C$12,1,1),'Dvd Calendar'!$E$2930:$AR$2930,"&lt;="&amp;MIN(Summary!$C$11,DATE(Summary!$C$12,12,31))))</f>
        <v/>
      </c>
      <c r="L206" s="38">
        <f>IF($C206="","",AVERAGE(F206:J206))</f>
        <v/>
      </c>
      <c r="M206" s="55">
        <f>IF($C206="","",IF(Summary!$C$16="N","",IFERROR(BDP($C206,'Field Check'!$C$16,'Field Check'!$C$17,TEXT(Summary!$C$12-5,"0")),"")))</f>
        <v/>
      </c>
      <c r="N206" s="55">
        <f>IF($C206="","",IF(Summary!$C$16="N","",IFERROR(BDP($C206,'Field Check'!$C$16,'Field Check'!$C$17,TEXT(Summary!$C$12-4,"0")),"")))</f>
        <v/>
      </c>
      <c r="O206" s="55">
        <f>IF($C206="","",IF(Summary!$C$16="N","",IFERROR(BDP($C206,'Field Check'!$C$16,'Field Check'!$C$17,TEXT(Summary!$C$12-3,"0")),"")))</f>
        <v/>
      </c>
      <c r="P206" s="55">
        <f>IF($C206="","",IF(Summary!$C$16="N","",IFERROR(BDP($C206,'Field Check'!$C$16,'Field Check'!$C$17,TEXT(Summary!$C$12-2,"0")),"")))</f>
        <v/>
      </c>
      <c r="Q206" s="55">
        <f>IF($C206="","",IF(Summary!$C$16="N","",IFERROR(BDP($C206,'Field Check'!$C$16,'Field Check'!$C$17,TEXT(Summary!$C$12-1,"0")),"")))</f>
        <v/>
      </c>
      <c r="R206" s="56">
        <f>IF($C206="","",IF(Summary!$C$16="N","",IFERROR(BDP($C206,'Field Check'!$C$18,'Field Check'!$C$17,TEXT(Summary!$C$12-5,"0"))/100,"")))</f>
        <v/>
      </c>
      <c r="S206" s="56">
        <f>IF($C206="","",IF(Summary!$C$16="N","",IFERROR(BDP($C206,'Field Check'!$C$18,'Field Check'!$C$17,TEXT(Summary!$C$12-4,"0"))/100,"")))</f>
        <v/>
      </c>
      <c r="T206" s="56">
        <f>IF($C206="","",IF(Summary!$C$16="N","",IFERROR(BDP($C206,'Field Check'!$C$18,'Field Check'!$C$17,TEXT(Summary!$C$12-3,"0"))/100,"")))</f>
        <v/>
      </c>
      <c r="U206" s="56">
        <f>IF($C206="","",IF(Summary!$C$16="N","",IFERROR(BDP($C206,'Field Check'!$C$18,'Field Check'!$C$17,TEXT(Summary!$C$12-2,"0"))/100,"")))</f>
        <v/>
      </c>
      <c r="V206" s="56">
        <f>IF($C206="","",IF(Summary!$C$16="N","",IFERROR(BDP($C206,'Field Check'!$C$18,'Field Check'!$C$17,TEXT(Summary!$C$12-1,"0"))/100,"")))</f>
        <v/>
      </c>
      <c r="W206" s="57">
        <f>IF($C206="","",IFERROR(AVERAGE(R206:V206),""))</f>
        <v/>
      </c>
      <c r="X206" s="58">
        <f>IF($C206="","",IF(ISNUMBER($Q206)*(N($Q206)&gt;0)=0,"",IFERROR($J206/$Q206,"")))</f>
        <v/>
      </c>
      <c r="Y206" s="59">
        <f>IF($C206="","",IF(ISNUMBER(HSCEI!$I$61),HSCEI!$I$61/100,""))</f>
        <v/>
      </c>
      <c r="Z206" s="60">
        <f>IF($C206="","",IF(Summary!$C$16="N","",IFERROR(BDP($C206,'Field Check'!$C$19)/100,"")))</f>
        <v/>
      </c>
      <c r="AA206" s="61">
        <f>IF($C206="","",IF(N($Y206)+N($Z206)=0,"",N($Y206)+N($Z206)))</f>
        <v/>
      </c>
      <c r="AB206" s="60">
        <f>IF($C206="","",IF(Summary!$C$16="N","",IFERROR(BDP($C206,'Field Check'!$C$20)/100,"")))</f>
        <v/>
      </c>
      <c r="AC206" s="45">
        <f>IF($C206="","",IF(N($Y206)=0,"",IFERROR($AB206/$Y206,"")))</f>
        <v/>
      </c>
      <c r="AD206" s="55">
        <f>IF($C206="","",IF(Summary!$C$16="N","",IFERROR(BDP($C206,'Field Check'!$C$21),"")))</f>
        <v/>
      </c>
      <c r="AE206" s="55">
        <f>IF($C206="","",IF(Summary!$C$16="N","",IFERROR(BDP($C206,'Field Check'!$C$22),"")))</f>
        <v/>
      </c>
      <c r="AF206" s="55">
        <f>IF($C206="","",IF(Summary!$C$16="N","",IFERROR(BDP($C206,'Field Check'!$C$23),"")))</f>
        <v/>
      </c>
      <c r="AG206" s="40">
        <f>IF($C206="","",TRIM(IF(ISNUMBER($W206)*(N($W206)&gt;$D$7)&gt;0,"payout high  ","")&amp;IF(ISNUMBER($AC206)*(N($AC206)&lt;$F$7)&gt;0,"FCF below dvd  ","")&amp;IF(ISNUMBER($AE206)*(N($AE206)&gt;$H$7)&gt;0,"leverage high","")))</f>
        <v/>
      </c>
      <c r="AH206" s="40">
        <f>IF($C206="","",IF(HSCEI!$F$61="HKD","",IF(HSCEI!$F$61="","","DPS in "&amp;HSCEI!$F$61)))</f>
        <v/>
      </c>
    </row>
    <row r="207">
      <c r="B207" s="52" t="inlineStr">
        <is>
          <t>HSCEI</t>
        </is>
      </c>
      <c r="C207" s="6">
        <f>IF(HSCEI!$C$62="","",HSCEI!$C$62)</f>
        <v/>
      </c>
      <c r="D207" s="6">
        <f>IF($C207="","",HSCEI!$D$62)</f>
        <v/>
      </c>
      <c r="E207" s="6">
        <f>IF($C207="","",HSCEI!$E$62)</f>
        <v/>
      </c>
      <c r="F207" s="53">
        <f>IF($C207="","",SUMIFS('Dvd Calendar'!$E$2946:$AR$2946,'Dvd Calendar'!$E$2945:$AR$2945,"&gt;="&amp;DATE(Summary!$C$12-5,1,1),'Dvd Calendar'!$E$2945:$AR$2945,"&lt;="&amp;DATE(Summary!$C$12-5,12,31)))</f>
        <v/>
      </c>
      <c r="G207" s="53">
        <f>IF($C207="","",SUMIFS('Dvd Calendar'!$E$2946:$AR$2946,'Dvd Calendar'!$E$2945:$AR$2945,"&gt;="&amp;DATE(Summary!$C$12-4,1,1),'Dvd Calendar'!$E$2945:$AR$2945,"&lt;="&amp;DATE(Summary!$C$12-4,12,31)))</f>
        <v/>
      </c>
      <c r="H207" s="53">
        <f>IF($C207="","",SUMIFS('Dvd Calendar'!$E$2946:$AR$2946,'Dvd Calendar'!$E$2945:$AR$2945,"&gt;="&amp;DATE(Summary!$C$12-3,1,1),'Dvd Calendar'!$E$2945:$AR$2945,"&lt;="&amp;DATE(Summary!$C$12-3,12,31)))</f>
        <v/>
      </c>
      <c r="I207" s="53">
        <f>IF($C207="","",SUMIFS('Dvd Calendar'!$E$2946:$AR$2946,'Dvd Calendar'!$E$2945:$AR$2945,"&gt;="&amp;DATE(Summary!$C$12-2,1,1),'Dvd Calendar'!$E$2945:$AR$2945,"&lt;="&amp;DATE(Summary!$C$12-2,12,31)))</f>
        <v/>
      </c>
      <c r="J207" s="53">
        <f>IF($C207="","",SUMIFS('Dvd Calendar'!$E$2946:$AR$2946,'Dvd Calendar'!$E$2945:$AR$2945,"&gt;="&amp;DATE(Summary!$C$12-1,1,1),'Dvd Calendar'!$E$2945:$AR$2945,"&lt;="&amp;DATE(Summary!$C$12-1,12,31)))</f>
        <v/>
      </c>
      <c r="K207" s="54">
        <f>IF($C207="","",SUMIFS('Dvd Calendar'!$E$2946:$AR$2946,'Dvd Calendar'!$E$2945:$AR$2945,"&gt;="&amp;DATE(Summary!$C$12,1,1),'Dvd Calendar'!$E$2945:$AR$2945,"&lt;="&amp;MIN(Summary!$C$11,DATE(Summary!$C$12,12,31))))</f>
        <v/>
      </c>
      <c r="L207" s="38">
        <f>IF($C207="","",AVERAGE(F207:J207))</f>
        <v/>
      </c>
      <c r="M207" s="55">
        <f>IF($C207="","",IF(Summary!$C$16="N","",IFERROR(BDP($C207,'Field Check'!$C$16,'Field Check'!$C$17,TEXT(Summary!$C$12-5,"0")),"")))</f>
        <v/>
      </c>
      <c r="N207" s="55">
        <f>IF($C207="","",IF(Summary!$C$16="N","",IFERROR(BDP($C207,'Field Check'!$C$16,'Field Check'!$C$17,TEXT(Summary!$C$12-4,"0")),"")))</f>
        <v/>
      </c>
      <c r="O207" s="55">
        <f>IF($C207="","",IF(Summary!$C$16="N","",IFERROR(BDP($C207,'Field Check'!$C$16,'Field Check'!$C$17,TEXT(Summary!$C$12-3,"0")),"")))</f>
        <v/>
      </c>
      <c r="P207" s="55">
        <f>IF($C207="","",IF(Summary!$C$16="N","",IFERROR(BDP($C207,'Field Check'!$C$16,'Field Check'!$C$17,TEXT(Summary!$C$12-2,"0")),"")))</f>
        <v/>
      </c>
      <c r="Q207" s="55">
        <f>IF($C207="","",IF(Summary!$C$16="N","",IFERROR(BDP($C207,'Field Check'!$C$16,'Field Check'!$C$17,TEXT(Summary!$C$12-1,"0")),"")))</f>
        <v/>
      </c>
      <c r="R207" s="56">
        <f>IF($C207="","",IF(Summary!$C$16="N","",IFERROR(BDP($C207,'Field Check'!$C$18,'Field Check'!$C$17,TEXT(Summary!$C$12-5,"0"))/100,"")))</f>
        <v/>
      </c>
      <c r="S207" s="56">
        <f>IF($C207="","",IF(Summary!$C$16="N","",IFERROR(BDP($C207,'Field Check'!$C$18,'Field Check'!$C$17,TEXT(Summary!$C$12-4,"0"))/100,"")))</f>
        <v/>
      </c>
      <c r="T207" s="56">
        <f>IF($C207="","",IF(Summary!$C$16="N","",IFERROR(BDP($C207,'Field Check'!$C$18,'Field Check'!$C$17,TEXT(Summary!$C$12-3,"0"))/100,"")))</f>
        <v/>
      </c>
      <c r="U207" s="56">
        <f>IF($C207="","",IF(Summary!$C$16="N","",IFERROR(BDP($C207,'Field Check'!$C$18,'Field Check'!$C$17,TEXT(Summary!$C$12-2,"0"))/100,"")))</f>
        <v/>
      </c>
      <c r="V207" s="56">
        <f>IF($C207="","",IF(Summary!$C$16="N","",IFERROR(BDP($C207,'Field Check'!$C$18,'Field Check'!$C$17,TEXT(Summary!$C$12-1,"0"))/100,"")))</f>
        <v/>
      </c>
      <c r="W207" s="57">
        <f>IF($C207="","",IFERROR(AVERAGE(R207:V207),""))</f>
        <v/>
      </c>
      <c r="X207" s="58">
        <f>IF($C207="","",IF(ISNUMBER($Q207)*(N($Q207)&gt;0)=0,"",IFERROR($J207/$Q207,"")))</f>
        <v/>
      </c>
      <c r="Y207" s="59">
        <f>IF($C207="","",IF(ISNUMBER(HSCEI!$I$62),HSCEI!$I$62/100,""))</f>
        <v/>
      </c>
      <c r="Z207" s="60">
        <f>IF($C207="","",IF(Summary!$C$16="N","",IFERROR(BDP($C207,'Field Check'!$C$19)/100,"")))</f>
        <v/>
      </c>
      <c r="AA207" s="61">
        <f>IF($C207="","",IF(N($Y207)+N($Z207)=0,"",N($Y207)+N($Z207)))</f>
        <v/>
      </c>
      <c r="AB207" s="60">
        <f>IF($C207="","",IF(Summary!$C$16="N","",IFERROR(BDP($C207,'Field Check'!$C$20)/100,"")))</f>
        <v/>
      </c>
      <c r="AC207" s="45">
        <f>IF($C207="","",IF(N($Y207)=0,"",IFERROR($AB207/$Y207,"")))</f>
        <v/>
      </c>
      <c r="AD207" s="55">
        <f>IF($C207="","",IF(Summary!$C$16="N","",IFERROR(BDP($C207,'Field Check'!$C$21),"")))</f>
        <v/>
      </c>
      <c r="AE207" s="55">
        <f>IF($C207="","",IF(Summary!$C$16="N","",IFERROR(BDP($C207,'Field Check'!$C$22),"")))</f>
        <v/>
      </c>
      <c r="AF207" s="55">
        <f>IF($C207="","",IF(Summary!$C$16="N","",IFERROR(BDP($C207,'Field Check'!$C$23),"")))</f>
        <v/>
      </c>
      <c r="AG207" s="40">
        <f>IF($C207="","",TRIM(IF(ISNUMBER($W207)*(N($W207)&gt;$D$7)&gt;0,"payout high  ","")&amp;IF(ISNUMBER($AC207)*(N($AC207)&lt;$F$7)&gt;0,"FCF below dvd  ","")&amp;IF(ISNUMBER($AE207)*(N($AE207)&gt;$H$7)&gt;0,"leverage high","")))</f>
        <v/>
      </c>
      <c r="AH207" s="40">
        <f>IF($C207="","",IF(HSCEI!$F$62="HKD","",IF(HSCEI!$F$62="","","DPS in "&amp;HSCEI!$F$62)))</f>
        <v/>
      </c>
    </row>
    <row r="208">
      <c r="B208" s="52" t="inlineStr">
        <is>
          <t>HSCEI</t>
        </is>
      </c>
      <c r="C208" s="6">
        <f>IF(HSCEI!$C$63="","",HSCEI!$C$63)</f>
        <v/>
      </c>
      <c r="D208" s="6">
        <f>IF($C208="","",HSCEI!$D$63)</f>
        <v/>
      </c>
      <c r="E208" s="6">
        <f>IF($C208="","",HSCEI!$E$63)</f>
        <v/>
      </c>
      <c r="F208" s="53">
        <f>IF($C208="","",SUMIFS('Dvd Calendar'!$E$2961:$AR$2961,'Dvd Calendar'!$E$2960:$AR$2960,"&gt;="&amp;DATE(Summary!$C$12-5,1,1),'Dvd Calendar'!$E$2960:$AR$2960,"&lt;="&amp;DATE(Summary!$C$12-5,12,31)))</f>
        <v/>
      </c>
      <c r="G208" s="53">
        <f>IF($C208="","",SUMIFS('Dvd Calendar'!$E$2961:$AR$2961,'Dvd Calendar'!$E$2960:$AR$2960,"&gt;="&amp;DATE(Summary!$C$12-4,1,1),'Dvd Calendar'!$E$2960:$AR$2960,"&lt;="&amp;DATE(Summary!$C$12-4,12,31)))</f>
        <v/>
      </c>
      <c r="H208" s="53">
        <f>IF($C208="","",SUMIFS('Dvd Calendar'!$E$2961:$AR$2961,'Dvd Calendar'!$E$2960:$AR$2960,"&gt;="&amp;DATE(Summary!$C$12-3,1,1),'Dvd Calendar'!$E$2960:$AR$2960,"&lt;="&amp;DATE(Summary!$C$12-3,12,31)))</f>
        <v/>
      </c>
      <c r="I208" s="53">
        <f>IF($C208="","",SUMIFS('Dvd Calendar'!$E$2961:$AR$2961,'Dvd Calendar'!$E$2960:$AR$2960,"&gt;="&amp;DATE(Summary!$C$12-2,1,1),'Dvd Calendar'!$E$2960:$AR$2960,"&lt;="&amp;DATE(Summary!$C$12-2,12,31)))</f>
        <v/>
      </c>
      <c r="J208" s="53">
        <f>IF($C208="","",SUMIFS('Dvd Calendar'!$E$2961:$AR$2961,'Dvd Calendar'!$E$2960:$AR$2960,"&gt;="&amp;DATE(Summary!$C$12-1,1,1),'Dvd Calendar'!$E$2960:$AR$2960,"&lt;="&amp;DATE(Summary!$C$12-1,12,31)))</f>
        <v/>
      </c>
      <c r="K208" s="54">
        <f>IF($C208="","",SUMIFS('Dvd Calendar'!$E$2961:$AR$2961,'Dvd Calendar'!$E$2960:$AR$2960,"&gt;="&amp;DATE(Summary!$C$12,1,1),'Dvd Calendar'!$E$2960:$AR$2960,"&lt;="&amp;MIN(Summary!$C$11,DATE(Summary!$C$12,12,31))))</f>
        <v/>
      </c>
      <c r="L208" s="38">
        <f>IF($C208="","",AVERAGE(F208:J208))</f>
        <v/>
      </c>
      <c r="M208" s="55">
        <f>IF($C208="","",IF(Summary!$C$16="N","",IFERROR(BDP($C208,'Field Check'!$C$16,'Field Check'!$C$17,TEXT(Summary!$C$12-5,"0")),"")))</f>
        <v/>
      </c>
      <c r="N208" s="55">
        <f>IF($C208="","",IF(Summary!$C$16="N","",IFERROR(BDP($C208,'Field Check'!$C$16,'Field Check'!$C$17,TEXT(Summary!$C$12-4,"0")),"")))</f>
        <v/>
      </c>
      <c r="O208" s="55">
        <f>IF($C208="","",IF(Summary!$C$16="N","",IFERROR(BDP($C208,'Field Check'!$C$16,'Field Check'!$C$17,TEXT(Summary!$C$12-3,"0")),"")))</f>
        <v/>
      </c>
      <c r="P208" s="55">
        <f>IF($C208="","",IF(Summary!$C$16="N","",IFERROR(BDP($C208,'Field Check'!$C$16,'Field Check'!$C$17,TEXT(Summary!$C$12-2,"0")),"")))</f>
        <v/>
      </c>
      <c r="Q208" s="55">
        <f>IF($C208="","",IF(Summary!$C$16="N","",IFERROR(BDP($C208,'Field Check'!$C$16,'Field Check'!$C$17,TEXT(Summary!$C$12-1,"0")),"")))</f>
        <v/>
      </c>
      <c r="R208" s="56">
        <f>IF($C208="","",IF(Summary!$C$16="N","",IFERROR(BDP($C208,'Field Check'!$C$18,'Field Check'!$C$17,TEXT(Summary!$C$12-5,"0"))/100,"")))</f>
        <v/>
      </c>
      <c r="S208" s="56">
        <f>IF($C208="","",IF(Summary!$C$16="N","",IFERROR(BDP($C208,'Field Check'!$C$18,'Field Check'!$C$17,TEXT(Summary!$C$12-4,"0"))/100,"")))</f>
        <v/>
      </c>
      <c r="T208" s="56">
        <f>IF($C208="","",IF(Summary!$C$16="N","",IFERROR(BDP($C208,'Field Check'!$C$18,'Field Check'!$C$17,TEXT(Summary!$C$12-3,"0"))/100,"")))</f>
        <v/>
      </c>
      <c r="U208" s="56">
        <f>IF($C208="","",IF(Summary!$C$16="N","",IFERROR(BDP($C208,'Field Check'!$C$18,'Field Check'!$C$17,TEXT(Summary!$C$12-2,"0"))/100,"")))</f>
        <v/>
      </c>
      <c r="V208" s="56">
        <f>IF($C208="","",IF(Summary!$C$16="N","",IFERROR(BDP($C208,'Field Check'!$C$18,'Field Check'!$C$17,TEXT(Summary!$C$12-1,"0"))/100,"")))</f>
        <v/>
      </c>
      <c r="W208" s="57">
        <f>IF($C208="","",IFERROR(AVERAGE(R208:V208),""))</f>
        <v/>
      </c>
      <c r="X208" s="58">
        <f>IF($C208="","",IF(ISNUMBER($Q208)*(N($Q208)&gt;0)=0,"",IFERROR($J208/$Q208,"")))</f>
        <v/>
      </c>
      <c r="Y208" s="59">
        <f>IF($C208="","",IF(ISNUMBER(HSCEI!$I$63),HSCEI!$I$63/100,""))</f>
        <v/>
      </c>
      <c r="Z208" s="60">
        <f>IF($C208="","",IF(Summary!$C$16="N","",IFERROR(BDP($C208,'Field Check'!$C$19)/100,"")))</f>
        <v/>
      </c>
      <c r="AA208" s="61">
        <f>IF($C208="","",IF(N($Y208)+N($Z208)=0,"",N($Y208)+N($Z208)))</f>
        <v/>
      </c>
      <c r="AB208" s="60">
        <f>IF($C208="","",IF(Summary!$C$16="N","",IFERROR(BDP($C208,'Field Check'!$C$20)/100,"")))</f>
        <v/>
      </c>
      <c r="AC208" s="45">
        <f>IF($C208="","",IF(N($Y208)=0,"",IFERROR($AB208/$Y208,"")))</f>
        <v/>
      </c>
      <c r="AD208" s="55">
        <f>IF($C208="","",IF(Summary!$C$16="N","",IFERROR(BDP($C208,'Field Check'!$C$21),"")))</f>
        <v/>
      </c>
      <c r="AE208" s="55">
        <f>IF($C208="","",IF(Summary!$C$16="N","",IFERROR(BDP($C208,'Field Check'!$C$22),"")))</f>
        <v/>
      </c>
      <c r="AF208" s="55">
        <f>IF($C208="","",IF(Summary!$C$16="N","",IFERROR(BDP($C208,'Field Check'!$C$23),"")))</f>
        <v/>
      </c>
      <c r="AG208" s="40">
        <f>IF($C208="","",TRIM(IF(ISNUMBER($W208)*(N($W208)&gt;$D$7)&gt;0,"payout high  ","")&amp;IF(ISNUMBER($AC208)*(N($AC208)&lt;$F$7)&gt;0,"FCF below dvd  ","")&amp;IF(ISNUMBER($AE208)*(N($AE208)&gt;$H$7)&gt;0,"leverage high","")))</f>
        <v/>
      </c>
      <c r="AH208" s="40">
        <f>IF($C208="","",IF(HSCEI!$F$63="HKD","",IF(HSCEI!$F$63="","","DPS in "&amp;HSCEI!$F$63)))</f>
        <v/>
      </c>
    </row>
    <row r="209">
      <c r="B209" s="52" t="inlineStr">
        <is>
          <t>HSCEI</t>
        </is>
      </c>
      <c r="C209" s="6">
        <f>IF(HSCEI!$C$64="","",HSCEI!$C$64)</f>
        <v/>
      </c>
      <c r="D209" s="6">
        <f>IF($C209="","",HSCEI!$D$64)</f>
        <v/>
      </c>
      <c r="E209" s="6">
        <f>IF($C209="","",HSCEI!$E$64)</f>
        <v/>
      </c>
      <c r="F209" s="53">
        <f>IF($C209="","",SUMIFS('Dvd Calendar'!$E$2976:$AR$2976,'Dvd Calendar'!$E$2975:$AR$2975,"&gt;="&amp;DATE(Summary!$C$12-5,1,1),'Dvd Calendar'!$E$2975:$AR$2975,"&lt;="&amp;DATE(Summary!$C$12-5,12,31)))</f>
        <v/>
      </c>
      <c r="G209" s="53">
        <f>IF($C209="","",SUMIFS('Dvd Calendar'!$E$2976:$AR$2976,'Dvd Calendar'!$E$2975:$AR$2975,"&gt;="&amp;DATE(Summary!$C$12-4,1,1),'Dvd Calendar'!$E$2975:$AR$2975,"&lt;="&amp;DATE(Summary!$C$12-4,12,31)))</f>
        <v/>
      </c>
      <c r="H209" s="53">
        <f>IF($C209="","",SUMIFS('Dvd Calendar'!$E$2976:$AR$2976,'Dvd Calendar'!$E$2975:$AR$2975,"&gt;="&amp;DATE(Summary!$C$12-3,1,1),'Dvd Calendar'!$E$2975:$AR$2975,"&lt;="&amp;DATE(Summary!$C$12-3,12,31)))</f>
        <v/>
      </c>
      <c r="I209" s="53">
        <f>IF($C209="","",SUMIFS('Dvd Calendar'!$E$2976:$AR$2976,'Dvd Calendar'!$E$2975:$AR$2975,"&gt;="&amp;DATE(Summary!$C$12-2,1,1),'Dvd Calendar'!$E$2975:$AR$2975,"&lt;="&amp;DATE(Summary!$C$12-2,12,31)))</f>
        <v/>
      </c>
      <c r="J209" s="53">
        <f>IF($C209="","",SUMIFS('Dvd Calendar'!$E$2976:$AR$2976,'Dvd Calendar'!$E$2975:$AR$2975,"&gt;="&amp;DATE(Summary!$C$12-1,1,1),'Dvd Calendar'!$E$2975:$AR$2975,"&lt;="&amp;DATE(Summary!$C$12-1,12,31)))</f>
        <v/>
      </c>
      <c r="K209" s="54">
        <f>IF($C209="","",SUMIFS('Dvd Calendar'!$E$2976:$AR$2976,'Dvd Calendar'!$E$2975:$AR$2975,"&gt;="&amp;DATE(Summary!$C$12,1,1),'Dvd Calendar'!$E$2975:$AR$2975,"&lt;="&amp;MIN(Summary!$C$11,DATE(Summary!$C$12,12,31))))</f>
        <v/>
      </c>
      <c r="L209" s="38">
        <f>IF($C209="","",AVERAGE(F209:J209))</f>
        <v/>
      </c>
      <c r="M209" s="55">
        <f>IF($C209="","",IF(Summary!$C$16="N","",IFERROR(BDP($C209,'Field Check'!$C$16,'Field Check'!$C$17,TEXT(Summary!$C$12-5,"0")),"")))</f>
        <v/>
      </c>
      <c r="N209" s="55">
        <f>IF($C209="","",IF(Summary!$C$16="N","",IFERROR(BDP($C209,'Field Check'!$C$16,'Field Check'!$C$17,TEXT(Summary!$C$12-4,"0")),"")))</f>
        <v/>
      </c>
      <c r="O209" s="55">
        <f>IF($C209="","",IF(Summary!$C$16="N","",IFERROR(BDP($C209,'Field Check'!$C$16,'Field Check'!$C$17,TEXT(Summary!$C$12-3,"0")),"")))</f>
        <v/>
      </c>
      <c r="P209" s="55">
        <f>IF($C209="","",IF(Summary!$C$16="N","",IFERROR(BDP($C209,'Field Check'!$C$16,'Field Check'!$C$17,TEXT(Summary!$C$12-2,"0")),"")))</f>
        <v/>
      </c>
      <c r="Q209" s="55">
        <f>IF($C209="","",IF(Summary!$C$16="N","",IFERROR(BDP($C209,'Field Check'!$C$16,'Field Check'!$C$17,TEXT(Summary!$C$12-1,"0")),"")))</f>
        <v/>
      </c>
      <c r="R209" s="56">
        <f>IF($C209="","",IF(Summary!$C$16="N","",IFERROR(BDP($C209,'Field Check'!$C$18,'Field Check'!$C$17,TEXT(Summary!$C$12-5,"0"))/100,"")))</f>
        <v/>
      </c>
      <c r="S209" s="56">
        <f>IF($C209="","",IF(Summary!$C$16="N","",IFERROR(BDP($C209,'Field Check'!$C$18,'Field Check'!$C$17,TEXT(Summary!$C$12-4,"0"))/100,"")))</f>
        <v/>
      </c>
      <c r="T209" s="56">
        <f>IF($C209="","",IF(Summary!$C$16="N","",IFERROR(BDP($C209,'Field Check'!$C$18,'Field Check'!$C$17,TEXT(Summary!$C$12-3,"0"))/100,"")))</f>
        <v/>
      </c>
      <c r="U209" s="56">
        <f>IF($C209="","",IF(Summary!$C$16="N","",IFERROR(BDP($C209,'Field Check'!$C$18,'Field Check'!$C$17,TEXT(Summary!$C$12-2,"0"))/100,"")))</f>
        <v/>
      </c>
      <c r="V209" s="56">
        <f>IF($C209="","",IF(Summary!$C$16="N","",IFERROR(BDP($C209,'Field Check'!$C$18,'Field Check'!$C$17,TEXT(Summary!$C$12-1,"0"))/100,"")))</f>
        <v/>
      </c>
      <c r="W209" s="57">
        <f>IF($C209="","",IFERROR(AVERAGE(R209:V209),""))</f>
        <v/>
      </c>
      <c r="X209" s="58">
        <f>IF($C209="","",IF(ISNUMBER($Q209)*(N($Q209)&gt;0)=0,"",IFERROR($J209/$Q209,"")))</f>
        <v/>
      </c>
      <c r="Y209" s="59">
        <f>IF($C209="","",IF(ISNUMBER(HSCEI!$I$64),HSCEI!$I$64/100,""))</f>
        <v/>
      </c>
      <c r="Z209" s="60">
        <f>IF($C209="","",IF(Summary!$C$16="N","",IFERROR(BDP($C209,'Field Check'!$C$19)/100,"")))</f>
        <v/>
      </c>
      <c r="AA209" s="61">
        <f>IF($C209="","",IF(N($Y209)+N($Z209)=0,"",N($Y209)+N($Z209)))</f>
        <v/>
      </c>
      <c r="AB209" s="60">
        <f>IF($C209="","",IF(Summary!$C$16="N","",IFERROR(BDP($C209,'Field Check'!$C$20)/100,"")))</f>
        <v/>
      </c>
      <c r="AC209" s="45">
        <f>IF($C209="","",IF(N($Y209)=0,"",IFERROR($AB209/$Y209,"")))</f>
        <v/>
      </c>
      <c r="AD209" s="55">
        <f>IF($C209="","",IF(Summary!$C$16="N","",IFERROR(BDP($C209,'Field Check'!$C$21),"")))</f>
        <v/>
      </c>
      <c r="AE209" s="55">
        <f>IF($C209="","",IF(Summary!$C$16="N","",IFERROR(BDP($C209,'Field Check'!$C$22),"")))</f>
        <v/>
      </c>
      <c r="AF209" s="55">
        <f>IF($C209="","",IF(Summary!$C$16="N","",IFERROR(BDP($C209,'Field Check'!$C$23),"")))</f>
        <v/>
      </c>
      <c r="AG209" s="40">
        <f>IF($C209="","",TRIM(IF(ISNUMBER($W209)*(N($W209)&gt;$D$7)&gt;0,"payout high  ","")&amp;IF(ISNUMBER($AC209)*(N($AC209)&lt;$F$7)&gt;0,"FCF below dvd  ","")&amp;IF(ISNUMBER($AE209)*(N($AE209)&gt;$H$7)&gt;0,"leverage high","")))</f>
        <v/>
      </c>
      <c r="AH209" s="40">
        <f>IF($C209="","",IF(HSCEI!$F$64="HKD","",IF(HSCEI!$F$64="","","DPS in "&amp;HSCEI!$F$64)))</f>
        <v/>
      </c>
    </row>
    <row r="210">
      <c r="B210" s="52" t="inlineStr">
        <is>
          <t>HSCEI</t>
        </is>
      </c>
      <c r="C210" s="6">
        <f>IF(HSCEI!$C$65="","",HSCEI!$C$65)</f>
        <v/>
      </c>
      <c r="D210" s="6">
        <f>IF($C210="","",HSCEI!$D$65)</f>
        <v/>
      </c>
      <c r="E210" s="6">
        <f>IF($C210="","",HSCEI!$E$65)</f>
        <v/>
      </c>
      <c r="F210" s="53">
        <f>IF($C210="","",SUMIFS('Dvd Calendar'!$E$2991:$AR$2991,'Dvd Calendar'!$E$2990:$AR$2990,"&gt;="&amp;DATE(Summary!$C$12-5,1,1),'Dvd Calendar'!$E$2990:$AR$2990,"&lt;="&amp;DATE(Summary!$C$12-5,12,31)))</f>
        <v/>
      </c>
      <c r="G210" s="53">
        <f>IF($C210="","",SUMIFS('Dvd Calendar'!$E$2991:$AR$2991,'Dvd Calendar'!$E$2990:$AR$2990,"&gt;="&amp;DATE(Summary!$C$12-4,1,1),'Dvd Calendar'!$E$2990:$AR$2990,"&lt;="&amp;DATE(Summary!$C$12-4,12,31)))</f>
        <v/>
      </c>
      <c r="H210" s="53">
        <f>IF($C210="","",SUMIFS('Dvd Calendar'!$E$2991:$AR$2991,'Dvd Calendar'!$E$2990:$AR$2990,"&gt;="&amp;DATE(Summary!$C$12-3,1,1),'Dvd Calendar'!$E$2990:$AR$2990,"&lt;="&amp;DATE(Summary!$C$12-3,12,31)))</f>
        <v/>
      </c>
      <c r="I210" s="53">
        <f>IF($C210="","",SUMIFS('Dvd Calendar'!$E$2991:$AR$2991,'Dvd Calendar'!$E$2990:$AR$2990,"&gt;="&amp;DATE(Summary!$C$12-2,1,1),'Dvd Calendar'!$E$2990:$AR$2990,"&lt;="&amp;DATE(Summary!$C$12-2,12,31)))</f>
        <v/>
      </c>
      <c r="J210" s="53">
        <f>IF($C210="","",SUMIFS('Dvd Calendar'!$E$2991:$AR$2991,'Dvd Calendar'!$E$2990:$AR$2990,"&gt;="&amp;DATE(Summary!$C$12-1,1,1),'Dvd Calendar'!$E$2990:$AR$2990,"&lt;="&amp;DATE(Summary!$C$12-1,12,31)))</f>
        <v/>
      </c>
      <c r="K210" s="54">
        <f>IF($C210="","",SUMIFS('Dvd Calendar'!$E$2991:$AR$2991,'Dvd Calendar'!$E$2990:$AR$2990,"&gt;="&amp;DATE(Summary!$C$12,1,1),'Dvd Calendar'!$E$2990:$AR$2990,"&lt;="&amp;MIN(Summary!$C$11,DATE(Summary!$C$12,12,31))))</f>
        <v/>
      </c>
      <c r="L210" s="38">
        <f>IF($C210="","",AVERAGE(F210:J210))</f>
        <v/>
      </c>
      <c r="M210" s="55">
        <f>IF($C210="","",IF(Summary!$C$16="N","",IFERROR(BDP($C210,'Field Check'!$C$16,'Field Check'!$C$17,TEXT(Summary!$C$12-5,"0")),"")))</f>
        <v/>
      </c>
      <c r="N210" s="55">
        <f>IF($C210="","",IF(Summary!$C$16="N","",IFERROR(BDP($C210,'Field Check'!$C$16,'Field Check'!$C$17,TEXT(Summary!$C$12-4,"0")),"")))</f>
        <v/>
      </c>
      <c r="O210" s="55">
        <f>IF($C210="","",IF(Summary!$C$16="N","",IFERROR(BDP($C210,'Field Check'!$C$16,'Field Check'!$C$17,TEXT(Summary!$C$12-3,"0")),"")))</f>
        <v/>
      </c>
      <c r="P210" s="55">
        <f>IF($C210="","",IF(Summary!$C$16="N","",IFERROR(BDP($C210,'Field Check'!$C$16,'Field Check'!$C$17,TEXT(Summary!$C$12-2,"0")),"")))</f>
        <v/>
      </c>
      <c r="Q210" s="55">
        <f>IF($C210="","",IF(Summary!$C$16="N","",IFERROR(BDP($C210,'Field Check'!$C$16,'Field Check'!$C$17,TEXT(Summary!$C$12-1,"0")),"")))</f>
        <v/>
      </c>
      <c r="R210" s="56">
        <f>IF($C210="","",IF(Summary!$C$16="N","",IFERROR(BDP($C210,'Field Check'!$C$18,'Field Check'!$C$17,TEXT(Summary!$C$12-5,"0"))/100,"")))</f>
        <v/>
      </c>
      <c r="S210" s="56">
        <f>IF($C210="","",IF(Summary!$C$16="N","",IFERROR(BDP($C210,'Field Check'!$C$18,'Field Check'!$C$17,TEXT(Summary!$C$12-4,"0"))/100,"")))</f>
        <v/>
      </c>
      <c r="T210" s="56">
        <f>IF($C210="","",IF(Summary!$C$16="N","",IFERROR(BDP($C210,'Field Check'!$C$18,'Field Check'!$C$17,TEXT(Summary!$C$12-3,"0"))/100,"")))</f>
        <v/>
      </c>
      <c r="U210" s="56">
        <f>IF($C210="","",IF(Summary!$C$16="N","",IFERROR(BDP($C210,'Field Check'!$C$18,'Field Check'!$C$17,TEXT(Summary!$C$12-2,"0"))/100,"")))</f>
        <v/>
      </c>
      <c r="V210" s="56">
        <f>IF($C210="","",IF(Summary!$C$16="N","",IFERROR(BDP($C210,'Field Check'!$C$18,'Field Check'!$C$17,TEXT(Summary!$C$12-1,"0"))/100,"")))</f>
        <v/>
      </c>
      <c r="W210" s="57">
        <f>IF($C210="","",IFERROR(AVERAGE(R210:V210),""))</f>
        <v/>
      </c>
      <c r="X210" s="58">
        <f>IF($C210="","",IF(ISNUMBER($Q210)*(N($Q210)&gt;0)=0,"",IFERROR($J210/$Q210,"")))</f>
        <v/>
      </c>
      <c r="Y210" s="59">
        <f>IF($C210="","",IF(ISNUMBER(HSCEI!$I$65),HSCEI!$I$65/100,""))</f>
        <v/>
      </c>
      <c r="Z210" s="60">
        <f>IF($C210="","",IF(Summary!$C$16="N","",IFERROR(BDP($C210,'Field Check'!$C$19)/100,"")))</f>
        <v/>
      </c>
      <c r="AA210" s="61">
        <f>IF($C210="","",IF(N($Y210)+N($Z210)=0,"",N($Y210)+N($Z210)))</f>
        <v/>
      </c>
      <c r="AB210" s="60">
        <f>IF($C210="","",IF(Summary!$C$16="N","",IFERROR(BDP($C210,'Field Check'!$C$20)/100,"")))</f>
        <v/>
      </c>
      <c r="AC210" s="45">
        <f>IF($C210="","",IF(N($Y210)=0,"",IFERROR($AB210/$Y210,"")))</f>
        <v/>
      </c>
      <c r="AD210" s="55">
        <f>IF($C210="","",IF(Summary!$C$16="N","",IFERROR(BDP($C210,'Field Check'!$C$21),"")))</f>
        <v/>
      </c>
      <c r="AE210" s="55">
        <f>IF($C210="","",IF(Summary!$C$16="N","",IFERROR(BDP($C210,'Field Check'!$C$22),"")))</f>
        <v/>
      </c>
      <c r="AF210" s="55">
        <f>IF($C210="","",IF(Summary!$C$16="N","",IFERROR(BDP($C210,'Field Check'!$C$23),"")))</f>
        <v/>
      </c>
      <c r="AG210" s="40">
        <f>IF($C210="","",TRIM(IF(ISNUMBER($W210)*(N($W210)&gt;$D$7)&gt;0,"payout high  ","")&amp;IF(ISNUMBER($AC210)*(N($AC210)&lt;$F$7)&gt;0,"FCF below dvd  ","")&amp;IF(ISNUMBER($AE210)*(N($AE210)&gt;$H$7)&gt;0,"leverage high","")))</f>
        <v/>
      </c>
      <c r="AH210" s="40">
        <f>IF($C210="","",IF(HSCEI!$F$65="HKD","",IF(HSCEI!$F$65="","","DPS in "&amp;HSCEI!$F$65)))</f>
        <v/>
      </c>
    </row>
    <row r="211">
      <c r="B211" s="52" t="inlineStr">
        <is>
          <t>HSCEI</t>
        </is>
      </c>
      <c r="C211" s="6">
        <f>IF(HSCEI!$C$66="","",HSCEI!$C$66)</f>
        <v/>
      </c>
      <c r="D211" s="6">
        <f>IF($C211="","",HSCEI!$D$66)</f>
        <v/>
      </c>
      <c r="E211" s="6">
        <f>IF($C211="","",HSCEI!$E$66)</f>
        <v/>
      </c>
      <c r="F211" s="53">
        <f>IF($C211="","",SUMIFS('Dvd Calendar'!$E$3006:$AR$3006,'Dvd Calendar'!$E$3005:$AR$3005,"&gt;="&amp;DATE(Summary!$C$12-5,1,1),'Dvd Calendar'!$E$3005:$AR$3005,"&lt;="&amp;DATE(Summary!$C$12-5,12,31)))</f>
        <v/>
      </c>
      <c r="G211" s="53">
        <f>IF($C211="","",SUMIFS('Dvd Calendar'!$E$3006:$AR$3006,'Dvd Calendar'!$E$3005:$AR$3005,"&gt;="&amp;DATE(Summary!$C$12-4,1,1),'Dvd Calendar'!$E$3005:$AR$3005,"&lt;="&amp;DATE(Summary!$C$12-4,12,31)))</f>
        <v/>
      </c>
      <c r="H211" s="53">
        <f>IF($C211="","",SUMIFS('Dvd Calendar'!$E$3006:$AR$3006,'Dvd Calendar'!$E$3005:$AR$3005,"&gt;="&amp;DATE(Summary!$C$12-3,1,1),'Dvd Calendar'!$E$3005:$AR$3005,"&lt;="&amp;DATE(Summary!$C$12-3,12,31)))</f>
        <v/>
      </c>
      <c r="I211" s="53">
        <f>IF($C211="","",SUMIFS('Dvd Calendar'!$E$3006:$AR$3006,'Dvd Calendar'!$E$3005:$AR$3005,"&gt;="&amp;DATE(Summary!$C$12-2,1,1),'Dvd Calendar'!$E$3005:$AR$3005,"&lt;="&amp;DATE(Summary!$C$12-2,12,31)))</f>
        <v/>
      </c>
      <c r="J211" s="53">
        <f>IF($C211="","",SUMIFS('Dvd Calendar'!$E$3006:$AR$3006,'Dvd Calendar'!$E$3005:$AR$3005,"&gt;="&amp;DATE(Summary!$C$12-1,1,1),'Dvd Calendar'!$E$3005:$AR$3005,"&lt;="&amp;DATE(Summary!$C$12-1,12,31)))</f>
        <v/>
      </c>
      <c r="K211" s="54">
        <f>IF($C211="","",SUMIFS('Dvd Calendar'!$E$3006:$AR$3006,'Dvd Calendar'!$E$3005:$AR$3005,"&gt;="&amp;DATE(Summary!$C$12,1,1),'Dvd Calendar'!$E$3005:$AR$3005,"&lt;="&amp;MIN(Summary!$C$11,DATE(Summary!$C$12,12,31))))</f>
        <v/>
      </c>
      <c r="L211" s="38">
        <f>IF($C211="","",AVERAGE(F211:J211))</f>
        <v/>
      </c>
      <c r="M211" s="55">
        <f>IF($C211="","",IF(Summary!$C$16="N","",IFERROR(BDP($C211,'Field Check'!$C$16,'Field Check'!$C$17,TEXT(Summary!$C$12-5,"0")),"")))</f>
        <v/>
      </c>
      <c r="N211" s="55">
        <f>IF($C211="","",IF(Summary!$C$16="N","",IFERROR(BDP($C211,'Field Check'!$C$16,'Field Check'!$C$17,TEXT(Summary!$C$12-4,"0")),"")))</f>
        <v/>
      </c>
      <c r="O211" s="55">
        <f>IF($C211="","",IF(Summary!$C$16="N","",IFERROR(BDP($C211,'Field Check'!$C$16,'Field Check'!$C$17,TEXT(Summary!$C$12-3,"0")),"")))</f>
        <v/>
      </c>
      <c r="P211" s="55">
        <f>IF($C211="","",IF(Summary!$C$16="N","",IFERROR(BDP($C211,'Field Check'!$C$16,'Field Check'!$C$17,TEXT(Summary!$C$12-2,"0")),"")))</f>
        <v/>
      </c>
      <c r="Q211" s="55">
        <f>IF($C211="","",IF(Summary!$C$16="N","",IFERROR(BDP($C211,'Field Check'!$C$16,'Field Check'!$C$17,TEXT(Summary!$C$12-1,"0")),"")))</f>
        <v/>
      </c>
      <c r="R211" s="56">
        <f>IF($C211="","",IF(Summary!$C$16="N","",IFERROR(BDP($C211,'Field Check'!$C$18,'Field Check'!$C$17,TEXT(Summary!$C$12-5,"0"))/100,"")))</f>
        <v/>
      </c>
      <c r="S211" s="56">
        <f>IF($C211="","",IF(Summary!$C$16="N","",IFERROR(BDP($C211,'Field Check'!$C$18,'Field Check'!$C$17,TEXT(Summary!$C$12-4,"0"))/100,"")))</f>
        <v/>
      </c>
      <c r="T211" s="56">
        <f>IF($C211="","",IF(Summary!$C$16="N","",IFERROR(BDP($C211,'Field Check'!$C$18,'Field Check'!$C$17,TEXT(Summary!$C$12-3,"0"))/100,"")))</f>
        <v/>
      </c>
      <c r="U211" s="56">
        <f>IF($C211="","",IF(Summary!$C$16="N","",IFERROR(BDP($C211,'Field Check'!$C$18,'Field Check'!$C$17,TEXT(Summary!$C$12-2,"0"))/100,"")))</f>
        <v/>
      </c>
      <c r="V211" s="56">
        <f>IF($C211="","",IF(Summary!$C$16="N","",IFERROR(BDP($C211,'Field Check'!$C$18,'Field Check'!$C$17,TEXT(Summary!$C$12-1,"0"))/100,"")))</f>
        <v/>
      </c>
      <c r="W211" s="57">
        <f>IF($C211="","",IFERROR(AVERAGE(R211:V211),""))</f>
        <v/>
      </c>
      <c r="X211" s="58">
        <f>IF($C211="","",IF(ISNUMBER($Q211)*(N($Q211)&gt;0)=0,"",IFERROR($J211/$Q211,"")))</f>
        <v/>
      </c>
      <c r="Y211" s="59">
        <f>IF($C211="","",IF(ISNUMBER(HSCEI!$I$66),HSCEI!$I$66/100,""))</f>
        <v/>
      </c>
      <c r="Z211" s="60">
        <f>IF($C211="","",IF(Summary!$C$16="N","",IFERROR(BDP($C211,'Field Check'!$C$19)/100,"")))</f>
        <v/>
      </c>
      <c r="AA211" s="61">
        <f>IF($C211="","",IF(N($Y211)+N($Z211)=0,"",N($Y211)+N($Z211)))</f>
        <v/>
      </c>
      <c r="AB211" s="60">
        <f>IF($C211="","",IF(Summary!$C$16="N","",IFERROR(BDP($C211,'Field Check'!$C$20)/100,"")))</f>
        <v/>
      </c>
      <c r="AC211" s="45">
        <f>IF($C211="","",IF(N($Y211)=0,"",IFERROR($AB211/$Y211,"")))</f>
        <v/>
      </c>
      <c r="AD211" s="55">
        <f>IF($C211="","",IF(Summary!$C$16="N","",IFERROR(BDP($C211,'Field Check'!$C$21),"")))</f>
        <v/>
      </c>
      <c r="AE211" s="55">
        <f>IF($C211="","",IF(Summary!$C$16="N","",IFERROR(BDP($C211,'Field Check'!$C$22),"")))</f>
        <v/>
      </c>
      <c r="AF211" s="55">
        <f>IF($C211="","",IF(Summary!$C$16="N","",IFERROR(BDP($C211,'Field Check'!$C$23),"")))</f>
        <v/>
      </c>
      <c r="AG211" s="40">
        <f>IF($C211="","",TRIM(IF(ISNUMBER($W211)*(N($W211)&gt;$D$7)&gt;0,"payout high  ","")&amp;IF(ISNUMBER($AC211)*(N($AC211)&lt;$F$7)&gt;0,"FCF below dvd  ","")&amp;IF(ISNUMBER($AE211)*(N($AE211)&gt;$H$7)&gt;0,"leverage high","")))</f>
        <v/>
      </c>
      <c r="AH211" s="40">
        <f>IF($C211="","",IF(HSCEI!$F$66="HKD","",IF(HSCEI!$F$66="","","DPS in "&amp;HSCEI!$F$66)))</f>
        <v/>
      </c>
    </row>
    <row r="213">
      <c r="B213" s="34" t="inlineStr">
        <is>
          <t>Filter the table above to work through a sector; do not SORT it - these are live formulas tied to their row. Copy-paste-values into a new sheet if you want to sort.</t>
        </is>
      </c>
    </row>
    <row r="214">
      <c r="B214" s="3" t="inlineStr">
        <is>
          <t>SECTOR AVERAGES - Hang Seng Index (HSI)</t>
        </is>
      </c>
      <c r="C214" s="4" t="n"/>
      <c r="D214" s="4" t="n"/>
      <c r="E214" s="4" t="n"/>
      <c r="F214" s="4" t="n"/>
      <c r="G214" s="4" t="n"/>
      <c r="H214" s="4" t="n"/>
      <c r="I214" s="4" t="n"/>
      <c r="J214" s="4" t="n"/>
      <c r="K214" s="4" t="n"/>
      <c r="L214" s="4" t="n"/>
    </row>
    <row r="215">
      <c r="B215" s="51" t="inlineStr">
        <is>
          <t>GICS Sector</t>
        </is>
      </c>
      <c r="C215" s="51" t="inlineStr">
        <is>
          <t>#</t>
        </is>
      </c>
      <c r="D215" s="51" t="inlineStr">
        <is>
          <t>5Y avg
payout</t>
        </is>
      </c>
      <c r="E215" s="51" t="inlineStr">
        <is>
          <t>Dvd yld
12M</t>
        </is>
      </c>
      <c r="F215" s="51" t="inlineStr">
        <is>
          <t>Buyback
yld</t>
        </is>
      </c>
      <c r="G215" s="51" t="inlineStr">
        <is>
          <t>Cash return
(dvd+bb)</t>
        </is>
      </c>
      <c r="H215" s="51" t="inlineStr">
        <is>
          <t>FCF
yld</t>
        </is>
      </c>
      <c r="I215" s="51" t="inlineStr">
        <is>
          <t>Net debt
/equity</t>
        </is>
      </c>
      <c r="J215" s="51" t="inlineStr">
        <is>
          <t>Net debt
/EBITDA</t>
        </is>
      </c>
      <c r="K215" s="51" t="inlineStr">
        <is>
          <t>Year pts
(model)</t>
        </is>
      </c>
      <c r="L215" s="51" t="inlineStr">
        <is>
          <t>% of yr
dvds</t>
        </is>
      </c>
    </row>
    <row r="216">
      <c r="B216" s="12" t="inlineStr">
        <is>
          <t>Energy</t>
        </is>
      </c>
      <c r="C216" s="62">
        <f>COUNTIF(HSI!$E$7:$E$106,$B216)</f>
        <v/>
      </c>
      <c r="D216" s="58">
        <f>IFERROR(AVERAGEIFS($W$12:$W$111,$B$12:$B$111,"HSI",$E$12:$E$111,$B216),"")</f>
        <v/>
      </c>
      <c r="E216" s="59">
        <f>IFERROR(AVERAGEIFS($Y$12:$Y$111,$B$12:$B$111,"HSI",$E$12:$E$111,$B216),"")</f>
        <v/>
      </c>
      <c r="F216" s="59">
        <f>IFERROR(AVERAGEIFS($Z$12:$Z$111,$B$12:$B$111,"HSI",$E$12:$E$111,$B216),"")</f>
        <v/>
      </c>
      <c r="G216" s="59">
        <f>IFERROR(AVERAGEIFS($AA$12:$AA$111,$B$12:$B$111,"HSI",$E$12:$E$111,$B216),"")</f>
        <v/>
      </c>
      <c r="H216" s="59">
        <f>IFERROR(AVERAGEIFS($AB$12:$AB$111,$B$12:$B$111,"HSI",$E$12:$E$111,$B216),"")</f>
        <v/>
      </c>
      <c r="I216" s="45">
        <f>IFERROR(AVERAGEIFS($AD$12:$AD$111,$B$12:$B$111,"HSI",$E$12:$E$111,$B216),"")</f>
        <v/>
      </c>
      <c r="J216" s="45">
        <f>IFERROR(AVERAGEIFS($AE$12:$AE$111,$B$12:$B$111,"HSI",$E$12:$E$111,$B216),"")</f>
        <v/>
      </c>
      <c r="K216" s="45">
        <f>IFERROR(SUMIF(HSI!$E$7:$E$106,$B216,HSI!$Q$7:$Q$106),"")</f>
        <v/>
      </c>
      <c r="L216" s="63">
        <f>IFERROR($K216/HSI!$Q$5,"")</f>
        <v/>
      </c>
    </row>
    <row r="217">
      <c r="B217" s="12" t="inlineStr">
        <is>
          <t>Materials</t>
        </is>
      </c>
      <c r="C217" s="62">
        <f>COUNTIF(HSI!$E$7:$E$106,$B217)</f>
        <v/>
      </c>
      <c r="D217" s="58">
        <f>IFERROR(AVERAGEIFS($W$12:$W$111,$B$12:$B$111,"HSI",$E$12:$E$111,$B217),"")</f>
        <v/>
      </c>
      <c r="E217" s="59">
        <f>IFERROR(AVERAGEIFS($Y$12:$Y$111,$B$12:$B$111,"HSI",$E$12:$E$111,$B217),"")</f>
        <v/>
      </c>
      <c r="F217" s="59">
        <f>IFERROR(AVERAGEIFS($Z$12:$Z$111,$B$12:$B$111,"HSI",$E$12:$E$111,$B217),"")</f>
        <v/>
      </c>
      <c r="G217" s="59">
        <f>IFERROR(AVERAGEIFS($AA$12:$AA$111,$B$12:$B$111,"HSI",$E$12:$E$111,$B217),"")</f>
        <v/>
      </c>
      <c r="H217" s="59">
        <f>IFERROR(AVERAGEIFS($AB$12:$AB$111,$B$12:$B$111,"HSI",$E$12:$E$111,$B217),"")</f>
        <v/>
      </c>
      <c r="I217" s="45">
        <f>IFERROR(AVERAGEIFS($AD$12:$AD$111,$B$12:$B$111,"HSI",$E$12:$E$111,$B217),"")</f>
        <v/>
      </c>
      <c r="J217" s="45">
        <f>IFERROR(AVERAGEIFS($AE$12:$AE$111,$B$12:$B$111,"HSI",$E$12:$E$111,$B217),"")</f>
        <v/>
      </c>
      <c r="K217" s="45">
        <f>IFERROR(SUMIF(HSI!$E$7:$E$106,$B217,HSI!$Q$7:$Q$106),"")</f>
        <v/>
      </c>
      <c r="L217" s="63">
        <f>IFERROR($K217/HSI!$Q$5,"")</f>
        <v/>
      </c>
    </row>
    <row r="218">
      <c r="B218" s="12" t="inlineStr">
        <is>
          <t>Industrials</t>
        </is>
      </c>
      <c r="C218" s="62">
        <f>COUNTIF(HSI!$E$7:$E$106,$B218)</f>
        <v/>
      </c>
      <c r="D218" s="58">
        <f>IFERROR(AVERAGEIFS($W$12:$W$111,$B$12:$B$111,"HSI",$E$12:$E$111,$B218),"")</f>
        <v/>
      </c>
      <c r="E218" s="59">
        <f>IFERROR(AVERAGEIFS($Y$12:$Y$111,$B$12:$B$111,"HSI",$E$12:$E$111,$B218),"")</f>
        <v/>
      </c>
      <c r="F218" s="59">
        <f>IFERROR(AVERAGEIFS($Z$12:$Z$111,$B$12:$B$111,"HSI",$E$12:$E$111,$B218),"")</f>
        <v/>
      </c>
      <c r="G218" s="59">
        <f>IFERROR(AVERAGEIFS($AA$12:$AA$111,$B$12:$B$111,"HSI",$E$12:$E$111,$B218),"")</f>
        <v/>
      </c>
      <c r="H218" s="59">
        <f>IFERROR(AVERAGEIFS($AB$12:$AB$111,$B$12:$B$111,"HSI",$E$12:$E$111,$B218),"")</f>
        <v/>
      </c>
      <c r="I218" s="45">
        <f>IFERROR(AVERAGEIFS($AD$12:$AD$111,$B$12:$B$111,"HSI",$E$12:$E$111,$B218),"")</f>
        <v/>
      </c>
      <c r="J218" s="45">
        <f>IFERROR(AVERAGEIFS($AE$12:$AE$111,$B$12:$B$111,"HSI",$E$12:$E$111,$B218),"")</f>
        <v/>
      </c>
      <c r="K218" s="45">
        <f>IFERROR(SUMIF(HSI!$E$7:$E$106,$B218,HSI!$Q$7:$Q$106),"")</f>
        <v/>
      </c>
      <c r="L218" s="63">
        <f>IFERROR($K218/HSI!$Q$5,"")</f>
        <v/>
      </c>
    </row>
    <row r="219">
      <c r="B219" s="12" t="inlineStr">
        <is>
          <t>Consumer Discretionary</t>
        </is>
      </c>
      <c r="C219" s="62">
        <f>COUNTIF(HSI!$E$7:$E$106,$B219)</f>
        <v/>
      </c>
      <c r="D219" s="58">
        <f>IFERROR(AVERAGEIFS($W$12:$W$111,$B$12:$B$111,"HSI",$E$12:$E$111,$B219),"")</f>
        <v/>
      </c>
      <c r="E219" s="59">
        <f>IFERROR(AVERAGEIFS($Y$12:$Y$111,$B$12:$B$111,"HSI",$E$12:$E$111,$B219),"")</f>
        <v/>
      </c>
      <c r="F219" s="59">
        <f>IFERROR(AVERAGEIFS($Z$12:$Z$111,$B$12:$B$111,"HSI",$E$12:$E$111,$B219),"")</f>
        <v/>
      </c>
      <c r="G219" s="59">
        <f>IFERROR(AVERAGEIFS($AA$12:$AA$111,$B$12:$B$111,"HSI",$E$12:$E$111,$B219),"")</f>
        <v/>
      </c>
      <c r="H219" s="59">
        <f>IFERROR(AVERAGEIFS($AB$12:$AB$111,$B$12:$B$111,"HSI",$E$12:$E$111,$B219),"")</f>
        <v/>
      </c>
      <c r="I219" s="45">
        <f>IFERROR(AVERAGEIFS($AD$12:$AD$111,$B$12:$B$111,"HSI",$E$12:$E$111,$B219),"")</f>
        <v/>
      </c>
      <c r="J219" s="45">
        <f>IFERROR(AVERAGEIFS($AE$12:$AE$111,$B$12:$B$111,"HSI",$E$12:$E$111,$B219),"")</f>
        <v/>
      </c>
      <c r="K219" s="45">
        <f>IFERROR(SUMIF(HSI!$E$7:$E$106,$B219,HSI!$Q$7:$Q$106),"")</f>
        <v/>
      </c>
      <c r="L219" s="63">
        <f>IFERROR($K219/HSI!$Q$5,"")</f>
        <v/>
      </c>
    </row>
    <row r="220">
      <c r="B220" s="12" t="inlineStr">
        <is>
          <t>Consumer Staples</t>
        </is>
      </c>
      <c r="C220" s="62">
        <f>COUNTIF(HSI!$E$7:$E$106,$B220)</f>
        <v/>
      </c>
      <c r="D220" s="58">
        <f>IFERROR(AVERAGEIFS($W$12:$W$111,$B$12:$B$111,"HSI",$E$12:$E$111,$B220),"")</f>
        <v/>
      </c>
      <c r="E220" s="59">
        <f>IFERROR(AVERAGEIFS($Y$12:$Y$111,$B$12:$B$111,"HSI",$E$12:$E$111,$B220),"")</f>
        <v/>
      </c>
      <c r="F220" s="59">
        <f>IFERROR(AVERAGEIFS($Z$12:$Z$111,$B$12:$B$111,"HSI",$E$12:$E$111,$B220),"")</f>
        <v/>
      </c>
      <c r="G220" s="59">
        <f>IFERROR(AVERAGEIFS($AA$12:$AA$111,$B$12:$B$111,"HSI",$E$12:$E$111,$B220),"")</f>
        <v/>
      </c>
      <c r="H220" s="59">
        <f>IFERROR(AVERAGEIFS($AB$12:$AB$111,$B$12:$B$111,"HSI",$E$12:$E$111,$B220),"")</f>
        <v/>
      </c>
      <c r="I220" s="45">
        <f>IFERROR(AVERAGEIFS($AD$12:$AD$111,$B$12:$B$111,"HSI",$E$12:$E$111,$B220),"")</f>
        <v/>
      </c>
      <c r="J220" s="45">
        <f>IFERROR(AVERAGEIFS($AE$12:$AE$111,$B$12:$B$111,"HSI",$E$12:$E$111,$B220),"")</f>
        <v/>
      </c>
      <c r="K220" s="45">
        <f>IFERROR(SUMIF(HSI!$E$7:$E$106,$B220,HSI!$Q$7:$Q$106),"")</f>
        <v/>
      </c>
      <c r="L220" s="63">
        <f>IFERROR($K220/HSI!$Q$5,"")</f>
        <v/>
      </c>
    </row>
    <row r="221">
      <c r="B221" s="12" t="inlineStr">
        <is>
          <t>Health Care</t>
        </is>
      </c>
      <c r="C221" s="62">
        <f>COUNTIF(HSI!$E$7:$E$106,$B221)</f>
        <v/>
      </c>
      <c r="D221" s="58">
        <f>IFERROR(AVERAGEIFS($W$12:$W$111,$B$12:$B$111,"HSI",$E$12:$E$111,$B221),"")</f>
        <v/>
      </c>
      <c r="E221" s="59">
        <f>IFERROR(AVERAGEIFS($Y$12:$Y$111,$B$12:$B$111,"HSI",$E$12:$E$111,$B221),"")</f>
        <v/>
      </c>
      <c r="F221" s="59">
        <f>IFERROR(AVERAGEIFS($Z$12:$Z$111,$B$12:$B$111,"HSI",$E$12:$E$111,$B221),"")</f>
        <v/>
      </c>
      <c r="G221" s="59">
        <f>IFERROR(AVERAGEIFS($AA$12:$AA$111,$B$12:$B$111,"HSI",$E$12:$E$111,$B221),"")</f>
        <v/>
      </c>
      <c r="H221" s="59">
        <f>IFERROR(AVERAGEIFS($AB$12:$AB$111,$B$12:$B$111,"HSI",$E$12:$E$111,$B221),"")</f>
        <v/>
      </c>
      <c r="I221" s="45">
        <f>IFERROR(AVERAGEIFS($AD$12:$AD$111,$B$12:$B$111,"HSI",$E$12:$E$111,$B221),"")</f>
        <v/>
      </c>
      <c r="J221" s="45">
        <f>IFERROR(AVERAGEIFS($AE$12:$AE$111,$B$12:$B$111,"HSI",$E$12:$E$111,$B221),"")</f>
        <v/>
      </c>
      <c r="K221" s="45">
        <f>IFERROR(SUMIF(HSI!$E$7:$E$106,$B221,HSI!$Q$7:$Q$106),"")</f>
        <v/>
      </c>
      <c r="L221" s="63">
        <f>IFERROR($K221/HSI!$Q$5,"")</f>
        <v/>
      </c>
    </row>
    <row r="222">
      <c r="B222" s="12" t="inlineStr">
        <is>
          <t>Financials</t>
        </is>
      </c>
      <c r="C222" s="62">
        <f>COUNTIF(HSI!$E$7:$E$106,$B222)</f>
        <v/>
      </c>
      <c r="D222" s="58">
        <f>IFERROR(AVERAGEIFS($W$12:$W$111,$B$12:$B$111,"HSI",$E$12:$E$111,$B222),"")</f>
        <v/>
      </c>
      <c r="E222" s="59">
        <f>IFERROR(AVERAGEIFS($Y$12:$Y$111,$B$12:$B$111,"HSI",$E$12:$E$111,$B222),"")</f>
        <v/>
      </c>
      <c r="F222" s="59">
        <f>IFERROR(AVERAGEIFS($Z$12:$Z$111,$B$12:$B$111,"HSI",$E$12:$E$111,$B222),"")</f>
        <v/>
      </c>
      <c r="G222" s="59">
        <f>IFERROR(AVERAGEIFS($AA$12:$AA$111,$B$12:$B$111,"HSI",$E$12:$E$111,$B222),"")</f>
        <v/>
      </c>
      <c r="H222" s="59">
        <f>IFERROR(AVERAGEIFS($AB$12:$AB$111,$B$12:$B$111,"HSI",$E$12:$E$111,$B222),"")</f>
        <v/>
      </c>
      <c r="I222" s="45">
        <f>IFERROR(AVERAGEIFS($AD$12:$AD$111,$B$12:$B$111,"HSI",$E$12:$E$111,$B222),"")</f>
        <v/>
      </c>
      <c r="J222" s="45">
        <f>IFERROR(AVERAGEIFS($AE$12:$AE$111,$B$12:$B$111,"HSI",$E$12:$E$111,$B222),"")</f>
        <v/>
      </c>
      <c r="K222" s="45">
        <f>IFERROR(SUMIF(HSI!$E$7:$E$106,$B222,HSI!$Q$7:$Q$106),"")</f>
        <v/>
      </c>
      <c r="L222" s="63">
        <f>IFERROR($K222/HSI!$Q$5,"")</f>
        <v/>
      </c>
    </row>
    <row r="223">
      <c r="B223" s="12" t="inlineStr">
        <is>
          <t>Information Technology</t>
        </is>
      </c>
      <c r="C223" s="62">
        <f>COUNTIF(HSI!$E$7:$E$106,$B223)</f>
        <v/>
      </c>
      <c r="D223" s="58">
        <f>IFERROR(AVERAGEIFS($W$12:$W$111,$B$12:$B$111,"HSI",$E$12:$E$111,$B223),"")</f>
        <v/>
      </c>
      <c r="E223" s="59">
        <f>IFERROR(AVERAGEIFS($Y$12:$Y$111,$B$12:$B$111,"HSI",$E$12:$E$111,$B223),"")</f>
        <v/>
      </c>
      <c r="F223" s="59">
        <f>IFERROR(AVERAGEIFS($Z$12:$Z$111,$B$12:$B$111,"HSI",$E$12:$E$111,$B223),"")</f>
        <v/>
      </c>
      <c r="G223" s="59">
        <f>IFERROR(AVERAGEIFS($AA$12:$AA$111,$B$12:$B$111,"HSI",$E$12:$E$111,$B223),"")</f>
        <v/>
      </c>
      <c r="H223" s="59">
        <f>IFERROR(AVERAGEIFS($AB$12:$AB$111,$B$12:$B$111,"HSI",$E$12:$E$111,$B223),"")</f>
        <v/>
      </c>
      <c r="I223" s="45">
        <f>IFERROR(AVERAGEIFS($AD$12:$AD$111,$B$12:$B$111,"HSI",$E$12:$E$111,$B223),"")</f>
        <v/>
      </c>
      <c r="J223" s="45">
        <f>IFERROR(AVERAGEIFS($AE$12:$AE$111,$B$12:$B$111,"HSI",$E$12:$E$111,$B223),"")</f>
        <v/>
      </c>
      <c r="K223" s="45">
        <f>IFERROR(SUMIF(HSI!$E$7:$E$106,$B223,HSI!$Q$7:$Q$106),"")</f>
        <v/>
      </c>
      <c r="L223" s="63">
        <f>IFERROR($K223/HSI!$Q$5,"")</f>
        <v/>
      </c>
    </row>
    <row r="224">
      <c r="B224" s="12" t="inlineStr">
        <is>
          <t>Communication Services</t>
        </is>
      </c>
      <c r="C224" s="62">
        <f>COUNTIF(HSI!$E$7:$E$106,$B224)</f>
        <v/>
      </c>
      <c r="D224" s="58">
        <f>IFERROR(AVERAGEIFS($W$12:$W$111,$B$12:$B$111,"HSI",$E$12:$E$111,$B224),"")</f>
        <v/>
      </c>
      <c r="E224" s="59">
        <f>IFERROR(AVERAGEIFS($Y$12:$Y$111,$B$12:$B$111,"HSI",$E$12:$E$111,$B224),"")</f>
        <v/>
      </c>
      <c r="F224" s="59">
        <f>IFERROR(AVERAGEIFS($Z$12:$Z$111,$B$12:$B$111,"HSI",$E$12:$E$111,$B224),"")</f>
        <v/>
      </c>
      <c r="G224" s="59">
        <f>IFERROR(AVERAGEIFS($AA$12:$AA$111,$B$12:$B$111,"HSI",$E$12:$E$111,$B224),"")</f>
        <v/>
      </c>
      <c r="H224" s="59">
        <f>IFERROR(AVERAGEIFS($AB$12:$AB$111,$B$12:$B$111,"HSI",$E$12:$E$111,$B224),"")</f>
        <v/>
      </c>
      <c r="I224" s="45">
        <f>IFERROR(AVERAGEIFS($AD$12:$AD$111,$B$12:$B$111,"HSI",$E$12:$E$111,$B224),"")</f>
        <v/>
      </c>
      <c r="J224" s="45">
        <f>IFERROR(AVERAGEIFS($AE$12:$AE$111,$B$12:$B$111,"HSI",$E$12:$E$111,$B224),"")</f>
        <v/>
      </c>
      <c r="K224" s="45">
        <f>IFERROR(SUMIF(HSI!$E$7:$E$106,$B224,HSI!$Q$7:$Q$106),"")</f>
        <v/>
      </c>
      <c r="L224" s="63">
        <f>IFERROR($K224/HSI!$Q$5,"")</f>
        <v/>
      </c>
    </row>
    <row r="225">
      <c r="B225" s="12" t="inlineStr">
        <is>
          <t>Utilities</t>
        </is>
      </c>
      <c r="C225" s="62">
        <f>COUNTIF(HSI!$E$7:$E$106,$B225)</f>
        <v/>
      </c>
      <c r="D225" s="58">
        <f>IFERROR(AVERAGEIFS($W$12:$W$111,$B$12:$B$111,"HSI",$E$12:$E$111,$B225),"")</f>
        <v/>
      </c>
      <c r="E225" s="59">
        <f>IFERROR(AVERAGEIFS($Y$12:$Y$111,$B$12:$B$111,"HSI",$E$12:$E$111,$B225),"")</f>
        <v/>
      </c>
      <c r="F225" s="59">
        <f>IFERROR(AVERAGEIFS($Z$12:$Z$111,$B$12:$B$111,"HSI",$E$12:$E$111,$B225),"")</f>
        <v/>
      </c>
      <c r="G225" s="59">
        <f>IFERROR(AVERAGEIFS($AA$12:$AA$111,$B$12:$B$111,"HSI",$E$12:$E$111,$B225),"")</f>
        <v/>
      </c>
      <c r="H225" s="59">
        <f>IFERROR(AVERAGEIFS($AB$12:$AB$111,$B$12:$B$111,"HSI",$E$12:$E$111,$B225),"")</f>
        <v/>
      </c>
      <c r="I225" s="45">
        <f>IFERROR(AVERAGEIFS($AD$12:$AD$111,$B$12:$B$111,"HSI",$E$12:$E$111,$B225),"")</f>
        <v/>
      </c>
      <c r="J225" s="45">
        <f>IFERROR(AVERAGEIFS($AE$12:$AE$111,$B$12:$B$111,"HSI",$E$12:$E$111,$B225),"")</f>
        <v/>
      </c>
      <c r="K225" s="45">
        <f>IFERROR(SUMIF(HSI!$E$7:$E$106,$B225,HSI!$Q$7:$Q$106),"")</f>
        <v/>
      </c>
      <c r="L225" s="63">
        <f>IFERROR($K225/HSI!$Q$5,"")</f>
        <v/>
      </c>
    </row>
    <row r="226">
      <c r="B226" s="12" t="inlineStr">
        <is>
          <t>Real Estate</t>
        </is>
      </c>
      <c r="C226" s="62">
        <f>COUNTIF(HSI!$E$7:$E$106,$B226)</f>
        <v/>
      </c>
      <c r="D226" s="58">
        <f>IFERROR(AVERAGEIFS($W$12:$W$111,$B$12:$B$111,"HSI",$E$12:$E$111,$B226),"")</f>
        <v/>
      </c>
      <c r="E226" s="59">
        <f>IFERROR(AVERAGEIFS($Y$12:$Y$111,$B$12:$B$111,"HSI",$E$12:$E$111,$B226),"")</f>
        <v/>
      </c>
      <c r="F226" s="59">
        <f>IFERROR(AVERAGEIFS($Z$12:$Z$111,$B$12:$B$111,"HSI",$E$12:$E$111,$B226),"")</f>
        <v/>
      </c>
      <c r="G226" s="59">
        <f>IFERROR(AVERAGEIFS($AA$12:$AA$111,$B$12:$B$111,"HSI",$E$12:$E$111,$B226),"")</f>
        <v/>
      </c>
      <c r="H226" s="59">
        <f>IFERROR(AVERAGEIFS($AB$12:$AB$111,$B$12:$B$111,"HSI",$E$12:$E$111,$B226),"")</f>
        <v/>
      </c>
      <c r="I226" s="45">
        <f>IFERROR(AVERAGEIFS($AD$12:$AD$111,$B$12:$B$111,"HSI",$E$12:$E$111,$B226),"")</f>
        <v/>
      </c>
      <c r="J226" s="45">
        <f>IFERROR(AVERAGEIFS($AE$12:$AE$111,$B$12:$B$111,"HSI",$E$12:$E$111,$B226),"")</f>
        <v/>
      </c>
      <c r="K226" s="45">
        <f>IFERROR(SUMIF(HSI!$E$7:$E$106,$B226,HSI!$Q$7:$Q$106),"")</f>
        <v/>
      </c>
      <c r="L226" s="63">
        <f>IFERROR($K226/HSI!$Q$5,"")</f>
        <v/>
      </c>
    </row>
    <row r="227">
      <c r="B227" s="10" t="inlineStr">
        <is>
          <t>TOTAL / weighted</t>
        </is>
      </c>
      <c r="C227" s="64">
        <f>SUM(C216:C226)</f>
        <v/>
      </c>
      <c r="K227" s="65">
        <f>IFERROR(SUM(K216:K226),"")</f>
        <v/>
      </c>
      <c r="L227" s="66">
        <f>IFERROR(SUM(L216:L226),"")</f>
        <v/>
      </c>
      <c r="M227" s="2">
        <f>IF(ABS(N($K227)-N(HSI!$Q$5))&lt;0.01,"sector split reconciles","CHECK - a GICS name below does not match Bloomberg's spelling")</f>
        <v/>
      </c>
    </row>
    <row r="229">
      <c r="B229" s="3" t="inlineStr">
        <is>
          <t>SECTOR AVERAGES - Hang Seng TECH Index (HSTECH)</t>
        </is>
      </c>
      <c r="C229" s="4" t="n"/>
      <c r="D229" s="4" t="n"/>
      <c r="E229" s="4" t="n"/>
      <c r="F229" s="4" t="n"/>
      <c r="G229" s="4" t="n"/>
      <c r="H229" s="4" t="n"/>
      <c r="I229" s="4" t="n"/>
      <c r="J229" s="4" t="n"/>
      <c r="K229" s="4" t="n"/>
      <c r="L229" s="4" t="n"/>
    </row>
    <row r="230">
      <c r="B230" s="51" t="inlineStr">
        <is>
          <t>GICS Sector</t>
        </is>
      </c>
      <c r="C230" s="51" t="inlineStr">
        <is>
          <t>#</t>
        </is>
      </c>
      <c r="D230" s="51" t="inlineStr">
        <is>
          <t>5Y avg
payout</t>
        </is>
      </c>
      <c r="E230" s="51" t="inlineStr">
        <is>
          <t>Dvd yld
12M</t>
        </is>
      </c>
      <c r="F230" s="51" t="inlineStr">
        <is>
          <t>Buyback
yld</t>
        </is>
      </c>
      <c r="G230" s="51" t="inlineStr">
        <is>
          <t>Cash return
(dvd+bb)</t>
        </is>
      </c>
      <c r="H230" s="51" t="inlineStr">
        <is>
          <t>FCF
yld</t>
        </is>
      </c>
      <c r="I230" s="51" t="inlineStr">
        <is>
          <t>Net debt
/equity</t>
        </is>
      </c>
      <c r="J230" s="51" t="inlineStr">
        <is>
          <t>Net debt
/EBITDA</t>
        </is>
      </c>
      <c r="K230" s="51" t="inlineStr">
        <is>
          <t>Year pts
(model)</t>
        </is>
      </c>
      <c r="L230" s="51" t="inlineStr">
        <is>
          <t>% of yr
dvds</t>
        </is>
      </c>
    </row>
    <row r="231">
      <c r="B231" s="12" t="inlineStr">
        <is>
          <t>Energy</t>
        </is>
      </c>
      <c r="C231" s="62">
        <f>COUNTIF(HSTECH!$E$7:$E$46,$B231)</f>
        <v/>
      </c>
      <c r="D231" s="58">
        <f>IFERROR(AVERAGEIFS($W$112:$W$151,$B$112:$B$151,"HSTECH",$E$112:$E$151,$B231),"")</f>
        <v/>
      </c>
      <c r="E231" s="59">
        <f>IFERROR(AVERAGEIFS($Y$112:$Y$151,$B$112:$B$151,"HSTECH",$E$112:$E$151,$B231),"")</f>
        <v/>
      </c>
      <c r="F231" s="59">
        <f>IFERROR(AVERAGEIFS($Z$112:$Z$151,$B$112:$B$151,"HSTECH",$E$112:$E$151,$B231),"")</f>
        <v/>
      </c>
      <c r="G231" s="59">
        <f>IFERROR(AVERAGEIFS($AA$112:$AA$151,$B$112:$B$151,"HSTECH",$E$112:$E$151,$B231),"")</f>
        <v/>
      </c>
      <c r="H231" s="59">
        <f>IFERROR(AVERAGEIFS($AB$112:$AB$151,$B$112:$B$151,"HSTECH",$E$112:$E$151,$B231),"")</f>
        <v/>
      </c>
      <c r="I231" s="45">
        <f>IFERROR(AVERAGEIFS($AD$112:$AD$151,$B$112:$B$151,"HSTECH",$E$112:$E$151,$B231),"")</f>
        <v/>
      </c>
      <c r="J231" s="45">
        <f>IFERROR(AVERAGEIFS($AE$112:$AE$151,$B$112:$B$151,"HSTECH",$E$112:$E$151,$B231),"")</f>
        <v/>
      </c>
      <c r="K231" s="45">
        <f>IFERROR(SUMIF(HSTECH!$E$7:$E$46,$B231,HSTECH!$Q$7:$Q$46),"")</f>
        <v/>
      </c>
      <c r="L231" s="63">
        <f>IFERROR($K231/HSTECH!$Q$5,"")</f>
        <v/>
      </c>
    </row>
    <row r="232">
      <c r="B232" s="12" t="inlineStr">
        <is>
          <t>Materials</t>
        </is>
      </c>
      <c r="C232" s="62">
        <f>COUNTIF(HSTECH!$E$7:$E$46,$B232)</f>
        <v/>
      </c>
      <c r="D232" s="58">
        <f>IFERROR(AVERAGEIFS($W$112:$W$151,$B$112:$B$151,"HSTECH",$E$112:$E$151,$B232),"")</f>
        <v/>
      </c>
      <c r="E232" s="59">
        <f>IFERROR(AVERAGEIFS($Y$112:$Y$151,$B$112:$B$151,"HSTECH",$E$112:$E$151,$B232),"")</f>
        <v/>
      </c>
      <c r="F232" s="59">
        <f>IFERROR(AVERAGEIFS($Z$112:$Z$151,$B$112:$B$151,"HSTECH",$E$112:$E$151,$B232),"")</f>
        <v/>
      </c>
      <c r="G232" s="59">
        <f>IFERROR(AVERAGEIFS($AA$112:$AA$151,$B$112:$B$151,"HSTECH",$E$112:$E$151,$B232),"")</f>
        <v/>
      </c>
      <c r="H232" s="59">
        <f>IFERROR(AVERAGEIFS($AB$112:$AB$151,$B$112:$B$151,"HSTECH",$E$112:$E$151,$B232),"")</f>
        <v/>
      </c>
      <c r="I232" s="45">
        <f>IFERROR(AVERAGEIFS($AD$112:$AD$151,$B$112:$B$151,"HSTECH",$E$112:$E$151,$B232),"")</f>
        <v/>
      </c>
      <c r="J232" s="45">
        <f>IFERROR(AVERAGEIFS($AE$112:$AE$151,$B$112:$B$151,"HSTECH",$E$112:$E$151,$B232),"")</f>
        <v/>
      </c>
      <c r="K232" s="45">
        <f>IFERROR(SUMIF(HSTECH!$E$7:$E$46,$B232,HSTECH!$Q$7:$Q$46),"")</f>
        <v/>
      </c>
      <c r="L232" s="63">
        <f>IFERROR($K232/HSTECH!$Q$5,"")</f>
        <v/>
      </c>
    </row>
    <row r="233">
      <c r="B233" s="12" t="inlineStr">
        <is>
          <t>Industrials</t>
        </is>
      </c>
      <c r="C233" s="62">
        <f>COUNTIF(HSTECH!$E$7:$E$46,$B233)</f>
        <v/>
      </c>
      <c r="D233" s="58">
        <f>IFERROR(AVERAGEIFS($W$112:$W$151,$B$112:$B$151,"HSTECH",$E$112:$E$151,$B233),"")</f>
        <v/>
      </c>
      <c r="E233" s="59">
        <f>IFERROR(AVERAGEIFS($Y$112:$Y$151,$B$112:$B$151,"HSTECH",$E$112:$E$151,$B233),"")</f>
        <v/>
      </c>
      <c r="F233" s="59">
        <f>IFERROR(AVERAGEIFS($Z$112:$Z$151,$B$112:$B$151,"HSTECH",$E$112:$E$151,$B233),"")</f>
        <v/>
      </c>
      <c r="G233" s="59">
        <f>IFERROR(AVERAGEIFS($AA$112:$AA$151,$B$112:$B$151,"HSTECH",$E$112:$E$151,$B233),"")</f>
        <v/>
      </c>
      <c r="H233" s="59">
        <f>IFERROR(AVERAGEIFS($AB$112:$AB$151,$B$112:$B$151,"HSTECH",$E$112:$E$151,$B233),"")</f>
        <v/>
      </c>
      <c r="I233" s="45">
        <f>IFERROR(AVERAGEIFS($AD$112:$AD$151,$B$112:$B$151,"HSTECH",$E$112:$E$151,$B233),"")</f>
        <v/>
      </c>
      <c r="J233" s="45">
        <f>IFERROR(AVERAGEIFS($AE$112:$AE$151,$B$112:$B$151,"HSTECH",$E$112:$E$151,$B233),"")</f>
        <v/>
      </c>
      <c r="K233" s="45">
        <f>IFERROR(SUMIF(HSTECH!$E$7:$E$46,$B233,HSTECH!$Q$7:$Q$46),"")</f>
        <v/>
      </c>
      <c r="L233" s="63">
        <f>IFERROR($K233/HSTECH!$Q$5,"")</f>
        <v/>
      </c>
    </row>
    <row r="234">
      <c r="B234" s="12" t="inlineStr">
        <is>
          <t>Consumer Discretionary</t>
        </is>
      </c>
      <c r="C234" s="62">
        <f>COUNTIF(HSTECH!$E$7:$E$46,$B234)</f>
        <v/>
      </c>
      <c r="D234" s="58">
        <f>IFERROR(AVERAGEIFS($W$112:$W$151,$B$112:$B$151,"HSTECH",$E$112:$E$151,$B234),"")</f>
        <v/>
      </c>
      <c r="E234" s="59">
        <f>IFERROR(AVERAGEIFS($Y$112:$Y$151,$B$112:$B$151,"HSTECH",$E$112:$E$151,$B234),"")</f>
        <v/>
      </c>
      <c r="F234" s="59">
        <f>IFERROR(AVERAGEIFS($Z$112:$Z$151,$B$112:$B$151,"HSTECH",$E$112:$E$151,$B234),"")</f>
        <v/>
      </c>
      <c r="G234" s="59">
        <f>IFERROR(AVERAGEIFS($AA$112:$AA$151,$B$112:$B$151,"HSTECH",$E$112:$E$151,$B234),"")</f>
        <v/>
      </c>
      <c r="H234" s="59">
        <f>IFERROR(AVERAGEIFS($AB$112:$AB$151,$B$112:$B$151,"HSTECH",$E$112:$E$151,$B234),"")</f>
        <v/>
      </c>
      <c r="I234" s="45">
        <f>IFERROR(AVERAGEIFS($AD$112:$AD$151,$B$112:$B$151,"HSTECH",$E$112:$E$151,$B234),"")</f>
        <v/>
      </c>
      <c r="J234" s="45">
        <f>IFERROR(AVERAGEIFS($AE$112:$AE$151,$B$112:$B$151,"HSTECH",$E$112:$E$151,$B234),"")</f>
        <v/>
      </c>
      <c r="K234" s="45">
        <f>IFERROR(SUMIF(HSTECH!$E$7:$E$46,$B234,HSTECH!$Q$7:$Q$46),"")</f>
        <v/>
      </c>
      <c r="L234" s="63">
        <f>IFERROR($K234/HSTECH!$Q$5,"")</f>
        <v/>
      </c>
    </row>
    <row r="235">
      <c r="B235" s="12" t="inlineStr">
        <is>
          <t>Consumer Staples</t>
        </is>
      </c>
      <c r="C235" s="62">
        <f>COUNTIF(HSTECH!$E$7:$E$46,$B235)</f>
        <v/>
      </c>
      <c r="D235" s="58">
        <f>IFERROR(AVERAGEIFS($W$112:$W$151,$B$112:$B$151,"HSTECH",$E$112:$E$151,$B235),"")</f>
        <v/>
      </c>
      <c r="E235" s="59">
        <f>IFERROR(AVERAGEIFS($Y$112:$Y$151,$B$112:$B$151,"HSTECH",$E$112:$E$151,$B235),"")</f>
        <v/>
      </c>
      <c r="F235" s="59">
        <f>IFERROR(AVERAGEIFS($Z$112:$Z$151,$B$112:$B$151,"HSTECH",$E$112:$E$151,$B235),"")</f>
        <v/>
      </c>
      <c r="G235" s="59">
        <f>IFERROR(AVERAGEIFS($AA$112:$AA$151,$B$112:$B$151,"HSTECH",$E$112:$E$151,$B235),"")</f>
        <v/>
      </c>
      <c r="H235" s="59">
        <f>IFERROR(AVERAGEIFS($AB$112:$AB$151,$B$112:$B$151,"HSTECH",$E$112:$E$151,$B235),"")</f>
        <v/>
      </c>
      <c r="I235" s="45">
        <f>IFERROR(AVERAGEIFS($AD$112:$AD$151,$B$112:$B$151,"HSTECH",$E$112:$E$151,$B235),"")</f>
        <v/>
      </c>
      <c r="J235" s="45">
        <f>IFERROR(AVERAGEIFS($AE$112:$AE$151,$B$112:$B$151,"HSTECH",$E$112:$E$151,$B235),"")</f>
        <v/>
      </c>
      <c r="K235" s="45">
        <f>IFERROR(SUMIF(HSTECH!$E$7:$E$46,$B235,HSTECH!$Q$7:$Q$46),"")</f>
        <v/>
      </c>
      <c r="L235" s="63">
        <f>IFERROR($K235/HSTECH!$Q$5,"")</f>
        <v/>
      </c>
    </row>
    <row r="236">
      <c r="B236" s="12" t="inlineStr">
        <is>
          <t>Health Care</t>
        </is>
      </c>
      <c r="C236" s="62">
        <f>COUNTIF(HSTECH!$E$7:$E$46,$B236)</f>
        <v/>
      </c>
      <c r="D236" s="58">
        <f>IFERROR(AVERAGEIFS($W$112:$W$151,$B$112:$B$151,"HSTECH",$E$112:$E$151,$B236),"")</f>
        <v/>
      </c>
      <c r="E236" s="59">
        <f>IFERROR(AVERAGEIFS($Y$112:$Y$151,$B$112:$B$151,"HSTECH",$E$112:$E$151,$B236),"")</f>
        <v/>
      </c>
      <c r="F236" s="59">
        <f>IFERROR(AVERAGEIFS($Z$112:$Z$151,$B$112:$B$151,"HSTECH",$E$112:$E$151,$B236),"")</f>
        <v/>
      </c>
      <c r="G236" s="59">
        <f>IFERROR(AVERAGEIFS($AA$112:$AA$151,$B$112:$B$151,"HSTECH",$E$112:$E$151,$B236),"")</f>
        <v/>
      </c>
      <c r="H236" s="59">
        <f>IFERROR(AVERAGEIFS($AB$112:$AB$151,$B$112:$B$151,"HSTECH",$E$112:$E$151,$B236),"")</f>
        <v/>
      </c>
      <c r="I236" s="45">
        <f>IFERROR(AVERAGEIFS($AD$112:$AD$151,$B$112:$B$151,"HSTECH",$E$112:$E$151,$B236),"")</f>
        <v/>
      </c>
      <c r="J236" s="45">
        <f>IFERROR(AVERAGEIFS($AE$112:$AE$151,$B$112:$B$151,"HSTECH",$E$112:$E$151,$B236),"")</f>
        <v/>
      </c>
      <c r="K236" s="45">
        <f>IFERROR(SUMIF(HSTECH!$E$7:$E$46,$B236,HSTECH!$Q$7:$Q$46),"")</f>
        <v/>
      </c>
      <c r="L236" s="63">
        <f>IFERROR($K236/HSTECH!$Q$5,"")</f>
        <v/>
      </c>
    </row>
    <row r="237">
      <c r="B237" s="12" t="inlineStr">
        <is>
          <t>Financials</t>
        </is>
      </c>
      <c r="C237" s="62">
        <f>COUNTIF(HSTECH!$E$7:$E$46,$B237)</f>
        <v/>
      </c>
      <c r="D237" s="58">
        <f>IFERROR(AVERAGEIFS($W$112:$W$151,$B$112:$B$151,"HSTECH",$E$112:$E$151,$B237),"")</f>
        <v/>
      </c>
      <c r="E237" s="59">
        <f>IFERROR(AVERAGEIFS($Y$112:$Y$151,$B$112:$B$151,"HSTECH",$E$112:$E$151,$B237),"")</f>
        <v/>
      </c>
      <c r="F237" s="59">
        <f>IFERROR(AVERAGEIFS($Z$112:$Z$151,$B$112:$B$151,"HSTECH",$E$112:$E$151,$B237),"")</f>
        <v/>
      </c>
      <c r="G237" s="59">
        <f>IFERROR(AVERAGEIFS($AA$112:$AA$151,$B$112:$B$151,"HSTECH",$E$112:$E$151,$B237),"")</f>
        <v/>
      </c>
      <c r="H237" s="59">
        <f>IFERROR(AVERAGEIFS($AB$112:$AB$151,$B$112:$B$151,"HSTECH",$E$112:$E$151,$B237),"")</f>
        <v/>
      </c>
      <c r="I237" s="45">
        <f>IFERROR(AVERAGEIFS($AD$112:$AD$151,$B$112:$B$151,"HSTECH",$E$112:$E$151,$B237),"")</f>
        <v/>
      </c>
      <c r="J237" s="45">
        <f>IFERROR(AVERAGEIFS($AE$112:$AE$151,$B$112:$B$151,"HSTECH",$E$112:$E$151,$B237),"")</f>
        <v/>
      </c>
      <c r="K237" s="45">
        <f>IFERROR(SUMIF(HSTECH!$E$7:$E$46,$B237,HSTECH!$Q$7:$Q$46),"")</f>
        <v/>
      </c>
      <c r="L237" s="63">
        <f>IFERROR($K237/HSTECH!$Q$5,"")</f>
        <v/>
      </c>
    </row>
    <row r="238">
      <c r="B238" s="12" t="inlineStr">
        <is>
          <t>Information Technology</t>
        </is>
      </c>
      <c r="C238" s="62">
        <f>COUNTIF(HSTECH!$E$7:$E$46,$B238)</f>
        <v/>
      </c>
      <c r="D238" s="58">
        <f>IFERROR(AVERAGEIFS($W$112:$W$151,$B$112:$B$151,"HSTECH",$E$112:$E$151,$B238),"")</f>
        <v/>
      </c>
      <c r="E238" s="59">
        <f>IFERROR(AVERAGEIFS($Y$112:$Y$151,$B$112:$B$151,"HSTECH",$E$112:$E$151,$B238),"")</f>
        <v/>
      </c>
      <c r="F238" s="59">
        <f>IFERROR(AVERAGEIFS($Z$112:$Z$151,$B$112:$B$151,"HSTECH",$E$112:$E$151,$B238),"")</f>
        <v/>
      </c>
      <c r="G238" s="59">
        <f>IFERROR(AVERAGEIFS($AA$112:$AA$151,$B$112:$B$151,"HSTECH",$E$112:$E$151,$B238),"")</f>
        <v/>
      </c>
      <c r="H238" s="59">
        <f>IFERROR(AVERAGEIFS($AB$112:$AB$151,$B$112:$B$151,"HSTECH",$E$112:$E$151,$B238),"")</f>
        <v/>
      </c>
      <c r="I238" s="45">
        <f>IFERROR(AVERAGEIFS($AD$112:$AD$151,$B$112:$B$151,"HSTECH",$E$112:$E$151,$B238),"")</f>
        <v/>
      </c>
      <c r="J238" s="45">
        <f>IFERROR(AVERAGEIFS($AE$112:$AE$151,$B$112:$B$151,"HSTECH",$E$112:$E$151,$B238),"")</f>
        <v/>
      </c>
      <c r="K238" s="45">
        <f>IFERROR(SUMIF(HSTECH!$E$7:$E$46,$B238,HSTECH!$Q$7:$Q$46),"")</f>
        <v/>
      </c>
      <c r="L238" s="63">
        <f>IFERROR($K238/HSTECH!$Q$5,"")</f>
        <v/>
      </c>
    </row>
    <row r="239">
      <c r="B239" s="12" t="inlineStr">
        <is>
          <t>Communication Services</t>
        </is>
      </c>
      <c r="C239" s="62">
        <f>COUNTIF(HSTECH!$E$7:$E$46,$B239)</f>
        <v/>
      </c>
      <c r="D239" s="58">
        <f>IFERROR(AVERAGEIFS($W$112:$W$151,$B$112:$B$151,"HSTECH",$E$112:$E$151,$B239),"")</f>
        <v/>
      </c>
      <c r="E239" s="59">
        <f>IFERROR(AVERAGEIFS($Y$112:$Y$151,$B$112:$B$151,"HSTECH",$E$112:$E$151,$B239),"")</f>
        <v/>
      </c>
      <c r="F239" s="59">
        <f>IFERROR(AVERAGEIFS($Z$112:$Z$151,$B$112:$B$151,"HSTECH",$E$112:$E$151,$B239),"")</f>
        <v/>
      </c>
      <c r="G239" s="59">
        <f>IFERROR(AVERAGEIFS($AA$112:$AA$151,$B$112:$B$151,"HSTECH",$E$112:$E$151,$B239),"")</f>
        <v/>
      </c>
      <c r="H239" s="59">
        <f>IFERROR(AVERAGEIFS($AB$112:$AB$151,$B$112:$B$151,"HSTECH",$E$112:$E$151,$B239),"")</f>
        <v/>
      </c>
      <c r="I239" s="45">
        <f>IFERROR(AVERAGEIFS($AD$112:$AD$151,$B$112:$B$151,"HSTECH",$E$112:$E$151,$B239),"")</f>
        <v/>
      </c>
      <c r="J239" s="45">
        <f>IFERROR(AVERAGEIFS($AE$112:$AE$151,$B$112:$B$151,"HSTECH",$E$112:$E$151,$B239),"")</f>
        <v/>
      </c>
      <c r="K239" s="45">
        <f>IFERROR(SUMIF(HSTECH!$E$7:$E$46,$B239,HSTECH!$Q$7:$Q$46),"")</f>
        <v/>
      </c>
      <c r="L239" s="63">
        <f>IFERROR($K239/HSTECH!$Q$5,"")</f>
        <v/>
      </c>
    </row>
    <row r="240">
      <c r="B240" s="12" t="inlineStr">
        <is>
          <t>Utilities</t>
        </is>
      </c>
      <c r="C240" s="62">
        <f>COUNTIF(HSTECH!$E$7:$E$46,$B240)</f>
        <v/>
      </c>
      <c r="D240" s="58">
        <f>IFERROR(AVERAGEIFS($W$112:$W$151,$B$112:$B$151,"HSTECH",$E$112:$E$151,$B240),"")</f>
        <v/>
      </c>
      <c r="E240" s="59">
        <f>IFERROR(AVERAGEIFS($Y$112:$Y$151,$B$112:$B$151,"HSTECH",$E$112:$E$151,$B240),"")</f>
        <v/>
      </c>
      <c r="F240" s="59">
        <f>IFERROR(AVERAGEIFS($Z$112:$Z$151,$B$112:$B$151,"HSTECH",$E$112:$E$151,$B240),"")</f>
        <v/>
      </c>
      <c r="G240" s="59">
        <f>IFERROR(AVERAGEIFS($AA$112:$AA$151,$B$112:$B$151,"HSTECH",$E$112:$E$151,$B240),"")</f>
        <v/>
      </c>
      <c r="H240" s="59">
        <f>IFERROR(AVERAGEIFS($AB$112:$AB$151,$B$112:$B$151,"HSTECH",$E$112:$E$151,$B240),"")</f>
        <v/>
      </c>
      <c r="I240" s="45">
        <f>IFERROR(AVERAGEIFS($AD$112:$AD$151,$B$112:$B$151,"HSTECH",$E$112:$E$151,$B240),"")</f>
        <v/>
      </c>
      <c r="J240" s="45">
        <f>IFERROR(AVERAGEIFS($AE$112:$AE$151,$B$112:$B$151,"HSTECH",$E$112:$E$151,$B240),"")</f>
        <v/>
      </c>
      <c r="K240" s="45">
        <f>IFERROR(SUMIF(HSTECH!$E$7:$E$46,$B240,HSTECH!$Q$7:$Q$46),"")</f>
        <v/>
      </c>
      <c r="L240" s="63">
        <f>IFERROR($K240/HSTECH!$Q$5,"")</f>
        <v/>
      </c>
    </row>
    <row r="241">
      <c r="B241" s="12" t="inlineStr">
        <is>
          <t>Real Estate</t>
        </is>
      </c>
      <c r="C241" s="62">
        <f>COUNTIF(HSTECH!$E$7:$E$46,$B241)</f>
        <v/>
      </c>
      <c r="D241" s="58">
        <f>IFERROR(AVERAGEIFS($W$112:$W$151,$B$112:$B$151,"HSTECH",$E$112:$E$151,$B241),"")</f>
        <v/>
      </c>
      <c r="E241" s="59">
        <f>IFERROR(AVERAGEIFS($Y$112:$Y$151,$B$112:$B$151,"HSTECH",$E$112:$E$151,$B241),"")</f>
        <v/>
      </c>
      <c r="F241" s="59">
        <f>IFERROR(AVERAGEIFS($Z$112:$Z$151,$B$112:$B$151,"HSTECH",$E$112:$E$151,$B241),"")</f>
        <v/>
      </c>
      <c r="G241" s="59">
        <f>IFERROR(AVERAGEIFS($AA$112:$AA$151,$B$112:$B$151,"HSTECH",$E$112:$E$151,$B241),"")</f>
        <v/>
      </c>
      <c r="H241" s="59">
        <f>IFERROR(AVERAGEIFS($AB$112:$AB$151,$B$112:$B$151,"HSTECH",$E$112:$E$151,$B241),"")</f>
        <v/>
      </c>
      <c r="I241" s="45">
        <f>IFERROR(AVERAGEIFS($AD$112:$AD$151,$B$112:$B$151,"HSTECH",$E$112:$E$151,$B241),"")</f>
        <v/>
      </c>
      <c r="J241" s="45">
        <f>IFERROR(AVERAGEIFS($AE$112:$AE$151,$B$112:$B$151,"HSTECH",$E$112:$E$151,$B241),"")</f>
        <v/>
      </c>
      <c r="K241" s="45">
        <f>IFERROR(SUMIF(HSTECH!$E$7:$E$46,$B241,HSTECH!$Q$7:$Q$46),"")</f>
        <v/>
      </c>
      <c r="L241" s="63">
        <f>IFERROR($K241/HSTECH!$Q$5,"")</f>
        <v/>
      </c>
    </row>
    <row r="242">
      <c r="B242" s="10" t="inlineStr">
        <is>
          <t>TOTAL / weighted</t>
        </is>
      </c>
      <c r="C242" s="64">
        <f>SUM(C231:C241)</f>
        <v/>
      </c>
      <c r="K242" s="65">
        <f>IFERROR(SUM(K231:K241),"")</f>
        <v/>
      </c>
      <c r="L242" s="66">
        <f>IFERROR(SUM(L231:L241),"")</f>
        <v/>
      </c>
      <c r="M242" s="2">
        <f>IF(ABS(N($K242)-N(HSTECH!$Q$5))&lt;0.01,"sector split reconciles","CHECK - a GICS name below does not match Bloomberg's spelling")</f>
        <v/>
      </c>
    </row>
    <row r="244">
      <c r="B244" s="3" t="inlineStr">
        <is>
          <t>SECTOR AVERAGES - Hang Seng China Enterprises (HSCEI)</t>
        </is>
      </c>
      <c r="C244" s="4" t="n"/>
      <c r="D244" s="4" t="n"/>
      <c r="E244" s="4" t="n"/>
      <c r="F244" s="4" t="n"/>
      <c r="G244" s="4" t="n"/>
      <c r="H244" s="4" t="n"/>
      <c r="I244" s="4" t="n"/>
      <c r="J244" s="4" t="n"/>
      <c r="K244" s="4" t="n"/>
      <c r="L244" s="4" t="n"/>
    </row>
    <row r="245">
      <c r="B245" s="51" t="inlineStr">
        <is>
          <t>GICS Sector</t>
        </is>
      </c>
      <c r="C245" s="51" t="inlineStr">
        <is>
          <t>#</t>
        </is>
      </c>
      <c r="D245" s="51" t="inlineStr">
        <is>
          <t>5Y avg
payout</t>
        </is>
      </c>
      <c r="E245" s="51" t="inlineStr">
        <is>
          <t>Dvd yld
12M</t>
        </is>
      </c>
      <c r="F245" s="51" t="inlineStr">
        <is>
          <t>Buyback
yld</t>
        </is>
      </c>
      <c r="G245" s="51" t="inlineStr">
        <is>
          <t>Cash return
(dvd+bb)</t>
        </is>
      </c>
      <c r="H245" s="51" t="inlineStr">
        <is>
          <t>FCF
yld</t>
        </is>
      </c>
      <c r="I245" s="51" t="inlineStr">
        <is>
          <t>Net debt
/equity</t>
        </is>
      </c>
      <c r="J245" s="51" t="inlineStr">
        <is>
          <t>Net debt
/EBITDA</t>
        </is>
      </c>
      <c r="K245" s="51" t="inlineStr">
        <is>
          <t>Year pts
(model)</t>
        </is>
      </c>
      <c r="L245" s="51" t="inlineStr">
        <is>
          <t>% of yr
dvds</t>
        </is>
      </c>
    </row>
    <row r="246">
      <c r="B246" s="12" t="inlineStr">
        <is>
          <t>Energy</t>
        </is>
      </c>
      <c r="C246" s="62">
        <f>COUNTIF(HSCEI!$E$7:$E$66,$B246)</f>
        <v/>
      </c>
      <c r="D246" s="58">
        <f>IFERROR(AVERAGEIFS($W$152:$W$211,$B$152:$B$211,"HSCEI",$E$152:$E$211,$B246),"")</f>
        <v/>
      </c>
      <c r="E246" s="59">
        <f>IFERROR(AVERAGEIFS($Y$152:$Y$211,$B$152:$B$211,"HSCEI",$E$152:$E$211,$B246),"")</f>
        <v/>
      </c>
      <c r="F246" s="59">
        <f>IFERROR(AVERAGEIFS($Z$152:$Z$211,$B$152:$B$211,"HSCEI",$E$152:$E$211,$B246),"")</f>
        <v/>
      </c>
      <c r="G246" s="59">
        <f>IFERROR(AVERAGEIFS($AA$152:$AA$211,$B$152:$B$211,"HSCEI",$E$152:$E$211,$B246),"")</f>
        <v/>
      </c>
      <c r="H246" s="59">
        <f>IFERROR(AVERAGEIFS($AB$152:$AB$211,$B$152:$B$211,"HSCEI",$E$152:$E$211,$B246),"")</f>
        <v/>
      </c>
      <c r="I246" s="45">
        <f>IFERROR(AVERAGEIFS($AD$152:$AD$211,$B$152:$B$211,"HSCEI",$E$152:$E$211,$B246),"")</f>
        <v/>
      </c>
      <c r="J246" s="45">
        <f>IFERROR(AVERAGEIFS($AE$152:$AE$211,$B$152:$B$211,"HSCEI",$E$152:$E$211,$B246),"")</f>
        <v/>
      </c>
      <c r="K246" s="45">
        <f>IFERROR(SUMIF(HSCEI!$E$7:$E$66,$B246,HSCEI!$Q$7:$Q$66),"")</f>
        <v/>
      </c>
      <c r="L246" s="63">
        <f>IFERROR($K246/HSCEI!$Q$5,"")</f>
        <v/>
      </c>
    </row>
    <row r="247">
      <c r="B247" s="12" t="inlineStr">
        <is>
          <t>Materials</t>
        </is>
      </c>
      <c r="C247" s="62">
        <f>COUNTIF(HSCEI!$E$7:$E$66,$B247)</f>
        <v/>
      </c>
      <c r="D247" s="58">
        <f>IFERROR(AVERAGEIFS($W$152:$W$211,$B$152:$B$211,"HSCEI",$E$152:$E$211,$B247),"")</f>
        <v/>
      </c>
      <c r="E247" s="59">
        <f>IFERROR(AVERAGEIFS($Y$152:$Y$211,$B$152:$B$211,"HSCEI",$E$152:$E$211,$B247),"")</f>
        <v/>
      </c>
      <c r="F247" s="59">
        <f>IFERROR(AVERAGEIFS($Z$152:$Z$211,$B$152:$B$211,"HSCEI",$E$152:$E$211,$B247),"")</f>
        <v/>
      </c>
      <c r="G247" s="59">
        <f>IFERROR(AVERAGEIFS($AA$152:$AA$211,$B$152:$B$211,"HSCEI",$E$152:$E$211,$B247),"")</f>
        <v/>
      </c>
      <c r="H247" s="59">
        <f>IFERROR(AVERAGEIFS($AB$152:$AB$211,$B$152:$B$211,"HSCEI",$E$152:$E$211,$B247),"")</f>
        <v/>
      </c>
      <c r="I247" s="45">
        <f>IFERROR(AVERAGEIFS($AD$152:$AD$211,$B$152:$B$211,"HSCEI",$E$152:$E$211,$B247),"")</f>
        <v/>
      </c>
      <c r="J247" s="45">
        <f>IFERROR(AVERAGEIFS($AE$152:$AE$211,$B$152:$B$211,"HSCEI",$E$152:$E$211,$B247),"")</f>
        <v/>
      </c>
      <c r="K247" s="45">
        <f>IFERROR(SUMIF(HSCEI!$E$7:$E$66,$B247,HSCEI!$Q$7:$Q$66),"")</f>
        <v/>
      </c>
      <c r="L247" s="63">
        <f>IFERROR($K247/HSCEI!$Q$5,"")</f>
        <v/>
      </c>
    </row>
    <row r="248">
      <c r="B248" s="12" t="inlineStr">
        <is>
          <t>Industrials</t>
        </is>
      </c>
      <c r="C248" s="62">
        <f>COUNTIF(HSCEI!$E$7:$E$66,$B248)</f>
        <v/>
      </c>
      <c r="D248" s="58">
        <f>IFERROR(AVERAGEIFS($W$152:$W$211,$B$152:$B$211,"HSCEI",$E$152:$E$211,$B248),"")</f>
        <v/>
      </c>
      <c r="E248" s="59">
        <f>IFERROR(AVERAGEIFS($Y$152:$Y$211,$B$152:$B$211,"HSCEI",$E$152:$E$211,$B248),"")</f>
        <v/>
      </c>
      <c r="F248" s="59">
        <f>IFERROR(AVERAGEIFS($Z$152:$Z$211,$B$152:$B$211,"HSCEI",$E$152:$E$211,$B248),"")</f>
        <v/>
      </c>
      <c r="G248" s="59">
        <f>IFERROR(AVERAGEIFS($AA$152:$AA$211,$B$152:$B$211,"HSCEI",$E$152:$E$211,$B248),"")</f>
        <v/>
      </c>
      <c r="H248" s="59">
        <f>IFERROR(AVERAGEIFS($AB$152:$AB$211,$B$152:$B$211,"HSCEI",$E$152:$E$211,$B248),"")</f>
        <v/>
      </c>
      <c r="I248" s="45">
        <f>IFERROR(AVERAGEIFS($AD$152:$AD$211,$B$152:$B$211,"HSCEI",$E$152:$E$211,$B248),"")</f>
        <v/>
      </c>
      <c r="J248" s="45">
        <f>IFERROR(AVERAGEIFS($AE$152:$AE$211,$B$152:$B$211,"HSCEI",$E$152:$E$211,$B248),"")</f>
        <v/>
      </c>
      <c r="K248" s="45">
        <f>IFERROR(SUMIF(HSCEI!$E$7:$E$66,$B248,HSCEI!$Q$7:$Q$66),"")</f>
        <v/>
      </c>
      <c r="L248" s="63">
        <f>IFERROR($K248/HSCEI!$Q$5,"")</f>
        <v/>
      </c>
    </row>
    <row r="249">
      <c r="B249" s="12" t="inlineStr">
        <is>
          <t>Consumer Discretionary</t>
        </is>
      </c>
      <c r="C249" s="62">
        <f>COUNTIF(HSCEI!$E$7:$E$66,$B249)</f>
        <v/>
      </c>
      <c r="D249" s="58">
        <f>IFERROR(AVERAGEIFS($W$152:$W$211,$B$152:$B$211,"HSCEI",$E$152:$E$211,$B249),"")</f>
        <v/>
      </c>
      <c r="E249" s="59">
        <f>IFERROR(AVERAGEIFS($Y$152:$Y$211,$B$152:$B$211,"HSCEI",$E$152:$E$211,$B249),"")</f>
        <v/>
      </c>
      <c r="F249" s="59">
        <f>IFERROR(AVERAGEIFS($Z$152:$Z$211,$B$152:$B$211,"HSCEI",$E$152:$E$211,$B249),"")</f>
        <v/>
      </c>
      <c r="G249" s="59">
        <f>IFERROR(AVERAGEIFS($AA$152:$AA$211,$B$152:$B$211,"HSCEI",$E$152:$E$211,$B249),"")</f>
        <v/>
      </c>
      <c r="H249" s="59">
        <f>IFERROR(AVERAGEIFS($AB$152:$AB$211,$B$152:$B$211,"HSCEI",$E$152:$E$211,$B249),"")</f>
        <v/>
      </c>
      <c r="I249" s="45">
        <f>IFERROR(AVERAGEIFS($AD$152:$AD$211,$B$152:$B$211,"HSCEI",$E$152:$E$211,$B249),"")</f>
        <v/>
      </c>
      <c r="J249" s="45">
        <f>IFERROR(AVERAGEIFS($AE$152:$AE$211,$B$152:$B$211,"HSCEI",$E$152:$E$211,$B249),"")</f>
        <v/>
      </c>
      <c r="K249" s="45">
        <f>IFERROR(SUMIF(HSCEI!$E$7:$E$66,$B249,HSCEI!$Q$7:$Q$66),"")</f>
        <v/>
      </c>
      <c r="L249" s="63">
        <f>IFERROR($K249/HSCEI!$Q$5,"")</f>
        <v/>
      </c>
    </row>
    <row r="250">
      <c r="B250" s="12" t="inlineStr">
        <is>
          <t>Consumer Staples</t>
        </is>
      </c>
      <c r="C250" s="62">
        <f>COUNTIF(HSCEI!$E$7:$E$66,$B250)</f>
        <v/>
      </c>
      <c r="D250" s="58">
        <f>IFERROR(AVERAGEIFS($W$152:$W$211,$B$152:$B$211,"HSCEI",$E$152:$E$211,$B250),"")</f>
        <v/>
      </c>
      <c r="E250" s="59">
        <f>IFERROR(AVERAGEIFS($Y$152:$Y$211,$B$152:$B$211,"HSCEI",$E$152:$E$211,$B250),"")</f>
        <v/>
      </c>
      <c r="F250" s="59">
        <f>IFERROR(AVERAGEIFS($Z$152:$Z$211,$B$152:$B$211,"HSCEI",$E$152:$E$211,$B250),"")</f>
        <v/>
      </c>
      <c r="G250" s="59">
        <f>IFERROR(AVERAGEIFS($AA$152:$AA$211,$B$152:$B$211,"HSCEI",$E$152:$E$211,$B250),"")</f>
        <v/>
      </c>
      <c r="H250" s="59">
        <f>IFERROR(AVERAGEIFS($AB$152:$AB$211,$B$152:$B$211,"HSCEI",$E$152:$E$211,$B250),"")</f>
        <v/>
      </c>
      <c r="I250" s="45">
        <f>IFERROR(AVERAGEIFS($AD$152:$AD$211,$B$152:$B$211,"HSCEI",$E$152:$E$211,$B250),"")</f>
        <v/>
      </c>
      <c r="J250" s="45">
        <f>IFERROR(AVERAGEIFS($AE$152:$AE$211,$B$152:$B$211,"HSCEI",$E$152:$E$211,$B250),"")</f>
        <v/>
      </c>
      <c r="K250" s="45">
        <f>IFERROR(SUMIF(HSCEI!$E$7:$E$66,$B250,HSCEI!$Q$7:$Q$66),"")</f>
        <v/>
      </c>
      <c r="L250" s="63">
        <f>IFERROR($K250/HSCEI!$Q$5,"")</f>
        <v/>
      </c>
    </row>
    <row r="251">
      <c r="B251" s="12" t="inlineStr">
        <is>
          <t>Health Care</t>
        </is>
      </c>
      <c r="C251" s="62">
        <f>COUNTIF(HSCEI!$E$7:$E$66,$B251)</f>
        <v/>
      </c>
      <c r="D251" s="58">
        <f>IFERROR(AVERAGEIFS($W$152:$W$211,$B$152:$B$211,"HSCEI",$E$152:$E$211,$B251),"")</f>
        <v/>
      </c>
      <c r="E251" s="59">
        <f>IFERROR(AVERAGEIFS($Y$152:$Y$211,$B$152:$B$211,"HSCEI",$E$152:$E$211,$B251),"")</f>
        <v/>
      </c>
      <c r="F251" s="59">
        <f>IFERROR(AVERAGEIFS($Z$152:$Z$211,$B$152:$B$211,"HSCEI",$E$152:$E$211,$B251),"")</f>
        <v/>
      </c>
      <c r="G251" s="59">
        <f>IFERROR(AVERAGEIFS($AA$152:$AA$211,$B$152:$B$211,"HSCEI",$E$152:$E$211,$B251),"")</f>
        <v/>
      </c>
      <c r="H251" s="59">
        <f>IFERROR(AVERAGEIFS($AB$152:$AB$211,$B$152:$B$211,"HSCEI",$E$152:$E$211,$B251),"")</f>
        <v/>
      </c>
      <c r="I251" s="45">
        <f>IFERROR(AVERAGEIFS($AD$152:$AD$211,$B$152:$B$211,"HSCEI",$E$152:$E$211,$B251),"")</f>
        <v/>
      </c>
      <c r="J251" s="45">
        <f>IFERROR(AVERAGEIFS($AE$152:$AE$211,$B$152:$B$211,"HSCEI",$E$152:$E$211,$B251),"")</f>
        <v/>
      </c>
      <c r="K251" s="45">
        <f>IFERROR(SUMIF(HSCEI!$E$7:$E$66,$B251,HSCEI!$Q$7:$Q$66),"")</f>
        <v/>
      </c>
      <c r="L251" s="63">
        <f>IFERROR($K251/HSCEI!$Q$5,"")</f>
        <v/>
      </c>
    </row>
    <row r="252">
      <c r="B252" s="12" t="inlineStr">
        <is>
          <t>Financials</t>
        </is>
      </c>
      <c r="C252" s="62">
        <f>COUNTIF(HSCEI!$E$7:$E$66,$B252)</f>
        <v/>
      </c>
      <c r="D252" s="58">
        <f>IFERROR(AVERAGEIFS($W$152:$W$211,$B$152:$B$211,"HSCEI",$E$152:$E$211,$B252),"")</f>
        <v/>
      </c>
      <c r="E252" s="59">
        <f>IFERROR(AVERAGEIFS($Y$152:$Y$211,$B$152:$B$211,"HSCEI",$E$152:$E$211,$B252),"")</f>
        <v/>
      </c>
      <c r="F252" s="59">
        <f>IFERROR(AVERAGEIFS($Z$152:$Z$211,$B$152:$B$211,"HSCEI",$E$152:$E$211,$B252),"")</f>
        <v/>
      </c>
      <c r="G252" s="59">
        <f>IFERROR(AVERAGEIFS($AA$152:$AA$211,$B$152:$B$211,"HSCEI",$E$152:$E$211,$B252),"")</f>
        <v/>
      </c>
      <c r="H252" s="59">
        <f>IFERROR(AVERAGEIFS($AB$152:$AB$211,$B$152:$B$211,"HSCEI",$E$152:$E$211,$B252),"")</f>
        <v/>
      </c>
      <c r="I252" s="45">
        <f>IFERROR(AVERAGEIFS($AD$152:$AD$211,$B$152:$B$211,"HSCEI",$E$152:$E$211,$B252),"")</f>
        <v/>
      </c>
      <c r="J252" s="45">
        <f>IFERROR(AVERAGEIFS($AE$152:$AE$211,$B$152:$B$211,"HSCEI",$E$152:$E$211,$B252),"")</f>
        <v/>
      </c>
      <c r="K252" s="45">
        <f>IFERROR(SUMIF(HSCEI!$E$7:$E$66,$B252,HSCEI!$Q$7:$Q$66),"")</f>
        <v/>
      </c>
      <c r="L252" s="63">
        <f>IFERROR($K252/HSCEI!$Q$5,"")</f>
        <v/>
      </c>
    </row>
    <row r="253">
      <c r="B253" s="12" t="inlineStr">
        <is>
          <t>Information Technology</t>
        </is>
      </c>
      <c r="C253" s="62">
        <f>COUNTIF(HSCEI!$E$7:$E$66,$B253)</f>
        <v/>
      </c>
      <c r="D253" s="58">
        <f>IFERROR(AVERAGEIFS($W$152:$W$211,$B$152:$B$211,"HSCEI",$E$152:$E$211,$B253),"")</f>
        <v/>
      </c>
      <c r="E253" s="59">
        <f>IFERROR(AVERAGEIFS($Y$152:$Y$211,$B$152:$B$211,"HSCEI",$E$152:$E$211,$B253),"")</f>
        <v/>
      </c>
      <c r="F253" s="59">
        <f>IFERROR(AVERAGEIFS($Z$152:$Z$211,$B$152:$B$211,"HSCEI",$E$152:$E$211,$B253),"")</f>
        <v/>
      </c>
      <c r="G253" s="59">
        <f>IFERROR(AVERAGEIFS($AA$152:$AA$211,$B$152:$B$211,"HSCEI",$E$152:$E$211,$B253),"")</f>
        <v/>
      </c>
      <c r="H253" s="59">
        <f>IFERROR(AVERAGEIFS($AB$152:$AB$211,$B$152:$B$211,"HSCEI",$E$152:$E$211,$B253),"")</f>
        <v/>
      </c>
      <c r="I253" s="45">
        <f>IFERROR(AVERAGEIFS($AD$152:$AD$211,$B$152:$B$211,"HSCEI",$E$152:$E$211,$B253),"")</f>
        <v/>
      </c>
      <c r="J253" s="45">
        <f>IFERROR(AVERAGEIFS($AE$152:$AE$211,$B$152:$B$211,"HSCEI",$E$152:$E$211,$B253),"")</f>
        <v/>
      </c>
      <c r="K253" s="45">
        <f>IFERROR(SUMIF(HSCEI!$E$7:$E$66,$B253,HSCEI!$Q$7:$Q$66),"")</f>
        <v/>
      </c>
      <c r="L253" s="63">
        <f>IFERROR($K253/HSCEI!$Q$5,"")</f>
        <v/>
      </c>
    </row>
    <row r="254">
      <c r="B254" s="12" t="inlineStr">
        <is>
          <t>Communication Services</t>
        </is>
      </c>
      <c r="C254" s="62">
        <f>COUNTIF(HSCEI!$E$7:$E$66,$B254)</f>
        <v/>
      </c>
      <c r="D254" s="58">
        <f>IFERROR(AVERAGEIFS($W$152:$W$211,$B$152:$B$211,"HSCEI",$E$152:$E$211,$B254),"")</f>
        <v/>
      </c>
      <c r="E254" s="59">
        <f>IFERROR(AVERAGEIFS($Y$152:$Y$211,$B$152:$B$211,"HSCEI",$E$152:$E$211,$B254),"")</f>
        <v/>
      </c>
      <c r="F254" s="59">
        <f>IFERROR(AVERAGEIFS($Z$152:$Z$211,$B$152:$B$211,"HSCEI",$E$152:$E$211,$B254),"")</f>
        <v/>
      </c>
      <c r="G254" s="59">
        <f>IFERROR(AVERAGEIFS($AA$152:$AA$211,$B$152:$B$211,"HSCEI",$E$152:$E$211,$B254),"")</f>
        <v/>
      </c>
      <c r="H254" s="59">
        <f>IFERROR(AVERAGEIFS($AB$152:$AB$211,$B$152:$B$211,"HSCEI",$E$152:$E$211,$B254),"")</f>
        <v/>
      </c>
      <c r="I254" s="45">
        <f>IFERROR(AVERAGEIFS($AD$152:$AD$211,$B$152:$B$211,"HSCEI",$E$152:$E$211,$B254),"")</f>
        <v/>
      </c>
      <c r="J254" s="45">
        <f>IFERROR(AVERAGEIFS($AE$152:$AE$211,$B$152:$B$211,"HSCEI",$E$152:$E$211,$B254),"")</f>
        <v/>
      </c>
      <c r="K254" s="45">
        <f>IFERROR(SUMIF(HSCEI!$E$7:$E$66,$B254,HSCEI!$Q$7:$Q$66),"")</f>
        <v/>
      </c>
      <c r="L254" s="63">
        <f>IFERROR($K254/HSCEI!$Q$5,"")</f>
        <v/>
      </c>
    </row>
    <row r="255">
      <c r="B255" s="12" t="inlineStr">
        <is>
          <t>Utilities</t>
        </is>
      </c>
      <c r="C255" s="62">
        <f>COUNTIF(HSCEI!$E$7:$E$66,$B255)</f>
        <v/>
      </c>
      <c r="D255" s="58">
        <f>IFERROR(AVERAGEIFS($W$152:$W$211,$B$152:$B$211,"HSCEI",$E$152:$E$211,$B255),"")</f>
        <v/>
      </c>
      <c r="E255" s="59">
        <f>IFERROR(AVERAGEIFS($Y$152:$Y$211,$B$152:$B$211,"HSCEI",$E$152:$E$211,$B255),"")</f>
        <v/>
      </c>
      <c r="F255" s="59">
        <f>IFERROR(AVERAGEIFS($Z$152:$Z$211,$B$152:$B$211,"HSCEI",$E$152:$E$211,$B255),"")</f>
        <v/>
      </c>
      <c r="G255" s="59">
        <f>IFERROR(AVERAGEIFS($AA$152:$AA$211,$B$152:$B$211,"HSCEI",$E$152:$E$211,$B255),"")</f>
        <v/>
      </c>
      <c r="H255" s="59">
        <f>IFERROR(AVERAGEIFS($AB$152:$AB$211,$B$152:$B$211,"HSCEI",$E$152:$E$211,$B255),"")</f>
        <v/>
      </c>
      <c r="I255" s="45">
        <f>IFERROR(AVERAGEIFS($AD$152:$AD$211,$B$152:$B$211,"HSCEI",$E$152:$E$211,$B255),"")</f>
        <v/>
      </c>
      <c r="J255" s="45">
        <f>IFERROR(AVERAGEIFS($AE$152:$AE$211,$B$152:$B$211,"HSCEI",$E$152:$E$211,$B255),"")</f>
        <v/>
      </c>
      <c r="K255" s="45">
        <f>IFERROR(SUMIF(HSCEI!$E$7:$E$66,$B255,HSCEI!$Q$7:$Q$66),"")</f>
        <v/>
      </c>
      <c r="L255" s="63">
        <f>IFERROR($K255/HSCEI!$Q$5,"")</f>
        <v/>
      </c>
    </row>
    <row r="256">
      <c r="B256" s="12" t="inlineStr">
        <is>
          <t>Real Estate</t>
        </is>
      </c>
      <c r="C256" s="62">
        <f>COUNTIF(HSCEI!$E$7:$E$66,$B256)</f>
        <v/>
      </c>
      <c r="D256" s="58">
        <f>IFERROR(AVERAGEIFS($W$152:$W$211,$B$152:$B$211,"HSCEI",$E$152:$E$211,$B256),"")</f>
        <v/>
      </c>
      <c r="E256" s="59">
        <f>IFERROR(AVERAGEIFS($Y$152:$Y$211,$B$152:$B$211,"HSCEI",$E$152:$E$211,$B256),"")</f>
        <v/>
      </c>
      <c r="F256" s="59">
        <f>IFERROR(AVERAGEIFS($Z$152:$Z$211,$B$152:$B$211,"HSCEI",$E$152:$E$211,$B256),"")</f>
        <v/>
      </c>
      <c r="G256" s="59">
        <f>IFERROR(AVERAGEIFS($AA$152:$AA$211,$B$152:$B$211,"HSCEI",$E$152:$E$211,$B256),"")</f>
        <v/>
      </c>
      <c r="H256" s="59">
        <f>IFERROR(AVERAGEIFS($AB$152:$AB$211,$B$152:$B$211,"HSCEI",$E$152:$E$211,$B256),"")</f>
        <v/>
      </c>
      <c r="I256" s="45">
        <f>IFERROR(AVERAGEIFS($AD$152:$AD$211,$B$152:$B$211,"HSCEI",$E$152:$E$211,$B256),"")</f>
        <v/>
      </c>
      <c r="J256" s="45">
        <f>IFERROR(AVERAGEIFS($AE$152:$AE$211,$B$152:$B$211,"HSCEI",$E$152:$E$211,$B256),"")</f>
        <v/>
      </c>
      <c r="K256" s="45">
        <f>IFERROR(SUMIF(HSCEI!$E$7:$E$66,$B256,HSCEI!$Q$7:$Q$66),"")</f>
        <v/>
      </c>
      <c r="L256" s="63">
        <f>IFERROR($K256/HSCEI!$Q$5,"")</f>
        <v/>
      </c>
    </row>
    <row r="257">
      <c r="B257" s="10" t="inlineStr">
        <is>
          <t>TOTAL / weighted</t>
        </is>
      </c>
      <c r="C257" s="64">
        <f>SUM(C246:C256)</f>
        <v/>
      </c>
      <c r="K257" s="65">
        <f>IFERROR(SUM(K246:K256),"")</f>
        <v/>
      </c>
      <c r="L257" s="66">
        <f>IFERROR(SUM(L246:L256),"")</f>
        <v/>
      </c>
      <c r="M257" s="2">
        <f>IF(ABS(N($K257)-N(HSCEI!$Q$5))&lt;0.01,"sector split reconciles","CHECK - a GICS name below does not match Bloomberg's spelling")</f>
        <v/>
      </c>
    </row>
  </sheetData>
  <autoFilter ref="B11:AH211"/>
  <mergeCells count="2">
    <mergeCell ref="C8:H8"/>
    <mergeCell ref="B4:AH5"/>
  </mergeCells>
  <pageMargins left="0.75" right="0.75" top="1" bottom="1" header="0.5" footer="0.5"/>
</worksheet>
</file>

<file path=xl/worksheets/sheet6.xml><?xml version="1.0" encoding="utf-8"?>
<worksheet xmlns="http://schemas.openxmlformats.org/spreadsheetml/2006/main">
  <sheetPr>
    <tabColor rgb="00FFC000"/>
    <outlinePr summaryBelow="1" summaryRight="1"/>
    <pageSetUpPr/>
  </sheetPr>
  <dimension ref="B1:M212"/>
  <sheetViews>
    <sheetView workbookViewId="0">
      <pane xSplit="5" ySplit="12" topLeftCell="F13"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24" customWidth="1" min="4" max="4"/>
    <col width="20" customWidth="1" min="5" max="5"/>
    <col width="11" customWidth="1" min="6" max="6"/>
    <col width="11" customWidth="1" min="7" max="7"/>
    <col width="10" customWidth="1" min="8" max="8"/>
    <col width="10" customWidth="1" min="9" max="9"/>
    <col width="34" customWidth="1" min="10" max="10"/>
    <col width="11" customWidth="1" min="11" max="11"/>
    <col width="11" customWidth="1" min="12" max="12"/>
    <col width="9" customWidth="1" min="13" max="13"/>
  </cols>
  <sheetData>
    <row r="1">
      <c r="B1" s="1" t="inlineStr">
        <is>
          <t>OVERRIDE - YOUR VIEW vs BLOOMBERG'S</t>
        </is>
      </c>
    </row>
    <row r="2">
      <c r="B2" s="2" t="inlineStr">
        <is>
          <t>Type the total dividend per share you expect a stock to pay for the REST of year Y, plus a low and a high case. What has already gone ex is fact and is never touched. The raw Bloomberg calendar is never edited either - switch this OFF and the whole book is back to pure Bloomberg.</t>
        </is>
      </c>
    </row>
    <row r="4">
      <c r="B4" s="10" t="inlineStr">
        <is>
          <t>Use overrides?</t>
        </is>
      </c>
      <c r="C4" s="67" t="inlineStr">
        <is>
          <t>OFF</t>
        </is>
      </c>
      <c r="D4" s="2" t="inlineStr">
        <is>
          <t>Stocks set:</t>
        </is>
      </c>
      <c r="E4" s="42">
        <f>SUMPRODUCT(($C$13:$C$212&lt;&gt;"")*ISNUMBER($G$13:$G$212))</f>
        <v/>
      </c>
      <c r="F4" s="8" t="inlineStr">
        <is>
          <t>Blank LOW or HIGH simply follows your base case. A base of 0 says you expect nothing more this year. Everything you type here is per share in the declared currency, exactly like the Bloomberg column beside it.</t>
        </is>
      </c>
    </row>
    <row r="5"/>
    <row r="7">
      <c r="B7" s="10" t="inlineStr">
        <is>
          <t>Impact on the year total (index points)</t>
        </is>
      </c>
    </row>
    <row r="8">
      <c r="C8" s="2" t="inlineStr">
        <is>
          <t>HSI</t>
        </is>
      </c>
      <c r="D8" s="68">
        <f>IF($C$4="OFF","(overrides off)",HSI!$Q$5-(HSI!$O$5+HSI!$W$5))</f>
        <v/>
      </c>
      <c r="E8" s="2" t="inlineStr">
        <is>
          <t>HSTECH</t>
        </is>
      </c>
      <c r="F8" s="68">
        <f>IF($C$4="OFF","(overrides off)",HSTECH!$Q$5-(HSTECH!$O$5+HSTECH!$W$5))</f>
        <v/>
      </c>
      <c r="G8" s="2" t="inlineStr">
        <is>
          <t>HSCEI</t>
        </is>
      </c>
      <c r="H8" s="68">
        <f>IF($C$4="OFF","(overrides off)",HSCEI!$Q$5-(HSCEI!$O$5+HSCEI!$W$5))</f>
        <v/>
      </c>
    </row>
    <row r="10">
      <c r="B10" s="2" t="inlineStr">
        <is>
          <t>Filter by index or sector using the arrows in the header row; do not sort.</t>
        </is>
      </c>
    </row>
    <row r="12">
      <c r="B12" s="17" t="inlineStr">
        <is>
          <t>Index</t>
        </is>
      </c>
      <c r="C12" s="17" t="inlineStr">
        <is>
          <t>Ticker</t>
        </is>
      </c>
      <c r="D12" s="17" t="inlineStr">
        <is>
          <t>Name</t>
        </is>
      </c>
      <c r="E12" s="17" t="inlineStr">
        <is>
          <t>GICS Sector</t>
        </is>
      </c>
      <c r="F12" s="17" t="inlineStr">
        <is>
          <t>BBG still
to come</t>
        </is>
      </c>
      <c r="G12" s="51" t="inlineStr">
        <is>
          <t>YOUR DPS
(base)</t>
        </is>
      </c>
      <c r="H12" s="51" t="inlineStr">
        <is>
          <t>LOW</t>
        </is>
      </c>
      <c r="I12" s="51" t="inlineStr">
        <is>
          <t>HIGH</t>
        </is>
      </c>
      <c r="J12" s="51" t="inlineStr">
        <is>
          <t>Why - note to self</t>
        </is>
      </c>
      <c r="K12" s="17" t="inlineStr">
        <is>
          <t>Effective
DPS</t>
        </is>
      </c>
      <c r="L12" s="17" t="inlineStr">
        <is>
          <t>Impact
(pts)</t>
        </is>
      </c>
      <c r="M12" s="17" t="inlineStr">
        <is>
          <t>Check</t>
        </is>
      </c>
    </row>
    <row r="13">
      <c r="B13" s="52" t="inlineStr">
        <is>
          <t>HSI</t>
        </is>
      </c>
      <c r="C13" s="6">
        <f>IF(HSI!$C$7="","",HSI!$C$7)</f>
        <v/>
      </c>
      <c r="D13" s="6">
        <f>IF($C13="","",HSI!$D$7)</f>
        <v/>
      </c>
      <c r="E13" s="6">
        <f>IF($C13="","",HSI!$E$7)</f>
        <v/>
      </c>
      <c r="F13" s="54">
        <f>IF($C13="","",HSI!$K$7)</f>
        <v/>
      </c>
      <c r="G13" s="69" t="n"/>
      <c r="H13" s="69" t="n"/>
      <c r="I13" s="69" t="n"/>
      <c r="J13" s="12" t="n"/>
      <c r="K13" s="70">
        <f>IF($C13="","",HSI!$L$7)</f>
        <v/>
      </c>
      <c r="L13" s="71">
        <f>IF(ISNUMBER($G13)=FALSE,"",IFERROR(($G13-$F13)*HSI!$B$7*HSI!$G$7/HSI!$B$3,""))</f>
        <v/>
      </c>
      <c r="M13" s="72">
        <f>IF($C13="","",IF((ISNUMBER($H13)*ISNUMBER($G13)*($H13&gt;$G13)+ISNUMBER($I13)*ISNUMBER($G13)*($I13&lt;$G13)+ISNUMBER($H13)*ISNUMBER($I13)*($H13&gt;$I13))&gt;0,"low/high crossed",""))</f>
        <v/>
      </c>
    </row>
    <row r="14">
      <c r="B14" s="52" t="inlineStr">
        <is>
          <t>HSI</t>
        </is>
      </c>
      <c r="C14" s="6">
        <f>IF(HSI!$C$8="","",HSI!$C$8)</f>
        <v/>
      </c>
      <c r="D14" s="6">
        <f>IF($C14="","",HSI!$D$8)</f>
        <v/>
      </c>
      <c r="E14" s="6">
        <f>IF($C14="","",HSI!$E$8)</f>
        <v/>
      </c>
      <c r="F14" s="54">
        <f>IF($C14="","",HSI!$K$8)</f>
        <v/>
      </c>
      <c r="G14" s="69" t="n"/>
      <c r="H14" s="69" t="n"/>
      <c r="I14" s="69" t="n"/>
      <c r="J14" s="12" t="n"/>
      <c r="K14" s="70">
        <f>IF($C14="","",HSI!$L$8)</f>
        <v/>
      </c>
      <c r="L14" s="71">
        <f>IF(ISNUMBER($G14)=FALSE,"",IFERROR(($G14-$F14)*HSI!$B$8*HSI!$G$8/HSI!$B$3,""))</f>
        <v/>
      </c>
      <c r="M14" s="72">
        <f>IF($C14="","",IF((ISNUMBER($H14)*ISNUMBER($G14)*($H14&gt;$G14)+ISNUMBER($I14)*ISNUMBER($G14)*($I14&lt;$G14)+ISNUMBER($H14)*ISNUMBER($I14)*($H14&gt;$I14))&gt;0,"low/high crossed",""))</f>
        <v/>
      </c>
    </row>
    <row r="15">
      <c r="B15" s="52" t="inlineStr">
        <is>
          <t>HSI</t>
        </is>
      </c>
      <c r="C15" s="6">
        <f>IF(HSI!$C$9="","",HSI!$C$9)</f>
        <v/>
      </c>
      <c r="D15" s="6">
        <f>IF($C15="","",HSI!$D$9)</f>
        <v/>
      </c>
      <c r="E15" s="6">
        <f>IF($C15="","",HSI!$E$9)</f>
        <v/>
      </c>
      <c r="F15" s="54">
        <f>IF($C15="","",HSI!$K$9)</f>
        <v/>
      </c>
      <c r="G15" s="69" t="n"/>
      <c r="H15" s="69" t="n"/>
      <c r="I15" s="69" t="n"/>
      <c r="J15" s="12" t="n"/>
      <c r="K15" s="70">
        <f>IF($C15="","",HSI!$L$9)</f>
        <v/>
      </c>
      <c r="L15" s="71">
        <f>IF(ISNUMBER($G15)=FALSE,"",IFERROR(($G15-$F15)*HSI!$B$9*HSI!$G$9/HSI!$B$3,""))</f>
        <v/>
      </c>
      <c r="M15" s="72">
        <f>IF($C15="","",IF((ISNUMBER($H15)*ISNUMBER($G15)*($H15&gt;$G15)+ISNUMBER($I15)*ISNUMBER($G15)*($I15&lt;$G15)+ISNUMBER($H15)*ISNUMBER($I15)*($H15&gt;$I15))&gt;0,"low/high crossed",""))</f>
        <v/>
      </c>
    </row>
    <row r="16">
      <c r="B16" s="52" t="inlineStr">
        <is>
          <t>HSI</t>
        </is>
      </c>
      <c r="C16" s="6">
        <f>IF(HSI!$C$10="","",HSI!$C$10)</f>
        <v/>
      </c>
      <c r="D16" s="6">
        <f>IF($C16="","",HSI!$D$10)</f>
        <v/>
      </c>
      <c r="E16" s="6">
        <f>IF($C16="","",HSI!$E$10)</f>
        <v/>
      </c>
      <c r="F16" s="54">
        <f>IF($C16="","",HSI!$K$10)</f>
        <v/>
      </c>
      <c r="G16" s="69" t="n"/>
      <c r="H16" s="69" t="n"/>
      <c r="I16" s="69" t="n"/>
      <c r="J16" s="12" t="n"/>
      <c r="K16" s="70">
        <f>IF($C16="","",HSI!$L$10)</f>
        <v/>
      </c>
      <c r="L16" s="71">
        <f>IF(ISNUMBER($G16)=FALSE,"",IFERROR(($G16-$F16)*HSI!$B$10*HSI!$G$10/HSI!$B$3,""))</f>
        <v/>
      </c>
      <c r="M16" s="72">
        <f>IF($C16="","",IF((ISNUMBER($H16)*ISNUMBER($G16)*($H16&gt;$G16)+ISNUMBER($I16)*ISNUMBER($G16)*($I16&lt;$G16)+ISNUMBER($H16)*ISNUMBER($I16)*($H16&gt;$I16))&gt;0,"low/high crossed",""))</f>
        <v/>
      </c>
    </row>
    <row r="17">
      <c r="B17" s="52" t="inlineStr">
        <is>
          <t>HSI</t>
        </is>
      </c>
      <c r="C17" s="6">
        <f>IF(HSI!$C$11="","",HSI!$C$11)</f>
        <v/>
      </c>
      <c r="D17" s="6">
        <f>IF($C17="","",HSI!$D$11)</f>
        <v/>
      </c>
      <c r="E17" s="6">
        <f>IF($C17="","",HSI!$E$11)</f>
        <v/>
      </c>
      <c r="F17" s="54">
        <f>IF($C17="","",HSI!$K$11)</f>
        <v/>
      </c>
      <c r="G17" s="69" t="n"/>
      <c r="H17" s="69" t="n"/>
      <c r="I17" s="69" t="n"/>
      <c r="J17" s="12" t="n"/>
      <c r="K17" s="70">
        <f>IF($C17="","",HSI!$L$11)</f>
        <v/>
      </c>
      <c r="L17" s="71">
        <f>IF(ISNUMBER($G17)=FALSE,"",IFERROR(($G17-$F17)*HSI!$B$11*HSI!$G$11/HSI!$B$3,""))</f>
        <v/>
      </c>
      <c r="M17" s="72">
        <f>IF($C17="","",IF((ISNUMBER($H17)*ISNUMBER($G17)*($H17&gt;$G17)+ISNUMBER($I17)*ISNUMBER($G17)*($I17&lt;$G17)+ISNUMBER($H17)*ISNUMBER($I17)*($H17&gt;$I17))&gt;0,"low/high crossed",""))</f>
        <v/>
      </c>
    </row>
    <row r="18">
      <c r="B18" s="52" t="inlineStr">
        <is>
          <t>HSI</t>
        </is>
      </c>
      <c r="C18" s="6">
        <f>IF(HSI!$C$12="","",HSI!$C$12)</f>
        <v/>
      </c>
      <c r="D18" s="6">
        <f>IF($C18="","",HSI!$D$12)</f>
        <v/>
      </c>
      <c r="E18" s="6">
        <f>IF($C18="","",HSI!$E$12)</f>
        <v/>
      </c>
      <c r="F18" s="54">
        <f>IF($C18="","",HSI!$K$12)</f>
        <v/>
      </c>
      <c r="G18" s="69" t="n"/>
      <c r="H18" s="69" t="n"/>
      <c r="I18" s="69" t="n"/>
      <c r="J18" s="12" t="n"/>
      <c r="K18" s="70">
        <f>IF($C18="","",HSI!$L$12)</f>
        <v/>
      </c>
      <c r="L18" s="71">
        <f>IF(ISNUMBER($G18)=FALSE,"",IFERROR(($G18-$F18)*HSI!$B$12*HSI!$G$12/HSI!$B$3,""))</f>
        <v/>
      </c>
      <c r="M18" s="72">
        <f>IF($C18="","",IF((ISNUMBER($H18)*ISNUMBER($G18)*($H18&gt;$G18)+ISNUMBER($I18)*ISNUMBER($G18)*($I18&lt;$G18)+ISNUMBER($H18)*ISNUMBER($I18)*($H18&gt;$I18))&gt;0,"low/high crossed",""))</f>
        <v/>
      </c>
    </row>
    <row r="19">
      <c r="B19" s="52" t="inlineStr">
        <is>
          <t>HSI</t>
        </is>
      </c>
      <c r="C19" s="6">
        <f>IF(HSI!$C$13="","",HSI!$C$13)</f>
        <v/>
      </c>
      <c r="D19" s="6">
        <f>IF($C19="","",HSI!$D$13)</f>
        <v/>
      </c>
      <c r="E19" s="6">
        <f>IF($C19="","",HSI!$E$13)</f>
        <v/>
      </c>
      <c r="F19" s="54">
        <f>IF($C19="","",HSI!$K$13)</f>
        <v/>
      </c>
      <c r="G19" s="69" t="n"/>
      <c r="H19" s="69" t="n"/>
      <c r="I19" s="69" t="n"/>
      <c r="J19" s="12" t="n"/>
      <c r="K19" s="70">
        <f>IF($C19="","",HSI!$L$13)</f>
        <v/>
      </c>
      <c r="L19" s="71">
        <f>IF(ISNUMBER($G19)=FALSE,"",IFERROR(($G19-$F19)*HSI!$B$13*HSI!$G$13/HSI!$B$3,""))</f>
        <v/>
      </c>
      <c r="M19" s="72">
        <f>IF($C19="","",IF((ISNUMBER($H19)*ISNUMBER($G19)*($H19&gt;$G19)+ISNUMBER($I19)*ISNUMBER($G19)*($I19&lt;$G19)+ISNUMBER($H19)*ISNUMBER($I19)*($H19&gt;$I19))&gt;0,"low/high crossed",""))</f>
        <v/>
      </c>
    </row>
    <row r="20">
      <c r="B20" s="52" t="inlineStr">
        <is>
          <t>HSI</t>
        </is>
      </c>
      <c r="C20" s="6">
        <f>IF(HSI!$C$14="","",HSI!$C$14)</f>
        <v/>
      </c>
      <c r="D20" s="6">
        <f>IF($C20="","",HSI!$D$14)</f>
        <v/>
      </c>
      <c r="E20" s="6">
        <f>IF($C20="","",HSI!$E$14)</f>
        <v/>
      </c>
      <c r="F20" s="54">
        <f>IF($C20="","",HSI!$K$14)</f>
        <v/>
      </c>
      <c r="G20" s="69" t="n"/>
      <c r="H20" s="69" t="n"/>
      <c r="I20" s="69" t="n"/>
      <c r="J20" s="12" t="n"/>
      <c r="K20" s="70">
        <f>IF($C20="","",HSI!$L$14)</f>
        <v/>
      </c>
      <c r="L20" s="71">
        <f>IF(ISNUMBER($G20)=FALSE,"",IFERROR(($G20-$F20)*HSI!$B$14*HSI!$G$14/HSI!$B$3,""))</f>
        <v/>
      </c>
      <c r="M20" s="72">
        <f>IF($C20="","",IF((ISNUMBER($H20)*ISNUMBER($G20)*($H20&gt;$G20)+ISNUMBER($I20)*ISNUMBER($G20)*($I20&lt;$G20)+ISNUMBER($H20)*ISNUMBER($I20)*($H20&gt;$I20))&gt;0,"low/high crossed",""))</f>
        <v/>
      </c>
    </row>
    <row r="21">
      <c r="B21" s="52" t="inlineStr">
        <is>
          <t>HSI</t>
        </is>
      </c>
      <c r="C21" s="6">
        <f>IF(HSI!$C$15="","",HSI!$C$15)</f>
        <v/>
      </c>
      <c r="D21" s="6">
        <f>IF($C21="","",HSI!$D$15)</f>
        <v/>
      </c>
      <c r="E21" s="6">
        <f>IF($C21="","",HSI!$E$15)</f>
        <v/>
      </c>
      <c r="F21" s="54">
        <f>IF($C21="","",HSI!$K$15)</f>
        <v/>
      </c>
      <c r="G21" s="69" t="n"/>
      <c r="H21" s="69" t="n"/>
      <c r="I21" s="69" t="n"/>
      <c r="J21" s="12" t="n"/>
      <c r="K21" s="70">
        <f>IF($C21="","",HSI!$L$15)</f>
        <v/>
      </c>
      <c r="L21" s="71">
        <f>IF(ISNUMBER($G21)=FALSE,"",IFERROR(($G21-$F21)*HSI!$B$15*HSI!$G$15/HSI!$B$3,""))</f>
        <v/>
      </c>
      <c r="M21" s="72">
        <f>IF($C21="","",IF((ISNUMBER($H21)*ISNUMBER($G21)*($H21&gt;$G21)+ISNUMBER($I21)*ISNUMBER($G21)*($I21&lt;$G21)+ISNUMBER($H21)*ISNUMBER($I21)*($H21&gt;$I21))&gt;0,"low/high crossed",""))</f>
        <v/>
      </c>
    </row>
    <row r="22">
      <c r="B22" s="52" t="inlineStr">
        <is>
          <t>HSI</t>
        </is>
      </c>
      <c r="C22" s="6">
        <f>IF(HSI!$C$16="","",HSI!$C$16)</f>
        <v/>
      </c>
      <c r="D22" s="6">
        <f>IF($C22="","",HSI!$D$16)</f>
        <v/>
      </c>
      <c r="E22" s="6">
        <f>IF($C22="","",HSI!$E$16)</f>
        <v/>
      </c>
      <c r="F22" s="54">
        <f>IF($C22="","",HSI!$K$16)</f>
        <v/>
      </c>
      <c r="G22" s="69" t="n"/>
      <c r="H22" s="69" t="n"/>
      <c r="I22" s="69" t="n"/>
      <c r="J22" s="12" t="n"/>
      <c r="K22" s="70">
        <f>IF($C22="","",HSI!$L$16)</f>
        <v/>
      </c>
      <c r="L22" s="71">
        <f>IF(ISNUMBER($G22)=FALSE,"",IFERROR(($G22-$F22)*HSI!$B$16*HSI!$G$16/HSI!$B$3,""))</f>
        <v/>
      </c>
      <c r="M22" s="72">
        <f>IF($C22="","",IF((ISNUMBER($H22)*ISNUMBER($G22)*($H22&gt;$G22)+ISNUMBER($I22)*ISNUMBER($G22)*($I22&lt;$G22)+ISNUMBER($H22)*ISNUMBER($I22)*($H22&gt;$I22))&gt;0,"low/high crossed",""))</f>
        <v/>
      </c>
    </row>
    <row r="23">
      <c r="B23" s="52" t="inlineStr">
        <is>
          <t>HSI</t>
        </is>
      </c>
      <c r="C23" s="6">
        <f>IF(HSI!$C$17="","",HSI!$C$17)</f>
        <v/>
      </c>
      <c r="D23" s="6">
        <f>IF($C23="","",HSI!$D$17)</f>
        <v/>
      </c>
      <c r="E23" s="6">
        <f>IF($C23="","",HSI!$E$17)</f>
        <v/>
      </c>
      <c r="F23" s="54">
        <f>IF($C23="","",HSI!$K$17)</f>
        <v/>
      </c>
      <c r="G23" s="69" t="n"/>
      <c r="H23" s="69" t="n"/>
      <c r="I23" s="69" t="n"/>
      <c r="J23" s="12" t="n"/>
      <c r="K23" s="70">
        <f>IF($C23="","",HSI!$L$17)</f>
        <v/>
      </c>
      <c r="L23" s="71">
        <f>IF(ISNUMBER($G23)=FALSE,"",IFERROR(($G23-$F23)*HSI!$B$17*HSI!$G$17/HSI!$B$3,""))</f>
        <v/>
      </c>
      <c r="M23" s="72">
        <f>IF($C23="","",IF((ISNUMBER($H23)*ISNUMBER($G23)*($H23&gt;$G23)+ISNUMBER($I23)*ISNUMBER($G23)*($I23&lt;$G23)+ISNUMBER($H23)*ISNUMBER($I23)*($H23&gt;$I23))&gt;0,"low/high crossed",""))</f>
        <v/>
      </c>
    </row>
    <row r="24">
      <c r="B24" s="52" t="inlineStr">
        <is>
          <t>HSI</t>
        </is>
      </c>
      <c r="C24" s="6">
        <f>IF(HSI!$C$18="","",HSI!$C$18)</f>
        <v/>
      </c>
      <c r="D24" s="6">
        <f>IF($C24="","",HSI!$D$18)</f>
        <v/>
      </c>
      <c r="E24" s="6">
        <f>IF($C24="","",HSI!$E$18)</f>
        <v/>
      </c>
      <c r="F24" s="54">
        <f>IF($C24="","",HSI!$K$18)</f>
        <v/>
      </c>
      <c r="G24" s="69" t="n"/>
      <c r="H24" s="69" t="n"/>
      <c r="I24" s="69" t="n"/>
      <c r="J24" s="12" t="n"/>
      <c r="K24" s="70">
        <f>IF($C24="","",HSI!$L$18)</f>
        <v/>
      </c>
      <c r="L24" s="71">
        <f>IF(ISNUMBER($G24)=FALSE,"",IFERROR(($G24-$F24)*HSI!$B$18*HSI!$G$18/HSI!$B$3,""))</f>
        <v/>
      </c>
      <c r="M24" s="72">
        <f>IF($C24="","",IF((ISNUMBER($H24)*ISNUMBER($G24)*($H24&gt;$G24)+ISNUMBER($I24)*ISNUMBER($G24)*($I24&lt;$G24)+ISNUMBER($H24)*ISNUMBER($I24)*($H24&gt;$I24))&gt;0,"low/high crossed",""))</f>
        <v/>
      </c>
    </row>
    <row r="25">
      <c r="B25" s="52" t="inlineStr">
        <is>
          <t>HSI</t>
        </is>
      </c>
      <c r="C25" s="6">
        <f>IF(HSI!$C$19="","",HSI!$C$19)</f>
        <v/>
      </c>
      <c r="D25" s="6">
        <f>IF($C25="","",HSI!$D$19)</f>
        <v/>
      </c>
      <c r="E25" s="6">
        <f>IF($C25="","",HSI!$E$19)</f>
        <v/>
      </c>
      <c r="F25" s="54">
        <f>IF($C25="","",HSI!$K$19)</f>
        <v/>
      </c>
      <c r="G25" s="69" t="n"/>
      <c r="H25" s="69" t="n"/>
      <c r="I25" s="69" t="n"/>
      <c r="J25" s="12" t="n"/>
      <c r="K25" s="70">
        <f>IF($C25="","",HSI!$L$19)</f>
        <v/>
      </c>
      <c r="L25" s="71">
        <f>IF(ISNUMBER($G25)=FALSE,"",IFERROR(($G25-$F25)*HSI!$B$19*HSI!$G$19/HSI!$B$3,""))</f>
        <v/>
      </c>
      <c r="M25" s="72">
        <f>IF($C25="","",IF((ISNUMBER($H25)*ISNUMBER($G25)*($H25&gt;$G25)+ISNUMBER($I25)*ISNUMBER($G25)*($I25&lt;$G25)+ISNUMBER($H25)*ISNUMBER($I25)*($H25&gt;$I25))&gt;0,"low/high crossed",""))</f>
        <v/>
      </c>
    </row>
    <row r="26">
      <c r="B26" s="52" t="inlineStr">
        <is>
          <t>HSI</t>
        </is>
      </c>
      <c r="C26" s="6">
        <f>IF(HSI!$C$20="","",HSI!$C$20)</f>
        <v/>
      </c>
      <c r="D26" s="6">
        <f>IF($C26="","",HSI!$D$20)</f>
        <v/>
      </c>
      <c r="E26" s="6">
        <f>IF($C26="","",HSI!$E$20)</f>
        <v/>
      </c>
      <c r="F26" s="54">
        <f>IF($C26="","",HSI!$K$20)</f>
        <v/>
      </c>
      <c r="G26" s="69" t="n"/>
      <c r="H26" s="69" t="n"/>
      <c r="I26" s="69" t="n"/>
      <c r="J26" s="12" t="n"/>
      <c r="K26" s="70">
        <f>IF($C26="","",HSI!$L$20)</f>
        <v/>
      </c>
      <c r="L26" s="71">
        <f>IF(ISNUMBER($G26)=FALSE,"",IFERROR(($G26-$F26)*HSI!$B$20*HSI!$G$20/HSI!$B$3,""))</f>
        <v/>
      </c>
      <c r="M26" s="72">
        <f>IF($C26="","",IF((ISNUMBER($H26)*ISNUMBER($G26)*($H26&gt;$G26)+ISNUMBER($I26)*ISNUMBER($G26)*($I26&lt;$G26)+ISNUMBER($H26)*ISNUMBER($I26)*($H26&gt;$I26))&gt;0,"low/high crossed",""))</f>
        <v/>
      </c>
    </row>
    <row r="27">
      <c r="B27" s="52" t="inlineStr">
        <is>
          <t>HSI</t>
        </is>
      </c>
      <c r="C27" s="6">
        <f>IF(HSI!$C$21="","",HSI!$C$21)</f>
        <v/>
      </c>
      <c r="D27" s="6">
        <f>IF($C27="","",HSI!$D$21)</f>
        <v/>
      </c>
      <c r="E27" s="6">
        <f>IF($C27="","",HSI!$E$21)</f>
        <v/>
      </c>
      <c r="F27" s="54">
        <f>IF($C27="","",HSI!$K$21)</f>
        <v/>
      </c>
      <c r="G27" s="69" t="n"/>
      <c r="H27" s="69" t="n"/>
      <c r="I27" s="69" t="n"/>
      <c r="J27" s="12" t="n"/>
      <c r="K27" s="70">
        <f>IF($C27="","",HSI!$L$21)</f>
        <v/>
      </c>
      <c r="L27" s="71">
        <f>IF(ISNUMBER($G27)=FALSE,"",IFERROR(($G27-$F27)*HSI!$B$21*HSI!$G$21/HSI!$B$3,""))</f>
        <v/>
      </c>
      <c r="M27" s="72">
        <f>IF($C27="","",IF((ISNUMBER($H27)*ISNUMBER($G27)*($H27&gt;$G27)+ISNUMBER($I27)*ISNUMBER($G27)*($I27&lt;$G27)+ISNUMBER($H27)*ISNUMBER($I27)*($H27&gt;$I27))&gt;0,"low/high crossed",""))</f>
        <v/>
      </c>
    </row>
    <row r="28">
      <c r="B28" s="52" t="inlineStr">
        <is>
          <t>HSI</t>
        </is>
      </c>
      <c r="C28" s="6">
        <f>IF(HSI!$C$22="","",HSI!$C$22)</f>
        <v/>
      </c>
      <c r="D28" s="6">
        <f>IF($C28="","",HSI!$D$22)</f>
        <v/>
      </c>
      <c r="E28" s="6">
        <f>IF($C28="","",HSI!$E$22)</f>
        <v/>
      </c>
      <c r="F28" s="54">
        <f>IF($C28="","",HSI!$K$22)</f>
        <v/>
      </c>
      <c r="G28" s="69" t="n"/>
      <c r="H28" s="69" t="n"/>
      <c r="I28" s="69" t="n"/>
      <c r="J28" s="12" t="n"/>
      <c r="K28" s="70">
        <f>IF($C28="","",HSI!$L$22)</f>
        <v/>
      </c>
      <c r="L28" s="71">
        <f>IF(ISNUMBER($G28)=FALSE,"",IFERROR(($G28-$F28)*HSI!$B$22*HSI!$G$22/HSI!$B$3,""))</f>
        <v/>
      </c>
      <c r="M28" s="72">
        <f>IF($C28="","",IF((ISNUMBER($H28)*ISNUMBER($G28)*($H28&gt;$G28)+ISNUMBER($I28)*ISNUMBER($G28)*($I28&lt;$G28)+ISNUMBER($H28)*ISNUMBER($I28)*($H28&gt;$I28))&gt;0,"low/high crossed",""))</f>
        <v/>
      </c>
    </row>
    <row r="29">
      <c r="B29" s="52" t="inlineStr">
        <is>
          <t>HSI</t>
        </is>
      </c>
      <c r="C29" s="6">
        <f>IF(HSI!$C$23="","",HSI!$C$23)</f>
        <v/>
      </c>
      <c r="D29" s="6">
        <f>IF($C29="","",HSI!$D$23)</f>
        <v/>
      </c>
      <c r="E29" s="6">
        <f>IF($C29="","",HSI!$E$23)</f>
        <v/>
      </c>
      <c r="F29" s="54">
        <f>IF($C29="","",HSI!$K$23)</f>
        <v/>
      </c>
      <c r="G29" s="69" t="n"/>
      <c r="H29" s="69" t="n"/>
      <c r="I29" s="69" t="n"/>
      <c r="J29" s="12" t="n"/>
      <c r="K29" s="70">
        <f>IF($C29="","",HSI!$L$23)</f>
        <v/>
      </c>
      <c r="L29" s="71">
        <f>IF(ISNUMBER($G29)=FALSE,"",IFERROR(($G29-$F29)*HSI!$B$23*HSI!$G$23/HSI!$B$3,""))</f>
        <v/>
      </c>
      <c r="M29" s="72">
        <f>IF($C29="","",IF((ISNUMBER($H29)*ISNUMBER($G29)*($H29&gt;$G29)+ISNUMBER($I29)*ISNUMBER($G29)*($I29&lt;$G29)+ISNUMBER($H29)*ISNUMBER($I29)*($H29&gt;$I29))&gt;0,"low/high crossed",""))</f>
        <v/>
      </c>
    </row>
    <row r="30">
      <c r="B30" s="52" t="inlineStr">
        <is>
          <t>HSI</t>
        </is>
      </c>
      <c r="C30" s="6">
        <f>IF(HSI!$C$24="","",HSI!$C$24)</f>
        <v/>
      </c>
      <c r="D30" s="6">
        <f>IF($C30="","",HSI!$D$24)</f>
        <v/>
      </c>
      <c r="E30" s="6">
        <f>IF($C30="","",HSI!$E$24)</f>
        <v/>
      </c>
      <c r="F30" s="54">
        <f>IF($C30="","",HSI!$K$24)</f>
        <v/>
      </c>
      <c r="G30" s="69" t="n"/>
      <c r="H30" s="69" t="n"/>
      <c r="I30" s="69" t="n"/>
      <c r="J30" s="12" t="n"/>
      <c r="K30" s="70">
        <f>IF($C30="","",HSI!$L$24)</f>
        <v/>
      </c>
      <c r="L30" s="71">
        <f>IF(ISNUMBER($G30)=FALSE,"",IFERROR(($G30-$F30)*HSI!$B$24*HSI!$G$24/HSI!$B$3,""))</f>
        <v/>
      </c>
      <c r="M30" s="72">
        <f>IF($C30="","",IF((ISNUMBER($H30)*ISNUMBER($G30)*($H30&gt;$G30)+ISNUMBER($I30)*ISNUMBER($G30)*($I30&lt;$G30)+ISNUMBER($H30)*ISNUMBER($I30)*($H30&gt;$I30))&gt;0,"low/high crossed",""))</f>
        <v/>
      </c>
    </row>
    <row r="31">
      <c r="B31" s="52" t="inlineStr">
        <is>
          <t>HSI</t>
        </is>
      </c>
      <c r="C31" s="6">
        <f>IF(HSI!$C$25="","",HSI!$C$25)</f>
        <v/>
      </c>
      <c r="D31" s="6">
        <f>IF($C31="","",HSI!$D$25)</f>
        <v/>
      </c>
      <c r="E31" s="6">
        <f>IF($C31="","",HSI!$E$25)</f>
        <v/>
      </c>
      <c r="F31" s="54">
        <f>IF($C31="","",HSI!$K$25)</f>
        <v/>
      </c>
      <c r="G31" s="69" t="n"/>
      <c r="H31" s="69" t="n"/>
      <c r="I31" s="69" t="n"/>
      <c r="J31" s="12" t="n"/>
      <c r="K31" s="70">
        <f>IF($C31="","",HSI!$L$25)</f>
        <v/>
      </c>
      <c r="L31" s="71">
        <f>IF(ISNUMBER($G31)=FALSE,"",IFERROR(($G31-$F31)*HSI!$B$25*HSI!$G$25/HSI!$B$3,""))</f>
        <v/>
      </c>
      <c r="M31" s="72">
        <f>IF($C31="","",IF((ISNUMBER($H31)*ISNUMBER($G31)*($H31&gt;$G31)+ISNUMBER($I31)*ISNUMBER($G31)*($I31&lt;$G31)+ISNUMBER($H31)*ISNUMBER($I31)*($H31&gt;$I31))&gt;0,"low/high crossed",""))</f>
        <v/>
      </c>
    </row>
    <row r="32">
      <c r="B32" s="52" t="inlineStr">
        <is>
          <t>HSI</t>
        </is>
      </c>
      <c r="C32" s="6">
        <f>IF(HSI!$C$26="","",HSI!$C$26)</f>
        <v/>
      </c>
      <c r="D32" s="6">
        <f>IF($C32="","",HSI!$D$26)</f>
        <v/>
      </c>
      <c r="E32" s="6">
        <f>IF($C32="","",HSI!$E$26)</f>
        <v/>
      </c>
      <c r="F32" s="54">
        <f>IF($C32="","",HSI!$K$26)</f>
        <v/>
      </c>
      <c r="G32" s="69" t="n"/>
      <c r="H32" s="69" t="n"/>
      <c r="I32" s="69" t="n"/>
      <c r="J32" s="12" t="n"/>
      <c r="K32" s="70">
        <f>IF($C32="","",HSI!$L$26)</f>
        <v/>
      </c>
      <c r="L32" s="71">
        <f>IF(ISNUMBER($G32)=FALSE,"",IFERROR(($G32-$F32)*HSI!$B$26*HSI!$G$26/HSI!$B$3,""))</f>
        <v/>
      </c>
      <c r="M32" s="72">
        <f>IF($C32="","",IF((ISNUMBER($H32)*ISNUMBER($G32)*($H32&gt;$G32)+ISNUMBER($I32)*ISNUMBER($G32)*($I32&lt;$G32)+ISNUMBER($H32)*ISNUMBER($I32)*($H32&gt;$I32))&gt;0,"low/high crossed",""))</f>
        <v/>
      </c>
    </row>
    <row r="33">
      <c r="B33" s="52" t="inlineStr">
        <is>
          <t>HSI</t>
        </is>
      </c>
      <c r="C33" s="6">
        <f>IF(HSI!$C$27="","",HSI!$C$27)</f>
        <v/>
      </c>
      <c r="D33" s="6">
        <f>IF($C33="","",HSI!$D$27)</f>
        <v/>
      </c>
      <c r="E33" s="6">
        <f>IF($C33="","",HSI!$E$27)</f>
        <v/>
      </c>
      <c r="F33" s="54">
        <f>IF($C33="","",HSI!$K$27)</f>
        <v/>
      </c>
      <c r="G33" s="69" t="n"/>
      <c r="H33" s="69" t="n"/>
      <c r="I33" s="69" t="n"/>
      <c r="J33" s="12" t="n"/>
      <c r="K33" s="70">
        <f>IF($C33="","",HSI!$L$27)</f>
        <v/>
      </c>
      <c r="L33" s="71">
        <f>IF(ISNUMBER($G33)=FALSE,"",IFERROR(($G33-$F33)*HSI!$B$27*HSI!$G$27/HSI!$B$3,""))</f>
        <v/>
      </c>
      <c r="M33" s="72">
        <f>IF($C33="","",IF((ISNUMBER($H33)*ISNUMBER($G33)*($H33&gt;$G33)+ISNUMBER($I33)*ISNUMBER($G33)*($I33&lt;$G33)+ISNUMBER($H33)*ISNUMBER($I33)*($H33&gt;$I33))&gt;0,"low/high crossed",""))</f>
        <v/>
      </c>
    </row>
    <row r="34">
      <c r="B34" s="52" t="inlineStr">
        <is>
          <t>HSI</t>
        </is>
      </c>
      <c r="C34" s="6">
        <f>IF(HSI!$C$28="","",HSI!$C$28)</f>
        <v/>
      </c>
      <c r="D34" s="6">
        <f>IF($C34="","",HSI!$D$28)</f>
        <v/>
      </c>
      <c r="E34" s="6">
        <f>IF($C34="","",HSI!$E$28)</f>
        <v/>
      </c>
      <c r="F34" s="54">
        <f>IF($C34="","",HSI!$K$28)</f>
        <v/>
      </c>
      <c r="G34" s="69" t="n"/>
      <c r="H34" s="69" t="n"/>
      <c r="I34" s="69" t="n"/>
      <c r="J34" s="12" t="n"/>
      <c r="K34" s="70">
        <f>IF($C34="","",HSI!$L$28)</f>
        <v/>
      </c>
      <c r="L34" s="71">
        <f>IF(ISNUMBER($G34)=FALSE,"",IFERROR(($G34-$F34)*HSI!$B$28*HSI!$G$28/HSI!$B$3,""))</f>
        <v/>
      </c>
      <c r="M34" s="72">
        <f>IF($C34="","",IF((ISNUMBER($H34)*ISNUMBER($G34)*($H34&gt;$G34)+ISNUMBER($I34)*ISNUMBER($G34)*($I34&lt;$G34)+ISNUMBER($H34)*ISNUMBER($I34)*($H34&gt;$I34))&gt;0,"low/high crossed",""))</f>
        <v/>
      </c>
    </row>
    <row r="35">
      <c r="B35" s="52" t="inlineStr">
        <is>
          <t>HSI</t>
        </is>
      </c>
      <c r="C35" s="6">
        <f>IF(HSI!$C$29="","",HSI!$C$29)</f>
        <v/>
      </c>
      <c r="D35" s="6">
        <f>IF($C35="","",HSI!$D$29)</f>
        <v/>
      </c>
      <c r="E35" s="6">
        <f>IF($C35="","",HSI!$E$29)</f>
        <v/>
      </c>
      <c r="F35" s="54">
        <f>IF($C35="","",HSI!$K$29)</f>
        <v/>
      </c>
      <c r="G35" s="69" t="n"/>
      <c r="H35" s="69" t="n"/>
      <c r="I35" s="69" t="n"/>
      <c r="J35" s="12" t="n"/>
      <c r="K35" s="70">
        <f>IF($C35="","",HSI!$L$29)</f>
        <v/>
      </c>
      <c r="L35" s="71">
        <f>IF(ISNUMBER($G35)=FALSE,"",IFERROR(($G35-$F35)*HSI!$B$29*HSI!$G$29/HSI!$B$3,""))</f>
        <v/>
      </c>
      <c r="M35" s="72">
        <f>IF($C35="","",IF((ISNUMBER($H35)*ISNUMBER($G35)*($H35&gt;$G35)+ISNUMBER($I35)*ISNUMBER($G35)*($I35&lt;$G35)+ISNUMBER($H35)*ISNUMBER($I35)*($H35&gt;$I35))&gt;0,"low/high crossed",""))</f>
        <v/>
      </c>
    </row>
    <row r="36">
      <c r="B36" s="52" t="inlineStr">
        <is>
          <t>HSI</t>
        </is>
      </c>
      <c r="C36" s="6">
        <f>IF(HSI!$C$30="","",HSI!$C$30)</f>
        <v/>
      </c>
      <c r="D36" s="6">
        <f>IF($C36="","",HSI!$D$30)</f>
        <v/>
      </c>
      <c r="E36" s="6">
        <f>IF($C36="","",HSI!$E$30)</f>
        <v/>
      </c>
      <c r="F36" s="54">
        <f>IF($C36="","",HSI!$K$30)</f>
        <v/>
      </c>
      <c r="G36" s="69" t="n"/>
      <c r="H36" s="69" t="n"/>
      <c r="I36" s="69" t="n"/>
      <c r="J36" s="12" t="n"/>
      <c r="K36" s="70">
        <f>IF($C36="","",HSI!$L$30)</f>
        <v/>
      </c>
      <c r="L36" s="71">
        <f>IF(ISNUMBER($G36)=FALSE,"",IFERROR(($G36-$F36)*HSI!$B$30*HSI!$G$30/HSI!$B$3,""))</f>
        <v/>
      </c>
      <c r="M36" s="72">
        <f>IF($C36="","",IF((ISNUMBER($H36)*ISNUMBER($G36)*($H36&gt;$G36)+ISNUMBER($I36)*ISNUMBER($G36)*($I36&lt;$G36)+ISNUMBER($H36)*ISNUMBER($I36)*($H36&gt;$I36))&gt;0,"low/high crossed",""))</f>
        <v/>
      </c>
    </row>
    <row r="37">
      <c r="B37" s="52" t="inlineStr">
        <is>
          <t>HSI</t>
        </is>
      </c>
      <c r="C37" s="6">
        <f>IF(HSI!$C$31="","",HSI!$C$31)</f>
        <v/>
      </c>
      <c r="D37" s="6">
        <f>IF($C37="","",HSI!$D$31)</f>
        <v/>
      </c>
      <c r="E37" s="6">
        <f>IF($C37="","",HSI!$E$31)</f>
        <v/>
      </c>
      <c r="F37" s="54">
        <f>IF($C37="","",HSI!$K$31)</f>
        <v/>
      </c>
      <c r="G37" s="69" t="n"/>
      <c r="H37" s="69" t="n"/>
      <c r="I37" s="69" t="n"/>
      <c r="J37" s="12" t="n"/>
      <c r="K37" s="70">
        <f>IF($C37="","",HSI!$L$31)</f>
        <v/>
      </c>
      <c r="L37" s="71">
        <f>IF(ISNUMBER($G37)=FALSE,"",IFERROR(($G37-$F37)*HSI!$B$31*HSI!$G$31/HSI!$B$3,""))</f>
        <v/>
      </c>
      <c r="M37" s="72">
        <f>IF($C37="","",IF((ISNUMBER($H37)*ISNUMBER($G37)*($H37&gt;$G37)+ISNUMBER($I37)*ISNUMBER($G37)*($I37&lt;$G37)+ISNUMBER($H37)*ISNUMBER($I37)*($H37&gt;$I37))&gt;0,"low/high crossed",""))</f>
        <v/>
      </c>
    </row>
    <row r="38">
      <c r="B38" s="52" t="inlineStr">
        <is>
          <t>HSI</t>
        </is>
      </c>
      <c r="C38" s="6">
        <f>IF(HSI!$C$32="","",HSI!$C$32)</f>
        <v/>
      </c>
      <c r="D38" s="6">
        <f>IF($C38="","",HSI!$D$32)</f>
        <v/>
      </c>
      <c r="E38" s="6">
        <f>IF($C38="","",HSI!$E$32)</f>
        <v/>
      </c>
      <c r="F38" s="54">
        <f>IF($C38="","",HSI!$K$32)</f>
        <v/>
      </c>
      <c r="G38" s="69" t="n"/>
      <c r="H38" s="69" t="n"/>
      <c r="I38" s="69" t="n"/>
      <c r="J38" s="12" t="n"/>
      <c r="K38" s="70">
        <f>IF($C38="","",HSI!$L$32)</f>
        <v/>
      </c>
      <c r="L38" s="71">
        <f>IF(ISNUMBER($G38)=FALSE,"",IFERROR(($G38-$F38)*HSI!$B$32*HSI!$G$32/HSI!$B$3,""))</f>
        <v/>
      </c>
      <c r="M38" s="72">
        <f>IF($C38="","",IF((ISNUMBER($H38)*ISNUMBER($G38)*($H38&gt;$G38)+ISNUMBER($I38)*ISNUMBER($G38)*($I38&lt;$G38)+ISNUMBER($H38)*ISNUMBER($I38)*($H38&gt;$I38))&gt;0,"low/high crossed",""))</f>
        <v/>
      </c>
    </row>
    <row r="39">
      <c r="B39" s="52" t="inlineStr">
        <is>
          <t>HSI</t>
        </is>
      </c>
      <c r="C39" s="6">
        <f>IF(HSI!$C$33="","",HSI!$C$33)</f>
        <v/>
      </c>
      <c r="D39" s="6">
        <f>IF($C39="","",HSI!$D$33)</f>
        <v/>
      </c>
      <c r="E39" s="6">
        <f>IF($C39="","",HSI!$E$33)</f>
        <v/>
      </c>
      <c r="F39" s="54">
        <f>IF($C39="","",HSI!$K$33)</f>
        <v/>
      </c>
      <c r="G39" s="69" t="n"/>
      <c r="H39" s="69" t="n"/>
      <c r="I39" s="69" t="n"/>
      <c r="J39" s="12" t="n"/>
      <c r="K39" s="70">
        <f>IF($C39="","",HSI!$L$33)</f>
        <v/>
      </c>
      <c r="L39" s="71">
        <f>IF(ISNUMBER($G39)=FALSE,"",IFERROR(($G39-$F39)*HSI!$B$33*HSI!$G$33/HSI!$B$3,""))</f>
        <v/>
      </c>
      <c r="M39" s="72">
        <f>IF($C39="","",IF((ISNUMBER($H39)*ISNUMBER($G39)*($H39&gt;$G39)+ISNUMBER($I39)*ISNUMBER($G39)*($I39&lt;$G39)+ISNUMBER($H39)*ISNUMBER($I39)*($H39&gt;$I39))&gt;0,"low/high crossed",""))</f>
        <v/>
      </c>
    </row>
    <row r="40">
      <c r="B40" s="52" t="inlineStr">
        <is>
          <t>HSI</t>
        </is>
      </c>
      <c r="C40" s="6">
        <f>IF(HSI!$C$34="","",HSI!$C$34)</f>
        <v/>
      </c>
      <c r="D40" s="6">
        <f>IF($C40="","",HSI!$D$34)</f>
        <v/>
      </c>
      <c r="E40" s="6">
        <f>IF($C40="","",HSI!$E$34)</f>
        <v/>
      </c>
      <c r="F40" s="54">
        <f>IF($C40="","",HSI!$K$34)</f>
        <v/>
      </c>
      <c r="G40" s="69" t="n"/>
      <c r="H40" s="69" t="n"/>
      <c r="I40" s="69" t="n"/>
      <c r="J40" s="12" t="n"/>
      <c r="K40" s="70">
        <f>IF($C40="","",HSI!$L$34)</f>
        <v/>
      </c>
      <c r="L40" s="71">
        <f>IF(ISNUMBER($G40)=FALSE,"",IFERROR(($G40-$F40)*HSI!$B$34*HSI!$G$34/HSI!$B$3,""))</f>
        <v/>
      </c>
      <c r="M40" s="72">
        <f>IF($C40="","",IF((ISNUMBER($H40)*ISNUMBER($G40)*($H40&gt;$G40)+ISNUMBER($I40)*ISNUMBER($G40)*($I40&lt;$G40)+ISNUMBER($H40)*ISNUMBER($I40)*($H40&gt;$I40))&gt;0,"low/high crossed",""))</f>
        <v/>
      </c>
    </row>
    <row r="41">
      <c r="B41" s="52" t="inlineStr">
        <is>
          <t>HSI</t>
        </is>
      </c>
      <c r="C41" s="6">
        <f>IF(HSI!$C$35="","",HSI!$C$35)</f>
        <v/>
      </c>
      <c r="D41" s="6">
        <f>IF($C41="","",HSI!$D$35)</f>
        <v/>
      </c>
      <c r="E41" s="6">
        <f>IF($C41="","",HSI!$E$35)</f>
        <v/>
      </c>
      <c r="F41" s="54">
        <f>IF($C41="","",HSI!$K$35)</f>
        <v/>
      </c>
      <c r="G41" s="69" t="n"/>
      <c r="H41" s="69" t="n"/>
      <c r="I41" s="69" t="n"/>
      <c r="J41" s="12" t="n"/>
      <c r="K41" s="70">
        <f>IF($C41="","",HSI!$L$35)</f>
        <v/>
      </c>
      <c r="L41" s="71">
        <f>IF(ISNUMBER($G41)=FALSE,"",IFERROR(($G41-$F41)*HSI!$B$35*HSI!$G$35/HSI!$B$3,""))</f>
        <v/>
      </c>
      <c r="M41" s="72">
        <f>IF($C41="","",IF((ISNUMBER($H41)*ISNUMBER($G41)*($H41&gt;$G41)+ISNUMBER($I41)*ISNUMBER($G41)*($I41&lt;$G41)+ISNUMBER($H41)*ISNUMBER($I41)*($H41&gt;$I41))&gt;0,"low/high crossed",""))</f>
        <v/>
      </c>
    </row>
    <row r="42">
      <c r="B42" s="52" t="inlineStr">
        <is>
          <t>HSI</t>
        </is>
      </c>
      <c r="C42" s="6">
        <f>IF(HSI!$C$36="","",HSI!$C$36)</f>
        <v/>
      </c>
      <c r="D42" s="6">
        <f>IF($C42="","",HSI!$D$36)</f>
        <v/>
      </c>
      <c r="E42" s="6">
        <f>IF($C42="","",HSI!$E$36)</f>
        <v/>
      </c>
      <c r="F42" s="54">
        <f>IF($C42="","",HSI!$K$36)</f>
        <v/>
      </c>
      <c r="G42" s="69" t="n"/>
      <c r="H42" s="69" t="n"/>
      <c r="I42" s="69" t="n"/>
      <c r="J42" s="12" t="n"/>
      <c r="K42" s="70">
        <f>IF($C42="","",HSI!$L$36)</f>
        <v/>
      </c>
      <c r="L42" s="71">
        <f>IF(ISNUMBER($G42)=FALSE,"",IFERROR(($G42-$F42)*HSI!$B$36*HSI!$G$36/HSI!$B$3,""))</f>
        <v/>
      </c>
      <c r="M42" s="72">
        <f>IF($C42="","",IF((ISNUMBER($H42)*ISNUMBER($G42)*($H42&gt;$G42)+ISNUMBER($I42)*ISNUMBER($G42)*($I42&lt;$G42)+ISNUMBER($H42)*ISNUMBER($I42)*($H42&gt;$I42))&gt;0,"low/high crossed",""))</f>
        <v/>
      </c>
    </row>
    <row r="43">
      <c r="B43" s="52" t="inlineStr">
        <is>
          <t>HSI</t>
        </is>
      </c>
      <c r="C43" s="6">
        <f>IF(HSI!$C$37="","",HSI!$C$37)</f>
        <v/>
      </c>
      <c r="D43" s="6">
        <f>IF($C43="","",HSI!$D$37)</f>
        <v/>
      </c>
      <c r="E43" s="6">
        <f>IF($C43="","",HSI!$E$37)</f>
        <v/>
      </c>
      <c r="F43" s="54">
        <f>IF($C43="","",HSI!$K$37)</f>
        <v/>
      </c>
      <c r="G43" s="69" t="n"/>
      <c r="H43" s="69" t="n"/>
      <c r="I43" s="69" t="n"/>
      <c r="J43" s="12" t="n"/>
      <c r="K43" s="70">
        <f>IF($C43="","",HSI!$L$37)</f>
        <v/>
      </c>
      <c r="L43" s="71">
        <f>IF(ISNUMBER($G43)=FALSE,"",IFERROR(($G43-$F43)*HSI!$B$37*HSI!$G$37/HSI!$B$3,""))</f>
        <v/>
      </c>
      <c r="M43" s="72">
        <f>IF($C43="","",IF((ISNUMBER($H43)*ISNUMBER($G43)*($H43&gt;$G43)+ISNUMBER($I43)*ISNUMBER($G43)*($I43&lt;$G43)+ISNUMBER($H43)*ISNUMBER($I43)*($H43&gt;$I43))&gt;0,"low/high crossed",""))</f>
        <v/>
      </c>
    </row>
    <row r="44">
      <c r="B44" s="52" t="inlineStr">
        <is>
          <t>HSI</t>
        </is>
      </c>
      <c r="C44" s="6">
        <f>IF(HSI!$C$38="","",HSI!$C$38)</f>
        <v/>
      </c>
      <c r="D44" s="6">
        <f>IF($C44="","",HSI!$D$38)</f>
        <v/>
      </c>
      <c r="E44" s="6">
        <f>IF($C44="","",HSI!$E$38)</f>
        <v/>
      </c>
      <c r="F44" s="54">
        <f>IF($C44="","",HSI!$K$38)</f>
        <v/>
      </c>
      <c r="G44" s="69" t="n"/>
      <c r="H44" s="69" t="n"/>
      <c r="I44" s="69" t="n"/>
      <c r="J44" s="12" t="n"/>
      <c r="K44" s="70">
        <f>IF($C44="","",HSI!$L$38)</f>
        <v/>
      </c>
      <c r="L44" s="71">
        <f>IF(ISNUMBER($G44)=FALSE,"",IFERROR(($G44-$F44)*HSI!$B$38*HSI!$G$38/HSI!$B$3,""))</f>
        <v/>
      </c>
      <c r="M44" s="72">
        <f>IF($C44="","",IF((ISNUMBER($H44)*ISNUMBER($G44)*($H44&gt;$G44)+ISNUMBER($I44)*ISNUMBER($G44)*($I44&lt;$G44)+ISNUMBER($H44)*ISNUMBER($I44)*($H44&gt;$I44))&gt;0,"low/high crossed",""))</f>
        <v/>
      </c>
    </row>
    <row r="45">
      <c r="B45" s="52" t="inlineStr">
        <is>
          <t>HSI</t>
        </is>
      </c>
      <c r="C45" s="6">
        <f>IF(HSI!$C$39="","",HSI!$C$39)</f>
        <v/>
      </c>
      <c r="D45" s="6">
        <f>IF($C45="","",HSI!$D$39)</f>
        <v/>
      </c>
      <c r="E45" s="6">
        <f>IF($C45="","",HSI!$E$39)</f>
        <v/>
      </c>
      <c r="F45" s="54">
        <f>IF($C45="","",HSI!$K$39)</f>
        <v/>
      </c>
      <c r="G45" s="69" t="n"/>
      <c r="H45" s="69" t="n"/>
      <c r="I45" s="69" t="n"/>
      <c r="J45" s="12" t="n"/>
      <c r="K45" s="70">
        <f>IF($C45="","",HSI!$L$39)</f>
        <v/>
      </c>
      <c r="L45" s="71">
        <f>IF(ISNUMBER($G45)=FALSE,"",IFERROR(($G45-$F45)*HSI!$B$39*HSI!$G$39/HSI!$B$3,""))</f>
        <v/>
      </c>
      <c r="M45" s="72">
        <f>IF($C45="","",IF((ISNUMBER($H45)*ISNUMBER($G45)*($H45&gt;$G45)+ISNUMBER($I45)*ISNUMBER($G45)*($I45&lt;$G45)+ISNUMBER($H45)*ISNUMBER($I45)*($H45&gt;$I45))&gt;0,"low/high crossed",""))</f>
        <v/>
      </c>
    </row>
    <row r="46">
      <c r="B46" s="52" t="inlineStr">
        <is>
          <t>HSI</t>
        </is>
      </c>
      <c r="C46" s="6">
        <f>IF(HSI!$C$40="","",HSI!$C$40)</f>
        <v/>
      </c>
      <c r="D46" s="6">
        <f>IF($C46="","",HSI!$D$40)</f>
        <v/>
      </c>
      <c r="E46" s="6">
        <f>IF($C46="","",HSI!$E$40)</f>
        <v/>
      </c>
      <c r="F46" s="54">
        <f>IF($C46="","",HSI!$K$40)</f>
        <v/>
      </c>
      <c r="G46" s="69" t="n"/>
      <c r="H46" s="69" t="n"/>
      <c r="I46" s="69" t="n"/>
      <c r="J46" s="12" t="n"/>
      <c r="K46" s="70">
        <f>IF($C46="","",HSI!$L$40)</f>
        <v/>
      </c>
      <c r="L46" s="71">
        <f>IF(ISNUMBER($G46)=FALSE,"",IFERROR(($G46-$F46)*HSI!$B$40*HSI!$G$40/HSI!$B$3,""))</f>
        <v/>
      </c>
      <c r="M46" s="72">
        <f>IF($C46="","",IF((ISNUMBER($H46)*ISNUMBER($G46)*($H46&gt;$G46)+ISNUMBER($I46)*ISNUMBER($G46)*($I46&lt;$G46)+ISNUMBER($H46)*ISNUMBER($I46)*($H46&gt;$I46))&gt;0,"low/high crossed",""))</f>
        <v/>
      </c>
    </row>
    <row r="47">
      <c r="B47" s="52" t="inlineStr">
        <is>
          <t>HSI</t>
        </is>
      </c>
      <c r="C47" s="6">
        <f>IF(HSI!$C$41="","",HSI!$C$41)</f>
        <v/>
      </c>
      <c r="D47" s="6">
        <f>IF($C47="","",HSI!$D$41)</f>
        <v/>
      </c>
      <c r="E47" s="6">
        <f>IF($C47="","",HSI!$E$41)</f>
        <v/>
      </c>
      <c r="F47" s="54">
        <f>IF($C47="","",HSI!$K$41)</f>
        <v/>
      </c>
      <c r="G47" s="69" t="n"/>
      <c r="H47" s="69" t="n"/>
      <c r="I47" s="69" t="n"/>
      <c r="J47" s="12" t="n"/>
      <c r="K47" s="70">
        <f>IF($C47="","",HSI!$L$41)</f>
        <v/>
      </c>
      <c r="L47" s="71">
        <f>IF(ISNUMBER($G47)=FALSE,"",IFERROR(($G47-$F47)*HSI!$B$41*HSI!$G$41/HSI!$B$3,""))</f>
        <v/>
      </c>
      <c r="M47" s="72">
        <f>IF($C47="","",IF((ISNUMBER($H47)*ISNUMBER($G47)*($H47&gt;$G47)+ISNUMBER($I47)*ISNUMBER($G47)*($I47&lt;$G47)+ISNUMBER($H47)*ISNUMBER($I47)*($H47&gt;$I47))&gt;0,"low/high crossed",""))</f>
        <v/>
      </c>
    </row>
    <row r="48">
      <c r="B48" s="52" t="inlineStr">
        <is>
          <t>HSI</t>
        </is>
      </c>
      <c r="C48" s="6">
        <f>IF(HSI!$C$42="","",HSI!$C$42)</f>
        <v/>
      </c>
      <c r="D48" s="6">
        <f>IF($C48="","",HSI!$D$42)</f>
        <v/>
      </c>
      <c r="E48" s="6">
        <f>IF($C48="","",HSI!$E$42)</f>
        <v/>
      </c>
      <c r="F48" s="54">
        <f>IF($C48="","",HSI!$K$42)</f>
        <v/>
      </c>
      <c r="G48" s="69" t="n"/>
      <c r="H48" s="69" t="n"/>
      <c r="I48" s="69" t="n"/>
      <c r="J48" s="12" t="n"/>
      <c r="K48" s="70">
        <f>IF($C48="","",HSI!$L$42)</f>
        <v/>
      </c>
      <c r="L48" s="71">
        <f>IF(ISNUMBER($G48)=FALSE,"",IFERROR(($G48-$F48)*HSI!$B$42*HSI!$G$42/HSI!$B$3,""))</f>
        <v/>
      </c>
      <c r="M48" s="72">
        <f>IF($C48="","",IF((ISNUMBER($H48)*ISNUMBER($G48)*($H48&gt;$G48)+ISNUMBER($I48)*ISNUMBER($G48)*($I48&lt;$G48)+ISNUMBER($H48)*ISNUMBER($I48)*($H48&gt;$I48))&gt;0,"low/high crossed",""))</f>
        <v/>
      </c>
    </row>
    <row r="49">
      <c r="B49" s="52" t="inlineStr">
        <is>
          <t>HSI</t>
        </is>
      </c>
      <c r="C49" s="6">
        <f>IF(HSI!$C$43="","",HSI!$C$43)</f>
        <v/>
      </c>
      <c r="D49" s="6">
        <f>IF($C49="","",HSI!$D$43)</f>
        <v/>
      </c>
      <c r="E49" s="6">
        <f>IF($C49="","",HSI!$E$43)</f>
        <v/>
      </c>
      <c r="F49" s="54">
        <f>IF($C49="","",HSI!$K$43)</f>
        <v/>
      </c>
      <c r="G49" s="69" t="n"/>
      <c r="H49" s="69" t="n"/>
      <c r="I49" s="69" t="n"/>
      <c r="J49" s="12" t="n"/>
      <c r="K49" s="70">
        <f>IF($C49="","",HSI!$L$43)</f>
        <v/>
      </c>
      <c r="L49" s="71">
        <f>IF(ISNUMBER($G49)=FALSE,"",IFERROR(($G49-$F49)*HSI!$B$43*HSI!$G$43/HSI!$B$3,""))</f>
        <v/>
      </c>
      <c r="M49" s="72">
        <f>IF($C49="","",IF((ISNUMBER($H49)*ISNUMBER($G49)*($H49&gt;$G49)+ISNUMBER($I49)*ISNUMBER($G49)*($I49&lt;$G49)+ISNUMBER($H49)*ISNUMBER($I49)*($H49&gt;$I49))&gt;0,"low/high crossed",""))</f>
        <v/>
      </c>
    </row>
    <row r="50">
      <c r="B50" s="52" t="inlineStr">
        <is>
          <t>HSI</t>
        </is>
      </c>
      <c r="C50" s="6">
        <f>IF(HSI!$C$44="","",HSI!$C$44)</f>
        <v/>
      </c>
      <c r="D50" s="6">
        <f>IF($C50="","",HSI!$D$44)</f>
        <v/>
      </c>
      <c r="E50" s="6">
        <f>IF($C50="","",HSI!$E$44)</f>
        <v/>
      </c>
      <c r="F50" s="54">
        <f>IF($C50="","",HSI!$K$44)</f>
        <v/>
      </c>
      <c r="G50" s="69" t="n"/>
      <c r="H50" s="69" t="n"/>
      <c r="I50" s="69" t="n"/>
      <c r="J50" s="12" t="n"/>
      <c r="K50" s="70">
        <f>IF($C50="","",HSI!$L$44)</f>
        <v/>
      </c>
      <c r="L50" s="71">
        <f>IF(ISNUMBER($G50)=FALSE,"",IFERROR(($G50-$F50)*HSI!$B$44*HSI!$G$44/HSI!$B$3,""))</f>
        <v/>
      </c>
      <c r="M50" s="72">
        <f>IF($C50="","",IF((ISNUMBER($H50)*ISNUMBER($G50)*($H50&gt;$G50)+ISNUMBER($I50)*ISNUMBER($G50)*($I50&lt;$G50)+ISNUMBER($H50)*ISNUMBER($I50)*($H50&gt;$I50))&gt;0,"low/high crossed",""))</f>
        <v/>
      </c>
    </row>
    <row r="51">
      <c r="B51" s="52" t="inlineStr">
        <is>
          <t>HSI</t>
        </is>
      </c>
      <c r="C51" s="6">
        <f>IF(HSI!$C$45="","",HSI!$C$45)</f>
        <v/>
      </c>
      <c r="D51" s="6">
        <f>IF($C51="","",HSI!$D$45)</f>
        <v/>
      </c>
      <c r="E51" s="6">
        <f>IF($C51="","",HSI!$E$45)</f>
        <v/>
      </c>
      <c r="F51" s="54">
        <f>IF($C51="","",HSI!$K$45)</f>
        <v/>
      </c>
      <c r="G51" s="69" t="n"/>
      <c r="H51" s="69" t="n"/>
      <c r="I51" s="69" t="n"/>
      <c r="J51" s="12" t="n"/>
      <c r="K51" s="70">
        <f>IF($C51="","",HSI!$L$45)</f>
        <v/>
      </c>
      <c r="L51" s="71">
        <f>IF(ISNUMBER($G51)=FALSE,"",IFERROR(($G51-$F51)*HSI!$B$45*HSI!$G$45/HSI!$B$3,""))</f>
        <v/>
      </c>
      <c r="M51" s="72">
        <f>IF($C51="","",IF((ISNUMBER($H51)*ISNUMBER($G51)*($H51&gt;$G51)+ISNUMBER($I51)*ISNUMBER($G51)*($I51&lt;$G51)+ISNUMBER($H51)*ISNUMBER($I51)*($H51&gt;$I51))&gt;0,"low/high crossed",""))</f>
        <v/>
      </c>
    </row>
    <row r="52">
      <c r="B52" s="52" t="inlineStr">
        <is>
          <t>HSI</t>
        </is>
      </c>
      <c r="C52" s="6">
        <f>IF(HSI!$C$46="","",HSI!$C$46)</f>
        <v/>
      </c>
      <c r="D52" s="6">
        <f>IF($C52="","",HSI!$D$46)</f>
        <v/>
      </c>
      <c r="E52" s="6">
        <f>IF($C52="","",HSI!$E$46)</f>
        <v/>
      </c>
      <c r="F52" s="54">
        <f>IF($C52="","",HSI!$K$46)</f>
        <v/>
      </c>
      <c r="G52" s="69" t="n"/>
      <c r="H52" s="69" t="n"/>
      <c r="I52" s="69" t="n"/>
      <c r="J52" s="12" t="n"/>
      <c r="K52" s="70">
        <f>IF($C52="","",HSI!$L$46)</f>
        <v/>
      </c>
      <c r="L52" s="71">
        <f>IF(ISNUMBER($G52)=FALSE,"",IFERROR(($G52-$F52)*HSI!$B$46*HSI!$G$46/HSI!$B$3,""))</f>
        <v/>
      </c>
      <c r="M52" s="72">
        <f>IF($C52="","",IF((ISNUMBER($H52)*ISNUMBER($G52)*($H52&gt;$G52)+ISNUMBER($I52)*ISNUMBER($G52)*($I52&lt;$G52)+ISNUMBER($H52)*ISNUMBER($I52)*($H52&gt;$I52))&gt;0,"low/high crossed",""))</f>
        <v/>
      </c>
    </row>
    <row r="53">
      <c r="B53" s="52" t="inlineStr">
        <is>
          <t>HSI</t>
        </is>
      </c>
      <c r="C53" s="6">
        <f>IF(HSI!$C$47="","",HSI!$C$47)</f>
        <v/>
      </c>
      <c r="D53" s="6">
        <f>IF($C53="","",HSI!$D$47)</f>
        <v/>
      </c>
      <c r="E53" s="6">
        <f>IF($C53="","",HSI!$E$47)</f>
        <v/>
      </c>
      <c r="F53" s="54">
        <f>IF($C53="","",HSI!$K$47)</f>
        <v/>
      </c>
      <c r="G53" s="69" t="n"/>
      <c r="H53" s="69" t="n"/>
      <c r="I53" s="69" t="n"/>
      <c r="J53" s="12" t="n"/>
      <c r="K53" s="70">
        <f>IF($C53="","",HSI!$L$47)</f>
        <v/>
      </c>
      <c r="L53" s="71">
        <f>IF(ISNUMBER($G53)=FALSE,"",IFERROR(($G53-$F53)*HSI!$B$47*HSI!$G$47/HSI!$B$3,""))</f>
        <v/>
      </c>
      <c r="M53" s="72">
        <f>IF($C53="","",IF((ISNUMBER($H53)*ISNUMBER($G53)*($H53&gt;$G53)+ISNUMBER($I53)*ISNUMBER($G53)*($I53&lt;$G53)+ISNUMBER($H53)*ISNUMBER($I53)*($H53&gt;$I53))&gt;0,"low/high crossed",""))</f>
        <v/>
      </c>
    </row>
    <row r="54">
      <c r="B54" s="52" t="inlineStr">
        <is>
          <t>HSI</t>
        </is>
      </c>
      <c r="C54" s="6">
        <f>IF(HSI!$C$48="","",HSI!$C$48)</f>
        <v/>
      </c>
      <c r="D54" s="6">
        <f>IF($C54="","",HSI!$D$48)</f>
        <v/>
      </c>
      <c r="E54" s="6">
        <f>IF($C54="","",HSI!$E$48)</f>
        <v/>
      </c>
      <c r="F54" s="54">
        <f>IF($C54="","",HSI!$K$48)</f>
        <v/>
      </c>
      <c r="G54" s="69" t="n"/>
      <c r="H54" s="69" t="n"/>
      <c r="I54" s="69" t="n"/>
      <c r="J54" s="12" t="n"/>
      <c r="K54" s="70">
        <f>IF($C54="","",HSI!$L$48)</f>
        <v/>
      </c>
      <c r="L54" s="71">
        <f>IF(ISNUMBER($G54)=FALSE,"",IFERROR(($G54-$F54)*HSI!$B$48*HSI!$G$48/HSI!$B$3,""))</f>
        <v/>
      </c>
      <c r="M54" s="72">
        <f>IF($C54="","",IF((ISNUMBER($H54)*ISNUMBER($G54)*($H54&gt;$G54)+ISNUMBER($I54)*ISNUMBER($G54)*($I54&lt;$G54)+ISNUMBER($H54)*ISNUMBER($I54)*($H54&gt;$I54))&gt;0,"low/high crossed",""))</f>
        <v/>
      </c>
    </row>
    <row r="55">
      <c r="B55" s="52" t="inlineStr">
        <is>
          <t>HSI</t>
        </is>
      </c>
      <c r="C55" s="6">
        <f>IF(HSI!$C$49="","",HSI!$C$49)</f>
        <v/>
      </c>
      <c r="D55" s="6">
        <f>IF($C55="","",HSI!$D$49)</f>
        <v/>
      </c>
      <c r="E55" s="6">
        <f>IF($C55="","",HSI!$E$49)</f>
        <v/>
      </c>
      <c r="F55" s="54">
        <f>IF($C55="","",HSI!$K$49)</f>
        <v/>
      </c>
      <c r="G55" s="69" t="n"/>
      <c r="H55" s="69" t="n"/>
      <c r="I55" s="69" t="n"/>
      <c r="J55" s="12" t="n"/>
      <c r="K55" s="70">
        <f>IF($C55="","",HSI!$L$49)</f>
        <v/>
      </c>
      <c r="L55" s="71">
        <f>IF(ISNUMBER($G55)=FALSE,"",IFERROR(($G55-$F55)*HSI!$B$49*HSI!$G$49/HSI!$B$3,""))</f>
        <v/>
      </c>
      <c r="M55" s="72">
        <f>IF($C55="","",IF((ISNUMBER($H55)*ISNUMBER($G55)*($H55&gt;$G55)+ISNUMBER($I55)*ISNUMBER($G55)*($I55&lt;$G55)+ISNUMBER($H55)*ISNUMBER($I55)*($H55&gt;$I55))&gt;0,"low/high crossed",""))</f>
        <v/>
      </c>
    </row>
    <row r="56">
      <c r="B56" s="52" t="inlineStr">
        <is>
          <t>HSI</t>
        </is>
      </c>
      <c r="C56" s="6">
        <f>IF(HSI!$C$50="","",HSI!$C$50)</f>
        <v/>
      </c>
      <c r="D56" s="6">
        <f>IF($C56="","",HSI!$D$50)</f>
        <v/>
      </c>
      <c r="E56" s="6">
        <f>IF($C56="","",HSI!$E$50)</f>
        <v/>
      </c>
      <c r="F56" s="54">
        <f>IF($C56="","",HSI!$K$50)</f>
        <v/>
      </c>
      <c r="G56" s="69" t="n"/>
      <c r="H56" s="69" t="n"/>
      <c r="I56" s="69" t="n"/>
      <c r="J56" s="12" t="n"/>
      <c r="K56" s="70">
        <f>IF($C56="","",HSI!$L$50)</f>
        <v/>
      </c>
      <c r="L56" s="71">
        <f>IF(ISNUMBER($G56)=FALSE,"",IFERROR(($G56-$F56)*HSI!$B$50*HSI!$G$50/HSI!$B$3,""))</f>
        <v/>
      </c>
      <c r="M56" s="72">
        <f>IF($C56="","",IF((ISNUMBER($H56)*ISNUMBER($G56)*($H56&gt;$G56)+ISNUMBER($I56)*ISNUMBER($G56)*($I56&lt;$G56)+ISNUMBER($H56)*ISNUMBER($I56)*($H56&gt;$I56))&gt;0,"low/high crossed",""))</f>
        <v/>
      </c>
    </row>
    <row r="57">
      <c r="B57" s="52" t="inlineStr">
        <is>
          <t>HSI</t>
        </is>
      </c>
      <c r="C57" s="6">
        <f>IF(HSI!$C$51="","",HSI!$C$51)</f>
        <v/>
      </c>
      <c r="D57" s="6">
        <f>IF($C57="","",HSI!$D$51)</f>
        <v/>
      </c>
      <c r="E57" s="6">
        <f>IF($C57="","",HSI!$E$51)</f>
        <v/>
      </c>
      <c r="F57" s="54">
        <f>IF($C57="","",HSI!$K$51)</f>
        <v/>
      </c>
      <c r="G57" s="69" t="n"/>
      <c r="H57" s="69" t="n"/>
      <c r="I57" s="69" t="n"/>
      <c r="J57" s="12" t="n"/>
      <c r="K57" s="70">
        <f>IF($C57="","",HSI!$L$51)</f>
        <v/>
      </c>
      <c r="L57" s="71">
        <f>IF(ISNUMBER($G57)=FALSE,"",IFERROR(($G57-$F57)*HSI!$B$51*HSI!$G$51/HSI!$B$3,""))</f>
        <v/>
      </c>
      <c r="M57" s="72">
        <f>IF($C57="","",IF((ISNUMBER($H57)*ISNUMBER($G57)*($H57&gt;$G57)+ISNUMBER($I57)*ISNUMBER($G57)*($I57&lt;$G57)+ISNUMBER($H57)*ISNUMBER($I57)*($H57&gt;$I57))&gt;0,"low/high crossed",""))</f>
        <v/>
      </c>
    </row>
    <row r="58">
      <c r="B58" s="52" t="inlineStr">
        <is>
          <t>HSI</t>
        </is>
      </c>
      <c r="C58" s="6">
        <f>IF(HSI!$C$52="","",HSI!$C$52)</f>
        <v/>
      </c>
      <c r="D58" s="6">
        <f>IF($C58="","",HSI!$D$52)</f>
        <v/>
      </c>
      <c r="E58" s="6">
        <f>IF($C58="","",HSI!$E$52)</f>
        <v/>
      </c>
      <c r="F58" s="54">
        <f>IF($C58="","",HSI!$K$52)</f>
        <v/>
      </c>
      <c r="G58" s="69" t="n"/>
      <c r="H58" s="69" t="n"/>
      <c r="I58" s="69" t="n"/>
      <c r="J58" s="12" t="n"/>
      <c r="K58" s="70">
        <f>IF($C58="","",HSI!$L$52)</f>
        <v/>
      </c>
      <c r="L58" s="71">
        <f>IF(ISNUMBER($G58)=FALSE,"",IFERROR(($G58-$F58)*HSI!$B$52*HSI!$G$52/HSI!$B$3,""))</f>
        <v/>
      </c>
      <c r="M58" s="72">
        <f>IF($C58="","",IF((ISNUMBER($H58)*ISNUMBER($G58)*($H58&gt;$G58)+ISNUMBER($I58)*ISNUMBER($G58)*($I58&lt;$G58)+ISNUMBER($H58)*ISNUMBER($I58)*($H58&gt;$I58))&gt;0,"low/high crossed",""))</f>
        <v/>
      </c>
    </row>
    <row r="59">
      <c r="B59" s="52" t="inlineStr">
        <is>
          <t>HSI</t>
        </is>
      </c>
      <c r="C59" s="6">
        <f>IF(HSI!$C$53="","",HSI!$C$53)</f>
        <v/>
      </c>
      <c r="D59" s="6">
        <f>IF($C59="","",HSI!$D$53)</f>
        <v/>
      </c>
      <c r="E59" s="6">
        <f>IF($C59="","",HSI!$E$53)</f>
        <v/>
      </c>
      <c r="F59" s="54">
        <f>IF($C59="","",HSI!$K$53)</f>
        <v/>
      </c>
      <c r="G59" s="69" t="n"/>
      <c r="H59" s="69" t="n"/>
      <c r="I59" s="69" t="n"/>
      <c r="J59" s="12" t="n"/>
      <c r="K59" s="70">
        <f>IF($C59="","",HSI!$L$53)</f>
        <v/>
      </c>
      <c r="L59" s="71">
        <f>IF(ISNUMBER($G59)=FALSE,"",IFERROR(($G59-$F59)*HSI!$B$53*HSI!$G$53/HSI!$B$3,""))</f>
        <v/>
      </c>
      <c r="M59" s="72">
        <f>IF($C59="","",IF((ISNUMBER($H59)*ISNUMBER($G59)*($H59&gt;$G59)+ISNUMBER($I59)*ISNUMBER($G59)*($I59&lt;$G59)+ISNUMBER($H59)*ISNUMBER($I59)*($H59&gt;$I59))&gt;0,"low/high crossed",""))</f>
        <v/>
      </c>
    </row>
    <row r="60">
      <c r="B60" s="52" t="inlineStr">
        <is>
          <t>HSI</t>
        </is>
      </c>
      <c r="C60" s="6">
        <f>IF(HSI!$C$54="","",HSI!$C$54)</f>
        <v/>
      </c>
      <c r="D60" s="6">
        <f>IF($C60="","",HSI!$D$54)</f>
        <v/>
      </c>
      <c r="E60" s="6">
        <f>IF($C60="","",HSI!$E$54)</f>
        <v/>
      </c>
      <c r="F60" s="54">
        <f>IF($C60="","",HSI!$K$54)</f>
        <v/>
      </c>
      <c r="G60" s="69" t="n"/>
      <c r="H60" s="69" t="n"/>
      <c r="I60" s="69" t="n"/>
      <c r="J60" s="12" t="n"/>
      <c r="K60" s="70">
        <f>IF($C60="","",HSI!$L$54)</f>
        <v/>
      </c>
      <c r="L60" s="71">
        <f>IF(ISNUMBER($G60)=FALSE,"",IFERROR(($G60-$F60)*HSI!$B$54*HSI!$G$54/HSI!$B$3,""))</f>
        <v/>
      </c>
      <c r="M60" s="72">
        <f>IF($C60="","",IF((ISNUMBER($H60)*ISNUMBER($G60)*($H60&gt;$G60)+ISNUMBER($I60)*ISNUMBER($G60)*($I60&lt;$G60)+ISNUMBER($H60)*ISNUMBER($I60)*($H60&gt;$I60))&gt;0,"low/high crossed",""))</f>
        <v/>
      </c>
    </row>
    <row r="61">
      <c r="B61" s="52" t="inlineStr">
        <is>
          <t>HSI</t>
        </is>
      </c>
      <c r="C61" s="6">
        <f>IF(HSI!$C$55="","",HSI!$C$55)</f>
        <v/>
      </c>
      <c r="D61" s="6">
        <f>IF($C61="","",HSI!$D$55)</f>
        <v/>
      </c>
      <c r="E61" s="6">
        <f>IF($C61="","",HSI!$E$55)</f>
        <v/>
      </c>
      <c r="F61" s="54">
        <f>IF($C61="","",HSI!$K$55)</f>
        <v/>
      </c>
      <c r="G61" s="69" t="n"/>
      <c r="H61" s="69" t="n"/>
      <c r="I61" s="69" t="n"/>
      <c r="J61" s="12" t="n"/>
      <c r="K61" s="70">
        <f>IF($C61="","",HSI!$L$55)</f>
        <v/>
      </c>
      <c r="L61" s="71">
        <f>IF(ISNUMBER($G61)=FALSE,"",IFERROR(($G61-$F61)*HSI!$B$55*HSI!$G$55/HSI!$B$3,""))</f>
        <v/>
      </c>
      <c r="M61" s="72">
        <f>IF($C61="","",IF((ISNUMBER($H61)*ISNUMBER($G61)*($H61&gt;$G61)+ISNUMBER($I61)*ISNUMBER($G61)*($I61&lt;$G61)+ISNUMBER($H61)*ISNUMBER($I61)*($H61&gt;$I61))&gt;0,"low/high crossed",""))</f>
        <v/>
      </c>
    </row>
    <row r="62">
      <c r="B62" s="52" t="inlineStr">
        <is>
          <t>HSI</t>
        </is>
      </c>
      <c r="C62" s="6">
        <f>IF(HSI!$C$56="","",HSI!$C$56)</f>
        <v/>
      </c>
      <c r="D62" s="6">
        <f>IF($C62="","",HSI!$D$56)</f>
        <v/>
      </c>
      <c r="E62" s="6">
        <f>IF($C62="","",HSI!$E$56)</f>
        <v/>
      </c>
      <c r="F62" s="54">
        <f>IF($C62="","",HSI!$K$56)</f>
        <v/>
      </c>
      <c r="G62" s="69" t="n"/>
      <c r="H62" s="69" t="n"/>
      <c r="I62" s="69" t="n"/>
      <c r="J62" s="12" t="n"/>
      <c r="K62" s="70">
        <f>IF($C62="","",HSI!$L$56)</f>
        <v/>
      </c>
      <c r="L62" s="71">
        <f>IF(ISNUMBER($G62)=FALSE,"",IFERROR(($G62-$F62)*HSI!$B$56*HSI!$G$56/HSI!$B$3,""))</f>
        <v/>
      </c>
      <c r="M62" s="72">
        <f>IF($C62="","",IF((ISNUMBER($H62)*ISNUMBER($G62)*($H62&gt;$G62)+ISNUMBER($I62)*ISNUMBER($G62)*($I62&lt;$G62)+ISNUMBER($H62)*ISNUMBER($I62)*($H62&gt;$I62))&gt;0,"low/high crossed",""))</f>
        <v/>
      </c>
    </row>
    <row r="63">
      <c r="B63" s="52" t="inlineStr">
        <is>
          <t>HSI</t>
        </is>
      </c>
      <c r="C63" s="6">
        <f>IF(HSI!$C$57="","",HSI!$C$57)</f>
        <v/>
      </c>
      <c r="D63" s="6">
        <f>IF($C63="","",HSI!$D$57)</f>
        <v/>
      </c>
      <c r="E63" s="6">
        <f>IF($C63="","",HSI!$E$57)</f>
        <v/>
      </c>
      <c r="F63" s="54">
        <f>IF($C63="","",HSI!$K$57)</f>
        <v/>
      </c>
      <c r="G63" s="69" t="n"/>
      <c r="H63" s="69" t="n"/>
      <c r="I63" s="69" t="n"/>
      <c r="J63" s="12" t="n"/>
      <c r="K63" s="70">
        <f>IF($C63="","",HSI!$L$57)</f>
        <v/>
      </c>
      <c r="L63" s="71">
        <f>IF(ISNUMBER($G63)=FALSE,"",IFERROR(($G63-$F63)*HSI!$B$57*HSI!$G$57/HSI!$B$3,""))</f>
        <v/>
      </c>
      <c r="M63" s="72">
        <f>IF($C63="","",IF((ISNUMBER($H63)*ISNUMBER($G63)*($H63&gt;$G63)+ISNUMBER($I63)*ISNUMBER($G63)*($I63&lt;$G63)+ISNUMBER($H63)*ISNUMBER($I63)*($H63&gt;$I63))&gt;0,"low/high crossed",""))</f>
        <v/>
      </c>
    </row>
    <row r="64">
      <c r="B64" s="52" t="inlineStr">
        <is>
          <t>HSI</t>
        </is>
      </c>
      <c r="C64" s="6">
        <f>IF(HSI!$C$58="","",HSI!$C$58)</f>
        <v/>
      </c>
      <c r="D64" s="6">
        <f>IF($C64="","",HSI!$D$58)</f>
        <v/>
      </c>
      <c r="E64" s="6">
        <f>IF($C64="","",HSI!$E$58)</f>
        <v/>
      </c>
      <c r="F64" s="54">
        <f>IF($C64="","",HSI!$K$58)</f>
        <v/>
      </c>
      <c r="G64" s="69" t="n"/>
      <c r="H64" s="69" t="n"/>
      <c r="I64" s="69" t="n"/>
      <c r="J64" s="12" t="n"/>
      <c r="K64" s="70">
        <f>IF($C64="","",HSI!$L$58)</f>
        <v/>
      </c>
      <c r="L64" s="71">
        <f>IF(ISNUMBER($G64)=FALSE,"",IFERROR(($G64-$F64)*HSI!$B$58*HSI!$G$58/HSI!$B$3,""))</f>
        <v/>
      </c>
      <c r="M64" s="72">
        <f>IF($C64="","",IF((ISNUMBER($H64)*ISNUMBER($G64)*($H64&gt;$G64)+ISNUMBER($I64)*ISNUMBER($G64)*($I64&lt;$G64)+ISNUMBER($H64)*ISNUMBER($I64)*($H64&gt;$I64))&gt;0,"low/high crossed",""))</f>
        <v/>
      </c>
    </row>
    <row r="65">
      <c r="B65" s="52" t="inlineStr">
        <is>
          <t>HSI</t>
        </is>
      </c>
      <c r="C65" s="6">
        <f>IF(HSI!$C$59="","",HSI!$C$59)</f>
        <v/>
      </c>
      <c r="D65" s="6">
        <f>IF($C65="","",HSI!$D$59)</f>
        <v/>
      </c>
      <c r="E65" s="6">
        <f>IF($C65="","",HSI!$E$59)</f>
        <v/>
      </c>
      <c r="F65" s="54">
        <f>IF($C65="","",HSI!$K$59)</f>
        <v/>
      </c>
      <c r="G65" s="69" t="n"/>
      <c r="H65" s="69" t="n"/>
      <c r="I65" s="69" t="n"/>
      <c r="J65" s="12" t="n"/>
      <c r="K65" s="70">
        <f>IF($C65="","",HSI!$L$59)</f>
        <v/>
      </c>
      <c r="L65" s="71">
        <f>IF(ISNUMBER($G65)=FALSE,"",IFERROR(($G65-$F65)*HSI!$B$59*HSI!$G$59/HSI!$B$3,""))</f>
        <v/>
      </c>
      <c r="M65" s="72">
        <f>IF($C65="","",IF((ISNUMBER($H65)*ISNUMBER($G65)*($H65&gt;$G65)+ISNUMBER($I65)*ISNUMBER($G65)*($I65&lt;$G65)+ISNUMBER($H65)*ISNUMBER($I65)*($H65&gt;$I65))&gt;0,"low/high crossed",""))</f>
        <v/>
      </c>
    </row>
    <row r="66">
      <c r="B66" s="52" t="inlineStr">
        <is>
          <t>HSI</t>
        </is>
      </c>
      <c r="C66" s="6">
        <f>IF(HSI!$C$60="","",HSI!$C$60)</f>
        <v/>
      </c>
      <c r="D66" s="6">
        <f>IF($C66="","",HSI!$D$60)</f>
        <v/>
      </c>
      <c r="E66" s="6">
        <f>IF($C66="","",HSI!$E$60)</f>
        <v/>
      </c>
      <c r="F66" s="54">
        <f>IF($C66="","",HSI!$K$60)</f>
        <v/>
      </c>
      <c r="G66" s="69" t="n"/>
      <c r="H66" s="69" t="n"/>
      <c r="I66" s="69" t="n"/>
      <c r="J66" s="12" t="n"/>
      <c r="K66" s="70">
        <f>IF($C66="","",HSI!$L$60)</f>
        <v/>
      </c>
      <c r="L66" s="71">
        <f>IF(ISNUMBER($G66)=FALSE,"",IFERROR(($G66-$F66)*HSI!$B$60*HSI!$G$60/HSI!$B$3,""))</f>
        <v/>
      </c>
      <c r="M66" s="72">
        <f>IF($C66="","",IF((ISNUMBER($H66)*ISNUMBER($G66)*($H66&gt;$G66)+ISNUMBER($I66)*ISNUMBER($G66)*($I66&lt;$G66)+ISNUMBER($H66)*ISNUMBER($I66)*($H66&gt;$I66))&gt;0,"low/high crossed",""))</f>
        <v/>
      </c>
    </row>
    <row r="67">
      <c r="B67" s="52" t="inlineStr">
        <is>
          <t>HSI</t>
        </is>
      </c>
      <c r="C67" s="6">
        <f>IF(HSI!$C$61="","",HSI!$C$61)</f>
        <v/>
      </c>
      <c r="D67" s="6">
        <f>IF($C67="","",HSI!$D$61)</f>
        <v/>
      </c>
      <c r="E67" s="6">
        <f>IF($C67="","",HSI!$E$61)</f>
        <v/>
      </c>
      <c r="F67" s="54">
        <f>IF($C67="","",HSI!$K$61)</f>
        <v/>
      </c>
      <c r="G67" s="69" t="n"/>
      <c r="H67" s="69" t="n"/>
      <c r="I67" s="69" t="n"/>
      <c r="J67" s="12" t="n"/>
      <c r="K67" s="70">
        <f>IF($C67="","",HSI!$L$61)</f>
        <v/>
      </c>
      <c r="L67" s="71">
        <f>IF(ISNUMBER($G67)=FALSE,"",IFERROR(($G67-$F67)*HSI!$B$61*HSI!$G$61/HSI!$B$3,""))</f>
        <v/>
      </c>
      <c r="M67" s="72">
        <f>IF($C67="","",IF((ISNUMBER($H67)*ISNUMBER($G67)*($H67&gt;$G67)+ISNUMBER($I67)*ISNUMBER($G67)*($I67&lt;$G67)+ISNUMBER($H67)*ISNUMBER($I67)*($H67&gt;$I67))&gt;0,"low/high crossed",""))</f>
        <v/>
      </c>
    </row>
    <row r="68">
      <c r="B68" s="52" t="inlineStr">
        <is>
          <t>HSI</t>
        </is>
      </c>
      <c r="C68" s="6">
        <f>IF(HSI!$C$62="","",HSI!$C$62)</f>
        <v/>
      </c>
      <c r="D68" s="6">
        <f>IF($C68="","",HSI!$D$62)</f>
        <v/>
      </c>
      <c r="E68" s="6">
        <f>IF($C68="","",HSI!$E$62)</f>
        <v/>
      </c>
      <c r="F68" s="54">
        <f>IF($C68="","",HSI!$K$62)</f>
        <v/>
      </c>
      <c r="G68" s="69" t="n"/>
      <c r="H68" s="69" t="n"/>
      <c r="I68" s="69" t="n"/>
      <c r="J68" s="12" t="n"/>
      <c r="K68" s="70">
        <f>IF($C68="","",HSI!$L$62)</f>
        <v/>
      </c>
      <c r="L68" s="71">
        <f>IF(ISNUMBER($G68)=FALSE,"",IFERROR(($G68-$F68)*HSI!$B$62*HSI!$G$62/HSI!$B$3,""))</f>
        <v/>
      </c>
      <c r="M68" s="72">
        <f>IF($C68="","",IF((ISNUMBER($H68)*ISNUMBER($G68)*($H68&gt;$G68)+ISNUMBER($I68)*ISNUMBER($G68)*($I68&lt;$G68)+ISNUMBER($H68)*ISNUMBER($I68)*($H68&gt;$I68))&gt;0,"low/high crossed",""))</f>
        <v/>
      </c>
    </row>
    <row r="69">
      <c r="B69" s="52" t="inlineStr">
        <is>
          <t>HSI</t>
        </is>
      </c>
      <c r="C69" s="6">
        <f>IF(HSI!$C$63="","",HSI!$C$63)</f>
        <v/>
      </c>
      <c r="D69" s="6">
        <f>IF($C69="","",HSI!$D$63)</f>
        <v/>
      </c>
      <c r="E69" s="6">
        <f>IF($C69="","",HSI!$E$63)</f>
        <v/>
      </c>
      <c r="F69" s="54">
        <f>IF($C69="","",HSI!$K$63)</f>
        <v/>
      </c>
      <c r="G69" s="69" t="n"/>
      <c r="H69" s="69" t="n"/>
      <c r="I69" s="69" t="n"/>
      <c r="J69" s="12" t="n"/>
      <c r="K69" s="70">
        <f>IF($C69="","",HSI!$L$63)</f>
        <v/>
      </c>
      <c r="L69" s="71">
        <f>IF(ISNUMBER($G69)=FALSE,"",IFERROR(($G69-$F69)*HSI!$B$63*HSI!$G$63/HSI!$B$3,""))</f>
        <v/>
      </c>
      <c r="M69" s="72">
        <f>IF($C69="","",IF((ISNUMBER($H69)*ISNUMBER($G69)*($H69&gt;$G69)+ISNUMBER($I69)*ISNUMBER($G69)*($I69&lt;$G69)+ISNUMBER($H69)*ISNUMBER($I69)*($H69&gt;$I69))&gt;0,"low/high crossed",""))</f>
        <v/>
      </c>
    </row>
    <row r="70">
      <c r="B70" s="52" t="inlineStr">
        <is>
          <t>HSI</t>
        </is>
      </c>
      <c r="C70" s="6">
        <f>IF(HSI!$C$64="","",HSI!$C$64)</f>
        <v/>
      </c>
      <c r="D70" s="6">
        <f>IF($C70="","",HSI!$D$64)</f>
        <v/>
      </c>
      <c r="E70" s="6">
        <f>IF($C70="","",HSI!$E$64)</f>
        <v/>
      </c>
      <c r="F70" s="54">
        <f>IF($C70="","",HSI!$K$64)</f>
        <v/>
      </c>
      <c r="G70" s="69" t="n"/>
      <c r="H70" s="69" t="n"/>
      <c r="I70" s="69" t="n"/>
      <c r="J70" s="12" t="n"/>
      <c r="K70" s="70">
        <f>IF($C70="","",HSI!$L$64)</f>
        <v/>
      </c>
      <c r="L70" s="71">
        <f>IF(ISNUMBER($G70)=FALSE,"",IFERROR(($G70-$F70)*HSI!$B$64*HSI!$G$64/HSI!$B$3,""))</f>
        <v/>
      </c>
      <c r="M70" s="72">
        <f>IF($C70="","",IF((ISNUMBER($H70)*ISNUMBER($G70)*($H70&gt;$G70)+ISNUMBER($I70)*ISNUMBER($G70)*($I70&lt;$G70)+ISNUMBER($H70)*ISNUMBER($I70)*($H70&gt;$I70))&gt;0,"low/high crossed",""))</f>
        <v/>
      </c>
    </row>
    <row r="71">
      <c r="B71" s="52" t="inlineStr">
        <is>
          <t>HSI</t>
        </is>
      </c>
      <c r="C71" s="6">
        <f>IF(HSI!$C$65="","",HSI!$C$65)</f>
        <v/>
      </c>
      <c r="D71" s="6">
        <f>IF($C71="","",HSI!$D$65)</f>
        <v/>
      </c>
      <c r="E71" s="6">
        <f>IF($C71="","",HSI!$E$65)</f>
        <v/>
      </c>
      <c r="F71" s="54">
        <f>IF($C71="","",HSI!$K$65)</f>
        <v/>
      </c>
      <c r="G71" s="69" t="n"/>
      <c r="H71" s="69" t="n"/>
      <c r="I71" s="69" t="n"/>
      <c r="J71" s="12" t="n"/>
      <c r="K71" s="70">
        <f>IF($C71="","",HSI!$L$65)</f>
        <v/>
      </c>
      <c r="L71" s="71">
        <f>IF(ISNUMBER($G71)=FALSE,"",IFERROR(($G71-$F71)*HSI!$B$65*HSI!$G$65/HSI!$B$3,""))</f>
        <v/>
      </c>
      <c r="M71" s="72">
        <f>IF($C71="","",IF((ISNUMBER($H71)*ISNUMBER($G71)*($H71&gt;$G71)+ISNUMBER($I71)*ISNUMBER($G71)*($I71&lt;$G71)+ISNUMBER($H71)*ISNUMBER($I71)*($H71&gt;$I71))&gt;0,"low/high crossed",""))</f>
        <v/>
      </c>
    </row>
    <row r="72">
      <c r="B72" s="52" t="inlineStr">
        <is>
          <t>HSI</t>
        </is>
      </c>
      <c r="C72" s="6">
        <f>IF(HSI!$C$66="","",HSI!$C$66)</f>
        <v/>
      </c>
      <c r="D72" s="6">
        <f>IF($C72="","",HSI!$D$66)</f>
        <v/>
      </c>
      <c r="E72" s="6">
        <f>IF($C72="","",HSI!$E$66)</f>
        <v/>
      </c>
      <c r="F72" s="54">
        <f>IF($C72="","",HSI!$K$66)</f>
        <v/>
      </c>
      <c r="G72" s="69" t="n"/>
      <c r="H72" s="69" t="n"/>
      <c r="I72" s="69" t="n"/>
      <c r="J72" s="12" t="n"/>
      <c r="K72" s="70">
        <f>IF($C72="","",HSI!$L$66)</f>
        <v/>
      </c>
      <c r="L72" s="71">
        <f>IF(ISNUMBER($G72)=FALSE,"",IFERROR(($G72-$F72)*HSI!$B$66*HSI!$G$66/HSI!$B$3,""))</f>
        <v/>
      </c>
      <c r="M72" s="72">
        <f>IF($C72="","",IF((ISNUMBER($H72)*ISNUMBER($G72)*($H72&gt;$G72)+ISNUMBER($I72)*ISNUMBER($G72)*($I72&lt;$G72)+ISNUMBER($H72)*ISNUMBER($I72)*($H72&gt;$I72))&gt;0,"low/high crossed",""))</f>
        <v/>
      </c>
    </row>
    <row r="73">
      <c r="B73" s="52" t="inlineStr">
        <is>
          <t>HSI</t>
        </is>
      </c>
      <c r="C73" s="6">
        <f>IF(HSI!$C$67="","",HSI!$C$67)</f>
        <v/>
      </c>
      <c r="D73" s="6">
        <f>IF($C73="","",HSI!$D$67)</f>
        <v/>
      </c>
      <c r="E73" s="6">
        <f>IF($C73="","",HSI!$E$67)</f>
        <v/>
      </c>
      <c r="F73" s="54">
        <f>IF($C73="","",HSI!$K$67)</f>
        <v/>
      </c>
      <c r="G73" s="69" t="n"/>
      <c r="H73" s="69" t="n"/>
      <c r="I73" s="69" t="n"/>
      <c r="J73" s="12" t="n"/>
      <c r="K73" s="70">
        <f>IF($C73="","",HSI!$L$67)</f>
        <v/>
      </c>
      <c r="L73" s="71">
        <f>IF(ISNUMBER($G73)=FALSE,"",IFERROR(($G73-$F73)*HSI!$B$67*HSI!$G$67/HSI!$B$3,""))</f>
        <v/>
      </c>
      <c r="M73" s="72">
        <f>IF($C73="","",IF((ISNUMBER($H73)*ISNUMBER($G73)*($H73&gt;$G73)+ISNUMBER($I73)*ISNUMBER($G73)*($I73&lt;$G73)+ISNUMBER($H73)*ISNUMBER($I73)*($H73&gt;$I73))&gt;0,"low/high crossed",""))</f>
        <v/>
      </c>
    </row>
    <row r="74">
      <c r="B74" s="52" t="inlineStr">
        <is>
          <t>HSI</t>
        </is>
      </c>
      <c r="C74" s="6">
        <f>IF(HSI!$C$68="","",HSI!$C$68)</f>
        <v/>
      </c>
      <c r="D74" s="6">
        <f>IF($C74="","",HSI!$D$68)</f>
        <v/>
      </c>
      <c r="E74" s="6">
        <f>IF($C74="","",HSI!$E$68)</f>
        <v/>
      </c>
      <c r="F74" s="54">
        <f>IF($C74="","",HSI!$K$68)</f>
        <v/>
      </c>
      <c r="G74" s="69" t="n"/>
      <c r="H74" s="69" t="n"/>
      <c r="I74" s="69" t="n"/>
      <c r="J74" s="12" t="n"/>
      <c r="K74" s="70">
        <f>IF($C74="","",HSI!$L$68)</f>
        <v/>
      </c>
      <c r="L74" s="71">
        <f>IF(ISNUMBER($G74)=FALSE,"",IFERROR(($G74-$F74)*HSI!$B$68*HSI!$G$68/HSI!$B$3,""))</f>
        <v/>
      </c>
      <c r="M74" s="72">
        <f>IF($C74="","",IF((ISNUMBER($H74)*ISNUMBER($G74)*($H74&gt;$G74)+ISNUMBER($I74)*ISNUMBER($G74)*($I74&lt;$G74)+ISNUMBER($H74)*ISNUMBER($I74)*($H74&gt;$I74))&gt;0,"low/high crossed",""))</f>
        <v/>
      </c>
    </row>
    <row r="75">
      <c r="B75" s="52" t="inlineStr">
        <is>
          <t>HSI</t>
        </is>
      </c>
      <c r="C75" s="6">
        <f>IF(HSI!$C$69="","",HSI!$C$69)</f>
        <v/>
      </c>
      <c r="D75" s="6">
        <f>IF($C75="","",HSI!$D$69)</f>
        <v/>
      </c>
      <c r="E75" s="6">
        <f>IF($C75="","",HSI!$E$69)</f>
        <v/>
      </c>
      <c r="F75" s="54">
        <f>IF($C75="","",HSI!$K$69)</f>
        <v/>
      </c>
      <c r="G75" s="69" t="n"/>
      <c r="H75" s="69" t="n"/>
      <c r="I75" s="69" t="n"/>
      <c r="J75" s="12" t="n"/>
      <c r="K75" s="70">
        <f>IF($C75="","",HSI!$L$69)</f>
        <v/>
      </c>
      <c r="L75" s="71">
        <f>IF(ISNUMBER($G75)=FALSE,"",IFERROR(($G75-$F75)*HSI!$B$69*HSI!$G$69/HSI!$B$3,""))</f>
        <v/>
      </c>
      <c r="M75" s="72">
        <f>IF($C75="","",IF((ISNUMBER($H75)*ISNUMBER($G75)*($H75&gt;$G75)+ISNUMBER($I75)*ISNUMBER($G75)*($I75&lt;$G75)+ISNUMBER($H75)*ISNUMBER($I75)*($H75&gt;$I75))&gt;0,"low/high crossed",""))</f>
        <v/>
      </c>
    </row>
    <row r="76">
      <c r="B76" s="52" t="inlineStr">
        <is>
          <t>HSI</t>
        </is>
      </c>
      <c r="C76" s="6">
        <f>IF(HSI!$C$70="","",HSI!$C$70)</f>
        <v/>
      </c>
      <c r="D76" s="6">
        <f>IF($C76="","",HSI!$D$70)</f>
        <v/>
      </c>
      <c r="E76" s="6">
        <f>IF($C76="","",HSI!$E$70)</f>
        <v/>
      </c>
      <c r="F76" s="54">
        <f>IF($C76="","",HSI!$K$70)</f>
        <v/>
      </c>
      <c r="G76" s="69" t="n"/>
      <c r="H76" s="69" t="n"/>
      <c r="I76" s="69" t="n"/>
      <c r="J76" s="12" t="n"/>
      <c r="K76" s="70">
        <f>IF($C76="","",HSI!$L$70)</f>
        <v/>
      </c>
      <c r="L76" s="71">
        <f>IF(ISNUMBER($G76)=FALSE,"",IFERROR(($G76-$F76)*HSI!$B$70*HSI!$G$70/HSI!$B$3,""))</f>
        <v/>
      </c>
      <c r="M76" s="72">
        <f>IF($C76="","",IF((ISNUMBER($H76)*ISNUMBER($G76)*($H76&gt;$G76)+ISNUMBER($I76)*ISNUMBER($G76)*($I76&lt;$G76)+ISNUMBER($H76)*ISNUMBER($I76)*($H76&gt;$I76))&gt;0,"low/high crossed",""))</f>
        <v/>
      </c>
    </row>
    <row r="77">
      <c r="B77" s="52" t="inlineStr">
        <is>
          <t>HSI</t>
        </is>
      </c>
      <c r="C77" s="6">
        <f>IF(HSI!$C$71="","",HSI!$C$71)</f>
        <v/>
      </c>
      <c r="D77" s="6">
        <f>IF($C77="","",HSI!$D$71)</f>
        <v/>
      </c>
      <c r="E77" s="6">
        <f>IF($C77="","",HSI!$E$71)</f>
        <v/>
      </c>
      <c r="F77" s="54">
        <f>IF($C77="","",HSI!$K$71)</f>
        <v/>
      </c>
      <c r="G77" s="69" t="n"/>
      <c r="H77" s="69" t="n"/>
      <c r="I77" s="69" t="n"/>
      <c r="J77" s="12" t="n"/>
      <c r="K77" s="70">
        <f>IF($C77="","",HSI!$L$71)</f>
        <v/>
      </c>
      <c r="L77" s="71">
        <f>IF(ISNUMBER($G77)=FALSE,"",IFERROR(($G77-$F77)*HSI!$B$71*HSI!$G$71/HSI!$B$3,""))</f>
        <v/>
      </c>
      <c r="M77" s="72">
        <f>IF($C77="","",IF((ISNUMBER($H77)*ISNUMBER($G77)*($H77&gt;$G77)+ISNUMBER($I77)*ISNUMBER($G77)*($I77&lt;$G77)+ISNUMBER($H77)*ISNUMBER($I77)*($H77&gt;$I77))&gt;0,"low/high crossed",""))</f>
        <v/>
      </c>
    </row>
    <row r="78">
      <c r="B78" s="52" t="inlineStr">
        <is>
          <t>HSI</t>
        </is>
      </c>
      <c r="C78" s="6">
        <f>IF(HSI!$C$72="","",HSI!$C$72)</f>
        <v/>
      </c>
      <c r="D78" s="6">
        <f>IF($C78="","",HSI!$D$72)</f>
        <v/>
      </c>
      <c r="E78" s="6">
        <f>IF($C78="","",HSI!$E$72)</f>
        <v/>
      </c>
      <c r="F78" s="54">
        <f>IF($C78="","",HSI!$K$72)</f>
        <v/>
      </c>
      <c r="G78" s="69" t="n"/>
      <c r="H78" s="69" t="n"/>
      <c r="I78" s="69" t="n"/>
      <c r="J78" s="12" t="n"/>
      <c r="K78" s="70">
        <f>IF($C78="","",HSI!$L$72)</f>
        <v/>
      </c>
      <c r="L78" s="71">
        <f>IF(ISNUMBER($G78)=FALSE,"",IFERROR(($G78-$F78)*HSI!$B$72*HSI!$G$72/HSI!$B$3,""))</f>
        <v/>
      </c>
      <c r="M78" s="72">
        <f>IF($C78="","",IF((ISNUMBER($H78)*ISNUMBER($G78)*($H78&gt;$G78)+ISNUMBER($I78)*ISNUMBER($G78)*($I78&lt;$G78)+ISNUMBER($H78)*ISNUMBER($I78)*($H78&gt;$I78))&gt;0,"low/high crossed",""))</f>
        <v/>
      </c>
    </row>
    <row r="79">
      <c r="B79" s="52" t="inlineStr">
        <is>
          <t>HSI</t>
        </is>
      </c>
      <c r="C79" s="6">
        <f>IF(HSI!$C$73="","",HSI!$C$73)</f>
        <v/>
      </c>
      <c r="D79" s="6">
        <f>IF($C79="","",HSI!$D$73)</f>
        <v/>
      </c>
      <c r="E79" s="6">
        <f>IF($C79="","",HSI!$E$73)</f>
        <v/>
      </c>
      <c r="F79" s="54">
        <f>IF($C79="","",HSI!$K$73)</f>
        <v/>
      </c>
      <c r="G79" s="69" t="n"/>
      <c r="H79" s="69" t="n"/>
      <c r="I79" s="69" t="n"/>
      <c r="J79" s="12" t="n"/>
      <c r="K79" s="70">
        <f>IF($C79="","",HSI!$L$73)</f>
        <v/>
      </c>
      <c r="L79" s="71">
        <f>IF(ISNUMBER($G79)=FALSE,"",IFERROR(($G79-$F79)*HSI!$B$73*HSI!$G$73/HSI!$B$3,""))</f>
        <v/>
      </c>
      <c r="M79" s="72">
        <f>IF($C79="","",IF((ISNUMBER($H79)*ISNUMBER($G79)*($H79&gt;$G79)+ISNUMBER($I79)*ISNUMBER($G79)*($I79&lt;$G79)+ISNUMBER($H79)*ISNUMBER($I79)*($H79&gt;$I79))&gt;0,"low/high crossed",""))</f>
        <v/>
      </c>
    </row>
    <row r="80">
      <c r="B80" s="52" t="inlineStr">
        <is>
          <t>HSI</t>
        </is>
      </c>
      <c r="C80" s="6">
        <f>IF(HSI!$C$74="","",HSI!$C$74)</f>
        <v/>
      </c>
      <c r="D80" s="6">
        <f>IF($C80="","",HSI!$D$74)</f>
        <v/>
      </c>
      <c r="E80" s="6">
        <f>IF($C80="","",HSI!$E$74)</f>
        <v/>
      </c>
      <c r="F80" s="54">
        <f>IF($C80="","",HSI!$K$74)</f>
        <v/>
      </c>
      <c r="G80" s="69" t="n"/>
      <c r="H80" s="69" t="n"/>
      <c r="I80" s="69" t="n"/>
      <c r="J80" s="12" t="n"/>
      <c r="K80" s="70">
        <f>IF($C80="","",HSI!$L$74)</f>
        <v/>
      </c>
      <c r="L80" s="71">
        <f>IF(ISNUMBER($G80)=FALSE,"",IFERROR(($G80-$F80)*HSI!$B$74*HSI!$G$74/HSI!$B$3,""))</f>
        <v/>
      </c>
      <c r="M80" s="72">
        <f>IF($C80="","",IF((ISNUMBER($H80)*ISNUMBER($G80)*($H80&gt;$G80)+ISNUMBER($I80)*ISNUMBER($G80)*($I80&lt;$G80)+ISNUMBER($H80)*ISNUMBER($I80)*($H80&gt;$I80))&gt;0,"low/high crossed",""))</f>
        <v/>
      </c>
    </row>
    <row r="81">
      <c r="B81" s="52" t="inlineStr">
        <is>
          <t>HSI</t>
        </is>
      </c>
      <c r="C81" s="6">
        <f>IF(HSI!$C$75="","",HSI!$C$75)</f>
        <v/>
      </c>
      <c r="D81" s="6">
        <f>IF($C81="","",HSI!$D$75)</f>
        <v/>
      </c>
      <c r="E81" s="6">
        <f>IF($C81="","",HSI!$E$75)</f>
        <v/>
      </c>
      <c r="F81" s="54">
        <f>IF($C81="","",HSI!$K$75)</f>
        <v/>
      </c>
      <c r="G81" s="69" t="n"/>
      <c r="H81" s="69" t="n"/>
      <c r="I81" s="69" t="n"/>
      <c r="J81" s="12" t="n"/>
      <c r="K81" s="70">
        <f>IF($C81="","",HSI!$L$75)</f>
        <v/>
      </c>
      <c r="L81" s="71">
        <f>IF(ISNUMBER($G81)=FALSE,"",IFERROR(($G81-$F81)*HSI!$B$75*HSI!$G$75/HSI!$B$3,""))</f>
        <v/>
      </c>
      <c r="M81" s="72">
        <f>IF($C81="","",IF((ISNUMBER($H81)*ISNUMBER($G81)*($H81&gt;$G81)+ISNUMBER($I81)*ISNUMBER($G81)*($I81&lt;$G81)+ISNUMBER($H81)*ISNUMBER($I81)*($H81&gt;$I81))&gt;0,"low/high crossed",""))</f>
        <v/>
      </c>
    </row>
    <row r="82">
      <c r="B82" s="52" t="inlineStr">
        <is>
          <t>HSI</t>
        </is>
      </c>
      <c r="C82" s="6">
        <f>IF(HSI!$C$76="","",HSI!$C$76)</f>
        <v/>
      </c>
      <c r="D82" s="6">
        <f>IF($C82="","",HSI!$D$76)</f>
        <v/>
      </c>
      <c r="E82" s="6">
        <f>IF($C82="","",HSI!$E$76)</f>
        <v/>
      </c>
      <c r="F82" s="54">
        <f>IF($C82="","",HSI!$K$76)</f>
        <v/>
      </c>
      <c r="G82" s="69" t="n"/>
      <c r="H82" s="69" t="n"/>
      <c r="I82" s="69" t="n"/>
      <c r="J82" s="12" t="n"/>
      <c r="K82" s="70">
        <f>IF($C82="","",HSI!$L$76)</f>
        <v/>
      </c>
      <c r="L82" s="71">
        <f>IF(ISNUMBER($G82)=FALSE,"",IFERROR(($G82-$F82)*HSI!$B$76*HSI!$G$76/HSI!$B$3,""))</f>
        <v/>
      </c>
      <c r="M82" s="72">
        <f>IF($C82="","",IF((ISNUMBER($H82)*ISNUMBER($G82)*($H82&gt;$G82)+ISNUMBER($I82)*ISNUMBER($G82)*($I82&lt;$G82)+ISNUMBER($H82)*ISNUMBER($I82)*($H82&gt;$I82))&gt;0,"low/high crossed",""))</f>
        <v/>
      </c>
    </row>
    <row r="83">
      <c r="B83" s="52" t="inlineStr">
        <is>
          <t>HSI</t>
        </is>
      </c>
      <c r="C83" s="6">
        <f>IF(HSI!$C$77="","",HSI!$C$77)</f>
        <v/>
      </c>
      <c r="D83" s="6">
        <f>IF($C83="","",HSI!$D$77)</f>
        <v/>
      </c>
      <c r="E83" s="6">
        <f>IF($C83="","",HSI!$E$77)</f>
        <v/>
      </c>
      <c r="F83" s="54">
        <f>IF($C83="","",HSI!$K$77)</f>
        <v/>
      </c>
      <c r="G83" s="69" t="n"/>
      <c r="H83" s="69" t="n"/>
      <c r="I83" s="69" t="n"/>
      <c r="J83" s="12" t="n"/>
      <c r="K83" s="70">
        <f>IF($C83="","",HSI!$L$77)</f>
        <v/>
      </c>
      <c r="L83" s="71">
        <f>IF(ISNUMBER($G83)=FALSE,"",IFERROR(($G83-$F83)*HSI!$B$77*HSI!$G$77/HSI!$B$3,""))</f>
        <v/>
      </c>
      <c r="M83" s="72">
        <f>IF($C83="","",IF((ISNUMBER($H83)*ISNUMBER($G83)*($H83&gt;$G83)+ISNUMBER($I83)*ISNUMBER($G83)*($I83&lt;$G83)+ISNUMBER($H83)*ISNUMBER($I83)*($H83&gt;$I83))&gt;0,"low/high crossed",""))</f>
        <v/>
      </c>
    </row>
    <row r="84">
      <c r="B84" s="52" t="inlineStr">
        <is>
          <t>HSI</t>
        </is>
      </c>
      <c r="C84" s="6">
        <f>IF(HSI!$C$78="","",HSI!$C$78)</f>
        <v/>
      </c>
      <c r="D84" s="6">
        <f>IF($C84="","",HSI!$D$78)</f>
        <v/>
      </c>
      <c r="E84" s="6">
        <f>IF($C84="","",HSI!$E$78)</f>
        <v/>
      </c>
      <c r="F84" s="54">
        <f>IF($C84="","",HSI!$K$78)</f>
        <v/>
      </c>
      <c r="G84" s="69" t="n"/>
      <c r="H84" s="69" t="n"/>
      <c r="I84" s="69" t="n"/>
      <c r="J84" s="12" t="n"/>
      <c r="K84" s="70">
        <f>IF($C84="","",HSI!$L$78)</f>
        <v/>
      </c>
      <c r="L84" s="71">
        <f>IF(ISNUMBER($G84)=FALSE,"",IFERROR(($G84-$F84)*HSI!$B$78*HSI!$G$78/HSI!$B$3,""))</f>
        <v/>
      </c>
      <c r="M84" s="72">
        <f>IF($C84="","",IF((ISNUMBER($H84)*ISNUMBER($G84)*($H84&gt;$G84)+ISNUMBER($I84)*ISNUMBER($G84)*($I84&lt;$G84)+ISNUMBER($H84)*ISNUMBER($I84)*($H84&gt;$I84))&gt;0,"low/high crossed",""))</f>
        <v/>
      </c>
    </row>
    <row r="85">
      <c r="B85" s="52" t="inlineStr">
        <is>
          <t>HSI</t>
        </is>
      </c>
      <c r="C85" s="6">
        <f>IF(HSI!$C$79="","",HSI!$C$79)</f>
        <v/>
      </c>
      <c r="D85" s="6">
        <f>IF($C85="","",HSI!$D$79)</f>
        <v/>
      </c>
      <c r="E85" s="6">
        <f>IF($C85="","",HSI!$E$79)</f>
        <v/>
      </c>
      <c r="F85" s="54">
        <f>IF($C85="","",HSI!$K$79)</f>
        <v/>
      </c>
      <c r="G85" s="69" t="n"/>
      <c r="H85" s="69" t="n"/>
      <c r="I85" s="69" t="n"/>
      <c r="J85" s="12" t="n"/>
      <c r="K85" s="70">
        <f>IF($C85="","",HSI!$L$79)</f>
        <v/>
      </c>
      <c r="L85" s="71">
        <f>IF(ISNUMBER($G85)=FALSE,"",IFERROR(($G85-$F85)*HSI!$B$79*HSI!$G$79/HSI!$B$3,""))</f>
        <v/>
      </c>
      <c r="M85" s="72">
        <f>IF($C85="","",IF((ISNUMBER($H85)*ISNUMBER($G85)*($H85&gt;$G85)+ISNUMBER($I85)*ISNUMBER($G85)*($I85&lt;$G85)+ISNUMBER($H85)*ISNUMBER($I85)*($H85&gt;$I85))&gt;0,"low/high crossed",""))</f>
        <v/>
      </c>
    </row>
    <row r="86">
      <c r="B86" s="52" t="inlineStr">
        <is>
          <t>HSI</t>
        </is>
      </c>
      <c r="C86" s="6">
        <f>IF(HSI!$C$80="","",HSI!$C$80)</f>
        <v/>
      </c>
      <c r="D86" s="6">
        <f>IF($C86="","",HSI!$D$80)</f>
        <v/>
      </c>
      <c r="E86" s="6">
        <f>IF($C86="","",HSI!$E$80)</f>
        <v/>
      </c>
      <c r="F86" s="54">
        <f>IF($C86="","",HSI!$K$80)</f>
        <v/>
      </c>
      <c r="G86" s="69" t="n"/>
      <c r="H86" s="69" t="n"/>
      <c r="I86" s="69" t="n"/>
      <c r="J86" s="12" t="n"/>
      <c r="K86" s="70">
        <f>IF($C86="","",HSI!$L$80)</f>
        <v/>
      </c>
      <c r="L86" s="71">
        <f>IF(ISNUMBER($G86)=FALSE,"",IFERROR(($G86-$F86)*HSI!$B$80*HSI!$G$80/HSI!$B$3,""))</f>
        <v/>
      </c>
      <c r="M86" s="72">
        <f>IF($C86="","",IF((ISNUMBER($H86)*ISNUMBER($G86)*($H86&gt;$G86)+ISNUMBER($I86)*ISNUMBER($G86)*($I86&lt;$G86)+ISNUMBER($H86)*ISNUMBER($I86)*($H86&gt;$I86))&gt;0,"low/high crossed",""))</f>
        <v/>
      </c>
    </row>
    <row r="87">
      <c r="B87" s="52" t="inlineStr">
        <is>
          <t>HSI</t>
        </is>
      </c>
      <c r="C87" s="6">
        <f>IF(HSI!$C$81="","",HSI!$C$81)</f>
        <v/>
      </c>
      <c r="D87" s="6">
        <f>IF($C87="","",HSI!$D$81)</f>
        <v/>
      </c>
      <c r="E87" s="6">
        <f>IF($C87="","",HSI!$E$81)</f>
        <v/>
      </c>
      <c r="F87" s="54">
        <f>IF($C87="","",HSI!$K$81)</f>
        <v/>
      </c>
      <c r="G87" s="69" t="n"/>
      <c r="H87" s="69" t="n"/>
      <c r="I87" s="69" t="n"/>
      <c r="J87" s="12" t="n"/>
      <c r="K87" s="70">
        <f>IF($C87="","",HSI!$L$81)</f>
        <v/>
      </c>
      <c r="L87" s="71">
        <f>IF(ISNUMBER($G87)=FALSE,"",IFERROR(($G87-$F87)*HSI!$B$81*HSI!$G$81/HSI!$B$3,""))</f>
        <v/>
      </c>
      <c r="M87" s="72">
        <f>IF($C87="","",IF((ISNUMBER($H87)*ISNUMBER($G87)*($H87&gt;$G87)+ISNUMBER($I87)*ISNUMBER($G87)*($I87&lt;$G87)+ISNUMBER($H87)*ISNUMBER($I87)*($H87&gt;$I87))&gt;0,"low/high crossed",""))</f>
        <v/>
      </c>
    </row>
    <row r="88">
      <c r="B88" s="52" t="inlineStr">
        <is>
          <t>HSI</t>
        </is>
      </c>
      <c r="C88" s="6">
        <f>IF(HSI!$C$82="","",HSI!$C$82)</f>
        <v/>
      </c>
      <c r="D88" s="6">
        <f>IF($C88="","",HSI!$D$82)</f>
        <v/>
      </c>
      <c r="E88" s="6">
        <f>IF($C88="","",HSI!$E$82)</f>
        <v/>
      </c>
      <c r="F88" s="54">
        <f>IF($C88="","",HSI!$K$82)</f>
        <v/>
      </c>
      <c r="G88" s="69" t="n"/>
      <c r="H88" s="69" t="n"/>
      <c r="I88" s="69" t="n"/>
      <c r="J88" s="12" t="n"/>
      <c r="K88" s="70">
        <f>IF($C88="","",HSI!$L$82)</f>
        <v/>
      </c>
      <c r="L88" s="71">
        <f>IF(ISNUMBER($G88)=FALSE,"",IFERROR(($G88-$F88)*HSI!$B$82*HSI!$G$82/HSI!$B$3,""))</f>
        <v/>
      </c>
      <c r="M88" s="72">
        <f>IF($C88="","",IF((ISNUMBER($H88)*ISNUMBER($G88)*($H88&gt;$G88)+ISNUMBER($I88)*ISNUMBER($G88)*($I88&lt;$G88)+ISNUMBER($H88)*ISNUMBER($I88)*($H88&gt;$I88))&gt;0,"low/high crossed",""))</f>
        <v/>
      </c>
    </row>
    <row r="89">
      <c r="B89" s="52" t="inlineStr">
        <is>
          <t>HSI</t>
        </is>
      </c>
      <c r="C89" s="6">
        <f>IF(HSI!$C$83="","",HSI!$C$83)</f>
        <v/>
      </c>
      <c r="D89" s="6">
        <f>IF($C89="","",HSI!$D$83)</f>
        <v/>
      </c>
      <c r="E89" s="6">
        <f>IF($C89="","",HSI!$E$83)</f>
        <v/>
      </c>
      <c r="F89" s="54">
        <f>IF($C89="","",HSI!$K$83)</f>
        <v/>
      </c>
      <c r="G89" s="69" t="n"/>
      <c r="H89" s="69" t="n"/>
      <c r="I89" s="69" t="n"/>
      <c r="J89" s="12" t="n"/>
      <c r="K89" s="70">
        <f>IF($C89="","",HSI!$L$83)</f>
        <v/>
      </c>
      <c r="L89" s="71">
        <f>IF(ISNUMBER($G89)=FALSE,"",IFERROR(($G89-$F89)*HSI!$B$83*HSI!$G$83/HSI!$B$3,""))</f>
        <v/>
      </c>
      <c r="M89" s="72">
        <f>IF($C89="","",IF((ISNUMBER($H89)*ISNUMBER($G89)*($H89&gt;$G89)+ISNUMBER($I89)*ISNUMBER($G89)*($I89&lt;$G89)+ISNUMBER($H89)*ISNUMBER($I89)*($H89&gt;$I89))&gt;0,"low/high crossed",""))</f>
        <v/>
      </c>
    </row>
    <row r="90">
      <c r="B90" s="52" t="inlineStr">
        <is>
          <t>HSI</t>
        </is>
      </c>
      <c r="C90" s="6">
        <f>IF(HSI!$C$84="","",HSI!$C$84)</f>
        <v/>
      </c>
      <c r="D90" s="6">
        <f>IF($C90="","",HSI!$D$84)</f>
        <v/>
      </c>
      <c r="E90" s="6">
        <f>IF($C90="","",HSI!$E$84)</f>
        <v/>
      </c>
      <c r="F90" s="54">
        <f>IF($C90="","",HSI!$K$84)</f>
        <v/>
      </c>
      <c r="G90" s="69" t="n"/>
      <c r="H90" s="69" t="n"/>
      <c r="I90" s="69" t="n"/>
      <c r="J90" s="12" t="n"/>
      <c r="K90" s="70">
        <f>IF($C90="","",HSI!$L$84)</f>
        <v/>
      </c>
      <c r="L90" s="71">
        <f>IF(ISNUMBER($G90)=FALSE,"",IFERROR(($G90-$F90)*HSI!$B$84*HSI!$G$84/HSI!$B$3,""))</f>
        <v/>
      </c>
      <c r="M90" s="72">
        <f>IF($C90="","",IF((ISNUMBER($H90)*ISNUMBER($G90)*($H90&gt;$G90)+ISNUMBER($I90)*ISNUMBER($G90)*($I90&lt;$G90)+ISNUMBER($H90)*ISNUMBER($I90)*($H90&gt;$I90))&gt;0,"low/high crossed",""))</f>
        <v/>
      </c>
    </row>
    <row r="91">
      <c r="B91" s="52" t="inlineStr">
        <is>
          <t>HSI</t>
        </is>
      </c>
      <c r="C91" s="6">
        <f>IF(HSI!$C$85="","",HSI!$C$85)</f>
        <v/>
      </c>
      <c r="D91" s="6">
        <f>IF($C91="","",HSI!$D$85)</f>
        <v/>
      </c>
      <c r="E91" s="6">
        <f>IF($C91="","",HSI!$E$85)</f>
        <v/>
      </c>
      <c r="F91" s="54">
        <f>IF($C91="","",HSI!$K$85)</f>
        <v/>
      </c>
      <c r="G91" s="69" t="n"/>
      <c r="H91" s="69" t="n"/>
      <c r="I91" s="69" t="n"/>
      <c r="J91" s="12" t="n"/>
      <c r="K91" s="70">
        <f>IF($C91="","",HSI!$L$85)</f>
        <v/>
      </c>
      <c r="L91" s="71">
        <f>IF(ISNUMBER($G91)=FALSE,"",IFERROR(($G91-$F91)*HSI!$B$85*HSI!$G$85/HSI!$B$3,""))</f>
        <v/>
      </c>
      <c r="M91" s="72">
        <f>IF($C91="","",IF((ISNUMBER($H91)*ISNUMBER($G91)*($H91&gt;$G91)+ISNUMBER($I91)*ISNUMBER($G91)*($I91&lt;$G91)+ISNUMBER($H91)*ISNUMBER($I91)*($H91&gt;$I91))&gt;0,"low/high crossed",""))</f>
        <v/>
      </c>
    </row>
    <row r="92">
      <c r="B92" s="52" t="inlineStr">
        <is>
          <t>HSI</t>
        </is>
      </c>
      <c r="C92" s="6">
        <f>IF(HSI!$C$86="","",HSI!$C$86)</f>
        <v/>
      </c>
      <c r="D92" s="6">
        <f>IF($C92="","",HSI!$D$86)</f>
        <v/>
      </c>
      <c r="E92" s="6">
        <f>IF($C92="","",HSI!$E$86)</f>
        <v/>
      </c>
      <c r="F92" s="54">
        <f>IF($C92="","",HSI!$K$86)</f>
        <v/>
      </c>
      <c r="G92" s="69" t="n"/>
      <c r="H92" s="69" t="n"/>
      <c r="I92" s="69" t="n"/>
      <c r="J92" s="12" t="n"/>
      <c r="K92" s="70">
        <f>IF($C92="","",HSI!$L$86)</f>
        <v/>
      </c>
      <c r="L92" s="71">
        <f>IF(ISNUMBER($G92)=FALSE,"",IFERROR(($G92-$F92)*HSI!$B$86*HSI!$G$86/HSI!$B$3,""))</f>
        <v/>
      </c>
      <c r="M92" s="72">
        <f>IF($C92="","",IF((ISNUMBER($H92)*ISNUMBER($G92)*($H92&gt;$G92)+ISNUMBER($I92)*ISNUMBER($G92)*($I92&lt;$G92)+ISNUMBER($H92)*ISNUMBER($I92)*($H92&gt;$I92))&gt;0,"low/high crossed",""))</f>
        <v/>
      </c>
    </row>
    <row r="93">
      <c r="B93" s="52" t="inlineStr">
        <is>
          <t>HSI</t>
        </is>
      </c>
      <c r="C93" s="6">
        <f>IF(HSI!$C$87="","",HSI!$C$87)</f>
        <v/>
      </c>
      <c r="D93" s="6">
        <f>IF($C93="","",HSI!$D$87)</f>
        <v/>
      </c>
      <c r="E93" s="6">
        <f>IF($C93="","",HSI!$E$87)</f>
        <v/>
      </c>
      <c r="F93" s="54">
        <f>IF($C93="","",HSI!$K$87)</f>
        <v/>
      </c>
      <c r="G93" s="69" t="n"/>
      <c r="H93" s="69" t="n"/>
      <c r="I93" s="69" t="n"/>
      <c r="J93" s="12" t="n"/>
      <c r="K93" s="70">
        <f>IF($C93="","",HSI!$L$87)</f>
        <v/>
      </c>
      <c r="L93" s="71">
        <f>IF(ISNUMBER($G93)=FALSE,"",IFERROR(($G93-$F93)*HSI!$B$87*HSI!$G$87/HSI!$B$3,""))</f>
        <v/>
      </c>
      <c r="M93" s="72">
        <f>IF($C93="","",IF((ISNUMBER($H93)*ISNUMBER($G93)*($H93&gt;$G93)+ISNUMBER($I93)*ISNUMBER($G93)*($I93&lt;$G93)+ISNUMBER($H93)*ISNUMBER($I93)*($H93&gt;$I93))&gt;0,"low/high crossed",""))</f>
        <v/>
      </c>
    </row>
    <row r="94">
      <c r="B94" s="52" t="inlineStr">
        <is>
          <t>HSI</t>
        </is>
      </c>
      <c r="C94" s="6">
        <f>IF(HSI!$C$88="","",HSI!$C$88)</f>
        <v/>
      </c>
      <c r="D94" s="6">
        <f>IF($C94="","",HSI!$D$88)</f>
        <v/>
      </c>
      <c r="E94" s="6">
        <f>IF($C94="","",HSI!$E$88)</f>
        <v/>
      </c>
      <c r="F94" s="54">
        <f>IF($C94="","",HSI!$K$88)</f>
        <v/>
      </c>
      <c r="G94" s="69" t="n"/>
      <c r="H94" s="69" t="n"/>
      <c r="I94" s="69" t="n"/>
      <c r="J94" s="12" t="n"/>
      <c r="K94" s="70">
        <f>IF($C94="","",HSI!$L$88)</f>
        <v/>
      </c>
      <c r="L94" s="71">
        <f>IF(ISNUMBER($G94)=FALSE,"",IFERROR(($G94-$F94)*HSI!$B$88*HSI!$G$88/HSI!$B$3,""))</f>
        <v/>
      </c>
      <c r="M94" s="72">
        <f>IF($C94="","",IF((ISNUMBER($H94)*ISNUMBER($G94)*($H94&gt;$G94)+ISNUMBER($I94)*ISNUMBER($G94)*($I94&lt;$G94)+ISNUMBER($H94)*ISNUMBER($I94)*($H94&gt;$I94))&gt;0,"low/high crossed",""))</f>
        <v/>
      </c>
    </row>
    <row r="95">
      <c r="B95" s="52" t="inlineStr">
        <is>
          <t>HSI</t>
        </is>
      </c>
      <c r="C95" s="6">
        <f>IF(HSI!$C$89="","",HSI!$C$89)</f>
        <v/>
      </c>
      <c r="D95" s="6">
        <f>IF($C95="","",HSI!$D$89)</f>
        <v/>
      </c>
      <c r="E95" s="6">
        <f>IF($C95="","",HSI!$E$89)</f>
        <v/>
      </c>
      <c r="F95" s="54">
        <f>IF($C95="","",HSI!$K$89)</f>
        <v/>
      </c>
      <c r="G95" s="69" t="n"/>
      <c r="H95" s="69" t="n"/>
      <c r="I95" s="69" t="n"/>
      <c r="J95" s="12" t="n"/>
      <c r="K95" s="70">
        <f>IF($C95="","",HSI!$L$89)</f>
        <v/>
      </c>
      <c r="L95" s="71">
        <f>IF(ISNUMBER($G95)=FALSE,"",IFERROR(($G95-$F95)*HSI!$B$89*HSI!$G$89/HSI!$B$3,""))</f>
        <v/>
      </c>
      <c r="M95" s="72">
        <f>IF($C95="","",IF((ISNUMBER($H95)*ISNUMBER($G95)*($H95&gt;$G95)+ISNUMBER($I95)*ISNUMBER($G95)*($I95&lt;$G95)+ISNUMBER($H95)*ISNUMBER($I95)*($H95&gt;$I95))&gt;0,"low/high crossed",""))</f>
        <v/>
      </c>
    </row>
    <row r="96">
      <c r="B96" s="52" t="inlineStr">
        <is>
          <t>HSI</t>
        </is>
      </c>
      <c r="C96" s="6">
        <f>IF(HSI!$C$90="","",HSI!$C$90)</f>
        <v/>
      </c>
      <c r="D96" s="6">
        <f>IF($C96="","",HSI!$D$90)</f>
        <v/>
      </c>
      <c r="E96" s="6">
        <f>IF($C96="","",HSI!$E$90)</f>
        <v/>
      </c>
      <c r="F96" s="54">
        <f>IF($C96="","",HSI!$K$90)</f>
        <v/>
      </c>
      <c r="G96" s="69" t="n"/>
      <c r="H96" s="69" t="n"/>
      <c r="I96" s="69" t="n"/>
      <c r="J96" s="12" t="n"/>
      <c r="K96" s="70">
        <f>IF($C96="","",HSI!$L$90)</f>
        <v/>
      </c>
      <c r="L96" s="71">
        <f>IF(ISNUMBER($G96)=FALSE,"",IFERROR(($G96-$F96)*HSI!$B$90*HSI!$G$90/HSI!$B$3,""))</f>
        <v/>
      </c>
      <c r="M96" s="72">
        <f>IF($C96="","",IF((ISNUMBER($H96)*ISNUMBER($G96)*($H96&gt;$G96)+ISNUMBER($I96)*ISNUMBER($G96)*($I96&lt;$G96)+ISNUMBER($H96)*ISNUMBER($I96)*($H96&gt;$I96))&gt;0,"low/high crossed",""))</f>
        <v/>
      </c>
    </row>
    <row r="97">
      <c r="B97" s="52" t="inlineStr">
        <is>
          <t>HSI</t>
        </is>
      </c>
      <c r="C97" s="6">
        <f>IF(HSI!$C$91="","",HSI!$C$91)</f>
        <v/>
      </c>
      <c r="D97" s="6">
        <f>IF($C97="","",HSI!$D$91)</f>
        <v/>
      </c>
      <c r="E97" s="6">
        <f>IF($C97="","",HSI!$E$91)</f>
        <v/>
      </c>
      <c r="F97" s="54">
        <f>IF($C97="","",HSI!$K$91)</f>
        <v/>
      </c>
      <c r="G97" s="69" t="n"/>
      <c r="H97" s="69" t="n"/>
      <c r="I97" s="69" t="n"/>
      <c r="J97" s="12" t="n"/>
      <c r="K97" s="70">
        <f>IF($C97="","",HSI!$L$91)</f>
        <v/>
      </c>
      <c r="L97" s="71">
        <f>IF(ISNUMBER($G97)=FALSE,"",IFERROR(($G97-$F97)*HSI!$B$91*HSI!$G$91/HSI!$B$3,""))</f>
        <v/>
      </c>
      <c r="M97" s="72">
        <f>IF($C97="","",IF((ISNUMBER($H97)*ISNUMBER($G97)*($H97&gt;$G97)+ISNUMBER($I97)*ISNUMBER($G97)*($I97&lt;$G97)+ISNUMBER($H97)*ISNUMBER($I97)*($H97&gt;$I97))&gt;0,"low/high crossed",""))</f>
        <v/>
      </c>
    </row>
    <row r="98">
      <c r="B98" s="52" t="inlineStr">
        <is>
          <t>HSI</t>
        </is>
      </c>
      <c r="C98" s="6">
        <f>IF(HSI!$C$92="","",HSI!$C$92)</f>
        <v/>
      </c>
      <c r="D98" s="6">
        <f>IF($C98="","",HSI!$D$92)</f>
        <v/>
      </c>
      <c r="E98" s="6">
        <f>IF($C98="","",HSI!$E$92)</f>
        <v/>
      </c>
      <c r="F98" s="54">
        <f>IF($C98="","",HSI!$K$92)</f>
        <v/>
      </c>
      <c r="G98" s="69" t="n"/>
      <c r="H98" s="69" t="n"/>
      <c r="I98" s="69" t="n"/>
      <c r="J98" s="12" t="n"/>
      <c r="K98" s="70">
        <f>IF($C98="","",HSI!$L$92)</f>
        <v/>
      </c>
      <c r="L98" s="71">
        <f>IF(ISNUMBER($G98)=FALSE,"",IFERROR(($G98-$F98)*HSI!$B$92*HSI!$G$92/HSI!$B$3,""))</f>
        <v/>
      </c>
      <c r="M98" s="72">
        <f>IF($C98="","",IF((ISNUMBER($H98)*ISNUMBER($G98)*($H98&gt;$G98)+ISNUMBER($I98)*ISNUMBER($G98)*($I98&lt;$G98)+ISNUMBER($H98)*ISNUMBER($I98)*($H98&gt;$I98))&gt;0,"low/high crossed",""))</f>
        <v/>
      </c>
    </row>
    <row r="99">
      <c r="B99" s="52" t="inlineStr">
        <is>
          <t>HSI</t>
        </is>
      </c>
      <c r="C99" s="6">
        <f>IF(HSI!$C$93="","",HSI!$C$93)</f>
        <v/>
      </c>
      <c r="D99" s="6">
        <f>IF($C99="","",HSI!$D$93)</f>
        <v/>
      </c>
      <c r="E99" s="6">
        <f>IF($C99="","",HSI!$E$93)</f>
        <v/>
      </c>
      <c r="F99" s="54">
        <f>IF($C99="","",HSI!$K$93)</f>
        <v/>
      </c>
      <c r="G99" s="69" t="n"/>
      <c r="H99" s="69" t="n"/>
      <c r="I99" s="69" t="n"/>
      <c r="J99" s="12" t="n"/>
      <c r="K99" s="70">
        <f>IF($C99="","",HSI!$L$93)</f>
        <v/>
      </c>
      <c r="L99" s="71">
        <f>IF(ISNUMBER($G99)=FALSE,"",IFERROR(($G99-$F99)*HSI!$B$93*HSI!$G$93/HSI!$B$3,""))</f>
        <v/>
      </c>
      <c r="M99" s="72">
        <f>IF($C99="","",IF((ISNUMBER($H99)*ISNUMBER($G99)*($H99&gt;$G99)+ISNUMBER($I99)*ISNUMBER($G99)*($I99&lt;$G99)+ISNUMBER($H99)*ISNUMBER($I99)*($H99&gt;$I99))&gt;0,"low/high crossed",""))</f>
        <v/>
      </c>
    </row>
    <row r="100">
      <c r="B100" s="52" t="inlineStr">
        <is>
          <t>HSI</t>
        </is>
      </c>
      <c r="C100" s="6">
        <f>IF(HSI!$C$94="","",HSI!$C$94)</f>
        <v/>
      </c>
      <c r="D100" s="6">
        <f>IF($C100="","",HSI!$D$94)</f>
        <v/>
      </c>
      <c r="E100" s="6">
        <f>IF($C100="","",HSI!$E$94)</f>
        <v/>
      </c>
      <c r="F100" s="54">
        <f>IF($C100="","",HSI!$K$94)</f>
        <v/>
      </c>
      <c r="G100" s="69" t="n"/>
      <c r="H100" s="69" t="n"/>
      <c r="I100" s="69" t="n"/>
      <c r="J100" s="12" t="n"/>
      <c r="K100" s="70">
        <f>IF($C100="","",HSI!$L$94)</f>
        <v/>
      </c>
      <c r="L100" s="71">
        <f>IF(ISNUMBER($G100)=FALSE,"",IFERROR(($G100-$F100)*HSI!$B$94*HSI!$G$94/HSI!$B$3,""))</f>
        <v/>
      </c>
      <c r="M100" s="72">
        <f>IF($C100="","",IF((ISNUMBER($H100)*ISNUMBER($G100)*($H100&gt;$G100)+ISNUMBER($I100)*ISNUMBER($G100)*($I100&lt;$G100)+ISNUMBER($H100)*ISNUMBER($I100)*($H100&gt;$I100))&gt;0,"low/high crossed",""))</f>
        <v/>
      </c>
    </row>
    <row r="101">
      <c r="B101" s="52" t="inlineStr">
        <is>
          <t>HSI</t>
        </is>
      </c>
      <c r="C101" s="6">
        <f>IF(HSI!$C$95="","",HSI!$C$95)</f>
        <v/>
      </c>
      <c r="D101" s="6">
        <f>IF($C101="","",HSI!$D$95)</f>
        <v/>
      </c>
      <c r="E101" s="6">
        <f>IF($C101="","",HSI!$E$95)</f>
        <v/>
      </c>
      <c r="F101" s="54">
        <f>IF($C101="","",HSI!$K$95)</f>
        <v/>
      </c>
      <c r="G101" s="69" t="n"/>
      <c r="H101" s="69" t="n"/>
      <c r="I101" s="69" t="n"/>
      <c r="J101" s="12" t="n"/>
      <c r="K101" s="70">
        <f>IF($C101="","",HSI!$L$95)</f>
        <v/>
      </c>
      <c r="L101" s="71">
        <f>IF(ISNUMBER($G101)=FALSE,"",IFERROR(($G101-$F101)*HSI!$B$95*HSI!$G$95/HSI!$B$3,""))</f>
        <v/>
      </c>
      <c r="M101" s="72">
        <f>IF($C101="","",IF((ISNUMBER($H101)*ISNUMBER($G101)*($H101&gt;$G101)+ISNUMBER($I101)*ISNUMBER($G101)*($I101&lt;$G101)+ISNUMBER($H101)*ISNUMBER($I101)*($H101&gt;$I101))&gt;0,"low/high crossed",""))</f>
        <v/>
      </c>
    </row>
    <row r="102">
      <c r="B102" s="52" t="inlineStr">
        <is>
          <t>HSI</t>
        </is>
      </c>
      <c r="C102" s="6">
        <f>IF(HSI!$C$96="","",HSI!$C$96)</f>
        <v/>
      </c>
      <c r="D102" s="6">
        <f>IF($C102="","",HSI!$D$96)</f>
        <v/>
      </c>
      <c r="E102" s="6">
        <f>IF($C102="","",HSI!$E$96)</f>
        <v/>
      </c>
      <c r="F102" s="54">
        <f>IF($C102="","",HSI!$K$96)</f>
        <v/>
      </c>
      <c r="G102" s="69" t="n"/>
      <c r="H102" s="69" t="n"/>
      <c r="I102" s="69" t="n"/>
      <c r="J102" s="12" t="n"/>
      <c r="K102" s="70">
        <f>IF($C102="","",HSI!$L$96)</f>
        <v/>
      </c>
      <c r="L102" s="71">
        <f>IF(ISNUMBER($G102)=FALSE,"",IFERROR(($G102-$F102)*HSI!$B$96*HSI!$G$96/HSI!$B$3,""))</f>
        <v/>
      </c>
      <c r="M102" s="72">
        <f>IF($C102="","",IF((ISNUMBER($H102)*ISNUMBER($G102)*($H102&gt;$G102)+ISNUMBER($I102)*ISNUMBER($G102)*($I102&lt;$G102)+ISNUMBER($H102)*ISNUMBER($I102)*($H102&gt;$I102))&gt;0,"low/high crossed",""))</f>
        <v/>
      </c>
    </row>
    <row r="103">
      <c r="B103" s="52" t="inlineStr">
        <is>
          <t>HSI</t>
        </is>
      </c>
      <c r="C103" s="6">
        <f>IF(HSI!$C$97="","",HSI!$C$97)</f>
        <v/>
      </c>
      <c r="D103" s="6">
        <f>IF($C103="","",HSI!$D$97)</f>
        <v/>
      </c>
      <c r="E103" s="6">
        <f>IF($C103="","",HSI!$E$97)</f>
        <v/>
      </c>
      <c r="F103" s="54">
        <f>IF($C103="","",HSI!$K$97)</f>
        <v/>
      </c>
      <c r="G103" s="69" t="n"/>
      <c r="H103" s="69" t="n"/>
      <c r="I103" s="69" t="n"/>
      <c r="J103" s="12" t="n"/>
      <c r="K103" s="70">
        <f>IF($C103="","",HSI!$L$97)</f>
        <v/>
      </c>
      <c r="L103" s="71">
        <f>IF(ISNUMBER($G103)=FALSE,"",IFERROR(($G103-$F103)*HSI!$B$97*HSI!$G$97/HSI!$B$3,""))</f>
        <v/>
      </c>
      <c r="M103" s="72">
        <f>IF($C103="","",IF((ISNUMBER($H103)*ISNUMBER($G103)*($H103&gt;$G103)+ISNUMBER($I103)*ISNUMBER($G103)*($I103&lt;$G103)+ISNUMBER($H103)*ISNUMBER($I103)*($H103&gt;$I103))&gt;0,"low/high crossed",""))</f>
        <v/>
      </c>
    </row>
    <row r="104">
      <c r="B104" s="52" t="inlineStr">
        <is>
          <t>HSI</t>
        </is>
      </c>
      <c r="C104" s="6">
        <f>IF(HSI!$C$98="","",HSI!$C$98)</f>
        <v/>
      </c>
      <c r="D104" s="6">
        <f>IF($C104="","",HSI!$D$98)</f>
        <v/>
      </c>
      <c r="E104" s="6">
        <f>IF($C104="","",HSI!$E$98)</f>
        <v/>
      </c>
      <c r="F104" s="54">
        <f>IF($C104="","",HSI!$K$98)</f>
        <v/>
      </c>
      <c r="G104" s="69" t="n"/>
      <c r="H104" s="69" t="n"/>
      <c r="I104" s="69" t="n"/>
      <c r="J104" s="12" t="n"/>
      <c r="K104" s="70">
        <f>IF($C104="","",HSI!$L$98)</f>
        <v/>
      </c>
      <c r="L104" s="71">
        <f>IF(ISNUMBER($G104)=FALSE,"",IFERROR(($G104-$F104)*HSI!$B$98*HSI!$G$98/HSI!$B$3,""))</f>
        <v/>
      </c>
      <c r="M104" s="72">
        <f>IF($C104="","",IF((ISNUMBER($H104)*ISNUMBER($G104)*($H104&gt;$G104)+ISNUMBER($I104)*ISNUMBER($G104)*($I104&lt;$G104)+ISNUMBER($H104)*ISNUMBER($I104)*($H104&gt;$I104))&gt;0,"low/high crossed",""))</f>
        <v/>
      </c>
    </row>
    <row r="105">
      <c r="B105" s="52" t="inlineStr">
        <is>
          <t>HSI</t>
        </is>
      </c>
      <c r="C105" s="6">
        <f>IF(HSI!$C$99="","",HSI!$C$99)</f>
        <v/>
      </c>
      <c r="D105" s="6">
        <f>IF($C105="","",HSI!$D$99)</f>
        <v/>
      </c>
      <c r="E105" s="6">
        <f>IF($C105="","",HSI!$E$99)</f>
        <v/>
      </c>
      <c r="F105" s="54">
        <f>IF($C105="","",HSI!$K$99)</f>
        <v/>
      </c>
      <c r="G105" s="69" t="n"/>
      <c r="H105" s="69" t="n"/>
      <c r="I105" s="69" t="n"/>
      <c r="J105" s="12" t="n"/>
      <c r="K105" s="70">
        <f>IF($C105="","",HSI!$L$99)</f>
        <v/>
      </c>
      <c r="L105" s="71">
        <f>IF(ISNUMBER($G105)=FALSE,"",IFERROR(($G105-$F105)*HSI!$B$99*HSI!$G$99/HSI!$B$3,""))</f>
        <v/>
      </c>
      <c r="M105" s="72">
        <f>IF($C105="","",IF((ISNUMBER($H105)*ISNUMBER($G105)*($H105&gt;$G105)+ISNUMBER($I105)*ISNUMBER($G105)*($I105&lt;$G105)+ISNUMBER($H105)*ISNUMBER($I105)*($H105&gt;$I105))&gt;0,"low/high crossed",""))</f>
        <v/>
      </c>
    </row>
    <row r="106">
      <c r="B106" s="52" t="inlineStr">
        <is>
          <t>HSI</t>
        </is>
      </c>
      <c r="C106" s="6">
        <f>IF(HSI!$C$100="","",HSI!$C$100)</f>
        <v/>
      </c>
      <c r="D106" s="6">
        <f>IF($C106="","",HSI!$D$100)</f>
        <v/>
      </c>
      <c r="E106" s="6">
        <f>IF($C106="","",HSI!$E$100)</f>
        <v/>
      </c>
      <c r="F106" s="54">
        <f>IF($C106="","",HSI!$K$100)</f>
        <v/>
      </c>
      <c r="G106" s="69" t="n"/>
      <c r="H106" s="69" t="n"/>
      <c r="I106" s="69" t="n"/>
      <c r="J106" s="12" t="n"/>
      <c r="K106" s="70">
        <f>IF($C106="","",HSI!$L$100)</f>
        <v/>
      </c>
      <c r="L106" s="71">
        <f>IF(ISNUMBER($G106)=FALSE,"",IFERROR(($G106-$F106)*HSI!$B$100*HSI!$G$100/HSI!$B$3,""))</f>
        <v/>
      </c>
      <c r="M106" s="72">
        <f>IF($C106="","",IF((ISNUMBER($H106)*ISNUMBER($G106)*($H106&gt;$G106)+ISNUMBER($I106)*ISNUMBER($G106)*($I106&lt;$G106)+ISNUMBER($H106)*ISNUMBER($I106)*($H106&gt;$I106))&gt;0,"low/high crossed",""))</f>
        <v/>
      </c>
    </row>
    <row r="107">
      <c r="B107" s="52" t="inlineStr">
        <is>
          <t>HSI</t>
        </is>
      </c>
      <c r="C107" s="6">
        <f>IF(HSI!$C$101="","",HSI!$C$101)</f>
        <v/>
      </c>
      <c r="D107" s="6">
        <f>IF($C107="","",HSI!$D$101)</f>
        <v/>
      </c>
      <c r="E107" s="6">
        <f>IF($C107="","",HSI!$E$101)</f>
        <v/>
      </c>
      <c r="F107" s="54">
        <f>IF($C107="","",HSI!$K$101)</f>
        <v/>
      </c>
      <c r="G107" s="69" t="n"/>
      <c r="H107" s="69" t="n"/>
      <c r="I107" s="69" t="n"/>
      <c r="J107" s="12" t="n"/>
      <c r="K107" s="70">
        <f>IF($C107="","",HSI!$L$101)</f>
        <v/>
      </c>
      <c r="L107" s="71">
        <f>IF(ISNUMBER($G107)=FALSE,"",IFERROR(($G107-$F107)*HSI!$B$101*HSI!$G$101/HSI!$B$3,""))</f>
        <v/>
      </c>
      <c r="M107" s="72">
        <f>IF($C107="","",IF((ISNUMBER($H107)*ISNUMBER($G107)*($H107&gt;$G107)+ISNUMBER($I107)*ISNUMBER($G107)*($I107&lt;$G107)+ISNUMBER($H107)*ISNUMBER($I107)*($H107&gt;$I107))&gt;0,"low/high crossed",""))</f>
        <v/>
      </c>
    </row>
    <row r="108">
      <c r="B108" s="52" t="inlineStr">
        <is>
          <t>HSI</t>
        </is>
      </c>
      <c r="C108" s="6">
        <f>IF(HSI!$C$102="","",HSI!$C$102)</f>
        <v/>
      </c>
      <c r="D108" s="6">
        <f>IF($C108="","",HSI!$D$102)</f>
        <v/>
      </c>
      <c r="E108" s="6">
        <f>IF($C108="","",HSI!$E$102)</f>
        <v/>
      </c>
      <c r="F108" s="54">
        <f>IF($C108="","",HSI!$K$102)</f>
        <v/>
      </c>
      <c r="G108" s="69" t="n"/>
      <c r="H108" s="69" t="n"/>
      <c r="I108" s="69" t="n"/>
      <c r="J108" s="12" t="n"/>
      <c r="K108" s="70">
        <f>IF($C108="","",HSI!$L$102)</f>
        <v/>
      </c>
      <c r="L108" s="71">
        <f>IF(ISNUMBER($G108)=FALSE,"",IFERROR(($G108-$F108)*HSI!$B$102*HSI!$G$102/HSI!$B$3,""))</f>
        <v/>
      </c>
      <c r="M108" s="72">
        <f>IF($C108="","",IF((ISNUMBER($H108)*ISNUMBER($G108)*($H108&gt;$G108)+ISNUMBER($I108)*ISNUMBER($G108)*($I108&lt;$G108)+ISNUMBER($H108)*ISNUMBER($I108)*($H108&gt;$I108))&gt;0,"low/high crossed",""))</f>
        <v/>
      </c>
    </row>
    <row r="109">
      <c r="B109" s="52" t="inlineStr">
        <is>
          <t>HSI</t>
        </is>
      </c>
      <c r="C109" s="6">
        <f>IF(HSI!$C$103="","",HSI!$C$103)</f>
        <v/>
      </c>
      <c r="D109" s="6">
        <f>IF($C109="","",HSI!$D$103)</f>
        <v/>
      </c>
      <c r="E109" s="6">
        <f>IF($C109="","",HSI!$E$103)</f>
        <v/>
      </c>
      <c r="F109" s="54">
        <f>IF($C109="","",HSI!$K$103)</f>
        <v/>
      </c>
      <c r="G109" s="69" t="n"/>
      <c r="H109" s="69" t="n"/>
      <c r="I109" s="69" t="n"/>
      <c r="J109" s="12" t="n"/>
      <c r="K109" s="70">
        <f>IF($C109="","",HSI!$L$103)</f>
        <v/>
      </c>
      <c r="L109" s="71">
        <f>IF(ISNUMBER($G109)=FALSE,"",IFERROR(($G109-$F109)*HSI!$B$103*HSI!$G$103/HSI!$B$3,""))</f>
        <v/>
      </c>
      <c r="M109" s="72">
        <f>IF($C109="","",IF((ISNUMBER($H109)*ISNUMBER($G109)*($H109&gt;$G109)+ISNUMBER($I109)*ISNUMBER($G109)*($I109&lt;$G109)+ISNUMBER($H109)*ISNUMBER($I109)*($H109&gt;$I109))&gt;0,"low/high crossed",""))</f>
        <v/>
      </c>
    </row>
    <row r="110">
      <c r="B110" s="52" t="inlineStr">
        <is>
          <t>HSI</t>
        </is>
      </c>
      <c r="C110" s="6">
        <f>IF(HSI!$C$104="","",HSI!$C$104)</f>
        <v/>
      </c>
      <c r="D110" s="6">
        <f>IF($C110="","",HSI!$D$104)</f>
        <v/>
      </c>
      <c r="E110" s="6">
        <f>IF($C110="","",HSI!$E$104)</f>
        <v/>
      </c>
      <c r="F110" s="54">
        <f>IF($C110="","",HSI!$K$104)</f>
        <v/>
      </c>
      <c r="G110" s="69" t="n"/>
      <c r="H110" s="69" t="n"/>
      <c r="I110" s="69" t="n"/>
      <c r="J110" s="12" t="n"/>
      <c r="K110" s="70">
        <f>IF($C110="","",HSI!$L$104)</f>
        <v/>
      </c>
      <c r="L110" s="71">
        <f>IF(ISNUMBER($G110)=FALSE,"",IFERROR(($G110-$F110)*HSI!$B$104*HSI!$G$104/HSI!$B$3,""))</f>
        <v/>
      </c>
      <c r="M110" s="72">
        <f>IF($C110="","",IF((ISNUMBER($H110)*ISNUMBER($G110)*($H110&gt;$G110)+ISNUMBER($I110)*ISNUMBER($G110)*($I110&lt;$G110)+ISNUMBER($H110)*ISNUMBER($I110)*($H110&gt;$I110))&gt;0,"low/high crossed",""))</f>
        <v/>
      </c>
    </row>
    <row r="111">
      <c r="B111" s="52" t="inlineStr">
        <is>
          <t>HSI</t>
        </is>
      </c>
      <c r="C111" s="6">
        <f>IF(HSI!$C$105="","",HSI!$C$105)</f>
        <v/>
      </c>
      <c r="D111" s="6">
        <f>IF($C111="","",HSI!$D$105)</f>
        <v/>
      </c>
      <c r="E111" s="6">
        <f>IF($C111="","",HSI!$E$105)</f>
        <v/>
      </c>
      <c r="F111" s="54">
        <f>IF($C111="","",HSI!$K$105)</f>
        <v/>
      </c>
      <c r="G111" s="69" t="n"/>
      <c r="H111" s="69" t="n"/>
      <c r="I111" s="69" t="n"/>
      <c r="J111" s="12" t="n"/>
      <c r="K111" s="70">
        <f>IF($C111="","",HSI!$L$105)</f>
        <v/>
      </c>
      <c r="L111" s="71">
        <f>IF(ISNUMBER($G111)=FALSE,"",IFERROR(($G111-$F111)*HSI!$B$105*HSI!$G$105/HSI!$B$3,""))</f>
        <v/>
      </c>
      <c r="M111" s="72">
        <f>IF($C111="","",IF((ISNUMBER($H111)*ISNUMBER($G111)*($H111&gt;$G111)+ISNUMBER($I111)*ISNUMBER($G111)*($I111&lt;$G111)+ISNUMBER($H111)*ISNUMBER($I111)*($H111&gt;$I111))&gt;0,"low/high crossed",""))</f>
        <v/>
      </c>
    </row>
    <row r="112">
      <c r="B112" s="52" t="inlineStr">
        <is>
          <t>HSI</t>
        </is>
      </c>
      <c r="C112" s="6">
        <f>IF(HSI!$C$106="","",HSI!$C$106)</f>
        <v/>
      </c>
      <c r="D112" s="6">
        <f>IF($C112="","",HSI!$D$106)</f>
        <v/>
      </c>
      <c r="E112" s="6">
        <f>IF($C112="","",HSI!$E$106)</f>
        <v/>
      </c>
      <c r="F112" s="54">
        <f>IF($C112="","",HSI!$K$106)</f>
        <v/>
      </c>
      <c r="G112" s="69" t="n"/>
      <c r="H112" s="69" t="n"/>
      <c r="I112" s="69" t="n"/>
      <c r="J112" s="12" t="n"/>
      <c r="K112" s="70">
        <f>IF($C112="","",HSI!$L$106)</f>
        <v/>
      </c>
      <c r="L112" s="71">
        <f>IF(ISNUMBER($G112)=FALSE,"",IFERROR(($G112-$F112)*HSI!$B$106*HSI!$G$106/HSI!$B$3,""))</f>
        <v/>
      </c>
      <c r="M112" s="72">
        <f>IF($C112="","",IF((ISNUMBER($H112)*ISNUMBER($G112)*($H112&gt;$G112)+ISNUMBER($I112)*ISNUMBER($G112)*($I112&lt;$G112)+ISNUMBER($H112)*ISNUMBER($I112)*($H112&gt;$I112))&gt;0,"low/high crossed",""))</f>
        <v/>
      </c>
    </row>
    <row r="113">
      <c r="B113" s="52" t="inlineStr">
        <is>
          <t>HSTECH</t>
        </is>
      </c>
      <c r="C113" s="6">
        <f>IF(HSTECH!$C$7="","",HSTECH!$C$7)</f>
        <v/>
      </c>
      <c r="D113" s="6">
        <f>IF($C113="","",HSTECH!$D$7)</f>
        <v/>
      </c>
      <c r="E113" s="6">
        <f>IF($C113="","",HSTECH!$E$7)</f>
        <v/>
      </c>
      <c r="F113" s="54">
        <f>IF($C113="","",HSTECH!$K$7)</f>
        <v/>
      </c>
      <c r="G113" s="69" t="n"/>
      <c r="H113" s="69" t="n"/>
      <c r="I113" s="69" t="n"/>
      <c r="J113" s="12" t="n"/>
      <c r="K113" s="70">
        <f>IF($C113="","",HSTECH!$L$7)</f>
        <v/>
      </c>
      <c r="L113" s="71">
        <f>IF(ISNUMBER($G113)=FALSE,"",IFERROR(($G113-$F113)*HSTECH!$B$7*HSTECH!$G$7/HSTECH!$B$3,""))</f>
        <v/>
      </c>
      <c r="M113" s="72">
        <f>IF($C113="","",IF((ISNUMBER($H113)*ISNUMBER($G113)*($H113&gt;$G113)+ISNUMBER($I113)*ISNUMBER($G113)*($I113&lt;$G113)+ISNUMBER($H113)*ISNUMBER($I113)*($H113&gt;$I113))&gt;0,"low/high crossed",""))</f>
        <v/>
      </c>
    </row>
    <row r="114">
      <c r="B114" s="52" t="inlineStr">
        <is>
          <t>HSTECH</t>
        </is>
      </c>
      <c r="C114" s="6">
        <f>IF(HSTECH!$C$8="","",HSTECH!$C$8)</f>
        <v/>
      </c>
      <c r="D114" s="6">
        <f>IF($C114="","",HSTECH!$D$8)</f>
        <v/>
      </c>
      <c r="E114" s="6">
        <f>IF($C114="","",HSTECH!$E$8)</f>
        <v/>
      </c>
      <c r="F114" s="54">
        <f>IF($C114="","",HSTECH!$K$8)</f>
        <v/>
      </c>
      <c r="G114" s="69" t="n"/>
      <c r="H114" s="69" t="n"/>
      <c r="I114" s="69" t="n"/>
      <c r="J114" s="12" t="n"/>
      <c r="K114" s="70">
        <f>IF($C114="","",HSTECH!$L$8)</f>
        <v/>
      </c>
      <c r="L114" s="71">
        <f>IF(ISNUMBER($G114)=FALSE,"",IFERROR(($G114-$F114)*HSTECH!$B$8*HSTECH!$G$8/HSTECH!$B$3,""))</f>
        <v/>
      </c>
      <c r="M114" s="72">
        <f>IF($C114="","",IF((ISNUMBER($H114)*ISNUMBER($G114)*($H114&gt;$G114)+ISNUMBER($I114)*ISNUMBER($G114)*($I114&lt;$G114)+ISNUMBER($H114)*ISNUMBER($I114)*($H114&gt;$I114))&gt;0,"low/high crossed",""))</f>
        <v/>
      </c>
    </row>
    <row r="115">
      <c r="B115" s="52" t="inlineStr">
        <is>
          <t>HSTECH</t>
        </is>
      </c>
      <c r="C115" s="6">
        <f>IF(HSTECH!$C$9="","",HSTECH!$C$9)</f>
        <v/>
      </c>
      <c r="D115" s="6">
        <f>IF($C115="","",HSTECH!$D$9)</f>
        <v/>
      </c>
      <c r="E115" s="6">
        <f>IF($C115="","",HSTECH!$E$9)</f>
        <v/>
      </c>
      <c r="F115" s="54">
        <f>IF($C115="","",HSTECH!$K$9)</f>
        <v/>
      </c>
      <c r="G115" s="69" t="n"/>
      <c r="H115" s="69" t="n"/>
      <c r="I115" s="69" t="n"/>
      <c r="J115" s="12" t="n"/>
      <c r="K115" s="70">
        <f>IF($C115="","",HSTECH!$L$9)</f>
        <v/>
      </c>
      <c r="L115" s="71">
        <f>IF(ISNUMBER($G115)=FALSE,"",IFERROR(($G115-$F115)*HSTECH!$B$9*HSTECH!$G$9/HSTECH!$B$3,""))</f>
        <v/>
      </c>
      <c r="M115" s="72">
        <f>IF($C115="","",IF((ISNUMBER($H115)*ISNUMBER($G115)*($H115&gt;$G115)+ISNUMBER($I115)*ISNUMBER($G115)*($I115&lt;$G115)+ISNUMBER($H115)*ISNUMBER($I115)*($H115&gt;$I115))&gt;0,"low/high crossed",""))</f>
        <v/>
      </c>
    </row>
    <row r="116">
      <c r="B116" s="52" t="inlineStr">
        <is>
          <t>HSTECH</t>
        </is>
      </c>
      <c r="C116" s="6">
        <f>IF(HSTECH!$C$10="","",HSTECH!$C$10)</f>
        <v/>
      </c>
      <c r="D116" s="6">
        <f>IF($C116="","",HSTECH!$D$10)</f>
        <v/>
      </c>
      <c r="E116" s="6">
        <f>IF($C116="","",HSTECH!$E$10)</f>
        <v/>
      </c>
      <c r="F116" s="54">
        <f>IF($C116="","",HSTECH!$K$10)</f>
        <v/>
      </c>
      <c r="G116" s="69" t="n"/>
      <c r="H116" s="69" t="n"/>
      <c r="I116" s="69" t="n"/>
      <c r="J116" s="12" t="n"/>
      <c r="K116" s="70">
        <f>IF($C116="","",HSTECH!$L$10)</f>
        <v/>
      </c>
      <c r="L116" s="71">
        <f>IF(ISNUMBER($G116)=FALSE,"",IFERROR(($G116-$F116)*HSTECH!$B$10*HSTECH!$G$10/HSTECH!$B$3,""))</f>
        <v/>
      </c>
      <c r="M116" s="72">
        <f>IF($C116="","",IF((ISNUMBER($H116)*ISNUMBER($G116)*($H116&gt;$G116)+ISNUMBER($I116)*ISNUMBER($G116)*($I116&lt;$G116)+ISNUMBER($H116)*ISNUMBER($I116)*($H116&gt;$I116))&gt;0,"low/high crossed",""))</f>
        <v/>
      </c>
    </row>
    <row r="117">
      <c r="B117" s="52" t="inlineStr">
        <is>
          <t>HSTECH</t>
        </is>
      </c>
      <c r="C117" s="6">
        <f>IF(HSTECH!$C$11="","",HSTECH!$C$11)</f>
        <v/>
      </c>
      <c r="D117" s="6">
        <f>IF($C117="","",HSTECH!$D$11)</f>
        <v/>
      </c>
      <c r="E117" s="6">
        <f>IF($C117="","",HSTECH!$E$11)</f>
        <v/>
      </c>
      <c r="F117" s="54">
        <f>IF($C117="","",HSTECH!$K$11)</f>
        <v/>
      </c>
      <c r="G117" s="69" t="n"/>
      <c r="H117" s="69" t="n"/>
      <c r="I117" s="69" t="n"/>
      <c r="J117" s="12" t="n"/>
      <c r="K117" s="70">
        <f>IF($C117="","",HSTECH!$L$11)</f>
        <v/>
      </c>
      <c r="L117" s="71">
        <f>IF(ISNUMBER($G117)=FALSE,"",IFERROR(($G117-$F117)*HSTECH!$B$11*HSTECH!$G$11/HSTECH!$B$3,""))</f>
        <v/>
      </c>
      <c r="M117" s="72">
        <f>IF($C117="","",IF((ISNUMBER($H117)*ISNUMBER($G117)*($H117&gt;$G117)+ISNUMBER($I117)*ISNUMBER($G117)*($I117&lt;$G117)+ISNUMBER($H117)*ISNUMBER($I117)*($H117&gt;$I117))&gt;0,"low/high crossed",""))</f>
        <v/>
      </c>
    </row>
    <row r="118">
      <c r="B118" s="52" t="inlineStr">
        <is>
          <t>HSTECH</t>
        </is>
      </c>
      <c r="C118" s="6">
        <f>IF(HSTECH!$C$12="","",HSTECH!$C$12)</f>
        <v/>
      </c>
      <c r="D118" s="6">
        <f>IF($C118="","",HSTECH!$D$12)</f>
        <v/>
      </c>
      <c r="E118" s="6">
        <f>IF($C118="","",HSTECH!$E$12)</f>
        <v/>
      </c>
      <c r="F118" s="54">
        <f>IF($C118="","",HSTECH!$K$12)</f>
        <v/>
      </c>
      <c r="G118" s="69" t="n"/>
      <c r="H118" s="69" t="n"/>
      <c r="I118" s="69" t="n"/>
      <c r="J118" s="12" t="n"/>
      <c r="K118" s="70">
        <f>IF($C118="","",HSTECH!$L$12)</f>
        <v/>
      </c>
      <c r="L118" s="71">
        <f>IF(ISNUMBER($G118)=FALSE,"",IFERROR(($G118-$F118)*HSTECH!$B$12*HSTECH!$G$12/HSTECH!$B$3,""))</f>
        <v/>
      </c>
      <c r="M118" s="72">
        <f>IF($C118="","",IF((ISNUMBER($H118)*ISNUMBER($G118)*($H118&gt;$G118)+ISNUMBER($I118)*ISNUMBER($G118)*($I118&lt;$G118)+ISNUMBER($H118)*ISNUMBER($I118)*($H118&gt;$I118))&gt;0,"low/high crossed",""))</f>
        <v/>
      </c>
    </row>
    <row r="119">
      <c r="B119" s="52" t="inlineStr">
        <is>
          <t>HSTECH</t>
        </is>
      </c>
      <c r="C119" s="6">
        <f>IF(HSTECH!$C$13="","",HSTECH!$C$13)</f>
        <v/>
      </c>
      <c r="D119" s="6">
        <f>IF($C119="","",HSTECH!$D$13)</f>
        <v/>
      </c>
      <c r="E119" s="6">
        <f>IF($C119="","",HSTECH!$E$13)</f>
        <v/>
      </c>
      <c r="F119" s="54">
        <f>IF($C119="","",HSTECH!$K$13)</f>
        <v/>
      </c>
      <c r="G119" s="69" t="n"/>
      <c r="H119" s="69" t="n"/>
      <c r="I119" s="69" t="n"/>
      <c r="J119" s="12" t="n"/>
      <c r="K119" s="70">
        <f>IF($C119="","",HSTECH!$L$13)</f>
        <v/>
      </c>
      <c r="L119" s="71">
        <f>IF(ISNUMBER($G119)=FALSE,"",IFERROR(($G119-$F119)*HSTECH!$B$13*HSTECH!$G$13/HSTECH!$B$3,""))</f>
        <v/>
      </c>
      <c r="M119" s="72">
        <f>IF($C119="","",IF((ISNUMBER($H119)*ISNUMBER($G119)*($H119&gt;$G119)+ISNUMBER($I119)*ISNUMBER($G119)*($I119&lt;$G119)+ISNUMBER($H119)*ISNUMBER($I119)*($H119&gt;$I119))&gt;0,"low/high crossed",""))</f>
        <v/>
      </c>
    </row>
    <row r="120">
      <c r="B120" s="52" t="inlineStr">
        <is>
          <t>HSTECH</t>
        </is>
      </c>
      <c r="C120" s="6">
        <f>IF(HSTECH!$C$14="","",HSTECH!$C$14)</f>
        <v/>
      </c>
      <c r="D120" s="6">
        <f>IF($C120="","",HSTECH!$D$14)</f>
        <v/>
      </c>
      <c r="E120" s="6">
        <f>IF($C120="","",HSTECH!$E$14)</f>
        <v/>
      </c>
      <c r="F120" s="54">
        <f>IF($C120="","",HSTECH!$K$14)</f>
        <v/>
      </c>
      <c r="G120" s="69" t="n"/>
      <c r="H120" s="69" t="n"/>
      <c r="I120" s="69" t="n"/>
      <c r="J120" s="12" t="n"/>
      <c r="K120" s="70">
        <f>IF($C120="","",HSTECH!$L$14)</f>
        <v/>
      </c>
      <c r="L120" s="71">
        <f>IF(ISNUMBER($G120)=FALSE,"",IFERROR(($G120-$F120)*HSTECH!$B$14*HSTECH!$G$14/HSTECH!$B$3,""))</f>
        <v/>
      </c>
      <c r="M120" s="72">
        <f>IF($C120="","",IF((ISNUMBER($H120)*ISNUMBER($G120)*($H120&gt;$G120)+ISNUMBER($I120)*ISNUMBER($G120)*($I120&lt;$G120)+ISNUMBER($H120)*ISNUMBER($I120)*($H120&gt;$I120))&gt;0,"low/high crossed",""))</f>
        <v/>
      </c>
    </row>
    <row r="121">
      <c r="B121" s="52" t="inlineStr">
        <is>
          <t>HSTECH</t>
        </is>
      </c>
      <c r="C121" s="6">
        <f>IF(HSTECH!$C$15="","",HSTECH!$C$15)</f>
        <v/>
      </c>
      <c r="D121" s="6">
        <f>IF($C121="","",HSTECH!$D$15)</f>
        <v/>
      </c>
      <c r="E121" s="6">
        <f>IF($C121="","",HSTECH!$E$15)</f>
        <v/>
      </c>
      <c r="F121" s="54">
        <f>IF($C121="","",HSTECH!$K$15)</f>
        <v/>
      </c>
      <c r="G121" s="69" t="n"/>
      <c r="H121" s="69" t="n"/>
      <c r="I121" s="69" t="n"/>
      <c r="J121" s="12" t="n"/>
      <c r="K121" s="70">
        <f>IF($C121="","",HSTECH!$L$15)</f>
        <v/>
      </c>
      <c r="L121" s="71">
        <f>IF(ISNUMBER($G121)=FALSE,"",IFERROR(($G121-$F121)*HSTECH!$B$15*HSTECH!$G$15/HSTECH!$B$3,""))</f>
        <v/>
      </c>
      <c r="M121" s="72">
        <f>IF($C121="","",IF((ISNUMBER($H121)*ISNUMBER($G121)*($H121&gt;$G121)+ISNUMBER($I121)*ISNUMBER($G121)*($I121&lt;$G121)+ISNUMBER($H121)*ISNUMBER($I121)*($H121&gt;$I121))&gt;0,"low/high crossed",""))</f>
        <v/>
      </c>
    </row>
    <row r="122">
      <c r="B122" s="52" t="inlineStr">
        <is>
          <t>HSTECH</t>
        </is>
      </c>
      <c r="C122" s="6">
        <f>IF(HSTECH!$C$16="","",HSTECH!$C$16)</f>
        <v/>
      </c>
      <c r="D122" s="6">
        <f>IF($C122="","",HSTECH!$D$16)</f>
        <v/>
      </c>
      <c r="E122" s="6">
        <f>IF($C122="","",HSTECH!$E$16)</f>
        <v/>
      </c>
      <c r="F122" s="54">
        <f>IF($C122="","",HSTECH!$K$16)</f>
        <v/>
      </c>
      <c r="G122" s="69" t="n"/>
      <c r="H122" s="69" t="n"/>
      <c r="I122" s="69" t="n"/>
      <c r="J122" s="12" t="n"/>
      <c r="K122" s="70">
        <f>IF($C122="","",HSTECH!$L$16)</f>
        <v/>
      </c>
      <c r="L122" s="71">
        <f>IF(ISNUMBER($G122)=FALSE,"",IFERROR(($G122-$F122)*HSTECH!$B$16*HSTECH!$G$16/HSTECH!$B$3,""))</f>
        <v/>
      </c>
      <c r="M122" s="72">
        <f>IF($C122="","",IF((ISNUMBER($H122)*ISNUMBER($G122)*($H122&gt;$G122)+ISNUMBER($I122)*ISNUMBER($G122)*($I122&lt;$G122)+ISNUMBER($H122)*ISNUMBER($I122)*($H122&gt;$I122))&gt;0,"low/high crossed",""))</f>
        <v/>
      </c>
    </row>
    <row r="123">
      <c r="B123" s="52" t="inlineStr">
        <is>
          <t>HSTECH</t>
        </is>
      </c>
      <c r="C123" s="6">
        <f>IF(HSTECH!$C$17="","",HSTECH!$C$17)</f>
        <v/>
      </c>
      <c r="D123" s="6">
        <f>IF($C123="","",HSTECH!$D$17)</f>
        <v/>
      </c>
      <c r="E123" s="6">
        <f>IF($C123="","",HSTECH!$E$17)</f>
        <v/>
      </c>
      <c r="F123" s="54">
        <f>IF($C123="","",HSTECH!$K$17)</f>
        <v/>
      </c>
      <c r="G123" s="69" t="n"/>
      <c r="H123" s="69" t="n"/>
      <c r="I123" s="69" t="n"/>
      <c r="J123" s="12" t="n"/>
      <c r="K123" s="70">
        <f>IF($C123="","",HSTECH!$L$17)</f>
        <v/>
      </c>
      <c r="L123" s="71">
        <f>IF(ISNUMBER($G123)=FALSE,"",IFERROR(($G123-$F123)*HSTECH!$B$17*HSTECH!$G$17/HSTECH!$B$3,""))</f>
        <v/>
      </c>
      <c r="M123" s="72">
        <f>IF($C123="","",IF((ISNUMBER($H123)*ISNUMBER($G123)*($H123&gt;$G123)+ISNUMBER($I123)*ISNUMBER($G123)*($I123&lt;$G123)+ISNUMBER($H123)*ISNUMBER($I123)*($H123&gt;$I123))&gt;0,"low/high crossed",""))</f>
        <v/>
      </c>
    </row>
    <row r="124">
      <c r="B124" s="52" t="inlineStr">
        <is>
          <t>HSTECH</t>
        </is>
      </c>
      <c r="C124" s="6">
        <f>IF(HSTECH!$C$18="","",HSTECH!$C$18)</f>
        <v/>
      </c>
      <c r="D124" s="6">
        <f>IF($C124="","",HSTECH!$D$18)</f>
        <v/>
      </c>
      <c r="E124" s="6">
        <f>IF($C124="","",HSTECH!$E$18)</f>
        <v/>
      </c>
      <c r="F124" s="54">
        <f>IF($C124="","",HSTECH!$K$18)</f>
        <v/>
      </c>
      <c r="G124" s="69" t="n"/>
      <c r="H124" s="69" t="n"/>
      <c r="I124" s="69" t="n"/>
      <c r="J124" s="12" t="n"/>
      <c r="K124" s="70">
        <f>IF($C124="","",HSTECH!$L$18)</f>
        <v/>
      </c>
      <c r="L124" s="71">
        <f>IF(ISNUMBER($G124)=FALSE,"",IFERROR(($G124-$F124)*HSTECH!$B$18*HSTECH!$G$18/HSTECH!$B$3,""))</f>
        <v/>
      </c>
      <c r="M124" s="72">
        <f>IF($C124="","",IF((ISNUMBER($H124)*ISNUMBER($G124)*($H124&gt;$G124)+ISNUMBER($I124)*ISNUMBER($G124)*($I124&lt;$G124)+ISNUMBER($H124)*ISNUMBER($I124)*($H124&gt;$I124))&gt;0,"low/high crossed",""))</f>
        <v/>
      </c>
    </row>
    <row r="125">
      <c r="B125" s="52" t="inlineStr">
        <is>
          <t>HSTECH</t>
        </is>
      </c>
      <c r="C125" s="6">
        <f>IF(HSTECH!$C$19="","",HSTECH!$C$19)</f>
        <v/>
      </c>
      <c r="D125" s="6">
        <f>IF($C125="","",HSTECH!$D$19)</f>
        <v/>
      </c>
      <c r="E125" s="6">
        <f>IF($C125="","",HSTECH!$E$19)</f>
        <v/>
      </c>
      <c r="F125" s="54">
        <f>IF($C125="","",HSTECH!$K$19)</f>
        <v/>
      </c>
      <c r="G125" s="69" t="n"/>
      <c r="H125" s="69" t="n"/>
      <c r="I125" s="69" t="n"/>
      <c r="J125" s="12" t="n"/>
      <c r="K125" s="70">
        <f>IF($C125="","",HSTECH!$L$19)</f>
        <v/>
      </c>
      <c r="L125" s="71">
        <f>IF(ISNUMBER($G125)=FALSE,"",IFERROR(($G125-$F125)*HSTECH!$B$19*HSTECH!$G$19/HSTECH!$B$3,""))</f>
        <v/>
      </c>
      <c r="M125" s="72">
        <f>IF($C125="","",IF((ISNUMBER($H125)*ISNUMBER($G125)*($H125&gt;$G125)+ISNUMBER($I125)*ISNUMBER($G125)*($I125&lt;$G125)+ISNUMBER($H125)*ISNUMBER($I125)*($H125&gt;$I125))&gt;0,"low/high crossed",""))</f>
        <v/>
      </c>
    </row>
    <row r="126">
      <c r="B126" s="52" t="inlineStr">
        <is>
          <t>HSTECH</t>
        </is>
      </c>
      <c r="C126" s="6">
        <f>IF(HSTECH!$C$20="","",HSTECH!$C$20)</f>
        <v/>
      </c>
      <c r="D126" s="6">
        <f>IF($C126="","",HSTECH!$D$20)</f>
        <v/>
      </c>
      <c r="E126" s="6">
        <f>IF($C126="","",HSTECH!$E$20)</f>
        <v/>
      </c>
      <c r="F126" s="54">
        <f>IF($C126="","",HSTECH!$K$20)</f>
        <v/>
      </c>
      <c r="G126" s="69" t="n"/>
      <c r="H126" s="69" t="n"/>
      <c r="I126" s="69" t="n"/>
      <c r="J126" s="12" t="n"/>
      <c r="K126" s="70">
        <f>IF($C126="","",HSTECH!$L$20)</f>
        <v/>
      </c>
      <c r="L126" s="71">
        <f>IF(ISNUMBER($G126)=FALSE,"",IFERROR(($G126-$F126)*HSTECH!$B$20*HSTECH!$G$20/HSTECH!$B$3,""))</f>
        <v/>
      </c>
      <c r="M126" s="72">
        <f>IF($C126="","",IF((ISNUMBER($H126)*ISNUMBER($G126)*($H126&gt;$G126)+ISNUMBER($I126)*ISNUMBER($G126)*($I126&lt;$G126)+ISNUMBER($H126)*ISNUMBER($I126)*($H126&gt;$I126))&gt;0,"low/high crossed",""))</f>
        <v/>
      </c>
    </row>
    <row r="127">
      <c r="B127" s="52" t="inlineStr">
        <is>
          <t>HSTECH</t>
        </is>
      </c>
      <c r="C127" s="6">
        <f>IF(HSTECH!$C$21="","",HSTECH!$C$21)</f>
        <v/>
      </c>
      <c r="D127" s="6">
        <f>IF($C127="","",HSTECH!$D$21)</f>
        <v/>
      </c>
      <c r="E127" s="6">
        <f>IF($C127="","",HSTECH!$E$21)</f>
        <v/>
      </c>
      <c r="F127" s="54">
        <f>IF($C127="","",HSTECH!$K$21)</f>
        <v/>
      </c>
      <c r="G127" s="69" t="n"/>
      <c r="H127" s="69" t="n"/>
      <c r="I127" s="69" t="n"/>
      <c r="J127" s="12" t="n"/>
      <c r="K127" s="70">
        <f>IF($C127="","",HSTECH!$L$21)</f>
        <v/>
      </c>
      <c r="L127" s="71">
        <f>IF(ISNUMBER($G127)=FALSE,"",IFERROR(($G127-$F127)*HSTECH!$B$21*HSTECH!$G$21/HSTECH!$B$3,""))</f>
        <v/>
      </c>
      <c r="M127" s="72">
        <f>IF($C127="","",IF((ISNUMBER($H127)*ISNUMBER($G127)*($H127&gt;$G127)+ISNUMBER($I127)*ISNUMBER($G127)*($I127&lt;$G127)+ISNUMBER($H127)*ISNUMBER($I127)*($H127&gt;$I127))&gt;0,"low/high crossed",""))</f>
        <v/>
      </c>
    </row>
    <row r="128">
      <c r="B128" s="52" t="inlineStr">
        <is>
          <t>HSTECH</t>
        </is>
      </c>
      <c r="C128" s="6">
        <f>IF(HSTECH!$C$22="","",HSTECH!$C$22)</f>
        <v/>
      </c>
      <c r="D128" s="6">
        <f>IF($C128="","",HSTECH!$D$22)</f>
        <v/>
      </c>
      <c r="E128" s="6">
        <f>IF($C128="","",HSTECH!$E$22)</f>
        <v/>
      </c>
      <c r="F128" s="54">
        <f>IF($C128="","",HSTECH!$K$22)</f>
        <v/>
      </c>
      <c r="G128" s="69" t="n"/>
      <c r="H128" s="69" t="n"/>
      <c r="I128" s="69" t="n"/>
      <c r="J128" s="12" t="n"/>
      <c r="K128" s="70">
        <f>IF($C128="","",HSTECH!$L$22)</f>
        <v/>
      </c>
      <c r="L128" s="71">
        <f>IF(ISNUMBER($G128)=FALSE,"",IFERROR(($G128-$F128)*HSTECH!$B$22*HSTECH!$G$22/HSTECH!$B$3,""))</f>
        <v/>
      </c>
      <c r="M128" s="72">
        <f>IF($C128="","",IF((ISNUMBER($H128)*ISNUMBER($G128)*($H128&gt;$G128)+ISNUMBER($I128)*ISNUMBER($G128)*($I128&lt;$G128)+ISNUMBER($H128)*ISNUMBER($I128)*($H128&gt;$I128))&gt;0,"low/high crossed",""))</f>
        <v/>
      </c>
    </row>
    <row r="129">
      <c r="B129" s="52" t="inlineStr">
        <is>
          <t>HSTECH</t>
        </is>
      </c>
      <c r="C129" s="6">
        <f>IF(HSTECH!$C$23="","",HSTECH!$C$23)</f>
        <v/>
      </c>
      <c r="D129" s="6">
        <f>IF($C129="","",HSTECH!$D$23)</f>
        <v/>
      </c>
      <c r="E129" s="6">
        <f>IF($C129="","",HSTECH!$E$23)</f>
        <v/>
      </c>
      <c r="F129" s="54">
        <f>IF($C129="","",HSTECH!$K$23)</f>
        <v/>
      </c>
      <c r="G129" s="69" t="n"/>
      <c r="H129" s="69" t="n"/>
      <c r="I129" s="69" t="n"/>
      <c r="J129" s="12" t="n"/>
      <c r="K129" s="70">
        <f>IF($C129="","",HSTECH!$L$23)</f>
        <v/>
      </c>
      <c r="L129" s="71">
        <f>IF(ISNUMBER($G129)=FALSE,"",IFERROR(($G129-$F129)*HSTECH!$B$23*HSTECH!$G$23/HSTECH!$B$3,""))</f>
        <v/>
      </c>
      <c r="M129" s="72">
        <f>IF($C129="","",IF((ISNUMBER($H129)*ISNUMBER($G129)*($H129&gt;$G129)+ISNUMBER($I129)*ISNUMBER($G129)*($I129&lt;$G129)+ISNUMBER($H129)*ISNUMBER($I129)*($H129&gt;$I129))&gt;0,"low/high crossed",""))</f>
        <v/>
      </c>
    </row>
    <row r="130">
      <c r="B130" s="52" t="inlineStr">
        <is>
          <t>HSTECH</t>
        </is>
      </c>
      <c r="C130" s="6">
        <f>IF(HSTECH!$C$24="","",HSTECH!$C$24)</f>
        <v/>
      </c>
      <c r="D130" s="6">
        <f>IF($C130="","",HSTECH!$D$24)</f>
        <v/>
      </c>
      <c r="E130" s="6">
        <f>IF($C130="","",HSTECH!$E$24)</f>
        <v/>
      </c>
      <c r="F130" s="54">
        <f>IF($C130="","",HSTECH!$K$24)</f>
        <v/>
      </c>
      <c r="G130" s="69" t="n"/>
      <c r="H130" s="69" t="n"/>
      <c r="I130" s="69" t="n"/>
      <c r="J130" s="12" t="n"/>
      <c r="K130" s="70">
        <f>IF($C130="","",HSTECH!$L$24)</f>
        <v/>
      </c>
      <c r="L130" s="71">
        <f>IF(ISNUMBER($G130)=FALSE,"",IFERROR(($G130-$F130)*HSTECH!$B$24*HSTECH!$G$24/HSTECH!$B$3,""))</f>
        <v/>
      </c>
      <c r="M130" s="72">
        <f>IF($C130="","",IF((ISNUMBER($H130)*ISNUMBER($G130)*($H130&gt;$G130)+ISNUMBER($I130)*ISNUMBER($G130)*($I130&lt;$G130)+ISNUMBER($H130)*ISNUMBER($I130)*($H130&gt;$I130))&gt;0,"low/high crossed",""))</f>
        <v/>
      </c>
    </row>
    <row r="131">
      <c r="B131" s="52" t="inlineStr">
        <is>
          <t>HSTECH</t>
        </is>
      </c>
      <c r="C131" s="6">
        <f>IF(HSTECH!$C$25="","",HSTECH!$C$25)</f>
        <v/>
      </c>
      <c r="D131" s="6">
        <f>IF($C131="","",HSTECH!$D$25)</f>
        <v/>
      </c>
      <c r="E131" s="6">
        <f>IF($C131="","",HSTECH!$E$25)</f>
        <v/>
      </c>
      <c r="F131" s="54">
        <f>IF($C131="","",HSTECH!$K$25)</f>
        <v/>
      </c>
      <c r="G131" s="69" t="n"/>
      <c r="H131" s="69" t="n"/>
      <c r="I131" s="69" t="n"/>
      <c r="J131" s="12" t="n"/>
      <c r="K131" s="70">
        <f>IF($C131="","",HSTECH!$L$25)</f>
        <v/>
      </c>
      <c r="L131" s="71">
        <f>IF(ISNUMBER($G131)=FALSE,"",IFERROR(($G131-$F131)*HSTECH!$B$25*HSTECH!$G$25/HSTECH!$B$3,""))</f>
        <v/>
      </c>
      <c r="M131" s="72">
        <f>IF($C131="","",IF((ISNUMBER($H131)*ISNUMBER($G131)*($H131&gt;$G131)+ISNUMBER($I131)*ISNUMBER($G131)*($I131&lt;$G131)+ISNUMBER($H131)*ISNUMBER($I131)*($H131&gt;$I131))&gt;0,"low/high crossed",""))</f>
        <v/>
      </c>
    </row>
    <row r="132">
      <c r="B132" s="52" t="inlineStr">
        <is>
          <t>HSTECH</t>
        </is>
      </c>
      <c r="C132" s="6">
        <f>IF(HSTECH!$C$26="","",HSTECH!$C$26)</f>
        <v/>
      </c>
      <c r="D132" s="6">
        <f>IF($C132="","",HSTECH!$D$26)</f>
        <v/>
      </c>
      <c r="E132" s="6">
        <f>IF($C132="","",HSTECH!$E$26)</f>
        <v/>
      </c>
      <c r="F132" s="54">
        <f>IF($C132="","",HSTECH!$K$26)</f>
        <v/>
      </c>
      <c r="G132" s="69" t="n"/>
      <c r="H132" s="69" t="n"/>
      <c r="I132" s="69" t="n"/>
      <c r="J132" s="12" t="n"/>
      <c r="K132" s="70">
        <f>IF($C132="","",HSTECH!$L$26)</f>
        <v/>
      </c>
      <c r="L132" s="71">
        <f>IF(ISNUMBER($G132)=FALSE,"",IFERROR(($G132-$F132)*HSTECH!$B$26*HSTECH!$G$26/HSTECH!$B$3,""))</f>
        <v/>
      </c>
      <c r="M132" s="72">
        <f>IF($C132="","",IF((ISNUMBER($H132)*ISNUMBER($G132)*($H132&gt;$G132)+ISNUMBER($I132)*ISNUMBER($G132)*($I132&lt;$G132)+ISNUMBER($H132)*ISNUMBER($I132)*($H132&gt;$I132))&gt;0,"low/high crossed",""))</f>
        <v/>
      </c>
    </row>
    <row r="133">
      <c r="B133" s="52" t="inlineStr">
        <is>
          <t>HSTECH</t>
        </is>
      </c>
      <c r="C133" s="6">
        <f>IF(HSTECH!$C$27="","",HSTECH!$C$27)</f>
        <v/>
      </c>
      <c r="D133" s="6">
        <f>IF($C133="","",HSTECH!$D$27)</f>
        <v/>
      </c>
      <c r="E133" s="6">
        <f>IF($C133="","",HSTECH!$E$27)</f>
        <v/>
      </c>
      <c r="F133" s="54">
        <f>IF($C133="","",HSTECH!$K$27)</f>
        <v/>
      </c>
      <c r="G133" s="69" t="n"/>
      <c r="H133" s="69" t="n"/>
      <c r="I133" s="69" t="n"/>
      <c r="J133" s="12" t="n"/>
      <c r="K133" s="70">
        <f>IF($C133="","",HSTECH!$L$27)</f>
        <v/>
      </c>
      <c r="L133" s="71">
        <f>IF(ISNUMBER($G133)=FALSE,"",IFERROR(($G133-$F133)*HSTECH!$B$27*HSTECH!$G$27/HSTECH!$B$3,""))</f>
        <v/>
      </c>
      <c r="M133" s="72">
        <f>IF($C133="","",IF((ISNUMBER($H133)*ISNUMBER($G133)*($H133&gt;$G133)+ISNUMBER($I133)*ISNUMBER($G133)*($I133&lt;$G133)+ISNUMBER($H133)*ISNUMBER($I133)*($H133&gt;$I133))&gt;0,"low/high crossed",""))</f>
        <v/>
      </c>
    </row>
    <row r="134">
      <c r="B134" s="52" t="inlineStr">
        <is>
          <t>HSTECH</t>
        </is>
      </c>
      <c r="C134" s="6">
        <f>IF(HSTECH!$C$28="","",HSTECH!$C$28)</f>
        <v/>
      </c>
      <c r="D134" s="6">
        <f>IF($C134="","",HSTECH!$D$28)</f>
        <v/>
      </c>
      <c r="E134" s="6">
        <f>IF($C134="","",HSTECH!$E$28)</f>
        <v/>
      </c>
      <c r="F134" s="54">
        <f>IF($C134="","",HSTECH!$K$28)</f>
        <v/>
      </c>
      <c r="G134" s="69" t="n"/>
      <c r="H134" s="69" t="n"/>
      <c r="I134" s="69" t="n"/>
      <c r="J134" s="12" t="n"/>
      <c r="K134" s="70">
        <f>IF($C134="","",HSTECH!$L$28)</f>
        <v/>
      </c>
      <c r="L134" s="71">
        <f>IF(ISNUMBER($G134)=FALSE,"",IFERROR(($G134-$F134)*HSTECH!$B$28*HSTECH!$G$28/HSTECH!$B$3,""))</f>
        <v/>
      </c>
      <c r="M134" s="72">
        <f>IF($C134="","",IF((ISNUMBER($H134)*ISNUMBER($G134)*($H134&gt;$G134)+ISNUMBER($I134)*ISNUMBER($G134)*($I134&lt;$G134)+ISNUMBER($H134)*ISNUMBER($I134)*($H134&gt;$I134))&gt;0,"low/high crossed",""))</f>
        <v/>
      </c>
    </row>
    <row r="135">
      <c r="B135" s="52" t="inlineStr">
        <is>
          <t>HSTECH</t>
        </is>
      </c>
      <c r="C135" s="6">
        <f>IF(HSTECH!$C$29="","",HSTECH!$C$29)</f>
        <v/>
      </c>
      <c r="D135" s="6">
        <f>IF($C135="","",HSTECH!$D$29)</f>
        <v/>
      </c>
      <c r="E135" s="6">
        <f>IF($C135="","",HSTECH!$E$29)</f>
        <v/>
      </c>
      <c r="F135" s="54">
        <f>IF($C135="","",HSTECH!$K$29)</f>
        <v/>
      </c>
      <c r="G135" s="69" t="n"/>
      <c r="H135" s="69" t="n"/>
      <c r="I135" s="69" t="n"/>
      <c r="J135" s="12" t="n"/>
      <c r="K135" s="70">
        <f>IF($C135="","",HSTECH!$L$29)</f>
        <v/>
      </c>
      <c r="L135" s="71">
        <f>IF(ISNUMBER($G135)=FALSE,"",IFERROR(($G135-$F135)*HSTECH!$B$29*HSTECH!$G$29/HSTECH!$B$3,""))</f>
        <v/>
      </c>
      <c r="M135" s="72">
        <f>IF($C135="","",IF((ISNUMBER($H135)*ISNUMBER($G135)*($H135&gt;$G135)+ISNUMBER($I135)*ISNUMBER($G135)*($I135&lt;$G135)+ISNUMBER($H135)*ISNUMBER($I135)*($H135&gt;$I135))&gt;0,"low/high crossed",""))</f>
        <v/>
      </c>
    </row>
    <row r="136">
      <c r="B136" s="52" t="inlineStr">
        <is>
          <t>HSTECH</t>
        </is>
      </c>
      <c r="C136" s="6">
        <f>IF(HSTECH!$C$30="","",HSTECH!$C$30)</f>
        <v/>
      </c>
      <c r="D136" s="6">
        <f>IF($C136="","",HSTECH!$D$30)</f>
        <v/>
      </c>
      <c r="E136" s="6">
        <f>IF($C136="","",HSTECH!$E$30)</f>
        <v/>
      </c>
      <c r="F136" s="54">
        <f>IF($C136="","",HSTECH!$K$30)</f>
        <v/>
      </c>
      <c r="G136" s="69" t="n"/>
      <c r="H136" s="69" t="n"/>
      <c r="I136" s="69" t="n"/>
      <c r="J136" s="12" t="n"/>
      <c r="K136" s="70">
        <f>IF($C136="","",HSTECH!$L$30)</f>
        <v/>
      </c>
      <c r="L136" s="71">
        <f>IF(ISNUMBER($G136)=FALSE,"",IFERROR(($G136-$F136)*HSTECH!$B$30*HSTECH!$G$30/HSTECH!$B$3,""))</f>
        <v/>
      </c>
      <c r="M136" s="72">
        <f>IF($C136="","",IF((ISNUMBER($H136)*ISNUMBER($G136)*($H136&gt;$G136)+ISNUMBER($I136)*ISNUMBER($G136)*($I136&lt;$G136)+ISNUMBER($H136)*ISNUMBER($I136)*($H136&gt;$I136))&gt;0,"low/high crossed",""))</f>
        <v/>
      </c>
    </row>
    <row r="137">
      <c r="B137" s="52" t="inlineStr">
        <is>
          <t>HSTECH</t>
        </is>
      </c>
      <c r="C137" s="6">
        <f>IF(HSTECH!$C$31="","",HSTECH!$C$31)</f>
        <v/>
      </c>
      <c r="D137" s="6">
        <f>IF($C137="","",HSTECH!$D$31)</f>
        <v/>
      </c>
      <c r="E137" s="6">
        <f>IF($C137="","",HSTECH!$E$31)</f>
        <v/>
      </c>
      <c r="F137" s="54">
        <f>IF($C137="","",HSTECH!$K$31)</f>
        <v/>
      </c>
      <c r="G137" s="69" t="n"/>
      <c r="H137" s="69" t="n"/>
      <c r="I137" s="69" t="n"/>
      <c r="J137" s="12" t="n"/>
      <c r="K137" s="70">
        <f>IF($C137="","",HSTECH!$L$31)</f>
        <v/>
      </c>
      <c r="L137" s="71">
        <f>IF(ISNUMBER($G137)=FALSE,"",IFERROR(($G137-$F137)*HSTECH!$B$31*HSTECH!$G$31/HSTECH!$B$3,""))</f>
        <v/>
      </c>
      <c r="M137" s="72">
        <f>IF($C137="","",IF((ISNUMBER($H137)*ISNUMBER($G137)*($H137&gt;$G137)+ISNUMBER($I137)*ISNUMBER($G137)*($I137&lt;$G137)+ISNUMBER($H137)*ISNUMBER($I137)*($H137&gt;$I137))&gt;0,"low/high crossed",""))</f>
        <v/>
      </c>
    </row>
    <row r="138">
      <c r="B138" s="52" t="inlineStr">
        <is>
          <t>HSTECH</t>
        </is>
      </c>
      <c r="C138" s="6">
        <f>IF(HSTECH!$C$32="","",HSTECH!$C$32)</f>
        <v/>
      </c>
      <c r="D138" s="6">
        <f>IF($C138="","",HSTECH!$D$32)</f>
        <v/>
      </c>
      <c r="E138" s="6">
        <f>IF($C138="","",HSTECH!$E$32)</f>
        <v/>
      </c>
      <c r="F138" s="54">
        <f>IF($C138="","",HSTECH!$K$32)</f>
        <v/>
      </c>
      <c r="G138" s="69" t="n"/>
      <c r="H138" s="69" t="n"/>
      <c r="I138" s="69" t="n"/>
      <c r="J138" s="12" t="n"/>
      <c r="K138" s="70">
        <f>IF($C138="","",HSTECH!$L$32)</f>
        <v/>
      </c>
      <c r="L138" s="71">
        <f>IF(ISNUMBER($G138)=FALSE,"",IFERROR(($G138-$F138)*HSTECH!$B$32*HSTECH!$G$32/HSTECH!$B$3,""))</f>
        <v/>
      </c>
      <c r="M138" s="72">
        <f>IF($C138="","",IF((ISNUMBER($H138)*ISNUMBER($G138)*($H138&gt;$G138)+ISNUMBER($I138)*ISNUMBER($G138)*($I138&lt;$G138)+ISNUMBER($H138)*ISNUMBER($I138)*($H138&gt;$I138))&gt;0,"low/high crossed",""))</f>
        <v/>
      </c>
    </row>
    <row r="139">
      <c r="B139" s="52" t="inlineStr">
        <is>
          <t>HSTECH</t>
        </is>
      </c>
      <c r="C139" s="6">
        <f>IF(HSTECH!$C$33="","",HSTECH!$C$33)</f>
        <v/>
      </c>
      <c r="D139" s="6">
        <f>IF($C139="","",HSTECH!$D$33)</f>
        <v/>
      </c>
      <c r="E139" s="6">
        <f>IF($C139="","",HSTECH!$E$33)</f>
        <v/>
      </c>
      <c r="F139" s="54">
        <f>IF($C139="","",HSTECH!$K$33)</f>
        <v/>
      </c>
      <c r="G139" s="69" t="n"/>
      <c r="H139" s="69" t="n"/>
      <c r="I139" s="69" t="n"/>
      <c r="J139" s="12" t="n"/>
      <c r="K139" s="70">
        <f>IF($C139="","",HSTECH!$L$33)</f>
        <v/>
      </c>
      <c r="L139" s="71">
        <f>IF(ISNUMBER($G139)=FALSE,"",IFERROR(($G139-$F139)*HSTECH!$B$33*HSTECH!$G$33/HSTECH!$B$3,""))</f>
        <v/>
      </c>
      <c r="M139" s="72">
        <f>IF($C139="","",IF((ISNUMBER($H139)*ISNUMBER($G139)*($H139&gt;$G139)+ISNUMBER($I139)*ISNUMBER($G139)*($I139&lt;$G139)+ISNUMBER($H139)*ISNUMBER($I139)*($H139&gt;$I139))&gt;0,"low/high crossed",""))</f>
        <v/>
      </c>
    </row>
    <row r="140">
      <c r="B140" s="52" t="inlineStr">
        <is>
          <t>HSTECH</t>
        </is>
      </c>
      <c r="C140" s="6">
        <f>IF(HSTECH!$C$34="","",HSTECH!$C$34)</f>
        <v/>
      </c>
      <c r="D140" s="6">
        <f>IF($C140="","",HSTECH!$D$34)</f>
        <v/>
      </c>
      <c r="E140" s="6">
        <f>IF($C140="","",HSTECH!$E$34)</f>
        <v/>
      </c>
      <c r="F140" s="54">
        <f>IF($C140="","",HSTECH!$K$34)</f>
        <v/>
      </c>
      <c r="G140" s="69" t="n"/>
      <c r="H140" s="69" t="n"/>
      <c r="I140" s="69" t="n"/>
      <c r="J140" s="12" t="n"/>
      <c r="K140" s="70">
        <f>IF($C140="","",HSTECH!$L$34)</f>
        <v/>
      </c>
      <c r="L140" s="71">
        <f>IF(ISNUMBER($G140)=FALSE,"",IFERROR(($G140-$F140)*HSTECH!$B$34*HSTECH!$G$34/HSTECH!$B$3,""))</f>
        <v/>
      </c>
      <c r="M140" s="72">
        <f>IF($C140="","",IF((ISNUMBER($H140)*ISNUMBER($G140)*($H140&gt;$G140)+ISNUMBER($I140)*ISNUMBER($G140)*($I140&lt;$G140)+ISNUMBER($H140)*ISNUMBER($I140)*($H140&gt;$I140))&gt;0,"low/high crossed",""))</f>
        <v/>
      </c>
    </row>
    <row r="141">
      <c r="B141" s="52" t="inlineStr">
        <is>
          <t>HSTECH</t>
        </is>
      </c>
      <c r="C141" s="6">
        <f>IF(HSTECH!$C$35="","",HSTECH!$C$35)</f>
        <v/>
      </c>
      <c r="D141" s="6">
        <f>IF($C141="","",HSTECH!$D$35)</f>
        <v/>
      </c>
      <c r="E141" s="6">
        <f>IF($C141="","",HSTECH!$E$35)</f>
        <v/>
      </c>
      <c r="F141" s="54">
        <f>IF($C141="","",HSTECH!$K$35)</f>
        <v/>
      </c>
      <c r="G141" s="69" t="n"/>
      <c r="H141" s="69" t="n"/>
      <c r="I141" s="69" t="n"/>
      <c r="J141" s="12" t="n"/>
      <c r="K141" s="70">
        <f>IF($C141="","",HSTECH!$L$35)</f>
        <v/>
      </c>
      <c r="L141" s="71">
        <f>IF(ISNUMBER($G141)=FALSE,"",IFERROR(($G141-$F141)*HSTECH!$B$35*HSTECH!$G$35/HSTECH!$B$3,""))</f>
        <v/>
      </c>
      <c r="M141" s="72">
        <f>IF($C141="","",IF((ISNUMBER($H141)*ISNUMBER($G141)*($H141&gt;$G141)+ISNUMBER($I141)*ISNUMBER($G141)*($I141&lt;$G141)+ISNUMBER($H141)*ISNUMBER($I141)*($H141&gt;$I141))&gt;0,"low/high crossed",""))</f>
        <v/>
      </c>
    </row>
    <row r="142">
      <c r="B142" s="52" t="inlineStr">
        <is>
          <t>HSTECH</t>
        </is>
      </c>
      <c r="C142" s="6">
        <f>IF(HSTECH!$C$36="","",HSTECH!$C$36)</f>
        <v/>
      </c>
      <c r="D142" s="6">
        <f>IF($C142="","",HSTECH!$D$36)</f>
        <v/>
      </c>
      <c r="E142" s="6">
        <f>IF($C142="","",HSTECH!$E$36)</f>
        <v/>
      </c>
      <c r="F142" s="54">
        <f>IF($C142="","",HSTECH!$K$36)</f>
        <v/>
      </c>
      <c r="G142" s="69" t="n"/>
      <c r="H142" s="69" t="n"/>
      <c r="I142" s="69" t="n"/>
      <c r="J142" s="12" t="n"/>
      <c r="K142" s="70">
        <f>IF($C142="","",HSTECH!$L$36)</f>
        <v/>
      </c>
      <c r="L142" s="71">
        <f>IF(ISNUMBER($G142)=FALSE,"",IFERROR(($G142-$F142)*HSTECH!$B$36*HSTECH!$G$36/HSTECH!$B$3,""))</f>
        <v/>
      </c>
      <c r="M142" s="72">
        <f>IF($C142="","",IF((ISNUMBER($H142)*ISNUMBER($G142)*($H142&gt;$G142)+ISNUMBER($I142)*ISNUMBER($G142)*($I142&lt;$G142)+ISNUMBER($H142)*ISNUMBER($I142)*($H142&gt;$I142))&gt;0,"low/high crossed",""))</f>
        <v/>
      </c>
    </row>
    <row r="143">
      <c r="B143" s="52" t="inlineStr">
        <is>
          <t>HSTECH</t>
        </is>
      </c>
      <c r="C143" s="6">
        <f>IF(HSTECH!$C$37="","",HSTECH!$C$37)</f>
        <v/>
      </c>
      <c r="D143" s="6">
        <f>IF($C143="","",HSTECH!$D$37)</f>
        <v/>
      </c>
      <c r="E143" s="6">
        <f>IF($C143="","",HSTECH!$E$37)</f>
        <v/>
      </c>
      <c r="F143" s="54">
        <f>IF($C143="","",HSTECH!$K$37)</f>
        <v/>
      </c>
      <c r="G143" s="69" t="n"/>
      <c r="H143" s="69" t="n"/>
      <c r="I143" s="69" t="n"/>
      <c r="J143" s="12" t="n"/>
      <c r="K143" s="70">
        <f>IF($C143="","",HSTECH!$L$37)</f>
        <v/>
      </c>
      <c r="L143" s="71">
        <f>IF(ISNUMBER($G143)=FALSE,"",IFERROR(($G143-$F143)*HSTECH!$B$37*HSTECH!$G$37/HSTECH!$B$3,""))</f>
        <v/>
      </c>
      <c r="M143" s="72">
        <f>IF($C143="","",IF((ISNUMBER($H143)*ISNUMBER($G143)*($H143&gt;$G143)+ISNUMBER($I143)*ISNUMBER($G143)*($I143&lt;$G143)+ISNUMBER($H143)*ISNUMBER($I143)*($H143&gt;$I143))&gt;0,"low/high crossed",""))</f>
        <v/>
      </c>
    </row>
    <row r="144">
      <c r="B144" s="52" t="inlineStr">
        <is>
          <t>HSTECH</t>
        </is>
      </c>
      <c r="C144" s="6">
        <f>IF(HSTECH!$C$38="","",HSTECH!$C$38)</f>
        <v/>
      </c>
      <c r="D144" s="6">
        <f>IF($C144="","",HSTECH!$D$38)</f>
        <v/>
      </c>
      <c r="E144" s="6">
        <f>IF($C144="","",HSTECH!$E$38)</f>
        <v/>
      </c>
      <c r="F144" s="54">
        <f>IF($C144="","",HSTECH!$K$38)</f>
        <v/>
      </c>
      <c r="G144" s="69" t="n"/>
      <c r="H144" s="69" t="n"/>
      <c r="I144" s="69" t="n"/>
      <c r="J144" s="12" t="n"/>
      <c r="K144" s="70">
        <f>IF($C144="","",HSTECH!$L$38)</f>
        <v/>
      </c>
      <c r="L144" s="71">
        <f>IF(ISNUMBER($G144)=FALSE,"",IFERROR(($G144-$F144)*HSTECH!$B$38*HSTECH!$G$38/HSTECH!$B$3,""))</f>
        <v/>
      </c>
      <c r="M144" s="72">
        <f>IF($C144="","",IF((ISNUMBER($H144)*ISNUMBER($G144)*($H144&gt;$G144)+ISNUMBER($I144)*ISNUMBER($G144)*($I144&lt;$G144)+ISNUMBER($H144)*ISNUMBER($I144)*($H144&gt;$I144))&gt;0,"low/high crossed",""))</f>
        <v/>
      </c>
    </row>
    <row r="145">
      <c r="B145" s="52" t="inlineStr">
        <is>
          <t>HSTECH</t>
        </is>
      </c>
      <c r="C145" s="6">
        <f>IF(HSTECH!$C$39="","",HSTECH!$C$39)</f>
        <v/>
      </c>
      <c r="D145" s="6">
        <f>IF($C145="","",HSTECH!$D$39)</f>
        <v/>
      </c>
      <c r="E145" s="6">
        <f>IF($C145="","",HSTECH!$E$39)</f>
        <v/>
      </c>
      <c r="F145" s="54">
        <f>IF($C145="","",HSTECH!$K$39)</f>
        <v/>
      </c>
      <c r="G145" s="69" t="n"/>
      <c r="H145" s="69" t="n"/>
      <c r="I145" s="69" t="n"/>
      <c r="J145" s="12" t="n"/>
      <c r="K145" s="70">
        <f>IF($C145="","",HSTECH!$L$39)</f>
        <v/>
      </c>
      <c r="L145" s="71">
        <f>IF(ISNUMBER($G145)=FALSE,"",IFERROR(($G145-$F145)*HSTECH!$B$39*HSTECH!$G$39/HSTECH!$B$3,""))</f>
        <v/>
      </c>
      <c r="M145" s="72">
        <f>IF($C145="","",IF((ISNUMBER($H145)*ISNUMBER($G145)*($H145&gt;$G145)+ISNUMBER($I145)*ISNUMBER($G145)*($I145&lt;$G145)+ISNUMBER($H145)*ISNUMBER($I145)*($H145&gt;$I145))&gt;0,"low/high crossed",""))</f>
        <v/>
      </c>
    </row>
    <row r="146">
      <c r="B146" s="52" t="inlineStr">
        <is>
          <t>HSTECH</t>
        </is>
      </c>
      <c r="C146" s="6">
        <f>IF(HSTECH!$C$40="","",HSTECH!$C$40)</f>
        <v/>
      </c>
      <c r="D146" s="6">
        <f>IF($C146="","",HSTECH!$D$40)</f>
        <v/>
      </c>
      <c r="E146" s="6">
        <f>IF($C146="","",HSTECH!$E$40)</f>
        <v/>
      </c>
      <c r="F146" s="54">
        <f>IF($C146="","",HSTECH!$K$40)</f>
        <v/>
      </c>
      <c r="G146" s="69" t="n"/>
      <c r="H146" s="69" t="n"/>
      <c r="I146" s="69" t="n"/>
      <c r="J146" s="12" t="n"/>
      <c r="K146" s="70">
        <f>IF($C146="","",HSTECH!$L$40)</f>
        <v/>
      </c>
      <c r="L146" s="71">
        <f>IF(ISNUMBER($G146)=FALSE,"",IFERROR(($G146-$F146)*HSTECH!$B$40*HSTECH!$G$40/HSTECH!$B$3,""))</f>
        <v/>
      </c>
      <c r="M146" s="72">
        <f>IF($C146="","",IF((ISNUMBER($H146)*ISNUMBER($G146)*($H146&gt;$G146)+ISNUMBER($I146)*ISNUMBER($G146)*($I146&lt;$G146)+ISNUMBER($H146)*ISNUMBER($I146)*($H146&gt;$I146))&gt;0,"low/high crossed",""))</f>
        <v/>
      </c>
    </row>
    <row r="147">
      <c r="B147" s="52" t="inlineStr">
        <is>
          <t>HSTECH</t>
        </is>
      </c>
      <c r="C147" s="6">
        <f>IF(HSTECH!$C$41="","",HSTECH!$C$41)</f>
        <v/>
      </c>
      <c r="D147" s="6">
        <f>IF($C147="","",HSTECH!$D$41)</f>
        <v/>
      </c>
      <c r="E147" s="6">
        <f>IF($C147="","",HSTECH!$E$41)</f>
        <v/>
      </c>
      <c r="F147" s="54">
        <f>IF($C147="","",HSTECH!$K$41)</f>
        <v/>
      </c>
      <c r="G147" s="69" t="n"/>
      <c r="H147" s="69" t="n"/>
      <c r="I147" s="69" t="n"/>
      <c r="J147" s="12" t="n"/>
      <c r="K147" s="70">
        <f>IF($C147="","",HSTECH!$L$41)</f>
        <v/>
      </c>
      <c r="L147" s="71">
        <f>IF(ISNUMBER($G147)=FALSE,"",IFERROR(($G147-$F147)*HSTECH!$B$41*HSTECH!$G$41/HSTECH!$B$3,""))</f>
        <v/>
      </c>
      <c r="M147" s="72">
        <f>IF($C147="","",IF((ISNUMBER($H147)*ISNUMBER($G147)*($H147&gt;$G147)+ISNUMBER($I147)*ISNUMBER($G147)*($I147&lt;$G147)+ISNUMBER($H147)*ISNUMBER($I147)*($H147&gt;$I147))&gt;0,"low/high crossed",""))</f>
        <v/>
      </c>
    </row>
    <row r="148">
      <c r="B148" s="52" t="inlineStr">
        <is>
          <t>HSTECH</t>
        </is>
      </c>
      <c r="C148" s="6">
        <f>IF(HSTECH!$C$42="","",HSTECH!$C$42)</f>
        <v/>
      </c>
      <c r="D148" s="6">
        <f>IF($C148="","",HSTECH!$D$42)</f>
        <v/>
      </c>
      <c r="E148" s="6">
        <f>IF($C148="","",HSTECH!$E$42)</f>
        <v/>
      </c>
      <c r="F148" s="54">
        <f>IF($C148="","",HSTECH!$K$42)</f>
        <v/>
      </c>
      <c r="G148" s="69" t="n"/>
      <c r="H148" s="69" t="n"/>
      <c r="I148" s="69" t="n"/>
      <c r="J148" s="12" t="n"/>
      <c r="K148" s="70">
        <f>IF($C148="","",HSTECH!$L$42)</f>
        <v/>
      </c>
      <c r="L148" s="71">
        <f>IF(ISNUMBER($G148)=FALSE,"",IFERROR(($G148-$F148)*HSTECH!$B$42*HSTECH!$G$42/HSTECH!$B$3,""))</f>
        <v/>
      </c>
      <c r="M148" s="72">
        <f>IF($C148="","",IF((ISNUMBER($H148)*ISNUMBER($G148)*($H148&gt;$G148)+ISNUMBER($I148)*ISNUMBER($G148)*($I148&lt;$G148)+ISNUMBER($H148)*ISNUMBER($I148)*($H148&gt;$I148))&gt;0,"low/high crossed",""))</f>
        <v/>
      </c>
    </row>
    <row r="149">
      <c r="B149" s="52" t="inlineStr">
        <is>
          <t>HSTECH</t>
        </is>
      </c>
      <c r="C149" s="6">
        <f>IF(HSTECH!$C$43="","",HSTECH!$C$43)</f>
        <v/>
      </c>
      <c r="D149" s="6">
        <f>IF($C149="","",HSTECH!$D$43)</f>
        <v/>
      </c>
      <c r="E149" s="6">
        <f>IF($C149="","",HSTECH!$E$43)</f>
        <v/>
      </c>
      <c r="F149" s="54">
        <f>IF($C149="","",HSTECH!$K$43)</f>
        <v/>
      </c>
      <c r="G149" s="69" t="n"/>
      <c r="H149" s="69" t="n"/>
      <c r="I149" s="69" t="n"/>
      <c r="J149" s="12" t="n"/>
      <c r="K149" s="70">
        <f>IF($C149="","",HSTECH!$L$43)</f>
        <v/>
      </c>
      <c r="L149" s="71">
        <f>IF(ISNUMBER($G149)=FALSE,"",IFERROR(($G149-$F149)*HSTECH!$B$43*HSTECH!$G$43/HSTECH!$B$3,""))</f>
        <v/>
      </c>
      <c r="M149" s="72">
        <f>IF($C149="","",IF((ISNUMBER($H149)*ISNUMBER($G149)*($H149&gt;$G149)+ISNUMBER($I149)*ISNUMBER($G149)*($I149&lt;$G149)+ISNUMBER($H149)*ISNUMBER($I149)*($H149&gt;$I149))&gt;0,"low/high crossed",""))</f>
        <v/>
      </c>
    </row>
    <row r="150">
      <c r="B150" s="52" t="inlineStr">
        <is>
          <t>HSTECH</t>
        </is>
      </c>
      <c r="C150" s="6">
        <f>IF(HSTECH!$C$44="","",HSTECH!$C$44)</f>
        <v/>
      </c>
      <c r="D150" s="6">
        <f>IF($C150="","",HSTECH!$D$44)</f>
        <v/>
      </c>
      <c r="E150" s="6">
        <f>IF($C150="","",HSTECH!$E$44)</f>
        <v/>
      </c>
      <c r="F150" s="54">
        <f>IF($C150="","",HSTECH!$K$44)</f>
        <v/>
      </c>
      <c r="G150" s="69" t="n"/>
      <c r="H150" s="69" t="n"/>
      <c r="I150" s="69" t="n"/>
      <c r="J150" s="12" t="n"/>
      <c r="K150" s="70">
        <f>IF($C150="","",HSTECH!$L$44)</f>
        <v/>
      </c>
      <c r="L150" s="71">
        <f>IF(ISNUMBER($G150)=FALSE,"",IFERROR(($G150-$F150)*HSTECH!$B$44*HSTECH!$G$44/HSTECH!$B$3,""))</f>
        <v/>
      </c>
      <c r="M150" s="72">
        <f>IF($C150="","",IF((ISNUMBER($H150)*ISNUMBER($G150)*($H150&gt;$G150)+ISNUMBER($I150)*ISNUMBER($G150)*($I150&lt;$G150)+ISNUMBER($H150)*ISNUMBER($I150)*($H150&gt;$I150))&gt;0,"low/high crossed",""))</f>
        <v/>
      </c>
    </row>
    <row r="151">
      <c r="B151" s="52" t="inlineStr">
        <is>
          <t>HSTECH</t>
        </is>
      </c>
      <c r="C151" s="6">
        <f>IF(HSTECH!$C$45="","",HSTECH!$C$45)</f>
        <v/>
      </c>
      <c r="D151" s="6">
        <f>IF($C151="","",HSTECH!$D$45)</f>
        <v/>
      </c>
      <c r="E151" s="6">
        <f>IF($C151="","",HSTECH!$E$45)</f>
        <v/>
      </c>
      <c r="F151" s="54">
        <f>IF($C151="","",HSTECH!$K$45)</f>
        <v/>
      </c>
      <c r="G151" s="69" t="n"/>
      <c r="H151" s="69" t="n"/>
      <c r="I151" s="69" t="n"/>
      <c r="J151" s="12" t="n"/>
      <c r="K151" s="70">
        <f>IF($C151="","",HSTECH!$L$45)</f>
        <v/>
      </c>
      <c r="L151" s="71">
        <f>IF(ISNUMBER($G151)=FALSE,"",IFERROR(($G151-$F151)*HSTECH!$B$45*HSTECH!$G$45/HSTECH!$B$3,""))</f>
        <v/>
      </c>
      <c r="M151" s="72">
        <f>IF($C151="","",IF((ISNUMBER($H151)*ISNUMBER($G151)*($H151&gt;$G151)+ISNUMBER($I151)*ISNUMBER($G151)*($I151&lt;$G151)+ISNUMBER($H151)*ISNUMBER($I151)*($H151&gt;$I151))&gt;0,"low/high crossed",""))</f>
        <v/>
      </c>
    </row>
    <row r="152">
      <c r="B152" s="52" t="inlineStr">
        <is>
          <t>HSTECH</t>
        </is>
      </c>
      <c r="C152" s="6">
        <f>IF(HSTECH!$C$46="","",HSTECH!$C$46)</f>
        <v/>
      </c>
      <c r="D152" s="6">
        <f>IF($C152="","",HSTECH!$D$46)</f>
        <v/>
      </c>
      <c r="E152" s="6">
        <f>IF($C152="","",HSTECH!$E$46)</f>
        <v/>
      </c>
      <c r="F152" s="54">
        <f>IF($C152="","",HSTECH!$K$46)</f>
        <v/>
      </c>
      <c r="G152" s="69" t="n"/>
      <c r="H152" s="69" t="n"/>
      <c r="I152" s="69" t="n"/>
      <c r="J152" s="12" t="n"/>
      <c r="K152" s="70">
        <f>IF($C152="","",HSTECH!$L$46)</f>
        <v/>
      </c>
      <c r="L152" s="71">
        <f>IF(ISNUMBER($G152)=FALSE,"",IFERROR(($G152-$F152)*HSTECH!$B$46*HSTECH!$G$46/HSTECH!$B$3,""))</f>
        <v/>
      </c>
      <c r="M152" s="72">
        <f>IF($C152="","",IF((ISNUMBER($H152)*ISNUMBER($G152)*($H152&gt;$G152)+ISNUMBER($I152)*ISNUMBER($G152)*($I152&lt;$G152)+ISNUMBER($H152)*ISNUMBER($I152)*($H152&gt;$I152))&gt;0,"low/high crossed",""))</f>
        <v/>
      </c>
    </row>
    <row r="153">
      <c r="B153" s="52" t="inlineStr">
        <is>
          <t>HSCEI</t>
        </is>
      </c>
      <c r="C153" s="6">
        <f>IF(HSCEI!$C$7="","",HSCEI!$C$7)</f>
        <v/>
      </c>
      <c r="D153" s="6">
        <f>IF($C153="","",HSCEI!$D$7)</f>
        <v/>
      </c>
      <c r="E153" s="6">
        <f>IF($C153="","",HSCEI!$E$7)</f>
        <v/>
      </c>
      <c r="F153" s="54">
        <f>IF($C153="","",HSCEI!$K$7)</f>
        <v/>
      </c>
      <c r="G153" s="69" t="n"/>
      <c r="H153" s="69" t="n"/>
      <c r="I153" s="69" t="n"/>
      <c r="J153" s="12" t="n"/>
      <c r="K153" s="70">
        <f>IF($C153="","",HSCEI!$L$7)</f>
        <v/>
      </c>
      <c r="L153" s="71">
        <f>IF(ISNUMBER($G153)=FALSE,"",IFERROR(($G153-$F153)*HSCEI!$B$7*HSCEI!$G$7/HSCEI!$B$3,""))</f>
        <v/>
      </c>
      <c r="M153" s="72">
        <f>IF($C153="","",IF((ISNUMBER($H153)*ISNUMBER($G153)*($H153&gt;$G153)+ISNUMBER($I153)*ISNUMBER($G153)*($I153&lt;$G153)+ISNUMBER($H153)*ISNUMBER($I153)*($H153&gt;$I153))&gt;0,"low/high crossed",""))</f>
        <v/>
      </c>
    </row>
    <row r="154">
      <c r="B154" s="52" t="inlineStr">
        <is>
          <t>HSCEI</t>
        </is>
      </c>
      <c r="C154" s="6">
        <f>IF(HSCEI!$C$8="","",HSCEI!$C$8)</f>
        <v/>
      </c>
      <c r="D154" s="6">
        <f>IF($C154="","",HSCEI!$D$8)</f>
        <v/>
      </c>
      <c r="E154" s="6">
        <f>IF($C154="","",HSCEI!$E$8)</f>
        <v/>
      </c>
      <c r="F154" s="54">
        <f>IF($C154="","",HSCEI!$K$8)</f>
        <v/>
      </c>
      <c r="G154" s="69" t="n"/>
      <c r="H154" s="69" t="n"/>
      <c r="I154" s="69" t="n"/>
      <c r="J154" s="12" t="n"/>
      <c r="K154" s="70">
        <f>IF($C154="","",HSCEI!$L$8)</f>
        <v/>
      </c>
      <c r="L154" s="71">
        <f>IF(ISNUMBER($G154)=FALSE,"",IFERROR(($G154-$F154)*HSCEI!$B$8*HSCEI!$G$8/HSCEI!$B$3,""))</f>
        <v/>
      </c>
      <c r="M154" s="72">
        <f>IF($C154="","",IF((ISNUMBER($H154)*ISNUMBER($G154)*($H154&gt;$G154)+ISNUMBER($I154)*ISNUMBER($G154)*($I154&lt;$G154)+ISNUMBER($H154)*ISNUMBER($I154)*($H154&gt;$I154))&gt;0,"low/high crossed",""))</f>
        <v/>
      </c>
    </row>
    <row r="155">
      <c r="B155" s="52" t="inlineStr">
        <is>
          <t>HSCEI</t>
        </is>
      </c>
      <c r="C155" s="6">
        <f>IF(HSCEI!$C$9="","",HSCEI!$C$9)</f>
        <v/>
      </c>
      <c r="D155" s="6">
        <f>IF($C155="","",HSCEI!$D$9)</f>
        <v/>
      </c>
      <c r="E155" s="6">
        <f>IF($C155="","",HSCEI!$E$9)</f>
        <v/>
      </c>
      <c r="F155" s="54">
        <f>IF($C155="","",HSCEI!$K$9)</f>
        <v/>
      </c>
      <c r="G155" s="69" t="n"/>
      <c r="H155" s="69" t="n"/>
      <c r="I155" s="69" t="n"/>
      <c r="J155" s="12" t="n"/>
      <c r="K155" s="70">
        <f>IF($C155="","",HSCEI!$L$9)</f>
        <v/>
      </c>
      <c r="L155" s="71">
        <f>IF(ISNUMBER($G155)=FALSE,"",IFERROR(($G155-$F155)*HSCEI!$B$9*HSCEI!$G$9/HSCEI!$B$3,""))</f>
        <v/>
      </c>
      <c r="M155" s="72">
        <f>IF($C155="","",IF((ISNUMBER($H155)*ISNUMBER($G155)*($H155&gt;$G155)+ISNUMBER($I155)*ISNUMBER($G155)*($I155&lt;$G155)+ISNUMBER($H155)*ISNUMBER($I155)*($H155&gt;$I155))&gt;0,"low/high crossed",""))</f>
        <v/>
      </c>
    </row>
    <row r="156">
      <c r="B156" s="52" t="inlineStr">
        <is>
          <t>HSCEI</t>
        </is>
      </c>
      <c r="C156" s="6">
        <f>IF(HSCEI!$C$10="","",HSCEI!$C$10)</f>
        <v/>
      </c>
      <c r="D156" s="6">
        <f>IF($C156="","",HSCEI!$D$10)</f>
        <v/>
      </c>
      <c r="E156" s="6">
        <f>IF($C156="","",HSCEI!$E$10)</f>
        <v/>
      </c>
      <c r="F156" s="54">
        <f>IF($C156="","",HSCEI!$K$10)</f>
        <v/>
      </c>
      <c r="G156" s="69" t="n"/>
      <c r="H156" s="69" t="n"/>
      <c r="I156" s="69" t="n"/>
      <c r="J156" s="12" t="n"/>
      <c r="K156" s="70">
        <f>IF($C156="","",HSCEI!$L$10)</f>
        <v/>
      </c>
      <c r="L156" s="71">
        <f>IF(ISNUMBER($G156)=FALSE,"",IFERROR(($G156-$F156)*HSCEI!$B$10*HSCEI!$G$10/HSCEI!$B$3,""))</f>
        <v/>
      </c>
      <c r="M156" s="72">
        <f>IF($C156="","",IF((ISNUMBER($H156)*ISNUMBER($G156)*($H156&gt;$G156)+ISNUMBER($I156)*ISNUMBER($G156)*($I156&lt;$G156)+ISNUMBER($H156)*ISNUMBER($I156)*($H156&gt;$I156))&gt;0,"low/high crossed",""))</f>
        <v/>
      </c>
    </row>
    <row r="157">
      <c r="B157" s="52" t="inlineStr">
        <is>
          <t>HSCEI</t>
        </is>
      </c>
      <c r="C157" s="6">
        <f>IF(HSCEI!$C$11="","",HSCEI!$C$11)</f>
        <v/>
      </c>
      <c r="D157" s="6">
        <f>IF($C157="","",HSCEI!$D$11)</f>
        <v/>
      </c>
      <c r="E157" s="6">
        <f>IF($C157="","",HSCEI!$E$11)</f>
        <v/>
      </c>
      <c r="F157" s="54">
        <f>IF($C157="","",HSCEI!$K$11)</f>
        <v/>
      </c>
      <c r="G157" s="69" t="n"/>
      <c r="H157" s="69" t="n"/>
      <c r="I157" s="69" t="n"/>
      <c r="J157" s="12" t="n"/>
      <c r="K157" s="70">
        <f>IF($C157="","",HSCEI!$L$11)</f>
        <v/>
      </c>
      <c r="L157" s="71">
        <f>IF(ISNUMBER($G157)=FALSE,"",IFERROR(($G157-$F157)*HSCEI!$B$11*HSCEI!$G$11/HSCEI!$B$3,""))</f>
        <v/>
      </c>
      <c r="M157" s="72">
        <f>IF($C157="","",IF((ISNUMBER($H157)*ISNUMBER($G157)*($H157&gt;$G157)+ISNUMBER($I157)*ISNUMBER($G157)*($I157&lt;$G157)+ISNUMBER($H157)*ISNUMBER($I157)*($H157&gt;$I157))&gt;0,"low/high crossed",""))</f>
        <v/>
      </c>
    </row>
    <row r="158">
      <c r="B158" s="52" t="inlineStr">
        <is>
          <t>HSCEI</t>
        </is>
      </c>
      <c r="C158" s="6">
        <f>IF(HSCEI!$C$12="","",HSCEI!$C$12)</f>
        <v/>
      </c>
      <c r="D158" s="6">
        <f>IF($C158="","",HSCEI!$D$12)</f>
        <v/>
      </c>
      <c r="E158" s="6">
        <f>IF($C158="","",HSCEI!$E$12)</f>
        <v/>
      </c>
      <c r="F158" s="54">
        <f>IF($C158="","",HSCEI!$K$12)</f>
        <v/>
      </c>
      <c r="G158" s="69" t="n"/>
      <c r="H158" s="69" t="n"/>
      <c r="I158" s="69" t="n"/>
      <c r="J158" s="12" t="n"/>
      <c r="K158" s="70">
        <f>IF($C158="","",HSCEI!$L$12)</f>
        <v/>
      </c>
      <c r="L158" s="71">
        <f>IF(ISNUMBER($G158)=FALSE,"",IFERROR(($G158-$F158)*HSCEI!$B$12*HSCEI!$G$12/HSCEI!$B$3,""))</f>
        <v/>
      </c>
      <c r="M158" s="72">
        <f>IF($C158="","",IF((ISNUMBER($H158)*ISNUMBER($G158)*($H158&gt;$G158)+ISNUMBER($I158)*ISNUMBER($G158)*($I158&lt;$G158)+ISNUMBER($H158)*ISNUMBER($I158)*($H158&gt;$I158))&gt;0,"low/high crossed",""))</f>
        <v/>
      </c>
    </row>
    <row r="159">
      <c r="B159" s="52" t="inlineStr">
        <is>
          <t>HSCEI</t>
        </is>
      </c>
      <c r="C159" s="6">
        <f>IF(HSCEI!$C$13="","",HSCEI!$C$13)</f>
        <v/>
      </c>
      <c r="D159" s="6">
        <f>IF($C159="","",HSCEI!$D$13)</f>
        <v/>
      </c>
      <c r="E159" s="6">
        <f>IF($C159="","",HSCEI!$E$13)</f>
        <v/>
      </c>
      <c r="F159" s="54">
        <f>IF($C159="","",HSCEI!$K$13)</f>
        <v/>
      </c>
      <c r="G159" s="69" t="n"/>
      <c r="H159" s="69" t="n"/>
      <c r="I159" s="69" t="n"/>
      <c r="J159" s="12" t="n"/>
      <c r="K159" s="70">
        <f>IF($C159="","",HSCEI!$L$13)</f>
        <v/>
      </c>
      <c r="L159" s="71">
        <f>IF(ISNUMBER($G159)=FALSE,"",IFERROR(($G159-$F159)*HSCEI!$B$13*HSCEI!$G$13/HSCEI!$B$3,""))</f>
        <v/>
      </c>
      <c r="M159" s="72">
        <f>IF($C159="","",IF((ISNUMBER($H159)*ISNUMBER($G159)*($H159&gt;$G159)+ISNUMBER($I159)*ISNUMBER($G159)*($I159&lt;$G159)+ISNUMBER($H159)*ISNUMBER($I159)*($H159&gt;$I159))&gt;0,"low/high crossed",""))</f>
        <v/>
      </c>
    </row>
    <row r="160">
      <c r="B160" s="52" t="inlineStr">
        <is>
          <t>HSCEI</t>
        </is>
      </c>
      <c r="C160" s="6">
        <f>IF(HSCEI!$C$14="","",HSCEI!$C$14)</f>
        <v/>
      </c>
      <c r="D160" s="6">
        <f>IF($C160="","",HSCEI!$D$14)</f>
        <v/>
      </c>
      <c r="E160" s="6">
        <f>IF($C160="","",HSCEI!$E$14)</f>
        <v/>
      </c>
      <c r="F160" s="54">
        <f>IF($C160="","",HSCEI!$K$14)</f>
        <v/>
      </c>
      <c r="G160" s="69" t="n"/>
      <c r="H160" s="69" t="n"/>
      <c r="I160" s="69" t="n"/>
      <c r="J160" s="12" t="n"/>
      <c r="K160" s="70">
        <f>IF($C160="","",HSCEI!$L$14)</f>
        <v/>
      </c>
      <c r="L160" s="71">
        <f>IF(ISNUMBER($G160)=FALSE,"",IFERROR(($G160-$F160)*HSCEI!$B$14*HSCEI!$G$14/HSCEI!$B$3,""))</f>
        <v/>
      </c>
      <c r="M160" s="72">
        <f>IF($C160="","",IF((ISNUMBER($H160)*ISNUMBER($G160)*($H160&gt;$G160)+ISNUMBER($I160)*ISNUMBER($G160)*($I160&lt;$G160)+ISNUMBER($H160)*ISNUMBER($I160)*($H160&gt;$I160))&gt;0,"low/high crossed",""))</f>
        <v/>
      </c>
    </row>
    <row r="161">
      <c r="B161" s="52" t="inlineStr">
        <is>
          <t>HSCEI</t>
        </is>
      </c>
      <c r="C161" s="6">
        <f>IF(HSCEI!$C$15="","",HSCEI!$C$15)</f>
        <v/>
      </c>
      <c r="D161" s="6">
        <f>IF($C161="","",HSCEI!$D$15)</f>
        <v/>
      </c>
      <c r="E161" s="6">
        <f>IF($C161="","",HSCEI!$E$15)</f>
        <v/>
      </c>
      <c r="F161" s="54">
        <f>IF($C161="","",HSCEI!$K$15)</f>
        <v/>
      </c>
      <c r="G161" s="69" t="n"/>
      <c r="H161" s="69" t="n"/>
      <c r="I161" s="69" t="n"/>
      <c r="J161" s="12" t="n"/>
      <c r="K161" s="70">
        <f>IF($C161="","",HSCEI!$L$15)</f>
        <v/>
      </c>
      <c r="L161" s="71">
        <f>IF(ISNUMBER($G161)=FALSE,"",IFERROR(($G161-$F161)*HSCEI!$B$15*HSCEI!$G$15/HSCEI!$B$3,""))</f>
        <v/>
      </c>
      <c r="M161" s="72">
        <f>IF($C161="","",IF((ISNUMBER($H161)*ISNUMBER($G161)*($H161&gt;$G161)+ISNUMBER($I161)*ISNUMBER($G161)*($I161&lt;$G161)+ISNUMBER($H161)*ISNUMBER($I161)*($H161&gt;$I161))&gt;0,"low/high crossed",""))</f>
        <v/>
      </c>
    </row>
    <row r="162">
      <c r="B162" s="52" t="inlineStr">
        <is>
          <t>HSCEI</t>
        </is>
      </c>
      <c r="C162" s="6">
        <f>IF(HSCEI!$C$16="","",HSCEI!$C$16)</f>
        <v/>
      </c>
      <c r="D162" s="6">
        <f>IF($C162="","",HSCEI!$D$16)</f>
        <v/>
      </c>
      <c r="E162" s="6">
        <f>IF($C162="","",HSCEI!$E$16)</f>
        <v/>
      </c>
      <c r="F162" s="54">
        <f>IF($C162="","",HSCEI!$K$16)</f>
        <v/>
      </c>
      <c r="G162" s="69" t="n"/>
      <c r="H162" s="69" t="n"/>
      <c r="I162" s="69" t="n"/>
      <c r="J162" s="12" t="n"/>
      <c r="K162" s="70">
        <f>IF($C162="","",HSCEI!$L$16)</f>
        <v/>
      </c>
      <c r="L162" s="71">
        <f>IF(ISNUMBER($G162)=FALSE,"",IFERROR(($G162-$F162)*HSCEI!$B$16*HSCEI!$G$16/HSCEI!$B$3,""))</f>
        <v/>
      </c>
      <c r="M162" s="72">
        <f>IF($C162="","",IF((ISNUMBER($H162)*ISNUMBER($G162)*($H162&gt;$G162)+ISNUMBER($I162)*ISNUMBER($G162)*($I162&lt;$G162)+ISNUMBER($H162)*ISNUMBER($I162)*($H162&gt;$I162))&gt;0,"low/high crossed",""))</f>
        <v/>
      </c>
    </row>
    <row r="163">
      <c r="B163" s="52" t="inlineStr">
        <is>
          <t>HSCEI</t>
        </is>
      </c>
      <c r="C163" s="6">
        <f>IF(HSCEI!$C$17="","",HSCEI!$C$17)</f>
        <v/>
      </c>
      <c r="D163" s="6">
        <f>IF($C163="","",HSCEI!$D$17)</f>
        <v/>
      </c>
      <c r="E163" s="6">
        <f>IF($C163="","",HSCEI!$E$17)</f>
        <v/>
      </c>
      <c r="F163" s="54">
        <f>IF($C163="","",HSCEI!$K$17)</f>
        <v/>
      </c>
      <c r="G163" s="69" t="n"/>
      <c r="H163" s="69" t="n"/>
      <c r="I163" s="69" t="n"/>
      <c r="J163" s="12" t="n"/>
      <c r="K163" s="70">
        <f>IF($C163="","",HSCEI!$L$17)</f>
        <v/>
      </c>
      <c r="L163" s="71">
        <f>IF(ISNUMBER($G163)=FALSE,"",IFERROR(($G163-$F163)*HSCEI!$B$17*HSCEI!$G$17/HSCEI!$B$3,""))</f>
        <v/>
      </c>
      <c r="M163" s="72">
        <f>IF($C163="","",IF((ISNUMBER($H163)*ISNUMBER($G163)*($H163&gt;$G163)+ISNUMBER($I163)*ISNUMBER($G163)*($I163&lt;$G163)+ISNUMBER($H163)*ISNUMBER($I163)*($H163&gt;$I163))&gt;0,"low/high crossed",""))</f>
        <v/>
      </c>
    </row>
    <row r="164">
      <c r="B164" s="52" t="inlineStr">
        <is>
          <t>HSCEI</t>
        </is>
      </c>
      <c r="C164" s="6">
        <f>IF(HSCEI!$C$18="","",HSCEI!$C$18)</f>
        <v/>
      </c>
      <c r="D164" s="6">
        <f>IF($C164="","",HSCEI!$D$18)</f>
        <v/>
      </c>
      <c r="E164" s="6">
        <f>IF($C164="","",HSCEI!$E$18)</f>
        <v/>
      </c>
      <c r="F164" s="54">
        <f>IF($C164="","",HSCEI!$K$18)</f>
        <v/>
      </c>
      <c r="G164" s="69" t="n"/>
      <c r="H164" s="69" t="n"/>
      <c r="I164" s="69" t="n"/>
      <c r="J164" s="12" t="n"/>
      <c r="K164" s="70">
        <f>IF($C164="","",HSCEI!$L$18)</f>
        <v/>
      </c>
      <c r="L164" s="71">
        <f>IF(ISNUMBER($G164)=FALSE,"",IFERROR(($G164-$F164)*HSCEI!$B$18*HSCEI!$G$18/HSCEI!$B$3,""))</f>
        <v/>
      </c>
      <c r="M164" s="72">
        <f>IF($C164="","",IF((ISNUMBER($H164)*ISNUMBER($G164)*($H164&gt;$G164)+ISNUMBER($I164)*ISNUMBER($G164)*($I164&lt;$G164)+ISNUMBER($H164)*ISNUMBER($I164)*($H164&gt;$I164))&gt;0,"low/high crossed",""))</f>
        <v/>
      </c>
    </row>
    <row r="165">
      <c r="B165" s="52" t="inlineStr">
        <is>
          <t>HSCEI</t>
        </is>
      </c>
      <c r="C165" s="6">
        <f>IF(HSCEI!$C$19="","",HSCEI!$C$19)</f>
        <v/>
      </c>
      <c r="D165" s="6">
        <f>IF($C165="","",HSCEI!$D$19)</f>
        <v/>
      </c>
      <c r="E165" s="6">
        <f>IF($C165="","",HSCEI!$E$19)</f>
        <v/>
      </c>
      <c r="F165" s="54">
        <f>IF($C165="","",HSCEI!$K$19)</f>
        <v/>
      </c>
      <c r="G165" s="69" t="n"/>
      <c r="H165" s="69" t="n"/>
      <c r="I165" s="69" t="n"/>
      <c r="J165" s="12" t="n"/>
      <c r="K165" s="70">
        <f>IF($C165="","",HSCEI!$L$19)</f>
        <v/>
      </c>
      <c r="L165" s="71">
        <f>IF(ISNUMBER($G165)=FALSE,"",IFERROR(($G165-$F165)*HSCEI!$B$19*HSCEI!$G$19/HSCEI!$B$3,""))</f>
        <v/>
      </c>
      <c r="M165" s="72">
        <f>IF($C165="","",IF((ISNUMBER($H165)*ISNUMBER($G165)*($H165&gt;$G165)+ISNUMBER($I165)*ISNUMBER($G165)*($I165&lt;$G165)+ISNUMBER($H165)*ISNUMBER($I165)*($H165&gt;$I165))&gt;0,"low/high crossed",""))</f>
        <v/>
      </c>
    </row>
    <row r="166">
      <c r="B166" s="52" t="inlineStr">
        <is>
          <t>HSCEI</t>
        </is>
      </c>
      <c r="C166" s="6">
        <f>IF(HSCEI!$C$20="","",HSCEI!$C$20)</f>
        <v/>
      </c>
      <c r="D166" s="6">
        <f>IF($C166="","",HSCEI!$D$20)</f>
        <v/>
      </c>
      <c r="E166" s="6">
        <f>IF($C166="","",HSCEI!$E$20)</f>
        <v/>
      </c>
      <c r="F166" s="54">
        <f>IF($C166="","",HSCEI!$K$20)</f>
        <v/>
      </c>
      <c r="G166" s="69" t="n"/>
      <c r="H166" s="69" t="n"/>
      <c r="I166" s="69" t="n"/>
      <c r="J166" s="12" t="n"/>
      <c r="K166" s="70">
        <f>IF($C166="","",HSCEI!$L$20)</f>
        <v/>
      </c>
      <c r="L166" s="71">
        <f>IF(ISNUMBER($G166)=FALSE,"",IFERROR(($G166-$F166)*HSCEI!$B$20*HSCEI!$G$20/HSCEI!$B$3,""))</f>
        <v/>
      </c>
      <c r="M166" s="72">
        <f>IF($C166="","",IF((ISNUMBER($H166)*ISNUMBER($G166)*($H166&gt;$G166)+ISNUMBER($I166)*ISNUMBER($G166)*($I166&lt;$G166)+ISNUMBER($H166)*ISNUMBER($I166)*($H166&gt;$I166))&gt;0,"low/high crossed",""))</f>
        <v/>
      </c>
    </row>
    <row r="167">
      <c r="B167" s="52" t="inlineStr">
        <is>
          <t>HSCEI</t>
        </is>
      </c>
      <c r="C167" s="6">
        <f>IF(HSCEI!$C$21="","",HSCEI!$C$21)</f>
        <v/>
      </c>
      <c r="D167" s="6">
        <f>IF($C167="","",HSCEI!$D$21)</f>
        <v/>
      </c>
      <c r="E167" s="6">
        <f>IF($C167="","",HSCEI!$E$21)</f>
        <v/>
      </c>
      <c r="F167" s="54">
        <f>IF($C167="","",HSCEI!$K$21)</f>
        <v/>
      </c>
      <c r="G167" s="69" t="n"/>
      <c r="H167" s="69" t="n"/>
      <c r="I167" s="69" t="n"/>
      <c r="J167" s="12" t="n"/>
      <c r="K167" s="70">
        <f>IF($C167="","",HSCEI!$L$21)</f>
        <v/>
      </c>
      <c r="L167" s="71">
        <f>IF(ISNUMBER($G167)=FALSE,"",IFERROR(($G167-$F167)*HSCEI!$B$21*HSCEI!$G$21/HSCEI!$B$3,""))</f>
        <v/>
      </c>
      <c r="M167" s="72">
        <f>IF($C167="","",IF((ISNUMBER($H167)*ISNUMBER($G167)*($H167&gt;$G167)+ISNUMBER($I167)*ISNUMBER($G167)*($I167&lt;$G167)+ISNUMBER($H167)*ISNUMBER($I167)*($H167&gt;$I167))&gt;0,"low/high crossed",""))</f>
        <v/>
      </c>
    </row>
    <row r="168">
      <c r="B168" s="52" t="inlineStr">
        <is>
          <t>HSCEI</t>
        </is>
      </c>
      <c r="C168" s="6">
        <f>IF(HSCEI!$C$22="","",HSCEI!$C$22)</f>
        <v/>
      </c>
      <c r="D168" s="6">
        <f>IF($C168="","",HSCEI!$D$22)</f>
        <v/>
      </c>
      <c r="E168" s="6">
        <f>IF($C168="","",HSCEI!$E$22)</f>
        <v/>
      </c>
      <c r="F168" s="54">
        <f>IF($C168="","",HSCEI!$K$22)</f>
        <v/>
      </c>
      <c r="G168" s="69" t="n"/>
      <c r="H168" s="69" t="n"/>
      <c r="I168" s="69" t="n"/>
      <c r="J168" s="12" t="n"/>
      <c r="K168" s="70">
        <f>IF($C168="","",HSCEI!$L$22)</f>
        <v/>
      </c>
      <c r="L168" s="71">
        <f>IF(ISNUMBER($G168)=FALSE,"",IFERROR(($G168-$F168)*HSCEI!$B$22*HSCEI!$G$22/HSCEI!$B$3,""))</f>
        <v/>
      </c>
      <c r="M168" s="72">
        <f>IF($C168="","",IF((ISNUMBER($H168)*ISNUMBER($G168)*($H168&gt;$G168)+ISNUMBER($I168)*ISNUMBER($G168)*($I168&lt;$G168)+ISNUMBER($H168)*ISNUMBER($I168)*($H168&gt;$I168))&gt;0,"low/high crossed",""))</f>
        <v/>
      </c>
    </row>
    <row r="169">
      <c r="B169" s="52" t="inlineStr">
        <is>
          <t>HSCEI</t>
        </is>
      </c>
      <c r="C169" s="6">
        <f>IF(HSCEI!$C$23="","",HSCEI!$C$23)</f>
        <v/>
      </c>
      <c r="D169" s="6">
        <f>IF($C169="","",HSCEI!$D$23)</f>
        <v/>
      </c>
      <c r="E169" s="6">
        <f>IF($C169="","",HSCEI!$E$23)</f>
        <v/>
      </c>
      <c r="F169" s="54">
        <f>IF($C169="","",HSCEI!$K$23)</f>
        <v/>
      </c>
      <c r="G169" s="69" t="n"/>
      <c r="H169" s="69" t="n"/>
      <c r="I169" s="69" t="n"/>
      <c r="J169" s="12" t="n"/>
      <c r="K169" s="70">
        <f>IF($C169="","",HSCEI!$L$23)</f>
        <v/>
      </c>
      <c r="L169" s="71">
        <f>IF(ISNUMBER($G169)=FALSE,"",IFERROR(($G169-$F169)*HSCEI!$B$23*HSCEI!$G$23/HSCEI!$B$3,""))</f>
        <v/>
      </c>
      <c r="M169" s="72">
        <f>IF($C169="","",IF((ISNUMBER($H169)*ISNUMBER($G169)*($H169&gt;$G169)+ISNUMBER($I169)*ISNUMBER($G169)*($I169&lt;$G169)+ISNUMBER($H169)*ISNUMBER($I169)*($H169&gt;$I169))&gt;0,"low/high crossed",""))</f>
        <v/>
      </c>
    </row>
    <row r="170">
      <c r="B170" s="52" t="inlineStr">
        <is>
          <t>HSCEI</t>
        </is>
      </c>
      <c r="C170" s="6">
        <f>IF(HSCEI!$C$24="","",HSCEI!$C$24)</f>
        <v/>
      </c>
      <c r="D170" s="6">
        <f>IF($C170="","",HSCEI!$D$24)</f>
        <v/>
      </c>
      <c r="E170" s="6">
        <f>IF($C170="","",HSCEI!$E$24)</f>
        <v/>
      </c>
      <c r="F170" s="54">
        <f>IF($C170="","",HSCEI!$K$24)</f>
        <v/>
      </c>
      <c r="G170" s="69" t="n"/>
      <c r="H170" s="69" t="n"/>
      <c r="I170" s="69" t="n"/>
      <c r="J170" s="12" t="n"/>
      <c r="K170" s="70">
        <f>IF($C170="","",HSCEI!$L$24)</f>
        <v/>
      </c>
      <c r="L170" s="71">
        <f>IF(ISNUMBER($G170)=FALSE,"",IFERROR(($G170-$F170)*HSCEI!$B$24*HSCEI!$G$24/HSCEI!$B$3,""))</f>
        <v/>
      </c>
      <c r="M170" s="72">
        <f>IF($C170="","",IF((ISNUMBER($H170)*ISNUMBER($G170)*($H170&gt;$G170)+ISNUMBER($I170)*ISNUMBER($G170)*($I170&lt;$G170)+ISNUMBER($H170)*ISNUMBER($I170)*($H170&gt;$I170))&gt;0,"low/high crossed",""))</f>
        <v/>
      </c>
    </row>
    <row r="171">
      <c r="B171" s="52" t="inlineStr">
        <is>
          <t>HSCEI</t>
        </is>
      </c>
      <c r="C171" s="6">
        <f>IF(HSCEI!$C$25="","",HSCEI!$C$25)</f>
        <v/>
      </c>
      <c r="D171" s="6">
        <f>IF($C171="","",HSCEI!$D$25)</f>
        <v/>
      </c>
      <c r="E171" s="6">
        <f>IF($C171="","",HSCEI!$E$25)</f>
        <v/>
      </c>
      <c r="F171" s="54">
        <f>IF($C171="","",HSCEI!$K$25)</f>
        <v/>
      </c>
      <c r="G171" s="69" t="n"/>
      <c r="H171" s="69" t="n"/>
      <c r="I171" s="69" t="n"/>
      <c r="J171" s="12" t="n"/>
      <c r="K171" s="70">
        <f>IF($C171="","",HSCEI!$L$25)</f>
        <v/>
      </c>
      <c r="L171" s="71">
        <f>IF(ISNUMBER($G171)=FALSE,"",IFERROR(($G171-$F171)*HSCEI!$B$25*HSCEI!$G$25/HSCEI!$B$3,""))</f>
        <v/>
      </c>
      <c r="M171" s="72">
        <f>IF($C171="","",IF((ISNUMBER($H171)*ISNUMBER($G171)*($H171&gt;$G171)+ISNUMBER($I171)*ISNUMBER($G171)*($I171&lt;$G171)+ISNUMBER($H171)*ISNUMBER($I171)*($H171&gt;$I171))&gt;0,"low/high crossed",""))</f>
        <v/>
      </c>
    </row>
    <row r="172">
      <c r="B172" s="52" t="inlineStr">
        <is>
          <t>HSCEI</t>
        </is>
      </c>
      <c r="C172" s="6">
        <f>IF(HSCEI!$C$26="","",HSCEI!$C$26)</f>
        <v/>
      </c>
      <c r="D172" s="6">
        <f>IF($C172="","",HSCEI!$D$26)</f>
        <v/>
      </c>
      <c r="E172" s="6">
        <f>IF($C172="","",HSCEI!$E$26)</f>
        <v/>
      </c>
      <c r="F172" s="54">
        <f>IF($C172="","",HSCEI!$K$26)</f>
        <v/>
      </c>
      <c r="G172" s="69" t="n"/>
      <c r="H172" s="69" t="n"/>
      <c r="I172" s="69" t="n"/>
      <c r="J172" s="12" t="n"/>
      <c r="K172" s="70">
        <f>IF($C172="","",HSCEI!$L$26)</f>
        <v/>
      </c>
      <c r="L172" s="71">
        <f>IF(ISNUMBER($G172)=FALSE,"",IFERROR(($G172-$F172)*HSCEI!$B$26*HSCEI!$G$26/HSCEI!$B$3,""))</f>
        <v/>
      </c>
      <c r="M172" s="72">
        <f>IF($C172="","",IF((ISNUMBER($H172)*ISNUMBER($G172)*($H172&gt;$G172)+ISNUMBER($I172)*ISNUMBER($G172)*($I172&lt;$G172)+ISNUMBER($H172)*ISNUMBER($I172)*($H172&gt;$I172))&gt;0,"low/high crossed",""))</f>
        <v/>
      </c>
    </row>
    <row r="173">
      <c r="B173" s="52" t="inlineStr">
        <is>
          <t>HSCEI</t>
        </is>
      </c>
      <c r="C173" s="6">
        <f>IF(HSCEI!$C$27="","",HSCEI!$C$27)</f>
        <v/>
      </c>
      <c r="D173" s="6">
        <f>IF($C173="","",HSCEI!$D$27)</f>
        <v/>
      </c>
      <c r="E173" s="6">
        <f>IF($C173="","",HSCEI!$E$27)</f>
        <v/>
      </c>
      <c r="F173" s="54">
        <f>IF($C173="","",HSCEI!$K$27)</f>
        <v/>
      </c>
      <c r="G173" s="69" t="n"/>
      <c r="H173" s="69" t="n"/>
      <c r="I173" s="69" t="n"/>
      <c r="J173" s="12" t="n"/>
      <c r="K173" s="70">
        <f>IF($C173="","",HSCEI!$L$27)</f>
        <v/>
      </c>
      <c r="L173" s="71">
        <f>IF(ISNUMBER($G173)=FALSE,"",IFERROR(($G173-$F173)*HSCEI!$B$27*HSCEI!$G$27/HSCEI!$B$3,""))</f>
        <v/>
      </c>
      <c r="M173" s="72">
        <f>IF($C173="","",IF((ISNUMBER($H173)*ISNUMBER($G173)*($H173&gt;$G173)+ISNUMBER($I173)*ISNUMBER($G173)*($I173&lt;$G173)+ISNUMBER($H173)*ISNUMBER($I173)*($H173&gt;$I173))&gt;0,"low/high crossed",""))</f>
        <v/>
      </c>
    </row>
    <row r="174">
      <c r="B174" s="52" t="inlineStr">
        <is>
          <t>HSCEI</t>
        </is>
      </c>
      <c r="C174" s="6">
        <f>IF(HSCEI!$C$28="","",HSCEI!$C$28)</f>
        <v/>
      </c>
      <c r="D174" s="6">
        <f>IF($C174="","",HSCEI!$D$28)</f>
        <v/>
      </c>
      <c r="E174" s="6">
        <f>IF($C174="","",HSCEI!$E$28)</f>
        <v/>
      </c>
      <c r="F174" s="54">
        <f>IF($C174="","",HSCEI!$K$28)</f>
        <v/>
      </c>
      <c r="G174" s="69" t="n"/>
      <c r="H174" s="69" t="n"/>
      <c r="I174" s="69" t="n"/>
      <c r="J174" s="12" t="n"/>
      <c r="K174" s="70">
        <f>IF($C174="","",HSCEI!$L$28)</f>
        <v/>
      </c>
      <c r="L174" s="71">
        <f>IF(ISNUMBER($G174)=FALSE,"",IFERROR(($G174-$F174)*HSCEI!$B$28*HSCEI!$G$28/HSCEI!$B$3,""))</f>
        <v/>
      </c>
      <c r="M174" s="72">
        <f>IF($C174="","",IF((ISNUMBER($H174)*ISNUMBER($G174)*($H174&gt;$G174)+ISNUMBER($I174)*ISNUMBER($G174)*($I174&lt;$G174)+ISNUMBER($H174)*ISNUMBER($I174)*($H174&gt;$I174))&gt;0,"low/high crossed",""))</f>
        <v/>
      </c>
    </row>
    <row r="175">
      <c r="B175" s="52" t="inlineStr">
        <is>
          <t>HSCEI</t>
        </is>
      </c>
      <c r="C175" s="6">
        <f>IF(HSCEI!$C$29="","",HSCEI!$C$29)</f>
        <v/>
      </c>
      <c r="D175" s="6">
        <f>IF($C175="","",HSCEI!$D$29)</f>
        <v/>
      </c>
      <c r="E175" s="6">
        <f>IF($C175="","",HSCEI!$E$29)</f>
        <v/>
      </c>
      <c r="F175" s="54">
        <f>IF($C175="","",HSCEI!$K$29)</f>
        <v/>
      </c>
      <c r="G175" s="69" t="n"/>
      <c r="H175" s="69" t="n"/>
      <c r="I175" s="69" t="n"/>
      <c r="J175" s="12" t="n"/>
      <c r="K175" s="70">
        <f>IF($C175="","",HSCEI!$L$29)</f>
        <v/>
      </c>
      <c r="L175" s="71">
        <f>IF(ISNUMBER($G175)=FALSE,"",IFERROR(($G175-$F175)*HSCEI!$B$29*HSCEI!$G$29/HSCEI!$B$3,""))</f>
        <v/>
      </c>
      <c r="M175" s="72">
        <f>IF($C175="","",IF((ISNUMBER($H175)*ISNUMBER($G175)*($H175&gt;$G175)+ISNUMBER($I175)*ISNUMBER($G175)*($I175&lt;$G175)+ISNUMBER($H175)*ISNUMBER($I175)*($H175&gt;$I175))&gt;0,"low/high crossed",""))</f>
        <v/>
      </c>
    </row>
    <row r="176">
      <c r="B176" s="52" t="inlineStr">
        <is>
          <t>HSCEI</t>
        </is>
      </c>
      <c r="C176" s="6">
        <f>IF(HSCEI!$C$30="","",HSCEI!$C$30)</f>
        <v/>
      </c>
      <c r="D176" s="6">
        <f>IF($C176="","",HSCEI!$D$30)</f>
        <v/>
      </c>
      <c r="E176" s="6">
        <f>IF($C176="","",HSCEI!$E$30)</f>
        <v/>
      </c>
      <c r="F176" s="54">
        <f>IF($C176="","",HSCEI!$K$30)</f>
        <v/>
      </c>
      <c r="G176" s="69" t="n"/>
      <c r="H176" s="69" t="n"/>
      <c r="I176" s="69" t="n"/>
      <c r="J176" s="12" t="n"/>
      <c r="K176" s="70">
        <f>IF($C176="","",HSCEI!$L$30)</f>
        <v/>
      </c>
      <c r="L176" s="71">
        <f>IF(ISNUMBER($G176)=FALSE,"",IFERROR(($G176-$F176)*HSCEI!$B$30*HSCEI!$G$30/HSCEI!$B$3,""))</f>
        <v/>
      </c>
      <c r="M176" s="72">
        <f>IF($C176="","",IF((ISNUMBER($H176)*ISNUMBER($G176)*($H176&gt;$G176)+ISNUMBER($I176)*ISNUMBER($G176)*($I176&lt;$G176)+ISNUMBER($H176)*ISNUMBER($I176)*($H176&gt;$I176))&gt;0,"low/high crossed",""))</f>
        <v/>
      </c>
    </row>
    <row r="177">
      <c r="B177" s="52" t="inlineStr">
        <is>
          <t>HSCEI</t>
        </is>
      </c>
      <c r="C177" s="6">
        <f>IF(HSCEI!$C$31="","",HSCEI!$C$31)</f>
        <v/>
      </c>
      <c r="D177" s="6">
        <f>IF($C177="","",HSCEI!$D$31)</f>
        <v/>
      </c>
      <c r="E177" s="6">
        <f>IF($C177="","",HSCEI!$E$31)</f>
        <v/>
      </c>
      <c r="F177" s="54">
        <f>IF($C177="","",HSCEI!$K$31)</f>
        <v/>
      </c>
      <c r="G177" s="69" t="n"/>
      <c r="H177" s="69" t="n"/>
      <c r="I177" s="69" t="n"/>
      <c r="J177" s="12" t="n"/>
      <c r="K177" s="70">
        <f>IF($C177="","",HSCEI!$L$31)</f>
        <v/>
      </c>
      <c r="L177" s="71">
        <f>IF(ISNUMBER($G177)=FALSE,"",IFERROR(($G177-$F177)*HSCEI!$B$31*HSCEI!$G$31/HSCEI!$B$3,""))</f>
        <v/>
      </c>
      <c r="M177" s="72">
        <f>IF($C177="","",IF((ISNUMBER($H177)*ISNUMBER($G177)*($H177&gt;$G177)+ISNUMBER($I177)*ISNUMBER($G177)*($I177&lt;$G177)+ISNUMBER($H177)*ISNUMBER($I177)*($H177&gt;$I177))&gt;0,"low/high crossed",""))</f>
        <v/>
      </c>
    </row>
    <row r="178">
      <c r="B178" s="52" t="inlineStr">
        <is>
          <t>HSCEI</t>
        </is>
      </c>
      <c r="C178" s="6">
        <f>IF(HSCEI!$C$32="","",HSCEI!$C$32)</f>
        <v/>
      </c>
      <c r="D178" s="6">
        <f>IF($C178="","",HSCEI!$D$32)</f>
        <v/>
      </c>
      <c r="E178" s="6">
        <f>IF($C178="","",HSCEI!$E$32)</f>
        <v/>
      </c>
      <c r="F178" s="54">
        <f>IF($C178="","",HSCEI!$K$32)</f>
        <v/>
      </c>
      <c r="G178" s="69" t="n"/>
      <c r="H178" s="69" t="n"/>
      <c r="I178" s="69" t="n"/>
      <c r="J178" s="12" t="n"/>
      <c r="K178" s="70">
        <f>IF($C178="","",HSCEI!$L$32)</f>
        <v/>
      </c>
      <c r="L178" s="71">
        <f>IF(ISNUMBER($G178)=FALSE,"",IFERROR(($G178-$F178)*HSCEI!$B$32*HSCEI!$G$32/HSCEI!$B$3,""))</f>
        <v/>
      </c>
      <c r="M178" s="72">
        <f>IF($C178="","",IF((ISNUMBER($H178)*ISNUMBER($G178)*($H178&gt;$G178)+ISNUMBER($I178)*ISNUMBER($G178)*($I178&lt;$G178)+ISNUMBER($H178)*ISNUMBER($I178)*($H178&gt;$I178))&gt;0,"low/high crossed",""))</f>
        <v/>
      </c>
    </row>
    <row r="179">
      <c r="B179" s="52" t="inlineStr">
        <is>
          <t>HSCEI</t>
        </is>
      </c>
      <c r="C179" s="6">
        <f>IF(HSCEI!$C$33="","",HSCEI!$C$33)</f>
        <v/>
      </c>
      <c r="D179" s="6">
        <f>IF($C179="","",HSCEI!$D$33)</f>
        <v/>
      </c>
      <c r="E179" s="6">
        <f>IF($C179="","",HSCEI!$E$33)</f>
        <v/>
      </c>
      <c r="F179" s="54">
        <f>IF($C179="","",HSCEI!$K$33)</f>
        <v/>
      </c>
      <c r="G179" s="69" t="n"/>
      <c r="H179" s="69" t="n"/>
      <c r="I179" s="69" t="n"/>
      <c r="J179" s="12" t="n"/>
      <c r="K179" s="70">
        <f>IF($C179="","",HSCEI!$L$33)</f>
        <v/>
      </c>
      <c r="L179" s="71">
        <f>IF(ISNUMBER($G179)=FALSE,"",IFERROR(($G179-$F179)*HSCEI!$B$33*HSCEI!$G$33/HSCEI!$B$3,""))</f>
        <v/>
      </c>
      <c r="M179" s="72">
        <f>IF($C179="","",IF((ISNUMBER($H179)*ISNUMBER($G179)*($H179&gt;$G179)+ISNUMBER($I179)*ISNUMBER($G179)*($I179&lt;$G179)+ISNUMBER($H179)*ISNUMBER($I179)*($H179&gt;$I179))&gt;0,"low/high crossed",""))</f>
        <v/>
      </c>
    </row>
    <row r="180">
      <c r="B180" s="52" t="inlineStr">
        <is>
          <t>HSCEI</t>
        </is>
      </c>
      <c r="C180" s="6">
        <f>IF(HSCEI!$C$34="","",HSCEI!$C$34)</f>
        <v/>
      </c>
      <c r="D180" s="6">
        <f>IF($C180="","",HSCEI!$D$34)</f>
        <v/>
      </c>
      <c r="E180" s="6">
        <f>IF($C180="","",HSCEI!$E$34)</f>
        <v/>
      </c>
      <c r="F180" s="54">
        <f>IF($C180="","",HSCEI!$K$34)</f>
        <v/>
      </c>
      <c r="G180" s="69" t="n"/>
      <c r="H180" s="69" t="n"/>
      <c r="I180" s="69" t="n"/>
      <c r="J180" s="12" t="n"/>
      <c r="K180" s="70">
        <f>IF($C180="","",HSCEI!$L$34)</f>
        <v/>
      </c>
      <c r="L180" s="71">
        <f>IF(ISNUMBER($G180)=FALSE,"",IFERROR(($G180-$F180)*HSCEI!$B$34*HSCEI!$G$34/HSCEI!$B$3,""))</f>
        <v/>
      </c>
      <c r="M180" s="72">
        <f>IF($C180="","",IF((ISNUMBER($H180)*ISNUMBER($G180)*($H180&gt;$G180)+ISNUMBER($I180)*ISNUMBER($G180)*($I180&lt;$G180)+ISNUMBER($H180)*ISNUMBER($I180)*($H180&gt;$I180))&gt;0,"low/high crossed",""))</f>
        <v/>
      </c>
    </row>
    <row r="181">
      <c r="B181" s="52" t="inlineStr">
        <is>
          <t>HSCEI</t>
        </is>
      </c>
      <c r="C181" s="6">
        <f>IF(HSCEI!$C$35="","",HSCEI!$C$35)</f>
        <v/>
      </c>
      <c r="D181" s="6">
        <f>IF($C181="","",HSCEI!$D$35)</f>
        <v/>
      </c>
      <c r="E181" s="6">
        <f>IF($C181="","",HSCEI!$E$35)</f>
        <v/>
      </c>
      <c r="F181" s="54">
        <f>IF($C181="","",HSCEI!$K$35)</f>
        <v/>
      </c>
      <c r="G181" s="69" t="n"/>
      <c r="H181" s="69" t="n"/>
      <c r="I181" s="69" t="n"/>
      <c r="J181" s="12" t="n"/>
      <c r="K181" s="70">
        <f>IF($C181="","",HSCEI!$L$35)</f>
        <v/>
      </c>
      <c r="L181" s="71">
        <f>IF(ISNUMBER($G181)=FALSE,"",IFERROR(($G181-$F181)*HSCEI!$B$35*HSCEI!$G$35/HSCEI!$B$3,""))</f>
        <v/>
      </c>
      <c r="M181" s="72">
        <f>IF($C181="","",IF((ISNUMBER($H181)*ISNUMBER($G181)*($H181&gt;$G181)+ISNUMBER($I181)*ISNUMBER($G181)*($I181&lt;$G181)+ISNUMBER($H181)*ISNUMBER($I181)*($H181&gt;$I181))&gt;0,"low/high crossed",""))</f>
        <v/>
      </c>
    </row>
    <row r="182">
      <c r="B182" s="52" t="inlineStr">
        <is>
          <t>HSCEI</t>
        </is>
      </c>
      <c r="C182" s="6">
        <f>IF(HSCEI!$C$36="","",HSCEI!$C$36)</f>
        <v/>
      </c>
      <c r="D182" s="6">
        <f>IF($C182="","",HSCEI!$D$36)</f>
        <v/>
      </c>
      <c r="E182" s="6">
        <f>IF($C182="","",HSCEI!$E$36)</f>
        <v/>
      </c>
      <c r="F182" s="54">
        <f>IF($C182="","",HSCEI!$K$36)</f>
        <v/>
      </c>
      <c r="G182" s="69" t="n"/>
      <c r="H182" s="69" t="n"/>
      <c r="I182" s="69" t="n"/>
      <c r="J182" s="12" t="n"/>
      <c r="K182" s="70">
        <f>IF($C182="","",HSCEI!$L$36)</f>
        <v/>
      </c>
      <c r="L182" s="71">
        <f>IF(ISNUMBER($G182)=FALSE,"",IFERROR(($G182-$F182)*HSCEI!$B$36*HSCEI!$G$36/HSCEI!$B$3,""))</f>
        <v/>
      </c>
      <c r="M182" s="72">
        <f>IF($C182="","",IF((ISNUMBER($H182)*ISNUMBER($G182)*($H182&gt;$G182)+ISNUMBER($I182)*ISNUMBER($G182)*($I182&lt;$G182)+ISNUMBER($H182)*ISNUMBER($I182)*($H182&gt;$I182))&gt;0,"low/high crossed",""))</f>
        <v/>
      </c>
    </row>
    <row r="183">
      <c r="B183" s="52" t="inlineStr">
        <is>
          <t>HSCEI</t>
        </is>
      </c>
      <c r="C183" s="6">
        <f>IF(HSCEI!$C$37="","",HSCEI!$C$37)</f>
        <v/>
      </c>
      <c r="D183" s="6">
        <f>IF($C183="","",HSCEI!$D$37)</f>
        <v/>
      </c>
      <c r="E183" s="6">
        <f>IF($C183="","",HSCEI!$E$37)</f>
        <v/>
      </c>
      <c r="F183" s="54">
        <f>IF($C183="","",HSCEI!$K$37)</f>
        <v/>
      </c>
      <c r="G183" s="69" t="n"/>
      <c r="H183" s="69" t="n"/>
      <c r="I183" s="69" t="n"/>
      <c r="J183" s="12" t="n"/>
      <c r="K183" s="70">
        <f>IF($C183="","",HSCEI!$L$37)</f>
        <v/>
      </c>
      <c r="L183" s="71">
        <f>IF(ISNUMBER($G183)=FALSE,"",IFERROR(($G183-$F183)*HSCEI!$B$37*HSCEI!$G$37/HSCEI!$B$3,""))</f>
        <v/>
      </c>
      <c r="M183" s="72">
        <f>IF($C183="","",IF((ISNUMBER($H183)*ISNUMBER($G183)*($H183&gt;$G183)+ISNUMBER($I183)*ISNUMBER($G183)*($I183&lt;$G183)+ISNUMBER($H183)*ISNUMBER($I183)*($H183&gt;$I183))&gt;0,"low/high crossed",""))</f>
        <v/>
      </c>
    </row>
    <row r="184">
      <c r="B184" s="52" t="inlineStr">
        <is>
          <t>HSCEI</t>
        </is>
      </c>
      <c r="C184" s="6">
        <f>IF(HSCEI!$C$38="","",HSCEI!$C$38)</f>
        <v/>
      </c>
      <c r="D184" s="6">
        <f>IF($C184="","",HSCEI!$D$38)</f>
        <v/>
      </c>
      <c r="E184" s="6">
        <f>IF($C184="","",HSCEI!$E$38)</f>
        <v/>
      </c>
      <c r="F184" s="54">
        <f>IF($C184="","",HSCEI!$K$38)</f>
        <v/>
      </c>
      <c r="G184" s="69" t="n"/>
      <c r="H184" s="69" t="n"/>
      <c r="I184" s="69" t="n"/>
      <c r="J184" s="12" t="n"/>
      <c r="K184" s="70">
        <f>IF($C184="","",HSCEI!$L$38)</f>
        <v/>
      </c>
      <c r="L184" s="71">
        <f>IF(ISNUMBER($G184)=FALSE,"",IFERROR(($G184-$F184)*HSCEI!$B$38*HSCEI!$G$38/HSCEI!$B$3,""))</f>
        <v/>
      </c>
      <c r="M184" s="72">
        <f>IF($C184="","",IF((ISNUMBER($H184)*ISNUMBER($G184)*($H184&gt;$G184)+ISNUMBER($I184)*ISNUMBER($G184)*($I184&lt;$G184)+ISNUMBER($H184)*ISNUMBER($I184)*($H184&gt;$I184))&gt;0,"low/high crossed",""))</f>
        <v/>
      </c>
    </row>
    <row r="185">
      <c r="B185" s="52" t="inlineStr">
        <is>
          <t>HSCEI</t>
        </is>
      </c>
      <c r="C185" s="6">
        <f>IF(HSCEI!$C$39="","",HSCEI!$C$39)</f>
        <v/>
      </c>
      <c r="D185" s="6">
        <f>IF($C185="","",HSCEI!$D$39)</f>
        <v/>
      </c>
      <c r="E185" s="6">
        <f>IF($C185="","",HSCEI!$E$39)</f>
        <v/>
      </c>
      <c r="F185" s="54">
        <f>IF($C185="","",HSCEI!$K$39)</f>
        <v/>
      </c>
      <c r="G185" s="69" t="n"/>
      <c r="H185" s="69" t="n"/>
      <c r="I185" s="69" t="n"/>
      <c r="J185" s="12" t="n"/>
      <c r="K185" s="70">
        <f>IF($C185="","",HSCEI!$L$39)</f>
        <v/>
      </c>
      <c r="L185" s="71">
        <f>IF(ISNUMBER($G185)=FALSE,"",IFERROR(($G185-$F185)*HSCEI!$B$39*HSCEI!$G$39/HSCEI!$B$3,""))</f>
        <v/>
      </c>
      <c r="M185" s="72">
        <f>IF($C185="","",IF((ISNUMBER($H185)*ISNUMBER($G185)*($H185&gt;$G185)+ISNUMBER($I185)*ISNUMBER($G185)*($I185&lt;$G185)+ISNUMBER($H185)*ISNUMBER($I185)*($H185&gt;$I185))&gt;0,"low/high crossed",""))</f>
        <v/>
      </c>
    </row>
    <row r="186">
      <c r="B186" s="52" t="inlineStr">
        <is>
          <t>HSCEI</t>
        </is>
      </c>
      <c r="C186" s="6">
        <f>IF(HSCEI!$C$40="","",HSCEI!$C$40)</f>
        <v/>
      </c>
      <c r="D186" s="6">
        <f>IF($C186="","",HSCEI!$D$40)</f>
        <v/>
      </c>
      <c r="E186" s="6">
        <f>IF($C186="","",HSCEI!$E$40)</f>
        <v/>
      </c>
      <c r="F186" s="54">
        <f>IF($C186="","",HSCEI!$K$40)</f>
        <v/>
      </c>
      <c r="G186" s="69" t="n"/>
      <c r="H186" s="69" t="n"/>
      <c r="I186" s="69" t="n"/>
      <c r="J186" s="12" t="n"/>
      <c r="K186" s="70">
        <f>IF($C186="","",HSCEI!$L$40)</f>
        <v/>
      </c>
      <c r="L186" s="71">
        <f>IF(ISNUMBER($G186)=FALSE,"",IFERROR(($G186-$F186)*HSCEI!$B$40*HSCEI!$G$40/HSCEI!$B$3,""))</f>
        <v/>
      </c>
      <c r="M186" s="72">
        <f>IF($C186="","",IF((ISNUMBER($H186)*ISNUMBER($G186)*($H186&gt;$G186)+ISNUMBER($I186)*ISNUMBER($G186)*($I186&lt;$G186)+ISNUMBER($H186)*ISNUMBER($I186)*($H186&gt;$I186))&gt;0,"low/high crossed",""))</f>
        <v/>
      </c>
    </row>
    <row r="187">
      <c r="B187" s="52" t="inlineStr">
        <is>
          <t>HSCEI</t>
        </is>
      </c>
      <c r="C187" s="6">
        <f>IF(HSCEI!$C$41="","",HSCEI!$C$41)</f>
        <v/>
      </c>
      <c r="D187" s="6">
        <f>IF($C187="","",HSCEI!$D$41)</f>
        <v/>
      </c>
      <c r="E187" s="6">
        <f>IF($C187="","",HSCEI!$E$41)</f>
        <v/>
      </c>
      <c r="F187" s="54">
        <f>IF($C187="","",HSCEI!$K$41)</f>
        <v/>
      </c>
      <c r="G187" s="69" t="n"/>
      <c r="H187" s="69" t="n"/>
      <c r="I187" s="69" t="n"/>
      <c r="J187" s="12" t="n"/>
      <c r="K187" s="70">
        <f>IF($C187="","",HSCEI!$L$41)</f>
        <v/>
      </c>
      <c r="L187" s="71">
        <f>IF(ISNUMBER($G187)=FALSE,"",IFERROR(($G187-$F187)*HSCEI!$B$41*HSCEI!$G$41/HSCEI!$B$3,""))</f>
        <v/>
      </c>
      <c r="M187" s="72">
        <f>IF($C187="","",IF((ISNUMBER($H187)*ISNUMBER($G187)*($H187&gt;$G187)+ISNUMBER($I187)*ISNUMBER($G187)*($I187&lt;$G187)+ISNUMBER($H187)*ISNUMBER($I187)*($H187&gt;$I187))&gt;0,"low/high crossed",""))</f>
        <v/>
      </c>
    </row>
    <row r="188">
      <c r="B188" s="52" t="inlineStr">
        <is>
          <t>HSCEI</t>
        </is>
      </c>
      <c r="C188" s="6">
        <f>IF(HSCEI!$C$42="","",HSCEI!$C$42)</f>
        <v/>
      </c>
      <c r="D188" s="6">
        <f>IF($C188="","",HSCEI!$D$42)</f>
        <v/>
      </c>
      <c r="E188" s="6">
        <f>IF($C188="","",HSCEI!$E$42)</f>
        <v/>
      </c>
      <c r="F188" s="54">
        <f>IF($C188="","",HSCEI!$K$42)</f>
        <v/>
      </c>
      <c r="G188" s="69" t="n"/>
      <c r="H188" s="69" t="n"/>
      <c r="I188" s="69" t="n"/>
      <c r="J188" s="12" t="n"/>
      <c r="K188" s="70">
        <f>IF($C188="","",HSCEI!$L$42)</f>
        <v/>
      </c>
      <c r="L188" s="71">
        <f>IF(ISNUMBER($G188)=FALSE,"",IFERROR(($G188-$F188)*HSCEI!$B$42*HSCEI!$G$42/HSCEI!$B$3,""))</f>
        <v/>
      </c>
      <c r="M188" s="72">
        <f>IF($C188="","",IF((ISNUMBER($H188)*ISNUMBER($G188)*($H188&gt;$G188)+ISNUMBER($I188)*ISNUMBER($G188)*($I188&lt;$G188)+ISNUMBER($H188)*ISNUMBER($I188)*($H188&gt;$I188))&gt;0,"low/high crossed",""))</f>
        <v/>
      </c>
    </row>
    <row r="189">
      <c r="B189" s="52" t="inlineStr">
        <is>
          <t>HSCEI</t>
        </is>
      </c>
      <c r="C189" s="6">
        <f>IF(HSCEI!$C$43="","",HSCEI!$C$43)</f>
        <v/>
      </c>
      <c r="D189" s="6">
        <f>IF($C189="","",HSCEI!$D$43)</f>
        <v/>
      </c>
      <c r="E189" s="6">
        <f>IF($C189="","",HSCEI!$E$43)</f>
        <v/>
      </c>
      <c r="F189" s="54">
        <f>IF($C189="","",HSCEI!$K$43)</f>
        <v/>
      </c>
      <c r="G189" s="69" t="n"/>
      <c r="H189" s="69" t="n"/>
      <c r="I189" s="69" t="n"/>
      <c r="J189" s="12" t="n"/>
      <c r="K189" s="70">
        <f>IF($C189="","",HSCEI!$L$43)</f>
        <v/>
      </c>
      <c r="L189" s="71">
        <f>IF(ISNUMBER($G189)=FALSE,"",IFERROR(($G189-$F189)*HSCEI!$B$43*HSCEI!$G$43/HSCEI!$B$3,""))</f>
        <v/>
      </c>
      <c r="M189" s="72">
        <f>IF($C189="","",IF((ISNUMBER($H189)*ISNUMBER($G189)*($H189&gt;$G189)+ISNUMBER($I189)*ISNUMBER($G189)*($I189&lt;$G189)+ISNUMBER($H189)*ISNUMBER($I189)*($H189&gt;$I189))&gt;0,"low/high crossed",""))</f>
        <v/>
      </c>
    </row>
    <row r="190">
      <c r="B190" s="52" t="inlineStr">
        <is>
          <t>HSCEI</t>
        </is>
      </c>
      <c r="C190" s="6">
        <f>IF(HSCEI!$C$44="","",HSCEI!$C$44)</f>
        <v/>
      </c>
      <c r="D190" s="6">
        <f>IF($C190="","",HSCEI!$D$44)</f>
        <v/>
      </c>
      <c r="E190" s="6">
        <f>IF($C190="","",HSCEI!$E$44)</f>
        <v/>
      </c>
      <c r="F190" s="54">
        <f>IF($C190="","",HSCEI!$K$44)</f>
        <v/>
      </c>
      <c r="G190" s="69" t="n"/>
      <c r="H190" s="69" t="n"/>
      <c r="I190" s="69" t="n"/>
      <c r="J190" s="12" t="n"/>
      <c r="K190" s="70">
        <f>IF($C190="","",HSCEI!$L$44)</f>
        <v/>
      </c>
      <c r="L190" s="71">
        <f>IF(ISNUMBER($G190)=FALSE,"",IFERROR(($G190-$F190)*HSCEI!$B$44*HSCEI!$G$44/HSCEI!$B$3,""))</f>
        <v/>
      </c>
      <c r="M190" s="72">
        <f>IF($C190="","",IF((ISNUMBER($H190)*ISNUMBER($G190)*($H190&gt;$G190)+ISNUMBER($I190)*ISNUMBER($G190)*($I190&lt;$G190)+ISNUMBER($H190)*ISNUMBER($I190)*($H190&gt;$I190))&gt;0,"low/high crossed",""))</f>
        <v/>
      </c>
    </row>
    <row r="191">
      <c r="B191" s="52" t="inlineStr">
        <is>
          <t>HSCEI</t>
        </is>
      </c>
      <c r="C191" s="6">
        <f>IF(HSCEI!$C$45="","",HSCEI!$C$45)</f>
        <v/>
      </c>
      <c r="D191" s="6">
        <f>IF($C191="","",HSCEI!$D$45)</f>
        <v/>
      </c>
      <c r="E191" s="6">
        <f>IF($C191="","",HSCEI!$E$45)</f>
        <v/>
      </c>
      <c r="F191" s="54">
        <f>IF($C191="","",HSCEI!$K$45)</f>
        <v/>
      </c>
      <c r="G191" s="69" t="n"/>
      <c r="H191" s="69" t="n"/>
      <c r="I191" s="69" t="n"/>
      <c r="J191" s="12" t="n"/>
      <c r="K191" s="70">
        <f>IF($C191="","",HSCEI!$L$45)</f>
        <v/>
      </c>
      <c r="L191" s="71">
        <f>IF(ISNUMBER($G191)=FALSE,"",IFERROR(($G191-$F191)*HSCEI!$B$45*HSCEI!$G$45/HSCEI!$B$3,""))</f>
        <v/>
      </c>
      <c r="M191" s="72">
        <f>IF($C191="","",IF((ISNUMBER($H191)*ISNUMBER($G191)*($H191&gt;$G191)+ISNUMBER($I191)*ISNUMBER($G191)*($I191&lt;$G191)+ISNUMBER($H191)*ISNUMBER($I191)*($H191&gt;$I191))&gt;0,"low/high crossed",""))</f>
        <v/>
      </c>
    </row>
    <row r="192">
      <c r="B192" s="52" t="inlineStr">
        <is>
          <t>HSCEI</t>
        </is>
      </c>
      <c r="C192" s="6">
        <f>IF(HSCEI!$C$46="","",HSCEI!$C$46)</f>
        <v/>
      </c>
      <c r="D192" s="6">
        <f>IF($C192="","",HSCEI!$D$46)</f>
        <v/>
      </c>
      <c r="E192" s="6">
        <f>IF($C192="","",HSCEI!$E$46)</f>
        <v/>
      </c>
      <c r="F192" s="54">
        <f>IF($C192="","",HSCEI!$K$46)</f>
        <v/>
      </c>
      <c r="G192" s="69" t="n"/>
      <c r="H192" s="69" t="n"/>
      <c r="I192" s="69" t="n"/>
      <c r="J192" s="12" t="n"/>
      <c r="K192" s="70">
        <f>IF($C192="","",HSCEI!$L$46)</f>
        <v/>
      </c>
      <c r="L192" s="71">
        <f>IF(ISNUMBER($G192)=FALSE,"",IFERROR(($G192-$F192)*HSCEI!$B$46*HSCEI!$G$46/HSCEI!$B$3,""))</f>
        <v/>
      </c>
      <c r="M192" s="72">
        <f>IF($C192="","",IF((ISNUMBER($H192)*ISNUMBER($G192)*($H192&gt;$G192)+ISNUMBER($I192)*ISNUMBER($G192)*($I192&lt;$G192)+ISNUMBER($H192)*ISNUMBER($I192)*($H192&gt;$I192))&gt;0,"low/high crossed",""))</f>
        <v/>
      </c>
    </row>
    <row r="193">
      <c r="B193" s="52" t="inlineStr">
        <is>
          <t>HSCEI</t>
        </is>
      </c>
      <c r="C193" s="6">
        <f>IF(HSCEI!$C$47="","",HSCEI!$C$47)</f>
        <v/>
      </c>
      <c r="D193" s="6">
        <f>IF($C193="","",HSCEI!$D$47)</f>
        <v/>
      </c>
      <c r="E193" s="6">
        <f>IF($C193="","",HSCEI!$E$47)</f>
        <v/>
      </c>
      <c r="F193" s="54">
        <f>IF($C193="","",HSCEI!$K$47)</f>
        <v/>
      </c>
      <c r="G193" s="69" t="n"/>
      <c r="H193" s="69" t="n"/>
      <c r="I193" s="69" t="n"/>
      <c r="J193" s="12" t="n"/>
      <c r="K193" s="70">
        <f>IF($C193="","",HSCEI!$L$47)</f>
        <v/>
      </c>
      <c r="L193" s="71">
        <f>IF(ISNUMBER($G193)=FALSE,"",IFERROR(($G193-$F193)*HSCEI!$B$47*HSCEI!$G$47/HSCEI!$B$3,""))</f>
        <v/>
      </c>
      <c r="M193" s="72">
        <f>IF($C193="","",IF((ISNUMBER($H193)*ISNUMBER($G193)*($H193&gt;$G193)+ISNUMBER($I193)*ISNUMBER($G193)*($I193&lt;$G193)+ISNUMBER($H193)*ISNUMBER($I193)*($H193&gt;$I193))&gt;0,"low/high crossed",""))</f>
        <v/>
      </c>
    </row>
    <row r="194">
      <c r="B194" s="52" t="inlineStr">
        <is>
          <t>HSCEI</t>
        </is>
      </c>
      <c r="C194" s="6">
        <f>IF(HSCEI!$C$48="","",HSCEI!$C$48)</f>
        <v/>
      </c>
      <c r="D194" s="6">
        <f>IF($C194="","",HSCEI!$D$48)</f>
        <v/>
      </c>
      <c r="E194" s="6">
        <f>IF($C194="","",HSCEI!$E$48)</f>
        <v/>
      </c>
      <c r="F194" s="54">
        <f>IF($C194="","",HSCEI!$K$48)</f>
        <v/>
      </c>
      <c r="G194" s="69" t="n"/>
      <c r="H194" s="69" t="n"/>
      <c r="I194" s="69" t="n"/>
      <c r="J194" s="12" t="n"/>
      <c r="K194" s="70">
        <f>IF($C194="","",HSCEI!$L$48)</f>
        <v/>
      </c>
      <c r="L194" s="71">
        <f>IF(ISNUMBER($G194)=FALSE,"",IFERROR(($G194-$F194)*HSCEI!$B$48*HSCEI!$G$48/HSCEI!$B$3,""))</f>
        <v/>
      </c>
      <c r="M194" s="72">
        <f>IF($C194="","",IF((ISNUMBER($H194)*ISNUMBER($G194)*($H194&gt;$G194)+ISNUMBER($I194)*ISNUMBER($G194)*($I194&lt;$G194)+ISNUMBER($H194)*ISNUMBER($I194)*($H194&gt;$I194))&gt;0,"low/high crossed",""))</f>
        <v/>
      </c>
    </row>
    <row r="195">
      <c r="B195" s="52" t="inlineStr">
        <is>
          <t>HSCEI</t>
        </is>
      </c>
      <c r="C195" s="6">
        <f>IF(HSCEI!$C$49="","",HSCEI!$C$49)</f>
        <v/>
      </c>
      <c r="D195" s="6">
        <f>IF($C195="","",HSCEI!$D$49)</f>
        <v/>
      </c>
      <c r="E195" s="6">
        <f>IF($C195="","",HSCEI!$E$49)</f>
        <v/>
      </c>
      <c r="F195" s="54">
        <f>IF($C195="","",HSCEI!$K$49)</f>
        <v/>
      </c>
      <c r="G195" s="69" t="n"/>
      <c r="H195" s="69" t="n"/>
      <c r="I195" s="69" t="n"/>
      <c r="J195" s="12" t="n"/>
      <c r="K195" s="70">
        <f>IF($C195="","",HSCEI!$L$49)</f>
        <v/>
      </c>
      <c r="L195" s="71">
        <f>IF(ISNUMBER($G195)=FALSE,"",IFERROR(($G195-$F195)*HSCEI!$B$49*HSCEI!$G$49/HSCEI!$B$3,""))</f>
        <v/>
      </c>
      <c r="M195" s="72">
        <f>IF($C195="","",IF((ISNUMBER($H195)*ISNUMBER($G195)*($H195&gt;$G195)+ISNUMBER($I195)*ISNUMBER($G195)*($I195&lt;$G195)+ISNUMBER($H195)*ISNUMBER($I195)*($H195&gt;$I195))&gt;0,"low/high crossed",""))</f>
        <v/>
      </c>
    </row>
    <row r="196">
      <c r="B196" s="52" t="inlineStr">
        <is>
          <t>HSCEI</t>
        </is>
      </c>
      <c r="C196" s="6">
        <f>IF(HSCEI!$C$50="","",HSCEI!$C$50)</f>
        <v/>
      </c>
      <c r="D196" s="6">
        <f>IF($C196="","",HSCEI!$D$50)</f>
        <v/>
      </c>
      <c r="E196" s="6">
        <f>IF($C196="","",HSCEI!$E$50)</f>
        <v/>
      </c>
      <c r="F196" s="54">
        <f>IF($C196="","",HSCEI!$K$50)</f>
        <v/>
      </c>
      <c r="G196" s="69" t="n"/>
      <c r="H196" s="69" t="n"/>
      <c r="I196" s="69" t="n"/>
      <c r="J196" s="12" t="n"/>
      <c r="K196" s="70">
        <f>IF($C196="","",HSCEI!$L$50)</f>
        <v/>
      </c>
      <c r="L196" s="71">
        <f>IF(ISNUMBER($G196)=FALSE,"",IFERROR(($G196-$F196)*HSCEI!$B$50*HSCEI!$G$50/HSCEI!$B$3,""))</f>
        <v/>
      </c>
      <c r="M196" s="72">
        <f>IF($C196="","",IF((ISNUMBER($H196)*ISNUMBER($G196)*($H196&gt;$G196)+ISNUMBER($I196)*ISNUMBER($G196)*($I196&lt;$G196)+ISNUMBER($H196)*ISNUMBER($I196)*($H196&gt;$I196))&gt;0,"low/high crossed",""))</f>
        <v/>
      </c>
    </row>
    <row r="197">
      <c r="B197" s="52" t="inlineStr">
        <is>
          <t>HSCEI</t>
        </is>
      </c>
      <c r="C197" s="6">
        <f>IF(HSCEI!$C$51="","",HSCEI!$C$51)</f>
        <v/>
      </c>
      <c r="D197" s="6">
        <f>IF($C197="","",HSCEI!$D$51)</f>
        <v/>
      </c>
      <c r="E197" s="6">
        <f>IF($C197="","",HSCEI!$E$51)</f>
        <v/>
      </c>
      <c r="F197" s="54">
        <f>IF($C197="","",HSCEI!$K$51)</f>
        <v/>
      </c>
      <c r="G197" s="69" t="n"/>
      <c r="H197" s="69" t="n"/>
      <c r="I197" s="69" t="n"/>
      <c r="J197" s="12" t="n"/>
      <c r="K197" s="70">
        <f>IF($C197="","",HSCEI!$L$51)</f>
        <v/>
      </c>
      <c r="L197" s="71">
        <f>IF(ISNUMBER($G197)=FALSE,"",IFERROR(($G197-$F197)*HSCEI!$B$51*HSCEI!$G$51/HSCEI!$B$3,""))</f>
        <v/>
      </c>
      <c r="M197" s="72">
        <f>IF($C197="","",IF((ISNUMBER($H197)*ISNUMBER($G197)*($H197&gt;$G197)+ISNUMBER($I197)*ISNUMBER($G197)*($I197&lt;$G197)+ISNUMBER($H197)*ISNUMBER($I197)*($H197&gt;$I197))&gt;0,"low/high crossed",""))</f>
        <v/>
      </c>
    </row>
    <row r="198">
      <c r="B198" s="52" t="inlineStr">
        <is>
          <t>HSCEI</t>
        </is>
      </c>
      <c r="C198" s="6">
        <f>IF(HSCEI!$C$52="","",HSCEI!$C$52)</f>
        <v/>
      </c>
      <c r="D198" s="6">
        <f>IF($C198="","",HSCEI!$D$52)</f>
        <v/>
      </c>
      <c r="E198" s="6">
        <f>IF($C198="","",HSCEI!$E$52)</f>
        <v/>
      </c>
      <c r="F198" s="54">
        <f>IF($C198="","",HSCEI!$K$52)</f>
        <v/>
      </c>
      <c r="G198" s="69" t="n"/>
      <c r="H198" s="69" t="n"/>
      <c r="I198" s="69" t="n"/>
      <c r="J198" s="12" t="n"/>
      <c r="K198" s="70">
        <f>IF($C198="","",HSCEI!$L$52)</f>
        <v/>
      </c>
      <c r="L198" s="71">
        <f>IF(ISNUMBER($G198)=FALSE,"",IFERROR(($G198-$F198)*HSCEI!$B$52*HSCEI!$G$52/HSCEI!$B$3,""))</f>
        <v/>
      </c>
      <c r="M198" s="72">
        <f>IF($C198="","",IF((ISNUMBER($H198)*ISNUMBER($G198)*($H198&gt;$G198)+ISNUMBER($I198)*ISNUMBER($G198)*($I198&lt;$G198)+ISNUMBER($H198)*ISNUMBER($I198)*($H198&gt;$I198))&gt;0,"low/high crossed",""))</f>
        <v/>
      </c>
    </row>
    <row r="199">
      <c r="B199" s="52" t="inlineStr">
        <is>
          <t>HSCEI</t>
        </is>
      </c>
      <c r="C199" s="6">
        <f>IF(HSCEI!$C$53="","",HSCEI!$C$53)</f>
        <v/>
      </c>
      <c r="D199" s="6">
        <f>IF($C199="","",HSCEI!$D$53)</f>
        <v/>
      </c>
      <c r="E199" s="6">
        <f>IF($C199="","",HSCEI!$E$53)</f>
        <v/>
      </c>
      <c r="F199" s="54">
        <f>IF($C199="","",HSCEI!$K$53)</f>
        <v/>
      </c>
      <c r="G199" s="69" t="n"/>
      <c r="H199" s="69" t="n"/>
      <c r="I199" s="69" t="n"/>
      <c r="J199" s="12" t="n"/>
      <c r="K199" s="70">
        <f>IF($C199="","",HSCEI!$L$53)</f>
        <v/>
      </c>
      <c r="L199" s="71">
        <f>IF(ISNUMBER($G199)=FALSE,"",IFERROR(($G199-$F199)*HSCEI!$B$53*HSCEI!$G$53/HSCEI!$B$3,""))</f>
        <v/>
      </c>
      <c r="M199" s="72">
        <f>IF($C199="","",IF((ISNUMBER($H199)*ISNUMBER($G199)*($H199&gt;$G199)+ISNUMBER($I199)*ISNUMBER($G199)*($I199&lt;$G199)+ISNUMBER($H199)*ISNUMBER($I199)*($H199&gt;$I199))&gt;0,"low/high crossed",""))</f>
        <v/>
      </c>
    </row>
    <row r="200">
      <c r="B200" s="52" t="inlineStr">
        <is>
          <t>HSCEI</t>
        </is>
      </c>
      <c r="C200" s="6">
        <f>IF(HSCEI!$C$54="","",HSCEI!$C$54)</f>
        <v/>
      </c>
      <c r="D200" s="6">
        <f>IF($C200="","",HSCEI!$D$54)</f>
        <v/>
      </c>
      <c r="E200" s="6">
        <f>IF($C200="","",HSCEI!$E$54)</f>
        <v/>
      </c>
      <c r="F200" s="54">
        <f>IF($C200="","",HSCEI!$K$54)</f>
        <v/>
      </c>
      <c r="G200" s="69" t="n"/>
      <c r="H200" s="69" t="n"/>
      <c r="I200" s="69" t="n"/>
      <c r="J200" s="12" t="n"/>
      <c r="K200" s="70">
        <f>IF($C200="","",HSCEI!$L$54)</f>
        <v/>
      </c>
      <c r="L200" s="71">
        <f>IF(ISNUMBER($G200)=FALSE,"",IFERROR(($G200-$F200)*HSCEI!$B$54*HSCEI!$G$54/HSCEI!$B$3,""))</f>
        <v/>
      </c>
      <c r="M200" s="72">
        <f>IF($C200="","",IF((ISNUMBER($H200)*ISNUMBER($G200)*($H200&gt;$G200)+ISNUMBER($I200)*ISNUMBER($G200)*($I200&lt;$G200)+ISNUMBER($H200)*ISNUMBER($I200)*($H200&gt;$I200))&gt;0,"low/high crossed",""))</f>
        <v/>
      </c>
    </row>
    <row r="201">
      <c r="B201" s="52" t="inlineStr">
        <is>
          <t>HSCEI</t>
        </is>
      </c>
      <c r="C201" s="6">
        <f>IF(HSCEI!$C$55="","",HSCEI!$C$55)</f>
        <v/>
      </c>
      <c r="D201" s="6">
        <f>IF($C201="","",HSCEI!$D$55)</f>
        <v/>
      </c>
      <c r="E201" s="6">
        <f>IF($C201="","",HSCEI!$E$55)</f>
        <v/>
      </c>
      <c r="F201" s="54">
        <f>IF($C201="","",HSCEI!$K$55)</f>
        <v/>
      </c>
      <c r="G201" s="69" t="n"/>
      <c r="H201" s="69" t="n"/>
      <c r="I201" s="69" t="n"/>
      <c r="J201" s="12" t="n"/>
      <c r="K201" s="70">
        <f>IF($C201="","",HSCEI!$L$55)</f>
        <v/>
      </c>
      <c r="L201" s="71">
        <f>IF(ISNUMBER($G201)=FALSE,"",IFERROR(($G201-$F201)*HSCEI!$B$55*HSCEI!$G$55/HSCEI!$B$3,""))</f>
        <v/>
      </c>
      <c r="M201" s="72">
        <f>IF($C201="","",IF((ISNUMBER($H201)*ISNUMBER($G201)*($H201&gt;$G201)+ISNUMBER($I201)*ISNUMBER($G201)*($I201&lt;$G201)+ISNUMBER($H201)*ISNUMBER($I201)*($H201&gt;$I201))&gt;0,"low/high crossed",""))</f>
        <v/>
      </c>
    </row>
    <row r="202">
      <c r="B202" s="52" t="inlineStr">
        <is>
          <t>HSCEI</t>
        </is>
      </c>
      <c r="C202" s="6">
        <f>IF(HSCEI!$C$56="","",HSCEI!$C$56)</f>
        <v/>
      </c>
      <c r="D202" s="6">
        <f>IF($C202="","",HSCEI!$D$56)</f>
        <v/>
      </c>
      <c r="E202" s="6">
        <f>IF($C202="","",HSCEI!$E$56)</f>
        <v/>
      </c>
      <c r="F202" s="54">
        <f>IF($C202="","",HSCEI!$K$56)</f>
        <v/>
      </c>
      <c r="G202" s="69" t="n"/>
      <c r="H202" s="69" t="n"/>
      <c r="I202" s="69" t="n"/>
      <c r="J202" s="12" t="n"/>
      <c r="K202" s="70">
        <f>IF($C202="","",HSCEI!$L$56)</f>
        <v/>
      </c>
      <c r="L202" s="71">
        <f>IF(ISNUMBER($G202)=FALSE,"",IFERROR(($G202-$F202)*HSCEI!$B$56*HSCEI!$G$56/HSCEI!$B$3,""))</f>
        <v/>
      </c>
      <c r="M202" s="72">
        <f>IF($C202="","",IF((ISNUMBER($H202)*ISNUMBER($G202)*($H202&gt;$G202)+ISNUMBER($I202)*ISNUMBER($G202)*($I202&lt;$G202)+ISNUMBER($H202)*ISNUMBER($I202)*($H202&gt;$I202))&gt;0,"low/high crossed",""))</f>
        <v/>
      </c>
    </row>
    <row r="203">
      <c r="B203" s="52" t="inlineStr">
        <is>
          <t>HSCEI</t>
        </is>
      </c>
      <c r="C203" s="6">
        <f>IF(HSCEI!$C$57="","",HSCEI!$C$57)</f>
        <v/>
      </c>
      <c r="D203" s="6">
        <f>IF($C203="","",HSCEI!$D$57)</f>
        <v/>
      </c>
      <c r="E203" s="6">
        <f>IF($C203="","",HSCEI!$E$57)</f>
        <v/>
      </c>
      <c r="F203" s="54">
        <f>IF($C203="","",HSCEI!$K$57)</f>
        <v/>
      </c>
      <c r="G203" s="69" t="n"/>
      <c r="H203" s="69" t="n"/>
      <c r="I203" s="69" t="n"/>
      <c r="J203" s="12" t="n"/>
      <c r="K203" s="70">
        <f>IF($C203="","",HSCEI!$L$57)</f>
        <v/>
      </c>
      <c r="L203" s="71">
        <f>IF(ISNUMBER($G203)=FALSE,"",IFERROR(($G203-$F203)*HSCEI!$B$57*HSCEI!$G$57/HSCEI!$B$3,""))</f>
        <v/>
      </c>
      <c r="M203" s="72">
        <f>IF($C203="","",IF((ISNUMBER($H203)*ISNUMBER($G203)*($H203&gt;$G203)+ISNUMBER($I203)*ISNUMBER($G203)*($I203&lt;$G203)+ISNUMBER($H203)*ISNUMBER($I203)*($H203&gt;$I203))&gt;0,"low/high crossed",""))</f>
        <v/>
      </c>
    </row>
    <row r="204">
      <c r="B204" s="52" t="inlineStr">
        <is>
          <t>HSCEI</t>
        </is>
      </c>
      <c r="C204" s="6">
        <f>IF(HSCEI!$C$58="","",HSCEI!$C$58)</f>
        <v/>
      </c>
      <c r="D204" s="6">
        <f>IF($C204="","",HSCEI!$D$58)</f>
        <v/>
      </c>
      <c r="E204" s="6">
        <f>IF($C204="","",HSCEI!$E$58)</f>
        <v/>
      </c>
      <c r="F204" s="54">
        <f>IF($C204="","",HSCEI!$K$58)</f>
        <v/>
      </c>
      <c r="G204" s="69" t="n"/>
      <c r="H204" s="69" t="n"/>
      <c r="I204" s="69" t="n"/>
      <c r="J204" s="12" t="n"/>
      <c r="K204" s="70">
        <f>IF($C204="","",HSCEI!$L$58)</f>
        <v/>
      </c>
      <c r="L204" s="71">
        <f>IF(ISNUMBER($G204)=FALSE,"",IFERROR(($G204-$F204)*HSCEI!$B$58*HSCEI!$G$58/HSCEI!$B$3,""))</f>
        <v/>
      </c>
      <c r="M204" s="72">
        <f>IF($C204="","",IF((ISNUMBER($H204)*ISNUMBER($G204)*($H204&gt;$G204)+ISNUMBER($I204)*ISNUMBER($G204)*($I204&lt;$G204)+ISNUMBER($H204)*ISNUMBER($I204)*($H204&gt;$I204))&gt;0,"low/high crossed",""))</f>
        <v/>
      </c>
    </row>
    <row r="205">
      <c r="B205" s="52" t="inlineStr">
        <is>
          <t>HSCEI</t>
        </is>
      </c>
      <c r="C205" s="6">
        <f>IF(HSCEI!$C$59="","",HSCEI!$C$59)</f>
        <v/>
      </c>
      <c r="D205" s="6">
        <f>IF($C205="","",HSCEI!$D$59)</f>
        <v/>
      </c>
      <c r="E205" s="6">
        <f>IF($C205="","",HSCEI!$E$59)</f>
        <v/>
      </c>
      <c r="F205" s="54">
        <f>IF($C205="","",HSCEI!$K$59)</f>
        <v/>
      </c>
      <c r="G205" s="69" t="n"/>
      <c r="H205" s="69" t="n"/>
      <c r="I205" s="69" t="n"/>
      <c r="J205" s="12" t="n"/>
      <c r="K205" s="70">
        <f>IF($C205="","",HSCEI!$L$59)</f>
        <v/>
      </c>
      <c r="L205" s="71">
        <f>IF(ISNUMBER($G205)=FALSE,"",IFERROR(($G205-$F205)*HSCEI!$B$59*HSCEI!$G$59/HSCEI!$B$3,""))</f>
        <v/>
      </c>
      <c r="M205" s="72">
        <f>IF($C205="","",IF((ISNUMBER($H205)*ISNUMBER($G205)*($H205&gt;$G205)+ISNUMBER($I205)*ISNUMBER($G205)*($I205&lt;$G205)+ISNUMBER($H205)*ISNUMBER($I205)*($H205&gt;$I205))&gt;0,"low/high crossed",""))</f>
        <v/>
      </c>
    </row>
    <row r="206">
      <c r="B206" s="52" t="inlineStr">
        <is>
          <t>HSCEI</t>
        </is>
      </c>
      <c r="C206" s="6">
        <f>IF(HSCEI!$C$60="","",HSCEI!$C$60)</f>
        <v/>
      </c>
      <c r="D206" s="6">
        <f>IF($C206="","",HSCEI!$D$60)</f>
        <v/>
      </c>
      <c r="E206" s="6">
        <f>IF($C206="","",HSCEI!$E$60)</f>
        <v/>
      </c>
      <c r="F206" s="54">
        <f>IF($C206="","",HSCEI!$K$60)</f>
        <v/>
      </c>
      <c r="G206" s="69" t="n"/>
      <c r="H206" s="69" t="n"/>
      <c r="I206" s="69" t="n"/>
      <c r="J206" s="12" t="n"/>
      <c r="K206" s="70">
        <f>IF($C206="","",HSCEI!$L$60)</f>
        <v/>
      </c>
      <c r="L206" s="71">
        <f>IF(ISNUMBER($G206)=FALSE,"",IFERROR(($G206-$F206)*HSCEI!$B$60*HSCEI!$G$60/HSCEI!$B$3,""))</f>
        <v/>
      </c>
      <c r="M206" s="72">
        <f>IF($C206="","",IF((ISNUMBER($H206)*ISNUMBER($G206)*($H206&gt;$G206)+ISNUMBER($I206)*ISNUMBER($G206)*($I206&lt;$G206)+ISNUMBER($H206)*ISNUMBER($I206)*($H206&gt;$I206))&gt;0,"low/high crossed",""))</f>
        <v/>
      </c>
    </row>
    <row r="207">
      <c r="B207" s="52" t="inlineStr">
        <is>
          <t>HSCEI</t>
        </is>
      </c>
      <c r="C207" s="6">
        <f>IF(HSCEI!$C$61="","",HSCEI!$C$61)</f>
        <v/>
      </c>
      <c r="D207" s="6">
        <f>IF($C207="","",HSCEI!$D$61)</f>
        <v/>
      </c>
      <c r="E207" s="6">
        <f>IF($C207="","",HSCEI!$E$61)</f>
        <v/>
      </c>
      <c r="F207" s="54">
        <f>IF($C207="","",HSCEI!$K$61)</f>
        <v/>
      </c>
      <c r="G207" s="69" t="n"/>
      <c r="H207" s="69" t="n"/>
      <c r="I207" s="69" t="n"/>
      <c r="J207" s="12" t="n"/>
      <c r="K207" s="70">
        <f>IF($C207="","",HSCEI!$L$61)</f>
        <v/>
      </c>
      <c r="L207" s="71">
        <f>IF(ISNUMBER($G207)=FALSE,"",IFERROR(($G207-$F207)*HSCEI!$B$61*HSCEI!$G$61/HSCEI!$B$3,""))</f>
        <v/>
      </c>
      <c r="M207" s="72">
        <f>IF($C207="","",IF((ISNUMBER($H207)*ISNUMBER($G207)*($H207&gt;$G207)+ISNUMBER($I207)*ISNUMBER($G207)*($I207&lt;$G207)+ISNUMBER($H207)*ISNUMBER($I207)*($H207&gt;$I207))&gt;0,"low/high crossed",""))</f>
        <v/>
      </c>
    </row>
    <row r="208">
      <c r="B208" s="52" t="inlineStr">
        <is>
          <t>HSCEI</t>
        </is>
      </c>
      <c r="C208" s="6">
        <f>IF(HSCEI!$C$62="","",HSCEI!$C$62)</f>
        <v/>
      </c>
      <c r="D208" s="6">
        <f>IF($C208="","",HSCEI!$D$62)</f>
        <v/>
      </c>
      <c r="E208" s="6">
        <f>IF($C208="","",HSCEI!$E$62)</f>
        <v/>
      </c>
      <c r="F208" s="54">
        <f>IF($C208="","",HSCEI!$K$62)</f>
        <v/>
      </c>
      <c r="G208" s="69" t="n"/>
      <c r="H208" s="69" t="n"/>
      <c r="I208" s="69" t="n"/>
      <c r="J208" s="12" t="n"/>
      <c r="K208" s="70">
        <f>IF($C208="","",HSCEI!$L$62)</f>
        <v/>
      </c>
      <c r="L208" s="71">
        <f>IF(ISNUMBER($G208)=FALSE,"",IFERROR(($G208-$F208)*HSCEI!$B$62*HSCEI!$G$62/HSCEI!$B$3,""))</f>
        <v/>
      </c>
      <c r="M208" s="72">
        <f>IF($C208="","",IF((ISNUMBER($H208)*ISNUMBER($G208)*($H208&gt;$G208)+ISNUMBER($I208)*ISNUMBER($G208)*($I208&lt;$G208)+ISNUMBER($H208)*ISNUMBER($I208)*($H208&gt;$I208))&gt;0,"low/high crossed",""))</f>
        <v/>
      </c>
    </row>
    <row r="209">
      <c r="B209" s="52" t="inlineStr">
        <is>
          <t>HSCEI</t>
        </is>
      </c>
      <c r="C209" s="6">
        <f>IF(HSCEI!$C$63="","",HSCEI!$C$63)</f>
        <v/>
      </c>
      <c r="D209" s="6">
        <f>IF($C209="","",HSCEI!$D$63)</f>
        <v/>
      </c>
      <c r="E209" s="6">
        <f>IF($C209="","",HSCEI!$E$63)</f>
        <v/>
      </c>
      <c r="F209" s="54">
        <f>IF($C209="","",HSCEI!$K$63)</f>
        <v/>
      </c>
      <c r="G209" s="69" t="n"/>
      <c r="H209" s="69" t="n"/>
      <c r="I209" s="69" t="n"/>
      <c r="J209" s="12" t="n"/>
      <c r="K209" s="70">
        <f>IF($C209="","",HSCEI!$L$63)</f>
        <v/>
      </c>
      <c r="L209" s="71">
        <f>IF(ISNUMBER($G209)=FALSE,"",IFERROR(($G209-$F209)*HSCEI!$B$63*HSCEI!$G$63/HSCEI!$B$3,""))</f>
        <v/>
      </c>
      <c r="M209" s="72">
        <f>IF($C209="","",IF((ISNUMBER($H209)*ISNUMBER($G209)*($H209&gt;$G209)+ISNUMBER($I209)*ISNUMBER($G209)*($I209&lt;$G209)+ISNUMBER($H209)*ISNUMBER($I209)*($H209&gt;$I209))&gt;0,"low/high crossed",""))</f>
        <v/>
      </c>
    </row>
    <row r="210">
      <c r="B210" s="52" t="inlineStr">
        <is>
          <t>HSCEI</t>
        </is>
      </c>
      <c r="C210" s="6">
        <f>IF(HSCEI!$C$64="","",HSCEI!$C$64)</f>
        <v/>
      </c>
      <c r="D210" s="6">
        <f>IF($C210="","",HSCEI!$D$64)</f>
        <v/>
      </c>
      <c r="E210" s="6">
        <f>IF($C210="","",HSCEI!$E$64)</f>
        <v/>
      </c>
      <c r="F210" s="54">
        <f>IF($C210="","",HSCEI!$K$64)</f>
        <v/>
      </c>
      <c r="G210" s="69" t="n"/>
      <c r="H210" s="69" t="n"/>
      <c r="I210" s="69" t="n"/>
      <c r="J210" s="12" t="n"/>
      <c r="K210" s="70">
        <f>IF($C210="","",HSCEI!$L$64)</f>
        <v/>
      </c>
      <c r="L210" s="71">
        <f>IF(ISNUMBER($G210)=FALSE,"",IFERROR(($G210-$F210)*HSCEI!$B$64*HSCEI!$G$64/HSCEI!$B$3,""))</f>
        <v/>
      </c>
      <c r="M210" s="72">
        <f>IF($C210="","",IF((ISNUMBER($H210)*ISNUMBER($G210)*($H210&gt;$G210)+ISNUMBER($I210)*ISNUMBER($G210)*($I210&lt;$G210)+ISNUMBER($H210)*ISNUMBER($I210)*($H210&gt;$I210))&gt;0,"low/high crossed",""))</f>
        <v/>
      </c>
    </row>
    <row r="211">
      <c r="B211" s="52" t="inlineStr">
        <is>
          <t>HSCEI</t>
        </is>
      </c>
      <c r="C211" s="6">
        <f>IF(HSCEI!$C$65="","",HSCEI!$C$65)</f>
        <v/>
      </c>
      <c r="D211" s="6">
        <f>IF($C211="","",HSCEI!$D$65)</f>
        <v/>
      </c>
      <c r="E211" s="6">
        <f>IF($C211="","",HSCEI!$E$65)</f>
        <v/>
      </c>
      <c r="F211" s="54">
        <f>IF($C211="","",HSCEI!$K$65)</f>
        <v/>
      </c>
      <c r="G211" s="69" t="n"/>
      <c r="H211" s="69" t="n"/>
      <c r="I211" s="69" t="n"/>
      <c r="J211" s="12" t="n"/>
      <c r="K211" s="70">
        <f>IF($C211="","",HSCEI!$L$65)</f>
        <v/>
      </c>
      <c r="L211" s="71">
        <f>IF(ISNUMBER($G211)=FALSE,"",IFERROR(($G211-$F211)*HSCEI!$B$65*HSCEI!$G$65/HSCEI!$B$3,""))</f>
        <v/>
      </c>
      <c r="M211" s="72">
        <f>IF($C211="","",IF((ISNUMBER($H211)*ISNUMBER($G211)*($H211&gt;$G211)+ISNUMBER($I211)*ISNUMBER($G211)*($I211&lt;$G211)+ISNUMBER($H211)*ISNUMBER($I211)*($H211&gt;$I211))&gt;0,"low/high crossed",""))</f>
        <v/>
      </c>
    </row>
    <row r="212">
      <c r="B212" s="52" t="inlineStr">
        <is>
          <t>HSCEI</t>
        </is>
      </c>
      <c r="C212" s="6">
        <f>IF(HSCEI!$C$66="","",HSCEI!$C$66)</f>
        <v/>
      </c>
      <c r="D212" s="6">
        <f>IF($C212="","",HSCEI!$D$66)</f>
        <v/>
      </c>
      <c r="E212" s="6">
        <f>IF($C212="","",HSCEI!$E$66)</f>
        <v/>
      </c>
      <c r="F212" s="54">
        <f>IF($C212="","",HSCEI!$K$66)</f>
        <v/>
      </c>
      <c r="G212" s="69" t="n"/>
      <c r="H212" s="69" t="n"/>
      <c r="I212" s="69" t="n"/>
      <c r="J212" s="12" t="n"/>
      <c r="K212" s="70">
        <f>IF($C212="","",HSCEI!$L$66)</f>
        <v/>
      </c>
      <c r="L212" s="71">
        <f>IF(ISNUMBER($G212)=FALSE,"",IFERROR(($G212-$F212)*HSCEI!$B$66*HSCEI!$G$66/HSCEI!$B$3,""))</f>
        <v/>
      </c>
      <c r="M212" s="72">
        <f>IF($C212="","",IF((ISNUMBER($H212)*ISNUMBER($G212)*($H212&gt;$G212)+ISNUMBER($I212)*ISNUMBER($G212)*($I212&lt;$G212)+ISNUMBER($H212)*ISNUMBER($I212)*($H212&gt;$I212))&gt;0,"low/high crossed",""))</f>
        <v/>
      </c>
    </row>
  </sheetData>
  <autoFilter ref="B12:M212"/>
  <mergeCells count="1">
    <mergeCell ref="F4:M5"/>
  </mergeCells>
  <conditionalFormatting sqref="G13:I212">
    <cfRule type="expression" priority="1" dxfId="0">
      <formula>AND($C$4="ON",ISNUMBER($G13))</formula>
    </cfRule>
  </conditionalFormatting>
  <dataValidations count="2">
    <dataValidation sqref="C4" showDropDown="0" showInputMessage="0" showErrorMessage="0" allowBlank="0" type="list">
      <formula1>"ON,OFF"</formula1>
    </dataValidation>
    <dataValidation sqref="G13:I212" showDropDown="0" showInputMessage="0" showErrorMessage="0" allowBlank="1" type="decimal" operator="greaterThanOrEqual">
      <formula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W106"/>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6" customWidth="1" min="3" max="3"/>
    <col width="26" customWidth="1" min="4" max="4"/>
    <col width="21" customWidth="1" min="5" max="5"/>
    <col width="6" customWidth="1" min="6" max="6"/>
    <col width="8" customWidth="1" min="7" max="7"/>
    <col width="9" customWidth="1" min="8" max="8"/>
    <col width="8" customWidth="1" min="9" max="9"/>
    <col width="9" customWidth="1" min="10" max="10"/>
    <col width="9" customWidth="1" min="11" max="11"/>
    <col width="9" customWidth="1" min="12" max="12"/>
    <col width="8" customWidth="1" min="13" max="13"/>
    <col width="8" customWidth="1" min="14" max="14"/>
    <col width="9" customWidth="1" min="15" max="15"/>
    <col width="9" customWidth="1" min="16" max="16"/>
    <col width="10" customWidth="1" min="17" max="17"/>
    <col width="9" customWidth="1" min="18" max="18"/>
    <col width="9" customWidth="1" min="19" max="19"/>
    <col width="8" customWidth="1" min="20" max="20"/>
    <col width="21" customWidth="1" min="21" max="21"/>
    <col width="9" customWidth="1" min="22" max="22"/>
    <col width="9" customWidth="1" min="23" max="23"/>
  </cols>
  <sheetData>
    <row r="1">
      <c r="A1" s="1" t="inlineStr">
        <is>
          <t>Hang Seng Index (HSI)  -  MEMBERS, YOUR BASKET, AND THE YEAR MODEL</t>
        </is>
      </c>
    </row>
    <row r="2">
      <c r="A2" s="10" t="inlineStr">
        <is>
          <t>Index ticker</t>
        </is>
      </c>
      <c r="B2" s="12" t="inlineStr">
        <is>
          <t>HSI Index</t>
        </is>
      </c>
      <c r="G2" s="2" t="inlineStr">
        <is>
          <t>Members</t>
        </is>
      </c>
      <c r="H2" s="33">
        <f>SUMPRODUCT(($A$7:$A$106&lt;&gt;"")*1)</f>
        <v/>
      </c>
      <c r="K2" s="2" t="inlineStr">
        <is>
          <t>Qty pasted</t>
        </is>
      </c>
      <c r="L2" s="33">
        <f>COUNT($B$7:$B$106)</f>
        <v/>
      </c>
      <c r="O2" s="2" t="inlineStr">
        <is>
          <t>No qty</t>
        </is>
      </c>
      <c r="P2" s="33">
        <f>SUMPRODUCT(($A$7:$A$106&lt;&gt;"")*($B$7:$B$106=""))</f>
        <v/>
      </c>
      <c r="S2" s="2" t="inlineStr">
        <is>
          <t>Amount TBA</t>
        </is>
      </c>
      <c r="T2" s="33">
        <f>COUNTIF($U$7:$U$106,"TBA amount - override me")</f>
        <v/>
      </c>
    </row>
    <row r="3">
      <c r="A3" s="10" t="inlineStr">
        <is>
          <t>Index divisor</t>
        </is>
      </c>
      <c r="B3" s="23" t="n"/>
      <c r="C3" s="2" t="inlineStr">
        <is>
          <t>Paste the official divisor here and the basket quantities in column B. Points = qty x FX-to-HKD x DPS / divisor. A refresh can reshuffle members; pasted quantities do NOT follow them, so re-check alignment after an index review.</t>
        </is>
      </c>
    </row>
    <row r="4">
      <c r="A4" s="3" t="inlineStr">
        <is>
          <t>MEMBER &amp; REFERENCE DATA (Bloomberg)</t>
        </is>
      </c>
      <c r="B4" s="4" t="n"/>
      <c r="C4" s="4" t="n"/>
      <c r="D4" s="4" t="n"/>
      <c r="E4" s="4" t="n"/>
      <c r="F4" s="4" t="n"/>
      <c r="G4" s="4" t="n"/>
      <c r="H4" s="4" t="n"/>
      <c r="I4" s="4" t="n"/>
      <c r="J4" s="3" t="inlineStr">
        <is>
          <t>DIVIDEND PER SHARE - declared currency</t>
        </is>
      </c>
      <c r="K4" s="4" t="n"/>
      <c r="L4" s="4" t="n"/>
      <c r="M4" s="4" t="n"/>
      <c r="N4" s="4" t="n"/>
      <c r="O4" s="3" t="inlineStr">
        <is>
          <t>INDEX POINTS</t>
        </is>
      </c>
      <c r="P4" s="4" t="n"/>
      <c r="Q4" s="4" t="n"/>
      <c r="R4" s="4" t="n"/>
      <c r="S4" s="4" t="n"/>
      <c r="T4" s="4" t="n"/>
      <c r="U4" s="3" t="inlineStr">
        <is>
          <t>FLAG / REFERENCE</t>
        </is>
      </c>
      <c r="V4" s="4" t="n"/>
      <c r="W4" s="4" t="n"/>
    </row>
    <row r="5">
      <c r="N5" s="10" t="inlineStr">
        <is>
          <t>TOTAL -&gt;</t>
        </is>
      </c>
      <c r="O5" s="24">
        <f>IFERROR(SUM(O7:O106),"")</f>
        <v/>
      </c>
      <c r="P5" s="24">
        <f>IFERROR(SUM(P7:P106),"")</f>
        <v/>
      </c>
      <c r="Q5" s="44">
        <f>IFERROR(SUM(Q7:Q106),"")</f>
        <v/>
      </c>
      <c r="R5" s="24">
        <f>IFERROR(SUM(R7:R106),"")</f>
        <v/>
      </c>
      <c r="S5" s="24">
        <f>IFERROR(SUM(S7:S106),"")</f>
        <v/>
      </c>
      <c r="V5" s="24">
        <f>IFERROR(SUM(V7:V106),"")</f>
        <v/>
      </c>
      <c r="W5" s="24">
        <f>IFERROR(SUM(W7:W106),"")</f>
        <v/>
      </c>
    </row>
    <row r="6">
      <c r="A6" s="17" t="inlineStr">
        <is>
          <t>Member</t>
        </is>
      </c>
      <c r="B6" s="17" t="inlineStr">
        <is>
          <t>Basket
Qty</t>
        </is>
      </c>
      <c r="C6" s="17" t="inlineStr">
        <is>
          <t>Bloomberg Ticker</t>
        </is>
      </c>
      <c r="D6" s="17" t="inlineStr">
        <is>
          <t>Name</t>
        </is>
      </c>
      <c r="E6" s="17" t="inlineStr">
        <is>
          <t>GICS Sector</t>
        </is>
      </c>
      <c r="F6" s="17" t="inlineStr">
        <is>
          <t>Dvd
CCY</t>
        </is>
      </c>
      <c r="G6" s="17" t="inlineStr">
        <is>
          <t>FX -&gt;
HKD</t>
        </is>
      </c>
      <c r="H6" s="17" t="inlineStr">
        <is>
          <t>DPS 12M
(ref)</t>
        </is>
      </c>
      <c r="I6" s="17" t="inlineStr">
        <is>
          <t>Yld 12M
(ref)</t>
        </is>
      </c>
      <c r="J6" s="17" t="inlineStr">
        <is>
          <t>Realized
DPS</t>
        </is>
      </c>
      <c r="K6" s="17" t="inlineStr">
        <is>
          <t>To come
DPS (BBG)</t>
        </is>
      </c>
      <c r="L6" s="17" t="inlineStr">
        <is>
          <t>To come
DPS (eff)</t>
        </is>
      </c>
      <c r="M6" s="17" t="inlineStr">
        <is>
          <t>LOW
DPS</t>
        </is>
      </c>
      <c r="N6" s="17" t="inlineStr">
        <is>
          <t>HIGH
DPS</t>
        </is>
      </c>
      <c r="O6" s="51" t="inlineStr">
        <is>
          <t>Realized
(pts)</t>
        </is>
      </c>
      <c r="P6" s="51" t="inlineStr">
        <is>
          <t>To come
(pts)</t>
        </is>
      </c>
      <c r="Q6" s="51" t="inlineStr">
        <is>
          <t>YEAR
TOTAL (pts)</t>
        </is>
      </c>
      <c r="R6" s="51" t="inlineStr">
        <is>
          <t>LOW
(pts)</t>
        </is>
      </c>
      <c r="S6" s="51" t="inlineStr">
        <is>
          <t>HIGH
(pts)</t>
        </is>
      </c>
      <c r="T6" s="51" t="inlineStr">
        <is>
          <t>% of yr
dvds</t>
        </is>
      </c>
      <c r="U6" s="17" t="inlineStr">
        <is>
          <t>Flag</t>
        </is>
      </c>
      <c r="V6" s="17" t="inlineStr">
        <is>
          <t>12M pts
(ref)</t>
        </is>
      </c>
      <c r="W6" s="17" t="inlineStr">
        <is>
          <t>To come
pts (BBG)</t>
        </is>
      </c>
    </row>
    <row r="7">
      <c r="A7" s="6">
        <f>BDS($B$2,"INDX_MEMBERS")</f>
        <v/>
      </c>
      <c r="B7" s="73" t="n"/>
      <c r="C7" s="6">
        <f>IF($A7="","",$A7&amp;" Equity")</f>
        <v/>
      </c>
      <c r="D7" s="6">
        <f>IF($C7="","",BDP($C7,"NAME"))</f>
        <v/>
      </c>
      <c r="E7" s="6">
        <f>IF($C7="","",BDP($C7,"GICS_SECTOR_NAME"))</f>
        <v/>
      </c>
      <c r="F7" s="31">
        <f>IF($C7="","",BDP($C7,'Field Check'!$C$8))</f>
        <v/>
      </c>
      <c r="G7" s="74">
        <f>IFERROR(IF(LEN($F7)&lt;&gt;3,1,IF($F7="HKD",1,BDP(IF($F7="CNY",Summary!$C$14,$F7)&amp;"HKD Curncy","PX_LAST"))),1)</f>
        <v/>
      </c>
      <c r="H7" s="54">
        <f>IF($C7="","",BDP($C7,'Field Check'!$C$9))</f>
        <v/>
      </c>
      <c r="I7" s="45">
        <f>IF($C7="","",BDP($C7,'Field Check'!$C$10))</f>
        <v/>
      </c>
      <c r="J7" s="47">
        <f>IF($B7="",0,IF(Summary!$C$13="Y",SUMIFS('Dvd Calendar'!$E$11:$AR$11,'Dvd Calendar'!$E$10:$AR$10,"&gt;="&amp;DATE(Summary!$C$12,1,1),'Dvd Calendar'!$E$10:$AR$10,"&lt;="&amp;MIN(Summary!$C$11,DATE(Summary!$C$12,12,31))),SUMIFS('Dvd Calendar'!$E$11:$AR$11,'Dvd Calendar'!$E$10:$AR$10,"&gt;="&amp;DATE(Summary!$C$12,1,1),'Dvd Calendar'!$E$10:$AR$10,"&lt;="&amp;MIN(Summary!$C$11,DATE(Summary!$C$12,12,31)),'Dvd Calendar'!$E$15:$AR$15,"&lt;&gt;"&amp;'Field Check'!$C$25)))</f>
        <v/>
      </c>
      <c r="K7" s="47">
        <f>IF($B7="",0,IF(Summary!$C$13="Y",SUMIFS('Dvd Calendar'!$E$18:$AR$18,'Dvd Calendar'!$E$17:$AR$17,"&gt;"&amp;MAX(Summary!$C$11,DATE(Summary!$C$12,1,1)-1),'Dvd Calendar'!$E$17:$AR$17,"&lt;="&amp;DATE(Summary!$C$12,12,31)),SUMIFS('Dvd Calendar'!$E$18:$AR$18,'Dvd Calendar'!$E$17:$AR$17,"&gt;"&amp;MAX(Summary!$C$11,DATE(Summary!$C$12,1,1)-1),'Dvd Calendar'!$E$17:$AR$17,"&lt;="&amp;DATE(Summary!$C$12,12,31),'Dvd Calendar'!$E$22:$AR$22,"&lt;&gt;"&amp;'Field Check'!$C$25)))</f>
        <v/>
      </c>
      <c r="L7" s="47">
        <f>IF($B7="",0,IF((Override!$C$4="ON")*ISNUMBER(Override!$G$13)&gt;0,Override!$G$13,$K7))</f>
        <v/>
      </c>
      <c r="M7" s="47">
        <f>IF($B7="",0,IF((Override!$C$4="ON")*ISNUMBER(Override!$H$13)&gt;0,Override!$H$13,$L7))</f>
        <v/>
      </c>
      <c r="N7" s="47">
        <f>IF($B7="",0,IF((Override!$C$4="ON")*ISNUMBER(Override!$I$13)&gt;0,Override!$I$13,$L7))</f>
        <v/>
      </c>
      <c r="O7" s="54">
        <f>IF($B7="","",IFERROR($B7*$G7*$J7/$B$3,""))</f>
        <v/>
      </c>
      <c r="P7" s="54">
        <f>IF($B7="","",IFERROR($B7*$G7*$L7/$B$3,""))</f>
        <v/>
      </c>
      <c r="Q7" s="38">
        <f>IF($B7="","",IFERROR($O7+$P7,""))</f>
        <v/>
      </c>
      <c r="R7" s="54">
        <f>IF($B7="","",IFERROR($O7+$B7*$G7*$M7/$B$3,""))</f>
        <v/>
      </c>
      <c r="S7" s="54">
        <f>IF($B7="","",IFERROR($O7+$B7*$G7*$N7/$B$3,""))</f>
        <v/>
      </c>
      <c r="T7" s="63">
        <f>IF($B7="","",IFERROR($Q7/$Q$5,""))</f>
        <v/>
      </c>
      <c r="U7" s="2">
        <f>IF($B7="","",IF(COUNTIFS('Dvd Calendar'!$E$16:$AR$16,"&gt;0",'Dvd Calendar'!$E$17:$AR$17,"&gt;"&amp;MAX(Summary!$C$11,DATE(Summary!$C$12,1,1)-1),'Dvd Calendar'!$E$17:$AR$17,"&lt;="&amp;DATE(Summary!$C$12,12,31))-COUNTIFS('Dvd Calendar'!$E$16:$AR$16,"&gt;0",'Dvd Calendar'!$E$17:$AR$17,"&gt;"&amp;MAX(Summary!$C$11,DATE(Summary!$C$12,1,1)-1),'Dvd Calendar'!$E$17:$AR$17,"&lt;="&amp;DATE(Summary!$C$12,12,31),'Dvd Calendar'!$E$18:$AR$18,"&gt;=0")&gt;0,"TBA amount - override me",IF((Override!$C$4="ON")*ISNUMBER(Override!$G$13)&gt;0,"overridden",IF($J7+$K7=0,"no dividend in year Y",""))))</f>
        <v/>
      </c>
      <c r="V7" s="54">
        <f>IF($B7="","",IFERROR(IF(ISNUMBER($H7),$B7*$G7*$H7/$B$3,0),""))</f>
        <v/>
      </c>
      <c r="W7" s="54">
        <f>IF($B7="","",IFERROR($B7*$G7*$K7/$B$3,""))</f>
        <v/>
      </c>
    </row>
    <row r="8">
      <c r="B8" s="73" t="n"/>
      <c r="C8" s="6">
        <f>IF($A8="","",$A8&amp;" Equity")</f>
        <v/>
      </c>
      <c r="D8" s="6">
        <f>IF($C8="","",BDP($C8,"NAME"))</f>
        <v/>
      </c>
      <c r="E8" s="6">
        <f>IF($C8="","",BDP($C8,"GICS_SECTOR_NAME"))</f>
        <v/>
      </c>
      <c r="F8" s="31">
        <f>IF($C8="","",BDP($C8,'Field Check'!$C$8))</f>
        <v/>
      </c>
      <c r="G8" s="74">
        <f>IFERROR(IF(LEN($F8)&lt;&gt;3,1,IF($F8="HKD",1,BDP(IF($F8="CNY",Summary!$C$14,$F8)&amp;"HKD Curncy","PX_LAST"))),1)</f>
        <v/>
      </c>
      <c r="H8" s="54">
        <f>IF($C8="","",BDP($C8,'Field Check'!$C$9))</f>
        <v/>
      </c>
      <c r="I8" s="45">
        <f>IF($C8="","",BDP($C8,'Field Check'!$C$10))</f>
        <v/>
      </c>
      <c r="J8" s="47">
        <f>IF($B8="",0,IF(Summary!$C$13="Y",SUMIFS('Dvd Calendar'!$E$26:$AR$26,'Dvd Calendar'!$E$25:$AR$25,"&gt;="&amp;DATE(Summary!$C$12,1,1),'Dvd Calendar'!$E$25:$AR$25,"&lt;="&amp;MIN(Summary!$C$11,DATE(Summary!$C$12,12,31))),SUMIFS('Dvd Calendar'!$E$26:$AR$26,'Dvd Calendar'!$E$25:$AR$25,"&gt;="&amp;DATE(Summary!$C$12,1,1),'Dvd Calendar'!$E$25:$AR$25,"&lt;="&amp;MIN(Summary!$C$11,DATE(Summary!$C$12,12,31)),'Dvd Calendar'!$E$30:$AR$30,"&lt;&gt;"&amp;'Field Check'!$C$25)))</f>
        <v/>
      </c>
      <c r="K8" s="47">
        <f>IF($B8="",0,IF(Summary!$C$13="Y",SUMIFS('Dvd Calendar'!$E$33:$AR$33,'Dvd Calendar'!$E$32:$AR$32,"&gt;"&amp;MAX(Summary!$C$11,DATE(Summary!$C$12,1,1)-1),'Dvd Calendar'!$E$32:$AR$32,"&lt;="&amp;DATE(Summary!$C$12,12,31)),SUMIFS('Dvd Calendar'!$E$33:$AR$33,'Dvd Calendar'!$E$32:$AR$32,"&gt;"&amp;MAX(Summary!$C$11,DATE(Summary!$C$12,1,1)-1),'Dvd Calendar'!$E$32:$AR$32,"&lt;="&amp;DATE(Summary!$C$12,12,31),'Dvd Calendar'!$E$37:$AR$37,"&lt;&gt;"&amp;'Field Check'!$C$25)))</f>
        <v/>
      </c>
      <c r="L8" s="47">
        <f>IF($B8="",0,IF((Override!$C$4="ON")*ISNUMBER(Override!$G$14)&gt;0,Override!$G$14,$K8))</f>
        <v/>
      </c>
      <c r="M8" s="47">
        <f>IF($B8="",0,IF((Override!$C$4="ON")*ISNUMBER(Override!$H$14)&gt;0,Override!$H$14,$L8))</f>
        <v/>
      </c>
      <c r="N8" s="47">
        <f>IF($B8="",0,IF((Override!$C$4="ON")*ISNUMBER(Override!$I$14)&gt;0,Override!$I$14,$L8))</f>
        <v/>
      </c>
      <c r="O8" s="54">
        <f>IF($B8="","",IFERROR($B8*$G8*$J8/$B$3,""))</f>
        <v/>
      </c>
      <c r="P8" s="54">
        <f>IF($B8="","",IFERROR($B8*$G8*$L8/$B$3,""))</f>
        <v/>
      </c>
      <c r="Q8" s="38">
        <f>IF($B8="","",IFERROR($O8+$P8,""))</f>
        <v/>
      </c>
      <c r="R8" s="54">
        <f>IF($B8="","",IFERROR($O8+$B8*$G8*$M8/$B$3,""))</f>
        <v/>
      </c>
      <c r="S8" s="54">
        <f>IF($B8="","",IFERROR($O8+$B8*$G8*$N8/$B$3,""))</f>
        <v/>
      </c>
      <c r="T8" s="63">
        <f>IF($B8="","",IFERROR($Q8/$Q$5,""))</f>
        <v/>
      </c>
      <c r="U8" s="2">
        <f>IF($B8="","",IF(COUNTIFS('Dvd Calendar'!$E$31:$AR$31,"&gt;0",'Dvd Calendar'!$E$32:$AR$32,"&gt;"&amp;MAX(Summary!$C$11,DATE(Summary!$C$12,1,1)-1),'Dvd Calendar'!$E$32:$AR$32,"&lt;="&amp;DATE(Summary!$C$12,12,31))-COUNTIFS('Dvd Calendar'!$E$31:$AR$31,"&gt;0",'Dvd Calendar'!$E$32:$AR$32,"&gt;"&amp;MAX(Summary!$C$11,DATE(Summary!$C$12,1,1)-1),'Dvd Calendar'!$E$32:$AR$32,"&lt;="&amp;DATE(Summary!$C$12,12,31),'Dvd Calendar'!$E$33:$AR$33,"&gt;=0")&gt;0,"TBA amount - override me",IF((Override!$C$4="ON")*ISNUMBER(Override!$G$14)&gt;0,"overridden",IF($J8+$K8=0,"no dividend in year Y",""))))</f>
        <v/>
      </c>
      <c r="V8" s="54">
        <f>IF($B8="","",IFERROR(IF(ISNUMBER($H8),$B8*$G8*$H8/$B$3,0),""))</f>
        <v/>
      </c>
      <c r="W8" s="54">
        <f>IF($B8="","",IFERROR($B8*$G8*$K8/$B$3,""))</f>
        <v/>
      </c>
    </row>
    <row r="9">
      <c r="B9" s="73" t="n"/>
      <c r="C9" s="6">
        <f>IF($A9="","",$A9&amp;" Equity")</f>
        <v/>
      </c>
      <c r="D9" s="6">
        <f>IF($C9="","",BDP($C9,"NAME"))</f>
        <v/>
      </c>
      <c r="E9" s="6">
        <f>IF($C9="","",BDP($C9,"GICS_SECTOR_NAME"))</f>
        <v/>
      </c>
      <c r="F9" s="31">
        <f>IF($C9="","",BDP($C9,'Field Check'!$C$8))</f>
        <v/>
      </c>
      <c r="G9" s="74">
        <f>IFERROR(IF(LEN($F9)&lt;&gt;3,1,IF($F9="HKD",1,BDP(IF($F9="CNY",Summary!$C$14,$F9)&amp;"HKD Curncy","PX_LAST"))),1)</f>
        <v/>
      </c>
      <c r="H9" s="54">
        <f>IF($C9="","",BDP($C9,'Field Check'!$C$9))</f>
        <v/>
      </c>
      <c r="I9" s="45">
        <f>IF($C9="","",BDP($C9,'Field Check'!$C$10))</f>
        <v/>
      </c>
      <c r="J9" s="47">
        <f>IF($B9="",0,IF(Summary!$C$13="Y",SUMIFS('Dvd Calendar'!$E$41:$AR$41,'Dvd Calendar'!$E$40:$AR$40,"&gt;="&amp;DATE(Summary!$C$12,1,1),'Dvd Calendar'!$E$40:$AR$40,"&lt;="&amp;MIN(Summary!$C$11,DATE(Summary!$C$12,12,31))),SUMIFS('Dvd Calendar'!$E$41:$AR$41,'Dvd Calendar'!$E$40:$AR$40,"&gt;="&amp;DATE(Summary!$C$12,1,1),'Dvd Calendar'!$E$40:$AR$40,"&lt;="&amp;MIN(Summary!$C$11,DATE(Summary!$C$12,12,31)),'Dvd Calendar'!$E$45:$AR$45,"&lt;&gt;"&amp;'Field Check'!$C$25)))</f>
        <v/>
      </c>
      <c r="K9" s="47">
        <f>IF($B9="",0,IF(Summary!$C$13="Y",SUMIFS('Dvd Calendar'!$E$48:$AR$48,'Dvd Calendar'!$E$47:$AR$47,"&gt;"&amp;MAX(Summary!$C$11,DATE(Summary!$C$12,1,1)-1),'Dvd Calendar'!$E$47:$AR$47,"&lt;="&amp;DATE(Summary!$C$12,12,31)),SUMIFS('Dvd Calendar'!$E$48:$AR$48,'Dvd Calendar'!$E$47:$AR$47,"&gt;"&amp;MAX(Summary!$C$11,DATE(Summary!$C$12,1,1)-1),'Dvd Calendar'!$E$47:$AR$47,"&lt;="&amp;DATE(Summary!$C$12,12,31),'Dvd Calendar'!$E$52:$AR$52,"&lt;&gt;"&amp;'Field Check'!$C$25)))</f>
        <v/>
      </c>
      <c r="L9" s="47">
        <f>IF($B9="",0,IF((Override!$C$4="ON")*ISNUMBER(Override!$G$15)&gt;0,Override!$G$15,$K9))</f>
        <v/>
      </c>
      <c r="M9" s="47">
        <f>IF($B9="",0,IF((Override!$C$4="ON")*ISNUMBER(Override!$H$15)&gt;0,Override!$H$15,$L9))</f>
        <v/>
      </c>
      <c r="N9" s="47">
        <f>IF($B9="",0,IF((Override!$C$4="ON")*ISNUMBER(Override!$I$15)&gt;0,Override!$I$15,$L9))</f>
        <v/>
      </c>
      <c r="O9" s="54">
        <f>IF($B9="","",IFERROR($B9*$G9*$J9/$B$3,""))</f>
        <v/>
      </c>
      <c r="P9" s="54">
        <f>IF($B9="","",IFERROR($B9*$G9*$L9/$B$3,""))</f>
        <v/>
      </c>
      <c r="Q9" s="38">
        <f>IF($B9="","",IFERROR($O9+$P9,""))</f>
        <v/>
      </c>
      <c r="R9" s="54">
        <f>IF($B9="","",IFERROR($O9+$B9*$G9*$M9/$B$3,""))</f>
        <v/>
      </c>
      <c r="S9" s="54">
        <f>IF($B9="","",IFERROR($O9+$B9*$G9*$N9/$B$3,""))</f>
        <v/>
      </c>
      <c r="T9" s="63">
        <f>IF($B9="","",IFERROR($Q9/$Q$5,""))</f>
        <v/>
      </c>
      <c r="U9" s="2">
        <f>IF($B9="","",IF(COUNTIFS('Dvd Calendar'!$E$46:$AR$46,"&gt;0",'Dvd Calendar'!$E$47:$AR$47,"&gt;"&amp;MAX(Summary!$C$11,DATE(Summary!$C$12,1,1)-1),'Dvd Calendar'!$E$47:$AR$47,"&lt;="&amp;DATE(Summary!$C$12,12,31))-COUNTIFS('Dvd Calendar'!$E$46:$AR$46,"&gt;0",'Dvd Calendar'!$E$47:$AR$47,"&gt;"&amp;MAX(Summary!$C$11,DATE(Summary!$C$12,1,1)-1),'Dvd Calendar'!$E$47:$AR$47,"&lt;="&amp;DATE(Summary!$C$12,12,31),'Dvd Calendar'!$E$48:$AR$48,"&gt;=0")&gt;0,"TBA amount - override me",IF((Override!$C$4="ON")*ISNUMBER(Override!$G$15)&gt;0,"overridden",IF($J9+$K9=0,"no dividend in year Y",""))))</f>
        <v/>
      </c>
      <c r="V9" s="54">
        <f>IF($B9="","",IFERROR(IF(ISNUMBER($H9),$B9*$G9*$H9/$B$3,0),""))</f>
        <v/>
      </c>
      <c r="W9" s="54">
        <f>IF($B9="","",IFERROR($B9*$G9*$K9/$B$3,""))</f>
        <v/>
      </c>
    </row>
    <row r="10">
      <c r="B10" s="73" t="n"/>
      <c r="C10" s="6">
        <f>IF($A10="","",$A10&amp;" Equity")</f>
        <v/>
      </c>
      <c r="D10" s="6">
        <f>IF($C10="","",BDP($C10,"NAME"))</f>
        <v/>
      </c>
      <c r="E10" s="6">
        <f>IF($C10="","",BDP($C10,"GICS_SECTOR_NAME"))</f>
        <v/>
      </c>
      <c r="F10" s="31">
        <f>IF($C10="","",BDP($C10,'Field Check'!$C$8))</f>
        <v/>
      </c>
      <c r="G10" s="74">
        <f>IFERROR(IF(LEN($F10)&lt;&gt;3,1,IF($F10="HKD",1,BDP(IF($F10="CNY",Summary!$C$14,$F10)&amp;"HKD Curncy","PX_LAST"))),1)</f>
        <v/>
      </c>
      <c r="H10" s="54">
        <f>IF($C10="","",BDP($C10,'Field Check'!$C$9))</f>
        <v/>
      </c>
      <c r="I10" s="45">
        <f>IF($C10="","",BDP($C10,'Field Check'!$C$10))</f>
        <v/>
      </c>
      <c r="J10" s="47">
        <f>IF($B10="",0,IF(Summary!$C$13="Y",SUMIFS('Dvd Calendar'!$E$56:$AR$56,'Dvd Calendar'!$E$55:$AR$55,"&gt;="&amp;DATE(Summary!$C$12,1,1),'Dvd Calendar'!$E$55:$AR$55,"&lt;="&amp;MIN(Summary!$C$11,DATE(Summary!$C$12,12,31))),SUMIFS('Dvd Calendar'!$E$56:$AR$56,'Dvd Calendar'!$E$55:$AR$55,"&gt;="&amp;DATE(Summary!$C$12,1,1),'Dvd Calendar'!$E$55:$AR$55,"&lt;="&amp;MIN(Summary!$C$11,DATE(Summary!$C$12,12,31)),'Dvd Calendar'!$E$60:$AR$60,"&lt;&gt;"&amp;'Field Check'!$C$25)))</f>
        <v/>
      </c>
      <c r="K10" s="47">
        <f>IF($B10="",0,IF(Summary!$C$13="Y",SUMIFS('Dvd Calendar'!$E$63:$AR$63,'Dvd Calendar'!$E$62:$AR$62,"&gt;"&amp;MAX(Summary!$C$11,DATE(Summary!$C$12,1,1)-1),'Dvd Calendar'!$E$62:$AR$62,"&lt;="&amp;DATE(Summary!$C$12,12,31)),SUMIFS('Dvd Calendar'!$E$63:$AR$63,'Dvd Calendar'!$E$62:$AR$62,"&gt;"&amp;MAX(Summary!$C$11,DATE(Summary!$C$12,1,1)-1),'Dvd Calendar'!$E$62:$AR$62,"&lt;="&amp;DATE(Summary!$C$12,12,31),'Dvd Calendar'!$E$67:$AR$67,"&lt;&gt;"&amp;'Field Check'!$C$25)))</f>
        <v/>
      </c>
      <c r="L10" s="47">
        <f>IF($B10="",0,IF((Override!$C$4="ON")*ISNUMBER(Override!$G$16)&gt;0,Override!$G$16,$K10))</f>
        <v/>
      </c>
      <c r="M10" s="47">
        <f>IF($B10="",0,IF((Override!$C$4="ON")*ISNUMBER(Override!$H$16)&gt;0,Override!$H$16,$L10))</f>
        <v/>
      </c>
      <c r="N10" s="47">
        <f>IF($B10="",0,IF((Override!$C$4="ON")*ISNUMBER(Override!$I$16)&gt;0,Override!$I$16,$L10))</f>
        <v/>
      </c>
      <c r="O10" s="54">
        <f>IF($B10="","",IFERROR($B10*$G10*$J10/$B$3,""))</f>
        <v/>
      </c>
      <c r="P10" s="54">
        <f>IF($B10="","",IFERROR($B10*$G10*$L10/$B$3,""))</f>
        <v/>
      </c>
      <c r="Q10" s="38">
        <f>IF($B10="","",IFERROR($O10+$P10,""))</f>
        <v/>
      </c>
      <c r="R10" s="54">
        <f>IF($B10="","",IFERROR($O10+$B10*$G10*$M10/$B$3,""))</f>
        <v/>
      </c>
      <c r="S10" s="54">
        <f>IF($B10="","",IFERROR($O10+$B10*$G10*$N10/$B$3,""))</f>
        <v/>
      </c>
      <c r="T10" s="63">
        <f>IF($B10="","",IFERROR($Q10/$Q$5,""))</f>
        <v/>
      </c>
      <c r="U10" s="2">
        <f>IF($B10="","",IF(COUNTIFS('Dvd Calendar'!$E$61:$AR$61,"&gt;0",'Dvd Calendar'!$E$62:$AR$62,"&gt;"&amp;MAX(Summary!$C$11,DATE(Summary!$C$12,1,1)-1),'Dvd Calendar'!$E$62:$AR$62,"&lt;="&amp;DATE(Summary!$C$12,12,31))-COUNTIFS('Dvd Calendar'!$E$61:$AR$61,"&gt;0",'Dvd Calendar'!$E$62:$AR$62,"&gt;"&amp;MAX(Summary!$C$11,DATE(Summary!$C$12,1,1)-1),'Dvd Calendar'!$E$62:$AR$62,"&lt;="&amp;DATE(Summary!$C$12,12,31),'Dvd Calendar'!$E$63:$AR$63,"&gt;=0")&gt;0,"TBA amount - override me",IF((Override!$C$4="ON")*ISNUMBER(Override!$G$16)&gt;0,"overridden",IF($J10+$K10=0,"no dividend in year Y",""))))</f>
        <v/>
      </c>
      <c r="V10" s="54">
        <f>IF($B10="","",IFERROR(IF(ISNUMBER($H10),$B10*$G10*$H10/$B$3,0),""))</f>
        <v/>
      </c>
      <c r="W10" s="54">
        <f>IF($B10="","",IFERROR($B10*$G10*$K10/$B$3,""))</f>
        <v/>
      </c>
    </row>
    <row r="11">
      <c r="B11" s="73" t="n"/>
      <c r="C11" s="6">
        <f>IF($A11="","",$A11&amp;" Equity")</f>
        <v/>
      </c>
      <c r="D11" s="6">
        <f>IF($C11="","",BDP($C11,"NAME"))</f>
        <v/>
      </c>
      <c r="E11" s="6">
        <f>IF($C11="","",BDP($C11,"GICS_SECTOR_NAME"))</f>
        <v/>
      </c>
      <c r="F11" s="31">
        <f>IF($C11="","",BDP($C11,'Field Check'!$C$8))</f>
        <v/>
      </c>
      <c r="G11" s="74">
        <f>IFERROR(IF(LEN($F11)&lt;&gt;3,1,IF($F11="HKD",1,BDP(IF($F11="CNY",Summary!$C$14,$F11)&amp;"HKD Curncy","PX_LAST"))),1)</f>
        <v/>
      </c>
      <c r="H11" s="54">
        <f>IF($C11="","",BDP($C11,'Field Check'!$C$9))</f>
        <v/>
      </c>
      <c r="I11" s="45">
        <f>IF($C11="","",BDP($C11,'Field Check'!$C$10))</f>
        <v/>
      </c>
      <c r="J11" s="47">
        <f>IF($B11="",0,IF(Summary!$C$13="Y",SUMIFS('Dvd Calendar'!$E$71:$AR$71,'Dvd Calendar'!$E$70:$AR$70,"&gt;="&amp;DATE(Summary!$C$12,1,1),'Dvd Calendar'!$E$70:$AR$70,"&lt;="&amp;MIN(Summary!$C$11,DATE(Summary!$C$12,12,31))),SUMIFS('Dvd Calendar'!$E$71:$AR$71,'Dvd Calendar'!$E$70:$AR$70,"&gt;="&amp;DATE(Summary!$C$12,1,1),'Dvd Calendar'!$E$70:$AR$70,"&lt;="&amp;MIN(Summary!$C$11,DATE(Summary!$C$12,12,31)),'Dvd Calendar'!$E$75:$AR$75,"&lt;&gt;"&amp;'Field Check'!$C$25)))</f>
        <v/>
      </c>
      <c r="K11" s="47">
        <f>IF($B11="",0,IF(Summary!$C$13="Y",SUMIFS('Dvd Calendar'!$E$78:$AR$78,'Dvd Calendar'!$E$77:$AR$77,"&gt;"&amp;MAX(Summary!$C$11,DATE(Summary!$C$12,1,1)-1),'Dvd Calendar'!$E$77:$AR$77,"&lt;="&amp;DATE(Summary!$C$12,12,31)),SUMIFS('Dvd Calendar'!$E$78:$AR$78,'Dvd Calendar'!$E$77:$AR$77,"&gt;"&amp;MAX(Summary!$C$11,DATE(Summary!$C$12,1,1)-1),'Dvd Calendar'!$E$77:$AR$77,"&lt;="&amp;DATE(Summary!$C$12,12,31),'Dvd Calendar'!$E$82:$AR$82,"&lt;&gt;"&amp;'Field Check'!$C$25)))</f>
        <v/>
      </c>
      <c r="L11" s="47">
        <f>IF($B11="",0,IF((Override!$C$4="ON")*ISNUMBER(Override!$G$17)&gt;0,Override!$G$17,$K11))</f>
        <v/>
      </c>
      <c r="M11" s="47">
        <f>IF($B11="",0,IF((Override!$C$4="ON")*ISNUMBER(Override!$H$17)&gt;0,Override!$H$17,$L11))</f>
        <v/>
      </c>
      <c r="N11" s="47">
        <f>IF($B11="",0,IF((Override!$C$4="ON")*ISNUMBER(Override!$I$17)&gt;0,Override!$I$17,$L11))</f>
        <v/>
      </c>
      <c r="O11" s="54">
        <f>IF($B11="","",IFERROR($B11*$G11*$J11/$B$3,""))</f>
        <v/>
      </c>
      <c r="P11" s="54">
        <f>IF($B11="","",IFERROR($B11*$G11*$L11/$B$3,""))</f>
        <v/>
      </c>
      <c r="Q11" s="38">
        <f>IF($B11="","",IFERROR($O11+$P11,""))</f>
        <v/>
      </c>
      <c r="R11" s="54">
        <f>IF($B11="","",IFERROR($O11+$B11*$G11*$M11/$B$3,""))</f>
        <v/>
      </c>
      <c r="S11" s="54">
        <f>IF($B11="","",IFERROR($O11+$B11*$G11*$N11/$B$3,""))</f>
        <v/>
      </c>
      <c r="T11" s="63">
        <f>IF($B11="","",IFERROR($Q11/$Q$5,""))</f>
        <v/>
      </c>
      <c r="U11" s="2">
        <f>IF($B11="","",IF(COUNTIFS('Dvd Calendar'!$E$76:$AR$76,"&gt;0",'Dvd Calendar'!$E$77:$AR$77,"&gt;"&amp;MAX(Summary!$C$11,DATE(Summary!$C$12,1,1)-1),'Dvd Calendar'!$E$77:$AR$77,"&lt;="&amp;DATE(Summary!$C$12,12,31))-COUNTIFS('Dvd Calendar'!$E$76:$AR$76,"&gt;0",'Dvd Calendar'!$E$77:$AR$77,"&gt;"&amp;MAX(Summary!$C$11,DATE(Summary!$C$12,1,1)-1),'Dvd Calendar'!$E$77:$AR$77,"&lt;="&amp;DATE(Summary!$C$12,12,31),'Dvd Calendar'!$E$78:$AR$78,"&gt;=0")&gt;0,"TBA amount - override me",IF((Override!$C$4="ON")*ISNUMBER(Override!$G$17)&gt;0,"overridden",IF($J11+$K11=0,"no dividend in year Y",""))))</f>
        <v/>
      </c>
      <c r="V11" s="54">
        <f>IF($B11="","",IFERROR(IF(ISNUMBER($H11),$B11*$G11*$H11/$B$3,0),""))</f>
        <v/>
      </c>
      <c r="W11" s="54">
        <f>IF($B11="","",IFERROR($B11*$G11*$K11/$B$3,""))</f>
        <v/>
      </c>
    </row>
    <row r="12">
      <c r="B12" s="73" t="n"/>
      <c r="C12" s="6">
        <f>IF($A12="","",$A12&amp;" Equity")</f>
        <v/>
      </c>
      <c r="D12" s="6">
        <f>IF($C12="","",BDP($C12,"NAME"))</f>
        <v/>
      </c>
      <c r="E12" s="6">
        <f>IF($C12="","",BDP($C12,"GICS_SECTOR_NAME"))</f>
        <v/>
      </c>
      <c r="F12" s="31">
        <f>IF($C12="","",BDP($C12,'Field Check'!$C$8))</f>
        <v/>
      </c>
      <c r="G12" s="74">
        <f>IFERROR(IF(LEN($F12)&lt;&gt;3,1,IF($F12="HKD",1,BDP(IF($F12="CNY",Summary!$C$14,$F12)&amp;"HKD Curncy","PX_LAST"))),1)</f>
        <v/>
      </c>
      <c r="H12" s="54">
        <f>IF($C12="","",BDP($C12,'Field Check'!$C$9))</f>
        <v/>
      </c>
      <c r="I12" s="45">
        <f>IF($C12="","",BDP($C12,'Field Check'!$C$10))</f>
        <v/>
      </c>
      <c r="J12" s="47">
        <f>IF($B12="",0,IF(Summary!$C$13="Y",SUMIFS('Dvd Calendar'!$E$86:$AR$86,'Dvd Calendar'!$E$85:$AR$85,"&gt;="&amp;DATE(Summary!$C$12,1,1),'Dvd Calendar'!$E$85:$AR$85,"&lt;="&amp;MIN(Summary!$C$11,DATE(Summary!$C$12,12,31))),SUMIFS('Dvd Calendar'!$E$86:$AR$86,'Dvd Calendar'!$E$85:$AR$85,"&gt;="&amp;DATE(Summary!$C$12,1,1),'Dvd Calendar'!$E$85:$AR$85,"&lt;="&amp;MIN(Summary!$C$11,DATE(Summary!$C$12,12,31)),'Dvd Calendar'!$E$90:$AR$90,"&lt;&gt;"&amp;'Field Check'!$C$25)))</f>
        <v/>
      </c>
      <c r="K12" s="47">
        <f>IF($B12="",0,IF(Summary!$C$13="Y",SUMIFS('Dvd Calendar'!$E$93:$AR$93,'Dvd Calendar'!$E$92:$AR$92,"&gt;"&amp;MAX(Summary!$C$11,DATE(Summary!$C$12,1,1)-1),'Dvd Calendar'!$E$92:$AR$92,"&lt;="&amp;DATE(Summary!$C$12,12,31)),SUMIFS('Dvd Calendar'!$E$93:$AR$93,'Dvd Calendar'!$E$92:$AR$92,"&gt;"&amp;MAX(Summary!$C$11,DATE(Summary!$C$12,1,1)-1),'Dvd Calendar'!$E$92:$AR$92,"&lt;="&amp;DATE(Summary!$C$12,12,31),'Dvd Calendar'!$E$97:$AR$97,"&lt;&gt;"&amp;'Field Check'!$C$25)))</f>
        <v/>
      </c>
      <c r="L12" s="47">
        <f>IF($B12="",0,IF((Override!$C$4="ON")*ISNUMBER(Override!$G$18)&gt;0,Override!$G$18,$K12))</f>
        <v/>
      </c>
      <c r="M12" s="47">
        <f>IF($B12="",0,IF((Override!$C$4="ON")*ISNUMBER(Override!$H$18)&gt;0,Override!$H$18,$L12))</f>
        <v/>
      </c>
      <c r="N12" s="47">
        <f>IF($B12="",0,IF((Override!$C$4="ON")*ISNUMBER(Override!$I$18)&gt;0,Override!$I$18,$L12))</f>
        <v/>
      </c>
      <c r="O12" s="54">
        <f>IF($B12="","",IFERROR($B12*$G12*$J12/$B$3,""))</f>
        <v/>
      </c>
      <c r="P12" s="54">
        <f>IF($B12="","",IFERROR($B12*$G12*$L12/$B$3,""))</f>
        <v/>
      </c>
      <c r="Q12" s="38">
        <f>IF($B12="","",IFERROR($O12+$P12,""))</f>
        <v/>
      </c>
      <c r="R12" s="54">
        <f>IF($B12="","",IFERROR($O12+$B12*$G12*$M12/$B$3,""))</f>
        <v/>
      </c>
      <c r="S12" s="54">
        <f>IF($B12="","",IFERROR($O12+$B12*$G12*$N12/$B$3,""))</f>
        <v/>
      </c>
      <c r="T12" s="63">
        <f>IF($B12="","",IFERROR($Q12/$Q$5,""))</f>
        <v/>
      </c>
      <c r="U12" s="2">
        <f>IF($B12="","",IF(COUNTIFS('Dvd Calendar'!$E$91:$AR$91,"&gt;0",'Dvd Calendar'!$E$92:$AR$92,"&gt;"&amp;MAX(Summary!$C$11,DATE(Summary!$C$12,1,1)-1),'Dvd Calendar'!$E$92:$AR$92,"&lt;="&amp;DATE(Summary!$C$12,12,31))-COUNTIFS('Dvd Calendar'!$E$91:$AR$91,"&gt;0",'Dvd Calendar'!$E$92:$AR$92,"&gt;"&amp;MAX(Summary!$C$11,DATE(Summary!$C$12,1,1)-1),'Dvd Calendar'!$E$92:$AR$92,"&lt;="&amp;DATE(Summary!$C$12,12,31),'Dvd Calendar'!$E$93:$AR$93,"&gt;=0")&gt;0,"TBA amount - override me",IF((Override!$C$4="ON")*ISNUMBER(Override!$G$18)&gt;0,"overridden",IF($J12+$K12=0,"no dividend in year Y",""))))</f>
        <v/>
      </c>
      <c r="V12" s="54">
        <f>IF($B12="","",IFERROR(IF(ISNUMBER($H12),$B12*$G12*$H12/$B$3,0),""))</f>
        <v/>
      </c>
      <c r="W12" s="54">
        <f>IF($B12="","",IFERROR($B12*$G12*$K12/$B$3,""))</f>
        <v/>
      </c>
    </row>
    <row r="13">
      <c r="B13" s="73" t="n"/>
      <c r="C13" s="6">
        <f>IF($A13="","",$A13&amp;" Equity")</f>
        <v/>
      </c>
      <c r="D13" s="6">
        <f>IF($C13="","",BDP($C13,"NAME"))</f>
        <v/>
      </c>
      <c r="E13" s="6">
        <f>IF($C13="","",BDP($C13,"GICS_SECTOR_NAME"))</f>
        <v/>
      </c>
      <c r="F13" s="31">
        <f>IF($C13="","",BDP($C13,'Field Check'!$C$8))</f>
        <v/>
      </c>
      <c r="G13" s="74">
        <f>IFERROR(IF(LEN($F13)&lt;&gt;3,1,IF($F13="HKD",1,BDP(IF($F13="CNY",Summary!$C$14,$F13)&amp;"HKD Curncy","PX_LAST"))),1)</f>
        <v/>
      </c>
      <c r="H13" s="54">
        <f>IF($C13="","",BDP($C13,'Field Check'!$C$9))</f>
        <v/>
      </c>
      <c r="I13" s="45">
        <f>IF($C13="","",BDP($C13,'Field Check'!$C$10))</f>
        <v/>
      </c>
      <c r="J13" s="47">
        <f>IF($B13="",0,IF(Summary!$C$13="Y",SUMIFS('Dvd Calendar'!$E$101:$AR$101,'Dvd Calendar'!$E$100:$AR$100,"&gt;="&amp;DATE(Summary!$C$12,1,1),'Dvd Calendar'!$E$100:$AR$100,"&lt;="&amp;MIN(Summary!$C$11,DATE(Summary!$C$12,12,31))),SUMIFS('Dvd Calendar'!$E$101:$AR$101,'Dvd Calendar'!$E$100:$AR$100,"&gt;="&amp;DATE(Summary!$C$12,1,1),'Dvd Calendar'!$E$100:$AR$100,"&lt;="&amp;MIN(Summary!$C$11,DATE(Summary!$C$12,12,31)),'Dvd Calendar'!$E$105:$AR$105,"&lt;&gt;"&amp;'Field Check'!$C$25)))</f>
        <v/>
      </c>
      <c r="K13" s="47">
        <f>IF($B13="",0,IF(Summary!$C$13="Y",SUMIFS('Dvd Calendar'!$E$108:$AR$108,'Dvd Calendar'!$E$107:$AR$107,"&gt;"&amp;MAX(Summary!$C$11,DATE(Summary!$C$12,1,1)-1),'Dvd Calendar'!$E$107:$AR$107,"&lt;="&amp;DATE(Summary!$C$12,12,31)),SUMIFS('Dvd Calendar'!$E$108:$AR$108,'Dvd Calendar'!$E$107:$AR$107,"&gt;"&amp;MAX(Summary!$C$11,DATE(Summary!$C$12,1,1)-1),'Dvd Calendar'!$E$107:$AR$107,"&lt;="&amp;DATE(Summary!$C$12,12,31),'Dvd Calendar'!$E$112:$AR$112,"&lt;&gt;"&amp;'Field Check'!$C$25)))</f>
        <v/>
      </c>
      <c r="L13" s="47">
        <f>IF($B13="",0,IF((Override!$C$4="ON")*ISNUMBER(Override!$G$19)&gt;0,Override!$G$19,$K13))</f>
        <v/>
      </c>
      <c r="M13" s="47">
        <f>IF($B13="",0,IF((Override!$C$4="ON")*ISNUMBER(Override!$H$19)&gt;0,Override!$H$19,$L13))</f>
        <v/>
      </c>
      <c r="N13" s="47">
        <f>IF($B13="",0,IF((Override!$C$4="ON")*ISNUMBER(Override!$I$19)&gt;0,Override!$I$19,$L13))</f>
        <v/>
      </c>
      <c r="O13" s="54">
        <f>IF($B13="","",IFERROR($B13*$G13*$J13/$B$3,""))</f>
        <v/>
      </c>
      <c r="P13" s="54">
        <f>IF($B13="","",IFERROR($B13*$G13*$L13/$B$3,""))</f>
        <v/>
      </c>
      <c r="Q13" s="38">
        <f>IF($B13="","",IFERROR($O13+$P13,""))</f>
        <v/>
      </c>
      <c r="R13" s="54">
        <f>IF($B13="","",IFERROR($O13+$B13*$G13*$M13/$B$3,""))</f>
        <v/>
      </c>
      <c r="S13" s="54">
        <f>IF($B13="","",IFERROR($O13+$B13*$G13*$N13/$B$3,""))</f>
        <v/>
      </c>
      <c r="T13" s="63">
        <f>IF($B13="","",IFERROR($Q13/$Q$5,""))</f>
        <v/>
      </c>
      <c r="U13" s="2">
        <f>IF($B13="","",IF(COUNTIFS('Dvd Calendar'!$E$106:$AR$106,"&gt;0",'Dvd Calendar'!$E$107:$AR$107,"&gt;"&amp;MAX(Summary!$C$11,DATE(Summary!$C$12,1,1)-1),'Dvd Calendar'!$E$107:$AR$107,"&lt;="&amp;DATE(Summary!$C$12,12,31))-COUNTIFS('Dvd Calendar'!$E$106:$AR$106,"&gt;0",'Dvd Calendar'!$E$107:$AR$107,"&gt;"&amp;MAX(Summary!$C$11,DATE(Summary!$C$12,1,1)-1),'Dvd Calendar'!$E$107:$AR$107,"&lt;="&amp;DATE(Summary!$C$12,12,31),'Dvd Calendar'!$E$108:$AR$108,"&gt;=0")&gt;0,"TBA amount - override me",IF((Override!$C$4="ON")*ISNUMBER(Override!$G$19)&gt;0,"overridden",IF($J13+$K13=0,"no dividend in year Y",""))))</f>
        <v/>
      </c>
      <c r="V13" s="54">
        <f>IF($B13="","",IFERROR(IF(ISNUMBER($H13),$B13*$G13*$H13/$B$3,0),""))</f>
        <v/>
      </c>
      <c r="W13" s="54">
        <f>IF($B13="","",IFERROR($B13*$G13*$K13/$B$3,""))</f>
        <v/>
      </c>
    </row>
    <row r="14">
      <c r="B14" s="73" t="n"/>
      <c r="C14" s="6">
        <f>IF($A14="","",$A14&amp;" Equity")</f>
        <v/>
      </c>
      <c r="D14" s="6">
        <f>IF($C14="","",BDP($C14,"NAME"))</f>
        <v/>
      </c>
      <c r="E14" s="6">
        <f>IF($C14="","",BDP($C14,"GICS_SECTOR_NAME"))</f>
        <v/>
      </c>
      <c r="F14" s="31">
        <f>IF($C14="","",BDP($C14,'Field Check'!$C$8))</f>
        <v/>
      </c>
      <c r="G14" s="74">
        <f>IFERROR(IF(LEN($F14)&lt;&gt;3,1,IF($F14="HKD",1,BDP(IF($F14="CNY",Summary!$C$14,$F14)&amp;"HKD Curncy","PX_LAST"))),1)</f>
        <v/>
      </c>
      <c r="H14" s="54">
        <f>IF($C14="","",BDP($C14,'Field Check'!$C$9))</f>
        <v/>
      </c>
      <c r="I14" s="45">
        <f>IF($C14="","",BDP($C14,'Field Check'!$C$10))</f>
        <v/>
      </c>
      <c r="J14" s="47">
        <f>IF($B14="",0,IF(Summary!$C$13="Y",SUMIFS('Dvd Calendar'!$E$116:$AR$116,'Dvd Calendar'!$E$115:$AR$115,"&gt;="&amp;DATE(Summary!$C$12,1,1),'Dvd Calendar'!$E$115:$AR$115,"&lt;="&amp;MIN(Summary!$C$11,DATE(Summary!$C$12,12,31))),SUMIFS('Dvd Calendar'!$E$116:$AR$116,'Dvd Calendar'!$E$115:$AR$115,"&gt;="&amp;DATE(Summary!$C$12,1,1),'Dvd Calendar'!$E$115:$AR$115,"&lt;="&amp;MIN(Summary!$C$11,DATE(Summary!$C$12,12,31)),'Dvd Calendar'!$E$120:$AR$120,"&lt;&gt;"&amp;'Field Check'!$C$25)))</f>
        <v/>
      </c>
      <c r="K14" s="47">
        <f>IF($B14="",0,IF(Summary!$C$13="Y",SUMIFS('Dvd Calendar'!$E$123:$AR$123,'Dvd Calendar'!$E$122:$AR$122,"&gt;"&amp;MAX(Summary!$C$11,DATE(Summary!$C$12,1,1)-1),'Dvd Calendar'!$E$122:$AR$122,"&lt;="&amp;DATE(Summary!$C$12,12,31)),SUMIFS('Dvd Calendar'!$E$123:$AR$123,'Dvd Calendar'!$E$122:$AR$122,"&gt;"&amp;MAX(Summary!$C$11,DATE(Summary!$C$12,1,1)-1),'Dvd Calendar'!$E$122:$AR$122,"&lt;="&amp;DATE(Summary!$C$12,12,31),'Dvd Calendar'!$E$127:$AR$127,"&lt;&gt;"&amp;'Field Check'!$C$25)))</f>
        <v/>
      </c>
      <c r="L14" s="47">
        <f>IF($B14="",0,IF((Override!$C$4="ON")*ISNUMBER(Override!$G$20)&gt;0,Override!$G$20,$K14))</f>
        <v/>
      </c>
      <c r="M14" s="47">
        <f>IF($B14="",0,IF((Override!$C$4="ON")*ISNUMBER(Override!$H$20)&gt;0,Override!$H$20,$L14))</f>
        <v/>
      </c>
      <c r="N14" s="47">
        <f>IF($B14="",0,IF((Override!$C$4="ON")*ISNUMBER(Override!$I$20)&gt;0,Override!$I$20,$L14))</f>
        <v/>
      </c>
      <c r="O14" s="54">
        <f>IF($B14="","",IFERROR($B14*$G14*$J14/$B$3,""))</f>
        <v/>
      </c>
      <c r="P14" s="54">
        <f>IF($B14="","",IFERROR($B14*$G14*$L14/$B$3,""))</f>
        <v/>
      </c>
      <c r="Q14" s="38">
        <f>IF($B14="","",IFERROR($O14+$P14,""))</f>
        <v/>
      </c>
      <c r="R14" s="54">
        <f>IF($B14="","",IFERROR($O14+$B14*$G14*$M14/$B$3,""))</f>
        <v/>
      </c>
      <c r="S14" s="54">
        <f>IF($B14="","",IFERROR($O14+$B14*$G14*$N14/$B$3,""))</f>
        <v/>
      </c>
      <c r="T14" s="63">
        <f>IF($B14="","",IFERROR($Q14/$Q$5,""))</f>
        <v/>
      </c>
      <c r="U14" s="2">
        <f>IF($B14="","",IF(COUNTIFS('Dvd Calendar'!$E$121:$AR$121,"&gt;0",'Dvd Calendar'!$E$122:$AR$122,"&gt;"&amp;MAX(Summary!$C$11,DATE(Summary!$C$12,1,1)-1),'Dvd Calendar'!$E$122:$AR$122,"&lt;="&amp;DATE(Summary!$C$12,12,31))-COUNTIFS('Dvd Calendar'!$E$121:$AR$121,"&gt;0",'Dvd Calendar'!$E$122:$AR$122,"&gt;"&amp;MAX(Summary!$C$11,DATE(Summary!$C$12,1,1)-1),'Dvd Calendar'!$E$122:$AR$122,"&lt;="&amp;DATE(Summary!$C$12,12,31),'Dvd Calendar'!$E$123:$AR$123,"&gt;=0")&gt;0,"TBA amount - override me",IF((Override!$C$4="ON")*ISNUMBER(Override!$G$20)&gt;0,"overridden",IF($J14+$K14=0,"no dividend in year Y",""))))</f>
        <v/>
      </c>
      <c r="V14" s="54">
        <f>IF($B14="","",IFERROR(IF(ISNUMBER($H14),$B14*$G14*$H14/$B$3,0),""))</f>
        <v/>
      </c>
      <c r="W14" s="54">
        <f>IF($B14="","",IFERROR($B14*$G14*$K14/$B$3,""))</f>
        <v/>
      </c>
    </row>
    <row r="15">
      <c r="B15" s="73" t="n"/>
      <c r="C15" s="6">
        <f>IF($A15="","",$A15&amp;" Equity")</f>
        <v/>
      </c>
      <c r="D15" s="6">
        <f>IF($C15="","",BDP($C15,"NAME"))</f>
        <v/>
      </c>
      <c r="E15" s="6">
        <f>IF($C15="","",BDP($C15,"GICS_SECTOR_NAME"))</f>
        <v/>
      </c>
      <c r="F15" s="31">
        <f>IF($C15="","",BDP($C15,'Field Check'!$C$8))</f>
        <v/>
      </c>
      <c r="G15" s="74">
        <f>IFERROR(IF(LEN($F15)&lt;&gt;3,1,IF($F15="HKD",1,BDP(IF($F15="CNY",Summary!$C$14,$F15)&amp;"HKD Curncy","PX_LAST"))),1)</f>
        <v/>
      </c>
      <c r="H15" s="54">
        <f>IF($C15="","",BDP($C15,'Field Check'!$C$9))</f>
        <v/>
      </c>
      <c r="I15" s="45">
        <f>IF($C15="","",BDP($C15,'Field Check'!$C$10))</f>
        <v/>
      </c>
      <c r="J15" s="47">
        <f>IF($B15="",0,IF(Summary!$C$13="Y",SUMIFS('Dvd Calendar'!$E$131:$AR$131,'Dvd Calendar'!$E$130:$AR$130,"&gt;="&amp;DATE(Summary!$C$12,1,1),'Dvd Calendar'!$E$130:$AR$130,"&lt;="&amp;MIN(Summary!$C$11,DATE(Summary!$C$12,12,31))),SUMIFS('Dvd Calendar'!$E$131:$AR$131,'Dvd Calendar'!$E$130:$AR$130,"&gt;="&amp;DATE(Summary!$C$12,1,1),'Dvd Calendar'!$E$130:$AR$130,"&lt;="&amp;MIN(Summary!$C$11,DATE(Summary!$C$12,12,31)),'Dvd Calendar'!$E$135:$AR$135,"&lt;&gt;"&amp;'Field Check'!$C$25)))</f>
        <v/>
      </c>
      <c r="K15" s="47">
        <f>IF($B15="",0,IF(Summary!$C$13="Y",SUMIFS('Dvd Calendar'!$E$138:$AR$138,'Dvd Calendar'!$E$137:$AR$137,"&gt;"&amp;MAX(Summary!$C$11,DATE(Summary!$C$12,1,1)-1),'Dvd Calendar'!$E$137:$AR$137,"&lt;="&amp;DATE(Summary!$C$12,12,31)),SUMIFS('Dvd Calendar'!$E$138:$AR$138,'Dvd Calendar'!$E$137:$AR$137,"&gt;"&amp;MAX(Summary!$C$11,DATE(Summary!$C$12,1,1)-1),'Dvd Calendar'!$E$137:$AR$137,"&lt;="&amp;DATE(Summary!$C$12,12,31),'Dvd Calendar'!$E$142:$AR$142,"&lt;&gt;"&amp;'Field Check'!$C$25)))</f>
        <v/>
      </c>
      <c r="L15" s="47">
        <f>IF($B15="",0,IF((Override!$C$4="ON")*ISNUMBER(Override!$G$21)&gt;0,Override!$G$21,$K15))</f>
        <v/>
      </c>
      <c r="M15" s="47">
        <f>IF($B15="",0,IF((Override!$C$4="ON")*ISNUMBER(Override!$H$21)&gt;0,Override!$H$21,$L15))</f>
        <v/>
      </c>
      <c r="N15" s="47">
        <f>IF($B15="",0,IF((Override!$C$4="ON")*ISNUMBER(Override!$I$21)&gt;0,Override!$I$21,$L15))</f>
        <v/>
      </c>
      <c r="O15" s="54">
        <f>IF($B15="","",IFERROR($B15*$G15*$J15/$B$3,""))</f>
        <v/>
      </c>
      <c r="P15" s="54">
        <f>IF($B15="","",IFERROR($B15*$G15*$L15/$B$3,""))</f>
        <v/>
      </c>
      <c r="Q15" s="38">
        <f>IF($B15="","",IFERROR($O15+$P15,""))</f>
        <v/>
      </c>
      <c r="R15" s="54">
        <f>IF($B15="","",IFERROR($O15+$B15*$G15*$M15/$B$3,""))</f>
        <v/>
      </c>
      <c r="S15" s="54">
        <f>IF($B15="","",IFERROR($O15+$B15*$G15*$N15/$B$3,""))</f>
        <v/>
      </c>
      <c r="T15" s="63">
        <f>IF($B15="","",IFERROR($Q15/$Q$5,""))</f>
        <v/>
      </c>
      <c r="U15" s="2">
        <f>IF($B15="","",IF(COUNTIFS('Dvd Calendar'!$E$136:$AR$136,"&gt;0",'Dvd Calendar'!$E$137:$AR$137,"&gt;"&amp;MAX(Summary!$C$11,DATE(Summary!$C$12,1,1)-1),'Dvd Calendar'!$E$137:$AR$137,"&lt;="&amp;DATE(Summary!$C$12,12,31))-COUNTIFS('Dvd Calendar'!$E$136:$AR$136,"&gt;0",'Dvd Calendar'!$E$137:$AR$137,"&gt;"&amp;MAX(Summary!$C$11,DATE(Summary!$C$12,1,1)-1),'Dvd Calendar'!$E$137:$AR$137,"&lt;="&amp;DATE(Summary!$C$12,12,31),'Dvd Calendar'!$E$138:$AR$138,"&gt;=0")&gt;0,"TBA amount - override me",IF((Override!$C$4="ON")*ISNUMBER(Override!$G$21)&gt;0,"overridden",IF($J15+$K15=0,"no dividend in year Y",""))))</f>
        <v/>
      </c>
      <c r="V15" s="54">
        <f>IF($B15="","",IFERROR(IF(ISNUMBER($H15),$B15*$G15*$H15/$B$3,0),""))</f>
        <v/>
      </c>
      <c r="W15" s="54">
        <f>IF($B15="","",IFERROR($B15*$G15*$K15/$B$3,""))</f>
        <v/>
      </c>
    </row>
    <row r="16">
      <c r="B16" s="73" t="n"/>
      <c r="C16" s="6">
        <f>IF($A16="","",$A16&amp;" Equity")</f>
        <v/>
      </c>
      <c r="D16" s="6">
        <f>IF($C16="","",BDP($C16,"NAME"))</f>
        <v/>
      </c>
      <c r="E16" s="6">
        <f>IF($C16="","",BDP($C16,"GICS_SECTOR_NAME"))</f>
        <v/>
      </c>
      <c r="F16" s="31">
        <f>IF($C16="","",BDP($C16,'Field Check'!$C$8))</f>
        <v/>
      </c>
      <c r="G16" s="74">
        <f>IFERROR(IF(LEN($F16)&lt;&gt;3,1,IF($F16="HKD",1,BDP(IF($F16="CNY",Summary!$C$14,$F16)&amp;"HKD Curncy","PX_LAST"))),1)</f>
        <v/>
      </c>
      <c r="H16" s="54">
        <f>IF($C16="","",BDP($C16,'Field Check'!$C$9))</f>
        <v/>
      </c>
      <c r="I16" s="45">
        <f>IF($C16="","",BDP($C16,'Field Check'!$C$10))</f>
        <v/>
      </c>
      <c r="J16" s="47">
        <f>IF($B16="",0,IF(Summary!$C$13="Y",SUMIFS('Dvd Calendar'!$E$146:$AR$146,'Dvd Calendar'!$E$145:$AR$145,"&gt;="&amp;DATE(Summary!$C$12,1,1),'Dvd Calendar'!$E$145:$AR$145,"&lt;="&amp;MIN(Summary!$C$11,DATE(Summary!$C$12,12,31))),SUMIFS('Dvd Calendar'!$E$146:$AR$146,'Dvd Calendar'!$E$145:$AR$145,"&gt;="&amp;DATE(Summary!$C$12,1,1),'Dvd Calendar'!$E$145:$AR$145,"&lt;="&amp;MIN(Summary!$C$11,DATE(Summary!$C$12,12,31)),'Dvd Calendar'!$E$150:$AR$150,"&lt;&gt;"&amp;'Field Check'!$C$25)))</f>
        <v/>
      </c>
      <c r="K16" s="47">
        <f>IF($B16="",0,IF(Summary!$C$13="Y",SUMIFS('Dvd Calendar'!$E$153:$AR$153,'Dvd Calendar'!$E$152:$AR$152,"&gt;"&amp;MAX(Summary!$C$11,DATE(Summary!$C$12,1,1)-1),'Dvd Calendar'!$E$152:$AR$152,"&lt;="&amp;DATE(Summary!$C$12,12,31)),SUMIFS('Dvd Calendar'!$E$153:$AR$153,'Dvd Calendar'!$E$152:$AR$152,"&gt;"&amp;MAX(Summary!$C$11,DATE(Summary!$C$12,1,1)-1),'Dvd Calendar'!$E$152:$AR$152,"&lt;="&amp;DATE(Summary!$C$12,12,31),'Dvd Calendar'!$E$157:$AR$157,"&lt;&gt;"&amp;'Field Check'!$C$25)))</f>
        <v/>
      </c>
      <c r="L16" s="47">
        <f>IF($B16="",0,IF((Override!$C$4="ON")*ISNUMBER(Override!$G$22)&gt;0,Override!$G$22,$K16))</f>
        <v/>
      </c>
      <c r="M16" s="47">
        <f>IF($B16="",0,IF((Override!$C$4="ON")*ISNUMBER(Override!$H$22)&gt;0,Override!$H$22,$L16))</f>
        <v/>
      </c>
      <c r="N16" s="47">
        <f>IF($B16="",0,IF((Override!$C$4="ON")*ISNUMBER(Override!$I$22)&gt;0,Override!$I$22,$L16))</f>
        <v/>
      </c>
      <c r="O16" s="54">
        <f>IF($B16="","",IFERROR($B16*$G16*$J16/$B$3,""))</f>
        <v/>
      </c>
      <c r="P16" s="54">
        <f>IF($B16="","",IFERROR($B16*$G16*$L16/$B$3,""))</f>
        <v/>
      </c>
      <c r="Q16" s="38">
        <f>IF($B16="","",IFERROR($O16+$P16,""))</f>
        <v/>
      </c>
      <c r="R16" s="54">
        <f>IF($B16="","",IFERROR($O16+$B16*$G16*$M16/$B$3,""))</f>
        <v/>
      </c>
      <c r="S16" s="54">
        <f>IF($B16="","",IFERROR($O16+$B16*$G16*$N16/$B$3,""))</f>
        <v/>
      </c>
      <c r="T16" s="63">
        <f>IF($B16="","",IFERROR($Q16/$Q$5,""))</f>
        <v/>
      </c>
      <c r="U16" s="2">
        <f>IF($B16="","",IF(COUNTIFS('Dvd Calendar'!$E$151:$AR$151,"&gt;0",'Dvd Calendar'!$E$152:$AR$152,"&gt;"&amp;MAX(Summary!$C$11,DATE(Summary!$C$12,1,1)-1),'Dvd Calendar'!$E$152:$AR$152,"&lt;="&amp;DATE(Summary!$C$12,12,31))-COUNTIFS('Dvd Calendar'!$E$151:$AR$151,"&gt;0",'Dvd Calendar'!$E$152:$AR$152,"&gt;"&amp;MAX(Summary!$C$11,DATE(Summary!$C$12,1,1)-1),'Dvd Calendar'!$E$152:$AR$152,"&lt;="&amp;DATE(Summary!$C$12,12,31),'Dvd Calendar'!$E$153:$AR$153,"&gt;=0")&gt;0,"TBA amount - override me",IF((Override!$C$4="ON")*ISNUMBER(Override!$G$22)&gt;0,"overridden",IF($J16+$K16=0,"no dividend in year Y",""))))</f>
        <v/>
      </c>
      <c r="V16" s="54">
        <f>IF($B16="","",IFERROR(IF(ISNUMBER($H16),$B16*$G16*$H16/$B$3,0),""))</f>
        <v/>
      </c>
      <c r="W16" s="54">
        <f>IF($B16="","",IFERROR($B16*$G16*$K16/$B$3,""))</f>
        <v/>
      </c>
    </row>
    <row r="17">
      <c r="B17" s="73" t="n"/>
      <c r="C17" s="6">
        <f>IF($A17="","",$A17&amp;" Equity")</f>
        <v/>
      </c>
      <c r="D17" s="6">
        <f>IF($C17="","",BDP($C17,"NAME"))</f>
        <v/>
      </c>
      <c r="E17" s="6">
        <f>IF($C17="","",BDP($C17,"GICS_SECTOR_NAME"))</f>
        <v/>
      </c>
      <c r="F17" s="31">
        <f>IF($C17="","",BDP($C17,'Field Check'!$C$8))</f>
        <v/>
      </c>
      <c r="G17" s="74">
        <f>IFERROR(IF(LEN($F17)&lt;&gt;3,1,IF($F17="HKD",1,BDP(IF($F17="CNY",Summary!$C$14,$F17)&amp;"HKD Curncy","PX_LAST"))),1)</f>
        <v/>
      </c>
      <c r="H17" s="54">
        <f>IF($C17="","",BDP($C17,'Field Check'!$C$9))</f>
        <v/>
      </c>
      <c r="I17" s="45">
        <f>IF($C17="","",BDP($C17,'Field Check'!$C$10))</f>
        <v/>
      </c>
      <c r="J17" s="47">
        <f>IF($B17="",0,IF(Summary!$C$13="Y",SUMIFS('Dvd Calendar'!$E$161:$AR$161,'Dvd Calendar'!$E$160:$AR$160,"&gt;="&amp;DATE(Summary!$C$12,1,1),'Dvd Calendar'!$E$160:$AR$160,"&lt;="&amp;MIN(Summary!$C$11,DATE(Summary!$C$12,12,31))),SUMIFS('Dvd Calendar'!$E$161:$AR$161,'Dvd Calendar'!$E$160:$AR$160,"&gt;="&amp;DATE(Summary!$C$12,1,1),'Dvd Calendar'!$E$160:$AR$160,"&lt;="&amp;MIN(Summary!$C$11,DATE(Summary!$C$12,12,31)),'Dvd Calendar'!$E$165:$AR$165,"&lt;&gt;"&amp;'Field Check'!$C$25)))</f>
        <v/>
      </c>
      <c r="K17" s="47">
        <f>IF($B17="",0,IF(Summary!$C$13="Y",SUMIFS('Dvd Calendar'!$E$168:$AR$168,'Dvd Calendar'!$E$167:$AR$167,"&gt;"&amp;MAX(Summary!$C$11,DATE(Summary!$C$12,1,1)-1),'Dvd Calendar'!$E$167:$AR$167,"&lt;="&amp;DATE(Summary!$C$12,12,31)),SUMIFS('Dvd Calendar'!$E$168:$AR$168,'Dvd Calendar'!$E$167:$AR$167,"&gt;"&amp;MAX(Summary!$C$11,DATE(Summary!$C$12,1,1)-1),'Dvd Calendar'!$E$167:$AR$167,"&lt;="&amp;DATE(Summary!$C$12,12,31),'Dvd Calendar'!$E$172:$AR$172,"&lt;&gt;"&amp;'Field Check'!$C$25)))</f>
        <v/>
      </c>
      <c r="L17" s="47">
        <f>IF($B17="",0,IF((Override!$C$4="ON")*ISNUMBER(Override!$G$23)&gt;0,Override!$G$23,$K17))</f>
        <v/>
      </c>
      <c r="M17" s="47">
        <f>IF($B17="",0,IF((Override!$C$4="ON")*ISNUMBER(Override!$H$23)&gt;0,Override!$H$23,$L17))</f>
        <v/>
      </c>
      <c r="N17" s="47">
        <f>IF($B17="",0,IF((Override!$C$4="ON")*ISNUMBER(Override!$I$23)&gt;0,Override!$I$23,$L17))</f>
        <v/>
      </c>
      <c r="O17" s="54">
        <f>IF($B17="","",IFERROR($B17*$G17*$J17/$B$3,""))</f>
        <v/>
      </c>
      <c r="P17" s="54">
        <f>IF($B17="","",IFERROR($B17*$G17*$L17/$B$3,""))</f>
        <v/>
      </c>
      <c r="Q17" s="38">
        <f>IF($B17="","",IFERROR($O17+$P17,""))</f>
        <v/>
      </c>
      <c r="R17" s="54">
        <f>IF($B17="","",IFERROR($O17+$B17*$G17*$M17/$B$3,""))</f>
        <v/>
      </c>
      <c r="S17" s="54">
        <f>IF($B17="","",IFERROR($O17+$B17*$G17*$N17/$B$3,""))</f>
        <v/>
      </c>
      <c r="T17" s="63">
        <f>IF($B17="","",IFERROR($Q17/$Q$5,""))</f>
        <v/>
      </c>
      <c r="U17" s="2">
        <f>IF($B17="","",IF(COUNTIFS('Dvd Calendar'!$E$166:$AR$166,"&gt;0",'Dvd Calendar'!$E$167:$AR$167,"&gt;"&amp;MAX(Summary!$C$11,DATE(Summary!$C$12,1,1)-1),'Dvd Calendar'!$E$167:$AR$167,"&lt;="&amp;DATE(Summary!$C$12,12,31))-COUNTIFS('Dvd Calendar'!$E$166:$AR$166,"&gt;0",'Dvd Calendar'!$E$167:$AR$167,"&gt;"&amp;MAX(Summary!$C$11,DATE(Summary!$C$12,1,1)-1),'Dvd Calendar'!$E$167:$AR$167,"&lt;="&amp;DATE(Summary!$C$12,12,31),'Dvd Calendar'!$E$168:$AR$168,"&gt;=0")&gt;0,"TBA amount - override me",IF((Override!$C$4="ON")*ISNUMBER(Override!$G$23)&gt;0,"overridden",IF($J17+$K17=0,"no dividend in year Y",""))))</f>
        <v/>
      </c>
      <c r="V17" s="54">
        <f>IF($B17="","",IFERROR(IF(ISNUMBER($H17),$B17*$G17*$H17/$B$3,0),""))</f>
        <v/>
      </c>
      <c r="W17" s="54">
        <f>IF($B17="","",IFERROR($B17*$G17*$K17/$B$3,""))</f>
        <v/>
      </c>
    </row>
    <row r="18">
      <c r="B18" s="73" t="n"/>
      <c r="C18" s="6">
        <f>IF($A18="","",$A18&amp;" Equity")</f>
        <v/>
      </c>
      <c r="D18" s="6">
        <f>IF($C18="","",BDP($C18,"NAME"))</f>
        <v/>
      </c>
      <c r="E18" s="6">
        <f>IF($C18="","",BDP($C18,"GICS_SECTOR_NAME"))</f>
        <v/>
      </c>
      <c r="F18" s="31">
        <f>IF($C18="","",BDP($C18,'Field Check'!$C$8))</f>
        <v/>
      </c>
      <c r="G18" s="74">
        <f>IFERROR(IF(LEN($F18)&lt;&gt;3,1,IF($F18="HKD",1,BDP(IF($F18="CNY",Summary!$C$14,$F18)&amp;"HKD Curncy","PX_LAST"))),1)</f>
        <v/>
      </c>
      <c r="H18" s="54">
        <f>IF($C18="","",BDP($C18,'Field Check'!$C$9))</f>
        <v/>
      </c>
      <c r="I18" s="45">
        <f>IF($C18="","",BDP($C18,'Field Check'!$C$10))</f>
        <v/>
      </c>
      <c r="J18" s="47">
        <f>IF($B18="",0,IF(Summary!$C$13="Y",SUMIFS('Dvd Calendar'!$E$176:$AR$176,'Dvd Calendar'!$E$175:$AR$175,"&gt;="&amp;DATE(Summary!$C$12,1,1),'Dvd Calendar'!$E$175:$AR$175,"&lt;="&amp;MIN(Summary!$C$11,DATE(Summary!$C$12,12,31))),SUMIFS('Dvd Calendar'!$E$176:$AR$176,'Dvd Calendar'!$E$175:$AR$175,"&gt;="&amp;DATE(Summary!$C$12,1,1),'Dvd Calendar'!$E$175:$AR$175,"&lt;="&amp;MIN(Summary!$C$11,DATE(Summary!$C$12,12,31)),'Dvd Calendar'!$E$180:$AR$180,"&lt;&gt;"&amp;'Field Check'!$C$25)))</f>
        <v/>
      </c>
      <c r="K18" s="47">
        <f>IF($B18="",0,IF(Summary!$C$13="Y",SUMIFS('Dvd Calendar'!$E$183:$AR$183,'Dvd Calendar'!$E$182:$AR$182,"&gt;"&amp;MAX(Summary!$C$11,DATE(Summary!$C$12,1,1)-1),'Dvd Calendar'!$E$182:$AR$182,"&lt;="&amp;DATE(Summary!$C$12,12,31)),SUMIFS('Dvd Calendar'!$E$183:$AR$183,'Dvd Calendar'!$E$182:$AR$182,"&gt;"&amp;MAX(Summary!$C$11,DATE(Summary!$C$12,1,1)-1),'Dvd Calendar'!$E$182:$AR$182,"&lt;="&amp;DATE(Summary!$C$12,12,31),'Dvd Calendar'!$E$187:$AR$187,"&lt;&gt;"&amp;'Field Check'!$C$25)))</f>
        <v/>
      </c>
      <c r="L18" s="47">
        <f>IF($B18="",0,IF((Override!$C$4="ON")*ISNUMBER(Override!$G$24)&gt;0,Override!$G$24,$K18))</f>
        <v/>
      </c>
      <c r="M18" s="47">
        <f>IF($B18="",0,IF((Override!$C$4="ON")*ISNUMBER(Override!$H$24)&gt;0,Override!$H$24,$L18))</f>
        <v/>
      </c>
      <c r="N18" s="47">
        <f>IF($B18="",0,IF((Override!$C$4="ON")*ISNUMBER(Override!$I$24)&gt;0,Override!$I$24,$L18))</f>
        <v/>
      </c>
      <c r="O18" s="54">
        <f>IF($B18="","",IFERROR($B18*$G18*$J18/$B$3,""))</f>
        <v/>
      </c>
      <c r="P18" s="54">
        <f>IF($B18="","",IFERROR($B18*$G18*$L18/$B$3,""))</f>
        <v/>
      </c>
      <c r="Q18" s="38">
        <f>IF($B18="","",IFERROR($O18+$P18,""))</f>
        <v/>
      </c>
      <c r="R18" s="54">
        <f>IF($B18="","",IFERROR($O18+$B18*$G18*$M18/$B$3,""))</f>
        <v/>
      </c>
      <c r="S18" s="54">
        <f>IF($B18="","",IFERROR($O18+$B18*$G18*$N18/$B$3,""))</f>
        <v/>
      </c>
      <c r="T18" s="63">
        <f>IF($B18="","",IFERROR($Q18/$Q$5,""))</f>
        <v/>
      </c>
      <c r="U18" s="2">
        <f>IF($B18="","",IF(COUNTIFS('Dvd Calendar'!$E$181:$AR$181,"&gt;0",'Dvd Calendar'!$E$182:$AR$182,"&gt;"&amp;MAX(Summary!$C$11,DATE(Summary!$C$12,1,1)-1),'Dvd Calendar'!$E$182:$AR$182,"&lt;="&amp;DATE(Summary!$C$12,12,31))-COUNTIFS('Dvd Calendar'!$E$181:$AR$181,"&gt;0",'Dvd Calendar'!$E$182:$AR$182,"&gt;"&amp;MAX(Summary!$C$11,DATE(Summary!$C$12,1,1)-1),'Dvd Calendar'!$E$182:$AR$182,"&lt;="&amp;DATE(Summary!$C$12,12,31),'Dvd Calendar'!$E$183:$AR$183,"&gt;=0")&gt;0,"TBA amount - override me",IF((Override!$C$4="ON")*ISNUMBER(Override!$G$24)&gt;0,"overridden",IF($J18+$K18=0,"no dividend in year Y",""))))</f>
        <v/>
      </c>
      <c r="V18" s="54">
        <f>IF($B18="","",IFERROR(IF(ISNUMBER($H18),$B18*$G18*$H18/$B$3,0),""))</f>
        <v/>
      </c>
      <c r="W18" s="54">
        <f>IF($B18="","",IFERROR($B18*$G18*$K18/$B$3,""))</f>
        <v/>
      </c>
    </row>
    <row r="19">
      <c r="B19" s="73" t="n"/>
      <c r="C19" s="6">
        <f>IF($A19="","",$A19&amp;" Equity")</f>
        <v/>
      </c>
      <c r="D19" s="6">
        <f>IF($C19="","",BDP($C19,"NAME"))</f>
        <v/>
      </c>
      <c r="E19" s="6">
        <f>IF($C19="","",BDP($C19,"GICS_SECTOR_NAME"))</f>
        <v/>
      </c>
      <c r="F19" s="31">
        <f>IF($C19="","",BDP($C19,'Field Check'!$C$8))</f>
        <v/>
      </c>
      <c r="G19" s="74">
        <f>IFERROR(IF(LEN($F19)&lt;&gt;3,1,IF($F19="HKD",1,BDP(IF($F19="CNY",Summary!$C$14,$F19)&amp;"HKD Curncy","PX_LAST"))),1)</f>
        <v/>
      </c>
      <c r="H19" s="54">
        <f>IF($C19="","",BDP($C19,'Field Check'!$C$9))</f>
        <v/>
      </c>
      <c r="I19" s="45">
        <f>IF($C19="","",BDP($C19,'Field Check'!$C$10))</f>
        <v/>
      </c>
      <c r="J19" s="47">
        <f>IF($B19="",0,IF(Summary!$C$13="Y",SUMIFS('Dvd Calendar'!$E$191:$AR$191,'Dvd Calendar'!$E$190:$AR$190,"&gt;="&amp;DATE(Summary!$C$12,1,1),'Dvd Calendar'!$E$190:$AR$190,"&lt;="&amp;MIN(Summary!$C$11,DATE(Summary!$C$12,12,31))),SUMIFS('Dvd Calendar'!$E$191:$AR$191,'Dvd Calendar'!$E$190:$AR$190,"&gt;="&amp;DATE(Summary!$C$12,1,1),'Dvd Calendar'!$E$190:$AR$190,"&lt;="&amp;MIN(Summary!$C$11,DATE(Summary!$C$12,12,31)),'Dvd Calendar'!$E$195:$AR$195,"&lt;&gt;"&amp;'Field Check'!$C$25)))</f>
        <v/>
      </c>
      <c r="K19" s="47">
        <f>IF($B19="",0,IF(Summary!$C$13="Y",SUMIFS('Dvd Calendar'!$E$198:$AR$198,'Dvd Calendar'!$E$197:$AR$197,"&gt;"&amp;MAX(Summary!$C$11,DATE(Summary!$C$12,1,1)-1),'Dvd Calendar'!$E$197:$AR$197,"&lt;="&amp;DATE(Summary!$C$12,12,31)),SUMIFS('Dvd Calendar'!$E$198:$AR$198,'Dvd Calendar'!$E$197:$AR$197,"&gt;"&amp;MAX(Summary!$C$11,DATE(Summary!$C$12,1,1)-1),'Dvd Calendar'!$E$197:$AR$197,"&lt;="&amp;DATE(Summary!$C$12,12,31),'Dvd Calendar'!$E$202:$AR$202,"&lt;&gt;"&amp;'Field Check'!$C$25)))</f>
        <v/>
      </c>
      <c r="L19" s="47">
        <f>IF($B19="",0,IF((Override!$C$4="ON")*ISNUMBER(Override!$G$25)&gt;0,Override!$G$25,$K19))</f>
        <v/>
      </c>
      <c r="M19" s="47">
        <f>IF($B19="",0,IF((Override!$C$4="ON")*ISNUMBER(Override!$H$25)&gt;0,Override!$H$25,$L19))</f>
        <v/>
      </c>
      <c r="N19" s="47">
        <f>IF($B19="",0,IF((Override!$C$4="ON")*ISNUMBER(Override!$I$25)&gt;0,Override!$I$25,$L19))</f>
        <v/>
      </c>
      <c r="O19" s="54">
        <f>IF($B19="","",IFERROR($B19*$G19*$J19/$B$3,""))</f>
        <v/>
      </c>
      <c r="P19" s="54">
        <f>IF($B19="","",IFERROR($B19*$G19*$L19/$B$3,""))</f>
        <v/>
      </c>
      <c r="Q19" s="38">
        <f>IF($B19="","",IFERROR($O19+$P19,""))</f>
        <v/>
      </c>
      <c r="R19" s="54">
        <f>IF($B19="","",IFERROR($O19+$B19*$G19*$M19/$B$3,""))</f>
        <v/>
      </c>
      <c r="S19" s="54">
        <f>IF($B19="","",IFERROR($O19+$B19*$G19*$N19/$B$3,""))</f>
        <v/>
      </c>
      <c r="T19" s="63">
        <f>IF($B19="","",IFERROR($Q19/$Q$5,""))</f>
        <v/>
      </c>
      <c r="U19" s="2">
        <f>IF($B19="","",IF(COUNTIFS('Dvd Calendar'!$E$196:$AR$196,"&gt;0",'Dvd Calendar'!$E$197:$AR$197,"&gt;"&amp;MAX(Summary!$C$11,DATE(Summary!$C$12,1,1)-1),'Dvd Calendar'!$E$197:$AR$197,"&lt;="&amp;DATE(Summary!$C$12,12,31))-COUNTIFS('Dvd Calendar'!$E$196:$AR$196,"&gt;0",'Dvd Calendar'!$E$197:$AR$197,"&gt;"&amp;MAX(Summary!$C$11,DATE(Summary!$C$12,1,1)-1),'Dvd Calendar'!$E$197:$AR$197,"&lt;="&amp;DATE(Summary!$C$12,12,31),'Dvd Calendar'!$E$198:$AR$198,"&gt;=0")&gt;0,"TBA amount - override me",IF((Override!$C$4="ON")*ISNUMBER(Override!$G$25)&gt;0,"overridden",IF($J19+$K19=0,"no dividend in year Y",""))))</f>
        <v/>
      </c>
      <c r="V19" s="54">
        <f>IF($B19="","",IFERROR(IF(ISNUMBER($H19),$B19*$G19*$H19/$B$3,0),""))</f>
        <v/>
      </c>
      <c r="W19" s="54">
        <f>IF($B19="","",IFERROR($B19*$G19*$K19/$B$3,""))</f>
        <v/>
      </c>
    </row>
    <row r="20">
      <c r="B20" s="73" t="n"/>
      <c r="C20" s="6">
        <f>IF($A20="","",$A20&amp;" Equity")</f>
        <v/>
      </c>
      <c r="D20" s="6">
        <f>IF($C20="","",BDP($C20,"NAME"))</f>
        <v/>
      </c>
      <c r="E20" s="6">
        <f>IF($C20="","",BDP($C20,"GICS_SECTOR_NAME"))</f>
        <v/>
      </c>
      <c r="F20" s="31">
        <f>IF($C20="","",BDP($C20,'Field Check'!$C$8))</f>
        <v/>
      </c>
      <c r="G20" s="74">
        <f>IFERROR(IF(LEN($F20)&lt;&gt;3,1,IF($F20="HKD",1,BDP(IF($F20="CNY",Summary!$C$14,$F20)&amp;"HKD Curncy","PX_LAST"))),1)</f>
        <v/>
      </c>
      <c r="H20" s="54">
        <f>IF($C20="","",BDP($C20,'Field Check'!$C$9))</f>
        <v/>
      </c>
      <c r="I20" s="45">
        <f>IF($C20="","",BDP($C20,'Field Check'!$C$10))</f>
        <v/>
      </c>
      <c r="J20" s="47">
        <f>IF($B20="",0,IF(Summary!$C$13="Y",SUMIFS('Dvd Calendar'!$E$206:$AR$206,'Dvd Calendar'!$E$205:$AR$205,"&gt;="&amp;DATE(Summary!$C$12,1,1),'Dvd Calendar'!$E$205:$AR$205,"&lt;="&amp;MIN(Summary!$C$11,DATE(Summary!$C$12,12,31))),SUMIFS('Dvd Calendar'!$E$206:$AR$206,'Dvd Calendar'!$E$205:$AR$205,"&gt;="&amp;DATE(Summary!$C$12,1,1),'Dvd Calendar'!$E$205:$AR$205,"&lt;="&amp;MIN(Summary!$C$11,DATE(Summary!$C$12,12,31)),'Dvd Calendar'!$E$210:$AR$210,"&lt;&gt;"&amp;'Field Check'!$C$25)))</f>
        <v/>
      </c>
      <c r="K20" s="47">
        <f>IF($B20="",0,IF(Summary!$C$13="Y",SUMIFS('Dvd Calendar'!$E$213:$AR$213,'Dvd Calendar'!$E$212:$AR$212,"&gt;"&amp;MAX(Summary!$C$11,DATE(Summary!$C$12,1,1)-1),'Dvd Calendar'!$E$212:$AR$212,"&lt;="&amp;DATE(Summary!$C$12,12,31)),SUMIFS('Dvd Calendar'!$E$213:$AR$213,'Dvd Calendar'!$E$212:$AR$212,"&gt;"&amp;MAX(Summary!$C$11,DATE(Summary!$C$12,1,1)-1),'Dvd Calendar'!$E$212:$AR$212,"&lt;="&amp;DATE(Summary!$C$12,12,31),'Dvd Calendar'!$E$217:$AR$217,"&lt;&gt;"&amp;'Field Check'!$C$25)))</f>
        <v/>
      </c>
      <c r="L20" s="47">
        <f>IF($B20="",0,IF((Override!$C$4="ON")*ISNUMBER(Override!$G$26)&gt;0,Override!$G$26,$K20))</f>
        <v/>
      </c>
      <c r="M20" s="47">
        <f>IF($B20="",0,IF((Override!$C$4="ON")*ISNUMBER(Override!$H$26)&gt;0,Override!$H$26,$L20))</f>
        <v/>
      </c>
      <c r="N20" s="47">
        <f>IF($B20="",0,IF((Override!$C$4="ON")*ISNUMBER(Override!$I$26)&gt;0,Override!$I$26,$L20))</f>
        <v/>
      </c>
      <c r="O20" s="54">
        <f>IF($B20="","",IFERROR($B20*$G20*$J20/$B$3,""))</f>
        <v/>
      </c>
      <c r="P20" s="54">
        <f>IF($B20="","",IFERROR($B20*$G20*$L20/$B$3,""))</f>
        <v/>
      </c>
      <c r="Q20" s="38">
        <f>IF($B20="","",IFERROR($O20+$P20,""))</f>
        <v/>
      </c>
      <c r="R20" s="54">
        <f>IF($B20="","",IFERROR($O20+$B20*$G20*$M20/$B$3,""))</f>
        <v/>
      </c>
      <c r="S20" s="54">
        <f>IF($B20="","",IFERROR($O20+$B20*$G20*$N20/$B$3,""))</f>
        <v/>
      </c>
      <c r="T20" s="63">
        <f>IF($B20="","",IFERROR($Q20/$Q$5,""))</f>
        <v/>
      </c>
      <c r="U20" s="2">
        <f>IF($B20="","",IF(COUNTIFS('Dvd Calendar'!$E$211:$AR$211,"&gt;0",'Dvd Calendar'!$E$212:$AR$212,"&gt;"&amp;MAX(Summary!$C$11,DATE(Summary!$C$12,1,1)-1),'Dvd Calendar'!$E$212:$AR$212,"&lt;="&amp;DATE(Summary!$C$12,12,31))-COUNTIFS('Dvd Calendar'!$E$211:$AR$211,"&gt;0",'Dvd Calendar'!$E$212:$AR$212,"&gt;"&amp;MAX(Summary!$C$11,DATE(Summary!$C$12,1,1)-1),'Dvd Calendar'!$E$212:$AR$212,"&lt;="&amp;DATE(Summary!$C$12,12,31),'Dvd Calendar'!$E$213:$AR$213,"&gt;=0")&gt;0,"TBA amount - override me",IF((Override!$C$4="ON")*ISNUMBER(Override!$G$26)&gt;0,"overridden",IF($J20+$K20=0,"no dividend in year Y",""))))</f>
        <v/>
      </c>
      <c r="V20" s="54">
        <f>IF($B20="","",IFERROR(IF(ISNUMBER($H20),$B20*$G20*$H20/$B$3,0),""))</f>
        <v/>
      </c>
      <c r="W20" s="54">
        <f>IF($B20="","",IFERROR($B20*$G20*$K20/$B$3,""))</f>
        <v/>
      </c>
    </row>
    <row r="21">
      <c r="B21" s="73" t="n"/>
      <c r="C21" s="6">
        <f>IF($A21="","",$A21&amp;" Equity")</f>
        <v/>
      </c>
      <c r="D21" s="6">
        <f>IF($C21="","",BDP($C21,"NAME"))</f>
        <v/>
      </c>
      <c r="E21" s="6">
        <f>IF($C21="","",BDP($C21,"GICS_SECTOR_NAME"))</f>
        <v/>
      </c>
      <c r="F21" s="31">
        <f>IF($C21="","",BDP($C21,'Field Check'!$C$8))</f>
        <v/>
      </c>
      <c r="G21" s="74">
        <f>IFERROR(IF(LEN($F21)&lt;&gt;3,1,IF($F21="HKD",1,BDP(IF($F21="CNY",Summary!$C$14,$F21)&amp;"HKD Curncy","PX_LAST"))),1)</f>
        <v/>
      </c>
      <c r="H21" s="54">
        <f>IF($C21="","",BDP($C21,'Field Check'!$C$9))</f>
        <v/>
      </c>
      <c r="I21" s="45">
        <f>IF($C21="","",BDP($C21,'Field Check'!$C$10))</f>
        <v/>
      </c>
      <c r="J21" s="47">
        <f>IF($B21="",0,IF(Summary!$C$13="Y",SUMIFS('Dvd Calendar'!$E$221:$AR$221,'Dvd Calendar'!$E$220:$AR$220,"&gt;="&amp;DATE(Summary!$C$12,1,1),'Dvd Calendar'!$E$220:$AR$220,"&lt;="&amp;MIN(Summary!$C$11,DATE(Summary!$C$12,12,31))),SUMIFS('Dvd Calendar'!$E$221:$AR$221,'Dvd Calendar'!$E$220:$AR$220,"&gt;="&amp;DATE(Summary!$C$12,1,1),'Dvd Calendar'!$E$220:$AR$220,"&lt;="&amp;MIN(Summary!$C$11,DATE(Summary!$C$12,12,31)),'Dvd Calendar'!$E$225:$AR$225,"&lt;&gt;"&amp;'Field Check'!$C$25)))</f>
        <v/>
      </c>
      <c r="K21" s="47">
        <f>IF($B21="",0,IF(Summary!$C$13="Y",SUMIFS('Dvd Calendar'!$E$228:$AR$228,'Dvd Calendar'!$E$227:$AR$227,"&gt;"&amp;MAX(Summary!$C$11,DATE(Summary!$C$12,1,1)-1),'Dvd Calendar'!$E$227:$AR$227,"&lt;="&amp;DATE(Summary!$C$12,12,31)),SUMIFS('Dvd Calendar'!$E$228:$AR$228,'Dvd Calendar'!$E$227:$AR$227,"&gt;"&amp;MAX(Summary!$C$11,DATE(Summary!$C$12,1,1)-1),'Dvd Calendar'!$E$227:$AR$227,"&lt;="&amp;DATE(Summary!$C$12,12,31),'Dvd Calendar'!$E$232:$AR$232,"&lt;&gt;"&amp;'Field Check'!$C$25)))</f>
        <v/>
      </c>
      <c r="L21" s="47">
        <f>IF($B21="",0,IF((Override!$C$4="ON")*ISNUMBER(Override!$G$27)&gt;0,Override!$G$27,$K21))</f>
        <v/>
      </c>
      <c r="M21" s="47">
        <f>IF($B21="",0,IF((Override!$C$4="ON")*ISNUMBER(Override!$H$27)&gt;0,Override!$H$27,$L21))</f>
        <v/>
      </c>
      <c r="N21" s="47">
        <f>IF($B21="",0,IF((Override!$C$4="ON")*ISNUMBER(Override!$I$27)&gt;0,Override!$I$27,$L21))</f>
        <v/>
      </c>
      <c r="O21" s="54">
        <f>IF($B21="","",IFERROR($B21*$G21*$J21/$B$3,""))</f>
        <v/>
      </c>
      <c r="P21" s="54">
        <f>IF($B21="","",IFERROR($B21*$G21*$L21/$B$3,""))</f>
        <v/>
      </c>
      <c r="Q21" s="38">
        <f>IF($B21="","",IFERROR($O21+$P21,""))</f>
        <v/>
      </c>
      <c r="R21" s="54">
        <f>IF($B21="","",IFERROR($O21+$B21*$G21*$M21/$B$3,""))</f>
        <v/>
      </c>
      <c r="S21" s="54">
        <f>IF($B21="","",IFERROR($O21+$B21*$G21*$N21/$B$3,""))</f>
        <v/>
      </c>
      <c r="T21" s="63">
        <f>IF($B21="","",IFERROR($Q21/$Q$5,""))</f>
        <v/>
      </c>
      <c r="U21" s="2">
        <f>IF($B21="","",IF(COUNTIFS('Dvd Calendar'!$E$226:$AR$226,"&gt;0",'Dvd Calendar'!$E$227:$AR$227,"&gt;"&amp;MAX(Summary!$C$11,DATE(Summary!$C$12,1,1)-1),'Dvd Calendar'!$E$227:$AR$227,"&lt;="&amp;DATE(Summary!$C$12,12,31))-COUNTIFS('Dvd Calendar'!$E$226:$AR$226,"&gt;0",'Dvd Calendar'!$E$227:$AR$227,"&gt;"&amp;MAX(Summary!$C$11,DATE(Summary!$C$12,1,1)-1),'Dvd Calendar'!$E$227:$AR$227,"&lt;="&amp;DATE(Summary!$C$12,12,31),'Dvd Calendar'!$E$228:$AR$228,"&gt;=0")&gt;0,"TBA amount - override me",IF((Override!$C$4="ON")*ISNUMBER(Override!$G$27)&gt;0,"overridden",IF($J21+$K21=0,"no dividend in year Y",""))))</f>
        <v/>
      </c>
      <c r="V21" s="54">
        <f>IF($B21="","",IFERROR(IF(ISNUMBER($H21),$B21*$G21*$H21/$B$3,0),""))</f>
        <v/>
      </c>
      <c r="W21" s="54">
        <f>IF($B21="","",IFERROR($B21*$G21*$K21/$B$3,""))</f>
        <v/>
      </c>
    </row>
    <row r="22">
      <c r="B22" s="73" t="n"/>
      <c r="C22" s="6">
        <f>IF($A22="","",$A22&amp;" Equity")</f>
        <v/>
      </c>
      <c r="D22" s="6">
        <f>IF($C22="","",BDP($C22,"NAME"))</f>
        <v/>
      </c>
      <c r="E22" s="6">
        <f>IF($C22="","",BDP($C22,"GICS_SECTOR_NAME"))</f>
        <v/>
      </c>
      <c r="F22" s="31">
        <f>IF($C22="","",BDP($C22,'Field Check'!$C$8))</f>
        <v/>
      </c>
      <c r="G22" s="74">
        <f>IFERROR(IF(LEN($F22)&lt;&gt;3,1,IF($F22="HKD",1,BDP(IF($F22="CNY",Summary!$C$14,$F22)&amp;"HKD Curncy","PX_LAST"))),1)</f>
        <v/>
      </c>
      <c r="H22" s="54">
        <f>IF($C22="","",BDP($C22,'Field Check'!$C$9))</f>
        <v/>
      </c>
      <c r="I22" s="45">
        <f>IF($C22="","",BDP($C22,'Field Check'!$C$10))</f>
        <v/>
      </c>
      <c r="J22" s="47">
        <f>IF($B22="",0,IF(Summary!$C$13="Y",SUMIFS('Dvd Calendar'!$E$236:$AR$236,'Dvd Calendar'!$E$235:$AR$235,"&gt;="&amp;DATE(Summary!$C$12,1,1),'Dvd Calendar'!$E$235:$AR$235,"&lt;="&amp;MIN(Summary!$C$11,DATE(Summary!$C$12,12,31))),SUMIFS('Dvd Calendar'!$E$236:$AR$236,'Dvd Calendar'!$E$235:$AR$235,"&gt;="&amp;DATE(Summary!$C$12,1,1),'Dvd Calendar'!$E$235:$AR$235,"&lt;="&amp;MIN(Summary!$C$11,DATE(Summary!$C$12,12,31)),'Dvd Calendar'!$E$240:$AR$240,"&lt;&gt;"&amp;'Field Check'!$C$25)))</f>
        <v/>
      </c>
      <c r="K22" s="47">
        <f>IF($B22="",0,IF(Summary!$C$13="Y",SUMIFS('Dvd Calendar'!$E$243:$AR$243,'Dvd Calendar'!$E$242:$AR$242,"&gt;"&amp;MAX(Summary!$C$11,DATE(Summary!$C$12,1,1)-1),'Dvd Calendar'!$E$242:$AR$242,"&lt;="&amp;DATE(Summary!$C$12,12,31)),SUMIFS('Dvd Calendar'!$E$243:$AR$243,'Dvd Calendar'!$E$242:$AR$242,"&gt;"&amp;MAX(Summary!$C$11,DATE(Summary!$C$12,1,1)-1),'Dvd Calendar'!$E$242:$AR$242,"&lt;="&amp;DATE(Summary!$C$12,12,31),'Dvd Calendar'!$E$247:$AR$247,"&lt;&gt;"&amp;'Field Check'!$C$25)))</f>
        <v/>
      </c>
      <c r="L22" s="47">
        <f>IF($B22="",0,IF((Override!$C$4="ON")*ISNUMBER(Override!$G$28)&gt;0,Override!$G$28,$K22))</f>
        <v/>
      </c>
      <c r="M22" s="47">
        <f>IF($B22="",0,IF((Override!$C$4="ON")*ISNUMBER(Override!$H$28)&gt;0,Override!$H$28,$L22))</f>
        <v/>
      </c>
      <c r="N22" s="47">
        <f>IF($B22="",0,IF((Override!$C$4="ON")*ISNUMBER(Override!$I$28)&gt;0,Override!$I$28,$L22))</f>
        <v/>
      </c>
      <c r="O22" s="54">
        <f>IF($B22="","",IFERROR($B22*$G22*$J22/$B$3,""))</f>
        <v/>
      </c>
      <c r="P22" s="54">
        <f>IF($B22="","",IFERROR($B22*$G22*$L22/$B$3,""))</f>
        <v/>
      </c>
      <c r="Q22" s="38">
        <f>IF($B22="","",IFERROR($O22+$P22,""))</f>
        <v/>
      </c>
      <c r="R22" s="54">
        <f>IF($B22="","",IFERROR($O22+$B22*$G22*$M22/$B$3,""))</f>
        <v/>
      </c>
      <c r="S22" s="54">
        <f>IF($B22="","",IFERROR($O22+$B22*$G22*$N22/$B$3,""))</f>
        <v/>
      </c>
      <c r="T22" s="63">
        <f>IF($B22="","",IFERROR($Q22/$Q$5,""))</f>
        <v/>
      </c>
      <c r="U22" s="2">
        <f>IF($B22="","",IF(COUNTIFS('Dvd Calendar'!$E$241:$AR$241,"&gt;0",'Dvd Calendar'!$E$242:$AR$242,"&gt;"&amp;MAX(Summary!$C$11,DATE(Summary!$C$12,1,1)-1),'Dvd Calendar'!$E$242:$AR$242,"&lt;="&amp;DATE(Summary!$C$12,12,31))-COUNTIFS('Dvd Calendar'!$E$241:$AR$241,"&gt;0",'Dvd Calendar'!$E$242:$AR$242,"&gt;"&amp;MAX(Summary!$C$11,DATE(Summary!$C$12,1,1)-1),'Dvd Calendar'!$E$242:$AR$242,"&lt;="&amp;DATE(Summary!$C$12,12,31),'Dvd Calendar'!$E$243:$AR$243,"&gt;=0")&gt;0,"TBA amount - override me",IF((Override!$C$4="ON")*ISNUMBER(Override!$G$28)&gt;0,"overridden",IF($J22+$K22=0,"no dividend in year Y",""))))</f>
        <v/>
      </c>
      <c r="V22" s="54">
        <f>IF($B22="","",IFERROR(IF(ISNUMBER($H22),$B22*$G22*$H22/$B$3,0),""))</f>
        <v/>
      </c>
      <c r="W22" s="54">
        <f>IF($B22="","",IFERROR($B22*$G22*$K22/$B$3,""))</f>
        <v/>
      </c>
    </row>
    <row r="23">
      <c r="B23" s="73" t="n"/>
      <c r="C23" s="6">
        <f>IF($A23="","",$A23&amp;" Equity")</f>
        <v/>
      </c>
      <c r="D23" s="6">
        <f>IF($C23="","",BDP($C23,"NAME"))</f>
        <v/>
      </c>
      <c r="E23" s="6">
        <f>IF($C23="","",BDP($C23,"GICS_SECTOR_NAME"))</f>
        <v/>
      </c>
      <c r="F23" s="31">
        <f>IF($C23="","",BDP($C23,'Field Check'!$C$8))</f>
        <v/>
      </c>
      <c r="G23" s="74">
        <f>IFERROR(IF(LEN($F23)&lt;&gt;3,1,IF($F23="HKD",1,BDP(IF($F23="CNY",Summary!$C$14,$F23)&amp;"HKD Curncy","PX_LAST"))),1)</f>
        <v/>
      </c>
      <c r="H23" s="54">
        <f>IF($C23="","",BDP($C23,'Field Check'!$C$9))</f>
        <v/>
      </c>
      <c r="I23" s="45">
        <f>IF($C23="","",BDP($C23,'Field Check'!$C$10))</f>
        <v/>
      </c>
      <c r="J23" s="47">
        <f>IF($B23="",0,IF(Summary!$C$13="Y",SUMIFS('Dvd Calendar'!$E$251:$AR$251,'Dvd Calendar'!$E$250:$AR$250,"&gt;="&amp;DATE(Summary!$C$12,1,1),'Dvd Calendar'!$E$250:$AR$250,"&lt;="&amp;MIN(Summary!$C$11,DATE(Summary!$C$12,12,31))),SUMIFS('Dvd Calendar'!$E$251:$AR$251,'Dvd Calendar'!$E$250:$AR$250,"&gt;="&amp;DATE(Summary!$C$12,1,1),'Dvd Calendar'!$E$250:$AR$250,"&lt;="&amp;MIN(Summary!$C$11,DATE(Summary!$C$12,12,31)),'Dvd Calendar'!$E$255:$AR$255,"&lt;&gt;"&amp;'Field Check'!$C$25)))</f>
        <v/>
      </c>
      <c r="K23" s="47">
        <f>IF($B23="",0,IF(Summary!$C$13="Y",SUMIFS('Dvd Calendar'!$E$258:$AR$258,'Dvd Calendar'!$E$257:$AR$257,"&gt;"&amp;MAX(Summary!$C$11,DATE(Summary!$C$12,1,1)-1),'Dvd Calendar'!$E$257:$AR$257,"&lt;="&amp;DATE(Summary!$C$12,12,31)),SUMIFS('Dvd Calendar'!$E$258:$AR$258,'Dvd Calendar'!$E$257:$AR$257,"&gt;"&amp;MAX(Summary!$C$11,DATE(Summary!$C$12,1,1)-1),'Dvd Calendar'!$E$257:$AR$257,"&lt;="&amp;DATE(Summary!$C$12,12,31),'Dvd Calendar'!$E$262:$AR$262,"&lt;&gt;"&amp;'Field Check'!$C$25)))</f>
        <v/>
      </c>
      <c r="L23" s="47">
        <f>IF($B23="",0,IF((Override!$C$4="ON")*ISNUMBER(Override!$G$29)&gt;0,Override!$G$29,$K23))</f>
        <v/>
      </c>
      <c r="M23" s="47">
        <f>IF($B23="",0,IF((Override!$C$4="ON")*ISNUMBER(Override!$H$29)&gt;0,Override!$H$29,$L23))</f>
        <v/>
      </c>
      <c r="N23" s="47">
        <f>IF($B23="",0,IF((Override!$C$4="ON")*ISNUMBER(Override!$I$29)&gt;0,Override!$I$29,$L23))</f>
        <v/>
      </c>
      <c r="O23" s="54">
        <f>IF($B23="","",IFERROR($B23*$G23*$J23/$B$3,""))</f>
        <v/>
      </c>
      <c r="P23" s="54">
        <f>IF($B23="","",IFERROR($B23*$G23*$L23/$B$3,""))</f>
        <v/>
      </c>
      <c r="Q23" s="38">
        <f>IF($B23="","",IFERROR($O23+$P23,""))</f>
        <v/>
      </c>
      <c r="R23" s="54">
        <f>IF($B23="","",IFERROR($O23+$B23*$G23*$M23/$B$3,""))</f>
        <v/>
      </c>
      <c r="S23" s="54">
        <f>IF($B23="","",IFERROR($O23+$B23*$G23*$N23/$B$3,""))</f>
        <v/>
      </c>
      <c r="T23" s="63">
        <f>IF($B23="","",IFERROR($Q23/$Q$5,""))</f>
        <v/>
      </c>
      <c r="U23" s="2">
        <f>IF($B23="","",IF(COUNTIFS('Dvd Calendar'!$E$256:$AR$256,"&gt;0",'Dvd Calendar'!$E$257:$AR$257,"&gt;"&amp;MAX(Summary!$C$11,DATE(Summary!$C$12,1,1)-1),'Dvd Calendar'!$E$257:$AR$257,"&lt;="&amp;DATE(Summary!$C$12,12,31))-COUNTIFS('Dvd Calendar'!$E$256:$AR$256,"&gt;0",'Dvd Calendar'!$E$257:$AR$257,"&gt;"&amp;MAX(Summary!$C$11,DATE(Summary!$C$12,1,1)-1),'Dvd Calendar'!$E$257:$AR$257,"&lt;="&amp;DATE(Summary!$C$12,12,31),'Dvd Calendar'!$E$258:$AR$258,"&gt;=0")&gt;0,"TBA amount - override me",IF((Override!$C$4="ON")*ISNUMBER(Override!$G$29)&gt;0,"overridden",IF($J23+$K23=0,"no dividend in year Y",""))))</f>
        <v/>
      </c>
      <c r="V23" s="54">
        <f>IF($B23="","",IFERROR(IF(ISNUMBER($H23),$B23*$G23*$H23/$B$3,0),""))</f>
        <v/>
      </c>
      <c r="W23" s="54">
        <f>IF($B23="","",IFERROR($B23*$G23*$K23/$B$3,""))</f>
        <v/>
      </c>
    </row>
    <row r="24">
      <c r="B24" s="73" t="n"/>
      <c r="C24" s="6">
        <f>IF($A24="","",$A24&amp;" Equity")</f>
        <v/>
      </c>
      <c r="D24" s="6">
        <f>IF($C24="","",BDP($C24,"NAME"))</f>
        <v/>
      </c>
      <c r="E24" s="6">
        <f>IF($C24="","",BDP($C24,"GICS_SECTOR_NAME"))</f>
        <v/>
      </c>
      <c r="F24" s="31">
        <f>IF($C24="","",BDP($C24,'Field Check'!$C$8))</f>
        <v/>
      </c>
      <c r="G24" s="74">
        <f>IFERROR(IF(LEN($F24)&lt;&gt;3,1,IF($F24="HKD",1,BDP(IF($F24="CNY",Summary!$C$14,$F24)&amp;"HKD Curncy","PX_LAST"))),1)</f>
        <v/>
      </c>
      <c r="H24" s="54">
        <f>IF($C24="","",BDP($C24,'Field Check'!$C$9))</f>
        <v/>
      </c>
      <c r="I24" s="45">
        <f>IF($C24="","",BDP($C24,'Field Check'!$C$10))</f>
        <v/>
      </c>
      <c r="J24" s="47">
        <f>IF($B24="",0,IF(Summary!$C$13="Y",SUMIFS('Dvd Calendar'!$E$266:$AR$266,'Dvd Calendar'!$E$265:$AR$265,"&gt;="&amp;DATE(Summary!$C$12,1,1),'Dvd Calendar'!$E$265:$AR$265,"&lt;="&amp;MIN(Summary!$C$11,DATE(Summary!$C$12,12,31))),SUMIFS('Dvd Calendar'!$E$266:$AR$266,'Dvd Calendar'!$E$265:$AR$265,"&gt;="&amp;DATE(Summary!$C$12,1,1),'Dvd Calendar'!$E$265:$AR$265,"&lt;="&amp;MIN(Summary!$C$11,DATE(Summary!$C$12,12,31)),'Dvd Calendar'!$E$270:$AR$270,"&lt;&gt;"&amp;'Field Check'!$C$25)))</f>
        <v/>
      </c>
      <c r="K24" s="47">
        <f>IF($B24="",0,IF(Summary!$C$13="Y",SUMIFS('Dvd Calendar'!$E$273:$AR$273,'Dvd Calendar'!$E$272:$AR$272,"&gt;"&amp;MAX(Summary!$C$11,DATE(Summary!$C$12,1,1)-1),'Dvd Calendar'!$E$272:$AR$272,"&lt;="&amp;DATE(Summary!$C$12,12,31)),SUMIFS('Dvd Calendar'!$E$273:$AR$273,'Dvd Calendar'!$E$272:$AR$272,"&gt;"&amp;MAX(Summary!$C$11,DATE(Summary!$C$12,1,1)-1),'Dvd Calendar'!$E$272:$AR$272,"&lt;="&amp;DATE(Summary!$C$12,12,31),'Dvd Calendar'!$E$277:$AR$277,"&lt;&gt;"&amp;'Field Check'!$C$25)))</f>
        <v/>
      </c>
      <c r="L24" s="47">
        <f>IF($B24="",0,IF((Override!$C$4="ON")*ISNUMBER(Override!$G$30)&gt;0,Override!$G$30,$K24))</f>
        <v/>
      </c>
      <c r="M24" s="47">
        <f>IF($B24="",0,IF((Override!$C$4="ON")*ISNUMBER(Override!$H$30)&gt;0,Override!$H$30,$L24))</f>
        <v/>
      </c>
      <c r="N24" s="47">
        <f>IF($B24="",0,IF((Override!$C$4="ON")*ISNUMBER(Override!$I$30)&gt;0,Override!$I$30,$L24))</f>
        <v/>
      </c>
      <c r="O24" s="54">
        <f>IF($B24="","",IFERROR($B24*$G24*$J24/$B$3,""))</f>
        <v/>
      </c>
      <c r="P24" s="54">
        <f>IF($B24="","",IFERROR($B24*$G24*$L24/$B$3,""))</f>
        <v/>
      </c>
      <c r="Q24" s="38">
        <f>IF($B24="","",IFERROR($O24+$P24,""))</f>
        <v/>
      </c>
      <c r="R24" s="54">
        <f>IF($B24="","",IFERROR($O24+$B24*$G24*$M24/$B$3,""))</f>
        <v/>
      </c>
      <c r="S24" s="54">
        <f>IF($B24="","",IFERROR($O24+$B24*$G24*$N24/$B$3,""))</f>
        <v/>
      </c>
      <c r="T24" s="63">
        <f>IF($B24="","",IFERROR($Q24/$Q$5,""))</f>
        <v/>
      </c>
      <c r="U24" s="2">
        <f>IF($B24="","",IF(COUNTIFS('Dvd Calendar'!$E$271:$AR$271,"&gt;0",'Dvd Calendar'!$E$272:$AR$272,"&gt;"&amp;MAX(Summary!$C$11,DATE(Summary!$C$12,1,1)-1),'Dvd Calendar'!$E$272:$AR$272,"&lt;="&amp;DATE(Summary!$C$12,12,31))-COUNTIFS('Dvd Calendar'!$E$271:$AR$271,"&gt;0",'Dvd Calendar'!$E$272:$AR$272,"&gt;"&amp;MAX(Summary!$C$11,DATE(Summary!$C$12,1,1)-1),'Dvd Calendar'!$E$272:$AR$272,"&lt;="&amp;DATE(Summary!$C$12,12,31),'Dvd Calendar'!$E$273:$AR$273,"&gt;=0")&gt;0,"TBA amount - override me",IF((Override!$C$4="ON")*ISNUMBER(Override!$G$30)&gt;0,"overridden",IF($J24+$K24=0,"no dividend in year Y",""))))</f>
        <v/>
      </c>
      <c r="V24" s="54">
        <f>IF($B24="","",IFERROR(IF(ISNUMBER($H24),$B24*$G24*$H24/$B$3,0),""))</f>
        <v/>
      </c>
      <c r="W24" s="54">
        <f>IF($B24="","",IFERROR($B24*$G24*$K24/$B$3,""))</f>
        <v/>
      </c>
    </row>
    <row r="25">
      <c r="B25" s="73" t="n"/>
      <c r="C25" s="6">
        <f>IF($A25="","",$A25&amp;" Equity")</f>
        <v/>
      </c>
      <c r="D25" s="6">
        <f>IF($C25="","",BDP($C25,"NAME"))</f>
        <v/>
      </c>
      <c r="E25" s="6">
        <f>IF($C25="","",BDP($C25,"GICS_SECTOR_NAME"))</f>
        <v/>
      </c>
      <c r="F25" s="31">
        <f>IF($C25="","",BDP($C25,'Field Check'!$C$8))</f>
        <v/>
      </c>
      <c r="G25" s="74">
        <f>IFERROR(IF(LEN($F25)&lt;&gt;3,1,IF($F25="HKD",1,BDP(IF($F25="CNY",Summary!$C$14,$F25)&amp;"HKD Curncy","PX_LAST"))),1)</f>
        <v/>
      </c>
      <c r="H25" s="54">
        <f>IF($C25="","",BDP($C25,'Field Check'!$C$9))</f>
        <v/>
      </c>
      <c r="I25" s="45">
        <f>IF($C25="","",BDP($C25,'Field Check'!$C$10))</f>
        <v/>
      </c>
      <c r="J25" s="47">
        <f>IF($B25="",0,IF(Summary!$C$13="Y",SUMIFS('Dvd Calendar'!$E$281:$AR$281,'Dvd Calendar'!$E$280:$AR$280,"&gt;="&amp;DATE(Summary!$C$12,1,1),'Dvd Calendar'!$E$280:$AR$280,"&lt;="&amp;MIN(Summary!$C$11,DATE(Summary!$C$12,12,31))),SUMIFS('Dvd Calendar'!$E$281:$AR$281,'Dvd Calendar'!$E$280:$AR$280,"&gt;="&amp;DATE(Summary!$C$12,1,1),'Dvd Calendar'!$E$280:$AR$280,"&lt;="&amp;MIN(Summary!$C$11,DATE(Summary!$C$12,12,31)),'Dvd Calendar'!$E$285:$AR$285,"&lt;&gt;"&amp;'Field Check'!$C$25)))</f>
        <v/>
      </c>
      <c r="K25" s="47">
        <f>IF($B25="",0,IF(Summary!$C$13="Y",SUMIFS('Dvd Calendar'!$E$288:$AR$288,'Dvd Calendar'!$E$287:$AR$287,"&gt;"&amp;MAX(Summary!$C$11,DATE(Summary!$C$12,1,1)-1),'Dvd Calendar'!$E$287:$AR$287,"&lt;="&amp;DATE(Summary!$C$12,12,31)),SUMIFS('Dvd Calendar'!$E$288:$AR$288,'Dvd Calendar'!$E$287:$AR$287,"&gt;"&amp;MAX(Summary!$C$11,DATE(Summary!$C$12,1,1)-1),'Dvd Calendar'!$E$287:$AR$287,"&lt;="&amp;DATE(Summary!$C$12,12,31),'Dvd Calendar'!$E$292:$AR$292,"&lt;&gt;"&amp;'Field Check'!$C$25)))</f>
        <v/>
      </c>
      <c r="L25" s="47">
        <f>IF($B25="",0,IF((Override!$C$4="ON")*ISNUMBER(Override!$G$31)&gt;0,Override!$G$31,$K25))</f>
        <v/>
      </c>
      <c r="M25" s="47">
        <f>IF($B25="",0,IF((Override!$C$4="ON")*ISNUMBER(Override!$H$31)&gt;0,Override!$H$31,$L25))</f>
        <v/>
      </c>
      <c r="N25" s="47">
        <f>IF($B25="",0,IF((Override!$C$4="ON")*ISNUMBER(Override!$I$31)&gt;0,Override!$I$31,$L25))</f>
        <v/>
      </c>
      <c r="O25" s="54">
        <f>IF($B25="","",IFERROR($B25*$G25*$J25/$B$3,""))</f>
        <v/>
      </c>
      <c r="P25" s="54">
        <f>IF($B25="","",IFERROR($B25*$G25*$L25/$B$3,""))</f>
        <v/>
      </c>
      <c r="Q25" s="38">
        <f>IF($B25="","",IFERROR($O25+$P25,""))</f>
        <v/>
      </c>
      <c r="R25" s="54">
        <f>IF($B25="","",IFERROR($O25+$B25*$G25*$M25/$B$3,""))</f>
        <v/>
      </c>
      <c r="S25" s="54">
        <f>IF($B25="","",IFERROR($O25+$B25*$G25*$N25/$B$3,""))</f>
        <v/>
      </c>
      <c r="T25" s="63">
        <f>IF($B25="","",IFERROR($Q25/$Q$5,""))</f>
        <v/>
      </c>
      <c r="U25" s="2">
        <f>IF($B25="","",IF(COUNTIFS('Dvd Calendar'!$E$286:$AR$286,"&gt;0",'Dvd Calendar'!$E$287:$AR$287,"&gt;"&amp;MAX(Summary!$C$11,DATE(Summary!$C$12,1,1)-1),'Dvd Calendar'!$E$287:$AR$287,"&lt;="&amp;DATE(Summary!$C$12,12,31))-COUNTIFS('Dvd Calendar'!$E$286:$AR$286,"&gt;0",'Dvd Calendar'!$E$287:$AR$287,"&gt;"&amp;MAX(Summary!$C$11,DATE(Summary!$C$12,1,1)-1),'Dvd Calendar'!$E$287:$AR$287,"&lt;="&amp;DATE(Summary!$C$12,12,31),'Dvd Calendar'!$E$288:$AR$288,"&gt;=0")&gt;0,"TBA amount - override me",IF((Override!$C$4="ON")*ISNUMBER(Override!$G$31)&gt;0,"overridden",IF($J25+$K25=0,"no dividend in year Y",""))))</f>
        <v/>
      </c>
      <c r="V25" s="54">
        <f>IF($B25="","",IFERROR(IF(ISNUMBER($H25),$B25*$G25*$H25/$B$3,0),""))</f>
        <v/>
      </c>
      <c r="W25" s="54">
        <f>IF($B25="","",IFERROR($B25*$G25*$K25/$B$3,""))</f>
        <v/>
      </c>
    </row>
    <row r="26">
      <c r="B26" s="73" t="n"/>
      <c r="C26" s="6">
        <f>IF($A26="","",$A26&amp;" Equity")</f>
        <v/>
      </c>
      <c r="D26" s="6">
        <f>IF($C26="","",BDP($C26,"NAME"))</f>
        <v/>
      </c>
      <c r="E26" s="6">
        <f>IF($C26="","",BDP($C26,"GICS_SECTOR_NAME"))</f>
        <v/>
      </c>
      <c r="F26" s="31">
        <f>IF($C26="","",BDP($C26,'Field Check'!$C$8))</f>
        <v/>
      </c>
      <c r="G26" s="74">
        <f>IFERROR(IF(LEN($F26)&lt;&gt;3,1,IF($F26="HKD",1,BDP(IF($F26="CNY",Summary!$C$14,$F26)&amp;"HKD Curncy","PX_LAST"))),1)</f>
        <v/>
      </c>
      <c r="H26" s="54">
        <f>IF($C26="","",BDP($C26,'Field Check'!$C$9))</f>
        <v/>
      </c>
      <c r="I26" s="45">
        <f>IF($C26="","",BDP($C26,'Field Check'!$C$10))</f>
        <v/>
      </c>
      <c r="J26" s="47">
        <f>IF($B26="",0,IF(Summary!$C$13="Y",SUMIFS('Dvd Calendar'!$E$296:$AR$296,'Dvd Calendar'!$E$295:$AR$295,"&gt;="&amp;DATE(Summary!$C$12,1,1),'Dvd Calendar'!$E$295:$AR$295,"&lt;="&amp;MIN(Summary!$C$11,DATE(Summary!$C$12,12,31))),SUMIFS('Dvd Calendar'!$E$296:$AR$296,'Dvd Calendar'!$E$295:$AR$295,"&gt;="&amp;DATE(Summary!$C$12,1,1),'Dvd Calendar'!$E$295:$AR$295,"&lt;="&amp;MIN(Summary!$C$11,DATE(Summary!$C$12,12,31)),'Dvd Calendar'!$E$300:$AR$300,"&lt;&gt;"&amp;'Field Check'!$C$25)))</f>
        <v/>
      </c>
      <c r="K26" s="47">
        <f>IF($B26="",0,IF(Summary!$C$13="Y",SUMIFS('Dvd Calendar'!$E$303:$AR$303,'Dvd Calendar'!$E$302:$AR$302,"&gt;"&amp;MAX(Summary!$C$11,DATE(Summary!$C$12,1,1)-1),'Dvd Calendar'!$E$302:$AR$302,"&lt;="&amp;DATE(Summary!$C$12,12,31)),SUMIFS('Dvd Calendar'!$E$303:$AR$303,'Dvd Calendar'!$E$302:$AR$302,"&gt;"&amp;MAX(Summary!$C$11,DATE(Summary!$C$12,1,1)-1),'Dvd Calendar'!$E$302:$AR$302,"&lt;="&amp;DATE(Summary!$C$12,12,31),'Dvd Calendar'!$E$307:$AR$307,"&lt;&gt;"&amp;'Field Check'!$C$25)))</f>
        <v/>
      </c>
      <c r="L26" s="47">
        <f>IF($B26="",0,IF((Override!$C$4="ON")*ISNUMBER(Override!$G$32)&gt;0,Override!$G$32,$K26))</f>
        <v/>
      </c>
      <c r="M26" s="47">
        <f>IF($B26="",0,IF((Override!$C$4="ON")*ISNUMBER(Override!$H$32)&gt;0,Override!$H$32,$L26))</f>
        <v/>
      </c>
      <c r="N26" s="47">
        <f>IF($B26="",0,IF((Override!$C$4="ON")*ISNUMBER(Override!$I$32)&gt;0,Override!$I$32,$L26))</f>
        <v/>
      </c>
      <c r="O26" s="54">
        <f>IF($B26="","",IFERROR($B26*$G26*$J26/$B$3,""))</f>
        <v/>
      </c>
      <c r="P26" s="54">
        <f>IF($B26="","",IFERROR($B26*$G26*$L26/$B$3,""))</f>
        <v/>
      </c>
      <c r="Q26" s="38">
        <f>IF($B26="","",IFERROR($O26+$P26,""))</f>
        <v/>
      </c>
      <c r="R26" s="54">
        <f>IF($B26="","",IFERROR($O26+$B26*$G26*$M26/$B$3,""))</f>
        <v/>
      </c>
      <c r="S26" s="54">
        <f>IF($B26="","",IFERROR($O26+$B26*$G26*$N26/$B$3,""))</f>
        <v/>
      </c>
      <c r="T26" s="63">
        <f>IF($B26="","",IFERROR($Q26/$Q$5,""))</f>
        <v/>
      </c>
      <c r="U26" s="2">
        <f>IF($B26="","",IF(COUNTIFS('Dvd Calendar'!$E$301:$AR$301,"&gt;0",'Dvd Calendar'!$E$302:$AR$302,"&gt;"&amp;MAX(Summary!$C$11,DATE(Summary!$C$12,1,1)-1),'Dvd Calendar'!$E$302:$AR$302,"&lt;="&amp;DATE(Summary!$C$12,12,31))-COUNTIFS('Dvd Calendar'!$E$301:$AR$301,"&gt;0",'Dvd Calendar'!$E$302:$AR$302,"&gt;"&amp;MAX(Summary!$C$11,DATE(Summary!$C$12,1,1)-1),'Dvd Calendar'!$E$302:$AR$302,"&lt;="&amp;DATE(Summary!$C$12,12,31),'Dvd Calendar'!$E$303:$AR$303,"&gt;=0")&gt;0,"TBA amount - override me",IF((Override!$C$4="ON")*ISNUMBER(Override!$G$32)&gt;0,"overridden",IF($J26+$K26=0,"no dividend in year Y",""))))</f>
        <v/>
      </c>
      <c r="V26" s="54">
        <f>IF($B26="","",IFERROR(IF(ISNUMBER($H26),$B26*$G26*$H26/$B$3,0),""))</f>
        <v/>
      </c>
      <c r="W26" s="54">
        <f>IF($B26="","",IFERROR($B26*$G26*$K26/$B$3,""))</f>
        <v/>
      </c>
    </row>
    <row r="27">
      <c r="B27" s="73" t="n"/>
      <c r="C27" s="6">
        <f>IF($A27="","",$A27&amp;" Equity")</f>
        <v/>
      </c>
      <c r="D27" s="6">
        <f>IF($C27="","",BDP($C27,"NAME"))</f>
        <v/>
      </c>
      <c r="E27" s="6">
        <f>IF($C27="","",BDP($C27,"GICS_SECTOR_NAME"))</f>
        <v/>
      </c>
      <c r="F27" s="31">
        <f>IF($C27="","",BDP($C27,'Field Check'!$C$8))</f>
        <v/>
      </c>
      <c r="G27" s="74">
        <f>IFERROR(IF(LEN($F27)&lt;&gt;3,1,IF($F27="HKD",1,BDP(IF($F27="CNY",Summary!$C$14,$F27)&amp;"HKD Curncy","PX_LAST"))),1)</f>
        <v/>
      </c>
      <c r="H27" s="54">
        <f>IF($C27="","",BDP($C27,'Field Check'!$C$9))</f>
        <v/>
      </c>
      <c r="I27" s="45">
        <f>IF($C27="","",BDP($C27,'Field Check'!$C$10))</f>
        <v/>
      </c>
      <c r="J27" s="47">
        <f>IF($B27="",0,IF(Summary!$C$13="Y",SUMIFS('Dvd Calendar'!$E$311:$AR$311,'Dvd Calendar'!$E$310:$AR$310,"&gt;="&amp;DATE(Summary!$C$12,1,1),'Dvd Calendar'!$E$310:$AR$310,"&lt;="&amp;MIN(Summary!$C$11,DATE(Summary!$C$12,12,31))),SUMIFS('Dvd Calendar'!$E$311:$AR$311,'Dvd Calendar'!$E$310:$AR$310,"&gt;="&amp;DATE(Summary!$C$12,1,1),'Dvd Calendar'!$E$310:$AR$310,"&lt;="&amp;MIN(Summary!$C$11,DATE(Summary!$C$12,12,31)),'Dvd Calendar'!$E$315:$AR$315,"&lt;&gt;"&amp;'Field Check'!$C$25)))</f>
        <v/>
      </c>
      <c r="K27" s="47">
        <f>IF($B27="",0,IF(Summary!$C$13="Y",SUMIFS('Dvd Calendar'!$E$318:$AR$318,'Dvd Calendar'!$E$317:$AR$317,"&gt;"&amp;MAX(Summary!$C$11,DATE(Summary!$C$12,1,1)-1),'Dvd Calendar'!$E$317:$AR$317,"&lt;="&amp;DATE(Summary!$C$12,12,31)),SUMIFS('Dvd Calendar'!$E$318:$AR$318,'Dvd Calendar'!$E$317:$AR$317,"&gt;"&amp;MAX(Summary!$C$11,DATE(Summary!$C$12,1,1)-1),'Dvd Calendar'!$E$317:$AR$317,"&lt;="&amp;DATE(Summary!$C$12,12,31),'Dvd Calendar'!$E$322:$AR$322,"&lt;&gt;"&amp;'Field Check'!$C$25)))</f>
        <v/>
      </c>
      <c r="L27" s="47">
        <f>IF($B27="",0,IF((Override!$C$4="ON")*ISNUMBER(Override!$G$33)&gt;0,Override!$G$33,$K27))</f>
        <v/>
      </c>
      <c r="M27" s="47">
        <f>IF($B27="",0,IF((Override!$C$4="ON")*ISNUMBER(Override!$H$33)&gt;0,Override!$H$33,$L27))</f>
        <v/>
      </c>
      <c r="N27" s="47">
        <f>IF($B27="",0,IF((Override!$C$4="ON")*ISNUMBER(Override!$I$33)&gt;0,Override!$I$33,$L27))</f>
        <v/>
      </c>
      <c r="O27" s="54">
        <f>IF($B27="","",IFERROR($B27*$G27*$J27/$B$3,""))</f>
        <v/>
      </c>
      <c r="P27" s="54">
        <f>IF($B27="","",IFERROR($B27*$G27*$L27/$B$3,""))</f>
        <v/>
      </c>
      <c r="Q27" s="38">
        <f>IF($B27="","",IFERROR($O27+$P27,""))</f>
        <v/>
      </c>
      <c r="R27" s="54">
        <f>IF($B27="","",IFERROR($O27+$B27*$G27*$M27/$B$3,""))</f>
        <v/>
      </c>
      <c r="S27" s="54">
        <f>IF($B27="","",IFERROR($O27+$B27*$G27*$N27/$B$3,""))</f>
        <v/>
      </c>
      <c r="T27" s="63">
        <f>IF($B27="","",IFERROR($Q27/$Q$5,""))</f>
        <v/>
      </c>
      <c r="U27" s="2">
        <f>IF($B27="","",IF(COUNTIFS('Dvd Calendar'!$E$316:$AR$316,"&gt;0",'Dvd Calendar'!$E$317:$AR$317,"&gt;"&amp;MAX(Summary!$C$11,DATE(Summary!$C$12,1,1)-1),'Dvd Calendar'!$E$317:$AR$317,"&lt;="&amp;DATE(Summary!$C$12,12,31))-COUNTIFS('Dvd Calendar'!$E$316:$AR$316,"&gt;0",'Dvd Calendar'!$E$317:$AR$317,"&gt;"&amp;MAX(Summary!$C$11,DATE(Summary!$C$12,1,1)-1),'Dvd Calendar'!$E$317:$AR$317,"&lt;="&amp;DATE(Summary!$C$12,12,31),'Dvd Calendar'!$E$318:$AR$318,"&gt;=0")&gt;0,"TBA amount - override me",IF((Override!$C$4="ON")*ISNUMBER(Override!$G$33)&gt;0,"overridden",IF($J27+$K27=0,"no dividend in year Y",""))))</f>
        <v/>
      </c>
      <c r="V27" s="54">
        <f>IF($B27="","",IFERROR(IF(ISNUMBER($H27),$B27*$G27*$H27/$B$3,0),""))</f>
        <v/>
      </c>
      <c r="W27" s="54">
        <f>IF($B27="","",IFERROR($B27*$G27*$K27/$B$3,""))</f>
        <v/>
      </c>
    </row>
    <row r="28">
      <c r="B28" s="73" t="n"/>
      <c r="C28" s="6">
        <f>IF($A28="","",$A28&amp;" Equity")</f>
        <v/>
      </c>
      <c r="D28" s="6">
        <f>IF($C28="","",BDP($C28,"NAME"))</f>
        <v/>
      </c>
      <c r="E28" s="6">
        <f>IF($C28="","",BDP($C28,"GICS_SECTOR_NAME"))</f>
        <v/>
      </c>
      <c r="F28" s="31">
        <f>IF($C28="","",BDP($C28,'Field Check'!$C$8))</f>
        <v/>
      </c>
      <c r="G28" s="74">
        <f>IFERROR(IF(LEN($F28)&lt;&gt;3,1,IF($F28="HKD",1,BDP(IF($F28="CNY",Summary!$C$14,$F28)&amp;"HKD Curncy","PX_LAST"))),1)</f>
        <v/>
      </c>
      <c r="H28" s="54">
        <f>IF($C28="","",BDP($C28,'Field Check'!$C$9))</f>
        <v/>
      </c>
      <c r="I28" s="45">
        <f>IF($C28="","",BDP($C28,'Field Check'!$C$10))</f>
        <v/>
      </c>
      <c r="J28" s="47">
        <f>IF($B28="",0,IF(Summary!$C$13="Y",SUMIFS('Dvd Calendar'!$E$326:$AR$326,'Dvd Calendar'!$E$325:$AR$325,"&gt;="&amp;DATE(Summary!$C$12,1,1),'Dvd Calendar'!$E$325:$AR$325,"&lt;="&amp;MIN(Summary!$C$11,DATE(Summary!$C$12,12,31))),SUMIFS('Dvd Calendar'!$E$326:$AR$326,'Dvd Calendar'!$E$325:$AR$325,"&gt;="&amp;DATE(Summary!$C$12,1,1),'Dvd Calendar'!$E$325:$AR$325,"&lt;="&amp;MIN(Summary!$C$11,DATE(Summary!$C$12,12,31)),'Dvd Calendar'!$E$330:$AR$330,"&lt;&gt;"&amp;'Field Check'!$C$25)))</f>
        <v/>
      </c>
      <c r="K28" s="47">
        <f>IF($B28="",0,IF(Summary!$C$13="Y",SUMIFS('Dvd Calendar'!$E$333:$AR$333,'Dvd Calendar'!$E$332:$AR$332,"&gt;"&amp;MAX(Summary!$C$11,DATE(Summary!$C$12,1,1)-1),'Dvd Calendar'!$E$332:$AR$332,"&lt;="&amp;DATE(Summary!$C$12,12,31)),SUMIFS('Dvd Calendar'!$E$333:$AR$333,'Dvd Calendar'!$E$332:$AR$332,"&gt;"&amp;MAX(Summary!$C$11,DATE(Summary!$C$12,1,1)-1),'Dvd Calendar'!$E$332:$AR$332,"&lt;="&amp;DATE(Summary!$C$12,12,31),'Dvd Calendar'!$E$337:$AR$337,"&lt;&gt;"&amp;'Field Check'!$C$25)))</f>
        <v/>
      </c>
      <c r="L28" s="47">
        <f>IF($B28="",0,IF((Override!$C$4="ON")*ISNUMBER(Override!$G$34)&gt;0,Override!$G$34,$K28))</f>
        <v/>
      </c>
      <c r="M28" s="47">
        <f>IF($B28="",0,IF((Override!$C$4="ON")*ISNUMBER(Override!$H$34)&gt;0,Override!$H$34,$L28))</f>
        <v/>
      </c>
      <c r="N28" s="47">
        <f>IF($B28="",0,IF((Override!$C$4="ON")*ISNUMBER(Override!$I$34)&gt;0,Override!$I$34,$L28))</f>
        <v/>
      </c>
      <c r="O28" s="54">
        <f>IF($B28="","",IFERROR($B28*$G28*$J28/$B$3,""))</f>
        <v/>
      </c>
      <c r="P28" s="54">
        <f>IF($B28="","",IFERROR($B28*$G28*$L28/$B$3,""))</f>
        <v/>
      </c>
      <c r="Q28" s="38">
        <f>IF($B28="","",IFERROR($O28+$P28,""))</f>
        <v/>
      </c>
      <c r="R28" s="54">
        <f>IF($B28="","",IFERROR($O28+$B28*$G28*$M28/$B$3,""))</f>
        <v/>
      </c>
      <c r="S28" s="54">
        <f>IF($B28="","",IFERROR($O28+$B28*$G28*$N28/$B$3,""))</f>
        <v/>
      </c>
      <c r="T28" s="63">
        <f>IF($B28="","",IFERROR($Q28/$Q$5,""))</f>
        <v/>
      </c>
      <c r="U28" s="2">
        <f>IF($B28="","",IF(COUNTIFS('Dvd Calendar'!$E$331:$AR$331,"&gt;0",'Dvd Calendar'!$E$332:$AR$332,"&gt;"&amp;MAX(Summary!$C$11,DATE(Summary!$C$12,1,1)-1),'Dvd Calendar'!$E$332:$AR$332,"&lt;="&amp;DATE(Summary!$C$12,12,31))-COUNTIFS('Dvd Calendar'!$E$331:$AR$331,"&gt;0",'Dvd Calendar'!$E$332:$AR$332,"&gt;"&amp;MAX(Summary!$C$11,DATE(Summary!$C$12,1,1)-1),'Dvd Calendar'!$E$332:$AR$332,"&lt;="&amp;DATE(Summary!$C$12,12,31),'Dvd Calendar'!$E$333:$AR$333,"&gt;=0")&gt;0,"TBA amount - override me",IF((Override!$C$4="ON")*ISNUMBER(Override!$G$34)&gt;0,"overridden",IF($J28+$K28=0,"no dividend in year Y",""))))</f>
        <v/>
      </c>
      <c r="V28" s="54">
        <f>IF($B28="","",IFERROR(IF(ISNUMBER($H28),$B28*$G28*$H28/$B$3,0),""))</f>
        <v/>
      </c>
      <c r="W28" s="54">
        <f>IF($B28="","",IFERROR($B28*$G28*$K28/$B$3,""))</f>
        <v/>
      </c>
    </row>
    <row r="29">
      <c r="B29" s="73" t="n"/>
      <c r="C29" s="6">
        <f>IF($A29="","",$A29&amp;" Equity")</f>
        <v/>
      </c>
      <c r="D29" s="6">
        <f>IF($C29="","",BDP($C29,"NAME"))</f>
        <v/>
      </c>
      <c r="E29" s="6">
        <f>IF($C29="","",BDP($C29,"GICS_SECTOR_NAME"))</f>
        <v/>
      </c>
      <c r="F29" s="31">
        <f>IF($C29="","",BDP($C29,'Field Check'!$C$8))</f>
        <v/>
      </c>
      <c r="G29" s="74">
        <f>IFERROR(IF(LEN($F29)&lt;&gt;3,1,IF($F29="HKD",1,BDP(IF($F29="CNY",Summary!$C$14,$F29)&amp;"HKD Curncy","PX_LAST"))),1)</f>
        <v/>
      </c>
      <c r="H29" s="54">
        <f>IF($C29="","",BDP($C29,'Field Check'!$C$9))</f>
        <v/>
      </c>
      <c r="I29" s="45">
        <f>IF($C29="","",BDP($C29,'Field Check'!$C$10))</f>
        <v/>
      </c>
      <c r="J29" s="47">
        <f>IF($B29="",0,IF(Summary!$C$13="Y",SUMIFS('Dvd Calendar'!$E$341:$AR$341,'Dvd Calendar'!$E$340:$AR$340,"&gt;="&amp;DATE(Summary!$C$12,1,1),'Dvd Calendar'!$E$340:$AR$340,"&lt;="&amp;MIN(Summary!$C$11,DATE(Summary!$C$12,12,31))),SUMIFS('Dvd Calendar'!$E$341:$AR$341,'Dvd Calendar'!$E$340:$AR$340,"&gt;="&amp;DATE(Summary!$C$12,1,1),'Dvd Calendar'!$E$340:$AR$340,"&lt;="&amp;MIN(Summary!$C$11,DATE(Summary!$C$12,12,31)),'Dvd Calendar'!$E$345:$AR$345,"&lt;&gt;"&amp;'Field Check'!$C$25)))</f>
        <v/>
      </c>
      <c r="K29" s="47">
        <f>IF($B29="",0,IF(Summary!$C$13="Y",SUMIFS('Dvd Calendar'!$E$348:$AR$348,'Dvd Calendar'!$E$347:$AR$347,"&gt;"&amp;MAX(Summary!$C$11,DATE(Summary!$C$12,1,1)-1),'Dvd Calendar'!$E$347:$AR$347,"&lt;="&amp;DATE(Summary!$C$12,12,31)),SUMIFS('Dvd Calendar'!$E$348:$AR$348,'Dvd Calendar'!$E$347:$AR$347,"&gt;"&amp;MAX(Summary!$C$11,DATE(Summary!$C$12,1,1)-1),'Dvd Calendar'!$E$347:$AR$347,"&lt;="&amp;DATE(Summary!$C$12,12,31),'Dvd Calendar'!$E$352:$AR$352,"&lt;&gt;"&amp;'Field Check'!$C$25)))</f>
        <v/>
      </c>
      <c r="L29" s="47">
        <f>IF($B29="",0,IF((Override!$C$4="ON")*ISNUMBER(Override!$G$35)&gt;0,Override!$G$35,$K29))</f>
        <v/>
      </c>
      <c r="M29" s="47">
        <f>IF($B29="",0,IF((Override!$C$4="ON")*ISNUMBER(Override!$H$35)&gt;0,Override!$H$35,$L29))</f>
        <v/>
      </c>
      <c r="N29" s="47">
        <f>IF($B29="",0,IF((Override!$C$4="ON")*ISNUMBER(Override!$I$35)&gt;0,Override!$I$35,$L29))</f>
        <v/>
      </c>
      <c r="O29" s="54">
        <f>IF($B29="","",IFERROR($B29*$G29*$J29/$B$3,""))</f>
        <v/>
      </c>
      <c r="P29" s="54">
        <f>IF($B29="","",IFERROR($B29*$G29*$L29/$B$3,""))</f>
        <v/>
      </c>
      <c r="Q29" s="38">
        <f>IF($B29="","",IFERROR($O29+$P29,""))</f>
        <v/>
      </c>
      <c r="R29" s="54">
        <f>IF($B29="","",IFERROR($O29+$B29*$G29*$M29/$B$3,""))</f>
        <v/>
      </c>
      <c r="S29" s="54">
        <f>IF($B29="","",IFERROR($O29+$B29*$G29*$N29/$B$3,""))</f>
        <v/>
      </c>
      <c r="T29" s="63">
        <f>IF($B29="","",IFERROR($Q29/$Q$5,""))</f>
        <v/>
      </c>
      <c r="U29" s="2">
        <f>IF($B29="","",IF(COUNTIFS('Dvd Calendar'!$E$346:$AR$346,"&gt;0",'Dvd Calendar'!$E$347:$AR$347,"&gt;"&amp;MAX(Summary!$C$11,DATE(Summary!$C$12,1,1)-1),'Dvd Calendar'!$E$347:$AR$347,"&lt;="&amp;DATE(Summary!$C$12,12,31))-COUNTIFS('Dvd Calendar'!$E$346:$AR$346,"&gt;0",'Dvd Calendar'!$E$347:$AR$347,"&gt;"&amp;MAX(Summary!$C$11,DATE(Summary!$C$12,1,1)-1),'Dvd Calendar'!$E$347:$AR$347,"&lt;="&amp;DATE(Summary!$C$12,12,31),'Dvd Calendar'!$E$348:$AR$348,"&gt;=0")&gt;0,"TBA amount - override me",IF((Override!$C$4="ON")*ISNUMBER(Override!$G$35)&gt;0,"overridden",IF($J29+$K29=0,"no dividend in year Y",""))))</f>
        <v/>
      </c>
      <c r="V29" s="54">
        <f>IF($B29="","",IFERROR(IF(ISNUMBER($H29),$B29*$G29*$H29/$B$3,0),""))</f>
        <v/>
      </c>
      <c r="W29" s="54">
        <f>IF($B29="","",IFERROR($B29*$G29*$K29/$B$3,""))</f>
        <v/>
      </c>
    </row>
    <row r="30">
      <c r="B30" s="73" t="n"/>
      <c r="C30" s="6">
        <f>IF($A30="","",$A30&amp;" Equity")</f>
        <v/>
      </c>
      <c r="D30" s="6">
        <f>IF($C30="","",BDP($C30,"NAME"))</f>
        <v/>
      </c>
      <c r="E30" s="6">
        <f>IF($C30="","",BDP($C30,"GICS_SECTOR_NAME"))</f>
        <v/>
      </c>
      <c r="F30" s="31">
        <f>IF($C30="","",BDP($C30,'Field Check'!$C$8))</f>
        <v/>
      </c>
      <c r="G30" s="74">
        <f>IFERROR(IF(LEN($F30)&lt;&gt;3,1,IF($F30="HKD",1,BDP(IF($F30="CNY",Summary!$C$14,$F30)&amp;"HKD Curncy","PX_LAST"))),1)</f>
        <v/>
      </c>
      <c r="H30" s="54">
        <f>IF($C30="","",BDP($C30,'Field Check'!$C$9))</f>
        <v/>
      </c>
      <c r="I30" s="45">
        <f>IF($C30="","",BDP($C30,'Field Check'!$C$10))</f>
        <v/>
      </c>
      <c r="J30" s="47">
        <f>IF($B30="",0,IF(Summary!$C$13="Y",SUMIFS('Dvd Calendar'!$E$356:$AR$356,'Dvd Calendar'!$E$355:$AR$355,"&gt;="&amp;DATE(Summary!$C$12,1,1),'Dvd Calendar'!$E$355:$AR$355,"&lt;="&amp;MIN(Summary!$C$11,DATE(Summary!$C$12,12,31))),SUMIFS('Dvd Calendar'!$E$356:$AR$356,'Dvd Calendar'!$E$355:$AR$355,"&gt;="&amp;DATE(Summary!$C$12,1,1),'Dvd Calendar'!$E$355:$AR$355,"&lt;="&amp;MIN(Summary!$C$11,DATE(Summary!$C$12,12,31)),'Dvd Calendar'!$E$360:$AR$360,"&lt;&gt;"&amp;'Field Check'!$C$25)))</f>
        <v/>
      </c>
      <c r="K30" s="47">
        <f>IF($B30="",0,IF(Summary!$C$13="Y",SUMIFS('Dvd Calendar'!$E$363:$AR$363,'Dvd Calendar'!$E$362:$AR$362,"&gt;"&amp;MAX(Summary!$C$11,DATE(Summary!$C$12,1,1)-1),'Dvd Calendar'!$E$362:$AR$362,"&lt;="&amp;DATE(Summary!$C$12,12,31)),SUMIFS('Dvd Calendar'!$E$363:$AR$363,'Dvd Calendar'!$E$362:$AR$362,"&gt;"&amp;MAX(Summary!$C$11,DATE(Summary!$C$12,1,1)-1),'Dvd Calendar'!$E$362:$AR$362,"&lt;="&amp;DATE(Summary!$C$12,12,31),'Dvd Calendar'!$E$367:$AR$367,"&lt;&gt;"&amp;'Field Check'!$C$25)))</f>
        <v/>
      </c>
      <c r="L30" s="47">
        <f>IF($B30="",0,IF((Override!$C$4="ON")*ISNUMBER(Override!$G$36)&gt;0,Override!$G$36,$K30))</f>
        <v/>
      </c>
      <c r="M30" s="47">
        <f>IF($B30="",0,IF((Override!$C$4="ON")*ISNUMBER(Override!$H$36)&gt;0,Override!$H$36,$L30))</f>
        <v/>
      </c>
      <c r="N30" s="47">
        <f>IF($B30="",0,IF((Override!$C$4="ON")*ISNUMBER(Override!$I$36)&gt;0,Override!$I$36,$L30))</f>
        <v/>
      </c>
      <c r="O30" s="54">
        <f>IF($B30="","",IFERROR($B30*$G30*$J30/$B$3,""))</f>
        <v/>
      </c>
      <c r="P30" s="54">
        <f>IF($B30="","",IFERROR($B30*$G30*$L30/$B$3,""))</f>
        <v/>
      </c>
      <c r="Q30" s="38">
        <f>IF($B30="","",IFERROR($O30+$P30,""))</f>
        <v/>
      </c>
      <c r="R30" s="54">
        <f>IF($B30="","",IFERROR($O30+$B30*$G30*$M30/$B$3,""))</f>
        <v/>
      </c>
      <c r="S30" s="54">
        <f>IF($B30="","",IFERROR($O30+$B30*$G30*$N30/$B$3,""))</f>
        <v/>
      </c>
      <c r="T30" s="63">
        <f>IF($B30="","",IFERROR($Q30/$Q$5,""))</f>
        <v/>
      </c>
      <c r="U30" s="2">
        <f>IF($B30="","",IF(COUNTIFS('Dvd Calendar'!$E$361:$AR$361,"&gt;0",'Dvd Calendar'!$E$362:$AR$362,"&gt;"&amp;MAX(Summary!$C$11,DATE(Summary!$C$12,1,1)-1),'Dvd Calendar'!$E$362:$AR$362,"&lt;="&amp;DATE(Summary!$C$12,12,31))-COUNTIFS('Dvd Calendar'!$E$361:$AR$361,"&gt;0",'Dvd Calendar'!$E$362:$AR$362,"&gt;"&amp;MAX(Summary!$C$11,DATE(Summary!$C$12,1,1)-1),'Dvd Calendar'!$E$362:$AR$362,"&lt;="&amp;DATE(Summary!$C$12,12,31),'Dvd Calendar'!$E$363:$AR$363,"&gt;=0")&gt;0,"TBA amount - override me",IF((Override!$C$4="ON")*ISNUMBER(Override!$G$36)&gt;0,"overridden",IF($J30+$K30=0,"no dividend in year Y",""))))</f>
        <v/>
      </c>
      <c r="V30" s="54">
        <f>IF($B30="","",IFERROR(IF(ISNUMBER($H30),$B30*$G30*$H30/$B$3,0),""))</f>
        <v/>
      </c>
      <c r="W30" s="54">
        <f>IF($B30="","",IFERROR($B30*$G30*$K30/$B$3,""))</f>
        <v/>
      </c>
    </row>
    <row r="31">
      <c r="B31" s="73" t="n"/>
      <c r="C31" s="6">
        <f>IF($A31="","",$A31&amp;" Equity")</f>
        <v/>
      </c>
      <c r="D31" s="6">
        <f>IF($C31="","",BDP($C31,"NAME"))</f>
        <v/>
      </c>
      <c r="E31" s="6">
        <f>IF($C31="","",BDP($C31,"GICS_SECTOR_NAME"))</f>
        <v/>
      </c>
      <c r="F31" s="31">
        <f>IF($C31="","",BDP($C31,'Field Check'!$C$8))</f>
        <v/>
      </c>
      <c r="G31" s="74">
        <f>IFERROR(IF(LEN($F31)&lt;&gt;3,1,IF($F31="HKD",1,BDP(IF($F31="CNY",Summary!$C$14,$F31)&amp;"HKD Curncy","PX_LAST"))),1)</f>
        <v/>
      </c>
      <c r="H31" s="54">
        <f>IF($C31="","",BDP($C31,'Field Check'!$C$9))</f>
        <v/>
      </c>
      <c r="I31" s="45">
        <f>IF($C31="","",BDP($C31,'Field Check'!$C$10))</f>
        <v/>
      </c>
      <c r="J31" s="47">
        <f>IF($B31="",0,IF(Summary!$C$13="Y",SUMIFS('Dvd Calendar'!$E$371:$AR$371,'Dvd Calendar'!$E$370:$AR$370,"&gt;="&amp;DATE(Summary!$C$12,1,1),'Dvd Calendar'!$E$370:$AR$370,"&lt;="&amp;MIN(Summary!$C$11,DATE(Summary!$C$12,12,31))),SUMIFS('Dvd Calendar'!$E$371:$AR$371,'Dvd Calendar'!$E$370:$AR$370,"&gt;="&amp;DATE(Summary!$C$12,1,1),'Dvd Calendar'!$E$370:$AR$370,"&lt;="&amp;MIN(Summary!$C$11,DATE(Summary!$C$12,12,31)),'Dvd Calendar'!$E$375:$AR$375,"&lt;&gt;"&amp;'Field Check'!$C$25)))</f>
        <v/>
      </c>
      <c r="K31" s="47">
        <f>IF($B31="",0,IF(Summary!$C$13="Y",SUMIFS('Dvd Calendar'!$E$378:$AR$378,'Dvd Calendar'!$E$377:$AR$377,"&gt;"&amp;MAX(Summary!$C$11,DATE(Summary!$C$12,1,1)-1),'Dvd Calendar'!$E$377:$AR$377,"&lt;="&amp;DATE(Summary!$C$12,12,31)),SUMIFS('Dvd Calendar'!$E$378:$AR$378,'Dvd Calendar'!$E$377:$AR$377,"&gt;"&amp;MAX(Summary!$C$11,DATE(Summary!$C$12,1,1)-1),'Dvd Calendar'!$E$377:$AR$377,"&lt;="&amp;DATE(Summary!$C$12,12,31),'Dvd Calendar'!$E$382:$AR$382,"&lt;&gt;"&amp;'Field Check'!$C$25)))</f>
        <v/>
      </c>
      <c r="L31" s="47">
        <f>IF($B31="",0,IF((Override!$C$4="ON")*ISNUMBER(Override!$G$37)&gt;0,Override!$G$37,$K31))</f>
        <v/>
      </c>
      <c r="M31" s="47">
        <f>IF($B31="",0,IF((Override!$C$4="ON")*ISNUMBER(Override!$H$37)&gt;0,Override!$H$37,$L31))</f>
        <v/>
      </c>
      <c r="N31" s="47">
        <f>IF($B31="",0,IF((Override!$C$4="ON")*ISNUMBER(Override!$I$37)&gt;0,Override!$I$37,$L31))</f>
        <v/>
      </c>
      <c r="O31" s="54">
        <f>IF($B31="","",IFERROR($B31*$G31*$J31/$B$3,""))</f>
        <v/>
      </c>
      <c r="P31" s="54">
        <f>IF($B31="","",IFERROR($B31*$G31*$L31/$B$3,""))</f>
        <v/>
      </c>
      <c r="Q31" s="38">
        <f>IF($B31="","",IFERROR($O31+$P31,""))</f>
        <v/>
      </c>
      <c r="R31" s="54">
        <f>IF($B31="","",IFERROR($O31+$B31*$G31*$M31/$B$3,""))</f>
        <v/>
      </c>
      <c r="S31" s="54">
        <f>IF($B31="","",IFERROR($O31+$B31*$G31*$N31/$B$3,""))</f>
        <v/>
      </c>
      <c r="T31" s="63">
        <f>IF($B31="","",IFERROR($Q31/$Q$5,""))</f>
        <v/>
      </c>
      <c r="U31" s="2">
        <f>IF($B31="","",IF(COUNTIFS('Dvd Calendar'!$E$376:$AR$376,"&gt;0",'Dvd Calendar'!$E$377:$AR$377,"&gt;"&amp;MAX(Summary!$C$11,DATE(Summary!$C$12,1,1)-1),'Dvd Calendar'!$E$377:$AR$377,"&lt;="&amp;DATE(Summary!$C$12,12,31))-COUNTIFS('Dvd Calendar'!$E$376:$AR$376,"&gt;0",'Dvd Calendar'!$E$377:$AR$377,"&gt;"&amp;MAX(Summary!$C$11,DATE(Summary!$C$12,1,1)-1),'Dvd Calendar'!$E$377:$AR$377,"&lt;="&amp;DATE(Summary!$C$12,12,31),'Dvd Calendar'!$E$378:$AR$378,"&gt;=0")&gt;0,"TBA amount - override me",IF((Override!$C$4="ON")*ISNUMBER(Override!$G$37)&gt;0,"overridden",IF($J31+$K31=0,"no dividend in year Y",""))))</f>
        <v/>
      </c>
      <c r="V31" s="54">
        <f>IF($B31="","",IFERROR(IF(ISNUMBER($H31),$B31*$G31*$H31/$B$3,0),""))</f>
        <v/>
      </c>
      <c r="W31" s="54">
        <f>IF($B31="","",IFERROR($B31*$G31*$K31/$B$3,""))</f>
        <v/>
      </c>
    </row>
    <row r="32">
      <c r="B32" s="73" t="n"/>
      <c r="C32" s="6">
        <f>IF($A32="","",$A32&amp;" Equity")</f>
        <v/>
      </c>
      <c r="D32" s="6">
        <f>IF($C32="","",BDP($C32,"NAME"))</f>
        <v/>
      </c>
      <c r="E32" s="6">
        <f>IF($C32="","",BDP($C32,"GICS_SECTOR_NAME"))</f>
        <v/>
      </c>
      <c r="F32" s="31">
        <f>IF($C32="","",BDP($C32,'Field Check'!$C$8))</f>
        <v/>
      </c>
      <c r="G32" s="74">
        <f>IFERROR(IF(LEN($F32)&lt;&gt;3,1,IF($F32="HKD",1,BDP(IF($F32="CNY",Summary!$C$14,$F32)&amp;"HKD Curncy","PX_LAST"))),1)</f>
        <v/>
      </c>
      <c r="H32" s="54">
        <f>IF($C32="","",BDP($C32,'Field Check'!$C$9))</f>
        <v/>
      </c>
      <c r="I32" s="45">
        <f>IF($C32="","",BDP($C32,'Field Check'!$C$10))</f>
        <v/>
      </c>
      <c r="J32" s="47">
        <f>IF($B32="",0,IF(Summary!$C$13="Y",SUMIFS('Dvd Calendar'!$E$386:$AR$386,'Dvd Calendar'!$E$385:$AR$385,"&gt;="&amp;DATE(Summary!$C$12,1,1),'Dvd Calendar'!$E$385:$AR$385,"&lt;="&amp;MIN(Summary!$C$11,DATE(Summary!$C$12,12,31))),SUMIFS('Dvd Calendar'!$E$386:$AR$386,'Dvd Calendar'!$E$385:$AR$385,"&gt;="&amp;DATE(Summary!$C$12,1,1),'Dvd Calendar'!$E$385:$AR$385,"&lt;="&amp;MIN(Summary!$C$11,DATE(Summary!$C$12,12,31)),'Dvd Calendar'!$E$390:$AR$390,"&lt;&gt;"&amp;'Field Check'!$C$25)))</f>
        <v/>
      </c>
      <c r="K32" s="47">
        <f>IF($B32="",0,IF(Summary!$C$13="Y",SUMIFS('Dvd Calendar'!$E$393:$AR$393,'Dvd Calendar'!$E$392:$AR$392,"&gt;"&amp;MAX(Summary!$C$11,DATE(Summary!$C$12,1,1)-1),'Dvd Calendar'!$E$392:$AR$392,"&lt;="&amp;DATE(Summary!$C$12,12,31)),SUMIFS('Dvd Calendar'!$E$393:$AR$393,'Dvd Calendar'!$E$392:$AR$392,"&gt;"&amp;MAX(Summary!$C$11,DATE(Summary!$C$12,1,1)-1),'Dvd Calendar'!$E$392:$AR$392,"&lt;="&amp;DATE(Summary!$C$12,12,31),'Dvd Calendar'!$E$397:$AR$397,"&lt;&gt;"&amp;'Field Check'!$C$25)))</f>
        <v/>
      </c>
      <c r="L32" s="47">
        <f>IF($B32="",0,IF((Override!$C$4="ON")*ISNUMBER(Override!$G$38)&gt;0,Override!$G$38,$K32))</f>
        <v/>
      </c>
      <c r="M32" s="47">
        <f>IF($B32="",0,IF((Override!$C$4="ON")*ISNUMBER(Override!$H$38)&gt;0,Override!$H$38,$L32))</f>
        <v/>
      </c>
      <c r="N32" s="47">
        <f>IF($B32="",0,IF((Override!$C$4="ON")*ISNUMBER(Override!$I$38)&gt;0,Override!$I$38,$L32))</f>
        <v/>
      </c>
      <c r="O32" s="54">
        <f>IF($B32="","",IFERROR($B32*$G32*$J32/$B$3,""))</f>
        <v/>
      </c>
      <c r="P32" s="54">
        <f>IF($B32="","",IFERROR($B32*$G32*$L32/$B$3,""))</f>
        <v/>
      </c>
      <c r="Q32" s="38">
        <f>IF($B32="","",IFERROR($O32+$P32,""))</f>
        <v/>
      </c>
      <c r="R32" s="54">
        <f>IF($B32="","",IFERROR($O32+$B32*$G32*$M32/$B$3,""))</f>
        <v/>
      </c>
      <c r="S32" s="54">
        <f>IF($B32="","",IFERROR($O32+$B32*$G32*$N32/$B$3,""))</f>
        <v/>
      </c>
      <c r="T32" s="63">
        <f>IF($B32="","",IFERROR($Q32/$Q$5,""))</f>
        <v/>
      </c>
      <c r="U32" s="2">
        <f>IF($B32="","",IF(COUNTIFS('Dvd Calendar'!$E$391:$AR$391,"&gt;0",'Dvd Calendar'!$E$392:$AR$392,"&gt;"&amp;MAX(Summary!$C$11,DATE(Summary!$C$12,1,1)-1),'Dvd Calendar'!$E$392:$AR$392,"&lt;="&amp;DATE(Summary!$C$12,12,31))-COUNTIFS('Dvd Calendar'!$E$391:$AR$391,"&gt;0",'Dvd Calendar'!$E$392:$AR$392,"&gt;"&amp;MAX(Summary!$C$11,DATE(Summary!$C$12,1,1)-1),'Dvd Calendar'!$E$392:$AR$392,"&lt;="&amp;DATE(Summary!$C$12,12,31),'Dvd Calendar'!$E$393:$AR$393,"&gt;=0")&gt;0,"TBA amount - override me",IF((Override!$C$4="ON")*ISNUMBER(Override!$G$38)&gt;0,"overridden",IF($J32+$K32=0,"no dividend in year Y",""))))</f>
        <v/>
      </c>
      <c r="V32" s="54">
        <f>IF($B32="","",IFERROR(IF(ISNUMBER($H32),$B32*$G32*$H32/$B$3,0),""))</f>
        <v/>
      </c>
      <c r="W32" s="54">
        <f>IF($B32="","",IFERROR($B32*$G32*$K32/$B$3,""))</f>
        <v/>
      </c>
    </row>
    <row r="33">
      <c r="B33" s="73" t="n"/>
      <c r="C33" s="6">
        <f>IF($A33="","",$A33&amp;" Equity")</f>
        <v/>
      </c>
      <c r="D33" s="6">
        <f>IF($C33="","",BDP($C33,"NAME"))</f>
        <v/>
      </c>
      <c r="E33" s="6">
        <f>IF($C33="","",BDP($C33,"GICS_SECTOR_NAME"))</f>
        <v/>
      </c>
      <c r="F33" s="31">
        <f>IF($C33="","",BDP($C33,'Field Check'!$C$8))</f>
        <v/>
      </c>
      <c r="G33" s="74">
        <f>IFERROR(IF(LEN($F33)&lt;&gt;3,1,IF($F33="HKD",1,BDP(IF($F33="CNY",Summary!$C$14,$F33)&amp;"HKD Curncy","PX_LAST"))),1)</f>
        <v/>
      </c>
      <c r="H33" s="54">
        <f>IF($C33="","",BDP($C33,'Field Check'!$C$9))</f>
        <v/>
      </c>
      <c r="I33" s="45">
        <f>IF($C33="","",BDP($C33,'Field Check'!$C$10))</f>
        <v/>
      </c>
      <c r="J33" s="47">
        <f>IF($B33="",0,IF(Summary!$C$13="Y",SUMIFS('Dvd Calendar'!$E$401:$AR$401,'Dvd Calendar'!$E$400:$AR$400,"&gt;="&amp;DATE(Summary!$C$12,1,1),'Dvd Calendar'!$E$400:$AR$400,"&lt;="&amp;MIN(Summary!$C$11,DATE(Summary!$C$12,12,31))),SUMIFS('Dvd Calendar'!$E$401:$AR$401,'Dvd Calendar'!$E$400:$AR$400,"&gt;="&amp;DATE(Summary!$C$12,1,1),'Dvd Calendar'!$E$400:$AR$400,"&lt;="&amp;MIN(Summary!$C$11,DATE(Summary!$C$12,12,31)),'Dvd Calendar'!$E$405:$AR$405,"&lt;&gt;"&amp;'Field Check'!$C$25)))</f>
        <v/>
      </c>
      <c r="K33" s="47">
        <f>IF($B33="",0,IF(Summary!$C$13="Y",SUMIFS('Dvd Calendar'!$E$408:$AR$408,'Dvd Calendar'!$E$407:$AR$407,"&gt;"&amp;MAX(Summary!$C$11,DATE(Summary!$C$12,1,1)-1),'Dvd Calendar'!$E$407:$AR$407,"&lt;="&amp;DATE(Summary!$C$12,12,31)),SUMIFS('Dvd Calendar'!$E$408:$AR$408,'Dvd Calendar'!$E$407:$AR$407,"&gt;"&amp;MAX(Summary!$C$11,DATE(Summary!$C$12,1,1)-1),'Dvd Calendar'!$E$407:$AR$407,"&lt;="&amp;DATE(Summary!$C$12,12,31),'Dvd Calendar'!$E$412:$AR$412,"&lt;&gt;"&amp;'Field Check'!$C$25)))</f>
        <v/>
      </c>
      <c r="L33" s="47">
        <f>IF($B33="",0,IF((Override!$C$4="ON")*ISNUMBER(Override!$G$39)&gt;0,Override!$G$39,$K33))</f>
        <v/>
      </c>
      <c r="M33" s="47">
        <f>IF($B33="",0,IF((Override!$C$4="ON")*ISNUMBER(Override!$H$39)&gt;0,Override!$H$39,$L33))</f>
        <v/>
      </c>
      <c r="N33" s="47">
        <f>IF($B33="",0,IF((Override!$C$4="ON")*ISNUMBER(Override!$I$39)&gt;0,Override!$I$39,$L33))</f>
        <v/>
      </c>
      <c r="O33" s="54">
        <f>IF($B33="","",IFERROR($B33*$G33*$J33/$B$3,""))</f>
        <v/>
      </c>
      <c r="P33" s="54">
        <f>IF($B33="","",IFERROR($B33*$G33*$L33/$B$3,""))</f>
        <v/>
      </c>
      <c r="Q33" s="38">
        <f>IF($B33="","",IFERROR($O33+$P33,""))</f>
        <v/>
      </c>
      <c r="R33" s="54">
        <f>IF($B33="","",IFERROR($O33+$B33*$G33*$M33/$B$3,""))</f>
        <v/>
      </c>
      <c r="S33" s="54">
        <f>IF($B33="","",IFERROR($O33+$B33*$G33*$N33/$B$3,""))</f>
        <v/>
      </c>
      <c r="T33" s="63">
        <f>IF($B33="","",IFERROR($Q33/$Q$5,""))</f>
        <v/>
      </c>
      <c r="U33" s="2">
        <f>IF($B33="","",IF(COUNTIFS('Dvd Calendar'!$E$406:$AR$406,"&gt;0",'Dvd Calendar'!$E$407:$AR$407,"&gt;"&amp;MAX(Summary!$C$11,DATE(Summary!$C$12,1,1)-1),'Dvd Calendar'!$E$407:$AR$407,"&lt;="&amp;DATE(Summary!$C$12,12,31))-COUNTIFS('Dvd Calendar'!$E$406:$AR$406,"&gt;0",'Dvd Calendar'!$E$407:$AR$407,"&gt;"&amp;MAX(Summary!$C$11,DATE(Summary!$C$12,1,1)-1),'Dvd Calendar'!$E$407:$AR$407,"&lt;="&amp;DATE(Summary!$C$12,12,31),'Dvd Calendar'!$E$408:$AR$408,"&gt;=0")&gt;0,"TBA amount - override me",IF((Override!$C$4="ON")*ISNUMBER(Override!$G$39)&gt;0,"overridden",IF($J33+$K33=0,"no dividend in year Y",""))))</f>
        <v/>
      </c>
      <c r="V33" s="54">
        <f>IF($B33="","",IFERROR(IF(ISNUMBER($H33),$B33*$G33*$H33/$B$3,0),""))</f>
        <v/>
      </c>
      <c r="W33" s="54">
        <f>IF($B33="","",IFERROR($B33*$G33*$K33/$B$3,""))</f>
        <v/>
      </c>
    </row>
    <row r="34">
      <c r="B34" s="73" t="n"/>
      <c r="C34" s="6">
        <f>IF($A34="","",$A34&amp;" Equity")</f>
        <v/>
      </c>
      <c r="D34" s="6">
        <f>IF($C34="","",BDP($C34,"NAME"))</f>
        <v/>
      </c>
      <c r="E34" s="6">
        <f>IF($C34="","",BDP($C34,"GICS_SECTOR_NAME"))</f>
        <v/>
      </c>
      <c r="F34" s="31">
        <f>IF($C34="","",BDP($C34,'Field Check'!$C$8))</f>
        <v/>
      </c>
      <c r="G34" s="74">
        <f>IFERROR(IF(LEN($F34)&lt;&gt;3,1,IF($F34="HKD",1,BDP(IF($F34="CNY",Summary!$C$14,$F34)&amp;"HKD Curncy","PX_LAST"))),1)</f>
        <v/>
      </c>
      <c r="H34" s="54">
        <f>IF($C34="","",BDP($C34,'Field Check'!$C$9))</f>
        <v/>
      </c>
      <c r="I34" s="45">
        <f>IF($C34="","",BDP($C34,'Field Check'!$C$10))</f>
        <v/>
      </c>
      <c r="J34" s="47">
        <f>IF($B34="",0,IF(Summary!$C$13="Y",SUMIFS('Dvd Calendar'!$E$416:$AR$416,'Dvd Calendar'!$E$415:$AR$415,"&gt;="&amp;DATE(Summary!$C$12,1,1),'Dvd Calendar'!$E$415:$AR$415,"&lt;="&amp;MIN(Summary!$C$11,DATE(Summary!$C$12,12,31))),SUMIFS('Dvd Calendar'!$E$416:$AR$416,'Dvd Calendar'!$E$415:$AR$415,"&gt;="&amp;DATE(Summary!$C$12,1,1),'Dvd Calendar'!$E$415:$AR$415,"&lt;="&amp;MIN(Summary!$C$11,DATE(Summary!$C$12,12,31)),'Dvd Calendar'!$E$420:$AR$420,"&lt;&gt;"&amp;'Field Check'!$C$25)))</f>
        <v/>
      </c>
      <c r="K34" s="47">
        <f>IF($B34="",0,IF(Summary!$C$13="Y",SUMIFS('Dvd Calendar'!$E$423:$AR$423,'Dvd Calendar'!$E$422:$AR$422,"&gt;"&amp;MAX(Summary!$C$11,DATE(Summary!$C$12,1,1)-1),'Dvd Calendar'!$E$422:$AR$422,"&lt;="&amp;DATE(Summary!$C$12,12,31)),SUMIFS('Dvd Calendar'!$E$423:$AR$423,'Dvd Calendar'!$E$422:$AR$422,"&gt;"&amp;MAX(Summary!$C$11,DATE(Summary!$C$12,1,1)-1),'Dvd Calendar'!$E$422:$AR$422,"&lt;="&amp;DATE(Summary!$C$12,12,31),'Dvd Calendar'!$E$427:$AR$427,"&lt;&gt;"&amp;'Field Check'!$C$25)))</f>
        <v/>
      </c>
      <c r="L34" s="47">
        <f>IF($B34="",0,IF((Override!$C$4="ON")*ISNUMBER(Override!$G$40)&gt;0,Override!$G$40,$K34))</f>
        <v/>
      </c>
      <c r="M34" s="47">
        <f>IF($B34="",0,IF((Override!$C$4="ON")*ISNUMBER(Override!$H$40)&gt;0,Override!$H$40,$L34))</f>
        <v/>
      </c>
      <c r="N34" s="47">
        <f>IF($B34="",0,IF((Override!$C$4="ON")*ISNUMBER(Override!$I$40)&gt;0,Override!$I$40,$L34))</f>
        <v/>
      </c>
      <c r="O34" s="54">
        <f>IF($B34="","",IFERROR($B34*$G34*$J34/$B$3,""))</f>
        <v/>
      </c>
      <c r="P34" s="54">
        <f>IF($B34="","",IFERROR($B34*$G34*$L34/$B$3,""))</f>
        <v/>
      </c>
      <c r="Q34" s="38">
        <f>IF($B34="","",IFERROR($O34+$P34,""))</f>
        <v/>
      </c>
      <c r="R34" s="54">
        <f>IF($B34="","",IFERROR($O34+$B34*$G34*$M34/$B$3,""))</f>
        <v/>
      </c>
      <c r="S34" s="54">
        <f>IF($B34="","",IFERROR($O34+$B34*$G34*$N34/$B$3,""))</f>
        <v/>
      </c>
      <c r="T34" s="63">
        <f>IF($B34="","",IFERROR($Q34/$Q$5,""))</f>
        <v/>
      </c>
      <c r="U34" s="2">
        <f>IF($B34="","",IF(COUNTIFS('Dvd Calendar'!$E$421:$AR$421,"&gt;0",'Dvd Calendar'!$E$422:$AR$422,"&gt;"&amp;MAX(Summary!$C$11,DATE(Summary!$C$12,1,1)-1),'Dvd Calendar'!$E$422:$AR$422,"&lt;="&amp;DATE(Summary!$C$12,12,31))-COUNTIFS('Dvd Calendar'!$E$421:$AR$421,"&gt;0",'Dvd Calendar'!$E$422:$AR$422,"&gt;"&amp;MAX(Summary!$C$11,DATE(Summary!$C$12,1,1)-1),'Dvd Calendar'!$E$422:$AR$422,"&lt;="&amp;DATE(Summary!$C$12,12,31),'Dvd Calendar'!$E$423:$AR$423,"&gt;=0")&gt;0,"TBA amount - override me",IF((Override!$C$4="ON")*ISNUMBER(Override!$G$40)&gt;0,"overridden",IF($J34+$K34=0,"no dividend in year Y",""))))</f>
        <v/>
      </c>
      <c r="V34" s="54">
        <f>IF($B34="","",IFERROR(IF(ISNUMBER($H34),$B34*$G34*$H34/$B$3,0),""))</f>
        <v/>
      </c>
      <c r="W34" s="54">
        <f>IF($B34="","",IFERROR($B34*$G34*$K34/$B$3,""))</f>
        <v/>
      </c>
    </row>
    <row r="35">
      <c r="B35" s="73" t="n"/>
      <c r="C35" s="6">
        <f>IF($A35="","",$A35&amp;" Equity")</f>
        <v/>
      </c>
      <c r="D35" s="6">
        <f>IF($C35="","",BDP($C35,"NAME"))</f>
        <v/>
      </c>
      <c r="E35" s="6">
        <f>IF($C35="","",BDP($C35,"GICS_SECTOR_NAME"))</f>
        <v/>
      </c>
      <c r="F35" s="31">
        <f>IF($C35="","",BDP($C35,'Field Check'!$C$8))</f>
        <v/>
      </c>
      <c r="G35" s="74">
        <f>IFERROR(IF(LEN($F35)&lt;&gt;3,1,IF($F35="HKD",1,BDP(IF($F35="CNY",Summary!$C$14,$F35)&amp;"HKD Curncy","PX_LAST"))),1)</f>
        <v/>
      </c>
      <c r="H35" s="54">
        <f>IF($C35="","",BDP($C35,'Field Check'!$C$9))</f>
        <v/>
      </c>
      <c r="I35" s="45">
        <f>IF($C35="","",BDP($C35,'Field Check'!$C$10))</f>
        <v/>
      </c>
      <c r="J35" s="47">
        <f>IF($B35="",0,IF(Summary!$C$13="Y",SUMIFS('Dvd Calendar'!$E$431:$AR$431,'Dvd Calendar'!$E$430:$AR$430,"&gt;="&amp;DATE(Summary!$C$12,1,1),'Dvd Calendar'!$E$430:$AR$430,"&lt;="&amp;MIN(Summary!$C$11,DATE(Summary!$C$12,12,31))),SUMIFS('Dvd Calendar'!$E$431:$AR$431,'Dvd Calendar'!$E$430:$AR$430,"&gt;="&amp;DATE(Summary!$C$12,1,1),'Dvd Calendar'!$E$430:$AR$430,"&lt;="&amp;MIN(Summary!$C$11,DATE(Summary!$C$12,12,31)),'Dvd Calendar'!$E$435:$AR$435,"&lt;&gt;"&amp;'Field Check'!$C$25)))</f>
        <v/>
      </c>
      <c r="K35" s="47">
        <f>IF($B35="",0,IF(Summary!$C$13="Y",SUMIFS('Dvd Calendar'!$E$438:$AR$438,'Dvd Calendar'!$E$437:$AR$437,"&gt;"&amp;MAX(Summary!$C$11,DATE(Summary!$C$12,1,1)-1),'Dvd Calendar'!$E$437:$AR$437,"&lt;="&amp;DATE(Summary!$C$12,12,31)),SUMIFS('Dvd Calendar'!$E$438:$AR$438,'Dvd Calendar'!$E$437:$AR$437,"&gt;"&amp;MAX(Summary!$C$11,DATE(Summary!$C$12,1,1)-1),'Dvd Calendar'!$E$437:$AR$437,"&lt;="&amp;DATE(Summary!$C$12,12,31),'Dvd Calendar'!$E$442:$AR$442,"&lt;&gt;"&amp;'Field Check'!$C$25)))</f>
        <v/>
      </c>
      <c r="L35" s="47">
        <f>IF($B35="",0,IF((Override!$C$4="ON")*ISNUMBER(Override!$G$41)&gt;0,Override!$G$41,$K35))</f>
        <v/>
      </c>
      <c r="M35" s="47">
        <f>IF($B35="",0,IF((Override!$C$4="ON")*ISNUMBER(Override!$H$41)&gt;0,Override!$H$41,$L35))</f>
        <v/>
      </c>
      <c r="N35" s="47">
        <f>IF($B35="",0,IF((Override!$C$4="ON")*ISNUMBER(Override!$I$41)&gt;0,Override!$I$41,$L35))</f>
        <v/>
      </c>
      <c r="O35" s="54">
        <f>IF($B35="","",IFERROR($B35*$G35*$J35/$B$3,""))</f>
        <v/>
      </c>
      <c r="P35" s="54">
        <f>IF($B35="","",IFERROR($B35*$G35*$L35/$B$3,""))</f>
        <v/>
      </c>
      <c r="Q35" s="38">
        <f>IF($B35="","",IFERROR($O35+$P35,""))</f>
        <v/>
      </c>
      <c r="R35" s="54">
        <f>IF($B35="","",IFERROR($O35+$B35*$G35*$M35/$B$3,""))</f>
        <v/>
      </c>
      <c r="S35" s="54">
        <f>IF($B35="","",IFERROR($O35+$B35*$G35*$N35/$B$3,""))</f>
        <v/>
      </c>
      <c r="T35" s="63">
        <f>IF($B35="","",IFERROR($Q35/$Q$5,""))</f>
        <v/>
      </c>
      <c r="U35" s="2">
        <f>IF($B35="","",IF(COUNTIFS('Dvd Calendar'!$E$436:$AR$436,"&gt;0",'Dvd Calendar'!$E$437:$AR$437,"&gt;"&amp;MAX(Summary!$C$11,DATE(Summary!$C$12,1,1)-1),'Dvd Calendar'!$E$437:$AR$437,"&lt;="&amp;DATE(Summary!$C$12,12,31))-COUNTIFS('Dvd Calendar'!$E$436:$AR$436,"&gt;0",'Dvd Calendar'!$E$437:$AR$437,"&gt;"&amp;MAX(Summary!$C$11,DATE(Summary!$C$12,1,1)-1),'Dvd Calendar'!$E$437:$AR$437,"&lt;="&amp;DATE(Summary!$C$12,12,31),'Dvd Calendar'!$E$438:$AR$438,"&gt;=0")&gt;0,"TBA amount - override me",IF((Override!$C$4="ON")*ISNUMBER(Override!$G$41)&gt;0,"overridden",IF($J35+$K35=0,"no dividend in year Y",""))))</f>
        <v/>
      </c>
      <c r="V35" s="54">
        <f>IF($B35="","",IFERROR(IF(ISNUMBER($H35),$B35*$G35*$H35/$B$3,0),""))</f>
        <v/>
      </c>
      <c r="W35" s="54">
        <f>IF($B35="","",IFERROR($B35*$G35*$K35/$B$3,""))</f>
        <v/>
      </c>
    </row>
    <row r="36">
      <c r="B36" s="73" t="n"/>
      <c r="C36" s="6">
        <f>IF($A36="","",$A36&amp;" Equity")</f>
        <v/>
      </c>
      <c r="D36" s="6">
        <f>IF($C36="","",BDP($C36,"NAME"))</f>
        <v/>
      </c>
      <c r="E36" s="6">
        <f>IF($C36="","",BDP($C36,"GICS_SECTOR_NAME"))</f>
        <v/>
      </c>
      <c r="F36" s="31">
        <f>IF($C36="","",BDP($C36,'Field Check'!$C$8))</f>
        <v/>
      </c>
      <c r="G36" s="74">
        <f>IFERROR(IF(LEN($F36)&lt;&gt;3,1,IF($F36="HKD",1,BDP(IF($F36="CNY",Summary!$C$14,$F36)&amp;"HKD Curncy","PX_LAST"))),1)</f>
        <v/>
      </c>
      <c r="H36" s="54">
        <f>IF($C36="","",BDP($C36,'Field Check'!$C$9))</f>
        <v/>
      </c>
      <c r="I36" s="45">
        <f>IF($C36="","",BDP($C36,'Field Check'!$C$10))</f>
        <v/>
      </c>
      <c r="J36" s="47">
        <f>IF($B36="",0,IF(Summary!$C$13="Y",SUMIFS('Dvd Calendar'!$E$446:$AR$446,'Dvd Calendar'!$E$445:$AR$445,"&gt;="&amp;DATE(Summary!$C$12,1,1),'Dvd Calendar'!$E$445:$AR$445,"&lt;="&amp;MIN(Summary!$C$11,DATE(Summary!$C$12,12,31))),SUMIFS('Dvd Calendar'!$E$446:$AR$446,'Dvd Calendar'!$E$445:$AR$445,"&gt;="&amp;DATE(Summary!$C$12,1,1),'Dvd Calendar'!$E$445:$AR$445,"&lt;="&amp;MIN(Summary!$C$11,DATE(Summary!$C$12,12,31)),'Dvd Calendar'!$E$450:$AR$450,"&lt;&gt;"&amp;'Field Check'!$C$25)))</f>
        <v/>
      </c>
      <c r="K36" s="47">
        <f>IF($B36="",0,IF(Summary!$C$13="Y",SUMIFS('Dvd Calendar'!$E$453:$AR$453,'Dvd Calendar'!$E$452:$AR$452,"&gt;"&amp;MAX(Summary!$C$11,DATE(Summary!$C$12,1,1)-1),'Dvd Calendar'!$E$452:$AR$452,"&lt;="&amp;DATE(Summary!$C$12,12,31)),SUMIFS('Dvd Calendar'!$E$453:$AR$453,'Dvd Calendar'!$E$452:$AR$452,"&gt;"&amp;MAX(Summary!$C$11,DATE(Summary!$C$12,1,1)-1),'Dvd Calendar'!$E$452:$AR$452,"&lt;="&amp;DATE(Summary!$C$12,12,31),'Dvd Calendar'!$E$457:$AR$457,"&lt;&gt;"&amp;'Field Check'!$C$25)))</f>
        <v/>
      </c>
      <c r="L36" s="47">
        <f>IF($B36="",0,IF((Override!$C$4="ON")*ISNUMBER(Override!$G$42)&gt;0,Override!$G$42,$K36))</f>
        <v/>
      </c>
      <c r="M36" s="47">
        <f>IF($B36="",0,IF((Override!$C$4="ON")*ISNUMBER(Override!$H$42)&gt;0,Override!$H$42,$L36))</f>
        <v/>
      </c>
      <c r="N36" s="47">
        <f>IF($B36="",0,IF((Override!$C$4="ON")*ISNUMBER(Override!$I$42)&gt;0,Override!$I$42,$L36))</f>
        <v/>
      </c>
      <c r="O36" s="54">
        <f>IF($B36="","",IFERROR($B36*$G36*$J36/$B$3,""))</f>
        <v/>
      </c>
      <c r="P36" s="54">
        <f>IF($B36="","",IFERROR($B36*$G36*$L36/$B$3,""))</f>
        <v/>
      </c>
      <c r="Q36" s="38">
        <f>IF($B36="","",IFERROR($O36+$P36,""))</f>
        <v/>
      </c>
      <c r="R36" s="54">
        <f>IF($B36="","",IFERROR($O36+$B36*$G36*$M36/$B$3,""))</f>
        <v/>
      </c>
      <c r="S36" s="54">
        <f>IF($B36="","",IFERROR($O36+$B36*$G36*$N36/$B$3,""))</f>
        <v/>
      </c>
      <c r="T36" s="63">
        <f>IF($B36="","",IFERROR($Q36/$Q$5,""))</f>
        <v/>
      </c>
      <c r="U36" s="2">
        <f>IF($B36="","",IF(COUNTIFS('Dvd Calendar'!$E$451:$AR$451,"&gt;0",'Dvd Calendar'!$E$452:$AR$452,"&gt;"&amp;MAX(Summary!$C$11,DATE(Summary!$C$12,1,1)-1),'Dvd Calendar'!$E$452:$AR$452,"&lt;="&amp;DATE(Summary!$C$12,12,31))-COUNTIFS('Dvd Calendar'!$E$451:$AR$451,"&gt;0",'Dvd Calendar'!$E$452:$AR$452,"&gt;"&amp;MAX(Summary!$C$11,DATE(Summary!$C$12,1,1)-1),'Dvd Calendar'!$E$452:$AR$452,"&lt;="&amp;DATE(Summary!$C$12,12,31),'Dvd Calendar'!$E$453:$AR$453,"&gt;=0")&gt;0,"TBA amount - override me",IF((Override!$C$4="ON")*ISNUMBER(Override!$G$42)&gt;0,"overridden",IF($J36+$K36=0,"no dividend in year Y",""))))</f>
        <v/>
      </c>
      <c r="V36" s="54">
        <f>IF($B36="","",IFERROR(IF(ISNUMBER($H36),$B36*$G36*$H36/$B$3,0),""))</f>
        <v/>
      </c>
      <c r="W36" s="54">
        <f>IF($B36="","",IFERROR($B36*$G36*$K36/$B$3,""))</f>
        <v/>
      </c>
    </row>
    <row r="37">
      <c r="B37" s="73" t="n"/>
      <c r="C37" s="6">
        <f>IF($A37="","",$A37&amp;" Equity")</f>
        <v/>
      </c>
      <c r="D37" s="6">
        <f>IF($C37="","",BDP($C37,"NAME"))</f>
        <v/>
      </c>
      <c r="E37" s="6">
        <f>IF($C37="","",BDP($C37,"GICS_SECTOR_NAME"))</f>
        <v/>
      </c>
      <c r="F37" s="31">
        <f>IF($C37="","",BDP($C37,'Field Check'!$C$8))</f>
        <v/>
      </c>
      <c r="G37" s="74">
        <f>IFERROR(IF(LEN($F37)&lt;&gt;3,1,IF($F37="HKD",1,BDP(IF($F37="CNY",Summary!$C$14,$F37)&amp;"HKD Curncy","PX_LAST"))),1)</f>
        <v/>
      </c>
      <c r="H37" s="54">
        <f>IF($C37="","",BDP($C37,'Field Check'!$C$9))</f>
        <v/>
      </c>
      <c r="I37" s="45">
        <f>IF($C37="","",BDP($C37,'Field Check'!$C$10))</f>
        <v/>
      </c>
      <c r="J37" s="47">
        <f>IF($B37="",0,IF(Summary!$C$13="Y",SUMIFS('Dvd Calendar'!$E$461:$AR$461,'Dvd Calendar'!$E$460:$AR$460,"&gt;="&amp;DATE(Summary!$C$12,1,1),'Dvd Calendar'!$E$460:$AR$460,"&lt;="&amp;MIN(Summary!$C$11,DATE(Summary!$C$12,12,31))),SUMIFS('Dvd Calendar'!$E$461:$AR$461,'Dvd Calendar'!$E$460:$AR$460,"&gt;="&amp;DATE(Summary!$C$12,1,1),'Dvd Calendar'!$E$460:$AR$460,"&lt;="&amp;MIN(Summary!$C$11,DATE(Summary!$C$12,12,31)),'Dvd Calendar'!$E$465:$AR$465,"&lt;&gt;"&amp;'Field Check'!$C$25)))</f>
        <v/>
      </c>
      <c r="K37" s="47">
        <f>IF($B37="",0,IF(Summary!$C$13="Y",SUMIFS('Dvd Calendar'!$E$468:$AR$468,'Dvd Calendar'!$E$467:$AR$467,"&gt;"&amp;MAX(Summary!$C$11,DATE(Summary!$C$12,1,1)-1),'Dvd Calendar'!$E$467:$AR$467,"&lt;="&amp;DATE(Summary!$C$12,12,31)),SUMIFS('Dvd Calendar'!$E$468:$AR$468,'Dvd Calendar'!$E$467:$AR$467,"&gt;"&amp;MAX(Summary!$C$11,DATE(Summary!$C$12,1,1)-1),'Dvd Calendar'!$E$467:$AR$467,"&lt;="&amp;DATE(Summary!$C$12,12,31),'Dvd Calendar'!$E$472:$AR$472,"&lt;&gt;"&amp;'Field Check'!$C$25)))</f>
        <v/>
      </c>
      <c r="L37" s="47">
        <f>IF($B37="",0,IF((Override!$C$4="ON")*ISNUMBER(Override!$G$43)&gt;0,Override!$G$43,$K37))</f>
        <v/>
      </c>
      <c r="M37" s="47">
        <f>IF($B37="",0,IF((Override!$C$4="ON")*ISNUMBER(Override!$H$43)&gt;0,Override!$H$43,$L37))</f>
        <v/>
      </c>
      <c r="N37" s="47">
        <f>IF($B37="",0,IF((Override!$C$4="ON")*ISNUMBER(Override!$I$43)&gt;0,Override!$I$43,$L37))</f>
        <v/>
      </c>
      <c r="O37" s="54">
        <f>IF($B37="","",IFERROR($B37*$G37*$J37/$B$3,""))</f>
        <v/>
      </c>
      <c r="P37" s="54">
        <f>IF($B37="","",IFERROR($B37*$G37*$L37/$B$3,""))</f>
        <v/>
      </c>
      <c r="Q37" s="38">
        <f>IF($B37="","",IFERROR($O37+$P37,""))</f>
        <v/>
      </c>
      <c r="R37" s="54">
        <f>IF($B37="","",IFERROR($O37+$B37*$G37*$M37/$B$3,""))</f>
        <v/>
      </c>
      <c r="S37" s="54">
        <f>IF($B37="","",IFERROR($O37+$B37*$G37*$N37/$B$3,""))</f>
        <v/>
      </c>
      <c r="T37" s="63">
        <f>IF($B37="","",IFERROR($Q37/$Q$5,""))</f>
        <v/>
      </c>
      <c r="U37" s="2">
        <f>IF($B37="","",IF(COUNTIFS('Dvd Calendar'!$E$466:$AR$466,"&gt;0",'Dvd Calendar'!$E$467:$AR$467,"&gt;"&amp;MAX(Summary!$C$11,DATE(Summary!$C$12,1,1)-1),'Dvd Calendar'!$E$467:$AR$467,"&lt;="&amp;DATE(Summary!$C$12,12,31))-COUNTIFS('Dvd Calendar'!$E$466:$AR$466,"&gt;0",'Dvd Calendar'!$E$467:$AR$467,"&gt;"&amp;MAX(Summary!$C$11,DATE(Summary!$C$12,1,1)-1),'Dvd Calendar'!$E$467:$AR$467,"&lt;="&amp;DATE(Summary!$C$12,12,31),'Dvd Calendar'!$E$468:$AR$468,"&gt;=0")&gt;0,"TBA amount - override me",IF((Override!$C$4="ON")*ISNUMBER(Override!$G$43)&gt;0,"overridden",IF($J37+$K37=0,"no dividend in year Y",""))))</f>
        <v/>
      </c>
      <c r="V37" s="54">
        <f>IF($B37="","",IFERROR(IF(ISNUMBER($H37),$B37*$G37*$H37/$B$3,0),""))</f>
        <v/>
      </c>
      <c r="W37" s="54">
        <f>IF($B37="","",IFERROR($B37*$G37*$K37/$B$3,""))</f>
        <v/>
      </c>
    </row>
    <row r="38">
      <c r="B38" s="73" t="n"/>
      <c r="C38" s="6">
        <f>IF($A38="","",$A38&amp;" Equity")</f>
        <v/>
      </c>
      <c r="D38" s="6">
        <f>IF($C38="","",BDP($C38,"NAME"))</f>
        <v/>
      </c>
      <c r="E38" s="6">
        <f>IF($C38="","",BDP($C38,"GICS_SECTOR_NAME"))</f>
        <v/>
      </c>
      <c r="F38" s="31">
        <f>IF($C38="","",BDP($C38,'Field Check'!$C$8))</f>
        <v/>
      </c>
      <c r="G38" s="74">
        <f>IFERROR(IF(LEN($F38)&lt;&gt;3,1,IF($F38="HKD",1,BDP(IF($F38="CNY",Summary!$C$14,$F38)&amp;"HKD Curncy","PX_LAST"))),1)</f>
        <v/>
      </c>
      <c r="H38" s="54">
        <f>IF($C38="","",BDP($C38,'Field Check'!$C$9))</f>
        <v/>
      </c>
      <c r="I38" s="45">
        <f>IF($C38="","",BDP($C38,'Field Check'!$C$10))</f>
        <v/>
      </c>
      <c r="J38" s="47">
        <f>IF($B38="",0,IF(Summary!$C$13="Y",SUMIFS('Dvd Calendar'!$E$476:$AR$476,'Dvd Calendar'!$E$475:$AR$475,"&gt;="&amp;DATE(Summary!$C$12,1,1),'Dvd Calendar'!$E$475:$AR$475,"&lt;="&amp;MIN(Summary!$C$11,DATE(Summary!$C$12,12,31))),SUMIFS('Dvd Calendar'!$E$476:$AR$476,'Dvd Calendar'!$E$475:$AR$475,"&gt;="&amp;DATE(Summary!$C$12,1,1),'Dvd Calendar'!$E$475:$AR$475,"&lt;="&amp;MIN(Summary!$C$11,DATE(Summary!$C$12,12,31)),'Dvd Calendar'!$E$480:$AR$480,"&lt;&gt;"&amp;'Field Check'!$C$25)))</f>
        <v/>
      </c>
      <c r="K38" s="47">
        <f>IF($B38="",0,IF(Summary!$C$13="Y",SUMIFS('Dvd Calendar'!$E$483:$AR$483,'Dvd Calendar'!$E$482:$AR$482,"&gt;"&amp;MAX(Summary!$C$11,DATE(Summary!$C$12,1,1)-1),'Dvd Calendar'!$E$482:$AR$482,"&lt;="&amp;DATE(Summary!$C$12,12,31)),SUMIFS('Dvd Calendar'!$E$483:$AR$483,'Dvd Calendar'!$E$482:$AR$482,"&gt;"&amp;MAX(Summary!$C$11,DATE(Summary!$C$12,1,1)-1),'Dvd Calendar'!$E$482:$AR$482,"&lt;="&amp;DATE(Summary!$C$12,12,31),'Dvd Calendar'!$E$487:$AR$487,"&lt;&gt;"&amp;'Field Check'!$C$25)))</f>
        <v/>
      </c>
      <c r="L38" s="47">
        <f>IF($B38="",0,IF((Override!$C$4="ON")*ISNUMBER(Override!$G$44)&gt;0,Override!$G$44,$K38))</f>
        <v/>
      </c>
      <c r="M38" s="47">
        <f>IF($B38="",0,IF((Override!$C$4="ON")*ISNUMBER(Override!$H$44)&gt;0,Override!$H$44,$L38))</f>
        <v/>
      </c>
      <c r="N38" s="47">
        <f>IF($B38="",0,IF((Override!$C$4="ON")*ISNUMBER(Override!$I$44)&gt;0,Override!$I$44,$L38))</f>
        <v/>
      </c>
      <c r="O38" s="54">
        <f>IF($B38="","",IFERROR($B38*$G38*$J38/$B$3,""))</f>
        <v/>
      </c>
      <c r="P38" s="54">
        <f>IF($B38="","",IFERROR($B38*$G38*$L38/$B$3,""))</f>
        <v/>
      </c>
      <c r="Q38" s="38">
        <f>IF($B38="","",IFERROR($O38+$P38,""))</f>
        <v/>
      </c>
      <c r="R38" s="54">
        <f>IF($B38="","",IFERROR($O38+$B38*$G38*$M38/$B$3,""))</f>
        <v/>
      </c>
      <c r="S38" s="54">
        <f>IF($B38="","",IFERROR($O38+$B38*$G38*$N38/$B$3,""))</f>
        <v/>
      </c>
      <c r="T38" s="63">
        <f>IF($B38="","",IFERROR($Q38/$Q$5,""))</f>
        <v/>
      </c>
      <c r="U38" s="2">
        <f>IF($B38="","",IF(COUNTIFS('Dvd Calendar'!$E$481:$AR$481,"&gt;0",'Dvd Calendar'!$E$482:$AR$482,"&gt;"&amp;MAX(Summary!$C$11,DATE(Summary!$C$12,1,1)-1),'Dvd Calendar'!$E$482:$AR$482,"&lt;="&amp;DATE(Summary!$C$12,12,31))-COUNTIFS('Dvd Calendar'!$E$481:$AR$481,"&gt;0",'Dvd Calendar'!$E$482:$AR$482,"&gt;"&amp;MAX(Summary!$C$11,DATE(Summary!$C$12,1,1)-1),'Dvd Calendar'!$E$482:$AR$482,"&lt;="&amp;DATE(Summary!$C$12,12,31),'Dvd Calendar'!$E$483:$AR$483,"&gt;=0")&gt;0,"TBA amount - override me",IF((Override!$C$4="ON")*ISNUMBER(Override!$G$44)&gt;0,"overridden",IF($J38+$K38=0,"no dividend in year Y",""))))</f>
        <v/>
      </c>
      <c r="V38" s="54">
        <f>IF($B38="","",IFERROR(IF(ISNUMBER($H38),$B38*$G38*$H38/$B$3,0),""))</f>
        <v/>
      </c>
      <c r="W38" s="54">
        <f>IF($B38="","",IFERROR($B38*$G38*$K38/$B$3,""))</f>
        <v/>
      </c>
    </row>
    <row r="39">
      <c r="B39" s="73" t="n"/>
      <c r="C39" s="6">
        <f>IF($A39="","",$A39&amp;" Equity")</f>
        <v/>
      </c>
      <c r="D39" s="6">
        <f>IF($C39="","",BDP($C39,"NAME"))</f>
        <v/>
      </c>
      <c r="E39" s="6">
        <f>IF($C39="","",BDP($C39,"GICS_SECTOR_NAME"))</f>
        <v/>
      </c>
      <c r="F39" s="31">
        <f>IF($C39="","",BDP($C39,'Field Check'!$C$8))</f>
        <v/>
      </c>
      <c r="G39" s="74">
        <f>IFERROR(IF(LEN($F39)&lt;&gt;3,1,IF($F39="HKD",1,BDP(IF($F39="CNY",Summary!$C$14,$F39)&amp;"HKD Curncy","PX_LAST"))),1)</f>
        <v/>
      </c>
      <c r="H39" s="54">
        <f>IF($C39="","",BDP($C39,'Field Check'!$C$9))</f>
        <v/>
      </c>
      <c r="I39" s="45">
        <f>IF($C39="","",BDP($C39,'Field Check'!$C$10))</f>
        <v/>
      </c>
      <c r="J39" s="47">
        <f>IF($B39="",0,IF(Summary!$C$13="Y",SUMIFS('Dvd Calendar'!$E$491:$AR$491,'Dvd Calendar'!$E$490:$AR$490,"&gt;="&amp;DATE(Summary!$C$12,1,1),'Dvd Calendar'!$E$490:$AR$490,"&lt;="&amp;MIN(Summary!$C$11,DATE(Summary!$C$12,12,31))),SUMIFS('Dvd Calendar'!$E$491:$AR$491,'Dvd Calendar'!$E$490:$AR$490,"&gt;="&amp;DATE(Summary!$C$12,1,1),'Dvd Calendar'!$E$490:$AR$490,"&lt;="&amp;MIN(Summary!$C$11,DATE(Summary!$C$12,12,31)),'Dvd Calendar'!$E$495:$AR$495,"&lt;&gt;"&amp;'Field Check'!$C$25)))</f>
        <v/>
      </c>
      <c r="K39" s="47">
        <f>IF($B39="",0,IF(Summary!$C$13="Y",SUMIFS('Dvd Calendar'!$E$498:$AR$498,'Dvd Calendar'!$E$497:$AR$497,"&gt;"&amp;MAX(Summary!$C$11,DATE(Summary!$C$12,1,1)-1),'Dvd Calendar'!$E$497:$AR$497,"&lt;="&amp;DATE(Summary!$C$12,12,31)),SUMIFS('Dvd Calendar'!$E$498:$AR$498,'Dvd Calendar'!$E$497:$AR$497,"&gt;"&amp;MAX(Summary!$C$11,DATE(Summary!$C$12,1,1)-1),'Dvd Calendar'!$E$497:$AR$497,"&lt;="&amp;DATE(Summary!$C$12,12,31),'Dvd Calendar'!$E$502:$AR$502,"&lt;&gt;"&amp;'Field Check'!$C$25)))</f>
        <v/>
      </c>
      <c r="L39" s="47">
        <f>IF($B39="",0,IF((Override!$C$4="ON")*ISNUMBER(Override!$G$45)&gt;0,Override!$G$45,$K39))</f>
        <v/>
      </c>
      <c r="M39" s="47">
        <f>IF($B39="",0,IF((Override!$C$4="ON")*ISNUMBER(Override!$H$45)&gt;0,Override!$H$45,$L39))</f>
        <v/>
      </c>
      <c r="N39" s="47">
        <f>IF($B39="",0,IF((Override!$C$4="ON")*ISNUMBER(Override!$I$45)&gt;0,Override!$I$45,$L39))</f>
        <v/>
      </c>
      <c r="O39" s="54">
        <f>IF($B39="","",IFERROR($B39*$G39*$J39/$B$3,""))</f>
        <v/>
      </c>
      <c r="P39" s="54">
        <f>IF($B39="","",IFERROR($B39*$G39*$L39/$B$3,""))</f>
        <v/>
      </c>
      <c r="Q39" s="38">
        <f>IF($B39="","",IFERROR($O39+$P39,""))</f>
        <v/>
      </c>
      <c r="R39" s="54">
        <f>IF($B39="","",IFERROR($O39+$B39*$G39*$M39/$B$3,""))</f>
        <v/>
      </c>
      <c r="S39" s="54">
        <f>IF($B39="","",IFERROR($O39+$B39*$G39*$N39/$B$3,""))</f>
        <v/>
      </c>
      <c r="T39" s="63">
        <f>IF($B39="","",IFERROR($Q39/$Q$5,""))</f>
        <v/>
      </c>
      <c r="U39" s="2">
        <f>IF($B39="","",IF(COUNTIFS('Dvd Calendar'!$E$496:$AR$496,"&gt;0",'Dvd Calendar'!$E$497:$AR$497,"&gt;"&amp;MAX(Summary!$C$11,DATE(Summary!$C$12,1,1)-1),'Dvd Calendar'!$E$497:$AR$497,"&lt;="&amp;DATE(Summary!$C$12,12,31))-COUNTIFS('Dvd Calendar'!$E$496:$AR$496,"&gt;0",'Dvd Calendar'!$E$497:$AR$497,"&gt;"&amp;MAX(Summary!$C$11,DATE(Summary!$C$12,1,1)-1),'Dvd Calendar'!$E$497:$AR$497,"&lt;="&amp;DATE(Summary!$C$12,12,31),'Dvd Calendar'!$E$498:$AR$498,"&gt;=0")&gt;0,"TBA amount - override me",IF((Override!$C$4="ON")*ISNUMBER(Override!$G$45)&gt;0,"overridden",IF($J39+$K39=0,"no dividend in year Y",""))))</f>
        <v/>
      </c>
      <c r="V39" s="54">
        <f>IF($B39="","",IFERROR(IF(ISNUMBER($H39),$B39*$G39*$H39/$B$3,0),""))</f>
        <v/>
      </c>
      <c r="W39" s="54">
        <f>IF($B39="","",IFERROR($B39*$G39*$K39/$B$3,""))</f>
        <v/>
      </c>
    </row>
    <row r="40">
      <c r="B40" s="73" t="n"/>
      <c r="C40" s="6">
        <f>IF($A40="","",$A40&amp;" Equity")</f>
        <v/>
      </c>
      <c r="D40" s="6">
        <f>IF($C40="","",BDP($C40,"NAME"))</f>
        <v/>
      </c>
      <c r="E40" s="6">
        <f>IF($C40="","",BDP($C40,"GICS_SECTOR_NAME"))</f>
        <v/>
      </c>
      <c r="F40" s="31">
        <f>IF($C40="","",BDP($C40,'Field Check'!$C$8))</f>
        <v/>
      </c>
      <c r="G40" s="74">
        <f>IFERROR(IF(LEN($F40)&lt;&gt;3,1,IF($F40="HKD",1,BDP(IF($F40="CNY",Summary!$C$14,$F40)&amp;"HKD Curncy","PX_LAST"))),1)</f>
        <v/>
      </c>
      <c r="H40" s="54">
        <f>IF($C40="","",BDP($C40,'Field Check'!$C$9))</f>
        <v/>
      </c>
      <c r="I40" s="45">
        <f>IF($C40="","",BDP($C40,'Field Check'!$C$10))</f>
        <v/>
      </c>
      <c r="J40" s="47">
        <f>IF($B40="",0,IF(Summary!$C$13="Y",SUMIFS('Dvd Calendar'!$E$506:$AR$506,'Dvd Calendar'!$E$505:$AR$505,"&gt;="&amp;DATE(Summary!$C$12,1,1),'Dvd Calendar'!$E$505:$AR$505,"&lt;="&amp;MIN(Summary!$C$11,DATE(Summary!$C$12,12,31))),SUMIFS('Dvd Calendar'!$E$506:$AR$506,'Dvd Calendar'!$E$505:$AR$505,"&gt;="&amp;DATE(Summary!$C$12,1,1),'Dvd Calendar'!$E$505:$AR$505,"&lt;="&amp;MIN(Summary!$C$11,DATE(Summary!$C$12,12,31)),'Dvd Calendar'!$E$510:$AR$510,"&lt;&gt;"&amp;'Field Check'!$C$25)))</f>
        <v/>
      </c>
      <c r="K40" s="47">
        <f>IF($B40="",0,IF(Summary!$C$13="Y",SUMIFS('Dvd Calendar'!$E$513:$AR$513,'Dvd Calendar'!$E$512:$AR$512,"&gt;"&amp;MAX(Summary!$C$11,DATE(Summary!$C$12,1,1)-1),'Dvd Calendar'!$E$512:$AR$512,"&lt;="&amp;DATE(Summary!$C$12,12,31)),SUMIFS('Dvd Calendar'!$E$513:$AR$513,'Dvd Calendar'!$E$512:$AR$512,"&gt;"&amp;MAX(Summary!$C$11,DATE(Summary!$C$12,1,1)-1),'Dvd Calendar'!$E$512:$AR$512,"&lt;="&amp;DATE(Summary!$C$12,12,31),'Dvd Calendar'!$E$517:$AR$517,"&lt;&gt;"&amp;'Field Check'!$C$25)))</f>
        <v/>
      </c>
      <c r="L40" s="47">
        <f>IF($B40="",0,IF((Override!$C$4="ON")*ISNUMBER(Override!$G$46)&gt;0,Override!$G$46,$K40))</f>
        <v/>
      </c>
      <c r="M40" s="47">
        <f>IF($B40="",0,IF((Override!$C$4="ON")*ISNUMBER(Override!$H$46)&gt;0,Override!$H$46,$L40))</f>
        <v/>
      </c>
      <c r="N40" s="47">
        <f>IF($B40="",0,IF((Override!$C$4="ON")*ISNUMBER(Override!$I$46)&gt;0,Override!$I$46,$L40))</f>
        <v/>
      </c>
      <c r="O40" s="54">
        <f>IF($B40="","",IFERROR($B40*$G40*$J40/$B$3,""))</f>
        <v/>
      </c>
      <c r="P40" s="54">
        <f>IF($B40="","",IFERROR($B40*$G40*$L40/$B$3,""))</f>
        <v/>
      </c>
      <c r="Q40" s="38">
        <f>IF($B40="","",IFERROR($O40+$P40,""))</f>
        <v/>
      </c>
      <c r="R40" s="54">
        <f>IF($B40="","",IFERROR($O40+$B40*$G40*$M40/$B$3,""))</f>
        <v/>
      </c>
      <c r="S40" s="54">
        <f>IF($B40="","",IFERROR($O40+$B40*$G40*$N40/$B$3,""))</f>
        <v/>
      </c>
      <c r="T40" s="63">
        <f>IF($B40="","",IFERROR($Q40/$Q$5,""))</f>
        <v/>
      </c>
      <c r="U40" s="2">
        <f>IF($B40="","",IF(COUNTIFS('Dvd Calendar'!$E$511:$AR$511,"&gt;0",'Dvd Calendar'!$E$512:$AR$512,"&gt;"&amp;MAX(Summary!$C$11,DATE(Summary!$C$12,1,1)-1),'Dvd Calendar'!$E$512:$AR$512,"&lt;="&amp;DATE(Summary!$C$12,12,31))-COUNTIFS('Dvd Calendar'!$E$511:$AR$511,"&gt;0",'Dvd Calendar'!$E$512:$AR$512,"&gt;"&amp;MAX(Summary!$C$11,DATE(Summary!$C$12,1,1)-1),'Dvd Calendar'!$E$512:$AR$512,"&lt;="&amp;DATE(Summary!$C$12,12,31),'Dvd Calendar'!$E$513:$AR$513,"&gt;=0")&gt;0,"TBA amount - override me",IF((Override!$C$4="ON")*ISNUMBER(Override!$G$46)&gt;0,"overridden",IF($J40+$K40=0,"no dividend in year Y",""))))</f>
        <v/>
      </c>
      <c r="V40" s="54">
        <f>IF($B40="","",IFERROR(IF(ISNUMBER($H40),$B40*$G40*$H40/$B$3,0),""))</f>
        <v/>
      </c>
      <c r="W40" s="54">
        <f>IF($B40="","",IFERROR($B40*$G40*$K40/$B$3,""))</f>
        <v/>
      </c>
    </row>
    <row r="41">
      <c r="B41" s="73" t="n"/>
      <c r="C41" s="6">
        <f>IF($A41="","",$A41&amp;" Equity")</f>
        <v/>
      </c>
      <c r="D41" s="6">
        <f>IF($C41="","",BDP($C41,"NAME"))</f>
        <v/>
      </c>
      <c r="E41" s="6">
        <f>IF($C41="","",BDP($C41,"GICS_SECTOR_NAME"))</f>
        <v/>
      </c>
      <c r="F41" s="31">
        <f>IF($C41="","",BDP($C41,'Field Check'!$C$8))</f>
        <v/>
      </c>
      <c r="G41" s="74">
        <f>IFERROR(IF(LEN($F41)&lt;&gt;3,1,IF($F41="HKD",1,BDP(IF($F41="CNY",Summary!$C$14,$F41)&amp;"HKD Curncy","PX_LAST"))),1)</f>
        <v/>
      </c>
      <c r="H41" s="54">
        <f>IF($C41="","",BDP($C41,'Field Check'!$C$9))</f>
        <v/>
      </c>
      <c r="I41" s="45">
        <f>IF($C41="","",BDP($C41,'Field Check'!$C$10))</f>
        <v/>
      </c>
      <c r="J41" s="47">
        <f>IF($B41="",0,IF(Summary!$C$13="Y",SUMIFS('Dvd Calendar'!$E$521:$AR$521,'Dvd Calendar'!$E$520:$AR$520,"&gt;="&amp;DATE(Summary!$C$12,1,1),'Dvd Calendar'!$E$520:$AR$520,"&lt;="&amp;MIN(Summary!$C$11,DATE(Summary!$C$12,12,31))),SUMIFS('Dvd Calendar'!$E$521:$AR$521,'Dvd Calendar'!$E$520:$AR$520,"&gt;="&amp;DATE(Summary!$C$12,1,1),'Dvd Calendar'!$E$520:$AR$520,"&lt;="&amp;MIN(Summary!$C$11,DATE(Summary!$C$12,12,31)),'Dvd Calendar'!$E$525:$AR$525,"&lt;&gt;"&amp;'Field Check'!$C$25)))</f>
        <v/>
      </c>
      <c r="K41" s="47">
        <f>IF($B41="",0,IF(Summary!$C$13="Y",SUMIFS('Dvd Calendar'!$E$528:$AR$528,'Dvd Calendar'!$E$527:$AR$527,"&gt;"&amp;MAX(Summary!$C$11,DATE(Summary!$C$12,1,1)-1),'Dvd Calendar'!$E$527:$AR$527,"&lt;="&amp;DATE(Summary!$C$12,12,31)),SUMIFS('Dvd Calendar'!$E$528:$AR$528,'Dvd Calendar'!$E$527:$AR$527,"&gt;"&amp;MAX(Summary!$C$11,DATE(Summary!$C$12,1,1)-1),'Dvd Calendar'!$E$527:$AR$527,"&lt;="&amp;DATE(Summary!$C$12,12,31),'Dvd Calendar'!$E$532:$AR$532,"&lt;&gt;"&amp;'Field Check'!$C$25)))</f>
        <v/>
      </c>
      <c r="L41" s="47">
        <f>IF($B41="",0,IF((Override!$C$4="ON")*ISNUMBER(Override!$G$47)&gt;0,Override!$G$47,$K41))</f>
        <v/>
      </c>
      <c r="M41" s="47">
        <f>IF($B41="",0,IF((Override!$C$4="ON")*ISNUMBER(Override!$H$47)&gt;0,Override!$H$47,$L41))</f>
        <v/>
      </c>
      <c r="N41" s="47">
        <f>IF($B41="",0,IF((Override!$C$4="ON")*ISNUMBER(Override!$I$47)&gt;0,Override!$I$47,$L41))</f>
        <v/>
      </c>
      <c r="O41" s="54">
        <f>IF($B41="","",IFERROR($B41*$G41*$J41/$B$3,""))</f>
        <v/>
      </c>
      <c r="P41" s="54">
        <f>IF($B41="","",IFERROR($B41*$G41*$L41/$B$3,""))</f>
        <v/>
      </c>
      <c r="Q41" s="38">
        <f>IF($B41="","",IFERROR($O41+$P41,""))</f>
        <v/>
      </c>
      <c r="R41" s="54">
        <f>IF($B41="","",IFERROR($O41+$B41*$G41*$M41/$B$3,""))</f>
        <v/>
      </c>
      <c r="S41" s="54">
        <f>IF($B41="","",IFERROR($O41+$B41*$G41*$N41/$B$3,""))</f>
        <v/>
      </c>
      <c r="T41" s="63">
        <f>IF($B41="","",IFERROR($Q41/$Q$5,""))</f>
        <v/>
      </c>
      <c r="U41" s="2">
        <f>IF($B41="","",IF(COUNTIFS('Dvd Calendar'!$E$526:$AR$526,"&gt;0",'Dvd Calendar'!$E$527:$AR$527,"&gt;"&amp;MAX(Summary!$C$11,DATE(Summary!$C$12,1,1)-1),'Dvd Calendar'!$E$527:$AR$527,"&lt;="&amp;DATE(Summary!$C$12,12,31))-COUNTIFS('Dvd Calendar'!$E$526:$AR$526,"&gt;0",'Dvd Calendar'!$E$527:$AR$527,"&gt;"&amp;MAX(Summary!$C$11,DATE(Summary!$C$12,1,1)-1),'Dvd Calendar'!$E$527:$AR$527,"&lt;="&amp;DATE(Summary!$C$12,12,31),'Dvd Calendar'!$E$528:$AR$528,"&gt;=0")&gt;0,"TBA amount - override me",IF((Override!$C$4="ON")*ISNUMBER(Override!$G$47)&gt;0,"overridden",IF($J41+$K41=0,"no dividend in year Y",""))))</f>
        <v/>
      </c>
      <c r="V41" s="54">
        <f>IF($B41="","",IFERROR(IF(ISNUMBER($H41),$B41*$G41*$H41/$B$3,0),""))</f>
        <v/>
      </c>
      <c r="W41" s="54">
        <f>IF($B41="","",IFERROR($B41*$G41*$K41/$B$3,""))</f>
        <v/>
      </c>
    </row>
    <row r="42">
      <c r="B42" s="73" t="n"/>
      <c r="C42" s="6">
        <f>IF($A42="","",$A42&amp;" Equity")</f>
        <v/>
      </c>
      <c r="D42" s="6">
        <f>IF($C42="","",BDP($C42,"NAME"))</f>
        <v/>
      </c>
      <c r="E42" s="6">
        <f>IF($C42="","",BDP($C42,"GICS_SECTOR_NAME"))</f>
        <v/>
      </c>
      <c r="F42" s="31">
        <f>IF($C42="","",BDP($C42,'Field Check'!$C$8))</f>
        <v/>
      </c>
      <c r="G42" s="74">
        <f>IFERROR(IF(LEN($F42)&lt;&gt;3,1,IF($F42="HKD",1,BDP(IF($F42="CNY",Summary!$C$14,$F42)&amp;"HKD Curncy","PX_LAST"))),1)</f>
        <v/>
      </c>
      <c r="H42" s="54">
        <f>IF($C42="","",BDP($C42,'Field Check'!$C$9))</f>
        <v/>
      </c>
      <c r="I42" s="45">
        <f>IF($C42="","",BDP($C42,'Field Check'!$C$10))</f>
        <v/>
      </c>
      <c r="J42" s="47">
        <f>IF($B42="",0,IF(Summary!$C$13="Y",SUMIFS('Dvd Calendar'!$E$536:$AR$536,'Dvd Calendar'!$E$535:$AR$535,"&gt;="&amp;DATE(Summary!$C$12,1,1),'Dvd Calendar'!$E$535:$AR$535,"&lt;="&amp;MIN(Summary!$C$11,DATE(Summary!$C$12,12,31))),SUMIFS('Dvd Calendar'!$E$536:$AR$536,'Dvd Calendar'!$E$535:$AR$535,"&gt;="&amp;DATE(Summary!$C$12,1,1),'Dvd Calendar'!$E$535:$AR$535,"&lt;="&amp;MIN(Summary!$C$11,DATE(Summary!$C$12,12,31)),'Dvd Calendar'!$E$540:$AR$540,"&lt;&gt;"&amp;'Field Check'!$C$25)))</f>
        <v/>
      </c>
      <c r="K42" s="47">
        <f>IF($B42="",0,IF(Summary!$C$13="Y",SUMIFS('Dvd Calendar'!$E$543:$AR$543,'Dvd Calendar'!$E$542:$AR$542,"&gt;"&amp;MAX(Summary!$C$11,DATE(Summary!$C$12,1,1)-1),'Dvd Calendar'!$E$542:$AR$542,"&lt;="&amp;DATE(Summary!$C$12,12,31)),SUMIFS('Dvd Calendar'!$E$543:$AR$543,'Dvd Calendar'!$E$542:$AR$542,"&gt;"&amp;MAX(Summary!$C$11,DATE(Summary!$C$12,1,1)-1),'Dvd Calendar'!$E$542:$AR$542,"&lt;="&amp;DATE(Summary!$C$12,12,31),'Dvd Calendar'!$E$547:$AR$547,"&lt;&gt;"&amp;'Field Check'!$C$25)))</f>
        <v/>
      </c>
      <c r="L42" s="47">
        <f>IF($B42="",0,IF((Override!$C$4="ON")*ISNUMBER(Override!$G$48)&gt;0,Override!$G$48,$K42))</f>
        <v/>
      </c>
      <c r="M42" s="47">
        <f>IF($B42="",0,IF((Override!$C$4="ON")*ISNUMBER(Override!$H$48)&gt;0,Override!$H$48,$L42))</f>
        <v/>
      </c>
      <c r="N42" s="47">
        <f>IF($B42="",0,IF((Override!$C$4="ON")*ISNUMBER(Override!$I$48)&gt;0,Override!$I$48,$L42))</f>
        <v/>
      </c>
      <c r="O42" s="54">
        <f>IF($B42="","",IFERROR($B42*$G42*$J42/$B$3,""))</f>
        <v/>
      </c>
      <c r="P42" s="54">
        <f>IF($B42="","",IFERROR($B42*$G42*$L42/$B$3,""))</f>
        <v/>
      </c>
      <c r="Q42" s="38">
        <f>IF($B42="","",IFERROR($O42+$P42,""))</f>
        <v/>
      </c>
      <c r="R42" s="54">
        <f>IF($B42="","",IFERROR($O42+$B42*$G42*$M42/$B$3,""))</f>
        <v/>
      </c>
      <c r="S42" s="54">
        <f>IF($B42="","",IFERROR($O42+$B42*$G42*$N42/$B$3,""))</f>
        <v/>
      </c>
      <c r="T42" s="63">
        <f>IF($B42="","",IFERROR($Q42/$Q$5,""))</f>
        <v/>
      </c>
      <c r="U42" s="2">
        <f>IF($B42="","",IF(COUNTIFS('Dvd Calendar'!$E$541:$AR$541,"&gt;0",'Dvd Calendar'!$E$542:$AR$542,"&gt;"&amp;MAX(Summary!$C$11,DATE(Summary!$C$12,1,1)-1),'Dvd Calendar'!$E$542:$AR$542,"&lt;="&amp;DATE(Summary!$C$12,12,31))-COUNTIFS('Dvd Calendar'!$E$541:$AR$541,"&gt;0",'Dvd Calendar'!$E$542:$AR$542,"&gt;"&amp;MAX(Summary!$C$11,DATE(Summary!$C$12,1,1)-1),'Dvd Calendar'!$E$542:$AR$542,"&lt;="&amp;DATE(Summary!$C$12,12,31),'Dvd Calendar'!$E$543:$AR$543,"&gt;=0")&gt;0,"TBA amount - override me",IF((Override!$C$4="ON")*ISNUMBER(Override!$G$48)&gt;0,"overridden",IF($J42+$K42=0,"no dividend in year Y",""))))</f>
        <v/>
      </c>
      <c r="V42" s="54">
        <f>IF($B42="","",IFERROR(IF(ISNUMBER($H42),$B42*$G42*$H42/$B$3,0),""))</f>
        <v/>
      </c>
      <c r="W42" s="54">
        <f>IF($B42="","",IFERROR($B42*$G42*$K42/$B$3,""))</f>
        <v/>
      </c>
    </row>
    <row r="43">
      <c r="B43" s="73" t="n"/>
      <c r="C43" s="6">
        <f>IF($A43="","",$A43&amp;" Equity")</f>
        <v/>
      </c>
      <c r="D43" s="6">
        <f>IF($C43="","",BDP($C43,"NAME"))</f>
        <v/>
      </c>
      <c r="E43" s="6">
        <f>IF($C43="","",BDP($C43,"GICS_SECTOR_NAME"))</f>
        <v/>
      </c>
      <c r="F43" s="31">
        <f>IF($C43="","",BDP($C43,'Field Check'!$C$8))</f>
        <v/>
      </c>
      <c r="G43" s="74">
        <f>IFERROR(IF(LEN($F43)&lt;&gt;3,1,IF($F43="HKD",1,BDP(IF($F43="CNY",Summary!$C$14,$F43)&amp;"HKD Curncy","PX_LAST"))),1)</f>
        <v/>
      </c>
      <c r="H43" s="54">
        <f>IF($C43="","",BDP($C43,'Field Check'!$C$9))</f>
        <v/>
      </c>
      <c r="I43" s="45">
        <f>IF($C43="","",BDP($C43,'Field Check'!$C$10))</f>
        <v/>
      </c>
      <c r="J43" s="47">
        <f>IF($B43="",0,IF(Summary!$C$13="Y",SUMIFS('Dvd Calendar'!$E$551:$AR$551,'Dvd Calendar'!$E$550:$AR$550,"&gt;="&amp;DATE(Summary!$C$12,1,1),'Dvd Calendar'!$E$550:$AR$550,"&lt;="&amp;MIN(Summary!$C$11,DATE(Summary!$C$12,12,31))),SUMIFS('Dvd Calendar'!$E$551:$AR$551,'Dvd Calendar'!$E$550:$AR$550,"&gt;="&amp;DATE(Summary!$C$12,1,1),'Dvd Calendar'!$E$550:$AR$550,"&lt;="&amp;MIN(Summary!$C$11,DATE(Summary!$C$12,12,31)),'Dvd Calendar'!$E$555:$AR$555,"&lt;&gt;"&amp;'Field Check'!$C$25)))</f>
        <v/>
      </c>
      <c r="K43" s="47">
        <f>IF($B43="",0,IF(Summary!$C$13="Y",SUMIFS('Dvd Calendar'!$E$558:$AR$558,'Dvd Calendar'!$E$557:$AR$557,"&gt;"&amp;MAX(Summary!$C$11,DATE(Summary!$C$12,1,1)-1),'Dvd Calendar'!$E$557:$AR$557,"&lt;="&amp;DATE(Summary!$C$12,12,31)),SUMIFS('Dvd Calendar'!$E$558:$AR$558,'Dvd Calendar'!$E$557:$AR$557,"&gt;"&amp;MAX(Summary!$C$11,DATE(Summary!$C$12,1,1)-1),'Dvd Calendar'!$E$557:$AR$557,"&lt;="&amp;DATE(Summary!$C$12,12,31),'Dvd Calendar'!$E$562:$AR$562,"&lt;&gt;"&amp;'Field Check'!$C$25)))</f>
        <v/>
      </c>
      <c r="L43" s="47">
        <f>IF($B43="",0,IF((Override!$C$4="ON")*ISNUMBER(Override!$G$49)&gt;0,Override!$G$49,$K43))</f>
        <v/>
      </c>
      <c r="M43" s="47">
        <f>IF($B43="",0,IF((Override!$C$4="ON")*ISNUMBER(Override!$H$49)&gt;0,Override!$H$49,$L43))</f>
        <v/>
      </c>
      <c r="N43" s="47">
        <f>IF($B43="",0,IF((Override!$C$4="ON")*ISNUMBER(Override!$I$49)&gt;0,Override!$I$49,$L43))</f>
        <v/>
      </c>
      <c r="O43" s="54">
        <f>IF($B43="","",IFERROR($B43*$G43*$J43/$B$3,""))</f>
        <v/>
      </c>
      <c r="P43" s="54">
        <f>IF($B43="","",IFERROR($B43*$G43*$L43/$B$3,""))</f>
        <v/>
      </c>
      <c r="Q43" s="38">
        <f>IF($B43="","",IFERROR($O43+$P43,""))</f>
        <v/>
      </c>
      <c r="R43" s="54">
        <f>IF($B43="","",IFERROR($O43+$B43*$G43*$M43/$B$3,""))</f>
        <v/>
      </c>
      <c r="S43" s="54">
        <f>IF($B43="","",IFERROR($O43+$B43*$G43*$N43/$B$3,""))</f>
        <v/>
      </c>
      <c r="T43" s="63">
        <f>IF($B43="","",IFERROR($Q43/$Q$5,""))</f>
        <v/>
      </c>
      <c r="U43" s="2">
        <f>IF($B43="","",IF(COUNTIFS('Dvd Calendar'!$E$556:$AR$556,"&gt;0",'Dvd Calendar'!$E$557:$AR$557,"&gt;"&amp;MAX(Summary!$C$11,DATE(Summary!$C$12,1,1)-1),'Dvd Calendar'!$E$557:$AR$557,"&lt;="&amp;DATE(Summary!$C$12,12,31))-COUNTIFS('Dvd Calendar'!$E$556:$AR$556,"&gt;0",'Dvd Calendar'!$E$557:$AR$557,"&gt;"&amp;MAX(Summary!$C$11,DATE(Summary!$C$12,1,1)-1),'Dvd Calendar'!$E$557:$AR$557,"&lt;="&amp;DATE(Summary!$C$12,12,31),'Dvd Calendar'!$E$558:$AR$558,"&gt;=0")&gt;0,"TBA amount - override me",IF((Override!$C$4="ON")*ISNUMBER(Override!$G$49)&gt;0,"overridden",IF($J43+$K43=0,"no dividend in year Y",""))))</f>
        <v/>
      </c>
      <c r="V43" s="54">
        <f>IF($B43="","",IFERROR(IF(ISNUMBER($H43),$B43*$G43*$H43/$B$3,0),""))</f>
        <v/>
      </c>
      <c r="W43" s="54">
        <f>IF($B43="","",IFERROR($B43*$G43*$K43/$B$3,""))</f>
        <v/>
      </c>
    </row>
    <row r="44">
      <c r="B44" s="73" t="n"/>
      <c r="C44" s="6">
        <f>IF($A44="","",$A44&amp;" Equity")</f>
        <v/>
      </c>
      <c r="D44" s="6">
        <f>IF($C44="","",BDP($C44,"NAME"))</f>
        <v/>
      </c>
      <c r="E44" s="6">
        <f>IF($C44="","",BDP($C44,"GICS_SECTOR_NAME"))</f>
        <v/>
      </c>
      <c r="F44" s="31">
        <f>IF($C44="","",BDP($C44,'Field Check'!$C$8))</f>
        <v/>
      </c>
      <c r="G44" s="74">
        <f>IFERROR(IF(LEN($F44)&lt;&gt;3,1,IF($F44="HKD",1,BDP(IF($F44="CNY",Summary!$C$14,$F44)&amp;"HKD Curncy","PX_LAST"))),1)</f>
        <v/>
      </c>
      <c r="H44" s="54">
        <f>IF($C44="","",BDP($C44,'Field Check'!$C$9))</f>
        <v/>
      </c>
      <c r="I44" s="45">
        <f>IF($C44="","",BDP($C44,'Field Check'!$C$10))</f>
        <v/>
      </c>
      <c r="J44" s="47">
        <f>IF($B44="",0,IF(Summary!$C$13="Y",SUMIFS('Dvd Calendar'!$E$566:$AR$566,'Dvd Calendar'!$E$565:$AR$565,"&gt;="&amp;DATE(Summary!$C$12,1,1),'Dvd Calendar'!$E$565:$AR$565,"&lt;="&amp;MIN(Summary!$C$11,DATE(Summary!$C$12,12,31))),SUMIFS('Dvd Calendar'!$E$566:$AR$566,'Dvd Calendar'!$E$565:$AR$565,"&gt;="&amp;DATE(Summary!$C$12,1,1),'Dvd Calendar'!$E$565:$AR$565,"&lt;="&amp;MIN(Summary!$C$11,DATE(Summary!$C$12,12,31)),'Dvd Calendar'!$E$570:$AR$570,"&lt;&gt;"&amp;'Field Check'!$C$25)))</f>
        <v/>
      </c>
      <c r="K44" s="47">
        <f>IF($B44="",0,IF(Summary!$C$13="Y",SUMIFS('Dvd Calendar'!$E$573:$AR$573,'Dvd Calendar'!$E$572:$AR$572,"&gt;"&amp;MAX(Summary!$C$11,DATE(Summary!$C$12,1,1)-1),'Dvd Calendar'!$E$572:$AR$572,"&lt;="&amp;DATE(Summary!$C$12,12,31)),SUMIFS('Dvd Calendar'!$E$573:$AR$573,'Dvd Calendar'!$E$572:$AR$572,"&gt;"&amp;MAX(Summary!$C$11,DATE(Summary!$C$12,1,1)-1),'Dvd Calendar'!$E$572:$AR$572,"&lt;="&amp;DATE(Summary!$C$12,12,31),'Dvd Calendar'!$E$577:$AR$577,"&lt;&gt;"&amp;'Field Check'!$C$25)))</f>
        <v/>
      </c>
      <c r="L44" s="47">
        <f>IF($B44="",0,IF((Override!$C$4="ON")*ISNUMBER(Override!$G$50)&gt;0,Override!$G$50,$K44))</f>
        <v/>
      </c>
      <c r="M44" s="47">
        <f>IF($B44="",0,IF((Override!$C$4="ON")*ISNUMBER(Override!$H$50)&gt;0,Override!$H$50,$L44))</f>
        <v/>
      </c>
      <c r="N44" s="47">
        <f>IF($B44="",0,IF((Override!$C$4="ON")*ISNUMBER(Override!$I$50)&gt;0,Override!$I$50,$L44))</f>
        <v/>
      </c>
      <c r="O44" s="54">
        <f>IF($B44="","",IFERROR($B44*$G44*$J44/$B$3,""))</f>
        <v/>
      </c>
      <c r="P44" s="54">
        <f>IF($B44="","",IFERROR($B44*$G44*$L44/$B$3,""))</f>
        <v/>
      </c>
      <c r="Q44" s="38">
        <f>IF($B44="","",IFERROR($O44+$P44,""))</f>
        <v/>
      </c>
      <c r="R44" s="54">
        <f>IF($B44="","",IFERROR($O44+$B44*$G44*$M44/$B$3,""))</f>
        <v/>
      </c>
      <c r="S44" s="54">
        <f>IF($B44="","",IFERROR($O44+$B44*$G44*$N44/$B$3,""))</f>
        <v/>
      </c>
      <c r="T44" s="63">
        <f>IF($B44="","",IFERROR($Q44/$Q$5,""))</f>
        <v/>
      </c>
      <c r="U44" s="2">
        <f>IF($B44="","",IF(COUNTIFS('Dvd Calendar'!$E$571:$AR$571,"&gt;0",'Dvd Calendar'!$E$572:$AR$572,"&gt;"&amp;MAX(Summary!$C$11,DATE(Summary!$C$12,1,1)-1),'Dvd Calendar'!$E$572:$AR$572,"&lt;="&amp;DATE(Summary!$C$12,12,31))-COUNTIFS('Dvd Calendar'!$E$571:$AR$571,"&gt;0",'Dvd Calendar'!$E$572:$AR$572,"&gt;"&amp;MAX(Summary!$C$11,DATE(Summary!$C$12,1,1)-1),'Dvd Calendar'!$E$572:$AR$572,"&lt;="&amp;DATE(Summary!$C$12,12,31),'Dvd Calendar'!$E$573:$AR$573,"&gt;=0")&gt;0,"TBA amount - override me",IF((Override!$C$4="ON")*ISNUMBER(Override!$G$50)&gt;0,"overridden",IF($J44+$K44=0,"no dividend in year Y",""))))</f>
        <v/>
      </c>
      <c r="V44" s="54">
        <f>IF($B44="","",IFERROR(IF(ISNUMBER($H44),$B44*$G44*$H44/$B$3,0),""))</f>
        <v/>
      </c>
      <c r="W44" s="54">
        <f>IF($B44="","",IFERROR($B44*$G44*$K44/$B$3,""))</f>
        <v/>
      </c>
    </row>
    <row r="45">
      <c r="B45" s="73" t="n"/>
      <c r="C45" s="6">
        <f>IF($A45="","",$A45&amp;" Equity")</f>
        <v/>
      </c>
      <c r="D45" s="6">
        <f>IF($C45="","",BDP($C45,"NAME"))</f>
        <v/>
      </c>
      <c r="E45" s="6">
        <f>IF($C45="","",BDP($C45,"GICS_SECTOR_NAME"))</f>
        <v/>
      </c>
      <c r="F45" s="31">
        <f>IF($C45="","",BDP($C45,'Field Check'!$C$8))</f>
        <v/>
      </c>
      <c r="G45" s="74">
        <f>IFERROR(IF(LEN($F45)&lt;&gt;3,1,IF($F45="HKD",1,BDP(IF($F45="CNY",Summary!$C$14,$F45)&amp;"HKD Curncy","PX_LAST"))),1)</f>
        <v/>
      </c>
      <c r="H45" s="54">
        <f>IF($C45="","",BDP($C45,'Field Check'!$C$9))</f>
        <v/>
      </c>
      <c r="I45" s="45">
        <f>IF($C45="","",BDP($C45,'Field Check'!$C$10))</f>
        <v/>
      </c>
      <c r="J45" s="47">
        <f>IF($B45="",0,IF(Summary!$C$13="Y",SUMIFS('Dvd Calendar'!$E$581:$AR$581,'Dvd Calendar'!$E$580:$AR$580,"&gt;="&amp;DATE(Summary!$C$12,1,1),'Dvd Calendar'!$E$580:$AR$580,"&lt;="&amp;MIN(Summary!$C$11,DATE(Summary!$C$12,12,31))),SUMIFS('Dvd Calendar'!$E$581:$AR$581,'Dvd Calendar'!$E$580:$AR$580,"&gt;="&amp;DATE(Summary!$C$12,1,1),'Dvd Calendar'!$E$580:$AR$580,"&lt;="&amp;MIN(Summary!$C$11,DATE(Summary!$C$12,12,31)),'Dvd Calendar'!$E$585:$AR$585,"&lt;&gt;"&amp;'Field Check'!$C$25)))</f>
        <v/>
      </c>
      <c r="K45" s="47">
        <f>IF($B45="",0,IF(Summary!$C$13="Y",SUMIFS('Dvd Calendar'!$E$588:$AR$588,'Dvd Calendar'!$E$587:$AR$587,"&gt;"&amp;MAX(Summary!$C$11,DATE(Summary!$C$12,1,1)-1),'Dvd Calendar'!$E$587:$AR$587,"&lt;="&amp;DATE(Summary!$C$12,12,31)),SUMIFS('Dvd Calendar'!$E$588:$AR$588,'Dvd Calendar'!$E$587:$AR$587,"&gt;"&amp;MAX(Summary!$C$11,DATE(Summary!$C$12,1,1)-1),'Dvd Calendar'!$E$587:$AR$587,"&lt;="&amp;DATE(Summary!$C$12,12,31),'Dvd Calendar'!$E$592:$AR$592,"&lt;&gt;"&amp;'Field Check'!$C$25)))</f>
        <v/>
      </c>
      <c r="L45" s="47">
        <f>IF($B45="",0,IF((Override!$C$4="ON")*ISNUMBER(Override!$G$51)&gt;0,Override!$G$51,$K45))</f>
        <v/>
      </c>
      <c r="M45" s="47">
        <f>IF($B45="",0,IF((Override!$C$4="ON")*ISNUMBER(Override!$H$51)&gt;0,Override!$H$51,$L45))</f>
        <v/>
      </c>
      <c r="N45" s="47">
        <f>IF($B45="",0,IF((Override!$C$4="ON")*ISNUMBER(Override!$I$51)&gt;0,Override!$I$51,$L45))</f>
        <v/>
      </c>
      <c r="O45" s="54">
        <f>IF($B45="","",IFERROR($B45*$G45*$J45/$B$3,""))</f>
        <v/>
      </c>
      <c r="P45" s="54">
        <f>IF($B45="","",IFERROR($B45*$G45*$L45/$B$3,""))</f>
        <v/>
      </c>
      <c r="Q45" s="38">
        <f>IF($B45="","",IFERROR($O45+$P45,""))</f>
        <v/>
      </c>
      <c r="R45" s="54">
        <f>IF($B45="","",IFERROR($O45+$B45*$G45*$M45/$B$3,""))</f>
        <v/>
      </c>
      <c r="S45" s="54">
        <f>IF($B45="","",IFERROR($O45+$B45*$G45*$N45/$B$3,""))</f>
        <v/>
      </c>
      <c r="T45" s="63">
        <f>IF($B45="","",IFERROR($Q45/$Q$5,""))</f>
        <v/>
      </c>
      <c r="U45" s="2">
        <f>IF($B45="","",IF(COUNTIFS('Dvd Calendar'!$E$586:$AR$586,"&gt;0",'Dvd Calendar'!$E$587:$AR$587,"&gt;"&amp;MAX(Summary!$C$11,DATE(Summary!$C$12,1,1)-1),'Dvd Calendar'!$E$587:$AR$587,"&lt;="&amp;DATE(Summary!$C$12,12,31))-COUNTIFS('Dvd Calendar'!$E$586:$AR$586,"&gt;0",'Dvd Calendar'!$E$587:$AR$587,"&gt;"&amp;MAX(Summary!$C$11,DATE(Summary!$C$12,1,1)-1),'Dvd Calendar'!$E$587:$AR$587,"&lt;="&amp;DATE(Summary!$C$12,12,31),'Dvd Calendar'!$E$588:$AR$588,"&gt;=0")&gt;0,"TBA amount - override me",IF((Override!$C$4="ON")*ISNUMBER(Override!$G$51)&gt;0,"overridden",IF($J45+$K45=0,"no dividend in year Y",""))))</f>
        <v/>
      </c>
      <c r="V45" s="54">
        <f>IF($B45="","",IFERROR(IF(ISNUMBER($H45),$B45*$G45*$H45/$B$3,0),""))</f>
        <v/>
      </c>
      <c r="W45" s="54">
        <f>IF($B45="","",IFERROR($B45*$G45*$K45/$B$3,""))</f>
        <v/>
      </c>
    </row>
    <row r="46">
      <c r="B46" s="73" t="n"/>
      <c r="C46" s="6">
        <f>IF($A46="","",$A46&amp;" Equity")</f>
        <v/>
      </c>
      <c r="D46" s="6">
        <f>IF($C46="","",BDP($C46,"NAME"))</f>
        <v/>
      </c>
      <c r="E46" s="6">
        <f>IF($C46="","",BDP($C46,"GICS_SECTOR_NAME"))</f>
        <v/>
      </c>
      <c r="F46" s="31">
        <f>IF($C46="","",BDP($C46,'Field Check'!$C$8))</f>
        <v/>
      </c>
      <c r="G46" s="74">
        <f>IFERROR(IF(LEN($F46)&lt;&gt;3,1,IF($F46="HKD",1,BDP(IF($F46="CNY",Summary!$C$14,$F46)&amp;"HKD Curncy","PX_LAST"))),1)</f>
        <v/>
      </c>
      <c r="H46" s="54">
        <f>IF($C46="","",BDP($C46,'Field Check'!$C$9))</f>
        <v/>
      </c>
      <c r="I46" s="45">
        <f>IF($C46="","",BDP($C46,'Field Check'!$C$10))</f>
        <v/>
      </c>
      <c r="J46" s="47">
        <f>IF($B46="",0,IF(Summary!$C$13="Y",SUMIFS('Dvd Calendar'!$E$596:$AR$596,'Dvd Calendar'!$E$595:$AR$595,"&gt;="&amp;DATE(Summary!$C$12,1,1),'Dvd Calendar'!$E$595:$AR$595,"&lt;="&amp;MIN(Summary!$C$11,DATE(Summary!$C$12,12,31))),SUMIFS('Dvd Calendar'!$E$596:$AR$596,'Dvd Calendar'!$E$595:$AR$595,"&gt;="&amp;DATE(Summary!$C$12,1,1),'Dvd Calendar'!$E$595:$AR$595,"&lt;="&amp;MIN(Summary!$C$11,DATE(Summary!$C$12,12,31)),'Dvd Calendar'!$E$600:$AR$600,"&lt;&gt;"&amp;'Field Check'!$C$25)))</f>
        <v/>
      </c>
      <c r="K46" s="47">
        <f>IF($B46="",0,IF(Summary!$C$13="Y",SUMIFS('Dvd Calendar'!$E$603:$AR$603,'Dvd Calendar'!$E$602:$AR$602,"&gt;"&amp;MAX(Summary!$C$11,DATE(Summary!$C$12,1,1)-1),'Dvd Calendar'!$E$602:$AR$602,"&lt;="&amp;DATE(Summary!$C$12,12,31)),SUMIFS('Dvd Calendar'!$E$603:$AR$603,'Dvd Calendar'!$E$602:$AR$602,"&gt;"&amp;MAX(Summary!$C$11,DATE(Summary!$C$12,1,1)-1),'Dvd Calendar'!$E$602:$AR$602,"&lt;="&amp;DATE(Summary!$C$12,12,31),'Dvd Calendar'!$E$607:$AR$607,"&lt;&gt;"&amp;'Field Check'!$C$25)))</f>
        <v/>
      </c>
      <c r="L46" s="47">
        <f>IF($B46="",0,IF((Override!$C$4="ON")*ISNUMBER(Override!$G$52)&gt;0,Override!$G$52,$K46))</f>
        <v/>
      </c>
      <c r="M46" s="47">
        <f>IF($B46="",0,IF((Override!$C$4="ON")*ISNUMBER(Override!$H$52)&gt;0,Override!$H$52,$L46))</f>
        <v/>
      </c>
      <c r="N46" s="47">
        <f>IF($B46="",0,IF((Override!$C$4="ON")*ISNUMBER(Override!$I$52)&gt;0,Override!$I$52,$L46))</f>
        <v/>
      </c>
      <c r="O46" s="54">
        <f>IF($B46="","",IFERROR($B46*$G46*$J46/$B$3,""))</f>
        <v/>
      </c>
      <c r="P46" s="54">
        <f>IF($B46="","",IFERROR($B46*$G46*$L46/$B$3,""))</f>
        <v/>
      </c>
      <c r="Q46" s="38">
        <f>IF($B46="","",IFERROR($O46+$P46,""))</f>
        <v/>
      </c>
      <c r="R46" s="54">
        <f>IF($B46="","",IFERROR($O46+$B46*$G46*$M46/$B$3,""))</f>
        <v/>
      </c>
      <c r="S46" s="54">
        <f>IF($B46="","",IFERROR($O46+$B46*$G46*$N46/$B$3,""))</f>
        <v/>
      </c>
      <c r="T46" s="63">
        <f>IF($B46="","",IFERROR($Q46/$Q$5,""))</f>
        <v/>
      </c>
      <c r="U46" s="2">
        <f>IF($B46="","",IF(COUNTIFS('Dvd Calendar'!$E$601:$AR$601,"&gt;0",'Dvd Calendar'!$E$602:$AR$602,"&gt;"&amp;MAX(Summary!$C$11,DATE(Summary!$C$12,1,1)-1),'Dvd Calendar'!$E$602:$AR$602,"&lt;="&amp;DATE(Summary!$C$12,12,31))-COUNTIFS('Dvd Calendar'!$E$601:$AR$601,"&gt;0",'Dvd Calendar'!$E$602:$AR$602,"&gt;"&amp;MAX(Summary!$C$11,DATE(Summary!$C$12,1,1)-1),'Dvd Calendar'!$E$602:$AR$602,"&lt;="&amp;DATE(Summary!$C$12,12,31),'Dvd Calendar'!$E$603:$AR$603,"&gt;=0")&gt;0,"TBA amount - override me",IF((Override!$C$4="ON")*ISNUMBER(Override!$G$52)&gt;0,"overridden",IF($J46+$K46=0,"no dividend in year Y",""))))</f>
        <v/>
      </c>
      <c r="V46" s="54">
        <f>IF($B46="","",IFERROR(IF(ISNUMBER($H46),$B46*$G46*$H46/$B$3,0),""))</f>
        <v/>
      </c>
      <c r="W46" s="54">
        <f>IF($B46="","",IFERROR($B46*$G46*$K46/$B$3,""))</f>
        <v/>
      </c>
    </row>
    <row r="47">
      <c r="B47" s="73" t="n"/>
      <c r="C47" s="6">
        <f>IF($A47="","",$A47&amp;" Equity")</f>
        <v/>
      </c>
      <c r="D47" s="6">
        <f>IF($C47="","",BDP($C47,"NAME"))</f>
        <v/>
      </c>
      <c r="E47" s="6">
        <f>IF($C47="","",BDP($C47,"GICS_SECTOR_NAME"))</f>
        <v/>
      </c>
      <c r="F47" s="31">
        <f>IF($C47="","",BDP($C47,'Field Check'!$C$8))</f>
        <v/>
      </c>
      <c r="G47" s="74">
        <f>IFERROR(IF(LEN($F47)&lt;&gt;3,1,IF($F47="HKD",1,BDP(IF($F47="CNY",Summary!$C$14,$F47)&amp;"HKD Curncy","PX_LAST"))),1)</f>
        <v/>
      </c>
      <c r="H47" s="54">
        <f>IF($C47="","",BDP($C47,'Field Check'!$C$9))</f>
        <v/>
      </c>
      <c r="I47" s="45">
        <f>IF($C47="","",BDP($C47,'Field Check'!$C$10))</f>
        <v/>
      </c>
      <c r="J47" s="47">
        <f>IF($B47="",0,IF(Summary!$C$13="Y",SUMIFS('Dvd Calendar'!$E$611:$AR$611,'Dvd Calendar'!$E$610:$AR$610,"&gt;="&amp;DATE(Summary!$C$12,1,1),'Dvd Calendar'!$E$610:$AR$610,"&lt;="&amp;MIN(Summary!$C$11,DATE(Summary!$C$12,12,31))),SUMIFS('Dvd Calendar'!$E$611:$AR$611,'Dvd Calendar'!$E$610:$AR$610,"&gt;="&amp;DATE(Summary!$C$12,1,1),'Dvd Calendar'!$E$610:$AR$610,"&lt;="&amp;MIN(Summary!$C$11,DATE(Summary!$C$12,12,31)),'Dvd Calendar'!$E$615:$AR$615,"&lt;&gt;"&amp;'Field Check'!$C$25)))</f>
        <v/>
      </c>
      <c r="K47" s="47">
        <f>IF($B47="",0,IF(Summary!$C$13="Y",SUMIFS('Dvd Calendar'!$E$618:$AR$618,'Dvd Calendar'!$E$617:$AR$617,"&gt;"&amp;MAX(Summary!$C$11,DATE(Summary!$C$12,1,1)-1),'Dvd Calendar'!$E$617:$AR$617,"&lt;="&amp;DATE(Summary!$C$12,12,31)),SUMIFS('Dvd Calendar'!$E$618:$AR$618,'Dvd Calendar'!$E$617:$AR$617,"&gt;"&amp;MAX(Summary!$C$11,DATE(Summary!$C$12,1,1)-1),'Dvd Calendar'!$E$617:$AR$617,"&lt;="&amp;DATE(Summary!$C$12,12,31),'Dvd Calendar'!$E$622:$AR$622,"&lt;&gt;"&amp;'Field Check'!$C$25)))</f>
        <v/>
      </c>
      <c r="L47" s="47">
        <f>IF($B47="",0,IF((Override!$C$4="ON")*ISNUMBER(Override!$G$53)&gt;0,Override!$G$53,$K47))</f>
        <v/>
      </c>
      <c r="M47" s="47">
        <f>IF($B47="",0,IF((Override!$C$4="ON")*ISNUMBER(Override!$H$53)&gt;0,Override!$H$53,$L47))</f>
        <v/>
      </c>
      <c r="N47" s="47">
        <f>IF($B47="",0,IF((Override!$C$4="ON")*ISNUMBER(Override!$I$53)&gt;0,Override!$I$53,$L47))</f>
        <v/>
      </c>
      <c r="O47" s="54">
        <f>IF($B47="","",IFERROR($B47*$G47*$J47/$B$3,""))</f>
        <v/>
      </c>
      <c r="P47" s="54">
        <f>IF($B47="","",IFERROR($B47*$G47*$L47/$B$3,""))</f>
        <v/>
      </c>
      <c r="Q47" s="38">
        <f>IF($B47="","",IFERROR($O47+$P47,""))</f>
        <v/>
      </c>
      <c r="R47" s="54">
        <f>IF($B47="","",IFERROR($O47+$B47*$G47*$M47/$B$3,""))</f>
        <v/>
      </c>
      <c r="S47" s="54">
        <f>IF($B47="","",IFERROR($O47+$B47*$G47*$N47/$B$3,""))</f>
        <v/>
      </c>
      <c r="T47" s="63">
        <f>IF($B47="","",IFERROR($Q47/$Q$5,""))</f>
        <v/>
      </c>
      <c r="U47" s="2">
        <f>IF($B47="","",IF(COUNTIFS('Dvd Calendar'!$E$616:$AR$616,"&gt;0",'Dvd Calendar'!$E$617:$AR$617,"&gt;"&amp;MAX(Summary!$C$11,DATE(Summary!$C$12,1,1)-1),'Dvd Calendar'!$E$617:$AR$617,"&lt;="&amp;DATE(Summary!$C$12,12,31))-COUNTIFS('Dvd Calendar'!$E$616:$AR$616,"&gt;0",'Dvd Calendar'!$E$617:$AR$617,"&gt;"&amp;MAX(Summary!$C$11,DATE(Summary!$C$12,1,1)-1),'Dvd Calendar'!$E$617:$AR$617,"&lt;="&amp;DATE(Summary!$C$12,12,31),'Dvd Calendar'!$E$618:$AR$618,"&gt;=0")&gt;0,"TBA amount - override me",IF((Override!$C$4="ON")*ISNUMBER(Override!$G$53)&gt;0,"overridden",IF($J47+$K47=0,"no dividend in year Y",""))))</f>
        <v/>
      </c>
      <c r="V47" s="54">
        <f>IF($B47="","",IFERROR(IF(ISNUMBER($H47),$B47*$G47*$H47/$B$3,0),""))</f>
        <v/>
      </c>
      <c r="W47" s="54">
        <f>IF($B47="","",IFERROR($B47*$G47*$K47/$B$3,""))</f>
        <v/>
      </c>
    </row>
    <row r="48">
      <c r="B48" s="73" t="n"/>
      <c r="C48" s="6">
        <f>IF($A48="","",$A48&amp;" Equity")</f>
        <v/>
      </c>
      <c r="D48" s="6">
        <f>IF($C48="","",BDP($C48,"NAME"))</f>
        <v/>
      </c>
      <c r="E48" s="6">
        <f>IF($C48="","",BDP($C48,"GICS_SECTOR_NAME"))</f>
        <v/>
      </c>
      <c r="F48" s="31">
        <f>IF($C48="","",BDP($C48,'Field Check'!$C$8))</f>
        <v/>
      </c>
      <c r="G48" s="74">
        <f>IFERROR(IF(LEN($F48)&lt;&gt;3,1,IF($F48="HKD",1,BDP(IF($F48="CNY",Summary!$C$14,$F48)&amp;"HKD Curncy","PX_LAST"))),1)</f>
        <v/>
      </c>
      <c r="H48" s="54">
        <f>IF($C48="","",BDP($C48,'Field Check'!$C$9))</f>
        <v/>
      </c>
      <c r="I48" s="45">
        <f>IF($C48="","",BDP($C48,'Field Check'!$C$10))</f>
        <v/>
      </c>
      <c r="J48" s="47">
        <f>IF($B48="",0,IF(Summary!$C$13="Y",SUMIFS('Dvd Calendar'!$E$626:$AR$626,'Dvd Calendar'!$E$625:$AR$625,"&gt;="&amp;DATE(Summary!$C$12,1,1),'Dvd Calendar'!$E$625:$AR$625,"&lt;="&amp;MIN(Summary!$C$11,DATE(Summary!$C$12,12,31))),SUMIFS('Dvd Calendar'!$E$626:$AR$626,'Dvd Calendar'!$E$625:$AR$625,"&gt;="&amp;DATE(Summary!$C$12,1,1),'Dvd Calendar'!$E$625:$AR$625,"&lt;="&amp;MIN(Summary!$C$11,DATE(Summary!$C$12,12,31)),'Dvd Calendar'!$E$630:$AR$630,"&lt;&gt;"&amp;'Field Check'!$C$25)))</f>
        <v/>
      </c>
      <c r="K48" s="47">
        <f>IF($B48="",0,IF(Summary!$C$13="Y",SUMIFS('Dvd Calendar'!$E$633:$AR$633,'Dvd Calendar'!$E$632:$AR$632,"&gt;"&amp;MAX(Summary!$C$11,DATE(Summary!$C$12,1,1)-1),'Dvd Calendar'!$E$632:$AR$632,"&lt;="&amp;DATE(Summary!$C$12,12,31)),SUMIFS('Dvd Calendar'!$E$633:$AR$633,'Dvd Calendar'!$E$632:$AR$632,"&gt;"&amp;MAX(Summary!$C$11,DATE(Summary!$C$12,1,1)-1),'Dvd Calendar'!$E$632:$AR$632,"&lt;="&amp;DATE(Summary!$C$12,12,31),'Dvd Calendar'!$E$637:$AR$637,"&lt;&gt;"&amp;'Field Check'!$C$25)))</f>
        <v/>
      </c>
      <c r="L48" s="47">
        <f>IF($B48="",0,IF((Override!$C$4="ON")*ISNUMBER(Override!$G$54)&gt;0,Override!$G$54,$K48))</f>
        <v/>
      </c>
      <c r="M48" s="47">
        <f>IF($B48="",0,IF((Override!$C$4="ON")*ISNUMBER(Override!$H$54)&gt;0,Override!$H$54,$L48))</f>
        <v/>
      </c>
      <c r="N48" s="47">
        <f>IF($B48="",0,IF((Override!$C$4="ON")*ISNUMBER(Override!$I$54)&gt;0,Override!$I$54,$L48))</f>
        <v/>
      </c>
      <c r="O48" s="54">
        <f>IF($B48="","",IFERROR($B48*$G48*$J48/$B$3,""))</f>
        <v/>
      </c>
      <c r="P48" s="54">
        <f>IF($B48="","",IFERROR($B48*$G48*$L48/$B$3,""))</f>
        <v/>
      </c>
      <c r="Q48" s="38">
        <f>IF($B48="","",IFERROR($O48+$P48,""))</f>
        <v/>
      </c>
      <c r="R48" s="54">
        <f>IF($B48="","",IFERROR($O48+$B48*$G48*$M48/$B$3,""))</f>
        <v/>
      </c>
      <c r="S48" s="54">
        <f>IF($B48="","",IFERROR($O48+$B48*$G48*$N48/$B$3,""))</f>
        <v/>
      </c>
      <c r="T48" s="63">
        <f>IF($B48="","",IFERROR($Q48/$Q$5,""))</f>
        <v/>
      </c>
      <c r="U48" s="2">
        <f>IF($B48="","",IF(COUNTIFS('Dvd Calendar'!$E$631:$AR$631,"&gt;0",'Dvd Calendar'!$E$632:$AR$632,"&gt;"&amp;MAX(Summary!$C$11,DATE(Summary!$C$12,1,1)-1),'Dvd Calendar'!$E$632:$AR$632,"&lt;="&amp;DATE(Summary!$C$12,12,31))-COUNTIFS('Dvd Calendar'!$E$631:$AR$631,"&gt;0",'Dvd Calendar'!$E$632:$AR$632,"&gt;"&amp;MAX(Summary!$C$11,DATE(Summary!$C$12,1,1)-1),'Dvd Calendar'!$E$632:$AR$632,"&lt;="&amp;DATE(Summary!$C$12,12,31),'Dvd Calendar'!$E$633:$AR$633,"&gt;=0")&gt;0,"TBA amount - override me",IF((Override!$C$4="ON")*ISNUMBER(Override!$G$54)&gt;0,"overridden",IF($J48+$K48=0,"no dividend in year Y",""))))</f>
        <v/>
      </c>
      <c r="V48" s="54">
        <f>IF($B48="","",IFERROR(IF(ISNUMBER($H48),$B48*$G48*$H48/$B$3,0),""))</f>
        <v/>
      </c>
      <c r="W48" s="54">
        <f>IF($B48="","",IFERROR($B48*$G48*$K48/$B$3,""))</f>
        <v/>
      </c>
    </row>
    <row r="49">
      <c r="B49" s="73" t="n"/>
      <c r="C49" s="6">
        <f>IF($A49="","",$A49&amp;" Equity")</f>
        <v/>
      </c>
      <c r="D49" s="6">
        <f>IF($C49="","",BDP($C49,"NAME"))</f>
        <v/>
      </c>
      <c r="E49" s="6">
        <f>IF($C49="","",BDP($C49,"GICS_SECTOR_NAME"))</f>
        <v/>
      </c>
      <c r="F49" s="31">
        <f>IF($C49="","",BDP($C49,'Field Check'!$C$8))</f>
        <v/>
      </c>
      <c r="G49" s="74">
        <f>IFERROR(IF(LEN($F49)&lt;&gt;3,1,IF($F49="HKD",1,BDP(IF($F49="CNY",Summary!$C$14,$F49)&amp;"HKD Curncy","PX_LAST"))),1)</f>
        <v/>
      </c>
      <c r="H49" s="54">
        <f>IF($C49="","",BDP($C49,'Field Check'!$C$9))</f>
        <v/>
      </c>
      <c r="I49" s="45">
        <f>IF($C49="","",BDP($C49,'Field Check'!$C$10))</f>
        <v/>
      </c>
      <c r="J49" s="47">
        <f>IF($B49="",0,IF(Summary!$C$13="Y",SUMIFS('Dvd Calendar'!$E$641:$AR$641,'Dvd Calendar'!$E$640:$AR$640,"&gt;="&amp;DATE(Summary!$C$12,1,1),'Dvd Calendar'!$E$640:$AR$640,"&lt;="&amp;MIN(Summary!$C$11,DATE(Summary!$C$12,12,31))),SUMIFS('Dvd Calendar'!$E$641:$AR$641,'Dvd Calendar'!$E$640:$AR$640,"&gt;="&amp;DATE(Summary!$C$12,1,1),'Dvd Calendar'!$E$640:$AR$640,"&lt;="&amp;MIN(Summary!$C$11,DATE(Summary!$C$12,12,31)),'Dvd Calendar'!$E$645:$AR$645,"&lt;&gt;"&amp;'Field Check'!$C$25)))</f>
        <v/>
      </c>
      <c r="K49" s="47">
        <f>IF($B49="",0,IF(Summary!$C$13="Y",SUMIFS('Dvd Calendar'!$E$648:$AR$648,'Dvd Calendar'!$E$647:$AR$647,"&gt;"&amp;MAX(Summary!$C$11,DATE(Summary!$C$12,1,1)-1),'Dvd Calendar'!$E$647:$AR$647,"&lt;="&amp;DATE(Summary!$C$12,12,31)),SUMIFS('Dvd Calendar'!$E$648:$AR$648,'Dvd Calendar'!$E$647:$AR$647,"&gt;"&amp;MAX(Summary!$C$11,DATE(Summary!$C$12,1,1)-1),'Dvd Calendar'!$E$647:$AR$647,"&lt;="&amp;DATE(Summary!$C$12,12,31),'Dvd Calendar'!$E$652:$AR$652,"&lt;&gt;"&amp;'Field Check'!$C$25)))</f>
        <v/>
      </c>
      <c r="L49" s="47">
        <f>IF($B49="",0,IF((Override!$C$4="ON")*ISNUMBER(Override!$G$55)&gt;0,Override!$G$55,$K49))</f>
        <v/>
      </c>
      <c r="M49" s="47">
        <f>IF($B49="",0,IF((Override!$C$4="ON")*ISNUMBER(Override!$H$55)&gt;0,Override!$H$55,$L49))</f>
        <v/>
      </c>
      <c r="N49" s="47">
        <f>IF($B49="",0,IF((Override!$C$4="ON")*ISNUMBER(Override!$I$55)&gt;0,Override!$I$55,$L49))</f>
        <v/>
      </c>
      <c r="O49" s="54">
        <f>IF($B49="","",IFERROR($B49*$G49*$J49/$B$3,""))</f>
        <v/>
      </c>
      <c r="P49" s="54">
        <f>IF($B49="","",IFERROR($B49*$G49*$L49/$B$3,""))</f>
        <v/>
      </c>
      <c r="Q49" s="38">
        <f>IF($B49="","",IFERROR($O49+$P49,""))</f>
        <v/>
      </c>
      <c r="R49" s="54">
        <f>IF($B49="","",IFERROR($O49+$B49*$G49*$M49/$B$3,""))</f>
        <v/>
      </c>
      <c r="S49" s="54">
        <f>IF($B49="","",IFERROR($O49+$B49*$G49*$N49/$B$3,""))</f>
        <v/>
      </c>
      <c r="T49" s="63">
        <f>IF($B49="","",IFERROR($Q49/$Q$5,""))</f>
        <v/>
      </c>
      <c r="U49" s="2">
        <f>IF($B49="","",IF(COUNTIFS('Dvd Calendar'!$E$646:$AR$646,"&gt;0",'Dvd Calendar'!$E$647:$AR$647,"&gt;"&amp;MAX(Summary!$C$11,DATE(Summary!$C$12,1,1)-1),'Dvd Calendar'!$E$647:$AR$647,"&lt;="&amp;DATE(Summary!$C$12,12,31))-COUNTIFS('Dvd Calendar'!$E$646:$AR$646,"&gt;0",'Dvd Calendar'!$E$647:$AR$647,"&gt;"&amp;MAX(Summary!$C$11,DATE(Summary!$C$12,1,1)-1),'Dvd Calendar'!$E$647:$AR$647,"&lt;="&amp;DATE(Summary!$C$12,12,31),'Dvd Calendar'!$E$648:$AR$648,"&gt;=0")&gt;0,"TBA amount - override me",IF((Override!$C$4="ON")*ISNUMBER(Override!$G$55)&gt;0,"overridden",IF($J49+$K49=0,"no dividend in year Y",""))))</f>
        <v/>
      </c>
      <c r="V49" s="54">
        <f>IF($B49="","",IFERROR(IF(ISNUMBER($H49),$B49*$G49*$H49/$B$3,0),""))</f>
        <v/>
      </c>
      <c r="W49" s="54">
        <f>IF($B49="","",IFERROR($B49*$G49*$K49/$B$3,""))</f>
        <v/>
      </c>
    </row>
    <row r="50">
      <c r="B50" s="73" t="n"/>
      <c r="C50" s="6">
        <f>IF($A50="","",$A50&amp;" Equity")</f>
        <v/>
      </c>
      <c r="D50" s="6">
        <f>IF($C50="","",BDP($C50,"NAME"))</f>
        <v/>
      </c>
      <c r="E50" s="6">
        <f>IF($C50="","",BDP($C50,"GICS_SECTOR_NAME"))</f>
        <v/>
      </c>
      <c r="F50" s="31">
        <f>IF($C50="","",BDP($C50,'Field Check'!$C$8))</f>
        <v/>
      </c>
      <c r="G50" s="74">
        <f>IFERROR(IF(LEN($F50)&lt;&gt;3,1,IF($F50="HKD",1,BDP(IF($F50="CNY",Summary!$C$14,$F50)&amp;"HKD Curncy","PX_LAST"))),1)</f>
        <v/>
      </c>
      <c r="H50" s="54">
        <f>IF($C50="","",BDP($C50,'Field Check'!$C$9))</f>
        <v/>
      </c>
      <c r="I50" s="45">
        <f>IF($C50="","",BDP($C50,'Field Check'!$C$10))</f>
        <v/>
      </c>
      <c r="J50" s="47">
        <f>IF($B50="",0,IF(Summary!$C$13="Y",SUMIFS('Dvd Calendar'!$E$656:$AR$656,'Dvd Calendar'!$E$655:$AR$655,"&gt;="&amp;DATE(Summary!$C$12,1,1),'Dvd Calendar'!$E$655:$AR$655,"&lt;="&amp;MIN(Summary!$C$11,DATE(Summary!$C$12,12,31))),SUMIFS('Dvd Calendar'!$E$656:$AR$656,'Dvd Calendar'!$E$655:$AR$655,"&gt;="&amp;DATE(Summary!$C$12,1,1),'Dvd Calendar'!$E$655:$AR$655,"&lt;="&amp;MIN(Summary!$C$11,DATE(Summary!$C$12,12,31)),'Dvd Calendar'!$E$660:$AR$660,"&lt;&gt;"&amp;'Field Check'!$C$25)))</f>
        <v/>
      </c>
      <c r="K50" s="47">
        <f>IF($B50="",0,IF(Summary!$C$13="Y",SUMIFS('Dvd Calendar'!$E$663:$AR$663,'Dvd Calendar'!$E$662:$AR$662,"&gt;"&amp;MAX(Summary!$C$11,DATE(Summary!$C$12,1,1)-1),'Dvd Calendar'!$E$662:$AR$662,"&lt;="&amp;DATE(Summary!$C$12,12,31)),SUMIFS('Dvd Calendar'!$E$663:$AR$663,'Dvd Calendar'!$E$662:$AR$662,"&gt;"&amp;MAX(Summary!$C$11,DATE(Summary!$C$12,1,1)-1),'Dvd Calendar'!$E$662:$AR$662,"&lt;="&amp;DATE(Summary!$C$12,12,31),'Dvd Calendar'!$E$667:$AR$667,"&lt;&gt;"&amp;'Field Check'!$C$25)))</f>
        <v/>
      </c>
      <c r="L50" s="47">
        <f>IF($B50="",0,IF((Override!$C$4="ON")*ISNUMBER(Override!$G$56)&gt;0,Override!$G$56,$K50))</f>
        <v/>
      </c>
      <c r="M50" s="47">
        <f>IF($B50="",0,IF((Override!$C$4="ON")*ISNUMBER(Override!$H$56)&gt;0,Override!$H$56,$L50))</f>
        <v/>
      </c>
      <c r="N50" s="47">
        <f>IF($B50="",0,IF((Override!$C$4="ON")*ISNUMBER(Override!$I$56)&gt;0,Override!$I$56,$L50))</f>
        <v/>
      </c>
      <c r="O50" s="54">
        <f>IF($B50="","",IFERROR($B50*$G50*$J50/$B$3,""))</f>
        <v/>
      </c>
      <c r="P50" s="54">
        <f>IF($B50="","",IFERROR($B50*$G50*$L50/$B$3,""))</f>
        <v/>
      </c>
      <c r="Q50" s="38">
        <f>IF($B50="","",IFERROR($O50+$P50,""))</f>
        <v/>
      </c>
      <c r="R50" s="54">
        <f>IF($B50="","",IFERROR($O50+$B50*$G50*$M50/$B$3,""))</f>
        <v/>
      </c>
      <c r="S50" s="54">
        <f>IF($B50="","",IFERROR($O50+$B50*$G50*$N50/$B$3,""))</f>
        <v/>
      </c>
      <c r="T50" s="63">
        <f>IF($B50="","",IFERROR($Q50/$Q$5,""))</f>
        <v/>
      </c>
      <c r="U50" s="2">
        <f>IF($B50="","",IF(COUNTIFS('Dvd Calendar'!$E$661:$AR$661,"&gt;0",'Dvd Calendar'!$E$662:$AR$662,"&gt;"&amp;MAX(Summary!$C$11,DATE(Summary!$C$12,1,1)-1),'Dvd Calendar'!$E$662:$AR$662,"&lt;="&amp;DATE(Summary!$C$12,12,31))-COUNTIFS('Dvd Calendar'!$E$661:$AR$661,"&gt;0",'Dvd Calendar'!$E$662:$AR$662,"&gt;"&amp;MAX(Summary!$C$11,DATE(Summary!$C$12,1,1)-1),'Dvd Calendar'!$E$662:$AR$662,"&lt;="&amp;DATE(Summary!$C$12,12,31),'Dvd Calendar'!$E$663:$AR$663,"&gt;=0")&gt;0,"TBA amount - override me",IF((Override!$C$4="ON")*ISNUMBER(Override!$G$56)&gt;0,"overridden",IF($J50+$K50=0,"no dividend in year Y",""))))</f>
        <v/>
      </c>
      <c r="V50" s="54">
        <f>IF($B50="","",IFERROR(IF(ISNUMBER($H50),$B50*$G50*$H50/$B$3,0),""))</f>
        <v/>
      </c>
      <c r="W50" s="54">
        <f>IF($B50="","",IFERROR($B50*$G50*$K50/$B$3,""))</f>
        <v/>
      </c>
    </row>
    <row r="51">
      <c r="B51" s="73" t="n"/>
      <c r="C51" s="6">
        <f>IF($A51="","",$A51&amp;" Equity")</f>
        <v/>
      </c>
      <c r="D51" s="6">
        <f>IF($C51="","",BDP($C51,"NAME"))</f>
        <v/>
      </c>
      <c r="E51" s="6">
        <f>IF($C51="","",BDP($C51,"GICS_SECTOR_NAME"))</f>
        <v/>
      </c>
      <c r="F51" s="31">
        <f>IF($C51="","",BDP($C51,'Field Check'!$C$8))</f>
        <v/>
      </c>
      <c r="G51" s="74">
        <f>IFERROR(IF(LEN($F51)&lt;&gt;3,1,IF($F51="HKD",1,BDP(IF($F51="CNY",Summary!$C$14,$F51)&amp;"HKD Curncy","PX_LAST"))),1)</f>
        <v/>
      </c>
      <c r="H51" s="54">
        <f>IF($C51="","",BDP($C51,'Field Check'!$C$9))</f>
        <v/>
      </c>
      <c r="I51" s="45">
        <f>IF($C51="","",BDP($C51,'Field Check'!$C$10))</f>
        <v/>
      </c>
      <c r="J51" s="47">
        <f>IF($B51="",0,IF(Summary!$C$13="Y",SUMIFS('Dvd Calendar'!$E$671:$AR$671,'Dvd Calendar'!$E$670:$AR$670,"&gt;="&amp;DATE(Summary!$C$12,1,1),'Dvd Calendar'!$E$670:$AR$670,"&lt;="&amp;MIN(Summary!$C$11,DATE(Summary!$C$12,12,31))),SUMIFS('Dvd Calendar'!$E$671:$AR$671,'Dvd Calendar'!$E$670:$AR$670,"&gt;="&amp;DATE(Summary!$C$12,1,1),'Dvd Calendar'!$E$670:$AR$670,"&lt;="&amp;MIN(Summary!$C$11,DATE(Summary!$C$12,12,31)),'Dvd Calendar'!$E$675:$AR$675,"&lt;&gt;"&amp;'Field Check'!$C$25)))</f>
        <v/>
      </c>
      <c r="K51" s="47">
        <f>IF($B51="",0,IF(Summary!$C$13="Y",SUMIFS('Dvd Calendar'!$E$678:$AR$678,'Dvd Calendar'!$E$677:$AR$677,"&gt;"&amp;MAX(Summary!$C$11,DATE(Summary!$C$12,1,1)-1),'Dvd Calendar'!$E$677:$AR$677,"&lt;="&amp;DATE(Summary!$C$12,12,31)),SUMIFS('Dvd Calendar'!$E$678:$AR$678,'Dvd Calendar'!$E$677:$AR$677,"&gt;"&amp;MAX(Summary!$C$11,DATE(Summary!$C$12,1,1)-1),'Dvd Calendar'!$E$677:$AR$677,"&lt;="&amp;DATE(Summary!$C$12,12,31),'Dvd Calendar'!$E$682:$AR$682,"&lt;&gt;"&amp;'Field Check'!$C$25)))</f>
        <v/>
      </c>
      <c r="L51" s="47">
        <f>IF($B51="",0,IF((Override!$C$4="ON")*ISNUMBER(Override!$G$57)&gt;0,Override!$G$57,$K51))</f>
        <v/>
      </c>
      <c r="M51" s="47">
        <f>IF($B51="",0,IF((Override!$C$4="ON")*ISNUMBER(Override!$H$57)&gt;0,Override!$H$57,$L51))</f>
        <v/>
      </c>
      <c r="N51" s="47">
        <f>IF($B51="",0,IF((Override!$C$4="ON")*ISNUMBER(Override!$I$57)&gt;0,Override!$I$57,$L51))</f>
        <v/>
      </c>
      <c r="O51" s="54">
        <f>IF($B51="","",IFERROR($B51*$G51*$J51/$B$3,""))</f>
        <v/>
      </c>
      <c r="P51" s="54">
        <f>IF($B51="","",IFERROR($B51*$G51*$L51/$B$3,""))</f>
        <v/>
      </c>
      <c r="Q51" s="38">
        <f>IF($B51="","",IFERROR($O51+$P51,""))</f>
        <v/>
      </c>
      <c r="R51" s="54">
        <f>IF($B51="","",IFERROR($O51+$B51*$G51*$M51/$B$3,""))</f>
        <v/>
      </c>
      <c r="S51" s="54">
        <f>IF($B51="","",IFERROR($O51+$B51*$G51*$N51/$B$3,""))</f>
        <v/>
      </c>
      <c r="T51" s="63">
        <f>IF($B51="","",IFERROR($Q51/$Q$5,""))</f>
        <v/>
      </c>
      <c r="U51" s="2">
        <f>IF($B51="","",IF(COUNTIFS('Dvd Calendar'!$E$676:$AR$676,"&gt;0",'Dvd Calendar'!$E$677:$AR$677,"&gt;"&amp;MAX(Summary!$C$11,DATE(Summary!$C$12,1,1)-1),'Dvd Calendar'!$E$677:$AR$677,"&lt;="&amp;DATE(Summary!$C$12,12,31))-COUNTIFS('Dvd Calendar'!$E$676:$AR$676,"&gt;0",'Dvd Calendar'!$E$677:$AR$677,"&gt;"&amp;MAX(Summary!$C$11,DATE(Summary!$C$12,1,1)-1),'Dvd Calendar'!$E$677:$AR$677,"&lt;="&amp;DATE(Summary!$C$12,12,31),'Dvd Calendar'!$E$678:$AR$678,"&gt;=0")&gt;0,"TBA amount - override me",IF((Override!$C$4="ON")*ISNUMBER(Override!$G$57)&gt;0,"overridden",IF($J51+$K51=0,"no dividend in year Y",""))))</f>
        <v/>
      </c>
      <c r="V51" s="54">
        <f>IF($B51="","",IFERROR(IF(ISNUMBER($H51),$B51*$G51*$H51/$B$3,0),""))</f>
        <v/>
      </c>
      <c r="W51" s="54">
        <f>IF($B51="","",IFERROR($B51*$G51*$K51/$B$3,""))</f>
        <v/>
      </c>
    </row>
    <row r="52">
      <c r="B52" s="73" t="n"/>
      <c r="C52" s="6">
        <f>IF($A52="","",$A52&amp;" Equity")</f>
        <v/>
      </c>
      <c r="D52" s="6">
        <f>IF($C52="","",BDP($C52,"NAME"))</f>
        <v/>
      </c>
      <c r="E52" s="6">
        <f>IF($C52="","",BDP($C52,"GICS_SECTOR_NAME"))</f>
        <v/>
      </c>
      <c r="F52" s="31">
        <f>IF($C52="","",BDP($C52,'Field Check'!$C$8))</f>
        <v/>
      </c>
      <c r="G52" s="74">
        <f>IFERROR(IF(LEN($F52)&lt;&gt;3,1,IF($F52="HKD",1,BDP(IF($F52="CNY",Summary!$C$14,$F52)&amp;"HKD Curncy","PX_LAST"))),1)</f>
        <v/>
      </c>
      <c r="H52" s="54">
        <f>IF($C52="","",BDP($C52,'Field Check'!$C$9))</f>
        <v/>
      </c>
      <c r="I52" s="45">
        <f>IF($C52="","",BDP($C52,'Field Check'!$C$10))</f>
        <v/>
      </c>
      <c r="J52" s="47">
        <f>IF($B52="",0,IF(Summary!$C$13="Y",SUMIFS('Dvd Calendar'!$E$686:$AR$686,'Dvd Calendar'!$E$685:$AR$685,"&gt;="&amp;DATE(Summary!$C$12,1,1),'Dvd Calendar'!$E$685:$AR$685,"&lt;="&amp;MIN(Summary!$C$11,DATE(Summary!$C$12,12,31))),SUMIFS('Dvd Calendar'!$E$686:$AR$686,'Dvd Calendar'!$E$685:$AR$685,"&gt;="&amp;DATE(Summary!$C$12,1,1),'Dvd Calendar'!$E$685:$AR$685,"&lt;="&amp;MIN(Summary!$C$11,DATE(Summary!$C$12,12,31)),'Dvd Calendar'!$E$690:$AR$690,"&lt;&gt;"&amp;'Field Check'!$C$25)))</f>
        <v/>
      </c>
      <c r="K52" s="47">
        <f>IF($B52="",0,IF(Summary!$C$13="Y",SUMIFS('Dvd Calendar'!$E$693:$AR$693,'Dvd Calendar'!$E$692:$AR$692,"&gt;"&amp;MAX(Summary!$C$11,DATE(Summary!$C$12,1,1)-1),'Dvd Calendar'!$E$692:$AR$692,"&lt;="&amp;DATE(Summary!$C$12,12,31)),SUMIFS('Dvd Calendar'!$E$693:$AR$693,'Dvd Calendar'!$E$692:$AR$692,"&gt;"&amp;MAX(Summary!$C$11,DATE(Summary!$C$12,1,1)-1),'Dvd Calendar'!$E$692:$AR$692,"&lt;="&amp;DATE(Summary!$C$12,12,31),'Dvd Calendar'!$E$697:$AR$697,"&lt;&gt;"&amp;'Field Check'!$C$25)))</f>
        <v/>
      </c>
      <c r="L52" s="47">
        <f>IF($B52="",0,IF((Override!$C$4="ON")*ISNUMBER(Override!$G$58)&gt;0,Override!$G$58,$K52))</f>
        <v/>
      </c>
      <c r="M52" s="47">
        <f>IF($B52="",0,IF((Override!$C$4="ON")*ISNUMBER(Override!$H$58)&gt;0,Override!$H$58,$L52))</f>
        <v/>
      </c>
      <c r="N52" s="47">
        <f>IF($B52="",0,IF((Override!$C$4="ON")*ISNUMBER(Override!$I$58)&gt;0,Override!$I$58,$L52))</f>
        <v/>
      </c>
      <c r="O52" s="54">
        <f>IF($B52="","",IFERROR($B52*$G52*$J52/$B$3,""))</f>
        <v/>
      </c>
      <c r="P52" s="54">
        <f>IF($B52="","",IFERROR($B52*$G52*$L52/$B$3,""))</f>
        <v/>
      </c>
      <c r="Q52" s="38">
        <f>IF($B52="","",IFERROR($O52+$P52,""))</f>
        <v/>
      </c>
      <c r="R52" s="54">
        <f>IF($B52="","",IFERROR($O52+$B52*$G52*$M52/$B$3,""))</f>
        <v/>
      </c>
      <c r="S52" s="54">
        <f>IF($B52="","",IFERROR($O52+$B52*$G52*$N52/$B$3,""))</f>
        <v/>
      </c>
      <c r="T52" s="63">
        <f>IF($B52="","",IFERROR($Q52/$Q$5,""))</f>
        <v/>
      </c>
      <c r="U52" s="2">
        <f>IF($B52="","",IF(COUNTIFS('Dvd Calendar'!$E$691:$AR$691,"&gt;0",'Dvd Calendar'!$E$692:$AR$692,"&gt;"&amp;MAX(Summary!$C$11,DATE(Summary!$C$12,1,1)-1),'Dvd Calendar'!$E$692:$AR$692,"&lt;="&amp;DATE(Summary!$C$12,12,31))-COUNTIFS('Dvd Calendar'!$E$691:$AR$691,"&gt;0",'Dvd Calendar'!$E$692:$AR$692,"&gt;"&amp;MAX(Summary!$C$11,DATE(Summary!$C$12,1,1)-1),'Dvd Calendar'!$E$692:$AR$692,"&lt;="&amp;DATE(Summary!$C$12,12,31),'Dvd Calendar'!$E$693:$AR$693,"&gt;=0")&gt;0,"TBA amount - override me",IF((Override!$C$4="ON")*ISNUMBER(Override!$G$58)&gt;0,"overridden",IF($J52+$K52=0,"no dividend in year Y",""))))</f>
        <v/>
      </c>
      <c r="V52" s="54">
        <f>IF($B52="","",IFERROR(IF(ISNUMBER($H52),$B52*$G52*$H52/$B$3,0),""))</f>
        <v/>
      </c>
      <c r="W52" s="54">
        <f>IF($B52="","",IFERROR($B52*$G52*$K52/$B$3,""))</f>
        <v/>
      </c>
    </row>
    <row r="53">
      <c r="B53" s="73" t="n"/>
      <c r="C53" s="6">
        <f>IF($A53="","",$A53&amp;" Equity")</f>
        <v/>
      </c>
      <c r="D53" s="6">
        <f>IF($C53="","",BDP($C53,"NAME"))</f>
        <v/>
      </c>
      <c r="E53" s="6">
        <f>IF($C53="","",BDP($C53,"GICS_SECTOR_NAME"))</f>
        <v/>
      </c>
      <c r="F53" s="31">
        <f>IF($C53="","",BDP($C53,'Field Check'!$C$8))</f>
        <v/>
      </c>
      <c r="G53" s="74">
        <f>IFERROR(IF(LEN($F53)&lt;&gt;3,1,IF($F53="HKD",1,BDP(IF($F53="CNY",Summary!$C$14,$F53)&amp;"HKD Curncy","PX_LAST"))),1)</f>
        <v/>
      </c>
      <c r="H53" s="54">
        <f>IF($C53="","",BDP($C53,'Field Check'!$C$9))</f>
        <v/>
      </c>
      <c r="I53" s="45">
        <f>IF($C53="","",BDP($C53,'Field Check'!$C$10))</f>
        <v/>
      </c>
      <c r="J53" s="47">
        <f>IF($B53="",0,IF(Summary!$C$13="Y",SUMIFS('Dvd Calendar'!$E$701:$AR$701,'Dvd Calendar'!$E$700:$AR$700,"&gt;="&amp;DATE(Summary!$C$12,1,1),'Dvd Calendar'!$E$700:$AR$700,"&lt;="&amp;MIN(Summary!$C$11,DATE(Summary!$C$12,12,31))),SUMIFS('Dvd Calendar'!$E$701:$AR$701,'Dvd Calendar'!$E$700:$AR$700,"&gt;="&amp;DATE(Summary!$C$12,1,1),'Dvd Calendar'!$E$700:$AR$700,"&lt;="&amp;MIN(Summary!$C$11,DATE(Summary!$C$12,12,31)),'Dvd Calendar'!$E$705:$AR$705,"&lt;&gt;"&amp;'Field Check'!$C$25)))</f>
        <v/>
      </c>
      <c r="K53" s="47">
        <f>IF($B53="",0,IF(Summary!$C$13="Y",SUMIFS('Dvd Calendar'!$E$708:$AR$708,'Dvd Calendar'!$E$707:$AR$707,"&gt;"&amp;MAX(Summary!$C$11,DATE(Summary!$C$12,1,1)-1),'Dvd Calendar'!$E$707:$AR$707,"&lt;="&amp;DATE(Summary!$C$12,12,31)),SUMIFS('Dvd Calendar'!$E$708:$AR$708,'Dvd Calendar'!$E$707:$AR$707,"&gt;"&amp;MAX(Summary!$C$11,DATE(Summary!$C$12,1,1)-1),'Dvd Calendar'!$E$707:$AR$707,"&lt;="&amp;DATE(Summary!$C$12,12,31),'Dvd Calendar'!$E$712:$AR$712,"&lt;&gt;"&amp;'Field Check'!$C$25)))</f>
        <v/>
      </c>
      <c r="L53" s="47">
        <f>IF($B53="",0,IF((Override!$C$4="ON")*ISNUMBER(Override!$G$59)&gt;0,Override!$G$59,$K53))</f>
        <v/>
      </c>
      <c r="M53" s="47">
        <f>IF($B53="",0,IF((Override!$C$4="ON")*ISNUMBER(Override!$H$59)&gt;0,Override!$H$59,$L53))</f>
        <v/>
      </c>
      <c r="N53" s="47">
        <f>IF($B53="",0,IF((Override!$C$4="ON")*ISNUMBER(Override!$I$59)&gt;0,Override!$I$59,$L53))</f>
        <v/>
      </c>
      <c r="O53" s="54">
        <f>IF($B53="","",IFERROR($B53*$G53*$J53/$B$3,""))</f>
        <v/>
      </c>
      <c r="P53" s="54">
        <f>IF($B53="","",IFERROR($B53*$G53*$L53/$B$3,""))</f>
        <v/>
      </c>
      <c r="Q53" s="38">
        <f>IF($B53="","",IFERROR($O53+$P53,""))</f>
        <v/>
      </c>
      <c r="R53" s="54">
        <f>IF($B53="","",IFERROR($O53+$B53*$G53*$M53/$B$3,""))</f>
        <v/>
      </c>
      <c r="S53" s="54">
        <f>IF($B53="","",IFERROR($O53+$B53*$G53*$N53/$B$3,""))</f>
        <v/>
      </c>
      <c r="T53" s="63">
        <f>IF($B53="","",IFERROR($Q53/$Q$5,""))</f>
        <v/>
      </c>
      <c r="U53" s="2">
        <f>IF($B53="","",IF(COUNTIFS('Dvd Calendar'!$E$706:$AR$706,"&gt;0",'Dvd Calendar'!$E$707:$AR$707,"&gt;"&amp;MAX(Summary!$C$11,DATE(Summary!$C$12,1,1)-1),'Dvd Calendar'!$E$707:$AR$707,"&lt;="&amp;DATE(Summary!$C$12,12,31))-COUNTIFS('Dvd Calendar'!$E$706:$AR$706,"&gt;0",'Dvd Calendar'!$E$707:$AR$707,"&gt;"&amp;MAX(Summary!$C$11,DATE(Summary!$C$12,1,1)-1),'Dvd Calendar'!$E$707:$AR$707,"&lt;="&amp;DATE(Summary!$C$12,12,31),'Dvd Calendar'!$E$708:$AR$708,"&gt;=0")&gt;0,"TBA amount - override me",IF((Override!$C$4="ON")*ISNUMBER(Override!$G$59)&gt;0,"overridden",IF($J53+$K53=0,"no dividend in year Y",""))))</f>
        <v/>
      </c>
      <c r="V53" s="54">
        <f>IF($B53="","",IFERROR(IF(ISNUMBER($H53),$B53*$G53*$H53/$B$3,0),""))</f>
        <v/>
      </c>
      <c r="W53" s="54">
        <f>IF($B53="","",IFERROR($B53*$G53*$K53/$B$3,""))</f>
        <v/>
      </c>
    </row>
    <row r="54">
      <c r="B54" s="73" t="n"/>
      <c r="C54" s="6">
        <f>IF($A54="","",$A54&amp;" Equity")</f>
        <v/>
      </c>
      <c r="D54" s="6">
        <f>IF($C54="","",BDP($C54,"NAME"))</f>
        <v/>
      </c>
      <c r="E54" s="6">
        <f>IF($C54="","",BDP($C54,"GICS_SECTOR_NAME"))</f>
        <v/>
      </c>
      <c r="F54" s="31">
        <f>IF($C54="","",BDP($C54,'Field Check'!$C$8))</f>
        <v/>
      </c>
      <c r="G54" s="74">
        <f>IFERROR(IF(LEN($F54)&lt;&gt;3,1,IF($F54="HKD",1,BDP(IF($F54="CNY",Summary!$C$14,$F54)&amp;"HKD Curncy","PX_LAST"))),1)</f>
        <v/>
      </c>
      <c r="H54" s="54">
        <f>IF($C54="","",BDP($C54,'Field Check'!$C$9))</f>
        <v/>
      </c>
      <c r="I54" s="45">
        <f>IF($C54="","",BDP($C54,'Field Check'!$C$10))</f>
        <v/>
      </c>
      <c r="J54" s="47">
        <f>IF($B54="",0,IF(Summary!$C$13="Y",SUMIFS('Dvd Calendar'!$E$716:$AR$716,'Dvd Calendar'!$E$715:$AR$715,"&gt;="&amp;DATE(Summary!$C$12,1,1),'Dvd Calendar'!$E$715:$AR$715,"&lt;="&amp;MIN(Summary!$C$11,DATE(Summary!$C$12,12,31))),SUMIFS('Dvd Calendar'!$E$716:$AR$716,'Dvd Calendar'!$E$715:$AR$715,"&gt;="&amp;DATE(Summary!$C$12,1,1),'Dvd Calendar'!$E$715:$AR$715,"&lt;="&amp;MIN(Summary!$C$11,DATE(Summary!$C$12,12,31)),'Dvd Calendar'!$E$720:$AR$720,"&lt;&gt;"&amp;'Field Check'!$C$25)))</f>
        <v/>
      </c>
      <c r="K54" s="47">
        <f>IF($B54="",0,IF(Summary!$C$13="Y",SUMIFS('Dvd Calendar'!$E$723:$AR$723,'Dvd Calendar'!$E$722:$AR$722,"&gt;"&amp;MAX(Summary!$C$11,DATE(Summary!$C$12,1,1)-1),'Dvd Calendar'!$E$722:$AR$722,"&lt;="&amp;DATE(Summary!$C$12,12,31)),SUMIFS('Dvd Calendar'!$E$723:$AR$723,'Dvd Calendar'!$E$722:$AR$722,"&gt;"&amp;MAX(Summary!$C$11,DATE(Summary!$C$12,1,1)-1),'Dvd Calendar'!$E$722:$AR$722,"&lt;="&amp;DATE(Summary!$C$12,12,31),'Dvd Calendar'!$E$727:$AR$727,"&lt;&gt;"&amp;'Field Check'!$C$25)))</f>
        <v/>
      </c>
      <c r="L54" s="47">
        <f>IF($B54="",0,IF((Override!$C$4="ON")*ISNUMBER(Override!$G$60)&gt;0,Override!$G$60,$K54))</f>
        <v/>
      </c>
      <c r="M54" s="47">
        <f>IF($B54="",0,IF((Override!$C$4="ON")*ISNUMBER(Override!$H$60)&gt;0,Override!$H$60,$L54))</f>
        <v/>
      </c>
      <c r="N54" s="47">
        <f>IF($B54="",0,IF((Override!$C$4="ON")*ISNUMBER(Override!$I$60)&gt;0,Override!$I$60,$L54))</f>
        <v/>
      </c>
      <c r="O54" s="54">
        <f>IF($B54="","",IFERROR($B54*$G54*$J54/$B$3,""))</f>
        <v/>
      </c>
      <c r="P54" s="54">
        <f>IF($B54="","",IFERROR($B54*$G54*$L54/$B$3,""))</f>
        <v/>
      </c>
      <c r="Q54" s="38">
        <f>IF($B54="","",IFERROR($O54+$P54,""))</f>
        <v/>
      </c>
      <c r="R54" s="54">
        <f>IF($B54="","",IFERROR($O54+$B54*$G54*$M54/$B$3,""))</f>
        <v/>
      </c>
      <c r="S54" s="54">
        <f>IF($B54="","",IFERROR($O54+$B54*$G54*$N54/$B$3,""))</f>
        <v/>
      </c>
      <c r="T54" s="63">
        <f>IF($B54="","",IFERROR($Q54/$Q$5,""))</f>
        <v/>
      </c>
      <c r="U54" s="2">
        <f>IF($B54="","",IF(COUNTIFS('Dvd Calendar'!$E$721:$AR$721,"&gt;0",'Dvd Calendar'!$E$722:$AR$722,"&gt;"&amp;MAX(Summary!$C$11,DATE(Summary!$C$12,1,1)-1),'Dvd Calendar'!$E$722:$AR$722,"&lt;="&amp;DATE(Summary!$C$12,12,31))-COUNTIFS('Dvd Calendar'!$E$721:$AR$721,"&gt;0",'Dvd Calendar'!$E$722:$AR$722,"&gt;"&amp;MAX(Summary!$C$11,DATE(Summary!$C$12,1,1)-1),'Dvd Calendar'!$E$722:$AR$722,"&lt;="&amp;DATE(Summary!$C$12,12,31),'Dvd Calendar'!$E$723:$AR$723,"&gt;=0")&gt;0,"TBA amount - override me",IF((Override!$C$4="ON")*ISNUMBER(Override!$G$60)&gt;0,"overridden",IF($J54+$K54=0,"no dividend in year Y",""))))</f>
        <v/>
      </c>
      <c r="V54" s="54">
        <f>IF($B54="","",IFERROR(IF(ISNUMBER($H54),$B54*$G54*$H54/$B$3,0),""))</f>
        <v/>
      </c>
      <c r="W54" s="54">
        <f>IF($B54="","",IFERROR($B54*$G54*$K54/$B$3,""))</f>
        <v/>
      </c>
    </row>
    <row r="55">
      <c r="B55" s="73" t="n"/>
      <c r="C55" s="6">
        <f>IF($A55="","",$A55&amp;" Equity")</f>
        <v/>
      </c>
      <c r="D55" s="6">
        <f>IF($C55="","",BDP($C55,"NAME"))</f>
        <v/>
      </c>
      <c r="E55" s="6">
        <f>IF($C55="","",BDP($C55,"GICS_SECTOR_NAME"))</f>
        <v/>
      </c>
      <c r="F55" s="31">
        <f>IF($C55="","",BDP($C55,'Field Check'!$C$8))</f>
        <v/>
      </c>
      <c r="G55" s="74">
        <f>IFERROR(IF(LEN($F55)&lt;&gt;3,1,IF($F55="HKD",1,BDP(IF($F55="CNY",Summary!$C$14,$F55)&amp;"HKD Curncy","PX_LAST"))),1)</f>
        <v/>
      </c>
      <c r="H55" s="54">
        <f>IF($C55="","",BDP($C55,'Field Check'!$C$9))</f>
        <v/>
      </c>
      <c r="I55" s="45">
        <f>IF($C55="","",BDP($C55,'Field Check'!$C$10))</f>
        <v/>
      </c>
      <c r="J55" s="47">
        <f>IF($B55="",0,IF(Summary!$C$13="Y",SUMIFS('Dvd Calendar'!$E$731:$AR$731,'Dvd Calendar'!$E$730:$AR$730,"&gt;="&amp;DATE(Summary!$C$12,1,1),'Dvd Calendar'!$E$730:$AR$730,"&lt;="&amp;MIN(Summary!$C$11,DATE(Summary!$C$12,12,31))),SUMIFS('Dvd Calendar'!$E$731:$AR$731,'Dvd Calendar'!$E$730:$AR$730,"&gt;="&amp;DATE(Summary!$C$12,1,1),'Dvd Calendar'!$E$730:$AR$730,"&lt;="&amp;MIN(Summary!$C$11,DATE(Summary!$C$12,12,31)),'Dvd Calendar'!$E$735:$AR$735,"&lt;&gt;"&amp;'Field Check'!$C$25)))</f>
        <v/>
      </c>
      <c r="K55" s="47">
        <f>IF($B55="",0,IF(Summary!$C$13="Y",SUMIFS('Dvd Calendar'!$E$738:$AR$738,'Dvd Calendar'!$E$737:$AR$737,"&gt;"&amp;MAX(Summary!$C$11,DATE(Summary!$C$12,1,1)-1),'Dvd Calendar'!$E$737:$AR$737,"&lt;="&amp;DATE(Summary!$C$12,12,31)),SUMIFS('Dvd Calendar'!$E$738:$AR$738,'Dvd Calendar'!$E$737:$AR$737,"&gt;"&amp;MAX(Summary!$C$11,DATE(Summary!$C$12,1,1)-1),'Dvd Calendar'!$E$737:$AR$737,"&lt;="&amp;DATE(Summary!$C$12,12,31),'Dvd Calendar'!$E$742:$AR$742,"&lt;&gt;"&amp;'Field Check'!$C$25)))</f>
        <v/>
      </c>
      <c r="L55" s="47">
        <f>IF($B55="",0,IF((Override!$C$4="ON")*ISNUMBER(Override!$G$61)&gt;0,Override!$G$61,$K55))</f>
        <v/>
      </c>
      <c r="M55" s="47">
        <f>IF($B55="",0,IF((Override!$C$4="ON")*ISNUMBER(Override!$H$61)&gt;0,Override!$H$61,$L55))</f>
        <v/>
      </c>
      <c r="N55" s="47">
        <f>IF($B55="",0,IF((Override!$C$4="ON")*ISNUMBER(Override!$I$61)&gt;0,Override!$I$61,$L55))</f>
        <v/>
      </c>
      <c r="O55" s="54">
        <f>IF($B55="","",IFERROR($B55*$G55*$J55/$B$3,""))</f>
        <v/>
      </c>
      <c r="P55" s="54">
        <f>IF($B55="","",IFERROR($B55*$G55*$L55/$B$3,""))</f>
        <v/>
      </c>
      <c r="Q55" s="38">
        <f>IF($B55="","",IFERROR($O55+$P55,""))</f>
        <v/>
      </c>
      <c r="R55" s="54">
        <f>IF($B55="","",IFERROR($O55+$B55*$G55*$M55/$B$3,""))</f>
        <v/>
      </c>
      <c r="S55" s="54">
        <f>IF($B55="","",IFERROR($O55+$B55*$G55*$N55/$B$3,""))</f>
        <v/>
      </c>
      <c r="T55" s="63">
        <f>IF($B55="","",IFERROR($Q55/$Q$5,""))</f>
        <v/>
      </c>
      <c r="U55" s="2">
        <f>IF($B55="","",IF(COUNTIFS('Dvd Calendar'!$E$736:$AR$736,"&gt;0",'Dvd Calendar'!$E$737:$AR$737,"&gt;"&amp;MAX(Summary!$C$11,DATE(Summary!$C$12,1,1)-1),'Dvd Calendar'!$E$737:$AR$737,"&lt;="&amp;DATE(Summary!$C$12,12,31))-COUNTIFS('Dvd Calendar'!$E$736:$AR$736,"&gt;0",'Dvd Calendar'!$E$737:$AR$737,"&gt;"&amp;MAX(Summary!$C$11,DATE(Summary!$C$12,1,1)-1),'Dvd Calendar'!$E$737:$AR$737,"&lt;="&amp;DATE(Summary!$C$12,12,31),'Dvd Calendar'!$E$738:$AR$738,"&gt;=0")&gt;0,"TBA amount - override me",IF((Override!$C$4="ON")*ISNUMBER(Override!$G$61)&gt;0,"overridden",IF($J55+$K55=0,"no dividend in year Y",""))))</f>
        <v/>
      </c>
      <c r="V55" s="54">
        <f>IF($B55="","",IFERROR(IF(ISNUMBER($H55),$B55*$G55*$H55/$B$3,0),""))</f>
        <v/>
      </c>
      <c r="W55" s="54">
        <f>IF($B55="","",IFERROR($B55*$G55*$K55/$B$3,""))</f>
        <v/>
      </c>
    </row>
    <row r="56">
      <c r="B56" s="73" t="n"/>
      <c r="C56" s="6">
        <f>IF($A56="","",$A56&amp;" Equity")</f>
        <v/>
      </c>
      <c r="D56" s="6">
        <f>IF($C56="","",BDP($C56,"NAME"))</f>
        <v/>
      </c>
      <c r="E56" s="6">
        <f>IF($C56="","",BDP($C56,"GICS_SECTOR_NAME"))</f>
        <v/>
      </c>
      <c r="F56" s="31">
        <f>IF($C56="","",BDP($C56,'Field Check'!$C$8))</f>
        <v/>
      </c>
      <c r="G56" s="74">
        <f>IFERROR(IF(LEN($F56)&lt;&gt;3,1,IF($F56="HKD",1,BDP(IF($F56="CNY",Summary!$C$14,$F56)&amp;"HKD Curncy","PX_LAST"))),1)</f>
        <v/>
      </c>
      <c r="H56" s="54">
        <f>IF($C56="","",BDP($C56,'Field Check'!$C$9))</f>
        <v/>
      </c>
      <c r="I56" s="45">
        <f>IF($C56="","",BDP($C56,'Field Check'!$C$10))</f>
        <v/>
      </c>
      <c r="J56" s="47">
        <f>IF($B56="",0,IF(Summary!$C$13="Y",SUMIFS('Dvd Calendar'!$E$746:$AR$746,'Dvd Calendar'!$E$745:$AR$745,"&gt;="&amp;DATE(Summary!$C$12,1,1),'Dvd Calendar'!$E$745:$AR$745,"&lt;="&amp;MIN(Summary!$C$11,DATE(Summary!$C$12,12,31))),SUMIFS('Dvd Calendar'!$E$746:$AR$746,'Dvd Calendar'!$E$745:$AR$745,"&gt;="&amp;DATE(Summary!$C$12,1,1),'Dvd Calendar'!$E$745:$AR$745,"&lt;="&amp;MIN(Summary!$C$11,DATE(Summary!$C$12,12,31)),'Dvd Calendar'!$E$750:$AR$750,"&lt;&gt;"&amp;'Field Check'!$C$25)))</f>
        <v/>
      </c>
      <c r="K56" s="47">
        <f>IF($B56="",0,IF(Summary!$C$13="Y",SUMIFS('Dvd Calendar'!$E$753:$AR$753,'Dvd Calendar'!$E$752:$AR$752,"&gt;"&amp;MAX(Summary!$C$11,DATE(Summary!$C$12,1,1)-1),'Dvd Calendar'!$E$752:$AR$752,"&lt;="&amp;DATE(Summary!$C$12,12,31)),SUMIFS('Dvd Calendar'!$E$753:$AR$753,'Dvd Calendar'!$E$752:$AR$752,"&gt;"&amp;MAX(Summary!$C$11,DATE(Summary!$C$12,1,1)-1),'Dvd Calendar'!$E$752:$AR$752,"&lt;="&amp;DATE(Summary!$C$12,12,31),'Dvd Calendar'!$E$757:$AR$757,"&lt;&gt;"&amp;'Field Check'!$C$25)))</f>
        <v/>
      </c>
      <c r="L56" s="47">
        <f>IF($B56="",0,IF((Override!$C$4="ON")*ISNUMBER(Override!$G$62)&gt;0,Override!$G$62,$K56))</f>
        <v/>
      </c>
      <c r="M56" s="47">
        <f>IF($B56="",0,IF((Override!$C$4="ON")*ISNUMBER(Override!$H$62)&gt;0,Override!$H$62,$L56))</f>
        <v/>
      </c>
      <c r="N56" s="47">
        <f>IF($B56="",0,IF((Override!$C$4="ON")*ISNUMBER(Override!$I$62)&gt;0,Override!$I$62,$L56))</f>
        <v/>
      </c>
      <c r="O56" s="54">
        <f>IF($B56="","",IFERROR($B56*$G56*$J56/$B$3,""))</f>
        <v/>
      </c>
      <c r="P56" s="54">
        <f>IF($B56="","",IFERROR($B56*$G56*$L56/$B$3,""))</f>
        <v/>
      </c>
      <c r="Q56" s="38">
        <f>IF($B56="","",IFERROR($O56+$P56,""))</f>
        <v/>
      </c>
      <c r="R56" s="54">
        <f>IF($B56="","",IFERROR($O56+$B56*$G56*$M56/$B$3,""))</f>
        <v/>
      </c>
      <c r="S56" s="54">
        <f>IF($B56="","",IFERROR($O56+$B56*$G56*$N56/$B$3,""))</f>
        <v/>
      </c>
      <c r="T56" s="63">
        <f>IF($B56="","",IFERROR($Q56/$Q$5,""))</f>
        <v/>
      </c>
      <c r="U56" s="2">
        <f>IF($B56="","",IF(COUNTIFS('Dvd Calendar'!$E$751:$AR$751,"&gt;0",'Dvd Calendar'!$E$752:$AR$752,"&gt;"&amp;MAX(Summary!$C$11,DATE(Summary!$C$12,1,1)-1),'Dvd Calendar'!$E$752:$AR$752,"&lt;="&amp;DATE(Summary!$C$12,12,31))-COUNTIFS('Dvd Calendar'!$E$751:$AR$751,"&gt;0",'Dvd Calendar'!$E$752:$AR$752,"&gt;"&amp;MAX(Summary!$C$11,DATE(Summary!$C$12,1,1)-1),'Dvd Calendar'!$E$752:$AR$752,"&lt;="&amp;DATE(Summary!$C$12,12,31),'Dvd Calendar'!$E$753:$AR$753,"&gt;=0")&gt;0,"TBA amount - override me",IF((Override!$C$4="ON")*ISNUMBER(Override!$G$62)&gt;0,"overridden",IF($J56+$K56=0,"no dividend in year Y",""))))</f>
        <v/>
      </c>
      <c r="V56" s="54">
        <f>IF($B56="","",IFERROR(IF(ISNUMBER($H56),$B56*$G56*$H56/$B$3,0),""))</f>
        <v/>
      </c>
      <c r="W56" s="54">
        <f>IF($B56="","",IFERROR($B56*$G56*$K56/$B$3,""))</f>
        <v/>
      </c>
    </row>
    <row r="57">
      <c r="B57" s="73" t="n"/>
      <c r="C57" s="6">
        <f>IF($A57="","",$A57&amp;" Equity")</f>
        <v/>
      </c>
      <c r="D57" s="6">
        <f>IF($C57="","",BDP($C57,"NAME"))</f>
        <v/>
      </c>
      <c r="E57" s="6">
        <f>IF($C57="","",BDP($C57,"GICS_SECTOR_NAME"))</f>
        <v/>
      </c>
      <c r="F57" s="31">
        <f>IF($C57="","",BDP($C57,'Field Check'!$C$8))</f>
        <v/>
      </c>
      <c r="G57" s="74">
        <f>IFERROR(IF(LEN($F57)&lt;&gt;3,1,IF($F57="HKD",1,BDP(IF($F57="CNY",Summary!$C$14,$F57)&amp;"HKD Curncy","PX_LAST"))),1)</f>
        <v/>
      </c>
      <c r="H57" s="54">
        <f>IF($C57="","",BDP($C57,'Field Check'!$C$9))</f>
        <v/>
      </c>
      <c r="I57" s="45">
        <f>IF($C57="","",BDP($C57,'Field Check'!$C$10))</f>
        <v/>
      </c>
      <c r="J57" s="47">
        <f>IF($B57="",0,IF(Summary!$C$13="Y",SUMIFS('Dvd Calendar'!$E$761:$AR$761,'Dvd Calendar'!$E$760:$AR$760,"&gt;="&amp;DATE(Summary!$C$12,1,1),'Dvd Calendar'!$E$760:$AR$760,"&lt;="&amp;MIN(Summary!$C$11,DATE(Summary!$C$12,12,31))),SUMIFS('Dvd Calendar'!$E$761:$AR$761,'Dvd Calendar'!$E$760:$AR$760,"&gt;="&amp;DATE(Summary!$C$12,1,1),'Dvd Calendar'!$E$760:$AR$760,"&lt;="&amp;MIN(Summary!$C$11,DATE(Summary!$C$12,12,31)),'Dvd Calendar'!$E$765:$AR$765,"&lt;&gt;"&amp;'Field Check'!$C$25)))</f>
        <v/>
      </c>
      <c r="K57" s="47">
        <f>IF($B57="",0,IF(Summary!$C$13="Y",SUMIFS('Dvd Calendar'!$E$768:$AR$768,'Dvd Calendar'!$E$767:$AR$767,"&gt;"&amp;MAX(Summary!$C$11,DATE(Summary!$C$12,1,1)-1),'Dvd Calendar'!$E$767:$AR$767,"&lt;="&amp;DATE(Summary!$C$12,12,31)),SUMIFS('Dvd Calendar'!$E$768:$AR$768,'Dvd Calendar'!$E$767:$AR$767,"&gt;"&amp;MAX(Summary!$C$11,DATE(Summary!$C$12,1,1)-1),'Dvd Calendar'!$E$767:$AR$767,"&lt;="&amp;DATE(Summary!$C$12,12,31),'Dvd Calendar'!$E$772:$AR$772,"&lt;&gt;"&amp;'Field Check'!$C$25)))</f>
        <v/>
      </c>
      <c r="L57" s="47">
        <f>IF($B57="",0,IF((Override!$C$4="ON")*ISNUMBER(Override!$G$63)&gt;0,Override!$G$63,$K57))</f>
        <v/>
      </c>
      <c r="M57" s="47">
        <f>IF($B57="",0,IF((Override!$C$4="ON")*ISNUMBER(Override!$H$63)&gt;0,Override!$H$63,$L57))</f>
        <v/>
      </c>
      <c r="N57" s="47">
        <f>IF($B57="",0,IF((Override!$C$4="ON")*ISNUMBER(Override!$I$63)&gt;0,Override!$I$63,$L57))</f>
        <v/>
      </c>
      <c r="O57" s="54">
        <f>IF($B57="","",IFERROR($B57*$G57*$J57/$B$3,""))</f>
        <v/>
      </c>
      <c r="P57" s="54">
        <f>IF($B57="","",IFERROR($B57*$G57*$L57/$B$3,""))</f>
        <v/>
      </c>
      <c r="Q57" s="38">
        <f>IF($B57="","",IFERROR($O57+$P57,""))</f>
        <v/>
      </c>
      <c r="R57" s="54">
        <f>IF($B57="","",IFERROR($O57+$B57*$G57*$M57/$B$3,""))</f>
        <v/>
      </c>
      <c r="S57" s="54">
        <f>IF($B57="","",IFERROR($O57+$B57*$G57*$N57/$B$3,""))</f>
        <v/>
      </c>
      <c r="T57" s="63">
        <f>IF($B57="","",IFERROR($Q57/$Q$5,""))</f>
        <v/>
      </c>
      <c r="U57" s="2">
        <f>IF($B57="","",IF(COUNTIFS('Dvd Calendar'!$E$766:$AR$766,"&gt;0",'Dvd Calendar'!$E$767:$AR$767,"&gt;"&amp;MAX(Summary!$C$11,DATE(Summary!$C$12,1,1)-1),'Dvd Calendar'!$E$767:$AR$767,"&lt;="&amp;DATE(Summary!$C$12,12,31))-COUNTIFS('Dvd Calendar'!$E$766:$AR$766,"&gt;0",'Dvd Calendar'!$E$767:$AR$767,"&gt;"&amp;MAX(Summary!$C$11,DATE(Summary!$C$12,1,1)-1),'Dvd Calendar'!$E$767:$AR$767,"&lt;="&amp;DATE(Summary!$C$12,12,31),'Dvd Calendar'!$E$768:$AR$768,"&gt;=0")&gt;0,"TBA amount - override me",IF((Override!$C$4="ON")*ISNUMBER(Override!$G$63)&gt;0,"overridden",IF($J57+$K57=0,"no dividend in year Y",""))))</f>
        <v/>
      </c>
      <c r="V57" s="54">
        <f>IF($B57="","",IFERROR(IF(ISNUMBER($H57),$B57*$G57*$H57/$B$3,0),""))</f>
        <v/>
      </c>
      <c r="W57" s="54">
        <f>IF($B57="","",IFERROR($B57*$G57*$K57/$B$3,""))</f>
        <v/>
      </c>
    </row>
    <row r="58">
      <c r="B58" s="73" t="n"/>
      <c r="C58" s="6">
        <f>IF($A58="","",$A58&amp;" Equity")</f>
        <v/>
      </c>
      <c r="D58" s="6">
        <f>IF($C58="","",BDP($C58,"NAME"))</f>
        <v/>
      </c>
      <c r="E58" s="6">
        <f>IF($C58="","",BDP($C58,"GICS_SECTOR_NAME"))</f>
        <v/>
      </c>
      <c r="F58" s="31">
        <f>IF($C58="","",BDP($C58,'Field Check'!$C$8))</f>
        <v/>
      </c>
      <c r="G58" s="74">
        <f>IFERROR(IF(LEN($F58)&lt;&gt;3,1,IF($F58="HKD",1,BDP(IF($F58="CNY",Summary!$C$14,$F58)&amp;"HKD Curncy","PX_LAST"))),1)</f>
        <v/>
      </c>
      <c r="H58" s="54">
        <f>IF($C58="","",BDP($C58,'Field Check'!$C$9))</f>
        <v/>
      </c>
      <c r="I58" s="45">
        <f>IF($C58="","",BDP($C58,'Field Check'!$C$10))</f>
        <v/>
      </c>
      <c r="J58" s="47">
        <f>IF($B58="",0,IF(Summary!$C$13="Y",SUMIFS('Dvd Calendar'!$E$776:$AR$776,'Dvd Calendar'!$E$775:$AR$775,"&gt;="&amp;DATE(Summary!$C$12,1,1),'Dvd Calendar'!$E$775:$AR$775,"&lt;="&amp;MIN(Summary!$C$11,DATE(Summary!$C$12,12,31))),SUMIFS('Dvd Calendar'!$E$776:$AR$776,'Dvd Calendar'!$E$775:$AR$775,"&gt;="&amp;DATE(Summary!$C$12,1,1),'Dvd Calendar'!$E$775:$AR$775,"&lt;="&amp;MIN(Summary!$C$11,DATE(Summary!$C$12,12,31)),'Dvd Calendar'!$E$780:$AR$780,"&lt;&gt;"&amp;'Field Check'!$C$25)))</f>
        <v/>
      </c>
      <c r="K58" s="47">
        <f>IF($B58="",0,IF(Summary!$C$13="Y",SUMIFS('Dvd Calendar'!$E$783:$AR$783,'Dvd Calendar'!$E$782:$AR$782,"&gt;"&amp;MAX(Summary!$C$11,DATE(Summary!$C$12,1,1)-1),'Dvd Calendar'!$E$782:$AR$782,"&lt;="&amp;DATE(Summary!$C$12,12,31)),SUMIFS('Dvd Calendar'!$E$783:$AR$783,'Dvd Calendar'!$E$782:$AR$782,"&gt;"&amp;MAX(Summary!$C$11,DATE(Summary!$C$12,1,1)-1),'Dvd Calendar'!$E$782:$AR$782,"&lt;="&amp;DATE(Summary!$C$12,12,31),'Dvd Calendar'!$E$787:$AR$787,"&lt;&gt;"&amp;'Field Check'!$C$25)))</f>
        <v/>
      </c>
      <c r="L58" s="47">
        <f>IF($B58="",0,IF((Override!$C$4="ON")*ISNUMBER(Override!$G$64)&gt;0,Override!$G$64,$K58))</f>
        <v/>
      </c>
      <c r="M58" s="47">
        <f>IF($B58="",0,IF((Override!$C$4="ON")*ISNUMBER(Override!$H$64)&gt;0,Override!$H$64,$L58))</f>
        <v/>
      </c>
      <c r="N58" s="47">
        <f>IF($B58="",0,IF((Override!$C$4="ON")*ISNUMBER(Override!$I$64)&gt;0,Override!$I$64,$L58))</f>
        <v/>
      </c>
      <c r="O58" s="54">
        <f>IF($B58="","",IFERROR($B58*$G58*$J58/$B$3,""))</f>
        <v/>
      </c>
      <c r="P58" s="54">
        <f>IF($B58="","",IFERROR($B58*$G58*$L58/$B$3,""))</f>
        <v/>
      </c>
      <c r="Q58" s="38">
        <f>IF($B58="","",IFERROR($O58+$P58,""))</f>
        <v/>
      </c>
      <c r="R58" s="54">
        <f>IF($B58="","",IFERROR($O58+$B58*$G58*$M58/$B$3,""))</f>
        <v/>
      </c>
      <c r="S58" s="54">
        <f>IF($B58="","",IFERROR($O58+$B58*$G58*$N58/$B$3,""))</f>
        <v/>
      </c>
      <c r="T58" s="63">
        <f>IF($B58="","",IFERROR($Q58/$Q$5,""))</f>
        <v/>
      </c>
      <c r="U58" s="2">
        <f>IF($B58="","",IF(COUNTIFS('Dvd Calendar'!$E$781:$AR$781,"&gt;0",'Dvd Calendar'!$E$782:$AR$782,"&gt;"&amp;MAX(Summary!$C$11,DATE(Summary!$C$12,1,1)-1),'Dvd Calendar'!$E$782:$AR$782,"&lt;="&amp;DATE(Summary!$C$12,12,31))-COUNTIFS('Dvd Calendar'!$E$781:$AR$781,"&gt;0",'Dvd Calendar'!$E$782:$AR$782,"&gt;"&amp;MAX(Summary!$C$11,DATE(Summary!$C$12,1,1)-1),'Dvd Calendar'!$E$782:$AR$782,"&lt;="&amp;DATE(Summary!$C$12,12,31),'Dvd Calendar'!$E$783:$AR$783,"&gt;=0")&gt;0,"TBA amount - override me",IF((Override!$C$4="ON")*ISNUMBER(Override!$G$64)&gt;0,"overridden",IF($J58+$K58=0,"no dividend in year Y",""))))</f>
        <v/>
      </c>
      <c r="V58" s="54">
        <f>IF($B58="","",IFERROR(IF(ISNUMBER($H58),$B58*$G58*$H58/$B$3,0),""))</f>
        <v/>
      </c>
      <c r="W58" s="54">
        <f>IF($B58="","",IFERROR($B58*$G58*$K58/$B$3,""))</f>
        <v/>
      </c>
    </row>
    <row r="59">
      <c r="B59" s="73" t="n"/>
      <c r="C59" s="6">
        <f>IF($A59="","",$A59&amp;" Equity")</f>
        <v/>
      </c>
      <c r="D59" s="6">
        <f>IF($C59="","",BDP($C59,"NAME"))</f>
        <v/>
      </c>
      <c r="E59" s="6">
        <f>IF($C59="","",BDP($C59,"GICS_SECTOR_NAME"))</f>
        <v/>
      </c>
      <c r="F59" s="31">
        <f>IF($C59="","",BDP($C59,'Field Check'!$C$8))</f>
        <v/>
      </c>
      <c r="G59" s="74">
        <f>IFERROR(IF(LEN($F59)&lt;&gt;3,1,IF($F59="HKD",1,BDP(IF($F59="CNY",Summary!$C$14,$F59)&amp;"HKD Curncy","PX_LAST"))),1)</f>
        <v/>
      </c>
      <c r="H59" s="54">
        <f>IF($C59="","",BDP($C59,'Field Check'!$C$9))</f>
        <v/>
      </c>
      <c r="I59" s="45">
        <f>IF($C59="","",BDP($C59,'Field Check'!$C$10))</f>
        <v/>
      </c>
      <c r="J59" s="47">
        <f>IF($B59="",0,IF(Summary!$C$13="Y",SUMIFS('Dvd Calendar'!$E$791:$AR$791,'Dvd Calendar'!$E$790:$AR$790,"&gt;="&amp;DATE(Summary!$C$12,1,1),'Dvd Calendar'!$E$790:$AR$790,"&lt;="&amp;MIN(Summary!$C$11,DATE(Summary!$C$12,12,31))),SUMIFS('Dvd Calendar'!$E$791:$AR$791,'Dvd Calendar'!$E$790:$AR$790,"&gt;="&amp;DATE(Summary!$C$12,1,1),'Dvd Calendar'!$E$790:$AR$790,"&lt;="&amp;MIN(Summary!$C$11,DATE(Summary!$C$12,12,31)),'Dvd Calendar'!$E$795:$AR$795,"&lt;&gt;"&amp;'Field Check'!$C$25)))</f>
        <v/>
      </c>
      <c r="K59" s="47">
        <f>IF($B59="",0,IF(Summary!$C$13="Y",SUMIFS('Dvd Calendar'!$E$798:$AR$798,'Dvd Calendar'!$E$797:$AR$797,"&gt;"&amp;MAX(Summary!$C$11,DATE(Summary!$C$12,1,1)-1),'Dvd Calendar'!$E$797:$AR$797,"&lt;="&amp;DATE(Summary!$C$12,12,31)),SUMIFS('Dvd Calendar'!$E$798:$AR$798,'Dvd Calendar'!$E$797:$AR$797,"&gt;"&amp;MAX(Summary!$C$11,DATE(Summary!$C$12,1,1)-1),'Dvd Calendar'!$E$797:$AR$797,"&lt;="&amp;DATE(Summary!$C$12,12,31),'Dvd Calendar'!$E$802:$AR$802,"&lt;&gt;"&amp;'Field Check'!$C$25)))</f>
        <v/>
      </c>
      <c r="L59" s="47">
        <f>IF($B59="",0,IF((Override!$C$4="ON")*ISNUMBER(Override!$G$65)&gt;0,Override!$G$65,$K59))</f>
        <v/>
      </c>
      <c r="M59" s="47">
        <f>IF($B59="",0,IF((Override!$C$4="ON")*ISNUMBER(Override!$H$65)&gt;0,Override!$H$65,$L59))</f>
        <v/>
      </c>
      <c r="N59" s="47">
        <f>IF($B59="",0,IF((Override!$C$4="ON")*ISNUMBER(Override!$I$65)&gt;0,Override!$I$65,$L59))</f>
        <v/>
      </c>
      <c r="O59" s="54">
        <f>IF($B59="","",IFERROR($B59*$G59*$J59/$B$3,""))</f>
        <v/>
      </c>
      <c r="P59" s="54">
        <f>IF($B59="","",IFERROR($B59*$G59*$L59/$B$3,""))</f>
        <v/>
      </c>
      <c r="Q59" s="38">
        <f>IF($B59="","",IFERROR($O59+$P59,""))</f>
        <v/>
      </c>
      <c r="R59" s="54">
        <f>IF($B59="","",IFERROR($O59+$B59*$G59*$M59/$B$3,""))</f>
        <v/>
      </c>
      <c r="S59" s="54">
        <f>IF($B59="","",IFERROR($O59+$B59*$G59*$N59/$B$3,""))</f>
        <v/>
      </c>
      <c r="T59" s="63">
        <f>IF($B59="","",IFERROR($Q59/$Q$5,""))</f>
        <v/>
      </c>
      <c r="U59" s="2">
        <f>IF($B59="","",IF(COUNTIFS('Dvd Calendar'!$E$796:$AR$796,"&gt;0",'Dvd Calendar'!$E$797:$AR$797,"&gt;"&amp;MAX(Summary!$C$11,DATE(Summary!$C$12,1,1)-1),'Dvd Calendar'!$E$797:$AR$797,"&lt;="&amp;DATE(Summary!$C$12,12,31))-COUNTIFS('Dvd Calendar'!$E$796:$AR$796,"&gt;0",'Dvd Calendar'!$E$797:$AR$797,"&gt;"&amp;MAX(Summary!$C$11,DATE(Summary!$C$12,1,1)-1),'Dvd Calendar'!$E$797:$AR$797,"&lt;="&amp;DATE(Summary!$C$12,12,31),'Dvd Calendar'!$E$798:$AR$798,"&gt;=0")&gt;0,"TBA amount - override me",IF((Override!$C$4="ON")*ISNUMBER(Override!$G$65)&gt;0,"overridden",IF($J59+$K59=0,"no dividend in year Y",""))))</f>
        <v/>
      </c>
      <c r="V59" s="54">
        <f>IF($B59="","",IFERROR(IF(ISNUMBER($H59),$B59*$G59*$H59/$B$3,0),""))</f>
        <v/>
      </c>
      <c r="W59" s="54">
        <f>IF($B59="","",IFERROR($B59*$G59*$K59/$B$3,""))</f>
        <v/>
      </c>
    </row>
    <row r="60">
      <c r="B60" s="73" t="n"/>
      <c r="C60" s="6">
        <f>IF($A60="","",$A60&amp;" Equity")</f>
        <v/>
      </c>
      <c r="D60" s="6">
        <f>IF($C60="","",BDP($C60,"NAME"))</f>
        <v/>
      </c>
      <c r="E60" s="6">
        <f>IF($C60="","",BDP($C60,"GICS_SECTOR_NAME"))</f>
        <v/>
      </c>
      <c r="F60" s="31">
        <f>IF($C60="","",BDP($C60,'Field Check'!$C$8))</f>
        <v/>
      </c>
      <c r="G60" s="74">
        <f>IFERROR(IF(LEN($F60)&lt;&gt;3,1,IF($F60="HKD",1,BDP(IF($F60="CNY",Summary!$C$14,$F60)&amp;"HKD Curncy","PX_LAST"))),1)</f>
        <v/>
      </c>
      <c r="H60" s="54">
        <f>IF($C60="","",BDP($C60,'Field Check'!$C$9))</f>
        <v/>
      </c>
      <c r="I60" s="45">
        <f>IF($C60="","",BDP($C60,'Field Check'!$C$10))</f>
        <v/>
      </c>
      <c r="J60" s="47">
        <f>IF($B60="",0,IF(Summary!$C$13="Y",SUMIFS('Dvd Calendar'!$E$806:$AR$806,'Dvd Calendar'!$E$805:$AR$805,"&gt;="&amp;DATE(Summary!$C$12,1,1),'Dvd Calendar'!$E$805:$AR$805,"&lt;="&amp;MIN(Summary!$C$11,DATE(Summary!$C$12,12,31))),SUMIFS('Dvd Calendar'!$E$806:$AR$806,'Dvd Calendar'!$E$805:$AR$805,"&gt;="&amp;DATE(Summary!$C$12,1,1),'Dvd Calendar'!$E$805:$AR$805,"&lt;="&amp;MIN(Summary!$C$11,DATE(Summary!$C$12,12,31)),'Dvd Calendar'!$E$810:$AR$810,"&lt;&gt;"&amp;'Field Check'!$C$25)))</f>
        <v/>
      </c>
      <c r="K60" s="47">
        <f>IF($B60="",0,IF(Summary!$C$13="Y",SUMIFS('Dvd Calendar'!$E$813:$AR$813,'Dvd Calendar'!$E$812:$AR$812,"&gt;"&amp;MAX(Summary!$C$11,DATE(Summary!$C$12,1,1)-1),'Dvd Calendar'!$E$812:$AR$812,"&lt;="&amp;DATE(Summary!$C$12,12,31)),SUMIFS('Dvd Calendar'!$E$813:$AR$813,'Dvd Calendar'!$E$812:$AR$812,"&gt;"&amp;MAX(Summary!$C$11,DATE(Summary!$C$12,1,1)-1),'Dvd Calendar'!$E$812:$AR$812,"&lt;="&amp;DATE(Summary!$C$12,12,31),'Dvd Calendar'!$E$817:$AR$817,"&lt;&gt;"&amp;'Field Check'!$C$25)))</f>
        <v/>
      </c>
      <c r="L60" s="47">
        <f>IF($B60="",0,IF((Override!$C$4="ON")*ISNUMBER(Override!$G$66)&gt;0,Override!$G$66,$K60))</f>
        <v/>
      </c>
      <c r="M60" s="47">
        <f>IF($B60="",0,IF((Override!$C$4="ON")*ISNUMBER(Override!$H$66)&gt;0,Override!$H$66,$L60))</f>
        <v/>
      </c>
      <c r="N60" s="47">
        <f>IF($B60="",0,IF((Override!$C$4="ON")*ISNUMBER(Override!$I$66)&gt;0,Override!$I$66,$L60))</f>
        <v/>
      </c>
      <c r="O60" s="54">
        <f>IF($B60="","",IFERROR($B60*$G60*$J60/$B$3,""))</f>
        <v/>
      </c>
      <c r="P60" s="54">
        <f>IF($B60="","",IFERROR($B60*$G60*$L60/$B$3,""))</f>
        <v/>
      </c>
      <c r="Q60" s="38">
        <f>IF($B60="","",IFERROR($O60+$P60,""))</f>
        <v/>
      </c>
      <c r="R60" s="54">
        <f>IF($B60="","",IFERROR($O60+$B60*$G60*$M60/$B$3,""))</f>
        <v/>
      </c>
      <c r="S60" s="54">
        <f>IF($B60="","",IFERROR($O60+$B60*$G60*$N60/$B$3,""))</f>
        <v/>
      </c>
      <c r="T60" s="63">
        <f>IF($B60="","",IFERROR($Q60/$Q$5,""))</f>
        <v/>
      </c>
      <c r="U60" s="2">
        <f>IF($B60="","",IF(COUNTIFS('Dvd Calendar'!$E$811:$AR$811,"&gt;0",'Dvd Calendar'!$E$812:$AR$812,"&gt;"&amp;MAX(Summary!$C$11,DATE(Summary!$C$12,1,1)-1),'Dvd Calendar'!$E$812:$AR$812,"&lt;="&amp;DATE(Summary!$C$12,12,31))-COUNTIFS('Dvd Calendar'!$E$811:$AR$811,"&gt;0",'Dvd Calendar'!$E$812:$AR$812,"&gt;"&amp;MAX(Summary!$C$11,DATE(Summary!$C$12,1,1)-1),'Dvd Calendar'!$E$812:$AR$812,"&lt;="&amp;DATE(Summary!$C$12,12,31),'Dvd Calendar'!$E$813:$AR$813,"&gt;=0")&gt;0,"TBA amount - override me",IF((Override!$C$4="ON")*ISNUMBER(Override!$G$66)&gt;0,"overridden",IF($J60+$K60=0,"no dividend in year Y",""))))</f>
        <v/>
      </c>
      <c r="V60" s="54">
        <f>IF($B60="","",IFERROR(IF(ISNUMBER($H60),$B60*$G60*$H60/$B$3,0),""))</f>
        <v/>
      </c>
      <c r="W60" s="54">
        <f>IF($B60="","",IFERROR($B60*$G60*$K60/$B$3,""))</f>
        <v/>
      </c>
    </row>
    <row r="61">
      <c r="B61" s="73" t="n"/>
      <c r="C61" s="6">
        <f>IF($A61="","",$A61&amp;" Equity")</f>
        <v/>
      </c>
      <c r="D61" s="6">
        <f>IF($C61="","",BDP($C61,"NAME"))</f>
        <v/>
      </c>
      <c r="E61" s="6">
        <f>IF($C61="","",BDP($C61,"GICS_SECTOR_NAME"))</f>
        <v/>
      </c>
      <c r="F61" s="31">
        <f>IF($C61="","",BDP($C61,'Field Check'!$C$8))</f>
        <v/>
      </c>
      <c r="G61" s="74">
        <f>IFERROR(IF(LEN($F61)&lt;&gt;3,1,IF($F61="HKD",1,BDP(IF($F61="CNY",Summary!$C$14,$F61)&amp;"HKD Curncy","PX_LAST"))),1)</f>
        <v/>
      </c>
      <c r="H61" s="54">
        <f>IF($C61="","",BDP($C61,'Field Check'!$C$9))</f>
        <v/>
      </c>
      <c r="I61" s="45">
        <f>IF($C61="","",BDP($C61,'Field Check'!$C$10))</f>
        <v/>
      </c>
      <c r="J61" s="47">
        <f>IF($B61="",0,IF(Summary!$C$13="Y",SUMIFS('Dvd Calendar'!$E$821:$AR$821,'Dvd Calendar'!$E$820:$AR$820,"&gt;="&amp;DATE(Summary!$C$12,1,1),'Dvd Calendar'!$E$820:$AR$820,"&lt;="&amp;MIN(Summary!$C$11,DATE(Summary!$C$12,12,31))),SUMIFS('Dvd Calendar'!$E$821:$AR$821,'Dvd Calendar'!$E$820:$AR$820,"&gt;="&amp;DATE(Summary!$C$12,1,1),'Dvd Calendar'!$E$820:$AR$820,"&lt;="&amp;MIN(Summary!$C$11,DATE(Summary!$C$12,12,31)),'Dvd Calendar'!$E$825:$AR$825,"&lt;&gt;"&amp;'Field Check'!$C$25)))</f>
        <v/>
      </c>
      <c r="K61" s="47">
        <f>IF($B61="",0,IF(Summary!$C$13="Y",SUMIFS('Dvd Calendar'!$E$828:$AR$828,'Dvd Calendar'!$E$827:$AR$827,"&gt;"&amp;MAX(Summary!$C$11,DATE(Summary!$C$12,1,1)-1),'Dvd Calendar'!$E$827:$AR$827,"&lt;="&amp;DATE(Summary!$C$12,12,31)),SUMIFS('Dvd Calendar'!$E$828:$AR$828,'Dvd Calendar'!$E$827:$AR$827,"&gt;"&amp;MAX(Summary!$C$11,DATE(Summary!$C$12,1,1)-1),'Dvd Calendar'!$E$827:$AR$827,"&lt;="&amp;DATE(Summary!$C$12,12,31),'Dvd Calendar'!$E$832:$AR$832,"&lt;&gt;"&amp;'Field Check'!$C$25)))</f>
        <v/>
      </c>
      <c r="L61" s="47">
        <f>IF($B61="",0,IF((Override!$C$4="ON")*ISNUMBER(Override!$G$67)&gt;0,Override!$G$67,$K61))</f>
        <v/>
      </c>
      <c r="M61" s="47">
        <f>IF($B61="",0,IF((Override!$C$4="ON")*ISNUMBER(Override!$H$67)&gt;0,Override!$H$67,$L61))</f>
        <v/>
      </c>
      <c r="N61" s="47">
        <f>IF($B61="",0,IF((Override!$C$4="ON")*ISNUMBER(Override!$I$67)&gt;0,Override!$I$67,$L61))</f>
        <v/>
      </c>
      <c r="O61" s="54">
        <f>IF($B61="","",IFERROR($B61*$G61*$J61/$B$3,""))</f>
        <v/>
      </c>
      <c r="P61" s="54">
        <f>IF($B61="","",IFERROR($B61*$G61*$L61/$B$3,""))</f>
        <v/>
      </c>
      <c r="Q61" s="38">
        <f>IF($B61="","",IFERROR($O61+$P61,""))</f>
        <v/>
      </c>
      <c r="R61" s="54">
        <f>IF($B61="","",IFERROR($O61+$B61*$G61*$M61/$B$3,""))</f>
        <v/>
      </c>
      <c r="S61" s="54">
        <f>IF($B61="","",IFERROR($O61+$B61*$G61*$N61/$B$3,""))</f>
        <v/>
      </c>
      <c r="T61" s="63">
        <f>IF($B61="","",IFERROR($Q61/$Q$5,""))</f>
        <v/>
      </c>
      <c r="U61" s="2">
        <f>IF($B61="","",IF(COUNTIFS('Dvd Calendar'!$E$826:$AR$826,"&gt;0",'Dvd Calendar'!$E$827:$AR$827,"&gt;"&amp;MAX(Summary!$C$11,DATE(Summary!$C$12,1,1)-1),'Dvd Calendar'!$E$827:$AR$827,"&lt;="&amp;DATE(Summary!$C$12,12,31))-COUNTIFS('Dvd Calendar'!$E$826:$AR$826,"&gt;0",'Dvd Calendar'!$E$827:$AR$827,"&gt;"&amp;MAX(Summary!$C$11,DATE(Summary!$C$12,1,1)-1),'Dvd Calendar'!$E$827:$AR$827,"&lt;="&amp;DATE(Summary!$C$12,12,31),'Dvd Calendar'!$E$828:$AR$828,"&gt;=0")&gt;0,"TBA amount - override me",IF((Override!$C$4="ON")*ISNUMBER(Override!$G$67)&gt;0,"overridden",IF($J61+$K61=0,"no dividend in year Y",""))))</f>
        <v/>
      </c>
      <c r="V61" s="54">
        <f>IF($B61="","",IFERROR(IF(ISNUMBER($H61),$B61*$G61*$H61/$B$3,0),""))</f>
        <v/>
      </c>
      <c r="W61" s="54">
        <f>IF($B61="","",IFERROR($B61*$G61*$K61/$B$3,""))</f>
        <v/>
      </c>
    </row>
    <row r="62">
      <c r="B62" s="73" t="n"/>
      <c r="C62" s="6">
        <f>IF($A62="","",$A62&amp;" Equity")</f>
        <v/>
      </c>
      <c r="D62" s="6">
        <f>IF($C62="","",BDP($C62,"NAME"))</f>
        <v/>
      </c>
      <c r="E62" s="6">
        <f>IF($C62="","",BDP($C62,"GICS_SECTOR_NAME"))</f>
        <v/>
      </c>
      <c r="F62" s="31">
        <f>IF($C62="","",BDP($C62,'Field Check'!$C$8))</f>
        <v/>
      </c>
      <c r="G62" s="74">
        <f>IFERROR(IF(LEN($F62)&lt;&gt;3,1,IF($F62="HKD",1,BDP(IF($F62="CNY",Summary!$C$14,$F62)&amp;"HKD Curncy","PX_LAST"))),1)</f>
        <v/>
      </c>
      <c r="H62" s="54">
        <f>IF($C62="","",BDP($C62,'Field Check'!$C$9))</f>
        <v/>
      </c>
      <c r="I62" s="45">
        <f>IF($C62="","",BDP($C62,'Field Check'!$C$10))</f>
        <v/>
      </c>
      <c r="J62" s="47">
        <f>IF($B62="",0,IF(Summary!$C$13="Y",SUMIFS('Dvd Calendar'!$E$836:$AR$836,'Dvd Calendar'!$E$835:$AR$835,"&gt;="&amp;DATE(Summary!$C$12,1,1),'Dvd Calendar'!$E$835:$AR$835,"&lt;="&amp;MIN(Summary!$C$11,DATE(Summary!$C$12,12,31))),SUMIFS('Dvd Calendar'!$E$836:$AR$836,'Dvd Calendar'!$E$835:$AR$835,"&gt;="&amp;DATE(Summary!$C$12,1,1),'Dvd Calendar'!$E$835:$AR$835,"&lt;="&amp;MIN(Summary!$C$11,DATE(Summary!$C$12,12,31)),'Dvd Calendar'!$E$840:$AR$840,"&lt;&gt;"&amp;'Field Check'!$C$25)))</f>
        <v/>
      </c>
      <c r="K62" s="47">
        <f>IF($B62="",0,IF(Summary!$C$13="Y",SUMIFS('Dvd Calendar'!$E$843:$AR$843,'Dvd Calendar'!$E$842:$AR$842,"&gt;"&amp;MAX(Summary!$C$11,DATE(Summary!$C$12,1,1)-1),'Dvd Calendar'!$E$842:$AR$842,"&lt;="&amp;DATE(Summary!$C$12,12,31)),SUMIFS('Dvd Calendar'!$E$843:$AR$843,'Dvd Calendar'!$E$842:$AR$842,"&gt;"&amp;MAX(Summary!$C$11,DATE(Summary!$C$12,1,1)-1),'Dvd Calendar'!$E$842:$AR$842,"&lt;="&amp;DATE(Summary!$C$12,12,31),'Dvd Calendar'!$E$847:$AR$847,"&lt;&gt;"&amp;'Field Check'!$C$25)))</f>
        <v/>
      </c>
      <c r="L62" s="47">
        <f>IF($B62="",0,IF((Override!$C$4="ON")*ISNUMBER(Override!$G$68)&gt;0,Override!$G$68,$K62))</f>
        <v/>
      </c>
      <c r="M62" s="47">
        <f>IF($B62="",0,IF((Override!$C$4="ON")*ISNUMBER(Override!$H$68)&gt;0,Override!$H$68,$L62))</f>
        <v/>
      </c>
      <c r="N62" s="47">
        <f>IF($B62="",0,IF((Override!$C$4="ON")*ISNUMBER(Override!$I$68)&gt;0,Override!$I$68,$L62))</f>
        <v/>
      </c>
      <c r="O62" s="54">
        <f>IF($B62="","",IFERROR($B62*$G62*$J62/$B$3,""))</f>
        <v/>
      </c>
      <c r="P62" s="54">
        <f>IF($B62="","",IFERROR($B62*$G62*$L62/$B$3,""))</f>
        <v/>
      </c>
      <c r="Q62" s="38">
        <f>IF($B62="","",IFERROR($O62+$P62,""))</f>
        <v/>
      </c>
      <c r="R62" s="54">
        <f>IF($B62="","",IFERROR($O62+$B62*$G62*$M62/$B$3,""))</f>
        <v/>
      </c>
      <c r="S62" s="54">
        <f>IF($B62="","",IFERROR($O62+$B62*$G62*$N62/$B$3,""))</f>
        <v/>
      </c>
      <c r="T62" s="63">
        <f>IF($B62="","",IFERROR($Q62/$Q$5,""))</f>
        <v/>
      </c>
      <c r="U62" s="2">
        <f>IF($B62="","",IF(COUNTIFS('Dvd Calendar'!$E$841:$AR$841,"&gt;0",'Dvd Calendar'!$E$842:$AR$842,"&gt;"&amp;MAX(Summary!$C$11,DATE(Summary!$C$12,1,1)-1),'Dvd Calendar'!$E$842:$AR$842,"&lt;="&amp;DATE(Summary!$C$12,12,31))-COUNTIFS('Dvd Calendar'!$E$841:$AR$841,"&gt;0",'Dvd Calendar'!$E$842:$AR$842,"&gt;"&amp;MAX(Summary!$C$11,DATE(Summary!$C$12,1,1)-1),'Dvd Calendar'!$E$842:$AR$842,"&lt;="&amp;DATE(Summary!$C$12,12,31),'Dvd Calendar'!$E$843:$AR$843,"&gt;=0")&gt;0,"TBA amount - override me",IF((Override!$C$4="ON")*ISNUMBER(Override!$G$68)&gt;0,"overridden",IF($J62+$K62=0,"no dividend in year Y",""))))</f>
        <v/>
      </c>
      <c r="V62" s="54">
        <f>IF($B62="","",IFERROR(IF(ISNUMBER($H62),$B62*$G62*$H62/$B$3,0),""))</f>
        <v/>
      </c>
      <c r="W62" s="54">
        <f>IF($B62="","",IFERROR($B62*$G62*$K62/$B$3,""))</f>
        <v/>
      </c>
    </row>
    <row r="63">
      <c r="B63" s="73" t="n"/>
      <c r="C63" s="6">
        <f>IF($A63="","",$A63&amp;" Equity")</f>
        <v/>
      </c>
      <c r="D63" s="6">
        <f>IF($C63="","",BDP($C63,"NAME"))</f>
        <v/>
      </c>
      <c r="E63" s="6">
        <f>IF($C63="","",BDP($C63,"GICS_SECTOR_NAME"))</f>
        <v/>
      </c>
      <c r="F63" s="31">
        <f>IF($C63="","",BDP($C63,'Field Check'!$C$8))</f>
        <v/>
      </c>
      <c r="G63" s="74">
        <f>IFERROR(IF(LEN($F63)&lt;&gt;3,1,IF($F63="HKD",1,BDP(IF($F63="CNY",Summary!$C$14,$F63)&amp;"HKD Curncy","PX_LAST"))),1)</f>
        <v/>
      </c>
      <c r="H63" s="54">
        <f>IF($C63="","",BDP($C63,'Field Check'!$C$9))</f>
        <v/>
      </c>
      <c r="I63" s="45">
        <f>IF($C63="","",BDP($C63,'Field Check'!$C$10))</f>
        <v/>
      </c>
      <c r="J63" s="47">
        <f>IF($B63="",0,IF(Summary!$C$13="Y",SUMIFS('Dvd Calendar'!$E$851:$AR$851,'Dvd Calendar'!$E$850:$AR$850,"&gt;="&amp;DATE(Summary!$C$12,1,1),'Dvd Calendar'!$E$850:$AR$850,"&lt;="&amp;MIN(Summary!$C$11,DATE(Summary!$C$12,12,31))),SUMIFS('Dvd Calendar'!$E$851:$AR$851,'Dvd Calendar'!$E$850:$AR$850,"&gt;="&amp;DATE(Summary!$C$12,1,1),'Dvd Calendar'!$E$850:$AR$850,"&lt;="&amp;MIN(Summary!$C$11,DATE(Summary!$C$12,12,31)),'Dvd Calendar'!$E$855:$AR$855,"&lt;&gt;"&amp;'Field Check'!$C$25)))</f>
        <v/>
      </c>
      <c r="K63" s="47">
        <f>IF($B63="",0,IF(Summary!$C$13="Y",SUMIFS('Dvd Calendar'!$E$858:$AR$858,'Dvd Calendar'!$E$857:$AR$857,"&gt;"&amp;MAX(Summary!$C$11,DATE(Summary!$C$12,1,1)-1),'Dvd Calendar'!$E$857:$AR$857,"&lt;="&amp;DATE(Summary!$C$12,12,31)),SUMIFS('Dvd Calendar'!$E$858:$AR$858,'Dvd Calendar'!$E$857:$AR$857,"&gt;"&amp;MAX(Summary!$C$11,DATE(Summary!$C$12,1,1)-1),'Dvd Calendar'!$E$857:$AR$857,"&lt;="&amp;DATE(Summary!$C$12,12,31),'Dvd Calendar'!$E$862:$AR$862,"&lt;&gt;"&amp;'Field Check'!$C$25)))</f>
        <v/>
      </c>
      <c r="L63" s="47">
        <f>IF($B63="",0,IF((Override!$C$4="ON")*ISNUMBER(Override!$G$69)&gt;0,Override!$G$69,$K63))</f>
        <v/>
      </c>
      <c r="M63" s="47">
        <f>IF($B63="",0,IF((Override!$C$4="ON")*ISNUMBER(Override!$H$69)&gt;0,Override!$H$69,$L63))</f>
        <v/>
      </c>
      <c r="N63" s="47">
        <f>IF($B63="",0,IF((Override!$C$4="ON")*ISNUMBER(Override!$I$69)&gt;0,Override!$I$69,$L63))</f>
        <v/>
      </c>
      <c r="O63" s="54">
        <f>IF($B63="","",IFERROR($B63*$G63*$J63/$B$3,""))</f>
        <v/>
      </c>
      <c r="P63" s="54">
        <f>IF($B63="","",IFERROR($B63*$G63*$L63/$B$3,""))</f>
        <v/>
      </c>
      <c r="Q63" s="38">
        <f>IF($B63="","",IFERROR($O63+$P63,""))</f>
        <v/>
      </c>
      <c r="R63" s="54">
        <f>IF($B63="","",IFERROR($O63+$B63*$G63*$M63/$B$3,""))</f>
        <v/>
      </c>
      <c r="S63" s="54">
        <f>IF($B63="","",IFERROR($O63+$B63*$G63*$N63/$B$3,""))</f>
        <v/>
      </c>
      <c r="T63" s="63">
        <f>IF($B63="","",IFERROR($Q63/$Q$5,""))</f>
        <v/>
      </c>
      <c r="U63" s="2">
        <f>IF($B63="","",IF(COUNTIFS('Dvd Calendar'!$E$856:$AR$856,"&gt;0",'Dvd Calendar'!$E$857:$AR$857,"&gt;"&amp;MAX(Summary!$C$11,DATE(Summary!$C$12,1,1)-1),'Dvd Calendar'!$E$857:$AR$857,"&lt;="&amp;DATE(Summary!$C$12,12,31))-COUNTIFS('Dvd Calendar'!$E$856:$AR$856,"&gt;0",'Dvd Calendar'!$E$857:$AR$857,"&gt;"&amp;MAX(Summary!$C$11,DATE(Summary!$C$12,1,1)-1),'Dvd Calendar'!$E$857:$AR$857,"&lt;="&amp;DATE(Summary!$C$12,12,31),'Dvd Calendar'!$E$858:$AR$858,"&gt;=0")&gt;0,"TBA amount - override me",IF((Override!$C$4="ON")*ISNUMBER(Override!$G$69)&gt;0,"overridden",IF($J63+$K63=0,"no dividend in year Y",""))))</f>
        <v/>
      </c>
      <c r="V63" s="54">
        <f>IF($B63="","",IFERROR(IF(ISNUMBER($H63),$B63*$G63*$H63/$B$3,0),""))</f>
        <v/>
      </c>
      <c r="W63" s="54">
        <f>IF($B63="","",IFERROR($B63*$G63*$K63/$B$3,""))</f>
        <v/>
      </c>
    </row>
    <row r="64">
      <c r="B64" s="73" t="n"/>
      <c r="C64" s="6">
        <f>IF($A64="","",$A64&amp;" Equity")</f>
        <v/>
      </c>
      <c r="D64" s="6">
        <f>IF($C64="","",BDP($C64,"NAME"))</f>
        <v/>
      </c>
      <c r="E64" s="6">
        <f>IF($C64="","",BDP($C64,"GICS_SECTOR_NAME"))</f>
        <v/>
      </c>
      <c r="F64" s="31">
        <f>IF($C64="","",BDP($C64,'Field Check'!$C$8))</f>
        <v/>
      </c>
      <c r="G64" s="74">
        <f>IFERROR(IF(LEN($F64)&lt;&gt;3,1,IF($F64="HKD",1,BDP(IF($F64="CNY",Summary!$C$14,$F64)&amp;"HKD Curncy","PX_LAST"))),1)</f>
        <v/>
      </c>
      <c r="H64" s="54">
        <f>IF($C64="","",BDP($C64,'Field Check'!$C$9))</f>
        <v/>
      </c>
      <c r="I64" s="45">
        <f>IF($C64="","",BDP($C64,'Field Check'!$C$10))</f>
        <v/>
      </c>
      <c r="J64" s="47">
        <f>IF($B64="",0,IF(Summary!$C$13="Y",SUMIFS('Dvd Calendar'!$E$866:$AR$866,'Dvd Calendar'!$E$865:$AR$865,"&gt;="&amp;DATE(Summary!$C$12,1,1),'Dvd Calendar'!$E$865:$AR$865,"&lt;="&amp;MIN(Summary!$C$11,DATE(Summary!$C$12,12,31))),SUMIFS('Dvd Calendar'!$E$866:$AR$866,'Dvd Calendar'!$E$865:$AR$865,"&gt;="&amp;DATE(Summary!$C$12,1,1),'Dvd Calendar'!$E$865:$AR$865,"&lt;="&amp;MIN(Summary!$C$11,DATE(Summary!$C$12,12,31)),'Dvd Calendar'!$E$870:$AR$870,"&lt;&gt;"&amp;'Field Check'!$C$25)))</f>
        <v/>
      </c>
      <c r="K64" s="47">
        <f>IF($B64="",0,IF(Summary!$C$13="Y",SUMIFS('Dvd Calendar'!$E$873:$AR$873,'Dvd Calendar'!$E$872:$AR$872,"&gt;"&amp;MAX(Summary!$C$11,DATE(Summary!$C$12,1,1)-1),'Dvd Calendar'!$E$872:$AR$872,"&lt;="&amp;DATE(Summary!$C$12,12,31)),SUMIFS('Dvd Calendar'!$E$873:$AR$873,'Dvd Calendar'!$E$872:$AR$872,"&gt;"&amp;MAX(Summary!$C$11,DATE(Summary!$C$12,1,1)-1),'Dvd Calendar'!$E$872:$AR$872,"&lt;="&amp;DATE(Summary!$C$12,12,31),'Dvd Calendar'!$E$877:$AR$877,"&lt;&gt;"&amp;'Field Check'!$C$25)))</f>
        <v/>
      </c>
      <c r="L64" s="47">
        <f>IF($B64="",0,IF((Override!$C$4="ON")*ISNUMBER(Override!$G$70)&gt;0,Override!$G$70,$K64))</f>
        <v/>
      </c>
      <c r="M64" s="47">
        <f>IF($B64="",0,IF((Override!$C$4="ON")*ISNUMBER(Override!$H$70)&gt;0,Override!$H$70,$L64))</f>
        <v/>
      </c>
      <c r="N64" s="47">
        <f>IF($B64="",0,IF((Override!$C$4="ON")*ISNUMBER(Override!$I$70)&gt;0,Override!$I$70,$L64))</f>
        <v/>
      </c>
      <c r="O64" s="54">
        <f>IF($B64="","",IFERROR($B64*$G64*$J64/$B$3,""))</f>
        <v/>
      </c>
      <c r="P64" s="54">
        <f>IF($B64="","",IFERROR($B64*$G64*$L64/$B$3,""))</f>
        <v/>
      </c>
      <c r="Q64" s="38">
        <f>IF($B64="","",IFERROR($O64+$P64,""))</f>
        <v/>
      </c>
      <c r="R64" s="54">
        <f>IF($B64="","",IFERROR($O64+$B64*$G64*$M64/$B$3,""))</f>
        <v/>
      </c>
      <c r="S64" s="54">
        <f>IF($B64="","",IFERROR($O64+$B64*$G64*$N64/$B$3,""))</f>
        <v/>
      </c>
      <c r="T64" s="63">
        <f>IF($B64="","",IFERROR($Q64/$Q$5,""))</f>
        <v/>
      </c>
      <c r="U64" s="2">
        <f>IF($B64="","",IF(COUNTIFS('Dvd Calendar'!$E$871:$AR$871,"&gt;0",'Dvd Calendar'!$E$872:$AR$872,"&gt;"&amp;MAX(Summary!$C$11,DATE(Summary!$C$12,1,1)-1),'Dvd Calendar'!$E$872:$AR$872,"&lt;="&amp;DATE(Summary!$C$12,12,31))-COUNTIFS('Dvd Calendar'!$E$871:$AR$871,"&gt;0",'Dvd Calendar'!$E$872:$AR$872,"&gt;"&amp;MAX(Summary!$C$11,DATE(Summary!$C$12,1,1)-1),'Dvd Calendar'!$E$872:$AR$872,"&lt;="&amp;DATE(Summary!$C$12,12,31),'Dvd Calendar'!$E$873:$AR$873,"&gt;=0")&gt;0,"TBA amount - override me",IF((Override!$C$4="ON")*ISNUMBER(Override!$G$70)&gt;0,"overridden",IF($J64+$K64=0,"no dividend in year Y",""))))</f>
        <v/>
      </c>
      <c r="V64" s="54">
        <f>IF($B64="","",IFERROR(IF(ISNUMBER($H64),$B64*$G64*$H64/$B$3,0),""))</f>
        <v/>
      </c>
      <c r="W64" s="54">
        <f>IF($B64="","",IFERROR($B64*$G64*$K64/$B$3,""))</f>
        <v/>
      </c>
    </row>
    <row r="65">
      <c r="B65" s="73" t="n"/>
      <c r="C65" s="6">
        <f>IF($A65="","",$A65&amp;" Equity")</f>
        <v/>
      </c>
      <c r="D65" s="6">
        <f>IF($C65="","",BDP($C65,"NAME"))</f>
        <v/>
      </c>
      <c r="E65" s="6">
        <f>IF($C65="","",BDP($C65,"GICS_SECTOR_NAME"))</f>
        <v/>
      </c>
      <c r="F65" s="31">
        <f>IF($C65="","",BDP($C65,'Field Check'!$C$8))</f>
        <v/>
      </c>
      <c r="G65" s="74">
        <f>IFERROR(IF(LEN($F65)&lt;&gt;3,1,IF($F65="HKD",1,BDP(IF($F65="CNY",Summary!$C$14,$F65)&amp;"HKD Curncy","PX_LAST"))),1)</f>
        <v/>
      </c>
      <c r="H65" s="54">
        <f>IF($C65="","",BDP($C65,'Field Check'!$C$9))</f>
        <v/>
      </c>
      <c r="I65" s="45">
        <f>IF($C65="","",BDP($C65,'Field Check'!$C$10))</f>
        <v/>
      </c>
      <c r="J65" s="47">
        <f>IF($B65="",0,IF(Summary!$C$13="Y",SUMIFS('Dvd Calendar'!$E$881:$AR$881,'Dvd Calendar'!$E$880:$AR$880,"&gt;="&amp;DATE(Summary!$C$12,1,1),'Dvd Calendar'!$E$880:$AR$880,"&lt;="&amp;MIN(Summary!$C$11,DATE(Summary!$C$12,12,31))),SUMIFS('Dvd Calendar'!$E$881:$AR$881,'Dvd Calendar'!$E$880:$AR$880,"&gt;="&amp;DATE(Summary!$C$12,1,1),'Dvd Calendar'!$E$880:$AR$880,"&lt;="&amp;MIN(Summary!$C$11,DATE(Summary!$C$12,12,31)),'Dvd Calendar'!$E$885:$AR$885,"&lt;&gt;"&amp;'Field Check'!$C$25)))</f>
        <v/>
      </c>
      <c r="K65" s="47">
        <f>IF($B65="",0,IF(Summary!$C$13="Y",SUMIFS('Dvd Calendar'!$E$888:$AR$888,'Dvd Calendar'!$E$887:$AR$887,"&gt;"&amp;MAX(Summary!$C$11,DATE(Summary!$C$12,1,1)-1),'Dvd Calendar'!$E$887:$AR$887,"&lt;="&amp;DATE(Summary!$C$12,12,31)),SUMIFS('Dvd Calendar'!$E$888:$AR$888,'Dvd Calendar'!$E$887:$AR$887,"&gt;"&amp;MAX(Summary!$C$11,DATE(Summary!$C$12,1,1)-1),'Dvd Calendar'!$E$887:$AR$887,"&lt;="&amp;DATE(Summary!$C$12,12,31),'Dvd Calendar'!$E$892:$AR$892,"&lt;&gt;"&amp;'Field Check'!$C$25)))</f>
        <v/>
      </c>
      <c r="L65" s="47">
        <f>IF($B65="",0,IF((Override!$C$4="ON")*ISNUMBER(Override!$G$71)&gt;0,Override!$G$71,$K65))</f>
        <v/>
      </c>
      <c r="M65" s="47">
        <f>IF($B65="",0,IF((Override!$C$4="ON")*ISNUMBER(Override!$H$71)&gt;0,Override!$H$71,$L65))</f>
        <v/>
      </c>
      <c r="N65" s="47">
        <f>IF($B65="",0,IF((Override!$C$4="ON")*ISNUMBER(Override!$I$71)&gt;0,Override!$I$71,$L65))</f>
        <v/>
      </c>
      <c r="O65" s="54">
        <f>IF($B65="","",IFERROR($B65*$G65*$J65/$B$3,""))</f>
        <v/>
      </c>
      <c r="P65" s="54">
        <f>IF($B65="","",IFERROR($B65*$G65*$L65/$B$3,""))</f>
        <v/>
      </c>
      <c r="Q65" s="38">
        <f>IF($B65="","",IFERROR($O65+$P65,""))</f>
        <v/>
      </c>
      <c r="R65" s="54">
        <f>IF($B65="","",IFERROR($O65+$B65*$G65*$M65/$B$3,""))</f>
        <v/>
      </c>
      <c r="S65" s="54">
        <f>IF($B65="","",IFERROR($O65+$B65*$G65*$N65/$B$3,""))</f>
        <v/>
      </c>
      <c r="T65" s="63">
        <f>IF($B65="","",IFERROR($Q65/$Q$5,""))</f>
        <v/>
      </c>
      <c r="U65" s="2">
        <f>IF($B65="","",IF(COUNTIFS('Dvd Calendar'!$E$886:$AR$886,"&gt;0",'Dvd Calendar'!$E$887:$AR$887,"&gt;"&amp;MAX(Summary!$C$11,DATE(Summary!$C$12,1,1)-1),'Dvd Calendar'!$E$887:$AR$887,"&lt;="&amp;DATE(Summary!$C$12,12,31))-COUNTIFS('Dvd Calendar'!$E$886:$AR$886,"&gt;0",'Dvd Calendar'!$E$887:$AR$887,"&gt;"&amp;MAX(Summary!$C$11,DATE(Summary!$C$12,1,1)-1),'Dvd Calendar'!$E$887:$AR$887,"&lt;="&amp;DATE(Summary!$C$12,12,31),'Dvd Calendar'!$E$888:$AR$888,"&gt;=0")&gt;0,"TBA amount - override me",IF((Override!$C$4="ON")*ISNUMBER(Override!$G$71)&gt;0,"overridden",IF($J65+$K65=0,"no dividend in year Y",""))))</f>
        <v/>
      </c>
      <c r="V65" s="54">
        <f>IF($B65="","",IFERROR(IF(ISNUMBER($H65),$B65*$G65*$H65/$B$3,0),""))</f>
        <v/>
      </c>
      <c r="W65" s="54">
        <f>IF($B65="","",IFERROR($B65*$G65*$K65/$B$3,""))</f>
        <v/>
      </c>
    </row>
    <row r="66">
      <c r="B66" s="73" t="n"/>
      <c r="C66" s="6">
        <f>IF($A66="","",$A66&amp;" Equity")</f>
        <v/>
      </c>
      <c r="D66" s="6">
        <f>IF($C66="","",BDP($C66,"NAME"))</f>
        <v/>
      </c>
      <c r="E66" s="6">
        <f>IF($C66="","",BDP($C66,"GICS_SECTOR_NAME"))</f>
        <v/>
      </c>
      <c r="F66" s="31">
        <f>IF($C66="","",BDP($C66,'Field Check'!$C$8))</f>
        <v/>
      </c>
      <c r="G66" s="74">
        <f>IFERROR(IF(LEN($F66)&lt;&gt;3,1,IF($F66="HKD",1,BDP(IF($F66="CNY",Summary!$C$14,$F66)&amp;"HKD Curncy","PX_LAST"))),1)</f>
        <v/>
      </c>
      <c r="H66" s="54">
        <f>IF($C66="","",BDP($C66,'Field Check'!$C$9))</f>
        <v/>
      </c>
      <c r="I66" s="45">
        <f>IF($C66="","",BDP($C66,'Field Check'!$C$10))</f>
        <v/>
      </c>
      <c r="J66" s="47">
        <f>IF($B66="",0,IF(Summary!$C$13="Y",SUMIFS('Dvd Calendar'!$E$896:$AR$896,'Dvd Calendar'!$E$895:$AR$895,"&gt;="&amp;DATE(Summary!$C$12,1,1),'Dvd Calendar'!$E$895:$AR$895,"&lt;="&amp;MIN(Summary!$C$11,DATE(Summary!$C$12,12,31))),SUMIFS('Dvd Calendar'!$E$896:$AR$896,'Dvd Calendar'!$E$895:$AR$895,"&gt;="&amp;DATE(Summary!$C$12,1,1),'Dvd Calendar'!$E$895:$AR$895,"&lt;="&amp;MIN(Summary!$C$11,DATE(Summary!$C$12,12,31)),'Dvd Calendar'!$E$900:$AR$900,"&lt;&gt;"&amp;'Field Check'!$C$25)))</f>
        <v/>
      </c>
      <c r="K66" s="47">
        <f>IF($B66="",0,IF(Summary!$C$13="Y",SUMIFS('Dvd Calendar'!$E$903:$AR$903,'Dvd Calendar'!$E$902:$AR$902,"&gt;"&amp;MAX(Summary!$C$11,DATE(Summary!$C$12,1,1)-1),'Dvd Calendar'!$E$902:$AR$902,"&lt;="&amp;DATE(Summary!$C$12,12,31)),SUMIFS('Dvd Calendar'!$E$903:$AR$903,'Dvd Calendar'!$E$902:$AR$902,"&gt;"&amp;MAX(Summary!$C$11,DATE(Summary!$C$12,1,1)-1),'Dvd Calendar'!$E$902:$AR$902,"&lt;="&amp;DATE(Summary!$C$12,12,31),'Dvd Calendar'!$E$907:$AR$907,"&lt;&gt;"&amp;'Field Check'!$C$25)))</f>
        <v/>
      </c>
      <c r="L66" s="47">
        <f>IF($B66="",0,IF((Override!$C$4="ON")*ISNUMBER(Override!$G$72)&gt;0,Override!$G$72,$K66))</f>
        <v/>
      </c>
      <c r="M66" s="47">
        <f>IF($B66="",0,IF((Override!$C$4="ON")*ISNUMBER(Override!$H$72)&gt;0,Override!$H$72,$L66))</f>
        <v/>
      </c>
      <c r="N66" s="47">
        <f>IF($B66="",0,IF((Override!$C$4="ON")*ISNUMBER(Override!$I$72)&gt;0,Override!$I$72,$L66))</f>
        <v/>
      </c>
      <c r="O66" s="54">
        <f>IF($B66="","",IFERROR($B66*$G66*$J66/$B$3,""))</f>
        <v/>
      </c>
      <c r="P66" s="54">
        <f>IF($B66="","",IFERROR($B66*$G66*$L66/$B$3,""))</f>
        <v/>
      </c>
      <c r="Q66" s="38">
        <f>IF($B66="","",IFERROR($O66+$P66,""))</f>
        <v/>
      </c>
      <c r="R66" s="54">
        <f>IF($B66="","",IFERROR($O66+$B66*$G66*$M66/$B$3,""))</f>
        <v/>
      </c>
      <c r="S66" s="54">
        <f>IF($B66="","",IFERROR($O66+$B66*$G66*$N66/$B$3,""))</f>
        <v/>
      </c>
      <c r="T66" s="63">
        <f>IF($B66="","",IFERROR($Q66/$Q$5,""))</f>
        <v/>
      </c>
      <c r="U66" s="2">
        <f>IF($B66="","",IF(COUNTIFS('Dvd Calendar'!$E$901:$AR$901,"&gt;0",'Dvd Calendar'!$E$902:$AR$902,"&gt;"&amp;MAX(Summary!$C$11,DATE(Summary!$C$12,1,1)-1),'Dvd Calendar'!$E$902:$AR$902,"&lt;="&amp;DATE(Summary!$C$12,12,31))-COUNTIFS('Dvd Calendar'!$E$901:$AR$901,"&gt;0",'Dvd Calendar'!$E$902:$AR$902,"&gt;"&amp;MAX(Summary!$C$11,DATE(Summary!$C$12,1,1)-1),'Dvd Calendar'!$E$902:$AR$902,"&lt;="&amp;DATE(Summary!$C$12,12,31),'Dvd Calendar'!$E$903:$AR$903,"&gt;=0")&gt;0,"TBA amount - override me",IF((Override!$C$4="ON")*ISNUMBER(Override!$G$72)&gt;0,"overridden",IF($J66+$K66=0,"no dividend in year Y",""))))</f>
        <v/>
      </c>
      <c r="V66" s="54">
        <f>IF($B66="","",IFERROR(IF(ISNUMBER($H66),$B66*$G66*$H66/$B$3,0),""))</f>
        <v/>
      </c>
      <c r="W66" s="54">
        <f>IF($B66="","",IFERROR($B66*$G66*$K66/$B$3,""))</f>
        <v/>
      </c>
    </row>
    <row r="67">
      <c r="B67" s="73" t="n"/>
      <c r="C67" s="6">
        <f>IF($A67="","",$A67&amp;" Equity")</f>
        <v/>
      </c>
      <c r="D67" s="6">
        <f>IF($C67="","",BDP($C67,"NAME"))</f>
        <v/>
      </c>
      <c r="E67" s="6">
        <f>IF($C67="","",BDP($C67,"GICS_SECTOR_NAME"))</f>
        <v/>
      </c>
      <c r="F67" s="31">
        <f>IF($C67="","",BDP($C67,'Field Check'!$C$8))</f>
        <v/>
      </c>
      <c r="G67" s="74">
        <f>IFERROR(IF(LEN($F67)&lt;&gt;3,1,IF($F67="HKD",1,BDP(IF($F67="CNY",Summary!$C$14,$F67)&amp;"HKD Curncy","PX_LAST"))),1)</f>
        <v/>
      </c>
      <c r="H67" s="54">
        <f>IF($C67="","",BDP($C67,'Field Check'!$C$9))</f>
        <v/>
      </c>
      <c r="I67" s="45">
        <f>IF($C67="","",BDP($C67,'Field Check'!$C$10))</f>
        <v/>
      </c>
      <c r="J67" s="47">
        <f>IF($B67="",0,IF(Summary!$C$13="Y",SUMIFS('Dvd Calendar'!$E$911:$AR$911,'Dvd Calendar'!$E$910:$AR$910,"&gt;="&amp;DATE(Summary!$C$12,1,1),'Dvd Calendar'!$E$910:$AR$910,"&lt;="&amp;MIN(Summary!$C$11,DATE(Summary!$C$12,12,31))),SUMIFS('Dvd Calendar'!$E$911:$AR$911,'Dvd Calendar'!$E$910:$AR$910,"&gt;="&amp;DATE(Summary!$C$12,1,1),'Dvd Calendar'!$E$910:$AR$910,"&lt;="&amp;MIN(Summary!$C$11,DATE(Summary!$C$12,12,31)),'Dvd Calendar'!$E$915:$AR$915,"&lt;&gt;"&amp;'Field Check'!$C$25)))</f>
        <v/>
      </c>
      <c r="K67" s="47">
        <f>IF($B67="",0,IF(Summary!$C$13="Y",SUMIFS('Dvd Calendar'!$E$918:$AR$918,'Dvd Calendar'!$E$917:$AR$917,"&gt;"&amp;MAX(Summary!$C$11,DATE(Summary!$C$12,1,1)-1),'Dvd Calendar'!$E$917:$AR$917,"&lt;="&amp;DATE(Summary!$C$12,12,31)),SUMIFS('Dvd Calendar'!$E$918:$AR$918,'Dvd Calendar'!$E$917:$AR$917,"&gt;"&amp;MAX(Summary!$C$11,DATE(Summary!$C$12,1,1)-1),'Dvd Calendar'!$E$917:$AR$917,"&lt;="&amp;DATE(Summary!$C$12,12,31),'Dvd Calendar'!$E$922:$AR$922,"&lt;&gt;"&amp;'Field Check'!$C$25)))</f>
        <v/>
      </c>
      <c r="L67" s="47">
        <f>IF($B67="",0,IF((Override!$C$4="ON")*ISNUMBER(Override!$G$73)&gt;0,Override!$G$73,$K67))</f>
        <v/>
      </c>
      <c r="M67" s="47">
        <f>IF($B67="",0,IF((Override!$C$4="ON")*ISNUMBER(Override!$H$73)&gt;0,Override!$H$73,$L67))</f>
        <v/>
      </c>
      <c r="N67" s="47">
        <f>IF($B67="",0,IF((Override!$C$4="ON")*ISNUMBER(Override!$I$73)&gt;0,Override!$I$73,$L67))</f>
        <v/>
      </c>
      <c r="O67" s="54">
        <f>IF($B67="","",IFERROR($B67*$G67*$J67/$B$3,""))</f>
        <v/>
      </c>
      <c r="P67" s="54">
        <f>IF($B67="","",IFERROR($B67*$G67*$L67/$B$3,""))</f>
        <v/>
      </c>
      <c r="Q67" s="38">
        <f>IF($B67="","",IFERROR($O67+$P67,""))</f>
        <v/>
      </c>
      <c r="R67" s="54">
        <f>IF($B67="","",IFERROR($O67+$B67*$G67*$M67/$B$3,""))</f>
        <v/>
      </c>
      <c r="S67" s="54">
        <f>IF($B67="","",IFERROR($O67+$B67*$G67*$N67/$B$3,""))</f>
        <v/>
      </c>
      <c r="T67" s="63">
        <f>IF($B67="","",IFERROR($Q67/$Q$5,""))</f>
        <v/>
      </c>
      <c r="U67" s="2">
        <f>IF($B67="","",IF(COUNTIFS('Dvd Calendar'!$E$916:$AR$916,"&gt;0",'Dvd Calendar'!$E$917:$AR$917,"&gt;"&amp;MAX(Summary!$C$11,DATE(Summary!$C$12,1,1)-1),'Dvd Calendar'!$E$917:$AR$917,"&lt;="&amp;DATE(Summary!$C$12,12,31))-COUNTIFS('Dvd Calendar'!$E$916:$AR$916,"&gt;0",'Dvd Calendar'!$E$917:$AR$917,"&gt;"&amp;MAX(Summary!$C$11,DATE(Summary!$C$12,1,1)-1),'Dvd Calendar'!$E$917:$AR$917,"&lt;="&amp;DATE(Summary!$C$12,12,31),'Dvd Calendar'!$E$918:$AR$918,"&gt;=0")&gt;0,"TBA amount - override me",IF((Override!$C$4="ON")*ISNUMBER(Override!$G$73)&gt;0,"overridden",IF($J67+$K67=0,"no dividend in year Y",""))))</f>
        <v/>
      </c>
      <c r="V67" s="54">
        <f>IF($B67="","",IFERROR(IF(ISNUMBER($H67),$B67*$G67*$H67/$B$3,0),""))</f>
        <v/>
      </c>
      <c r="W67" s="54">
        <f>IF($B67="","",IFERROR($B67*$G67*$K67/$B$3,""))</f>
        <v/>
      </c>
    </row>
    <row r="68">
      <c r="B68" s="73" t="n"/>
      <c r="C68" s="6">
        <f>IF($A68="","",$A68&amp;" Equity")</f>
        <v/>
      </c>
      <c r="D68" s="6">
        <f>IF($C68="","",BDP($C68,"NAME"))</f>
        <v/>
      </c>
      <c r="E68" s="6">
        <f>IF($C68="","",BDP($C68,"GICS_SECTOR_NAME"))</f>
        <v/>
      </c>
      <c r="F68" s="31">
        <f>IF($C68="","",BDP($C68,'Field Check'!$C$8))</f>
        <v/>
      </c>
      <c r="G68" s="74">
        <f>IFERROR(IF(LEN($F68)&lt;&gt;3,1,IF($F68="HKD",1,BDP(IF($F68="CNY",Summary!$C$14,$F68)&amp;"HKD Curncy","PX_LAST"))),1)</f>
        <v/>
      </c>
      <c r="H68" s="54">
        <f>IF($C68="","",BDP($C68,'Field Check'!$C$9))</f>
        <v/>
      </c>
      <c r="I68" s="45">
        <f>IF($C68="","",BDP($C68,'Field Check'!$C$10))</f>
        <v/>
      </c>
      <c r="J68" s="47">
        <f>IF($B68="",0,IF(Summary!$C$13="Y",SUMIFS('Dvd Calendar'!$E$926:$AR$926,'Dvd Calendar'!$E$925:$AR$925,"&gt;="&amp;DATE(Summary!$C$12,1,1),'Dvd Calendar'!$E$925:$AR$925,"&lt;="&amp;MIN(Summary!$C$11,DATE(Summary!$C$12,12,31))),SUMIFS('Dvd Calendar'!$E$926:$AR$926,'Dvd Calendar'!$E$925:$AR$925,"&gt;="&amp;DATE(Summary!$C$12,1,1),'Dvd Calendar'!$E$925:$AR$925,"&lt;="&amp;MIN(Summary!$C$11,DATE(Summary!$C$12,12,31)),'Dvd Calendar'!$E$930:$AR$930,"&lt;&gt;"&amp;'Field Check'!$C$25)))</f>
        <v/>
      </c>
      <c r="K68" s="47">
        <f>IF($B68="",0,IF(Summary!$C$13="Y",SUMIFS('Dvd Calendar'!$E$933:$AR$933,'Dvd Calendar'!$E$932:$AR$932,"&gt;"&amp;MAX(Summary!$C$11,DATE(Summary!$C$12,1,1)-1),'Dvd Calendar'!$E$932:$AR$932,"&lt;="&amp;DATE(Summary!$C$12,12,31)),SUMIFS('Dvd Calendar'!$E$933:$AR$933,'Dvd Calendar'!$E$932:$AR$932,"&gt;"&amp;MAX(Summary!$C$11,DATE(Summary!$C$12,1,1)-1),'Dvd Calendar'!$E$932:$AR$932,"&lt;="&amp;DATE(Summary!$C$12,12,31),'Dvd Calendar'!$E$937:$AR$937,"&lt;&gt;"&amp;'Field Check'!$C$25)))</f>
        <v/>
      </c>
      <c r="L68" s="47">
        <f>IF($B68="",0,IF((Override!$C$4="ON")*ISNUMBER(Override!$G$74)&gt;0,Override!$G$74,$K68))</f>
        <v/>
      </c>
      <c r="M68" s="47">
        <f>IF($B68="",0,IF((Override!$C$4="ON")*ISNUMBER(Override!$H$74)&gt;0,Override!$H$74,$L68))</f>
        <v/>
      </c>
      <c r="N68" s="47">
        <f>IF($B68="",0,IF((Override!$C$4="ON")*ISNUMBER(Override!$I$74)&gt;0,Override!$I$74,$L68))</f>
        <v/>
      </c>
      <c r="O68" s="54">
        <f>IF($B68="","",IFERROR($B68*$G68*$J68/$B$3,""))</f>
        <v/>
      </c>
      <c r="P68" s="54">
        <f>IF($B68="","",IFERROR($B68*$G68*$L68/$B$3,""))</f>
        <v/>
      </c>
      <c r="Q68" s="38">
        <f>IF($B68="","",IFERROR($O68+$P68,""))</f>
        <v/>
      </c>
      <c r="R68" s="54">
        <f>IF($B68="","",IFERROR($O68+$B68*$G68*$M68/$B$3,""))</f>
        <v/>
      </c>
      <c r="S68" s="54">
        <f>IF($B68="","",IFERROR($O68+$B68*$G68*$N68/$B$3,""))</f>
        <v/>
      </c>
      <c r="T68" s="63">
        <f>IF($B68="","",IFERROR($Q68/$Q$5,""))</f>
        <v/>
      </c>
      <c r="U68" s="2">
        <f>IF($B68="","",IF(COUNTIFS('Dvd Calendar'!$E$931:$AR$931,"&gt;0",'Dvd Calendar'!$E$932:$AR$932,"&gt;"&amp;MAX(Summary!$C$11,DATE(Summary!$C$12,1,1)-1),'Dvd Calendar'!$E$932:$AR$932,"&lt;="&amp;DATE(Summary!$C$12,12,31))-COUNTIFS('Dvd Calendar'!$E$931:$AR$931,"&gt;0",'Dvd Calendar'!$E$932:$AR$932,"&gt;"&amp;MAX(Summary!$C$11,DATE(Summary!$C$12,1,1)-1),'Dvd Calendar'!$E$932:$AR$932,"&lt;="&amp;DATE(Summary!$C$12,12,31),'Dvd Calendar'!$E$933:$AR$933,"&gt;=0")&gt;0,"TBA amount - override me",IF((Override!$C$4="ON")*ISNUMBER(Override!$G$74)&gt;0,"overridden",IF($J68+$K68=0,"no dividend in year Y",""))))</f>
        <v/>
      </c>
      <c r="V68" s="54">
        <f>IF($B68="","",IFERROR(IF(ISNUMBER($H68),$B68*$G68*$H68/$B$3,0),""))</f>
        <v/>
      </c>
      <c r="W68" s="54">
        <f>IF($B68="","",IFERROR($B68*$G68*$K68/$B$3,""))</f>
        <v/>
      </c>
    </row>
    <row r="69">
      <c r="B69" s="73" t="n"/>
      <c r="C69" s="6">
        <f>IF($A69="","",$A69&amp;" Equity")</f>
        <v/>
      </c>
      <c r="D69" s="6">
        <f>IF($C69="","",BDP($C69,"NAME"))</f>
        <v/>
      </c>
      <c r="E69" s="6">
        <f>IF($C69="","",BDP($C69,"GICS_SECTOR_NAME"))</f>
        <v/>
      </c>
      <c r="F69" s="31">
        <f>IF($C69="","",BDP($C69,'Field Check'!$C$8))</f>
        <v/>
      </c>
      <c r="G69" s="74">
        <f>IFERROR(IF(LEN($F69)&lt;&gt;3,1,IF($F69="HKD",1,BDP(IF($F69="CNY",Summary!$C$14,$F69)&amp;"HKD Curncy","PX_LAST"))),1)</f>
        <v/>
      </c>
      <c r="H69" s="54">
        <f>IF($C69="","",BDP($C69,'Field Check'!$C$9))</f>
        <v/>
      </c>
      <c r="I69" s="45">
        <f>IF($C69="","",BDP($C69,'Field Check'!$C$10))</f>
        <v/>
      </c>
      <c r="J69" s="47">
        <f>IF($B69="",0,IF(Summary!$C$13="Y",SUMIFS('Dvd Calendar'!$E$941:$AR$941,'Dvd Calendar'!$E$940:$AR$940,"&gt;="&amp;DATE(Summary!$C$12,1,1),'Dvd Calendar'!$E$940:$AR$940,"&lt;="&amp;MIN(Summary!$C$11,DATE(Summary!$C$12,12,31))),SUMIFS('Dvd Calendar'!$E$941:$AR$941,'Dvd Calendar'!$E$940:$AR$940,"&gt;="&amp;DATE(Summary!$C$12,1,1),'Dvd Calendar'!$E$940:$AR$940,"&lt;="&amp;MIN(Summary!$C$11,DATE(Summary!$C$12,12,31)),'Dvd Calendar'!$E$945:$AR$945,"&lt;&gt;"&amp;'Field Check'!$C$25)))</f>
        <v/>
      </c>
      <c r="K69" s="47">
        <f>IF($B69="",0,IF(Summary!$C$13="Y",SUMIFS('Dvd Calendar'!$E$948:$AR$948,'Dvd Calendar'!$E$947:$AR$947,"&gt;"&amp;MAX(Summary!$C$11,DATE(Summary!$C$12,1,1)-1),'Dvd Calendar'!$E$947:$AR$947,"&lt;="&amp;DATE(Summary!$C$12,12,31)),SUMIFS('Dvd Calendar'!$E$948:$AR$948,'Dvd Calendar'!$E$947:$AR$947,"&gt;"&amp;MAX(Summary!$C$11,DATE(Summary!$C$12,1,1)-1),'Dvd Calendar'!$E$947:$AR$947,"&lt;="&amp;DATE(Summary!$C$12,12,31),'Dvd Calendar'!$E$952:$AR$952,"&lt;&gt;"&amp;'Field Check'!$C$25)))</f>
        <v/>
      </c>
      <c r="L69" s="47">
        <f>IF($B69="",0,IF((Override!$C$4="ON")*ISNUMBER(Override!$G$75)&gt;0,Override!$G$75,$K69))</f>
        <v/>
      </c>
      <c r="M69" s="47">
        <f>IF($B69="",0,IF((Override!$C$4="ON")*ISNUMBER(Override!$H$75)&gt;0,Override!$H$75,$L69))</f>
        <v/>
      </c>
      <c r="N69" s="47">
        <f>IF($B69="",0,IF((Override!$C$4="ON")*ISNUMBER(Override!$I$75)&gt;0,Override!$I$75,$L69))</f>
        <v/>
      </c>
      <c r="O69" s="54">
        <f>IF($B69="","",IFERROR($B69*$G69*$J69/$B$3,""))</f>
        <v/>
      </c>
      <c r="P69" s="54">
        <f>IF($B69="","",IFERROR($B69*$G69*$L69/$B$3,""))</f>
        <v/>
      </c>
      <c r="Q69" s="38">
        <f>IF($B69="","",IFERROR($O69+$P69,""))</f>
        <v/>
      </c>
      <c r="R69" s="54">
        <f>IF($B69="","",IFERROR($O69+$B69*$G69*$M69/$B$3,""))</f>
        <v/>
      </c>
      <c r="S69" s="54">
        <f>IF($B69="","",IFERROR($O69+$B69*$G69*$N69/$B$3,""))</f>
        <v/>
      </c>
      <c r="T69" s="63">
        <f>IF($B69="","",IFERROR($Q69/$Q$5,""))</f>
        <v/>
      </c>
      <c r="U69" s="2">
        <f>IF($B69="","",IF(COUNTIFS('Dvd Calendar'!$E$946:$AR$946,"&gt;0",'Dvd Calendar'!$E$947:$AR$947,"&gt;"&amp;MAX(Summary!$C$11,DATE(Summary!$C$12,1,1)-1),'Dvd Calendar'!$E$947:$AR$947,"&lt;="&amp;DATE(Summary!$C$12,12,31))-COUNTIFS('Dvd Calendar'!$E$946:$AR$946,"&gt;0",'Dvd Calendar'!$E$947:$AR$947,"&gt;"&amp;MAX(Summary!$C$11,DATE(Summary!$C$12,1,1)-1),'Dvd Calendar'!$E$947:$AR$947,"&lt;="&amp;DATE(Summary!$C$12,12,31),'Dvd Calendar'!$E$948:$AR$948,"&gt;=0")&gt;0,"TBA amount - override me",IF((Override!$C$4="ON")*ISNUMBER(Override!$G$75)&gt;0,"overridden",IF($J69+$K69=0,"no dividend in year Y",""))))</f>
        <v/>
      </c>
      <c r="V69" s="54">
        <f>IF($B69="","",IFERROR(IF(ISNUMBER($H69),$B69*$G69*$H69/$B$3,0),""))</f>
        <v/>
      </c>
      <c r="W69" s="54">
        <f>IF($B69="","",IFERROR($B69*$G69*$K69/$B$3,""))</f>
        <v/>
      </c>
    </row>
    <row r="70">
      <c r="B70" s="73" t="n"/>
      <c r="C70" s="6">
        <f>IF($A70="","",$A70&amp;" Equity")</f>
        <v/>
      </c>
      <c r="D70" s="6">
        <f>IF($C70="","",BDP($C70,"NAME"))</f>
        <v/>
      </c>
      <c r="E70" s="6">
        <f>IF($C70="","",BDP($C70,"GICS_SECTOR_NAME"))</f>
        <v/>
      </c>
      <c r="F70" s="31">
        <f>IF($C70="","",BDP($C70,'Field Check'!$C$8))</f>
        <v/>
      </c>
      <c r="G70" s="74">
        <f>IFERROR(IF(LEN($F70)&lt;&gt;3,1,IF($F70="HKD",1,BDP(IF($F70="CNY",Summary!$C$14,$F70)&amp;"HKD Curncy","PX_LAST"))),1)</f>
        <v/>
      </c>
      <c r="H70" s="54">
        <f>IF($C70="","",BDP($C70,'Field Check'!$C$9))</f>
        <v/>
      </c>
      <c r="I70" s="45">
        <f>IF($C70="","",BDP($C70,'Field Check'!$C$10))</f>
        <v/>
      </c>
      <c r="J70" s="47">
        <f>IF($B70="",0,IF(Summary!$C$13="Y",SUMIFS('Dvd Calendar'!$E$956:$AR$956,'Dvd Calendar'!$E$955:$AR$955,"&gt;="&amp;DATE(Summary!$C$12,1,1),'Dvd Calendar'!$E$955:$AR$955,"&lt;="&amp;MIN(Summary!$C$11,DATE(Summary!$C$12,12,31))),SUMIFS('Dvd Calendar'!$E$956:$AR$956,'Dvd Calendar'!$E$955:$AR$955,"&gt;="&amp;DATE(Summary!$C$12,1,1),'Dvd Calendar'!$E$955:$AR$955,"&lt;="&amp;MIN(Summary!$C$11,DATE(Summary!$C$12,12,31)),'Dvd Calendar'!$E$960:$AR$960,"&lt;&gt;"&amp;'Field Check'!$C$25)))</f>
        <v/>
      </c>
      <c r="K70" s="47">
        <f>IF($B70="",0,IF(Summary!$C$13="Y",SUMIFS('Dvd Calendar'!$E$963:$AR$963,'Dvd Calendar'!$E$962:$AR$962,"&gt;"&amp;MAX(Summary!$C$11,DATE(Summary!$C$12,1,1)-1),'Dvd Calendar'!$E$962:$AR$962,"&lt;="&amp;DATE(Summary!$C$12,12,31)),SUMIFS('Dvd Calendar'!$E$963:$AR$963,'Dvd Calendar'!$E$962:$AR$962,"&gt;"&amp;MAX(Summary!$C$11,DATE(Summary!$C$12,1,1)-1),'Dvd Calendar'!$E$962:$AR$962,"&lt;="&amp;DATE(Summary!$C$12,12,31),'Dvd Calendar'!$E$967:$AR$967,"&lt;&gt;"&amp;'Field Check'!$C$25)))</f>
        <v/>
      </c>
      <c r="L70" s="47">
        <f>IF($B70="",0,IF((Override!$C$4="ON")*ISNUMBER(Override!$G$76)&gt;0,Override!$G$76,$K70))</f>
        <v/>
      </c>
      <c r="M70" s="47">
        <f>IF($B70="",0,IF((Override!$C$4="ON")*ISNUMBER(Override!$H$76)&gt;0,Override!$H$76,$L70))</f>
        <v/>
      </c>
      <c r="N70" s="47">
        <f>IF($B70="",0,IF((Override!$C$4="ON")*ISNUMBER(Override!$I$76)&gt;0,Override!$I$76,$L70))</f>
        <v/>
      </c>
      <c r="O70" s="54">
        <f>IF($B70="","",IFERROR($B70*$G70*$J70/$B$3,""))</f>
        <v/>
      </c>
      <c r="P70" s="54">
        <f>IF($B70="","",IFERROR($B70*$G70*$L70/$B$3,""))</f>
        <v/>
      </c>
      <c r="Q70" s="38">
        <f>IF($B70="","",IFERROR($O70+$P70,""))</f>
        <v/>
      </c>
      <c r="R70" s="54">
        <f>IF($B70="","",IFERROR($O70+$B70*$G70*$M70/$B$3,""))</f>
        <v/>
      </c>
      <c r="S70" s="54">
        <f>IF($B70="","",IFERROR($O70+$B70*$G70*$N70/$B$3,""))</f>
        <v/>
      </c>
      <c r="T70" s="63">
        <f>IF($B70="","",IFERROR($Q70/$Q$5,""))</f>
        <v/>
      </c>
      <c r="U70" s="2">
        <f>IF($B70="","",IF(COUNTIFS('Dvd Calendar'!$E$961:$AR$961,"&gt;0",'Dvd Calendar'!$E$962:$AR$962,"&gt;"&amp;MAX(Summary!$C$11,DATE(Summary!$C$12,1,1)-1),'Dvd Calendar'!$E$962:$AR$962,"&lt;="&amp;DATE(Summary!$C$12,12,31))-COUNTIFS('Dvd Calendar'!$E$961:$AR$961,"&gt;0",'Dvd Calendar'!$E$962:$AR$962,"&gt;"&amp;MAX(Summary!$C$11,DATE(Summary!$C$12,1,1)-1),'Dvd Calendar'!$E$962:$AR$962,"&lt;="&amp;DATE(Summary!$C$12,12,31),'Dvd Calendar'!$E$963:$AR$963,"&gt;=0")&gt;0,"TBA amount - override me",IF((Override!$C$4="ON")*ISNUMBER(Override!$G$76)&gt;0,"overridden",IF($J70+$K70=0,"no dividend in year Y",""))))</f>
        <v/>
      </c>
      <c r="V70" s="54">
        <f>IF($B70="","",IFERROR(IF(ISNUMBER($H70),$B70*$G70*$H70/$B$3,0),""))</f>
        <v/>
      </c>
      <c r="W70" s="54">
        <f>IF($B70="","",IFERROR($B70*$G70*$K70/$B$3,""))</f>
        <v/>
      </c>
    </row>
    <row r="71">
      <c r="B71" s="73" t="n"/>
      <c r="C71" s="6">
        <f>IF($A71="","",$A71&amp;" Equity")</f>
        <v/>
      </c>
      <c r="D71" s="6">
        <f>IF($C71="","",BDP($C71,"NAME"))</f>
        <v/>
      </c>
      <c r="E71" s="6">
        <f>IF($C71="","",BDP($C71,"GICS_SECTOR_NAME"))</f>
        <v/>
      </c>
      <c r="F71" s="31">
        <f>IF($C71="","",BDP($C71,'Field Check'!$C$8))</f>
        <v/>
      </c>
      <c r="G71" s="74">
        <f>IFERROR(IF(LEN($F71)&lt;&gt;3,1,IF($F71="HKD",1,BDP(IF($F71="CNY",Summary!$C$14,$F71)&amp;"HKD Curncy","PX_LAST"))),1)</f>
        <v/>
      </c>
      <c r="H71" s="54">
        <f>IF($C71="","",BDP($C71,'Field Check'!$C$9))</f>
        <v/>
      </c>
      <c r="I71" s="45">
        <f>IF($C71="","",BDP($C71,'Field Check'!$C$10))</f>
        <v/>
      </c>
      <c r="J71" s="47">
        <f>IF($B71="",0,IF(Summary!$C$13="Y",SUMIFS('Dvd Calendar'!$E$971:$AR$971,'Dvd Calendar'!$E$970:$AR$970,"&gt;="&amp;DATE(Summary!$C$12,1,1),'Dvd Calendar'!$E$970:$AR$970,"&lt;="&amp;MIN(Summary!$C$11,DATE(Summary!$C$12,12,31))),SUMIFS('Dvd Calendar'!$E$971:$AR$971,'Dvd Calendar'!$E$970:$AR$970,"&gt;="&amp;DATE(Summary!$C$12,1,1),'Dvd Calendar'!$E$970:$AR$970,"&lt;="&amp;MIN(Summary!$C$11,DATE(Summary!$C$12,12,31)),'Dvd Calendar'!$E$975:$AR$975,"&lt;&gt;"&amp;'Field Check'!$C$25)))</f>
        <v/>
      </c>
      <c r="K71" s="47">
        <f>IF($B71="",0,IF(Summary!$C$13="Y",SUMIFS('Dvd Calendar'!$E$978:$AR$978,'Dvd Calendar'!$E$977:$AR$977,"&gt;"&amp;MAX(Summary!$C$11,DATE(Summary!$C$12,1,1)-1),'Dvd Calendar'!$E$977:$AR$977,"&lt;="&amp;DATE(Summary!$C$12,12,31)),SUMIFS('Dvd Calendar'!$E$978:$AR$978,'Dvd Calendar'!$E$977:$AR$977,"&gt;"&amp;MAX(Summary!$C$11,DATE(Summary!$C$12,1,1)-1),'Dvd Calendar'!$E$977:$AR$977,"&lt;="&amp;DATE(Summary!$C$12,12,31),'Dvd Calendar'!$E$982:$AR$982,"&lt;&gt;"&amp;'Field Check'!$C$25)))</f>
        <v/>
      </c>
      <c r="L71" s="47">
        <f>IF($B71="",0,IF((Override!$C$4="ON")*ISNUMBER(Override!$G$77)&gt;0,Override!$G$77,$K71))</f>
        <v/>
      </c>
      <c r="M71" s="47">
        <f>IF($B71="",0,IF((Override!$C$4="ON")*ISNUMBER(Override!$H$77)&gt;0,Override!$H$77,$L71))</f>
        <v/>
      </c>
      <c r="N71" s="47">
        <f>IF($B71="",0,IF((Override!$C$4="ON")*ISNUMBER(Override!$I$77)&gt;0,Override!$I$77,$L71))</f>
        <v/>
      </c>
      <c r="O71" s="54">
        <f>IF($B71="","",IFERROR($B71*$G71*$J71/$B$3,""))</f>
        <v/>
      </c>
      <c r="P71" s="54">
        <f>IF($B71="","",IFERROR($B71*$G71*$L71/$B$3,""))</f>
        <v/>
      </c>
      <c r="Q71" s="38">
        <f>IF($B71="","",IFERROR($O71+$P71,""))</f>
        <v/>
      </c>
      <c r="R71" s="54">
        <f>IF($B71="","",IFERROR($O71+$B71*$G71*$M71/$B$3,""))</f>
        <v/>
      </c>
      <c r="S71" s="54">
        <f>IF($B71="","",IFERROR($O71+$B71*$G71*$N71/$B$3,""))</f>
        <v/>
      </c>
      <c r="T71" s="63">
        <f>IF($B71="","",IFERROR($Q71/$Q$5,""))</f>
        <v/>
      </c>
      <c r="U71" s="2">
        <f>IF($B71="","",IF(COUNTIFS('Dvd Calendar'!$E$976:$AR$976,"&gt;0",'Dvd Calendar'!$E$977:$AR$977,"&gt;"&amp;MAX(Summary!$C$11,DATE(Summary!$C$12,1,1)-1),'Dvd Calendar'!$E$977:$AR$977,"&lt;="&amp;DATE(Summary!$C$12,12,31))-COUNTIFS('Dvd Calendar'!$E$976:$AR$976,"&gt;0",'Dvd Calendar'!$E$977:$AR$977,"&gt;"&amp;MAX(Summary!$C$11,DATE(Summary!$C$12,1,1)-1),'Dvd Calendar'!$E$977:$AR$977,"&lt;="&amp;DATE(Summary!$C$12,12,31),'Dvd Calendar'!$E$978:$AR$978,"&gt;=0")&gt;0,"TBA amount - override me",IF((Override!$C$4="ON")*ISNUMBER(Override!$G$77)&gt;0,"overridden",IF($J71+$K71=0,"no dividend in year Y",""))))</f>
        <v/>
      </c>
      <c r="V71" s="54">
        <f>IF($B71="","",IFERROR(IF(ISNUMBER($H71),$B71*$G71*$H71/$B$3,0),""))</f>
        <v/>
      </c>
      <c r="W71" s="54">
        <f>IF($B71="","",IFERROR($B71*$G71*$K71/$B$3,""))</f>
        <v/>
      </c>
    </row>
    <row r="72">
      <c r="B72" s="73" t="n"/>
      <c r="C72" s="6">
        <f>IF($A72="","",$A72&amp;" Equity")</f>
        <v/>
      </c>
      <c r="D72" s="6">
        <f>IF($C72="","",BDP($C72,"NAME"))</f>
        <v/>
      </c>
      <c r="E72" s="6">
        <f>IF($C72="","",BDP($C72,"GICS_SECTOR_NAME"))</f>
        <v/>
      </c>
      <c r="F72" s="31">
        <f>IF($C72="","",BDP($C72,'Field Check'!$C$8))</f>
        <v/>
      </c>
      <c r="G72" s="74">
        <f>IFERROR(IF(LEN($F72)&lt;&gt;3,1,IF($F72="HKD",1,BDP(IF($F72="CNY",Summary!$C$14,$F72)&amp;"HKD Curncy","PX_LAST"))),1)</f>
        <v/>
      </c>
      <c r="H72" s="54">
        <f>IF($C72="","",BDP($C72,'Field Check'!$C$9))</f>
        <v/>
      </c>
      <c r="I72" s="45">
        <f>IF($C72="","",BDP($C72,'Field Check'!$C$10))</f>
        <v/>
      </c>
      <c r="J72" s="47">
        <f>IF($B72="",0,IF(Summary!$C$13="Y",SUMIFS('Dvd Calendar'!$E$986:$AR$986,'Dvd Calendar'!$E$985:$AR$985,"&gt;="&amp;DATE(Summary!$C$12,1,1),'Dvd Calendar'!$E$985:$AR$985,"&lt;="&amp;MIN(Summary!$C$11,DATE(Summary!$C$12,12,31))),SUMIFS('Dvd Calendar'!$E$986:$AR$986,'Dvd Calendar'!$E$985:$AR$985,"&gt;="&amp;DATE(Summary!$C$12,1,1),'Dvd Calendar'!$E$985:$AR$985,"&lt;="&amp;MIN(Summary!$C$11,DATE(Summary!$C$12,12,31)),'Dvd Calendar'!$E$990:$AR$990,"&lt;&gt;"&amp;'Field Check'!$C$25)))</f>
        <v/>
      </c>
      <c r="K72" s="47">
        <f>IF($B72="",0,IF(Summary!$C$13="Y",SUMIFS('Dvd Calendar'!$E$993:$AR$993,'Dvd Calendar'!$E$992:$AR$992,"&gt;"&amp;MAX(Summary!$C$11,DATE(Summary!$C$12,1,1)-1),'Dvd Calendar'!$E$992:$AR$992,"&lt;="&amp;DATE(Summary!$C$12,12,31)),SUMIFS('Dvd Calendar'!$E$993:$AR$993,'Dvd Calendar'!$E$992:$AR$992,"&gt;"&amp;MAX(Summary!$C$11,DATE(Summary!$C$12,1,1)-1),'Dvd Calendar'!$E$992:$AR$992,"&lt;="&amp;DATE(Summary!$C$12,12,31),'Dvd Calendar'!$E$997:$AR$997,"&lt;&gt;"&amp;'Field Check'!$C$25)))</f>
        <v/>
      </c>
      <c r="L72" s="47">
        <f>IF($B72="",0,IF((Override!$C$4="ON")*ISNUMBER(Override!$G$78)&gt;0,Override!$G$78,$K72))</f>
        <v/>
      </c>
      <c r="M72" s="47">
        <f>IF($B72="",0,IF((Override!$C$4="ON")*ISNUMBER(Override!$H$78)&gt;0,Override!$H$78,$L72))</f>
        <v/>
      </c>
      <c r="N72" s="47">
        <f>IF($B72="",0,IF((Override!$C$4="ON")*ISNUMBER(Override!$I$78)&gt;0,Override!$I$78,$L72))</f>
        <v/>
      </c>
      <c r="O72" s="54">
        <f>IF($B72="","",IFERROR($B72*$G72*$J72/$B$3,""))</f>
        <v/>
      </c>
      <c r="P72" s="54">
        <f>IF($B72="","",IFERROR($B72*$G72*$L72/$B$3,""))</f>
        <v/>
      </c>
      <c r="Q72" s="38">
        <f>IF($B72="","",IFERROR($O72+$P72,""))</f>
        <v/>
      </c>
      <c r="R72" s="54">
        <f>IF($B72="","",IFERROR($O72+$B72*$G72*$M72/$B$3,""))</f>
        <v/>
      </c>
      <c r="S72" s="54">
        <f>IF($B72="","",IFERROR($O72+$B72*$G72*$N72/$B$3,""))</f>
        <v/>
      </c>
      <c r="T72" s="63">
        <f>IF($B72="","",IFERROR($Q72/$Q$5,""))</f>
        <v/>
      </c>
      <c r="U72" s="2">
        <f>IF($B72="","",IF(COUNTIFS('Dvd Calendar'!$E$991:$AR$991,"&gt;0",'Dvd Calendar'!$E$992:$AR$992,"&gt;"&amp;MAX(Summary!$C$11,DATE(Summary!$C$12,1,1)-1),'Dvd Calendar'!$E$992:$AR$992,"&lt;="&amp;DATE(Summary!$C$12,12,31))-COUNTIFS('Dvd Calendar'!$E$991:$AR$991,"&gt;0",'Dvd Calendar'!$E$992:$AR$992,"&gt;"&amp;MAX(Summary!$C$11,DATE(Summary!$C$12,1,1)-1),'Dvd Calendar'!$E$992:$AR$992,"&lt;="&amp;DATE(Summary!$C$12,12,31),'Dvd Calendar'!$E$993:$AR$993,"&gt;=0")&gt;0,"TBA amount - override me",IF((Override!$C$4="ON")*ISNUMBER(Override!$G$78)&gt;0,"overridden",IF($J72+$K72=0,"no dividend in year Y",""))))</f>
        <v/>
      </c>
      <c r="V72" s="54">
        <f>IF($B72="","",IFERROR(IF(ISNUMBER($H72),$B72*$G72*$H72/$B$3,0),""))</f>
        <v/>
      </c>
      <c r="W72" s="54">
        <f>IF($B72="","",IFERROR($B72*$G72*$K72/$B$3,""))</f>
        <v/>
      </c>
    </row>
    <row r="73">
      <c r="B73" s="73" t="n"/>
      <c r="C73" s="6">
        <f>IF($A73="","",$A73&amp;" Equity")</f>
        <v/>
      </c>
      <c r="D73" s="6">
        <f>IF($C73="","",BDP($C73,"NAME"))</f>
        <v/>
      </c>
      <c r="E73" s="6">
        <f>IF($C73="","",BDP($C73,"GICS_SECTOR_NAME"))</f>
        <v/>
      </c>
      <c r="F73" s="31">
        <f>IF($C73="","",BDP($C73,'Field Check'!$C$8))</f>
        <v/>
      </c>
      <c r="G73" s="74">
        <f>IFERROR(IF(LEN($F73)&lt;&gt;3,1,IF($F73="HKD",1,BDP(IF($F73="CNY",Summary!$C$14,$F73)&amp;"HKD Curncy","PX_LAST"))),1)</f>
        <v/>
      </c>
      <c r="H73" s="54">
        <f>IF($C73="","",BDP($C73,'Field Check'!$C$9))</f>
        <v/>
      </c>
      <c r="I73" s="45">
        <f>IF($C73="","",BDP($C73,'Field Check'!$C$10))</f>
        <v/>
      </c>
      <c r="J73" s="47">
        <f>IF($B73="",0,IF(Summary!$C$13="Y",SUMIFS('Dvd Calendar'!$E$1001:$AR$1001,'Dvd Calendar'!$E$1000:$AR$1000,"&gt;="&amp;DATE(Summary!$C$12,1,1),'Dvd Calendar'!$E$1000:$AR$1000,"&lt;="&amp;MIN(Summary!$C$11,DATE(Summary!$C$12,12,31))),SUMIFS('Dvd Calendar'!$E$1001:$AR$1001,'Dvd Calendar'!$E$1000:$AR$1000,"&gt;="&amp;DATE(Summary!$C$12,1,1),'Dvd Calendar'!$E$1000:$AR$1000,"&lt;="&amp;MIN(Summary!$C$11,DATE(Summary!$C$12,12,31)),'Dvd Calendar'!$E$1005:$AR$1005,"&lt;&gt;"&amp;'Field Check'!$C$25)))</f>
        <v/>
      </c>
      <c r="K73" s="47">
        <f>IF($B73="",0,IF(Summary!$C$13="Y",SUMIFS('Dvd Calendar'!$E$1008:$AR$1008,'Dvd Calendar'!$E$1007:$AR$1007,"&gt;"&amp;MAX(Summary!$C$11,DATE(Summary!$C$12,1,1)-1),'Dvd Calendar'!$E$1007:$AR$1007,"&lt;="&amp;DATE(Summary!$C$12,12,31)),SUMIFS('Dvd Calendar'!$E$1008:$AR$1008,'Dvd Calendar'!$E$1007:$AR$1007,"&gt;"&amp;MAX(Summary!$C$11,DATE(Summary!$C$12,1,1)-1),'Dvd Calendar'!$E$1007:$AR$1007,"&lt;="&amp;DATE(Summary!$C$12,12,31),'Dvd Calendar'!$E$1012:$AR$1012,"&lt;&gt;"&amp;'Field Check'!$C$25)))</f>
        <v/>
      </c>
      <c r="L73" s="47">
        <f>IF($B73="",0,IF((Override!$C$4="ON")*ISNUMBER(Override!$G$79)&gt;0,Override!$G$79,$K73))</f>
        <v/>
      </c>
      <c r="M73" s="47">
        <f>IF($B73="",0,IF((Override!$C$4="ON")*ISNUMBER(Override!$H$79)&gt;0,Override!$H$79,$L73))</f>
        <v/>
      </c>
      <c r="N73" s="47">
        <f>IF($B73="",0,IF((Override!$C$4="ON")*ISNUMBER(Override!$I$79)&gt;0,Override!$I$79,$L73))</f>
        <v/>
      </c>
      <c r="O73" s="54">
        <f>IF($B73="","",IFERROR($B73*$G73*$J73/$B$3,""))</f>
        <v/>
      </c>
      <c r="P73" s="54">
        <f>IF($B73="","",IFERROR($B73*$G73*$L73/$B$3,""))</f>
        <v/>
      </c>
      <c r="Q73" s="38">
        <f>IF($B73="","",IFERROR($O73+$P73,""))</f>
        <v/>
      </c>
      <c r="R73" s="54">
        <f>IF($B73="","",IFERROR($O73+$B73*$G73*$M73/$B$3,""))</f>
        <v/>
      </c>
      <c r="S73" s="54">
        <f>IF($B73="","",IFERROR($O73+$B73*$G73*$N73/$B$3,""))</f>
        <v/>
      </c>
      <c r="T73" s="63">
        <f>IF($B73="","",IFERROR($Q73/$Q$5,""))</f>
        <v/>
      </c>
      <c r="U73" s="2">
        <f>IF($B73="","",IF(COUNTIFS('Dvd Calendar'!$E$1006:$AR$1006,"&gt;0",'Dvd Calendar'!$E$1007:$AR$1007,"&gt;"&amp;MAX(Summary!$C$11,DATE(Summary!$C$12,1,1)-1),'Dvd Calendar'!$E$1007:$AR$1007,"&lt;="&amp;DATE(Summary!$C$12,12,31))-COUNTIFS('Dvd Calendar'!$E$1006:$AR$1006,"&gt;0",'Dvd Calendar'!$E$1007:$AR$1007,"&gt;"&amp;MAX(Summary!$C$11,DATE(Summary!$C$12,1,1)-1),'Dvd Calendar'!$E$1007:$AR$1007,"&lt;="&amp;DATE(Summary!$C$12,12,31),'Dvd Calendar'!$E$1008:$AR$1008,"&gt;=0")&gt;0,"TBA amount - override me",IF((Override!$C$4="ON")*ISNUMBER(Override!$G$79)&gt;0,"overridden",IF($J73+$K73=0,"no dividend in year Y",""))))</f>
        <v/>
      </c>
      <c r="V73" s="54">
        <f>IF($B73="","",IFERROR(IF(ISNUMBER($H73),$B73*$G73*$H73/$B$3,0),""))</f>
        <v/>
      </c>
      <c r="W73" s="54">
        <f>IF($B73="","",IFERROR($B73*$G73*$K73/$B$3,""))</f>
        <v/>
      </c>
    </row>
    <row r="74">
      <c r="B74" s="73" t="n"/>
      <c r="C74" s="6">
        <f>IF($A74="","",$A74&amp;" Equity")</f>
        <v/>
      </c>
      <c r="D74" s="6">
        <f>IF($C74="","",BDP($C74,"NAME"))</f>
        <v/>
      </c>
      <c r="E74" s="6">
        <f>IF($C74="","",BDP($C74,"GICS_SECTOR_NAME"))</f>
        <v/>
      </c>
      <c r="F74" s="31">
        <f>IF($C74="","",BDP($C74,'Field Check'!$C$8))</f>
        <v/>
      </c>
      <c r="G74" s="74">
        <f>IFERROR(IF(LEN($F74)&lt;&gt;3,1,IF($F74="HKD",1,BDP(IF($F74="CNY",Summary!$C$14,$F74)&amp;"HKD Curncy","PX_LAST"))),1)</f>
        <v/>
      </c>
      <c r="H74" s="54">
        <f>IF($C74="","",BDP($C74,'Field Check'!$C$9))</f>
        <v/>
      </c>
      <c r="I74" s="45">
        <f>IF($C74="","",BDP($C74,'Field Check'!$C$10))</f>
        <v/>
      </c>
      <c r="J74" s="47">
        <f>IF($B74="",0,IF(Summary!$C$13="Y",SUMIFS('Dvd Calendar'!$E$1016:$AR$1016,'Dvd Calendar'!$E$1015:$AR$1015,"&gt;="&amp;DATE(Summary!$C$12,1,1),'Dvd Calendar'!$E$1015:$AR$1015,"&lt;="&amp;MIN(Summary!$C$11,DATE(Summary!$C$12,12,31))),SUMIFS('Dvd Calendar'!$E$1016:$AR$1016,'Dvd Calendar'!$E$1015:$AR$1015,"&gt;="&amp;DATE(Summary!$C$12,1,1),'Dvd Calendar'!$E$1015:$AR$1015,"&lt;="&amp;MIN(Summary!$C$11,DATE(Summary!$C$12,12,31)),'Dvd Calendar'!$E$1020:$AR$1020,"&lt;&gt;"&amp;'Field Check'!$C$25)))</f>
        <v/>
      </c>
      <c r="K74" s="47">
        <f>IF($B74="",0,IF(Summary!$C$13="Y",SUMIFS('Dvd Calendar'!$E$1023:$AR$1023,'Dvd Calendar'!$E$1022:$AR$1022,"&gt;"&amp;MAX(Summary!$C$11,DATE(Summary!$C$12,1,1)-1),'Dvd Calendar'!$E$1022:$AR$1022,"&lt;="&amp;DATE(Summary!$C$12,12,31)),SUMIFS('Dvd Calendar'!$E$1023:$AR$1023,'Dvd Calendar'!$E$1022:$AR$1022,"&gt;"&amp;MAX(Summary!$C$11,DATE(Summary!$C$12,1,1)-1),'Dvd Calendar'!$E$1022:$AR$1022,"&lt;="&amp;DATE(Summary!$C$12,12,31),'Dvd Calendar'!$E$1027:$AR$1027,"&lt;&gt;"&amp;'Field Check'!$C$25)))</f>
        <v/>
      </c>
      <c r="L74" s="47">
        <f>IF($B74="",0,IF((Override!$C$4="ON")*ISNUMBER(Override!$G$80)&gt;0,Override!$G$80,$K74))</f>
        <v/>
      </c>
      <c r="M74" s="47">
        <f>IF($B74="",0,IF((Override!$C$4="ON")*ISNUMBER(Override!$H$80)&gt;0,Override!$H$80,$L74))</f>
        <v/>
      </c>
      <c r="N74" s="47">
        <f>IF($B74="",0,IF((Override!$C$4="ON")*ISNUMBER(Override!$I$80)&gt;0,Override!$I$80,$L74))</f>
        <v/>
      </c>
      <c r="O74" s="54">
        <f>IF($B74="","",IFERROR($B74*$G74*$J74/$B$3,""))</f>
        <v/>
      </c>
      <c r="P74" s="54">
        <f>IF($B74="","",IFERROR($B74*$G74*$L74/$B$3,""))</f>
        <v/>
      </c>
      <c r="Q74" s="38">
        <f>IF($B74="","",IFERROR($O74+$P74,""))</f>
        <v/>
      </c>
      <c r="R74" s="54">
        <f>IF($B74="","",IFERROR($O74+$B74*$G74*$M74/$B$3,""))</f>
        <v/>
      </c>
      <c r="S74" s="54">
        <f>IF($B74="","",IFERROR($O74+$B74*$G74*$N74/$B$3,""))</f>
        <v/>
      </c>
      <c r="T74" s="63">
        <f>IF($B74="","",IFERROR($Q74/$Q$5,""))</f>
        <v/>
      </c>
      <c r="U74" s="2">
        <f>IF($B74="","",IF(COUNTIFS('Dvd Calendar'!$E$1021:$AR$1021,"&gt;0",'Dvd Calendar'!$E$1022:$AR$1022,"&gt;"&amp;MAX(Summary!$C$11,DATE(Summary!$C$12,1,1)-1),'Dvd Calendar'!$E$1022:$AR$1022,"&lt;="&amp;DATE(Summary!$C$12,12,31))-COUNTIFS('Dvd Calendar'!$E$1021:$AR$1021,"&gt;0",'Dvd Calendar'!$E$1022:$AR$1022,"&gt;"&amp;MAX(Summary!$C$11,DATE(Summary!$C$12,1,1)-1),'Dvd Calendar'!$E$1022:$AR$1022,"&lt;="&amp;DATE(Summary!$C$12,12,31),'Dvd Calendar'!$E$1023:$AR$1023,"&gt;=0")&gt;0,"TBA amount - override me",IF((Override!$C$4="ON")*ISNUMBER(Override!$G$80)&gt;0,"overridden",IF($J74+$K74=0,"no dividend in year Y",""))))</f>
        <v/>
      </c>
      <c r="V74" s="54">
        <f>IF($B74="","",IFERROR(IF(ISNUMBER($H74),$B74*$G74*$H74/$B$3,0),""))</f>
        <v/>
      </c>
      <c r="W74" s="54">
        <f>IF($B74="","",IFERROR($B74*$G74*$K74/$B$3,""))</f>
        <v/>
      </c>
    </row>
    <row r="75">
      <c r="B75" s="73" t="n"/>
      <c r="C75" s="6">
        <f>IF($A75="","",$A75&amp;" Equity")</f>
        <v/>
      </c>
      <c r="D75" s="6">
        <f>IF($C75="","",BDP($C75,"NAME"))</f>
        <v/>
      </c>
      <c r="E75" s="6">
        <f>IF($C75="","",BDP($C75,"GICS_SECTOR_NAME"))</f>
        <v/>
      </c>
      <c r="F75" s="31">
        <f>IF($C75="","",BDP($C75,'Field Check'!$C$8))</f>
        <v/>
      </c>
      <c r="G75" s="74">
        <f>IFERROR(IF(LEN($F75)&lt;&gt;3,1,IF($F75="HKD",1,BDP(IF($F75="CNY",Summary!$C$14,$F75)&amp;"HKD Curncy","PX_LAST"))),1)</f>
        <v/>
      </c>
      <c r="H75" s="54">
        <f>IF($C75="","",BDP($C75,'Field Check'!$C$9))</f>
        <v/>
      </c>
      <c r="I75" s="45">
        <f>IF($C75="","",BDP($C75,'Field Check'!$C$10))</f>
        <v/>
      </c>
      <c r="J75" s="47">
        <f>IF($B75="",0,IF(Summary!$C$13="Y",SUMIFS('Dvd Calendar'!$E$1031:$AR$1031,'Dvd Calendar'!$E$1030:$AR$1030,"&gt;="&amp;DATE(Summary!$C$12,1,1),'Dvd Calendar'!$E$1030:$AR$1030,"&lt;="&amp;MIN(Summary!$C$11,DATE(Summary!$C$12,12,31))),SUMIFS('Dvd Calendar'!$E$1031:$AR$1031,'Dvd Calendar'!$E$1030:$AR$1030,"&gt;="&amp;DATE(Summary!$C$12,1,1),'Dvd Calendar'!$E$1030:$AR$1030,"&lt;="&amp;MIN(Summary!$C$11,DATE(Summary!$C$12,12,31)),'Dvd Calendar'!$E$1035:$AR$1035,"&lt;&gt;"&amp;'Field Check'!$C$25)))</f>
        <v/>
      </c>
      <c r="K75" s="47">
        <f>IF($B75="",0,IF(Summary!$C$13="Y",SUMIFS('Dvd Calendar'!$E$1038:$AR$1038,'Dvd Calendar'!$E$1037:$AR$1037,"&gt;"&amp;MAX(Summary!$C$11,DATE(Summary!$C$12,1,1)-1),'Dvd Calendar'!$E$1037:$AR$1037,"&lt;="&amp;DATE(Summary!$C$12,12,31)),SUMIFS('Dvd Calendar'!$E$1038:$AR$1038,'Dvd Calendar'!$E$1037:$AR$1037,"&gt;"&amp;MAX(Summary!$C$11,DATE(Summary!$C$12,1,1)-1),'Dvd Calendar'!$E$1037:$AR$1037,"&lt;="&amp;DATE(Summary!$C$12,12,31),'Dvd Calendar'!$E$1042:$AR$1042,"&lt;&gt;"&amp;'Field Check'!$C$25)))</f>
        <v/>
      </c>
      <c r="L75" s="47">
        <f>IF($B75="",0,IF((Override!$C$4="ON")*ISNUMBER(Override!$G$81)&gt;0,Override!$G$81,$K75))</f>
        <v/>
      </c>
      <c r="M75" s="47">
        <f>IF($B75="",0,IF((Override!$C$4="ON")*ISNUMBER(Override!$H$81)&gt;0,Override!$H$81,$L75))</f>
        <v/>
      </c>
      <c r="N75" s="47">
        <f>IF($B75="",0,IF((Override!$C$4="ON")*ISNUMBER(Override!$I$81)&gt;0,Override!$I$81,$L75))</f>
        <v/>
      </c>
      <c r="O75" s="54">
        <f>IF($B75="","",IFERROR($B75*$G75*$J75/$B$3,""))</f>
        <v/>
      </c>
      <c r="P75" s="54">
        <f>IF($B75="","",IFERROR($B75*$G75*$L75/$B$3,""))</f>
        <v/>
      </c>
      <c r="Q75" s="38">
        <f>IF($B75="","",IFERROR($O75+$P75,""))</f>
        <v/>
      </c>
      <c r="R75" s="54">
        <f>IF($B75="","",IFERROR($O75+$B75*$G75*$M75/$B$3,""))</f>
        <v/>
      </c>
      <c r="S75" s="54">
        <f>IF($B75="","",IFERROR($O75+$B75*$G75*$N75/$B$3,""))</f>
        <v/>
      </c>
      <c r="T75" s="63">
        <f>IF($B75="","",IFERROR($Q75/$Q$5,""))</f>
        <v/>
      </c>
      <c r="U75" s="2">
        <f>IF($B75="","",IF(COUNTIFS('Dvd Calendar'!$E$1036:$AR$1036,"&gt;0",'Dvd Calendar'!$E$1037:$AR$1037,"&gt;"&amp;MAX(Summary!$C$11,DATE(Summary!$C$12,1,1)-1),'Dvd Calendar'!$E$1037:$AR$1037,"&lt;="&amp;DATE(Summary!$C$12,12,31))-COUNTIFS('Dvd Calendar'!$E$1036:$AR$1036,"&gt;0",'Dvd Calendar'!$E$1037:$AR$1037,"&gt;"&amp;MAX(Summary!$C$11,DATE(Summary!$C$12,1,1)-1),'Dvd Calendar'!$E$1037:$AR$1037,"&lt;="&amp;DATE(Summary!$C$12,12,31),'Dvd Calendar'!$E$1038:$AR$1038,"&gt;=0")&gt;0,"TBA amount - override me",IF((Override!$C$4="ON")*ISNUMBER(Override!$G$81)&gt;0,"overridden",IF($J75+$K75=0,"no dividend in year Y",""))))</f>
        <v/>
      </c>
      <c r="V75" s="54">
        <f>IF($B75="","",IFERROR(IF(ISNUMBER($H75),$B75*$G75*$H75/$B$3,0),""))</f>
        <v/>
      </c>
      <c r="W75" s="54">
        <f>IF($B75="","",IFERROR($B75*$G75*$K75/$B$3,""))</f>
        <v/>
      </c>
    </row>
    <row r="76">
      <c r="B76" s="73" t="n"/>
      <c r="C76" s="6">
        <f>IF($A76="","",$A76&amp;" Equity")</f>
        <v/>
      </c>
      <c r="D76" s="6">
        <f>IF($C76="","",BDP($C76,"NAME"))</f>
        <v/>
      </c>
      <c r="E76" s="6">
        <f>IF($C76="","",BDP($C76,"GICS_SECTOR_NAME"))</f>
        <v/>
      </c>
      <c r="F76" s="31">
        <f>IF($C76="","",BDP($C76,'Field Check'!$C$8))</f>
        <v/>
      </c>
      <c r="G76" s="74">
        <f>IFERROR(IF(LEN($F76)&lt;&gt;3,1,IF($F76="HKD",1,BDP(IF($F76="CNY",Summary!$C$14,$F76)&amp;"HKD Curncy","PX_LAST"))),1)</f>
        <v/>
      </c>
      <c r="H76" s="54">
        <f>IF($C76="","",BDP($C76,'Field Check'!$C$9))</f>
        <v/>
      </c>
      <c r="I76" s="45">
        <f>IF($C76="","",BDP($C76,'Field Check'!$C$10))</f>
        <v/>
      </c>
      <c r="J76" s="47">
        <f>IF($B76="",0,IF(Summary!$C$13="Y",SUMIFS('Dvd Calendar'!$E$1046:$AR$1046,'Dvd Calendar'!$E$1045:$AR$1045,"&gt;="&amp;DATE(Summary!$C$12,1,1),'Dvd Calendar'!$E$1045:$AR$1045,"&lt;="&amp;MIN(Summary!$C$11,DATE(Summary!$C$12,12,31))),SUMIFS('Dvd Calendar'!$E$1046:$AR$1046,'Dvd Calendar'!$E$1045:$AR$1045,"&gt;="&amp;DATE(Summary!$C$12,1,1),'Dvd Calendar'!$E$1045:$AR$1045,"&lt;="&amp;MIN(Summary!$C$11,DATE(Summary!$C$12,12,31)),'Dvd Calendar'!$E$1050:$AR$1050,"&lt;&gt;"&amp;'Field Check'!$C$25)))</f>
        <v/>
      </c>
      <c r="K76" s="47">
        <f>IF($B76="",0,IF(Summary!$C$13="Y",SUMIFS('Dvd Calendar'!$E$1053:$AR$1053,'Dvd Calendar'!$E$1052:$AR$1052,"&gt;"&amp;MAX(Summary!$C$11,DATE(Summary!$C$12,1,1)-1),'Dvd Calendar'!$E$1052:$AR$1052,"&lt;="&amp;DATE(Summary!$C$12,12,31)),SUMIFS('Dvd Calendar'!$E$1053:$AR$1053,'Dvd Calendar'!$E$1052:$AR$1052,"&gt;"&amp;MAX(Summary!$C$11,DATE(Summary!$C$12,1,1)-1),'Dvd Calendar'!$E$1052:$AR$1052,"&lt;="&amp;DATE(Summary!$C$12,12,31),'Dvd Calendar'!$E$1057:$AR$1057,"&lt;&gt;"&amp;'Field Check'!$C$25)))</f>
        <v/>
      </c>
      <c r="L76" s="47">
        <f>IF($B76="",0,IF((Override!$C$4="ON")*ISNUMBER(Override!$G$82)&gt;0,Override!$G$82,$K76))</f>
        <v/>
      </c>
      <c r="M76" s="47">
        <f>IF($B76="",0,IF((Override!$C$4="ON")*ISNUMBER(Override!$H$82)&gt;0,Override!$H$82,$L76))</f>
        <v/>
      </c>
      <c r="N76" s="47">
        <f>IF($B76="",0,IF((Override!$C$4="ON")*ISNUMBER(Override!$I$82)&gt;0,Override!$I$82,$L76))</f>
        <v/>
      </c>
      <c r="O76" s="54">
        <f>IF($B76="","",IFERROR($B76*$G76*$J76/$B$3,""))</f>
        <v/>
      </c>
      <c r="P76" s="54">
        <f>IF($B76="","",IFERROR($B76*$G76*$L76/$B$3,""))</f>
        <v/>
      </c>
      <c r="Q76" s="38">
        <f>IF($B76="","",IFERROR($O76+$P76,""))</f>
        <v/>
      </c>
      <c r="R76" s="54">
        <f>IF($B76="","",IFERROR($O76+$B76*$G76*$M76/$B$3,""))</f>
        <v/>
      </c>
      <c r="S76" s="54">
        <f>IF($B76="","",IFERROR($O76+$B76*$G76*$N76/$B$3,""))</f>
        <v/>
      </c>
      <c r="T76" s="63">
        <f>IF($B76="","",IFERROR($Q76/$Q$5,""))</f>
        <v/>
      </c>
      <c r="U76" s="2">
        <f>IF($B76="","",IF(COUNTIFS('Dvd Calendar'!$E$1051:$AR$1051,"&gt;0",'Dvd Calendar'!$E$1052:$AR$1052,"&gt;"&amp;MAX(Summary!$C$11,DATE(Summary!$C$12,1,1)-1),'Dvd Calendar'!$E$1052:$AR$1052,"&lt;="&amp;DATE(Summary!$C$12,12,31))-COUNTIFS('Dvd Calendar'!$E$1051:$AR$1051,"&gt;0",'Dvd Calendar'!$E$1052:$AR$1052,"&gt;"&amp;MAX(Summary!$C$11,DATE(Summary!$C$12,1,1)-1),'Dvd Calendar'!$E$1052:$AR$1052,"&lt;="&amp;DATE(Summary!$C$12,12,31),'Dvd Calendar'!$E$1053:$AR$1053,"&gt;=0")&gt;0,"TBA amount - override me",IF((Override!$C$4="ON")*ISNUMBER(Override!$G$82)&gt;0,"overridden",IF($J76+$K76=0,"no dividend in year Y",""))))</f>
        <v/>
      </c>
      <c r="V76" s="54">
        <f>IF($B76="","",IFERROR(IF(ISNUMBER($H76),$B76*$G76*$H76/$B$3,0),""))</f>
        <v/>
      </c>
      <c r="W76" s="54">
        <f>IF($B76="","",IFERROR($B76*$G76*$K76/$B$3,""))</f>
        <v/>
      </c>
    </row>
    <row r="77">
      <c r="B77" s="73" t="n"/>
      <c r="C77" s="6">
        <f>IF($A77="","",$A77&amp;" Equity")</f>
        <v/>
      </c>
      <c r="D77" s="6">
        <f>IF($C77="","",BDP($C77,"NAME"))</f>
        <v/>
      </c>
      <c r="E77" s="6">
        <f>IF($C77="","",BDP($C77,"GICS_SECTOR_NAME"))</f>
        <v/>
      </c>
      <c r="F77" s="31">
        <f>IF($C77="","",BDP($C77,'Field Check'!$C$8))</f>
        <v/>
      </c>
      <c r="G77" s="74">
        <f>IFERROR(IF(LEN($F77)&lt;&gt;3,1,IF($F77="HKD",1,BDP(IF($F77="CNY",Summary!$C$14,$F77)&amp;"HKD Curncy","PX_LAST"))),1)</f>
        <v/>
      </c>
      <c r="H77" s="54">
        <f>IF($C77="","",BDP($C77,'Field Check'!$C$9))</f>
        <v/>
      </c>
      <c r="I77" s="45">
        <f>IF($C77="","",BDP($C77,'Field Check'!$C$10))</f>
        <v/>
      </c>
      <c r="J77" s="47">
        <f>IF($B77="",0,IF(Summary!$C$13="Y",SUMIFS('Dvd Calendar'!$E$1061:$AR$1061,'Dvd Calendar'!$E$1060:$AR$1060,"&gt;="&amp;DATE(Summary!$C$12,1,1),'Dvd Calendar'!$E$1060:$AR$1060,"&lt;="&amp;MIN(Summary!$C$11,DATE(Summary!$C$12,12,31))),SUMIFS('Dvd Calendar'!$E$1061:$AR$1061,'Dvd Calendar'!$E$1060:$AR$1060,"&gt;="&amp;DATE(Summary!$C$12,1,1),'Dvd Calendar'!$E$1060:$AR$1060,"&lt;="&amp;MIN(Summary!$C$11,DATE(Summary!$C$12,12,31)),'Dvd Calendar'!$E$1065:$AR$1065,"&lt;&gt;"&amp;'Field Check'!$C$25)))</f>
        <v/>
      </c>
      <c r="K77" s="47">
        <f>IF($B77="",0,IF(Summary!$C$13="Y",SUMIFS('Dvd Calendar'!$E$1068:$AR$1068,'Dvd Calendar'!$E$1067:$AR$1067,"&gt;"&amp;MAX(Summary!$C$11,DATE(Summary!$C$12,1,1)-1),'Dvd Calendar'!$E$1067:$AR$1067,"&lt;="&amp;DATE(Summary!$C$12,12,31)),SUMIFS('Dvd Calendar'!$E$1068:$AR$1068,'Dvd Calendar'!$E$1067:$AR$1067,"&gt;"&amp;MAX(Summary!$C$11,DATE(Summary!$C$12,1,1)-1),'Dvd Calendar'!$E$1067:$AR$1067,"&lt;="&amp;DATE(Summary!$C$12,12,31),'Dvd Calendar'!$E$1072:$AR$1072,"&lt;&gt;"&amp;'Field Check'!$C$25)))</f>
        <v/>
      </c>
      <c r="L77" s="47">
        <f>IF($B77="",0,IF((Override!$C$4="ON")*ISNUMBER(Override!$G$83)&gt;0,Override!$G$83,$K77))</f>
        <v/>
      </c>
      <c r="M77" s="47">
        <f>IF($B77="",0,IF((Override!$C$4="ON")*ISNUMBER(Override!$H$83)&gt;0,Override!$H$83,$L77))</f>
        <v/>
      </c>
      <c r="N77" s="47">
        <f>IF($B77="",0,IF((Override!$C$4="ON")*ISNUMBER(Override!$I$83)&gt;0,Override!$I$83,$L77))</f>
        <v/>
      </c>
      <c r="O77" s="54">
        <f>IF($B77="","",IFERROR($B77*$G77*$J77/$B$3,""))</f>
        <v/>
      </c>
      <c r="P77" s="54">
        <f>IF($B77="","",IFERROR($B77*$G77*$L77/$B$3,""))</f>
        <v/>
      </c>
      <c r="Q77" s="38">
        <f>IF($B77="","",IFERROR($O77+$P77,""))</f>
        <v/>
      </c>
      <c r="R77" s="54">
        <f>IF($B77="","",IFERROR($O77+$B77*$G77*$M77/$B$3,""))</f>
        <v/>
      </c>
      <c r="S77" s="54">
        <f>IF($B77="","",IFERROR($O77+$B77*$G77*$N77/$B$3,""))</f>
        <v/>
      </c>
      <c r="T77" s="63">
        <f>IF($B77="","",IFERROR($Q77/$Q$5,""))</f>
        <v/>
      </c>
      <c r="U77" s="2">
        <f>IF($B77="","",IF(COUNTIFS('Dvd Calendar'!$E$1066:$AR$1066,"&gt;0",'Dvd Calendar'!$E$1067:$AR$1067,"&gt;"&amp;MAX(Summary!$C$11,DATE(Summary!$C$12,1,1)-1),'Dvd Calendar'!$E$1067:$AR$1067,"&lt;="&amp;DATE(Summary!$C$12,12,31))-COUNTIFS('Dvd Calendar'!$E$1066:$AR$1066,"&gt;0",'Dvd Calendar'!$E$1067:$AR$1067,"&gt;"&amp;MAX(Summary!$C$11,DATE(Summary!$C$12,1,1)-1),'Dvd Calendar'!$E$1067:$AR$1067,"&lt;="&amp;DATE(Summary!$C$12,12,31),'Dvd Calendar'!$E$1068:$AR$1068,"&gt;=0")&gt;0,"TBA amount - override me",IF((Override!$C$4="ON")*ISNUMBER(Override!$G$83)&gt;0,"overridden",IF($J77+$K77=0,"no dividend in year Y",""))))</f>
        <v/>
      </c>
      <c r="V77" s="54">
        <f>IF($B77="","",IFERROR(IF(ISNUMBER($H77),$B77*$G77*$H77/$B$3,0),""))</f>
        <v/>
      </c>
      <c r="W77" s="54">
        <f>IF($B77="","",IFERROR($B77*$G77*$K77/$B$3,""))</f>
        <v/>
      </c>
    </row>
    <row r="78">
      <c r="B78" s="73" t="n"/>
      <c r="C78" s="6">
        <f>IF($A78="","",$A78&amp;" Equity")</f>
        <v/>
      </c>
      <c r="D78" s="6">
        <f>IF($C78="","",BDP($C78,"NAME"))</f>
        <v/>
      </c>
      <c r="E78" s="6">
        <f>IF($C78="","",BDP($C78,"GICS_SECTOR_NAME"))</f>
        <v/>
      </c>
      <c r="F78" s="31">
        <f>IF($C78="","",BDP($C78,'Field Check'!$C$8))</f>
        <v/>
      </c>
      <c r="G78" s="74">
        <f>IFERROR(IF(LEN($F78)&lt;&gt;3,1,IF($F78="HKD",1,BDP(IF($F78="CNY",Summary!$C$14,$F78)&amp;"HKD Curncy","PX_LAST"))),1)</f>
        <v/>
      </c>
      <c r="H78" s="54">
        <f>IF($C78="","",BDP($C78,'Field Check'!$C$9))</f>
        <v/>
      </c>
      <c r="I78" s="45">
        <f>IF($C78="","",BDP($C78,'Field Check'!$C$10))</f>
        <v/>
      </c>
      <c r="J78" s="47">
        <f>IF($B78="",0,IF(Summary!$C$13="Y",SUMIFS('Dvd Calendar'!$E$1076:$AR$1076,'Dvd Calendar'!$E$1075:$AR$1075,"&gt;="&amp;DATE(Summary!$C$12,1,1),'Dvd Calendar'!$E$1075:$AR$1075,"&lt;="&amp;MIN(Summary!$C$11,DATE(Summary!$C$12,12,31))),SUMIFS('Dvd Calendar'!$E$1076:$AR$1076,'Dvd Calendar'!$E$1075:$AR$1075,"&gt;="&amp;DATE(Summary!$C$12,1,1),'Dvd Calendar'!$E$1075:$AR$1075,"&lt;="&amp;MIN(Summary!$C$11,DATE(Summary!$C$12,12,31)),'Dvd Calendar'!$E$1080:$AR$1080,"&lt;&gt;"&amp;'Field Check'!$C$25)))</f>
        <v/>
      </c>
      <c r="K78" s="47">
        <f>IF($B78="",0,IF(Summary!$C$13="Y",SUMIFS('Dvd Calendar'!$E$1083:$AR$1083,'Dvd Calendar'!$E$1082:$AR$1082,"&gt;"&amp;MAX(Summary!$C$11,DATE(Summary!$C$12,1,1)-1),'Dvd Calendar'!$E$1082:$AR$1082,"&lt;="&amp;DATE(Summary!$C$12,12,31)),SUMIFS('Dvd Calendar'!$E$1083:$AR$1083,'Dvd Calendar'!$E$1082:$AR$1082,"&gt;"&amp;MAX(Summary!$C$11,DATE(Summary!$C$12,1,1)-1),'Dvd Calendar'!$E$1082:$AR$1082,"&lt;="&amp;DATE(Summary!$C$12,12,31),'Dvd Calendar'!$E$1087:$AR$1087,"&lt;&gt;"&amp;'Field Check'!$C$25)))</f>
        <v/>
      </c>
      <c r="L78" s="47">
        <f>IF($B78="",0,IF((Override!$C$4="ON")*ISNUMBER(Override!$G$84)&gt;0,Override!$G$84,$K78))</f>
        <v/>
      </c>
      <c r="M78" s="47">
        <f>IF($B78="",0,IF((Override!$C$4="ON")*ISNUMBER(Override!$H$84)&gt;0,Override!$H$84,$L78))</f>
        <v/>
      </c>
      <c r="N78" s="47">
        <f>IF($B78="",0,IF((Override!$C$4="ON")*ISNUMBER(Override!$I$84)&gt;0,Override!$I$84,$L78))</f>
        <v/>
      </c>
      <c r="O78" s="54">
        <f>IF($B78="","",IFERROR($B78*$G78*$J78/$B$3,""))</f>
        <v/>
      </c>
      <c r="P78" s="54">
        <f>IF($B78="","",IFERROR($B78*$G78*$L78/$B$3,""))</f>
        <v/>
      </c>
      <c r="Q78" s="38">
        <f>IF($B78="","",IFERROR($O78+$P78,""))</f>
        <v/>
      </c>
      <c r="R78" s="54">
        <f>IF($B78="","",IFERROR($O78+$B78*$G78*$M78/$B$3,""))</f>
        <v/>
      </c>
      <c r="S78" s="54">
        <f>IF($B78="","",IFERROR($O78+$B78*$G78*$N78/$B$3,""))</f>
        <v/>
      </c>
      <c r="T78" s="63">
        <f>IF($B78="","",IFERROR($Q78/$Q$5,""))</f>
        <v/>
      </c>
      <c r="U78" s="2">
        <f>IF($B78="","",IF(COUNTIFS('Dvd Calendar'!$E$1081:$AR$1081,"&gt;0",'Dvd Calendar'!$E$1082:$AR$1082,"&gt;"&amp;MAX(Summary!$C$11,DATE(Summary!$C$12,1,1)-1),'Dvd Calendar'!$E$1082:$AR$1082,"&lt;="&amp;DATE(Summary!$C$12,12,31))-COUNTIFS('Dvd Calendar'!$E$1081:$AR$1081,"&gt;0",'Dvd Calendar'!$E$1082:$AR$1082,"&gt;"&amp;MAX(Summary!$C$11,DATE(Summary!$C$12,1,1)-1),'Dvd Calendar'!$E$1082:$AR$1082,"&lt;="&amp;DATE(Summary!$C$12,12,31),'Dvd Calendar'!$E$1083:$AR$1083,"&gt;=0")&gt;0,"TBA amount - override me",IF((Override!$C$4="ON")*ISNUMBER(Override!$G$84)&gt;0,"overridden",IF($J78+$K78=0,"no dividend in year Y",""))))</f>
        <v/>
      </c>
      <c r="V78" s="54">
        <f>IF($B78="","",IFERROR(IF(ISNUMBER($H78),$B78*$G78*$H78/$B$3,0),""))</f>
        <v/>
      </c>
      <c r="W78" s="54">
        <f>IF($B78="","",IFERROR($B78*$G78*$K78/$B$3,""))</f>
        <v/>
      </c>
    </row>
    <row r="79">
      <c r="B79" s="73" t="n"/>
      <c r="C79" s="6">
        <f>IF($A79="","",$A79&amp;" Equity")</f>
        <v/>
      </c>
      <c r="D79" s="6">
        <f>IF($C79="","",BDP($C79,"NAME"))</f>
        <v/>
      </c>
      <c r="E79" s="6">
        <f>IF($C79="","",BDP($C79,"GICS_SECTOR_NAME"))</f>
        <v/>
      </c>
      <c r="F79" s="31">
        <f>IF($C79="","",BDP($C79,'Field Check'!$C$8))</f>
        <v/>
      </c>
      <c r="G79" s="74">
        <f>IFERROR(IF(LEN($F79)&lt;&gt;3,1,IF($F79="HKD",1,BDP(IF($F79="CNY",Summary!$C$14,$F79)&amp;"HKD Curncy","PX_LAST"))),1)</f>
        <v/>
      </c>
      <c r="H79" s="54">
        <f>IF($C79="","",BDP($C79,'Field Check'!$C$9))</f>
        <v/>
      </c>
      <c r="I79" s="45">
        <f>IF($C79="","",BDP($C79,'Field Check'!$C$10))</f>
        <v/>
      </c>
      <c r="J79" s="47">
        <f>IF($B79="",0,IF(Summary!$C$13="Y",SUMIFS('Dvd Calendar'!$E$1091:$AR$1091,'Dvd Calendar'!$E$1090:$AR$1090,"&gt;="&amp;DATE(Summary!$C$12,1,1),'Dvd Calendar'!$E$1090:$AR$1090,"&lt;="&amp;MIN(Summary!$C$11,DATE(Summary!$C$12,12,31))),SUMIFS('Dvd Calendar'!$E$1091:$AR$1091,'Dvd Calendar'!$E$1090:$AR$1090,"&gt;="&amp;DATE(Summary!$C$12,1,1),'Dvd Calendar'!$E$1090:$AR$1090,"&lt;="&amp;MIN(Summary!$C$11,DATE(Summary!$C$12,12,31)),'Dvd Calendar'!$E$1095:$AR$1095,"&lt;&gt;"&amp;'Field Check'!$C$25)))</f>
        <v/>
      </c>
      <c r="K79" s="47">
        <f>IF($B79="",0,IF(Summary!$C$13="Y",SUMIFS('Dvd Calendar'!$E$1098:$AR$1098,'Dvd Calendar'!$E$1097:$AR$1097,"&gt;"&amp;MAX(Summary!$C$11,DATE(Summary!$C$12,1,1)-1),'Dvd Calendar'!$E$1097:$AR$1097,"&lt;="&amp;DATE(Summary!$C$12,12,31)),SUMIFS('Dvd Calendar'!$E$1098:$AR$1098,'Dvd Calendar'!$E$1097:$AR$1097,"&gt;"&amp;MAX(Summary!$C$11,DATE(Summary!$C$12,1,1)-1),'Dvd Calendar'!$E$1097:$AR$1097,"&lt;="&amp;DATE(Summary!$C$12,12,31),'Dvd Calendar'!$E$1102:$AR$1102,"&lt;&gt;"&amp;'Field Check'!$C$25)))</f>
        <v/>
      </c>
      <c r="L79" s="47">
        <f>IF($B79="",0,IF((Override!$C$4="ON")*ISNUMBER(Override!$G$85)&gt;0,Override!$G$85,$K79))</f>
        <v/>
      </c>
      <c r="M79" s="47">
        <f>IF($B79="",0,IF((Override!$C$4="ON")*ISNUMBER(Override!$H$85)&gt;0,Override!$H$85,$L79))</f>
        <v/>
      </c>
      <c r="N79" s="47">
        <f>IF($B79="",0,IF((Override!$C$4="ON")*ISNUMBER(Override!$I$85)&gt;0,Override!$I$85,$L79))</f>
        <v/>
      </c>
      <c r="O79" s="54">
        <f>IF($B79="","",IFERROR($B79*$G79*$J79/$B$3,""))</f>
        <v/>
      </c>
      <c r="P79" s="54">
        <f>IF($B79="","",IFERROR($B79*$G79*$L79/$B$3,""))</f>
        <v/>
      </c>
      <c r="Q79" s="38">
        <f>IF($B79="","",IFERROR($O79+$P79,""))</f>
        <v/>
      </c>
      <c r="R79" s="54">
        <f>IF($B79="","",IFERROR($O79+$B79*$G79*$M79/$B$3,""))</f>
        <v/>
      </c>
      <c r="S79" s="54">
        <f>IF($B79="","",IFERROR($O79+$B79*$G79*$N79/$B$3,""))</f>
        <v/>
      </c>
      <c r="T79" s="63">
        <f>IF($B79="","",IFERROR($Q79/$Q$5,""))</f>
        <v/>
      </c>
      <c r="U79" s="2">
        <f>IF($B79="","",IF(COUNTIFS('Dvd Calendar'!$E$1096:$AR$1096,"&gt;0",'Dvd Calendar'!$E$1097:$AR$1097,"&gt;"&amp;MAX(Summary!$C$11,DATE(Summary!$C$12,1,1)-1),'Dvd Calendar'!$E$1097:$AR$1097,"&lt;="&amp;DATE(Summary!$C$12,12,31))-COUNTIFS('Dvd Calendar'!$E$1096:$AR$1096,"&gt;0",'Dvd Calendar'!$E$1097:$AR$1097,"&gt;"&amp;MAX(Summary!$C$11,DATE(Summary!$C$12,1,1)-1),'Dvd Calendar'!$E$1097:$AR$1097,"&lt;="&amp;DATE(Summary!$C$12,12,31),'Dvd Calendar'!$E$1098:$AR$1098,"&gt;=0")&gt;0,"TBA amount - override me",IF((Override!$C$4="ON")*ISNUMBER(Override!$G$85)&gt;0,"overridden",IF($J79+$K79=0,"no dividend in year Y",""))))</f>
        <v/>
      </c>
      <c r="V79" s="54">
        <f>IF($B79="","",IFERROR(IF(ISNUMBER($H79),$B79*$G79*$H79/$B$3,0),""))</f>
        <v/>
      </c>
      <c r="W79" s="54">
        <f>IF($B79="","",IFERROR($B79*$G79*$K79/$B$3,""))</f>
        <v/>
      </c>
    </row>
    <row r="80">
      <c r="B80" s="73" t="n"/>
      <c r="C80" s="6">
        <f>IF($A80="","",$A80&amp;" Equity")</f>
        <v/>
      </c>
      <c r="D80" s="6">
        <f>IF($C80="","",BDP($C80,"NAME"))</f>
        <v/>
      </c>
      <c r="E80" s="6">
        <f>IF($C80="","",BDP($C80,"GICS_SECTOR_NAME"))</f>
        <v/>
      </c>
      <c r="F80" s="31">
        <f>IF($C80="","",BDP($C80,'Field Check'!$C$8))</f>
        <v/>
      </c>
      <c r="G80" s="74">
        <f>IFERROR(IF(LEN($F80)&lt;&gt;3,1,IF($F80="HKD",1,BDP(IF($F80="CNY",Summary!$C$14,$F80)&amp;"HKD Curncy","PX_LAST"))),1)</f>
        <v/>
      </c>
      <c r="H80" s="54">
        <f>IF($C80="","",BDP($C80,'Field Check'!$C$9))</f>
        <v/>
      </c>
      <c r="I80" s="45">
        <f>IF($C80="","",BDP($C80,'Field Check'!$C$10))</f>
        <v/>
      </c>
      <c r="J80" s="47">
        <f>IF($B80="",0,IF(Summary!$C$13="Y",SUMIFS('Dvd Calendar'!$E$1106:$AR$1106,'Dvd Calendar'!$E$1105:$AR$1105,"&gt;="&amp;DATE(Summary!$C$12,1,1),'Dvd Calendar'!$E$1105:$AR$1105,"&lt;="&amp;MIN(Summary!$C$11,DATE(Summary!$C$12,12,31))),SUMIFS('Dvd Calendar'!$E$1106:$AR$1106,'Dvd Calendar'!$E$1105:$AR$1105,"&gt;="&amp;DATE(Summary!$C$12,1,1),'Dvd Calendar'!$E$1105:$AR$1105,"&lt;="&amp;MIN(Summary!$C$11,DATE(Summary!$C$12,12,31)),'Dvd Calendar'!$E$1110:$AR$1110,"&lt;&gt;"&amp;'Field Check'!$C$25)))</f>
        <v/>
      </c>
      <c r="K80" s="47">
        <f>IF($B80="",0,IF(Summary!$C$13="Y",SUMIFS('Dvd Calendar'!$E$1113:$AR$1113,'Dvd Calendar'!$E$1112:$AR$1112,"&gt;"&amp;MAX(Summary!$C$11,DATE(Summary!$C$12,1,1)-1),'Dvd Calendar'!$E$1112:$AR$1112,"&lt;="&amp;DATE(Summary!$C$12,12,31)),SUMIFS('Dvd Calendar'!$E$1113:$AR$1113,'Dvd Calendar'!$E$1112:$AR$1112,"&gt;"&amp;MAX(Summary!$C$11,DATE(Summary!$C$12,1,1)-1),'Dvd Calendar'!$E$1112:$AR$1112,"&lt;="&amp;DATE(Summary!$C$12,12,31),'Dvd Calendar'!$E$1117:$AR$1117,"&lt;&gt;"&amp;'Field Check'!$C$25)))</f>
        <v/>
      </c>
      <c r="L80" s="47">
        <f>IF($B80="",0,IF((Override!$C$4="ON")*ISNUMBER(Override!$G$86)&gt;0,Override!$G$86,$K80))</f>
        <v/>
      </c>
      <c r="M80" s="47">
        <f>IF($B80="",0,IF((Override!$C$4="ON")*ISNUMBER(Override!$H$86)&gt;0,Override!$H$86,$L80))</f>
        <v/>
      </c>
      <c r="N80" s="47">
        <f>IF($B80="",0,IF((Override!$C$4="ON")*ISNUMBER(Override!$I$86)&gt;0,Override!$I$86,$L80))</f>
        <v/>
      </c>
      <c r="O80" s="54">
        <f>IF($B80="","",IFERROR($B80*$G80*$J80/$B$3,""))</f>
        <v/>
      </c>
      <c r="P80" s="54">
        <f>IF($B80="","",IFERROR($B80*$G80*$L80/$B$3,""))</f>
        <v/>
      </c>
      <c r="Q80" s="38">
        <f>IF($B80="","",IFERROR($O80+$P80,""))</f>
        <v/>
      </c>
      <c r="R80" s="54">
        <f>IF($B80="","",IFERROR($O80+$B80*$G80*$M80/$B$3,""))</f>
        <v/>
      </c>
      <c r="S80" s="54">
        <f>IF($B80="","",IFERROR($O80+$B80*$G80*$N80/$B$3,""))</f>
        <v/>
      </c>
      <c r="T80" s="63">
        <f>IF($B80="","",IFERROR($Q80/$Q$5,""))</f>
        <v/>
      </c>
      <c r="U80" s="2">
        <f>IF($B80="","",IF(COUNTIFS('Dvd Calendar'!$E$1111:$AR$1111,"&gt;0",'Dvd Calendar'!$E$1112:$AR$1112,"&gt;"&amp;MAX(Summary!$C$11,DATE(Summary!$C$12,1,1)-1),'Dvd Calendar'!$E$1112:$AR$1112,"&lt;="&amp;DATE(Summary!$C$12,12,31))-COUNTIFS('Dvd Calendar'!$E$1111:$AR$1111,"&gt;0",'Dvd Calendar'!$E$1112:$AR$1112,"&gt;"&amp;MAX(Summary!$C$11,DATE(Summary!$C$12,1,1)-1),'Dvd Calendar'!$E$1112:$AR$1112,"&lt;="&amp;DATE(Summary!$C$12,12,31),'Dvd Calendar'!$E$1113:$AR$1113,"&gt;=0")&gt;0,"TBA amount - override me",IF((Override!$C$4="ON")*ISNUMBER(Override!$G$86)&gt;0,"overridden",IF($J80+$K80=0,"no dividend in year Y",""))))</f>
        <v/>
      </c>
      <c r="V80" s="54">
        <f>IF($B80="","",IFERROR(IF(ISNUMBER($H80),$B80*$G80*$H80/$B$3,0),""))</f>
        <v/>
      </c>
      <c r="W80" s="54">
        <f>IF($B80="","",IFERROR($B80*$G80*$K80/$B$3,""))</f>
        <v/>
      </c>
    </row>
    <row r="81">
      <c r="B81" s="73" t="n"/>
      <c r="C81" s="6">
        <f>IF($A81="","",$A81&amp;" Equity")</f>
        <v/>
      </c>
      <c r="D81" s="6">
        <f>IF($C81="","",BDP($C81,"NAME"))</f>
        <v/>
      </c>
      <c r="E81" s="6">
        <f>IF($C81="","",BDP($C81,"GICS_SECTOR_NAME"))</f>
        <v/>
      </c>
      <c r="F81" s="31">
        <f>IF($C81="","",BDP($C81,'Field Check'!$C$8))</f>
        <v/>
      </c>
      <c r="G81" s="74">
        <f>IFERROR(IF(LEN($F81)&lt;&gt;3,1,IF($F81="HKD",1,BDP(IF($F81="CNY",Summary!$C$14,$F81)&amp;"HKD Curncy","PX_LAST"))),1)</f>
        <v/>
      </c>
      <c r="H81" s="54">
        <f>IF($C81="","",BDP($C81,'Field Check'!$C$9))</f>
        <v/>
      </c>
      <c r="I81" s="45">
        <f>IF($C81="","",BDP($C81,'Field Check'!$C$10))</f>
        <v/>
      </c>
      <c r="J81" s="47">
        <f>IF($B81="",0,IF(Summary!$C$13="Y",SUMIFS('Dvd Calendar'!$E$1121:$AR$1121,'Dvd Calendar'!$E$1120:$AR$1120,"&gt;="&amp;DATE(Summary!$C$12,1,1),'Dvd Calendar'!$E$1120:$AR$1120,"&lt;="&amp;MIN(Summary!$C$11,DATE(Summary!$C$12,12,31))),SUMIFS('Dvd Calendar'!$E$1121:$AR$1121,'Dvd Calendar'!$E$1120:$AR$1120,"&gt;="&amp;DATE(Summary!$C$12,1,1),'Dvd Calendar'!$E$1120:$AR$1120,"&lt;="&amp;MIN(Summary!$C$11,DATE(Summary!$C$12,12,31)),'Dvd Calendar'!$E$1125:$AR$1125,"&lt;&gt;"&amp;'Field Check'!$C$25)))</f>
        <v/>
      </c>
      <c r="K81" s="47">
        <f>IF($B81="",0,IF(Summary!$C$13="Y",SUMIFS('Dvd Calendar'!$E$1128:$AR$1128,'Dvd Calendar'!$E$1127:$AR$1127,"&gt;"&amp;MAX(Summary!$C$11,DATE(Summary!$C$12,1,1)-1),'Dvd Calendar'!$E$1127:$AR$1127,"&lt;="&amp;DATE(Summary!$C$12,12,31)),SUMIFS('Dvd Calendar'!$E$1128:$AR$1128,'Dvd Calendar'!$E$1127:$AR$1127,"&gt;"&amp;MAX(Summary!$C$11,DATE(Summary!$C$12,1,1)-1),'Dvd Calendar'!$E$1127:$AR$1127,"&lt;="&amp;DATE(Summary!$C$12,12,31),'Dvd Calendar'!$E$1132:$AR$1132,"&lt;&gt;"&amp;'Field Check'!$C$25)))</f>
        <v/>
      </c>
      <c r="L81" s="47">
        <f>IF($B81="",0,IF((Override!$C$4="ON")*ISNUMBER(Override!$G$87)&gt;0,Override!$G$87,$K81))</f>
        <v/>
      </c>
      <c r="M81" s="47">
        <f>IF($B81="",0,IF((Override!$C$4="ON")*ISNUMBER(Override!$H$87)&gt;0,Override!$H$87,$L81))</f>
        <v/>
      </c>
      <c r="N81" s="47">
        <f>IF($B81="",0,IF((Override!$C$4="ON")*ISNUMBER(Override!$I$87)&gt;0,Override!$I$87,$L81))</f>
        <v/>
      </c>
      <c r="O81" s="54">
        <f>IF($B81="","",IFERROR($B81*$G81*$J81/$B$3,""))</f>
        <v/>
      </c>
      <c r="P81" s="54">
        <f>IF($B81="","",IFERROR($B81*$G81*$L81/$B$3,""))</f>
        <v/>
      </c>
      <c r="Q81" s="38">
        <f>IF($B81="","",IFERROR($O81+$P81,""))</f>
        <v/>
      </c>
      <c r="R81" s="54">
        <f>IF($B81="","",IFERROR($O81+$B81*$G81*$M81/$B$3,""))</f>
        <v/>
      </c>
      <c r="S81" s="54">
        <f>IF($B81="","",IFERROR($O81+$B81*$G81*$N81/$B$3,""))</f>
        <v/>
      </c>
      <c r="T81" s="63">
        <f>IF($B81="","",IFERROR($Q81/$Q$5,""))</f>
        <v/>
      </c>
      <c r="U81" s="2">
        <f>IF($B81="","",IF(COUNTIFS('Dvd Calendar'!$E$1126:$AR$1126,"&gt;0",'Dvd Calendar'!$E$1127:$AR$1127,"&gt;"&amp;MAX(Summary!$C$11,DATE(Summary!$C$12,1,1)-1),'Dvd Calendar'!$E$1127:$AR$1127,"&lt;="&amp;DATE(Summary!$C$12,12,31))-COUNTIFS('Dvd Calendar'!$E$1126:$AR$1126,"&gt;0",'Dvd Calendar'!$E$1127:$AR$1127,"&gt;"&amp;MAX(Summary!$C$11,DATE(Summary!$C$12,1,1)-1),'Dvd Calendar'!$E$1127:$AR$1127,"&lt;="&amp;DATE(Summary!$C$12,12,31),'Dvd Calendar'!$E$1128:$AR$1128,"&gt;=0")&gt;0,"TBA amount - override me",IF((Override!$C$4="ON")*ISNUMBER(Override!$G$87)&gt;0,"overridden",IF($J81+$K81=0,"no dividend in year Y",""))))</f>
        <v/>
      </c>
      <c r="V81" s="54">
        <f>IF($B81="","",IFERROR(IF(ISNUMBER($H81),$B81*$G81*$H81/$B$3,0),""))</f>
        <v/>
      </c>
      <c r="W81" s="54">
        <f>IF($B81="","",IFERROR($B81*$G81*$K81/$B$3,""))</f>
        <v/>
      </c>
    </row>
    <row r="82">
      <c r="B82" s="73" t="n"/>
      <c r="C82" s="6">
        <f>IF($A82="","",$A82&amp;" Equity")</f>
        <v/>
      </c>
      <c r="D82" s="6">
        <f>IF($C82="","",BDP($C82,"NAME"))</f>
        <v/>
      </c>
      <c r="E82" s="6">
        <f>IF($C82="","",BDP($C82,"GICS_SECTOR_NAME"))</f>
        <v/>
      </c>
      <c r="F82" s="31">
        <f>IF($C82="","",BDP($C82,'Field Check'!$C$8))</f>
        <v/>
      </c>
      <c r="G82" s="74">
        <f>IFERROR(IF(LEN($F82)&lt;&gt;3,1,IF($F82="HKD",1,BDP(IF($F82="CNY",Summary!$C$14,$F82)&amp;"HKD Curncy","PX_LAST"))),1)</f>
        <v/>
      </c>
      <c r="H82" s="54">
        <f>IF($C82="","",BDP($C82,'Field Check'!$C$9))</f>
        <v/>
      </c>
      <c r="I82" s="45">
        <f>IF($C82="","",BDP($C82,'Field Check'!$C$10))</f>
        <v/>
      </c>
      <c r="J82" s="47">
        <f>IF($B82="",0,IF(Summary!$C$13="Y",SUMIFS('Dvd Calendar'!$E$1136:$AR$1136,'Dvd Calendar'!$E$1135:$AR$1135,"&gt;="&amp;DATE(Summary!$C$12,1,1),'Dvd Calendar'!$E$1135:$AR$1135,"&lt;="&amp;MIN(Summary!$C$11,DATE(Summary!$C$12,12,31))),SUMIFS('Dvd Calendar'!$E$1136:$AR$1136,'Dvd Calendar'!$E$1135:$AR$1135,"&gt;="&amp;DATE(Summary!$C$12,1,1),'Dvd Calendar'!$E$1135:$AR$1135,"&lt;="&amp;MIN(Summary!$C$11,DATE(Summary!$C$12,12,31)),'Dvd Calendar'!$E$1140:$AR$1140,"&lt;&gt;"&amp;'Field Check'!$C$25)))</f>
        <v/>
      </c>
      <c r="K82" s="47">
        <f>IF($B82="",0,IF(Summary!$C$13="Y",SUMIFS('Dvd Calendar'!$E$1143:$AR$1143,'Dvd Calendar'!$E$1142:$AR$1142,"&gt;"&amp;MAX(Summary!$C$11,DATE(Summary!$C$12,1,1)-1),'Dvd Calendar'!$E$1142:$AR$1142,"&lt;="&amp;DATE(Summary!$C$12,12,31)),SUMIFS('Dvd Calendar'!$E$1143:$AR$1143,'Dvd Calendar'!$E$1142:$AR$1142,"&gt;"&amp;MAX(Summary!$C$11,DATE(Summary!$C$12,1,1)-1),'Dvd Calendar'!$E$1142:$AR$1142,"&lt;="&amp;DATE(Summary!$C$12,12,31),'Dvd Calendar'!$E$1147:$AR$1147,"&lt;&gt;"&amp;'Field Check'!$C$25)))</f>
        <v/>
      </c>
      <c r="L82" s="47">
        <f>IF($B82="",0,IF((Override!$C$4="ON")*ISNUMBER(Override!$G$88)&gt;0,Override!$G$88,$K82))</f>
        <v/>
      </c>
      <c r="M82" s="47">
        <f>IF($B82="",0,IF((Override!$C$4="ON")*ISNUMBER(Override!$H$88)&gt;0,Override!$H$88,$L82))</f>
        <v/>
      </c>
      <c r="N82" s="47">
        <f>IF($B82="",0,IF((Override!$C$4="ON")*ISNUMBER(Override!$I$88)&gt;0,Override!$I$88,$L82))</f>
        <v/>
      </c>
      <c r="O82" s="54">
        <f>IF($B82="","",IFERROR($B82*$G82*$J82/$B$3,""))</f>
        <v/>
      </c>
      <c r="P82" s="54">
        <f>IF($B82="","",IFERROR($B82*$G82*$L82/$B$3,""))</f>
        <v/>
      </c>
      <c r="Q82" s="38">
        <f>IF($B82="","",IFERROR($O82+$P82,""))</f>
        <v/>
      </c>
      <c r="R82" s="54">
        <f>IF($B82="","",IFERROR($O82+$B82*$G82*$M82/$B$3,""))</f>
        <v/>
      </c>
      <c r="S82" s="54">
        <f>IF($B82="","",IFERROR($O82+$B82*$G82*$N82/$B$3,""))</f>
        <v/>
      </c>
      <c r="T82" s="63">
        <f>IF($B82="","",IFERROR($Q82/$Q$5,""))</f>
        <v/>
      </c>
      <c r="U82" s="2">
        <f>IF($B82="","",IF(COUNTIFS('Dvd Calendar'!$E$1141:$AR$1141,"&gt;0",'Dvd Calendar'!$E$1142:$AR$1142,"&gt;"&amp;MAX(Summary!$C$11,DATE(Summary!$C$12,1,1)-1),'Dvd Calendar'!$E$1142:$AR$1142,"&lt;="&amp;DATE(Summary!$C$12,12,31))-COUNTIFS('Dvd Calendar'!$E$1141:$AR$1141,"&gt;0",'Dvd Calendar'!$E$1142:$AR$1142,"&gt;"&amp;MAX(Summary!$C$11,DATE(Summary!$C$12,1,1)-1),'Dvd Calendar'!$E$1142:$AR$1142,"&lt;="&amp;DATE(Summary!$C$12,12,31),'Dvd Calendar'!$E$1143:$AR$1143,"&gt;=0")&gt;0,"TBA amount - override me",IF((Override!$C$4="ON")*ISNUMBER(Override!$G$88)&gt;0,"overridden",IF($J82+$K82=0,"no dividend in year Y",""))))</f>
        <v/>
      </c>
      <c r="V82" s="54">
        <f>IF($B82="","",IFERROR(IF(ISNUMBER($H82),$B82*$G82*$H82/$B$3,0),""))</f>
        <v/>
      </c>
      <c r="W82" s="54">
        <f>IF($B82="","",IFERROR($B82*$G82*$K82/$B$3,""))</f>
        <v/>
      </c>
    </row>
    <row r="83">
      <c r="B83" s="73" t="n"/>
      <c r="C83" s="6">
        <f>IF($A83="","",$A83&amp;" Equity")</f>
        <v/>
      </c>
      <c r="D83" s="6">
        <f>IF($C83="","",BDP($C83,"NAME"))</f>
        <v/>
      </c>
      <c r="E83" s="6">
        <f>IF($C83="","",BDP($C83,"GICS_SECTOR_NAME"))</f>
        <v/>
      </c>
      <c r="F83" s="31">
        <f>IF($C83="","",BDP($C83,'Field Check'!$C$8))</f>
        <v/>
      </c>
      <c r="G83" s="74">
        <f>IFERROR(IF(LEN($F83)&lt;&gt;3,1,IF($F83="HKD",1,BDP(IF($F83="CNY",Summary!$C$14,$F83)&amp;"HKD Curncy","PX_LAST"))),1)</f>
        <v/>
      </c>
      <c r="H83" s="54">
        <f>IF($C83="","",BDP($C83,'Field Check'!$C$9))</f>
        <v/>
      </c>
      <c r="I83" s="45">
        <f>IF($C83="","",BDP($C83,'Field Check'!$C$10))</f>
        <v/>
      </c>
      <c r="J83" s="47">
        <f>IF($B83="",0,IF(Summary!$C$13="Y",SUMIFS('Dvd Calendar'!$E$1151:$AR$1151,'Dvd Calendar'!$E$1150:$AR$1150,"&gt;="&amp;DATE(Summary!$C$12,1,1),'Dvd Calendar'!$E$1150:$AR$1150,"&lt;="&amp;MIN(Summary!$C$11,DATE(Summary!$C$12,12,31))),SUMIFS('Dvd Calendar'!$E$1151:$AR$1151,'Dvd Calendar'!$E$1150:$AR$1150,"&gt;="&amp;DATE(Summary!$C$12,1,1),'Dvd Calendar'!$E$1150:$AR$1150,"&lt;="&amp;MIN(Summary!$C$11,DATE(Summary!$C$12,12,31)),'Dvd Calendar'!$E$1155:$AR$1155,"&lt;&gt;"&amp;'Field Check'!$C$25)))</f>
        <v/>
      </c>
      <c r="K83" s="47">
        <f>IF($B83="",0,IF(Summary!$C$13="Y",SUMIFS('Dvd Calendar'!$E$1158:$AR$1158,'Dvd Calendar'!$E$1157:$AR$1157,"&gt;"&amp;MAX(Summary!$C$11,DATE(Summary!$C$12,1,1)-1),'Dvd Calendar'!$E$1157:$AR$1157,"&lt;="&amp;DATE(Summary!$C$12,12,31)),SUMIFS('Dvd Calendar'!$E$1158:$AR$1158,'Dvd Calendar'!$E$1157:$AR$1157,"&gt;"&amp;MAX(Summary!$C$11,DATE(Summary!$C$12,1,1)-1),'Dvd Calendar'!$E$1157:$AR$1157,"&lt;="&amp;DATE(Summary!$C$12,12,31),'Dvd Calendar'!$E$1162:$AR$1162,"&lt;&gt;"&amp;'Field Check'!$C$25)))</f>
        <v/>
      </c>
      <c r="L83" s="47">
        <f>IF($B83="",0,IF((Override!$C$4="ON")*ISNUMBER(Override!$G$89)&gt;0,Override!$G$89,$K83))</f>
        <v/>
      </c>
      <c r="M83" s="47">
        <f>IF($B83="",0,IF((Override!$C$4="ON")*ISNUMBER(Override!$H$89)&gt;0,Override!$H$89,$L83))</f>
        <v/>
      </c>
      <c r="N83" s="47">
        <f>IF($B83="",0,IF((Override!$C$4="ON")*ISNUMBER(Override!$I$89)&gt;0,Override!$I$89,$L83))</f>
        <v/>
      </c>
      <c r="O83" s="54">
        <f>IF($B83="","",IFERROR($B83*$G83*$J83/$B$3,""))</f>
        <v/>
      </c>
      <c r="P83" s="54">
        <f>IF($B83="","",IFERROR($B83*$G83*$L83/$B$3,""))</f>
        <v/>
      </c>
      <c r="Q83" s="38">
        <f>IF($B83="","",IFERROR($O83+$P83,""))</f>
        <v/>
      </c>
      <c r="R83" s="54">
        <f>IF($B83="","",IFERROR($O83+$B83*$G83*$M83/$B$3,""))</f>
        <v/>
      </c>
      <c r="S83" s="54">
        <f>IF($B83="","",IFERROR($O83+$B83*$G83*$N83/$B$3,""))</f>
        <v/>
      </c>
      <c r="T83" s="63">
        <f>IF($B83="","",IFERROR($Q83/$Q$5,""))</f>
        <v/>
      </c>
      <c r="U83" s="2">
        <f>IF($B83="","",IF(COUNTIFS('Dvd Calendar'!$E$1156:$AR$1156,"&gt;0",'Dvd Calendar'!$E$1157:$AR$1157,"&gt;"&amp;MAX(Summary!$C$11,DATE(Summary!$C$12,1,1)-1),'Dvd Calendar'!$E$1157:$AR$1157,"&lt;="&amp;DATE(Summary!$C$12,12,31))-COUNTIFS('Dvd Calendar'!$E$1156:$AR$1156,"&gt;0",'Dvd Calendar'!$E$1157:$AR$1157,"&gt;"&amp;MAX(Summary!$C$11,DATE(Summary!$C$12,1,1)-1),'Dvd Calendar'!$E$1157:$AR$1157,"&lt;="&amp;DATE(Summary!$C$12,12,31),'Dvd Calendar'!$E$1158:$AR$1158,"&gt;=0")&gt;0,"TBA amount - override me",IF((Override!$C$4="ON")*ISNUMBER(Override!$G$89)&gt;0,"overridden",IF($J83+$K83=0,"no dividend in year Y",""))))</f>
        <v/>
      </c>
      <c r="V83" s="54">
        <f>IF($B83="","",IFERROR(IF(ISNUMBER($H83),$B83*$G83*$H83/$B$3,0),""))</f>
        <v/>
      </c>
      <c r="W83" s="54">
        <f>IF($B83="","",IFERROR($B83*$G83*$K83/$B$3,""))</f>
        <v/>
      </c>
    </row>
    <row r="84">
      <c r="B84" s="73" t="n"/>
      <c r="C84" s="6">
        <f>IF($A84="","",$A84&amp;" Equity")</f>
        <v/>
      </c>
      <c r="D84" s="6">
        <f>IF($C84="","",BDP($C84,"NAME"))</f>
        <v/>
      </c>
      <c r="E84" s="6">
        <f>IF($C84="","",BDP($C84,"GICS_SECTOR_NAME"))</f>
        <v/>
      </c>
      <c r="F84" s="31">
        <f>IF($C84="","",BDP($C84,'Field Check'!$C$8))</f>
        <v/>
      </c>
      <c r="G84" s="74">
        <f>IFERROR(IF(LEN($F84)&lt;&gt;3,1,IF($F84="HKD",1,BDP(IF($F84="CNY",Summary!$C$14,$F84)&amp;"HKD Curncy","PX_LAST"))),1)</f>
        <v/>
      </c>
      <c r="H84" s="54">
        <f>IF($C84="","",BDP($C84,'Field Check'!$C$9))</f>
        <v/>
      </c>
      <c r="I84" s="45">
        <f>IF($C84="","",BDP($C84,'Field Check'!$C$10))</f>
        <v/>
      </c>
      <c r="J84" s="47">
        <f>IF($B84="",0,IF(Summary!$C$13="Y",SUMIFS('Dvd Calendar'!$E$1166:$AR$1166,'Dvd Calendar'!$E$1165:$AR$1165,"&gt;="&amp;DATE(Summary!$C$12,1,1),'Dvd Calendar'!$E$1165:$AR$1165,"&lt;="&amp;MIN(Summary!$C$11,DATE(Summary!$C$12,12,31))),SUMIFS('Dvd Calendar'!$E$1166:$AR$1166,'Dvd Calendar'!$E$1165:$AR$1165,"&gt;="&amp;DATE(Summary!$C$12,1,1),'Dvd Calendar'!$E$1165:$AR$1165,"&lt;="&amp;MIN(Summary!$C$11,DATE(Summary!$C$12,12,31)),'Dvd Calendar'!$E$1170:$AR$1170,"&lt;&gt;"&amp;'Field Check'!$C$25)))</f>
        <v/>
      </c>
      <c r="K84" s="47">
        <f>IF($B84="",0,IF(Summary!$C$13="Y",SUMIFS('Dvd Calendar'!$E$1173:$AR$1173,'Dvd Calendar'!$E$1172:$AR$1172,"&gt;"&amp;MAX(Summary!$C$11,DATE(Summary!$C$12,1,1)-1),'Dvd Calendar'!$E$1172:$AR$1172,"&lt;="&amp;DATE(Summary!$C$12,12,31)),SUMIFS('Dvd Calendar'!$E$1173:$AR$1173,'Dvd Calendar'!$E$1172:$AR$1172,"&gt;"&amp;MAX(Summary!$C$11,DATE(Summary!$C$12,1,1)-1),'Dvd Calendar'!$E$1172:$AR$1172,"&lt;="&amp;DATE(Summary!$C$12,12,31),'Dvd Calendar'!$E$1177:$AR$1177,"&lt;&gt;"&amp;'Field Check'!$C$25)))</f>
        <v/>
      </c>
      <c r="L84" s="47">
        <f>IF($B84="",0,IF((Override!$C$4="ON")*ISNUMBER(Override!$G$90)&gt;0,Override!$G$90,$K84))</f>
        <v/>
      </c>
      <c r="M84" s="47">
        <f>IF($B84="",0,IF((Override!$C$4="ON")*ISNUMBER(Override!$H$90)&gt;0,Override!$H$90,$L84))</f>
        <v/>
      </c>
      <c r="N84" s="47">
        <f>IF($B84="",0,IF((Override!$C$4="ON")*ISNUMBER(Override!$I$90)&gt;0,Override!$I$90,$L84))</f>
        <v/>
      </c>
      <c r="O84" s="54">
        <f>IF($B84="","",IFERROR($B84*$G84*$J84/$B$3,""))</f>
        <v/>
      </c>
      <c r="P84" s="54">
        <f>IF($B84="","",IFERROR($B84*$G84*$L84/$B$3,""))</f>
        <v/>
      </c>
      <c r="Q84" s="38">
        <f>IF($B84="","",IFERROR($O84+$P84,""))</f>
        <v/>
      </c>
      <c r="R84" s="54">
        <f>IF($B84="","",IFERROR($O84+$B84*$G84*$M84/$B$3,""))</f>
        <v/>
      </c>
      <c r="S84" s="54">
        <f>IF($B84="","",IFERROR($O84+$B84*$G84*$N84/$B$3,""))</f>
        <v/>
      </c>
      <c r="T84" s="63">
        <f>IF($B84="","",IFERROR($Q84/$Q$5,""))</f>
        <v/>
      </c>
      <c r="U84" s="2">
        <f>IF($B84="","",IF(COUNTIFS('Dvd Calendar'!$E$1171:$AR$1171,"&gt;0",'Dvd Calendar'!$E$1172:$AR$1172,"&gt;"&amp;MAX(Summary!$C$11,DATE(Summary!$C$12,1,1)-1),'Dvd Calendar'!$E$1172:$AR$1172,"&lt;="&amp;DATE(Summary!$C$12,12,31))-COUNTIFS('Dvd Calendar'!$E$1171:$AR$1171,"&gt;0",'Dvd Calendar'!$E$1172:$AR$1172,"&gt;"&amp;MAX(Summary!$C$11,DATE(Summary!$C$12,1,1)-1),'Dvd Calendar'!$E$1172:$AR$1172,"&lt;="&amp;DATE(Summary!$C$12,12,31),'Dvd Calendar'!$E$1173:$AR$1173,"&gt;=0")&gt;0,"TBA amount - override me",IF((Override!$C$4="ON")*ISNUMBER(Override!$G$90)&gt;0,"overridden",IF($J84+$K84=0,"no dividend in year Y",""))))</f>
        <v/>
      </c>
      <c r="V84" s="54">
        <f>IF($B84="","",IFERROR(IF(ISNUMBER($H84),$B84*$G84*$H84/$B$3,0),""))</f>
        <v/>
      </c>
      <c r="W84" s="54">
        <f>IF($B84="","",IFERROR($B84*$G84*$K84/$B$3,""))</f>
        <v/>
      </c>
    </row>
    <row r="85">
      <c r="B85" s="73" t="n"/>
      <c r="C85" s="6">
        <f>IF($A85="","",$A85&amp;" Equity")</f>
        <v/>
      </c>
      <c r="D85" s="6">
        <f>IF($C85="","",BDP($C85,"NAME"))</f>
        <v/>
      </c>
      <c r="E85" s="6">
        <f>IF($C85="","",BDP($C85,"GICS_SECTOR_NAME"))</f>
        <v/>
      </c>
      <c r="F85" s="31">
        <f>IF($C85="","",BDP($C85,'Field Check'!$C$8))</f>
        <v/>
      </c>
      <c r="G85" s="74">
        <f>IFERROR(IF(LEN($F85)&lt;&gt;3,1,IF($F85="HKD",1,BDP(IF($F85="CNY",Summary!$C$14,$F85)&amp;"HKD Curncy","PX_LAST"))),1)</f>
        <v/>
      </c>
      <c r="H85" s="54">
        <f>IF($C85="","",BDP($C85,'Field Check'!$C$9))</f>
        <v/>
      </c>
      <c r="I85" s="45">
        <f>IF($C85="","",BDP($C85,'Field Check'!$C$10))</f>
        <v/>
      </c>
      <c r="J85" s="47">
        <f>IF($B85="",0,IF(Summary!$C$13="Y",SUMIFS('Dvd Calendar'!$E$1181:$AR$1181,'Dvd Calendar'!$E$1180:$AR$1180,"&gt;="&amp;DATE(Summary!$C$12,1,1),'Dvd Calendar'!$E$1180:$AR$1180,"&lt;="&amp;MIN(Summary!$C$11,DATE(Summary!$C$12,12,31))),SUMIFS('Dvd Calendar'!$E$1181:$AR$1181,'Dvd Calendar'!$E$1180:$AR$1180,"&gt;="&amp;DATE(Summary!$C$12,1,1),'Dvd Calendar'!$E$1180:$AR$1180,"&lt;="&amp;MIN(Summary!$C$11,DATE(Summary!$C$12,12,31)),'Dvd Calendar'!$E$1185:$AR$1185,"&lt;&gt;"&amp;'Field Check'!$C$25)))</f>
        <v/>
      </c>
      <c r="K85" s="47">
        <f>IF($B85="",0,IF(Summary!$C$13="Y",SUMIFS('Dvd Calendar'!$E$1188:$AR$1188,'Dvd Calendar'!$E$1187:$AR$1187,"&gt;"&amp;MAX(Summary!$C$11,DATE(Summary!$C$12,1,1)-1),'Dvd Calendar'!$E$1187:$AR$1187,"&lt;="&amp;DATE(Summary!$C$12,12,31)),SUMIFS('Dvd Calendar'!$E$1188:$AR$1188,'Dvd Calendar'!$E$1187:$AR$1187,"&gt;"&amp;MAX(Summary!$C$11,DATE(Summary!$C$12,1,1)-1),'Dvd Calendar'!$E$1187:$AR$1187,"&lt;="&amp;DATE(Summary!$C$12,12,31),'Dvd Calendar'!$E$1192:$AR$1192,"&lt;&gt;"&amp;'Field Check'!$C$25)))</f>
        <v/>
      </c>
      <c r="L85" s="47">
        <f>IF($B85="",0,IF((Override!$C$4="ON")*ISNUMBER(Override!$G$91)&gt;0,Override!$G$91,$K85))</f>
        <v/>
      </c>
      <c r="M85" s="47">
        <f>IF($B85="",0,IF((Override!$C$4="ON")*ISNUMBER(Override!$H$91)&gt;0,Override!$H$91,$L85))</f>
        <v/>
      </c>
      <c r="N85" s="47">
        <f>IF($B85="",0,IF((Override!$C$4="ON")*ISNUMBER(Override!$I$91)&gt;0,Override!$I$91,$L85))</f>
        <v/>
      </c>
      <c r="O85" s="54">
        <f>IF($B85="","",IFERROR($B85*$G85*$J85/$B$3,""))</f>
        <v/>
      </c>
      <c r="P85" s="54">
        <f>IF($B85="","",IFERROR($B85*$G85*$L85/$B$3,""))</f>
        <v/>
      </c>
      <c r="Q85" s="38">
        <f>IF($B85="","",IFERROR($O85+$P85,""))</f>
        <v/>
      </c>
      <c r="R85" s="54">
        <f>IF($B85="","",IFERROR($O85+$B85*$G85*$M85/$B$3,""))</f>
        <v/>
      </c>
      <c r="S85" s="54">
        <f>IF($B85="","",IFERROR($O85+$B85*$G85*$N85/$B$3,""))</f>
        <v/>
      </c>
      <c r="T85" s="63">
        <f>IF($B85="","",IFERROR($Q85/$Q$5,""))</f>
        <v/>
      </c>
      <c r="U85" s="2">
        <f>IF($B85="","",IF(COUNTIFS('Dvd Calendar'!$E$1186:$AR$1186,"&gt;0",'Dvd Calendar'!$E$1187:$AR$1187,"&gt;"&amp;MAX(Summary!$C$11,DATE(Summary!$C$12,1,1)-1),'Dvd Calendar'!$E$1187:$AR$1187,"&lt;="&amp;DATE(Summary!$C$12,12,31))-COUNTIFS('Dvd Calendar'!$E$1186:$AR$1186,"&gt;0",'Dvd Calendar'!$E$1187:$AR$1187,"&gt;"&amp;MAX(Summary!$C$11,DATE(Summary!$C$12,1,1)-1),'Dvd Calendar'!$E$1187:$AR$1187,"&lt;="&amp;DATE(Summary!$C$12,12,31),'Dvd Calendar'!$E$1188:$AR$1188,"&gt;=0")&gt;0,"TBA amount - override me",IF((Override!$C$4="ON")*ISNUMBER(Override!$G$91)&gt;0,"overridden",IF($J85+$K85=0,"no dividend in year Y",""))))</f>
        <v/>
      </c>
      <c r="V85" s="54">
        <f>IF($B85="","",IFERROR(IF(ISNUMBER($H85),$B85*$G85*$H85/$B$3,0),""))</f>
        <v/>
      </c>
      <c r="W85" s="54">
        <f>IF($B85="","",IFERROR($B85*$G85*$K85/$B$3,""))</f>
        <v/>
      </c>
    </row>
    <row r="86">
      <c r="B86" s="73" t="n"/>
      <c r="C86" s="6">
        <f>IF($A86="","",$A86&amp;" Equity")</f>
        <v/>
      </c>
      <c r="D86" s="6">
        <f>IF($C86="","",BDP($C86,"NAME"))</f>
        <v/>
      </c>
      <c r="E86" s="6">
        <f>IF($C86="","",BDP($C86,"GICS_SECTOR_NAME"))</f>
        <v/>
      </c>
      <c r="F86" s="31">
        <f>IF($C86="","",BDP($C86,'Field Check'!$C$8))</f>
        <v/>
      </c>
      <c r="G86" s="74">
        <f>IFERROR(IF(LEN($F86)&lt;&gt;3,1,IF($F86="HKD",1,BDP(IF($F86="CNY",Summary!$C$14,$F86)&amp;"HKD Curncy","PX_LAST"))),1)</f>
        <v/>
      </c>
      <c r="H86" s="54">
        <f>IF($C86="","",BDP($C86,'Field Check'!$C$9))</f>
        <v/>
      </c>
      <c r="I86" s="45">
        <f>IF($C86="","",BDP($C86,'Field Check'!$C$10))</f>
        <v/>
      </c>
      <c r="J86" s="47">
        <f>IF($B86="",0,IF(Summary!$C$13="Y",SUMIFS('Dvd Calendar'!$E$1196:$AR$1196,'Dvd Calendar'!$E$1195:$AR$1195,"&gt;="&amp;DATE(Summary!$C$12,1,1),'Dvd Calendar'!$E$1195:$AR$1195,"&lt;="&amp;MIN(Summary!$C$11,DATE(Summary!$C$12,12,31))),SUMIFS('Dvd Calendar'!$E$1196:$AR$1196,'Dvd Calendar'!$E$1195:$AR$1195,"&gt;="&amp;DATE(Summary!$C$12,1,1),'Dvd Calendar'!$E$1195:$AR$1195,"&lt;="&amp;MIN(Summary!$C$11,DATE(Summary!$C$12,12,31)),'Dvd Calendar'!$E$1200:$AR$1200,"&lt;&gt;"&amp;'Field Check'!$C$25)))</f>
        <v/>
      </c>
      <c r="K86" s="47">
        <f>IF($B86="",0,IF(Summary!$C$13="Y",SUMIFS('Dvd Calendar'!$E$1203:$AR$1203,'Dvd Calendar'!$E$1202:$AR$1202,"&gt;"&amp;MAX(Summary!$C$11,DATE(Summary!$C$12,1,1)-1),'Dvd Calendar'!$E$1202:$AR$1202,"&lt;="&amp;DATE(Summary!$C$12,12,31)),SUMIFS('Dvd Calendar'!$E$1203:$AR$1203,'Dvd Calendar'!$E$1202:$AR$1202,"&gt;"&amp;MAX(Summary!$C$11,DATE(Summary!$C$12,1,1)-1),'Dvd Calendar'!$E$1202:$AR$1202,"&lt;="&amp;DATE(Summary!$C$12,12,31),'Dvd Calendar'!$E$1207:$AR$1207,"&lt;&gt;"&amp;'Field Check'!$C$25)))</f>
        <v/>
      </c>
      <c r="L86" s="47">
        <f>IF($B86="",0,IF((Override!$C$4="ON")*ISNUMBER(Override!$G$92)&gt;0,Override!$G$92,$K86))</f>
        <v/>
      </c>
      <c r="M86" s="47">
        <f>IF($B86="",0,IF((Override!$C$4="ON")*ISNUMBER(Override!$H$92)&gt;0,Override!$H$92,$L86))</f>
        <v/>
      </c>
      <c r="N86" s="47">
        <f>IF($B86="",0,IF((Override!$C$4="ON")*ISNUMBER(Override!$I$92)&gt;0,Override!$I$92,$L86))</f>
        <v/>
      </c>
      <c r="O86" s="54">
        <f>IF($B86="","",IFERROR($B86*$G86*$J86/$B$3,""))</f>
        <v/>
      </c>
      <c r="P86" s="54">
        <f>IF($B86="","",IFERROR($B86*$G86*$L86/$B$3,""))</f>
        <v/>
      </c>
      <c r="Q86" s="38">
        <f>IF($B86="","",IFERROR($O86+$P86,""))</f>
        <v/>
      </c>
      <c r="R86" s="54">
        <f>IF($B86="","",IFERROR($O86+$B86*$G86*$M86/$B$3,""))</f>
        <v/>
      </c>
      <c r="S86" s="54">
        <f>IF($B86="","",IFERROR($O86+$B86*$G86*$N86/$B$3,""))</f>
        <v/>
      </c>
      <c r="T86" s="63">
        <f>IF($B86="","",IFERROR($Q86/$Q$5,""))</f>
        <v/>
      </c>
      <c r="U86" s="2">
        <f>IF($B86="","",IF(COUNTIFS('Dvd Calendar'!$E$1201:$AR$1201,"&gt;0",'Dvd Calendar'!$E$1202:$AR$1202,"&gt;"&amp;MAX(Summary!$C$11,DATE(Summary!$C$12,1,1)-1),'Dvd Calendar'!$E$1202:$AR$1202,"&lt;="&amp;DATE(Summary!$C$12,12,31))-COUNTIFS('Dvd Calendar'!$E$1201:$AR$1201,"&gt;0",'Dvd Calendar'!$E$1202:$AR$1202,"&gt;"&amp;MAX(Summary!$C$11,DATE(Summary!$C$12,1,1)-1),'Dvd Calendar'!$E$1202:$AR$1202,"&lt;="&amp;DATE(Summary!$C$12,12,31),'Dvd Calendar'!$E$1203:$AR$1203,"&gt;=0")&gt;0,"TBA amount - override me",IF((Override!$C$4="ON")*ISNUMBER(Override!$G$92)&gt;0,"overridden",IF($J86+$K86=0,"no dividend in year Y",""))))</f>
        <v/>
      </c>
      <c r="V86" s="54">
        <f>IF($B86="","",IFERROR(IF(ISNUMBER($H86),$B86*$G86*$H86/$B$3,0),""))</f>
        <v/>
      </c>
      <c r="W86" s="54">
        <f>IF($B86="","",IFERROR($B86*$G86*$K86/$B$3,""))</f>
        <v/>
      </c>
    </row>
    <row r="87">
      <c r="B87" s="73" t="n"/>
      <c r="C87" s="6">
        <f>IF($A87="","",$A87&amp;" Equity")</f>
        <v/>
      </c>
      <c r="D87" s="6">
        <f>IF($C87="","",BDP($C87,"NAME"))</f>
        <v/>
      </c>
      <c r="E87" s="6">
        <f>IF($C87="","",BDP($C87,"GICS_SECTOR_NAME"))</f>
        <v/>
      </c>
      <c r="F87" s="31">
        <f>IF($C87="","",BDP($C87,'Field Check'!$C$8))</f>
        <v/>
      </c>
      <c r="G87" s="74">
        <f>IFERROR(IF(LEN($F87)&lt;&gt;3,1,IF($F87="HKD",1,BDP(IF($F87="CNY",Summary!$C$14,$F87)&amp;"HKD Curncy","PX_LAST"))),1)</f>
        <v/>
      </c>
      <c r="H87" s="54">
        <f>IF($C87="","",BDP($C87,'Field Check'!$C$9))</f>
        <v/>
      </c>
      <c r="I87" s="45">
        <f>IF($C87="","",BDP($C87,'Field Check'!$C$10))</f>
        <v/>
      </c>
      <c r="J87" s="47">
        <f>IF($B87="",0,IF(Summary!$C$13="Y",SUMIFS('Dvd Calendar'!$E$1211:$AR$1211,'Dvd Calendar'!$E$1210:$AR$1210,"&gt;="&amp;DATE(Summary!$C$12,1,1),'Dvd Calendar'!$E$1210:$AR$1210,"&lt;="&amp;MIN(Summary!$C$11,DATE(Summary!$C$12,12,31))),SUMIFS('Dvd Calendar'!$E$1211:$AR$1211,'Dvd Calendar'!$E$1210:$AR$1210,"&gt;="&amp;DATE(Summary!$C$12,1,1),'Dvd Calendar'!$E$1210:$AR$1210,"&lt;="&amp;MIN(Summary!$C$11,DATE(Summary!$C$12,12,31)),'Dvd Calendar'!$E$1215:$AR$1215,"&lt;&gt;"&amp;'Field Check'!$C$25)))</f>
        <v/>
      </c>
      <c r="K87" s="47">
        <f>IF($B87="",0,IF(Summary!$C$13="Y",SUMIFS('Dvd Calendar'!$E$1218:$AR$1218,'Dvd Calendar'!$E$1217:$AR$1217,"&gt;"&amp;MAX(Summary!$C$11,DATE(Summary!$C$12,1,1)-1),'Dvd Calendar'!$E$1217:$AR$1217,"&lt;="&amp;DATE(Summary!$C$12,12,31)),SUMIFS('Dvd Calendar'!$E$1218:$AR$1218,'Dvd Calendar'!$E$1217:$AR$1217,"&gt;"&amp;MAX(Summary!$C$11,DATE(Summary!$C$12,1,1)-1),'Dvd Calendar'!$E$1217:$AR$1217,"&lt;="&amp;DATE(Summary!$C$12,12,31),'Dvd Calendar'!$E$1222:$AR$1222,"&lt;&gt;"&amp;'Field Check'!$C$25)))</f>
        <v/>
      </c>
      <c r="L87" s="47">
        <f>IF($B87="",0,IF((Override!$C$4="ON")*ISNUMBER(Override!$G$93)&gt;0,Override!$G$93,$K87))</f>
        <v/>
      </c>
      <c r="M87" s="47">
        <f>IF($B87="",0,IF((Override!$C$4="ON")*ISNUMBER(Override!$H$93)&gt;0,Override!$H$93,$L87))</f>
        <v/>
      </c>
      <c r="N87" s="47">
        <f>IF($B87="",0,IF((Override!$C$4="ON")*ISNUMBER(Override!$I$93)&gt;0,Override!$I$93,$L87))</f>
        <v/>
      </c>
      <c r="O87" s="54">
        <f>IF($B87="","",IFERROR($B87*$G87*$J87/$B$3,""))</f>
        <v/>
      </c>
      <c r="P87" s="54">
        <f>IF($B87="","",IFERROR($B87*$G87*$L87/$B$3,""))</f>
        <v/>
      </c>
      <c r="Q87" s="38">
        <f>IF($B87="","",IFERROR($O87+$P87,""))</f>
        <v/>
      </c>
      <c r="R87" s="54">
        <f>IF($B87="","",IFERROR($O87+$B87*$G87*$M87/$B$3,""))</f>
        <v/>
      </c>
      <c r="S87" s="54">
        <f>IF($B87="","",IFERROR($O87+$B87*$G87*$N87/$B$3,""))</f>
        <v/>
      </c>
      <c r="T87" s="63">
        <f>IF($B87="","",IFERROR($Q87/$Q$5,""))</f>
        <v/>
      </c>
      <c r="U87" s="2">
        <f>IF($B87="","",IF(COUNTIFS('Dvd Calendar'!$E$1216:$AR$1216,"&gt;0",'Dvd Calendar'!$E$1217:$AR$1217,"&gt;"&amp;MAX(Summary!$C$11,DATE(Summary!$C$12,1,1)-1),'Dvd Calendar'!$E$1217:$AR$1217,"&lt;="&amp;DATE(Summary!$C$12,12,31))-COUNTIFS('Dvd Calendar'!$E$1216:$AR$1216,"&gt;0",'Dvd Calendar'!$E$1217:$AR$1217,"&gt;"&amp;MAX(Summary!$C$11,DATE(Summary!$C$12,1,1)-1),'Dvd Calendar'!$E$1217:$AR$1217,"&lt;="&amp;DATE(Summary!$C$12,12,31),'Dvd Calendar'!$E$1218:$AR$1218,"&gt;=0")&gt;0,"TBA amount - override me",IF((Override!$C$4="ON")*ISNUMBER(Override!$G$93)&gt;0,"overridden",IF($J87+$K87=0,"no dividend in year Y",""))))</f>
        <v/>
      </c>
      <c r="V87" s="54">
        <f>IF($B87="","",IFERROR(IF(ISNUMBER($H87),$B87*$G87*$H87/$B$3,0),""))</f>
        <v/>
      </c>
      <c r="W87" s="54">
        <f>IF($B87="","",IFERROR($B87*$G87*$K87/$B$3,""))</f>
        <v/>
      </c>
    </row>
    <row r="88">
      <c r="B88" s="73" t="n"/>
      <c r="C88" s="6">
        <f>IF($A88="","",$A88&amp;" Equity")</f>
        <v/>
      </c>
      <c r="D88" s="6">
        <f>IF($C88="","",BDP($C88,"NAME"))</f>
        <v/>
      </c>
      <c r="E88" s="6">
        <f>IF($C88="","",BDP($C88,"GICS_SECTOR_NAME"))</f>
        <v/>
      </c>
      <c r="F88" s="31">
        <f>IF($C88="","",BDP($C88,'Field Check'!$C$8))</f>
        <v/>
      </c>
      <c r="G88" s="74">
        <f>IFERROR(IF(LEN($F88)&lt;&gt;3,1,IF($F88="HKD",1,BDP(IF($F88="CNY",Summary!$C$14,$F88)&amp;"HKD Curncy","PX_LAST"))),1)</f>
        <v/>
      </c>
      <c r="H88" s="54">
        <f>IF($C88="","",BDP($C88,'Field Check'!$C$9))</f>
        <v/>
      </c>
      <c r="I88" s="45">
        <f>IF($C88="","",BDP($C88,'Field Check'!$C$10))</f>
        <v/>
      </c>
      <c r="J88" s="47">
        <f>IF($B88="",0,IF(Summary!$C$13="Y",SUMIFS('Dvd Calendar'!$E$1226:$AR$1226,'Dvd Calendar'!$E$1225:$AR$1225,"&gt;="&amp;DATE(Summary!$C$12,1,1),'Dvd Calendar'!$E$1225:$AR$1225,"&lt;="&amp;MIN(Summary!$C$11,DATE(Summary!$C$12,12,31))),SUMIFS('Dvd Calendar'!$E$1226:$AR$1226,'Dvd Calendar'!$E$1225:$AR$1225,"&gt;="&amp;DATE(Summary!$C$12,1,1),'Dvd Calendar'!$E$1225:$AR$1225,"&lt;="&amp;MIN(Summary!$C$11,DATE(Summary!$C$12,12,31)),'Dvd Calendar'!$E$1230:$AR$1230,"&lt;&gt;"&amp;'Field Check'!$C$25)))</f>
        <v/>
      </c>
      <c r="K88" s="47">
        <f>IF($B88="",0,IF(Summary!$C$13="Y",SUMIFS('Dvd Calendar'!$E$1233:$AR$1233,'Dvd Calendar'!$E$1232:$AR$1232,"&gt;"&amp;MAX(Summary!$C$11,DATE(Summary!$C$12,1,1)-1),'Dvd Calendar'!$E$1232:$AR$1232,"&lt;="&amp;DATE(Summary!$C$12,12,31)),SUMIFS('Dvd Calendar'!$E$1233:$AR$1233,'Dvd Calendar'!$E$1232:$AR$1232,"&gt;"&amp;MAX(Summary!$C$11,DATE(Summary!$C$12,1,1)-1),'Dvd Calendar'!$E$1232:$AR$1232,"&lt;="&amp;DATE(Summary!$C$12,12,31),'Dvd Calendar'!$E$1237:$AR$1237,"&lt;&gt;"&amp;'Field Check'!$C$25)))</f>
        <v/>
      </c>
      <c r="L88" s="47">
        <f>IF($B88="",0,IF((Override!$C$4="ON")*ISNUMBER(Override!$G$94)&gt;0,Override!$G$94,$K88))</f>
        <v/>
      </c>
      <c r="M88" s="47">
        <f>IF($B88="",0,IF((Override!$C$4="ON")*ISNUMBER(Override!$H$94)&gt;0,Override!$H$94,$L88))</f>
        <v/>
      </c>
      <c r="N88" s="47">
        <f>IF($B88="",0,IF((Override!$C$4="ON")*ISNUMBER(Override!$I$94)&gt;0,Override!$I$94,$L88))</f>
        <v/>
      </c>
      <c r="O88" s="54">
        <f>IF($B88="","",IFERROR($B88*$G88*$J88/$B$3,""))</f>
        <v/>
      </c>
      <c r="P88" s="54">
        <f>IF($B88="","",IFERROR($B88*$G88*$L88/$B$3,""))</f>
        <v/>
      </c>
      <c r="Q88" s="38">
        <f>IF($B88="","",IFERROR($O88+$P88,""))</f>
        <v/>
      </c>
      <c r="R88" s="54">
        <f>IF($B88="","",IFERROR($O88+$B88*$G88*$M88/$B$3,""))</f>
        <v/>
      </c>
      <c r="S88" s="54">
        <f>IF($B88="","",IFERROR($O88+$B88*$G88*$N88/$B$3,""))</f>
        <v/>
      </c>
      <c r="T88" s="63">
        <f>IF($B88="","",IFERROR($Q88/$Q$5,""))</f>
        <v/>
      </c>
      <c r="U88" s="2">
        <f>IF($B88="","",IF(COUNTIFS('Dvd Calendar'!$E$1231:$AR$1231,"&gt;0",'Dvd Calendar'!$E$1232:$AR$1232,"&gt;"&amp;MAX(Summary!$C$11,DATE(Summary!$C$12,1,1)-1),'Dvd Calendar'!$E$1232:$AR$1232,"&lt;="&amp;DATE(Summary!$C$12,12,31))-COUNTIFS('Dvd Calendar'!$E$1231:$AR$1231,"&gt;0",'Dvd Calendar'!$E$1232:$AR$1232,"&gt;"&amp;MAX(Summary!$C$11,DATE(Summary!$C$12,1,1)-1),'Dvd Calendar'!$E$1232:$AR$1232,"&lt;="&amp;DATE(Summary!$C$12,12,31),'Dvd Calendar'!$E$1233:$AR$1233,"&gt;=0")&gt;0,"TBA amount - override me",IF((Override!$C$4="ON")*ISNUMBER(Override!$G$94)&gt;0,"overridden",IF($J88+$K88=0,"no dividend in year Y",""))))</f>
        <v/>
      </c>
      <c r="V88" s="54">
        <f>IF($B88="","",IFERROR(IF(ISNUMBER($H88),$B88*$G88*$H88/$B$3,0),""))</f>
        <v/>
      </c>
      <c r="W88" s="54">
        <f>IF($B88="","",IFERROR($B88*$G88*$K88/$B$3,""))</f>
        <v/>
      </c>
    </row>
    <row r="89">
      <c r="B89" s="73" t="n"/>
      <c r="C89" s="6">
        <f>IF($A89="","",$A89&amp;" Equity")</f>
        <v/>
      </c>
      <c r="D89" s="6">
        <f>IF($C89="","",BDP($C89,"NAME"))</f>
        <v/>
      </c>
      <c r="E89" s="6">
        <f>IF($C89="","",BDP($C89,"GICS_SECTOR_NAME"))</f>
        <v/>
      </c>
      <c r="F89" s="31">
        <f>IF($C89="","",BDP($C89,'Field Check'!$C$8))</f>
        <v/>
      </c>
      <c r="G89" s="74">
        <f>IFERROR(IF(LEN($F89)&lt;&gt;3,1,IF($F89="HKD",1,BDP(IF($F89="CNY",Summary!$C$14,$F89)&amp;"HKD Curncy","PX_LAST"))),1)</f>
        <v/>
      </c>
      <c r="H89" s="54">
        <f>IF($C89="","",BDP($C89,'Field Check'!$C$9))</f>
        <v/>
      </c>
      <c r="I89" s="45">
        <f>IF($C89="","",BDP($C89,'Field Check'!$C$10))</f>
        <v/>
      </c>
      <c r="J89" s="47">
        <f>IF($B89="",0,IF(Summary!$C$13="Y",SUMIFS('Dvd Calendar'!$E$1241:$AR$1241,'Dvd Calendar'!$E$1240:$AR$1240,"&gt;="&amp;DATE(Summary!$C$12,1,1),'Dvd Calendar'!$E$1240:$AR$1240,"&lt;="&amp;MIN(Summary!$C$11,DATE(Summary!$C$12,12,31))),SUMIFS('Dvd Calendar'!$E$1241:$AR$1241,'Dvd Calendar'!$E$1240:$AR$1240,"&gt;="&amp;DATE(Summary!$C$12,1,1),'Dvd Calendar'!$E$1240:$AR$1240,"&lt;="&amp;MIN(Summary!$C$11,DATE(Summary!$C$12,12,31)),'Dvd Calendar'!$E$1245:$AR$1245,"&lt;&gt;"&amp;'Field Check'!$C$25)))</f>
        <v/>
      </c>
      <c r="K89" s="47">
        <f>IF($B89="",0,IF(Summary!$C$13="Y",SUMIFS('Dvd Calendar'!$E$1248:$AR$1248,'Dvd Calendar'!$E$1247:$AR$1247,"&gt;"&amp;MAX(Summary!$C$11,DATE(Summary!$C$12,1,1)-1),'Dvd Calendar'!$E$1247:$AR$1247,"&lt;="&amp;DATE(Summary!$C$12,12,31)),SUMIFS('Dvd Calendar'!$E$1248:$AR$1248,'Dvd Calendar'!$E$1247:$AR$1247,"&gt;"&amp;MAX(Summary!$C$11,DATE(Summary!$C$12,1,1)-1),'Dvd Calendar'!$E$1247:$AR$1247,"&lt;="&amp;DATE(Summary!$C$12,12,31),'Dvd Calendar'!$E$1252:$AR$1252,"&lt;&gt;"&amp;'Field Check'!$C$25)))</f>
        <v/>
      </c>
      <c r="L89" s="47">
        <f>IF($B89="",0,IF((Override!$C$4="ON")*ISNUMBER(Override!$G$95)&gt;0,Override!$G$95,$K89))</f>
        <v/>
      </c>
      <c r="M89" s="47">
        <f>IF($B89="",0,IF((Override!$C$4="ON")*ISNUMBER(Override!$H$95)&gt;0,Override!$H$95,$L89))</f>
        <v/>
      </c>
      <c r="N89" s="47">
        <f>IF($B89="",0,IF((Override!$C$4="ON")*ISNUMBER(Override!$I$95)&gt;0,Override!$I$95,$L89))</f>
        <v/>
      </c>
      <c r="O89" s="54">
        <f>IF($B89="","",IFERROR($B89*$G89*$J89/$B$3,""))</f>
        <v/>
      </c>
      <c r="P89" s="54">
        <f>IF($B89="","",IFERROR($B89*$G89*$L89/$B$3,""))</f>
        <v/>
      </c>
      <c r="Q89" s="38">
        <f>IF($B89="","",IFERROR($O89+$P89,""))</f>
        <v/>
      </c>
      <c r="R89" s="54">
        <f>IF($B89="","",IFERROR($O89+$B89*$G89*$M89/$B$3,""))</f>
        <v/>
      </c>
      <c r="S89" s="54">
        <f>IF($B89="","",IFERROR($O89+$B89*$G89*$N89/$B$3,""))</f>
        <v/>
      </c>
      <c r="T89" s="63">
        <f>IF($B89="","",IFERROR($Q89/$Q$5,""))</f>
        <v/>
      </c>
      <c r="U89" s="2">
        <f>IF($B89="","",IF(COUNTIFS('Dvd Calendar'!$E$1246:$AR$1246,"&gt;0",'Dvd Calendar'!$E$1247:$AR$1247,"&gt;"&amp;MAX(Summary!$C$11,DATE(Summary!$C$12,1,1)-1),'Dvd Calendar'!$E$1247:$AR$1247,"&lt;="&amp;DATE(Summary!$C$12,12,31))-COUNTIFS('Dvd Calendar'!$E$1246:$AR$1246,"&gt;0",'Dvd Calendar'!$E$1247:$AR$1247,"&gt;"&amp;MAX(Summary!$C$11,DATE(Summary!$C$12,1,1)-1),'Dvd Calendar'!$E$1247:$AR$1247,"&lt;="&amp;DATE(Summary!$C$12,12,31),'Dvd Calendar'!$E$1248:$AR$1248,"&gt;=0")&gt;0,"TBA amount - override me",IF((Override!$C$4="ON")*ISNUMBER(Override!$G$95)&gt;0,"overridden",IF($J89+$K89=0,"no dividend in year Y",""))))</f>
        <v/>
      </c>
      <c r="V89" s="54">
        <f>IF($B89="","",IFERROR(IF(ISNUMBER($H89),$B89*$G89*$H89/$B$3,0),""))</f>
        <v/>
      </c>
      <c r="W89" s="54">
        <f>IF($B89="","",IFERROR($B89*$G89*$K89/$B$3,""))</f>
        <v/>
      </c>
    </row>
    <row r="90">
      <c r="B90" s="73" t="n"/>
      <c r="C90" s="6">
        <f>IF($A90="","",$A90&amp;" Equity")</f>
        <v/>
      </c>
      <c r="D90" s="6">
        <f>IF($C90="","",BDP($C90,"NAME"))</f>
        <v/>
      </c>
      <c r="E90" s="6">
        <f>IF($C90="","",BDP($C90,"GICS_SECTOR_NAME"))</f>
        <v/>
      </c>
      <c r="F90" s="31">
        <f>IF($C90="","",BDP($C90,'Field Check'!$C$8))</f>
        <v/>
      </c>
      <c r="G90" s="74">
        <f>IFERROR(IF(LEN($F90)&lt;&gt;3,1,IF($F90="HKD",1,BDP(IF($F90="CNY",Summary!$C$14,$F90)&amp;"HKD Curncy","PX_LAST"))),1)</f>
        <v/>
      </c>
      <c r="H90" s="54">
        <f>IF($C90="","",BDP($C90,'Field Check'!$C$9))</f>
        <v/>
      </c>
      <c r="I90" s="45">
        <f>IF($C90="","",BDP($C90,'Field Check'!$C$10))</f>
        <v/>
      </c>
      <c r="J90" s="47">
        <f>IF($B90="",0,IF(Summary!$C$13="Y",SUMIFS('Dvd Calendar'!$E$1256:$AR$1256,'Dvd Calendar'!$E$1255:$AR$1255,"&gt;="&amp;DATE(Summary!$C$12,1,1),'Dvd Calendar'!$E$1255:$AR$1255,"&lt;="&amp;MIN(Summary!$C$11,DATE(Summary!$C$12,12,31))),SUMIFS('Dvd Calendar'!$E$1256:$AR$1256,'Dvd Calendar'!$E$1255:$AR$1255,"&gt;="&amp;DATE(Summary!$C$12,1,1),'Dvd Calendar'!$E$1255:$AR$1255,"&lt;="&amp;MIN(Summary!$C$11,DATE(Summary!$C$12,12,31)),'Dvd Calendar'!$E$1260:$AR$1260,"&lt;&gt;"&amp;'Field Check'!$C$25)))</f>
        <v/>
      </c>
      <c r="K90" s="47">
        <f>IF($B90="",0,IF(Summary!$C$13="Y",SUMIFS('Dvd Calendar'!$E$1263:$AR$1263,'Dvd Calendar'!$E$1262:$AR$1262,"&gt;"&amp;MAX(Summary!$C$11,DATE(Summary!$C$12,1,1)-1),'Dvd Calendar'!$E$1262:$AR$1262,"&lt;="&amp;DATE(Summary!$C$12,12,31)),SUMIFS('Dvd Calendar'!$E$1263:$AR$1263,'Dvd Calendar'!$E$1262:$AR$1262,"&gt;"&amp;MAX(Summary!$C$11,DATE(Summary!$C$12,1,1)-1),'Dvd Calendar'!$E$1262:$AR$1262,"&lt;="&amp;DATE(Summary!$C$12,12,31),'Dvd Calendar'!$E$1267:$AR$1267,"&lt;&gt;"&amp;'Field Check'!$C$25)))</f>
        <v/>
      </c>
      <c r="L90" s="47">
        <f>IF($B90="",0,IF((Override!$C$4="ON")*ISNUMBER(Override!$G$96)&gt;0,Override!$G$96,$K90))</f>
        <v/>
      </c>
      <c r="M90" s="47">
        <f>IF($B90="",0,IF((Override!$C$4="ON")*ISNUMBER(Override!$H$96)&gt;0,Override!$H$96,$L90))</f>
        <v/>
      </c>
      <c r="N90" s="47">
        <f>IF($B90="",0,IF((Override!$C$4="ON")*ISNUMBER(Override!$I$96)&gt;0,Override!$I$96,$L90))</f>
        <v/>
      </c>
      <c r="O90" s="54">
        <f>IF($B90="","",IFERROR($B90*$G90*$J90/$B$3,""))</f>
        <v/>
      </c>
      <c r="P90" s="54">
        <f>IF($B90="","",IFERROR($B90*$G90*$L90/$B$3,""))</f>
        <v/>
      </c>
      <c r="Q90" s="38">
        <f>IF($B90="","",IFERROR($O90+$P90,""))</f>
        <v/>
      </c>
      <c r="R90" s="54">
        <f>IF($B90="","",IFERROR($O90+$B90*$G90*$M90/$B$3,""))</f>
        <v/>
      </c>
      <c r="S90" s="54">
        <f>IF($B90="","",IFERROR($O90+$B90*$G90*$N90/$B$3,""))</f>
        <v/>
      </c>
      <c r="T90" s="63">
        <f>IF($B90="","",IFERROR($Q90/$Q$5,""))</f>
        <v/>
      </c>
      <c r="U90" s="2">
        <f>IF($B90="","",IF(COUNTIFS('Dvd Calendar'!$E$1261:$AR$1261,"&gt;0",'Dvd Calendar'!$E$1262:$AR$1262,"&gt;"&amp;MAX(Summary!$C$11,DATE(Summary!$C$12,1,1)-1),'Dvd Calendar'!$E$1262:$AR$1262,"&lt;="&amp;DATE(Summary!$C$12,12,31))-COUNTIFS('Dvd Calendar'!$E$1261:$AR$1261,"&gt;0",'Dvd Calendar'!$E$1262:$AR$1262,"&gt;"&amp;MAX(Summary!$C$11,DATE(Summary!$C$12,1,1)-1),'Dvd Calendar'!$E$1262:$AR$1262,"&lt;="&amp;DATE(Summary!$C$12,12,31),'Dvd Calendar'!$E$1263:$AR$1263,"&gt;=0")&gt;0,"TBA amount - override me",IF((Override!$C$4="ON")*ISNUMBER(Override!$G$96)&gt;0,"overridden",IF($J90+$K90=0,"no dividend in year Y",""))))</f>
        <v/>
      </c>
      <c r="V90" s="54">
        <f>IF($B90="","",IFERROR(IF(ISNUMBER($H90),$B90*$G90*$H90/$B$3,0),""))</f>
        <v/>
      </c>
      <c r="W90" s="54">
        <f>IF($B90="","",IFERROR($B90*$G90*$K90/$B$3,""))</f>
        <v/>
      </c>
    </row>
    <row r="91">
      <c r="B91" s="73" t="n"/>
      <c r="C91" s="6">
        <f>IF($A91="","",$A91&amp;" Equity")</f>
        <v/>
      </c>
      <c r="D91" s="6">
        <f>IF($C91="","",BDP($C91,"NAME"))</f>
        <v/>
      </c>
      <c r="E91" s="6">
        <f>IF($C91="","",BDP($C91,"GICS_SECTOR_NAME"))</f>
        <v/>
      </c>
      <c r="F91" s="31">
        <f>IF($C91="","",BDP($C91,'Field Check'!$C$8))</f>
        <v/>
      </c>
      <c r="G91" s="74">
        <f>IFERROR(IF(LEN($F91)&lt;&gt;3,1,IF($F91="HKD",1,BDP(IF($F91="CNY",Summary!$C$14,$F91)&amp;"HKD Curncy","PX_LAST"))),1)</f>
        <v/>
      </c>
      <c r="H91" s="54">
        <f>IF($C91="","",BDP($C91,'Field Check'!$C$9))</f>
        <v/>
      </c>
      <c r="I91" s="45">
        <f>IF($C91="","",BDP($C91,'Field Check'!$C$10))</f>
        <v/>
      </c>
      <c r="J91" s="47">
        <f>IF($B91="",0,IF(Summary!$C$13="Y",SUMIFS('Dvd Calendar'!$E$1271:$AR$1271,'Dvd Calendar'!$E$1270:$AR$1270,"&gt;="&amp;DATE(Summary!$C$12,1,1),'Dvd Calendar'!$E$1270:$AR$1270,"&lt;="&amp;MIN(Summary!$C$11,DATE(Summary!$C$12,12,31))),SUMIFS('Dvd Calendar'!$E$1271:$AR$1271,'Dvd Calendar'!$E$1270:$AR$1270,"&gt;="&amp;DATE(Summary!$C$12,1,1),'Dvd Calendar'!$E$1270:$AR$1270,"&lt;="&amp;MIN(Summary!$C$11,DATE(Summary!$C$12,12,31)),'Dvd Calendar'!$E$1275:$AR$1275,"&lt;&gt;"&amp;'Field Check'!$C$25)))</f>
        <v/>
      </c>
      <c r="K91" s="47">
        <f>IF($B91="",0,IF(Summary!$C$13="Y",SUMIFS('Dvd Calendar'!$E$1278:$AR$1278,'Dvd Calendar'!$E$1277:$AR$1277,"&gt;"&amp;MAX(Summary!$C$11,DATE(Summary!$C$12,1,1)-1),'Dvd Calendar'!$E$1277:$AR$1277,"&lt;="&amp;DATE(Summary!$C$12,12,31)),SUMIFS('Dvd Calendar'!$E$1278:$AR$1278,'Dvd Calendar'!$E$1277:$AR$1277,"&gt;"&amp;MAX(Summary!$C$11,DATE(Summary!$C$12,1,1)-1),'Dvd Calendar'!$E$1277:$AR$1277,"&lt;="&amp;DATE(Summary!$C$12,12,31),'Dvd Calendar'!$E$1282:$AR$1282,"&lt;&gt;"&amp;'Field Check'!$C$25)))</f>
        <v/>
      </c>
      <c r="L91" s="47">
        <f>IF($B91="",0,IF((Override!$C$4="ON")*ISNUMBER(Override!$G$97)&gt;0,Override!$G$97,$K91))</f>
        <v/>
      </c>
      <c r="M91" s="47">
        <f>IF($B91="",0,IF((Override!$C$4="ON")*ISNUMBER(Override!$H$97)&gt;0,Override!$H$97,$L91))</f>
        <v/>
      </c>
      <c r="N91" s="47">
        <f>IF($B91="",0,IF((Override!$C$4="ON")*ISNUMBER(Override!$I$97)&gt;0,Override!$I$97,$L91))</f>
        <v/>
      </c>
      <c r="O91" s="54">
        <f>IF($B91="","",IFERROR($B91*$G91*$J91/$B$3,""))</f>
        <v/>
      </c>
      <c r="P91" s="54">
        <f>IF($B91="","",IFERROR($B91*$G91*$L91/$B$3,""))</f>
        <v/>
      </c>
      <c r="Q91" s="38">
        <f>IF($B91="","",IFERROR($O91+$P91,""))</f>
        <v/>
      </c>
      <c r="R91" s="54">
        <f>IF($B91="","",IFERROR($O91+$B91*$G91*$M91/$B$3,""))</f>
        <v/>
      </c>
      <c r="S91" s="54">
        <f>IF($B91="","",IFERROR($O91+$B91*$G91*$N91/$B$3,""))</f>
        <v/>
      </c>
      <c r="T91" s="63">
        <f>IF($B91="","",IFERROR($Q91/$Q$5,""))</f>
        <v/>
      </c>
      <c r="U91" s="2">
        <f>IF($B91="","",IF(COUNTIFS('Dvd Calendar'!$E$1276:$AR$1276,"&gt;0",'Dvd Calendar'!$E$1277:$AR$1277,"&gt;"&amp;MAX(Summary!$C$11,DATE(Summary!$C$12,1,1)-1),'Dvd Calendar'!$E$1277:$AR$1277,"&lt;="&amp;DATE(Summary!$C$12,12,31))-COUNTIFS('Dvd Calendar'!$E$1276:$AR$1276,"&gt;0",'Dvd Calendar'!$E$1277:$AR$1277,"&gt;"&amp;MAX(Summary!$C$11,DATE(Summary!$C$12,1,1)-1),'Dvd Calendar'!$E$1277:$AR$1277,"&lt;="&amp;DATE(Summary!$C$12,12,31),'Dvd Calendar'!$E$1278:$AR$1278,"&gt;=0")&gt;0,"TBA amount - override me",IF((Override!$C$4="ON")*ISNUMBER(Override!$G$97)&gt;0,"overridden",IF($J91+$K91=0,"no dividend in year Y",""))))</f>
        <v/>
      </c>
      <c r="V91" s="54">
        <f>IF($B91="","",IFERROR(IF(ISNUMBER($H91),$B91*$G91*$H91/$B$3,0),""))</f>
        <v/>
      </c>
      <c r="W91" s="54">
        <f>IF($B91="","",IFERROR($B91*$G91*$K91/$B$3,""))</f>
        <v/>
      </c>
    </row>
    <row r="92">
      <c r="B92" s="73" t="n"/>
      <c r="C92" s="6">
        <f>IF($A92="","",$A92&amp;" Equity")</f>
        <v/>
      </c>
      <c r="D92" s="6">
        <f>IF($C92="","",BDP($C92,"NAME"))</f>
        <v/>
      </c>
      <c r="E92" s="6">
        <f>IF($C92="","",BDP($C92,"GICS_SECTOR_NAME"))</f>
        <v/>
      </c>
      <c r="F92" s="31">
        <f>IF($C92="","",BDP($C92,'Field Check'!$C$8))</f>
        <v/>
      </c>
      <c r="G92" s="74">
        <f>IFERROR(IF(LEN($F92)&lt;&gt;3,1,IF($F92="HKD",1,BDP(IF($F92="CNY",Summary!$C$14,$F92)&amp;"HKD Curncy","PX_LAST"))),1)</f>
        <v/>
      </c>
      <c r="H92" s="54">
        <f>IF($C92="","",BDP($C92,'Field Check'!$C$9))</f>
        <v/>
      </c>
      <c r="I92" s="45">
        <f>IF($C92="","",BDP($C92,'Field Check'!$C$10))</f>
        <v/>
      </c>
      <c r="J92" s="47">
        <f>IF($B92="",0,IF(Summary!$C$13="Y",SUMIFS('Dvd Calendar'!$E$1286:$AR$1286,'Dvd Calendar'!$E$1285:$AR$1285,"&gt;="&amp;DATE(Summary!$C$12,1,1),'Dvd Calendar'!$E$1285:$AR$1285,"&lt;="&amp;MIN(Summary!$C$11,DATE(Summary!$C$12,12,31))),SUMIFS('Dvd Calendar'!$E$1286:$AR$1286,'Dvd Calendar'!$E$1285:$AR$1285,"&gt;="&amp;DATE(Summary!$C$12,1,1),'Dvd Calendar'!$E$1285:$AR$1285,"&lt;="&amp;MIN(Summary!$C$11,DATE(Summary!$C$12,12,31)),'Dvd Calendar'!$E$1290:$AR$1290,"&lt;&gt;"&amp;'Field Check'!$C$25)))</f>
        <v/>
      </c>
      <c r="K92" s="47">
        <f>IF($B92="",0,IF(Summary!$C$13="Y",SUMIFS('Dvd Calendar'!$E$1293:$AR$1293,'Dvd Calendar'!$E$1292:$AR$1292,"&gt;"&amp;MAX(Summary!$C$11,DATE(Summary!$C$12,1,1)-1),'Dvd Calendar'!$E$1292:$AR$1292,"&lt;="&amp;DATE(Summary!$C$12,12,31)),SUMIFS('Dvd Calendar'!$E$1293:$AR$1293,'Dvd Calendar'!$E$1292:$AR$1292,"&gt;"&amp;MAX(Summary!$C$11,DATE(Summary!$C$12,1,1)-1),'Dvd Calendar'!$E$1292:$AR$1292,"&lt;="&amp;DATE(Summary!$C$12,12,31),'Dvd Calendar'!$E$1297:$AR$1297,"&lt;&gt;"&amp;'Field Check'!$C$25)))</f>
        <v/>
      </c>
      <c r="L92" s="47">
        <f>IF($B92="",0,IF((Override!$C$4="ON")*ISNUMBER(Override!$G$98)&gt;0,Override!$G$98,$K92))</f>
        <v/>
      </c>
      <c r="M92" s="47">
        <f>IF($B92="",0,IF((Override!$C$4="ON")*ISNUMBER(Override!$H$98)&gt;0,Override!$H$98,$L92))</f>
        <v/>
      </c>
      <c r="N92" s="47">
        <f>IF($B92="",0,IF((Override!$C$4="ON")*ISNUMBER(Override!$I$98)&gt;0,Override!$I$98,$L92))</f>
        <v/>
      </c>
      <c r="O92" s="54">
        <f>IF($B92="","",IFERROR($B92*$G92*$J92/$B$3,""))</f>
        <v/>
      </c>
      <c r="P92" s="54">
        <f>IF($B92="","",IFERROR($B92*$G92*$L92/$B$3,""))</f>
        <v/>
      </c>
      <c r="Q92" s="38">
        <f>IF($B92="","",IFERROR($O92+$P92,""))</f>
        <v/>
      </c>
      <c r="R92" s="54">
        <f>IF($B92="","",IFERROR($O92+$B92*$G92*$M92/$B$3,""))</f>
        <v/>
      </c>
      <c r="S92" s="54">
        <f>IF($B92="","",IFERROR($O92+$B92*$G92*$N92/$B$3,""))</f>
        <v/>
      </c>
      <c r="T92" s="63">
        <f>IF($B92="","",IFERROR($Q92/$Q$5,""))</f>
        <v/>
      </c>
      <c r="U92" s="2">
        <f>IF($B92="","",IF(COUNTIFS('Dvd Calendar'!$E$1291:$AR$1291,"&gt;0",'Dvd Calendar'!$E$1292:$AR$1292,"&gt;"&amp;MAX(Summary!$C$11,DATE(Summary!$C$12,1,1)-1),'Dvd Calendar'!$E$1292:$AR$1292,"&lt;="&amp;DATE(Summary!$C$12,12,31))-COUNTIFS('Dvd Calendar'!$E$1291:$AR$1291,"&gt;0",'Dvd Calendar'!$E$1292:$AR$1292,"&gt;"&amp;MAX(Summary!$C$11,DATE(Summary!$C$12,1,1)-1),'Dvd Calendar'!$E$1292:$AR$1292,"&lt;="&amp;DATE(Summary!$C$12,12,31),'Dvd Calendar'!$E$1293:$AR$1293,"&gt;=0")&gt;0,"TBA amount - override me",IF((Override!$C$4="ON")*ISNUMBER(Override!$G$98)&gt;0,"overridden",IF($J92+$K92=0,"no dividend in year Y",""))))</f>
        <v/>
      </c>
      <c r="V92" s="54">
        <f>IF($B92="","",IFERROR(IF(ISNUMBER($H92),$B92*$G92*$H92/$B$3,0),""))</f>
        <v/>
      </c>
      <c r="W92" s="54">
        <f>IF($B92="","",IFERROR($B92*$G92*$K92/$B$3,""))</f>
        <v/>
      </c>
    </row>
    <row r="93">
      <c r="B93" s="73" t="n"/>
      <c r="C93" s="6">
        <f>IF($A93="","",$A93&amp;" Equity")</f>
        <v/>
      </c>
      <c r="D93" s="6">
        <f>IF($C93="","",BDP($C93,"NAME"))</f>
        <v/>
      </c>
      <c r="E93" s="6">
        <f>IF($C93="","",BDP($C93,"GICS_SECTOR_NAME"))</f>
        <v/>
      </c>
      <c r="F93" s="31">
        <f>IF($C93="","",BDP($C93,'Field Check'!$C$8))</f>
        <v/>
      </c>
      <c r="G93" s="74">
        <f>IFERROR(IF(LEN($F93)&lt;&gt;3,1,IF($F93="HKD",1,BDP(IF($F93="CNY",Summary!$C$14,$F93)&amp;"HKD Curncy","PX_LAST"))),1)</f>
        <v/>
      </c>
      <c r="H93" s="54">
        <f>IF($C93="","",BDP($C93,'Field Check'!$C$9))</f>
        <v/>
      </c>
      <c r="I93" s="45">
        <f>IF($C93="","",BDP($C93,'Field Check'!$C$10))</f>
        <v/>
      </c>
      <c r="J93" s="47">
        <f>IF($B93="",0,IF(Summary!$C$13="Y",SUMIFS('Dvd Calendar'!$E$1301:$AR$1301,'Dvd Calendar'!$E$1300:$AR$1300,"&gt;="&amp;DATE(Summary!$C$12,1,1),'Dvd Calendar'!$E$1300:$AR$1300,"&lt;="&amp;MIN(Summary!$C$11,DATE(Summary!$C$12,12,31))),SUMIFS('Dvd Calendar'!$E$1301:$AR$1301,'Dvd Calendar'!$E$1300:$AR$1300,"&gt;="&amp;DATE(Summary!$C$12,1,1),'Dvd Calendar'!$E$1300:$AR$1300,"&lt;="&amp;MIN(Summary!$C$11,DATE(Summary!$C$12,12,31)),'Dvd Calendar'!$E$1305:$AR$1305,"&lt;&gt;"&amp;'Field Check'!$C$25)))</f>
        <v/>
      </c>
      <c r="K93" s="47">
        <f>IF($B93="",0,IF(Summary!$C$13="Y",SUMIFS('Dvd Calendar'!$E$1308:$AR$1308,'Dvd Calendar'!$E$1307:$AR$1307,"&gt;"&amp;MAX(Summary!$C$11,DATE(Summary!$C$12,1,1)-1),'Dvd Calendar'!$E$1307:$AR$1307,"&lt;="&amp;DATE(Summary!$C$12,12,31)),SUMIFS('Dvd Calendar'!$E$1308:$AR$1308,'Dvd Calendar'!$E$1307:$AR$1307,"&gt;"&amp;MAX(Summary!$C$11,DATE(Summary!$C$12,1,1)-1),'Dvd Calendar'!$E$1307:$AR$1307,"&lt;="&amp;DATE(Summary!$C$12,12,31),'Dvd Calendar'!$E$1312:$AR$1312,"&lt;&gt;"&amp;'Field Check'!$C$25)))</f>
        <v/>
      </c>
      <c r="L93" s="47">
        <f>IF($B93="",0,IF((Override!$C$4="ON")*ISNUMBER(Override!$G$99)&gt;0,Override!$G$99,$K93))</f>
        <v/>
      </c>
      <c r="M93" s="47">
        <f>IF($B93="",0,IF((Override!$C$4="ON")*ISNUMBER(Override!$H$99)&gt;0,Override!$H$99,$L93))</f>
        <v/>
      </c>
      <c r="N93" s="47">
        <f>IF($B93="",0,IF((Override!$C$4="ON")*ISNUMBER(Override!$I$99)&gt;0,Override!$I$99,$L93))</f>
        <v/>
      </c>
      <c r="O93" s="54">
        <f>IF($B93="","",IFERROR($B93*$G93*$J93/$B$3,""))</f>
        <v/>
      </c>
      <c r="P93" s="54">
        <f>IF($B93="","",IFERROR($B93*$G93*$L93/$B$3,""))</f>
        <v/>
      </c>
      <c r="Q93" s="38">
        <f>IF($B93="","",IFERROR($O93+$P93,""))</f>
        <v/>
      </c>
      <c r="R93" s="54">
        <f>IF($B93="","",IFERROR($O93+$B93*$G93*$M93/$B$3,""))</f>
        <v/>
      </c>
      <c r="S93" s="54">
        <f>IF($B93="","",IFERROR($O93+$B93*$G93*$N93/$B$3,""))</f>
        <v/>
      </c>
      <c r="T93" s="63">
        <f>IF($B93="","",IFERROR($Q93/$Q$5,""))</f>
        <v/>
      </c>
      <c r="U93" s="2">
        <f>IF($B93="","",IF(COUNTIFS('Dvd Calendar'!$E$1306:$AR$1306,"&gt;0",'Dvd Calendar'!$E$1307:$AR$1307,"&gt;"&amp;MAX(Summary!$C$11,DATE(Summary!$C$12,1,1)-1),'Dvd Calendar'!$E$1307:$AR$1307,"&lt;="&amp;DATE(Summary!$C$12,12,31))-COUNTIFS('Dvd Calendar'!$E$1306:$AR$1306,"&gt;0",'Dvd Calendar'!$E$1307:$AR$1307,"&gt;"&amp;MAX(Summary!$C$11,DATE(Summary!$C$12,1,1)-1),'Dvd Calendar'!$E$1307:$AR$1307,"&lt;="&amp;DATE(Summary!$C$12,12,31),'Dvd Calendar'!$E$1308:$AR$1308,"&gt;=0")&gt;0,"TBA amount - override me",IF((Override!$C$4="ON")*ISNUMBER(Override!$G$99)&gt;0,"overridden",IF($J93+$K93=0,"no dividend in year Y",""))))</f>
        <v/>
      </c>
      <c r="V93" s="54">
        <f>IF($B93="","",IFERROR(IF(ISNUMBER($H93),$B93*$G93*$H93/$B$3,0),""))</f>
        <v/>
      </c>
      <c r="W93" s="54">
        <f>IF($B93="","",IFERROR($B93*$G93*$K93/$B$3,""))</f>
        <v/>
      </c>
    </row>
    <row r="94">
      <c r="B94" s="73" t="n"/>
      <c r="C94" s="6">
        <f>IF($A94="","",$A94&amp;" Equity")</f>
        <v/>
      </c>
      <c r="D94" s="6">
        <f>IF($C94="","",BDP($C94,"NAME"))</f>
        <v/>
      </c>
      <c r="E94" s="6">
        <f>IF($C94="","",BDP($C94,"GICS_SECTOR_NAME"))</f>
        <v/>
      </c>
      <c r="F94" s="31">
        <f>IF($C94="","",BDP($C94,'Field Check'!$C$8))</f>
        <v/>
      </c>
      <c r="G94" s="74">
        <f>IFERROR(IF(LEN($F94)&lt;&gt;3,1,IF($F94="HKD",1,BDP(IF($F94="CNY",Summary!$C$14,$F94)&amp;"HKD Curncy","PX_LAST"))),1)</f>
        <v/>
      </c>
      <c r="H94" s="54">
        <f>IF($C94="","",BDP($C94,'Field Check'!$C$9))</f>
        <v/>
      </c>
      <c r="I94" s="45">
        <f>IF($C94="","",BDP($C94,'Field Check'!$C$10))</f>
        <v/>
      </c>
      <c r="J94" s="47">
        <f>IF($B94="",0,IF(Summary!$C$13="Y",SUMIFS('Dvd Calendar'!$E$1316:$AR$1316,'Dvd Calendar'!$E$1315:$AR$1315,"&gt;="&amp;DATE(Summary!$C$12,1,1),'Dvd Calendar'!$E$1315:$AR$1315,"&lt;="&amp;MIN(Summary!$C$11,DATE(Summary!$C$12,12,31))),SUMIFS('Dvd Calendar'!$E$1316:$AR$1316,'Dvd Calendar'!$E$1315:$AR$1315,"&gt;="&amp;DATE(Summary!$C$12,1,1),'Dvd Calendar'!$E$1315:$AR$1315,"&lt;="&amp;MIN(Summary!$C$11,DATE(Summary!$C$12,12,31)),'Dvd Calendar'!$E$1320:$AR$1320,"&lt;&gt;"&amp;'Field Check'!$C$25)))</f>
        <v/>
      </c>
      <c r="K94" s="47">
        <f>IF($B94="",0,IF(Summary!$C$13="Y",SUMIFS('Dvd Calendar'!$E$1323:$AR$1323,'Dvd Calendar'!$E$1322:$AR$1322,"&gt;"&amp;MAX(Summary!$C$11,DATE(Summary!$C$12,1,1)-1),'Dvd Calendar'!$E$1322:$AR$1322,"&lt;="&amp;DATE(Summary!$C$12,12,31)),SUMIFS('Dvd Calendar'!$E$1323:$AR$1323,'Dvd Calendar'!$E$1322:$AR$1322,"&gt;"&amp;MAX(Summary!$C$11,DATE(Summary!$C$12,1,1)-1),'Dvd Calendar'!$E$1322:$AR$1322,"&lt;="&amp;DATE(Summary!$C$12,12,31),'Dvd Calendar'!$E$1327:$AR$1327,"&lt;&gt;"&amp;'Field Check'!$C$25)))</f>
        <v/>
      </c>
      <c r="L94" s="47">
        <f>IF($B94="",0,IF((Override!$C$4="ON")*ISNUMBER(Override!$G$100)&gt;0,Override!$G$100,$K94))</f>
        <v/>
      </c>
      <c r="M94" s="47">
        <f>IF($B94="",0,IF((Override!$C$4="ON")*ISNUMBER(Override!$H$100)&gt;0,Override!$H$100,$L94))</f>
        <v/>
      </c>
      <c r="N94" s="47">
        <f>IF($B94="",0,IF((Override!$C$4="ON")*ISNUMBER(Override!$I$100)&gt;0,Override!$I$100,$L94))</f>
        <v/>
      </c>
      <c r="O94" s="54">
        <f>IF($B94="","",IFERROR($B94*$G94*$J94/$B$3,""))</f>
        <v/>
      </c>
      <c r="P94" s="54">
        <f>IF($B94="","",IFERROR($B94*$G94*$L94/$B$3,""))</f>
        <v/>
      </c>
      <c r="Q94" s="38">
        <f>IF($B94="","",IFERROR($O94+$P94,""))</f>
        <v/>
      </c>
      <c r="R94" s="54">
        <f>IF($B94="","",IFERROR($O94+$B94*$G94*$M94/$B$3,""))</f>
        <v/>
      </c>
      <c r="S94" s="54">
        <f>IF($B94="","",IFERROR($O94+$B94*$G94*$N94/$B$3,""))</f>
        <v/>
      </c>
      <c r="T94" s="63">
        <f>IF($B94="","",IFERROR($Q94/$Q$5,""))</f>
        <v/>
      </c>
      <c r="U94" s="2">
        <f>IF($B94="","",IF(COUNTIFS('Dvd Calendar'!$E$1321:$AR$1321,"&gt;0",'Dvd Calendar'!$E$1322:$AR$1322,"&gt;"&amp;MAX(Summary!$C$11,DATE(Summary!$C$12,1,1)-1),'Dvd Calendar'!$E$1322:$AR$1322,"&lt;="&amp;DATE(Summary!$C$12,12,31))-COUNTIFS('Dvd Calendar'!$E$1321:$AR$1321,"&gt;0",'Dvd Calendar'!$E$1322:$AR$1322,"&gt;"&amp;MAX(Summary!$C$11,DATE(Summary!$C$12,1,1)-1),'Dvd Calendar'!$E$1322:$AR$1322,"&lt;="&amp;DATE(Summary!$C$12,12,31),'Dvd Calendar'!$E$1323:$AR$1323,"&gt;=0")&gt;0,"TBA amount - override me",IF((Override!$C$4="ON")*ISNUMBER(Override!$G$100)&gt;0,"overridden",IF($J94+$K94=0,"no dividend in year Y",""))))</f>
        <v/>
      </c>
      <c r="V94" s="54">
        <f>IF($B94="","",IFERROR(IF(ISNUMBER($H94),$B94*$G94*$H94/$B$3,0),""))</f>
        <v/>
      </c>
      <c r="W94" s="54">
        <f>IF($B94="","",IFERROR($B94*$G94*$K94/$B$3,""))</f>
        <v/>
      </c>
    </row>
    <row r="95">
      <c r="B95" s="73" t="n"/>
      <c r="C95" s="6">
        <f>IF($A95="","",$A95&amp;" Equity")</f>
        <v/>
      </c>
      <c r="D95" s="6">
        <f>IF($C95="","",BDP($C95,"NAME"))</f>
        <v/>
      </c>
      <c r="E95" s="6">
        <f>IF($C95="","",BDP($C95,"GICS_SECTOR_NAME"))</f>
        <v/>
      </c>
      <c r="F95" s="31">
        <f>IF($C95="","",BDP($C95,'Field Check'!$C$8))</f>
        <v/>
      </c>
      <c r="G95" s="74">
        <f>IFERROR(IF(LEN($F95)&lt;&gt;3,1,IF($F95="HKD",1,BDP(IF($F95="CNY",Summary!$C$14,$F95)&amp;"HKD Curncy","PX_LAST"))),1)</f>
        <v/>
      </c>
      <c r="H95" s="54">
        <f>IF($C95="","",BDP($C95,'Field Check'!$C$9))</f>
        <v/>
      </c>
      <c r="I95" s="45">
        <f>IF($C95="","",BDP($C95,'Field Check'!$C$10))</f>
        <v/>
      </c>
      <c r="J95" s="47">
        <f>IF($B95="",0,IF(Summary!$C$13="Y",SUMIFS('Dvd Calendar'!$E$1331:$AR$1331,'Dvd Calendar'!$E$1330:$AR$1330,"&gt;="&amp;DATE(Summary!$C$12,1,1),'Dvd Calendar'!$E$1330:$AR$1330,"&lt;="&amp;MIN(Summary!$C$11,DATE(Summary!$C$12,12,31))),SUMIFS('Dvd Calendar'!$E$1331:$AR$1331,'Dvd Calendar'!$E$1330:$AR$1330,"&gt;="&amp;DATE(Summary!$C$12,1,1),'Dvd Calendar'!$E$1330:$AR$1330,"&lt;="&amp;MIN(Summary!$C$11,DATE(Summary!$C$12,12,31)),'Dvd Calendar'!$E$1335:$AR$1335,"&lt;&gt;"&amp;'Field Check'!$C$25)))</f>
        <v/>
      </c>
      <c r="K95" s="47">
        <f>IF($B95="",0,IF(Summary!$C$13="Y",SUMIFS('Dvd Calendar'!$E$1338:$AR$1338,'Dvd Calendar'!$E$1337:$AR$1337,"&gt;"&amp;MAX(Summary!$C$11,DATE(Summary!$C$12,1,1)-1),'Dvd Calendar'!$E$1337:$AR$1337,"&lt;="&amp;DATE(Summary!$C$12,12,31)),SUMIFS('Dvd Calendar'!$E$1338:$AR$1338,'Dvd Calendar'!$E$1337:$AR$1337,"&gt;"&amp;MAX(Summary!$C$11,DATE(Summary!$C$12,1,1)-1),'Dvd Calendar'!$E$1337:$AR$1337,"&lt;="&amp;DATE(Summary!$C$12,12,31),'Dvd Calendar'!$E$1342:$AR$1342,"&lt;&gt;"&amp;'Field Check'!$C$25)))</f>
        <v/>
      </c>
      <c r="L95" s="47">
        <f>IF($B95="",0,IF((Override!$C$4="ON")*ISNUMBER(Override!$G$101)&gt;0,Override!$G$101,$K95))</f>
        <v/>
      </c>
      <c r="M95" s="47">
        <f>IF($B95="",0,IF((Override!$C$4="ON")*ISNUMBER(Override!$H$101)&gt;0,Override!$H$101,$L95))</f>
        <v/>
      </c>
      <c r="N95" s="47">
        <f>IF($B95="",0,IF((Override!$C$4="ON")*ISNUMBER(Override!$I$101)&gt;0,Override!$I$101,$L95))</f>
        <v/>
      </c>
      <c r="O95" s="54">
        <f>IF($B95="","",IFERROR($B95*$G95*$J95/$B$3,""))</f>
        <v/>
      </c>
      <c r="P95" s="54">
        <f>IF($B95="","",IFERROR($B95*$G95*$L95/$B$3,""))</f>
        <v/>
      </c>
      <c r="Q95" s="38">
        <f>IF($B95="","",IFERROR($O95+$P95,""))</f>
        <v/>
      </c>
      <c r="R95" s="54">
        <f>IF($B95="","",IFERROR($O95+$B95*$G95*$M95/$B$3,""))</f>
        <v/>
      </c>
      <c r="S95" s="54">
        <f>IF($B95="","",IFERROR($O95+$B95*$G95*$N95/$B$3,""))</f>
        <v/>
      </c>
      <c r="T95" s="63">
        <f>IF($B95="","",IFERROR($Q95/$Q$5,""))</f>
        <v/>
      </c>
      <c r="U95" s="2">
        <f>IF($B95="","",IF(COUNTIFS('Dvd Calendar'!$E$1336:$AR$1336,"&gt;0",'Dvd Calendar'!$E$1337:$AR$1337,"&gt;"&amp;MAX(Summary!$C$11,DATE(Summary!$C$12,1,1)-1),'Dvd Calendar'!$E$1337:$AR$1337,"&lt;="&amp;DATE(Summary!$C$12,12,31))-COUNTIFS('Dvd Calendar'!$E$1336:$AR$1336,"&gt;0",'Dvd Calendar'!$E$1337:$AR$1337,"&gt;"&amp;MAX(Summary!$C$11,DATE(Summary!$C$12,1,1)-1),'Dvd Calendar'!$E$1337:$AR$1337,"&lt;="&amp;DATE(Summary!$C$12,12,31),'Dvd Calendar'!$E$1338:$AR$1338,"&gt;=0")&gt;0,"TBA amount - override me",IF((Override!$C$4="ON")*ISNUMBER(Override!$G$101)&gt;0,"overridden",IF($J95+$K95=0,"no dividend in year Y",""))))</f>
        <v/>
      </c>
      <c r="V95" s="54">
        <f>IF($B95="","",IFERROR(IF(ISNUMBER($H95),$B95*$G95*$H95/$B$3,0),""))</f>
        <v/>
      </c>
      <c r="W95" s="54">
        <f>IF($B95="","",IFERROR($B95*$G95*$K95/$B$3,""))</f>
        <v/>
      </c>
    </row>
    <row r="96">
      <c r="B96" s="73" t="n"/>
      <c r="C96" s="6">
        <f>IF($A96="","",$A96&amp;" Equity")</f>
        <v/>
      </c>
      <c r="D96" s="6">
        <f>IF($C96="","",BDP($C96,"NAME"))</f>
        <v/>
      </c>
      <c r="E96" s="6">
        <f>IF($C96="","",BDP($C96,"GICS_SECTOR_NAME"))</f>
        <v/>
      </c>
      <c r="F96" s="31">
        <f>IF($C96="","",BDP($C96,'Field Check'!$C$8))</f>
        <v/>
      </c>
      <c r="G96" s="74">
        <f>IFERROR(IF(LEN($F96)&lt;&gt;3,1,IF($F96="HKD",1,BDP(IF($F96="CNY",Summary!$C$14,$F96)&amp;"HKD Curncy","PX_LAST"))),1)</f>
        <v/>
      </c>
      <c r="H96" s="54">
        <f>IF($C96="","",BDP($C96,'Field Check'!$C$9))</f>
        <v/>
      </c>
      <c r="I96" s="45">
        <f>IF($C96="","",BDP($C96,'Field Check'!$C$10))</f>
        <v/>
      </c>
      <c r="J96" s="47">
        <f>IF($B96="",0,IF(Summary!$C$13="Y",SUMIFS('Dvd Calendar'!$E$1346:$AR$1346,'Dvd Calendar'!$E$1345:$AR$1345,"&gt;="&amp;DATE(Summary!$C$12,1,1),'Dvd Calendar'!$E$1345:$AR$1345,"&lt;="&amp;MIN(Summary!$C$11,DATE(Summary!$C$12,12,31))),SUMIFS('Dvd Calendar'!$E$1346:$AR$1346,'Dvd Calendar'!$E$1345:$AR$1345,"&gt;="&amp;DATE(Summary!$C$12,1,1),'Dvd Calendar'!$E$1345:$AR$1345,"&lt;="&amp;MIN(Summary!$C$11,DATE(Summary!$C$12,12,31)),'Dvd Calendar'!$E$1350:$AR$1350,"&lt;&gt;"&amp;'Field Check'!$C$25)))</f>
        <v/>
      </c>
      <c r="K96" s="47">
        <f>IF($B96="",0,IF(Summary!$C$13="Y",SUMIFS('Dvd Calendar'!$E$1353:$AR$1353,'Dvd Calendar'!$E$1352:$AR$1352,"&gt;"&amp;MAX(Summary!$C$11,DATE(Summary!$C$12,1,1)-1),'Dvd Calendar'!$E$1352:$AR$1352,"&lt;="&amp;DATE(Summary!$C$12,12,31)),SUMIFS('Dvd Calendar'!$E$1353:$AR$1353,'Dvd Calendar'!$E$1352:$AR$1352,"&gt;"&amp;MAX(Summary!$C$11,DATE(Summary!$C$12,1,1)-1),'Dvd Calendar'!$E$1352:$AR$1352,"&lt;="&amp;DATE(Summary!$C$12,12,31),'Dvd Calendar'!$E$1357:$AR$1357,"&lt;&gt;"&amp;'Field Check'!$C$25)))</f>
        <v/>
      </c>
      <c r="L96" s="47">
        <f>IF($B96="",0,IF((Override!$C$4="ON")*ISNUMBER(Override!$G$102)&gt;0,Override!$G$102,$K96))</f>
        <v/>
      </c>
      <c r="M96" s="47">
        <f>IF($B96="",0,IF((Override!$C$4="ON")*ISNUMBER(Override!$H$102)&gt;0,Override!$H$102,$L96))</f>
        <v/>
      </c>
      <c r="N96" s="47">
        <f>IF($B96="",0,IF((Override!$C$4="ON")*ISNUMBER(Override!$I$102)&gt;0,Override!$I$102,$L96))</f>
        <v/>
      </c>
      <c r="O96" s="54">
        <f>IF($B96="","",IFERROR($B96*$G96*$J96/$B$3,""))</f>
        <v/>
      </c>
      <c r="P96" s="54">
        <f>IF($B96="","",IFERROR($B96*$G96*$L96/$B$3,""))</f>
        <v/>
      </c>
      <c r="Q96" s="38">
        <f>IF($B96="","",IFERROR($O96+$P96,""))</f>
        <v/>
      </c>
      <c r="R96" s="54">
        <f>IF($B96="","",IFERROR($O96+$B96*$G96*$M96/$B$3,""))</f>
        <v/>
      </c>
      <c r="S96" s="54">
        <f>IF($B96="","",IFERROR($O96+$B96*$G96*$N96/$B$3,""))</f>
        <v/>
      </c>
      <c r="T96" s="63">
        <f>IF($B96="","",IFERROR($Q96/$Q$5,""))</f>
        <v/>
      </c>
      <c r="U96" s="2">
        <f>IF($B96="","",IF(COUNTIFS('Dvd Calendar'!$E$1351:$AR$1351,"&gt;0",'Dvd Calendar'!$E$1352:$AR$1352,"&gt;"&amp;MAX(Summary!$C$11,DATE(Summary!$C$12,1,1)-1),'Dvd Calendar'!$E$1352:$AR$1352,"&lt;="&amp;DATE(Summary!$C$12,12,31))-COUNTIFS('Dvd Calendar'!$E$1351:$AR$1351,"&gt;0",'Dvd Calendar'!$E$1352:$AR$1352,"&gt;"&amp;MAX(Summary!$C$11,DATE(Summary!$C$12,1,1)-1),'Dvd Calendar'!$E$1352:$AR$1352,"&lt;="&amp;DATE(Summary!$C$12,12,31),'Dvd Calendar'!$E$1353:$AR$1353,"&gt;=0")&gt;0,"TBA amount - override me",IF((Override!$C$4="ON")*ISNUMBER(Override!$G$102)&gt;0,"overridden",IF($J96+$K96=0,"no dividend in year Y",""))))</f>
        <v/>
      </c>
      <c r="V96" s="54">
        <f>IF($B96="","",IFERROR(IF(ISNUMBER($H96),$B96*$G96*$H96/$B$3,0),""))</f>
        <v/>
      </c>
      <c r="W96" s="54">
        <f>IF($B96="","",IFERROR($B96*$G96*$K96/$B$3,""))</f>
        <v/>
      </c>
    </row>
    <row r="97">
      <c r="B97" s="73" t="n"/>
      <c r="C97" s="6">
        <f>IF($A97="","",$A97&amp;" Equity")</f>
        <v/>
      </c>
      <c r="D97" s="6">
        <f>IF($C97="","",BDP($C97,"NAME"))</f>
        <v/>
      </c>
      <c r="E97" s="6">
        <f>IF($C97="","",BDP($C97,"GICS_SECTOR_NAME"))</f>
        <v/>
      </c>
      <c r="F97" s="31">
        <f>IF($C97="","",BDP($C97,'Field Check'!$C$8))</f>
        <v/>
      </c>
      <c r="G97" s="74">
        <f>IFERROR(IF(LEN($F97)&lt;&gt;3,1,IF($F97="HKD",1,BDP(IF($F97="CNY",Summary!$C$14,$F97)&amp;"HKD Curncy","PX_LAST"))),1)</f>
        <v/>
      </c>
      <c r="H97" s="54">
        <f>IF($C97="","",BDP($C97,'Field Check'!$C$9))</f>
        <v/>
      </c>
      <c r="I97" s="45">
        <f>IF($C97="","",BDP($C97,'Field Check'!$C$10))</f>
        <v/>
      </c>
      <c r="J97" s="47">
        <f>IF($B97="",0,IF(Summary!$C$13="Y",SUMIFS('Dvd Calendar'!$E$1361:$AR$1361,'Dvd Calendar'!$E$1360:$AR$1360,"&gt;="&amp;DATE(Summary!$C$12,1,1),'Dvd Calendar'!$E$1360:$AR$1360,"&lt;="&amp;MIN(Summary!$C$11,DATE(Summary!$C$12,12,31))),SUMIFS('Dvd Calendar'!$E$1361:$AR$1361,'Dvd Calendar'!$E$1360:$AR$1360,"&gt;="&amp;DATE(Summary!$C$12,1,1),'Dvd Calendar'!$E$1360:$AR$1360,"&lt;="&amp;MIN(Summary!$C$11,DATE(Summary!$C$12,12,31)),'Dvd Calendar'!$E$1365:$AR$1365,"&lt;&gt;"&amp;'Field Check'!$C$25)))</f>
        <v/>
      </c>
      <c r="K97" s="47">
        <f>IF($B97="",0,IF(Summary!$C$13="Y",SUMIFS('Dvd Calendar'!$E$1368:$AR$1368,'Dvd Calendar'!$E$1367:$AR$1367,"&gt;"&amp;MAX(Summary!$C$11,DATE(Summary!$C$12,1,1)-1),'Dvd Calendar'!$E$1367:$AR$1367,"&lt;="&amp;DATE(Summary!$C$12,12,31)),SUMIFS('Dvd Calendar'!$E$1368:$AR$1368,'Dvd Calendar'!$E$1367:$AR$1367,"&gt;"&amp;MAX(Summary!$C$11,DATE(Summary!$C$12,1,1)-1),'Dvd Calendar'!$E$1367:$AR$1367,"&lt;="&amp;DATE(Summary!$C$12,12,31),'Dvd Calendar'!$E$1372:$AR$1372,"&lt;&gt;"&amp;'Field Check'!$C$25)))</f>
        <v/>
      </c>
      <c r="L97" s="47">
        <f>IF($B97="",0,IF((Override!$C$4="ON")*ISNUMBER(Override!$G$103)&gt;0,Override!$G$103,$K97))</f>
        <v/>
      </c>
      <c r="M97" s="47">
        <f>IF($B97="",0,IF((Override!$C$4="ON")*ISNUMBER(Override!$H$103)&gt;0,Override!$H$103,$L97))</f>
        <v/>
      </c>
      <c r="N97" s="47">
        <f>IF($B97="",0,IF((Override!$C$4="ON")*ISNUMBER(Override!$I$103)&gt;0,Override!$I$103,$L97))</f>
        <v/>
      </c>
      <c r="O97" s="54">
        <f>IF($B97="","",IFERROR($B97*$G97*$J97/$B$3,""))</f>
        <v/>
      </c>
      <c r="P97" s="54">
        <f>IF($B97="","",IFERROR($B97*$G97*$L97/$B$3,""))</f>
        <v/>
      </c>
      <c r="Q97" s="38">
        <f>IF($B97="","",IFERROR($O97+$P97,""))</f>
        <v/>
      </c>
      <c r="R97" s="54">
        <f>IF($B97="","",IFERROR($O97+$B97*$G97*$M97/$B$3,""))</f>
        <v/>
      </c>
      <c r="S97" s="54">
        <f>IF($B97="","",IFERROR($O97+$B97*$G97*$N97/$B$3,""))</f>
        <v/>
      </c>
      <c r="T97" s="63">
        <f>IF($B97="","",IFERROR($Q97/$Q$5,""))</f>
        <v/>
      </c>
      <c r="U97" s="2">
        <f>IF($B97="","",IF(COUNTIFS('Dvd Calendar'!$E$1366:$AR$1366,"&gt;0",'Dvd Calendar'!$E$1367:$AR$1367,"&gt;"&amp;MAX(Summary!$C$11,DATE(Summary!$C$12,1,1)-1),'Dvd Calendar'!$E$1367:$AR$1367,"&lt;="&amp;DATE(Summary!$C$12,12,31))-COUNTIFS('Dvd Calendar'!$E$1366:$AR$1366,"&gt;0",'Dvd Calendar'!$E$1367:$AR$1367,"&gt;"&amp;MAX(Summary!$C$11,DATE(Summary!$C$12,1,1)-1),'Dvd Calendar'!$E$1367:$AR$1367,"&lt;="&amp;DATE(Summary!$C$12,12,31),'Dvd Calendar'!$E$1368:$AR$1368,"&gt;=0")&gt;0,"TBA amount - override me",IF((Override!$C$4="ON")*ISNUMBER(Override!$G$103)&gt;0,"overridden",IF($J97+$K97=0,"no dividend in year Y",""))))</f>
        <v/>
      </c>
      <c r="V97" s="54">
        <f>IF($B97="","",IFERROR(IF(ISNUMBER($H97),$B97*$G97*$H97/$B$3,0),""))</f>
        <v/>
      </c>
      <c r="W97" s="54">
        <f>IF($B97="","",IFERROR($B97*$G97*$K97/$B$3,""))</f>
        <v/>
      </c>
    </row>
    <row r="98">
      <c r="B98" s="73" t="n"/>
      <c r="C98" s="6">
        <f>IF($A98="","",$A98&amp;" Equity")</f>
        <v/>
      </c>
      <c r="D98" s="6">
        <f>IF($C98="","",BDP($C98,"NAME"))</f>
        <v/>
      </c>
      <c r="E98" s="6">
        <f>IF($C98="","",BDP($C98,"GICS_SECTOR_NAME"))</f>
        <v/>
      </c>
      <c r="F98" s="31">
        <f>IF($C98="","",BDP($C98,'Field Check'!$C$8))</f>
        <v/>
      </c>
      <c r="G98" s="74">
        <f>IFERROR(IF(LEN($F98)&lt;&gt;3,1,IF($F98="HKD",1,BDP(IF($F98="CNY",Summary!$C$14,$F98)&amp;"HKD Curncy","PX_LAST"))),1)</f>
        <v/>
      </c>
      <c r="H98" s="54">
        <f>IF($C98="","",BDP($C98,'Field Check'!$C$9))</f>
        <v/>
      </c>
      <c r="I98" s="45">
        <f>IF($C98="","",BDP($C98,'Field Check'!$C$10))</f>
        <v/>
      </c>
      <c r="J98" s="47">
        <f>IF($B98="",0,IF(Summary!$C$13="Y",SUMIFS('Dvd Calendar'!$E$1376:$AR$1376,'Dvd Calendar'!$E$1375:$AR$1375,"&gt;="&amp;DATE(Summary!$C$12,1,1),'Dvd Calendar'!$E$1375:$AR$1375,"&lt;="&amp;MIN(Summary!$C$11,DATE(Summary!$C$12,12,31))),SUMIFS('Dvd Calendar'!$E$1376:$AR$1376,'Dvd Calendar'!$E$1375:$AR$1375,"&gt;="&amp;DATE(Summary!$C$12,1,1),'Dvd Calendar'!$E$1375:$AR$1375,"&lt;="&amp;MIN(Summary!$C$11,DATE(Summary!$C$12,12,31)),'Dvd Calendar'!$E$1380:$AR$1380,"&lt;&gt;"&amp;'Field Check'!$C$25)))</f>
        <v/>
      </c>
      <c r="K98" s="47">
        <f>IF($B98="",0,IF(Summary!$C$13="Y",SUMIFS('Dvd Calendar'!$E$1383:$AR$1383,'Dvd Calendar'!$E$1382:$AR$1382,"&gt;"&amp;MAX(Summary!$C$11,DATE(Summary!$C$12,1,1)-1),'Dvd Calendar'!$E$1382:$AR$1382,"&lt;="&amp;DATE(Summary!$C$12,12,31)),SUMIFS('Dvd Calendar'!$E$1383:$AR$1383,'Dvd Calendar'!$E$1382:$AR$1382,"&gt;"&amp;MAX(Summary!$C$11,DATE(Summary!$C$12,1,1)-1),'Dvd Calendar'!$E$1382:$AR$1382,"&lt;="&amp;DATE(Summary!$C$12,12,31),'Dvd Calendar'!$E$1387:$AR$1387,"&lt;&gt;"&amp;'Field Check'!$C$25)))</f>
        <v/>
      </c>
      <c r="L98" s="47">
        <f>IF($B98="",0,IF((Override!$C$4="ON")*ISNUMBER(Override!$G$104)&gt;0,Override!$G$104,$K98))</f>
        <v/>
      </c>
      <c r="M98" s="47">
        <f>IF($B98="",0,IF((Override!$C$4="ON")*ISNUMBER(Override!$H$104)&gt;0,Override!$H$104,$L98))</f>
        <v/>
      </c>
      <c r="N98" s="47">
        <f>IF($B98="",0,IF((Override!$C$4="ON")*ISNUMBER(Override!$I$104)&gt;0,Override!$I$104,$L98))</f>
        <v/>
      </c>
      <c r="O98" s="54">
        <f>IF($B98="","",IFERROR($B98*$G98*$J98/$B$3,""))</f>
        <v/>
      </c>
      <c r="P98" s="54">
        <f>IF($B98="","",IFERROR($B98*$G98*$L98/$B$3,""))</f>
        <v/>
      </c>
      <c r="Q98" s="38">
        <f>IF($B98="","",IFERROR($O98+$P98,""))</f>
        <v/>
      </c>
      <c r="R98" s="54">
        <f>IF($B98="","",IFERROR($O98+$B98*$G98*$M98/$B$3,""))</f>
        <v/>
      </c>
      <c r="S98" s="54">
        <f>IF($B98="","",IFERROR($O98+$B98*$G98*$N98/$B$3,""))</f>
        <v/>
      </c>
      <c r="T98" s="63">
        <f>IF($B98="","",IFERROR($Q98/$Q$5,""))</f>
        <v/>
      </c>
      <c r="U98" s="2">
        <f>IF($B98="","",IF(COUNTIFS('Dvd Calendar'!$E$1381:$AR$1381,"&gt;0",'Dvd Calendar'!$E$1382:$AR$1382,"&gt;"&amp;MAX(Summary!$C$11,DATE(Summary!$C$12,1,1)-1),'Dvd Calendar'!$E$1382:$AR$1382,"&lt;="&amp;DATE(Summary!$C$12,12,31))-COUNTIFS('Dvd Calendar'!$E$1381:$AR$1381,"&gt;0",'Dvd Calendar'!$E$1382:$AR$1382,"&gt;"&amp;MAX(Summary!$C$11,DATE(Summary!$C$12,1,1)-1),'Dvd Calendar'!$E$1382:$AR$1382,"&lt;="&amp;DATE(Summary!$C$12,12,31),'Dvd Calendar'!$E$1383:$AR$1383,"&gt;=0")&gt;0,"TBA amount - override me",IF((Override!$C$4="ON")*ISNUMBER(Override!$G$104)&gt;0,"overridden",IF($J98+$K98=0,"no dividend in year Y",""))))</f>
        <v/>
      </c>
      <c r="V98" s="54">
        <f>IF($B98="","",IFERROR(IF(ISNUMBER($H98),$B98*$G98*$H98/$B$3,0),""))</f>
        <v/>
      </c>
      <c r="W98" s="54">
        <f>IF($B98="","",IFERROR($B98*$G98*$K98/$B$3,""))</f>
        <v/>
      </c>
    </row>
    <row r="99">
      <c r="B99" s="73" t="n"/>
      <c r="C99" s="6">
        <f>IF($A99="","",$A99&amp;" Equity")</f>
        <v/>
      </c>
      <c r="D99" s="6">
        <f>IF($C99="","",BDP($C99,"NAME"))</f>
        <v/>
      </c>
      <c r="E99" s="6">
        <f>IF($C99="","",BDP($C99,"GICS_SECTOR_NAME"))</f>
        <v/>
      </c>
      <c r="F99" s="31">
        <f>IF($C99="","",BDP($C99,'Field Check'!$C$8))</f>
        <v/>
      </c>
      <c r="G99" s="74">
        <f>IFERROR(IF(LEN($F99)&lt;&gt;3,1,IF($F99="HKD",1,BDP(IF($F99="CNY",Summary!$C$14,$F99)&amp;"HKD Curncy","PX_LAST"))),1)</f>
        <v/>
      </c>
      <c r="H99" s="54">
        <f>IF($C99="","",BDP($C99,'Field Check'!$C$9))</f>
        <v/>
      </c>
      <c r="I99" s="45">
        <f>IF($C99="","",BDP($C99,'Field Check'!$C$10))</f>
        <v/>
      </c>
      <c r="J99" s="47">
        <f>IF($B99="",0,IF(Summary!$C$13="Y",SUMIFS('Dvd Calendar'!$E$1391:$AR$1391,'Dvd Calendar'!$E$1390:$AR$1390,"&gt;="&amp;DATE(Summary!$C$12,1,1),'Dvd Calendar'!$E$1390:$AR$1390,"&lt;="&amp;MIN(Summary!$C$11,DATE(Summary!$C$12,12,31))),SUMIFS('Dvd Calendar'!$E$1391:$AR$1391,'Dvd Calendar'!$E$1390:$AR$1390,"&gt;="&amp;DATE(Summary!$C$12,1,1),'Dvd Calendar'!$E$1390:$AR$1390,"&lt;="&amp;MIN(Summary!$C$11,DATE(Summary!$C$12,12,31)),'Dvd Calendar'!$E$1395:$AR$1395,"&lt;&gt;"&amp;'Field Check'!$C$25)))</f>
        <v/>
      </c>
      <c r="K99" s="47">
        <f>IF($B99="",0,IF(Summary!$C$13="Y",SUMIFS('Dvd Calendar'!$E$1398:$AR$1398,'Dvd Calendar'!$E$1397:$AR$1397,"&gt;"&amp;MAX(Summary!$C$11,DATE(Summary!$C$12,1,1)-1),'Dvd Calendar'!$E$1397:$AR$1397,"&lt;="&amp;DATE(Summary!$C$12,12,31)),SUMIFS('Dvd Calendar'!$E$1398:$AR$1398,'Dvd Calendar'!$E$1397:$AR$1397,"&gt;"&amp;MAX(Summary!$C$11,DATE(Summary!$C$12,1,1)-1),'Dvd Calendar'!$E$1397:$AR$1397,"&lt;="&amp;DATE(Summary!$C$12,12,31),'Dvd Calendar'!$E$1402:$AR$1402,"&lt;&gt;"&amp;'Field Check'!$C$25)))</f>
        <v/>
      </c>
      <c r="L99" s="47">
        <f>IF($B99="",0,IF((Override!$C$4="ON")*ISNUMBER(Override!$G$105)&gt;0,Override!$G$105,$K99))</f>
        <v/>
      </c>
      <c r="M99" s="47">
        <f>IF($B99="",0,IF((Override!$C$4="ON")*ISNUMBER(Override!$H$105)&gt;0,Override!$H$105,$L99))</f>
        <v/>
      </c>
      <c r="N99" s="47">
        <f>IF($B99="",0,IF((Override!$C$4="ON")*ISNUMBER(Override!$I$105)&gt;0,Override!$I$105,$L99))</f>
        <v/>
      </c>
      <c r="O99" s="54">
        <f>IF($B99="","",IFERROR($B99*$G99*$J99/$B$3,""))</f>
        <v/>
      </c>
      <c r="P99" s="54">
        <f>IF($B99="","",IFERROR($B99*$G99*$L99/$B$3,""))</f>
        <v/>
      </c>
      <c r="Q99" s="38">
        <f>IF($B99="","",IFERROR($O99+$P99,""))</f>
        <v/>
      </c>
      <c r="R99" s="54">
        <f>IF($B99="","",IFERROR($O99+$B99*$G99*$M99/$B$3,""))</f>
        <v/>
      </c>
      <c r="S99" s="54">
        <f>IF($B99="","",IFERROR($O99+$B99*$G99*$N99/$B$3,""))</f>
        <v/>
      </c>
      <c r="T99" s="63">
        <f>IF($B99="","",IFERROR($Q99/$Q$5,""))</f>
        <v/>
      </c>
      <c r="U99" s="2">
        <f>IF($B99="","",IF(COUNTIFS('Dvd Calendar'!$E$1396:$AR$1396,"&gt;0",'Dvd Calendar'!$E$1397:$AR$1397,"&gt;"&amp;MAX(Summary!$C$11,DATE(Summary!$C$12,1,1)-1),'Dvd Calendar'!$E$1397:$AR$1397,"&lt;="&amp;DATE(Summary!$C$12,12,31))-COUNTIFS('Dvd Calendar'!$E$1396:$AR$1396,"&gt;0",'Dvd Calendar'!$E$1397:$AR$1397,"&gt;"&amp;MAX(Summary!$C$11,DATE(Summary!$C$12,1,1)-1),'Dvd Calendar'!$E$1397:$AR$1397,"&lt;="&amp;DATE(Summary!$C$12,12,31),'Dvd Calendar'!$E$1398:$AR$1398,"&gt;=0")&gt;0,"TBA amount - override me",IF((Override!$C$4="ON")*ISNUMBER(Override!$G$105)&gt;0,"overridden",IF($J99+$K99=0,"no dividend in year Y",""))))</f>
        <v/>
      </c>
      <c r="V99" s="54">
        <f>IF($B99="","",IFERROR(IF(ISNUMBER($H99),$B99*$G99*$H99/$B$3,0),""))</f>
        <v/>
      </c>
      <c r="W99" s="54">
        <f>IF($B99="","",IFERROR($B99*$G99*$K99/$B$3,""))</f>
        <v/>
      </c>
    </row>
    <row r="100">
      <c r="B100" s="73" t="n"/>
      <c r="C100" s="6">
        <f>IF($A100="","",$A100&amp;" Equity")</f>
        <v/>
      </c>
      <c r="D100" s="6">
        <f>IF($C100="","",BDP($C100,"NAME"))</f>
        <v/>
      </c>
      <c r="E100" s="6">
        <f>IF($C100="","",BDP($C100,"GICS_SECTOR_NAME"))</f>
        <v/>
      </c>
      <c r="F100" s="31">
        <f>IF($C100="","",BDP($C100,'Field Check'!$C$8))</f>
        <v/>
      </c>
      <c r="G100" s="74">
        <f>IFERROR(IF(LEN($F100)&lt;&gt;3,1,IF($F100="HKD",1,BDP(IF($F100="CNY",Summary!$C$14,$F100)&amp;"HKD Curncy","PX_LAST"))),1)</f>
        <v/>
      </c>
      <c r="H100" s="54">
        <f>IF($C100="","",BDP($C100,'Field Check'!$C$9))</f>
        <v/>
      </c>
      <c r="I100" s="45">
        <f>IF($C100="","",BDP($C100,'Field Check'!$C$10))</f>
        <v/>
      </c>
      <c r="J100" s="47">
        <f>IF($B100="",0,IF(Summary!$C$13="Y",SUMIFS('Dvd Calendar'!$E$1406:$AR$1406,'Dvd Calendar'!$E$1405:$AR$1405,"&gt;="&amp;DATE(Summary!$C$12,1,1),'Dvd Calendar'!$E$1405:$AR$1405,"&lt;="&amp;MIN(Summary!$C$11,DATE(Summary!$C$12,12,31))),SUMIFS('Dvd Calendar'!$E$1406:$AR$1406,'Dvd Calendar'!$E$1405:$AR$1405,"&gt;="&amp;DATE(Summary!$C$12,1,1),'Dvd Calendar'!$E$1405:$AR$1405,"&lt;="&amp;MIN(Summary!$C$11,DATE(Summary!$C$12,12,31)),'Dvd Calendar'!$E$1410:$AR$1410,"&lt;&gt;"&amp;'Field Check'!$C$25)))</f>
        <v/>
      </c>
      <c r="K100" s="47">
        <f>IF($B100="",0,IF(Summary!$C$13="Y",SUMIFS('Dvd Calendar'!$E$1413:$AR$1413,'Dvd Calendar'!$E$1412:$AR$1412,"&gt;"&amp;MAX(Summary!$C$11,DATE(Summary!$C$12,1,1)-1),'Dvd Calendar'!$E$1412:$AR$1412,"&lt;="&amp;DATE(Summary!$C$12,12,31)),SUMIFS('Dvd Calendar'!$E$1413:$AR$1413,'Dvd Calendar'!$E$1412:$AR$1412,"&gt;"&amp;MAX(Summary!$C$11,DATE(Summary!$C$12,1,1)-1),'Dvd Calendar'!$E$1412:$AR$1412,"&lt;="&amp;DATE(Summary!$C$12,12,31),'Dvd Calendar'!$E$1417:$AR$1417,"&lt;&gt;"&amp;'Field Check'!$C$25)))</f>
        <v/>
      </c>
      <c r="L100" s="47">
        <f>IF($B100="",0,IF((Override!$C$4="ON")*ISNUMBER(Override!$G$106)&gt;0,Override!$G$106,$K100))</f>
        <v/>
      </c>
      <c r="M100" s="47">
        <f>IF($B100="",0,IF((Override!$C$4="ON")*ISNUMBER(Override!$H$106)&gt;0,Override!$H$106,$L100))</f>
        <v/>
      </c>
      <c r="N100" s="47">
        <f>IF($B100="",0,IF((Override!$C$4="ON")*ISNUMBER(Override!$I$106)&gt;0,Override!$I$106,$L100))</f>
        <v/>
      </c>
      <c r="O100" s="54">
        <f>IF($B100="","",IFERROR($B100*$G100*$J100/$B$3,""))</f>
        <v/>
      </c>
      <c r="P100" s="54">
        <f>IF($B100="","",IFERROR($B100*$G100*$L100/$B$3,""))</f>
        <v/>
      </c>
      <c r="Q100" s="38">
        <f>IF($B100="","",IFERROR($O100+$P100,""))</f>
        <v/>
      </c>
      <c r="R100" s="54">
        <f>IF($B100="","",IFERROR($O100+$B100*$G100*$M100/$B$3,""))</f>
        <v/>
      </c>
      <c r="S100" s="54">
        <f>IF($B100="","",IFERROR($O100+$B100*$G100*$N100/$B$3,""))</f>
        <v/>
      </c>
      <c r="T100" s="63">
        <f>IF($B100="","",IFERROR($Q100/$Q$5,""))</f>
        <v/>
      </c>
      <c r="U100" s="2">
        <f>IF($B100="","",IF(COUNTIFS('Dvd Calendar'!$E$1411:$AR$1411,"&gt;0",'Dvd Calendar'!$E$1412:$AR$1412,"&gt;"&amp;MAX(Summary!$C$11,DATE(Summary!$C$12,1,1)-1),'Dvd Calendar'!$E$1412:$AR$1412,"&lt;="&amp;DATE(Summary!$C$12,12,31))-COUNTIFS('Dvd Calendar'!$E$1411:$AR$1411,"&gt;0",'Dvd Calendar'!$E$1412:$AR$1412,"&gt;"&amp;MAX(Summary!$C$11,DATE(Summary!$C$12,1,1)-1),'Dvd Calendar'!$E$1412:$AR$1412,"&lt;="&amp;DATE(Summary!$C$12,12,31),'Dvd Calendar'!$E$1413:$AR$1413,"&gt;=0")&gt;0,"TBA amount - override me",IF((Override!$C$4="ON")*ISNUMBER(Override!$G$106)&gt;0,"overridden",IF($J100+$K100=0,"no dividend in year Y",""))))</f>
        <v/>
      </c>
      <c r="V100" s="54">
        <f>IF($B100="","",IFERROR(IF(ISNUMBER($H100),$B100*$G100*$H100/$B$3,0),""))</f>
        <v/>
      </c>
      <c r="W100" s="54">
        <f>IF($B100="","",IFERROR($B100*$G100*$K100/$B$3,""))</f>
        <v/>
      </c>
    </row>
    <row r="101">
      <c r="B101" s="73" t="n"/>
      <c r="C101" s="6">
        <f>IF($A101="","",$A101&amp;" Equity")</f>
        <v/>
      </c>
      <c r="D101" s="6">
        <f>IF($C101="","",BDP($C101,"NAME"))</f>
        <v/>
      </c>
      <c r="E101" s="6">
        <f>IF($C101="","",BDP($C101,"GICS_SECTOR_NAME"))</f>
        <v/>
      </c>
      <c r="F101" s="31">
        <f>IF($C101="","",BDP($C101,'Field Check'!$C$8))</f>
        <v/>
      </c>
      <c r="G101" s="74">
        <f>IFERROR(IF(LEN($F101)&lt;&gt;3,1,IF($F101="HKD",1,BDP(IF($F101="CNY",Summary!$C$14,$F101)&amp;"HKD Curncy","PX_LAST"))),1)</f>
        <v/>
      </c>
      <c r="H101" s="54">
        <f>IF($C101="","",BDP($C101,'Field Check'!$C$9))</f>
        <v/>
      </c>
      <c r="I101" s="45">
        <f>IF($C101="","",BDP($C101,'Field Check'!$C$10))</f>
        <v/>
      </c>
      <c r="J101" s="47">
        <f>IF($B101="",0,IF(Summary!$C$13="Y",SUMIFS('Dvd Calendar'!$E$1421:$AR$1421,'Dvd Calendar'!$E$1420:$AR$1420,"&gt;="&amp;DATE(Summary!$C$12,1,1),'Dvd Calendar'!$E$1420:$AR$1420,"&lt;="&amp;MIN(Summary!$C$11,DATE(Summary!$C$12,12,31))),SUMIFS('Dvd Calendar'!$E$1421:$AR$1421,'Dvd Calendar'!$E$1420:$AR$1420,"&gt;="&amp;DATE(Summary!$C$12,1,1),'Dvd Calendar'!$E$1420:$AR$1420,"&lt;="&amp;MIN(Summary!$C$11,DATE(Summary!$C$12,12,31)),'Dvd Calendar'!$E$1425:$AR$1425,"&lt;&gt;"&amp;'Field Check'!$C$25)))</f>
        <v/>
      </c>
      <c r="K101" s="47">
        <f>IF($B101="",0,IF(Summary!$C$13="Y",SUMIFS('Dvd Calendar'!$E$1428:$AR$1428,'Dvd Calendar'!$E$1427:$AR$1427,"&gt;"&amp;MAX(Summary!$C$11,DATE(Summary!$C$12,1,1)-1),'Dvd Calendar'!$E$1427:$AR$1427,"&lt;="&amp;DATE(Summary!$C$12,12,31)),SUMIFS('Dvd Calendar'!$E$1428:$AR$1428,'Dvd Calendar'!$E$1427:$AR$1427,"&gt;"&amp;MAX(Summary!$C$11,DATE(Summary!$C$12,1,1)-1),'Dvd Calendar'!$E$1427:$AR$1427,"&lt;="&amp;DATE(Summary!$C$12,12,31),'Dvd Calendar'!$E$1432:$AR$1432,"&lt;&gt;"&amp;'Field Check'!$C$25)))</f>
        <v/>
      </c>
      <c r="L101" s="47">
        <f>IF($B101="",0,IF((Override!$C$4="ON")*ISNUMBER(Override!$G$107)&gt;0,Override!$G$107,$K101))</f>
        <v/>
      </c>
      <c r="M101" s="47">
        <f>IF($B101="",0,IF((Override!$C$4="ON")*ISNUMBER(Override!$H$107)&gt;0,Override!$H$107,$L101))</f>
        <v/>
      </c>
      <c r="N101" s="47">
        <f>IF($B101="",0,IF((Override!$C$4="ON")*ISNUMBER(Override!$I$107)&gt;0,Override!$I$107,$L101))</f>
        <v/>
      </c>
      <c r="O101" s="54">
        <f>IF($B101="","",IFERROR($B101*$G101*$J101/$B$3,""))</f>
        <v/>
      </c>
      <c r="P101" s="54">
        <f>IF($B101="","",IFERROR($B101*$G101*$L101/$B$3,""))</f>
        <v/>
      </c>
      <c r="Q101" s="38">
        <f>IF($B101="","",IFERROR($O101+$P101,""))</f>
        <v/>
      </c>
      <c r="R101" s="54">
        <f>IF($B101="","",IFERROR($O101+$B101*$G101*$M101/$B$3,""))</f>
        <v/>
      </c>
      <c r="S101" s="54">
        <f>IF($B101="","",IFERROR($O101+$B101*$G101*$N101/$B$3,""))</f>
        <v/>
      </c>
      <c r="T101" s="63">
        <f>IF($B101="","",IFERROR($Q101/$Q$5,""))</f>
        <v/>
      </c>
      <c r="U101" s="2">
        <f>IF($B101="","",IF(COUNTIFS('Dvd Calendar'!$E$1426:$AR$1426,"&gt;0",'Dvd Calendar'!$E$1427:$AR$1427,"&gt;"&amp;MAX(Summary!$C$11,DATE(Summary!$C$12,1,1)-1),'Dvd Calendar'!$E$1427:$AR$1427,"&lt;="&amp;DATE(Summary!$C$12,12,31))-COUNTIFS('Dvd Calendar'!$E$1426:$AR$1426,"&gt;0",'Dvd Calendar'!$E$1427:$AR$1427,"&gt;"&amp;MAX(Summary!$C$11,DATE(Summary!$C$12,1,1)-1),'Dvd Calendar'!$E$1427:$AR$1427,"&lt;="&amp;DATE(Summary!$C$12,12,31),'Dvd Calendar'!$E$1428:$AR$1428,"&gt;=0")&gt;0,"TBA amount - override me",IF((Override!$C$4="ON")*ISNUMBER(Override!$G$107)&gt;0,"overridden",IF($J101+$K101=0,"no dividend in year Y",""))))</f>
        <v/>
      </c>
      <c r="V101" s="54">
        <f>IF($B101="","",IFERROR(IF(ISNUMBER($H101),$B101*$G101*$H101/$B$3,0),""))</f>
        <v/>
      </c>
      <c r="W101" s="54">
        <f>IF($B101="","",IFERROR($B101*$G101*$K101/$B$3,""))</f>
        <v/>
      </c>
    </row>
    <row r="102">
      <c r="B102" s="73" t="n"/>
      <c r="C102" s="6">
        <f>IF($A102="","",$A102&amp;" Equity")</f>
        <v/>
      </c>
      <c r="D102" s="6">
        <f>IF($C102="","",BDP($C102,"NAME"))</f>
        <v/>
      </c>
      <c r="E102" s="6">
        <f>IF($C102="","",BDP($C102,"GICS_SECTOR_NAME"))</f>
        <v/>
      </c>
      <c r="F102" s="31">
        <f>IF($C102="","",BDP($C102,'Field Check'!$C$8))</f>
        <v/>
      </c>
      <c r="G102" s="74">
        <f>IFERROR(IF(LEN($F102)&lt;&gt;3,1,IF($F102="HKD",1,BDP(IF($F102="CNY",Summary!$C$14,$F102)&amp;"HKD Curncy","PX_LAST"))),1)</f>
        <v/>
      </c>
      <c r="H102" s="54">
        <f>IF($C102="","",BDP($C102,'Field Check'!$C$9))</f>
        <v/>
      </c>
      <c r="I102" s="45">
        <f>IF($C102="","",BDP($C102,'Field Check'!$C$10))</f>
        <v/>
      </c>
      <c r="J102" s="47">
        <f>IF($B102="",0,IF(Summary!$C$13="Y",SUMIFS('Dvd Calendar'!$E$1436:$AR$1436,'Dvd Calendar'!$E$1435:$AR$1435,"&gt;="&amp;DATE(Summary!$C$12,1,1),'Dvd Calendar'!$E$1435:$AR$1435,"&lt;="&amp;MIN(Summary!$C$11,DATE(Summary!$C$12,12,31))),SUMIFS('Dvd Calendar'!$E$1436:$AR$1436,'Dvd Calendar'!$E$1435:$AR$1435,"&gt;="&amp;DATE(Summary!$C$12,1,1),'Dvd Calendar'!$E$1435:$AR$1435,"&lt;="&amp;MIN(Summary!$C$11,DATE(Summary!$C$12,12,31)),'Dvd Calendar'!$E$1440:$AR$1440,"&lt;&gt;"&amp;'Field Check'!$C$25)))</f>
        <v/>
      </c>
      <c r="K102" s="47">
        <f>IF($B102="",0,IF(Summary!$C$13="Y",SUMIFS('Dvd Calendar'!$E$1443:$AR$1443,'Dvd Calendar'!$E$1442:$AR$1442,"&gt;"&amp;MAX(Summary!$C$11,DATE(Summary!$C$12,1,1)-1),'Dvd Calendar'!$E$1442:$AR$1442,"&lt;="&amp;DATE(Summary!$C$12,12,31)),SUMIFS('Dvd Calendar'!$E$1443:$AR$1443,'Dvd Calendar'!$E$1442:$AR$1442,"&gt;"&amp;MAX(Summary!$C$11,DATE(Summary!$C$12,1,1)-1),'Dvd Calendar'!$E$1442:$AR$1442,"&lt;="&amp;DATE(Summary!$C$12,12,31),'Dvd Calendar'!$E$1447:$AR$1447,"&lt;&gt;"&amp;'Field Check'!$C$25)))</f>
        <v/>
      </c>
      <c r="L102" s="47">
        <f>IF($B102="",0,IF((Override!$C$4="ON")*ISNUMBER(Override!$G$108)&gt;0,Override!$G$108,$K102))</f>
        <v/>
      </c>
      <c r="M102" s="47">
        <f>IF($B102="",0,IF((Override!$C$4="ON")*ISNUMBER(Override!$H$108)&gt;0,Override!$H$108,$L102))</f>
        <v/>
      </c>
      <c r="N102" s="47">
        <f>IF($B102="",0,IF((Override!$C$4="ON")*ISNUMBER(Override!$I$108)&gt;0,Override!$I$108,$L102))</f>
        <v/>
      </c>
      <c r="O102" s="54">
        <f>IF($B102="","",IFERROR($B102*$G102*$J102/$B$3,""))</f>
        <v/>
      </c>
      <c r="P102" s="54">
        <f>IF($B102="","",IFERROR($B102*$G102*$L102/$B$3,""))</f>
        <v/>
      </c>
      <c r="Q102" s="38">
        <f>IF($B102="","",IFERROR($O102+$P102,""))</f>
        <v/>
      </c>
      <c r="R102" s="54">
        <f>IF($B102="","",IFERROR($O102+$B102*$G102*$M102/$B$3,""))</f>
        <v/>
      </c>
      <c r="S102" s="54">
        <f>IF($B102="","",IFERROR($O102+$B102*$G102*$N102/$B$3,""))</f>
        <v/>
      </c>
      <c r="T102" s="63">
        <f>IF($B102="","",IFERROR($Q102/$Q$5,""))</f>
        <v/>
      </c>
      <c r="U102" s="2">
        <f>IF($B102="","",IF(COUNTIFS('Dvd Calendar'!$E$1441:$AR$1441,"&gt;0",'Dvd Calendar'!$E$1442:$AR$1442,"&gt;"&amp;MAX(Summary!$C$11,DATE(Summary!$C$12,1,1)-1),'Dvd Calendar'!$E$1442:$AR$1442,"&lt;="&amp;DATE(Summary!$C$12,12,31))-COUNTIFS('Dvd Calendar'!$E$1441:$AR$1441,"&gt;0",'Dvd Calendar'!$E$1442:$AR$1442,"&gt;"&amp;MAX(Summary!$C$11,DATE(Summary!$C$12,1,1)-1),'Dvd Calendar'!$E$1442:$AR$1442,"&lt;="&amp;DATE(Summary!$C$12,12,31),'Dvd Calendar'!$E$1443:$AR$1443,"&gt;=0")&gt;0,"TBA amount - override me",IF((Override!$C$4="ON")*ISNUMBER(Override!$G$108)&gt;0,"overridden",IF($J102+$K102=0,"no dividend in year Y",""))))</f>
        <v/>
      </c>
      <c r="V102" s="54">
        <f>IF($B102="","",IFERROR(IF(ISNUMBER($H102),$B102*$G102*$H102/$B$3,0),""))</f>
        <v/>
      </c>
      <c r="W102" s="54">
        <f>IF($B102="","",IFERROR($B102*$G102*$K102/$B$3,""))</f>
        <v/>
      </c>
    </row>
    <row r="103">
      <c r="B103" s="73" t="n"/>
      <c r="C103" s="6">
        <f>IF($A103="","",$A103&amp;" Equity")</f>
        <v/>
      </c>
      <c r="D103" s="6">
        <f>IF($C103="","",BDP($C103,"NAME"))</f>
        <v/>
      </c>
      <c r="E103" s="6">
        <f>IF($C103="","",BDP($C103,"GICS_SECTOR_NAME"))</f>
        <v/>
      </c>
      <c r="F103" s="31">
        <f>IF($C103="","",BDP($C103,'Field Check'!$C$8))</f>
        <v/>
      </c>
      <c r="G103" s="74">
        <f>IFERROR(IF(LEN($F103)&lt;&gt;3,1,IF($F103="HKD",1,BDP(IF($F103="CNY",Summary!$C$14,$F103)&amp;"HKD Curncy","PX_LAST"))),1)</f>
        <v/>
      </c>
      <c r="H103" s="54">
        <f>IF($C103="","",BDP($C103,'Field Check'!$C$9))</f>
        <v/>
      </c>
      <c r="I103" s="45">
        <f>IF($C103="","",BDP($C103,'Field Check'!$C$10))</f>
        <v/>
      </c>
      <c r="J103" s="47">
        <f>IF($B103="",0,IF(Summary!$C$13="Y",SUMIFS('Dvd Calendar'!$E$1451:$AR$1451,'Dvd Calendar'!$E$1450:$AR$1450,"&gt;="&amp;DATE(Summary!$C$12,1,1),'Dvd Calendar'!$E$1450:$AR$1450,"&lt;="&amp;MIN(Summary!$C$11,DATE(Summary!$C$12,12,31))),SUMIFS('Dvd Calendar'!$E$1451:$AR$1451,'Dvd Calendar'!$E$1450:$AR$1450,"&gt;="&amp;DATE(Summary!$C$12,1,1),'Dvd Calendar'!$E$1450:$AR$1450,"&lt;="&amp;MIN(Summary!$C$11,DATE(Summary!$C$12,12,31)),'Dvd Calendar'!$E$1455:$AR$1455,"&lt;&gt;"&amp;'Field Check'!$C$25)))</f>
        <v/>
      </c>
      <c r="K103" s="47">
        <f>IF($B103="",0,IF(Summary!$C$13="Y",SUMIFS('Dvd Calendar'!$E$1458:$AR$1458,'Dvd Calendar'!$E$1457:$AR$1457,"&gt;"&amp;MAX(Summary!$C$11,DATE(Summary!$C$12,1,1)-1),'Dvd Calendar'!$E$1457:$AR$1457,"&lt;="&amp;DATE(Summary!$C$12,12,31)),SUMIFS('Dvd Calendar'!$E$1458:$AR$1458,'Dvd Calendar'!$E$1457:$AR$1457,"&gt;"&amp;MAX(Summary!$C$11,DATE(Summary!$C$12,1,1)-1),'Dvd Calendar'!$E$1457:$AR$1457,"&lt;="&amp;DATE(Summary!$C$12,12,31),'Dvd Calendar'!$E$1462:$AR$1462,"&lt;&gt;"&amp;'Field Check'!$C$25)))</f>
        <v/>
      </c>
      <c r="L103" s="47">
        <f>IF($B103="",0,IF((Override!$C$4="ON")*ISNUMBER(Override!$G$109)&gt;0,Override!$G$109,$K103))</f>
        <v/>
      </c>
      <c r="M103" s="47">
        <f>IF($B103="",0,IF((Override!$C$4="ON")*ISNUMBER(Override!$H$109)&gt;0,Override!$H$109,$L103))</f>
        <v/>
      </c>
      <c r="N103" s="47">
        <f>IF($B103="",0,IF((Override!$C$4="ON")*ISNUMBER(Override!$I$109)&gt;0,Override!$I$109,$L103))</f>
        <v/>
      </c>
      <c r="O103" s="54">
        <f>IF($B103="","",IFERROR($B103*$G103*$J103/$B$3,""))</f>
        <v/>
      </c>
      <c r="P103" s="54">
        <f>IF($B103="","",IFERROR($B103*$G103*$L103/$B$3,""))</f>
        <v/>
      </c>
      <c r="Q103" s="38">
        <f>IF($B103="","",IFERROR($O103+$P103,""))</f>
        <v/>
      </c>
      <c r="R103" s="54">
        <f>IF($B103="","",IFERROR($O103+$B103*$G103*$M103/$B$3,""))</f>
        <v/>
      </c>
      <c r="S103" s="54">
        <f>IF($B103="","",IFERROR($O103+$B103*$G103*$N103/$B$3,""))</f>
        <v/>
      </c>
      <c r="T103" s="63">
        <f>IF($B103="","",IFERROR($Q103/$Q$5,""))</f>
        <v/>
      </c>
      <c r="U103" s="2">
        <f>IF($B103="","",IF(COUNTIFS('Dvd Calendar'!$E$1456:$AR$1456,"&gt;0",'Dvd Calendar'!$E$1457:$AR$1457,"&gt;"&amp;MAX(Summary!$C$11,DATE(Summary!$C$12,1,1)-1),'Dvd Calendar'!$E$1457:$AR$1457,"&lt;="&amp;DATE(Summary!$C$12,12,31))-COUNTIFS('Dvd Calendar'!$E$1456:$AR$1456,"&gt;0",'Dvd Calendar'!$E$1457:$AR$1457,"&gt;"&amp;MAX(Summary!$C$11,DATE(Summary!$C$12,1,1)-1),'Dvd Calendar'!$E$1457:$AR$1457,"&lt;="&amp;DATE(Summary!$C$12,12,31),'Dvd Calendar'!$E$1458:$AR$1458,"&gt;=0")&gt;0,"TBA amount - override me",IF((Override!$C$4="ON")*ISNUMBER(Override!$G$109)&gt;0,"overridden",IF($J103+$K103=0,"no dividend in year Y",""))))</f>
        <v/>
      </c>
      <c r="V103" s="54">
        <f>IF($B103="","",IFERROR(IF(ISNUMBER($H103),$B103*$G103*$H103/$B$3,0),""))</f>
        <v/>
      </c>
      <c r="W103" s="54">
        <f>IF($B103="","",IFERROR($B103*$G103*$K103/$B$3,""))</f>
        <v/>
      </c>
    </row>
    <row r="104">
      <c r="B104" s="73" t="n"/>
      <c r="C104" s="6">
        <f>IF($A104="","",$A104&amp;" Equity")</f>
        <v/>
      </c>
      <c r="D104" s="6">
        <f>IF($C104="","",BDP($C104,"NAME"))</f>
        <v/>
      </c>
      <c r="E104" s="6">
        <f>IF($C104="","",BDP($C104,"GICS_SECTOR_NAME"))</f>
        <v/>
      </c>
      <c r="F104" s="31">
        <f>IF($C104="","",BDP($C104,'Field Check'!$C$8))</f>
        <v/>
      </c>
      <c r="G104" s="74">
        <f>IFERROR(IF(LEN($F104)&lt;&gt;3,1,IF($F104="HKD",1,BDP(IF($F104="CNY",Summary!$C$14,$F104)&amp;"HKD Curncy","PX_LAST"))),1)</f>
        <v/>
      </c>
      <c r="H104" s="54">
        <f>IF($C104="","",BDP($C104,'Field Check'!$C$9))</f>
        <v/>
      </c>
      <c r="I104" s="45">
        <f>IF($C104="","",BDP($C104,'Field Check'!$C$10))</f>
        <v/>
      </c>
      <c r="J104" s="47">
        <f>IF($B104="",0,IF(Summary!$C$13="Y",SUMIFS('Dvd Calendar'!$E$1466:$AR$1466,'Dvd Calendar'!$E$1465:$AR$1465,"&gt;="&amp;DATE(Summary!$C$12,1,1),'Dvd Calendar'!$E$1465:$AR$1465,"&lt;="&amp;MIN(Summary!$C$11,DATE(Summary!$C$12,12,31))),SUMIFS('Dvd Calendar'!$E$1466:$AR$1466,'Dvd Calendar'!$E$1465:$AR$1465,"&gt;="&amp;DATE(Summary!$C$12,1,1),'Dvd Calendar'!$E$1465:$AR$1465,"&lt;="&amp;MIN(Summary!$C$11,DATE(Summary!$C$12,12,31)),'Dvd Calendar'!$E$1470:$AR$1470,"&lt;&gt;"&amp;'Field Check'!$C$25)))</f>
        <v/>
      </c>
      <c r="K104" s="47">
        <f>IF($B104="",0,IF(Summary!$C$13="Y",SUMIFS('Dvd Calendar'!$E$1473:$AR$1473,'Dvd Calendar'!$E$1472:$AR$1472,"&gt;"&amp;MAX(Summary!$C$11,DATE(Summary!$C$12,1,1)-1),'Dvd Calendar'!$E$1472:$AR$1472,"&lt;="&amp;DATE(Summary!$C$12,12,31)),SUMIFS('Dvd Calendar'!$E$1473:$AR$1473,'Dvd Calendar'!$E$1472:$AR$1472,"&gt;"&amp;MAX(Summary!$C$11,DATE(Summary!$C$12,1,1)-1),'Dvd Calendar'!$E$1472:$AR$1472,"&lt;="&amp;DATE(Summary!$C$12,12,31),'Dvd Calendar'!$E$1477:$AR$1477,"&lt;&gt;"&amp;'Field Check'!$C$25)))</f>
        <v/>
      </c>
      <c r="L104" s="47">
        <f>IF($B104="",0,IF((Override!$C$4="ON")*ISNUMBER(Override!$G$110)&gt;0,Override!$G$110,$K104))</f>
        <v/>
      </c>
      <c r="M104" s="47">
        <f>IF($B104="",0,IF((Override!$C$4="ON")*ISNUMBER(Override!$H$110)&gt;0,Override!$H$110,$L104))</f>
        <v/>
      </c>
      <c r="N104" s="47">
        <f>IF($B104="",0,IF((Override!$C$4="ON")*ISNUMBER(Override!$I$110)&gt;0,Override!$I$110,$L104))</f>
        <v/>
      </c>
      <c r="O104" s="54">
        <f>IF($B104="","",IFERROR($B104*$G104*$J104/$B$3,""))</f>
        <v/>
      </c>
      <c r="P104" s="54">
        <f>IF($B104="","",IFERROR($B104*$G104*$L104/$B$3,""))</f>
        <v/>
      </c>
      <c r="Q104" s="38">
        <f>IF($B104="","",IFERROR($O104+$P104,""))</f>
        <v/>
      </c>
      <c r="R104" s="54">
        <f>IF($B104="","",IFERROR($O104+$B104*$G104*$M104/$B$3,""))</f>
        <v/>
      </c>
      <c r="S104" s="54">
        <f>IF($B104="","",IFERROR($O104+$B104*$G104*$N104/$B$3,""))</f>
        <v/>
      </c>
      <c r="T104" s="63">
        <f>IF($B104="","",IFERROR($Q104/$Q$5,""))</f>
        <v/>
      </c>
      <c r="U104" s="2">
        <f>IF($B104="","",IF(COUNTIFS('Dvd Calendar'!$E$1471:$AR$1471,"&gt;0",'Dvd Calendar'!$E$1472:$AR$1472,"&gt;"&amp;MAX(Summary!$C$11,DATE(Summary!$C$12,1,1)-1),'Dvd Calendar'!$E$1472:$AR$1472,"&lt;="&amp;DATE(Summary!$C$12,12,31))-COUNTIFS('Dvd Calendar'!$E$1471:$AR$1471,"&gt;0",'Dvd Calendar'!$E$1472:$AR$1472,"&gt;"&amp;MAX(Summary!$C$11,DATE(Summary!$C$12,1,1)-1),'Dvd Calendar'!$E$1472:$AR$1472,"&lt;="&amp;DATE(Summary!$C$12,12,31),'Dvd Calendar'!$E$1473:$AR$1473,"&gt;=0")&gt;0,"TBA amount - override me",IF((Override!$C$4="ON")*ISNUMBER(Override!$G$110)&gt;0,"overridden",IF($J104+$K104=0,"no dividend in year Y",""))))</f>
        <v/>
      </c>
      <c r="V104" s="54">
        <f>IF($B104="","",IFERROR(IF(ISNUMBER($H104),$B104*$G104*$H104/$B$3,0),""))</f>
        <v/>
      </c>
      <c r="W104" s="54">
        <f>IF($B104="","",IFERROR($B104*$G104*$K104/$B$3,""))</f>
        <v/>
      </c>
    </row>
    <row r="105">
      <c r="B105" s="73" t="n"/>
      <c r="C105" s="6">
        <f>IF($A105="","",$A105&amp;" Equity")</f>
        <v/>
      </c>
      <c r="D105" s="6">
        <f>IF($C105="","",BDP($C105,"NAME"))</f>
        <v/>
      </c>
      <c r="E105" s="6">
        <f>IF($C105="","",BDP($C105,"GICS_SECTOR_NAME"))</f>
        <v/>
      </c>
      <c r="F105" s="31">
        <f>IF($C105="","",BDP($C105,'Field Check'!$C$8))</f>
        <v/>
      </c>
      <c r="G105" s="74">
        <f>IFERROR(IF(LEN($F105)&lt;&gt;3,1,IF($F105="HKD",1,BDP(IF($F105="CNY",Summary!$C$14,$F105)&amp;"HKD Curncy","PX_LAST"))),1)</f>
        <v/>
      </c>
      <c r="H105" s="54">
        <f>IF($C105="","",BDP($C105,'Field Check'!$C$9))</f>
        <v/>
      </c>
      <c r="I105" s="45">
        <f>IF($C105="","",BDP($C105,'Field Check'!$C$10))</f>
        <v/>
      </c>
      <c r="J105" s="47">
        <f>IF($B105="",0,IF(Summary!$C$13="Y",SUMIFS('Dvd Calendar'!$E$1481:$AR$1481,'Dvd Calendar'!$E$1480:$AR$1480,"&gt;="&amp;DATE(Summary!$C$12,1,1),'Dvd Calendar'!$E$1480:$AR$1480,"&lt;="&amp;MIN(Summary!$C$11,DATE(Summary!$C$12,12,31))),SUMIFS('Dvd Calendar'!$E$1481:$AR$1481,'Dvd Calendar'!$E$1480:$AR$1480,"&gt;="&amp;DATE(Summary!$C$12,1,1),'Dvd Calendar'!$E$1480:$AR$1480,"&lt;="&amp;MIN(Summary!$C$11,DATE(Summary!$C$12,12,31)),'Dvd Calendar'!$E$1485:$AR$1485,"&lt;&gt;"&amp;'Field Check'!$C$25)))</f>
        <v/>
      </c>
      <c r="K105" s="47">
        <f>IF($B105="",0,IF(Summary!$C$13="Y",SUMIFS('Dvd Calendar'!$E$1488:$AR$1488,'Dvd Calendar'!$E$1487:$AR$1487,"&gt;"&amp;MAX(Summary!$C$11,DATE(Summary!$C$12,1,1)-1),'Dvd Calendar'!$E$1487:$AR$1487,"&lt;="&amp;DATE(Summary!$C$12,12,31)),SUMIFS('Dvd Calendar'!$E$1488:$AR$1488,'Dvd Calendar'!$E$1487:$AR$1487,"&gt;"&amp;MAX(Summary!$C$11,DATE(Summary!$C$12,1,1)-1),'Dvd Calendar'!$E$1487:$AR$1487,"&lt;="&amp;DATE(Summary!$C$12,12,31),'Dvd Calendar'!$E$1492:$AR$1492,"&lt;&gt;"&amp;'Field Check'!$C$25)))</f>
        <v/>
      </c>
      <c r="L105" s="47">
        <f>IF($B105="",0,IF((Override!$C$4="ON")*ISNUMBER(Override!$G$111)&gt;0,Override!$G$111,$K105))</f>
        <v/>
      </c>
      <c r="M105" s="47">
        <f>IF($B105="",0,IF((Override!$C$4="ON")*ISNUMBER(Override!$H$111)&gt;0,Override!$H$111,$L105))</f>
        <v/>
      </c>
      <c r="N105" s="47">
        <f>IF($B105="",0,IF((Override!$C$4="ON")*ISNUMBER(Override!$I$111)&gt;0,Override!$I$111,$L105))</f>
        <v/>
      </c>
      <c r="O105" s="54">
        <f>IF($B105="","",IFERROR($B105*$G105*$J105/$B$3,""))</f>
        <v/>
      </c>
      <c r="P105" s="54">
        <f>IF($B105="","",IFERROR($B105*$G105*$L105/$B$3,""))</f>
        <v/>
      </c>
      <c r="Q105" s="38">
        <f>IF($B105="","",IFERROR($O105+$P105,""))</f>
        <v/>
      </c>
      <c r="R105" s="54">
        <f>IF($B105="","",IFERROR($O105+$B105*$G105*$M105/$B$3,""))</f>
        <v/>
      </c>
      <c r="S105" s="54">
        <f>IF($B105="","",IFERROR($O105+$B105*$G105*$N105/$B$3,""))</f>
        <v/>
      </c>
      <c r="T105" s="63">
        <f>IF($B105="","",IFERROR($Q105/$Q$5,""))</f>
        <v/>
      </c>
      <c r="U105" s="2">
        <f>IF($B105="","",IF(COUNTIFS('Dvd Calendar'!$E$1486:$AR$1486,"&gt;0",'Dvd Calendar'!$E$1487:$AR$1487,"&gt;"&amp;MAX(Summary!$C$11,DATE(Summary!$C$12,1,1)-1),'Dvd Calendar'!$E$1487:$AR$1487,"&lt;="&amp;DATE(Summary!$C$12,12,31))-COUNTIFS('Dvd Calendar'!$E$1486:$AR$1486,"&gt;0",'Dvd Calendar'!$E$1487:$AR$1487,"&gt;"&amp;MAX(Summary!$C$11,DATE(Summary!$C$12,1,1)-1),'Dvd Calendar'!$E$1487:$AR$1487,"&lt;="&amp;DATE(Summary!$C$12,12,31),'Dvd Calendar'!$E$1488:$AR$1488,"&gt;=0")&gt;0,"TBA amount - override me",IF((Override!$C$4="ON")*ISNUMBER(Override!$G$111)&gt;0,"overridden",IF($J105+$K105=0,"no dividend in year Y",""))))</f>
        <v/>
      </c>
      <c r="V105" s="54">
        <f>IF($B105="","",IFERROR(IF(ISNUMBER($H105),$B105*$G105*$H105/$B$3,0),""))</f>
        <v/>
      </c>
      <c r="W105" s="54">
        <f>IF($B105="","",IFERROR($B105*$G105*$K105/$B$3,""))</f>
        <v/>
      </c>
    </row>
    <row r="106">
      <c r="B106" s="73" t="n"/>
      <c r="C106" s="6">
        <f>IF($A106="","",$A106&amp;" Equity")</f>
        <v/>
      </c>
      <c r="D106" s="6">
        <f>IF($C106="","",BDP($C106,"NAME"))</f>
        <v/>
      </c>
      <c r="E106" s="6">
        <f>IF($C106="","",BDP($C106,"GICS_SECTOR_NAME"))</f>
        <v/>
      </c>
      <c r="F106" s="31">
        <f>IF($C106="","",BDP($C106,'Field Check'!$C$8))</f>
        <v/>
      </c>
      <c r="G106" s="74">
        <f>IFERROR(IF(LEN($F106)&lt;&gt;3,1,IF($F106="HKD",1,BDP(IF($F106="CNY",Summary!$C$14,$F106)&amp;"HKD Curncy","PX_LAST"))),1)</f>
        <v/>
      </c>
      <c r="H106" s="54">
        <f>IF($C106="","",BDP($C106,'Field Check'!$C$9))</f>
        <v/>
      </c>
      <c r="I106" s="45">
        <f>IF($C106="","",BDP($C106,'Field Check'!$C$10))</f>
        <v/>
      </c>
      <c r="J106" s="47">
        <f>IF($B106="",0,IF(Summary!$C$13="Y",SUMIFS('Dvd Calendar'!$E$1496:$AR$1496,'Dvd Calendar'!$E$1495:$AR$1495,"&gt;="&amp;DATE(Summary!$C$12,1,1),'Dvd Calendar'!$E$1495:$AR$1495,"&lt;="&amp;MIN(Summary!$C$11,DATE(Summary!$C$12,12,31))),SUMIFS('Dvd Calendar'!$E$1496:$AR$1496,'Dvd Calendar'!$E$1495:$AR$1495,"&gt;="&amp;DATE(Summary!$C$12,1,1),'Dvd Calendar'!$E$1495:$AR$1495,"&lt;="&amp;MIN(Summary!$C$11,DATE(Summary!$C$12,12,31)),'Dvd Calendar'!$E$1500:$AR$1500,"&lt;&gt;"&amp;'Field Check'!$C$25)))</f>
        <v/>
      </c>
      <c r="K106" s="47">
        <f>IF($B106="",0,IF(Summary!$C$13="Y",SUMIFS('Dvd Calendar'!$E$1503:$AR$1503,'Dvd Calendar'!$E$1502:$AR$1502,"&gt;"&amp;MAX(Summary!$C$11,DATE(Summary!$C$12,1,1)-1),'Dvd Calendar'!$E$1502:$AR$1502,"&lt;="&amp;DATE(Summary!$C$12,12,31)),SUMIFS('Dvd Calendar'!$E$1503:$AR$1503,'Dvd Calendar'!$E$1502:$AR$1502,"&gt;"&amp;MAX(Summary!$C$11,DATE(Summary!$C$12,1,1)-1),'Dvd Calendar'!$E$1502:$AR$1502,"&lt;="&amp;DATE(Summary!$C$12,12,31),'Dvd Calendar'!$E$1507:$AR$1507,"&lt;&gt;"&amp;'Field Check'!$C$25)))</f>
        <v/>
      </c>
      <c r="L106" s="47">
        <f>IF($B106="",0,IF((Override!$C$4="ON")*ISNUMBER(Override!$G$112)&gt;0,Override!$G$112,$K106))</f>
        <v/>
      </c>
      <c r="M106" s="47">
        <f>IF($B106="",0,IF((Override!$C$4="ON")*ISNUMBER(Override!$H$112)&gt;0,Override!$H$112,$L106))</f>
        <v/>
      </c>
      <c r="N106" s="47">
        <f>IF($B106="",0,IF((Override!$C$4="ON")*ISNUMBER(Override!$I$112)&gt;0,Override!$I$112,$L106))</f>
        <v/>
      </c>
      <c r="O106" s="54">
        <f>IF($B106="","",IFERROR($B106*$G106*$J106/$B$3,""))</f>
        <v/>
      </c>
      <c r="P106" s="54">
        <f>IF($B106="","",IFERROR($B106*$G106*$L106/$B$3,""))</f>
        <v/>
      </c>
      <c r="Q106" s="38">
        <f>IF($B106="","",IFERROR($O106+$P106,""))</f>
        <v/>
      </c>
      <c r="R106" s="54">
        <f>IF($B106="","",IFERROR($O106+$B106*$G106*$M106/$B$3,""))</f>
        <v/>
      </c>
      <c r="S106" s="54">
        <f>IF($B106="","",IFERROR($O106+$B106*$G106*$N106/$B$3,""))</f>
        <v/>
      </c>
      <c r="T106" s="63">
        <f>IF($B106="","",IFERROR($Q106/$Q$5,""))</f>
        <v/>
      </c>
      <c r="U106" s="2">
        <f>IF($B106="","",IF(COUNTIFS('Dvd Calendar'!$E$1501:$AR$1501,"&gt;0",'Dvd Calendar'!$E$1502:$AR$1502,"&gt;"&amp;MAX(Summary!$C$11,DATE(Summary!$C$12,1,1)-1),'Dvd Calendar'!$E$1502:$AR$1502,"&lt;="&amp;DATE(Summary!$C$12,12,31))-COUNTIFS('Dvd Calendar'!$E$1501:$AR$1501,"&gt;0",'Dvd Calendar'!$E$1502:$AR$1502,"&gt;"&amp;MAX(Summary!$C$11,DATE(Summary!$C$12,1,1)-1),'Dvd Calendar'!$E$1502:$AR$1502,"&lt;="&amp;DATE(Summary!$C$12,12,31),'Dvd Calendar'!$E$1503:$AR$1503,"&gt;=0")&gt;0,"TBA amount - override me",IF((Override!$C$4="ON")*ISNUMBER(Override!$G$112)&gt;0,"overridden",IF($J106+$K106=0,"no dividend in year Y",""))))</f>
        <v/>
      </c>
      <c r="V106" s="54">
        <f>IF($B106="","",IFERROR(IF(ISNUMBER($H106),$B106*$G106*$H106/$B$3,0),""))</f>
        <v/>
      </c>
      <c r="W106" s="54">
        <f>IF($B106="","",IFERROR($B106*$G106*$K106/$B$3,""))</f>
        <v/>
      </c>
    </row>
  </sheetData>
  <autoFilter ref="A6:W106"/>
  <conditionalFormatting sqref="U7:U106">
    <cfRule type="expression" priority="1" dxfId="0">
      <formula>ISNUMBER(SEARCH("TBA",$U7))</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46"/>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6" customWidth="1" min="3" max="3"/>
    <col width="26" customWidth="1" min="4" max="4"/>
    <col width="21" customWidth="1" min="5" max="5"/>
    <col width="6" customWidth="1" min="6" max="6"/>
    <col width="8" customWidth="1" min="7" max="7"/>
    <col width="9" customWidth="1" min="8" max="8"/>
    <col width="8" customWidth="1" min="9" max="9"/>
    <col width="9" customWidth="1" min="10" max="10"/>
    <col width="9" customWidth="1" min="11" max="11"/>
    <col width="9" customWidth="1" min="12" max="12"/>
    <col width="8" customWidth="1" min="13" max="13"/>
    <col width="8" customWidth="1" min="14" max="14"/>
    <col width="9" customWidth="1" min="15" max="15"/>
    <col width="9" customWidth="1" min="16" max="16"/>
    <col width="10" customWidth="1" min="17" max="17"/>
    <col width="9" customWidth="1" min="18" max="18"/>
    <col width="9" customWidth="1" min="19" max="19"/>
    <col width="8" customWidth="1" min="20" max="20"/>
    <col width="21" customWidth="1" min="21" max="21"/>
    <col width="9" customWidth="1" min="22" max="22"/>
    <col width="9" customWidth="1" min="23" max="23"/>
  </cols>
  <sheetData>
    <row r="1">
      <c r="A1" s="1" t="inlineStr">
        <is>
          <t>Hang Seng TECH Index (HSTECH)  -  MEMBERS, YOUR BASKET, AND THE YEAR MODEL</t>
        </is>
      </c>
    </row>
    <row r="2">
      <c r="A2" s="10" t="inlineStr">
        <is>
          <t>Index ticker</t>
        </is>
      </c>
      <c r="B2" s="12" t="inlineStr">
        <is>
          <t>HSTECH Index</t>
        </is>
      </c>
      <c r="G2" s="2" t="inlineStr">
        <is>
          <t>Members</t>
        </is>
      </c>
      <c r="H2" s="33">
        <f>SUMPRODUCT(($A$7:$A$46&lt;&gt;"")*1)</f>
        <v/>
      </c>
      <c r="K2" s="2" t="inlineStr">
        <is>
          <t>Qty pasted</t>
        </is>
      </c>
      <c r="L2" s="33">
        <f>COUNT($B$7:$B$46)</f>
        <v/>
      </c>
      <c r="O2" s="2" t="inlineStr">
        <is>
          <t>No qty</t>
        </is>
      </c>
      <c r="P2" s="33">
        <f>SUMPRODUCT(($A$7:$A$46&lt;&gt;"")*($B$7:$B$46=""))</f>
        <v/>
      </c>
      <c r="S2" s="2" t="inlineStr">
        <is>
          <t>Amount TBA</t>
        </is>
      </c>
      <c r="T2" s="33">
        <f>COUNTIF($U$7:$U$46,"TBA amount - override me")</f>
        <v/>
      </c>
    </row>
    <row r="3">
      <c r="A3" s="10" t="inlineStr">
        <is>
          <t>Index divisor</t>
        </is>
      </c>
      <c r="B3" s="23" t="n"/>
      <c r="C3" s="2" t="inlineStr">
        <is>
          <t>Paste the official divisor here and the basket quantities in column B. Points = qty x FX-to-HKD x DPS / divisor. A refresh can reshuffle members; pasted quantities do NOT follow them, so re-check alignment after an index review.</t>
        </is>
      </c>
    </row>
    <row r="4">
      <c r="A4" s="3" t="inlineStr">
        <is>
          <t>MEMBER &amp; REFERENCE DATA (Bloomberg)</t>
        </is>
      </c>
      <c r="B4" s="4" t="n"/>
      <c r="C4" s="4" t="n"/>
      <c r="D4" s="4" t="n"/>
      <c r="E4" s="4" t="n"/>
      <c r="F4" s="4" t="n"/>
      <c r="G4" s="4" t="n"/>
      <c r="H4" s="4" t="n"/>
      <c r="I4" s="4" t="n"/>
      <c r="J4" s="3" t="inlineStr">
        <is>
          <t>DIVIDEND PER SHARE - declared currency</t>
        </is>
      </c>
      <c r="K4" s="4" t="n"/>
      <c r="L4" s="4" t="n"/>
      <c r="M4" s="4" t="n"/>
      <c r="N4" s="4" t="n"/>
      <c r="O4" s="3" t="inlineStr">
        <is>
          <t>INDEX POINTS</t>
        </is>
      </c>
      <c r="P4" s="4" t="n"/>
      <c r="Q4" s="4" t="n"/>
      <c r="R4" s="4" t="n"/>
      <c r="S4" s="4" t="n"/>
      <c r="T4" s="4" t="n"/>
      <c r="U4" s="3" t="inlineStr">
        <is>
          <t>FLAG / REFERENCE</t>
        </is>
      </c>
      <c r="V4" s="4" t="n"/>
      <c r="W4" s="4" t="n"/>
    </row>
    <row r="5">
      <c r="N5" s="10" t="inlineStr">
        <is>
          <t>TOTAL -&gt;</t>
        </is>
      </c>
      <c r="O5" s="24">
        <f>IFERROR(SUM(O7:O46),"")</f>
        <v/>
      </c>
      <c r="P5" s="24">
        <f>IFERROR(SUM(P7:P46),"")</f>
        <v/>
      </c>
      <c r="Q5" s="44">
        <f>IFERROR(SUM(Q7:Q46),"")</f>
        <v/>
      </c>
      <c r="R5" s="24">
        <f>IFERROR(SUM(R7:R46),"")</f>
        <v/>
      </c>
      <c r="S5" s="24">
        <f>IFERROR(SUM(S7:S46),"")</f>
        <v/>
      </c>
      <c r="V5" s="24">
        <f>IFERROR(SUM(V7:V46),"")</f>
        <v/>
      </c>
      <c r="W5" s="24">
        <f>IFERROR(SUM(W7:W46),"")</f>
        <v/>
      </c>
    </row>
    <row r="6">
      <c r="A6" s="17" t="inlineStr">
        <is>
          <t>Member</t>
        </is>
      </c>
      <c r="B6" s="17" t="inlineStr">
        <is>
          <t>Basket
Qty</t>
        </is>
      </c>
      <c r="C6" s="17" t="inlineStr">
        <is>
          <t>Bloomberg Ticker</t>
        </is>
      </c>
      <c r="D6" s="17" t="inlineStr">
        <is>
          <t>Name</t>
        </is>
      </c>
      <c r="E6" s="17" t="inlineStr">
        <is>
          <t>GICS Sector</t>
        </is>
      </c>
      <c r="F6" s="17" t="inlineStr">
        <is>
          <t>Dvd
CCY</t>
        </is>
      </c>
      <c r="G6" s="17" t="inlineStr">
        <is>
          <t>FX -&gt;
HKD</t>
        </is>
      </c>
      <c r="H6" s="17" t="inlineStr">
        <is>
          <t>DPS 12M
(ref)</t>
        </is>
      </c>
      <c r="I6" s="17" t="inlineStr">
        <is>
          <t>Yld 12M
(ref)</t>
        </is>
      </c>
      <c r="J6" s="17" t="inlineStr">
        <is>
          <t>Realized
DPS</t>
        </is>
      </c>
      <c r="K6" s="17" t="inlineStr">
        <is>
          <t>To come
DPS (BBG)</t>
        </is>
      </c>
      <c r="L6" s="17" t="inlineStr">
        <is>
          <t>To come
DPS (eff)</t>
        </is>
      </c>
      <c r="M6" s="17" t="inlineStr">
        <is>
          <t>LOW
DPS</t>
        </is>
      </c>
      <c r="N6" s="17" t="inlineStr">
        <is>
          <t>HIGH
DPS</t>
        </is>
      </c>
      <c r="O6" s="51" t="inlineStr">
        <is>
          <t>Realized
(pts)</t>
        </is>
      </c>
      <c r="P6" s="51" t="inlineStr">
        <is>
          <t>To come
(pts)</t>
        </is>
      </c>
      <c r="Q6" s="51" t="inlineStr">
        <is>
          <t>YEAR
TOTAL (pts)</t>
        </is>
      </c>
      <c r="R6" s="51" t="inlineStr">
        <is>
          <t>LOW
(pts)</t>
        </is>
      </c>
      <c r="S6" s="51" t="inlineStr">
        <is>
          <t>HIGH
(pts)</t>
        </is>
      </c>
      <c r="T6" s="51" t="inlineStr">
        <is>
          <t>% of yr
dvds</t>
        </is>
      </c>
      <c r="U6" s="17" t="inlineStr">
        <is>
          <t>Flag</t>
        </is>
      </c>
      <c r="V6" s="17" t="inlineStr">
        <is>
          <t>12M pts
(ref)</t>
        </is>
      </c>
      <c r="W6" s="17" t="inlineStr">
        <is>
          <t>To come
pts (BBG)</t>
        </is>
      </c>
    </row>
    <row r="7">
      <c r="A7" s="6">
        <f>BDS($B$2,"INDX_MEMBERS")</f>
        <v/>
      </c>
      <c r="B7" s="73" t="n"/>
      <c r="C7" s="6">
        <f>IF($A7="","",$A7&amp;" Equity")</f>
        <v/>
      </c>
      <c r="D7" s="6">
        <f>IF($C7="","",BDP($C7,"NAME"))</f>
        <v/>
      </c>
      <c r="E7" s="6">
        <f>IF($C7="","",BDP($C7,"GICS_SECTOR_NAME"))</f>
        <v/>
      </c>
      <c r="F7" s="31">
        <f>IF($C7="","",BDP($C7,'Field Check'!$C$8))</f>
        <v/>
      </c>
      <c r="G7" s="74">
        <f>IFERROR(IF(LEN($F7)&lt;&gt;3,1,IF($F7="HKD",1,BDP(IF($F7="CNY",Summary!$C$14,$F7)&amp;"HKD Curncy","PX_LAST"))),1)</f>
        <v/>
      </c>
      <c r="H7" s="54">
        <f>IF($C7="","",BDP($C7,'Field Check'!$C$9))</f>
        <v/>
      </c>
      <c r="I7" s="45">
        <f>IF($C7="","",BDP($C7,'Field Check'!$C$10))</f>
        <v/>
      </c>
      <c r="J7" s="47">
        <f>IF($B7="",0,IF(Summary!$C$13="Y",SUMIFS('Dvd Calendar'!$E$1516:$AR$1516,'Dvd Calendar'!$E$1515:$AR$1515,"&gt;="&amp;DATE(Summary!$C$12,1,1),'Dvd Calendar'!$E$1515:$AR$1515,"&lt;="&amp;MIN(Summary!$C$11,DATE(Summary!$C$12,12,31))),SUMIFS('Dvd Calendar'!$E$1516:$AR$1516,'Dvd Calendar'!$E$1515:$AR$1515,"&gt;="&amp;DATE(Summary!$C$12,1,1),'Dvd Calendar'!$E$1515:$AR$1515,"&lt;="&amp;MIN(Summary!$C$11,DATE(Summary!$C$12,12,31)),'Dvd Calendar'!$E$1520:$AR$1520,"&lt;&gt;"&amp;'Field Check'!$C$25)))</f>
        <v/>
      </c>
      <c r="K7" s="47">
        <f>IF($B7="",0,IF(Summary!$C$13="Y",SUMIFS('Dvd Calendar'!$E$1523:$AR$1523,'Dvd Calendar'!$E$1522:$AR$1522,"&gt;"&amp;MAX(Summary!$C$11,DATE(Summary!$C$12,1,1)-1),'Dvd Calendar'!$E$1522:$AR$1522,"&lt;="&amp;DATE(Summary!$C$12,12,31)),SUMIFS('Dvd Calendar'!$E$1523:$AR$1523,'Dvd Calendar'!$E$1522:$AR$1522,"&gt;"&amp;MAX(Summary!$C$11,DATE(Summary!$C$12,1,1)-1),'Dvd Calendar'!$E$1522:$AR$1522,"&lt;="&amp;DATE(Summary!$C$12,12,31),'Dvd Calendar'!$E$1527:$AR$1527,"&lt;&gt;"&amp;'Field Check'!$C$25)))</f>
        <v/>
      </c>
      <c r="L7" s="47">
        <f>IF($B7="",0,IF((Override!$C$4="ON")*ISNUMBER(Override!$G$113)&gt;0,Override!$G$113,$K7))</f>
        <v/>
      </c>
      <c r="M7" s="47">
        <f>IF($B7="",0,IF((Override!$C$4="ON")*ISNUMBER(Override!$H$113)&gt;0,Override!$H$113,$L7))</f>
        <v/>
      </c>
      <c r="N7" s="47">
        <f>IF($B7="",0,IF((Override!$C$4="ON")*ISNUMBER(Override!$I$113)&gt;0,Override!$I$113,$L7))</f>
        <v/>
      </c>
      <c r="O7" s="54">
        <f>IF($B7="","",IFERROR($B7*$G7*$J7/$B$3,""))</f>
        <v/>
      </c>
      <c r="P7" s="54">
        <f>IF($B7="","",IFERROR($B7*$G7*$L7/$B$3,""))</f>
        <v/>
      </c>
      <c r="Q7" s="38">
        <f>IF($B7="","",IFERROR($O7+$P7,""))</f>
        <v/>
      </c>
      <c r="R7" s="54">
        <f>IF($B7="","",IFERROR($O7+$B7*$G7*$M7/$B$3,""))</f>
        <v/>
      </c>
      <c r="S7" s="54">
        <f>IF($B7="","",IFERROR($O7+$B7*$G7*$N7/$B$3,""))</f>
        <v/>
      </c>
      <c r="T7" s="63">
        <f>IF($B7="","",IFERROR($Q7/$Q$5,""))</f>
        <v/>
      </c>
      <c r="U7" s="2">
        <f>IF($B7="","",IF(COUNTIFS('Dvd Calendar'!$E$1521:$AR$1521,"&gt;0",'Dvd Calendar'!$E$1522:$AR$1522,"&gt;"&amp;MAX(Summary!$C$11,DATE(Summary!$C$12,1,1)-1),'Dvd Calendar'!$E$1522:$AR$1522,"&lt;="&amp;DATE(Summary!$C$12,12,31))-COUNTIFS('Dvd Calendar'!$E$1521:$AR$1521,"&gt;0",'Dvd Calendar'!$E$1522:$AR$1522,"&gt;"&amp;MAX(Summary!$C$11,DATE(Summary!$C$12,1,1)-1),'Dvd Calendar'!$E$1522:$AR$1522,"&lt;="&amp;DATE(Summary!$C$12,12,31),'Dvd Calendar'!$E$1523:$AR$1523,"&gt;=0")&gt;0,"TBA amount - override me",IF((Override!$C$4="ON")*ISNUMBER(Override!$G$113)&gt;0,"overridden",IF($J7+$K7=0,"no dividend in year Y",""))))</f>
        <v/>
      </c>
      <c r="V7" s="54">
        <f>IF($B7="","",IFERROR(IF(ISNUMBER($H7),$B7*$G7*$H7/$B$3,0),""))</f>
        <v/>
      </c>
      <c r="W7" s="54">
        <f>IF($B7="","",IFERROR($B7*$G7*$K7/$B$3,""))</f>
        <v/>
      </c>
    </row>
    <row r="8">
      <c r="B8" s="73" t="n"/>
      <c r="C8" s="6">
        <f>IF($A8="","",$A8&amp;" Equity")</f>
        <v/>
      </c>
      <c r="D8" s="6">
        <f>IF($C8="","",BDP($C8,"NAME"))</f>
        <v/>
      </c>
      <c r="E8" s="6">
        <f>IF($C8="","",BDP($C8,"GICS_SECTOR_NAME"))</f>
        <v/>
      </c>
      <c r="F8" s="31">
        <f>IF($C8="","",BDP($C8,'Field Check'!$C$8))</f>
        <v/>
      </c>
      <c r="G8" s="74">
        <f>IFERROR(IF(LEN($F8)&lt;&gt;3,1,IF($F8="HKD",1,BDP(IF($F8="CNY",Summary!$C$14,$F8)&amp;"HKD Curncy","PX_LAST"))),1)</f>
        <v/>
      </c>
      <c r="H8" s="54">
        <f>IF($C8="","",BDP($C8,'Field Check'!$C$9))</f>
        <v/>
      </c>
      <c r="I8" s="45">
        <f>IF($C8="","",BDP($C8,'Field Check'!$C$10))</f>
        <v/>
      </c>
      <c r="J8" s="47">
        <f>IF($B8="",0,IF(Summary!$C$13="Y",SUMIFS('Dvd Calendar'!$E$1531:$AR$1531,'Dvd Calendar'!$E$1530:$AR$1530,"&gt;="&amp;DATE(Summary!$C$12,1,1),'Dvd Calendar'!$E$1530:$AR$1530,"&lt;="&amp;MIN(Summary!$C$11,DATE(Summary!$C$12,12,31))),SUMIFS('Dvd Calendar'!$E$1531:$AR$1531,'Dvd Calendar'!$E$1530:$AR$1530,"&gt;="&amp;DATE(Summary!$C$12,1,1),'Dvd Calendar'!$E$1530:$AR$1530,"&lt;="&amp;MIN(Summary!$C$11,DATE(Summary!$C$12,12,31)),'Dvd Calendar'!$E$1535:$AR$1535,"&lt;&gt;"&amp;'Field Check'!$C$25)))</f>
        <v/>
      </c>
      <c r="K8" s="47">
        <f>IF($B8="",0,IF(Summary!$C$13="Y",SUMIFS('Dvd Calendar'!$E$1538:$AR$1538,'Dvd Calendar'!$E$1537:$AR$1537,"&gt;"&amp;MAX(Summary!$C$11,DATE(Summary!$C$12,1,1)-1),'Dvd Calendar'!$E$1537:$AR$1537,"&lt;="&amp;DATE(Summary!$C$12,12,31)),SUMIFS('Dvd Calendar'!$E$1538:$AR$1538,'Dvd Calendar'!$E$1537:$AR$1537,"&gt;"&amp;MAX(Summary!$C$11,DATE(Summary!$C$12,1,1)-1),'Dvd Calendar'!$E$1537:$AR$1537,"&lt;="&amp;DATE(Summary!$C$12,12,31),'Dvd Calendar'!$E$1542:$AR$1542,"&lt;&gt;"&amp;'Field Check'!$C$25)))</f>
        <v/>
      </c>
      <c r="L8" s="47">
        <f>IF($B8="",0,IF((Override!$C$4="ON")*ISNUMBER(Override!$G$114)&gt;0,Override!$G$114,$K8))</f>
        <v/>
      </c>
      <c r="M8" s="47">
        <f>IF($B8="",0,IF((Override!$C$4="ON")*ISNUMBER(Override!$H$114)&gt;0,Override!$H$114,$L8))</f>
        <v/>
      </c>
      <c r="N8" s="47">
        <f>IF($B8="",0,IF((Override!$C$4="ON")*ISNUMBER(Override!$I$114)&gt;0,Override!$I$114,$L8))</f>
        <v/>
      </c>
      <c r="O8" s="54">
        <f>IF($B8="","",IFERROR($B8*$G8*$J8/$B$3,""))</f>
        <v/>
      </c>
      <c r="P8" s="54">
        <f>IF($B8="","",IFERROR($B8*$G8*$L8/$B$3,""))</f>
        <v/>
      </c>
      <c r="Q8" s="38">
        <f>IF($B8="","",IFERROR($O8+$P8,""))</f>
        <v/>
      </c>
      <c r="R8" s="54">
        <f>IF($B8="","",IFERROR($O8+$B8*$G8*$M8/$B$3,""))</f>
        <v/>
      </c>
      <c r="S8" s="54">
        <f>IF($B8="","",IFERROR($O8+$B8*$G8*$N8/$B$3,""))</f>
        <v/>
      </c>
      <c r="T8" s="63">
        <f>IF($B8="","",IFERROR($Q8/$Q$5,""))</f>
        <v/>
      </c>
      <c r="U8" s="2">
        <f>IF($B8="","",IF(COUNTIFS('Dvd Calendar'!$E$1536:$AR$1536,"&gt;0",'Dvd Calendar'!$E$1537:$AR$1537,"&gt;"&amp;MAX(Summary!$C$11,DATE(Summary!$C$12,1,1)-1),'Dvd Calendar'!$E$1537:$AR$1537,"&lt;="&amp;DATE(Summary!$C$12,12,31))-COUNTIFS('Dvd Calendar'!$E$1536:$AR$1536,"&gt;0",'Dvd Calendar'!$E$1537:$AR$1537,"&gt;"&amp;MAX(Summary!$C$11,DATE(Summary!$C$12,1,1)-1),'Dvd Calendar'!$E$1537:$AR$1537,"&lt;="&amp;DATE(Summary!$C$12,12,31),'Dvd Calendar'!$E$1538:$AR$1538,"&gt;=0")&gt;0,"TBA amount - override me",IF((Override!$C$4="ON")*ISNUMBER(Override!$G$114)&gt;0,"overridden",IF($J8+$K8=0,"no dividend in year Y",""))))</f>
        <v/>
      </c>
      <c r="V8" s="54">
        <f>IF($B8="","",IFERROR(IF(ISNUMBER($H8),$B8*$G8*$H8/$B$3,0),""))</f>
        <v/>
      </c>
      <c r="W8" s="54">
        <f>IF($B8="","",IFERROR($B8*$G8*$K8/$B$3,""))</f>
        <v/>
      </c>
    </row>
    <row r="9">
      <c r="B9" s="73" t="n"/>
      <c r="C9" s="6">
        <f>IF($A9="","",$A9&amp;" Equity")</f>
        <v/>
      </c>
      <c r="D9" s="6">
        <f>IF($C9="","",BDP($C9,"NAME"))</f>
        <v/>
      </c>
      <c r="E9" s="6">
        <f>IF($C9="","",BDP($C9,"GICS_SECTOR_NAME"))</f>
        <v/>
      </c>
      <c r="F9" s="31">
        <f>IF($C9="","",BDP($C9,'Field Check'!$C$8))</f>
        <v/>
      </c>
      <c r="G9" s="74">
        <f>IFERROR(IF(LEN($F9)&lt;&gt;3,1,IF($F9="HKD",1,BDP(IF($F9="CNY",Summary!$C$14,$F9)&amp;"HKD Curncy","PX_LAST"))),1)</f>
        <v/>
      </c>
      <c r="H9" s="54">
        <f>IF($C9="","",BDP($C9,'Field Check'!$C$9))</f>
        <v/>
      </c>
      <c r="I9" s="45">
        <f>IF($C9="","",BDP($C9,'Field Check'!$C$10))</f>
        <v/>
      </c>
      <c r="J9" s="47">
        <f>IF($B9="",0,IF(Summary!$C$13="Y",SUMIFS('Dvd Calendar'!$E$1546:$AR$1546,'Dvd Calendar'!$E$1545:$AR$1545,"&gt;="&amp;DATE(Summary!$C$12,1,1),'Dvd Calendar'!$E$1545:$AR$1545,"&lt;="&amp;MIN(Summary!$C$11,DATE(Summary!$C$12,12,31))),SUMIFS('Dvd Calendar'!$E$1546:$AR$1546,'Dvd Calendar'!$E$1545:$AR$1545,"&gt;="&amp;DATE(Summary!$C$12,1,1),'Dvd Calendar'!$E$1545:$AR$1545,"&lt;="&amp;MIN(Summary!$C$11,DATE(Summary!$C$12,12,31)),'Dvd Calendar'!$E$1550:$AR$1550,"&lt;&gt;"&amp;'Field Check'!$C$25)))</f>
        <v/>
      </c>
      <c r="K9" s="47">
        <f>IF($B9="",0,IF(Summary!$C$13="Y",SUMIFS('Dvd Calendar'!$E$1553:$AR$1553,'Dvd Calendar'!$E$1552:$AR$1552,"&gt;"&amp;MAX(Summary!$C$11,DATE(Summary!$C$12,1,1)-1),'Dvd Calendar'!$E$1552:$AR$1552,"&lt;="&amp;DATE(Summary!$C$12,12,31)),SUMIFS('Dvd Calendar'!$E$1553:$AR$1553,'Dvd Calendar'!$E$1552:$AR$1552,"&gt;"&amp;MAX(Summary!$C$11,DATE(Summary!$C$12,1,1)-1),'Dvd Calendar'!$E$1552:$AR$1552,"&lt;="&amp;DATE(Summary!$C$12,12,31),'Dvd Calendar'!$E$1557:$AR$1557,"&lt;&gt;"&amp;'Field Check'!$C$25)))</f>
        <v/>
      </c>
      <c r="L9" s="47">
        <f>IF($B9="",0,IF((Override!$C$4="ON")*ISNUMBER(Override!$G$115)&gt;0,Override!$G$115,$K9))</f>
        <v/>
      </c>
      <c r="M9" s="47">
        <f>IF($B9="",0,IF((Override!$C$4="ON")*ISNUMBER(Override!$H$115)&gt;0,Override!$H$115,$L9))</f>
        <v/>
      </c>
      <c r="N9" s="47">
        <f>IF($B9="",0,IF((Override!$C$4="ON")*ISNUMBER(Override!$I$115)&gt;0,Override!$I$115,$L9))</f>
        <v/>
      </c>
      <c r="O9" s="54">
        <f>IF($B9="","",IFERROR($B9*$G9*$J9/$B$3,""))</f>
        <v/>
      </c>
      <c r="P9" s="54">
        <f>IF($B9="","",IFERROR($B9*$G9*$L9/$B$3,""))</f>
        <v/>
      </c>
      <c r="Q9" s="38">
        <f>IF($B9="","",IFERROR($O9+$P9,""))</f>
        <v/>
      </c>
      <c r="R9" s="54">
        <f>IF($B9="","",IFERROR($O9+$B9*$G9*$M9/$B$3,""))</f>
        <v/>
      </c>
      <c r="S9" s="54">
        <f>IF($B9="","",IFERROR($O9+$B9*$G9*$N9/$B$3,""))</f>
        <v/>
      </c>
      <c r="T9" s="63">
        <f>IF($B9="","",IFERROR($Q9/$Q$5,""))</f>
        <v/>
      </c>
      <c r="U9" s="2">
        <f>IF($B9="","",IF(COUNTIFS('Dvd Calendar'!$E$1551:$AR$1551,"&gt;0",'Dvd Calendar'!$E$1552:$AR$1552,"&gt;"&amp;MAX(Summary!$C$11,DATE(Summary!$C$12,1,1)-1),'Dvd Calendar'!$E$1552:$AR$1552,"&lt;="&amp;DATE(Summary!$C$12,12,31))-COUNTIFS('Dvd Calendar'!$E$1551:$AR$1551,"&gt;0",'Dvd Calendar'!$E$1552:$AR$1552,"&gt;"&amp;MAX(Summary!$C$11,DATE(Summary!$C$12,1,1)-1),'Dvd Calendar'!$E$1552:$AR$1552,"&lt;="&amp;DATE(Summary!$C$12,12,31),'Dvd Calendar'!$E$1553:$AR$1553,"&gt;=0")&gt;0,"TBA amount - override me",IF((Override!$C$4="ON")*ISNUMBER(Override!$G$115)&gt;0,"overridden",IF($J9+$K9=0,"no dividend in year Y",""))))</f>
        <v/>
      </c>
      <c r="V9" s="54">
        <f>IF($B9="","",IFERROR(IF(ISNUMBER($H9),$B9*$G9*$H9/$B$3,0),""))</f>
        <v/>
      </c>
      <c r="W9" s="54">
        <f>IF($B9="","",IFERROR($B9*$G9*$K9/$B$3,""))</f>
        <v/>
      </c>
    </row>
    <row r="10">
      <c r="B10" s="73" t="n"/>
      <c r="C10" s="6">
        <f>IF($A10="","",$A10&amp;" Equity")</f>
        <v/>
      </c>
      <c r="D10" s="6">
        <f>IF($C10="","",BDP($C10,"NAME"))</f>
        <v/>
      </c>
      <c r="E10" s="6">
        <f>IF($C10="","",BDP($C10,"GICS_SECTOR_NAME"))</f>
        <v/>
      </c>
      <c r="F10" s="31">
        <f>IF($C10="","",BDP($C10,'Field Check'!$C$8))</f>
        <v/>
      </c>
      <c r="G10" s="74">
        <f>IFERROR(IF(LEN($F10)&lt;&gt;3,1,IF($F10="HKD",1,BDP(IF($F10="CNY",Summary!$C$14,$F10)&amp;"HKD Curncy","PX_LAST"))),1)</f>
        <v/>
      </c>
      <c r="H10" s="54">
        <f>IF($C10="","",BDP($C10,'Field Check'!$C$9))</f>
        <v/>
      </c>
      <c r="I10" s="45">
        <f>IF($C10="","",BDP($C10,'Field Check'!$C$10))</f>
        <v/>
      </c>
      <c r="J10" s="47">
        <f>IF($B10="",0,IF(Summary!$C$13="Y",SUMIFS('Dvd Calendar'!$E$1561:$AR$1561,'Dvd Calendar'!$E$1560:$AR$1560,"&gt;="&amp;DATE(Summary!$C$12,1,1),'Dvd Calendar'!$E$1560:$AR$1560,"&lt;="&amp;MIN(Summary!$C$11,DATE(Summary!$C$12,12,31))),SUMIFS('Dvd Calendar'!$E$1561:$AR$1561,'Dvd Calendar'!$E$1560:$AR$1560,"&gt;="&amp;DATE(Summary!$C$12,1,1),'Dvd Calendar'!$E$1560:$AR$1560,"&lt;="&amp;MIN(Summary!$C$11,DATE(Summary!$C$12,12,31)),'Dvd Calendar'!$E$1565:$AR$1565,"&lt;&gt;"&amp;'Field Check'!$C$25)))</f>
        <v/>
      </c>
      <c r="K10" s="47">
        <f>IF($B10="",0,IF(Summary!$C$13="Y",SUMIFS('Dvd Calendar'!$E$1568:$AR$1568,'Dvd Calendar'!$E$1567:$AR$1567,"&gt;"&amp;MAX(Summary!$C$11,DATE(Summary!$C$12,1,1)-1),'Dvd Calendar'!$E$1567:$AR$1567,"&lt;="&amp;DATE(Summary!$C$12,12,31)),SUMIFS('Dvd Calendar'!$E$1568:$AR$1568,'Dvd Calendar'!$E$1567:$AR$1567,"&gt;"&amp;MAX(Summary!$C$11,DATE(Summary!$C$12,1,1)-1),'Dvd Calendar'!$E$1567:$AR$1567,"&lt;="&amp;DATE(Summary!$C$12,12,31),'Dvd Calendar'!$E$1572:$AR$1572,"&lt;&gt;"&amp;'Field Check'!$C$25)))</f>
        <v/>
      </c>
      <c r="L10" s="47">
        <f>IF($B10="",0,IF((Override!$C$4="ON")*ISNUMBER(Override!$G$116)&gt;0,Override!$G$116,$K10))</f>
        <v/>
      </c>
      <c r="M10" s="47">
        <f>IF($B10="",0,IF((Override!$C$4="ON")*ISNUMBER(Override!$H$116)&gt;0,Override!$H$116,$L10))</f>
        <v/>
      </c>
      <c r="N10" s="47">
        <f>IF($B10="",0,IF((Override!$C$4="ON")*ISNUMBER(Override!$I$116)&gt;0,Override!$I$116,$L10))</f>
        <v/>
      </c>
      <c r="O10" s="54">
        <f>IF($B10="","",IFERROR($B10*$G10*$J10/$B$3,""))</f>
        <v/>
      </c>
      <c r="P10" s="54">
        <f>IF($B10="","",IFERROR($B10*$G10*$L10/$B$3,""))</f>
        <v/>
      </c>
      <c r="Q10" s="38">
        <f>IF($B10="","",IFERROR($O10+$P10,""))</f>
        <v/>
      </c>
      <c r="R10" s="54">
        <f>IF($B10="","",IFERROR($O10+$B10*$G10*$M10/$B$3,""))</f>
        <v/>
      </c>
      <c r="S10" s="54">
        <f>IF($B10="","",IFERROR($O10+$B10*$G10*$N10/$B$3,""))</f>
        <v/>
      </c>
      <c r="T10" s="63">
        <f>IF($B10="","",IFERROR($Q10/$Q$5,""))</f>
        <v/>
      </c>
      <c r="U10" s="2">
        <f>IF($B10="","",IF(COUNTIFS('Dvd Calendar'!$E$1566:$AR$1566,"&gt;0",'Dvd Calendar'!$E$1567:$AR$1567,"&gt;"&amp;MAX(Summary!$C$11,DATE(Summary!$C$12,1,1)-1),'Dvd Calendar'!$E$1567:$AR$1567,"&lt;="&amp;DATE(Summary!$C$12,12,31))-COUNTIFS('Dvd Calendar'!$E$1566:$AR$1566,"&gt;0",'Dvd Calendar'!$E$1567:$AR$1567,"&gt;"&amp;MAX(Summary!$C$11,DATE(Summary!$C$12,1,1)-1),'Dvd Calendar'!$E$1567:$AR$1567,"&lt;="&amp;DATE(Summary!$C$12,12,31),'Dvd Calendar'!$E$1568:$AR$1568,"&gt;=0")&gt;0,"TBA amount - override me",IF((Override!$C$4="ON")*ISNUMBER(Override!$G$116)&gt;0,"overridden",IF($J10+$K10=0,"no dividend in year Y",""))))</f>
        <v/>
      </c>
      <c r="V10" s="54">
        <f>IF($B10="","",IFERROR(IF(ISNUMBER($H10),$B10*$G10*$H10/$B$3,0),""))</f>
        <v/>
      </c>
      <c r="W10" s="54">
        <f>IF($B10="","",IFERROR($B10*$G10*$K10/$B$3,""))</f>
        <v/>
      </c>
    </row>
    <row r="11">
      <c r="B11" s="73" t="n"/>
      <c r="C11" s="6">
        <f>IF($A11="","",$A11&amp;" Equity")</f>
        <v/>
      </c>
      <c r="D11" s="6">
        <f>IF($C11="","",BDP($C11,"NAME"))</f>
        <v/>
      </c>
      <c r="E11" s="6">
        <f>IF($C11="","",BDP($C11,"GICS_SECTOR_NAME"))</f>
        <v/>
      </c>
      <c r="F11" s="31">
        <f>IF($C11="","",BDP($C11,'Field Check'!$C$8))</f>
        <v/>
      </c>
      <c r="G11" s="74">
        <f>IFERROR(IF(LEN($F11)&lt;&gt;3,1,IF($F11="HKD",1,BDP(IF($F11="CNY",Summary!$C$14,$F11)&amp;"HKD Curncy","PX_LAST"))),1)</f>
        <v/>
      </c>
      <c r="H11" s="54">
        <f>IF($C11="","",BDP($C11,'Field Check'!$C$9))</f>
        <v/>
      </c>
      <c r="I11" s="45">
        <f>IF($C11="","",BDP($C11,'Field Check'!$C$10))</f>
        <v/>
      </c>
      <c r="J11" s="47">
        <f>IF($B11="",0,IF(Summary!$C$13="Y",SUMIFS('Dvd Calendar'!$E$1576:$AR$1576,'Dvd Calendar'!$E$1575:$AR$1575,"&gt;="&amp;DATE(Summary!$C$12,1,1),'Dvd Calendar'!$E$1575:$AR$1575,"&lt;="&amp;MIN(Summary!$C$11,DATE(Summary!$C$12,12,31))),SUMIFS('Dvd Calendar'!$E$1576:$AR$1576,'Dvd Calendar'!$E$1575:$AR$1575,"&gt;="&amp;DATE(Summary!$C$12,1,1),'Dvd Calendar'!$E$1575:$AR$1575,"&lt;="&amp;MIN(Summary!$C$11,DATE(Summary!$C$12,12,31)),'Dvd Calendar'!$E$1580:$AR$1580,"&lt;&gt;"&amp;'Field Check'!$C$25)))</f>
        <v/>
      </c>
      <c r="K11" s="47">
        <f>IF($B11="",0,IF(Summary!$C$13="Y",SUMIFS('Dvd Calendar'!$E$1583:$AR$1583,'Dvd Calendar'!$E$1582:$AR$1582,"&gt;"&amp;MAX(Summary!$C$11,DATE(Summary!$C$12,1,1)-1),'Dvd Calendar'!$E$1582:$AR$1582,"&lt;="&amp;DATE(Summary!$C$12,12,31)),SUMIFS('Dvd Calendar'!$E$1583:$AR$1583,'Dvd Calendar'!$E$1582:$AR$1582,"&gt;"&amp;MAX(Summary!$C$11,DATE(Summary!$C$12,1,1)-1),'Dvd Calendar'!$E$1582:$AR$1582,"&lt;="&amp;DATE(Summary!$C$12,12,31),'Dvd Calendar'!$E$1587:$AR$1587,"&lt;&gt;"&amp;'Field Check'!$C$25)))</f>
        <v/>
      </c>
      <c r="L11" s="47">
        <f>IF($B11="",0,IF((Override!$C$4="ON")*ISNUMBER(Override!$G$117)&gt;0,Override!$G$117,$K11))</f>
        <v/>
      </c>
      <c r="M11" s="47">
        <f>IF($B11="",0,IF((Override!$C$4="ON")*ISNUMBER(Override!$H$117)&gt;0,Override!$H$117,$L11))</f>
        <v/>
      </c>
      <c r="N11" s="47">
        <f>IF($B11="",0,IF((Override!$C$4="ON")*ISNUMBER(Override!$I$117)&gt;0,Override!$I$117,$L11))</f>
        <v/>
      </c>
      <c r="O11" s="54">
        <f>IF($B11="","",IFERROR($B11*$G11*$J11/$B$3,""))</f>
        <v/>
      </c>
      <c r="P11" s="54">
        <f>IF($B11="","",IFERROR($B11*$G11*$L11/$B$3,""))</f>
        <v/>
      </c>
      <c r="Q11" s="38">
        <f>IF($B11="","",IFERROR($O11+$P11,""))</f>
        <v/>
      </c>
      <c r="R11" s="54">
        <f>IF($B11="","",IFERROR($O11+$B11*$G11*$M11/$B$3,""))</f>
        <v/>
      </c>
      <c r="S11" s="54">
        <f>IF($B11="","",IFERROR($O11+$B11*$G11*$N11/$B$3,""))</f>
        <v/>
      </c>
      <c r="T11" s="63">
        <f>IF($B11="","",IFERROR($Q11/$Q$5,""))</f>
        <v/>
      </c>
      <c r="U11" s="2">
        <f>IF($B11="","",IF(COUNTIFS('Dvd Calendar'!$E$1581:$AR$1581,"&gt;0",'Dvd Calendar'!$E$1582:$AR$1582,"&gt;"&amp;MAX(Summary!$C$11,DATE(Summary!$C$12,1,1)-1),'Dvd Calendar'!$E$1582:$AR$1582,"&lt;="&amp;DATE(Summary!$C$12,12,31))-COUNTIFS('Dvd Calendar'!$E$1581:$AR$1581,"&gt;0",'Dvd Calendar'!$E$1582:$AR$1582,"&gt;"&amp;MAX(Summary!$C$11,DATE(Summary!$C$12,1,1)-1),'Dvd Calendar'!$E$1582:$AR$1582,"&lt;="&amp;DATE(Summary!$C$12,12,31),'Dvd Calendar'!$E$1583:$AR$1583,"&gt;=0")&gt;0,"TBA amount - override me",IF((Override!$C$4="ON")*ISNUMBER(Override!$G$117)&gt;0,"overridden",IF($J11+$K11=0,"no dividend in year Y",""))))</f>
        <v/>
      </c>
      <c r="V11" s="54">
        <f>IF($B11="","",IFERROR(IF(ISNUMBER($H11),$B11*$G11*$H11/$B$3,0),""))</f>
        <v/>
      </c>
      <c r="W11" s="54">
        <f>IF($B11="","",IFERROR($B11*$G11*$K11/$B$3,""))</f>
        <v/>
      </c>
    </row>
    <row r="12">
      <c r="B12" s="73" t="n"/>
      <c r="C12" s="6">
        <f>IF($A12="","",$A12&amp;" Equity")</f>
        <v/>
      </c>
      <c r="D12" s="6">
        <f>IF($C12="","",BDP($C12,"NAME"))</f>
        <v/>
      </c>
      <c r="E12" s="6">
        <f>IF($C12="","",BDP($C12,"GICS_SECTOR_NAME"))</f>
        <v/>
      </c>
      <c r="F12" s="31">
        <f>IF($C12="","",BDP($C12,'Field Check'!$C$8))</f>
        <v/>
      </c>
      <c r="G12" s="74">
        <f>IFERROR(IF(LEN($F12)&lt;&gt;3,1,IF($F12="HKD",1,BDP(IF($F12="CNY",Summary!$C$14,$F12)&amp;"HKD Curncy","PX_LAST"))),1)</f>
        <v/>
      </c>
      <c r="H12" s="54">
        <f>IF($C12="","",BDP($C12,'Field Check'!$C$9))</f>
        <v/>
      </c>
      <c r="I12" s="45">
        <f>IF($C12="","",BDP($C12,'Field Check'!$C$10))</f>
        <v/>
      </c>
      <c r="J12" s="47">
        <f>IF($B12="",0,IF(Summary!$C$13="Y",SUMIFS('Dvd Calendar'!$E$1591:$AR$1591,'Dvd Calendar'!$E$1590:$AR$1590,"&gt;="&amp;DATE(Summary!$C$12,1,1),'Dvd Calendar'!$E$1590:$AR$1590,"&lt;="&amp;MIN(Summary!$C$11,DATE(Summary!$C$12,12,31))),SUMIFS('Dvd Calendar'!$E$1591:$AR$1591,'Dvd Calendar'!$E$1590:$AR$1590,"&gt;="&amp;DATE(Summary!$C$12,1,1),'Dvd Calendar'!$E$1590:$AR$1590,"&lt;="&amp;MIN(Summary!$C$11,DATE(Summary!$C$12,12,31)),'Dvd Calendar'!$E$1595:$AR$1595,"&lt;&gt;"&amp;'Field Check'!$C$25)))</f>
        <v/>
      </c>
      <c r="K12" s="47">
        <f>IF($B12="",0,IF(Summary!$C$13="Y",SUMIFS('Dvd Calendar'!$E$1598:$AR$1598,'Dvd Calendar'!$E$1597:$AR$1597,"&gt;"&amp;MAX(Summary!$C$11,DATE(Summary!$C$12,1,1)-1),'Dvd Calendar'!$E$1597:$AR$1597,"&lt;="&amp;DATE(Summary!$C$12,12,31)),SUMIFS('Dvd Calendar'!$E$1598:$AR$1598,'Dvd Calendar'!$E$1597:$AR$1597,"&gt;"&amp;MAX(Summary!$C$11,DATE(Summary!$C$12,1,1)-1),'Dvd Calendar'!$E$1597:$AR$1597,"&lt;="&amp;DATE(Summary!$C$12,12,31),'Dvd Calendar'!$E$1602:$AR$1602,"&lt;&gt;"&amp;'Field Check'!$C$25)))</f>
        <v/>
      </c>
      <c r="L12" s="47">
        <f>IF($B12="",0,IF((Override!$C$4="ON")*ISNUMBER(Override!$G$118)&gt;0,Override!$G$118,$K12))</f>
        <v/>
      </c>
      <c r="M12" s="47">
        <f>IF($B12="",0,IF((Override!$C$4="ON")*ISNUMBER(Override!$H$118)&gt;0,Override!$H$118,$L12))</f>
        <v/>
      </c>
      <c r="N12" s="47">
        <f>IF($B12="",0,IF((Override!$C$4="ON")*ISNUMBER(Override!$I$118)&gt;0,Override!$I$118,$L12))</f>
        <v/>
      </c>
      <c r="O12" s="54">
        <f>IF($B12="","",IFERROR($B12*$G12*$J12/$B$3,""))</f>
        <v/>
      </c>
      <c r="P12" s="54">
        <f>IF($B12="","",IFERROR($B12*$G12*$L12/$B$3,""))</f>
        <v/>
      </c>
      <c r="Q12" s="38">
        <f>IF($B12="","",IFERROR($O12+$P12,""))</f>
        <v/>
      </c>
      <c r="R12" s="54">
        <f>IF($B12="","",IFERROR($O12+$B12*$G12*$M12/$B$3,""))</f>
        <v/>
      </c>
      <c r="S12" s="54">
        <f>IF($B12="","",IFERROR($O12+$B12*$G12*$N12/$B$3,""))</f>
        <v/>
      </c>
      <c r="T12" s="63">
        <f>IF($B12="","",IFERROR($Q12/$Q$5,""))</f>
        <v/>
      </c>
      <c r="U12" s="2">
        <f>IF($B12="","",IF(COUNTIFS('Dvd Calendar'!$E$1596:$AR$1596,"&gt;0",'Dvd Calendar'!$E$1597:$AR$1597,"&gt;"&amp;MAX(Summary!$C$11,DATE(Summary!$C$12,1,1)-1),'Dvd Calendar'!$E$1597:$AR$1597,"&lt;="&amp;DATE(Summary!$C$12,12,31))-COUNTIFS('Dvd Calendar'!$E$1596:$AR$1596,"&gt;0",'Dvd Calendar'!$E$1597:$AR$1597,"&gt;"&amp;MAX(Summary!$C$11,DATE(Summary!$C$12,1,1)-1),'Dvd Calendar'!$E$1597:$AR$1597,"&lt;="&amp;DATE(Summary!$C$12,12,31),'Dvd Calendar'!$E$1598:$AR$1598,"&gt;=0")&gt;0,"TBA amount - override me",IF((Override!$C$4="ON")*ISNUMBER(Override!$G$118)&gt;0,"overridden",IF($J12+$K12=0,"no dividend in year Y",""))))</f>
        <v/>
      </c>
      <c r="V12" s="54">
        <f>IF($B12="","",IFERROR(IF(ISNUMBER($H12),$B12*$G12*$H12/$B$3,0),""))</f>
        <v/>
      </c>
      <c r="W12" s="54">
        <f>IF($B12="","",IFERROR($B12*$G12*$K12/$B$3,""))</f>
        <v/>
      </c>
    </row>
    <row r="13">
      <c r="B13" s="73" t="n"/>
      <c r="C13" s="6">
        <f>IF($A13="","",$A13&amp;" Equity")</f>
        <v/>
      </c>
      <c r="D13" s="6">
        <f>IF($C13="","",BDP($C13,"NAME"))</f>
        <v/>
      </c>
      <c r="E13" s="6">
        <f>IF($C13="","",BDP($C13,"GICS_SECTOR_NAME"))</f>
        <v/>
      </c>
      <c r="F13" s="31">
        <f>IF($C13="","",BDP($C13,'Field Check'!$C$8))</f>
        <v/>
      </c>
      <c r="G13" s="74">
        <f>IFERROR(IF(LEN($F13)&lt;&gt;3,1,IF($F13="HKD",1,BDP(IF($F13="CNY",Summary!$C$14,$F13)&amp;"HKD Curncy","PX_LAST"))),1)</f>
        <v/>
      </c>
      <c r="H13" s="54">
        <f>IF($C13="","",BDP($C13,'Field Check'!$C$9))</f>
        <v/>
      </c>
      <c r="I13" s="45">
        <f>IF($C13="","",BDP($C13,'Field Check'!$C$10))</f>
        <v/>
      </c>
      <c r="J13" s="47">
        <f>IF($B13="",0,IF(Summary!$C$13="Y",SUMIFS('Dvd Calendar'!$E$1606:$AR$1606,'Dvd Calendar'!$E$1605:$AR$1605,"&gt;="&amp;DATE(Summary!$C$12,1,1),'Dvd Calendar'!$E$1605:$AR$1605,"&lt;="&amp;MIN(Summary!$C$11,DATE(Summary!$C$12,12,31))),SUMIFS('Dvd Calendar'!$E$1606:$AR$1606,'Dvd Calendar'!$E$1605:$AR$1605,"&gt;="&amp;DATE(Summary!$C$12,1,1),'Dvd Calendar'!$E$1605:$AR$1605,"&lt;="&amp;MIN(Summary!$C$11,DATE(Summary!$C$12,12,31)),'Dvd Calendar'!$E$1610:$AR$1610,"&lt;&gt;"&amp;'Field Check'!$C$25)))</f>
        <v/>
      </c>
      <c r="K13" s="47">
        <f>IF($B13="",0,IF(Summary!$C$13="Y",SUMIFS('Dvd Calendar'!$E$1613:$AR$1613,'Dvd Calendar'!$E$1612:$AR$1612,"&gt;"&amp;MAX(Summary!$C$11,DATE(Summary!$C$12,1,1)-1),'Dvd Calendar'!$E$1612:$AR$1612,"&lt;="&amp;DATE(Summary!$C$12,12,31)),SUMIFS('Dvd Calendar'!$E$1613:$AR$1613,'Dvd Calendar'!$E$1612:$AR$1612,"&gt;"&amp;MAX(Summary!$C$11,DATE(Summary!$C$12,1,1)-1),'Dvd Calendar'!$E$1612:$AR$1612,"&lt;="&amp;DATE(Summary!$C$12,12,31),'Dvd Calendar'!$E$1617:$AR$1617,"&lt;&gt;"&amp;'Field Check'!$C$25)))</f>
        <v/>
      </c>
      <c r="L13" s="47">
        <f>IF($B13="",0,IF((Override!$C$4="ON")*ISNUMBER(Override!$G$119)&gt;0,Override!$G$119,$K13))</f>
        <v/>
      </c>
      <c r="M13" s="47">
        <f>IF($B13="",0,IF((Override!$C$4="ON")*ISNUMBER(Override!$H$119)&gt;0,Override!$H$119,$L13))</f>
        <v/>
      </c>
      <c r="N13" s="47">
        <f>IF($B13="",0,IF((Override!$C$4="ON")*ISNUMBER(Override!$I$119)&gt;0,Override!$I$119,$L13))</f>
        <v/>
      </c>
      <c r="O13" s="54">
        <f>IF($B13="","",IFERROR($B13*$G13*$J13/$B$3,""))</f>
        <v/>
      </c>
      <c r="P13" s="54">
        <f>IF($B13="","",IFERROR($B13*$G13*$L13/$B$3,""))</f>
        <v/>
      </c>
      <c r="Q13" s="38">
        <f>IF($B13="","",IFERROR($O13+$P13,""))</f>
        <v/>
      </c>
      <c r="R13" s="54">
        <f>IF($B13="","",IFERROR($O13+$B13*$G13*$M13/$B$3,""))</f>
        <v/>
      </c>
      <c r="S13" s="54">
        <f>IF($B13="","",IFERROR($O13+$B13*$G13*$N13/$B$3,""))</f>
        <v/>
      </c>
      <c r="T13" s="63">
        <f>IF($B13="","",IFERROR($Q13/$Q$5,""))</f>
        <v/>
      </c>
      <c r="U13" s="2">
        <f>IF($B13="","",IF(COUNTIFS('Dvd Calendar'!$E$1611:$AR$1611,"&gt;0",'Dvd Calendar'!$E$1612:$AR$1612,"&gt;"&amp;MAX(Summary!$C$11,DATE(Summary!$C$12,1,1)-1),'Dvd Calendar'!$E$1612:$AR$1612,"&lt;="&amp;DATE(Summary!$C$12,12,31))-COUNTIFS('Dvd Calendar'!$E$1611:$AR$1611,"&gt;0",'Dvd Calendar'!$E$1612:$AR$1612,"&gt;"&amp;MAX(Summary!$C$11,DATE(Summary!$C$12,1,1)-1),'Dvd Calendar'!$E$1612:$AR$1612,"&lt;="&amp;DATE(Summary!$C$12,12,31),'Dvd Calendar'!$E$1613:$AR$1613,"&gt;=0")&gt;0,"TBA amount - override me",IF((Override!$C$4="ON")*ISNUMBER(Override!$G$119)&gt;0,"overridden",IF($J13+$K13=0,"no dividend in year Y",""))))</f>
        <v/>
      </c>
      <c r="V13" s="54">
        <f>IF($B13="","",IFERROR(IF(ISNUMBER($H13),$B13*$G13*$H13/$B$3,0),""))</f>
        <v/>
      </c>
      <c r="W13" s="54">
        <f>IF($B13="","",IFERROR($B13*$G13*$K13/$B$3,""))</f>
        <v/>
      </c>
    </row>
    <row r="14">
      <c r="B14" s="73" t="n"/>
      <c r="C14" s="6">
        <f>IF($A14="","",$A14&amp;" Equity")</f>
        <v/>
      </c>
      <c r="D14" s="6">
        <f>IF($C14="","",BDP($C14,"NAME"))</f>
        <v/>
      </c>
      <c r="E14" s="6">
        <f>IF($C14="","",BDP($C14,"GICS_SECTOR_NAME"))</f>
        <v/>
      </c>
      <c r="F14" s="31">
        <f>IF($C14="","",BDP($C14,'Field Check'!$C$8))</f>
        <v/>
      </c>
      <c r="G14" s="74">
        <f>IFERROR(IF(LEN($F14)&lt;&gt;3,1,IF($F14="HKD",1,BDP(IF($F14="CNY",Summary!$C$14,$F14)&amp;"HKD Curncy","PX_LAST"))),1)</f>
        <v/>
      </c>
      <c r="H14" s="54">
        <f>IF($C14="","",BDP($C14,'Field Check'!$C$9))</f>
        <v/>
      </c>
      <c r="I14" s="45">
        <f>IF($C14="","",BDP($C14,'Field Check'!$C$10))</f>
        <v/>
      </c>
      <c r="J14" s="47">
        <f>IF($B14="",0,IF(Summary!$C$13="Y",SUMIFS('Dvd Calendar'!$E$1621:$AR$1621,'Dvd Calendar'!$E$1620:$AR$1620,"&gt;="&amp;DATE(Summary!$C$12,1,1),'Dvd Calendar'!$E$1620:$AR$1620,"&lt;="&amp;MIN(Summary!$C$11,DATE(Summary!$C$12,12,31))),SUMIFS('Dvd Calendar'!$E$1621:$AR$1621,'Dvd Calendar'!$E$1620:$AR$1620,"&gt;="&amp;DATE(Summary!$C$12,1,1),'Dvd Calendar'!$E$1620:$AR$1620,"&lt;="&amp;MIN(Summary!$C$11,DATE(Summary!$C$12,12,31)),'Dvd Calendar'!$E$1625:$AR$1625,"&lt;&gt;"&amp;'Field Check'!$C$25)))</f>
        <v/>
      </c>
      <c r="K14" s="47">
        <f>IF($B14="",0,IF(Summary!$C$13="Y",SUMIFS('Dvd Calendar'!$E$1628:$AR$1628,'Dvd Calendar'!$E$1627:$AR$1627,"&gt;"&amp;MAX(Summary!$C$11,DATE(Summary!$C$12,1,1)-1),'Dvd Calendar'!$E$1627:$AR$1627,"&lt;="&amp;DATE(Summary!$C$12,12,31)),SUMIFS('Dvd Calendar'!$E$1628:$AR$1628,'Dvd Calendar'!$E$1627:$AR$1627,"&gt;"&amp;MAX(Summary!$C$11,DATE(Summary!$C$12,1,1)-1),'Dvd Calendar'!$E$1627:$AR$1627,"&lt;="&amp;DATE(Summary!$C$12,12,31),'Dvd Calendar'!$E$1632:$AR$1632,"&lt;&gt;"&amp;'Field Check'!$C$25)))</f>
        <v/>
      </c>
      <c r="L14" s="47">
        <f>IF($B14="",0,IF((Override!$C$4="ON")*ISNUMBER(Override!$G$120)&gt;0,Override!$G$120,$K14))</f>
        <v/>
      </c>
      <c r="M14" s="47">
        <f>IF($B14="",0,IF((Override!$C$4="ON")*ISNUMBER(Override!$H$120)&gt;0,Override!$H$120,$L14))</f>
        <v/>
      </c>
      <c r="N14" s="47">
        <f>IF($B14="",0,IF((Override!$C$4="ON")*ISNUMBER(Override!$I$120)&gt;0,Override!$I$120,$L14))</f>
        <v/>
      </c>
      <c r="O14" s="54">
        <f>IF($B14="","",IFERROR($B14*$G14*$J14/$B$3,""))</f>
        <v/>
      </c>
      <c r="P14" s="54">
        <f>IF($B14="","",IFERROR($B14*$G14*$L14/$B$3,""))</f>
        <v/>
      </c>
      <c r="Q14" s="38">
        <f>IF($B14="","",IFERROR($O14+$P14,""))</f>
        <v/>
      </c>
      <c r="R14" s="54">
        <f>IF($B14="","",IFERROR($O14+$B14*$G14*$M14/$B$3,""))</f>
        <v/>
      </c>
      <c r="S14" s="54">
        <f>IF($B14="","",IFERROR($O14+$B14*$G14*$N14/$B$3,""))</f>
        <v/>
      </c>
      <c r="T14" s="63">
        <f>IF($B14="","",IFERROR($Q14/$Q$5,""))</f>
        <v/>
      </c>
      <c r="U14" s="2">
        <f>IF($B14="","",IF(COUNTIFS('Dvd Calendar'!$E$1626:$AR$1626,"&gt;0",'Dvd Calendar'!$E$1627:$AR$1627,"&gt;"&amp;MAX(Summary!$C$11,DATE(Summary!$C$12,1,1)-1),'Dvd Calendar'!$E$1627:$AR$1627,"&lt;="&amp;DATE(Summary!$C$12,12,31))-COUNTIFS('Dvd Calendar'!$E$1626:$AR$1626,"&gt;0",'Dvd Calendar'!$E$1627:$AR$1627,"&gt;"&amp;MAX(Summary!$C$11,DATE(Summary!$C$12,1,1)-1),'Dvd Calendar'!$E$1627:$AR$1627,"&lt;="&amp;DATE(Summary!$C$12,12,31),'Dvd Calendar'!$E$1628:$AR$1628,"&gt;=0")&gt;0,"TBA amount - override me",IF((Override!$C$4="ON")*ISNUMBER(Override!$G$120)&gt;0,"overridden",IF($J14+$K14=0,"no dividend in year Y",""))))</f>
        <v/>
      </c>
      <c r="V14" s="54">
        <f>IF($B14="","",IFERROR(IF(ISNUMBER($H14),$B14*$G14*$H14/$B$3,0),""))</f>
        <v/>
      </c>
      <c r="W14" s="54">
        <f>IF($B14="","",IFERROR($B14*$G14*$K14/$B$3,""))</f>
        <v/>
      </c>
    </row>
    <row r="15">
      <c r="B15" s="73" t="n"/>
      <c r="C15" s="6">
        <f>IF($A15="","",$A15&amp;" Equity")</f>
        <v/>
      </c>
      <c r="D15" s="6">
        <f>IF($C15="","",BDP($C15,"NAME"))</f>
        <v/>
      </c>
      <c r="E15" s="6">
        <f>IF($C15="","",BDP($C15,"GICS_SECTOR_NAME"))</f>
        <v/>
      </c>
      <c r="F15" s="31">
        <f>IF($C15="","",BDP($C15,'Field Check'!$C$8))</f>
        <v/>
      </c>
      <c r="G15" s="74">
        <f>IFERROR(IF(LEN($F15)&lt;&gt;3,1,IF($F15="HKD",1,BDP(IF($F15="CNY",Summary!$C$14,$F15)&amp;"HKD Curncy","PX_LAST"))),1)</f>
        <v/>
      </c>
      <c r="H15" s="54">
        <f>IF($C15="","",BDP($C15,'Field Check'!$C$9))</f>
        <v/>
      </c>
      <c r="I15" s="45">
        <f>IF($C15="","",BDP($C15,'Field Check'!$C$10))</f>
        <v/>
      </c>
      <c r="J15" s="47">
        <f>IF($B15="",0,IF(Summary!$C$13="Y",SUMIFS('Dvd Calendar'!$E$1636:$AR$1636,'Dvd Calendar'!$E$1635:$AR$1635,"&gt;="&amp;DATE(Summary!$C$12,1,1),'Dvd Calendar'!$E$1635:$AR$1635,"&lt;="&amp;MIN(Summary!$C$11,DATE(Summary!$C$12,12,31))),SUMIFS('Dvd Calendar'!$E$1636:$AR$1636,'Dvd Calendar'!$E$1635:$AR$1635,"&gt;="&amp;DATE(Summary!$C$12,1,1),'Dvd Calendar'!$E$1635:$AR$1635,"&lt;="&amp;MIN(Summary!$C$11,DATE(Summary!$C$12,12,31)),'Dvd Calendar'!$E$1640:$AR$1640,"&lt;&gt;"&amp;'Field Check'!$C$25)))</f>
        <v/>
      </c>
      <c r="K15" s="47">
        <f>IF($B15="",0,IF(Summary!$C$13="Y",SUMIFS('Dvd Calendar'!$E$1643:$AR$1643,'Dvd Calendar'!$E$1642:$AR$1642,"&gt;"&amp;MAX(Summary!$C$11,DATE(Summary!$C$12,1,1)-1),'Dvd Calendar'!$E$1642:$AR$1642,"&lt;="&amp;DATE(Summary!$C$12,12,31)),SUMIFS('Dvd Calendar'!$E$1643:$AR$1643,'Dvd Calendar'!$E$1642:$AR$1642,"&gt;"&amp;MAX(Summary!$C$11,DATE(Summary!$C$12,1,1)-1),'Dvd Calendar'!$E$1642:$AR$1642,"&lt;="&amp;DATE(Summary!$C$12,12,31),'Dvd Calendar'!$E$1647:$AR$1647,"&lt;&gt;"&amp;'Field Check'!$C$25)))</f>
        <v/>
      </c>
      <c r="L15" s="47">
        <f>IF($B15="",0,IF((Override!$C$4="ON")*ISNUMBER(Override!$G$121)&gt;0,Override!$G$121,$K15))</f>
        <v/>
      </c>
      <c r="M15" s="47">
        <f>IF($B15="",0,IF((Override!$C$4="ON")*ISNUMBER(Override!$H$121)&gt;0,Override!$H$121,$L15))</f>
        <v/>
      </c>
      <c r="N15" s="47">
        <f>IF($B15="",0,IF((Override!$C$4="ON")*ISNUMBER(Override!$I$121)&gt;0,Override!$I$121,$L15))</f>
        <v/>
      </c>
      <c r="O15" s="54">
        <f>IF($B15="","",IFERROR($B15*$G15*$J15/$B$3,""))</f>
        <v/>
      </c>
      <c r="P15" s="54">
        <f>IF($B15="","",IFERROR($B15*$G15*$L15/$B$3,""))</f>
        <v/>
      </c>
      <c r="Q15" s="38">
        <f>IF($B15="","",IFERROR($O15+$P15,""))</f>
        <v/>
      </c>
      <c r="R15" s="54">
        <f>IF($B15="","",IFERROR($O15+$B15*$G15*$M15/$B$3,""))</f>
        <v/>
      </c>
      <c r="S15" s="54">
        <f>IF($B15="","",IFERROR($O15+$B15*$G15*$N15/$B$3,""))</f>
        <v/>
      </c>
      <c r="T15" s="63">
        <f>IF($B15="","",IFERROR($Q15/$Q$5,""))</f>
        <v/>
      </c>
      <c r="U15" s="2">
        <f>IF($B15="","",IF(COUNTIFS('Dvd Calendar'!$E$1641:$AR$1641,"&gt;0",'Dvd Calendar'!$E$1642:$AR$1642,"&gt;"&amp;MAX(Summary!$C$11,DATE(Summary!$C$12,1,1)-1),'Dvd Calendar'!$E$1642:$AR$1642,"&lt;="&amp;DATE(Summary!$C$12,12,31))-COUNTIFS('Dvd Calendar'!$E$1641:$AR$1641,"&gt;0",'Dvd Calendar'!$E$1642:$AR$1642,"&gt;"&amp;MAX(Summary!$C$11,DATE(Summary!$C$12,1,1)-1),'Dvd Calendar'!$E$1642:$AR$1642,"&lt;="&amp;DATE(Summary!$C$12,12,31),'Dvd Calendar'!$E$1643:$AR$1643,"&gt;=0")&gt;0,"TBA amount - override me",IF((Override!$C$4="ON")*ISNUMBER(Override!$G$121)&gt;0,"overridden",IF($J15+$K15=0,"no dividend in year Y",""))))</f>
        <v/>
      </c>
      <c r="V15" s="54">
        <f>IF($B15="","",IFERROR(IF(ISNUMBER($H15),$B15*$G15*$H15/$B$3,0),""))</f>
        <v/>
      </c>
      <c r="W15" s="54">
        <f>IF($B15="","",IFERROR($B15*$G15*$K15/$B$3,""))</f>
        <v/>
      </c>
    </row>
    <row r="16">
      <c r="B16" s="73" t="n"/>
      <c r="C16" s="6">
        <f>IF($A16="","",$A16&amp;" Equity")</f>
        <v/>
      </c>
      <c r="D16" s="6">
        <f>IF($C16="","",BDP($C16,"NAME"))</f>
        <v/>
      </c>
      <c r="E16" s="6">
        <f>IF($C16="","",BDP($C16,"GICS_SECTOR_NAME"))</f>
        <v/>
      </c>
      <c r="F16" s="31">
        <f>IF($C16="","",BDP($C16,'Field Check'!$C$8))</f>
        <v/>
      </c>
      <c r="G16" s="74">
        <f>IFERROR(IF(LEN($F16)&lt;&gt;3,1,IF($F16="HKD",1,BDP(IF($F16="CNY",Summary!$C$14,$F16)&amp;"HKD Curncy","PX_LAST"))),1)</f>
        <v/>
      </c>
      <c r="H16" s="54">
        <f>IF($C16="","",BDP($C16,'Field Check'!$C$9))</f>
        <v/>
      </c>
      <c r="I16" s="45">
        <f>IF($C16="","",BDP($C16,'Field Check'!$C$10))</f>
        <v/>
      </c>
      <c r="J16" s="47">
        <f>IF($B16="",0,IF(Summary!$C$13="Y",SUMIFS('Dvd Calendar'!$E$1651:$AR$1651,'Dvd Calendar'!$E$1650:$AR$1650,"&gt;="&amp;DATE(Summary!$C$12,1,1),'Dvd Calendar'!$E$1650:$AR$1650,"&lt;="&amp;MIN(Summary!$C$11,DATE(Summary!$C$12,12,31))),SUMIFS('Dvd Calendar'!$E$1651:$AR$1651,'Dvd Calendar'!$E$1650:$AR$1650,"&gt;="&amp;DATE(Summary!$C$12,1,1),'Dvd Calendar'!$E$1650:$AR$1650,"&lt;="&amp;MIN(Summary!$C$11,DATE(Summary!$C$12,12,31)),'Dvd Calendar'!$E$1655:$AR$1655,"&lt;&gt;"&amp;'Field Check'!$C$25)))</f>
        <v/>
      </c>
      <c r="K16" s="47">
        <f>IF($B16="",0,IF(Summary!$C$13="Y",SUMIFS('Dvd Calendar'!$E$1658:$AR$1658,'Dvd Calendar'!$E$1657:$AR$1657,"&gt;"&amp;MAX(Summary!$C$11,DATE(Summary!$C$12,1,1)-1),'Dvd Calendar'!$E$1657:$AR$1657,"&lt;="&amp;DATE(Summary!$C$12,12,31)),SUMIFS('Dvd Calendar'!$E$1658:$AR$1658,'Dvd Calendar'!$E$1657:$AR$1657,"&gt;"&amp;MAX(Summary!$C$11,DATE(Summary!$C$12,1,1)-1),'Dvd Calendar'!$E$1657:$AR$1657,"&lt;="&amp;DATE(Summary!$C$12,12,31),'Dvd Calendar'!$E$1662:$AR$1662,"&lt;&gt;"&amp;'Field Check'!$C$25)))</f>
        <v/>
      </c>
      <c r="L16" s="47">
        <f>IF($B16="",0,IF((Override!$C$4="ON")*ISNUMBER(Override!$G$122)&gt;0,Override!$G$122,$K16))</f>
        <v/>
      </c>
      <c r="M16" s="47">
        <f>IF($B16="",0,IF((Override!$C$4="ON")*ISNUMBER(Override!$H$122)&gt;0,Override!$H$122,$L16))</f>
        <v/>
      </c>
      <c r="N16" s="47">
        <f>IF($B16="",0,IF((Override!$C$4="ON")*ISNUMBER(Override!$I$122)&gt;0,Override!$I$122,$L16))</f>
        <v/>
      </c>
      <c r="O16" s="54">
        <f>IF($B16="","",IFERROR($B16*$G16*$J16/$B$3,""))</f>
        <v/>
      </c>
      <c r="P16" s="54">
        <f>IF($B16="","",IFERROR($B16*$G16*$L16/$B$3,""))</f>
        <v/>
      </c>
      <c r="Q16" s="38">
        <f>IF($B16="","",IFERROR($O16+$P16,""))</f>
        <v/>
      </c>
      <c r="R16" s="54">
        <f>IF($B16="","",IFERROR($O16+$B16*$G16*$M16/$B$3,""))</f>
        <v/>
      </c>
      <c r="S16" s="54">
        <f>IF($B16="","",IFERROR($O16+$B16*$G16*$N16/$B$3,""))</f>
        <v/>
      </c>
      <c r="T16" s="63">
        <f>IF($B16="","",IFERROR($Q16/$Q$5,""))</f>
        <v/>
      </c>
      <c r="U16" s="2">
        <f>IF($B16="","",IF(COUNTIFS('Dvd Calendar'!$E$1656:$AR$1656,"&gt;0",'Dvd Calendar'!$E$1657:$AR$1657,"&gt;"&amp;MAX(Summary!$C$11,DATE(Summary!$C$12,1,1)-1),'Dvd Calendar'!$E$1657:$AR$1657,"&lt;="&amp;DATE(Summary!$C$12,12,31))-COUNTIFS('Dvd Calendar'!$E$1656:$AR$1656,"&gt;0",'Dvd Calendar'!$E$1657:$AR$1657,"&gt;"&amp;MAX(Summary!$C$11,DATE(Summary!$C$12,1,1)-1),'Dvd Calendar'!$E$1657:$AR$1657,"&lt;="&amp;DATE(Summary!$C$12,12,31),'Dvd Calendar'!$E$1658:$AR$1658,"&gt;=0")&gt;0,"TBA amount - override me",IF((Override!$C$4="ON")*ISNUMBER(Override!$G$122)&gt;0,"overridden",IF($J16+$K16=0,"no dividend in year Y",""))))</f>
        <v/>
      </c>
      <c r="V16" s="54">
        <f>IF($B16="","",IFERROR(IF(ISNUMBER($H16),$B16*$G16*$H16/$B$3,0),""))</f>
        <v/>
      </c>
      <c r="W16" s="54">
        <f>IF($B16="","",IFERROR($B16*$G16*$K16/$B$3,""))</f>
        <v/>
      </c>
    </row>
    <row r="17">
      <c r="B17" s="73" t="n"/>
      <c r="C17" s="6">
        <f>IF($A17="","",$A17&amp;" Equity")</f>
        <v/>
      </c>
      <c r="D17" s="6">
        <f>IF($C17="","",BDP($C17,"NAME"))</f>
        <v/>
      </c>
      <c r="E17" s="6">
        <f>IF($C17="","",BDP($C17,"GICS_SECTOR_NAME"))</f>
        <v/>
      </c>
      <c r="F17" s="31">
        <f>IF($C17="","",BDP($C17,'Field Check'!$C$8))</f>
        <v/>
      </c>
      <c r="G17" s="74">
        <f>IFERROR(IF(LEN($F17)&lt;&gt;3,1,IF($F17="HKD",1,BDP(IF($F17="CNY",Summary!$C$14,$F17)&amp;"HKD Curncy","PX_LAST"))),1)</f>
        <v/>
      </c>
      <c r="H17" s="54">
        <f>IF($C17="","",BDP($C17,'Field Check'!$C$9))</f>
        <v/>
      </c>
      <c r="I17" s="45">
        <f>IF($C17="","",BDP($C17,'Field Check'!$C$10))</f>
        <v/>
      </c>
      <c r="J17" s="47">
        <f>IF($B17="",0,IF(Summary!$C$13="Y",SUMIFS('Dvd Calendar'!$E$1666:$AR$1666,'Dvd Calendar'!$E$1665:$AR$1665,"&gt;="&amp;DATE(Summary!$C$12,1,1),'Dvd Calendar'!$E$1665:$AR$1665,"&lt;="&amp;MIN(Summary!$C$11,DATE(Summary!$C$12,12,31))),SUMIFS('Dvd Calendar'!$E$1666:$AR$1666,'Dvd Calendar'!$E$1665:$AR$1665,"&gt;="&amp;DATE(Summary!$C$12,1,1),'Dvd Calendar'!$E$1665:$AR$1665,"&lt;="&amp;MIN(Summary!$C$11,DATE(Summary!$C$12,12,31)),'Dvd Calendar'!$E$1670:$AR$1670,"&lt;&gt;"&amp;'Field Check'!$C$25)))</f>
        <v/>
      </c>
      <c r="K17" s="47">
        <f>IF($B17="",0,IF(Summary!$C$13="Y",SUMIFS('Dvd Calendar'!$E$1673:$AR$1673,'Dvd Calendar'!$E$1672:$AR$1672,"&gt;"&amp;MAX(Summary!$C$11,DATE(Summary!$C$12,1,1)-1),'Dvd Calendar'!$E$1672:$AR$1672,"&lt;="&amp;DATE(Summary!$C$12,12,31)),SUMIFS('Dvd Calendar'!$E$1673:$AR$1673,'Dvd Calendar'!$E$1672:$AR$1672,"&gt;"&amp;MAX(Summary!$C$11,DATE(Summary!$C$12,1,1)-1),'Dvd Calendar'!$E$1672:$AR$1672,"&lt;="&amp;DATE(Summary!$C$12,12,31),'Dvd Calendar'!$E$1677:$AR$1677,"&lt;&gt;"&amp;'Field Check'!$C$25)))</f>
        <v/>
      </c>
      <c r="L17" s="47">
        <f>IF($B17="",0,IF((Override!$C$4="ON")*ISNUMBER(Override!$G$123)&gt;0,Override!$G$123,$K17))</f>
        <v/>
      </c>
      <c r="M17" s="47">
        <f>IF($B17="",0,IF((Override!$C$4="ON")*ISNUMBER(Override!$H$123)&gt;0,Override!$H$123,$L17))</f>
        <v/>
      </c>
      <c r="N17" s="47">
        <f>IF($B17="",0,IF((Override!$C$4="ON")*ISNUMBER(Override!$I$123)&gt;0,Override!$I$123,$L17))</f>
        <v/>
      </c>
      <c r="O17" s="54">
        <f>IF($B17="","",IFERROR($B17*$G17*$J17/$B$3,""))</f>
        <v/>
      </c>
      <c r="P17" s="54">
        <f>IF($B17="","",IFERROR($B17*$G17*$L17/$B$3,""))</f>
        <v/>
      </c>
      <c r="Q17" s="38">
        <f>IF($B17="","",IFERROR($O17+$P17,""))</f>
        <v/>
      </c>
      <c r="R17" s="54">
        <f>IF($B17="","",IFERROR($O17+$B17*$G17*$M17/$B$3,""))</f>
        <v/>
      </c>
      <c r="S17" s="54">
        <f>IF($B17="","",IFERROR($O17+$B17*$G17*$N17/$B$3,""))</f>
        <v/>
      </c>
      <c r="T17" s="63">
        <f>IF($B17="","",IFERROR($Q17/$Q$5,""))</f>
        <v/>
      </c>
      <c r="U17" s="2">
        <f>IF($B17="","",IF(COUNTIFS('Dvd Calendar'!$E$1671:$AR$1671,"&gt;0",'Dvd Calendar'!$E$1672:$AR$1672,"&gt;"&amp;MAX(Summary!$C$11,DATE(Summary!$C$12,1,1)-1),'Dvd Calendar'!$E$1672:$AR$1672,"&lt;="&amp;DATE(Summary!$C$12,12,31))-COUNTIFS('Dvd Calendar'!$E$1671:$AR$1671,"&gt;0",'Dvd Calendar'!$E$1672:$AR$1672,"&gt;"&amp;MAX(Summary!$C$11,DATE(Summary!$C$12,1,1)-1),'Dvd Calendar'!$E$1672:$AR$1672,"&lt;="&amp;DATE(Summary!$C$12,12,31),'Dvd Calendar'!$E$1673:$AR$1673,"&gt;=0")&gt;0,"TBA amount - override me",IF((Override!$C$4="ON")*ISNUMBER(Override!$G$123)&gt;0,"overridden",IF($J17+$K17=0,"no dividend in year Y",""))))</f>
        <v/>
      </c>
      <c r="V17" s="54">
        <f>IF($B17="","",IFERROR(IF(ISNUMBER($H17),$B17*$G17*$H17/$B$3,0),""))</f>
        <v/>
      </c>
      <c r="W17" s="54">
        <f>IF($B17="","",IFERROR($B17*$G17*$K17/$B$3,""))</f>
        <v/>
      </c>
    </row>
    <row r="18">
      <c r="B18" s="73" t="n"/>
      <c r="C18" s="6">
        <f>IF($A18="","",$A18&amp;" Equity")</f>
        <v/>
      </c>
      <c r="D18" s="6">
        <f>IF($C18="","",BDP($C18,"NAME"))</f>
        <v/>
      </c>
      <c r="E18" s="6">
        <f>IF($C18="","",BDP($C18,"GICS_SECTOR_NAME"))</f>
        <v/>
      </c>
      <c r="F18" s="31">
        <f>IF($C18="","",BDP($C18,'Field Check'!$C$8))</f>
        <v/>
      </c>
      <c r="G18" s="74">
        <f>IFERROR(IF(LEN($F18)&lt;&gt;3,1,IF($F18="HKD",1,BDP(IF($F18="CNY",Summary!$C$14,$F18)&amp;"HKD Curncy","PX_LAST"))),1)</f>
        <v/>
      </c>
      <c r="H18" s="54">
        <f>IF($C18="","",BDP($C18,'Field Check'!$C$9))</f>
        <v/>
      </c>
      <c r="I18" s="45">
        <f>IF($C18="","",BDP($C18,'Field Check'!$C$10))</f>
        <v/>
      </c>
      <c r="J18" s="47">
        <f>IF($B18="",0,IF(Summary!$C$13="Y",SUMIFS('Dvd Calendar'!$E$1681:$AR$1681,'Dvd Calendar'!$E$1680:$AR$1680,"&gt;="&amp;DATE(Summary!$C$12,1,1),'Dvd Calendar'!$E$1680:$AR$1680,"&lt;="&amp;MIN(Summary!$C$11,DATE(Summary!$C$12,12,31))),SUMIFS('Dvd Calendar'!$E$1681:$AR$1681,'Dvd Calendar'!$E$1680:$AR$1680,"&gt;="&amp;DATE(Summary!$C$12,1,1),'Dvd Calendar'!$E$1680:$AR$1680,"&lt;="&amp;MIN(Summary!$C$11,DATE(Summary!$C$12,12,31)),'Dvd Calendar'!$E$1685:$AR$1685,"&lt;&gt;"&amp;'Field Check'!$C$25)))</f>
        <v/>
      </c>
      <c r="K18" s="47">
        <f>IF($B18="",0,IF(Summary!$C$13="Y",SUMIFS('Dvd Calendar'!$E$1688:$AR$1688,'Dvd Calendar'!$E$1687:$AR$1687,"&gt;"&amp;MAX(Summary!$C$11,DATE(Summary!$C$12,1,1)-1),'Dvd Calendar'!$E$1687:$AR$1687,"&lt;="&amp;DATE(Summary!$C$12,12,31)),SUMIFS('Dvd Calendar'!$E$1688:$AR$1688,'Dvd Calendar'!$E$1687:$AR$1687,"&gt;"&amp;MAX(Summary!$C$11,DATE(Summary!$C$12,1,1)-1),'Dvd Calendar'!$E$1687:$AR$1687,"&lt;="&amp;DATE(Summary!$C$12,12,31),'Dvd Calendar'!$E$1692:$AR$1692,"&lt;&gt;"&amp;'Field Check'!$C$25)))</f>
        <v/>
      </c>
      <c r="L18" s="47">
        <f>IF($B18="",0,IF((Override!$C$4="ON")*ISNUMBER(Override!$G$124)&gt;0,Override!$G$124,$K18))</f>
        <v/>
      </c>
      <c r="M18" s="47">
        <f>IF($B18="",0,IF((Override!$C$4="ON")*ISNUMBER(Override!$H$124)&gt;0,Override!$H$124,$L18))</f>
        <v/>
      </c>
      <c r="N18" s="47">
        <f>IF($B18="",0,IF((Override!$C$4="ON")*ISNUMBER(Override!$I$124)&gt;0,Override!$I$124,$L18))</f>
        <v/>
      </c>
      <c r="O18" s="54">
        <f>IF($B18="","",IFERROR($B18*$G18*$J18/$B$3,""))</f>
        <v/>
      </c>
      <c r="P18" s="54">
        <f>IF($B18="","",IFERROR($B18*$G18*$L18/$B$3,""))</f>
        <v/>
      </c>
      <c r="Q18" s="38">
        <f>IF($B18="","",IFERROR($O18+$P18,""))</f>
        <v/>
      </c>
      <c r="R18" s="54">
        <f>IF($B18="","",IFERROR($O18+$B18*$G18*$M18/$B$3,""))</f>
        <v/>
      </c>
      <c r="S18" s="54">
        <f>IF($B18="","",IFERROR($O18+$B18*$G18*$N18/$B$3,""))</f>
        <v/>
      </c>
      <c r="T18" s="63">
        <f>IF($B18="","",IFERROR($Q18/$Q$5,""))</f>
        <v/>
      </c>
      <c r="U18" s="2">
        <f>IF($B18="","",IF(COUNTIFS('Dvd Calendar'!$E$1686:$AR$1686,"&gt;0",'Dvd Calendar'!$E$1687:$AR$1687,"&gt;"&amp;MAX(Summary!$C$11,DATE(Summary!$C$12,1,1)-1),'Dvd Calendar'!$E$1687:$AR$1687,"&lt;="&amp;DATE(Summary!$C$12,12,31))-COUNTIFS('Dvd Calendar'!$E$1686:$AR$1686,"&gt;0",'Dvd Calendar'!$E$1687:$AR$1687,"&gt;"&amp;MAX(Summary!$C$11,DATE(Summary!$C$12,1,1)-1),'Dvd Calendar'!$E$1687:$AR$1687,"&lt;="&amp;DATE(Summary!$C$12,12,31),'Dvd Calendar'!$E$1688:$AR$1688,"&gt;=0")&gt;0,"TBA amount - override me",IF((Override!$C$4="ON")*ISNUMBER(Override!$G$124)&gt;0,"overridden",IF($J18+$K18=0,"no dividend in year Y",""))))</f>
        <v/>
      </c>
      <c r="V18" s="54">
        <f>IF($B18="","",IFERROR(IF(ISNUMBER($H18),$B18*$G18*$H18/$B$3,0),""))</f>
        <v/>
      </c>
      <c r="W18" s="54">
        <f>IF($B18="","",IFERROR($B18*$G18*$K18/$B$3,""))</f>
        <v/>
      </c>
    </row>
    <row r="19">
      <c r="B19" s="73" t="n"/>
      <c r="C19" s="6">
        <f>IF($A19="","",$A19&amp;" Equity")</f>
        <v/>
      </c>
      <c r="D19" s="6">
        <f>IF($C19="","",BDP($C19,"NAME"))</f>
        <v/>
      </c>
      <c r="E19" s="6">
        <f>IF($C19="","",BDP($C19,"GICS_SECTOR_NAME"))</f>
        <v/>
      </c>
      <c r="F19" s="31">
        <f>IF($C19="","",BDP($C19,'Field Check'!$C$8))</f>
        <v/>
      </c>
      <c r="G19" s="74">
        <f>IFERROR(IF(LEN($F19)&lt;&gt;3,1,IF($F19="HKD",1,BDP(IF($F19="CNY",Summary!$C$14,$F19)&amp;"HKD Curncy","PX_LAST"))),1)</f>
        <v/>
      </c>
      <c r="H19" s="54">
        <f>IF($C19="","",BDP($C19,'Field Check'!$C$9))</f>
        <v/>
      </c>
      <c r="I19" s="45">
        <f>IF($C19="","",BDP($C19,'Field Check'!$C$10))</f>
        <v/>
      </c>
      <c r="J19" s="47">
        <f>IF($B19="",0,IF(Summary!$C$13="Y",SUMIFS('Dvd Calendar'!$E$1696:$AR$1696,'Dvd Calendar'!$E$1695:$AR$1695,"&gt;="&amp;DATE(Summary!$C$12,1,1),'Dvd Calendar'!$E$1695:$AR$1695,"&lt;="&amp;MIN(Summary!$C$11,DATE(Summary!$C$12,12,31))),SUMIFS('Dvd Calendar'!$E$1696:$AR$1696,'Dvd Calendar'!$E$1695:$AR$1695,"&gt;="&amp;DATE(Summary!$C$12,1,1),'Dvd Calendar'!$E$1695:$AR$1695,"&lt;="&amp;MIN(Summary!$C$11,DATE(Summary!$C$12,12,31)),'Dvd Calendar'!$E$1700:$AR$1700,"&lt;&gt;"&amp;'Field Check'!$C$25)))</f>
        <v/>
      </c>
      <c r="K19" s="47">
        <f>IF($B19="",0,IF(Summary!$C$13="Y",SUMIFS('Dvd Calendar'!$E$1703:$AR$1703,'Dvd Calendar'!$E$1702:$AR$1702,"&gt;"&amp;MAX(Summary!$C$11,DATE(Summary!$C$12,1,1)-1),'Dvd Calendar'!$E$1702:$AR$1702,"&lt;="&amp;DATE(Summary!$C$12,12,31)),SUMIFS('Dvd Calendar'!$E$1703:$AR$1703,'Dvd Calendar'!$E$1702:$AR$1702,"&gt;"&amp;MAX(Summary!$C$11,DATE(Summary!$C$12,1,1)-1),'Dvd Calendar'!$E$1702:$AR$1702,"&lt;="&amp;DATE(Summary!$C$12,12,31),'Dvd Calendar'!$E$1707:$AR$1707,"&lt;&gt;"&amp;'Field Check'!$C$25)))</f>
        <v/>
      </c>
      <c r="L19" s="47">
        <f>IF($B19="",0,IF((Override!$C$4="ON")*ISNUMBER(Override!$G$125)&gt;0,Override!$G$125,$K19))</f>
        <v/>
      </c>
      <c r="M19" s="47">
        <f>IF($B19="",0,IF((Override!$C$4="ON")*ISNUMBER(Override!$H$125)&gt;0,Override!$H$125,$L19))</f>
        <v/>
      </c>
      <c r="N19" s="47">
        <f>IF($B19="",0,IF((Override!$C$4="ON")*ISNUMBER(Override!$I$125)&gt;0,Override!$I$125,$L19))</f>
        <v/>
      </c>
      <c r="O19" s="54">
        <f>IF($B19="","",IFERROR($B19*$G19*$J19/$B$3,""))</f>
        <v/>
      </c>
      <c r="P19" s="54">
        <f>IF($B19="","",IFERROR($B19*$G19*$L19/$B$3,""))</f>
        <v/>
      </c>
      <c r="Q19" s="38">
        <f>IF($B19="","",IFERROR($O19+$P19,""))</f>
        <v/>
      </c>
      <c r="R19" s="54">
        <f>IF($B19="","",IFERROR($O19+$B19*$G19*$M19/$B$3,""))</f>
        <v/>
      </c>
      <c r="S19" s="54">
        <f>IF($B19="","",IFERROR($O19+$B19*$G19*$N19/$B$3,""))</f>
        <v/>
      </c>
      <c r="T19" s="63">
        <f>IF($B19="","",IFERROR($Q19/$Q$5,""))</f>
        <v/>
      </c>
      <c r="U19" s="2">
        <f>IF($B19="","",IF(COUNTIFS('Dvd Calendar'!$E$1701:$AR$1701,"&gt;0",'Dvd Calendar'!$E$1702:$AR$1702,"&gt;"&amp;MAX(Summary!$C$11,DATE(Summary!$C$12,1,1)-1),'Dvd Calendar'!$E$1702:$AR$1702,"&lt;="&amp;DATE(Summary!$C$12,12,31))-COUNTIFS('Dvd Calendar'!$E$1701:$AR$1701,"&gt;0",'Dvd Calendar'!$E$1702:$AR$1702,"&gt;"&amp;MAX(Summary!$C$11,DATE(Summary!$C$12,1,1)-1),'Dvd Calendar'!$E$1702:$AR$1702,"&lt;="&amp;DATE(Summary!$C$12,12,31),'Dvd Calendar'!$E$1703:$AR$1703,"&gt;=0")&gt;0,"TBA amount - override me",IF((Override!$C$4="ON")*ISNUMBER(Override!$G$125)&gt;0,"overridden",IF($J19+$K19=0,"no dividend in year Y",""))))</f>
        <v/>
      </c>
      <c r="V19" s="54">
        <f>IF($B19="","",IFERROR(IF(ISNUMBER($H19),$B19*$G19*$H19/$B$3,0),""))</f>
        <v/>
      </c>
      <c r="W19" s="54">
        <f>IF($B19="","",IFERROR($B19*$G19*$K19/$B$3,""))</f>
        <v/>
      </c>
    </row>
    <row r="20">
      <c r="B20" s="73" t="n"/>
      <c r="C20" s="6">
        <f>IF($A20="","",$A20&amp;" Equity")</f>
        <v/>
      </c>
      <c r="D20" s="6">
        <f>IF($C20="","",BDP($C20,"NAME"))</f>
        <v/>
      </c>
      <c r="E20" s="6">
        <f>IF($C20="","",BDP($C20,"GICS_SECTOR_NAME"))</f>
        <v/>
      </c>
      <c r="F20" s="31">
        <f>IF($C20="","",BDP($C20,'Field Check'!$C$8))</f>
        <v/>
      </c>
      <c r="G20" s="74">
        <f>IFERROR(IF(LEN($F20)&lt;&gt;3,1,IF($F20="HKD",1,BDP(IF($F20="CNY",Summary!$C$14,$F20)&amp;"HKD Curncy","PX_LAST"))),1)</f>
        <v/>
      </c>
      <c r="H20" s="54">
        <f>IF($C20="","",BDP($C20,'Field Check'!$C$9))</f>
        <v/>
      </c>
      <c r="I20" s="45">
        <f>IF($C20="","",BDP($C20,'Field Check'!$C$10))</f>
        <v/>
      </c>
      <c r="J20" s="47">
        <f>IF($B20="",0,IF(Summary!$C$13="Y",SUMIFS('Dvd Calendar'!$E$1711:$AR$1711,'Dvd Calendar'!$E$1710:$AR$1710,"&gt;="&amp;DATE(Summary!$C$12,1,1),'Dvd Calendar'!$E$1710:$AR$1710,"&lt;="&amp;MIN(Summary!$C$11,DATE(Summary!$C$12,12,31))),SUMIFS('Dvd Calendar'!$E$1711:$AR$1711,'Dvd Calendar'!$E$1710:$AR$1710,"&gt;="&amp;DATE(Summary!$C$12,1,1),'Dvd Calendar'!$E$1710:$AR$1710,"&lt;="&amp;MIN(Summary!$C$11,DATE(Summary!$C$12,12,31)),'Dvd Calendar'!$E$1715:$AR$1715,"&lt;&gt;"&amp;'Field Check'!$C$25)))</f>
        <v/>
      </c>
      <c r="K20" s="47">
        <f>IF($B20="",0,IF(Summary!$C$13="Y",SUMIFS('Dvd Calendar'!$E$1718:$AR$1718,'Dvd Calendar'!$E$1717:$AR$1717,"&gt;"&amp;MAX(Summary!$C$11,DATE(Summary!$C$12,1,1)-1),'Dvd Calendar'!$E$1717:$AR$1717,"&lt;="&amp;DATE(Summary!$C$12,12,31)),SUMIFS('Dvd Calendar'!$E$1718:$AR$1718,'Dvd Calendar'!$E$1717:$AR$1717,"&gt;"&amp;MAX(Summary!$C$11,DATE(Summary!$C$12,1,1)-1),'Dvd Calendar'!$E$1717:$AR$1717,"&lt;="&amp;DATE(Summary!$C$12,12,31),'Dvd Calendar'!$E$1722:$AR$1722,"&lt;&gt;"&amp;'Field Check'!$C$25)))</f>
        <v/>
      </c>
      <c r="L20" s="47">
        <f>IF($B20="",0,IF((Override!$C$4="ON")*ISNUMBER(Override!$G$126)&gt;0,Override!$G$126,$K20))</f>
        <v/>
      </c>
      <c r="M20" s="47">
        <f>IF($B20="",0,IF((Override!$C$4="ON")*ISNUMBER(Override!$H$126)&gt;0,Override!$H$126,$L20))</f>
        <v/>
      </c>
      <c r="N20" s="47">
        <f>IF($B20="",0,IF((Override!$C$4="ON")*ISNUMBER(Override!$I$126)&gt;0,Override!$I$126,$L20))</f>
        <v/>
      </c>
      <c r="O20" s="54">
        <f>IF($B20="","",IFERROR($B20*$G20*$J20/$B$3,""))</f>
        <v/>
      </c>
      <c r="P20" s="54">
        <f>IF($B20="","",IFERROR($B20*$G20*$L20/$B$3,""))</f>
        <v/>
      </c>
      <c r="Q20" s="38">
        <f>IF($B20="","",IFERROR($O20+$P20,""))</f>
        <v/>
      </c>
      <c r="R20" s="54">
        <f>IF($B20="","",IFERROR($O20+$B20*$G20*$M20/$B$3,""))</f>
        <v/>
      </c>
      <c r="S20" s="54">
        <f>IF($B20="","",IFERROR($O20+$B20*$G20*$N20/$B$3,""))</f>
        <v/>
      </c>
      <c r="T20" s="63">
        <f>IF($B20="","",IFERROR($Q20/$Q$5,""))</f>
        <v/>
      </c>
      <c r="U20" s="2">
        <f>IF($B20="","",IF(COUNTIFS('Dvd Calendar'!$E$1716:$AR$1716,"&gt;0",'Dvd Calendar'!$E$1717:$AR$1717,"&gt;"&amp;MAX(Summary!$C$11,DATE(Summary!$C$12,1,1)-1),'Dvd Calendar'!$E$1717:$AR$1717,"&lt;="&amp;DATE(Summary!$C$12,12,31))-COUNTIFS('Dvd Calendar'!$E$1716:$AR$1716,"&gt;0",'Dvd Calendar'!$E$1717:$AR$1717,"&gt;"&amp;MAX(Summary!$C$11,DATE(Summary!$C$12,1,1)-1),'Dvd Calendar'!$E$1717:$AR$1717,"&lt;="&amp;DATE(Summary!$C$12,12,31),'Dvd Calendar'!$E$1718:$AR$1718,"&gt;=0")&gt;0,"TBA amount - override me",IF((Override!$C$4="ON")*ISNUMBER(Override!$G$126)&gt;0,"overridden",IF($J20+$K20=0,"no dividend in year Y",""))))</f>
        <v/>
      </c>
      <c r="V20" s="54">
        <f>IF($B20="","",IFERROR(IF(ISNUMBER($H20),$B20*$G20*$H20/$B$3,0),""))</f>
        <v/>
      </c>
      <c r="W20" s="54">
        <f>IF($B20="","",IFERROR($B20*$G20*$K20/$B$3,""))</f>
        <v/>
      </c>
    </row>
    <row r="21">
      <c r="B21" s="73" t="n"/>
      <c r="C21" s="6">
        <f>IF($A21="","",$A21&amp;" Equity")</f>
        <v/>
      </c>
      <c r="D21" s="6">
        <f>IF($C21="","",BDP($C21,"NAME"))</f>
        <v/>
      </c>
      <c r="E21" s="6">
        <f>IF($C21="","",BDP($C21,"GICS_SECTOR_NAME"))</f>
        <v/>
      </c>
      <c r="F21" s="31">
        <f>IF($C21="","",BDP($C21,'Field Check'!$C$8))</f>
        <v/>
      </c>
      <c r="G21" s="74">
        <f>IFERROR(IF(LEN($F21)&lt;&gt;3,1,IF($F21="HKD",1,BDP(IF($F21="CNY",Summary!$C$14,$F21)&amp;"HKD Curncy","PX_LAST"))),1)</f>
        <v/>
      </c>
      <c r="H21" s="54">
        <f>IF($C21="","",BDP($C21,'Field Check'!$C$9))</f>
        <v/>
      </c>
      <c r="I21" s="45">
        <f>IF($C21="","",BDP($C21,'Field Check'!$C$10))</f>
        <v/>
      </c>
      <c r="J21" s="47">
        <f>IF($B21="",0,IF(Summary!$C$13="Y",SUMIFS('Dvd Calendar'!$E$1726:$AR$1726,'Dvd Calendar'!$E$1725:$AR$1725,"&gt;="&amp;DATE(Summary!$C$12,1,1),'Dvd Calendar'!$E$1725:$AR$1725,"&lt;="&amp;MIN(Summary!$C$11,DATE(Summary!$C$12,12,31))),SUMIFS('Dvd Calendar'!$E$1726:$AR$1726,'Dvd Calendar'!$E$1725:$AR$1725,"&gt;="&amp;DATE(Summary!$C$12,1,1),'Dvd Calendar'!$E$1725:$AR$1725,"&lt;="&amp;MIN(Summary!$C$11,DATE(Summary!$C$12,12,31)),'Dvd Calendar'!$E$1730:$AR$1730,"&lt;&gt;"&amp;'Field Check'!$C$25)))</f>
        <v/>
      </c>
      <c r="K21" s="47">
        <f>IF($B21="",0,IF(Summary!$C$13="Y",SUMIFS('Dvd Calendar'!$E$1733:$AR$1733,'Dvd Calendar'!$E$1732:$AR$1732,"&gt;"&amp;MAX(Summary!$C$11,DATE(Summary!$C$12,1,1)-1),'Dvd Calendar'!$E$1732:$AR$1732,"&lt;="&amp;DATE(Summary!$C$12,12,31)),SUMIFS('Dvd Calendar'!$E$1733:$AR$1733,'Dvd Calendar'!$E$1732:$AR$1732,"&gt;"&amp;MAX(Summary!$C$11,DATE(Summary!$C$12,1,1)-1),'Dvd Calendar'!$E$1732:$AR$1732,"&lt;="&amp;DATE(Summary!$C$12,12,31),'Dvd Calendar'!$E$1737:$AR$1737,"&lt;&gt;"&amp;'Field Check'!$C$25)))</f>
        <v/>
      </c>
      <c r="L21" s="47">
        <f>IF($B21="",0,IF((Override!$C$4="ON")*ISNUMBER(Override!$G$127)&gt;0,Override!$G$127,$K21))</f>
        <v/>
      </c>
      <c r="M21" s="47">
        <f>IF($B21="",0,IF((Override!$C$4="ON")*ISNUMBER(Override!$H$127)&gt;0,Override!$H$127,$L21))</f>
        <v/>
      </c>
      <c r="N21" s="47">
        <f>IF($B21="",0,IF((Override!$C$4="ON")*ISNUMBER(Override!$I$127)&gt;0,Override!$I$127,$L21))</f>
        <v/>
      </c>
      <c r="O21" s="54">
        <f>IF($B21="","",IFERROR($B21*$G21*$J21/$B$3,""))</f>
        <v/>
      </c>
      <c r="P21" s="54">
        <f>IF($B21="","",IFERROR($B21*$G21*$L21/$B$3,""))</f>
        <v/>
      </c>
      <c r="Q21" s="38">
        <f>IF($B21="","",IFERROR($O21+$P21,""))</f>
        <v/>
      </c>
      <c r="R21" s="54">
        <f>IF($B21="","",IFERROR($O21+$B21*$G21*$M21/$B$3,""))</f>
        <v/>
      </c>
      <c r="S21" s="54">
        <f>IF($B21="","",IFERROR($O21+$B21*$G21*$N21/$B$3,""))</f>
        <v/>
      </c>
      <c r="T21" s="63">
        <f>IF($B21="","",IFERROR($Q21/$Q$5,""))</f>
        <v/>
      </c>
      <c r="U21" s="2">
        <f>IF($B21="","",IF(COUNTIFS('Dvd Calendar'!$E$1731:$AR$1731,"&gt;0",'Dvd Calendar'!$E$1732:$AR$1732,"&gt;"&amp;MAX(Summary!$C$11,DATE(Summary!$C$12,1,1)-1),'Dvd Calendar'!$E$1732:$AR$1732,"&lt;="&amp;DATE(Summary!$C$12,12,31))-COUNTIFS('Dvd Calendar'!$E$1731:$AR$1731,"&gt;0",'Dvd Calendar'!$E$1732:$AR$1732,"&gt;"&amp;MAX(Summary!$C$11,DATE(Summary!$C$12,1,1)-1),'Dvd Calendar'!$E$1732:$AR$1732,"&lt;="&amp;DATE(Summary!$C$12,12,31),'Dvd Calendar'!$E$1733:$AR$1733,"&gt;=0")&gt;0,"TBA amount - override me",IF((Override!$C$4="ON")*ISNUMBER(Override!$G$127)&gt;0,"overridden",IF($J21+$K21=0,"no dividend in year Y",""))))</f>
        <v/>
      </c>
      <c r="V21" s="54">
        <f>IF($B21="","",IFERROR(IF(ISNUMBER($H21),$B21*$G21*$H21/$B$3,0),""))</f>
        <v/>
      </c>
      <c r="W21" s="54">
        <f>IF($B21="","",IFERROR($B21*$G21*$K21/$B$3,""))</f>
        <v/>
      </c>
    </row>
    <row r="22">
      <c r="B22" s="73" t="n"/>
      <c r="C22" s="6">
        <f>IF($A22="","",$A22&amp;" Equity")</f>
        <v/>
      </c>
      <c r="D22" s="6">
        <f>IF($C22="","",BDP($C22,"NAME"))</f>
        <v/>
      </c>
      <c r="E22" s="6">
        <f>IF($C22="","",BDP($C22,"GICS_SECTOR_NAME"))</f>
        <v/>
      </c>
      <c r="F22" s="31">
        <f>IF($C22="","",BDP($C22,'Field Check'!$C$8))</f>
        <v/>
      </c>
      <c r="G22" s="74">
        <f>IFERROR(IF(LEN($F22)&lt;&gt;3,1,IF($F22="HKD",1,BDP(IF($F22="CNY",Summary!$C$14,$F22)&amp;"HKD Curncy","PX_LAST"))),1)</f>
        <v/>
      </c>
      <c r="H22" s="54">
        <f>IF($C22="","",BDP($C22,'Field Check'!$C$9))</f>
        <v/>
      </c>
      <c r="I22" s="45">
        <f>IF($C22="","",BDP($C22,'Field Check'!$C$10))</f>
        <v/>
      </c>
      <c r="J22" s="47">
        <f>IF($B22="",0,IF(Summary!$C$13="Y",SUMIFS('Dvd Calendar'!$E$1741:$AR$1741,'Dvd Calendar'!$E$1740:$AR$1740,"&gt;="&amp;DATE(Summary!$C$12,1,1),'Dvd Calendar'!$E$1740:$AR$1740,"&lt;="&amp;MIN(Summary!$C$11,DATE(Summary!$C$12,12,31))),SUMIFS('Dvd Calendar'!$E$1741:$AR$1741,'Dvd Calendar'!$E$1740:$AR$1740,"&gt;="&amp;DATE(Summary!$C$12,1,1),'Dvd Calendar'!$E$1740:$AR$1740,"&lt;="&amp;MIN(Summary!$C$11,DATE(Summary!$C$12,12,31)),'Dvd Calendar'!$E$1745:$AR$1745,"&lt;&gt;"&amp;'Field Check'!$C$25)))</f>
        <v/>
      </c>
      <c r="K22" s="47">
        <f>IF($B22="",0,IF(Summary!$C$13="Y",SUMIFS('Dvd Calendar'!$E$1748:$AR$1748,'Dvd Calendar'!$E$1747:$AR$1747,"&gt;"&amp;MAX(Summary!$C$11,DATE(Summary!$C$12,1,1)-1),'Dvd Calendar'!$E$1747:$AR$1747,"&lt;="&amp;DATE(Summary!$C$12,12,31)),SUMIFS('Dvd Calendar'!$E$1748:$AR$1748,'Dvd Calendar'!$E$1747:$AR$1747,"&gt;"&amp;MAX(Summary!$C$11,DATE(Summary!$C$12,1,1)-1),'Dvd Calendar'!$E$1747:$AR$1747,"&lt;="&amp;DATE(Summary!$C$12,12,31),'Dvd Calendar'!$E$1752:$AR$1752,"&lt;&gt;"&amp;'Field Check'!$C$25)))</f>
        <v/>
      </c>
      <c r="L22" s="47">
        <f>IF($B22="",0,IF((Override!$C$4="ON")*ISNUMBER(Override!$G$128)&gt;0,Override!$G$128,$K22))</f>
        <v/>
      </c>
      <c r="M22" s="47">
        <f>IF($B22="",0,IF((Override!$C$4="ON")*ISNUMBER(Override!$H$128)&gt;0,Override!$H$128,$L22))</f>
        <v/>
      </c>
      <c r="N22" s="47">
        <f>IF($B22="",0,IF((Override!$C$4="ON")*ISNUMBER(Override!$I$128)&gt;0,Override!$I$128,$L22))</f>
        <v/>
      </c>
      <c r="O22" s="54">
        <f>IF($B22="","",IFERROR($B22*$G22*$J22/$B$3,""))</f>
        <v/>
      </c>
      <c r="P22" s="54">
        <f>IF($B22="","",IFERROR($B22*$G22*$L22/$B$3,""))</f>
        <v/>
      </c>
      <c r="Q22" s="38">
        <f>IF($B22="","",IFERROR($O22+$P22,""))</f>
        <v/>
      </c>
      <c r="R22" s="54">
        <f>IF($B22="","",IFERROR($O22+$B22*$G22*$M22/$B$3,""))</f>
        <v/>
      </c>
      <c r="S22" s="54">
        <f>IF($B22="","",IFERROR($O22+$B22*$G22*$N22/$B$3,""))</f>
        <v/>
      </c>
      <c r="T22" s="63">
        <f>IF($B22="","",IFERROR($Q22/$Q$5,""))</f>
        <v/>
      </c>
      <c r="U22" s="2">
        <f>IF($B22="","",IF(COUNTIFS('Dvd Calendar'!$E$1746:$AR$1746,"&gt;0",'Dvd Calendar'!$E$1747:$AR$1747,"&gt;"&amp;MAX(Summary!$C$11,DATE(Summary!$C$12,1,1)-1),'Dvd Calendar'!$E$1747:$AR$1747,"&lt;="&amp;DATE(Summary!$C$12,12,31))-COUNTIFS('Dvd Calendar'!$E$1746:$AR$1746,"&gt;0",'Dvd Calendar'!$E$1747:$AR$1747,"&gt;"&amp;MAX(Summary!$C$11,DATE(Summary!$C$12,1,1)-1),'Dvd Calendar'!$E$1747:$AR$1747,"&lt;="&amp;DATE(Summary!$C$12,12,31),'Dvd Calendar'!$E$1748:$AR$1748,"&gt;=0")&gt;0,"TBA amount - override me",IF((Override!$C$4="ON")*ISNUMBER(Override!$G$128)&gt;0,"overridden",IF($J22+$K22=0,"no dividend in year Y",""))))</f>
        <v/>
      </c>
      <c r="V22" s="54">
        <f>IF($B22="","",IFERROR(IF(ISNUMBER($H22),$B22*$G22*$H22/$B$3,0),""))</f>
        <v/>
      </c>
      <c r="W22" s="54">
        <f>IF($B22="","",IFERROR($B22*$G22*$K22/$B$3,""))</f>
        <v/>
      </c>
    </row>
    <row r="23">
      <c r="B23" s="73" t="n"/>
      <c r="C23" s="6">
        <f>IF($A23="","",$A23&amp;" Equity")</f>
        <v/>
      </c>
      <c r="D23" s="6">
        <f>IF($C23="","",BDP($C23,"NAME"))</f>
        <v/>
      </c>
      <c r="E23" s="6">
        <f>IF($C23="","",BDP($C23,"GICS_SECTOR_NAME"))</f>
        <v/>
      </c>
      <c r="F23" s="31">
        <f>IF($C23="","",BDP($C23,'Field Check'!$C$8))</f>
        <v/>
      </c>
      <c r="G23" s="74">
        <f>IFERROR(IF(LEN($F23)&lt;&gt;3,1,IF($F23="HKD",1,BDP(IF($F23="CNY",Summary!$C$14,$F23)&amp;"HKD Curncy","PX_LAST"))),1)</f>
        <v/>
      </c>
      <c r="H23" s="54">
        <f>IF($C23="","",BDP($C23,'Field Check'!$C$9))</f>
        <v/>
      </c>
      <c r="I23" s="45">
        <f>IF($C23="","",BDP($C23,'Field Check'!$C$10))</f>
        <v/>
      </c>
      <c r="J23" s="47">
        <f>IF($B23="",0,IF(Summary!$C$13="Y",SUMIFS('Dvd Calendar'!$E$1756:$AR$1756,'Dvd Calendar'!$E$1755:$AR$1755,"&gt;="&amp;DATE(Summary!$C$12,1,1),'Dvd Calendar'!$E$1755:$AR$1755,"&lt;="&amp;MIN(Summary!$C$11,DATE(Summary!$C$12,12,31))),SUMIFS('Dvd Calendar'!$E$1756:$AR$1756,'Dvd Calendar'!$E$1755:$AR$1755,"&gt;="&amp;DATE(Summary!$C$12,1,1),'Dvd Calendar'!$E$1755:$AR$1755,"&lt;="&amp;MIN(Summary!$C$11,DATE(Summary!$C$12,12,31)),'Dvd Calendar'!$E$1760:$AR$1760,"&lt;&gt;"&amp;'Field Check'!$C$25)))</f>
        <v/>
      </c>
      <c r="K23" s="47">
        <f>IF($B23="",0,IF(Summary!$C$13="Y",SUMIFS('Dvd Calendar'!$E$1763:$AR$1763,'Dvd Calendar'!$E$1762:$AR$1762,"&gt;"&amp;MAX(Summary!$C$11,DATE(Summary!$C$12,1,1)-1),'Dvd Calendar'!$E$1762:$AR$1762,"&lt;="&amp;DATE(Summary!$C$12,12,31)),SUMIFS('Dvd Calendar'!$E$1763:$AR$1763,'Dvd Calendar'!$E$1762:$AR$1762,"&gt;"&amp;MAX(Summary!$C$11,DATE(Summary!$C$12,1,1)-1),'Dvd Calendar'!$E$1762:$AR$1762,"&lt;="&amp;DATE(Summary!$C$12,12,31),'Dvd Calendar'!$E$1767:$AR$1767,"&lt;&gt;"&amp;'Field Check'!$C$25)))</f>
        <v/>
      </c>
      <c r="L23" s="47">
        <f>IF($B23="",0,IF((Override!$C$4="ON")*ISNUMBER(Override!$G$129)&gt;0,Override!$G$129,$K23))</f>
        <v/>
      </c>
      <c r="M23" s="47">
        <f>IF($B23="",0,IF((Override!$C$4="ON")*ISNUMBER(Override!$H$129)&gt;0,Override!$H$129,$L23))</f>
        <v/>
      </c>
      <c r="N23" s="47">
        <f>IF($B23="",0,IF((Override!$C$4="ON")*ISNUMBER(Override!$I$129)&gt;0,Override!$I$129,$L23))</f>
        <v/>
      </c>
      <c r="O23" s="54">
        <f>IF($B23="","",IFERROR($B23*$G23*$J23/$B$3,""))</f>
        <v/>
      </c>
      <c r="P23" s="54">
        <f>IF($B23="","",IFERROR($B23*$G23*$L23/$B$3,""))</f>
        <v/>
      </c>
      <c r="Q23" s="38">
        <f>IF($B23="","",IFERROR($O23+$P23,""))</f>
        <v/>
      </c>
      <c r="R23" s="54">
        <f>IF($B23="","",IFERROR($O23+$B23*$G23*$M23/$B$3,""))</f>
        <v/>
      </c>
      <c r="S23" s="54">
        <f>IF($B23="","",IFERROR($O23+$B23*$G23*$N23/$B$3,""))</f>
        <v/>
      </c>
      <c r="T23" s="63">
        <f>IF($B23="","",IFERROR($Q23/$Q$5,""))</f>
        <v/>
      </c>
      <c r="U23" s="2">
        <f>IF($B23="","",IF(COUNTIFS('Dvd Calendar'!$E$1761:$AR$1761,"&gt;0",'Dvd Calendar'!$E$1762:$AR$1762,"&gt;"&amp;MAX(Summary!$C$11,DATE(Summary!$C$12,1,1)-1),'Dvd Calendar'!$E$1762:$AR$1762,"&lt;="&amp;DATE(Summary!$C$12,12,31))-COUNTIFS('Dvd Calendar'!$E$1761:$AR$1761,"&gt;0",'Dvd Calendar'!$E$1762:$AR$1762,"&gt;"&amp;MAX(Summary!$C$11,DATE(Summary!$C$12,1,1)-1),'Dvd Calendar'!$E$1762:$AR$1762,"&lt;="&amp;DATE(Summary!$C$12,12,31),'Dvd Calendar'!$E$1763:$AR$1763,"&gt;=0")&gt;0,"TBA amount - override me",IF((Override!$C$4="ON")*ISNUMBER(Override!$G$129)&gt;0,"overridden",IF($J23+$K23=0,"no dividend in year Y",""))))</f>
        <v/>
      </c>
      <c r="V23" s="54">
        <f>IF($B23="","",IFERROR(IF(ISNUMBER($H23),$B23*$G23*$H23/$B$3,0),""))</f>
        <v/>
      </c>
      <c r="W23" s="54">
        <f>IF($B23="","",IFERROR($B23*$G23*$K23/$B$3,""))</f>
        <v/>
      </c>
    </row>
    <row r="24">
      <c r="B24" s="73" t="n"/>
      <c r="C24" s="6">
        <f>IF($A24="","",$A24&amp;" Equity")</f>
        <v/>
      </c>
      <c r="D24" s="6">
        <f>IF($C24="","",BDP($C24,"NAME"))</f>
        <v/>
      </c>
      <c r="E24" s="6">
        <f>IF($C24="","",BDP($C24,"GICS_SECTOR_NAME"))</f>
        <v/>
      </c>
      <c r="F24" s="31">
        <f>IF($C24="","",BDP($C24,'Field Check'!$C$8))</f>
        <v/>
      </c>
      <c r="G24" s="74">
        <f>IFERROR(IF(LEN($F24)&lt;&gt;3,1,IF($F24="HKD",1,BDP(IF($F24="CNY",Summary!$C$14,$F24)&amp;"HKD Curncy","PX_LAST"))),1)</f>
        <v/>
      </c>
      <c r="H24" s="54">
        <f>IF($C24="","",BDP($C24,'Field Check'!$C$9))</f>
        <v/>
      </c>
      <c r="I24" s="45">
        <f>IF($C24="","",BDP($C24,'Field Check'!$C$10))</f>
        <v/>
      </c>
      <c r="J24" s="47">
        <f>IF($B24="",0,IF(Summary!$C$13="Y",SUMIFS('Dvd Calendar'!$E$1771:$AR$1771,'Dvd Calendar'!$E$1770:$AR$1770,"&gt;="&amp;DATE(Summary!$C$12,1,1),'Dvd Calendar'!$E$1770:$AR$1770,"&lt;="&amp;MIN(Summary!$C$11,DATE(Summary!$C$12,12,31))),SUMIFS('Dvd Calendar'!$E$1771:$AR$1771,'Dvd Calendar'!$E$1770:$AR$1770,"&gt;="&amp;DATE(Summary!$C$12,1,1),'Dvd Calendar'!$E$1770:$AR$1770,"&lt;="&amp;MIN(Summary!$C$11,DATE(Summary!$C$12,12,31)),'Dvd Calendar'!$E$1775:$AR$1775,"&lt;&gt;"&amp;'Field Check'!$C$25)))</f>
        <v/>
      </c>
      <c r="K24" s="47">
        <f>IF($B24="",0,IF(Summary!$C$13="Y",SUMIFS('Dvd Calendar'!$E$1778:$AR$1778,'Dvd Calendar'!$E$1777:$AR$1777,"&gt;"&amp;MAX(Summary!$C$11,DATE(Summary!$C$12,1,1)-1),'Dvd Calendar'!$E$1777:$AR$1777,"&lt;="&amp;DATE(Summary!$C$12,12,31)),SUMIFS('Dvd Calendar'!$E$1778:$AR$1778,'Dvd Calendar'!$E$1777:$AR$1777,"&gt;"&amp;MAX(Summary!$C$11,DATE(Summary!$C$12,1,1)-1),'Dvd Calendar'!$E$1777:$AR$1777,"&lt;="&amp;DATE(Summary!$C$12,12,31),'Dvd Calendar'!$E$1782:$AR$1782,"&lt;&gt;"&amp;'Field Check'!$C$25)))</f>
        <v/>
      </c>
      <c r="L24" s="47">
        <f>IF($B24="",0,IF((Override!$C$4="ON")*ISNUMBER(Override!$G$130)&gt;0,Override!$G$130,$K24))</f>
        <v/>
      </c>
      <c r="M24" s="47">
        <f>IF($B24="",0,IF((Override!$C$4="ON")*ISNUMBER(Override!$H$130)&gt;0,Override!$H$130,$L24))</f>
        <v/>
      </c>
      <c r="N24" s="47">
        <f>IF($B24="",0,IF((Override!$C$4="ON")*ISNUMBER(Override!$I$130)&gt;0,Override!$I$130,$L24))</f>
        <v/>
      </c>
      <c r="O24" s="54">
        <f>IF($B24="","",IFERROR($B24*$G24*$J24/$B$3,""))</f>
        <v/>
      </c>
      <c r="P24" s="54">
        <f>IF($B24="","",IFERROR($B24*$G24*$L24/$B$3,""))</f>
        <v/>
      </c>
      <c r="Q24" s="38">
        <f>IF($B24="","",IFERROR($O24+$P24,""))</f>
        <v/>
      </c>
      <c r="R24" s="54">
        <f>IF($B24="","",IFERROR($O24+$B24*$G24*$M24/$B$3,""))</f>
        <v/>
      </c>
      <c r="S24" s="54">
        <f>IF($B24="","",IFERROR($O24+$B24*$G24*$N24/$B$3,""))</f>
        <v/>
      </c>
      <c r="T24" s="63">
        <f>IF($B24="","",IFERROR($Q24/$Q$5,""))</f>
        <v/>
      </c>
      <c r="U24" s="2">
        <f>IF($B24="","",IF(COUNTIFS('Dvd Calendar'!$E$1776:$AR$1776,"&gt;0",'Dvd Calendar'!$E$1777:$AR$1777,"&gt;"&amp;MAX(Summary!$C$11,DATE(Summary!$C$12,1,1)-1),'Dvd Calendar'!$E$1777:$AR$1777,"&lt;="&amp;DATE(Summary!$C$12,12,31))-COUNTIFS('Dvd Calendar'!$E$1776:$AR$1776,"&gt;0",'Dvd Calendar'!$E$1777:$AR$1777,"&gt;"&amp;MAX(Summary!$C$11,DATE(Summary!$C$12,1,1)-1),'Dvd Calendar'!$E$1777:$AR$1777,"&lt;="&amp;DATE(Summary!$C$12,12,31),'Dvd Calendar'!$E$1778:$AR$1778,"&gt;=0")&gt;0,"TBA amount - override me",IF((Override!$C$4="ON")*ISNUMBER(Override!$G$130)&gt;0,"overridden",IF($J24+$K24=0,"no dividend in year Y",""))))</f>
        <v/>
      </c>
      <c r="V24" s="54">
        <f>IF($B24="","",IFERROR(IF(ISNUMBER($H24),$B24*$G24*$H24/$B$3,0),""))</f>
        <v/>
      </c>
      <c r="W24" s="54">
        <f>IF($B24="","",IFERROR($B24*$G24*$K24/$B$3,""))</f>
        <v/>
      </c>
    </row>
    <row r="25">
      <c r="B25" s="73" t="n"/>
      <c r="C25" s="6">
        <f>IF($A25="","",$A25&amp;" Equity")</f>
        <v/>
      </c>
      <c r="D25" s="6">
        <f>IF($C25="","",BDP($C25,"NAME"))</f>
        <v/>
      </c>
      <c r="E25" s="6">
        <f>IF($C25="","",BDP($C25,"GICS_SECTOR_NAME"))</f>
        <v/>
      </c>
      <c r="F25" s="31">
        <f>IF($C25="","",BDP($C25,'Field Check'!$C$8))</f>
        <v/>
      </c>
      <c r="G25" s="74">
        <f>IFERROR(IF(LEN($F25)&lt;&gt;3,1,IF($F25="HKD",1,BDP(IF($F25="CNY",Summary!$C$14,$F25)&amp;"HKD Curncy","PX_LAST"))),1)</f>
        <v/>
      </c>
      <c r="H25" s="54">
        <f>IF($C25="","",BDP($C25,'Field Check'!$C$9))</f>
        <v/>
      </c>
      <c r="I25" s="45">
        <f>IF($C25="","",BDP($C25,'Field Check'!$C$10))</f>
        <v/>
      </c>
      <c r="J25" s="47">
        <f>IF($B25="",0,IF(Summary!$C$13="Y",SUMIFS('Dvd Calendar'!$E$1786:$AR$1786,'Dvd Calendar'!$E$1785:$AR$1785,"&gt;="&amp;DATE(Summary!$C$12,1,1),'Dvd Calendar'!$E$1785:$AR$1785,"&lt;="&amp;MIN(Summary!$C$11,DATE(Summary!$C$12,12,31))),SUMIFS('Dvd Calendar'!$E$1786:$AR$1786,'Dvd Calendar'!$E$1785:$AR$1785,"&gt;="&amp;DATE(Summary!$C$12,1,1),'Dvd Calendar'!$E$1785:$AR$1785,"&lt;="&amp;MIN(Summary!$C$11,DATE(Summary!$C$12,12,31)),'Dvd Calendar'!$E$1790:$AR$1790,"&lt;&gt;"&amp;'Field Check'!$C$25)))</f>
        <v/>
      </c>
      <c r="K25" s="47">
        <f>IF($B25="",0,IF(Summary!$C$13="Y",SUMIFS('Dvd Calendar'!$E$1793:$AR$1793,'Dvd Calendar'!$E$1792:$AR$1792,"&gt;"&amp;MAX(Summary!$C$11,DATE(Summary!$C$12,1,1)-1),'Dvd Calendar'!$E$1792:$AR$1792,"&lt;="&amp;DATE(Summary!$C$12,12,31)),SUMIFS('Dvd Calendar'!$E$1793:$AR$1793,'Dvd Calendar'!$E$1792:$AR$1792,"&gt;"&amp;MAX(Summary!$C$11,DATE(Summary!$C$12,1,1)-1),'Dvd Calendar'!$E$1792:$AR$1792,"&lt;="&amp;DATE(Summary!$C$12,12,31),'Dvd Calendar'!$E$1797:$AR$1797,"&lt;&gt;"&amp;'Field Check'!$C$25)))</f>
        <v/>
      </c>
      <c r="L25" s="47">
        <f>IF($B25="",0,IF((Override!$C$4="ON")*ISNUMBER(Override!$G$131)&gt;0,Override!$G$131,$K25))</f>
        <v/>
      </c>
      <c r="M25" s="47">
        <f>IF($B25="",0,IF((Override!$C$4="ON")*ISNUMBER(Override!$H$131)&gt;0,Override!$H$131,$L25))</f>
        <v/>
      </c>
      <c r="N25" s="47">
        <f>IF($B25="",0,IF((Override!$C$4="ON")*ISNUMBER(Override!$I$131)&gt;0,Override!$I$131,$L25))</f>
        <v/>
      </c>
      <c r="O25" s="54">
        <f>IF($B25="","",IFERROR($B25*$G25*$J25/$B$3,""))</f>
        <v/>
      </c>
      <c r="P25" s="54">
        <f>IF($B25="","",IFERROR($B25*$G25*$L25/$B$3,""))</f>
        <v/>
      </c>
      <c r="Q25" s="38">
        <f>IF($B25="","",IFERROR($O25+$P25,""))</f>
        <v/>
      </c>
      <c r="R25" s="54">
        <f>IF($B25="","",IFERROR($O25+$B25*$G25*$M25/$B$3,""))</f>
        <v/>
      </c>
      <c r="S25" s="54">
        <f>IF($B25="","",IFERROR($O25+$B25*$G25*$N25/$B$3,""))</f>
        <v/>
      </c>
      <c r="T25" s="63">
        <f>IF($B25="","",IFERROR($Q25/$Q$5,""))</f>
        <v/>
      </c>
      <c r="U25" s="2">
        <f>IF($B25="","",IF(COUNTIFS('Dvd Calendar'!$E$1791:$AR$1791,"&gt;0",'Dvd Calendar'!$E$1792:$AR$1792,"&gt;"&amp;MAX(Summary!$C$11,DATE(Summary!$C$12,1,1)-1),'Dvd Calendar'!$E$1792:$AR$1792,"&lt;="&amp;DATE(Summary!$C$12,12,31))-COUNTIFS('Dvd Calendar'!$E$1791:$AR$1791,"&gt;0",'Dvd Calendar'!$E$1792:$AR$1792,"&gt;"&amp;MAX(Summary!$C$11,DATE(Summary!$C$12,1,1)-1),'Dvd Calendar'!$E$1792:$AR$1792,"&lt;="&amp;DATE(Summary!$C$12,12,31),'Dvd Calendar'!$E$1793:$AR$1793,"&gt;=0")&gt;0,"TBA amount - override me",IF((Override!$C$4="ON")*ISNUMBER(Override!$G$131)&gt;0,"overridden",IF($J25+$K25=0,"no dividend in year Y",""))))</f>
        <v/>
      </c>
      <c r="V25" s="54">
        <f>IF($B25="","",IFERROR(IF(ISNUMBER($H25),$B25*$G25*$H25/$B$3,0),""))</f>
        <v/>
      </c>
      <c r="W25" s="54">
        <f>IF($B25="","",IFERROR($B25*$G25*$K25/$B$3,""))</f>
        <v/>
      </c>
    </row>
    <row r="26">
      <c r="B26" s="73" t="n"/>
      <c r="C26" s="6">
        <f>IF($A26="","",$A26&amp;" Equity")</f>
        <v/>
      </c>
      <c r="D26" s="6">
        <f>IF($C26="","",BDP($C26,"NAME"))</f>
        <v/>
      </c>
      <c r="E26" s="6">
        <f>IF($C26="","",BDP($C26,"GICS_SECTOR_NAME"))</f>
        <v/>
      </c>
      <c r="F26" s="31">
        <f>IF($C26="","",BDP($C26,'Field Check'!$C$8))</f>
        <v/>
      </c>
      <c r="G26" s="74">
        <f>IFERROR(IF(LEN($F26)&lt;&gt;3,1,IF($F26="HKD",1,BDP(IF($F26="CNY",Summary!$C$14,$F26)&amp;"HKD Curncy","PX_LAST"))),1)</f>
        <v/>
      </c>
      <c r="H26" s="54">
        <f>IF($C26="","",BDP($C26,'Field Check'!$C$9))</f>
        <v/>
      </c>
      <c r="I26" s="45">
        <f>IF($C26="","",BDP($C26,'Field Check'!$C$10))</f>
        <v/>
      </c>
      <c r="J26" s="47">
        <f>IF($B26="",0,IF(Summary!$C$13="Y",SUMIFS('Dvd Calendar'!$E$1801:$AR$1801,'Dvd Calendar'!$E$1800:$AR$1800,"&gt;="&amp;DATE(Summary!$C$12,1,1),'Dvd Calendar'!$E$1800:$AR$1800,"&lt;="&amp;MIN(Summary!$C$11,DATE(Summary!$C$12,12,31))),SUMIFS('Dvd Calendar'!$E$1801:$AR$1801,'Dvd Calendar'!$E$1800:$AR$1800,"&gt;="&amp;DATE(Summary!$C$12,1,1),'Dvd Calendar'!$E$1800:$AR$1800,"&lt;="&amp;MIN(Summary!$C$11,DATE(Summary!$C$12,12,31)),'Dvd Calendar'!$E$1805:$AR$1805,"&lt;&gt;"&amp;'Field Check'!$C$25)))</f>
        <v/>
      </c>
      <c r="K26" s="47">
        <f>IF($B26="",0,IF(Summary!$C$13="Y",SUMIFS('Dvd Calendar'!$E$1808:$AR$1808,'Dvd Calendar'!$E$1807:$AR$1807,"&gt;"&amp;MAX(Summary!$C$11,DATE(Summary!$C$12,1,1)-1),'Dvd Calendar'!$E$1807:$AR$1807,"&lt;="&amp;DATE(Summary!$C$12,12,31)),SUMIFS('Dvd Calendar'!$E$1808:$AR$1808,'Dvd Calendar'!$E$1807:$AR$1807,"&gt;"&amp;MAX(Summary!$C$11,DATE(Summary!$C$12,1,1)-1),'Dvd Calendar'!$E$1807:$AR$1807,"&lt;="&amp;DATE(Summary!$C$12,12,31),'Dvd Calendar'!$E$1812:$AR$1812,"&lt;&gt;"&amp;'Field Check'!$C$25)))</f>
        <v/>
      </c>
      <c r="L26" s="47">
        <f>IF($B26="",0,IF((Override!$C$4="ON")*ISNUMBER(Override!$G$132)&gt;0,Override!$G$132,$K26))</f>
        <v/>
      </c>
      <c r="M26" s="47">
        <f>IF($B26="",0,IF((Override!$C$4="ON")*ISNUMBER(Override!$H$132)&gt;0,Override!$H$132,$L26))</f>
        <v/>
      </c>
      <c r="N26" s="47">
        <f>IF($B26="",0,IF((Override!$C$4="ON")*ISNUMBER(Override!$I$132)&gt;0,Override!$I$132,$L26))</f>
        <v/>
      </c>
      <c r="O26" s="54">
        <f>IF($B26="","",IFERROR($B26*$G26*$J26/$B$3,""))</f>
        <v/>
      </c>
      <c r="P26" s="54">
        <f>IF($B26="","",IFERROR($B26*$G26*$L26/$B$3,""))</f>
        <v/>
      </c>
      <c r="Q26" s="38">
        <f>IF($B26="","",IFERROR($O26+$P26,""))</f>
        <v/>
      </c>
      <c r="R26" s="54">
        <f>IF($B26="","",IFERROR($O26+$B26*$G26*$M26/$B$3,""))</f>
        <v/>
      </c>
      <c r="S26" s="54">
        <f>IF($B26="","",IFERROR($O26+$B26*$G26*$N26/$B$3,""))</f>
        <v/>
      </c>
      <c r="T26" s="63">
        <f>IF($B26="","",IFERROR($Q26/$Q$5,""))</f>
        <v/>
      </c>
      <c r="U26" s="2">
        <f>IF($B26="","",IF(COUNTIFS('Dvd Calendar'!$E$1806:$AR$1806,"&gt;0",'Dvd Calendar'!$E$1807:$AR$1807,"&gt;"&amp;MAX(Summary!$C$11,DATE(Summary!$C$12,1,1)-1),'Dvd Calendar'!$E$1807:$AR$1807,"&lt;="&amp;DATE(Summary!$C$12,12,31))-COUNTIFS('Dvd Calendar'!$E$1806:$AR$1806,"&gt;0",'Dvd Calendar'!$E$1807:$AR$1807,"&gt;"&amp;MAX(Summary!$C$11,DATE(Summary!$C$12,1,1)-1),'Dvd Calendar'!$E$1807:$AR$1807,"&lt;="&amp;DATE(Summary!$C$12,12,31),'Dvd Calendar'!$E$1808:$AR$1808,"&gt;=0")&gt;0,"TBA amount - override me",IF((Override!$C$4="ON")*ISNUMBER(Override!$G$132)&gt;0,"overridden",IF($J26+$K26=0,"no dividend in year Y",""))))</f>
        <v/>
      </c>
      <c r="V26" s="54">
        <f>IF($B26="","",IFERROR(IF(ISNUMBER($H26),$B26*$G26*$H26/$B$3,0),""))</f>
        <v/>
      </c>
      <c r="W26" s="54">
        <f>IF($B26="","",IFERROR($B26*$G26*$K26/$B$3,""))</f>
        <v/>
      </c>
    </row>
    <row r="27">
      <c r="B27" s="73" t="n"/>
      <c r="C27" s="6">
        <f>IF($A27="","",$A27&amp;" Equity")</f>
        <v/>
      </c>
      <c r="D27" s="6">
        <f>IF($C27="","",BDP($C27,"NAME"))</f>
        <v/>
      </c>
      <c r="E27" s="6">
        <f>IF($C27="","",BDP($C27,"GICS_SECTOR_NAME"))</f>
        <v/>
      </c>
      <c r="F27" s="31">
        <f>IF($C27="","",BDP($C27,'Field Check'!$C$8))</f>
        <v/>
      </c>
      <c r="G27" s="74">
        <f>IFERROR(IF(LEN($F27)&lt;&gt;3,1,IF($F27="HKD",1,BDP(IF($F27="CNY",Summary!$C$14,$F27)&amp;"HKD Curncy","PX_LAST"))),1)</f>
        <v/>
      </c>
      <c r="H27" s="54">
        <f>IF($C27="","",BDP($C27,'Field Check'!$C$9))</f>
        <v/>
      </c>
      <c r="I27" s="45">
        <f>IF($C27="","",BDP($C27,'Field Check'!$C$10))</f>
        <v/>
      </c>
      <c r="J27" s="47">
        <f>IF($B27="",0,IF(Summary!$C$13="Y",SUMIFS('Dvd Calendar'!$E$1816:$AR$1816,'Dvd Calendar'!$E$1815:$AR$1815,"&gt;="&amp;DATE(Summary!$C$12,1,1),'Dvd Calendar'!$E$1815:$AR$1815,"&lt;="&amp;MIN(Summary!$C$11,DATE(Summary!$C$12,12,31))),SUMIFS('Dvd Calendar'!$E$1816:$AR$1816,'Dvd Calendar'!$E$1815:$AR$1815,"&gt;="&amp;DATE(Summary!$C$12,1,1),'Dvd Calendar'!$E$1815:$AR$1815,"&lt;="&amp;MIN(Summary!$C$11,DATE(Summary!$C$12,12,31)),'Dvd Calendar'!$E$1820:$AR$1820,"&lt;&gt;"&amp;'Field Check'!$C$25)))</f>
        <v/>
      </c>
      <c r="K27" s="47">
        <f>IF($B27="",0,IF(Summary!$C$13="Y",SUMIFS('Dvd Calendar'!$E$1823:$AR$1823,'Dvd Calendar'!$E$1822:$AR$1822,"&gt;"&amp;MAX(Summary!$C$11,DATE(Summary!$C$12,1,1)-1),'Dvd Calendar'!$E$1822:$AR$1822,"&lt;="&amp;DATE(Summary!$C$12,12,31)),SUMIFS('Dvd Calendar'!$E$1823:$AR$1823,'Dvd Calendar'!$E$1822:$AR$1822,"&gt;"&amp;MAX(Summary!$C$11,DATE(Summary!$C$12,1,1)-1),'Dvd Calendar'!$E$1822:$AR$1822,"&lt;="&amp;DATE(Summary!$C$12,12,31),'Dvd Calendar'!$E$1827:$AR$1827,"&lt;&gt;"&amp;'Field Check'!$C$25)))</f>
        <v/>
      </c>
      <c r="L27" s="47">
        <f>IF($B27="",0,IF((Override!$C$4="ON")*ISNUMBER(Override!$G$133)&gt;0,Override!$G$133,$K27))</f>
        <v/>
      </c>
      <c r="M27" s="47">
        <f>IF($B27="",0,IF((Override!$C$4="ON")*ISNUMBER(Override!$H$133)&gt;0,Override!$H$133,$L27))</f>
        <v/>
      </c>
      <c r="N27" s="47">
        <f>IF($B27="",0,IF((Override!$C$4="ON")*ISNUMBER(Override!$I$133)&gt;0,Override!$I$133,$L27))</f>
        <v/>
      </c>
      <c r="O27" s="54">
        <f>IF($B27="","",IFERROR($B27*$G27*$J27/$B$3,""))</f>
        <v/>
      </c>
      <c r="P27" s="54">
        <f>IF($B27="","",IFERROR($B27*$G27*$L27/$B$3,""))</f>
        <v/>
      </c>
      <c r="Q27" s="38">
        <f>IF($B27="","",IFERROR($O27+$P27,""))</f>
        <v/>
      </c>
      <c r="R27" s="54">
        <f>IF($B27="","",IFERROR($O27+$B27*$G27*$M27/$B$3,""))</f>
        <v/>
      </c>
      <c r="S27" s="54">
        <f>IF($B27="","",IFERROR($O27+$B27*$G27*$N27/$B$3,""))</f>
        <v/>
      </c>
      <c r="T27" s="63">
        <f>IF($B27="","",IFERROR($Q27/$Q$5,""))</f>
        <v/>
      </c>
      <c r="U27" s="2">
        <f>IF($B27="","",IF(COUNTIFS('Dvd Calendar'!$E$1821:$AR$1821,"&gt;0",'Dvd Calendar'!$E$1822:$AR$1822,"&gt;"&amp;MAX(Summary!$C$11,DATE(Summary!$C$12,1,1)-1),'Dvd Calendar'!$E$1822:$AR$1822,"&lt;="&amp;DATE(Summary!$C$12,12,31))-COUNTIFS('Dvd Calendar'!$E$1821:$AR$1821,"&gt;0",'Dvd Calendar'!$E$1822:$AR$1822,"&gt;"&amp;MAX(Summary!$C$11,DATE(Summary!$C$12,1,1)-1),'Dvd Calendar'!$E$1822:$AR$1822,"&lt;="&amp;DATE(Summary!$C$12,12,31),'Dvd Calendar'!$E$1823:$AR$1823,"&gt;=0")&gt;0,"TBA amount - override me",IF((Override!$C$4="ON")*ISNUMBER(Override!$G$133)&gt;0,"overridden",IF($J27+$K27=0,"no dividend in year Y",""))))</f>
        <v/>
      </c>
      <c r="V27" s="54">
        <f>IF($B27="","",IFERROR(IF(ISNUMBER($H27),$B27*$G27*$H27/$B$3,0),""))</f>
        <v/>
      </c>
      <c r="W27" s="54">
        <f>IF($B27="","",IFERROR($B27*$G27*$K27/$B$3,""))</f>
        <v/>
      </c>
    </row>
    <row r="28">
      <c r="B28" s="73" t="n"/>
      <c r="C28" s="6">
        <f>IF($A28="","",$A28&amp;" Equity")</f>
        <v/>
      </c>
      <c r="D28" s="6">
        <f>IF($C28="","",BDP($C28,"NAME"))</f>
        <v/>
      </c>
      <c r="E28" s="6">
        <f>IF($C28="","",BDP($C28,"GICS_SECTOR_NAME"))</f>
        <v/>
      </c>
      <c r="F28" s="31">
        <f>IF($C28="","",BDP($C28,'Field Check'!$C$8))</f>
        <v/>
      </c>
      <c r="G28" s="74">
        <f>IFERROR(IF(LEN($F28)&lt;&gt;3,1,IF($F28="HKD",1,BDP(IF($F28="CNY",Summary!$C$14,$F28)&amp;"HKD Curncy","PX_LAST"))),1)</f>
        <v/>
      </c>
      <c r="H28" s="54">
        <f>IF($C28="","",BDP($C28,'Field Check'!$C$9))</f>
        <v/>
      </c>
      <c r="I28" s="45">
        <f>IF($C28="","",BDP($C28,'Field Check'!$C$10))</f>
        <v/>
      </c>
      <c r="J28" s="47">
        <f>IF($B28="",0,IF(Summary!$C$13="Y",SUMIFS('Dvd Calendar'!$E$1831:$AR$1831,'Dvd Calendar'!$E$1830:$AR$1830,"&gt;="&amp;DATE(Summary!$C$12,1,1),'Dvd Calendar'!$E$1830:$AR$1830,"&lt;="&amp;MIN(Summary!$C$11,DATE(Summary!$C$12,12,31))),SUMIFS('Dvd Calendar'!$E$1831:$AR$1831,'Dvd Calendar'!$E$1830:$AR$1830,"&gt;="&amp;DATE(Summary!$C$12,1,1),'Dvd Calendar'!$E$1830:$AR$1830,"&lt;="&amp;MIN(Summary!$C$11,DATE(Summary!$C$12,12,31)),'Dvd Calendar'!$E$1835:$AR$1835,"&lt;&gt;"&amp;'Field Check'!$C$25)))</f>
        <v/>
      </c>
      <c r="K28" s="47">
        <f>IF($B28="",0,IF(Summary!$C$13="Y",SUMIFS('Dvd Calendar'!$E$1838:$AR$1838,'Dvd Calendar'!$E$1837:$AR$1837,"&gt;"&amp;MAX(Summary!$C$11,DATE(Summary!$C$12,1,1)-1),'Dvd Calendar'!$E$1837:$AR$1837,"&lt;="&amp;DATE(Summary!$C$12,12,31)),SUMIFS('Dvd Calendar'!$E$1838:$AR$1838,'Dvd Calendar'!$E$1837:$AR$1837,"&gt;"&amp;MAX(Summary!$C$11,DATE(Summary!$C$12,1,1)-1),'Dvd Calendar'!$E$1837:$AR$1837,"&lt;="&amp;DATE(Summary!$C$12,12,31),'Dvd Calendar'!$E$1842:$AR$1842,"&lt;&gt;"&amp;'Field Check'!$C$25)))</f>
        <v/>
      </c>
      <c r="L28" s="47">
        <f>IF($B28="",0,IF((Override!$C$4="ON")*ISNUMBER(Override!$G$134)&gt;0,Override!$G$134,$K28))</f>
        <v/>
      </c>
      <c r="M28" s="47">
        <f>IF($B28="",0,IF((Override!$C$4="ON")*ISNUMBER(Override!$H$134)&gt;0,Override!$H$134,$L28))</f>
        <v/>
      </c>
      <c r="N28" s="47">
        <f>IF($B28="",0,IF((Override!$C$4="ON")*ISNUMBER(Override!$I$134)&gt;0,Override!$I$134,$L28))</f>
        <v/>
      </c>
      <c r="O28" s="54">
        <f>IF($B28="","",IFERROR($B28*$G28*$J28/$B$3,""))</f>
        <v/>
      </c>
      <c r="P28" s="54">
        <f>IF($B28="","",IFERROR($B28*$G28*$L28/$B$3,""))</f>
        <v/>
      </c>
      <c r="Q28" s="38">
        <f>IF($B28="","",IFERROR($O28+$P28,""))</f>
        <v/>
      </c>
      <c r="R28" s="54">
        <f>IF($B28="","",IFERROR($O28+$B28*$G28*$M28/$B$3,""))</f>
        <v/>
      </c>
      <c r="S28" s="54">
        <f>IF($B28="","",IFERROR($O28+$B28*$G28*$N28/$B$3,""))</f>
        <v/>
      </c>
      <c r="T28" s="63">
        <f>IF($B28="","",IFERROR($Q28/$Q$5,""))</f>
        <v/>
      </c>
      <c r="U28" s="2">
        <f>IF($B28="","",IF(COUNTIFS('Dvd Calendar'!$E$1836:$AR$1836,"&gt;0",'Dvd Calendar'!$E$1837:$AR$1837,"&gt;"&amp;MAX(Summary!$C$11,DATE(Summary!$C$12,1,1)-1),'Dvd Calendar'!$E$1837:$AR$1837,"&lt;="&amp;DATE(Summary!$C$12,12,31))-COUNTIFS('Dvd Calendar'!$E$1836:$AR$1836,"&gt;0",'Dvd Calendar'!$E$1837:$AR$1837,"&gt;"&amp;MAX(Summary!$C$11,DATE(Summary!$C$12,1,1)-1),'Dvd Calendar'!$E$1837:$AR$1837,"&lt;="&amp;DATE(Summary!$C$12,12,31),'Dvd Calendar'!$E$1838:$AR$1838,"&gt;=0")&gt;0,"TBA amount - override me",IF((Override!$C$4="ON")*ISNUMBER(Override!$G$134)&gt;0,"overridden",IF($J28+$K28=0,"no dividend in year Y",""))))</f>
        <v/>
      </c>
      <c r="V28" s="54">
        <f>IF($B28="","",IFERROR(IF(ISNUMBER($H28),$B28*$G28*$H28/$B$3,0),""))</f>
        <v/>
      </c>
      <c r="W28" s="54">
        <f>IF($B28="","",IFERROR($B28*$G28*$K28/$B$3,""))</f>
        <v/>
      </c>
    </row>
    <row r="29">
      <c r="B29" s="73" t="n"/>
      <c r="C29" s="6">
        <f>IF($A29="","",$A29&amp;" Equity")</f>
        <v/>
      </c>
      <c r="D29" s="6">
        <f>IF($C29="","",BDP($C29,"NAME"))</f>
        <v/>
      </c>
      <c r="E29" s="6">
        <f>IF($C29="","",BDP($C29,"GICS_SECTOR_NAME"))</f>
        <v/>
      </c>
      <c r="F29" s="31">
        <f>IF($C29="","",BDP($C29,'Field Check'!$C$8))</f>
        <v/>
      </c>
      <c r="G29" s="74">
        <f>IFERROR(IF(LEN($F29)&lt;&gt;3,1,IF($F29="HKD",1,BDP(IF($F29="CNY",Summary!$C$14,$F29)&amp;"HKD Curncy","PX_LAST"))),1)</f>
        <v/>
      </c>
      <c r="H29" s="54">
        <f>IF($C29="","",BDP($C29,'Field Check'!$C$9))</f>
        <v/>
      </c>
      <c r="I29" s="45">
        <f>IF($C29="","",BDP($C29,'Field Check'!$C$10))</f>
        <v/>
      </c>
      <c r="J29" s="47">
        <f>IF($B29="",0,IF(Summary!$C$13="Y",SUMIFS('Dvd Calendar'!$E$1846:$AR$1846,'Dvd Calendar'!$E$1845:$AR$1845,"&gt;="&amp;DATE(Summary!$C$12,1,1),'Dvd Calendar'!$E$1845:$AR$1845,"&lt;="&amp;MIN(Summary!$C$11,DATE(Summary!$C$12,12,31))),SUMIFS('Dvd Calendar'!$E$1846:$AR$1846,'Dvd Calendar'!$E$1845:$AR$1845,"&gt;="&amp;DATE(Summary!$C$12,1,1),'Dvd Calendar'!$E$1845:$AR$1845,"&lt;="&amp;MIN(Summary!$C$11,DATE(Summary!$C$12,12,31)),'Dvd Calendar'!$E$1850:$AR$1850,"&lt;&gt;"&amp;'Field Check'!$C$25)))</f>
        <v/>
      </c>
      <c r="K29" s="47">
        <f>IF($B29="",0,IF(Summary!$C$13="Y",SUMIFS('Dvd Calendar'!$E$1853:$AR$1853,'Dvd Calendar'!$E$1852:$AR$1852,"&gt;"&amp;MAX(Summary!$C$11,DATE(Summary!$C$12,1,1)-1),'Dvd Calendar'!$E$1852:$AR$1852,"&lt;="&amp;DATE(Summary!$C$12,12,31)),SUMIFS('Dvd Calendar'!$E$1853:$AR$1853,'Dvd Calendar'!$E$1852:$AR$1852,"&gt;"&amp;MAX(Summary!$C$11,DATE(Summary!$C$12,1,1)-1),'Dvd Calendar'!$E$1852:$AR$1852,"&lt;="&amp;DATE(Summary!$C$12,12,31),'Dvd Calendar'!$E$1857:$AR$1857,"&lt;&gt;"&amp;'Field Check'!$C$25)))</f>
        <v/>
      </c>
      <c r="L29" s="47">
        <f>IF($B29="",0,IF((Override!$C$4="ON")*ISNUMBER(Override!$G$135)&gt;0,Override!$G$135,$K29))</f>
        <v/>
      </c>
      <c r="M29" s="47">
        <f>IF($B29="",0,IF((Override!$C$4="ON")*ISNUMBER(Override!$H$135)&gt;0,Override!$H$135,$L29))</f>
        <v/>
      </c>
      <c r="N29" s="47">
        <f>IF($B29="",0,IF((Override!$C$4="ON")*ISNUMBER(Override!$I$135)&gt;0,Override!$I$135,$L29))</f>
        <v/>
      </c>
      <c r="O29" s="54">
        <f>IF($B29="","",IFERROR($B29*$G29*$J29/$B$3,""))</f>
        <v/>
      </c>
      <c r="P29" s="54">
        <f>IF($B29="","",IFERROR($B29*$G29*$L29/$B$3,""))</f>
        <v/>
      </c>
      <c r="Q29" s="38">
        <f>IF($B29="","",IFERROR($O29+$P29,""))</f>
        <v/>
      </c>
      <c r="R29" s="54">
        <f>IF($B29="","",IFERROR($O29+$B29*$G29*$M29/$B$3,""))</f>
        <v/>
      </c>
      <c r="S29" s="54">
        <f>IF($B29="","",IFERROR($O29+$B29*$G29*$N29/$B$3,""))</f>
        <v/>
      </c>
      <c r="T29" s="63">
        <f>IF($B29="","",IFERROR($Q29/$Q$5,""))</f>
        <v/>
      </c>
      <c r="U29" s="2">
        <f>IF($B29="","",IF(COUNTIFS('Dvd Calendar'!$E$1851:$AR$1851,"&gt;0",'Dvd Calendar'!$E$1852:$AR$1852,"&gt;"&amp;MAX(Summary!$C$11,DATE(Summary!$C$12,1,1)-1),'Dvd Calendar'!$E$1852:$AR$1852,"&lt;="&amp;DATE(Summary!$C$12,12,31))-COUNTIFS('Dvd Calendar'!$E$1851:$AR$1851,"&gt;0",'Dvd Calendar'!$E$1852:$AR$1852,"&gt;"&amp;MAX(Summary!$C$11,DATE(Summary!$C$12,1,1)-1),'Dvd Calendar'!$E$1852:$AR$1852,"&lt;="&amp;DATE(Summary!$C$12,12,31),'Dvd Calendar'!$E$1853:$AR$1853,"&gt;=0")&gt;0,"TBA amount - override me",IF((Override!$C$4="ON")*ISNUMBER(Override!$G$135)&gt;0,"overridden",IF($J29+$K29=0,"no dividend in year Y",""))))</f>
        <v/>
      </c>
      <c r="V29" s="54">
        <f>IF($B29="","",IFERROR(IF(ISNUMBER($H29),$B29*$G29*$H29/$B$3,0),""))</f>
        <v/>
      </c>
      <c r="W29" s="54">
        <f>IF($B29="","",IFERROR($B29*$G29*$K29/$B$3,""))</f>
        <v/>
      </c>
    </row>
    <row r="30">
      <c r="B30" s="73" t="n"/>
      <c r="C30" s="6">
        <f>IF($A30="","",$A30&amp;" Equity")</f>
        <v/>
      </c>
      <c r="D30" s="6">
        <f>IF($C30="","",BDP($C30,"NAME"))</f>
        <v/>
      </c>
      <c r="E30" s="6">
        <f>IF($C30="","",BDP($C30,"GICS_SECTOR_NAME"))</f>
        <v/>
      </c>
      <c r="F30" s="31">
        <f>IF($C30="","",BDP($C30,'Field Check'!$C$8))</f>
        <v/>
      </c>
      <c r="G30" s="74">
        <f>IFERROR(IF(LEN($F30)&lt;&gt;3,1,IF($F30="HKD",1,BDP(IF($F30="CNY",Summary!$C$14,$F30)&amp;"HKD Curncy","PX_LAST"))),1)</f>
        <v/>
      </c>
      <c r="H30" s="54">
        <f>IF($C30="","",BDP($C30,'Field Check'!$C$9))</f>
        <v/>
      </c>
      <c r="I30" s="45">
        <f>IF($C30="","",BDP($C30,'Field Check'!$C$10))</f>
        <v/>
      </c>
      <c r="J30" s="47">
        <f>IF($B30="",0,IF(Summary!$C$13="Y",SUMIFS('Dvd Calendar'!$E$1861:$AR$1861,'Dvd Calendar'!$E$1860:$AR$1860,"&gt;="&amp;DATE(Summary!$C$12,1,1),'Dvd Calendar'!$E$1860:$AR$1860,"&lt;="&amp;MIN(Summary!$C$11,DATE(Summary!$C$12,12,31))),SUMIFS('Dvd Calendar'!$E$1861:$AR$1861,'Dvd Calendar'!$E$1860:$AR$1860,"&gt;="&amp;DATE(Summary!$C$12,1,1),'Dvd Calendar'!$E$1860:$AR$1860,"&lt;="&amp;MIN(Summary!$C$11,DATE(Summary!$C$12,12,31)),'Dvd Calendar'!$E$1865:$AR$1865,"&lt;&gt;"&amp;'Field Check'!$C$25)))</f>
        <v/>
      </c>
      <c r="K30" s="47">
        <f>IF($B30="",0,IF(Summary!$C$13="Y",SUMIFS('Dvd Calendar'!$E$1868:$AR$1868,'Dvd Calendar'!$E$1867:$AR$1867,"&gt;"&amp;MAX(Summary!$C$11,DATE(Summary!$C$12,1,1)-1),'Dvd Calendar'!$E$1867:$AR$1867,"&lt;="&amp;DATE(Summary!$C$12,12,31)),SUMIFS('Dvd Calendar'!$E$1868:$AR$1868,'Dvd Calendar'!$E$1867:$AR$1867,"&gt;"&amp;MAX(Summary!$C$11,DATE(Summary!$C$12,1,1)-1),'Dvd Calendar'!$E$1867:$AR$1867,"&lt;="&amp;DATE(Summary!$C$12,12,31),'Dvd Calendar'!$E$1872:$AR$1872,"&lt;&gt;"&amp;'Field Check'!$C$25)))</f>
        <v/>
      </c>
      <c r="L30" s="47">
        <f>IF($B30="",0,IF((Override!$C$4="ON")*ISNUMBER(Override!$G$136)&gt;0,Override!$G$136,$K30))</f>
        <v/>
      </c>
      <c r="M30" s="47">
        <f>IF($B30="",0,IF((Override!$C$4="ON")*ISNUMBER(Override!$H$136)&gt;0,Override!$H$136,$L30))</f>
        <v/>
      </c>
      <c r="N30" s="47">
        <f>IF($B30="",0,IF((Override!$C$4="ON")*ISNUMBER(Override!$I$136)&gt;0,Override!$I$136,$L30))</f>
        <v/>
      </c>
      <c r="O30" s="54">
        <f>IF($B30="","",IFERROR($B30*$G30*$J30/$B$3,""))</f>
        <v/>
      </c>
      <c r="P30" s="54">
        <f>IF($B30="","",IFERROR($B30*$G30*$L30/$B$3,""))</f>
        <v/>
      </c>
      <c r="Q30" s="38">
        <f>IF($B30="","",IFERROR($O30+$P30,""))</f>
        <v/>
      </c>
      <c r="R30" s="54">
        <f>IF($B30="","",IFERROR($O30+$B30*$G30*$M30/$B$3,""))</f>
        <v/>
      </c>
      <c r="S30" s="54">
        <f>IF($B30="","",IFERROR($O30+$B30*$G30*$N30/$B$3,""))</f>
        <v/>
      </c>
      <c r="T30" s="63">
        <f>IF($B30="","",IFERROR($Q30/$Q$5,""))</f>
        <v/>
      </c>
      <c r="U30" s="2">
        <f>IF($B30="","",IF(COUNTIFS('Dvd Calendar'!$E$1866:$AR$1866,"&gt;0",'Dvd Calendar'!$E$1867:$AR$1867,"&gt;"&amp;MAX(Summary!$C$11,DATE(Summary!$C$12,1,1)-1),'Dvd Calendar'!$E$1867:$AR$1867,"&lt;="&amp;DATE(Summary!$C$12,12,31))-COUNTIFS('Dvd Calendar'!$E$1866:$AR$1866,"&gt;0",'Dvd Calendar'!$E$1867:$AR$1867,"&gt;"&amp;MAX(Summary!$C$11,DATE(Summary!$C$12,1,1)-1),'Dvd Calendar'!$E$1867:$AR$1867,"&lt;="&amp;DATE(Summary!$C$12,12,31),'Dvd Calendar'!$E$1868:$AR$1868,"&gt;=0")&gt;0,"TBA amount - override me",IF((Override!$C$4="ON")*ISNUMBER(Override!$G$136)&gt;0,"overridden",IF($J30+$K30=0,"no dividend in year Y",""))))</f>
        <v/>
      </c>
      <c r="V30" s="54">
        <f>IF($B30="","",IFERROR(IF(ISNUMBER($H30),$B30*$G30*$H30/$B$3,0),""))</f>
        <v/>
      </c>
      <c r="W30" s="54">
        <f>IF($B30="","",IFERROR($B30*$G30*$K30/$B$3,""))</f>
        <v/>
      </c>
    </row>
    <row r="31">
      <c r="B31" s="73" t="n"/>
      <c r="C31" s="6">
        <f>IF($A31="","",$A31&amp;" Equity")</f>
        <v/>
      </c>
      <c r="D31" s="6">
        <f>IF($C31="","",BDP($C31,"NAME"))</f>
        <v/>
      </c>
      <c r="E31" s="6">
        <f>IF($C31="","",BDP($C31,"GICS_SECTOR_NAME"))</f>
        <v/>
      </c>
      <c r="F31" s="31">
        <f>IF($C31="","",BDP($C31,'Field Check'!$C$8))</f>
        <v/>
      </c>
      <c r="G31" s="74">
        <f>IFERROR(IF(LEN($F31)&lt;&gt;3,1,IF($F31="HKD",1,BDP(IF($F31="CNY",Summary!$C$14,$F31)&amp;"HKD Curncy","PX_LAST"))),1)</f>
        <v/>
      </c>
      <c r="H31" s="54">
        <f>IF($C31="","",BDP($C31,'Field Check'!$C$9))</f>
        <v/>
      </c>
      <c r="I31" s="45">
        <f>IF($C31="","",BDP($C31,'Field Check'!$C$10))</f>
        <v/>
      </c>
      <c r="J31" s="47">
        <f>IF($B31="",0,IF(Summary!$C$13="Y",SUMIFS('Dvd Calendar'!$E$1876:$AR$1876,'Dvd Calendar'!$E$1875:$AR$1875,"&gt;="&amp;DATE(Summary!$C$12,1,1),'Dvd Calendar'!$E$1875:$AR$1875,"&lt;="&amp;MIN(Summary!$C$11,DATE(Summary!$C$12,12,31))),SUMIFS('Dvd Calendar'!$E$1876:$AR$1876,'Dvd Calendar'!$E$1875:$AR$1875,"&gt;="&amp;DATE(Summary!$C$12,1,1),'Dvd Calendar'!$E$1875:$AR$1875,"&lt;="&amp;MIN(Summary!$C$11,DATE(Summary!$C$12,12,31)),'Dvd Calendar'!$E$1880:$AR$1880,"&lt;&gt;"&amp;'Field Check'!$C$25)))</f>
        <v/>
      </c>
      <c r="K31" s="47">
        <f>IF($B31="",0,IF(Summary!$C$13="Y",SUMIFS('Dvd Calendar'!$E$1883:$AR$1883,'Dvd Calendar'!$E$1882:$AR$1882,"&gt;"&amp;MAX(Summary!$C$11,DATE(Summary!$C$12,1,1)-1),'Dvd Calendar'!$E$1882:$AR$1882,"&lt;="&amp;DATE(Summary!$C$12,12,31)),SUMIFS('Dvd Calendar'!$E$1883:$AR$1883,'Dvd Calendar'!$E$1882:$AR$1882,"&gt;"&amp;MAX(Summary!$C$11,DATE(Summary!$C$12,1,1)-1),'Dvd Calendar'!$E$1882:$AR$1882,"&lt;="&amp;DATE(Summary!$C$12,12,31),'Dvd Calendar'!$E$1887:$AR$1887,"&lt;&gt;"&amp;'Field Check'!$C$25)))</f>
        <v/>
      </c>
      <c r="L31" s="47">
        <f>IF($B31="",0,IF((Override!$C$4="ON")*ISNUMBER(Override!$G$137)&gt;0,Override!$G$137,$K31))</f>
        <v/>
      </c>
      <c r="M31" s="47">
        <f>IF($B31="",0,IF((Override!$C$4="ON")*ISNUMBER(Override!$H$137)&gt;0,Override!$H$137,$L31))</f>
        <v/>
      </c>
      <c r="N31" s="47">
        <f>IF($B31="",0,IF((Override!$C$4="ON")*ISNUMBER(Override!$I$137)&gt;0,Override!$I$137,$L31))</f>
        <v/>
      </c>
      <c r="O31" s="54">
        <f>IF($B31="","",IFERROR($B31*$G31*$J31/$B$3,""))</f>
        <v/>
      </c>
      <c r="P31" s="54">
        <f>IF($B31="","",IFERROR($B31*$G31*$L31/$B$3,""))</f>
        <v/>
      </c>
      <c r="Q31" s="38">
        <f>IF($B31="","",IFERROR($O31+$P31,""))</f>
        <v/>
      </c>
      <c r="R31" s="54">
        <f>IF($B31="","",IFERROR($O31+$B31*$G31*$M31/$B$3,""))</f>
        <v/>
      </c>
      <c r="S31" s="54">
        <f>IF($B31="","",IFERROR($O31+$B31*$G31*$N31/$B$3,""))</f>
        <v/>
      </c>
      <c r="T31" s="63">
        <f>IF($B31="","",IFERROR($Q31/$Q$5,""))</f>
        <v/>
      </c>
      <c r="U31" s="2">
        <f>IF($B31="","",IF(COUNTIFS('Dvd Calendar'!$E$1881:$AR$1881,"&gt;0",'Dvd Calendar'!$E$1882:$AR$1882,"&gt;"&amp;MAX(Summary!$C$11,DATE(Summary!$C$12,1,1)-1),'Dvd Calendar'!$E$1882:$AR$1882,"&lt;="&amp;DATE(Summary!$C$12,12,31))-COUNTIFS('Dvd Calendar'!$E$1881:$AR$1881,"&gt;0",'Dvd Calendar'!$E$1882:$AR$1882,"&gt;"&amp;MAX(Summary!$C$11,DATE(Summary!$C$12,1,1)-1),'Dvd Calendar'!$E$1882:$AR$1882,"&lt;="&amp;DATE(Summary!$C$12,12,31),'Dvd Calendar'!$E$1883:$AR$1883,"&gt;=0")&gt;0,"TBA amount - override me",IF((Override!$C$4="ON")*ISNUMBER(Override!$G$137)&gt;0,"overridden",IF($J31+$K31=0,"no dividend in year Y",""))))</f>
        <v/>
      </c>
      <c r="V31" s="54">
        <f>IF($B31="","",IFERROR(IF(ISNUMBER($H31),$B31*$G31*$H31/$B$3,0),""))</f>
        <v/>
      </c>
      <c r="W31" s="54">
        <f>IF($B31="","",IFERROR($B31*$G31*$K31/$B$3,""))</f>
        <v/>
      </c>
    </row>
    <row r="32">
      <c r="B32" s="73" t="n"/>
      <c r="C32" s="6">
        <f>IF($A32="","",$A32&amp;" Equity")</f>
        <v/>
      </c>
      <c r="D32" s="6">
        <f>IF($C32="","",BDP($C32,"NAME"))</f>
        <v/>
      </c>
      <c r="E32" s="6">
        <f>IF($C32="","",BDP($C32,"GICS_SECTOR_NAME"))</f>
        <v/>
      </c>
      <c r="F32" s="31">
        <f>IF($C32="","",BDP($C32,'Field Check'!$C$8))</f>
        <v/>
      </c>
      <c r="G32" s="74">
        <f>IFERROR(IF(LEN($F32)&lt;&gt;3,1,IF($F32="HKD",1,BDP(IF($F32="CNY",Summary!$C$14,$F32)&amp;"HKD Curncy","PX_LAST"))),1)</f>
        <v/>
      </c>
      <c r="H32" s="54">
        <f>IF($C32="","",BDP($C32,'Field Check'!$C$9))</f>
        <v/>
      </c>
      <c r="I32" s="45">
        <f>IF($C32="","",BDP($C32,'Field Check'!$C$10))</f>
        <v/>
      </c>
      <c r="J32" s="47">
        <f>IF($B32="",0,IF(Summary!$C$13="Y",SUMIFS('Dvd Calendar'!$E$1891:$AR$1891,'Dvd Calendar'!$E$1890:$AR$1890,"&gt;="&amp;DATE(Summary!$C$12,1,1),'Dvd Calendar'!$E$1890:$AR$1890,"&lt;="&amp;MIN(Summary!$C$11,DATE(Summary!$C$12,12,31))),SUMIFS('Dvd Calendar'!$E$1891:$AR$1891,'Dvd Calendar'!$E$1890:$AR$1890,"&gt;="&amp;DATE(Summary!$C$12,1,1),'Dvd Calendar'!$E$1890:$AR$1890,"&lt;="&amp;MIN(Summary!$C$11,DATE(Summary!$C$12,12,31)),'Dvd Calendar'!$E$1895:$AR$1895,"&lt;&gt;"&amp;'Field Check'!$C$25)))</f>
        <v/>
      </c>
      <c r="K32" s="47">
        <f>IF($B32="",0,IF(Summary!$C$13="Y",SUMIFS('Dvd Calendar'!$E$1898:$AR$1898,'Dvd Calendar'!$E$1897:$AR$1897,"&gt;"&amp;MAX(Summary!$C$11,DATE(Summary!$C$12,1,1)-1),'Dvd Calendar'!$E$1897:$AR$1897,"&lt;="&amp;DATE(Summary!$C$12,12,31)),SUMIFS('Dvd Calendar'!$E$1898:$AR$1898,'Dvd Calendar'!$E$1897:$AR$1897,"&gt;"&amp;MAX(Summary!$C$11,DATE(Summary!$C$12,1,1)-1),'Dvd Calendar'!$E$1897:$AR$1897,"&lt;="&amp;DATE(Summary!$C$12,12,31),'Dvd Calendar'!$E$1902:$AR$1902,"&lt;&gt;"&amp;'Field Check'!$C$25)))</f>
        <v/>
      </c>
      <c r="L32" s="47">
        <f>IF($B32="",0,IF((Override!$C$4="ON")*ISNUMBER(Override!$G$138)&gt;0,Override!$G$138,$K32))</f>
        <v/>
      </c>
      <c r="M32" s="47">
        <f>IF($B32="",0,IF((Override!$C$4="ON")*ISNUMBER(Override!$H$138)&gt;0,Override!$H$138,$L32))</f>
        <v/>
      </c>
      <c r="N32" s="47">
        <f>IF($B32="",0,IF((Override!$C$4="ON")*ISNUMBER(Override!$I$138)&gt;0,Override!$I$138,$L32))</f>
        <v/>
      </c>
      <c r="O32" s="54">
        <f>IF($B32="","",IFERROR($B32*$G32*$J32/$B$3,""))</f>
        <v/>
      </c>
      <c r="P32" s="54">
        <f>IF($B32="","",IFERROR($B32*$G32*$L32/$B$3,""))</f>
        <v/>
      </c>
      <c r="Q32" s="38">
        <f>IF($B32="","",IFERROR($O32+$P32,""))</f>
        <v/>
      </c>
      <c r="R32" s="54">
        <f>IF($B32="","",IFERROR($O32+$B32*$G32*$M32/$B$3,""))</f>
        <v/>
      </c>
      <c r="S32" s="54">
        <f>IF($B32="","",IFERROR($O32+$B32*$G32*$N32/$B$3,""))</f>
        <v/>
      </c>
      <c r="T32" s="63">
        <f>IF($B32="","",IFERROR($Q32/$Q$5,""))</f>
        <v/>
      </c>
      <c r="U32" s="2">
        <f>IF($B32="","",IF(COUNTIFS('Dvd Calendar'!$E$1896:$AR$1896,"&gt;0",'Dvd Calendar'!$E$1897:$AR$1897,"&gt;"&amp;MAX(Summary!$C$11,DATE(Summary!$C$12,1,1)-1),'Dvd Calendar'!$E$1897:$AR$1897,"&lt;="&amp;DATE(Summary!$C$12,12,31))-COUNTIFS('Dvd Calendar'!$E$1896:$AR$1896,"&gt;0",'Dvd Calendar'!$E$1897:$AR$1897,"&gt;"&amp;MAX(Summary!$C$11,DATE(Summary!$C$12,1,1)-1),'Dvd Calendar'!$E$1897:$AR$1897,"&lt;="&amp;DATE(Summary!$C$12,12,31),'Dvd Calendar'!$E$1898:$AR$1898,"&gt;=0")&gt;0,"TBA amount - override me",IF((Override!$C$4="ON")*ISNUMBER(Override!$G$138)&gt;0,"overridden",IF($J32+$K32=0,"no dividend in year Y",""))))</f>
        <v/>
      </c>
      <c r="V32" s="54">
        <f>IF($B32="","",IFERROR(IF(ISNUMBER($H32),$B32*$G32*$H32/$B$3,0),""))</f>
        <v/>
      </c>
      <c r="W32" s="54">
        <f>IF($B32="","",IFERROR($B32*$G32*$K32/$B$3,""))</f>
        <v/>
      </c>
    </row>
    <row r="33">
      <c r="B33" s="73" t="n"/>
      <c r="C33" s="6">
        <f>IF($A33="","",$A33&amp;" Equity")</f>
        <v/>
      </c>
      <c r="D33" s="6">
        <f>IF($C33="","",BDP($C33,"NAME"))</f>
        <v/>
      </c>
      <c r="E33" s="6">
        <f>IF($C33="","",BDP($C33,"GICS_SECTOR_NAME"))</f>
        <v/>
      </c>
      <c r="F33" s="31">
        <f>IF($C33="","",BDP($C33,'Field Check'!$C$8))</f>
        <v/>
      </c>
      <c r="G33" s="74">
        <f>IFERROR(IF(LEN($F33)&lt;&gt;3,1,IF($F33="HKD",1,BDP(IF($F33="CNY",Summary!$C$14,$F33)&amp;"HKD Curncy","PX_LAST"))),1)</f>
        <v/>
      </c>
      <c r="H33" s="54">
        <f>IF($C33="","",BDP($C33,'Field Check'!$C$9))</f>
        <v/>
      </c>
      <c r="I33" s="45">
        <f>IF($C33="","",BDP($C33,'Field Check'!$C$10))</f>
        <v/>
      </c>
      <c r="J33" s="47">
        <f>IF($B33="",0,IF(Summary!$C$13="Y",SUMIFS('Dvd Calendar'!$E$1906:$AR$1906,'Dvd Calendar'!$E$1905:$AR$1905,"&gt;="&amp;DATE(Summary!$C$12,1,1),'Dvd Calendar'!$E$1905:$AR$1905,"&lt;="&amp;MIN(Summary!$C$11,DATE(Summary!$C$12,12,31))),SUMIFS('Dvd Calendar'!$E$1906:$AR$1906,'Dvd Calendar'!$E$1905:$AR$1905,"&gt;="&amp;DATE(Summary!$C$12,1,1),'Dvd Calendar'!$E$1905:$AR$1905,"&lt;="&amp;MIN(Summary!$C$11,DATE(Summary!$C$12,12,31)),'Dvd Calendar'!$E$1910:$AR$1910,"&lt;&gt;"&amp;'Field Check'!$C$25)))</f>
        <v/>
      </c>
      <c r="K33" s="47">
        <f>IF($B33="",0,IF(Summary!$C$13="Y",SUMIFS('Dvd Calendar'!$E$1913:$AR$1913,'Dvd Calendar'!$E$1912:$AR$1912,"&gt;"&amp;MAX(Summary!$C$11,DATE(Summary!$C$12,1,1)-1),'Dvd Calendar'!$E$1912:$AR$1912,"&lt;="&amp;DATE(Summary!$C$12,12,31)),SUMIFS('Dvd Calendar'!$E$1913:$AR$1913,'Dvd Calendar'!$E$1912:$AR$1912,"&gt;"&amp;MAX(Summary!$C$11,DATE(Summary!$C$12,1,1)-1),'Dvd Calendar'!$E$1912:$AR$1912,"&lt;="&amp;DATE(Summary!$C$12,12,31),'Dvd Calendar'!$E$1917:$AR$1917,"&lt;&gt;"&amp;'Field Check'!$C$25)))</f>
        <v/>
      </c>
      <c r="L33" s="47">
        <f>IF($B33="",0,IF((Override!$C$4="ON")*ISNUMBER(Override!$G$139)&gt;0,Override!$G$139,$K33))</f>
        <v/>
      </c>
      <c r="M33" s="47">
        <f>IF($B33="",0,IF((Override!$C$4="ON")*ISNUMBER(Override!$H$139)&gt;0,Override!$H$139,$L33))</f>
        <v/>
      </c>
      <c r="N33" s="47">
        <f>IF($B33="",0,IF((Override!$C$4="ON")*ISNUMBER(Override!$I$139)&gt;0,Override!$I$139,$L33))</f>
        <v/>
      </c>
      <c r="O33" s="54">
        <f>IF($B33="","",IFERROR($B33*$G33*$J33/$B$3,""))</f>
        <v/>
      </c>
      <c r="P33" s="54">
        <f>IF($B33="","",IFERROR($B33*$G33*$L33/$B$3,""))</f>
        <v/>
      </c>
      <c r="Q33" s="38">
        <f>IF($B33="","",IFERROR($O33+$P33,""))</f>
        <v/>
      </c>
      <c r="R33" s="54">
        <f>IF($B33="","",IFERROR($O33+$B33*$G33*$M33/$B$3,""))</f>
        <v/>
      </c>
      <c r="S33" s="54">
        <f>IF($B33="","",IFERROR($O33+$B33*$G33*$N33/$B$3,""))</f>
        <v/>
      </c>
      <c r="T33" s="63">
        <f>IF($B33="","",IFERROR($Q33/$Q$5,""))</f>
        <v/>
      </c>
      <c r="U33" s="2">
        <f>IF($B33="","",IF(COUNTIFS('Dvd Calendar'!$E$1911:$AR$1911,"&gt;0",'Dvd Calendar'!$E$1912:$AR$1912,"&gt;"&amp;MAX(Summary!$C$11,DATE(Summary!$C$12,1,1)-1),'Dvd Calendar'!$E$1912:$AR$1912,"&lt;="&amp;DATE(Summary!$C$12,12,31))-COUNTIFS('Dvd Calendar'!$E$1911:$AR$1911,"&gt;0",'Dvd Calendar'!$E$1912:$AR$1912,"&gt;"&amp;MAX(Summary!$C$11,DATE(Summary!$C$12,1,1)-1),'Dvd Calendar'!$E$1912:$AR$1912,"&lt;="&amp;DATE(Summary!$C$12,12,31),'Dvd Calendar'!$E$1913:$AR$1913,"&gt;=0")&gt;0,"TBA amount - override me",IF((Override!$C$4="ON")*ISNUMBER(Override!$G$139)&gt;0,"overridden",IF($J33+$K33=0,"no dividend in year Y",""))))</f>
        <v/>
      </c>
      <c r="V33" s="54">
        <f>IF($B33="","",IFERROR(IF(ISNUMBER($H33),$B33*$G33*$H33/$B$3,0),""))</f>
        <v/>
      </c>
      <c r="W33" s="54">
        <f>IF($B33="","",IFERROR($B33*$G33*$K33/$B$3,""))</f>
        <v/>
      </c>
    </row>
    <row r="34">
      <c r="B34" s="73" t="n"/>
      <c r="C34" s="6">
        <f>IF($A34="","",$A34&amp;" Equity")</f>
        <v/>
      </c>
      <c r="D34" s="6">
        <f>IF($C34="","",BDP($C34,"NAME"))</f>
        <v/>
      </c>
      <c r="E34" s="6">
        <f>IF($C34="","",BDP($C34,"GICS_SECTOR_NAME"))</f>
        <v/>
      </c>
      <c r="F34" s="31">
        <f>IF($C34="","",BDP($C34,'Field Check'!$C$8))</f>
        <v/>
      </c>
      <c r="G34" s="74">
        <f>IFERROR(IF(LEN($F34)&lt;&gt;3,1,IF($F34="HKD",1,BDP(IF($F34="CNY",Summary!$C$14,$F34)&amp;"HKD Curncy","PX_LAST"))),1)</f>
        <v/>
      </c>
      <c r="H34" s="54">
        <f>IF($C34="","",BDP($C34,'Field Check'!$C$9))</f>
        <v/>
      </c>
      <c r="I34" s="45">
        <f>IF($C34="","",BDP($C34,'Field Check'!$C$10))</f>
        <v/>
      </c>
      <c r="J34" s="47">
        <f>IF($B34="",0,IF(Summary!$C$13="Y",SUMIFS('Dvd Calendar'!$E$1921:$AR$1921,'Dvd Calendar'!$E$1920:$AR$1920,"&gt;="&amp;DATE(Summary!$C$12,1,1),'Dvd Calendar'!$E$1920:$AR$1920,"&lt;="&amp;MIN(Summary!$C$11,DATE(Summary!$C$12,12,31))),SUMIFS('Dvd Calendar'!$E$1921:$AR$1921,'Dvd Calendar'!$E$1920:$AR$1920,"&gt;="&amp;DATE(Summary!$C$12,1,1),'Dvd Calendar'!$E$1920:$AR$1920,"&lt;="&amp;MIN(Summary!$C$11,DATE(Summary!$C$12,12,31)),'Dvd Calendar'!$E$1925:$AR$1925,"&lt;&gt;"&amp;'Field Check'!$C$25)))</f>
        <v/>
      </c>
      <c r="K34" s="47">
        <f>IF($B34="",0,IF(Summary!$C$13="Y",SUMIFS('Dvd Calendar'!$E$1928:$AR$1928,'Dvd Calendar'!$E$1927:$AR$1927,"&gt;"&amp;MAX(Summary!$C$11,DATE(Summary!$C$12,1,1)-1),'Dvd Calendar'!$E$1927:$AR$1927,"&lt;="&amp;DATE(Summary!$C$12,12,31)),SUMIFS('Dvd Calendar'!$E$1928:$AR$1928,'Dvd Calendar'!$E$1927:$AR$1927,"&gt;"&amp;MAX(Summary!$C$11,DATE(Summary!$C$12,1,1)-1),'Dvd Calendar'!$E$1927:$AR$1927,"&lt;="&amp;DATE(Summary!$C$12,12,31),'Dvd Calendar'!$E$1932:$AR$1932,"&lt;&gt;"&amp;'Field Check'!$C$25)))</f>
        <v/>
      </c>
      <c r="L34" s="47">
        <f>IF($B34="",0,IF((Override!$C$4="ON")*ISNUMBER(Override!$G$140)&gt;0,Override!$G$140,$K34))</f>
        <v/>
      </c>
      <c r="M34" s="47">
        <f>IF($B34="",0,IF((Override!$C$4="ON")*ISNUMBER(Override!$H$140)&gt;0,Override!$H$140,$L34))</f>
        <v/>
      </c>
      <c r="N34" s="47">
        <f>IF($B34="",0,IF((Override!$C$4="ON")*ISNUMBER(Override!$I$140)&gt;0,Override!$I$140,$L34))</f>
        <v/>
      </c>
      <c r="O34" s="54">
        <f>IF($B34="","",IFERROR($B34*$G34*$J34/$B$3,""))</f>
        <v/>
      </c>
      <c r="P34" s="54">
        <f>IF($B34="","",IFERROR($B34*$G34*$L34/$B$3,""))</f>
        <v/>
      </c>
      <c r="Q34" s="38">
        <f>IF($B34="","",IFERROR($O34+$P34,""))</f>
        <v/>
      </c>
      <c r="R34" s="54">
        <f>IF($B34="","",IFERROR($O34+$B34*$G34*$M34/$B$3,""))</f>
        <v/>
      </c>
      <c r="S34" s="54">
        <f>IF($B34="","",IFERROR($O34+$B34*$G34*$N34/$B$3,""))</f>
        <v/>
      </c>
      <c r="T34" s="63">
        <f>IF($B34="","",IFERROR($Q34/$Q$5,""))</f>
        <v/>
      </c>
      <c r="U34" s="2">
        <f>IF($B34="","",IF(COUNTIFS('Dvd Calendar'!$E$1926:$AR$1926,"&gt;0",'Dvd Calendar'!$E$1927:$AR$1927,"&gt;"&amp;MAX(Summary!$C$11,DATE(Summary!$C$12,1,1)-1),'Dvd Calendar'!$E$1927:$AR$1927,"&lt;="&amp;DATE(Summary!$C$12,12,31))-COUNTIFS('Dvd Calendar'!$E$1926:$AR$1926,"&gt;0",'Dvd Calendar'!$E$1927:$AR$1927,"&gt;"&amp;MAX(Summary!$C$11,DATE(Summary!$C$12,1,1)-1),'Dvd Calendar'!$E$1927:$AR$1927,"&lt;="&amp;DATE(Summary!$C$12,12,31),'Dvd Calendar'!$E$1928:$AR$1928,"&gt;=0")&gt;0,"TBA amount - override me",IF((Override!$C$4="ON")*ISNUMBER(Override!$G$140)&gt;0,"overridden",IF($J34+$K34=0,"no dividend in year Y",""))))</f>
        <v/>
      </c>
      <c r="V34" s="54">
        <f>IF($B34="","",IFERROR(IF(ISNUMBER($H34),$B34*$G34*$H34/$B$3,0),""))</f>
        <v/>
      </c>
      <c r="W34" s="54">
        <f>IF($B34="","",IFERROR($B34*$G34*$K34/$B$3,""))</f>
        <v/>
      </c>
    </row>
    <row r="35">
      <c r="B35" s="73" t="n"/>
      <c r="C35" s="6">
        <f>IF($A35="","",$A35&amp;" Equity")</f>
        <v/>
      </c>
      <c r="D35" s="6">
        <f>IF($C35="","",BDP($C35,"NAME"))</f>
        <v/>
      </c>
      <c r="E35" s="6">
        <f>IF($C35="","",BDP($C35,"GICS_SECTOR_NAME"))</f>
        <v/>
      </c>
      <c r="F35" s="31">
        <f>IF($C35="","",BDP($C35,'Field Check'!$C$8))</f>
        <v/>
      </c>
      <c r="G35" s="74">
        <f>IFERROR(IF(LEN($F35)&lt;&gt;3,1,IF($F35="HKD",1,BDP(IF($F35="CNY",Summary!$C$14,$F35)&amp;"HKD Curncy","PX_LAST"))),1)</f>
        <v/>
      </c>
      <c r="H35" s="54">
        <f>IF($C35="","",BDP($C35,'Field Check'!$C$9))</f>
        <v/>
      </c>
      <c r="I35" s="45">
        <f>IF($C35="","",BDP($C35,'Field Check'!$C$10))</f>
        <v/>
      </c>
      <c r="J35" s="47">
        <f>IF($B35="",0,IF(Summary!$C$13="Y",SUMIFS('Dvd Calendar'!$E$1936:$AR$1936,'Dvd Calendar'!$E$1935:$AR$1935,"&gt;="&amp;DATE(Summary!$C$12,1,1),'Dvd Calendar'!$E$1935:$AR$1935,"&lt;="&amp;MIN(Summary!$C$11,DATE(Summary!$C$12,12,31))),SUMIFS('Dvd Calendar'!$E$1936:$AR$1936,'Dvd Calendar'!$E$1935:$AR$1935,"&gt;="&amp;DATE(Summary!$C$12,1,1),'Dvd Calendar'!$E$1935:$AR$1935,"&lt;="&amp;MIN(Summary!$C$11,DATE(Summary!$C$12,12,31)),'Dvd Calendar'!$E$1940:$AR$1940,"&lt;&gt;"&amp;'Field Check'!$C$25)))</f>
        <v/>
      </c>
      <c r="K35" s="47">
        <f>IF($B35="",0,IF(Summary!$C$13="Y",SUMIFS('Dvd Calendar'!$E$1943:$AR$1943,'Dvd Calendar'!$E$1942:$AR$1942,"&gt;"&amp;MAX(Summary!$C$11,DATE(Summary!$C$12,1,1)-1),'Dvd Calendar'!$E$1942:$AR$1942,"&lt;="&amp;DATE(Summary!$C$12,12,31)),SUMIFS('Dvd Calendar'!$E$1943:$AR$1943,'Dvd Calendar'!$E$1942:$AR$1942,"&gt;"&amp;MAX(Summary!$C$11,DATE(Summary!$C$12,1,1)-1),'Dvd Calendar'!$E$1942:$AR$1942,"&lt;="&amp;DATE(Summary!$C$12,12,31),'Dvd Calendar'!$E$1947:$AR$1947,"&lt;&gt;"&amp;'Field Check'!$C$25)))</f>
        <v/>
      </c>
      <c r="L35" s="47">
        <f>IF($B35="",0,IF((Override!$C$4="ON")*ISNUMBER(Override!$G$141)&gt;0,Override!$G$141,$K35))</f>
        <v/>
      </c>
      <c r="M35" s="47">
        <f>IF($B35="",0,IF((Override!$C$4="ON")*ISNUMBER(Override!$H$141)&gt;0,Override!$H$141,$L35))</f>
        <v/>
      </c>
      <c r="N35" s="47">
        <f>IF($B35="",0,IF((Override!$C$4="ON")*ISNUMBER(Override!$I$141)&gt;0,Override!$I$141,$L35))</f>
        <v/>
      </c>
      <c r="O35" s="54">
        <f>IF($B35="","",IFERROR($B35*$G35*$J35/$B$3,""))</f>
        <v/>
      </c>
      <c r="P35" s="54">
        <f>IF($B35="","",IFERROR($B35*$G35*$L35/$B$3,""))</f>
        <v/>
      </c>
      <c r="Q35" s="38">
        <f>IF($B35="","",IFERROR($O35+$P35,""))</f>
        <v/>
      </c>
      <c r="R35" s="54">
        <f>IF($B35="","",IFERROR($O35+$B35*$G35*$M35/$B$3,""))</f>
        <v/>
      </c>
      <c r="S35" s="54">
        <f>IF($B35="","",IFERROR($O35+$B35*$G35*$N35/$B$3,""))</f>
        <v/>
      </c>
      <c r="T35" s="63">
        <f>IF($B35="","",IFERROR($Q35/$Q$5,""))</f>
        <v/>
      </c>
      <c r="U35" s="2">
        <f>IF($B35="","",IF(COUNTIFS('Dvd Calendar'!$E$1941:$AR$1941,"&gt;0",'Dvd Calendar'!$E$1942:$AR$1942,"&gt;"&amp;MAX(Summary!$C$11,DATE(Summary!$C$12,1,1)-1),'Dvd Calendar'!$E$1942:$AR$1942,"&lt;="&amp;DATE(Summary!$C$12,12,31))-COUNTIFS('Dvd Calendar'!$E$1941:$AR$1941,"&gt;0",'Dvd Calendar'!$E$1942:$AR$1942,"&gt;"&amp;MAX(Summary!$C$11,DATE(Summary!$C$12,1,1)-1),'Dvd Calendar'!$E$1942:$AR$1942,"&lt;="&amp;DATE(Summary!$C$12,12,31),'Dvd Calendar'!$E$1943:$AR$1943,"&gt;=0")&gt;0,"TBA amount - override me",IF((Override!$C$4="ON")*ISNUMBER(Override!$G$141)&gt;0,"overridden",IF($J35+$K35=0,"no dividend in year Y",""))))</f>
        <v/>
      </c>
      <c r="V35" s="54">
        <f>IF($B35="","",IFERROR(IF(ISNUMBER($H35),$B35*$G35*$H35/$B$3,0),""))</f>
        <v/>
      </c>
      <c r="W35" s="54">
        <f>IF($B35="","",IFERROR($B35*$G35*$K35/$B$3,""))</f>
        <v/>
      </c>
    </row>
    <row r="36">
      <c r="B36" s="73" t="n"/>
      <c r="C36" s="6">
        <f>IF($A36="","",$A36&amp;" Equity")</f>
        <v/>
      </c>
      <c r="D36" s="6">
        <f>IF($C36="","",BDP($C36,"NAME"))</f>
        <v/>
      </c>
      <c r="E36" s="6">
        <f>IF($C36="","",BDP($C36,"GICS_SECTOR_NAME"))</f>
        <v/>
      </c>
      <c r="F36" s="31">
        <f>IF($C36="","",BDP($C36,'Field Check'!$C$8))</f>
        <v/>
      </c>
      <c r="G36" s="74">
        <f>IFERROR(IF(LEN($F36)&lt;&gt;3,1,IF($F36="HKD",1,BDP(IF($F36="CNY",Summary!$C$14,$F36)&amp;"HKD Curncy","PX_LAST"))),1)</f>
        <v/>
      </c>
      <c r="H36" s="54">
        <f>IF($C36="","",BDP($C36,'Field Check'!$C$9))</f>
        <v/>
      </c>
      <c r="I36" s="45">
        <f>IF($C36="","",BDP($C36,'Field Check'!$C$10))</f>
        <v/>
      </c>
      <c r="J36" s="47">
        <f>IF($B36="",0,IF(Summary!$C$13="Y",SUMIFS('Dvd Calendar'!$E$1951:$AR$1951,'Dvd Calendar'!$E$1950:$AR$1950,"&gt;="&amp;DATE(Summary!$C$12,1,1),'Dvd Calendar'!$E$1950:$AR$1950,"&lt;="&amp;MIN(Summary!$C$11,DATE(Summary!$C$12,12,31))),SUMIFS('Dvd Calendar'!$E$1951:$AR$1951,'Dvd Calendar'!$E$1950:$AR$1950,"&gt;="&amp;DATE(Summary!$C$12,1,1),'Dvd Calendar'!$E$1950:$AR$1950,"&lt;="&amp;MIN(Summary!$C$11,DATE(Summary!$C$12,12,31)),'Dvd Calendar'!$E$1955:$AR$1955,"&lt;&gt;"&amp;'Field Check'!$C$25)))</f>
        <v/>
      </c>
      <c r="K36" s="47">
        <f>IF($B36="",0,IF(Summary!$C$13="Y",SUMIFS('Dvd Calendar'!$E$1958:$AR$1958,'Dvd Calendar'!$E$1957:$AR$1957,"&gt;"&amp;MAX(Summary!$C$11,DATE(Summary!$C$12,1,1)-1),'Dvd Calendar'!$E$1957:$AR$1957,"&lt;="&amp;DATE(Summary!$C$12,12,31)),SUMIFS('Dvd Calendar'!$E$1958:$AR$1958,'Dvd Calendar'!$E$1957:$AR$1957,"&gt;"&amp;MAX(Summary!$C$11,DATE(Summary!$C$12,1,1)-1),'Dvd Calendar'!$E$1957:$AR$1957,"&lt;="&amp;DATE(Summary!$C$12,12,31),'Dvd Calendar'!$E$1962:$AR$1962,"&lt;&gt;"&amp;'Field Check'!$C$25)))</f>
        <v/>
      </c>
      <c r="L36" s="47">
        <f>IF($B36="",0,IF((Override!$C$4="ON")*ISNUMBER(Override!$G$142)&gt;0,Override!$G$142,$K36))</f>
        <v/>
      </c>
      <c r="M36" s="47">
        <f>IF($B36="",0,IF((Override!$C$4="ON")*ISNUMBER(Override!$H$142)&gt;0,Override!$H$142,$L36))</f>
        <v/>
      </c>
      <c r="N36" s="47">
        <f>IF($B36="",0,IF((Override!$C$4="ON")*ISNUMBER(Override!$I$142)&gt;0,Override!$I$142,$L36))</f>
        <v/>
      </c>
      <c r="O36" s="54">
        <f>IF($B36="","",IFERROR($B36*$G36*$J36/$B$3,""))</f>
        <v/>
      </c>
      <c r="P36" s="54">
        <f>IF($B36="","",IFERROR($B36*$G36*$L36/$B$3,""))</f>
        <v/>
      </c>
      <c r="Q36" s="38">
        <f>IF($B36="","",IFERROR($O36+$P36,""))</f>
        <v/>
      </c>
      <c r="R36" s="54">
        <f>IF($B36="","",IFERROR($O36+$B36*$G36*$M36/$B$3,""))</f>
        <v/>
      </c>
      <c r="S36" s="54">
        <f>IF($B36="","",IFERROR($O36+$B36*$G36*$N36/$B$3,""))</f>
        <v/>
      </c>
      <c r="T36" s="63">
        <f>IF($B36="","",IFERROR($Q36/$Q$5,""))</f>
        <v/>
      </c>
      <c r="U36" s="2">
        <f>IF($B36="","",IF(COUNTIFS('Dvd Calendar'!$E$1956:$AR$1956,"&gt;0",'Dvd Calendar'!$E$1957:$AR$1957,"&gt;"&amp;MAX(Summary!$C$11,DATE(Summary!$C$12,1,1)-1),'Dvd Calendar'!$E$1957:$AR$1957,"&lt;="&amp;DATE(Summary!$C$12,12,31))-COUNTIFS('Dvd Calendar'!$E$1956:$AR$1956,"&gt;0",'Dvd Calendar'!$E$1957:$AR$1957,"&gt;"&amp;MAX(Summary!$C$11,DATE(Summary!$C$12,1,1)-1),'Dvd Calendar'!$E$1957:$AR$1957,"&lt;="&amp;DATE(Summary!$C$12,12,31),'Dvd Calendar'!$E$1958:$AR$1958,"&gt;=0")&gt;0,"TBA amount - override me",IF((Override!$C$4="ON")*ISNUMBER(Override!$G$142)&gt;0,"overridden",IF($J36+$K36=0,"no dividend in year Y",""))))</f>
        <v/>
      </c>
      <c r="V36" s="54">
        <f>IF($B36="","",IFERROR(IF(ISNUMBER($H36),$B36*$G36*$H36/$B$3,0),""))</f>
        <v/>
      </c>
      <c r="W36" s="54">
        <f>IF($B36="","",IFERROR($B36*$G36*$K36/$B$3,""))</f>
        <v/>
      </c>
    </row>
    <row r="37">
      <c r="B37" s="73" t="n"/>
      <c r="C37" s="6">
        <f>IF($A37="","",$A37&amp;" Equity")</f>
        <v/>
      </c>
      <c r="D37" s="6">
        <f>IF($C37="","",BDP($C37,"NAME"))</f>
        <v/>
      </c>
      <c r="E37" s="6">
        <f>IF($C37="","",BDP($C37,"GICS_SECTOR_NAME"))</f>
        <v/>
      </c>
      <c r="F37" s="31">
        <f>IF($C37="","",BDP($C37,'Field Check'!$C$8))</f>
        <v/>
      </c>
      <c r="G37" s="74">
        <f>IFERROR(IF(LEN($F37)&lt;&gt;3,1,IF($F37="HKD",1,BDP(IF($F37="CNY",Summary!$C$14,$F37)&amp;"HKD Curncy","PX_LAST"))),1)</f>
        <v/>
      </c>
      <c r="H37" s="54">
        <f>IF($C37="","",BDP($C37,'Field Check'!$C$9))</f>
        <v/>
      </c>
      <c r="I37" s="45">
        <f>IF($C37="","",BDP($C37,'Field Check'!$C$10))</f>
        <v/>
      </c>
      <c r="J37" s="47">
        <f>IF($B37="",0,IF(Summary!$C$13="Y",SUMIFS('Dvd Calendar'!$E$1966:$AR$1966,'Dvd Calendar'!$E$1965:$AR$1965,"&gt;="&amp;DATE(Summary!$C$12,1,1),'Dvd Calendar'!$E$1965:$AR$1965,"&lt;="&amp;MIN(Summary!$C$11,DATE(Summary!$C$12,12,31))),SUMIFS('Dvd Calendar'!$E$1966:$AR$1966,'Dvd Calendar'!$E$1965:$AR$1965,"&gt;="&amp;DATE(Summary!$C$12,1,1),'Dvd Calendar'!$E$1965:$AR$1965,"&lt;="&amp;MIN(Summary!$C$11,DATE(Summary!$C$12,12,31)),'Dvd Calendar'!$E$1970:$AR$1970,"&lt;&gt;"&amp;'Field Check'!$C$25)))</f>
        <v/>
      </c>
      <c r="K37" s="47">
        <f>IF($B37="",0,IF(Summary!$C$13="Y",SUMIFS('Dvd Calendar'!$E$1973:$AR$1973,'Dvd Calendar'!$E$1972:$AR$1972,"&gt;"&amp;MAX(Summary!$C$11,DATE(Summary!$C$12,1,1)-1),'Dvd Calendar'!$E$1972:$AR$1972,"&lt;="&amp;DATE(Summary!$C$12,12,31)),SUMIFS('Dvd Calendar'!$E$1973:$AR$1973,'Dvd Calendar'!$E$1972:$AR$1972,"&gt;"&amp;MAX(Summary!$C$11,DATE(Summary!$C$12,1,1)-1),'Dvd Calendar'!$E$1972:$AR$1972,"&lt;="&amp;DATE(Summary!$C$12,12,31),'Dvd Calendar'!$E$1977:$AR$1977,"&lt;&gt;"&amp;'Field Check'!$C$25)))</f>
        <v/>
      </c>
      <c r="L37" s="47">
        <f>IF($B37="",0,IF((Override!$C$4="ON")*ISNUMBER(Override!$G$143)&gt;0,Override!$G$143,$K37))</f>
        <v/>
      </c>
      <c r="M37" s="47">
        <f>IF($B37="",0,IF((Override!$C$4="ON")*ISNUMBER(Override!$H$143)&gt;0,Override!$H$143,$L37))</f>
        <v/>
      </c>
      <c r="N37" s="47">
        <f>IF($B37="",0,IF((Override!$C$4="ON")*ISNUMBER(Override!$I$143)&gt;0,Override!$I$143,$L37))</f>
        <v/>
      </c>
      <c r="O37" s="54">
        <f>IF($B37="","",IFERROR($B37*$G37*$J37/$B$3,""))</f>
        <v/>
      </c>
      <c r="P37" s="54">
        <f>IF($B37="","",IFERROR($B37*$G37*$L37/$B$3,""))</f>
        <v/>
      </c>
      <c r="Q37" s="38">
        <f>IF($B37="","",IFERROR($O37+$P37,""))</f>
        <v/>
      </c>
      <c r="R37" s="54">
        <f>IF($B37="","",IFERROR($O37+$B37*$G37*$M37/$B$3,""))</f>
        <v/>
      </c>
      <c r="S37" s="54">
        <f>IF($B37="","",IFERROR($O37+$B37*$G37*$N37/$B$3,""))</f>
        <v/>
      </c>
      <c r="T37" s="63">
        <f>IF($B37="","",IFERROR($Q37/$Q$5,""))</f>
        <v/>
      </c>
      <c r="U37" s="2">
        <f>IF($B37="","",IF(COUNTIFS('Dvd Calendar'!$E$1971:$AR$1971,"&gt;0",'Dvd Calendar'!$E$1972:$AR$1972,"&gt;"&amp;MAX(Summary!$C$11,DATE(Summary!$C$12,1,1)-1),'Dvd Calendar'!$E$1972:$AR$1972,"&lt;="&amp;DATE(Summary!$C$12,12,31))-COUNTIFS('Dvd Calendar'!$E$1971:$AR$1971,"&gt;0",'Dvd Calendar'!$E$1972:$AR$1972,"&gt;"&amp;MAX(Summary!$C$11,DATE(Summary!$C$12,1,1)-1),'Dvd Calendar'!$E$1972:$AR$1972,"&lt;="&amp;DATE(Summary!$C$12,12,31),'Dvd Calendar'!$E$1973:$AR$1973,"&gt;=0")&gt;0,"TBA amount - override me",IF((Override!$C$4="ON")*ISNUMBER(Override!$G$143)&gt;0,"overridden",IF($J37+$K37=0,"no dividend in year Y",""))))</f>
        <v/>
      </c>
      <c r="V37" s="54">
        <f>IF($B37="","",IFERROR(IF(ISNUMBER($H37),$B37*$G37*$H37/$B$3,0),""))</f>
        <v/>
      </c>
      <c r="W37" s="54">
        <f>IF($B37="","",IFERROR($B37*$G37*$K37/$B$3,""))</f>
        <v/>
      </c>
    </row>
    <row r="38">
      <c r="B38" s="73" t="n"/>
      <c r="C38" s="6">
        <f>IF($A38="","",$A38&amp;" Equity")</f>
        <v/>
      </c>
      <c r="D38" s="6">
        <f>IF($C38="","",BDP($C38,"NAME"))</f>
        <v/>
      </c>
      <c r="E38" s="6">
        <f>IF($C38="","",BDP($C38,"GICS_SECTOR_NAME"))</f>
        <v/>
      </c>
      <c r="F38" s="31">
        <f>IF($C38="","",BDP($C38,'Field Check'!$C$8))</f>
        <v/>
      </c>
      <c r="G38" s="74">
        <f>IFERROR(IF(LEN($F38)&lt;&gt;3,1,IF($F38="HKD",1,BDP(IF($F38="CNY",Summary!$C$14,$F38)&amp;"HKD Curncy","PX_LAST"))),1)</f>
        <v/>
      </c>
      <c r="H38" s="54">
        <f>IF($C38="","",BDP($C38,'Field Check'!$C$9))</f>
        <v/>
      </c>
      <c r="I38" s="45">
        <f>IF($C38="","",BDP($C38,'Field Check'!$C$10))</f>
        <v/>
      </c>
      <c r="J38" s="47">
        <f>IF($B38="",0,IF(Summary!$C$13="Y",SUMIFS('Dvd Calendar'!$E$1981:$AR$1981,'Dvd Calendar'!$E$1980:$AR$1980,"&gt;="&amp;DATE(Summary!$C$12,1,1),'Dvd Calendar'!$E$1980:$AR$1980,"&lt;="&amp;MIN(Summary!$C$11,DATE(Summary!$C$12,12,31))),SUMIFS('Dvd Calendar'!$E$1981:$AR$1981,'Dvd Calendar'!$E$1980:$AR$1980,"&gt;="&amp;DATE(Summary!$C$12,1,1),'Dvd Calendar'!$E$1980:$AR$1980,"&lt;="&amp;MIN(Summary!$C$11,DATE(Summary!$C$12,12,31)),'Dvd Calendar'!$E$1985:$AR$1985,"&lt;&gt;"&amp;'Field Check'!$C$25)))</f>
        <v/>
      </c>
      <c r="K38" s="47">
        <f>IF($B38="",0,IF(Summary!$C$13="Y",SUMIFS('Dvd Calendar'!$E$1988:$AR$1988,'Dvd Calendar'!$E$1987:$AR$1987,"&gt;"&amp;MAX(Summary!$C$11,DATE(Summary!$C$12,1,1)-1),'Dvd Calendar'!$E$1987:$AR$1987,"&lt;="&amp;DATE(Summary!$C$12,12,31)),SUMIFS('Dvd Calendar'!$E$1988:$AR$1988,'Dvd Calendar'!$E$1987:$AR$1987,"&gt;"&amp;MAX(Summary!$C$11,DATE(Summary!$C$12,1,1)-1),'Dvd Calendar'!$E$1987:$AR$1987,"&lt;="&amp;DATE(Summary!$C$12,12,31),'Dvd Calendar'!$E$1992:$AR$1992,"&lt;&gt;"&amp;'Field Check'!$C$25)))</f>
        <v/>
      </c>
      <c r="L38" s="47">
        <f>IF($B38="",0,IF((Override!$C$4="ON")*ISNUMBER(Override!$G$144)&gt;0,Override!$G$144,$K38))</f>
        <v/>
      </c>
      <c r="M38" s="47">
        <f>IF($B38="",0,IF((Override!$C$4="ON")*ISNUMBER(Override!$H$144)&gt;0,Override!$H$144,$L38))</f>
        <v/>
      </c>
      <c r="N38" s="47">
        <f>IF($B38="",0,IF((Override!$C$4="ON")*ISNUMBER(Override!$I$144)&gt;0,Override!$I$144,$L38))</f>
        <v/>
      </c>
      <c r="O38" s="54">
        <f>IF($B38="","",IFERROR($B38*$G38*$J38/$B$3,""))</f>
        <v/>
      </c>
      <c r="P38" s="54">
        <f>IF($B38="","",IFERROR($B38*$G38*$L38/$B$3,""))</f>
        <v/>
      </c>
      <c r="Q38" s="38">
        <f>IF($B38="","",IFERROR($O38+$P38,""))</f>
        <v/>
      </c>
      <c r="R38" s="54">
        <f>IF($B38="","",IFERROR($O38+$B38*$G38*$M38/$B$3,""))</f>
        <v/>
      </c>
      <c r="S38" s="54">
        <f>IF($B38="","",IFERROR($O38+$B38*$G38*$N38/$B$3,""))</f>
        <v/>
      </c>
      <c r="T38" s="63">
        <f>IF($B38="","",IFERROR($Q38/$Q$5,""))</f>
        <v/>
      </c>
      <c r="U38" s="2">
        <f>IF($B38="","",IF(COUNTIFS('Dvd Calendar'!$E$1986:$AR$1986,"&gt;0",'Dvd Calendar'!$E$1987:$AR$1987,"&gt;"&amp;MAX(Summary!$C$11,DATE(Summary!$C$12,1,1)-1),'Dvd Calendar'!$E$1987:$AR$1987,"&lt;="&amp;DATE(Summary!$C$12,12,31))-COUNTIFS('Dvd Calendar'!$E$1986:$AR$1986,"&gt;0",'Dvd Calendar'!$E$1987:$AR$1987,"&gt;"&amp;MAX(Summary!$C$11,DATE(Summary!$C$12,1,1)-1),'Dvd Calendar'!$E$1987:$AR$1987,"&lt;="&amp;DATE(Summary!$C$12,12,31),'Dvd Calendar'!$E$1988:$AR$1988,"&gt;=0")&gt;0,"TBA amount - override me",IF((Override!$C$4="ON")*ISNUMBER(Override!$G$144)&gt;0,"overridden",IF($J38+$K38=0,"no dividend in year Y",""))))</f>
        <v/>
      </c>
      <c r="V38" s="54">
        <f>IF($B38="","",IFERROR(IF(ISNUMBER($H38),$B38*$G38*$H38/$B$3,0),""))</f>
        <v/>
      </c>
      <c r="W38" s="54">
        <f>IF($B38="","",IFERROR($B38*$G38*$K38/$B$3,""))</f>
        <v/>
      </c>
    </row>
    <row r="39">
      <c r="B39" s="73" t="n"/>
      <c r="C39" s="6">
        <f>IF($A39="","",$A39&amp;" Equity")</f>
        <v/>
      </c>
      <c r="D39" s="6">
        <f>IF($C39="","",BDP($C39,"NAME"))</f>
        <v/>
      </c>
      <c r="E39" s="6">
        <f>IF($C39="","",BDP($C39,"GICS_SECTOR_NAME"))</f>
        <v/>
      </c>
      <c r="F39" s="31">
        <f>IF($C39="","",BDP($C39,'Field Check'!$C$8))</f>
        <v/>
      </c>
      <c r="G39" s="74">
        <f>IFERROR(IF(LEN($F39)&lt;&gt;3,1,IF($F39="HKD",1,BDP(IF($F39="CNY",Summary!$C$14,$F39)&amp;"HKD Curncy","PX_LAST"))),1)</f>
        <v/>
      </c>
      <c r="H39" s="54">
        <f>IF($C39="","",BDP($C39,'Field Check'!$C$9))</f>
        <v/>
      </c>
      <c r="I39" s="45">
        <f>IF($C39="","",BDP($C39,'Field Check'!$C$10))</f>
        <v/>
      </c>
      <c r="J39" s="47">
        <f>IF($B39="",0,IF(Summary!$C$13="Y",SUMIFS('Dvd Calendar'!$E$1996:$AR$1996,'Dvd Calendar'!$E$1995:$AR$1995,"&gt;="&amp;DATE(Summary!$C$12,1,1),'Dvd Calendar'!$E$1995:$AR$1995,"&lt;="&amp;MIN(Summary!$C$11,DATE(Summary!$C$12,12,31))),SUMIFS('Dvd Calendar'!$E$1996:$AR$1996,'Dvd Calendar'!$E$1995:$AR$1995,"&gt;="&amp;DATE(Summary!$C$12,1,1),'Dvd Calendar'!$E$1995:$AR$1995,"&lt;="&amp;MIN(Summary!$C$11,DATE(Summary!$C$12,12,31)),'Dvd Calendar'!$E$2000:$AR$2000,"&lt;&gt;"&amp;'Field Check'!$C$25)))</f>
        <v/>
      </c>
      <c r="K39" s="47">
        <f>IF($B39="",0,IF(Summary!$C$13="Y",SUMIFS('Dvd Calendar'!$E$2003:$AR$2003,'Dvd Calendar'!$E$2002:$AR$2002,"&gt;"&amp;MAX(Summary!$C$11,DATE(Summary!$C$12,1,1)-1),'Dvd Calendar'!$E$2002:$AR$2002,"&lt;="&amp;DATE(Summary!$C$12,12,31)),SUMIFS('Dvd Calendar'!$E$2003:$AR$2003,'Dvd Calendar'!$E$2002:$AR$2002,"&gt;"&amp;MAX(Summary!$C$11,DATE(Summary!$C$12,1,1)-1),'Dvd Calendar'!$E$2002:$AR$2002,"&lt;="&amp;DATE(Summary!$C$12,12,31),'Dvd Calendar'!$E$2007:$AR$2007,"&lt;&gt;"&amp;'Field Check'!$C$25)))</f>
        <v/>
      </c>
      <c r="L39" s="47">
        <f>IF($B39="",0,IF((Override!$C$4="ON")*ISNUMBER(Override!$G$145)&gt;0,Override!$G$145,$K39))</f>
        <v/>
      </c>
      <c r="M39" s="47">
        <f>IF($B39="",0,IF((Override!$C$4="ON")*ISNUMBER(Override!$H$145)&gt;0,Override!$H$145,$L39))</f>
        <v/>
      </c>
      <c r="N39" s="47">
        <f>IF($B39="",0,IF((Override!$C$4="ON")*ISNUMBER(Override!$I$145)&gt;0,Override!$I$145,$L39))</f>
        <v/>
      </c>
      <c r="O39" s="54">
        <f>IF($B39="","",IFERROR($B39*$G39*$J39/$B$3,""))</f>
        <v/>
      </c>
      <c r="P39" s="54">
        <f>IF($B39="","",IFERROR($B39*$G39*$L39/$B$3,""))</f>
        <v/>
      </c>
      <c r="Q39" s="38">
        <f>IF($B39="","",IFERROR($O39+$P39,""))</f>
        <v/>
      </c>
      <c r="R39" s="54">
        <f>IF($B39="","",IFERROR($O39+$B39*$G39*$M39/$B$3,""))</f>
        <v/>
      </c>
      <c r="S39" s="54">
        <f>IF($B39="","",IFERROR($O39+$B39*$G39*$N39/$B$3,""))</f>
        <v/>
      </c>
      <c r="T39" s="63">
        <f>IF($B39="","",IFERROR($Q39/$Q$5,""))</f>
        <v/>
      </c>
      <c r="U39" s="2">
        <f>IF($B39="","",IF(COUNTIFS('Dvd Calendar'!$E$2001:$AR$2001,"&gt;0",'Dvd Calendar'!$E$2002:$AR$2002,"&gt;"&amp;MAX(Summary!$C$11,DATE(Summary!$C$12,1,1)-1),'Dvd Calendar'!$E$2002:$AR$2002,"&lt;="&amp;DATE(Summary!$C$12,12,31))-COUNTIFS('Dvd Calendar'!$E$2001:$AR$2001,"&gt;0",'Dvd Calendar'!$E$2002:$AR$2002,"&gt;"&amp;MAX(Summary!$C$11,DATE(Summary!$C$12,1,1)-1),'Dvd Calendar'!$E$2002:$AR$2002,"&lt;="&amp;DATE(Summary!$C$12,12,31),'Dvd Calendar'!$E$2003:$AR$2003,"&gt;=0")&gt;0,"TBA amount - override me",IF((Override!$C$4="ON")*ISNUMBER(Override!$G$145)&gt;0,"overridden",IF($J39+$K39=0,"no dividend in year Y",""))))</f>
        <v/>
      </c>
      <c r="V39" s="54">
        <f>IF($B39="","",IFERROR(IF(ISNUMBER($H39),$B39*$G39*$H39/$B$3,0),""))</f>
        <v/>
      </c>
      <c r="W39" s="54">
        <f>IF($B39="","",IFERROR($B39*$G39*$K39/$B$3,""))</f>
        <v/>
      </c>
    </row>
    <row r="40">
      <c r="B40" s="73" t="n"/>
      <c r="C40" s="6">
        <f>IF($A40="","",$A40&amp;" Equity")</f>
        <v/>
      </c>
      <c r="D40" s="6">
        <f>IF($C40="","",BDP($C40,"NAME"))</f>
        <v/>
      </c>
      <c r="E40" s="6">
        <f>IF($C40="","",BDP($C40,"GICS_SECTOR_NAME"))</f>
        <v/>
      </c>
      <c r="F40" s="31">
        <f>IF($C40="","",BDP($C40,'Field Check'!$C$8))</f>
        <v/>
      </c>
      <c r="G40" s="74">
        <f>IFERROR(IF(LEN($F40)&lt;&gt;3,1,IF($F40="HKD",1,BDP(IF($F40="CNY",Summary!$C$14,$F40)&amp;"HKD Curncy","PX_LAST"))),1)</f>
        <v/>
      </c>
      <c r="H40" s="54">
        <f>IF($C40="","",BDP($C40,'Field Check'!$C$9))</f>
        <v/>
      </c>
      <c r="I40" s="45">
        <f>IF($C40="","",BDP($C40,'Field Check'!$C$10))</f>
        <v/>
      </c>
      <c r="J40" s="47">
        <f>IF($B40="",0,IF(Summary!$C$13="Y",SUMIFS('Dvd Calendar'!$E$2011:$AR$2011,'Dvd Calendar'!$E$2010:$AR$2010,"&gt;="&amp;DATE(Summary!$C$12,1,1),'Dvd Calendar'!$E$2010:$AR$2010,"&lt;="&amp;MIN(Summary!$C$11,DATE(Summary!$C$12,12,31))),SUMIFS('Dvd Calendar'!$E$2011:$AR$2011,'Dvd Calendar'!$E$2010:$AR$2010,"&gt;="&amp;DATE(Summary!$C$12,1,1),'Dvd Calendar'!$E$2010:$AR$2010,"&lt;="&amp;MIN(Summary!$C$11,DATE(Summary!$C$12,12,31)),'Dvd Calendar'!$E$2015:$AR$2015,"&lt;&gt;"&amp;'Field Check'!$C$25)))</f>
        <v/>
      </c>
      <c r="K40" s="47">
        <f>IF($B40="",0,IF(Summary!$C$13="Y",SUMIFS('Dvd Calendar'!$E$2018:$AR$2018,'Dvd Calendar'!$E$2017:$AR$2017,"&gt;"&amp;MAX(Summary!$C$11,DATE(Summary!$C$12,1,1)-1),'Dvd Calendar'!$E$2017:$AR$2017,"&lt;="&amp;DATE(Summary!$C$12,12,31)),SUMIFS('Dvd Calendar'!$E$2018:$AR$2018,'Dvd Calendar'!$E$2017:$AR$2017,"&gt;"&amp;MAX(Summary!$C$11,DATE(Summary!$C$12,1,1)-1),'Dvd Calendar'!$E$2017:$AR$2017,"&lt;="&amp;DATE(Summary!$C$12,12,31),'Dvd Calendar'!$E$2022:$AR$2022,"&lt;&gt;"&amp;'Field Check'!$C$25)))</f>
        <v/>
      </c>
      <c r="L40" s="47">
        <f>IF($B40="",0,IF((Override!$C$4="ON")*ISNUMBER(Override!$G$146)&gt;0,Override!$G$146,$K40))</f>
        <v/>
      </c>
      <c r="M40" s="47">
        <f>IF($B40="",0,IF((Override!$C$4="ON")*ISNUMBER(Override!$H$146)&gt;0,Override!$H$146,$L40))</f>
        <v/>
      </c>
      <c r="N40" s="47">
        <f>IF($B40="",0,IF((Override!$C$4="ON")*ISNUMBER(Override!$I$146)&gt;0,Override!$I$146,$L40))</f>
        <v/>
      </c>
      <c r="O40" s="54">
        <f>IF($B40="","",IFERROR($B40*$G40*$J40/$B$3,""))</f>
        <v/>
      </c>
      <c r="P40" s="54">
        <f>IF($B40="","",IFERROR($B40*$G40*$L40/$B$3,""))</f>
        <v/>
      </c>
      <c r="Q40" s="38">
        <f>IF($B40="","",IFERROR($O40+$P40,""))</f>
        <v/>
      </c>
      <c r="R40" s="54">
        <f>IF($B40="","",IFERROR($O40+$B40*$G40*$M40/$B$3,""))</f>
        <v/>
      </c>
      <c r="S40" s="54">
        <f>IF($B40="","",IFERROR($O40+$B40*$G40*$N40/$B$3,""))</f>
        <v/>
      </c>
      <c r="T40" s="63">
        <f>IF($B40="","",IFERROR($Q40/$Q$5,""))</f>
        <v/>
      </c>
      <c r="U40" s="2">
        <f>IF($B40="","",IF(COUNTIFS('Dvd Calendar'!$E$2016:$AR$2016,"&gt;0",'Dvd Calendar'!$E$2017:$AR$2017,"&gt;"&amp;MAX(Summary!$C$11,DATE(Summary!$C$12,1,1)-1),'Dvd Calendar'!$E$2017:$AR$2017,"&lt;="&amp;DATE(Summary!$C$12,12,31))-COUNTIFS('Dvd Calendar'!$E$2016:$AR$2016,"&gt;0",'Dvd Calendar'!$E$2017:$AR$2017,"&gt;"&amp;MAX(Summary!$C$11,DATE(Summary!$C$12,1,1)-1),'Dvd Calendar'!$E$2017:$AR$2017,"&lt;="&amp;DATE(Summary!$C$12,12,31),'Dvd Calendar'!$E$2018:$AR$2018,"&gt;=0")&gt;0,"TBA amount - override me",IF((Override!$C$4="ON")*ISNUMBER(Override!$G$146)&gt;0,"overridden",IF($J40+$K40=0,"no dividend in year Y",""))))</f>
        <v/>
      </c>
      <c r="V40" s="54">
        <f>IF($B40="","",IFERROR(IF(ISNUMBER($H40),$B40*$G40*$H40/$B$3,0),""))</f>
        <v/>
      </c>
      <c r="W40" s="54">
        <f>IF($B40="","",IFERROR($B40*$G40*$K40/$B$3,""))</f>
        <v/>
      </c>
    </row>
    <row r="41">
      <c r="B41" s="73" t="n"/>
      <c r="C41" s="6">
        <f>IF($A41="","",$A41&amp;" Equity")</f>
        <v/>
      </c>
      <c r="D41" s="6">
        <f>IF($C41="","",BDP($C41,"NAME"))</f>
        <v/>
      </c>
      <c r="E41" s="6">
        <f>IF($C41="","",BDP($C41,"GICS_SECTOR_NAME"))</f>
        <v/>
      </c>
      <c r="F41" s="31">
        <f>IF($C41="","",BDP($C41,'Field Check'!$C$8))</f>
        <v/>
      </c>
      <c r="G41" s="74">
        <f>IFERROR(IF(LEN($F41)&lt;&gt;3,1,IF($F41="HKD",1,BDP(IF($F41="CNY",Summary!$C$14,$F41)&amp;"HKD Curncy","PX_LAST"))),1)</f>
        <v/>
      </c>
      <c r="H41" s="54">
        <f>IF($C41="","",BDP($C41,'Field Check'!$C$9))</f>
        <v/>
      </c>
      <c r="I41" s="45">
        <f>IF($C41="","",BDP($C41,'Field Check'!$C$10))</f>
        <v/>
      </c>
      <c r="J41" s="47">
        <f>IF($B41="",0,IF(Summary!$C$13="Y",SUMIFS('Dvd Calendar'!$E$2026:$AR$2026,'Dvd Calendar'!$E$2025:$AR$2025,"&gt;="&amp;DATE(Summary!$C$12,1,1),'Dvd Calendar'!$E$2025:$AR$2025,"&lt;="&amp;MIN(Summary!$C$11,DATE(Summary!$C$12,12,31))),SUMIFS('Dvd Calendar'!$E$2026:$AR$2026,'Dvd Calendar'!$E$2025:$AR$2025,"&gt;="&amp;DATE(Summary!$C$12,1,1),'Dvd Calendar'!$E$2025:$AR$2025,"&lt;="&amp;MIN(Summary!$C$11,DATE(Summary!$C$12,12,31)),'Dvd Calendar'!$E$2030:$AR$2030,"&lt;&gt;"&amp;'Field Check'!$C$25)))</f>
        <v/>
      </c>
      <c r="K41" s="47">
        <f>IF($B41="",0,IF(Summary!$C$13="Y",SUMIFS('Dvd Calendar'!$E$2033:$AR$2033,'Dvd Calendar'!$E$2032:$AR$2032,"&gt;"&amp;MAX(Summary!$C$11,DATE(Summary!$C$12,1,1)-1),'Dvd Calendar'!$E$2032:$AR$2032,"&lt;="&amp;DATE(Summary!$C$12,12,31)),SUMIFS('Dvd Calendar'!$E$2033:$AR$2033,'Dvd Calendar'!$E$2032:$AR$2032,"&gt;"&amp;MAX(Summary!$C$11,DATE(Summary!$C$12,1,1)-1),'Dvd Calendar'!$E$2032:$AR$2032,"&lt;="&amp;DATE(Summary!$C$12,12,31),'Dvd Calendar'!$E$2037:$AR$2037,"&lt;&gt;"&amp;'Field Check'!$C$25)))</f>
        <v/>
      </c>
      <c r="L41" s="47">
        <f>IF($B41="",0,IF((Override!$C$4="ON")*ISNUMBER(Override!$G$147)&gt;0,Override!$G$147,$K41))</f>
        <v/>
      </c>
      <c r="M41" s="47">
        <f>IF($B41="",0,IF((Override!$C$4="ON")*ISNUMBER(Override!$H$147)&gt;0,Override!$H$147,$L41))</f>
        <v/>
      </c>
      <c r="N41" s="47">
        <f>IF($B41="",0,IF((Override!$C$4="ON")*ISNUMBER(Override!$I$147)&gt;0,Override!$I$147,$L41))</f>
        <v/>
      </c>
      <c r="O41" s="54">
        <f>IF($B41="","",IFERROR($B41*$G41*$J41/$B$3,""))</f>
        <v/>
      </c>
      <c r="P41" s="54">
        <f>IF($B41="","",IFERROR($B41*$G41*$L41/$B$3,""))</f>
        <v/>
      </c>
      <c r="Q41" s="38">
        <f>IF($B41="","",IFERROR($O41+$P41,""))</f>
        <v/>
      </c>
      <c r="R41" s="54">
        <f>IF($B41="","",IFERROR($O41+$B41*$G41*$M41/$B$3,""))</f>
        <v/>
      </c>
      <c r="S41" s="54">
        <f>IF($B41="","",IFERROR($O41+$B41*$G41*$N41/$B$3,""))</f>
        <v/>
      </c>
      <c r="T41" s="63">
        <f>IF($B41="","",IFERROR($Q41/$Q$5,""))</f>
        <v/>
      </c>
      <c r="U41" s="2">
        <f>IF($B41="","",IF(COUNTIFS('Dvd Calendar'!$E$2031:$AR$2031,"&gt;0",'Dvd Calendar'!$E$2032:$AR$2032,"&gt;"&amp;MAX(Summary!$C$11,DATE(Summary!$C$12,1,1)-1),'Dvd Calendar'!$E$2032:$AR$2032,"&lt;="&amp;DATE(Summary!$C$12,12,31))-COUNTIFS('Dvd Calendar'!$E$2031:$AR$2031,"&gt;0",'Dvd Calendar'!$E$2032:$AR$2032,"&gt;"&amp;MAX(Summary!$C$11,DATE(Summary!$C$12,1,1)-1),'Dvd Calendar'!$E$2032:$AR$2032,"&lt;="&amp;DATE(Summary!$C$12,12,31),'Dvd Calendar'!$E$2033:$AR$2033,"&gt;=0")&gt;0,"TBA amount - override me",IF((Override!$C$4="ON")*ISNUMBER(Override!$G$147)&gt;0,"overridden",IF($J41+$K41=0,"no dividend in year Y",""))))</f>
        <v/>
      </c>
      <c r="V41" s="54">
        <f>IF($B41="","",IFERROR(IF(ISNUMBER($H41),$B41*$G41*$H41/$B$3,0),""))</f>
        <v/>
      </c>
      <c r="W41" s="54">
        <f>IF($B41="","",IFERROR($B41*$G41*$K41/$B$3,""))</f>
        <v/>
      </c>
    </row>
    <row r="42">
      <c r="B42" s="73" t="n"/>
      <c r="C42" s="6">
        <f>IF($A42="","",$A42&amp;" Equity")</f>
        <v/>
      </c>
      <c r="D42" s="6">
        <f>IF($C42="","",BDP($C42,"NAME"))</f>
        <v/>
      </c>
      <c r="E42" s="6">
        <f>IF($C42="","",BDP($C42,"GICS_SECTOR_NAME"))</f>
        <v/>
      </c>
      <c r="F42" s="31">
        <f>IF($C42="","",BDP($C42,'Field Check'!$C$8))</f>
        <v/>
      </c>
      <c r="G42" s="74">
        <f>IFERROR(IF(LEN($F42)&lt;&gt;3,1,IF($F42="HKD",1,BDP(IF($F42="CNY",Summary!$C$14,$F42)&amp;"HKD Curncy","PX_LAST"))),1)</f>
        <v/>
      </c>
      <c r="H42" s="54">
        <f>IF($C42="","",BDP($C42,'Field Check'!$C$9))</f>
        <v/>
      </c>
      <c r="I42" s="45">
        <f>IF($C42="","",BDP($C42,'Field Check'!$C$10))</f>
        <v/>
      </c>
      <c r="J42" s="47">
        <f>IF($B42="",0,IF(Summary!$C$13="Y",SUMIFS('Dvd Calendar'!$E$2041:$AR$2041,'Dvd Calendar'!$E$2040:$AR$2040,"&gt;="&amp;DATE(Summary!$C$12,1,1),'Dvd Calendar'!$E$2040:$AR$2040,"&lt;="&amp;MIN(Summary!$C$11,DATE(Summary!$C$12,12,31))),SUMIFS('Dvd Calendar'!$E$2041:$AR$2041,'Dvd Calendar'!$E$2040:$AR$2040,"&gt;="&amp;DATE(Summary!$C$12,1,1),'Dvd Calendar'!$E$2040:$AR$2040,"&lt;="&amp;MIN(Summary!$C$11,DATE(Summary!$C$12,12,31)),'Dvd Calendar'!$E$2045:$AR$2045,"&lt;&gt;"&amp;'Field Check'!$C$25)))</f>
        <v/>
      </c>
      <c r="K42" s="47">
        <f>IF($B42="",0,IF(Summary!$C$13="Y",SUMIFS('Dvd Calendar'!$E$2048:$AR$2048,'Dvd Calendar'!$E$2047:$AR$2047,"&gt;"&amp;MAX(Summary!$C$11,DATE(Summary!$C$12,1,1)-1),'Dvd Calendar'!$E$2047:$AR$2047,"&lt;="&amp;DATE(Summary!$C$12,12,31)),SUMIFS('Dvd Calendar'!$E$2048:$AR$2048,'Dvd Calendar'!$E$2047:$AR$2047,"&gt;"&amp;MAX(Summary!$C$11,DATE(Summary!$C$12,1,1)-1),'Dvd Calendar'!$E$2047:$AR$2047,"&lt;="&amp;DATE(Summary!$C$12,12,31),'Dvd Calendar'!$E$2052:$AR$2052,"&lt;&gt;"&amp;'Field Check'!$C$25)))</f>
        <v/>
      </c>
      <c r="L42" s="47">
        <f>IF($B42="",0,IF((Override!$C$4="ON")*ISNUMBER(Override!$G$148)&gt;0,Override!$G$148,$K42))</f>
        <v/>
      </c>
      <c r="M42" s="47">
        <f>IF($B42="",0,IF((Override!$C$4="ON")*ISNUMBER(Override!$H$148)&gt;0,Override!$H$148,$L42))</f>
        <v/>
      </c>
      <c r="N42" s="47">
        <f>IF($B42="",0,IF((Override!$C$4="ON")*ISNUMBER(Override!$I$148)&gt;0,Override!$I$148,$L42))</f>
        <v/>
      </c>
      <c r="O42" s="54">
        <f>IF($B42="","",IFERROR($B42*$G42*$J42/$B$3,""))</f>
        <v/>
      </c>
      <c r="P42" s="54">
        <f>IF($B42="","",IFERROR($B42*$G42*$L42/$B$3,""))</f>
        <v/>
      </c>
      <c r="Q42" s="38">
        <f>IF($B42="","",IFERROR($O42+$P42,""))</f>
        <v/>
      </c>
      <c r="R42" s="54">
        <f>IF($B42="","",IFERROR($O42+$B42*$G42*$M42/$B$3,""))</f>
        <v/>
      </c>
      <c r="S42" s="54">
        <f>IF($B42="","",IFERROR($O42+$B42*$G42*$N42/$B$3,""))</f>
        <v/>
      </c>
      <c r="T42" s="63">
        <f>IF($B42="","",IFERROR($Q42/$Q$5,""))</f>
        <v/>
      </c>
      <c r="U42" s="2">
        <f>IF($B42="","",IF(COUNTIFS('Dvd Calendar'!$E$2046:$AR$2046,"&gt;0",'Dvd Calendar'!$E$2047:$AR$2047,"&gt;"&amp;MAX(Summary!$C$11,DATE(Summary!$C$12,1,1)-1),'Dvd Calendar'!$E$2047:$AR$2047,"&lt;="&amp;DATE(Summary!$C$12,12,31))-COUNTIFS('Dvd Calendar'!$E$2046:$AR$2046,"&gt;0",'Dvd Calendar'!$E$2047:$AR$2047,"&gt;"&amp;MAX(Summary!$C$11,DATE(Summary!$C$12,1,1)-1),'Dvd Calendar'!$E$2047:$AR$2047,"&lt;="&amp;DATE(Summary!$C$12,12,31),'Dvd Calendar'!$E$2048:$AR$2048,"&gt;=0")&gt;0,"TBA amount - override me",IF((Override!$C$4="ON")*ISNUMBER(Override!$G$148)&gt;0,"overridden",IF($J42+$K42=0,"no dividend in year Y",""))))</f>
        <v/>
      </c>
      <c r="V42" s="54">
        <f>IF($B42="","",IFERROR(IF(ISNUMBER($H42),$B42*$G42*$H42/$B$3,0),""))</f>
        <v/>
      </c>
      <c r="W42" s="54">
        <f>IF($B42="","",IFERROR($B42*$G42*$K42/$B$3,""))</f>
        <v/>
      </c>
    </row>
    <row r="43">
      <c r="B43" s="73" t="n"/>
      <c r="C43" s="6">
        <f>IF($A43="","",$A43&amp;" Equity")</f>
        <v/>
      </c>
      <c r="D43" s="6">
        <f>IF($C43="","",BDP($C43,"NAME"))</f>
        <v/>
      </c>
      <c r="E43" s="6">
        <f>IF($C43="","",BDP($C43,"GICS_SECTOR_NAME"))</f>
        <v/>
      </c>
      <c r="F43" s="31">
        <f>IF($C43="","",BDP($C43,'Field Check'!$C$8))</f>
        <v/>
      </c>
      <c r="G43" s="74">
        <f>IFERROR(IF(LEN($F43)&lt;&gt;3,1,IF($F43="HKD",1,BDP(IF($F43="CNY",Summary!$C$14,$F43)&amp;"HKD Curncy","PX_LAST"))),1)</f>
        <v/>
      </c>
      <c r="H43" s="54">
        <f>IF($C43="","",BDP($C43,'Field Check'!$C$9))</f>
        <v/>
      </c>
      <c r="I43" s="45">
        <f>IF($C43="","",BDP($C43,'Field Check'!$C$10))</f>
        <v/>
      </c>
      <c r="J43" s="47">
        <f>IF($B43="",0,IF(Summary!$C$13="Y",SUMIFS('Dvd Calendar'!$E$2056:$AR$2056,'Dvd Calendar'!$E$2055:$AR$2055,"&gt;="&amp;DATE(Summary!$C$12,1,1),'Dvd Calendar'!$E$2055:$AR$2055,"&lt;="&amp;MIN(Summary!$C$11,DATE(Summary!$C$12,12,31))),SUMIFS('Dvd Calendar'!$E$2056:$AR$2056,'Dvd Calendar'!$E$2055:$AR$2055,"&gt;="&amp;DATE(Summary!$C$12,1,1),'Dvd Calendar'!$E$2055:$AR$2055,"&lt;="&amp;MIN(Summary!$C$11,DATE(Summary!$C$12,12,31)),'Dvd Calendar'!$E$2060:$AR$2060,"&lt;&gt;"&amp;'Field Check'!$C$25)))</f>
        <v/>
      </c>
      <c r="K43" s="47">
        <f>IF($B43="",0,IF(Summary!$C$13="Y",SUMIFS('Dvd Calendar'!$E$2063:$AR$2063,'Dvd Calendar'!$E$2062:$AR$2062,"&gt;"&amp;MAX(Summary!$C$11,DATE(Summary!$C$12,1,1)-1),'Dvd Calendar'!$E$2062:$AR$2062,"&lt;="&amp;DATE(Summary!$C$12,12,31)),SUMIFS('Dvd Calendar'!$E$2063:$AR$2063,'Dvd Calendar'!$E$2062:$AR$2062,"&gt;"&amp;MAX(Summary!$C$11,DATE(Summary!$C$12,1,1)-1),'Dvd Calendar'!$E$2062:$AR$2062,"&lt;="&amp;DATE(Summary!$C$12,12,31),'Dvd Calendar'!$E$2067:$AR$2067,"&lt;&gt;"&amp;'Field Check'!$C$25)))</f>
        <v/>
      </c>
      <c r="L43" s="47">
        <f>IF($B43="",0,IF((Override!$C$4="ON")*ISNUMBER(Override!$G$149)&gt;0,Override!$G$149,$K43))</f>
        <v/>
      </c>
      <c r="M43" s="47">
        <f>IF($B43="",0,IF((Override!$C$4="ON")*ISNUMBER(Override!$H$149)&gt;0,Override!$H$149,$L43))</f>
        <v/>
      </c>
      <c r="N43" s="47">
        <f>IF($B43="",0,IF((Override!$C$4="ON")*ISNUMBER(Override!$I$149)&gt;0,Override!$I$149,$L43))</f>
        <v/>
      </c>
      <c r="O43" s="54">
        <f>IF($B43="","",IFERROR($B43*$G43*$J43/$B$3,""))</f>
        <v/>
      </c>
      <c r="P43" s="54">
        <f>IF($B43="","",IFERROR($B43*$G43*$L43/$B$3,""))</f>
        <v/>
      </c>
      <c r="Q43" s="38">
        <f>IF($B43="","",IFERROR($O43+$P43,""))</f>
        <v/>
      </c>
      <c r="R43" s="54">
        <f>IF($B43="","",IFERROR($O43+$B43*$G43*$M43/$B$3,""))</f>
        <v/>
      </c>
      <c r="S43" s="54">
        <f>IF($B43="","",IFERROR($O43+$B43*$G43*$N43/$B$3,""))</f>
        <v/>
      </c>
      <c r="T43" s="63">
        <f>IF($B43="","",IFERROR($Q43/$Q$5,""))</f>
        <v/>
      </c>
      <c r="U43" s="2">
        <f>IF($B43="","",IF(COUNTIFS('Dvd Calendar'!$E$2061:$AR$2061,"&gt;0",'Dvd Calendar'!$E$2062:$AR$2062,"&gt;"&amp;MAX(Summary!$C$11,DATE(Summary!$C$12,1,1)-1),'Dvd Calendar'!$E$2062:$AR$2062,"&lt;="&amp;DATE(Summary!$C$12,12,31))-COUNTIFS('Dvd Calendar'!$E$2061:$AR$2061,"&gt;0",'Dvd Calendar'!$E$2062:$AR$2062,"&gt;"&amp;MAX(Summary!$C$11,DATE(Summary!$C$12,1,1)-1),'Dvd Calendar'!$E$2062:$AR$2062,"&lt;="&amp;DATE(Summary!$C$12,12,31),'Dvd Calendar'!$E$2063:$AR$2063,"&gt;=0")&gt;0,"TBA amount - override me",IF((Override!$C$4="ON")*ISNUMBER(Override!$G$149)&gt;0,"overridden",IF($J43+$K43=0,"no dividend in year Y",""))))</f>
        <v/>
      </c>
      <c r="V43" s="54">
        <f>IF($B43="","",IFERROR(IF(ISNUMBER($H43),$B43*$G43*$H43/$B$3,0),""))</f>
        <v/>
      </c>
      <c r="W43" s="54">
        <f>IF($B43="","",IFERROR($B43*$G43*$K43/$B$3,""))</f>
        <v/>
      </c>
    </row>
    <row r="44">
      <c r="B44" s="73" t="n"/>
      <c r="C44" s="6">
        <f>IF($A44="","",$A44&amp;" Equity")</f>
        <v/>
      </c>
      <c r="D44" s="6">
        <f>IF($C44="","",BDP($C44,"NAME"))</f>
        <v/>
      </c>
      <c r="E44" s="6">
        <f>IF($C44="","",BDP($C44,"GICS_SECTOR_NAME"))</f>
        <v/>
      </c>
      <c r="F44" s="31">
        <f>IF($C44="","",BDP($C44,'Field Check'!$C$8))</f>
        <v/>
      </c>
      <c r="G44" s="74">
        <f>IFERROR(IF(LEN($F44)&lt;&gt;3,1,IF($F44="HKD",1,BDP(IF($F44="CNY",Summary!$C$14,$F44)&amp;"HKD Curncy","PX_LAST"))),1)</f>
        <v/>
      </c>
      <c r="H44" s="54">
        <f>IF($C44="","",BDP($C44,'Field Check'!$C$9))</f>
        <v/>
      </c>
      <c r="I44" s="45">
        <f>IF($C44="","",BDP($C44,'Field Check'!$C$10))</f>
        <v/>
      </c>
      <c r="J44" s="47">
        <f>IF($B44="",0,IF(Summary!$C$13="Y",SUMIFS('Dvd Calendar'!$E$2071:$AR$2071,'Dvd Calendar'!$E$2070:$AR$2070,"&gt;="&amp;DATE(Summary!$C$12,1,1),'Dvd Calendar'!$E$2070:$AR$2070,"&lt;="&amp;MIN(Summary!$C$11,DATE(Summary!$C$12,12,31))),SUMIFS('Dvd Calendar'!$E$2071:$AR$2071,'Dvd Calendar'!$E$2070:$AR$2070,"&gt;="&amp;DATE(Summary!$C$12,1,1),'Dvd Calendar'!$E$2070:$AR$2070,"&lt;="&amp;MIN(Summary!$C$11,DATE(Summary!$C$12,12,31)),'Dvd Calendar'!$E$2075:$AR$2075,"&lt;&gt;"&amp;'Field Check'!$C$25)))</f>
        <v/>
      </c>
      <c r="K44" s="47">
        <f>IF($B44="",0,IF(Summary!$C$13="Y",SUMIFS('Dvd Calendar'!$E$2078:$AR$2078,'Dvd Calendar'!$E$2077:$AR$2077,"&gt;"&amp;MAX(Summary!$C$11,DATE(Summary!$C$12,1,1)-1),'Dvd Calendar'!$E$2077:$AR$2077,"&lt;="&amp;DATE(Summary!$C$12,12,31)),SUMIFS('Dvd Calendar'!$E$2078:$AR$2078,'Dvd Calendar'!$E$2077:$AR$2077,"&gt;"&amp;MAX(Summary!$C$11,DATE(Summary!$C$12,1,1)-1),'Dvd Calendar'!$E$2077:$AR$2077,"&lt;="&amp;DATE(Summary!$C$12,12,31),'Dvd Calendar'!$E$2082:$AR$2082,"&lt;&gt;"&amp;'Field Check'!$C$25)))</f>
        <v/>
      </c>
      <c r="L44" s="47">
        <f>IF($B44="",0,IF((Override!$C$4="ON")*ISNUMBER(Override!$G$150)&gt;0,Override!$G$150,$K44))</f>
        <v/>
      </c>
      <c r="M44" s="47">
        <f>IF($B44="",0,IF((Override!$C$4="ON")*ISNUMBER(Override!$H$150)&gt;0,Override!$H$150,$L44))</f>
        <v/>
      </c>
      <c r="N44" s="47">
        <f>IF($B44="",0,IF((Override!$C$4="ON")*ISNUMBER(Override!$I$150)&gt;0,Override!$I$150,$L44))</f>
        <v/>
      </c>
      <c r="O44" s="54">
        <f>IF($B44="","",IFERROR($B44*$G44*$J44/$B$3,""))</f>
        <v/>
      </c>
      <c r="P44" s="54">
        <f>IF($B44="","",IFERROR($B44*$G44*$L44/$B$3,""))</f>
        <v/>
      </c>
      <c r="Q44" s="38">
        <f>IF($B44="","",IFERROR($O44+$P44,""))</f>
        <v/>
      </c>
      <c r="R44" s="54">
        <f>IF($B44="","",IFERROR($O44+$B44*$G44*$M44/$B$3,""))</f>
        <v/>
      </c>
      <c r="S44" s="54">
        <f>IF($B44="","",IFERROR($O44+$B44*$G44*$N44/$B$3,""))</f>
        <v/>
      </c>
      <c r="T44" s="63">
        <f>IF($B44="","",IFERROR($Q44/$Q$5,""))</f>
        <v/>
      </c>
      <c r="U44" s="2">
        <f>IF($B44="","",IF(COUNTIFS('Dvd Calendar'!$E$2076:$AR$2076,"&gt;0",'Dvd Calendar'!$E$2077:$AR$2077,"&gt;"&amp;MAX(Summary!$C$11,DATE(Summary!$C$12,1,1)-1),'Dvd Calendar'!$E$2077:$AR$2077,"&lt;="&amp;DATE(Summary!$C$12,12,31))-COUNTIFS('Dvd Calendar'!$E$2076:$AR$2076,"&gt;0",'Dvd Calendar'!$E$2077:$AR$2077,"&gt;"&amp;MAX(Summary!$C$11,DATE(Summary!$C$12,1,1)-1),'Dvd Calendar'!$E$2077:$AR$2077,"&lt;="&amp;DATE(Summary!$C$12,12,31),'Dvd Calendar'!$E$2078:$AR$2078,"&gt;=0")&gt;0,"TBA amount - override me",IF((Override!$C$4="ON")*ISNUMBER(Override!$G$150)&gt;0,"overridden",IF($J44+$K44=0,"no dividend in year Y",""))))</f>
        <v/>
      </c>
      <c r="V44" s="54">
        <f>IF($B44="","",IFERROR(IF(ISNUMBER($H44),$B44*$G44*$H44/$B$3,0),""))</f>
        <v/>
      </c>
      <c r="W44" s="54">
        <f>IF($B44="","",IFERROR($B44*$G44*$K44/$B$3,""))</f>
        <v/>
      </c>
    </row>
    <row r="45">
      <c r="B45" s="73" t="n"/>
      <c r="C45" s="6">
        <f>IF($A45="","",$A45&amp;" Equity")</f>
        <v/>
      </c>
      <c r="D45" s="6">
        <f>IF($C45="","",BDP($C45,"NAME"))</f>
        <v/>
      </c>
      <c r="E45" s="6">
        <f>IF($C45="","",BDP($C45,"GICS_SECTOR_NAME"))</f>
        <v/>
      </c>
      <c r="F45" s="31">
        <f>IF($C45="","",BDP($C45,'Field Check'!$C$8))</f>
        <v/>
      </c>
      <c r="G45" s="74">
        <f>IFERROR(IF(LEN($F45)&lt;&gt;3,1,IF($F45="HKD",1,BDP(IF($F45="CNY",Summary!$C$14,$F45)&amp;"HKD Curncy","PX_LAST"))),1)</f>
        <v/>
      </c>
      <c r="H45" s="54">
        <f>IF($C45="","",BDP($C45,'Field Check'!$C$9))</f>
        <v/>
      </c>
      <c r="I45" s="45">
        <f>IF($C45="","",BDP($C45,'Field Check'!$C$10))</f>
        <v/>
      </c>
      <c r="J45" s="47">
        <f>IF($B45="",0,IF(Summary!$C$13="Y",SUMIFS('Dvd Calendar'!$E$2086:$AR$2086,'Dvd Calendar'!$E$2085:$AR$2085,"&gt;="&amp;DATE(Summary!$C$12,1,1),'Dvd Calendar'!$E$2085:$AR$2085,"&lt;="&amp;MIN(Summary!$C$11,DATE(Summary!$C$12,12,31))),SUMIFS('Dvd Calendar'!$E$2086:$AR$2086,'Dvd Calendar'!$E$2085:$AR$2085,"&gt;="&amp;DATE(Summary!$C$12,1,1),'Dvd Calendar'!$E$2085:$AR$2085,"&lt;="&amp;MIN(Summary!$C$11,DATE(Summary!$C$12,12,31)),'Dvd Calendar'!$E$2090:$AR$2090,"&lt;&gt;"&amp;'Field Check'!$C$25)))</f>
        <v/>
      </c>
      <c r="K45" s="47">
        <f>IF($B45="",0,IF(Summary!$C$13="Y",SUMIFS('Dvd Calendar'!$E$2093:$AR$2093,'Dvd Calendar'!$E$2092:$AR$2092,"&gt;"&amp;MAX(Summary!$C$11,DATE(Summary!$C$12,1,1)-1),'Dvd Calendar'!$E$2092:$AR$2092,"&lt;="&amp;DATE(Summary!$C$12,12,31)),SUMIFS('Dvd Calendar'!$E$2093:$AR$2093,'Dvd Calendar'!$E$2092:$AR$2092,"&gt;"&amp;MAX(Summary!$C$11,DATE(Summary!$C$12,1,1)-1),'Dvd Calendar'!$E$2092:$AR$2092,"&lt;="&amp;DATE(Summary!$C$12,12,31),'Dvd Calendar'!$E$2097:$AR$2097,"&lt;&gt;"&amp;'Field Check'!$C$25)))</f>
        <v/>
      </c>
      <c r="L45" s="47">
        <f>IF($B45="",0,IF((Override!$C$4="ON")*ISNUMBER(Override!$G$151)&gt;0,Override!$G$151,$K45))</f>
        <v/>
      </c>
      <c r="M45" s="47">
        <f>IF($B45="",0,IF((Override!$C$4="ON")*ISNUMBER(Override!$H$151)&gt;0,Override!$H$151,$L45))</f>
        <v/>
      </c>
      <c r="N45" s="47">
        <f>IF($B45="",0,IF((Override!$C$4="ON")*ISNUMBER(Override!$I$151)&gt;0,Override!$I$151,$L45))</f>
        <v/>
      </c>
      <c r="O45" s="54">
        <f>IF($B45="","",IFERROR($B45*$G45*$J45/$B$3,""))</f>
        <v/>
      </c>
      <c r="P45" s="54">
        <f>IF($B45="","",IFERROR($B45*$G45*$L45/$B$3,""))</f>
        <v/>
      </c>
      <c r="Q45" s="38">
        <f>IF($B45="","",IFERROR($O45+$P45,""))</f>
        <v/>
      </c>
      <c r="R45" s="54">
        <f>IF($B45="","",IFERROR($O45+$B45*$G45*$M45/$B$3,""))</f>
        <v/>
      </c>
      <c r="S45" s="54">
        <f>IF($B45="","",IFERROR($O45+$B45*$G45*$N45/$B$3,""))</f>
        <v/>
      </c>
      <c r="T45" s="63">
        <f>IF($B45="","",IFERROR($Q45/$Q$5,""))</f>
        <v/>
      </c>
      <c r="U45" s="2">
        <f>IF($B45="","",IF(COUNTIFS('Dvd Calendar'!$E$2091:$AR$2091,"&gt;0",'Dvd Calendar'!$E$2092:$AR$2092,"&gt;"&amp;MAX(Summary!$C$11,DATE(Summary!$C$12,1,1)-1),'Dvd Calendar'!$E$2092:$AR$2092,"&lt;="&amp;DATE(Summary!$C$12,12,31))-COUNTIFS('Dvd Calendar'!$E$2091:$AR$2091,"&gt;0",'Dvd Calendar'!$E$2092:$AR$2092,"&gt;"&amp;MAX(Summary!$C$11,DATE(Summary!$C$12,1,1)-1),'Dvd Calendar'!$E$2092:$AR$2092,"&lt;="&amp;DATE(Summary!$C$12,12,31),'Dvd Calendar'!$E$2093:$AR$2093,"&gt;=0")&gt;0,"TBA amount - override me",IF((Override!$C$4="ON")*ISNUMBER(Override!$G$151)&gt;0,"overridden",IF($J45+$K45=0,"no dividend in year Y",""))))</f>
        <v/>
      </c>
      <c r="V45" s="54">
        <f>IF($B45="","",IFERROR(IF(ISNUMBER($H45),$B45*$G45*$H45/$B$3,0),""))</f>
        <v/>
      </c>
      <c r="W45" s="54">
        <f>IF($B45="","",IFERROR($B45*$G45*$K45/$B$3,""))</f>
        <v/>
      </c>
    </row>
    <row r="46">
      <c r="B46" s="73" t="n"/>
      <c r="C46" s="6">
        <f>IF($A46="","",$A46&amp;" Equity")</f>
        <v/>
      </c>
      <c r="D46" s="6">
        <f>IF($C46="","",BDP($C46,"NAME"))</f>
        <v/>
      </c>
      <c r="E46" s="6">
        <f>IF($C46="","",BDP($C46,"GICS_SECTOR_NAME"))</f>
        <v/>
      </c>
      <c r="F46" s="31">
        <f>IF($C46="","",BDP($C46,'Field Check'!$C$8))</f>
        <v/>
      </c>
      <c r="G46" s="74">
        <f>IFERROR(IF(LEN($F46)&lt;&gt;3,1,IF($F46="HKD",1,BDP(IF($F46="CNY",Summary!$C$14,$F46)&amp;"HKD Curncy","PX_LAST"))),1)</f>
        <v/>
      </c>
      <c r="H46" s="54">
        <f>IF($C46="","",BDP($C46,'Field Check'!$C$9))</f>
        <v/>
      </c>
      <c r="I46" s="45">
        <f>IF($C46="","",BDP($C46,'Field Check'!$C$10))</f>
        <v/>
      </c>
      <c r="J46" s="47">
        <f>IF($B46="",0,IF(Summary!$C$13="Y",SUMIFS('Dvd Calendar'!$E$2101:$AR$2101,'Dvd Calendar'!$E$2100:$AR$2100,"&gt;="&amp;DATE(Summary!$C$12,1,1),'Dvd Calendar'!$E$2100:$AR$2100,"&lt;="&amp;MIN(Summary!$C$11,DATE(Summary!$C$12,12,31))),SUMIFS('Dvd Calendar'!$E$2101:$AR$2101,'Dvd Calendar'!$E$2100:$AR$2100,"&gt;="&amp;DATE(Summary!$C$12,1,1),'Dvd Calendar'!$E$2100:$AR$2100,"&lt;="&amp;MIN(Summary!$C$11,DATE(Summary!$C$12,12,31)),'Dvd Calendar'!$E$2105:$AR$2105,"&lt;&gt;"&amp;'Field Check'!$C$25)))</f>
        <v/>
      </c>
      <c r="K46" s="47">
        <f>IF($B46="",0,IF(Summary!$C$13="Y",SUMIFS('Dvd Calendar'!$E$2108:$AR$2108,'Dvd Calendar'!$E$2107:$AR$2107,"&gt;"&amp;MAX(Summary!$C$11,DATE(Summary!$C$12,1,1)-1),'Dvd Calendar'!$E$2107:$AR$2107,"&lt;="&amp;DATE(Summary!$C$12,12,31)),SUMIFS('Dvd Calendar'!$E$2108:$AR$2108,'Dvd Calendar'!$E$2107:$AR$2107,"&gt;"&amp;MAX(Summary!$C$11,DATE(Summary!$C$12,1,1)-1),'Dvd Calendar'!$E$2107:$AR$2107,"&lt;="&amp;DATE(Summary!$C$12,12,31),'Dvd Calendar'!$E$2112:$AR$2112,"&lt;&gt;"&amp;'Field Check'!$C$25)))</f>
        <v/>
      </c>
      <c r="L46" s="47">
        <f>IF($B46="",0,IF((Override!$C$4="ON")*ISNUMBER(Override!$G$152)&gt;0,Override!$G$152,$K46))</f>
        <v/>
      </c>
      <c r="M46" s="47">
        <f>IF($B46="",0,IF((Override!$C$4="ON")*ISNUMBER(Override!$H$152)&gt;0,Override!$H$152,$L46))</f>
        <v/>
      </c>
      <c r="N46" s="47">
        <f>IF($B46="",0,IF((Override!$C$4="ON")*ISNUMBER(Override!$I$152)&gt;0,Override!$I$152,$L46))</f>
        <v/>
      </c>
      <c r="O46" s="54">
        <f>IF($B46="","",IFERROR($B46*$G46*$J46/$B$3,""))</f>
        <v/>
      </c>
      <c r="P46" s="54">
        <f>IF($B46="","",IFERROR($B46*$G46*$L46/$B$3,""))</f>
        <v/>
      </c>
      <c r="Q46" s="38">
        <f>IF($B46="","",IFERROR($O46+$P46,""))</f>
        <v/>
      </c>
      <c r="R46" s="54">
        <f>IF($B46="","",IFERROR($O46+$B46*$G46*$M46/$B$3,""))</f>
        <v/>
      </c>
      <c r="S46" s="54">
        <f>IF($B46="","",IFERROR($O46+$B46*$G46*$N46/$B$3,""))</f>
        <v/>
      </c>
      <c r="T46" s="63">
        <f>IF($B46="","",IFERROR($Q46/$Q$5,""))</f>
        <v/>
      </c>
      <c r="U46" s="2">
        <f>IF($B46="","",IF(COUNTIFS('Dvd Calendar'!$E$2106:$AR$2106,"&gt;0",'Dvd Calendar'!$E$2107:$AR$2107,"&gt;"&amp;MAX(Summary!$C$11,DATE(Summary!$C$12,1,1)-1),'Dvd Calendar'!$E$2107:$AR$2107,"&lt;="&amp;DATE(Summary!$C$12,12,31))-COUNTIFS('Dvd Calendar'!$E$2106:$AR$2106,"&gt;0",'Dvd Calendar'!$E$2107:$AR$2107,"&gt;"&amp;MAX(Summary!$C$11,DATE(Summary!$C$12,1,1)-1),'Dvd Calendar'!$E$2107:$AR$2107,"&lt;="&amp;DATE(Summary!$C$12,12,31),'Dvd Calendar'!$E$2108:$AR$2108,"&gt;=0")&gt;0,"TBA amount - override me",IF((Override!$C$4="ON")*ISNUMBER(Override!$G$152)&gt;0,"overridden",IF($J46+$K46=0,"no dividend in year Y",""))))</f>
        <v/>
      </c>
      <c r="V46" s="54">
        <f>IF($B46="","",IFERROR(IF(ISNUMBER($H46),$B46*$G46*$H46/$B$3,0),""))</f>
        <v/>
      </c>
      <c r="W46" s="54">
        <f>IF($B46="","",IFERROR($B46*$G46*$K46/$B$3,""))</f>
        <v/>
      </c>
    </row>
  </sheetData>
  <autoFilter ref="A6:W46"/>
  <conditionalFormatting sqref="U7:U46">
    <cfRule type="expression" priority="1" dxfId="0">
      <formula>ISNUMBER(SEARCH("TBA",$U7))</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66"/>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6" customWidth="1" min="3" max="3"/>
    <col width="26" customWidth="1" min="4" max="4"/>
    <col width="21" customWidth="1" min="5" max="5"/>
    <col width="6" customWidth="1" min="6" max="6"/>
    <col width="8" customWidth="1" min="7" max="7"/>
    <col width="9" customWidth="1" min="8" max="8"/>
    <col width="8" customWidth="1" min="9" max="9"/>
    <col width="9" customWidth="1" min="10" max="10"/>
    <col width="9" customWidth="1" min="11" max="11"/>
    <col width="9" customWidth="1" min="12" max="12"/>
    <col width="8" customWidth="1" min="13" max="13"/>
    <col width="8" customWidth="1" min="14" max="14"/>
    <col width="9" customWidth="1" min="15" max="15"/>
    <col width="9" customWidth="1" min="16" max="16"/>
    <col width="10" customWidth="1" min="17" max="17"/>
    <col width="9" customWidth="1" min="18" max="18"/>
    <col width="9" customWidth="1" min="19" max="19"/>
    <col width="8" customWidth="1" min="20" max="20"/>
    <col width="21" customWidth="1" min="21" max="21"/>
    <col width="9" customWidth="1" min="22" max="22"/>
    <col width="9" customWidth="1" min="23" max="23"/>
  </cols>
  <sheetData>
    <row r="1">
      <c r="A1" s="1" t="inlineStr">
        <is>
          <t>Hang Seng China Enterprises (HSCEI)  -  MEMBERS, YOUR BASKET, AND THE YEAR MODEL</t>
        </is>
      </c>
    </row>
    <row r="2">
      <c r="A2" s="10" t="inlineStr">
        <is>
          <t>Index ticker</t>
        </is>
      </c>
      <c r="B2" s="12" t="inlineStr">
        <is>
          <t>HSCEI Index</t>
        </is>
      </c>
      <c r="G2" s="2" t="inlineStr">
        <is>
          <t>Members</t>
        </is>
      </c>
      <c r="H2" s="33">
        <f>SUMPRODUCT(($A$7:$A$66&lt;&gt;"")*1)</f>
        <v/>
      </c>
      <c r="K2" s="2" t="inlineStr">
        <is>
          <t>Qty pasted</t>
        </is>
      </c>
      <c r="L2" s="33">
        <f>COUNT($B$7:$B$66)</f>
        <v/>
      </c>
      <c r="O2" s="2" t="inlineStr">
        <is>
          <t>No qty</t>
        </is>
      </c>
      <c r="P2" s="33">
        <f>SUMPRODUCT(($A$7:$A$66&lt;&gt;"")*($B$7:$B$66=""))</f>
        <v/>
      </c>
      <c r="S2" s="2" t="inlineStr">
        <is>
          <t>Amount TBA</t>
        </is>
      </c>
      <c r="T2" s="33">
        <f>COUNTIF($U$7:$U$66,"TBA amount - override me")</f>
        <v/>
      </c>
    </row>
    <row r="3">
      <c r="A3" s="10" t="inlineStr">
        <is>
          <t>Index divisor</t>
        </is>
      </c>
      <c r="B3" s="23" t="n"/>
      <c r="C3" s="2" t="inlineStr">
        <is>
          <t>Paste the official divisor here and the basket quantities in column B. Points = qty x FX-to-HKD x DPS / divisor. A refresh can reshuffle members; pasted quantities do NOT follow them, so re-check alignment after an index review.</t>
        </is>
      </c>
    </row>
    <row r="4">
      <c r="A4" s="3" t="inlineStr">
        <is>
          <t>MEMBER &amp; REFERENCE DATA (Bloomberg)</t>
        </is>
      </c>
      <c r="B4" s="4" t="n"/>
      <c r="C4" s="4" t="n"/>
      <c r="D4" s="4" t="n"/>
      <c r="E4" s="4" t="n"/>
      <c r="F4" s="4" t="n"/>
      <c r="G4" s="4" t="n"/>
      <c r="H4" s="4" t="n"/>
      <c r="I4" s="4" t="n"/>
      <c r="J4" s="3" t="inlineStr">
        <is>
          <t>DIVIDEND PER SHARE - declared currency</t>
        </is>
      </c>
      <c r="K4" s="4" t="n"/>
      <c r="L4" s="4" t="n"/>
      <c r="M4" s="4" t="n"/>
      <c r="N4" s="4" t="n"/>
      <c r="O4" s="3" t="inlineStr">
        <is>
          <t>INDEX POINTS</t>
        </is>
      </c>
      <c r="P4" s="4" t="n"/>
      <c r="Q4" s="4" t="n"/>
      <c r="R4" s="4" t="n"/>
      <c r="S4" s="4" t="n"/>
      <c r="T4" s="4" t="n"/>
      <c r="U4" s="3" t="inlineStr">
        <is>
          <t>FLAG / REFERENCE</t>
        </is>
      </c>
      <c r="V4" s="4" t="n"/>
      <c r="W4" s="4" t="n"/>
    </row>
    <row r="5">
      <c r="N5" s="10" t="inlineStr">
        <is>
          <t>TOTAL -&gt;</t>
        </is>
      </c>
      <c r="O5" s="24">
        <f>IFERROR(SUM(O7:O66),"")</f>
        <v/>
      </c>
      <c r="P5" s="24">
        <f>IFERROR(SUM(P7:P66),"")</f>
        <v/>
      </c>
      <c r="Q5" s="44">
        <f>IFERROR(SUM(Q7:Q66),"")</f>
        <v/>
      </c>
      <c r="R5" s="24">
        <f>IFERROR(SUM(R7:R66),"")</f>
        <v/>
      </c>
      <c r="S5" s="24">
        <f>IFERROR(SUM(S7:S66),"")</f>
        <v/>
      </c>
      <c r="V5" s="24">
        <f>IFERROR(SUM(V7:V66),"")</f>
        <v/>
      </c>
      <c r="W5" s="24">
        <f>IFERROR(SUM(W7:W66),"")</f>
        <v/>
      </c>
    </row>
    <row r="6">
      <c r="A6" s="17" t="inlineStr">
        <is>
          <t>Member</t>
        </is>
      </c>
      <c r="B6" s="17" t="inlineStr">
        <is>
          <t>Basket
Qty</t>
        </is>
      </c>
      <c r="C6" s="17" t="inlineStr">
        <is>
          <t>Bloomberg Ticker</t>
        </is>
      </c>
      <c r="D6" s="17" t="inlineStr">
        <is>
          <t>Name</t>
        </is>
      </c>
      <c r="E6" s="17" t="inlineStr">
        <is>
          <t>GICS Sector</t>
        </is>
      </c>
      <c r="F6" s="17" t="inlineStr">
        <is>
          <t>Dvd
CCY</t>
        </is>
      </c>
      <c r="G6" s="17" t="inlineStr">
        <is>
          <t>FX -&gt;
HKD</t>
        </is>
      </c>
      <c r="H6" s="17" t="inlineStr">
        <is>
          <t>DPS 12M
(ref)</t>
        </is>
      </c>
      <c r="I6" s="17" t="inlineStr">
        <is>
          <t>Yld 12M
(ref)</t>
        </is>
      </c>
      <c r="J6" s="17" t="inlineStr">
        <is>
          <t>Realized
DPS</t>
        </is>
      </c>
      <c r="K6" s="17" t="inlineStr">
        <is>
          <t>To come
DPS (BBG)</t>
        </is>
      </c>
      <c r="L6" s="17" t="inlineStr">
        <is>
          <t>To come
DPS (eff)</t>
        </is>
      </c>
      <c r="M6" s="17" t="inlineStr">
        <is>
          <t>LOW
DPS</t>
        </is>
      </c>
      <c r="N6" s="17" t="inlineStr">
        <is>
          <t>HIGH
DPS</t>
        </is>
      </c>
      <c r="O6" s="51" t="inlineStr">
        <is>
          <t>Realized
(pts)</t>
        </is>
      </c>
      <c r="P6" s="51" t="inlineStr">
        <is>
          <t>To come
(pts)</t>
        </is>
      </c>
      <c r="Q6" s="51" t="inlineStr">
        <is>
          <t>YEAR
TOTAL (pts)</t>
        </is>
      </c>
      <c r="R6" s="51" t="inlineStr">
        <is>
          <t>LOW
(pts)</t>
        </is>
      </c>
      <c r="S6" s="51" t="inlineStr">
        <is>
          <t>HIGH
(pts)</t>
        </is>
      </c>
      <c r="T6" s="51" t="inlineStr">
        <is>
          <t>% of yr
dvds</t>
        </is>
      </c>
      <c r="U6" s="17" t="inlineStr">
        <is>
          <t>Flag</t>
        </is>
      </c>
      <c r="V6" s="17" t="inlineStr">
        <is>
          <t>12M pts
(ref)</t>
        </is>
      </c>
      <c r="W6" s="17" t="inlineStr">
        <is>
          <t>To come
pts (BBG)</t>
        </is>
      </c>
    </row>
    <row r="7">
      <c r="A7" s="6">
        <f>BDS($B$2,"INDX_MEMBERS")</f>
        <v/>
      </c>
      <c r="B7" s="73" t="n"/>
      <c r="C7" s="6">
        <f>IF($A7="","",$A7&amp;" Equity")</f>
        <v/>
      </c>
      <c r="D7" s="6">
        <f>IF($C7="","",BDP($C7,"NAME"))</f>
        <v/>
      </c>
      <c r="E7" s="6">
        <f>IF($C7="","",BDP($C7,"GICS_SECTOR_NAME"))</f>
        <v/>
      </c>
      <c r="F7" s="31">
        <f>IF($C7="","",BDP($C7,'Field Check'!$C$8))</f>
        <v/>
      </c>
      <c r="G7" s="74">
        <f>IFERROR(IF(LEN($F7)&lt;&gt;3,1,IF($F7="HKD",1,BDP(IF($F7="CNY",Summary!$C$14,$F7)&amp;"HKD Curncy","PX_LAST"))),1)</f>
        <v/>
      </c>
      <c r="H7" s="54">
        <f>IF($C7="","",BDP($C7,'Field Check'!$C$9))</f>
        <v/>
      </c>
      <c r="I7" s="45">
        <f>IF($C7="","",BDP($C7,'Field Check'!$C$10))</f>
        <v/>
      </c>
      <c r="J7" s="47">
        <f>IF($B7="",0,IF(Summary!$C$13="Y",SUMIFS('Dvd Calendar'!$E$2121:$AR$2121,'Dvd Calendar'!$E$2120:$AR$2120,"&gt;="&amp;DATE(Summary!$C$12,1,1),'Dvd Calendar'!$E$2120:$AR$2120,"&lt;="&amp;MIN(Summary!$C$11,DATE(Summary!$C$12,12,31))),SUMIFS('Dvd Calendar'!$E$2121:$AR$2121,'Dvd Calendar'!$E$2120:$AR$2120,"&gt;="&amp;DATE(Summary!$C$12,1,1),'Dvd Calendar'!$E$2120:$AR$2120,"&lt;="&amp;MIN(Summary!$C$11,DATE(Summary!$C$12,12,31)),'Dvd Calendar'!$E$2125:$AR$2125,"&lt;&gt;"&amp;'Field Check'!$C$25)))</f>
        <v/>
      </c>
      <c r="K7" s="47">
        <f>IF($B7="",0,IF(Summary!$C$13="Y",SUMIFS('Dvd Calendar'!$E$2128:$AR$2128,'Dvd Calendar'!$E$2127:$AR$2127,"&gt;"&amp;MAX(Summary!$C$11,DATE(Summary!$C$12,1,1)-1),'Dvd Calendar'!$E$2127:$AR$2127,"&lt;="&amp;DATE(Summary!$C$12,12,31)),SUMIFS('Dvd Calendar'!$E$2128:$AR$2128,'Dvd Calendar'!$E$2127:$AR$2127,"&gt;"&amp;MAX(Summary!$C$11,DATE(Summary!$C$12,1,1)-1),'Dvd Calendar'!$E$2127:$AR$2127,"&lt;="&amp;DATE(Summary!$C$12,12,31),'Dvd Calendar'!$E$2132:$AR$2132,"&lt;&gt;"&amp;'Field Check'!$C$25)))</f>
        <v/>
      </c>
      <c r="L7" s="47">
        <f>IF($B7="",0,IF((Override!$C$4="ON")*ISNUMBER(Override!$G$153)&gt;0,Override!$G$153,$K7))</f>
        <v/>
      </c>
      <c r="M7" s="47">
        <f>IF($B7="",0,IF((Override!$C$4="ON")*ISNUMBER(Override!$H$153)&gt;0,Override!$H$153,$L7))</f>
        <v/>
      </c>
      <c r="N7" s="47">
        <f>IF($B7="",0,IF((Override!$C$4="ON")*ISNUMBER(Override!$I$153)&gt;0,Override!$I$153,$L7))</f>
        <v/>
      </c>
      <c r="O7" s="54">
        <f>IF($B7="","",IFERROR($B7*$G7*$J7/$B$3,""))</f>
        <v/>
      </c>
      <c r="P7" s="54">
        <f>IF($B7="","",IFERROR($B7*$G7*$L7/$B$3,""))</f>
        <v/>
      </c>
      <c r="Q7" s="38">
        <f>IF($B7="","",IFERROR($O7+$P7,""))</f>
        <v/>
      </c>
      <c r="R7" s="54">
        <f>IF($B7="","",IFERROR($O7+$B7*$G7*$M7/$B$3,""))</f>
        <v/>
      </c>
      <c r="S7" s="54">
        <f>IF($B7="","",IFERROR($O7+$B7*$G7*$N7/$B$3,""))</f>
        <v/>
      </c>
      <c r="T7" s="63">
        <f>IF($B7="","",IFERROR($Q7/$Q$5,""))</f>
        <v/>
      </c>
      <c r="U7" s="2">
        <f>IF($B7="","",IF(COUNTIFS('Dvd Calendar'!$E$2126:$AR$2126,"&gt;0",'Dvd Calendar'!$E$2127:$AR$2127,"&gt;"&amp;MAX(Summary!$C$11,DATE(Summary!$C$12,1,1)-1),'Dvd Calendar'!$E$2127:$AR$2127,"&lt;="&amp;DATE(Summary!$C$12,12,31))-COUNTIFS('Dvd Calendar'!$E$2126:$AR$2126,"&gt;0",'Dvd Calendar'!$E$2127:$AR$2127,"&gt;"&amp;MAX(Summary!$C$11,DATE(Summary!$C$12,1,1)-1),'Dvd Calendar'!$E$2127:$AR$2127,"&lt;="&amp;DATE(Summary!$C$12,12,31),'Dvd Calendar'!$E$2128:$AR$2128,"&gt;=0")&gt;0,"TBA amount - override me",IF((Override!$C$4="ON")*ISNUMBER(Override!$G$153)&gt;0,"overridden",IF($J7+$K7=0,"no dividend in year Y",""))))</f>
        <v/>
      </c>
      <c r="V7" s="54">
        <f>IF($B7="","",IFERROR(IF(ISNUMBER($H7),$B7*$G7*$H7/$B$3,0),""))</f>
        <v/>
      </c>
      <c r="W7" s="54">
        <f>IF($B7="","",IFERROR($B7*$G7*$K7/$B$3,""))</f>
        <v/>
      </c>
    </row>
    <row r="8">
      <c r="B8" s="73" t="n"/>
      <c r="C8" s="6">
        <f>IF($A8="","",$A8&amp;" Equity")</f>
        <v/>
      </c>
      <c r="D8" s="6">
        <f>IF($C8="","",BDP($C8,"NAME"))</f>
        <v/>
      </c>
      <c r="E8" s="6">
        <f>IF($C8="","",BDP($C8,"GICS_SECTOR_NAME"))</f>
        <v/>
      </c>
      <c r="F8" s="31">
        <f>IF($C8="","",BDP($C8,'Field Check'!$C$8))</f>
        <v/>
      </c>
      <c r="G8" s="74">
        <f>IFERROR(IF(LEN($F8)&lt;&gt;3,1,IF($F8="HKD",1,BDP(IF($F8="CNY",Summary!$C$14,$F8)&amp;"HKD Curncy","PX_LAST"))),1)</f>
        <v/>
      </c>
      <c r="H8" s="54">
        <f>IF($C8="","",BDP($C8,'Field Check'!$C$9))</f>
        <v/>
      </c>
      <c r="I8" s="45">
        <f>IF($C8="","",BDP($C8,'Field Check'!$C$10))</f>
        <v/>
      </c>
      <c r="J8" s="47">
        <f>IF($B8="",0,IF(Summary!$C$13="Y",SUMIFS('Dvd Calendar'!$E$2136:$AR$2136,'Dvd Calendar'!$E$2135:$AR$2135,"&gt;="&amp;DATE(Summary!$C$12,1,1),'Dvd Calendar'!$E$2135:$AR$2135,"&lt;="&amp;MIN(Summary!$C$11,DATE(Summary!$C$12,12,31))),SUMIFS('Dvd Calendar'!$E$2136:$AR$2136,'Dvd Calendar'!$E$2135:$AR$2135,"&gt;="&amp;DATE(Summary!$C$12,1,1),'Dvd Calendar'!$E$2135:$AR$2135,"&lt;="&amp;MIN(Summary!$C$11,DATE(Summary!$C$12,12,31)),'Dvd Calendar'!$E$2140:$AR$2140,"&lt;&gt;"&amp;'Field Check'!$C$25)))</f>
        <v/>
      </c>
      <c r="K8" s="47">
        <f>IF($B8="",0,IF(Summary!$C$13="Y",SUMIFS('Dvd Calendar'!$E$2143:$AR$2143,'Dvd Calendar'!$E$2142:$AR$2142,"&gt;"&amp;MAX(Summary!$C$11,DATE(Summary!$C$12,1,1)-1),'Dvd Calendar'!$E$2142:$AR$2142,"&lt;="&amp;DATE(Summary!$C$12,12,31)),SUMIFS('Dvd Calendar'!$E$2143:$AR$2143,'Dvd Calendar'!$E$2142:$AR$2142,"&gt;"&amp;MAX(Summary!$C$11,DATE(Summary!$C$12,1,1)-1),'Dvd Calendar'!$E$2142:$AR$2142,"&lt;="&amp;DATE(Summary!$C$12,12,31),'Dvd Calendar'!$E$2147:$AR$2147,"&lt;&gt;"&amp;'Field Check'!$C$25)))</f>
        <v/>
      </c>
      <c r="L8" s="47">
        <f>IF($B8="",0,IF((Override!$C$4="ON")*ISNUMBER(Override!$G$154)&gt;0,Override!$G$154,$K8))</f>
        <v/>
      </c>
      <c r="M8" s="47">
        <f>IF($B8="",0,IF((Override!$C$4="ON")*ISNUMBER(Override!$H$154)&gt;0,Override!$H$154,$L8))</f>
        <v/>
      </c>
      <c r="N8" s="47">
        <f>IF($B8="",0,IF((Override!$C$4="ON")*ISNUMBER(Override!$I$154)&gt;0,Override!$I$154,$L8))</f>
        <v/>
      </c>
      <c r="O8" s="54">
        <f>IF($B8="","",IFERROR($B8*$G8*$J8/$B$3,""))</f>
        <v/>
      </c>
      <c r="P8" s="54">
        <f>IF($B8="","",IFERROR($B8*$G8*$L8/$B$3,""))</f>
        <v/>
      </c>
      <c r="Q8" s="38">
        <f>IF($B8="","",IFERROR($O8+$P8,""))</f>
        <v/>
      </c>
      <c r="R8" s="54">
        <f>IF($B8="","",IFERROR($O8+$B8*$G8*$M8/$B$3,""))</f>
        <v/>
      </c>
      <c r="S8" s="54">
        <f>IF($B8="","",IFERROR($O8+$B8*$G8*$N8/$B$3,""))</f>
        <v/>
      </c>
      <c r="T8" s="63">
        <f>IF($B8="","",IFERROR($Q8/$Q$5,""))</f>
        <v/>
      </c>
      <c r="U8" s="2">
        <f>IF($B8="","",IF(COUNTIFS('Dvd Calendar'!$E$2141:$AR$2141,"&gt;0",'Dvd Calendar'!$E$2142:$AR$2142,"&gt;"&amp;MAX(Summary!$C$11,DATE(Summary!$C$12,1,1)-1),'Dvd Calendar'!$E$2142:$AR$2142,"&lt;="&amp;DATE(Summary!$C$12,12,31))-COUNTIFS('Dvd Calendar'!$E$2141:$AR$2141,"&gt;0",'Dvd Calendar'!$E$2142:$AR$2142,"&gt;"&amp;MAX(Summary!$C$11,DATE(Summary!$C$12,1,1)-1),'Dvd Calendar'!$E$2142:$AR$2142,"&lt;="&amp;DATE(Summary!$C$12,12,31),'Dvd Calendar'!$E$2143:$AR$2143,"&gt;=0")&gt;0,"TBA amount - override me",IF((Override!$C$4="ON")*ISNUMBER(Override!$G$154)&gt;0,"overridden",IF($J8+$K8=0,"no dividend in year Y",""))))</f>
        <v/>
      </c>
      <c r="V8" s="54">
        <f>IF($B8="","",IFERROR(IF(ISNUMBER($H8),$B8*$G8*$H8/$B$3,0),""))</f>
        <v/>
      </c>
      <c r="W8" s="54">
        <f>IF($B8="","",IFERROR($B8*$G8*$K8/$B$3,""))</f>
        <v/>
      </c>
    </row>
    <row r="9">
      <c r="B9" s="73" t="n"/>
      <c r="C9" s="6">
        <f>IF($A9="","",$A9&amp;" Equity")</f>
        <v/>
      </c>
      <c r="D9" s="6">
        <f>IF($C9="","",BDP($C9,"NAME"))</f>
        <v/>
      </c>
      <c r="E9" s="6">
        <f>IF($C9="","",BDP($C9,"GICS_SECTOR_NAME"))</f>
        <v/>
      </c>
      <c r="F9" s="31">
        <f>IF($C9="","",BDP($C9,'Field Check'!$C$8))</f>
        <v/>
      </c>
      <c r="G9" s="74">
        <f>IFERROR(IF(LEN($F9)&lt;&gt;3,1,IF($F9="HKD",1,BDP(IF($F9="CNY",Summary!$C$14,$F9)&amp;"HKD Curncy","PX_LAST"))),1)</f>
        <v/>
      </c>
      <c r="H9" s="54">
        <f>IF($C9="","",BDP($C9,'Field Check'!$C$9))</f>
        <v/>
      </c>
      <c r="I9" s="45">
        <f>IF($C9="","",BDP($C9,'Field Check'!$C$10))</f>
        <v/>
      </c>
      <c r="J9" s="47">
        <f>IF($B9="",0,IF(Summary!$C$13="Y",SUMIFS('Dvd Calendar'!$E$2151:$AR$2151,'Dvd Calendar'!$E$2150:$AR$2150,"&gt;="&amp;DATE(Summary!$C$12,1,1),'Dvd Calendar'!$E$2150:$AR$2150,"&lt;="&amp;MIN(Summary!$C$11,DATE(Summary!$C$12,12,31))),SUMIFS('Dvd Calendar'!$E$2151:$AR$2151,'Dvd Calendar'!$E$2150:$AR$2150,"&gt;="&amp;DATE(Summary!$C$12,1,1),'Dvd Calendar'!$E$2150:$AR$2150,"&lt;="&amp;MIN(Summary!$C$11,DATE(Summary!$C$12,12,31)),'Dvd Calendar'!$E$2155:$AR$2155,"&lt;&gt;"&amp;'Field Check'!$C$25)))</f>
        <v/>
      </c>
      <c r="K9" s="47">
        <f>IF($B9="",0,IF(Summary!$C$13="Y",SUMIFS('Dvd Calendar'!$E$2158:$AR$2158,'Dvd Calendar'!$E$2157:$AR$2157,"&gt;"&amp;MAX(Summary!$C$11,DATE(Summary!$C$12,1,1)-1),'Dvd Calendar'!$E$2157:$AR$2157,"&lt;="&amp;DATE(Summary!$C$12,12,31)),SUMIFS('Dvd Calendar'!$E$2158:$AR$2158,'Dvd Calendar'!$E$2157:$AR$2157,"&gt;"&amp;MAX(Summary!$C$11,DATE(Summary!$C$12,1,1)-1),'Dvd Calendar'!$E$2157:$AR$2157,"&lt;="&amp;DATE(Summary!$C$12,12,31),'Dvd Calendar'!$E$2162:$AR$2162,"&lt;&gt;"&amp;'Field Check'!$C$25)))</f>
        <v/>
      </c>
      <c r="L9" s="47">
        <f>IF($B9="",0,IF((Override!$C$4="ON")*ISNUMBER(Override!$G$155)&gt;0,Override!$G$155,$K9))</f>
        <v/>
      </c>
      <c r="M9" s="47">
        <f>IF($B9="",0,IF((Override!$C$4="ON")*ISNUMBER(Override!$H$155)&gt;0,Override!$H$155,$L9))</f>
        <v/>
      </c>
      <c r="N9" s="47">
        <f>IF($B9="",0,IF((Override!$C$4="ON")*ISNUMBER(Override!$I$155)&gt;0,Override!$I$155,$L9))</f>
        <v/>
      </c>
      <c r="O9" s="54">
        <f>IF($B9="","",IFERROR($B9*$G9*$J9/$B$3,""))</f>
        <v/>
      </c>
      <c r="P9" s="54">
        <f>IF($B9="","",IFERROR($B9*$G9*$L9/$B$3,""))</f>
        <v/>
      </c>
      <c r="Q9" s="38">
        <f>IF($B9="","",IFERROR($O9+$P9,""))</f>
        <v/>
      </c>
      <c r="R9" s="54">
        <f>IF($B9="","",IFERROR($O9+$B9*$G9*$M9/$B$3,""))</f>
        <v/>
      </c>
      <c r="S9" s="54">
        <f>IF($B9="","",IFERROR($O9+$B9*$G9*$N9/$B$3,""))</f>
        <v/>
      </c>
      <c r="T9" s="63">
        <f>IF($B9="","",IFERROR($Q9/$Q$5,""))</f>
        <v/>
      </c>
      <c r="U9" s="2">
        <f>IF($B9="","",IF(COUNTIFS('Dvd Calendar'!$E$2156:$AR$2156,"&gt;0",'Dvd Calendar'!$E$2157:$AR$2157,"&gt;"&amp;MAX(Summary!$C$11,DATE(Summary!$C$12,1,1)-1),'Dvd Calendar'!$E$2157:$AR$2157,"&lt;="&amp;DATE(Summary!$C$12,12,31))-COUNTIFS('Dvd Calendar'!$E$2156:$AR$2156,"&gt;0",'Dvd Calendar'!$E$2157:$AR$2157,"&gt;"&amp;MAX(Summary!$C$11,DATE(Summary!$C$12,1,1)-1),'Dvd Calendar'!$E$2157:$AR$2157,"&lt;="&amp;DATE(Summary!$C$12,12,31),'Dvd Calendar'!$E$2158:$AR$2158,"&gt;=0")&gt;0,"TBA amount - override me",IF((Override!$C$4="ON")*ISNUMBER(Override!$G$155)&gt;0,"overridden",IF($J9+$K9=0,"no dividend in year Y",""))))</f>
        <v/>
      </c>
      <c r="V9" s="54">
        <f>IF($B9="","",IFERROR(IF(ISNUMBER($H9),$B9*$G9*$H9/$B$3,0),""))</f>
        <v/>
      </c>
      <c r="W9" s="54">
        <f>IF($B9="","",IFERROR($B9*$G9*$K9/$B$3,""))</f>
        <v/>
      </c>
    </row>
    <row r="10">
      <c r="B10" s="73" t="n"/>
      <c r="C10" s="6">
        <f>IF($A10="","",$A10&amp;" Equity")</f>
        <v/>
      </c>
      <c r="D10" s="6">
        <f>IF($C10="","",BDP($C10,"NAME"))</f>
        <v/>
      </c>
      <c r="E10" s="6">
        <f>IF($C10="","",BDP($C10,"GICS_SECTOR_NAME"))</f>
        <v/>
      </c>
      <c r="F10" s="31">
        <f>IF($C10="","",BDP($C10,'Field Check'!$C$8))</f>
        <v/>
      </c>
      <c r="G10" s="74">
        <f>IFERROR(IF(LEN($F10)&lt;&gt;3,1,IF($F10="HKD",1,BDP(IF($F10="CNY",Summary!$C$14,$F10)&amp;"HKD Curncy","PX_LAST"))),1)</f>
        <v/>
      </c>
      <c r="H10" s="54">
        <f>IF($C10="","",BDP($C10,'Field Check'!$C$9))</f>
        <v/>
      </c>
      <c r="I10" s="45">
        <f>IF($C10="","",BDP($C10,'Field Check'!$C$10))</f>
        <v/>
      </c>
      <c r="J10" s="47">
        <f>IF($B10="",0,IF(Summary!$C$13="Y",SUMIFS('Dvd Calendar'!$E$2166:$AR$2166,'Dvd Calendar'!$E$2165:$AR$2165,"&gt;="&amp;DATE(Summary!$C$12,1,1),'Dvd Calendar'!$E$2165:$AR$2165,"&lt;="&amp;MIN(Summary!$C$11,DATE(Summary!$C$12,12,31))),SUMIFS('Dvd Calendar'!$E$2166:$AR$2166,'Dvd Calendar'!$E$2165:$AR$2165,"&gt;="&amp;DATE(Summary!$C$12,1,1),'Dvd Calendar'!$E$2165:$AR$2165,"&lt;="&amp;MIN(Summary!$C$11,DATE(Summary!$C$12,12,31)),'Dvd Calendar'!$E$2170:$AR$2170,"&lt;&gt;"&amp;'Field Check'!$C$25)))</f>
        <v/>
      </c>
      <c r="K10" s="47">
        <f>IF($B10="",0,IF(Summary!$C$13="Y",SUMIFS('Dvd Calendar'!$E$2173:$AR$2173,'Dvd Calendar'!$E$2172:$AR$2172,"&gt;"&amp;MAX(Summary!$C$11,DATE(Summary!$C$12,1,1)-1),'Dvd Calendar'!$E$2172:$AR$2172,"&lt;="&amp;DATE(Summary!$C$12,12,31)),SUMIFS('Dvd Calendar'!$E$2173:$AR$2173,'Dvd Calendar'!$E$2172:$AR$2172,"&gt;"&amp;MAX(Summary!$C$11,DATE(Summary!$C$12,1,1)-1),'Dvd Calendar'!$E$2172:$AR$2172,"&lt;="&amp;DATE(Summary!$C$12,12,31),'Dvd Calendar'!$E$2177:$AR$2177,"&lt;&gt;"&amp;'Field Check'!$C$25)))</f>
        <v/>
      </c>
      <c r="L10" s="47">
        <f>IF($B10="",0,IF((Override!$C$4="ON")*ISNUMBER(Override!$G$156)&gt;0,Override!$G$156,$K10))</f>
        <v/>
      </c>
      <c r="M10" s="47">
        <f>IF($B10="",0,IF((Override!$C$4="ON")*ISNUMBER(Override!$H$156)&gt;0,Override!$H$156,$L10))</f>
        <v/>
      </c>
      <c r="N10" s="47">
        <f>IF($B10="",0,IF((Override!$C$4="ON")*ISNUMBER(Override!$I$156)&gt;0,Override!$I$156,$L10))</f>
        <v/>
      </c>
      <c r="O10" s="54">
        <f>IF($B10="","",IFERROR($B10*$G10*$J10/$B$3,""))</f>
        <v/>
      </c>
      <c r="P10" s="54">
        <f>IF($B10="","",IFERROR($B10*$G10*$L10/$B$3,""))</f>
        <v/>
      </c>
      <c r="Q10" s="38">
        <f>IF($B10="","",IFERROR($O10+$P10,""))</f>
        <v/>
      </c>
      <c r="R10" s="54">
        <f>IF($B10="","",IFERROR($O10+$B10*$G10*$M10/$B$3,""))</f>
        <v/>
      </c>
      <c r="S10" s="54">
        <f>IF($B10="","",IFERROR($O10+$B10*$G10*$N10/$B$3,""))</f>
        <v/>
      </c>
      <c r="T10" s="63">
        <f>IF($B10="","",IFERROR($Q10/$Q$5,""))</f>
        <v/>
      </c>
      <c r="U10" s="2">
        <f>IF($B10="","",IF(COUNTIFS('Dvd Calendar'!$E$2171:$AR$2171,"&gt;0",'Dvd Calendar'!$E$2172:$AR$2172,"&gt;"&amp;MAX(Summary!$C$11,DATE(Summary!$C$12,1,1)-1),'Dvd Calendar'!$E$2172:$AR$2172,"&lt;="&amp;DATE(Summary!$C$12,12,31))-COUNTIFS('Dvd Calendar'!$E$2171:$AR$2171,"&gt;0",'Dvd Calendar'!$E$2172:$AR$2172,"&gt;"&amp;MAX(Summary!$C$11,DATE(Summary!$C$12,1,1)-1),'Dvd Calendar'!$E$2172:$AR$2172,"&lt;="&amp;DATE(Summary!$C$12,12,31),'Dvd Calendar'!$E$2173:$AR$2173,"&gt;=0")&gt;0,"TBA amount - override me",IF((Override!$C$4="ON")*ISNUMBER(Override!$G$156)&gt;0,"overridden",IF($J10+$K10=0,"no dividend in year Y",""))))</f>
        <v/>
      </c>
      <c r="V10" s="54">
        <f>IF($B10="","",IFERROR(IF(ISNUMBER($H10),$B10*$G10*$H10/$B$3,0),""))</f>
        <v/>
      </c>
      <c r="W10" s="54">
        <f>IF($B10="","",IFERROR($B10*$G10*$K10/$B$3,""))</f>
        <v/>
      </c>
    </row>
    <row r="11">
      <c r="B11" s="73" t="n"/>
      <c r="C11" s="6">
        <f>IF($A11="","",$A11&amp;" Equity")</f>
        <v/>
      </c>
      <c r="D11" s="6">
        <f>IF($C11="","",BDP($C11,"NAME"))</f>
        <v/>
      </c>
      <c r="E11" s="6">
        <f>IF($C11="","",BDP($C11,"GICS_SECTOR_NAME"))</f>
        <v/>
      </c>
      <c r="F11" s="31">
        <f>IF($C11="","",BDP($C11,'Field Check'!$C$8))</f>
        <v/>
      </c>
      <c r="G11" s="74">
        <f>IFERROR(IF(LEN($F11)&lt;&gt;3,1,IF($F11="HKD",1,BDP(IF($F11="CNY",Summary!$C$14,$F11)&amp;"HKD Curncy","PX_LAST"))),1)</f>
        <v/>
      </c>
      <c r="H11" s="54">
        <f>IF($C11="","",BDP($C11,'Field Check'!$C$9))</f>
        <v/>
      </c>
      <c r="I11" s="45">
        <f>IF($C11="","",BDP($C11,'Field Check'!$C$10))</f>
        <v/>
      </c>
      <c r="J11" s="47">
        <f>IF($B11="",0,IF(Summary!$C$13="Y",SUMIFS('Dvd Calendar'!$E$2181:$AR$2181,'Dvd Calendar'!$E$2180:$AR$2180,"&gt;="&amp;DATE(Summary!$C$12,1,1),'Dvd Calendar'!$E$2180:$AR$2180,"&lt;="&amp;MIN(Summary!$C$11,DATE(Summary!$C$12,12,31))),SUMIFS('Dvd Calendar'!$E$2181:$AR$2181,'Dvd Calendar'!$E$2180:$AR$2180,"&gt;="&amp;DATE(Summary!$C$12,1,1),'Dvd Calendar'!$E$2180:$AR$2180,"&lt;="&amp;MIN(Summary!$C$11,DATE(Summary!$C$12,12,31)),'Dvd Calendar'!$E$2185:$AR$2185,"&lt;&gt;"&amp;'Field Check'!$C$25)))</f>
        <v/>
      </c>
      <c r="K11" s="47">
        <f>IF($B11="",0,IF(Summary!$C$13="Y",SUMIFS('Dvd Calendar'!$E$2188:$AR$2188,'Dvd Calendar'!$E$2187:$AR$2187,"&gt;"&amp;MAX(Summary!$C$11,DATE(Summary!$C$12,1,1)-1),'Dvd Calendar'!$E$2187:$AR$2187,"&lt;="&amp;DATE(Summary!$C$12,12,31)),SUMIFS('Dvd Calendar'!$E$2188:$AR$2188,'Dvd Calendar'!$E$2187:$AR$2187,"&gt;"&amp;MAX(Summary!$C$11,DATE(Summary!$C$12,1,1)-1),'Dvd Calendar'!$E$2187:$AR$2187,"&lt;="&amp;DATE(Summary!$C$12,12,31),'Dvd Calendar'!$E$2192:$AR$2192,"&lt;&gt;"&amp;'Field Check'!$C$25)))</f>
        <v/>
      </c>
      <c r="L11" s="47">
        <f>IF($B11="",0,IF((Override!$C$4="ON")*ISNUMBER(Override!$G$157)&gt;0,Override!$G$157,$K11))</f>
        <v/>
      </c>
      <c r="M11" s="47">
        <f>IF($B11="",0,IF((Override!$C$4="ON")*ISNUMBER(Override!$H$157)&gt;0,Override!$H$157,$L11))</f>
        <v/>
      </c>
      <c r="N11" s="47">
        <f>IF($B11="",0,IF((Override!$C$4="ON")*ISNUMBER(Override!$I$157)&gt;0,Override!$I$157,$L11))</f>
        <v/>
      </c>
      <c r="O11" s="54">
        <f>IF($B11="","",IFERROR($B11*$G11*$J11/$B$3,""))</f>
        <v/>
      </c>
      <c r="P11" s="54">
        <f>IF($B11="","",IFERROR($B11*$G11*$L11/$B$3,""))</f>
        <v/>
      </c>
      <c r="Q11" s="38">
        <f>IF($B11="","",IFERROR($O11+$P11,""))</f>
        <v/>
      </c>
      <c r="R11" s="54">
        <f>IF($B11="","",IFERROR($O11+$B11*$G11*$M11/$B$3,""))</f>
        <v/>
      </c>
      <c r="S11" s="54">
        <f>IF($B11="","",IFERROR($O11+$B11*$G11*$N11/$B$3,""))</f>
        <v/>
      </c>
      <c r="T11" s="63">
        <f>IF($B11="","",IFERROR($Q11/$Q$5,""))</f>
        <v/>
      </c>
      <c r="U11" s="2">
        <f>IF($B11="","",IF(COUNTIFS('Dvd Calendar'!$E$2186:$AR$2186,"&gt;0",'Dvd Calendar'!$E$2187:$AR$2187,"&gt;"&amp;MAX(Summary!$C$11,DATE(Summary!$C$12,1,1)-1),'Dvd Calendar'!$E$2187:$AR$2187,"&lt;="&amp;DATE(Summary!$C$12,12,31))-COUNTIFS('Dvd Calendar'!$E$2186:$AR$2186,"&gt;0",'Dvd Calendar'!$E$2187:$AR$2187,"&gt;"&amp;MAX(Summary!$C$11,DATE(Summary!$C$12,1,1)-1),'Dvd Calendar'!$E$2187:$AR$2187,"&lt;="&amp;DATE(Summary!$C$12,12,31),'Dvd Calendar'!$E$2188:$AR$2188,"&gt;=0")&gt;0,"TBA amount - override me",IF((Override!$C$4="ON")*ISNUMBER(Override!$G$157)&gt;0,"overridden",IF($J11+$K11=0,"no dividend in year Y",""))))</f>
        <v/>
      </c>
      <c r="V11" s="54">
        <f>IF($B11="","",IFERROR(IF(ISNUMBER($H11),$B11*$G11*$H11/$B$3,0),""))</f>
        <v/>
      </c>
      <c r="W11" s="54">
        <f>IF($B11="","",IFERROR($B11*$G11*$K11/$B$3,""))</f>
        <v/>
      </c>
    </row>
    <row r="12">
      <c r="B12" s="73" t="n"/>
      <c r="C12" s="6">
        <f>IF($A12="","",$A12&amp;" Equity")</f>
        <v/>
      </c>
      <c r="D12" s="6">
        <f>IF($C12="","",BDP($C12,"NAME"))</f>
        <v/>
      </c>
      <c r="E12" s="6">
        <f>IF($C12="","",BDP($C12,"GICS_SECTOR_NAME"))</f>
        <v/>
      </c>
      <c r="F12" s="31">
        <f>IF($C12="","",BDP($C12,'Field Check'!$C$8))</f>
        <v/>
      </c>
      <c r="G12" s="74">
        <f>IFERROR(IF(LEN($F12)&lt;&gt;3,1,IF($F12="HKD",1,BDP(IF($F12="CNY",Summary!$C$14,$F12)&amp;"HKD Curncy","PX_LAST"))),1)</f>
        <v/>
      </c>
      <c r="H12" s="54">
        <f>IF($C12="","",BDP($C12,'Field Check'!$C$9))</f>
        <v/>
      </c>
      <c r="I12" s="45">
        <f>IF($C12="","",BDP($C12,'Field Check'!$C$10))</f>
        <v/>
      </c>
      <c r="J12" s="47">
        <f>IF($B12="",0,IF(Summary!$C$13="Y",SUMIFS('Dvd Calendar'!$E$2196:$AR$2196,'Dvd Calendar'!$E$2195:$AR$2195,"&gt;="&amp;DATE(Summary!$C$12,1,1),'Dvd Calendar'!$E$2195:$AR$2195,"&lt;="&amp;MIN(Summary!$C$11,DATE(Summary!$C$12,12,31))),SUMIFS('Dvd Calendar'!$E$2196:$AR$2196,'Dvd Calendar'!$E$2195:$AR$2195,"&gt;="&amp;DATE(Summary!$C$12,1,1),'Dvd Calendar'!$E$2195:$AR$2195,"&lt;="&amp;MIN(Summary!$C$11,DATE(Summary!$C$12,12,31)),'Dvd Calendar'!$E$2200:$AR$2200,"&lt;&gt;"&amp;'Field Check'!$C$25)))</f>
        <v/>
      </c>
      <c r="K12" s="47">
        <f>IF($B12="",0,IF(Summary!$C$13="Y",SUMIFS('Dvd Calendar'!$E$2203:$AR$2203,'Dvd Calendar'!$E$2202:$AR$2202,"&gt;"&amp;MAX(Summary!$C$11,DATE(Summary!$C$12,1,1)-1),'Dvd Calendar'!$E$2202:$AR$2202,"&lt;="&amp;DATE(Summary!$C$12,12,31)),SUMIFS('Dvd Calendar'!$E$2203:$AR$2203,'Dvd Calendar'!$E$2202:$AR$2202,"&gt;"&amp;MAX(Summary!$C$11,DATE(Summary!$C$12,1,1)-1),'Dvd Calendar'!$E$2202:$AR$2202,"&lt;="&amp;DATE(Summary!$C$12,12,31),'Dvd Calendar'!$E$2207:$AR$2207,"&lt;&gt;"&amp;'Field Check'!$C$25)))</f>
        <v/>
      </c>
      <c r="L12" s="47">
        <f>IF($B12="",0,IF((Override!$C$4="ON")*ISNUMBER(Override!$G$158)&gt;0,Override!$G$158,$K12))</f>
        <v/>
      </c>
      <c r="M12" s="47">
        <f>IF($B12="",0,IF((Override!$C$4="ON")*ISNUMBER(Override!$H$158)&gt;0,Override!$H$158,$L12))</f>
        <v/>
      </c>
      <c r="N12" s="47">
        <f>IF($B12="",0,IF((Override!$C$4="ON")*ISNUMBER(Override!$I$158)&gt;0,Override!$I$158,$L12))</f>
        <v/>
      </c>
      <c r="O12" s="54">
        <f>IF($B12="","",IFERROR($B12*$G12*$J12/$B$3,""))</f>
        <v/>
      </c>
      <c r="P12" s="54">
        <f>IF($B12="","",IFERROR($B12*$G12*$L12/$B$3,""))</f>
        <v/>
      </c>
      <c r="Q12" s="38">
        <f>IF($B12="","",IFERROR($O12+$P12,""))</f>
        <v/>
      </c>
      <c r="R12" s="54">
        <f>IF($B12="","",IFERROR($O12+$B12*$G12*$M12/$B$3,""))</f>
        <v/>
      </c>
      <c r="S12" s="54">
        <f>IF($B12="","",IFERROR($O12+$B12*$G12*$N12/$B$3,""))</f>
        <v/>
      </c>
      <c r="T12" s="63">
        <f>IF($B12="","",IFERROR($Q12/$Q$5,""))</f>
        <v/>
      </c>
      <c r="U12" s="2">
        <f>IF($B12="","",IF(COUNTIFS('Dvd Calendar'!$E$2201:$AR$2201,"&gt;0",'Dvd Calendar'!$E$2202:$AR$2202,"&gt;"&amp;MAX(Summary!$C$11,DATE(Summary!$C$12,1,1)-1),'Dvd Calendar'!$E$2202:$AR$2202,"&lt;="&amp;DATE(Summary!$C$12,12,31))-COUNTIFS('Dvd Calendar'!$E$2201:$AR$2201,"&gt;0",'Dvd Calendar'!$E$2202:$AR$2202,"&gt;"&amp;MAX(Summary!$C$11,DATE(Summary!$C$12,1,1)-1),'Dvd Calendar'!$E$2202:$AR$2202,"&lt;="&amp;DATE(Summary!$C$12,12,31),'Dvd Calendar'!$E$2203:$AR$2203,"&gt;=0")&gt;0,"TBA amount - override me",IF((Override!$C$4="ON")*ISNUMBER(Override!$G$158)&gt;0,"overridden",IF($J12+$K12=0,"no dividend in year Y",""))))</f>
        <v/>
      </c>
      <c r="V12" s="54">
        <f>IF($B12="","",IFERROR(IF(ISNUMBER($H12),$B12*$G12*$H12/$B$3,0),""))</f>
        <v/>
      </c>
      <c r="W12" s="54">
        <f>IF($B12="","",IFERROR($B12*$G12*$K12/$B$3,""))</f>
        <v/>
      </c>
    </row>
    <row r="13">
      <c r="B13" s="73" t="n"/>
      <c r="C13" s="6">
        <f>IF($A13="","",$A13&amp;" Equity")</f>
        <v/>
      </c>
      <c r="D13" s="6">
        <f>IF($C13="","",BDP($C13,"NAME"))</f>
        <v/>
      </c>
      <c r="E13" s="6">
        <f>IF($C13="","",BDP($C13,"GICS_SECTOR_NAME"))</f>
        <v/>
      </c>
      <c r="F13" s="31">
        <f>IF($C13="","",BDP($C13,'Field Check'!$C$8))</f>
        <v/>
      </c>
      <c r="G13" s="74">
        <f>IFERROR(IF(LEN($F13)&lt;&gt;3,1,IF($F13="HKD",1,BDP(IF($F13="CNY",Summary!$C$14,$F13)&amp;"HKD Curncy","PX_LAST"))),1)</f>
        <v/>
      </c>
      <c r="H13" s="54">
        <f>IF($C13="","",BDP($C13,'Field Check'!$C$9))</f>
        <v/>
      </c>
      <c r="I13" s="45">
        <f>IF($C13="","",BDP($C13,'Field Check'!$C$10))</f>
        <v/>
      </c>
      <c r="J13" s="47">
        <f>IF($B13="",0,IF(Summary!$C$13="Y",SUMIFS('Dvd Calendar'!$E$2211:$AR$2211,'Dvd Calendar'!$E$2210:$AR$2210,"&gt;="&amp;DATE(Summary!$C$12,1,1),'Dvd Calendar'!$E$2210:$AR$2210,"&lt;="&amp;MIN(Summary!$C$11,DATE(Summary!$C$12,12,31))),SUMIFS('Dvd Calendar'!$E$2211:$AR$2211,'Dvd Calendar'!$E$2210:$AR$2210,"&gt;="&amp;DATE(Summary!$C$12,1,1),'Dvd Calendar'!$E$2210:$AR$2210,"&lt;="&amp;MIN(Summary!$C$11,DATE(Summary!$C$12,12,31)),'Dvd Calendar'!$E$2215:$AR$2215,"&lt;&gt;"&amp;'Field Check'!$C$25)))</f>
        <v/>
      </c>
      <c r="K13" s="47">
        <f>IF($B13="",0,IF(Summary!$C$13="Y",SUMIFS('Dvd Calendar'!$E$2218:$AR$2218,'Dvd Calendar'!$E$2217:$AR$2217,"&gt;"&amp;MAX(Summary!$C$11,DATE(Summary!$C$12,1,1)-1),'Dvd Calendar'!$E$2217:$AR$2217,"&lt;="&amp;DATE(Summary!$C$12,12,31)),SUMIFS('Dvd Calendar'!$E$2218:$AR$2218,'Dvd Calendar'!$E$2217:$AR$2217,"&gt;"&amp;MAX(Summary!$C$11,DATE(Summary!$C$12,1,1)-1),'Dvd Calendar'!$E$2217:$AR$2217,"&lt;="&amp;DATE(Summary!$C$12,12,31),'Dvd Calendar'!$E$2222:$AR$2222,"&lt;&gt;"&amp;'Field Check'!$C$25)))</f>
        <v/>
      </c>
      <c r="L13" s="47">
        <f>IF($B13="",0,IF((Override!$C$4="ON")*ISNUMBER(Override!$G$159)&gt;0,Override!$G$159,$K13))</f>
        <v/>
      </c>
      <c r="M13" s="47">
        <f>IF($B13="",0,IF((Override!$C$4="ON")*ISNUMBER(Override!$H$159)&gt;0,Override!$H$159,$L13))</f>
        <v/>
      </c>
      <c r="N13" s="47">
        <f>IF($B13="",0,IF((Override!$C$4="ON")*ISNUMBER(Override!$I$159)&gt;0,Override!$I$159,$L13))</f>
        <v/>
      </c>
      <c r="O13" s="54">
        <f>IF($B13="","",IFERROR($B13*$G13*$J13/$B$3,""))</f>
        <v/>
      </c>
      <c r="P13" s="54">
        <f>IF($B13="","",IFERROR($B13*$G13*$L13/$B$3,""))</f>
        <v/>
      </c>
      <c r="Q13" s="38">
        <f>IF($B13="","",IFERROR($O13+$P13,""))</f>
        <v/>
      </c>
      <c r="R13" s="54">
        <f>IF($B13="","",IFERROR($O13+$B13*$G13*$M13/$B$3,""))</f>
        <v/>
      </c>
      <c r="S13" s="54">
        <f>IF($B13="","",IFERROR($O13+$B13*$G13*$N13/$B$3,""))</f>
        <v/>
      </c>
      <c r="T13" s="63">
        <f>IF($B13="","",IFERROR($Q13/$Q$5,""))</f>
        <v/>
      </c>
      <c r="U13" s="2">
        <f>IF($B13="","",IF(COUNTIFS('Dvd Calendar'!$E$2216:$AR$2216,"&gt;0",'Dvd Calendar'!$E$2217:$AR$2217,"&gt;"&amp;MAX(Summary!$C$11,DATE(Summary!$C$12,1,1)-1),'Dvd Calendar'!$E$2217:$AR$2217,"&lt;="&amp;DATE(Summary!$C$12,12,31))-COUNTIFS('Dvd Calendar'!$E$2216:$AR$2216,"&gt;0",'Dvd Calendar'!$E$2217:$AR$2217,"&gt;"&amp;MAX(Summary!$C$11,DATE(Summary!$C$12,1,1)-1),'Dvd Calendar'!$E$2217:$AR$2217,"&lt;="&amp;DATE(Summary!$C$12,12,31),'Dvd Calendar'!$E$2218:$AR$2218,"&gt;=0")&gt;0,"TBA amount - override me",IF((Override!$C$4="ON")*ISNUMBER(Override!$G$159)&gt;0,"overridden",IF($J13+$K13=0,"no dividend in year Y",""))))</f>
        <v/>
      </c>
      <c r="V13" s="54">
        <f>IF($B13="","",IFERROR(IF(ISNUMBER($H13),$B13*$G13*$H13/$B$3,0),""))</f>
        <v/>
      </c>
      <c r="W13" s="54">
        <f>IF($B13="","",IFERROR($B13*$G13*$K13/$B$3,""))</f>
        <v/>
      </c>
    </row>
    <row r="14">
      <c r="B14" s="73" t="n"/>
      <c r="C14" s="6">
        <f>IF($A14="","",$A14&amp;" Equity")</f>
        <v/>
      </c>
      <c r="D14" s="6">
        <f>IF($C14="","",BDP($C14,"NAME"))</f>
        <v/>
      </c>
      <c r="E14" s="6">
        <f>IF($C14="","",BDP($C14,"GICS_SECTOR_NAME"))</f>
        <v/>
      </c>
      <c r="F14" s="31">
        <f>IF($C14="","",BDP($C14,'Field Check'!$C$8))</f>
        <v/>
      </c>
      <c r="G14" s="74">
        <f>IFERROR(IF(LEN($F14)&lt;&gt;3,1,IF($F14="HKD",1,BDP(IF($F14="CNY",Summary!$C$14,$F14)&amp;"HKD Curncy","PX_LAST"))),1)</f>
        <v/>
      </c>
      <c r="H14" s="54">
        <f>IF($C14="","",BDP($C14,'Field Check'!$C$9))</f>
        <v/>
      </c>
      <c r="I14" s="45">
        <f>IF($C14="","",BDP($C14,'Field Check'!$C$10))</f>
        <v/>
      </c>
      <c r="J14" s="47">
        <f>IF($B14="",0,IF(Summary!$C$13="Y",SUMIFS('Dvd Calendar'!$E$2226:$AR$2226,'Dvd Calendar'!$E$2225:$AR$2225,"&gt;="&amp;DATE(Summary!$C$12,1,1),'Dvd Calendar'!$E$2225:$AR$2225,"&lt;="&amp;MIN(Summary!$C$11,DATE(Summary!$C$12,12,31))),SUMIFS('Dvd Calendar'!$E$2226:$AR$2226,'Dvd Calendar'!$E$2225:$AR$2225,"&gt;="&amp;DATE(Summary!$C$12,1,1),'Dvd Calendar'!$E$2225:$AR$2225,"&lt;="&amp;MIN(Summary!$C$11,DATE(Summary!$C$12,12,31)),'Dvd Calendar'!$E$2230:$AR$2230,"&lt;&gt;"&amp;'Field Check'!$C$25)))</f>
        <v/>
      </c>
      <c r="K14" s="47">
        <f>IF($B14="",0,IF(Summary!$C$13="Y",SUMIFS('Dvd Calendar'!$E$2233:$AR$2233,'Dvd Calendar'!$E$2232:$AR$2232,"&gt;"&amp;MAX(Summary!$C$11,DATE(Summary!$C$12,1,1)-1),'Dvd Calendar'!$E$2232:$AR$2232,"&lt;="&amp;DATE(Summary!$C$12,12,31)),SUMIFS('Dvd Calendar'!$E$2233:$AR$2233,'Dvd Calendar'!$E$2232:$AR$2232,"&gt;"&amp;MAX(Summary!$C$11,DATE(Summary!$C$12,1,1)-1),'Dvd Calendar'!$E$2232:$AR$2232,"&lt;="&amp;DATE(Summary!$C$12,12,31),'Dvd Calendar'!$E$2237:$AR$2237,"&lt;&gt;"&amp;'Field Check'!$C$25)))</f>
        <v/>
      </c>
      <c r="L14" s="47">
        <f>IF($B14="",0,IF((Override!$C$4="ON")*ISNUMBER(Override!$G$160)&gt;0,Override!$G$160,$K14))</f>
        <v/>
      </c>
      <c r="M14" s="47">
        <f>IF($B14="",0,IF((Override!$C$4="ON")*ISNUMBER(Override!$H$160)&gt;0,Override!$H$160,$L14))</f>
        <v/>
      </c>
      <c r="N14" s="47">
        <f>IF($B14="",0,IF((Override!$C$4="ON")*ISNUMBER(Override!$I$160)&gt;0,Override!$I$160,$L14))</f>
        <v/>
      </c>
      <c r="O14" s="54">
        <f>IF($B14="","",IFERROR($B14*$G14*$J14/$B$3,""))</f>
        <v/>
      </c>
      <c r="P14" s="54">
        <f>IF($B14="","",IFERROR($B14*$G14*$L14/$B$3,""))</f>
        <v/>
      </c>
      <c r="Q14" s="38">
        <f>IF($B14="","",IFERROR($O14+$P14,""))</f>
        <v/>
      </c>
      <c r="R14" s="54">
        <f>IF($B14="","",IFERROR($O14+$B14*$G14*$M14/$B$3,""))</f>
        <v/>
      </c>
      <c r="S14" s="54">
        <f>IF($B14="","",IFERROR($O14+$B14*$G14*$N14/$B$3,""))</f>
        <v/>
      </c>
      <c r="T14" s="63">
        <f>IF($B14="","",IFERROR($Q14/$Q$5,""))</f>
        <v/>
      </c>
      <c r="U14" s="2">
        <f>IF($B14="","",IF(COUNTIFS('Dvd Calendar'!$E$2231:$AR$2231,"&gt;0",'Dvd Calendar'!$E$2232:$AR$2232,"&gt;"&amp;MAX(Summary!$C$11,DATE(Summary!$C$12,1,1)-1),'Dvd Calendar'!$E$2232:$AR$2232,"&lt;="&amp;DATE(Summary!$C$12,12,31))-COUNTIFS('Dvd Calendar'!$E$2231:$AR$2231,"&gt;0",'Dvd Calendar'!$E$2232:$AR$2232,"&gt;"&amp;MAX(Summary!$C$11,DATE(Summary!$C$12,1,1)-1),'Dvd Calendar'!$E$2232:$AR$2232,"&lt;="&amp;DATE(Summary!$C$12,12,31),'Dvd Calendar'!$E$2233:$AR$2233,"&gt;=0")&gt;0,"TBA amount - override me",IF((Override!$C$4="ON")*ISNUMBER(Override!$G$160)&gt;0,"overridden",IF($J14+$K14=0,"no dividend in year Y",""))))</f>
        <v/>
      </c>
      <c r="V14" s="54">
        <f>IF($B14="","",IFERROR(IF(ISNUMBER($H14),$B14*$G14*$H14/$B$3,0),""))</f>
        <v/>
      </c>
      <c r="W14" s="54">
        <f>IF($B14="","",IFERROR($B14*$G14*$K14/$B$3,""))</f>
        <v/>
      </c>
    </row>
    <row r="15">
      <c r="B15" s="73" t="n"/>
      <c r="C15" s="6">
        <f>IF($A15="","",$A15&amp;" Equity")</f>
        <v/>
      </c>
      <c r="D15" s="6">
        <f>IF($C15="","",BDP($C15,"NAME"))</f>
        <v/>
      </c>
      <c r="E15" s="6">
        <f>IF($C15="","",BDP($C15,"GICS_SECTOR_NAME"))</f>
        <v/>
      </c>
      <c r="F15" s="31">
        <f>IF($C15="","",BDP($C15,'Field Check'!$C$8))</f>
        <v/>
      </c>
      <c r="G15" s="74">
        <f>IFERROR(IF(LEN($F15)&lt;&gt;3,1,IF($F15="HKD",1,BDP(IF($F15="CNY",Summary!$C$14,$F15)&amp;"HKD Curncy","PX_LAST"))),1)</f>
        <v/>
      </c>
      <c r="H15" s="54">
        <f>IF($C15="","",BDP($C15,'Field Check'!$C$9))</f>
        <v/>
      </c>
      <c r="I15" s="45">
        <f>IF($C15="","",BDP($C15,'Field Check'!$C$10))</f>
        <v/>
      </c>
      <c r="J15" s="47">
        <f>IF($B15="",0,IF(Summary!$C$13="Y",SUMIFS('Dvd Calendar'!$E$2241:$AR$2241,'Dvd Calendar'!$E$2240:$AR$2240,"&gt;="&amp;DATE(Summary!$C$12,1,1),'Dvd Calendar'!$E$2240:$AR$2240,"&lt;="&amp;MIN(Summary!$C$11,DATE(Summary!$C$12,12,31))),SUMIFS('Dvd Calendar'!$E$2241:$AR$2241,'Dvd Calendar'!$E$2240:$AR$2240,"&gt;="&amp;DATE(Summary!$C$12,1,1),'Dvd Calendar'!$E$2240:$AR$2240,"&lt;="&amp;MIN(Summary!$C$11,DATE(Summary!$C$12,12,31)),'Dvd Calendar'!$E$2245:$AR$2245,"&lt;&gt;"&amp;'Field Check'!$C$25)))</f>
        <v/>
      </c>
      <c r="K15" s="47">
        <f>IF($B15="",0,IF(Summary!$C$13="Y",SUMIFS('Dvd Calendar'!$E$2248:$AR$2248,'Dvd Calendar'!$E$2247:$AR$2247,"&gt;"&amp;MAX(Summary!$C$11,DATE(Summary!$C$12,1,1)-1),'Dvd Calendar'!$E$2247:$AR$2247,"&lt;="&amp;DATE(Summary!$C$12,12,31)),SUMIFS('Dvd Calendar'!$E$2248:$AR$2248,'Dvd Calendar'!$E$2247:$AR$2247,"&gt;"&amp;MAX(Summary!$C$11,DATE(Summary!$C$12,1,1)-1),'Dvd Calendar'!$E$2247:$AR$2247,"&lt;="&amp;DATE(Summary!$C$12,12,31),'Dvd Calendar'!$E$2252:$AR$2252,"&lt;&gt;"&amp;'Field Check'!$C$25)))</f>
        <v/>
      </c>
      <c r="L15" s="47">
        <f>IF($B15="",0,IF((Override!$C$4="ON")*ISNUMBER(Override!$G$161)&gt;0,Override!$G$161,$K15))</f>
        <v/>
      </c>
      <c r="M15" s="47">
        <f>IF($B15="",0,IF((Override!$C$4="ON")*ISNUMBER(Override!$H$161)&gt;0,Override!$H$161,$L15))</f>
        <v/>
      </c>
      <c r="N15" s="47">
        <f>IF($B15="",0,IF((Override!$C$4="ON")*ISNUMBER(Override!$I$161)&gt;0,Override!$I$161,$L15))</f>
        <v/>
      </c>
      <c r="O15" s="54">
        <f>IF($B15="","",IFERROR($B15*$G15*$J15/$B$3,""))</f>
        <v/>
      </c>
      <c r="P15" s="54">
        <f>IF($B15="","",IFERROR($B15*$G15*$L15/$B$3,""))</f>
        <v/>
      </c>
      <c r="Q15" s="38">
        <f>IF($B15="","",IFERROR($O15+$P15,""))</f>
        <v/>
      </c>
      <c r="R15" s="54">
        <f>IF($B15="","",IFERROR($O15+$B15*$G15*$M15/$B$3,""))</f>
        <v/>
      </c>
      <c r="S15" s="54">
        <f>IF($B15="","",IFERROR($O15+$B15*$G15*$N15/$B$3,""))</f>
        <v/>
      </c>
      <c r="T15" s="63">
        <f>IF($B15="","",IFERROR($Q15/$Q$5,""))</f>
        <v/>
      </c>
      <c r="U15" s="2">
        <f>IF($B15="","",IF(COUNTIFS('Dvd Calendar'!$E$2246:$AR$2246,"&gt;0",'Dvd Calendar'!$E$2247:$AR$2247,"&gt;"&amp;MAX(Summary!$C$11,DATE(Summary!$C$12,1,1)-1),'Dvd Calendar'!$E$2247:$AR$2247,"&lt;="&amp;DATE(Summary!$C$12,12,31))-COUNTIFS('Dvd Calendar'!$E$2246:$AR$2246,"&gt;0",'Dvd Calendar'!$E$2247:$AR$2247,"&gt;"&amp;MAX(Summary!$C$11,DATE(Summary!$C$12,1,1)-1),'Dvd Calendar'!$E$2247:$AR$2247,"&lt;="&amp;DATE(Summary!$C$12,12,31),'Dvd Calendar'!$E$2248:$AR$2248,"&gt;=0")&gt;0,"TBA amount - override me",IF((Override!$C$4="ON")*ISNUMBER(Override!$G$161)&gt;0,"overridden",IF($J15+$K15=0,"no dividend in year Y",""))))</f>
        <v/>
      </c>
      <c r="V15" s="54">
        <f>IF($B15="","",IFERROR(IF(ISNUMBER($H15),$B15*$G15*$H15/$B$3,0),""))</f>
        <v/>
      </c>
      <c r="W15" s="54">
        <f>IF($B15="","",IFERROR($B15*$G15*$K15/$B$3,""))</f>
        <v/>
      </c>
    </row>
    <row r="16">
      <c r="B16" s="73" t="n"/>
      <c r="C16" s="6">
        <f>IF($A16="","",$A16&amp;" Equity")</f>
        <v/>
      </c>
      <c r="D16" s="6">
        <f>IF($C16="","",BDP($C16,"NAME"))</f>
        <v/>
      </c>
      <c r="E16" s="6">
        <f>IF($C16="","",BDP($C16,"GICS_SECTOR_NAME"))</f>
        <v/>
      </c>
      <c r="F16" s="31">
        <f>IF($C16="","",BDP($C16,'Field Check'!$C$8))</f>
        <v/>
      </c>
      <c r="G16" s="74">
        <f>IFERROR(IF(LEN($F16)&lt;&gt;3,1,IF($F16="HKD",1,BDP(IF($F16="CNY",Summary!$C$14,$F16)&amp;"HKD Curncy","PX_LAST"))),1)</f>
        <v/>
      </c>
      <c r="H16" s="54">
        <f>IF($C16="","",BDP($C16,'Field Check'!$C$9))</f>
        <v/>
      </c>
      <c r="I16" s="45">
        <f>IF($C16="","",BDP($C16,'Field Check'!$C$10))</f>
        <v/>
      </c>
      <c r="J16" s="47">
        <f>IF($B16="",0,IF(Summary!$C$13="Y",SUMIFS('Dvd Calendar'!$E$2256:$AR$2256,'Dvd Calendar'!$E$2255:$AR$2255,"&gt;="&amp;DATE(Summary!$C$12,1,1),'Dvd Calendar'!$E$2255:$AR$2255,"&lt;="&amp;MIN(Summary!$C$11,DATE(Summary!$C$12,12,31))),SUMIFS('Dvd Calendar'!$E$2256:$AR$2256,'Dvd Calendar'!$E$2255:$AR$2255,"&gt;="&amp;DATE(Summary!$C$12,1,1),'Dvd Calendar'!$E$2255:$AR$2255,"&lt;="&amp;MIN(Summary!$C$11,DATE(Summary!$C$12,12,31)),'Dvd Calendar'!$E$2260:$AR$2260,"&lt;&gt;"&amp;'Field Check'!$C$25)))</f>
        <v/>
      </c>
      <c r="K16" s="47">
        <f>IF($B16="",0,IF(Summary!$C$13="Y",SUMIFS('Dvd Calendar'!$E$2263:$AR$2263,'Dvd Calendar'!$E$2262:$AR$2262,"&gt;"&amp;MAX(Summary!$C$11,DATE(Summary!$C$12,1,1)-1),'Dvd Calendar'!$E$2262:$AR$2262,"&lt;="&amp;DATE(Summary!$C$12,12,31)),SUMIFS('Dvd Calendar'!$E$2263:$AR$2263,'Dvd Calendar'!$E$2262:$AR$2262,"&gt;"&amp;MAX(Summary!$C$11,DATE(Summary!$C$12,1,1)-1),'Dvd Calendar'!$E$2262:$AR$2262,"&lt;="&amp;DATE(Summary!$C$12,12,31),'Dvd Calendar'!$E$2267:$AR$2267,"&lt;&gt;"&amp;'Field Check'!$C$25)))</f>
        <v/>
      </c>
      <c r="L16" s="47">
        <f>IF($B16="",0,IF((Override!$C$4="ON")*ISNUMBER(Override!$G$162)&gt;0,Override!$G$162,$K16))</f>
        <v/>
      </c>
      <c r="M16" s="47">
        <f>IF($B16="",0,IF((Override!$C$4="ON")*ISNUMBER(Override!$H$162)&gt;0,Override!$H$162,$L16))</f>
        <v/>
      </c>
      <c r="N16" s="47">
        <f>IF($B16="",0,IF((Override!$C$4="ON")*ISNUMBER(Override!$I$162)&gt;0,Override!$I$162,$L16))</f>
        <v/>
      </c>
      <c r="O16" s="54">
        <f>IF($B16="","",IFERROR($B16*$G16*$J16/$B$3,""))</f>
        <v/>
      </c>
      <c r="P16" s="54">
        <f>IF($B16="","",IFERROR($B16*$G16*$L16/$B$3,""))</f>
        <v/>
      </c>
      <c r="Q16" s="38">
        <f>IF($B16="","",IFERROR($O16+$P16,""))</f>
        <v/>
      </c>
      <c r="R16" s="54">
        <f>IF($B16="","",IFERROR($O16+$B16*$G16*$M16/$B$3,""))</f>
        <v/>
      </c>
      <c r="S16" s="54">
        <f>IF($B16="","",IFERROR($O16+$B16*$G16*$N16/$B$3,""))</f>
        <v/>
      </c>
      <c r="T16" s="63">
        <f>IF($B16="","",IFERROR($Q16/$Q$5,""))</f>
        <v/>
      </c>
      <c r="U16" s="2">
        <f>IF($B16="","",IF(COUNTIFS('Dvd Calendar'!$E$2261:$AR$2261,"&gt;0",'Dvd Calendar'!$E$2262:$AR$2262,"&gt;"&amp;MAX(Summary!$C$11,DATE(Summary!$C$12,1,1)-1),'Dvd Calendar'!$E$2262:$AR$2262,"&lt;="&amp;DATE(Summary!$C$12,12,31))-COUNTIFS('Dvd Calendar'!$E$2261:$AR$2261,"&gt;0",'Dvd Calendar'!$E$2262:$AR$2262,"&gt;"&amp;MAX(Summary!$C$11,DATE(Summary!$C$12,1,1)-1),'Dvd Calendar'!$E$2262:$AR$2262,"&lt;="&amp;DATE(Summary!$C$12,12,31),'Dvd Calendar'!$E$2263:$AR$2263,"&gt;=0")&gt;0,"TBA amount - override me",IF((Override!$C$4="ON")*ISNUMBER(Override!$G$162)&gt;0,"overridden",IF($J16+$K16=0,"no dividend in year Y",""))))</f>
        <v/>
      </c>
      <c r="V16" s="54">
        <f>IF($B16="","",IFERROR(IF(ISNUMBER($H16),$B16*$G16*$H16/$B$3,0),""))</f>
        <v/>
      </c>
      <c r="W16" s="54">
        <f>IF($B16="","",IFERROR($B16*$G16*$K16/$B$3,""))</f>
        <v/>
      </c>
    </row>
    <row r="17">
      <c r="B17" s="73" t="n"/>
      <c r="C17" s="6">
        <f>IF($A17="","",$A17&amp;" Equity")</f>
        <v/>
      </c>
      <c r="D17" s="6">
        <f>IF($C17="","",BDP($C17,"NAME"))</f>
        <v/>
      </c>
      <c r="E17" s="6">
        <f>IF($C17="","",BDP($C17,"GICS_SECTOR_NAME"))</f>
        <v/>
      </c>
      <c r="F17" s="31">
        <f>IF($C17="","",BDP($C17,'Field Check'!$C$8))</f>
        <v/>
      </c>
      <c r="G17" s="74">
        <f>IFERROR(IF(LEN($F17)&lt;&gt;3,1,IF($F17="HKD",1,BDP(IF($F17="CNY",Summary!$C$14,$F17)&amp;"HKD Curncy","PX_LAST"))),1)</f>
        <v/>
      </c>
      <c r="H17" s="54">
        <f>IF($C17="","",BDP($C17,'Field Check'!$C$9))</f>
        <v/>
      </c>
      <c r="I17" s="45">
        <f>IF($C17="","",BDP($C17,'Field Check'!$C$10))</f>
        <v/>
      </c>
      <c r="J17" s="47">
        <f>IF($B17="",0,IF(Summary!$C$13="Y",SUMIFS('Dvd Calendar'!$E$2271:$AR$2271,'Dvd Calendar'!$E$2270:$AR$2270,"&gt;="&amp;DATE(Summary!$C$12,1,1),'Dvd Calendar'!$E$2270:$AR$2270,"&lt;="&amp;MIN(Summary!$C$11,DATE(Summary!$C$12,12,31))),SUMIFS('Dvd Calendar'!$E$2271:$AR$2271,'Dvd Calendar'!$E$2270:$AR$2270,"&gt;="&amp;DATE(Summary!$C$12,1,1),'Dvd Calendar'!$E$2270:$AR$2270,"&lt;="&amp;MIN(Summary!$C$11,DATE(Summary!$C$12,12,31)),'Dvd Calendar'!$E$2275:$AR$2275,"&lt;&gt;"&amp;'Field Check'!$C$25)))</f>
        <v/>
      </c>
      <c r="K17" s="47">
        <f>IF($B17="",0,IF(Summary!$C$13="Y",SUMIFS('Dvd Calendar'!$E$2278:$AR$2278,'Dvd Calendar'!$E$2277:$AR$2277,"&gt;"&amp;MAX(Summary!$C$11,DATE(Summary!$C$12,1,1)-1),'Dvd Calendar'!$E$2277:$AR$2277,"&lt;="&amp;DATE(Summary!$C$12,12,31)),SUMIFS('Dvd Calendar'!$E$2278:$AR$2278,'Dvd Calendar'!$E$2277:$AR$2277,"&gt;"&amp;MAX(Summary!$C$11,DATE(Summary!$C$12,1,1)-1),'Dvd Calendar'!$E$2277:$AR$2277,"&lt;="&amp;DATE(Summary!$C$12,12,31),'Dvd Calendar'!$E$2282:$AR$2282,"&lt;&gt;"&amp;'Field Check'!$C$25)))</f>
        <v/>
      </c>
      <c r="L17" s="47">
        <f>IF($B17="",0,IF((Override!$C$4="ON")*ISNUMBER(Override!$G$163)&gt;0,Override!$G$163,$K17))</f>
        <v/>
      </c>
      <c r="M17" s="47">
        <f>IF($B17="",0,IF((Override!$C$4="ON")*ISNUMBER(Override!$H$163)&gt;0,Override!$H$163,$L17))</f>
        <v/>
      </c>
      <c r="N17" s="47">
        <f>IF($B17="",0,IF((Override!$C$4="ON")*ISNUMBER(Override!$I$163)&gt;0,Override!$I$163,$L17))</f>
        <v/>
      </c>
      <c r="O17" s="54">
        <f>IF($B17="","",IFERROR($B17*$G17*$J17/$B$3,""))</f>
        <v/>
      </c>
      <c r="P17" s="54">
        <f>IF($B17="","",IFERROR($B17*$G17*$L17/$B$3,""))</f>
        <v/>
      </c>
      <c r="Q17" s="38">
        <f>IF($B17="","",IFERROR($O17+$P17,""))</f>
        <v/>
      </c>
      <c r="R17" s="54">
        <f>IF($B17="","",IFERROR($O17+$B17*$G17*$M17/$B$3,""))</f>
        <v/>
      </c>
      <c r="S17" s="54">
        <f>IF($B17="","",IFERROR($O17+$B17*$G17*$N17/$B$3,""))</f>
        <v/>
      </c>
      <c r="T17" s="63">
        <f>IF($B17="","",IFERROR($Q17/$Q$5,""))</f>
        <v/>
      </c>
      <c r="U17" s="2">
        <f>IF($B17="","",IF(COUNTIFS('Dvd Calendar'!$E$2276:$AR$2276,"&gt;0",'Dvd Calendar'!$E$2277:$AR$2277,"&gt;"&amp;MAX(Summary!$C$11,DATE(Summary!$C$12,1,1)-1),'Dvd Calendar'!$E$2277:$AR$2277,"&lt;="&amp;DATE(Summary!$C$12,12,31))-COUNTIFS('Dvd Calendar'!$E$2276:$AR$2276,"&gt;0",'Dvd Calendar'!$E$2277:$AR$2277,"&gt;"&amp;MAX(Summary!$C$11,DATE(Summary!$C$12,1,1)-1),'Dvd Calendar'!$E$2277:$AR$2277,"&lt;="&amp;DATE(Summary!$C$12,12,31),'Dvd Calendar'!$E$2278:$AR$2278,"&gt;=0")&gt;0,"TBA amount - override me",IF((Override!$C$4="ON")*ISNUMBER(Override!$G$163)&gt;0,"overridden",IF($J17+$K17=0,"no dividend in year Y",""))))</f>
        <v/>
      </c>
      <c r="V17" s="54">
        <f>IF($B17="","",IFERROR(IF(ISNUMBER($H17),$B17*$G17*$H17/$B$3,0),""))</f>
        <v/>
      </c>
      <c r="W17" s="54">
        <f>IF($B17="","",IFERROR($B17*$G17*$K17/$B$3,""))</f>
        <v/>
      </c>
    </row>
    <row r="18">
      <c r="B18" s="73" t="n"/>
      <c r="C18" s="6">
        <f>IF($A18="","",$A18&amp;" Equity")</f>
        <v/>
      </c>
      <c r="D18" s="6">
        <f>IF($C18="","",BDP($C18,"NAME"))</f>
        <v/>
      </c>
      <c r="E18" s="6">
        <f>IF($C18="","",BDP($C18,"GICS_SECTOR_NAME"))</f>
        <v/>
      </c>
      <c r="F18" s="31">
        <f>IF($C18="","",BDP($C18,'Field Check'!$C$8))</f>
        <v/>
      </c>
      <c r="G18" s="74">
        <f>IFERROR(IF(LEN($F18)&lt;&gt;3,1,IF($F18="HKD",1,BDP(IF($F18="CNY",Summary!$C$14,$F18)&amp;"HKD Curncy","PX_LAST"))),1)</f>
        <v/>
      </c>
      <c r="H18" s="54">
        <f>IF($C18="","",BDP($C18,'Field Check'!$C$9))</f>
        <v/>
      </c>
      <c r="I18" s="45">
        <f>IF($C18="","",BDP($C18,'Field Check'!$C$10))</f>
        <v/>
      </c>
      <c r="J18" s="47">
        <f>IF($B18="",0,IF(Summary!$C$13="Y",SUMIFS('Dvd Calendar'!$E$2286:$AR$2286,'Dvd Calendar'!$E$2285:$AR$2285,"&gt;="&amp;DATE(Summary!$C$12,1,1),'Dvd Calendar'!$E$2285:$AR$2285,"&lt;="&amp;MIN(Summary!$C$11,DATE(Summary!$C$12,12,31))),SUMIFS('Dvd Calendar'!$E$2286:$AR$2286,'Dvd Calendar'!$E$2285:$AR$2285,"&gt;="&amp;DATE(Summary!$C$12,1,1),'Dvd Calendar'!$E$2285:$AR$2285,"&lt;="&amp;MIN(Summary!$C$11,DATE(Summary!$C$12,12,31)),'Dvd Calendar'!$E$2290:$AR$2290,"&lt;&gt;"&amp;'Field Check'!$C$25)))</f>
        <v/>
      </c>
      <c r="K18" s="47">
        <f>IF($B18="",0,IF(Summary!$C$13="Y",SUMIFS('Dvd Calendar'!$E$2293:$AR$2293,'Dvd Calendar'!$E$2292:$AR$2292,"&gt;"&amp;MAX(Summary!$C$11,DATE(Summary!$C$12,1,1)-1),'Dvd Calendar'!$E$2292:$AR$2292,"&lt;="&amp;DATE(Summary!$C$12,12,31)),SUMIFS('Dvd Calendar'!$E$2293:$AR$2293,'Dvd Calendar'!$E$2292:$AR$2292,"&gt;"&amp;MAX(Summary!$C$11,DATE(Summary!$C$12,1,1)-1),'Dvd Calendar'!$E$2292:$AR$2292,"&lt;="&amp;DATE(Summary!$C$12,12,31),'Dvd Calendar'!$E$2297:$AR$2297,"&lt;&gt;"&amp;'Field Check'!$C$25)))</f>
        <v/>
      </c>
      <c r="L18" s="47">
        <f>IF($B18="",0,IF((Override!$C$4="ON")*ISNUMBER(Override!$G$164)&gt;0,Override!$G$164,$K18))</f>
        <v/>
      </c>
      <c r="M18" s="47">
        <f>IF($B18="",0,IF((Override!$C$4="ON")*ISNUMBER(Override!$H$164)&gt;0,Override!$H$164,$L18))</f>
        <v/>
      </c>
      <c r="N18" s="47">
        <f>IF($B18="",0,IF((Override!$C$4="ON")*ISNUMBER(Override!$I$164)&gt;0,Override!$I$164,$L18))</f>
        <v/>
      </c>
      <c r="O18" s="54">
        <f>IF($B18="","",IFERROR($B18*$G18*$J18/$B$3,""))</f>
        <v/>
      </c>
      <c r="P18" s="54">
        <f>IF($B18="","",IFERROR($B18*$G18*$L18/$B$3,""))</f>
        <v/>
      </c>
      <c r="Q18" s="38">
        <f>IF($B18="","",IFERROR($O18+$P18,""))</f>
        <v/>
      </c>
      <c r="R18" s="54">
        <f>IF($B18="","",IFERROR($O18+$B18*$G18*$M18/$B$3,""))</f>
        <v/>
      </c>
      <c r="S18" s="54">
        <f>IF($B18="","",IFERROR($O18+$B18*$G18*$N18/$B$3,""))</f>
        <v/>
      </c>
      <c r="T18" s="63">
        <f>IF($B18="","",IFERROR($Q18/$Q$5,""))</f>
        <v/>
      </c>
      <c r="U18" s="2">
        <f>IF($B18="","",IF(COUNTIFS('Dvd Calendar'!$E$2291:$AR$2291,"&gt;0",'Dvd Calendar'!$E$2292:$AR$2292,"&gt;"&amp;MAX(Summary!$C$11,DATE(Summary!$C$12,1,1)-1),'Dvd Calendar'!$E$2292:$AR$2292,"&lt;="&amp;DATE(Summary!$C$12,12,31))-COUNTIFS('Dvd Calendar'!$E$2291:$AR$2291,"&gt;0",'Dvd Calendar'!$E$2292:$AR$2292,"&gt;"&amp;MAX(Summary!$C$11,DATE(Summary!$C$12,1,1)-1),'Dvd Calendar'!$E$2292:$AR$2292,"&lt;="&amp;DATE(Summary!$C$12,12,31),'Dvd Calendar'!$E$2293:$AR$2293,"&gt;=0")&gt;0,"TBA amount - override me",IF((Override!$C$4="ON")*ISNUMBER(Override!$G$164)&gt;0,"overridden",IF($J18+$K18=0,"no dividend in year Y",""))))</f>
        <v/>
      </c>
      <c r="V18" s="54">
        <f>IF($B18="","",IFERROR(IF(ISNUMBER($H18),$B18*$G18*$H18/$B$3,0),""))</f>
        <v/>
      </c>
      <c r="W18" s="54">
        <f>IF($B18="","",IFERROR($B18*$G18*$K18/$B$3,""))</f>
        <v/>
      </c>
    </row>
    <row r="19">
      <c r="B19" s="73" t="n"/>
      <c r="C19" s="6">
        <f>IF($A19="","",$A19&amp;" Equity")</f>
        <v/>
      </c>
      <c r="D19" s="6">
        <f>IF($C19="","",BDP($C19,"NAME"))</f>
        <v/>
      </c>
      <c r="E19" s="6">
        <f>IF($C19="","",BDP($C19,"GICS_SECTOR_NAME"))</f>
        <v/>
      </c>
      <c r="F19" s="31">
        <f>IF($C19="","",BDP($C19,'Field Check'!$C$8))</f>
        <v/>
      </c>
      <c r="G19" s="74">
        <f>IFERROR(IF(LEN($F19)&lt;&gt;3,1,IF($F19="HKD",1,BDP(IF($F19="CNY",Summary!$C$14,$F19)&amp;"HKD Curncy","PX_LAST"))),1)</f>
        <v/>
      </c>
      <c r="H19" s="54">
        <f>IF($C19="","",BDP($C19,'Field Check'!$C$9))</f>
        <v/>
      </c>
      <c r="I19" s="45">
        <f>IF($C19="","",BDP($C19,'Field Check'!$C$10))</f>
        <v/>
      </c>
      <c r="J19" s="47">
        <f>IF($B19="",0,IF(Summary!$C$13="Y",SUMIFS('Dvd Calendar'!$E$2301:$AR$2301,'Dvd Calendar'!$E$2300:$AR$2300,"&gt;="&amp;DATE(Summary!$C$12,1,1),'Dvd Calendar'!$E$2300:$AR$2300,"&lt;="&amp;MIN(Summary!$C$11,DATE(Summary!$C$12,12,31))),SUMIFS('Dvd Calendar'!$E$2301:$AR$2301,'Dvd Calendar'!$E$2300:$AR$2300,"&gt;="&amp;DATE(Summary!$C$12,1,1),'Dvd Calendar'!$E$2300:$AR$2300,"&lt;="&amp;MIN(Summary!$C$11,DATE(Summary!$C$12,12,31)),'Dvd Calendar'!$E$2305:$AR$2305,"&lt;&gt;"&amp;'Field Check'!$C$25)))</f>
        <v/>
      </c>
      <c r="K19" s="47">
        <f>IF($B19="",0,IF(Summary!$C$13="Y",SUMIFS('Dvd Calendar'!$E$2308:$AR$2308,'Dvd Calendar'!$E$2307:$AR$2307,"&gt;"&amp;MAX(Summary!$C$11,DATE(Summary!$C$12,1,1)-1),'Dvd Calendar'!$E$2307:$AR$2307,"&lt;="&amp;DATE(Summary!$C$12,12,31)),SUMIFS('Dvd Calendar'!$E$2308:$AR$2308,'Dvd Calendar'!$E$2307:$AR$2307,"&gt;"&amp;MAX(Summary!$C$11,DATE(Summary!$C$12,1,1)-1),'Dvd Calendar'!$E$2307:$AR$2307,"&lt;="&amp;DATE(Summary!$C$12,12,31),'Dvd Calendar'!$E$2312:$AR$2312,"&lt;&gt;"&amp;'Field Check'!$C$25)))</f>
        <v/>
      </c>
      <c r="L19" s="47">
        <f>IF($B19="",0,IF((Override!$C$4="ON")*ISNUMBER(Override!$G$165)&gt;0,Override!$G$165,$K19))</f>
        <v/>
      </c>
      <c r="M19" s="47">
        <f>IF($B19="",0,IF((Override!$C$4="ON")*ISNUMBER(Override!$H$165)&gt;0,Override!$H$165,$L19))</f>
        <v/>
      </c>
      <c r="N19" s="47">
        <f>IF($B19="",0,IF((Override!$C$4="ON")*ISNUMBER(Override!$I$165)&gt;0,Override!$I$165,$L19))</f>
        <v/>
      </c>
      <c r="O19" s="54">
        <f>IF($B19="","",IFERROR($B19*$G19*$J19/$B$3,""))</f>
        <v/>
      </c>
      <c r="P19" s="54">
        <f>IF($B19="","",IFERROR($B19*$G19*$L19/$B$3,""))</f>
        <v/>
      </c>
      <c r="Q19" s="38">
        <f>IF($B19="","",IFERROR($O19+$P19,""))</f>
        <v/>
      </c>
      <c r="R19" s="54">
        <f>IF($B19="","",IFERROR($O19+$B19*$G19*$M19/$B$3,""))</f>
        <v/>
      </c>
      <c r="S19" s="54">
        <f>IF($B19="","",IFERROR($O19+$B19*$G19*$N19/$B$3,""))</f>
        <v/>
      </c>
      <c r="T19" s="63">
        <f>IF($B19="","",IFERROR($Q19/$Q$5,""))</f>
        <v/>
      </c>
      <c r="U19" s="2">
        <f>IF($B19="","",IF(COUNTIFS('Dvd Calendar'!$E$2306:$AR$2306,"&gt;0",'Dvd Calendar'!$E$2307:$AR$2307,"&gt;"&amp;MAX(Summary!$C$11,DATE(Summary!$C$12,1,1)-1),'Dvd Calendar'!$E$2307:$AR$2307,"&lt;="&amp;DATE(Summary!$C$12,12,31))-COUNTIFS('Dvd Calendar'!$E$2306:$AR$2306,"&gt;0",'Dvd Calendar'!$E$2307:$AR$2307,"&gt;"&amp;MAX(Summary!$C$11,DATE(Summary!$C$12,1,1)-1),'Dvd Calendar'!$E$2307:$AR$2307,"&lt;="&amp;DATE(Summary!$C$12,12,31),'Dvd Calendar'!$E$2308:$AR$2308,"&gt;=0")&gt;0,"TBA amount - override me",IF((Override!$C$4="ON")*ISNUMBER(Override!$G$165)&gt;0,"overridden",IF($J19+$K19=0,"no dividend in year Y",""))))</f>
        <v/>
      </c>
      <c r="V19" s="54">
        <f>IF($B19="","",IFERROR(IF(ISNUMBER($H19),$B19*$G19*$H19/$B$3,0),""))</f>
        <v/>
      </c>
      <c r="W19" s="54">
        <f>IF($B19="","",IFERROR($B19*$G19*$K19/$B$3,""))</f>
        <v/>
      </c>
    </row>
    <row r="20">
      <c r="B20" s="73" t="n"/>
      <c r="C20" s="6">
        <f>IF($A20="","",$A20&amp;" Equity")</f>
        <v/>
      </c>
      <c r="D20" s="6">
        <f>IF($C20="","",BDP($C20,"NAME"))</f>
        <v/>
      </c>
      <c r="E20" s="6">
        <f>IF($C20="","",BDP($C20,"GICS_SECTOR_NAME"))</f>
        <v/>
      </c>
      <c r="F20" s="31">
        <f>IF($C20="","",BDP($C20,'Field Check'!$C$8))</f>
        <v/>
      </c>
      <c r="G20" s="74">
        <f>IFERROR(IF(LEN($F20)&lt;&gt;3,1,IF($F20="HKD",1,BDP(IF($F20="CNY",Summary!$C$14,$F20)&amp;"HKD Curncy","PX_LAST"))),1)</f>
        <v/>
      </c>
      <c r="H20" s="54">
        <f>IF($C20="","",BDP($C20,'Field Check'!$C$9))</f>
        <v/>
      </c>
      <c r="I20" s="45">
        <f>IF($C20="","",BDP($C20,'Field Check'!$C$10))</f>
        <v/>
      </c>
      <c r="J20" s="47">
        <f>IF($B20="",0,IF(Summary!$C$13="Y",SUMIFS('Dvd Calendar'!$E$2316:$AR$2316,'Dvd Calendar'!$E$2315:$AR$2315,"&gt;="&amp;DATE(Summary!$C$12,1,1),'Dvd Calendar'!$E$2315:$AR$2315,"&lt;="&amp;MIN(Summary!$C$11,DATE(Summary!$C$12,12,31))),SUMIFS('Dvd Calendar'!$E$2316:$AR$2316,'Dvd Calendar'!$E$2315:$AR$2315,"&gt;="&amp;DATE(Summary!$C$12,1,1),'Dvd Calendar'!$E$2315:$AR$2315,"&lt;="&amp;MIN(Summary!$C$11,DATE(Summary!$C$12,12,31)),'Dvd Calendar'!$E$2320:$AR$2320,"&lt;&gt;"&amp;'Field Check'!$C$25)))</f>
        <v/>
      </c>
      <c r="K20" s="47">
        <f>IF($B20="",0,IF(Summary!$C$13="Y",SUMIFS('Dvd Calendar'!$E$2323:$AR$2323,'Dvd Calendar'!$E$2322:$AR$2322,"&gt;"&amp;MAX(Summary!$C$11,DATE(Summary!$C$12,1,1)-1),'Dvd Calendar'!$E$2322:$AR$2322,"&lt;="&amp;DATE(Summary!$C$12,12,31)),SUMIFS('Dvd Calendar'!$E$2323:$AR$2323,'Dvd Calendar'!$E$2322:$AR$2322,"&gt;"&amp;MAX(Summary!$C$11,DATE(Summary!$C$12,1,1)-1),'Dvd Calendar'!$E$2322:$AR$2322,"&lt;="&amp;DATE(Summary!$C$12,12,31),'Dvd Calendar'!$E$2327:$AR$2327,"&lt;&gt;"&amp;'Field Check'!$C$25)))</f>
        <v/>
      </c>
      <c r="L20" s="47">
        <f>IF($B20="",0,IF((Override!$C$4="ON")*ISNUMBER(Override!$G$166)&gt;0,Override!$G$166,$K20))</f>
        <v/>
      </c>
      <c r="M20" s="47">
        <f>IF($B20="",0,IF((Override!$C$4="ON")*ISNUMBER(Override!$H$166)&gt;0,Override!$H$166,$L20))</f>
        <v/>
      </c>
      <c r="N20" s="47">
        <f>IF($B20="",0,IF((Override!$C$4="ON")*ISNUMBER(Override!$I$166)&gt;0,Override!$I$166,$L20))</f>
        <v/>
      </c>
      <c r="O20" s="54">
        <f>IF($B20="","",IFERROR($B20*$G20*$J20/$B$3,""))</f>
        <v/>
      </c>
      <c r="P20" s="54">
        <f>IF($B20="","",IFERROR($B20*$G20*$L20/$B$3,""))</f>
        <v/>
      </c>
      <c r="Q20" s="38">
        <f>IF($B20="","",IFERROR($O20+$P20,""))</f>
        <v/>
      </c>
      <c r="R20" s="54">
        <f>IF($B20="","",IFERROR($O20+$B20*$G20*$M20/$B$3,""))</f>
        <v/>
      </c>
      <c r="S20" s="54">
        <f>IF($B20="","",IFERROR($O20+$B20*$G20*$N20/$B$3,""))</f>
        <v/>
      </c>
      <c r="T20" s="63">
        <f>IF($B20="","",IFERROR($Q20/$Q$5,""))</f>
        <v/>
      </c>
      <c r="U20" s="2">
        <f>IF($B20="","",IF(COUNTIFS('Dvd Calendar'!$E$2321:$AR$2321,"&gt;0",'Dvd Calendar'!$E$2322:$AR$2322,"&gt;"&amp;MAX(Summary!$C$11,DATE(Summary!$C$12,1,1)-1),'Dvd Calendar'!$E$2322:$AR$2322,"&lt;="&amp;DATE(Summary!$C$12,12,31))-COUNTIFS('Dvd Calendar'!$E$2321:$AR$2321,"&gt;0",'Dvd Calendar'!$E$2322:$AR$2322,"&gt;"&amp;MAX(Summary!$C$11,DATE(Summary!$C$12,1,1)-1),'Dvd Calendar'!$E$2322:$AR$2322,"&lt;="&amp;DATE(Summary!$C$12,12,31),'Dvd Calendar'!$E$2323:$AR$2323,"&gt;=0")&gt;0,"TBA amount - override me",IF((Override!$C$4="ON")*ISNUMBER(Override!$G$166)&gt;0,"overridden",IF($J20+$K20=0,"no dividend in year Y",""))))</f>
        <v/>
      </c>
      <c r="V20" s="54">
        <f>IF($B20="","",IFERROR(IF(ISNUMBER($H20),$B20*$G20*$H20/$B$3,0),""))</f>
        <v/>
      </c>
      <c r="W20" s="54">
        <f>IF($B20="","",IFERROR($B20*$G20*$K20/$B$3,""))</f>
        <v/>
      </c>
    </row>
    <row r="21">
      <c r="B21" s="73" t="n"/>
      <c r="C21" s="6">
        <f>IF($A21="","",$A21&amp;" Equity")</f>
        <v/>
      </c>
      <c r="D21" s="6">
        <f>IF($C21="","",BDP($C21,"NAME"))</f>
        <v/>
      </c>
      <c r="E21" s="6">
        <f>IF($C21="","",BDP($C21,"GICS_SECTOR_NAME"))</f>
        <v/>
      </c>
      <c r="F21" s="31">
        <f>IF($C21="","",BDP($C21,'Field Check'!$C$8))</f>
        <v/>
      </c>
      <c r="G21" s="74">
        <f>IFERROR(IF(LEN($F21)&lt;&gt;3,1,IF($F21="HKD",1,BDP(IF($F21="CNY",Summary!$C$14,$F21)&amp;"HKD Curncy","PX_LAST"))),1)</f>
        <v/>
      </c>
      <c r="H21" s="54">
        <f>IF($C21="","",BDP($C21,'Field Check'!$C$9))</f>
        <v/>
      </c>
      <c r="I21" s="45">
        <f>IF($C21="","",BDP($C21,'Field Check'!$C$10))</f>
        <v/>
      </c>
      <c r="J21" s="47">
        <f>IF($B21="",0,IF(Summary!$C$13="Y",SUMIFS('Dvd Calendar'!$E$2331:$AR$2331,'Dvd Calendar'!$E$2330:$AR$2330,"&gt;="&amp;DATE(Summary!$C$12,1,1),'Dvd Calendar'!$E$2330:$AR$2330,"&lt;="&amp;MIN(Summary!$C$11,DATE(Summary!$C$12,12,31))),SUMIFS('Dvd Calendar'!$E$2331:$AR$2331,'Dvd Calendar'!$E$2330:$AR$2330,"&gt;="&amp;DATE(Summary!$C$12,1,1),'Dvd Calendar'!$E$2330:$AR$2330,"&lt;="&amp;MIN(Summary!$C$11,DATE(Summary!$C$12,12,31)),'Dvd Calendar'!$E$2335:$AR$2335,"&lt;&gt;"&amp;'Field Check'!$C$25)))</f>
        <v/>
      </c>
      <c r="K21" s="47">
        <f>IF($B21="",0,IF(Summary!$C$13="Y",SUMIFS('Dvd Calendar'!$E$2338:$AR$2338,'Dvd Calendar'!$E$2337:$AR$2337,"&gt;"&amp;MAX(Summary!$C$11,DATE(Summary!$C$12,1,1)-1),'Dvd Calendar'!$E$2337:$AR$2337,"&lt;="&amp;DATE(Summary!$C$12,12,31)),SUMIFS('Dvd Calendar'!$E$2338:$AR$2338,'Dvd Calendar'!$E$2337:$AR$2337,"&gt;"&amp;MAX(Summary!$C$11,DATE(Summary!$C$12,1,1)-1),'Dvd Calendar'!$E$2337:$AR$2337,"&lt;="&amp;DATE(Summary!$C$12,12,31),'Dvd Calendar'!$E$2342:$AR$2342,"&lt;&gt;"&amp;'Field Check'!$C$25)))</f>
        <v/>
      </c>
      <c r="L21" s="47">
        <f>IF($B21="",0,IF((Override!$C$4="ON")*ISNUMBER(Override!$G$167)&gt;0,Override!$G$167,$K21))</f>
        <v/>
      </c>
      <c r="M21" s="47">
        <f>IF($B21="",0,IF((Override!$C$4="ON")*ISNUMBER(Override!$H$167)&gt;0,Override!$H$167,$L21))</f>
        <v/>
      </c>
      <c r="N21" s="47">
        <f>IF($B21="",0,IF((Override!$C$4="ON")*ISNUMBER(Override!$I$167)&gt;0,Override!$I$167,$L21))</f>
        <v/>
      </c>
      <c r="O21" s="54">
        <f>IF($B21="","",IFERROR($B21*$G21*$J21/$B$3,""))</f>
        <v/>
      </c>
      <c r="P21" s="54">
        <f>IF($B21="","",IFERROR($B21*$G21*$L21/$B$3,""))</f>
        <v/>
      </c>
      <c r="Q21" s="38">
        <f>IF($B21="","",IFERROR($O21+$P21,""))</f>
        <v/>
      </c>
      <c r="R21" s="54">
        <f>IF($B21="","",IFERROR($O21+$B21*$G21*$M21/$B$3,""))</f>
        <v/>
      </c>
      <c r="S21" s="54">
        <f>IF($B21="","",IFERROR($O21+$B21*$G21*$N21/$B$3,""))</f>
        <v/>
      </c>
      <c r="T21" s="63">
        <f>IF($B21="","",IFERROR($Q21/$Q$5,""))</f>
        <v/>
      </c>
      <c r="U21" s="2">
        <f>IF($B21="","",IF(COUNTIFS('Dvd Calendar'!$E$2336:$AR$2336,"&gt;0",'Dvd Calendar'!$E$2337:$AR$2337,"&gt;"&amp;MAX(Summary!$C$11,DATE(Summary!$C$12,1,1)-1),'Dvd Calendar'!$E$2337:$AR$2337,"&lt;="&amp;DATE(Summary!$C$12,12,31))-COUNTIFS('Dvd Calendar'!$E$2336:$AR$2336,"&gt;0",'Dvd Calendar'!$E$2337:$AR$2337,"&gt;"&amp;MAX(Summary!$C$11,DATE(Summary!$C$12,1,1)-1),'Dvd Calendar'!$E$2337:$AR$2337,"&lt;="&amp;DATE(Summary!$C$12,12,31),'Dvd Calendar'!$E$2338:$AR$2338,"&gt;=0")&gt;0,"TBA amount - override me",IF((Override!$C$4="ON")*ISNUMBER(Override!$G$167)&gt;0,"overridden",IF($J21+$K21=0,"no dividend in year Y",""))))</f>
        <v/>
      </c>
      <c r="V21" s="54">
        <f>IF($B21="","",IFERROR(IF(ISNUMBER($H21),$B21*$G21*$H21/$B$3,0),""))</f>
        <v/>
      </c>
      <c r="W21" s="54">
        <f>IF($B21="","",IFERROR($B21*$G21*$K21/$B$3,""))</f>
        <v/>
      </c>
    </row>
    <row r="22">
      <c r="B22" s="73" t="n"/>
      <c r="C22" s="6">
        <f>IF($A22="","",$A22&amp;" Equity")</f>
        <v/>
      </c>
      <c r="D22" s="6">
        <f>IF($C22="","",BDP($C22,"NAME"))</f>
        <v/>
      </c>
      <c r="E22" s="6">
        <f>IF($C22="","",BDP($C22,"GICS_SECTOR_NAME"))</f>
        <v/>
      </c>
      <c r="F22" s="31">
        <f>IF($C22="","",BDP($C22,'Field Check'!$C$8))</f>
        <v/>
      </c>
      <c r="G22" s="74">
        <f>IFERROR(IF(LEN($F22)&lt;&gt;3,1,IF($F22="HKD",1,BDP(IF($F22="CNY",Summary!$C$14,$F22)&amp;"HKD Curncy","PX_LAST"))),1)</f>
        <v/>
      </c>
      <c r="H22" s="54">
        <f>IF($C22="","",BDP($C22,'Field Check'!$C$9))</f>
        <v/>
      </c>
      <c r="I22" s="45">
        <f>IF($C22="","",BDP($C22,'Field Check'!$C$10))</f>
        <v/>
      </c>
      <c r="J22" s="47">
        <f>IF($B22="",0,IF(Summary!$C$13="Y",SUMIFS('Dvd Calendar'!$E$2346:$AR$2346,'Dvd Calendar'!$E$2345:$AR$2345,"&gt;="&amp;DATE(Summary!$C$12,1,1),'Dvd Calendar'!$E$2345:$AR$2345,"&lt;="&amp;MIN(Summary!$C$11,DATE(Summary!$C$12,12,31))),SUMIFS('Dvd Calendar'!$E$2346:$AR$2346,'Dvd Calendar'!$E$2345:$AR$2345,"&gt;="&amp;DATE(Summary!$C$12,1,1),'Dvd Calendar'!$E$2345:$AR$2345,"&lt;="&amp;MIN(Summary!$C$11,DATE(Summary!$C$12,12,31)),'Dvd Calendar'!$E$2350:$AR$2350,"&lt;&gt;"&amp;'Field Check'!$C$25)))</f>
        <v/>
      </c>
      <c r="K22" s="47">
        <f>IF($B22="",0,IF(Summary!$C$13="Y",SUMIFS('Dvd Calendar'!$E$2353:$AR$2353,'Dvd Calendar'!$E$2352:$AR$2352,"&gt;"&amp;MAX(Summary!$C$11,DATE(Summary!$C$12,1,1)-1),'Dvd Calendar'!$E$2352:$AR$2352,"&lt;="&amp;DATE(Summary!$C$12,12,31)),SUMIFS('Dvd Calendar'!$E$2353:$AR$2353,'Dvd Calendar'!$E$2352:$AR$2352,"&gt;"&amp;MAX(Summary!$C$11,DATE(Summary!$C$12,1,1)-1),'Dvd Calendar'!$E$2352:$AR$2352,"&lt;="&amp;DATE(Summary!$C$12,12,31),'Dvd Calendar'!$E$2357:$AR$2357,"&lt;&gt;"&amp;'Field Check'!$C$25)))</f>
        <v/>
      </c>
      <c r="L22" s="47">
        <f>IF($B22="",0,IF((Override!$C$4="ON")*ISNUMBER(Override!$G$168)&gt;0,Override!$G$168,$K22))</f>
        <v/>
      </c>
      <c r="M22" s="47">
        <f>IF($B22="",0,IF((Override!$C$4="ON")*ISNUMBER(Override!$H$168)&gt;0,Override!$H$168,$L22))</f>
        <v/>
      </c>
      <c r="N22" s="47">
        <f>IF($B22="",0,IF((Override!$C$4="ON")*ISNUMBER(Override!$I$168)&gt;0,Override!$I$168,$L22))</f>
        <v/>
      </c>
      <c r="O22" s="54">
        <f>IF($B22="","",IFERROR($B22*$G22*$J22/$B$3,""))</f>
        <v/>
      </c>
      <c r="P22" s="54">
        <f>IF($B22="","",IFERROR($B22*$G22*$L22/$B$3,""))</f>
        <v/>
      </c>
      <c r="Q22" s="38">
        <f>IF($B22="","",IFERROR($O22+$P22,""))</f>
        <v/>
      </c>
      <c r="R22" s="54">
        <f>IF($B22="","",IFERROR($O22+$B22*$G22*$M22/$B$3,""))</f>
        <v/>
      </c>
      <c r="S22" s="54">
        <f>IF($B22="","",IFERROR($O22+$B22*$G22*$N22/$B$3,""))</f>
        <v/>
      </c>
      <c r="T22" s="63">
        <f>IF($B22="","",IFERROR($Q22/$Q$5,""))</f>
        <v/>
      </c>
      <c r="U22" s="2">
        <f>IF($B22="","",IF(COUNTIFS('Dvd Calendar'!$E$2351:$AR$2351,"&gt;0",'Dvd Calendar'!$E$2352:$AR$2352,"&gt;"&amp;MAX(Summary!$C$11,DATE(Summary!$C$12,1,1)-1),'Dvd Calendar'!$E$2352:$AR$2352,"&lt;="&amp;DATE(Summary!$C$12,12,31))-COUNTIFS('Dvd Calendar'!$E$2351:$AR$2351,"&gt;0",'Dvd Calendar'!$E$2352:$AR$2352,"&gt;"&amp;MAX(Summary!$C$11,DATE(Summary!$C$12,1,1)-1),'Dvd Calendar'!$E$2352:$AR$2352,"&lt;="&amp;DATE(Summary!$C$12,12,31),'Dvd Calendar'!$E$2353:$AR$2353,"&gt;=0")&gt;0,"TBA amount - override me",IF((Override!$C$4="ON")*ISNUMBER(Override!$G$168)&gt;0,"overridden",IF($J22+$K22=0,"no dividend in year Y",""))))</f>
        <v/>
      </c>
      <c r="V22" s="54">
        <f>IF($B22="","",IFERROR(IF(ISNUMBER($H22),$B22*$G22*$H22/$B$3,0),""))</f>
        <v/>
      </c>
      <c r="W22" s="54">
        <f>IF($B22="","",IFERROR($B22*$G22*$K22/$B$3,""))</f>
        <v/>
      </c>
    </row>
    <row r="23">
      <c r="B23" s="73" t="n"/>
      <c r="C23" s="6">
        <f>IF($A23="","",$A23&amp;" Equity")</f>
        <v/>
      </c>
      <c r="D23" s="6">
        <f>IF($C23="","",BDP($C23,"NAME"))</f>
        <v/>
      </c>
      <c r="E23" s="6">
        <f>IF($C23="","",BDP($C23,"GICS_SECTOR_NAME"))</f>
        <v/>
      </c>
      <c r="F23" s="31">
        <f>IF($C23="","",BDP($C23,'Field Check'!$C$8))</f>
        <v/>
      </c>
      <c r="G23" s="74">
        <f>IFERROR(IF(LEN($F23)&lt;&gt;3,1,IF($F23="HKD",1,BDP(IF($F23="CNY",Summary!$C$14,$F23)&amp;"HKD Curncy","PX_LAST"))),1)</f>
        <v/>
      </c>
      <c r="H23" s="54">
        <f>IF($C23="","",BDP($C23,'Field Check'!$C$9))</f>
        <v/>
      </c>
      <c r="I23" s="45">
        <f>IF($C23="","",BDP($C23,'Field Check'!$C$10))</f>
        <v/>
      </c>
      <c r="J23" s="47">
        <f>IF($B23="",0,IF(Summary!$C$13="Y",SUMIFS('Dvd Calendar'!$E$2361:$AR$2361,'Dvd Calendar'!$E$2360:$AR$2360,"&gt;="&amp;DATE(Summary!$C$12,1,1),'Dvd Calendar'!$E$2360:$AR$2360,"&lt;="&amp;MIN(Summary!$C$11,DATE(Summary!$C$12,12,31))),SUMIFS('Dvd Calendar'!$E$2361:$AR$2361,'Dvd Calendar'!$E$2360:$AR$2360,"&gt;="&amp;DATE(Summary!$C$12,1,1),'Dvd Calendar'!$E$2360:$AR$2360,"&lt;="&amp;MIN(Summary!$C$11,DATE(Summary!$C$12,12,31)),'Dvd Calendar'!$E$2365:$AR$2365,"&lt;&gt;"&amp;'Field Check'!$C$25)))</f>
        <v/>
      </c>
      <c r="K23" s="47">
        <f>IF($B23="",0,IF(Summary!$C$13="Y",SUMIFS('Dvd Calendar'!$E$2368:$AR$2368,'Dvd Calendar'!$E$2367:$AR$2367,"&gt;"&amp;MAX(Summary!$C$11,DATE(Summary!$C$12,1,1)-1),'Dvd Calendar'!$E$2367:$AR$2367,"&lt;="&amp;DATE(Summary!$C$12,12,31)),SUMIFS('Dvd Calendar'!$E$2368:$AR$2368,'Dvd Calendar'!$E$2367:$AR$2367,"&gt;"&amp;MAX(Summary!$C$11,DATE(Summary!$C$12,1,1)-1),'Dvd Calendar'!$E$2367:$AR$2367,"&lt;="&amp;DATE(Summary!$C$12,12,31),'Dvd Calendar'!$E$2372:$AR$2372,"&lt;&gt;"&amp;'Field Check'!$C$25)))</f>
        <v/>
      </c>
      <c r="L23" s="47">
        <f>IF($B23="",0,IF((Override!$C$4="ON")*ISNUMBER(Override!$G$169)&gt;0,Override!$G$169,$K23))</f>
        <v/>
      </c>
      <c r="M23" s="47">
        <f>IF($B23="",0,IF((Override!$C$4="ON")*ISNUMBER(Override!$H$169)&gt;0,Override!$H$169,$L23))</f>
        <v/>
      </c>
      <c r="N23" s="47">
        <f>IF($B23="",0,IF((Override!$C$4="ON")*ISNUMBER(Override!$I$169)&gt;0,Override!$I$169,$L23))</f>
        <v/>
      </c>
      <c r="O23" s="54">
        <f>IF($B23="","",IFERROR($B23*$G23*$J23/$B$3,""))</f>
        <v/>
      </c>
      <c r="P23" s="54">
        <f>IF($B23="","",IFERROR($B23*$G23*$L23/$B$3,""))</f>
        <v/>
      </c>
      <c r="Q23" s="38">
        <f>IF($B23="","",IFERROR($O23+$P23,""))</f>
        <v/>
      </c>
      <c r="R23" s="54">
        <f>IF($B23="","",IFERROR($O23+$B23*$G23*$M23/$B$3,""))</f>
        <v/>
      </c>
      <c r="S23" s="54">
        <f>IF($B23="","",IFERROR($O23+$B23*$G23*$N23/$B$3,""))</f>
        <v/>
      </c>
      <c r="T23" s="63">
        <f>IF($B23="","",IFERROR($Q23/$Q$5,""))</f>
        <v/>
      </c>
      <c r="U23" s="2">
        <f>IF($B23="","",IF(COUNTIFS('Dvd Calendar'!$E$2366:$AR$2366,"&gt;0",'Dvd Calendar'!$E$2367:$AR$2367,"&gt;"&amp;MAX(Summary!$C$11,DATE(Summary!$C$12,1,1)-1),'Dvd Calendar'!$E$2367:$AR$2367,"&lt;="&amp;DATE(Summary!$C$12,12,31))-COUNTIFS('Dvd Calendar'!$E$2366:$AR$2366,"&gt;0",'Dvd Calendar'!$E$2367:$AR$2367,"&gt;"&amp;MAX(Summary!$C$11,DATE(Summary!$C$12,1,1)-1),'Dvd Calendar'!$E$2367:$AR$2367,"&lt;="&amp;DATE(Summary!$C$12,12,31),'Dvd Calendar'!$E$2368:$AR$2368,"&gt;=0")&gt;0,"TBA amount - override me",IF((Override!$C$4="ON")*ISNUMBER(Override!$G$169)&gt;0,"overridden",IF($J23+$K23=0,"no dividend in year Y",""))))</f>
        <v/>
      </c>
      <c r="V23" s="54">
        <f>IF($B23="","",IFERROR(IF(ISNUMBER($H23),$B23*$G23*$H23/$B$3,0),""))</f>
        <v/>
      </c>
      <c r="W23" s="54">
        <f>IF($B23="","",IFERROR($B23*$G23*$K23/$B$3,""))</f>
        <v/>
      </c>
    </row>
    <row r="24">
      <c r="B24" s="73" t="n"/>
      <c r="C24" s="6">
        <f>IF($A24="","",$A24&amp;" Equity")</f>
        <v/>
      </c>
      <c r="D24" s="6">
        <f>IF($C24="","",BDP($C24,"NAME"))</f>
        <v/>
      </c>
      <c r="E24" s="6">
        <f>IF($C24="","",BDP($C24,"GICS_SECTOR_NAME"))</f>
        <v/>
      </c>
      <c r="F24" s="31">
        <f>IF($C24="","",BDP($C24,'Field Check'!$C$8))</f>
        <v/>
      </c>
      <c r="G24" s="74">
        <f>IFERROR(IF(LEN($F24)&lt;&gt;3,1,IF($F24="HKD",1,BDP(IF($F24="CNY",Summary!$C$14,$F24)&amp;"HKD Curncy","PX_LAST"))),1)</f>
        <v/>
      </c>
      <c r="H24" s="54">
        <f>IF($C24="","",BDP($C24,'Field Check'!$C$9))</f>
        <v/>
      </c>
      <c r="I24" s="45">
        <f>IF($C24="","",BDP($C24,'Field Check'!$C$10))</f>
        <v/>
      </c>
      <c r="J24" s="47">
        <f>IF($B24="",0,IF(Summary!$C$13="Y",SUMIFS('Dvd Calendar'!$E$2376:$AR$2376,'Dvd Calendar'!$E$2375:$AR$2375,"&gt;="&amp;DATE(Summary!$C$12,1,1),'Dvd Calendar'!$E$2375:$AR$2375,"&lt;="&amp;MIN(Summary!$C$11,DATE(Summary!$C$12,12,31))),SUMIFS('Dvd Calendar'!$E$2376:$AR$2376,'Dvd Calendar'!$E$2375:$AR$2375,"&gt;="&amp;DATE(Summary!$C$12,1,1),'Dvd Calendar'!$E$2375:$AR$2375,"&lt;="&amp;MIN(Summary!$C$11,DATE(Summary!$C$12,12,31)),'Dvd Calendar'!$E$2380:$AR$2380,"&lt;&gt;"&amp;'Field Check'!$C$25)))</f>
        <v/>
      </c>
      <c r="K24" s="47">
        <f>IF($B24="",0,IF(Summary!$C$13="Y",SUMIFS('Dvd Calendar'!$E$2383:$AR$2383,'Dvd Calendar'!$E$2382:$AR$2382,"&gt;"&amp;MAX(Summary!$C$11,DATE(Summary!$C$12,1,1)-1),'Dvd Calendar'!$E$2382:$AR$2382,"&lt;="&amp;DATE(Summary!$C$12,12,31)),SUMIFS('Dvd Calendar'!$E$2383:$AR$2383,'Dvd Calendar'!$E$2382:$AR$2382,"&gt;"&amp;MAX(Summary!$C$11,DATE(Summary!$C$12,1,1)-1),'Dvd Calendar'!$E$2382:$AR$2382,"&lt;="&amp;DATE(Summary!$C$12,12,31),'Dvd Calendar'!$E$2387:$AR$2387,"&lt;&gt;"&amp;'Field Check'!$C$25)))</f>
        <v/>
      </c>
      <c r="L24" s="47">
        <f>IF($B24="",0,IF((Override!$C$4="ON")*ISNUMBER(Override!$G$170)&gt;0,Override!$G$170,$K24))</f>
        <v/>
      </c>
      <c r="M24" s="47">
        <f>IF($B24="",0,IF((Override!$C$4="ON")*ISNUMBER(Override!$H$170)&gt;0,Override!$H$170,$L24))</f>
        <v/>
      </c>
      <c r="N24" s="47">
        <f>IF($B24="",0,IF((Override!$C$4="ON")*ISNUMBER(Override!$I$170)&gt;0,Override!$I$170,$L24))</f>
        <v/>
      </c>
      <c r="O24" s="54">
        <f>IF($B24="","",IFERROR($B24*$G24*$J24/$B$3,""))</f>
        <v/>
      </c>
      <c r="P24" s="54">
        <f>IF($B24="","",IFERROR($B24*$G24*$L24/$B$3,""))</f>
        <v/>
      </c>
      <c r="Q24" s="38">
        <f>IF($B24="","",IFERROR($O24+$P24,""))</f>
        <v/>
      </c>
      <c r="R24" s="54">
        <f>IF($B24="","",IFERROR($O24+$B24*$G24*$M24/$B$3,""))</f>
        <v/>
      </c>
      <c r="S24" s="54">
        <f>IF($B24="","",IFERROR($O24+$B24*$G24*$N24/$B$3,""))</f>
        <v/>
      </c>
      <c r="T24" s="63">
        <f>IF($B24="","",IFERROR($Q24/$Q$5,""))</f>
        <v/>
      </c>
      <c r="U24" s="2">
        <f>IF($B24="","",IF(COUNTIFS('Dvd Calendar'!$E$2381:$AR$2381,"&gt;0",'Dvd Calendar'!$E$2382:$AR$2382,"&gt;"&amp;MAX(Summary!$C$11,DATE(Summary!$C$12,1,1)-1),'Dvd Calendar'!$E$2382:$AR$2382,"&lt;="&amp;DATE(Summary!$C$12,12,31))-COUNTIFS('Dvd Calendar'!$E$2381:$AR$2381,"&gt;0",'Dvd Calendar'!$E$2382:$AR$2382,"&gt;"&amp;MAX(Summary!$C$11,DATE(Summary!$C$12,1,1)-1),'Dvd Calendar'!$E$2382:$AR$2382,"&lt;="&amp;DATE(Summary!$C$12,12,31),'Dvd Calendar'!$E$2383:$AR$2383,"&gt;=0")&gt;0,"TBA amount - override me",IF((Override!$C$4="ON")*ISNUMBER(Override!$G$170)&gt;0,"overridden",IF($J24+$K24=0,"no dividend in year Y",""))))</f>
        <v/>
      </c>
      <c r="V24" s="54">
        <f>IF($B24="","",IFERROR(IF(ISNUMBER($H24),$B24*$G24*$H24/$B$3,0),""))</f>
        <v/>
      </c>
      <c r="W24" s="54">
        <f>IF($B24="","",IFERROR($B24*$G24*$K24/$B$3,""))</f>
        <v/>
      </c>
    </row>
    <row r="25">
      <c r="B25" s="73" t="n"/>
      <c r="C25" s="6">
        <f>IF($A25="","",$A25&amp;" Equity")</f>
        <v/>
      </c>
      <c r="D25" s="6">
        <f>IF($C25="","",BDP($C25,"NAME"))</f>
        <v/>
      </c>
      <c r="E25" s="6">
        <f>IF($C25="","",BDP($C25,"GICS_SECTOR_NAME"))</f>
        <v/>
      </c>
      <c r="F25" s="31">
        <f>IF($C25="","",BDP($C25,'Field Check'!$C$8))</f>
        <v/>
      </c>
      <c r="G25" s="74">
        <f>IFERROR(IF(LEN($F25)&lt;&gt;3,1,IF($F25="HKD",1,BDP(IF($F25="CNY",Summary!$C$14,$F25)&amp;"HKD Curncy","PX_LAST"))),1)</f>
        <v/>
      </c>
      <c r="H25" s="54">
        <f>IF($C25="","",BDP($C25,'Field Check'!$C$9))</f>
        <v/>
      </c>
      <c r="I25" s="45">
        <f>IF($C25="","",BDP($C25,'Field Check'!$C$10))</f>
        <v/>
      </c>
      <c r="J25" s="47">
        <f>IF($B25="",0,IF(Summary!$C$13="Y",SUMIFS('Dvd Calendar'!$E$2391:$AR$2391,'Dvd Calendar'!$E$2390:$AR$2390,"&gt;="&amp;DATE(Summary!$C$12,1,1),'Dvd Calendar'!$E$2390:$AR$2390,"&lt;="&amp;MIN(Summary!$C$11,DATE(Summary!$C$12,12,31))),SUMIFS('Dvd Calendar'!$E$2391:$AR$2391,'Dvd Calendar'!$E$2390:$AR$2390,"&gt;="&amp;DATE(Summary!$C$12,1,1),'Dvd Calendar'!$E$2390:$AR$2390,"&lt;="&amp;MIN(Summary!$C$11,DATE(Summary!$C$12,12,31)),'Dvd Calendar'!$E$2395:$AR$2395,"&lt;&gt;"&amp;'Field Check'!$C$25)))</f>
        <v/>
      </c>
      <c r="K25" s="47">
        <f>IF($B25="",0,IF(Summary!$C$13="Y",SUMIFS('Dvd Calendar'!$E$2398:$AR$2398,'Dvd Calendar'!$E$2397:$AR$2397,"&gt;"&amp;MAX(Summary!$C$11,DATE(Summary!$C$12,1,1)-1),'Dvd Calendar'!$E$2397:$AR$2397,"&lt;="&amp;DATE(Summary!$C$12,12,31)),SUMIFS('Dvd Calendar'!$E$2398:$AR$2398,'Dvd Calendar'!$E$2397:$AR$2397,"&gt;"&amp;MAX(Summary!$C$11,DATE(Summary!$C$12,1,1)-1),'Dvd Calendar'!$E$2397:$AR$2397,"&lt;="&amp;DATE(Summary!$C$12,12,31),'Dvd Calendar'!$E$2402:$AR$2402,"&lt;&gt;"&amp;'Field Check'!$C$25)))</f>
        <v/>
      </c>
      <c r="L25" s="47">
        <f>IF($B25="",0,IF((Override!$C$4="ON")*ISNUMBER(Override!$G$171)&gt;0,Override!$G$171,$K25))</f>
        <v/>
      </c>
      <c r="M25" s="47">
        <f>IF($B25="",0,IF((Override!$C$4="ON")*ISNUMBER(Override!$H$171)&gt;0,Override!$H$171,$L25))</f>
        <v/>
      </c>
      <c r="N25" s="47">
        <f>IF($B25="",0,IF((Override!$C$4="ON")*ISNUMBER(Override!$I$171)&gt;0,Override!$I$171,$L25))</f>
        <v/>
      </c>
      <c r="O25" s="54">
        <f>IF($B25="","",IFERROR($B25*$G25*$J25/$B$3,""))</f>
        <v/>
      </c>
      <c r="P25" s="54">
        <f>IF($B25="","",IFERROR($B25*$G25*$L25/$B$3,""))</f>
        <v/>
      </c>
      <c r="Q25" s="38">
        <f>IF($B25="","",IFERROR($O25+$P25,""))</f>
        <v/>
      </c>
      <c r="R25" s="54">
        <f>IF($B25="","",IFERROR($O25+$B25*$G25*$M25/$B$3,""))</f>
        <v/>
      </c>
      <c r="S25" s="54">
        <f>IF($B25="","",IFERROR($O25+$B25*$G25*$N25/$B$3,""))</f>
        <v/>
      </c>
      <c r="T25" s="63">
        <f>IF($B25="","",IFERROR($Q25/$Q$5,""))</f>
        <v/>
      </c>
      <c r="U25" s="2">
        <f>IF($B25="","",IF(COUNTIFS('Dvd Calendar'!$E$2396:$AR$2396,"&gt;0",'Dvd Calendar'!$E$2397:$AR$2397,"&gt;"&amp;MAX(Summary!$C$11,DATE(Summary!$C$12,1,1)-1),'Dvd Calendar'!$E$2397:$AR$2397,"&lt;="&amp;DATE(Summary!$C$12,12,31))-COUNTIFS('Dvd Calendar'!$E$2396:$AR$2396,"&gt;0",'Dvd Calendar'!$E$2397:$AR$2397,"&gt;"&amp;MAX(Summary!$C$11,DATE(Summary!$C$12,1,1)-1),'Dvd Calendar'!$E$2397:$AR$2397,"&lt;="&amp;DATE(Summary!$C$12,12,31),'Dvd Calendar'!$E$2398:$AR$2398,"&gt;=0")&gt;0,"TBA amount - override me",IF((Override!$C$4="ON")*ISNUMBER(Override!$G$171)&gt;0,"overridden",IF($J25+$K25=0,"no dividend in year Y",""))))</f>
        <v/>
      </c>
      <c r="V25" s="54">
        <f>IF($B25="","",IFERROR(IF(ISNUMBER($H25),$B25*$G25*$H25/$B$3,0),""))</f>
        <v/>
      </c>
      <c r="W25" s="54">
        <f>IF($B25="","",IFERROR($B25*$G25*$K25/$B$3,""))</f>
        <v/>
      </c>
    </row>
    <row r="26">
      <c r="B26" s="73" t="n"/>
      <c r="C26" s="6">
        <f>IF($A26="","",$A26&amp;" Equity")</f>
        <v/>
      </c>
      <c r="D26" s="6">
        <f>IF($C26="","",BDP($C26,"NAME"))</f>
        <v/>
      </c>
      <c r="E26" s="6">
        <f>IF($C26="","",BDP($C26,"GICS_SECTOR_NAME"))</f>
        <v/>
      </c>
      <c r="F26" s="31">
        <f>IF($C26="","",BDP($C26,'Field Check'!$C$8))</f>
        <v/>
      </c>
      <c r="G26" s="74">
        <f>IFERROR(IF(LEN($F26)&lt;&gt;3,1,IF($F26="HKD",1,BDP(IF($F26="CNY",Summary!$C$14,$F26)&amp;"HKD Curncy","PX_LAST"))),1)</f>
        <v/>
      </c>
      <c r="H26" s="54">
        <f>IF($C26="","",BDP($C26,'Field Check'!$C$9))</f>
        <v/>
      </c>
      <c r="I26" s="45">
        <f>IF($C26="","",BDP($C26,'Field Check'!$C$10))</f>
        <v/>
      </c>
      <c r="J26" s="47">
        <f>IF($B26="",0,IF(Summary!$C$13="Y",SUMIFS('Dvd Calendar'!$E$2406:$AR$2406,'Dvd Calendar'!$E$2405:$AR$2405,"&gt;="&amp;DATE(Summary!$C$12,1,1),'Dvd Calendar'!$E$2405:$AR$2405,"&lt;="&amp;MIN(Summary!$C$11,DATE(Summary!$C$12,12,31))),SUMIFS('Dvd Calendar'!$E$2406:$AR$2406,'Dvd Calendar'!$E$2405:$AR$2405,"&gt;="&amp;DATE(Summary!$C$12,1,1),'Dvd Calendar'!$E$2405:$AR$2405,"&lt;="&amp;MIN(Summary!$C$11,DATE(Summary!$C$12,12,31)),'Dvd Calendar'!$E$2410:$AR$2410,"&lt;&gt;"&amp;'Field Check'!$C$25)))</f>
        <v/>
      </c>
      <c r="K26" s="47">
        <f>IF($B26="",0,IF(Summary!$C$13="Y",SUMIFS('Dvd Calendar'!$E$2413:$AR$2413,'Dvd Calendar'!$E$2412:$AR$2412,"&gt;"&amp;MAX(Summary!$C$11,DATE(Summary!$C$12,1,1)-1),'Dvd Calendar'!$E$2412:$AR$2412,"&lt;="&amp;DATE(Summary!$C$12,12,31)),SUMIFS('Dvd Calendar'!$E$2413:$AR$2413,'Dvd Calendar'!$E$2412:$AR$2412,"&gt;"&amp;MAX(Summary!$C$11,DATE(Summary!$C$12,1,1)-1),'Dvd Calendar'!$E$2412:$AR$2412,"&lt;="&amp;DATE(Summary!$C$12,12,31),'Dvd Calendar'!$E$2417:$AR$2417,"&lt;&gt;"&amp;'Field Check'!$C$25)))</f>
        <v/>
      </c>
      <c r="L26" s="47">
        <f>IF($B26="",0,IF((Override!$C$4="ON")*ISNUMBER(Override!$G$172)&gt;0,Override!$G$172,$K26))</f>
        <v/>
      </c>
      <c r="M26" s="47">
        <f>IF($B26="",0,IF((Override!$C$4="ON")*ISNUMBER(Override!$H$172)&gt;0,Override!$H$172,$L26))</f>
        <v/>
      </c>
      <c r="N26" s="47">
        <f>IF($B26="",0,IF((Override!$C$4="ON")*ISNUMBER(Override!$I$172)&gt;0,Override!$I$172,$L26))</f>
        <v/>
      </c>
      <c r="O26" s="54">
        <f>IF($B26="","",IFERROR($B26*$G26*$J26/$B$3,""))</f>
        <v/>
      </c>
      <c r="P26" s="54">
        <f>IF($B26="","",IFERROR($B26*$G26*$L26/$B$3,""))</f>
        <v/>
      </c>
      <c r="Q26" s="38">
        <f>IF($B26="","",IFERROR($O26+$P26,""))</f>
        <v/>
      </c>
      <c r="R26" s="54">
        <f>IF($B26="","",IFERROR($O26+$B26*$G26*$M26/$B$3,""))</f>
        <v/>
      </c>
      <c r="S26" s="54">
        <f>IF($B26="","",IFERROR($O26+$B26*$G26*$N26/$B$3,""))</f>
        <v/>
      </c>
      <c r="T26" s="63">
        <f>IF($B26="","",IFERROR($Q26/$Q$5,""))</f>
        <v/>
      </c>
      <c r="U26" s="2">
        <f>IF($B26="","",IF(COUNTIFS('Dvd Calendar'!$E$2411:$AR$2411,"&gt;0",'Dvd Calendar'!$E$2412:$AR$2412,"&gt;"&amp;MAX(Summary!$C$11,DATE(Summary!$C$12,1,1)-1),'Dvd Calendar'!$E$2412:$AR$2412,"&lt;="&amp;DATE(Summary!$C$12,12,31))-COUNTIFS('Dvd Calendar'!$E$2411:$AR$2411,"&gt;0",'Dvd Calendar'!$E$2412:$AR$2412,"&gt;"&amp;MAX(Summary!$C$11,DATE(Summary!$C$12,1,1)-1),'Dvd Calendar'!$E$2412:$AR$2412,"&lt;="&amp;DATE(Summary!$C$12,12,31),'Dvd Calendar'!$E$2413:$AR$2413,"&gt;=0")&gt;0,"TBA amount - override me",IF((Override!$C$4="ON")*ISNUMBER(Override!$G$172)&gt;0,"overridden",IF($J26+$K26=0,"no dividend in year Y",""))))</f>
        <v/>
      </c>
      <c r="V26" s="54">
        <f>IF($B26="","",IFERROR(IF(ISNUMBER($H26),$B26*$G26*$H26/$B$3,0),""))</f>
        <v/>
      </c>
      <c r="W26" s="54">
        <f>IF($B26="","",IFERROR($B26*$G26*$K26/$B$3,""))</f>
        <v/>
      </c>
    </row>
    <row r="27">
      <c r="B27" s="73" t="n"/>
      <c r="C27" s="6">
        <f>IF($A27="","",$A27&amp;" Equity")</f>
        <v/>
      </c>
      <c r="D27" s="6">
        <f>IF($C27="","",BDP($C27,"NAME"))</f>
        <v/>
      </c>
      <c r="E27" s="6">
        <f>IF($C27="","",BDP($C27,"GICS_SECTOR_NAME"))</f>
        <v/>
      </c>
      <c r="F27" s="31">
        <f>IF($C27="","",BDP($C27,'Field Check'!$C$8))</f>
        <v/>
      </c>
      <c r="G27" s="74">
        <f>IFERROR(IF(LEN($F27)&lt;&gt;3,1,IF($F27="HKD",1,BDP(IF($F27="CNY",Summary!$C$14,$F27)&amp;"HKD Curncy","PX_LAST"))),1)</f>
        <v/>
      </c>
      <c r="H27" s="54">
        <f>IF($C27="","",BDP($C27,'Field Check'!$C$9))</f>
        <v/>
      </c>
      <c r="I27" s="45">
        <f>IF($C27="","",BDP($C27,'Field Check'!$C$10))</f>
        <v/>
      </c>
      <c r="J27" s="47">
        <f>IF($B27="",0,IF(Summary!$C$13="Y",SUMIFS('Dvd Calendar'!$E$2421:$AR$2421,'Dvd Calendar'!$E$2420:$AR$2420,"&gt;="&amp;DATE(Summary!$C$12,1,1),'Dvd Calendar'!$E$2420:$AR$2420,"&lt;="&amp;MIN(Summary!$C$11,DATE(Summary!$C$12,12,31))),SUMIFS('Dvd Calendar'!$E$2421:$AR$2421,'Dvd Calendar'!$E$2420:$AR$2420,"&gt;="&amp;DATE(Summary!$C$12,1,1),'Dvd Calendar'!$E$2420:$AR$2420,"&lt;="&amp;MIN(Summary!$C$11,DATE(Summary!$C$12,12,31)),'Dvd Calendar'!$E$2425:$AR$2425,"&lt;&gt;"&amp;'Field Check'!$C$25)))</f>
        <v/>
      </c>
      <c r="K27" s="47">
        <f>IF($B27="",0,IF(Summary!$C$13="Y",SUMIFS('Dvd Calendar'!$E$2428:$AR$2428,'Dvd Calendar'!$E$2427:$AR$2427,"&gt;"&amp;MAX(Summary!$C$11,DATE(Summary!$C$12,1,1)-1),'Dvd Calendar'!$E$2427:$AR$2427,"&lt;="&amp;DATE(Summary!$C$12,12,31)),SUMIFS('Dvd Calendar'!$E$2428:$AR$2428,'Dvd Calendar'!$E$2427:$AR$2427,"&gt;"&amp;MAX(Summary!$C$11,DATE(Summary!$C$12,1,1)-1),'Dvd Calendar'!$E$2427:$AR$2427,"&lt;="&amp;DATE(Summary!$C$12,12,31),'Dvd Calendar'!$E$2432:$AR$2432,"&lt;&gt;"&amp;'Field Check'!$C$25)))</f>
        <v/>
      </c>
      <c r="L27" s="47">
        <f>IF($B27="",0,IF((Override!$C$4="ON")*ISNUMBER(Override!$G$173)&gt;0,Override!$G$173,$K27))</f>
        <v/>
      </c>
      <c r="M27" s="47">
        <f>IF($B27="",0,IF((Override!$C$4="ON")*ISNUMBER(Override!$H$173)&gt;0,Override!$H$173,$L27))</f>
        <v/>
      </c>
      <c r="N27" s="47">
        <f>IF($B27="",0,IF((Override!$C$4="ON")*ISNUMBER(Override!$I$173)&gt;0,Override!$I$173,$L27))</f>
        <v/>
      </c>
      <c r="O27" s="54">
        <f>IF($B27="","",IFERROR($B27*$G27*$J27/$B$3,""))</f>
        <v/>
      </c>
      <c r="P27" s="54">
        <f>IF($B27="","",IFERROR($B27*$G27*$L27/$B$3,""))</f>
        <v/>
      </c>
      <c r="Q27" s="38">
        <f>IF($B27="","",IFERROR($O27+$P27,""))</f>
        <v/>
      </c>
      <c r="R27" s="54">
        <f>IF($B27="","",IFERROR($O27+$B27*$G27*$M27/$B$3,""))</f>
        <v/>
      </c>
      <c r="S27" s="54">
        <f>IF($B27="","",IFERROR($O27+$B27*$G27*$N27/$B$3,""))</f>
        <v/>
      </c>
      <c r="T27" s="63">
        <f>IF($B27="","",IFERROR($Q27/$Q$5,""))</f>
        <v/>
      </c>
      <c r="U27" s="2">
        <f>IF($B27="","",IF(COUNTIFS('Dvd Calendar'!$E$2426:$AR$2426,"&gt;0",'Dvd Calendar'!$E$2427:$AR$2427,"&gt;"&amp;MAX(Summary!$C$11,DATE(Summary!$C$12,1,1)-1),'Dvd Calendar'!$E$2427:$AR$2427,"&lt;="&amp;DATE(Summary!$C$12,12,31))-COUNTIFS('Dvd Calendar'!$E$2426:$AR$2426,"&gt;0",'Dvd Calendar'!$E$2427:$AR$2427,"&gt;"&amp;MAX(Summary!$C$11,DATE(Summary!$C$12,1,1)-1),'Dvd Calendar'!$E$2427:$AR$2427,"&lt;="&amp;DATE(Summary!$C$12,12,31),'Dvd Calendar'!$E$2428:$AR$2428,"&gt;=0")&gt;0,"TBA amount - override me",IF((Override!$C$4="ON")*ISNUMBER(Override!$G$173)&gt;0,"overridden",IF($J27+$K27=0,"no dividend in year Y",""))))</f>
        <v/>
      </c>
      <c r="V27" s="54">
        <f>IF($B27="","",IFERROR(IF(ISNUMBER($H27),$B27*$G27*$H27/$B$3,0),""))</f>
        <v/>
      </c>
      <c r="W27" s="54">
        <f>IF($B27="","",IFERROR($B27*$G27*$K27/$B$3,""))</f>
        <v/>
      </c>
    </row>
    <row r="28">
      <c r="B28" s="73" t="n"/>
      <c r="C28" s="6">
        <f>IF($A28="","",$A28&amp;" Equity")</f>
        <v/>
      </c>
      <c r="D28" s="6">
        <f>IF($C28="","",BDP($C28,"NAME"))</f>
        <v/>
      </c>
      <c r="E28" s="6">
        <f>IF($C28="","",BDP($C28,"GICS_SECTOR_NAME"))</f>
        <v/>
      </c>
      <c r="F28" s="31">
        <f>IF($C28="","",BDP($C28,'Field Check'!$C$8))</f>
        <v/>
      </c>
      <c r="G28" s="74">
        <f>IFERROR(IF(LEN($F28)&lt;&gt;3,1,IF($F28="HKD",1,BDP(IF($F28="CNY",Summary!$C$14,$F28)&amp;"HKD Curncy","PX_LAST"))),1)</f>
        <v/>
      </c>
      <c r="H28" s="54">
        <f>IF($C28="","",BDP($C28,'Field Check'!$C$9))</f>
        <v/>
      </c>
      <c r="I28" s="45">
        <f>IF($C28="","",BDP($C28,'Field Check'!$C$10))</f>
        <v/>
      </c>
      <c r="J28" s="47">
        <f>IF($B28="",0,IF(Summary!$C$13="Y",SUMIFS('Dvd Calendar'!$E$2436:$AR$2436,'Dvd Calendar'!$E$2435:$AR$2435,"&gt;="&amp;DATE(Summary!$C$12,1,1),'Dvd Calendar'!$E$2435:$AR$2435,"&lt;="&amp;MIN(Summary!$C$11,DATE(Summary!$C$12,12,31))),SUMIFS('Dvd Calendar'!$E$2436:$AR$2436,'Dvd Calendar'!$E$2435:$AR$2435,"&gt;="&amp;DATE(Summary!$C$12,1,1),'Dvd Calendar'!$E$2435:$AR$2435,"&lt;="&amp;MIN(Summary!$C$11,DATE(Summary!$C$12,12,31)),'Dvd Calendar'!$E$2440:$AR$2440,"&lt;&gt;"&amp;'Field Check'!$C$25)))</f>
        <v/>
      </c>
      <c r="K28" s="47">
        <f>IF($B28="",0,IF(Summary!$C$13="Y",SUMIFS('Dvd Calendar'!$E$2443:$AR$2443,'Dvd Calendar'!$E$2442:$AR$2442,"&gt;"&amp;MAX(Summary!$C$11,DATE(Summary!$C$12,1,1)-1),'Dvd Calendar'!$E$2442:$AR$2442,"&lt;="&amp;DATE(Summary!$C$12,12,31)),SUMIFS('Dvd Calendar'!$E$2443:$AR$2443,'Dvd Calendar'!$E$2442:$AR$2442,"&gt;"&amp;MAX(Summary!$C$11,DATE(Summary!$C$12,1,1)-1),'Dvd Calendar'!$E$2442:$AR$2442,"&lt;="&amp;DATE(Summary!$C$12,12,31),'Dvd Calendar'!$E$2447:$AR$2447,"&lt;&gt;"&amp;'Field Check'!$C$25)))</f>
        <v/>
      </c>
      <c r="L28" s="47">
        <f>IF($B28="",0,IF((Override!$C$4="ON")*ISNUMBER(Override!$G$174)&gt;0,Override!$G$174,$K28))</f>
        <v/>
      </c>
      <c r="M28" s="47">
        <f>IF($B28="",0,IF((Override!$C$4="ON")*ISNUMBER(Override!$H$174)&gt;0,Override!$H$174,$L28))</f>
        <v/>
      </c>
      <c r="N28" s="47">
        <f>IF($B28="",0,IF((Override!$C$4="ON")*ISNUMBER(Override!$I$174)&gt;0,Override!$I$174,$L28))</f>
        <v/>
      </c>
      <c r="O28" s="54">
        <f>IF($B28="","",IFERROR($B28*$G28*$J28/$B$3,""))</f>
        <v/>
      </c>
      <c r="P28" s="54">
        <f>IF($B28="","",IFERROR($B28*$G28*$L28/$B$3,""))</f>
        <v/>
      </c>
      <c r="Q28" s="38">
        <f>IF($B28="","",IFERROR($O28+$P28,""))</f>
        <v/>
      </c>
      <c r="R28" s="54">
        <f>IF($B28="","",IFERROR($O28+$B28*$G28*$M28/$B$3,""))</f>
        <v/>
      </c>
      <c r="S28" s="54">
        <f>IF($B28="","",IFERROR($O28+$B28*$G28*$N28/$B$3,""))</f>
        <v/>
      </c>
      <c r="T28" s="63">
        <f>IF($B28="","",IFERROR($Q28/$Q$5,""))</f>
        <v/>
      </c>
      <c r="U28" s="2">
        <f>IF($B28="","",IF(COUNTIFS('Dvd Calendar'!$E$2441:$AR$2441,"&gt;0",'Dvd Calendar'!$E$2442:$AR$2442,"&gt;"&amp;MAX(Summary!$C$11,DATE(Summary!$C$12,1,1)-1),'Dvd Calendar'!$E$2442:$AR$2442,"&lt;="&amp;DATE(Summary!$C$12,12,31))-COUNTIFS('Dvd Calendar'!$E$2441:$AR$2441,"&gt;0",'Dvd Calendar'!$E$2442:$AR$2442,"&gt;"&amp;MAX(Summary!$C$11,DATE(Summary!$C$12,1,1)-1),'Dvd Calendar'!$E$2442:$AR$2442,"&lt;="&amp;DATE(Summary!$C$12,12,31),'Dvd Calendar'!$E$2443:$AR$2443,"&gt;=0")&gt;0,"TBA amount - override me",IF((Override!$C$4="ON")*ISNUMBER(Override!$G$174)&gt;0,"overridden",IF($J28+$K28=0,"no dividend in year Y",""))))</f>
        <v/>
      </c>
      <c r="V28" s="54">
        <f>IF($B28="","",IFERROR(IF(ISNUMBER($H28),$B28*$G28*$H28/$B$3,0),""))</f>
        <v/>
      </c>
      <c r="W28" s="54">
        <f>IF($B28="","",IFERROR($B28*$G28*$K28/$B$3,""))</f>
        <v/>
      </c>
    </row>
    <row r="29">
      <c r="B29" s="73" t="n"/>
      <c r="C29" s="6">
        <f>IF($A29="","",$A29&amp;" Equity")</f>
        <v/>
      </c>
      <c r="D29" s="6">
        <f>IF($C29="","",BDP($C29,"NAME"))</f>
        <v/>
      </c>
      <c r="E29" s="6">
        <f>IF($C29="","",BDP($C29,"GICS_SECTOR_NAME"))</f>
        <v/>
      </c>
      <c r="F29" s="31">
        <f>IF($C29="","",BDP($C29,'Field Check'!$C$8))</f>
        <v/>
      </c>
      <c r="G29" s="74">
        <f>IFERROR(IF(LEN($F29)&lt;&gt;3,1,IF($F29="HKD",1,BDP(IF($F29="CNY",Summary!$C$14,$F29)&amp;"HKD Curncy","PX_LAST"))),1)</f>
        <v/>
      </c>
      <c r="H29" s="54">
        <f>IF($C29="","",BDP($C29,'Field Check'!$C$9))</f>
        <v/>
      </c>
      <c r="I29" s="45">
        <f>IF($C29="","",BDP($C29,'Field Check'!$C$10))</f>
        <v/>
      </c>
      <c r="J29" s="47">
        <f>IF($B29="",0,IF(Summary!$C$13="Y",SUMIFS('Dvd Calendar'!$E$2451:$AR$2451,'Dvd Calendar'!$E$2450:$AR$2450,"&gt;="&amp;DATE(Summary!$C$12,1,1),'Dvd Calendar'!$E$2450:$AR$2450,"&lt;="&amp;MIN(Summary!$C$11,DATE(Summary!$C$12,12,31))),SUMIFS('Dvd Calendar'!$E$2451:$AR$2451,'Dvd Calendar'!$E$2450:$AR$2450,"&gt;="&amp;DATE(Summary!$C$12,1,1),'Dvd Calendar'!$E$2450:$AR$2450,"&lt;="&amp;MIN(Summary!$C$11,DATE(Summary!$C$12,12,31)),'Dvd Calendar'!$E$2455:$AR$2455,"&lt;&gt;"&amp;'Field Check'!$C$25)))</f>
        <v/>
      </c>
      <c r="K29" s="47">
        <f>IF($B29="",0,IF(Summary!$C$13="Y",SUMIFS('Dvd Calendar'!$E$2458:$AR$2458,'Dvd Calendar'!$E$2457:$AR$2457,"&gt;"&amp;MAX(Summary!$C$11,DATE(Summary!$C$12,1,1)-1),'Dvd Calendar'!$E$2457:$AR$2457,"&lt;="&amp;DATE(Summary!$C$12,12,31)),SUMIFS('Dvd Calendar'!$E$2458:$AR$2458,'Dvd Calendar'!$E$2457:$AR$2457,"&gt;"&amp;MAX(Summary!$C$11,DATE(Summary!$C$12,1,1)-1),'Dvd Calendar'!$E$2457:$AR$2457,"&lt;="&amp;DATE(Summary!$C$12,12,31),'Dvd Calendar'!$E$2462:$AR$2462,"&lt;&gt;"&amp;'Field Check'!$C$25)))</f>
        <v/>
      </c>
      <c r="L29" s="47">
        <f>IF($B29="",0,IF((Override!$C$4="ON")*ISNUMBER(Override!$G$175)&gt;0,Override!$G$175,$K29))</f>
        <v/>
      </c>
      <c r="M29" s="47">
        <f>IF($B29="",0,IF((Override!$C$4="ON")*ISNUMBER(Override!$H$175)&gt;0,Override!$H$175,$L29))</f>
        <v/>
      </c>
      <c r="N29" s="47">
        <f>IF($B29="",0,IF((Override!$C$4="ON")*ISNUMBER(Override!$I$175)&gt;0,Override!$I$175,$L29))</f>
        <v/>
      </c>
      <c r="O29" s="54">
        <f>IF($B29="","",IFERROR($B29*$G29*$J29/$B$3,""))</f>
        <v/>
      </c>
      <c r="P29" s="54">
        <f>IF($B29="","",IFERROR($B29*$G29*$L29/$B$3,""))</f>
        <v/>
      </c>
      <c r="Q29" s="38">
        <f>IF($B29="","",IFERROR($O29+$P29,""))</f>
        <v/>
      </c>
      <c r="R29" s="54">
        <f>IF($B29="","",IFERROR($O29+$B29*$G29*$M29/$B$3,""))</f>
        <v/>
      </c>
      <c r="S29" s="54">
        <f>IF($B29="","",IFERROR($O29+$B29*$G29*$N29/$B$3,""))</f>
        <v/>
      </c>
      <c r="T29" s="63">
        <f>IF($B29="","",IFERROR($Q29/$Q$5,""))</f>
        <v/>
      </c>
      <c r="U29" s="2">
        <f>IF($B29="","",IF(COUNTIFS('Dvd Calendar'!$E$2456:$AR$2456,"&gt;0",'Dvd Calendar'!$E$2457:$AR$2457,"&gt;"&amp;MAX(Summary!$C$11,DATE(Summary!$C$12,1,1)-1),'Dvd Calendar'!$E$2457:$AR$2457,"&lt;="&amp;DATE(Summary!$C$12,12,31))-COUNTIFS('Dvd Calendar'!$E$2456:$AR$2456,"&gt;0",'Dvd Calendar'!$E$2457:$AR$2457,"&gt;"&amp;MAX(Summary!$C$11,DATE(Summary!$C$12,1,1)-1),'Dvd Calendar'!$E$2457:$AR$2457,"&lt;="&amp;DATE(Summary!$C$12,12,31),'Dvd Calendar'!$E$2458:$AR$2458,"&gt;=0")&gt;0,"TBA amount - override me",IF((Override!$C$4="ON")*ISNUMBER(Override!$G$175)&gt;0,"overridden",IF($J29+$K29=0,"no dividend in year Y",""))))</f>
        <v/>
      </c>
      <c r="V29" s="54">
        <f>IF($B29="","",IFERROR(IF(ISNUMBER($H29),$B29*$G29*$H29/$B$3,0),""))</f>
        <v/>
      </c>
      <c r="W29" s="54">
        <f>IF($B29="","",IFERROR($B29*$G29*$K29/$B$3,""))</f>
        <v/>
      </c>
    </row>
    <row r="30">
      <c r="B30" s="73" t="n"/>
      <c r="C30" s="6">
        <f>IF($A30="","",$A30&amp;" Equity")</f>
        <v/>
      </c>
      <c r="D30" s="6">
        <f>IF($C30="","",BDP($C30,"NAME"))</f>
        <v/>
      </c>
      <c r="E30" s="6">
        <f>IF($C30="","",BDP($C30,"GICS_SECTOR_NAME"))</f>
        <v/>
      </c>
      <c r="F30" s="31">
        <f>IF($C30="","",BDP($C30,'Field Check'!$C$8))</f>
        <v/>
      </c>
      <c r="G30" s="74">
        <f>IFERROR(IF(LEN($F30)&lt;&gt;3,1,IF($F30="HKD",1,BDP(IF($F30="CNY",Summary!$C$14,$F30)&amp;"HKD Curncy","PX_LAST"))),1)</f>
        <v/>
      </c>
      <c r="H30" s="54">
        <f>IF($C30="","",BDP($C30,'Field Check'!$C$9))</f>
        <v/>
      </c>
      <c r="I30" s="45">
        <f>IF($C30="","",BDP($C30,'Field Check'!$C$10))</f>
        <v/>
      </c>
      <c r="J30" s="47">
        <f>IF($B30="",0,IF(Summary!$C$13="Y",SUMIFS('Dvd Calendar'!$E$2466:$AR$2466,'Dvd Calendar'!$E$2465:$AR$2465,"&gt;="&amp;DATE(Summary!$C$12,1,1),'Dvd Calendar'!$E$2465:$AR$2465,"&lt;="&amp;MIN(Summary!$C$11,DATE(Summary!$C$12,12,31))),SUMIFS('Dvd Calendar'!$E$2466:$AR$2466,'Dvd Calendar'!$E$2465:$AR$2465,"&gt;="&amp;DATE(Summary!$C$12,1,1),'Dvd Calendar'!$E$2465:$AR$2465,"&lt;="&amp;MIN(Summary!$C$11,DATE(Summary!$C$12,12,31)),'Dvd Calendar'!$E$2470:$AR$2470,"&lt;&gt;"&amp;'Field Check'!$C$25)))</f>
        <v/>
      </c>
      <c r="K30" s="47">
        <f>IF($B30="",0,IF(Summary!$C$13="Y",SUMIFS('Dvd Calendar'!$E$2473:$AR$2473,'Dvd Calendar'!$E$2472:$AR$2472,"&gt;"&amp;MAX(Summary!$C$11,DATE(Summary!$C$12,1,1)-1),'Dvd Calendar'!$E$2472:$AR$2472,"&lt;="&amp;DATE(Summary!$C$12,12,31)),SUMIFS('Dvd Calendar'!$E$2473:$AR$2473,'Dvd Calendar'!$E$2472:$AR$2472,"&gt;"&amp;MAX(Summary!$C$11,DATE(Summary!$C$12,1,1)-1),'Dvd Calendar'!$E$2472:$AR$2472,"&lt;="&amp;DATE(Summary!$C$12,12,31),'Dvd Calendar'!$E$2477:$AR$2477,"&lt;&gt;"&amp;'Field Check'!$C$25)))</f>
        <v/>
      </c>
      <c r="L30" s="47">
        <f>IF($B30="",0,IF((Override!$C$4="ON")*ISNUMBER(Override!$G$176)&gt;0,Override!$G$176,$K30))</f>
        <v/>
      </c>
      <c r="M30" s="47">
        <f>IF($B30="",0,IF((Override!$C$4="ON")*ISNUMBER(Override!$H$176)&gt;0,Override!$H$176,$L30))</f>
        <v/>
      </c>
      <c r="N30" s="47">
        <f>IF($B30="",0,IF((Override!$C$4="ON")*ISNUMBER(Override!$I$176)&gt;0,Override!$I$176,$L30))</f>
        <v/>
      </c>
      <c r="O30" s="54">
        <f>IF($B30="","",IFERROR($B30*$G30*$J30/$B$3,""))</f>
        <v/>
      </c>
      <c r="P30" s="54">
        <f>IF($B30="","",IFERROR($B30*$G30*$L30/$B$3,""))</f>
        <v/>
      </c>
      <c r="Q30" s="38">
        <f>IF($B30="","",IFERROR($O30+$P30,""))</f>
        <v/>
      </c>
      <c r="R30" s="54">
        <f>IF($B30="","",IFERROR($O30+$B30*$G30*$M30/$B$3,""))</f>
        <v/>
      </c>
      <c r="S30" s="54">
        <f>IF($B30="","",IFERROR($O30+$B30*$G30*$N30/$B$3,""))</f>
        <v/>
      </c>
      <c r="T30" s="63">
        <f>IF($B30="","",IFERROR($Q30/$Q$5,""))</f>
        <v/>
      </c>
      <c r="U30" s="2">
        <f>IF($B30="","",IF(COUNTIFS('Dvd Calendar'!$E$2471:$AR$2471,"&gt;0",'Dvd Calendar'!$E$2472:$AR$2472,"&gt;"&amp;MAX(Summary!$C$11,DATE(Summary!$C$12,1,1)-1),'Dvd Calendar'!$E$2472:$AR$2472,"&lt;="&amp;DATE(Summary!$C$12,12,31))-COUNTIFS('Dvd Calendar'!$E$2471:$AR$2471,"&gt;0",'Dvd Calendar'!$E$2472:$AR$2472,"&gt;"&amp;MAX(Summary!$C$11,DATE(Summary!$C$12,1,1)-1),'Dvd Calendar'!$E$2472:$AR$2472,"&lt;="&amp;DATE(Summary!$C$12,12,31),'Dvd Calendar'!$E$2473:$AR$2473,"&gt;=0")&gt;0,"TBA amount - override me",IF((Override!$C$4="ON")*ISNUMBER(Override!$G$176)&gt;0,"overridden",IF($J30+$K30=0,"no dividend in year Y",""))))</f>
        <v/>
      </c>
      <c r="V30" s="54">
        <f>IF($B30="","",IFERROR(IF(ISNUMBER($H30),$B30*$G30*$H30/$B$3,0),""))</f>
        <v/>
      </c>
      <c r="W30" s="54">
        <f>IF($B30="","",IFERROR($B30*$G30*$K30/$B$3,""))</f>
        <v/>
      </c>
    </row>
    <row r="31">
      <c r="B31" s="73" t="n"/>
      <c r="C31" s="6">
        <f>IF($A31="","",$A31&amp;" Equity")</f>
        <v/>
      </c>
      <c r="D31" s="6">
        <f>IF($C31="","",BDP($C31,"NAME"))</f>
        <v/>
      </c>
      <c r="E31" s="6">
        <f>IF($C31="","",BDP($C31,"GICS_SECTOR_NAME"))</f>
        <v/>
      </c>
      <c r="F31" s="31">
        <f>IF($C31="","",BDP($C31,'Field Check'!$C$8))</f>
        <v/>
      </c>
      <c r="G31" s="74">
        <f>IFERROR(IF(LEN($F31)&lt;&gt;3,1,IF($F31="HKD",1,BDP(IF($F31="CNY",Summary!$C$14,$F31)&amp;"HKD Curncy","PX_LAST"))),1)</f>
        <v/>
      </c>
      <c r="H31" s="54">
        <f>IF($C31="","",BDP($C31,'Field Check'!$C$9))</f>
        <v/>
      </c>
      <c r="I31" s="45">
        <f>IF($C31="","",BDP($C31,'Field Check'!$C$10))</f>
        <v/>
      </c>
      <c r="J31" s="47">
        <f>IF($B31="",0,IF(Summary!$C$13="Y",SUMIFS('Dvd Calendar'!$E$2481:$AR$2481,'Dvd Calendar'!$E$2480:$AR$2480,"&gt;="&amp;DATE(Summary!$C$12,1,1),'Dvd Calendar'!$E$2480:$AR$2480,"&lt;="&amp;MIN(Summary!$C$11,DATE(Summary!$C$12,12,31))),SUMIFS('Dvd Calendar'!$E$2481:$AR$2481,'Dvd Calendar'!$E$2480:$AR$2480,"&gt;="&amp;DATE(Summary!$C$12,1,1),'Dvd Calendar'!$E$2480:$AR$2480,"&lt;="&amp;MIN(Summary!$C$11,DATE(Summary!$C$12,12,31)),'Dvd Calendar'!$E$2485:$AR$2485,"&lt;&gt;"&amp;'Field Check'!$C$25)))</f>
        <v/>
      </c>
      <c r="K31" s="47">
        <f>IF($B31="",0,IF(Summary!$C$13="Y",SUMIFS('Dvd Calendar'!$E$2488:$AR$2488,'Dvd Calendar'!$E$2487:$AR$2487,"&gt;"&amp;MAX(Summary!$C$11,DATE(Summary!$C$12,1,1)-1),'Dvd Calendar'!$E$2487:$AR$2487,"&lt;="&amp;DATE(Summary!$C$12,12,31)),SUMIFS('Dvd Calendar'!$E$2488:$AR$2488,'Dvd Calendar'!$E$2487:$AR$2487,"&gt;"&amp;MAX(Summary!$C$11,DATE(Summary!$C$12,1,1)-1),'Dvd Calendar'!$E$2487:$AR$2487,"&lt;="&amp;DATE(Summary!$C$12,12,31),'Dvd Calendar'!$E$2492:$AR$2492,"&lt;&gt;"&amp;'Field Check'!$C$25)))</f>
        <v/>
      </c>
      <c r="L31" s="47">
        <f>IF($B31="",0,IF((Override!$C$4="ON")*ISNUMBER(Override!$G$177)&gt;0,Override!$G$177,$K31))</f>
        <v/>
      </c>
      <c r="M31" s="47">
        <f>IF($B31="",0,IF((Override!$C$4="ON")*ISNUMBER(Override!$H$177)&gt;0,Override!$H$177,$L31))</f>
        <v/>
      </c>
      <c r="N31" s="47">
        <f>IF($B31="",0,IF((Override!$C$4="ON")*ISNUMBER(Override!$I$177)&gt;0,Override!$I$177,$L31))</f>
        <v/>
      </c>
      <c r="O31" s="54">
        <f>IF($B31="","",IFERROR($B31*$G31*$J31/$B$3,""))</f>
        <v/>
      </c>
      <c r="P31" s="54">
        <f>IF($B31="","",IFERROR($B31*$G31*$L31/$B$3,""))</f>
        <v/>
      </c>
      <c r="Q31" s="38">
        <f>IF($B31="","",IFERROR($O31+$P31,""))</f>
        <v/>
      </c>
      <c r="R31" s="54">
        <f>IF($B31="","",IFERROR($O31+$B31*$G31*$M31/$B$3,""))</f>
        <v/>
      </c>
      <c r="S31" s="54">
        <f>IF($B31="","",IFERROR($O31+$B31*$G31*$N31/$B$3,""))</f>
        <v/>
      </c>
      <c r="T31" s="63">
        <f>IF($B31="","",IFERROR($Q31/$Q$5,""))</f>
        <v/>
      </c>
      <c r="U31" s="2">
        <f>IF($B31="","",IF(COUNTIFS('Dvd Calendar'!$E$2486:$AR$2486,"&gt;0",'Dvd Calendar'!$E$2487:$AR$2487,"&gt;"&amp;MAX(Summary!$C$11,DATE(Summary!$C$12,1,1)-1),'Dvd Calendar'!$E$2487:$AR$2487,"&lt;="&amp;DATE(Summary!$C$12,12,31))-COUNTIFS('Dvd Calendar'!$E$2486:$AR$2486,"&gt;0",'Dvd Calendar'!$E$2487:$AR$2487,"&gt;"&amp;MAX(Summary!$C$11,DATE(Summary!$C$12,1,1)-1),'Dvd Calendar'!$E$2487:$AR$2487,"&lt;="&amp;DATE(Summary!$C$12,12,31),'Dvd Calendar'!$E$2488:$AR$2488,"&gt;=0")&gt;0,"TBA amount - override me",IF((Override!$C$4="ON")*ISNUMBER(Override!$G$177)&gt;0,"overridden",IF($J31+$K31=0,"no dividend in year Y",""))))</f>
        <v/>
      </c>
      <c r="V31" s="54">
        <f>IF($B31="","",IFERROR(IF(ISNUMBER($H31),$B31*$G31*$H31/$B$3,0),""))</f>
        <v/>
      </c>
      <c r="W31" s="54">
        <f>IF($B31="","",IFERROR($B31*$G31*$K31/$B$3,""))</f>
        <v/>
      </c>
    </row>
    <row r="32">
      <c r="B32" s="73" t="n"/>
      <c r="C32" s="6">
        <f>IF($A32="","",$A32&amp;" Equity")</f>
        <v/>
      </c>
      <c r="D32" s="6">
        <f>IF($C32="","",BDP($C32,"NAME"))</f>
        <v/>
      </c>
      <c r="E32" s="6">
        <f>IF($C32="","",BDP($C32,"GICS_SECTOR_NAME"))</f>
        <v/>
      </c>
      <c r="F32" s="31">
        <f>IF($C32="","",BDP($C32,'Field Check'!$C$8))</f>
        <v/>
      </c>
      <c r="G32" s="74">
        <f>IFERROR(IF(LEN($F32)&lt;&gt;3,1,IF($F32="HKD",1,BDP(IF($F32="CNY",Summary!$C$14,$F32)&amp;"HKD Curncy","PX_LAST"))),1)</f>
        <v/>
      </c>
      <c r="H32" s="54">
        <f>IF($C32="","",BDP($C32,'Field Check'!$C$9))</f>
        <v/>
      </c>
      <c r="I32" s="45">
        <f>IF($C32="","",BDP($C32,'Field Check'!$C$10))</f>
        <v/>
      </c>
      <c r="J32" s="47">
        <f>IF($B32="",0,IF(Summary!$C$13="Y",SUMIFS('Dvd Calendar'!$E$2496:$AR$2496,'Dvd Calendar'!$E$2495:$AR$2495,"&gt;="&amp;DATE(Summary!$C$12,1,1),'Dvd Calendar'!$E$2495:$AR$2495,"&lt;="&amp;MIN(Summary!$C$11,DATE(Summary!$C$12,12,31))),SUMIFS('Dvd Calendar'!$E$2496:$AR$2496,'Dvd Calendar'!$E$2495:$AR$2495,"&gt;="&amp;DATE(Summary!$C$12,1,1),'Dvd Calendar'!$E$2495:$AR$2495,"&lt;="&amp;MIN(Summary!$C$11,DATE(Summary!$C$12,12,31)),'Dvd Calendar'!$E$2500:$AR$2500,"&lt;&gt;"&amp;'Field Check'!$C$25)))</f>
        <v/>
      </c>
      <c r="K32" s="47">
        <f>IF($B32="",0,IF(Summary!$C$13="Y",SUMIFS('Dvd Calendar'!$E$2503:$AR$2503,'Dvd Calendar'!$E$2502:$AR$2502,"&gt;"&amp;MAX(Summary!$C$11,DATE(Summary!$C$12,1,1)-1),'Dvd Calendar'!$E$2502:$AR$2502,"&lt;="&amp;DATE(Summary!$C$12,12,31)),SUMIFS('Dvd Calendar'!$E$2503:$AR$2503,'Dvd Calendar'!$E$2502:$AR$2502,"&gt;"&amp;MAX(Summary!$C$11,DATE(Summary!$C$12,1,1)-1),'Dvd Calendar'!$E$2502:$AR$2502,"&lt;="&amp;DATE(Summary!$C$12,12,31),'Dvd Calendar'!$E$2507:$AR$2507,"&lt;&gt;"&amp;'Field Check'!$C$25)))</f>
        <v/>
      </c>
      <c r="L32" s="47">
        <f>IF($B32="",0,IF((Override!$C$4="ON")*ISNUMBER(Override!$G$178)&gt;0,Override!$G$178,$K32))</f>
        <v/>
      </c>
      <c r="M32" s="47">
        <f>IF($B32="",0,IF((Override!$C$4="ON")*ISNUMBER(Override!$H$178)&gt;0,Override!$H$178,$L32))</f>
        <v/>
      </c>
      <c r="N32" s="47">
        <f>IF($B32="",0,IF((Override!$C$4="ON")*ISNUMBER(Override!$I$178)&gt;0,Override!$I$178,$L32))</f>
        <v/>
      </c>
      <c r="O32" s="54">
        <f>IF($B32="","",IFERROR($B32*$G32*$J32/$B$3,""))</f>
        <v/>
      </c>
      <c r="P32" s="54">
        <f>IF($B32="","",IFERROR($B32*$G32*$L32/$B$3,""))</f>
        <v/>
      </c>
      <c r="Q32" s="38">
        <f>IF($B32="","",IFERROR($O32+$P32,""))</f>
        <v/>
      </c>
      <c r="R32" s="54">
        <f>IF($B32="","",IFERROR($O32+$B32*$G32*$M32/$B$3,""))</f>
        <v/>
      </c>
      <c r="S32" s="54">
        <f>IF($B32="","",IFERROR($O32+$B32*$G32*$N32/$B$3,""))</f>
        <v/>
      </c>
      <c r="T32" s="63">
        <f>IF($B32="","",IFERROR($Q32/$Q$5,""))</f>
        <v/>
      </c>
      <c r="U32" s="2">
        <f>IF($B32="","",IF(COUNTIFS('Dvd Calendar'!$E$2501:$AR$2501,"&gt;0",'Dvd Calendar'!$E$2502:$AR$2502,"&gt;"&amp;MAX(Summary!$C$11,DATE(Summary!$C$12,1,1)-1),'Dvd Calendar'!$E$2502:$AR$2502,"&lt;="&amp;DATE(Summary!$C$12,12,31))-COUNTIFS('Dvd Calendar'!$E$2501:$AR$2501,"&gt;0",'Dvd Calendar'!$E$2502:$AR$2502,"&gt;"&amp;MAX(Summary!$C$11,DATE(Summary!$C$12,1,1)-1),'Dvd Calendar'!$E$2502:$AR$2502,"&lt;="&amp;DATE(Summary!$C$12,12,31),'Dvd Calendar'!$E$2503:$AR$2503,"&gt;=0")&gt;0,"TBA amount - override me",IF((Override!$C$4="ON")*ISNUMBER(Override!$G$178)&gt;0,"overridden",IF($J32+$K32=0,"no dividend in year Y",""))))</f>
        <v/>
      </c>
      <c r="V32" s="54">
        <f>IF($B32="","",IFERROR(IF(ISNUMBER($H32),$B32*$G32*$H32/$B$3,0),""))</f>
        <v/>
      </c>
      <c r="W32" s="54">
        <f>IF($B32="","",IFERROR($B32*$G32*$K32/$B$3,""))</f>
        <v/>
      </c>
    </row>
    <row r="33">
      <c r="B33" s="73" t="n"/>
      <c r="C33" s="6">
        <f>IF($A33="","",$A33&amp;" Equity")</f>
        <v/>
      </c>
      <c r="D33" s="6">
        <f>IF($C33="","",BDP($C33,"NAME"))</f>
        <v/>
      </c>
      <c r="E33" s="6">
        <f>IF($C33="","",BDP($C33,"GICS_SECTOR_NAME"))</f>
        <v/>
      </c>
      <c r="F33" s="31">
        <f>IF($C33="","",BDP($C33,'Field Check'!$C$8))</f>
        <v/>
      </c>
      <c r="G33" s="74">
        <f>IFERROR(IF(LEN($F33)&lt;&gt;3,1,IF($F33="HKD",1,BDP(IF($F33="CNY",Summary!$C$14,$F33)&amp;"HKD Curncy","PX_LAST"))),1)</f>
        <v/>
      </c>
      <c r="H33" s="54">
        <f>IF($C33="","",BDP($C33,'Field Check'!$C$9))</f>
        <v/>
      </c>
      <c r="I33" s="45">
        <f>IF($C33="","",BDP($C33,'Field Check'!$C$10))</f>
        <v/>
      </c>
      <c r="J33" s="47">
        <f>IF($B33="",0,IF(Summary!$C$13="Y",SUMIFS('Dvd Calendar'!$E$2511:$AR$2511,'Dvd Calendar'!$E$2510:$AR$2510,"&gt;="&amp;DATE(Summary!$C$12,1,1),'Dvd Calendar'!$E$2510:$AR$2510,"&lt;="&amp;MIN(Summary!$C$11,DATE(Summary!$C$12,12,31))),SUMIFS('Dvd Calendar'!$E$2511:$AR$2511,'Dvd Calendar'!$E$2510:$AR$2510,"&gt;="&amp;DATE(Summary!$C$12,1,1),'Dvd Calendar'!$E$2510:$AR$2510,"&lt;="&amp;MIN(Summary!$C$11,DATE(Summary!$C$12,12,31)),'Dvd Calendar'!$E$2515:$AR$2515,"&lt;&gt;"&amp;'Field Check'!$C$25)))</f>
        <v/>
      </c>
      <c r="K33" s="47">
        <f>IF($B33="",0,IF(Summary!$C$13="Y",SUMIFS('Dvd Calendar'!$E$2518:$AR$2518,'Dvd Calendar'!$E$2517:$AR$2517,"&gt;"&amp;MAX(Summary!$C$11,DATE(Summary!$C$12,1,1)-1),'Dvd Calendar'!$E$2517:$AR$2517,"&lt;="&amp;DATE(Summary!$C$12,12,31)),SUMIFS('Dvd Calendar'!$E$2518:$AR$2518,'Dvd Calendar'!$E$2517:$AR$2517,"&gt;"&amp;MAX(Summary!$C$11,DATE(Summary!$C$12,1,1)-1),'Dvd Calendar'!$E$2517:$AR$2517,"&lt;="&amp;DATE(Summary!$C$12,12,31),'Dvd Calendar'!$E$2522:$AR$2522,"&lt;&gt;"&amp;'Field Check'!$C$25)))</f>
        <v/>
      </c>
      <c r="L33" s="47">
        <f>IF($B33="",0,IF((Override!$C$4="ON")*ISNUMBER(Override!$G$179)&gt;0,Override!$G$179,$K33))</f>
        <v/>
      </c>
      <c r="M33" s="47">
        <f>IF($B33="",0,IF((Override!$C$4="ON")*ISNUMBER(Override!$H$179)&gt;0,Override!$H$179,$L33))</f>
        <v/>
      </c>
      <c r="N33" s="47">
        <f>IF($B33="",0,IF((Override!$C$4="ON")*ISNUMBER(Override!$I$179)&gt;0,Override!$I$179,$L33))</f>
        <v/>
      </c>
      <c r="O33" s="54">
        <f>IF($B33="","",IFERROR($B33*$G33*$J33/$B$3,""))</f>
        <v/>
      </c>
      <c r="P33" s="54">
        <f>IF($B33="","",IFERROR($B33*$G33*$L33/$B$3,""))</f>
        <v/>
      </c>
      <c r="Q33" s="38">
        <f>IF($B33="","",IFERROR($O33+$P33,""))</f>
        <v/>
      </c>
      <c r="R33" s="54">
        <f>IF($B33="","",IFERROR($O33+$B33*$G33*$M33/$B$3,""))</f>
        <v/>
      </c>
      <c r="S33" s="54">
        <f>IF($B33="","",IFERROR($O33+$B33*$G33*$N33/$B$3,""))</f>
        <v/>
      </c>
      <c r="T33" s="63">
        <f>IF($B33="","",IFERROR($Q33/$Q$5,""))</f>
        <v/>
      </c>
      <c r="U33" s="2">
        <f>IF($B33="","",IF(COUNTIFS('Dvd Calendar'!$E$2516:$AR$2516,"&gt;0",'Dvd Calendar'!$E$2517:$AR$2517,"&gt;"&amp;MAX(Summary!$C$11,DATE(Summary!$C$12,1,1)-1),'Dvd Calendar'!$E$2517:$AR$2517,"&lt;="&amp;DATE(Summary!$C$12,12,31))-COUNTIFS('Dvd Calendar'!$E$2516:$AR$2516,"&gt;0",'Dvd Calendar'!$E$2517:$AR$2517,"&gt;"&amp;MAX(Summary!$C$11,DATE(Summary!$C$12,1,1)-1),'Dvd Calendar'!$E$2517:$AR$2517,"&lt;="&amp;DATE(Summary!$C$12,12,31),'Dvd Calendar'!$E$2518:$AR$2518,"&gt;=0")&gt;0,"TBA amount - override me",IF((Override!$C$4="ON")*ISNUMBER(Override!$G$179)&gt;0,"overridden",IF($J33+$K33=0,"no dividend in year Y",""))))</f>
        <v/>
      </c>
      <c r="V33" s="54">
        <f>IF($B33="","",IFERROR(IF(ISNUMBER($H33),$B33*$G33*$H33/$B$3,0),""))</f>
        <v/>
      </c>
      <c r="W33" s="54">
        <f>IF($B33="","",IFERROR($B33*$G33*$K33/$B$3,""))</f>
        <v/>
      </c>
    </row>
    <row r="34">
      <c r="B34" s="73" t="n"/>
      <c r="C34" s="6">
        <f>IF($A34="","",$A34&amp;" Equity")</f>
        <v/>
      </c>
      <c r="D34" s="6">
        <f>IF($C34="","",BDP($C34,"NAME"))</f>
        <v/>
      </c>
      <c r="E34" s="6">
        <f>IF($C34="","",BDP($C34,"GICS_SECTOR_NAME"))</f>
        <v/>
      </c>
      <c r="F34" s="31">
        <f>IF($C34="","",BDP($C34,'Field Check'!$C$8))</f>
        <v/>
      </c>
      <c r="G34" s="74">
        <f>IFERROR(IF(LEN($F34)&lt;&gt;3,1,IF($F34="HKD",1,BDP(IF($F34="CNY",Summary!$C$14,$F34)&amp;"HKD Curncy","PX_LAST"))),1)</f>
        <v/>
      </c>
      <c r="H34" s="54">
        <f>IF($C34="","",BDP($C34,'Field Check'!$C$9))</f>
        <v/>
      </c>
      <c r="I34" s="45">
        <f>IF($C34="","",BDP($C34,'Field Check'!$C$10))</f>
        <v/>
      </c>
      <c r="J34" s="47">
        <f>IF($B34="",0,IF(Summary!$C$13="Y",SUMIFS('Dvd Calendar'!$E$2526:$AR$2526,'Dvd Calendar'!$E$2525:$AR$2525,"&gt;="&amp;DATE(Summary!$C$12,1,1),'Dvd Calendar'!$E$2525:$AR$2525,"&lt;="&amp;MIN(Summary!$C$11,DATE(Summary!$C$12,12,31))),SUMIFS('Dvd Calendar'!$E$2526:$AR$2526,'Dvd Calendar'!$E$2525:$AR$2525,"&gt;="&amp;DATE(Summary!$C$12,1,1),'Dvd Calendar'!$E$2525:$AR$2525,"&lt;="&amp;MIN(Summary!$C$11,DATE(Summary!$C$12,12,31)),'Dvd Calendar'!$E$2530:$AR$2530,"&lt;&gt;"&amp;'Field Check'!$C$25)))</f>
        <v/>
      </c>
      <c r="K34" s="47">
        <f>IF($B34="",0,IF(Summary!$C$13="Y",SUMIFS('Dvd Calendar'!$E$2533:$AR$2533,'Dvd Calendar'!$E$2532:$AR$2532,"&gt;"&amp;MAX(Summary!$C$11,DATE(Summary!$C$12,1,1)-1),'Dvd Calendar'!$E$2532:$AR$2532,"&lt;="&amp;DATE(Summary!$C$12,12,31)),SUMIFS('Dvd Calendar'!$E$2533:$AR$2533,'Dvd Calendar'!$E$2532:$AR$2532,"&gt;"&amp;MAX(Summary!$C$11,DATE(Summary!$C$12,1,1)-1),'Dvd Calendar'!$E$2532:$AR$2532,"&lt;="&amp;DATE(Summary!$C$12,12,31),'Dvd Calendar'!$E$2537:$AR$2537,"&lt;&gt;"&amp;'Field Check'!$C$25)))</f>
        <v/>
      </c>
      <c r="L34" s="47">
        <f>IF($B34="",0,IF((Override!$C$4="ON")*ISNUMBER(Override!$G$180)&gt;0,Override!$G$180,$K34))</f>
        <v/>
      </c>
      <c r="M34" s="47">
        <f>IF($B34="",0,IF((Override!$C$4="ON")*ISNUMBER(Override!$H$180)&gt;0,Override!$H$180,$L34))</f>
        <v/>
      </c>
      <c r="N34" s="47">
        <f>IF($B34="",0,IF((Override!$C$4="ON")*ISNUMBER(Override!$I$180)&gt;0,Override!$I$180,$L34))</f>
        <v/>
      </c>
      <c r="O34" s="54">
        <f>IF($B34="","",IFERROR($B34*$G34*$J34/$B$3,""))</f>
        <v/>
      </c>
      <c r="P34" s="54">
        <f>IF($B34="","",IFERROR($B34*$G34*$L34/$B$3,""))</f>
        <v/>
      </c>
      <c r="Q34" s="38">
        <f>IF($B34="","",IFERROR($O34+$P34,""))</f>
        <v/>
      </c>
      <c r="R34" s="54">
        <f>IF($B34="","",IFERROR($O34+$B34*$G34*$M34/$B$3,""))</f>
        <v/>
      </c>
      <c r="S34" s="54">
        <f>IF($B34="","",IFERROR($O34+$B34*$G34*$N34/$B$3,""))</f>
        <v/>
      </c>
      <c r="T34" s="63">
        <f>IF($B34="","",IFERROR($Q34/$Q$5,""))</f>
        <v/>
      </c>
      <c r="U34" s="2">
        <f>IF($B34="","",IF(COUNTIFS('Dvd Calendar'!$E$2531:$AR$2531,"&gt;0",'Dvd Calendar'!$E$2532:$AR$2532,"&gt;"&amp;MAX(Summary!$C$11,DATE(Summary!$C$12,1,1)-1),'Dvd Calendar'!$E$2532:$AR$2532,"&lt;="&amp;DATE(Summary!$C$12,12,31))-COUNTIFS('Dvd Calendar'!$E$2531:$AR$2531,"&gt;0",'Dvd Calendar'!$E$2532:$AR$2532,"&gt;"&amp;MAX(Summary!$C$11,DATE(Summary!$C$12,1,1)-1),'Dvd Calendar'!$E$2532:$AR$2532,"&lt;="&amp;DATE(Summary!$C$12,12,31),'Dvd Calendar'!$E$2533:$AR$2533,"&gt;=0")&gt;0,"TBA amount - override me",IF((Override!$C$4="ON")*ISNUMBER(Override!$G$180)&gt;0,"overridden",IF($J34+$K34=0,"no dividend in year Y",""))))</f>
        <v/>
      </c>
      <c r="V34" s="54">
        <f>IF($B34="","",IFERROR(IF(ISNUMBER($H34),$B34*$G34*$H34/$B$3,0),""))</f>
        <v/>
      </c>
      <c r="W34" s="54">
        <f>IF($B34="","",IFERROR($B34*$G34*$K34/$B$3,""))</f>
        <v/>
      </c>
    </row>
    <row r="35">
      <c r="B35" s="73" t="n"/>
      <c r="C35" s="6">
        <f>IF($A35="","",$A35&amp;" Equity")</f>
        <v/>
      </c>
      <c r="D35" s="6">
        <f>IF($C35="","",BDP($C35,"NAME"))</f>
        <v/>
      </c>
      <c r="E35" s="6">
        <f>IF($C35="","",BDP($C35,"GICS_SECTOR_NAME"))</f>
        <v/>
      </c>
      <c r="F35" s="31">
        <f>IF($C35="","",BDP($C35,'Field Check'!$C$8))</f>
        <v/>
      </c>
      <c r="G35" s="74">
        <f>IFERROR(IF(LEN($F35)&lt;&gt;3,1,IF($F35="HKD",1,BDP(IF($F35="CNY",Summary!$C$14,$F35)&amp;"HKD Curncy","PX_LAST"))),1)</f>
        <v/>
      </c>
      <c r="H35" s="54">
        <f>IF($C35="","",BDP($C35,'Field Check'!$C$9))</f>
        <v/>
      </c>
      <c r="I35" s="45">
        <f>IF($C35="","",BDP($C35,'Field Check'!$C$10))</f>
        <v/>
      </c>
      <c r="J35" s="47">
        <f>IF($B35="",0,IF(Summary!$C$13="Y",SUMIFS('Dvd Calendar'!$E$2541:$AR$2541,'Dvd Calendar'!$E$2540:$AR$2540,"&gt;="&amp;DATE(Summary!$C$12,1,1),'Dvd Calendar'!$E$2540:$AR$2540,"&lt;="&amp;MIN(Summary!$C$11,DATE(Summary!$C$12,12,31))),SUMIFS('Dvd Calendar'!$E$2541:$AR$2541,'Dvd Calendar'!$E$2540:$AR$2540,"&gt;="&amp;DATE(Summary!$C$12,1,1),'Dvd Calendar'!$E$2540:$AR$2540,"&lt;="&amp;MIN(Summary!$C$11,DATE(Summary!$C$12,12,31)),'Dvd Calendar'!$E$2545:$AR$2545,"&lt;&gt;"&amp;'Field Check'!$C$25)))</f>
        <v/>
      </c>
      <c r="K35" s="47">
        <f>IF($B35="",0,IF(Summary!$C$13="Y",SUMIFS('Dvd Calendar'!$E$2548:$AR$2548,'Dvd Calendar'!$E$2547:$AR$2547,"&gt;"&amp;MAX(Summary!$C$11,DATE(Summary!$C$12,1,1)-1),'Dvd Calendar'!$E$2547:$AR$2547,"&lt;="&amp;DATE(Summary!$C$12,12,31)),SUMIFS('Dvd Calendar'!$E$2548:$AR$2548,'Dvd Calendar'!$E$2547:$AR$2547,"&gt;"&amp;MAX(Summary!$C$11,DATE(Summary!$C$12,1,1)-1),'Dvd Calendar'!$E$2547:$AR$2547,"&lt;="&amp;DATE(Summary!$C$12,12,31),'Dvd Calendar'!$E$2552:$AR$2552,"&lt;&gt;"&amp;'Field Check'!$C$25)))</f>
        <v/>
      </c>
      <c r="L35" s="47">
        <f>IF($B35="",0,IF((Override!$C$4="ON")*ISNUMBER(Override!$G$181)&gt;0,Override!$G$181,$K35))</f>
        <v/>
      </c>
      <c r="M35" s="47">
        <f>IF($B35="",0,IF((Override!$C$4="ON")*ISNUMBER(Override!$H$181)&gt;0,Override!$H$181,$L35))</f>
        <v/>
      </c>
      <c r="N35" s="47">
        <f>IF($B35="",0,IF((Override!$C$4="ON")*ISNUMBER(Override!$I$181)&gt;0,Override!$I$181,$L35))</f>
        <v/>
      </c>
      <c r="O35" s="54">
        <f>IF($B35="","",IFERROR($B35*$G35*$J35/$B$3,""))</f>
        <v/>
      </c>
      <c r="P35" s="54">
        <f>IF($B35="","",IFERROR($B35*$G35*$L35/$B$3,""))</f>
        <v/>
      </c>
      <c r="Q35" s="38">
        <f>IF($B35="","",IFERROR($O35+$P35,""))</f>
        <v/>
      </c>
      <c r="R35" s="54">
        <f>IF($B35="","",IFERROR($O35+$B35*$G35*$M35/$B$3,""))</f>
        <v/>
      </c>
      <c r="S35" s="54">
        <f>IF($B35="","",IFERROR($O35+$B35*$G35*$N35/$B$3,""))</f>
        <v/>
      </c>
      <c r="T35" s="63">
        <f>IF($B35="","",IFERROR($Q35/$Q$5,""))</f>
        <v/>
      </c>
      <c r="U35" s="2">
        <f>IF($B35="","",IF(COUNTIFS('Dvd Calendar'!$E$2546:$AR$2546,"&gt;0",'Dvd Calendar'!$E$2547:$AR$2547,"&gt;"&amp;MAX(Summary!$C$11,DATE(Summary!$C$12,1,1)-1),'Dvd Calendar'!$E$2547:$AR$2547,"&lt;="&amp;DATE(Summary!$C$12,12,31))-COUNTIFS('Dvd Calendar'!$E$2546:$AR$2546,"&gt;0",'Dvd Calendar'!$E$2547:$AR$2547,"&gt;"&amp;MAX(Summary!$C$11,DATE(Summary!$C$12,1,1)-1),'Dvd Calendar'!$E$2547:$AR$2547,"&lt;="&amp;DATE(Summary!$C$12,12,31),'Dvd Calendar'!$E$2548:$AR$2548,"&gt;=0")&gt;0,"TBA amount - override me",IF((Override!$C$4="ON")*ISNUMBER(Override!$G$181)&gt;0,"overridden",IF($J35+$K35=0,"no dividend in year Y",""))))</f>
        <v/>
      </c>
      <c r="V35" s="54">
        <f>IF($B35="","",IFERROR(IF(ISNUMBER($H35),$B35*$G35*$H35/$B$3,0),""))</f>
        <v/>
      </c>
      <c r="W35" s="54">
        <f>IF($B35="","",IFERROR($B35*$G35*$K35/$B$3,""))</f>
        <v/>
      </c>
    </row>
    <row r="36">
      <c r="B36" s="73" t="n"/>
      <c r="C36" s="6">
        <f>IF($A36="","",$A36&amp;" Equity")</f>
        <v/>
      </c>
      <c r="D36" s="6">
        <f>IF($C36="","",BDP($C36,"NAME"))</f>
        <v/>
      </c>
      <c r="E36" s="6">
        <f>IF($C36="","",BDP($C36,"GICS_SECTOR_NAME"))</f>
        <v/>
      </c>
      <c r="F36" s="31">
        <f>IF($C36="","",BDP($C36,'Field Check'!$C$8))</f>
        <v/>
      </c>
      <c r="G36" s="74">
        <f>IFERROR(IF(LEN($F36)&lt;&gt;3,1,IF($F36="HKD",1,BDP(IF($F36="CNY",Summary!$C$14,$F36)&amp;"HKD Curncy","PX_LAST"))),1)</f>
        <v/>
      </c>
      <c r="H36" s="54">
        <f>IF($C36="","",BDP($C36,'Field Check'!$C$9))</f>
        <v/>
      </c>
      <c r="I36" s="45">
        <f>IF($C36="","",BDP($C36,'Field Check'!$C$10))</f>
        <v/>
      </c>
      <c r="J36" s="47">
        <f>IF($B36="",0,IF(Summary!$C$13="Y",SUMIFS('Dvd Calendar'!$E$2556:$AR$2556,'Dvd Calendar'!$E$2555:$AR$2555,"&gt;="&amp;DATE(Summary!$C$12,1,1),'Dvd Calendar'!$E$2555:$AR$2555,"&lt;="&amp;MIN(Summary!$C$11,DATE(Summary!$C$12,12,31))),SUMIFS('Dvd Calendar'!$E$2556:$AR$2556,'Dvd Calendar'!$E$2555:$AR$2555,"&gt;="&amp;DATE(Summary!$C$12,1,1),'Dvd Calendar'!$E$2555:$AR$2555,"&lt;="&amp;MIN(Summary!$C$11,DATE(Summary!$C$12,12,31)),'Dvd Calendar'!$E$2560:$AR$2560,"&lt;&gt;"&amp;'Field Check'!$C$25)))</f>
        <v/>
      </c>
      <c r="K36" s="47">
        <f>IF($B36="",0,IF(Summary!$C$13="Y",SUMIFS('Dvd Calendar'!$E$2563:$AR$2563,'Dvd Calendar'!$E$2562:$AR$2562,"&gt;"&amp;MAX(Summary!$C$11,DATE(Summary!$C$12,1,1)-1),'Dvd Calendar'!$E$2562:$AR$2562,"&lt;="&amp;DATE(Summary!$C$12,12,31)),SUMIFS('Dvd Calendar'!$E$2563:$AR$2563,'Dvd Calendar'!$E$2562:$AR$2562,"&gt;"&amp;MAX(Summary!$C$11,DATE(Summary!$C$12,1,1)-1),'Dvd Calendar'!$E$2562:$AR$2562,"&lt;="&amp;DATE(Summary!$C$12,12,31),'Dvd Calendar'!$E$2567:$AR$2567,"&lt;&gt;"&amp;'Field Check'!$C$25)))</f>
        <v/>
      </c>
      <c r="L36" s="47">
        <f>IF($B36="",0,IF((Override!$C$4="ON")*ISNUMBER(Override!$G$182)&gt;0,Override!$G$182,$K36))</f>
        <v/>
      </c>
      <c r="M36" s="47">
        <f>IF($B36="",0,IF((Override!$C$4="ON")*ISNUMBER(Override!$H$182)&gt;0,Override!$H$182,$L36))</f>
        <v/>
      </c>
      <c r="N36" s="47">
        <f>IF($B36="",0,IF((Override!$C$4="ON")*ISNUMBER(Override!$I$182)&gt;0,Override!$I$182,$L36))</f>
        <v/>
      </c>
      <c r="O36" s="54">
        <f>IF($B36="","",IFERROR($B36*$G36*$J36/$B$3,""))</f>
        <v/>
      </c>
      <c r="P36" s="54">
        <f>IF($B36="","",IFERROR($B36*$G36*$L36/$B$3,""))</f>
        <v/>
      </c>
      <c r="Q36" s="38">
        <f>IF($B36="","",IFERROR($O36+$P36,""))</f>
        <v/>
      </c>
      <c r="R36" s="54">
        <f>IF($B36="","",IFERROR($O36+$B36*$G36*$M36/$B$3,""))</f>
        <v/>
      </c>
      <c r="S36" s="54">
        <f>IF($B36="","",IFERROR($O36+$B36*$G36*$N36/$B$3,""))</f>
        <v/>
      </c>
      <c r="T36" s="63">
        <f>IF($B36="","",IFERROR($Q36/$Q$5,""))</f>
        <v/>
      </c>
      <c r="U36" s="2">
        <f>IF($B36="","",IF(COUNTIFS('Dvd Calendar'!$E$2561:$AR$2561,"&gt;0",'Dvd Calendar'!$E$2562:$AR$2562,"&gt;"&amp;MAX(Summary!$C$11,DATE(Summary!$C$12,1,1)-1),'Dvd Calendar'!$E$2562:$AR$2562,"&lt;="&amp;DATE(Summary!$C$12,12,31))-COUNTIFS('Dvd Calendar'!$E$2561:$AR$2561,"&gt;0",'Dvd Calendar'!$E$2562:$AR$2562,"&gt;"&amp;MAX(Summary!$C$11,DATE(Summary!$C$12,1,1)-1),'Dvd Calendar'!$E$2562:$AR$2562,"&lt;="&amp;DATE(Summary!$C$12,12,31),'Dvd Calendar'!$E$2563:$AR$2563,"&gt;=0")&gt;0,"TBA amount - override me",IF((Override!$C$4="ON")*ISNUMBER(Override!$G$182)&gt;0,"overridden",IF($J36+$K36=0,"no dividend in year Y",""))))</f>
        <v/>
      </c>
      <c r="V36" s="54">
        <f>IF($B36="","",IFERROR(IF(ISNUMBER($H36),$B36*$G36*$H36/$B$3,0),""))</f>
        <v/>
      </c>
      <c r="W36" s="54">
        <f>IF($B36="","",IFERROR($B36*$G36*$K36/$B$3,""))</f>
        <v/>
      </c>
    </row>
    <row r="37">
      <c r="B37" s="73" t="n"/>
      <c r="C37" s="6">
        <f>IF($A37="","",$A37&amp;" Equity")</f>
        <v/>
      </c>
      <c r="D37" s="6">
        <f>IF($C37="","",BDP($C37,"NAME"))</f>
        <v/>
      </c>
      <c r="E37" s="6">
        <f>IF($C37="","",BDP($C37,"GICS_SECTOR_NAME"))</f>
        <v/>
      </c>
      <c r="F37" s="31">
        <f>IF($C37="","",BDP($C37,'Field Check'!$C$8))</f>
        <v/>
      </c>
      <c r="G37" s="74">
        <f>IFERROR(IF(LEN($F37)&lt;&gt;3,1,IF($F37="HKD",1,BDP(IF($F37="CNY",Summary!$C$14,$F37)&amp;"HKD Curncy","PX_LAST"))),1)</f>
        <v/>
      </c>
      <c r="H37" s="54">
        <f>IF($C37="","",BDP($C37,'Field Check'!$C$9))</f>
        <v/>
      </c>
      <c r="I37" s="45">
        <f>IF($C37="","",BDP($C37,'Field Check'!$C$10))</f>
        <v/>
      </c>
      <c r="J37" s="47">
        <f>IF($B37="",0,IF(Summary!$C$13="Y",SUMIFS('Dvd Calendar'!$E$2571:$AR$2571,'Dvd Calendar'!$E$2570:$AR$2570,"&gt;="&amp;DATE(Summary!$C$12,1,1),'Dvd Calendar'!$E$2570:$AR$2570,"&lt;="&amp;MIN(Summary!$C$11,DATE(Summary!$C$12,12,31))),SUMIFS('Dvd Calendar'!$E$2571:$AR$2571,'Dvd Calendar'!$E$2570:$AR$2570,"&gt;="&amp;DATE(Summary!$C$12,1,1),'Dvd Calendar'!$E$2570:$AR$2570,"&lt;="&amp;MIN(Summary!$C$11,DATE(Summary!$C$12,12,31)),'Dvd Calendar'!$E$2575:$AR$2575,"&lt;&gt;"&amp;'Field Check'!$C$25)))</f>
        <v/>
      </c>
      <c r="K37" s="47">
        <f>IF($B37="",0,IF(Summary!$C$13="Y",SUMIFS('Dvd Calendar'!$E$2578:$AR$2578,'Dvd Calendar'!$E$2577:$AR$2577,"&gt;"&amp;MAX(Summary!$C$11,DATE(Summary!$C$12,1,1)-1),'Dvd Calendar'!$E$2577:$AR$2577,"&lt;="&amp;DATE(Summary!$C$12,12,31)),SUMIFS('Dvd Calendar'!$E$2578:$AR$2578,'Dvd Calendar'!$E$2577:$AR$2577,"&gt;"&amp;MAX(Summary!$C$11,DATE(Summary!$C$12,1,1)-1),'Dvd Calendar'!$E$2577:$AR$2577,"&lt;="&amp;DATE(Summary!$C$12,12,31),'Dvd Calendar'!$E$2582:$AR$2582,"&lt;&gt;"&amp;'Field Check'!$C$25)))</f>
        <v/>
      </c>
      <c r="L37" s="47">
        <f>IF($B37="",0,IF((Override!$C$4="ON")*ISNUMBER(Override!$G$183)&gt;0,Override!$G$183,$K37))</f>
        <v/>
      </c>
      <c r="M37" s="47">
        <f>IF($B37="",0,IF((Override!$C$4="ON")*ISNUMBER(Override!$H$183)&gt;0,Override!$H$183,$L37))</f>
        <v/>
      </c>
      <c r="N37" s="47">
        <f>IF($B37="",0,IF((Override!$C$4="ON")*ISNUMBER(Override!$I$183)&gt;0,Override!$I$183,$L37))</f>
        <v/>
      </c>
      <c r="O37" s="54">
        <f>IF($B37="","",IFERROR($B37*$G37*$J37/$B$3,""))</f>
        <v/>
      </c>
      <c r="P37" s="54">
        <f>IF($B37="","",IFERROR($B37*$G37*$L37/$B$3,""))</f>
        <v/>
      </c>
      <c r="Q37" s="38">
        <f>IF($B37="","",IFERROR($O37+$P37,""))</f>
        <v/>
      </c>
      <c r="R37" s="54">
        <f>IF($B37="","",IFERROR($O37+$B37*$G37*$M37/$B$3,""))</f>
        <v/>
      </c>
      <c r="S37" s="54">
        <f>IF($B37="","",IFERROR($O37+$B37*$G37*$N37/$B$3,""))</f>
        <v/>
      </c>
      <c r="T37" s="63">
        <f>IF($B37="","",IFERROR($Q37/$Q$5,""))</f>
        <v/>
      </c>
      <c r="U37" s="2">
        <f>IF($B37="","",IF(COUNTIFS('Dvd Calendar'!$E$2576:$AR$2576,"&gt;0",'Dvd Calendar'!$E$2577:$AR$2577,"&gt;"&amp;MAX(Summary!$C$11,DATE(Summary!$C$12,1,1)-1),'Dvd Calendar'!$E$2577:$AR$2577,"&lt;="&amp;DATE(Summary!$C$12,12,31))-COUNTIFS('Dvd Calendar'!$E$2576:$AR$2576,"&gt;0",'Dvd Calendar'!$E$2577:$AR$2577,"&gt;"&amp;MAX(Summary!$C$11,DATE(Summary!$C$12,1,1)-1),'Dvd Calendar'!$E$2577:$AR$2577,"&lt;="&amp;DATE(Summary!$C$12,12,31),'Dvd Calendar'!$E$2578:$AR$2578,"&gt;=0")&gt;0,"TBA amount - override me",IF((Override!$C$4="ON")*ISNUMBER(Override!$G$183)&gt;0,"overridden",IF($J37+$K37=0,"no dividend in year Y",""))))</f>
        <v/>
      </c>
      <c r="V37" s="54">
        <f>IF($B37="","",IFERROR(IF(ISNUMBER($H37),$B37*$G37*$H37/$B$3,0),""))</f>
        <v/>
      </c>
      <c r="W37" s="54">
        <f>IF($B37="","",IFERROR($B37*$G37*$K37/$B$3,""))</f>
        <v/>
      </c>
    </row>
    <row r="38">
      <c r="B38" s="73" t="n"/>
      <c r="C38" s="6">
        <f>IF($A38="","",$A38&amp;" Equity")</f>
        <v/>
      </c>
      <c r="D38" s="6">
        <f>IF($C38="","",BDP($C38,"NAME"))</f>
        <v/>
      </c>
      <c r="E38" s="6">
        <f>IF($C38="","",BDP($C38,"GICS_SECTOR_NAME"))</f>
        <v/>
      </c>
      <c r="F38" s="31">
        <f>IF($C38="","",BDP($C38,'Field Check'!$C$8))</f>
        <v/>
      </c>
      <c r="G38" s="74">
        <f>IFERROR(IF(LEN($F38)&lt;&gt;3,1,IF($F38="HKD",1,BDP(IF($F38="CNY",Summary!$C$14,$F38)&amp;"HKD Curncy","PX_LAST"))),1)</f>
        <v/>
      </c>
      <c r="H38" s="54">
        <f>IF($C38="","",BDP($C38,'Field Check'!$C$9))</f>
        <v/>
      </c>
      <c r="I38" s="45">
        <f>IF($C38="","",BDP($C38,'Field Check'!$C$10))</f>
        <v/>
      </c>
      <c r="J38" s="47">
        <f>IF($B38="",0,IF(Summary!$C$13="Y",SUMIFS('Dvd Calendar'!$E$2586:$AR$2586,'Dvd Calendar'!$E$2585:$AR$2585,"&gt;="&amp;DATE(Summary!$C$12,1,1),'Dvd Calendar'!$E$2585:$AR$2585,"&lt;="&amp;MIN(Summary!$C$11,DATE(Summary!$C$12,12,31))),SUMIFS('Dvd Calendar'!$E$2586:$AR$2586,'Dvd Calendar'!$E$2585:$AR$2585,"&gt;="&amp;DATE(Summary!$C$12,1,1),'Dvd Calendar'!$E$2585:$AR$2585,"&lt;="&amp;MIN(Summary!$C$11,DATE(Summary!$C$12,12,31)),'Dvd Calendar'!$E$2590:$AR$2590,"&lt;&gt;"&amp;'Field Check'!$C$25)))</f>
        <v/>
      </c>
      <c r="K38" s="47">
        <f>IF($B38="",0,IF(Summary!$C$13="Y",SUMIFS('Dvd Calendar'!$E$2593:$AR$2593,'Dvd Calendar'!$E$2592:$AR$2592,"&gt;"&amp;MAX(Summary!$C$11,DATE(Summary!$C$12,1,1)-1),'Dvd Calendar'!$E$2592:$AR$2592,"&lt;="&amp;DATE(Summary!$C$12,12,31)),SUMIFS('Dvd Calendar'!$E$2593:$AR$2593,'Dvd Calendar'!$E$2592:$AR$2592,"&gt;"&amp;MAX(Summary!$C$11,DATE(Summary!$C$12,1,1)-1),'Dvd Calendar'!$E$2592:$AR$2592,"&lt;="&amp;DATE(Summary!$C$12,12,31),'Dvd Calendar'!$E$2597:$AR$2597,"&lt;&gt;"&amp;'Field Check'!$C$25)))</f>
        <v/>
      </c>
      <c r="L38" s="47">
        <f>IF($B38="",0,IF((Override!$C$4="ON")*ISNUMBER(Override!$G$184)&gt;0,Override!$G$184,$K38))</f>
        <v/>
      </c>
      <c r="M38" s="47">
        <f>IF($B38="",0,IF((Override!$C$4="ON")*ISNUMBER(Override!$H$184)&gt;0,Override!$H$184,$L38))</f>
        <v/>
      </c>
      <c r="N38" s="47">
        <f>IF($B38="",0,IF((Override!$C$4="ON")*ISNUMBER(Override!$I$184)&gt;0,Override!$I$184,$L38))</f>
        <v/>
      </c>
      <c r="O38" s="54">
        <f>IF($B38="","",IFERROR($B38*$G38*$J38/$B$3,""))</f>
        <v/>
      </c>
      <c r="P38" s="54">
        <f>IF($B38="","",IFERROR($B38*$G38*$L38/$B$3,""))</f>
        <v/>
      </c>
      <c r="Q38" s="38">
        <f>IF($B38="","",IFERROR($O38+$P38,""))</f>
        <v/>
      </c>
      <c r="R38" s="54">
        <f>IF($B38="","",IFERROR($O38+$B38*$G38*$M38/$B$3,""))</f>
        <v/>
      </c>
      <c r="S38" s="54">
        <f>IF($B38="","",IFERROR($O38+$B38*$G38*$N38/$B$3,""))</f>
        <v/>
      </c>
      <c r="T38" s="63">
        <f>IF($B38="","",IFERROR($Q38/$Q$5,""))</f>
        <v/>
      </c>
      <c r="U38" s="2">
        <f>IF($B38="","",IF(COUNTIFS('Dvd Calendar'!$E$2591:$AR$2591,"&gt;0",'Dvd Calendar'!$E$2592:$AR$2592,"&gt;"&amp;MAX(Summary!$C$11,DATE(Summary!$C$12,1,1)-1),'Dvd Calendar'!$E$2592:$AR$2592,"&lt;="&amp;DATE(Summary!$C$12,12,31))-COUNTIFS('Dvd Calendar'!$E$2591:$AR$2591,"&gt;0",'Dvd Calendar'!$E$2592:$AR$2592,"&gt;"&amp;MAX(Summary!$C$11,DATE(Summary!$C$12,1,1)-1),'Dvd Calendar'!$E$2592:$AR$2592,"&lt;="&amp;DATE(Summary!$C$12,12,31),'Dvd Calendar'!$E$2593:$AR$2593,"&gt;=0")&gt;0,"TBA amount - override me",IF((Override!$C$4="ON")*ISNUMBER(Override!$G$184)&gt;0,"overridden",IF($J38+$K38=0,"no dividend in year Y",""))))</f>
        <v/>
      </c>
      <c r="V38" s="54">
        <f>IF($B38="","",IFERROR(IF(ISNUMBER($H38),$B38*$G38*$H38/$B$3,0),""))</f>
        <v/>
      </c>
      <c r="W38" s="54">
        <f>IF($B38="","",IFERROR($B38*$G38*$K38/$B$3,""))</f>
        <v/>
      </c>
    </row>
    <row r="39">
      <c r="B39" s="73" t="n"/>
      <c r="C39" s="6">
        <f>IF($A39="","",$A39&amp;" Equity")</f>
        <v/>
      </c>
      <c r="D39" s="6">
        <f>IF($C39="","",BDP($C39,"NAME"))</f>
        <v/>
      </c>
      <c r="E39" s="6">
        <f>IF($C39="","",BDP($C39,"GICS_SECTOR_NAME"))</f>
        <v/>
      </c>
      <c r="F39" s="31">
        <f>IF($C39="","",BDP($C39,'Field Check'!$C$8))</f>
        <v/>
      </c>
      <c r="G39" s="74">
        <f>IFERROR(IF(LEN($F39)&lt;&gt;3,1,IF($F39="HKD",1,BDP(IF($F39="CNY",Summary!$C$14,$F39)&amp;"HKD Curncy","PX_LAST"))),1)</f>
        <v/>
      </c>
      <c r="H39" s="54">
        <f>IF($C39="","",BDP($C39,'Field Check'!$C$9))</f>
        <v/>
      </c>
      <c r="I39" s="45">
        <f>IF($C39="","",BDP($C39,'Field Check'!$C$10))</f>
        <v/>
      </c>
      <c r="J39" s="47">
        <f>IF($B39="",0,IF(Summary!$C$13="Y",SUMIFS('Dvd Calendar'!$E$2601:$AR$2601,'Dvd Calendar'!$E$2600:$AR$2600,"&gt;="&amp;DATE(Summary!$C$12,1,1),'Dvd Calendar'!$E$2600:$AR$2600,"&lt;="&amp;MIN(Summary!$C$11,DATE(Summary!$C$12,12,31))),SUMIFS('Dvd Calendar'!$E$2601:$AR$2601,'Dvd Calendar'!$E$2600:$AR$2600,"&gt;="&amp;DATE(Summary!$C$12,1,1),'Dvd Calendar'!$E$2600:$AR$2600,"&lt;="&amp;MIN(Summary!$C$11,DATE(Summary!$C$12,12,31)),'Dvd Calendar'!$E$2605:$AR$2605,"&lt;&gt;"&amp;'Field Check'!$C$25)))</f>
        <v/>
      </c>
      <c r="K39" s="47">
        <f>IF($B39="",0,IF(Summary!$C$13="Y",SUMIFS('Dvd Calendar'!$E$2608:$AR$2608,'Dvd Calendar'!$E$2607:$AR$2607,"&gt;"&amp;MAX(Summary!$C$11,DATE(Summary!$C$12,1,1)-1),'Dvd Calendar'!$E$2607:$AR$2607,"&lt;="&amp;DATE(Summary!$C$12,12,31)),SUMIFS('Dvd Calendar'!$E$2608:$AR$2608,'Dvd Calendar'!$E$2607:$AR$2607,"&gt;"&amp;MAX(Summary!$C$11,DATE(Summary!$C$12,1,1)-1),'Dvd Calendar'!$E$2607:$AR$2607,"&lt;="&amp;DATE(Summary!$C$12,12,31),'Dvd Calendar'!$E$2612:$AR$2612,"&lt;&gt;"&amp;'Field Check'!$C$25)))</f>
        <v/>
      </c>
      <c r="L39" s="47">
        <f>IF($B39="",0,IF((Override!$C$4="ON")*ISNUMBER(Override!$G$185)&gt;0,Override!$G$185,$K39))</f>
        <v/>
      </c>
      <c r="M39" s="47">
        <f>IF($B39="",0,IF((Override!$C$4="ON")*ISNUMBER(Override!$H$185)&gt;0,Override!$H$185,$L39))</f>
        <v/>
      </c>
      <c r="N39" s="47">
        <f>IF($B39="",0,IF((Override!$C$4="ON")*ISNUMBER(Override!$I$185)&gt;0,Override!$I$185,$L39))</f>
        <v/>
      </c>
      <c r="O39" s="54">
        <f>IF($B39="","",IFERROR($B39*$G39*$J39/$B$3,""))</f>
        <v/>
      </c>
      <c r="P39" s="54">
        <f>IF($B39="","",IFERROR($B39*$G39*$L39/$B$3,""))</f>
        <v/>
      </c>
      <c r="Q39" s="38">
        <f>IF($B39="","",IFERROR($O39+$P39,""))</f>
        <v/>
      </c>
      <c r="R39" s="54">
        <f>IF($B39="","",IFERROR($O39+$B39*$G39*$M39/$B$3,""))</f>
        <v/>
      </c>
      <c r="S39" s="54">
        <f>IF($B39="","",IFERROR($O39+$B39*$G39*$N39/$B$3,""))</f>
        <v/>
      </c>
      <c r="T39" s="63">
        <f>IF($B39="","",IFERROR($Q39/$Q$5,""))</f>
        <v/>
      </c>
      <c r="U39" s="2">
        <f>IF($B39="","",IF(COUNTIFS('Dvd Calendar'!$E$2606:$AR$2606,"&gt;0",'Dvd Calendar'!$E$2607:$AR$2607,"&gt;"&amp;MAX(Summary!$C$11,DATE(Summary!$C$12,1,1)-1),'Dvd Calendar'!$E$2607:$AR$2607,"&lt;="&amp;DATE(Summary!$C$12,12,31))-COUNTIFS('Dvd Calendar'!$E$2606:$AR$2606,"&gt;0",'Dvd Calendar'!$E$2607:$AR$2607,"&gt;"&amp;MAX(Summary!$C$11,DATE(Summary!$C$12,1,1)-1),'Dvd Calendar'!$E$2607:$AR$2607,"&lt;="&amp;DATE(Summary!$C$12,12,31),'Dvd Calendar'!$E$2608:$AR$2608,"&gt;=0")&gt;0,"TBA amount - override me",IF((Override!$C$4="ON")*ISNUMBER(Override!$G$185)&gt;0,"overridden",IF($J39+$K39=0,"no dividend in year Y",""))))</f>
        <v/>
      </c>
      <c r="V39" s="54">
        <f>IF($B39="","",IFERROR(IF(ISNUMBER($H39),$B39*$G39*$H39/$B$3,0),""))</f>
        <v/>
      </c>
      <c r="W39" s="54">
        <f>IF($B39="","",IFERROR($B39*$G39*$K39/$B$3,""))</f>
        <v/>
      </c>
    </row>
    <row r="40">
      <c r="B40" s="73" t="n"/>
      <c r="C40" s="6">
        <f>IF($A40="","",$A40&amp;" Equity")</f>
        <v/>
      </c>
      <c r="D40" s="6">
        <f>IF($C40="","",BDP($C40,"NAME"))</f>
        <v/>
      </c>
      <c r="E40" s="6">
        <f>IF($C40="","",BDP($C40,"GICS_SECTOR_NAME"))</f>
        <v/>
      </c>
      <c r="F40" s="31">
        <f>IF($C40="","",BDP($C40,'Field Check'!$C$8))</f>
        <v/>
      </c>
      <c r="G40" s="74">
        <f>IFERROR(IF(LEN($F40)&lt;&gt;3,1,IF($F40="HKD",1,BDP(IF($F40="CNY",Summary!$C$14,$F40)&amp;"HKD Curncy","PX_LAST"))),1)</f>
        <v/>
      </c>
      <c r="H40" s="54">
        <f>IF($C40="","",BDP($C40,'Field Check'!$C$9))</f>
        <v/>
      </c>
      <c r="I40" s="45">
        <f>IF($C40="","",BDP($C40,'Field Check'!$C$10))</f>
        <v/>
      </c>
      <c r="J40" s="47">
        <f>IF($B40="",0,IF(Summary!$C$13="Y",SUMIFS('Dvd Calendar'!$E$2616:$AR$2616,'Dvd Calendar'!$E$2615:$AR$2615,"&gt;="&amp;DATE(Summary!$C$12,1,1),'Dvd Calendar'!$E$2615:$AR$2615,"&lt;="&amp;MIN(Summary!$C$11,DATE(Summary!$C$12,12,31))),SUMIFS('Dvd Calendar'!$E$2616:$AR$2616,'Dvd Calendar'!$E$2615:$AR$2615,"&gt;="&amp;DATE(Summary!$C$12,1,1),'Dvd Calendar'!$E$2615:$AR$2615,"&lt;="&amp;MIN(Summary!$C$11,DATE(Summary!$C$12,12,31)),'Dvd Calendar'!$E$2620:$AR$2620,"&lt;&gt;"&amp;'Field Check'!$C$25)))</f>
        <v/>
      </c>
      <c r="K40" s="47">
        <f>IF($B40="",0,IF(Summary!$C$13="Y",SUMIFS('Dvd Calendar'!$E$2623:$AR$2623,'Dvd Calendar'!$E$2622:$AR$2622,"&gt;"&amp;MAX(Summary!$C$11,DATE(Summary!$C$12,1,1)-1),'Dvd Calendar'!$E$2622:$AR$2622,"&lt;="&amp;DATE(Summary!$C$12,12,31)),SUMIFS('Dvd Calendar'!$E$2623:$AR$2623,'Dvd Calendar'!$E$2622:$AR$2622,"&gt;"&amp;MAX(Summary!$C$11,DATE(Summary!$C$12,1,1)-1),'Dvd Calendar'!$E$2622:$AR$2622,"&lt;="&amp;DATE(Summary!$C$12,12,31),'Dvd Calendar'!$E$2627:$AR$2627,"&lt;&gt;"&amp;'Field Check'!$C$25)))</f>
        <v/>
      </c>
      <c r="L40" s="47">
        <f>IF($B40="",0,IF((Override!$C$4="ON")*ISNUMBER(Override!$G$186)&gt;0,Override!$G$186,$K40))</f>
        <v/>
      </c>
      <c r="M40" s="47">
        <f>IF($B40="",0,IF((Override!$C$4="ON")*ISNUMBER(Override!$H$186)&gt;0,Override!$H$186,$L40))</f>
        <v/>
      </c>
      <c r="N40" s="47">
        <f>IF($B40="",0,IF((Override!$C$4="ON")*ISNUMBER(Override!$I$186)&gt;0,Override!$I$186,$L40))</f>
        <v/>
      </c>
      <c r="O40" s="54">
        <f>IF($B40="","",IFERROR($B40*$G40*$J40/$B$3,""))</f>
        <v/>
      </c>
      <c r="P40" s="54">
        <f>IF($B40="","",IFERROR($B40*$G40*$L40/$B$3,""))</f>
        <v/>
      </c>
      <c r="Q40" s="38">
        <f>IF($B40="","",IFERROR($O40+$P40,""))</f>
        <v/>
      </c>
      <c r="R40" s="54">
        <f>IF($B40="","",IFERROR($O40+$B40*$G40*$M40/$B$3,""))</f>
        <v/>
      </c>
      <c r="S40" s="54">
        <f>IF($B40="","",IFERROR($O40+$B40*$G40*$N40/$B$3,""))</f>
        <v/>
      </c>
      <c r="T40" s="63">
        <f>IF($B40="","",IFERROR($Q40/$Q$5,""))</f>
        <v/>
      </c>
      <c r="U40" s="2">
        <f>IF($B40="","",IF(COUNTIFS('Dvd Calendar'!$E$2621:$AR$2621,"&gt;0",'Dvd Calendar'!$E$2622:$AR$2622,"&gt;"&amp;MAX(Summary!$C$11,DATE(Summary!$C$12,1,1)-1),'Dvd Calendar'!$E$2622:$AR$2622,"&lt;="&amp;DATE(Summary!$C$12,12,31))-COUNTIFS('Dvd Calendar'!$E$2621:$AR$2621,"&gt;0",'Dvd Calendar'!$E$2622:$AR$2622,"&gt;"&amp;MAX(Summary!$C$11,DATE(Summary!$C$12,1,1)-1),'Dvd Calendar'!$E$2622:$AR$2622,"&lt;="&amp;DATE(Summary!$C$12,12,31),'Dvd Calendar'!$E$2623:$AR$2623,"&gt;=0")&gt;0,"TBA amount - override me",IF((Override!$C$4="ON")*ISNUMBER(Override!$G$186)&gt;0,"overridden",IF($J40+$K40=0,"no dividend in year Y",""))))</f>
        <v/>
      </c>
      <c r="V40" s="54">
        <f>IF($B40="","",IFERROR(IF(ISNUMBER($H40),$B40*$G40*$H40/$B$3,0),""))</f>
        <v/>
      </c>
      <c r="W40" s="54">
        <f>IF($B40="","",IFERROR($B40*$G40*$K40/$B$3,""))</f>
        <v/>
      </c>
    </row>
    <row r="41">
      <c r="B41" s="73" t="n"/>
      <c r="C41" s="6">
        <f>IF($A41="","",$A41&amp;" Equity")</f>
        <v/>
      </c>
      <c r="D41" s="6">
        <f>IF($C41="","",BDP($C41,"NAME"))</f>
        <v/>
      </c>
      <c r="E41" s="6">
        <f>IF($C41="","",BDP($C41,"GICS_SECTOR_NAME"))</f>
        <v/>
      </c>
      <c r="F41" s="31">
        <f>IF($C41="","",BDP($C41,'Field Check'!$C$8))</f>
        <v/>
      </c>
      <c r="G41" s="74">
        <f>IFERROR(IF(LEN($F41)&lt;&gt;3,1,IF($F41="HKD",1,BDP(IF($F41="CNY",Summary!$C$14,$F41)&amp;"HKD Curncy","PX_LAST"))),1)</f>
        <v/>
      </c>
      <c r="H41" s="54">
        <f>IF($C41="","",BDP($C41,'Field Check'!$C$9))</f>
        <v/>
      </c>
      <c r="I41" s="45">
        <f>IF($C41="","",BDP($C41,'Field Check'!$C$10))</f>
        <v/>
      </c>
      <c r="J41" s="47">
        <f>IF($B41="",0,IF(Summary!$C$13="Y",SUMIFS('Dvd Calendar'!$E$2631:$AR$2631,'Dvd Calendar'!$E$2630:$AR$2630,"&gt;="&amp;DATE(Summary!$C$12,1,1),'Dvd Calendar'!$E$2630:$AR$2630,"&lt;="&amp;MIN(Summary!$C$11,DATE(Summary!$C$12,12,31))),SUMIFS('Dvd Calendar'!$E$2631:$AR$2631,'Dvd Calendar'!$E$2630:$AR$2630,"&gt;="&amp;DATE(Summary!$C$12,1,1),'Dvd Calendar'!$E$2630:$AR$2630,"&lt;="&amp;MIN(Summary!$C$11,DATE(Summary!$C$12,12,31)),'Dvd Calendar'!$E$2635:$AR$2635,"&lt;&gt;"&amp;'Field Check'!$C$25)))</f>
        <v/>
      </c>
      <c r="K41" s="47">
        <f>IF($B41="",0,IF(Summary!$C$13="Y",SUMIFS('Dvd Calendar'!$E$2638:$AR$2638,'Dvd Calendar'!$E$2637:$AR$2637,"&gt;"&amp;MAX(Summary!$C$11,DATE(Summary!$C$12,1,1)-1),'Dvd Calendar'!$E$2637:$AR$2637,"&lt;="&amp;DATE(Summary!$C$12,12,31)),SUMIFS('Dvd Calendar'!$E$2638:$AR$2638,'Dvd Calendar'!$E$2637:$AR$2637,"&gt;"&amp;MAX(Summary!$C$11,DATE(Summary!$C$12,1,1)-1),'Dvd Calendar'!$E$2637:$AR$2637,"&lt;="&amp;DATE(Summary!$C$12,12,31),'Dvd Calendar'!$E$2642:$AR$2642,"&lt;&gt;"&amp;'Field Check'!$C$25)))</f>
        <v/>
      </c>
      <c r="L41" s="47">
        <f>IF($B41="",0,IF((Override!$C$4="ON")*ISNUMBER(Override!$G$187)&gt;0,Override!$G$187,$K41))</f>
        <v/>
      </c>
      <c r="M41" s="47">
        <f>IF($B41="",0,IF((Override!$C$4="ON")*ISNUMBER(Override!$H$187)&gt;0,Override!$H$187,$L41))</f>
        <v/>
      </c>
      <c r="N41" s="47">
        <f>IF($B41="",0,IF((Override!$C$4="ON")*ISNUMBER(Override!$I$187)&gt;0,Override!$I$187,$L41))</f>
        <v/>
      </c>
      <c r="O41" s="54">
        <f>IF($B41="","",IFERROR($B41*$G41*$J41/$B$3,""))</f>
        <v/>
      </c>
      <c r="P41" s="54">
        <f>IF($B41="","",IFERROR($B41*$G41*$L41/$B$3,""))</f>
        <v/>
      </c>
      <c r="Q41" s="38">
        <f>IF($B41="","",IFERROR($O41+$P41,""))</f>
        <v/>
      </c>
      <c r="R41" s="54">
        <f>IF($B41="","",IFERROR($O41+$B41*$G41*$M41/$B$3,""))</f>
        <v/>
      </c>
      <c r="S41" s="54">
        <f>IF($B41="","",IFERROR($O41+$B41*$G41*$N41/$B$3,""))</f>
        <v/>
      </c>
      <c r="T41" s="63">
        <f>IF($B41="","",IFERROR($Q41/$Q$5,""))</f>
        <v/>
      </c>
      <c r="U41" s="2">
        <f>IF($B41="","",IF(COUNTIFS('Dvd Calendar'!$E$2636:$AR$2636,"&gt;0",'Dvd Calendar'!$E$2637:$AR$2637,"&gt;"&amp;MAX(Summary!$C$11,DATE(Summary!$C$12,1,1)-1),'Dvd Calendar'!$E$2637:$AR$2637,"&lt;="&amp;DATE(Summary!$C$12,12,31))-COUNTIFS('Dvd Calendar'!$E$2636:$AR$2636,"&gt;0",'Dvd Calendar'!$E$2637:$AR$2637,"&gt;"&amp;MAX(Summary!$C$11,DATE(Summary!$C$12,1,1)-1),'Dvd Calendar'!$E$2637:$AR$2637,"&lt;="&amp;DATE(Summary!$C$12,12,31),'Dvd Calendar'!$E$2638:$AR$2638,"&gt;=0")&gt;0,"TBA amount - override me",IF((Override!$C$4="ON")*ISNUMBER(Override!$G$187)&gt;0,"overridden",IF($J41+$K41=0,"no dividend in year Y",""))))</f>
        <v/>
      </c>
      <c r="V41" s="54">
        <f>IF($B41="","",IFERROR(IF(ISNUMBER($H41),$B41*$G41*$H41/$B$3,0),""))</f>
        <v/>
      </c>
      <c r="W41" s="54">
        <f>IF($B41="","",IFERROR($B41*$G41*$K41/$B$3,""))</f>
        <v/>
      </c>
    </row>
    <row r="42">
      <c r="B42" s="73" t="n"/>
      <c r="C42" s="6">
        <f>IF($A42="","",$A42&amp;" Equity")</f>
        <v/>
      </c>
      <c r="D42" s="6">
        <f>IF($C42="","",BDP($C42,"NAME"))</f>
        <v/>
      </c>
      <c r="E42" s="6">
        <f>IF($C42="","",BDP($C42,"GICS_SECTOR_NAME"))</f>
        <v/>
      </c>
      <c r="F42" s="31">
        <f>IF($C42="","",BDP($C42,'Field Check'!$C$8))</f>
        <v/>
      </c>
      <c r="G42" s="74">
        <f>IFERROR(IF(LEN($F42)&lt;&gt;3,1,IF($F42="HKD",1,BDP(IF($F42="CNY",Summary!$C$14,$F42)&amp;"HKD Curncy","PX_LAST"))),1)</f>
        <v/>
      </c>
      <c r="H42" s="54">
        <f>IF($C42="","",BDP($C42,'Field Check'!$C$9))</f>
        <v/>
      </c>
      <c r="I42" s="45">
        <f>IF($C42="","",BDP($C42,'Field Check'!$C$10))</f>
        <v/>
      </c>
      <c r="J42" s="47">
        <f>IF($B42="",0,IF(Summary!$C$13="Y",SUMIFS('Dvd Calendar'!$E$2646:$AR$2646,'Dvd Calendar'!$E$2645:$AR$2645,"&gt;="&amp;DATE(Summary!$C$12,1,1),'Dvd Calendar'!$E$2645:$AR$2645,"&lt;="&amp;MIN(Summary!$C$11,DATE(Summary!$C$12,12,31))),SUMIFS('Dvd Calendar'!$E$2646:$AR$2646,'Dvd Calendar'!$E$2645:$AR$2645,"&gt;="&amp;DATE(Summary!$C$12,1,1),'Dvd Calendar'!$E$2645:$AR$2645,"&lt;="&amp;MIN(Summary!$C$11,DATE(Summary!$C$12,12,31)),'Dvd Calendar'!$E$2650:$AR$2650,"&lt;&gt;"&amp;'Field Check'!$C$25)))</f>
        <v/>
      </c>
      <c r="K42" s="47">
        <f>IF($B42="",0,IF(Summary!$C$13="Y",SUMIFS('Dvd Calendar'!$E$2653:$AR$2653,'Dvd Calendar'!$E$2652:$AR$2652,"&gt;"&amp;MAX(Summary!$C$11,DATE(Summary!$C$12,1,1)-1),'Dvd Calendar'!$E$2652:$AR$2652,"&lt;="&amp;DATE(Summary!$C$12,12,31)),SUMIFS('Dvd Calendar'!$E$2653:$AR$2653,'Dvd Calendar'!$E$2652:$AR$2652,"&gt;"&amp;MAX(Summary!$C$11,DATE(Summary!$C$12,1,1)-1),'Dvd Calendar'!$E$2652:$AR$2652,"&lt;="&amp;DATE(Summary!$C$12,12,31),'Dvd Calendar'!$E$2657:$AR$2657,"&lt;&gt;"&amp;'Field Check'!$C$25)))</f>
        <v/>
      </c>
      <c r="L42" s="47">
        <f>IF($B42="",0,IF((Override!$C$4="ON")*ISNUMBER(Override!$G$188)&gt;0,Override!$G$188,$K42))</f>
        <v/>
      </c>
      <c r="M42" s="47">
        <f>IF($B42="",0,IF((Override!$C$4="ON")*ISNUMBER(Override!$H$188)&gt;0,Override!$H$188,$L42))</f>
        <v/>
      </c>
      <c r="N42" s="47">
        <f>IF($B42="",0,IF((Override!$C$4="ON")*ISNUMBER(Override!$I$188)&gt;0,Override!$I$188,$L42))</f>
        <v/>
      </c>
      <c r="O42" s="54">
        <f>IF($B42="","",IFERROR($B42*$G42*$J42/$B$3,""))</f>
        <v/>
      </c>
      <c r="P42" s="54">
        <f>IF($B42="","",IFERROR($B42*$G42*$L42/$B$3,""))</f>
        <v/>
      </c>
      <c r="Q42" s="38">
        <f>IF($B42="","",IFERROR($O42+$P42,""))</f>
        <v/>
      </c>
      <c r="R42" s="54">
        <f>IF($B42="","",IFERROR($O42+$B42*$G42*$M42/$B$3,""))</f>
        <v/>
      </c>
      <c r="S42" s="54">
        <f>IF($B42="","",IFERROR($O42+$B42*$G42*$N42/$B$3,""))</f>
        <v/>
      </c>
      <c r="T42" s="63">
        <f>IF($B42="","",IFERROR($Q42/$Q$5,""))</f>
        <v/>
      </c>
      <c r="U42" s="2">
        <f>IF($B42="","",IF(COUNTIFS('Dvd Calendar'!$E$2651:$AR$2651,"&gt;0",'Dvd Calendar'!$E$2652:$AR$2652,"&gt;"&amp;MAX(Summary!$C$11,DATE(Summary!$C$12,1,1)-1),'Dvd Calendar'!$E$2652:$AR$2652,"&lt;="&amp;DATE(Summary!$C$12,12,31))-COUNTIFS('Dvd Calendar'!$E$2651:$AR$2651,"&gt;0",'Dvd Calendar'!$E$2652:$AR$2652,"&gt;"&amp;MAX(Summary!$C$11,DATE(Summary!$C$12,1,1)-1),'Dvd Calendar'!$E$2652:$AR$2652,"&lt;="&amp;DATE(Summary!$C$12,12,31),'Dvd Calendar'!$E$2653:$AR$2653,"&gt;=0")&gt;0,"TBA amount - override me",IF((Override!$C$4="ON")*ISNUMBER(Override!$G$188)&gt;0,"overridden",IF($J42+$K42=0,"no dividend in year Y",""))))</f>
        <v/>
      </c>
      <c r="V42" s="54">
        <f>IF($B42="","",IFERROR(IF(ISNUMBER($H42),$B42*$G42*$H42/$B$3,0),""))</f>
        <v/>
      </c>
      <c r="W42" s="54">
        <f>IF($B42="","",IFERROR($B42*$G42*$K42/$B$3,""))</f>
        <v/>
      </c>
    </row>
    <row r="43">
      <c r="B43" s="73" t="n"/>
      <c r="C43" s="6">
        <f>IF($A43="","",$A43&amp;" Equity")</f>
        <v/>
      </c>
      <c r="D43" s="6">
        <f>IF($C43="","",BDP($C43,"NAME"))</f>
        <v/>
      </c>
      <c r="E43" s="6">
        <f>IF($C43="","",BDP($C43,"GICS_SECTOR_NAME"))</f>
        <v/>
      </c>
      <c r="F43" s="31">
        <f>IF($C43="","",BDP($C43,'Field Check'!$C$8))</f>
        <v/>
      </c>
      <c r="G43" s="74">
        <f>IFERROR(IF(LEN($F43)&lt;&gt;3,1,IF($F43="HKD",1,BDP(IF($F43="CNY",Summary!$C$14,$F43)&amp;"HKD Curncy","PX_LAST"))),1)</f>
        <v/>
      </c>
      <c r="H43" s="54">
        <f>IF($C43="","",BDP($C43,'Field Check'!$C$9))</f>
        <v/>
      </c>
      <c r="I43" s="45">
        <f>IF($C43="","",BDP($C43,'Field Check'!$C$10))</f>
        <v/>
      </c>
      <c r="J43" s="47">
        <f>IF($B43="",0,IF(Summary!$C$13="Y",SUMIFS('Dvd Calendar'!$E$2661:$AR$2661,'Dvd Calendar'!$E$2660:$AR$2660,"&gt;="&amp;DATE(Summary!$C$12,1,1),'Dvd Calendar'!$E$2660:$AR$2660,"&lt;="&amp;MIN(Summary!$C$11,DATE(Summary!$C$12,12,31))),SUMIFS('Dvd Calendar'!$E$2661:$AR$2661,'Dvd Calendar'!$E$2660:$AR$2660,"&gt;="&amp;DATE(Summary!$C$12,1,1),'Dvd Calendar'!$E$2660:$AR$2660,"&lt;="&amp;MIN(Summary!$C$11,DATE(Summary!$C$12,12,31)),'Dvd Calendar'!$E$2665:$AR$2665,"&lt;&gt;"&amp;'Field Check'!$C$25)))</f>
        <v/>
      </c>
      <c r="K43" s="47">
        <f>IF($B43="",0,IF(Summary!$C$13="Y",SUMIFS('Dvd Calendar'!$E$2668:$AR$2668,'Dvd Calendar'!$E$2667:$AR$2667,"&gt;"&amp;MAX(Summary!$C$11,DATE(Summary!$C$12,1,1)-1),'Dvd Calendar'!$E$2667:$AR$2667,"&lt;="&amp;DATE(Summary!$C$12,12,31)),SUMIFS('Dvd Calendar'!$E$2668:$AR$2668,'Dvd Calendar'!$E$2667:$AR$2667,"&gt;"&amp;MAX(Summary!$C$11,DATE(Summary!$C$12,1,1)-1),'Dvd Calendar'!$E$2667:$AR$2667,"&lt;="&amp;DATE(Summary!$C$12,12,31),'Dvd Calendar'!$E$2672:$AR$2672,"&lt;&gt;"&amp;'Field Check'!$C$25)))</f>
        <v/>
      </c>
      <c r="L43" s="47">
        <f>IF($B43="",0,IF((Override!$C$4="ON")*ISNUMBER(Override!$G$189)&gt;0,Override!$G$189,$K43))</f>
        <v/>
      </c>
      <c r="M43" s="47">
        <f>IF($B43="",0,IF((Override!$C$4="ON")*ISNUMBER(Override!$H$189)&gt;0,Override!$H$189,$L43))</f>
        <v/>
      </c>
      <c r="N43" s="47">
        <f>IF($B43="",0,IF((Override!$C$4="ON")*ISNUMBER(Override!$I$189)&gt;0,Override!$I$189,$L43))</f>
        <v/>
      </c>
      <c r="O43" s="54">
        <f>IF($B43="","",IFERROR($B43*$G43*$J43/$B$3,""))</f>
        <v/>
      </c>
      <c r="P43" s="54">
        <f>IF($B43="","",IFERROR($B43*$G43*$L43/$B$3,""))</f>
        <v/>
      </c>
      <c r="Q43" s="38">
        <f>IF($B43="","",IFERROR($O43+$P43,""))</f>
        <v/>
      </c>
      <c r="R43" s="54">
        <f>IF($B43="","",IFERROR($O43+$B43*$G43*$M43/$B$3,""))</f>
        <v/>
      </c>
      <c r="S43" s="54">
        <f>IF($B43="","",IFERROR($O43+$B43*$G43*$N43/$B$3,""))</f>
        <v/>
      </c>
      <c r="T43" s="63">
        <f>IF($B43="","",IFERROR($Q43/$Q$5,""))</f>
        <v/>
      </c>
      <c r="U43" s="2">
        <f>IF($B43="","",IF(COUNTIFS('Dvd Calendar'!$E$2666:$AR$2666,"&gt;0",'Dvd Calendar'!$E$2667:$AR$2667,"&gt;"&amp;MAX(Summary!$C$11,DATE(Summary!$C$12,1,1)-1),'Dvd Calendar'!$E$2667:$AR$2667,"&lt;="&amp;DATE(Summary!$C$12,12,31))-COUNTIFS('Dvd Calendar'!$E$2666:$AR$2666,"&gt;0",'Dvd Calendar'!$E$2667:$AR$2667,"&gt;"&amp;MAX(Summary!$C$11,DATE(Summary!$C$12,1,1)-1),'Dvd Calendar'!$E$2667:$AR$2667,"&lt;="&amp;DATE(Summary!$C$12,12,31),'Dvd Calendar'!$E$2668:$AR$2668,"&gt;=0")&gt;0,"TBA amount - override me",IF((Override!$C$4="ON")*ISNUMBER(Override!$G$189)&gt;0,"overridden",IF($J43+$K43=0,"no dividend in year Y",""))))</f>
        <v/>
      </c>
      <c r="V43" s="54">
        <f>IF($B43="","",IFERROR(IF(ISNUMBER($H43),$B43*$G43*$H43/$B$3,0),""))</f>
        <v/>
      </c>
      <c r="W43" s="54">
        <f>IF($B43="","",IFERROR($B43*$G43*$K43/$B$3,""))</f>
        <v/>
      </c>
    </row>
    <row r="44">
      <c r="B44" s="73" t="n"/>
      <c r="C44" s="6">
        <f>IF($A44="","",$A44&amp;" Equity")</f>
        <v/>
      </c>
      <c r="D44" s="6">
        <f>IF($C44="","",BDP($C44,"NAME"))</f>
        <v/>
      </c>
      <c r="E44" s="6">
        <f>IF($C44="","",BDP($C44,"GICS_SECTOR_NAME"))</f>
        <v/>
      </c>
      <c r="F44" s="31">
        <f>IF($C44="","",BDP($C44,'Field Check'!$C$8))</f>
        <v/>
      </c>
      <c r="G44" s="74">
        <f>IFERROR(IF(LEN($F44)&lt;&gt;3,1,IF($F44="HKD",1,BDP(IF($F44="CNY",Summary!$C$14,$F44)&amp;"HKD Curncy","PX_LAST"))),1)</f>
        <v/>
      </c>
      <c r="H44" s="54">
        <f>IF($C44="","",BDP($C44,'Field Check'!$C$9))</f>
        <v/>
      </c>
      <c r="I44" s="45">
        <f>IF($C44="","",BDP($C44,'Field Check'!$C$10))</f>
        <v/>
      </c>
      <c r="J44" s="47">
        <f>IF($B44="",0,IF(Summary!$C$13="Y",SUMIFS('Dvd Calendar'!$E$2676:$AR$2676,'Dvd Calendar'!$E$2675:$AR$2675,"&gt;="&amp;DATE(Summary!$C$12,1,1),'Dvd Calendar'!$E$2675:$AR$2675,"&lt;="&amp;MIN(Summary!$C$11,DATE(Summary!$C$12,12,31))),SUMIFS('Dvd Calendar'!$E$2676:$AR$2676,'Dvd Calendar'!$E$2675:$AR$2675,"&gt;="&amp;DATE(Summary!$C$12,1,1),'Dvd Calendar'!$E$2675:$AR$2675,"&lt;="&amp;MIN(Summary!$C$11,DATE(Summary!$C$12,12,31)),'Dvd Calendar'!$E$2680:$AR$2680,"&lt;&gt;"&amp;'Field Check'!$C$25)))</f>
        <v/>
      </c>
      <c r="K44" s="47">
        <f>IF($B44="",0,IF(Summary!$C$13="Y",SUMIFS('Dvd Calendar'!$E$2683:$AR$2683,'Dvd Calendar'!$E$2682:$AR$2682,"&gt;"&amp;MAX(Summary!$C$11,DATE(Summary!$C$12,1,1)-1),'Dvd Calendar'!$E$2682:$AR$2682,"&lt;="&amp;DATE(Summary!$C$12,12,31)),SUMIFS('Dvd Calendar'!$E$2683:$AR$2683,'Dvd Calendar'!$E$2682:$AR$2682,"&gt;"&amp;MAX(Summary!$C$11,DATE(Summary!$C$12,1,1)-1),'Dvd Calendar'!$E$2682:$AR$2682,"&lt;="&amp;DATE(Summary!$C$12,12,31),'Dvd Calendar'!$E$2687:$AR$2687,"&lt;&gt;"&amp;'Field Check'!$C$25)))</f>
        <v/>
      </c>
      <c r="L44" s="47">
        <f>IF($B44="",0,IF((Override!$C$4="ON")*ISNUMBER(Override!$G$190)&gt;0,Override!$G$190,$K44))</f>
        <v/>
      </c>
      <c r="M44" s="47">
        <f>IF($B44="",0,IF((Override!$C$4="ON")*ISNUMBER(Override!$H$190)&gt;0,Override!$H$190,$L44))</f>
        <v/>
      </c>
      <c r="N44" s="47">
        <f>IF($B44="",0,IF((Override!$C$4="ON")*ISNUMBER(Override!$I$190)&gt;0,Override!$I$190,$L44))</f>
        <v/>
      </c>
      <c r="O44" s="54">
        <f>IF($B44="","",IFERROR($B44*$G44*$J44/$B$3,""))</f>
        <v/>
      </c>
      <c r="P44" s="54">
        <f>IF($B44="","",IFERROR($B44*$G44*$L44/$B$3,""))</f>
        <v/>
      </c>
      <c r="Q44" s="38">
        <f>IF($B44="","",IFERROR($O44+$P44,""))</f>
        <v/>
      </c>
      <c r="R44" s="54">
        <f>IF($B44="","",IFERROR($O44+$B44*$G44*$M44/$B$3,""))</f>
        <v/>
      </c>
      <c r="S44" s="54">
        <f>IF($B44="","",IFERROR($O44+$B44*$G44*$N44/$B$3,""))</f>
        <v/>
      </c>
      <c r="T44" s="63">
        <f>IF($B44="","",IFERROR($Q44/$Q$5,""))</f>
        <v/>
      </c>
      <c r="U44" s="2">
        <f>IF($B44="","",IF(COUNTIFS('Dvd Calendar'!$E$2681:$AR$2681,"&gt;0",'Dvd Calendar'!$E$2682:$AR$2682,"&gt;"&amp;MAX(Summary!$C$11,DATE(Summary!$C$12,1,1)-1),'Dvd Calendar'!$E$2682:$AR$2682,"&lt;="&amp;DATE(Summary!$C$12,12,31))-COUNTIFS('Dvd Calendar'!$E$2681:$AR$2681,"&gt;0",'Dvd Calendar'!$E$2682:$AR$2682,"&gt;"&amp;MAX(Summary!$C$11,DATE(Summary!$C$12,1,1)-1),'Dvd Calendar'!$E$2682:$AR$2682,"&lt;="&amp;DATE(Summary!$C$12,12,31),'Dvd Calendar'!$E$2683:$AR$2683,"&gt;=0")&gt;0,"TBA amount - override me",IF((Override!$C$4="ON")*ISNUMBER(Override!$G$190)&gt;0,"overridden",IF($J44+$K44=0,"no dividend in year Y",""))))</f>
        <v/>
      </c>
      <c r="V44" s="54">
        <f>IF($B44="","",IFERROR(IF(ISNUMBER($H44),$B44*$G44*$H44/$B$3,0),""))</f>
        <v/>
      </c>
      <c r="W44" s="54">
        <f>IF($B44="","",IFERROR($B44*$G44*$K44/$B$3,""))</f>
        <v/>
      </c>
    </row>
    <row r="45">
      <c r="B45" s="73" t="n"/>
      <c r="C45" s="6">
        <f>IF($A45="","",$A45&amp;" Equity")</f>
        <v/>
      </c>
      <c r="D45" s="6">
        <f>IF($C45="","",BDP($C45,"NAME"))</f>
        <v/>
      </c>
      <c r="E45" s="6">
        <f>IF($C45="","",BDP($C45,"GICS_SECTOR_NAME"))</f>
        <v/>
      </c>
      <c r="F45" s="31">
        <f>IF($C45="","",BDP($C45,'Field Check'!$C$8))</f>
        <v/>
      </c>
      <c r="G45" s="74">
        <f>IFERROR(IF(LEN($F45)&lt;&gt;3,1,IF($F45="HKD",1,BDP(IF($F45="CNY",Summary!$C$14,$F45)&amp;"HKD Curncy","PX_LAST"))),1)</f>
        <v/>
      </c>
      <c r="H45" s="54">
        <f>IF($C45="","",BDP($C45,'Field Check'!$C$9))</f>
        <v/>
      </c>
      <c r="I45" s="45">
        <f>IF($C45="","",BDP($C45,'Field Check'!$C$10))</f>
        <v/>
      </c>
      <c r="J45" s="47">
        <f>IF($B45="",0,IF(Summary!$C$13="Y",SUMIFS('Dvd Calendar'!$E$2691:$AR$2691,'Dvd Calendar'!$E$2690:$AR$2690,"&gt;="&amp;DATE(Summary!$C$12,1,1),'Dvd Calendar'!$E$2690:$AR$2690,"&lt;="&amp;MIN(Summary!$C$11,DATE(Summary!$C$12,12,31))),SUMIFS('Dvd Calendar'!$E$2691:$AR$2691,'Dvd Calendar'!$E$2690:$AR$2690,"&gt;="&amp;DATE(Summary!$C$12,1,1),'Dvd Calendar'!$E$2690:$AR$2690,"&lt;="&amp;MIN(Summary!$C$11,DATE(Summary!$C$12,12,31)),'Dvd Calendar'!$E$2695:$AR$2695,"&lt;&gt;"&amp;'Field Check'!$C$25)))</f>
        <v/>
      </c>
      <c r="K45" s="47">
        <f>IF($B45="",0,IF(Summary!$C$13="Y",SUMIFS('Dvd Calendar'!$E$2698:$AR$2698,'Dvd Calendar'!$E$2697:$AR$2697,"&gt;"&amp;MAX(Summary!$C$11,DATE(Summary!$C$12,1,1)-1),'Dvd Calendar'!$E$2697:$AR$2697,"&lt;="&amp;DATE(Summary!$C$12,12,31)),SUMIFS('Dvd Calendar'!$E$2698:$AR$2698,'Dvd Calendar'!$E$2697:$AR$2697,"&gt;"&amp;MAX(Summary!$C$11,DATE(Summary!$C$12,1,1)-1),'Dvd Calendar'!$E$2697:$AR$2697,"&lt;="&amp;DATE(Summary!$C$12,12,31),'Dvd Calendar'!$E$2702:$AR$2702,"&lt;&gt;"&amp;'Field Check'!$C$25)))</f>
        <v/>
      </c>
      <c r="L45" s="47">
        <f>IF($B45="",0,IF((Override!$C$4="ON")*ISNUMBER(Override!$G$191)&gt;0,Override!$G$191,$K45))</f>
        <v/>
      </c>
      <c r="M45" s="47">
        <f>IF($B45="",0,IF((Override!$C$4="ON")*ISNUMBER(Override!$H$191)&gt;0,Override!$H$191,$L45))</f>
        <v/>
      </c>
      <c r="N45" s="47">
        <f>IF($B45="",0,IF((Override!$C$4="ON")*ISNUMBER(Override!$I$191)&gt;0,Override!$I$191,$L45))</f>
        <v/>
      </c>
      <c r="O45" s="54">
        <f>IF($B45="","",IFERROR($B45*$G45*$J45/$B$3,""))</f>
        <v/>
      </c>
      <c r="P45" s="54">
        <f>IF($B45="","",IFERROR($B45*$G45*$L45/$B$3,""))</f>
        <v/>
      </c>
      <c r="Q45" s="38">
        <f>IF($B45="","",IFERROR($O45+$P45,""))</f>
        <v/>
      </c>
      <c r="R45" s="54">
        <f>IF($B45="","",IFERROR($O45+$B45*$G45*$M45/$B$3,""))</f>
        <v/>
      </c>
      <c r="S45" s="54">
        <f>IF($B45="","",IFERROR($O45+$B45*$G45*$N45/$B$3,""))</f>
        <v/>
      </c>
      <c r="T45" s="63">
        <f>IF($B45="","",IFERROR($Q45/$Q$5,""))</f>
        <v/>
      </c>
      <c r="U45" s="2">
        <f>IF($B45="","",IF(COUNTIFS('Dvd Calendar'!$E$2696:$AR$2696,"&gt;0",'Dvd Calendar'!$E$2697:$AR$2697,"&gt;"&amp;MAX(Summary!$C$11,DATE(Summary!$C$12,1,1)-1),'Dvd Calendar'!$E$2697:$AR$2697,"&lt;="&amp;DATE(Summary!$C$12,12,31))-COUNTIFS('Dvd Calendar'!$E$2696:$AR$2696,"&gt;0",'Dvd Calendar'!$E$2697:$AR$2697,"&gt;"&amp;MAX(Summary!$C$11,DATE(Summary!$C$12,1,1)-1),'Dvd Calendar'!$E$2697:$AR$2697,"&lt;="&amp;DATE(Summary!$C$12,12,31),'Dvd Calendar'!$E$2698:$AR$2698,"&gt;=0")&gt;0,"TBA amount - override me",IF((Override!$C$4="ON")*ISNUMBER(Override!$G$191)&gt;0,"overridden",IF($J45+$K45=0,"no dividend in year Y",""))))</f>
        <v/>
      </c>
      <c r="V45" s="54">
        <f>IF($B45="","",IFERROR(IF(ISNUMBER($H45),$B45*$G45*$H45/$B$3,0),""))</f>
        <v/>
      </c>
      <c r="W45" s="54">
        <f>IF($B45="","",IFERROR($B45*$G45*$K45/$B$3,""))</f>
        <v/>
      </c>
    </row>
    <row r="46">
      <c r="B46" s="73" t="n"/>
      <c r="C46" s="6">
        <f>IF($A46="","",$A46&amp;" Equity")</f>
        <v/>
      </c>
      <c r="D46" s="6">
        <f>IF($C46="","",BDP($C46,"NAME"))</f>
        <v/>
      </c>
      <c r="E46" s="6">
        <f>IF($C46="","",BDP($C46,"GICS_SECTOR_NAME"))</f>
        <v/>
      </c>
      <c r="F46" s="31">
        <f>IF($C46="","",BDP($C46,'Field Check'!$C$8))</f>
        <v/>
      </c>
      <c r="G46" s="74">
        <f>IFERROR(IF(LEN($F46)&lt;&gt;3,1,IF($F46="HKD",1,BDP(IF($F46="CNY",Summary!$C$14,$F46)&amp;"HKD Curncy","PX_LAST"))),1)</f>
        <v/>
      </c>
      <c r="H46" s="54">
        <f>IF($C46="","",BDP($C46,'Field Check'!$C$9))</f>
        <v/>
      </c>
      <c r="I46" s="45">
        <f>IF($C46="","",BDP($C46,'Field Check'!$C$10))</f>
        <v/>
      </c>
      <c r="J46" s="47">
        <f>IF($B46="",0,IF(Summary!$C$13="Y",SUMIFS('Dvd Calendar'!$E$2706:$AR$2706,'Dvd Calendar'!$E$2705:$AR$2705,"&gt;="&amp;DATE(Summary!$C$12,1,1),'Dvd Calendar'!$E$2705:$AR$2705,"&lt;="&amp;MIN(Summary!$C$11,DATE(Summary!$C$12,12,31))),SUMIFS('Dvd Calendar'!$E$2706:$AR$2706,'Dvd Calendar'!$E$2705:$AR$2705,"&gt;="&amp;DATE(Summary!$C$12,1,1),'Dvd Calendar'!$E$2705:$AR$2705,"&lt;="&amp;MIN(Summary!$C$11,DATE(Summary!$C$12,12,31)),'Dvd Calendar'!$E$2710:$AR$2710,"&lt;&gt;"&amp;'Field Check'!$C$25)))</f>
        <v/>
      </c>
      <c r="K46" s="47">
        <f>IF($B46="",0,IF(Summary!$C$13="Y",SUMIFS('Dvd Calendar'!$E$2713:$AR$2713,'Dvd Calendar'!$E$2712:$AR$2712,"&gt;"&amp;MAX(Summary!$C$11,DATE(Summary!$C$12,1,1)-1),'Dvd Calendar'!$E$2712:$AR$2712,"&lt;="&amp;DATE(Summary!$C$12,12,31)),SUMIFS('Dvd Calendar'!$E$2713:$AR$2713,'Dvd Calendar'!$E$2712:$AR$2712,"&gt;"&amp;MAX(Summary!$C$11,DATE(Summary!$C$12,1,1)-1),'Dvd Calendar'!$E$2712:$AR$2712,"&lt;="&amp;DATE(Summary!$C$12,12,31),'Dvd Calendar'!$E$2717:$AR$2717,"&lt;&gt;"&amp;'Field Check'!$C$25)))</f>
        <v/>
      </c>
      <c r="L46" s="47">
        <f>IF($B46="",0,IF((Override!$C$4="ON")*ISNUMBER(Override!$G$192)&gt;0,Override!$G$192,$K46))</f>
        <v/>
      </c>
      <c r="M46" s="47">
        <f>IF($B46="",0,IF((Override!$C$4="ON")*ISNUMBER(Override!$H$192)&gt;0,Override!$H$192,$L46))</f>
        <v/>
      </c>
      <c r="N46" s="47">
        <f>IF($B46="",0,IF((Override!$C$4="ON")*ISNUMBER(Override!$I$192)&gt;0,Override!$I$192,$L46))</f>
        <v/>
      </c>
      <c r="O46" s="54">
        <f>IF($B46="","",IFERROR($B46*$G46*$J46/$B$3,""))</f>
        <v/>
      </c>
      <c r="P46" s="54">
        <f>IF($B46="","",IFERROR($B46*$G46*$L46/$B$3,""))</f>
        <v/>
      </c>
      <c r="Q46" s="38">
        <f>IF($B46="","",IFERROR($O46+$P46,""))</f>
        <v/>
      </c>
      <c r="R46" s="54">
        <f>IF($B46="","",IFERROR($O46+$B46*$G46*$M46/$B$3,""))</f>
        <v/>
      </c>
      <c r="S46" s="54">
        <f>IF($B46="","",IFERROR($O46+$B46*$G46*$N46/$B$3,""))</f>
        <v/>
      </c>
      <c r="T46" s="63">
        <f>IF($B46="","",IFERROR($Q46/$Q$5,""))</f>
        <v/>
      </c>
      <c r="U46" s="2">
        <f>IF($B46="","",IF(COUNTIFS('Dvd Calendar'!$E$2711:$AR$2711,"&gt;0",'Dvd Calendar'!$E$2712:$AR$2712,"&gt;"&amp;MAX(Summary!$C$11,DATE(Summary!$C$12,1,1)-1),'Dvd Calendar'!$E$2712:$AR$2712,"&lt;="&amp;DATE(Summary!$C$12,12,31))-COUNTIFS('Dvd Calendar'!$E$2711:$AR$2711,"&gt;0",'Dvd Calendar'!$E$2712:$AR$2712,"&gt;"&amp;MAX(Summary!$C$11,DATE(Summary!$C$12,1,1)-1),'Dvd Calendar'!$E$2712:$AR$2712,"&lt;="&amp;DATE(Summary!$C$12,12,31),'Dvd Calendar'!$E$2713:$AR$2713,"&gt;=0")&gt;0,"TBA amount - override me",IF((Override!$C$4="ON")*ISNUMBER(Override!$G$192)&gt;0,"overridden",IF($J46+$K46=0,"no dividend in year Y",""))))</f>
        <v/>
      </c>
      <c r="V46" s="54">
        <f>IF($B46="","",IFERROR(IF(ISNUMBER($H46),$B46*$G46*$H46/$B$3,0),""))</f>
        <v/>
      </c>
      <c r="W46" s="54">
        <f>IF($B46="","",IFERROR($B46*$G46*$K46/$B$3,""))</f>
        <v/>
      </c>
    </row>
    <row r="47">
      <c r="B47" s="73" t="n"/>
      <c r="C47" s="6">
        <f>IF($A47="","",$A47&amp;" Equity")</f>
        <v/>
      </c>
      <c r="D47" s="6">
        <f>IF($C47="","",BDP($C47,"NAME"))</f>
        <v/>
      </c>
      <c r="E47" s="6">
        <f>IF($C47="","",BDP($C47,"GICS_SECTOR_NAME"))</f>
        <v/>
      </c>
      <c r="F47" s="31">
        <f>IF($C47="","",BDP($C47,'Field Check'!$C$8))</f>
        <v/>
      </c>
      <c r="G47" s="74">
        <f>IFERROR(IF(LEN($F47)&lt;&gt;3,1,IF($F47="HKD",1,BDP(IF($F47="CNY",Summary!$C$14,$F47)&amp;"HKD Curncy","PX_LAST"))),1)</f>
        <v/>
      </c>
      <c r="H47" s="54">
        <f>IF($C47="","",BDP($C47,'Field Check'!$C$9))</f>
        <v/>
      </c>
      <c r="I47" s="45">
        <f>IF($C47="","",BDP($C47,'Field Check'!$C$10))</f>
        <v/>
      </c>
      <c r="J47" s="47">
        <f>IF($B47="",0,IF(Summary!$C$13="Y",SUMIFS('Dvd Calendar'!$E$2721:$AR$2721,'Dvd Calendar'!$E$2720:$AR$2720,"&gt;="&amp;DATE(Summary!$C$12,1,1),'Dvd Calendar'!$E$2720:$AR$2720,"&lt;="&amp;MIN(Summary!$C$11,DATE(Summary!$C$12,12,31))),SUMIFS('Dvd Calendar'!$E$2721:$AR$2721,'Dvd Calendar'!$E$2720:$AR$2720,"&gt;="&amp;DATE(Summary!$C$12,1,1),'Dvd Calendar'!$E$2720:$AR$2720,"&lt;="&amp;MIN(Summary!$C$11,DATE(Summary!$C$12,12,31)),'Dvd Calendar'!$E$2725:$AR$2725,"&lt;&gt;"&amp;'Field Check'!$C$25)))</f>
        <v/>
      </c>
      <c r="K47" s="47">
        <f>IF($B47="",0,IF(Summary!$C$13="Y",SUMIFS('Dvd Calendar'!$E$2728:$AR$2728,'Dvd Calendar'!$E$2727:$AR$2727,"&gt;"&amp;MAX(Summary!$C$11,DATE(Summary!$C$12,1,1)-1),'Dvd Calendar'!$E$2727:$AR$2727,"&lt;="&amp;DATE(Summary!$C$12,12,31)),SUMIFS('Dvd Calendar'!$E$2728:$AR$2728,'Dvd Calendar'!$E$2727:$AR$2727,"&gt;"&amp;MAX(Summary!$C$11,DATE(Summary!$C$12,1,1)-1),'Dvd Calendar'!$E$2727:$AR$2727,"&lt;="&amp;DATE(Summary!$C$12,12,31),'Dvd Calendar'!$E$2732:$AR$2732,"&lt;&gt;"&amp;'Field Check'!$C$25)))</f>
        <v/>
      </c>
      <c r="L47" s="47">
        <f>IF($B47="",0,IF((Override!$C$4="ON")*ISNUMBER(Override!$G$193)&gt;0,Override!$G$193,$K47))</f>
        <v/>
      </c>
      <c r="M47" s="47">
        <f>IF($B47="",0,IF((Override!$C$4="ON")*ISNUMBER(Override!$H$193)&gt;0,Override!$H$193,$L47))</f>
        <v/>
      </c>
      <c r="N47" s="47">
        <f>IF($B47="",0,IF((Override!$C$4="ON")*ISNUMBER(Override!$I$193)&gt;0,Override!$I$193,$L47))</f>
        <v/>
      </c>
      <c r="O47" s="54">
        <f>IF($B47="","",IFERROR($B47*$G47*$J47/$B$3,""))</f>
        <v/>
      </c>
      <c r="P47" s="54">
        <f>IF($B47="","",IFERROR($B47*$G47*$L47/$B$3,""))</f>
        <v/>
      </c>
      <c r="Q47" s="38">
        <f>IF($B47="","",IFERROR($O47+$P47,""))</f>
        <v/>
      </c>
      <c r="R47" s="54">
        <f>IF($B47="","",IFERROR($O47+$B47*$G47*$M47/$B$3,""))</f>
        <v/>
      </c>
      <c r="S47" s="54">
        <f>IF($B47="","",IFERROR($O47+$B47*$G47*$N47/$B$3,""))</f>
        <v/>
      </c>
      <c r="T47" s="63">
        <f>IF($B47="","",IFERROR($Q47/$Q$5,""))</f>
        <v/>
      </c>
      <c r="U47" s="2">
        <f>IF($B47="","",IF(COUNTIFS('Dvd Calendar'!$E$2726:$AR$2726,"&gt;0",'Dvd Calendar'!$E$2727:$AR$2727,"&gt;"&amp;MAX(Summary!$C$11,DATE(Summary!$C$12,1,1)-1),'Dvd Calendar'!$E$2727:$AR$2727,"&lt;="&amp;DATE(Summary!$C$12,12,31))-COUNTIFS('Dvd Calendar'!$E$2726:$AR$2726,"&gt;0",'Dvd Calendar'!$E$2727:$AR$2727,"&gt;"&amp;MAX(Summary!$C$11,DATE(Summary!$C$12,1,1)-1),'Dvd Calendar'!$E$2727:$AR$2727,"&lt;="&amp;DATE(Summary!$C$12,12,31),'Dvd Calendar'!$E$2728:$AR$2728,"&gt;=0")&gt;0,"TBA amount - override me",IF((Override!$C$4="ON")*ISNUMBER(Override!$G$193)&gt;0,"overridden",IF($J47+$K47=0,"no dividend in year Y",""))))</f>
        <v/>
      </c>
      <c r="V47" s="54">
        <f>IF($B47="","",IFERROR(IF(ISNUMBER($H47),$B47*$G47*$H47/$B$3,0),""))</f>
        <v/>
      </c>
      <c r="W47" s="54">
        <f>IF($B47="","",IFERROR($B47*$G47*$K47/$B$3,""))</f>
        <v/>
      </c>
    </row>
    <row r="48">
      <c r="B48" s="73" t="n"/>
      <c r="C48" s="6">
        <f>IF($A48="","",$A48&amp;" Equity")</f>
        <v/>
      </c>
      <c r="D48" s="6">
        <f>IF($C48="","",BDP($C48,"NAME"))</f>
        <v/>
      </c>
      <c r="E48" s="6">
        <f>IF($C48="","",BDP($C48,"GICS_SECTOR_NAME"))</f>
        <v/>
      </c>
      <c r="F48" s="31">
        <f>IF($C48="","",BDP($C48,'Field Check'!$C$8))</f>
        <v/>
      </c>
      <c r="G48" s="74">
        <f>IFERROR(IF(LEN($F48)&lt;&gt;3,1,IF($F48="HKD",1,BDP(IF($F48="CNY",Summary!$C$14,$F48)&amp;"HKD Curncy","PX_LAST"))),1)</f>
        <v/>
      </c>
      <c r="H48" s="54">
        <f>IF($C48="","",BDP($C48,'Field Check'!$C$9))</f>
        <v/>
      </c>
      <c r="I48" s="45">
        <f>IF($C48="","",BDP($C48,'Field Check'!$C$10))</f>
        <v/>
      </c>
      <c r="J48" s="47">
        <f>IF($B48="",0,IF(Summary!$C$13="Y",SUMIFS('Dvd Calendar'!$E$2736:$AR$2736,'Dvd Calendar'!$E$2735:$AR$2735,"&gt;="&amp;DATE(Summary!$C$12,1,1),'Dvd Calendar'!$E$2735:$AR$2735,"&lt;="&amp;MIN(Summary!$C$11,DATE(Summary!$C$12,12,31))),SUMIFS('Dvd Calendar'!$E$2736:$AR$2736,'Dvd Calendar'!$E$2735:$AR$2735,"&gt;="&amp;DATE(Summary!$C$12,1,1),'Dvd Calendar'!$E$2735:$AR$2735,"&lt;="&amp;MIN(Summary!$C$11,DATE(Summary!$C$12,12,31)),'Dvd Calendar'!$E$2740:$AR$2740,"&lt;&gt;"&amp;'Field Check'!$C$25)))</f>
        <v/>
      </c>
      <c r="K48" s="47">
        <f>IF($B48="",0,IF(Summary!$C$13="Y",SUMIFS('Dvd Calendar'!$E$2743:$AR$2743,'Dvd Calendar'!$E$2742:$AR$2742,"&gt;"&amp;MAX(Summary!$C$11,DATE(Summary!$C$12,1,1)-1),'Dvd Calendar'!$E$2742:$AR$2742,"&lt;="&amp;DATE(Summary!$C$12,12,31)),SUMIFS('Dvd Calendar'!$E$2743:$AR$2743,'Dvd Calendar'!$E$2742:$AR$2742,"&gt;"&amp;MAX(Summary!$C$11,DATE(Summary!$C$12,1,1)-1),'Dvd Calendar'!$E$2742:$AR$2742,"&lt;="&amp;DATE(Summary!$C$12,12,31),'Dvd Calendar'!$E$2747:$AR$2747,"&lt;&gt;"&amp;'Field Check'!$C$25)))</f>
        <v/>
      </c>
      <c r="L48" s="47">
        <f>IF($B48="",0,IF((Override!$C$4="ON")*ISNUMBER(Override!$G$194)&gt;0,Override!$G$194,$K48))</f>
        <v/>
      </c>
      <c r="M48" s="47">
        <f>IF($B48="",0,IF((Override!$C$4="ON")*ISNUMBER(Override!$H$194)&gt;0,Override!$H$194,$L48))</f>
        <v/>
      </c>
      <c r="N48" s="47">
        <f>IF($B48="",0,IF((Override!$C$4="ON")*ISNUMBER(Override!$I$194)&gt;0,Override!$I$194,$L48))</f>
        <v/>
      </c>
      <c r="O48" s="54">
        <f>IF($B48="","",IFERROR($B48*$G48*$J48/$B$3,""))</f>
        <v/>
      </c>
      <c r="P48" s="54">
        <f>IF($B48="","",IFERROR($B48*$G48*$L48/$B$3,""))</f>
        <v/>
      </c>
      <c r="Q48" s="38">
        <f>IF($B48="","",IFERROR($O48+$P48,""))</f>
        <v/>
      </c>
      <c r="R48" s="54">
        <f>IF($B48="","",IFERROR($O48+$B48*$G48*$M48/$B$3,""))</f>
        <v/>
      </c>
      <c r="S48" s="54">
        <f>IF($B48="","",IFERROR($O48+$B48*$G48*$N48/$B$3,""))</f>
        <v/>
      </c>
      <c r="T48" s="63">
        <f>IF($B48="","",IFERROR($Q48/$Q$5,""))</f>
        <v/>
      </c>
      <c r="U48" s="2">
        <f>IF($B48="","",IF(COUNTIFS('Dvd Calendar'!$E$2741:$AR$2741,"&gt;0",'Dvd Calendar'!$E$2742:$AR$2742,"&gt;"&amp;MAX(Summary!$C$11,DATE(Summary!$C$12,1,1)-1),'Dvd Calendar'!$E$2742:$AR$2742,"&lt;="&amp;DATE(Summary!$C$12,12,31))-COUNTIFS('Dvd Calendar'!$E$2741:$AR$2741,"&gt;0",'Dvd Calendar'!$E$2742:$AR$2742,"&gt;"&amp;MAX(Summary!$C$11,DATE(Summary!$C$12,1,1)-1),'Dvd Calendar'!$E$2742:$AR$2742,"&lt;="&amp;DATE(Summary!$C$12,12,31),'Dvd Calendar'!$E$2743:$AR$2743,"&gt;=0")&gt;0,"TBA amount - override me",IF((Override!$C$4="ON")*ISNUMBER(Override!$G$194)&gt;0,"overridden",IF($J48+$K48=0,"no dividend in year Y",""))))</f>
        <v/>
      </c>
      <c r="V48" s="54">
        <f>IF($B48="","",IFERROR(IF(ISNUMBER($H48),$B48*$G48*$H48/$B$3,0),""))</f>
        <v/>
      </c>
      <c r="W48" s="54">
        <f>IF($B48="","",IFERROR($B48*$G48*$K48/$B$3,""))</f>
        <v/>
      </c>
    </row>
    <row r="49">
      <c r="B49" s="73" t="n"/>
      <c r="C49" s="6">
        <f>IF($A49="","",$A49&amp;" Equity")</f>
        <v/>
      </c>
      <c r="D49" s="6">
        <f>IF($C49="","",BDP($C49,"NAME"))</f>
        <v/>
      </c>
      <c r="E49" s="6">
        <f>IF($C49="","",BDP($C49,"GICS_SECTOR_NAME"))</f>
        <v/>
      </c>
      <c r="F49" s="31">
        <f>IF($C49="","",BDP($C49,'Field Check'!$C$8))</f>
        <v/>
      </c>
      <c r="G49" s="74">
        <f>IFERROR(IF(LEN($F49)&lt;&gt;3,1,IF($F49="HKD",1,BDP(IF($F49="CNY",Summary!$C$14,$F49)&amp;"HKD Curncy","PX_LAST"))),1)</f>
        <v/>
      </c>
      <c r="H49" s="54">
        <f>IF($C49="","",BDP($C49,'Field Check'!$C$9))</f>
        <v/>
      </c>
      <c r="I49" s="45">
        <f>IF($C49="","",BDP($C49,'Field Check'!$C$10))</f>
        <v/>
      </c>
      <c r="J49" s="47">
        <f>IF($B49="",0,IF(Summary!$C$13="Y",SUMIFS('Dvd Calendar'!$E$2751:$AR$2751,'Dvd Calendar'!$E$2750:$AR$2750,"&gt;="&amp;DATE(Summary!$C$12,1,1),'Dvd Calendar'!$E$2750:$AR$2750,"&lt;="&amp;MIN(Summary!$C$11,DATE(Summary!$C$12,12,31))),SUMIFS('Dvd Calendar'!$E$2751:$AR$2751,'Dvd Calendar'!$E$2750:$AR$2750,"&gt;="&amp;DATE(Summary!$C$12,1,1),'Dvd Calendar'!$E$2750:$AR$2750,"&lt;="&amp;MIN(Summary!$C$11,DATE(Summary!$C$12,12,31)),'Dvd Calendar'!$E$2755:$AR$2755,"&lt;&gt;"&amp;'Field Check'!$C$25)))</f>
        <v/>
      </c>
      <c r="K49" s="47">
        <f>IF($B49="",0,IF(Summary!$C$13="Y",SUMIFS('Dvd Calendar'!$E$2758:$AR$2758,'Dvd Calendar'!$E$2757:$AR$2757,"&gt;"&amp;MAX(Summary!$C$11,DATE(Summary!$C$12,1,1)-1),'Dvd Calendar'!$E$2757:$AR$2757,"&lt;="&amp;DATE(Summary!$C$12,12,31)),SUMIFS('Dvd Calendar'!$E$2758:$AR$2758,'Dvd Calendar'!$E$2757:$AR$2757,"&gt;"&amp;MAX(Summary!$C$11,DATE(Summary!$C$12,1,1)-1),'Dvd Calendar'!$E$2757:$AR$2757,"&lt;="&amp;DATE(Summary!$C$12,12,31),'Dvd Calendar'!$E$2762:$AR$2762,"&lt;&gt;"&amp;'Field Check'!$C$25)))</f>
        <v/>
      </c>
      <c r="L49" s="47">
        <f>IF($B49="",0,IF((Override!$C$4="ON")*ISNUMBER(Override!$G$195)&gt;0,Override!$G$195,$K49))</f>
        <v/>
      </c>
      <c r="M49" s="47">
        <f>IF($B49="",0,IF((Override!$C$4="ON")*ISNUMBER(Override!$H$195)&gt;0,Override!$H$195,$L49))</f>
        <v/>
      </c>
      <c r="N49" s="47">
        <f>IF($B49="",0,IF((Override!$C$4="ON")*ISNUMBER(Override!$I$195)&gt;0,Override!$I$195,$L49))</f>
        <v/>
      </c>
      <c r="O49" s="54">
        <f>IF($B49="","",IFERROR($B49*$G49*$J49/$B$3,""))</f>
        <v/>
      </c>
      <c r="P49" s="54">
        <f>IF($B49="","",IFERROR($B49*$G49*$L49/$B$3,""))</f>
        <v/>
      </c>
      <c r="Q49" s="38">
        <f>IF($B49="","",IFERROR($O49+$P49,""))</f>
        <v/>
      </c>
      <c r="R49" s="54">
        <f>IF($B49="","",IFERROR($O49+$B49*$G49*$M49/$B$3,""))</f>
        <v/>
      </c>
      <c r="S49" s="54">
        <f>IF($B49="","",IFERROR($O49+$B49*$G49*$N49/$B$3,""))</f>
        <v/>
      </c>
      <c r="T49" s="63">
        <f>IF($B49="","",IFERROR($Q49/$Q$5,""))</f>
        <v/>
      </c>
      <c r="U49" s="2">
        <f>IF($B49="","",IF(COUNTIFS('Dvd Calendar'!$E$2756:$AR$2756,"&gt;0",'Dvd Calendar'!$E$2757:$AR$2757,"&gt;"&amp;MAX(Summary!$C$11,DATE(Summary!$C$12,1,1)-1),'Dvd Calendar'!$E$2757:$AR$2757,"&lt;="&amp;DATE(Summary!$C$12,12,31))-COUNTIFS('Dvd Calendar'!$E$2756:$AR$2756,"&gt;0",'Dvd Calendar'!$E$2757:$AR$2757,"&gt;"&amp;MAX(Summary!$C$11,DATE(Summary!$C$12,1,1)-1),'Dvd Calendar'!$E$2757:$AR$2757,"&lt;="&amp;DATE(Summary!$C$12,12,31),'Dvd Calendar'!$E$2758:$AR$2758,"&gt;=0")&gt;0,"TBA amount - override me",IF((Override!$C$4="ON")*ISNUMBER(Override!$G$195)&gt;0,"overridden",IF($J49+$K49=0,"no dividend in year Y",""))))</f>
        <v/>
      </c>
      <c r="V49" s="54">
        <f>IF($B49="","",IFERROR(IF(ISNUMBER($H49),$B49*$G49*$H49/$B$3,0),""))</f>
        <v/>
      </c>
      <c r="W49" s="54">
        <f>IF($B49="","",IFERROR($B49*$G49*$K49/$B$3,""))</f>
        <v/>
      </c>
    </row>
    <row r="50">
      <c r="B50" s="73" t="n"/>
      <c r="C50" s="6">
        <f>IF($A50="","",$A50&amp;" Equity")</f>
        <v/>
      </c>
      <c r="D50" s="6">
        <f>IF($C50="","",BDP($C50,"NAME"))</f>
        <v/>
      </c>
      <c r="E50" s="6">
        <f>IF($C50="","",BDP($C50,"GICS_SECTOR_NAME"))</f>
        <v/>
      </c>
      <c r="F50" s="31">
        <f>IF($C50="","",BDP($C50,'Field Check'!$C$8))</f>
        <v/>
      </c>
      <c r="G50" s="74">
        <f>IFERROR(IF(LEN($F50)&lt;&gt;3,1,IF($F50="HKD",1,BDP(IF($F50="CNY",Summary!$C$14,$F50)&amp;"HKD Curncy","PX_LAST"))),1)</f>
        <v/>
      </c>
      <c r="H50" s="54">
        <f>IF($C50="","",BDP($C50,'Field Check'!$C$9))</f>
        <v/>
      </c>
      <c r="I50" s="45">
        <f>IF($C50="","",BDP($C50,'Field Check'!$C$10))</f>
        <v/>
      </c>
      <c r="J50" s="47">
        <f>IF($B50="",0,IF(Summary!$C$13="Y",SUMIFS('Dvd Calendar'!$E$2766:$AR$2766,'Dvd Calendar'!$E$2765:$AR$2765,"&gt;="&amp;DATE(Summary!$C$12,1,1),'Dvd Calendar'!$E$2765:$AR$2765,"&lt;="&amp;MIN(Summary!$C$11,DATE(Summary!$C$12,12,31))),SUMIFS('Dvd Calendar'!$E$2766:$AR$2766,'Dvd Calendar'!$E$2765:$AR$2765,"&gt;="&amp;DATE(Summary!$C$12,1,1),'Dvd Calendar'!$E$2765:$AR$2765,"&lt;="&amp;MIN(Summary!$C$11,DATE(Summary!$C$12,12,31)),'Dvd Calendar'!$E$2770:$AR$2770,"&lt;&gt;"&amp;'Field Check'!$C$25)))</f>
        <v/>
      </c>
      <c r="K50" s="47">
        <f>IF($B50="",0,IF(Summary!$C$13="Y",SUMIFS('Dvd Calendar'!$E$2773:$AR$2773,'Dvd Calendar'!$E$2772:$AR$2772,"&gt;"&amp;MAX(Summary!$C$11,DATE(Summary!$C$12,1,1)-1),'Dvd Calendar'!$E$2772:$AR$2772,"&lt;="&amp;DATE(Summary!$C$12,12,31)),SUMIFS('Dvd Calendar'!$E$2773:$AR$2773,'Dvd Calendar'!$E$2772:$AR$2772,"&gt;"&amp;MAX(Summary!$C$11,DATE(Summary!$C$12,1,1)-1),'Dvd Calendar'!$E$2772:$AR$2772,"&lt;="&amp;DATE(Summary!$C$12,12,31),'Dvd Calendar'!$E$2777:$AR$2777,"&lt;&gt;"&amp;'Field Check'!$C$25)))</f>
        <v/>
      </c>
      <c r="L50" s="47">
        <f>IF($B50="",0,IF((Override!$C$4="ON")*ISNUMBER(Override!$G$196)&gt;0,Override!$G$196,$K50))</f>
        <v/>
      </c>
      <c r="M50" s="47">
        <f>IF($B50="",0,IF((Override!$C$4="ON")*ISNUMBER(Override!$H$196)&gt;0,Override!$H$196,$L50))</f>
        <v/>
      </c>
      <c r="N50" s="47">
        <f>IF($B50="",0,IF((Override!$C$4="ON")*ISNUMBER(Override!$I$196)&gt;0,Override!$I$196,$L50))</f>
        <v/>
      </c>
      <c r="O50" s="54">
        <f>IF($B50="","",IFERROR($B50*$G50*$J50/$B$3,""))</f>
        <v/>
      </c>
      <c r="P50" s="54">
        <f>IF($B50="","",IFERROR($B50*$G50*$L50/$B$3,""))</f>
        <v/>
      </c>
      <c r="Q50" s="38">
        <f>IF($B50="","",IFERROR($O50+$P50,""))</f>
        <v/>
      </c>
      <c r="R50" s="54">
        <f>IF($B50="","",IFERROR($O50+$B50*$G50*$M50/$B$3,""))</f>
        <v/>
      </c>
      <c r="S50" s="54">
        <f>IF($B50="","",IFERROR($O50+$B50*$G50*$N50/$B$3,""))</f>
        <v/>
      </c>
      <c r="T50" s="63">
        <f>IF($B50="","",IFERROR($Q50/$Q$5,""))</f>
        <v/>
      </c>
      <c r="U50" s="2">
        <f>IF($B50="","",IF(COUNTIFS('Dvd Calendar'!$E$2771:$AR$2771,"&gt;0",'Dvd Calendar'!$E$2772:$AR$2772,"&gt;"&amp;MAX(Summary!$C$11,DATE(Summary!$C$12,1,1)-1),'Dvd Calendar'!$E$2772:$AR$2772,"&lt;="&amp;DATE(Summary!$C$12,12,31))-COUNTIFS('Dvd Calendar'!$E$2771:$AR$2771,"&gt;0",'Dvd Calendar'!$E$2772:$AR$2772,"&gt;"&amp;MAX(Summary!$C$11,DATE(Summary!$C$12,1,1)-1),'Dvd Calendar'!$E$2772:$AR$2772,"&lt;="&amp;DATE(Summary!$C$12,12,31),'Dvd Calendar'!$E$2773:$AR$2773,"&gt;=0")&gt;0,"TBA amount - override me",IF((Override!$C$4="ON")*ISNUMBER(Override!$G$196)&gt;0,"overridden",IF($J50+$K50=0,"no dividend in year Y",""))))</f>
        <v/>
      </c>
      <c r="V50" s="54">
        <f>IF($B50="","",IFERROR(IF(ISNUMBER($H50),$B50*$G50*$H50/$B$3,0),""))</f>
        <v/>
      </c>
      <c r="W50" s="54">
        <f>IF($B50="","",IFERROR($B50*$G50*$K50/$B$3,""))</f>
        <v/>
      </c>
    </row>
    <row r="51">
      <c r="B51" s="73" t="n"/>
      <c r="C51" s="6">
        <f>IF($A51="","",$A51&amp;" Equity")</f>
        <v/>
      </c>
      <c r="D51" s="6">
        <f>IF($C51="","",BDP($C51,"NAME"))</f>
        <v/>
      </c>
      <c r="E51" s="6">
        <f>IF($C51="","",BDP($C51,"GICS_SECTOR_NAME"))</f>
        <v/>
      </c>
      <c r="F51" s="31">
        <f>IF($C51="","",BDP($C51,'Field Check'!$C$8))</f>
        <v/>
      </c>
      <c r="G51" s="74">
        <f>IFERROR(IF(LEN($F51)&lt;&gt;3,1,IF($F51="HKD",1,BDP(IF($F51="CNY",Summary!$C$14,$F51)&amp;"HKD Curncy","PX_LAST"))),1)</f>
        <v/>
      </c>
      <c r="H51" s="54">
        <f>IF($C51="","",BDP($C51,'Field Check'!$C$9))</f>
        <v/>
      </c>
      <c r="I51" s="45">
        <f>IF($C51="","",BDP($C51,'Field Check'!$C$10))</f>
        <v/>
      </c>
      <c r="J51" s="47">
        <f>IF($B51="",0,IF(Summary!$C$13="Y",SUMIFS('Dvd Calendar'!$E$2781:$AR$2781,'Dvd Calendar'!$E$2780:$AR$2780,"&gt;="&amp;DATE(Summary!$C$12,1,1),'Dvd Calendar'!$E$2780:$AR$2780,"&lt;="&amp;MIN(Summary!$C$11,DATE(Summary!$C$12,12,31))),SUMIFS('Dvd Calendar'!$E$2781:$AR$2781,'Dvd Calendar'!$E$2780:$AR$2780,"&gt;="&amp;DATE(Summary!$C$12,1,1),'Dvd Calendar'!$E$2780:$AR$2780,"&lt;="&amp;MIN(Summary!$C$11,DATE(Summary!$C$12,12,31)),'Dvd Calendar'!$E$2785:$AR$2785,"&lt;&gt;"&amp;'Field Check'!$C$25)))</f>
        <v/>
      </c>
      <c r="K51" s="47">
        <f>IF($B51="",0,IF(Summary!$C$13="Y",SUMIFS('Dvd Calendar'!$E$2788:$AR$2788,'Dvd Calendar'!$E$2787:$AR$2787,"&gt;"&amp;MAX(Summary!$C$11,DATE(Summary!$C$12,1,1)-1),'Dvd Calendar'!$E$2787:$AR$2787,"&lt;="&amp;DATE(Summary!$C$12,12,31)),SUMIFS('Dvd Calendar'!$E$2788:$AR$2788,'Dvd Calendar'!$E$2787:$AR$2787,"&gt;"&amp;MAX(Summary!$C$11,DATE(Summary!$C$12,1,1)-1),'Dvd Calendar'!$E$2787:$AR$2787,"&lt;="&amp;DATE(Summary!$C$12,12,31),'Dvd Calendar'!$E$2792:$AR$2792,"&lt;&gt;"&amp;'Field Check'!$C$25)))</f>
        <v/>
      </c>
      <c r="L51" s="47">
        <f>IF($B51="",0,IF((Override!$C$4="ON")*ISNUMBER(Override!$G$197)&gt;0,Override!$G$197,$K51))</f>
        <v/>
      </c>
      <c r="M51" s="47">
        <f>IF($B51="",0,IF((Override!$C$4="ON")*ISNUMBER(Override!$H$197)&gt;0,Override!$H$197,$L51))</f>
        <v/>
      </c>
      <c r="N51" s="47">
        <f>IF($B51="",0,IF((Override!$C$4="ON")*ISNUMBER(Override!$I$197)&gt;0,Override!$I$197,$L51))</f>
        <v/>
      </c>
      <c r="O51" s="54">
        <f>IF($B51="","",IFERROR($B51*$G51*$J51/$B$3,""))</f>
        <v/>
      </c>
      <c r="P51" s="54">
        <f>IF($B51="","",IFERROR($B51*$G51*$L51/$B$3,""))</f>
        <v/>
      </c>
      <c r="Q51" s="38">
        <f>IF($B51="","",IFERROR($O51+$P51,""))</f>
        <v/>
      </c>
      <c r="R51" s="54">
        <f>IF($B51="","",IFERROR($O51+$B51*$G51*$M51/$B$3,""))</f>
        <v/>
      </c>
      <c r="S51" s="54">
        <f>IF($B51="","",IFERROR($O51+$B51*$G51*$N51/$B$3,""))</f>
        <v/>
      </c>
      <c r="T51" s="63">
        <f>IF($B51="","",IFERROR($Q51/$Q$5,""))</f>
        <v/>
      </c>
      <c r="U51" s="2">
        <f>IF($B51="","",IF(COUNTIFS('Dvd Calendar'!$E$2786:$AR$2786,"&gt;0",'Dvd Calendar'!$E$2787:$AR$2787,"&gt;"&amp;MAX(Summary!$C$11,DATE(Summary!$C$12,1,1)-1),'Dvd Calendar'!$E$2787:$AR$2787,"&lt;="&amp;DATE(Summary!$C$12,12,31))-COUNTIFS('Dvd Calendar'!$E$2786:$AR$2786,"&gt;0",'Dvd Calendar'!$E$2787:$AR$2787,"&gt;"&amp;MAX(Summary!$C$11,DATE(Summary!$C$12,1,1)-1),'Dvd Calendar'!$E$2787:$AR$2787,"&lt;="&amp;DATE(Summary!$C$12,12,31),'Dvd Calendar'!$E$2788:$AR$2788,"&gt;=0")&gt;0,"TBA amount - override me",IF((Override!$C$4="ON")*ISNUMBER(Override!$G$197)&gt;0,"overridden",IF($J51+$K51=0,"no dividend in year Y",""))))</f>
        <v/>
      </c>
      <c r="V51" s="54">
        <f>IF($B51="","",IFERROR(IF(ISNUMBER($H51),$B51*$G51*$H51/$B$3,0),""))</f>
        <v/>
      </c>
      <c r="W51" s="54">
        <f>IF($B51="","",IFERROR($B51*$G51*$K51/$B$3,""))</f>
        <v/>
      </c>
    </row>
    <row r="52">
      <c r="B52" s="73" t="n"/>
      <c r="C52" s="6">
        <f>IF($A52="","",$A52&amp;" Equity")</f>
        <v/>
      </c>
      <c r="D52" s="6">
        <f>IF($C52="","",BDP($C52,"NAME"))</f>
        <v/>
      </c>
      <c r="E52" s="6">
        <f>IF($C52="","",BDP($C52,"GICS_SECTOR_NAME"))</f>
        <v/>
      </c>
      <c r="F52" s="31">
        <f>IF($C52="","",BDP($C52,'Field Check'!$C$8))</f>
        <v/>
      </c>
      <c r="G52" s="74">
        <f>IFERROR(IF(LEN($F52)&lt;&gt;3,1,IF($F52="HKD",1,BDP(IF($F52="CNY",Summary!$C$14,$F52)&amp;"HKD Curncy","PX_LAST"))),1)</f>
        <v/>
      </c>
      <c r="H52" s="54">
        <f>IF($C52="","",BDP($C52,'Field Check'!$C$9))</f>
        <v/>
      </c>
      <c r="I52" s="45">
        <f>IF($C52="","",BDP($C52,'Field Check'!$C$10))</f>
        <v/>
      </c>
      <c r="J52" s="47">
        <f>IF($B52="",0,IF(Summary!$C$13="Y",SUMIFS('Dvd Calendar'!$E$2796:$AR$2796,'Dvd Calendar'!$E$2795:$AR$2795,"&gt;="&amp;DATE(Summary!$C$12,1,1),'Dvd Calendar'!$E$2795:$AR$2795,"&lt;="&amp;MIN(Summary!$C$11,DATE(Summary!$C$12,12,31))),SUMIFS('Dvd Calendar'!$E$2796:$AR$2796,'Dvd Calendar'!$E$2795:$AR$2795,"&gt;="&amp;DATE(Summary!$C$12,1,1),'Dvd Calendar'!$E$2795:$AR$2795,"&lt;="&amp;MIN(Summary!$C$11,DATE(Summary!$C$12,12,31)),'Dvd Calendar'!$E$2800:$AR$2800,"&lt;&gt;"&amp;'Field Check'!$C$25)))</f>
        <v/>
      </c>
      <c r="K52" s="47">
        <f>IF($B52="",0,IF(Summary!$C$13="Y",SUMIFS('Dvd Calendar'!$E$2803:$AR$2803,'Dvd Calendar'!$E$2802:$AR$2802,"&gt;"&amp;MAX(Summary!$C$11,DATE(Summary!$C$12,1,1)-1),'Dvd Calendar'!$E$2802:$AR$2802,"&lt;="&amp;DATE(Summary!$C$12,12,31)),SUMIFS('Dvd Calendar'!$E$2803:$AR$2803,'Dvd Calendar'!$E$2802:$AR$2802,"&gt;"&amp;MAX(Summary!$C$11,DATE(Summary!$C$12,1,1)-1),'Dvd Calendar'!$E$2802:$AR$2802,"&lt;="&amp;DATE(Summary!$C$12,12,31),'Dvd Calendar'!$E$2807:$AR$2807,"&lt;&gt;"&amp;'Field Check'!$C$25)))</f>
        <v/>
      </c>
      <c r="L52" s="47">
        <f>IF($B52="",0,IF((Override!$C$4="ON")*ISNUMBER(Override!$G$198)&gt;0,Override!$G$198,$K52))</f>
        <v/>
      </c>
      <c r="M52" s="47">
        <f>IF($B52="",0,IF((Override!$C$4="ON")*ISNUMBER(Override!$H$198)&gt;0,Override!$H$198,$L52))</f>
        <v/>
      </c>
      <c r="N52" s="47">
        <f>IF($B52="",0,IF((Override!$C$4="ON")*ISNUMBER(Override!$I$198)&gt;0,Override!$I$198,$L52))</f>
        <v/>
      </c>
      <c r="O52" s="54">
        <f>IF($B52="","",IFERROR($B52*$G52*$J52/$B$3,""))</f>
        <v/>
      </c>
      <c r="P52" s="54">
        <f>IF($B52="","",IFERROR($B52*$G52*$L52/$B$3,""))</f>
        <v/>
      </c>
      <c r="Q52" s="38">
        <f>IF($B52="","",IFERROR($O52+$P52,""))</f>
        <v/>
      </c>
      <c r="R52" s="54">
        <f>IF($B52="","",IFERROR($O52+$B52*$G52*$M52/$B$3,""))</f>
        <v/>
      </c>
      <c r="S52" s="54">
        <f>IF($B52="","",IFERROR($O52+$B52*$G52*$N52/$B$3,""))</f>
        <v/>
      </c>
      <c r="T52" s="63">
        <f>IF($B52="","",IFERROR($Q52/$Q$5,""))</f>
        <v/>
      </c>
      <c r="U52" s="2">
        <f>IF($B52="","",IF(COUNTIFS('Dvd Calendar'!$E$2801:$AR$2801,"&gt;0",'Dvd Calendar'!$E$2802:$AR$2802,"&gt;"&amp;MAX(Summary!$C$11,DATE(Summary!$C$12,1,1)-1),'Dvd Calendar'!$E$2802:$AR$2802,"&lt;="&amp;DATE(Summary!$C$12,12,31))-COUNTIFS('Dvd Calendar'!$E$2801:$AR$2801,"&gt;0",'Dvd Calendar'!$E$2802:$AR$2802,"&gt;"&amp;MAX(Summary!$C$11,DATE(Summary!$C$12,1,1)-1),'Dvd Calendar'!$E$2802:$AR$2802,"&lt;="&amp;DATE(Summary!$C$12,12,31),'Dvd Calendar'!$E$2803:$AR$2803,"&gt;=0")&gt;0,"TBA amount - override me",IF((Override!$C$4="ON")*ISNUMBER(Override!$G$198)&gt;0,"overridden",IF($J52+$K52=0,"no dividend in year Y",""))))</f>
        <v/>
      </c>
      <c r="V52" s="54">
        <f>IF($B52="","",IFERROR(IF(ISNUMBER($H52),$B52*$G52*$H52/$B$3,0),""))</f>
        <v/>
      </c>
      <c r="W52" s="54">
        <f>IF($B52="","",IFERROR($B52*$G52*$K52/$B$3,""))</f>
        <v/>
      </c>
    </row>
    <row r="53">
      <c r="B53" s="73" t="n"/>
      <c r="C53" s="6">
        <f>IF($A53="","",$A53&amp;" Equity")</f>
        <v/>
      </c>
      <c r="D53" s="6">
        <f>IF($C53="","",BDP($C53,"NAME"))</f>
        <v/>
      </c>
      <c r="E53" s="6">
        <f>IF($C53="","",BDP($C53,"GICS_SECTOR_NAME"))</f>
        <v/>
      </c>
      <c r="F53" s="31">
        <f>IF($C53="","",BDP($C53,'Field Check'!$C$8))</f>
        <v/>
      </c>
      <c r="G53" s="74">
        <f>IFERROR(IF(LEN($F53)&lt;&gt;3,1,IF($F53="HKD",1,BDP(IF($F53="CNY",Summary!$C$14,$F53)&amp;"HKD Curncy","PX_LAST"))),1)</f>
        <v/>
      </c>
      <c r="H53" s="54">
        <f>IF($C53="","",BDP($C53,'Field Check'!$C$9))</f>
        <v/>
      </c>
      <c r="I53" s="45">
        <f>IF($C53="","",BDP($C53,'Field Check'!$C$10))</f>
        <v/>
      </c>
      <c r="J53" s="47">
        <f>IF($B53="",0,IF(Summary!$C$13="Y",SUMIFS('Dvd Calendar'!$E$2811:$AR$2811,'Dvd Calendar'!$E$2810:$AR$2810,"&gt;="&amp;DATE(Summary!$C$12,1,1),'Dvd Calendar'!$E$2810:$AR$2810,"&lt;="&amp;MIN(Summary!$C$11,DATE(Summary!$C$12,12,31))),SUMIFS('Dvd Calendar'!$E$2811:$AR$2811,'Dvd Calendar'!$E$2810:$AR$2810,"&gt;="&amp;DATE(Summary!$C$12,1,1),'Dvd Calendar'!$E$2810:$AR$2810,"&lt;="&amp;MIN(Summary!$C$11,DATE(Summary!$C$12,12,31)),'Dvd Calendar'!$E$2815:$AR$2815,"&lt;&gt;"&amp;'Field Check'!$C$25)))</f>
        <v/>
      </c>
      <c r="K53" s="47">
        <f>IF($B53="",0,IF(Summary!$C$13="Y",SUMIFS('Dvd Calendar'!$E$2818:$AR$2818,'Dvd Calendar'!$E$2817:$AR$2817,"&gt;"&amp;MAX(Summary!$C$11,DATE(Summary!$C$12,1,1)-1),'Dvd Calendar'!$E$2817:$AR$2817,"&lt;="&amp;DATE(Summary!$C$12,12,31)),SUMIFS('Dvd Calendar'!$E$2818:$AR$2818,'Dvd Calendar'!$E$2817:$AR$2817,"&gt;"&amp;MAX(Summary!$C$11,DATE(Summary!$C$12,1,1)-1),'Dvd Calendar'!$E$2817:$AR$2817,"&lt;="&amp;DATE(Summary!$C$12,12,31),'Dvd Calendar'!$E$2822:$AR$2822,"&lt;&gt;"&amp;'Field Check'!$C$25)))</f>
        <v/>
      </c>
      <c r="L53" s="47">
        <f>IF($B53="",0,IF((Override!$C$4="ON")*ISNUMBER(Override!$G$199)&gt;0,Override!$G$199,$K53))</f>
        <v/>
      </c>
      <c r="M53" s="47">
        <f>IF($B53="",0,IF((Override!$C$4="ON")*ISNUMBER(Override!$H$199)&gt;0,Override!$H$199,$L53))</f>
        <v/>
      </c>
      <c r="N53" s="47">
        <f>IF($B53="",0,IF((Override!$C$4="ON")*ISNUMBER(Override!$I$199)&gt;0,Override!$I$199,$L53))</f>
        <v/>
      </c>
      <c r="O53" s="54">
        <f>IF($B53="","",IFERROR($B53*$G53*$J53/$B$3,""))</f>
        <v/>
      </c>
      <c r="P53" s="54">
        <f>IF($B53="","",IFERROR($B53*$G53*$L53/$B$3,""))</f>
        <v/>
      </c>
      <c r="Q53" s="38">
        <f>IF($B53="","",IFERROR($O53+$P53,""))</f>
        <v/>
      </c>
      <c r="R53" s="54">
        <f>IF($B53="","",IFERROR($O53+$B53*$G53*$M53/$B$3,""))</f>
        <v/>
      </c>
      <c r="S53" s="54">
        <f>IF($B53="","",IFERROR($O53+$B53*$G53*$N53/$B$3,""))</f>
        <v/>
      </c>
      <c r="T53" s="63">
        <f>IF($B53="","",IFERROR($Q53/$Q$5,""))</f>
        <v/>
      </c>
      <c r="U53" s="2">
        <f>IF($B53="","",IF(COUNTIFS('Dvd Calendar'!$E$2816:$AR$2816,"&gt;0",'Dvd Calendar'!$E$2817:$AR$2817,"&gt;"&amp;MAX(Summary!$C$11,DATE(Summary!$C$12,1,1)-1),'Dvd Calendar'!$E$2817:$AR$2817,"&lt;="&amp;DATE(Summary!$C$12,12,31))-COUNTIFS('Dvd Calendar'!$E$2816:$AR$2816,"&gt;0",'Dvd Calendar'!$E$2817:$AR$2817,"&gt;"&amp;MAX(Summary!$C$11,DATE(Summary!$C$12,1,1)-1),'Dvd Calendar'!$E$2817:$AR$2817,"&lt;="&amp;DATE(Summary!$C$12,12,31),'Dvd Calendar'!$E$2818:$AR$2818,"&gt;=0")&gt;0,"TBA amount - override me",IF((Override!$C$4="ON")*ISNUMBER(Override!$G$199)&gt;0,"overridden",IF($J53+$K53=0,"no dividend in year Y",""))))</f>
        <v/>
      </c>
      <c r="V53" s="54">
        <f>IF($B53="","",IFERROR(IF(ISNUMBER($H53),$B53*$G53*$H53/$B$3,0),""))</f>
        <v/>
      </c>
      <c r="W53" s="54">
        <f>IF($B53="","",IFERROR($B53*$G53*$K53/$B$3,""))</f>
        <v/>
      </c>
    </row>
    <row r="54">
      <c r="B54" s="73" t="n"/>
      <c r="C54" s="6">
        <f>IF($A54="","",$A54&amp;" Equity")</f>
        <v/>
      </c>
      <c r="D54" s="6">
        <f>IF($C54="","",BDP($C54,"NAME"))</f>
        <v/>
      </c>
      <c r="E54" s="6">
        <f>IF($C54="","",BDP($C54,"GICS_SECTOR_NAME"))</f>
        <v/>
      </c>
      <c r="F54" s="31">
        <f>IF($C54="","",BDP($C54,'Field Check'!$C$8))</f>
        <v/>
      </c>
      <c r="G54" s="74">
        <f>IFERROR(IF(LEN($F54)&lt;&gt;3,1,IF($F54="HKD",1,BDP(IF($F54="CNY",Summary!$C$14,$F54)&amp;"HKD Curncy","PX_LAST"))),1)</f>
        <v/>
      </c>
      <c r="H54" s="54">
        <f>IF($C54="","",BDP($C54,'Field Check'!$C$9))</f>
        <v/>
      </c>
      <c r="I54" s="45">
        <f>IF($C54="","",BDP($C54,'Field Check'!$C$10))</f>
        <v/>
      </c>
      <c r="J54" s="47">
        <f>IF($B54="",0,IF(Summary!$C$13="Y",SUMIFS('Dvd Calendar'!$E$2826:$AR$2826,'Dvd Calendar'!$E$2825:$AR$2825,"&gt;="&amp;DATE(Summary!$C$12,1,1),'Dvd Calendar'!$E$2825:$AR$2825,"&lt;="&amp;MIN(Summary!$C$11,DATE(Summary!$C$12,12,31))),SUMIFS('Dvd Calendar'!$E$2826:$AR$2826,'Dvd Calendar'!$E$2825:$AR$2825,"&gt;="&amp;DATE(Summary!$C$12,1,1),'Dvd Calendar'!$E$2825:$AR$2825,"&lt;="&amp;MIN(Summary!$C$11,DATE(Summary!$C$12,12,31)),'Dvd Calendar'!$E$2830:$AR$2830,"&lt;&gt;"&amp;'Field Check'!$C$25)))</f>
        <v/>
      </c>
      <c r="K54" s="47">
        <f>IF($B54="",0,IF(Summary!$C$13="Y",SUMIFS('Dvd Calendar'!$E$2833:$AR$2833,'Dvd Calendar'!$E$2832:$AR$2832,"&gt;"&amp;MAX(Summary!$C$11,DATE(Summary!$C$12,1,1)-1),'Dvd Calendar'!$E$2832:$AR$2832,"&lt;="&amp;DATE(Summary!$C$12,12,31)),SUMIFS('Dvd Calendar'!$E$2833:$AR$2833,'Dvd Calendar'!$E$2832:$AR$2832,"&gt;"&amp;MAX(Summary!$C$11,DATE(Summary!$C$12,1,1)-1),'Dvd Calendar'!$E$2832:$AR$2832,"&lt;="&amp;DATE(Summary!$C$12,12,31),'Dvd Calendar'!$E$2837:$AR$2837,"&lt;&gt;"&amp;'Field Check'!$C$25)))</f>
        <v/>
      </c>
      <c r="L54" s="47">
        <f>IF($B54="",0,IF((Override!$C$4="ON")*ISNUMBER(Override!$G$200)&gt;0,Override!$G$200,$K54))</f>
        <v/>
      </c>
      <c r="M54" s="47">
        <f>IF($B54="",0,IF((Override!$C$4="ON")*ISNUMBER(Override!$H$200)&gt;0,Override!$H$200,$L54))</f>
        <v/>
      </c>
      <c r="N54" s="47">
        <f>IF($B54="",0,IF((Override!$C$4="ON")*ISNUMBER(Override!$I$200)&gt;0,Override!$I$200,$L54))</f>
        <v/>
      </c>
      <c r="O54" s="54">
        <f>IF($B54="","",IFERROR($B54*$G54*$J54/$B$3,""))</f>
        <v/>
      </c>
      <c r="P54" s="54">
        <f>IF($B54="","",IFERROR($B54*$G54*$L54/$B$3,""))</f>
        <v/>
      </c>
      <c r="Q54" s="38">
        <f>IF($B54="","",IFERROR($O54+$P54,""))</f>
        <v/>
      </c>
      <c r="R54" s="54">
        <f>IF($B54="","",IFERROR($O54+$B54*$G54*$M54/$B$3,""))</f>
        <v/>
      </c>
      <c r="S54" s="54">
        <f>IF($B54="","",IFERROR($O54+$B54*$G54*$N54/$B$3,""))</f>
        <v/>
      </c>
      <c r="T54" s="63">
        <f>IF($B54="","",IFERROR($Q54/$Q$5,""))</f>
        <v/>
      </c>
      <c r="U54" s="2">
        <f>IF($B54="","",IF(COUNTIFS('Dvd Calendar'!$E$2831:$AR$2831,"&gt;0",'Dvd Calendar'!$E$2832:$AR$2832,"&gt;"&amp;MAX(Summary!$C$11,DATE(Summary!$C$12,1,1)-1),'Dvd Calendar'!$E$2832:$AR$2832,"&lt;="&amp;DATE(Summary!$C$12,12,31))-COUNTIFS('Dvd Calendar'!$E$2831:$AR$2831,"&gt;0",'Dvd Calendar'!$E$2832:$AR$2832,"&gt;"&amp;MAX(Summary!$C$11,DATE(Summary!$C$12,1,1)-1),'Dvd Calendar'!$E$2832:$AR$2832,"&lt;="&amp;DATE(Summary!$C$12,12,31),'Dvd Calendar'!$E$2833:$AR$2833,"&gt;=0")&gt;0,"TBA amount - override me",IF((Override!$C$4="ON")*ISNUMBER(Override!$G$200)&gt;0,"overridden",IF($J54+$K54=0,"no dividend in year Y",""))))</f>
        <v/>
      </c>
      <c r="V54" s="54">
        <f>IF($B54="","",IFERROR(IF(ISNUMBER($H54),$B54*$G54*$H54/$B$3,0),""))</f>
        <v/>
      </c>
      <c r="W54" s="54">
        <f>IF($B54="","",IFERROR($B54*$G54*$K54/$B$3,""))</f>
        <v/>
      </c>
    </row>
    <row r="55">
      <c r="B55" s="73" t="n"/>
      <c r="C55" s="6">
        <f>IF($A55="","",$A55&amp;" Equity")</f>
        <v/>
      </c>
      <c r="D55" s="6">
        <f>IF($C55="","",BDP($C55,"NAME"))</f>
        <v/>
      </c>
      <c r="E55" s="6">
        <f>IF($C55="","",BDP($C55,"GICS_SECTOR_NAME"))</f>
        <v/>
      </c>
      <c r="F55" s="31">
        <f>IF($C55="","",BDP($C55,'Field Check'!$C$8))</f>
        <v/>
      </c>
      <c r="G55" s="74">
        <f>IFERROR(IF(LEN($F55)&lt;&gt;3,1,IF($F55="HKD",1,BDP(IF($F55="CNY",Summary!$C$14,$F55)&amp;"HKD Curncy","PX_LAST"))),1)</f>
        <v/>
      </c>
      <c r="H55" s="54">
        <f>IF($C55="","",BDP($C55,'Field Check'!$C$9))</f>
        <v/>
      </c>
      <c r="I55" s="45">
        <f>IF($C55="","",BDP($C55,'Field Check'!$C$10))</f>
        <v/>
      </c>
      <c r="J55" s="47">
        <f>IF($B55="",0,IF(Summary!$C$13="Y",SUMIFS('Dvd Calendar'!$E$2841:$AR$2841,'Dvd Calendar'!$E$2840:$AR$2840,"&gt;="&amp;DATE(Summary!$C$12,1,1),'Dvd Calendar'!$E$2840:$AR$2840,"&lt;="&amp;MIN(Summary!$C$11,DATE(Summary!$C$12,12,31))),SUMIFS('Dvd Calendar'!$E$2841:$AR$2841,'Dvd Calendar'!$E$2840:$AR$2840,"&gt;="&amp;DATE(Summary!$C$12,1,1),'Dvd Calendar'!$E$2840:$AR$2840,"&lt;="&amp;MIN(Summary!$C$11,DATE(Summary!$C$12,12,31)),'Dvd Calendar'!$E$2845:$AR$2845,"&lt;&gt;"&amp;'Field Check'!$C$25)))</f>
        <v/>
      </c>
      <c r="K55" s="47">
        <f>IF($B55="",0,IF(Summary!$C$13="Y",SUMIFS('Dvd Calendar'!$E$2848:$AR$2848,'Dvd Calendar'!$E$2847:$AR$2847,"&gt;"&amp;MAX(Summary!$C$11,DATE(Summary!$C$12,1,1)-1),'Dvd Calendar'!$E$2847:$AR$2847,"&lt;="&amp;DATE(Summary!$C$12,12,31)),SUMIFS('Dvd Calendar'!$E$2848:$AR$2848,'Dvd Calendar'!$E$2847:$AR$2847,"&gt;"&amp;MAX(Summary!$C$11,DATE(Summary!$C$12,1,1)-1),'Dvd Calendar'!$E$2847:$AR$2847,"&lt;="&amp;DATE(Summary!$C$12,12,31),'Dvd Calendar'!$E$2852:$AR$2852,"&lt;&gt;"&amp;'Field Check'!$C$25)))</f>
        <v/>
      </c>
      <c r="L55" s="47">
        <f>IF($B55="",0,IF((Override!$C$4="ON")*ISNUMBER(Override!$G$201)&gt;0,Override!$G$201,$K55))</f>
        <v/>
      </c>
      <c r="M55" s="47">
        <f>IF($B55="",0,IF((Override!$C$4="ON")*ISNUMBER(Override!$H$201)&gt;0,Override!$H$201,$L55))</f>
        <v/>
      </c>
      <c r="N55" s="47">
        <f>IF($B55="",0,IF((Override!$C$4="ON")*ISNUMBER(Override!$I$201)&gt;0,Override!$I$201,$L55))</f>
        <v/>
      </c>
      <c r="O55" s="54">
        <f>IF($B55="","",IFERROR($B55*$G55*$J55/$B$3,""))</f>
        <v/>
      </c>
      <c r="P55" s="54">
        <f>IF($B55="","",IFERROR($B55*$G55*$L55/$B$3,""))</f>
        <v/>
      </c>
      <c r="Q55" s="38">
        <f>IF($B55="","",IFERROR($O55+$P55,""))</f>
        <v/>
      </c>
      <c r="R55" s="54">
        <f>IF($B55="","",IFERROR($O55+$B55*$G55*$M55/$B$3,""))</f>
        <v/>
      </c>
      <c r="S55" s="54">
        <f>IF($B55="","",IFERROR($O55+$B55*$G55*$N55/$B$3,""))</f>
        <v/>
      </c>
      <c r="T55" s="63">
        <f>IF($B55="","",IFERROR($Q55/$Q$5,""))</f>
        <v/>
      </c>
      <c r="U55" s="2">
        <f>IF($B55="","",IF(COUNTIFS('Dvd Calendar'!$E$2846:$AR$2846,"&gt;0",'Dvd Calendar'!$E$2847:$AR$2847,"&gt;"&amp;MAX(Summary!$C$11,DATE(Summary!$C$12,1,1)-1),'Dvd Calendar'!$E$2847:$AR$2847,"&lt;="&amp;DATE(Summary!$C$12,12,31))-COUNTIFS('Dvd Calendar'!$E$2846:$AR$2846,"&gt;0",'Dvd Calendar'!$E$2847:$AR$2847,"&gt;"&amp;MAX(Summary!$C$11,DATE(Summary!$C$12,1,1)-1),'Dvd Calendar'!$E$2847:$AR$2847,"&lt;="&amp;DATE(Summary!$C$12,12,31),'Dvd Calendar'!$E$2848:$AR$2848,"&gt;=0")&gt;0,"TBA amount - override me",IF((Override!$C$4="ON")*ISNUMBER(Override!$G$201)&gt;0,"overridden",IF($J55+$K55=0,"no dividend in year Y",""))))</f>
        <v/>
      </c>
      <c r="V55" s="54">
        <f>IF($B55="","",IFERROR(IF(ISNUMBER($H55),$B55*$G55*$H55/$B$3,0),""))</f>
        <v/>
      </c>
      <c r="W55" s="54">
        <f>IF($B55="","",IFERROR($B55*$G55*$K55/$B$3,""))</f>
        <v/>
      </c>
    </row>
    <row r="56">
      <c r="B56" s="73" t="n"/>
      <c r="C56" s="6">
        <f>IF($A56="","",$A56&amp;" Equity")</f>
        <v/>
      </c>
      <c r="D56" s="6">
        <f>IF($C56="","",BDP($C56,"NAME"))</f>
        <v/>
      </c>
      <c r="E56" s="6">
        <f>IF($C56="","",BDP($C56,"GICS_SECTOR_NAME"))</f>
        <v/>
      </c>
      <c r="F56" s="31">
        <f>IF($C56="","",BDP($C56,'Field Check'!$C$8))</f>
        <v/>
      </c>
      <c r="G56" s="74">
        <f>IFERROR(IF(LEN($F56)&lt;&gt;3,1,IF($F56="HKD",1,BDP(IF($F56="CNY",Summary!$C$14,$F56)&amp;"HKD Curncy","PX_LAST"))),1)</f>
        <v/>
      </c>
      <c r="H56" s="54">
        <f>IF($C56="","",BDP($C56,'Field Check'!$C$9))</f>
        <v/>
      </c>
      <c r="I56" s="45">
        <f>IF($C56="","",BDP($C56,'Field Check'!$C$10))</f>
        <v/>
      </c>
      <c r="J56" s="47">
        <f>IF($B56="",0,IF(Summary!$C$13="Y",SUMIFS('Dvd Calendar'!$E$2856:$AR$2856,'Dvd Calendar'!$E$2855:$AR$2855,"&gt;="&amp;DATE(Summary!$C$12,1,1),'Dvd Calendar'!$E$2855:$AR$2855,"&lt;="&amp;MIN(Summary!$C$11,DATE(Summary!$C$12,12,31))),SUMIFS('Dvd Calendar'!$E$2856:$AR$2856,'Dvd Calendar'!$E$2855:$AR$2855,"&gt;="&amp;DATE(Summary!$C$12,1,1),'Dvd Calendar'!$E$2855:$AR$2855,"&lt;="&amp;MIN(Summary!$C$11,DATE(Summary!$C$12,12,31)),'Dvd Calendar'!$E$2860:$AR$2860,"&lt;&gt;"&amp;'Field Check'!$C$25)))</f>
        <v/>
      </c>
      <c r="K56" s="47">
        <f>IF($B56="",0,IF(Summary!$C$13="Y",SUMIFS('Dvd Calendar'!$E$2863:$AR$2863,'Dvd Calendar'!$E$2862:$AR$2862,"&gt;"&amp;MAX(Summary!$C$11,DATE(Summary!$C$12,1,1)-1),'Dvd Calendar'!$E$2862:$AR$2862,"&lt;="&amp;DATE(Summary!$C$12,12,31)),SUMIFS('Dvd Calendar'!$E$2863:$AR$2863,'Dvd Calendar'!$E$2862:$AR$2862,"&gt;"&amp;MAX(Summary!$C$11,DATE(Summary!$C$12,1,1)-1),'Dvd Calendar'!$E$2862:$AR$2862,"&lt;="&amp;DATE(Summary!$C$12,12,31),'Dvd Calendar'!$E$2867:$AR$2867,"&lt;&gt;"&amp;'Field Check'!$C$25)))</f>
        <v/>
      </c>
      <c r="L56" s="47">
        <f>IF($B56="",0,IF((Override!$C$4="ON")*ISNUMBER(Override!$G$202)&gt;0,Override!$G$202,$K56))</f>
        <v/>
      </c>
      <c r="M56" s="47">
        <f>IF($B56="",0,IF((Override!$C$4="ON")*ISNUMBER(Override!$H$202)&gt;0,Override!$H$202,$L56))</f>
        <v/>
      </c>
      <c r="N56" s="47">
        <f>IF($B56="",0,IF((Override!$C$4="ON")*ISNUMBER(Override!$I$202)&gt;0,Override!$I$202,$L56))</f>
        <v/>
      </c>
      <c r="O56" s="54">
        <f>IF($B56="","",IFERROR($B56*$G56*$J56/$B$3,""))</f>
        <v/>
      </c>
      <c r="P56" s="54">
        <f>IF($B56="","",IFERROR($B56*$G56*$L56/$B$3,""))</f>
        <v/>
      </c>
      <c r="Q56" s="38">
        <f>IF($B56="","",IFERROR($O56+$P56,""))</f>
        <v/>
      </c>
      <c r="R56" s="54">
        <f>IF($B56="","",IFERROR($O56+$B56*$G56*$M56/$B$3,""))</f>
        <v/>
      </c>
      <c r="S56" s="54">
        <f>IF($B56="","",IFERROR($O56+$B56*$G56*$N56/$B$3,""))</f>
        <v/>
      </c>
      <c r="T56" s="63">
        <f>IF($B56="","",IFERROR($Q56/$Q$5,""))</f>
        <v/>
      </c>
      <c r="U56" s="2">
        <f>IF($B56="","",IF(COUNTIFS('Dvd Calendar'!$E$2861:$AR$2861,"&gt;0",'Dvd Calendar'!$E$2862:$AR$2862,"&gt;"&amp;MAX(Summary!$C$11,DATE(Summary!$C$12,1,1)-1),'Dvd Calendar'!$E$2862:$AR$2862,"&lt;="&amp;DATE(Summary!$C$12,12,31))-COUNTIFS('Dvd Calendar'!$E$2861:$AR$2861,"&gt;0",'Dvd Calendar'!$E$2862:$AR$2862,"&gt;"&amp;MAX(Summary!$C$11,DATE(Summary!$C$12,1,1)-1),'Dvd Calendar'!$E$2862:$AR$2862,"&lt;="&amp;DATE(Summary!$C$12,12,31),'Dvd Calendar'!$E$2863:$AR$2863,"&gt;=0")&gt;0,"TBA amount - override me",IF((Override!$C$4="ON")*ISNUMBER(Override!$G$202)&gt;0,"overridden",IF($J56+$K56=0,"no dividend in year Y",""))))</f>
        <v/>
      </c>
      <c r="V56" s="54">
        <f>IF($B56="","",IFERROR(IF(ISNUMBER($H56),$B56*$G56*$H56/$B$3,0),""))</f>
        <v/>
      </c>
      <c r="W56" s="54">
        <f>IF($B56="","",IFERROR($B56*$G56*$K56/$B$3,""))</f>
        <v/>
      </c>
    </row>
    <row r="57">
      <c r="B57" s="73" t="n"/>
      <c r="C57" s="6">
        <f>IF($A57="","",$A57&amp;" Equity")</f>
        <v/>
      </c>
      <c r="D57" s="6">
        <f>IF($C57="","",BDP($C57,"NAME"))</f>
        <v/>
      </c>
      <c r="E57" s="6">
        <f>IF($C57="","",BDP($C57,"GICS_SECTOR_NAME"))</f>
        <v/>
      </c>
      <c r="F57" s="31">
        <f>IF($C57="","",BDP($C57,'Field Check'!$C$8))</f>
        <v/>
      </c>
      <c r="G57" s="74">
        <f>IFERROR(IF(LEN($F57)&lt;&gt;3,1,IF($F57="HKD",1,BDP(IF($F57="CNY",Summary!$C$14,$F57)&amp;"HKD Curncy","PX_LAST"))),1)</f>
        <v/>
      </c>
      <c r="H57" s="54">
        <f>IF($C57="","",BDP($C57,'Field Check'!$C$9))</f>
        <v/>
      </c>
      <c r="I57" s="45">
        <f>IF($C57="","",BDP($C57,'Field Check'!$C$10))</f>
        <v/>
      </c>
      <c r="J57" s="47">
        <f>IF($B57="",0,IF(Summary!$C$13="Y",SUMIFS('Dvd Calendar'!$E$2871:$AR$2871,'Dvd Calendar'!$E$2870:$AR$2870,"&gt;="&amp;DATE(Summary!$C$12,1,1),'Dvd Calendar'!$E$2870:$AR$2870,"&lt;="&amp;MIN(Summary!$C$11,DATE(Summary!$C$12,12,31))),SUMIFS('Dvd Calendar'!$E$2871:$AR$2871,'Dvd Calendar'!$E$2870:$AR$2870,"&gt;="&amp;DATE(Summary!$C$12,1,1),'Dvd Calendar'!$E$2870:$AR$2870,"&lt;="&amp;MIN(Summary!$C$11,DATE(Summary!$C$12,12,31)),'Dvd Calendar'!$E$2875:$AR$2875,"&lt;&gt;"&amp;'Field Check'!$C$25)))</f>
        <v/>
      </c>
      <c r="K57" s="47">
        <f>IF($B57="",0,IF(Summary!$C$13="Y",SUMIFS('Dvd Calendar'!$E$2878:$AR$2878,'Dvd Calendar'!$E$2877:$AR$2877,"&gt;"&amp;MAX(Summary!$C$11,DATE(Summary!$C$12,1,1)-1),'Dvd Calendar'!$E$2877:$AR$2877,"&lt;="&amp;DATE(Summary!$C$12,12,31)),SUMIFS('Dvd Calendar'!$E$2878:$AR$2878,'Dvd Calendar'!$E$2877:$AR$2877,"&gt;"&amp;MAX(Summary!$C$11,DATE(Summary!$C$12,1,1)-1),'Dvd Calendar'!$E$2877:$AR$2877,"&lt;="&amp;DATE(Summary!$C$12,12,31),'Dvd Calendar'!$E$2882:$AR$2882,"&lt;&gt;"&amp;'Field Check'!$C$25)))</f>
        <v/>
      </c>
      <c r="L57" s="47">
        <f>IF($B57="",0,IF((Override!$C$4="ON")*ISNUMBER(Override!$G$203)&gt;0,Override!$G$203,$K57))</f>
        <v/>
      </c>
      <c r="M57" s="47">
        <f>IF($B57="",0,IF((Override!$C$4="ON")*ISNUMBER(Override!$H$203)&gt;0,Override!$H$203,$L57))</f>
        <v/>
      </c>
      <c r="N57" s="47">
        <f>IF($B57="",0,IF((Override!$C$4="ON")*ISNUMBER(Override!$I$203)&gt;0,Override!$I$203,$L57))</f>
        <v/>
      </c>
      <c r="O57" s="54">
        <f>IF($B57="","",IFERROR($B57*$G57*$J57/$B$3,""))</f>
        <v/>
      </c>
      <c r="P57" s="54">
        <f>IF($B57="","",IFERROR($B57*$G57*$L57/$B$3,""))</f>
        <v/>
      </c>
      <c r="Q57" s="38">
        <f>IF($B57="","",IFERROR($O57+$P57,""))</f>
        <v/>
      </c>
      <c r="R57" s="54">
        <f>IF($B57="","",IFERROR($O57+$B57*$G57*$M57/$B$3,""))</f>
        <v/>
      </c>
      <c r="S57" s="54">
        <f>IF($B57="","",IFERROR($O57+$B57*$G57*$N57/$B$3,""))</f>
        <v/>
      </c>
      <c r="T57" s="63">
        <f>IF($B57="","",IFERROR($Q57/$Q$5,""))</f>
        <v/>
      </c>
      <c r="U57" s="2">
        <f>IF($B57="","",IF(COUNTIFS('Dvd Calendar'!$E$2876:$AR$2876,"&gt;0",'Dvd Calendar'!$E$2877:$AR$2877,"&gt;"&amp;MAX(Summary!$C$11,DATE(Summary!$C$12,1,1)-1),'Dvd Calendar'!$E$2877:$AR$2877,"&lt;="&amp;DATE(Summary!$C$12,12,31))-COUNTIFS('Dvd Calendar'!$E$2876:$AR$2876,"&gt;0",'Dvd Calendar'!$E$2877:$AR$2877,"&gt;"&amp;MAX(Summary!$C$11,DATE(Summary!$C$12,1,1)-1),'Dvd Calendar'!$E$2877:$AR$2877,"&lt;="&amp;DATE(Summary!$C$12,12,31),'Dvd Calendar'!$E$2878:$AR$2878,"&gt;=0")&gt;0,"TBA amount - override me",IF((Override!$C$4="ON")*ISNUMBER(Override!$G$203)&gt;0,"overridden",IF($J57+$K57=0,"no dividend in year Y",""))))</f>
        <v/>
      </c>
      <c r="V57" s="54">
        <f>IF($B57="","",IFERROR(IF(ISNUMBER($H57),$B57*$G57*$H57/$B$3,0),""))</f>
        <v/>
      </c>
      <c r="W57" s="54">
        <f>IF($B57="","",IFERROR($B57*$G57*$K57/$B$3,""))</f>
        <v/>
      </c>
    </row>
    <row r="58">
      <c r="B58" s="73" t="n"/>
      <c r="C58" s="6">
        <f>IF($A58="","",$A58&amp;" Equity")</f>
        <v/>
      </c>
      <c r="D58" s="6">
        <f>IF($C58="","",BDP($C58,"NAME"))</f>
        <v/>
      </c>
      <c r="E58" s="6">
        <f>IF($C58="","",BDP($C58,"GICS_SECTOR_NAME"))</f>
        <v/>
      </c>
      <c r="F58" s="31">
        <f>IF($C58="","",BDP($C58,'Field Check'!$C$8))</f>
        <v/>
      </c>
      <c r="G58" s="74">
        <f>IFERROR(IF(LEN($F58)&lt;&gt;3,1,IF($F58="HKD",1,BDP(IF($F58="CNY",Summary!$C$14,$F58)&amp;"HKD Curncy","PX_LAST"))),1)</f>
        <v/>
      </c>
      <c r="H58" s="54">
        <f>IF($C58="","",BDP($C58,'Field Check'!$C$9))</f>
        <v/>
      </c>
      <c r="I58" s="45">
        <f>IF($C58="","",BDP($C58,'Field Check'!$C$10))</f>
        <v/>
      </c>
      <c r="J58" s="47">
        <f>IF($B58="",0,IF(Summary!$C$13="Y",SUMIFS('Dvd Calendar'!$E$2886:$AR$2886,'Dvd Calendar'!$E$2885:$AR$2885,"&gt;="&amp;DATE(Summary!$C$12,1,1),'Dvd Calendar'!$E$2885:$AR$2885,"&lt;="&amp;MIN(Summary!$C$11,DATE(Summary!$C$12,12,31))),SUMIFS('Dvd Calendar'!$E$2886:$AR$2886,'Dvd Calendar'!$E$2885:$AR$2885,"&gt;="&amp;DATE(Summary!$C$12,1,1),'Dvd Calendar'!$E$2885:$AR$2885,"&lt;="&amp;MIN(Summary!$C$11,DATE(Summary!$C$12,12,31)),'Dvd Calendar'!$E$2890:$AR$2890,"&lt;&gt;"&amp;'Field Check'!$C$25)))</f>
        <v/>
      </c>
      <c r="K58" s="47">
        <f>IF($B58="",0,IF(Summary!$C$13="Y",SUMIFS('Dvd Calendar'!$E$2893:$AR$2893,'Dvd Calendar'!$E$2892:$AR$2892,"&gt;"&amp;MAX(Summary!$C$11,DATE(Summary!$C$12,1,1)-1),'Dvd Calendar'!$E$2892:$AR$2892,"&lt;="&amp;DATE(Summary!$C$12,12,31)),SUMIFS('Dvd Calendar'!$E$2893:$AR$2893,'Dvd Calendar'!$E$2892:$AR$2892,"&gt;"&amp;MAX(Summary!$C$11,DATE(Summary!$C$12,1,1)-1),'Dvd Calendar'!$E$2892:$AR$2892,"&lt;="&amp;DATE(Summary!$C$12,12,31),'Dvd Calendar'!$E$2897:$AR$2897,"&lt;&gt;"&amp;'Field Check'!$C$25)))</f>
        <v/>
      </c>
      <c r="L58" s="47">
        <f>IF($B58="",0,IF((Override!$C$4="ON")*ISNUMBER(Override!$G$204)&gt;0,Override!$G$204,$K58))</f>
        <v/>
      </c>
      <c r="M58" s="47">
        <f>IF($B58="",0,IF((Override!$C$4="ON")*ISNUMBER(Override!$H$204)&gt;0,Override!$H$204,$L58))</f>
        <v/>
      </c>
      <c r="N58" s="47">
        <f>IF($B58="",0,IF((Override!$C$4="ON")*ISNUMBER(Override!$I$204)&gt;0,Override!$I$204,$L58))</f>
        <v/>
      </c>
      <c r="O58" s="54">
        <f>IF($B58="","",IFERROR($B58*$G58*$J58/$B$3,""))</f>
        <v/>
      </c>
      <c r="P58" s="54">
        <f>IF($B58="","",IFERROR($B58*$G58*$L58/$B$3,""))</f>
        <v/>
      </c>
      <c r="Q58" s="38">
        <f>IF($B58="","",IFERROR($O58+$P58,""))</f>
        <v/>
      </c>
      <c r="R58" s="54">
        <f>IF($B58="","",IFERROR($O58+$B58*$G58*$M58/$B$3,""))</f>
        <v/>
      </c>
      <c r="S58" s="54">
        <f>IF($B58="","",IFERROR($O58+$B58*$G58*$N58/$B$3,""))</f>
        <v/>
      </c>
      <c r="T58" s="63">
        <f>IF($B58="","",IFERROR($Q58/$Q$5,""))</f>
        <v/>
      </c>
      <c r="U58" s="2">
        <f>IF($B58="","",IF(COUNTIFS('Dvd Calendar'!$E$2891:$AR$2891,"&gt;0",'Dvd Calendar'!$E$2892:$AR$2892,"&gt;"&amp;MAX(Summary!$C$11,DATE(Summary!$C$12,1,1)-1),'Dvd Calendar'!$E$2892:$AR$2892,"&lt;="&amp;DATE(Summary!$C$12,12,31))-COUNTIFS('Dvd Calendar'!$E$2891:$AR$2891,"&gt;0",'Dvd Calendar'!$E$2892:$AR$2892,"&gt;"&amp;MAX(Summary!$C$11,DATE(Summary!$C$12,1,1)-1),'Dvd Calendar'!$E$2892:$AR$2892,"&lt;="&amp;DATE(Summary!$C$12,12,31),'Dvd Calendar'!$E$2893:$AR$2893,"&gt;=0")&gt;0,"TBA amount - override me",IF((Override!$C$4="ON")*ISNUMBER(Override!$G$204)&gt;0,"overridden",IF($J58+$K58=0,"no dividend in year Y",""))))</f>
        <v/>
      </c>
      <c r="V58" s="54">
        <f>IF($B58="","",IFERROR(IF(ISNUMBER($H58),$B58*$G58*$H58/$B$3,0),""))</f>
        <v/>
      </c>
      <c r="W58" s="54">
        <f>IF($B58="","",IFERROR($B58*$G58*$K58/$B$3,""))</f>
        <v/>
      </c>
    </row>
    <row r="59">
      <c r="B59" s="73" t="n"/>
      <c r="C59" s="6">
        <f>IF($A59="","",$A59&amp;" Equity")</f>
        <v/>
      </c>
      <c r="D59" s="6">
        <f>IF($C59="","",BDP($C59,"NAME"))</f>
        <v/>
      </c>
      <c r="E59" s="6">
        <f>IF($C59="","",BDP($C59,"GICS_SECTOR_NAME"))</f>
        <v/>
      </c>
      <c r="F59" s="31">
        <f>IF($C59="","",BDP($C59,'Field Check'!$C$8))</f>
        <v/>
      </c>
      <c r="G59" s="74">
        <f>IFERROR(IF(LEN($F59)&lt;&gt;3,1,IF($F59="HKD",1,BDP(IF($F59="CNY",Summary!$C$14,$F59)&amp;"HKD Curncy","PX_LAST"))),1)</f>
        <v/>
      </c>
      <c r="H59" s="54">
        <f>IF($C59="","",BDP($C59,'Field Check'!$C$9))</f>
        <v/>
      </c>
      <c r="I59" s="45">
        <f>IF($C59="","",BDP($C59,'Field Check'!$C$10))</f>
        <v/>
      </c>
      <c r="J59" s="47">
        <f>IF($B59="",0,IF(Summary!$C$13="Y",SUMIFS('Dvd Calendar'!$E$2901:$AR$2901,'Dvd Calendar'!$E$2900:$AR$2900,"&gt;="&amp;DATE(Summary!$C$12,1,1),'Dvd Calendar'!$E$2900:$AR$2900,"&lt;="&amp;MIN(Summary!$C$11,DATE(Summary!$C$12,12,31))),SUMIFS('Dvd Calendar'!$E$2901:$AR$2901,'Dvd Calendar'!$E$2900:$AR$2900,"&gt;="&amp;DATE(Summary!$C$12,1,1),'Dvd Calendar'!$E$2900:$AR$2900,"&lt;="&amp;MIN(Summary!$C$11,DATE(Summary!$C$12,12,31)),'Dvd Calendar'!$E$2905:$AR$2905,"&lt;&gt;"&amp;'Field Check'!$C$25)))</f>
        <v/>
      </c>
      <c r="K59" s="47">
        <f>IF($B59="",0,IF(Summary!$C$13="Y",SUMIFS('Dvd Calendar'!$E$2908:$AR$2908,'Dvd Calendar'!$E$2907:$AR$2907,"&gt;"&amp;MAX(Summary!$C$11,DATE(Summary!$C$12,1,1)-1),'Dvd Calendar'!$E$2907:$AR$2907,"&lt;="&amp;DATE(Summary!$C$12,12,31)),SUMIFS('Dvd Calendar'!$E$2908:$AR$2908,'Dvd Calendar'!$E$2907:$AR$2907,"&gt;"&amp;MAX(Summary!$C$11,DATE(Summary!$C$12,1,1)-1),'Dvd Calendar'!$E$2907:$AR$2907,"&lt;="&amp;DATE(Summary!$C$12,12,31),'Dvd Calendar'!$E$2912:$AR$2912,"&lt;&gt;"&amp;'Field Check'!$C$25)))</f>
        <v/>
      </c>
      <c r="L59" s="47">
        <f>IF($B59="",0,IF((Override!$C$4="ON")*ISNUMBER(Override!$G$205)&gt;0,Override!$G$205,$K59))</f>
        <v/>
      </c>
      <c r="M59" s="47">
        <f>IF($B59="",0,IF((Override!$C$4="ON")*ISNUMBER(Override!$H$205)&gt;0,Override!$H$205,$L59))</f>
        <v/>
      </c>
      <c r="N59" s="47">
        <f>IF($B59="",0,IF((Override!$C$4="ON")*ISNUMBER(Override!$I$205)&gt;0,Override!$I$205,$L59))</f>
        <v/>
      </c>
      <c r="O59" s="54">
        <f>IF($B59="","",IFERROR($B59*$G59*$J59/$B$3,""))</f>
        <v/>
      </c>
      <c r="P59" s="54">
        <f>IF($B59="","",IFERROR($B59*$G59*$L59/$B$3,""))</f>
        <v/>
      </c>
      <c r="Q59" s="38">
        <f>IF($B59="","",IFERROR($O59+$P59,""))</f>
        <v/>
      </c>
      <c r="R59" s="54">
        <f>IF($B59="","",IFERROR($O59+$B59*$G59*$M59/$B$3,""))</f>
        <v/>
      </c>
      <c r="S59" s="54">
        <f>IF($B59="","",IFERROR($O59+$B59*$G59*$N59/$B$3,""))</f>
        <v/>
      </c>
      <c r="T59" s="63">
        <f>IF($B59="","",IFERROR($Q59/$Q$5,""))</f>
        <v/>
      </c>
      <c r="U59" s="2">
        <f>IF($B59="","",IF(COUNTIFS('Dvd Calendar'!$E$2906:$AR$2906,"&gt;0",'Dvd Calendar'!$E$2907:$AR$2907,"&gt;"&amp;MAX(Summary!$C$11,DATE(Summary!$C$12,1,1)-1),'Dvd Calendar'!$E$2907:$AR$2907,"&lt;="&amp;DATE(Summary!$C$12,12,31))-COUNTIFS('Dvd Calendar'!$E$2906:$AR$2906,"&gt;0",'Dvd Calendar'!$E$2907:$AR$2907,"&gt;"&amp;MAX(Summary!$C$11,DATE(Summary!$C$12,1,1)-1),'Dvd Calendar'!$E$2907:$AR$2907,"&lt;="&amp;DATE(Summary!$C$12,12,31),'Dvd Calendar'!$E$2908:$AR$2908,"&gt;=0")&gt;0,"TBA amount - override me",IF((Override!$C$4="ON")*ISNUMBER(Override!$G$205)&gt;0,"overridden",IF($J59+$K59=0,"no dividend in year Y",""))))</f>
        <v/>
      </c>
      <c r="V59" s="54">
        <f>IF($B59="","",IFERROR(IF(ISNUMBER($H59),$B59*$G59*$H59/$B$3,0),""))</f>
        <v/>
      </c>
      <c r="W59" s="54">
        <f>IF($B59="","",IFERROR($B59*$G59*$K59/$B$3,""))</f>
        <v/>
      </c>
    </row>
    <row r="60">
      <c r="B60" s="73" t="n"/>
      <c r="C60" s="6">
        <f>IF($A60="","",$A60&amp;" Equity")</f>
        <v/>
      </c>
      <c r="D60" s="6">
        <f>IF($C60="","",BDP($C60,"NAME"))</f>
        <v/>
      </c>
      <c r="E60" s="6">
        <f>IF($C60="","",BDP($C60,"GICS_SECTOR_NAME"))</f>
        <v/>
      </c>
      <c r="F60" s="31">
        <f>IF($C60="","",BDP($C60,'Field Check'!$C$8))</f>
        <v/>
      </c>
      <c r="G60" s="74">
        <f>IFERROR(IF(LEN($F60)&lt;&gt;3,1,IF($F60="HKD",1,BDP(IF($F60="CNY",Summary!$C$14,$F60)&amp;"HKD Curncy","PX_LAST"))),1)</f>
        <v/>
      </c>
      <c r="H60" s="54">
        <f>IF($C60="","",BDP($C60,'Field Check'!$C$9))</f>
        <v/>
      </c>
      <c r="I60" s="45">
        <f>IF($C60="","",BDP($C60,'Field Check'!$C$10))</f>
        <v/>
      </c>
      <c r="J60" s="47">
        <f>IF($B60="",0,IF(Summary!$C$13="Y",SUMIFS('Dvd Calendar'!$E$2916:$AR$2916,'Dvd Calendar'!$E$2915:$AR$2915,"&gt;="&amp;DATE(Summary!$C$12,1,1),'Dvd Calendar'!$E$2915:$AR$2915,"&lt;="&amp;MIN(Summary!$C$11,DATE(Summary!$C$12,12,31))),SUMIFS('Dvd Calendar'!$E$2916:$AR$2916,'Dvd Calendar'!$E$2915:$AR$2915,"&gt;="&amp;DATE(Summary!$C$12,1,1),'Dvd Calendar'!$E$2915:$AR$2915,"&lt;="&amp;MIN(Summary!$C$11,DATE(Summary!$C$12,12,31)),'Dvd Calendar'!$E$2920:$AR$2920,"&lt;&gt;"&amp;'Field Check'!$C$25)))</f>
        <v/>
      </c>
      <c r="K60" s="47">
        <f>IF($B60="",0,IF(Summary!$C$13="Y",SUMIFS('Dvd Calendar'!$E$2923:$AR$2923,'Dvd Calendar'!$E$2922:$AR$2922,"&gt;"&amp;MAX(Summary!$C$11,DATE(Summary!$C$12,1,1)-1),'Dvd Calendar'!$E$2922:$AR$2922,"&lt;="&amp;DATE(Summary!$C$12,12,31)),SUMIFS('Dvd Calendar'!$E$2923:$AR$2923,'Dvd Calendar'!$E$2922:$AR$2922,"&gt;"&amp;MAX(Summary!$C$11,DATE(Summary!$C$12,1,1)-1),'Dvd Calendar'!$E$2922:$AR$2922,"&lt;="&amp;DATE(Summary!$C$12,12,31),'Dvd Calendar'!$E$2927:$AR$2927,"&lt;&gt;"&amp;'Field Check'!$C$25)))</f>
        <v/>
      </c>
      <c r="L60" s="47">
        <f>IF($B60="",0,IF((Override!$C$4="ON")*ISNUMBER(Override!$G$206)&gt;0,Override!$G$206,$K60))</f>
        <v/>
      </c>
      <c r="M60" s="47">
        <f>IF($B60="",0,IF((Override!$C$4="ON")*ISNUMBER(Override!$H$206)&gt;0,Override!$H$206,$L60))</f>
        <v/>
      </c>
      <c r="N60" s="47">
        <f>IF($B60="",0,IF((Override!$C$4="ON")*ISNUMBER(Override!$I$206)&gt;0,Override!$I$206,$L60))</f>
        <v/>
      </c>
      <c r="O60" s="54">
        <f>IF($B60="","",IFERROR($B60*$G60*$J60/$B$3,""))</f>
        <v/>
      </c>
      <c r="P60" s="54">
        <f>IF($B60="","",IFERROR($B60*$G60*$L60/$B$3,""))</f>
        <v/>
      </c>
      <c r="Q60" s="38">
        <f>IF($B60="","",IFERROR($O60+$P60,""))</f>
        <v/>
      </c>
      <c r="R60" s="54">
        <f>IF($B60="","",IFERROR($O60+$B60*$G60*$M60/$B$3,""))</f>
        <v/>
      </c>
      <c r="S60" s="54">
        <f>IF($B60="","",IFERROR($O60+$B60*$G60*$N60/$B$3,""))</f>
        <v/>
      </c>
      <c r="T60" s="63">
        <f>IF($B60="","",IFERROR($Q60/$Q$5,""))</f>
        <v/>
      </c>
      <c r="U60" s="2">
        <f>IF($B60="","",IF(COUNTIFS('Dvd Calendar'!$E$2921:$AR$2921,"&gt;0",'Dvd Calendar'!$E$2922:$AR$2922,"&gt;"&amp;MAX(Summary!$C$11,DATE(Summary!$C$12,1,1)-1),'Dvd Calendar'!$E$2922:$AR$2922,"&lt;="&amp;DATE(Summary!$C$12,12,31))-COUNTIFS('Dvd Calendar'!$E$2921:$AR$2921,"&gt;0",'Dvd Calendar'!$E$2922:$AR$2922,"&gt;"&amp;MAX(Summary!$C$11,DATE(Summary!$C$12,1,1)-1),'Dvd Calendar'!$E$2922:$AR$2922,"&lt;="&amp;DATE(Summary!$C$12,12,31),'Dvd Calendar'!$E$2923:$AR$2923,"&gt;=0")&gt;0,"TBA amount - override me",IF((Override!$C$4="ON")*ISNUMBER(Override!$G$206)&gt;0,"overridden",IF($J60+$K60=0,"no dividend in year Y",""))))</f>
        <v/>
      </c>
      <c r="V60" s="54">
        <f>IF($B60="","",IFERROR(IF(ISNUMBER($H60),$B60*$G60*$H60/$B$3,0),""))</f>
        <v/>
      </c>
      <c r="W60" s="54">
        <f>IF($B60="","",IFERROR($B60*$G60*$K60/$B$3,""))</f>
        <v/>
      </c>
    </row>
    <row r="61">
      <c r="B61" s="73" t="n"/>
      <c r="C61" s="6">
        <f>IF($A61="","",$A61&amp;" Equity")</f>
        <v/>
      </c>
      <c r="D61" s="6">
        <f>IF($C61="","",BDP($C61,"NAME"))</f>
        <v/>
      </c>
      <c r="E61" s="6">
        <f>IF($C61="","",BDP($C61,"GICS_SECTOR_NAME"))</f>
        <v/>
      </c>
      <c r="F61" s="31">
        <f>IF($C61="","",BDP($C61,'Field Check'!$C$8))</f>
        <v/>
      </c>
      <c r="G61" s="74">
        <f>IFERROR(IF(LEN($F61)&lt;&gt;3,1,IF($F61="HKD",1,BDP(IF($F61="CNY",Summary!$C$14,$F61)&amp;"HKD Curncy","PX_LAST"))),1)</f>
        <v/>
      </c>
      <c r="H61" s="54">
        <f>IF($C61="","",BDP($C61,'Field Check'!$C$9))</f>
        <v/>
      </c>
      <c r="I61" s="45">
        <f>IF($C61="","",BDP($C61,'Field Check'!$C$10))</f>
        <v/>
      </c>
      <c r="J61" s="47">
        <f>IF($B61="",0,IF(Summary!$C$13="Y",SUMIFS('Dvd Calendar'!$E$2931:$AR$2931,'Dvd Calendar'!$E$2930:$AR$2930,"&gt;="&amp;DATE(Summary!$C$12,1,1),'Dvd Calendar'!$E$2930:$AR$2930,"&lt;="&amp;MIN(Summary!$C$11,DATE(Summary!$C$12,12,31))),SUMIFS('Dvd Calendar'!$E$2931:$AR$2931,'Dvd Calendar'!$E$2930:$AR$2930,"&gt;="&amp;DATE(Summary!$C$12,1,1),'Dvd Calendar'!$E$2930:$AR$2930,"&lt;="&amp;MIN(Summary!$C$11,DATE(Summary!$C$12,12,31)),'Dvd Calendar'!$E$2935:$AR$2935,"&lt;&gt;"&amp;'Field Check'!$C$25)))</f>
        <v/>
      </c>
      <c r="K61" s="47">
        <f>IF($B61="",0,IF(Summary!$C$13="Y",SUMIFS('Dvd Calendar'!$E$2938:$AR$2938,'Dvd Calendar'!$E$2937:$AR$2937,"&gt;"&amp;MAX(Summary!$C$11,DATE(Summary!$C$12,1,1)-1),'Dvd Calendar'!$E$2937:$AR$2937,"&lt;="&amp;DATE(Summary!$C$12,12,31)),SUMIFS('Dvd Calendar'!$E$2938:$AR$2938,'Dvd Calendar'!$E$2937:$AR$2937,"&gt;"&amp;MAX(Summary!$C$11,DATE(Summary!$C$12,1,1)-1),'Dvd Calendar'!$E$2937:$AR$2937,"&lt;="&amp;DATE(Summary!$C$12,12,31),'Dvd Calendar'!$E$2942:$AR$2942,"&lt;&gt;"&amp;'Field Check'!$C$25)))</f>
        <v/>
      </c>
      <c r="L61" s="47">
        <f>IF($B61="",0,IF((Override!$C$4="ON")*ISNUMBER(Override!$G$207)&gt;0,Override!$G$207,$K61))</f>
        <v/>
      </c>
      <c r="M61" s="47">
        <f>IF($B61="",0,IF((Override!$C$4="ON")*ISNUMBER(Override!$H$207)&gt;0,Override!$H$207,$L61))</f>
        <v/>
      </c>
      <c r="N61" s="47">
        <f>IF($B61="",0,IF((Override!$C$4="ON")*ISNUMBER(Override!$I$207)&gt;0,Override!$I$207,$L61))</f>
        <v/>
      </c>
      <c r="O61" s="54">
        <f>IF($B61="","",IFERROR($B61*$G61*$J61/$B$3,""))</f>
        <v/>
      </c>
      <c r="P61" s="54">
        <f>IF($B61="","",IFERROR($B61*$G61*$L61/$B$3,""))</f>
        <v/>
      </c>
      <c r="Q61" s="38">
        <f>IF($B61="","",IFERROR($O61+$P61,""))</f>
        <v/>
      </c>
      <c r="R61" s="54">
        <f>IF($B61="","",IFERROR($O61+$B61*$G61*$M61/$B$3,""))</f>
        <v/>
      </c>
      <c r="S61" s="54">
        <f>IF($B61="","",IFERROR($O61+$B61*$G61*$N61/$B$3,""))</f>
        <v/>
      </c>
      <c r="T61" s="63">
        <f>IF($B61="","",IFERROR($Q61/$Q$5,""))</f>
        <v/>
      </c>
      <c r="U61" s="2">
        <f>IF($B61="","",IF(COUNTIFS('Dvd Calendar'!$E$2936:$AR$2936,"&gt;0",'Dvd Calendar'!$E$2937:$AR$2937,"&gt;"&amp;MAX(Summary!$C$11,DATE(Summary!$C$12,1,1)-1),'Dvd Calendar'!$E$2937:$AR$2937,"&lt;="&amp;DATE(Summary!$C$12,12,31))-COUNTIFS('Dvd Calendar'!$E$2936:$AR$2936,"&gt;0",'Dvd Calendar'!$E$2937:$AR$2937,"&gt;"&amp;MAX(Summary!$C$11,DATE(Summary!$C$12,1,1)-1),'Dvd Calendar'!$E$2937:$AR$2937,"&lt;="&amp;DATE(Summary!$C$12,12,31),'Dvd Calendar'!$E$2938:$AR$2938,"&gt;=0")&gt;0,"TBA amount - override me",IF((Override!$C$4="ON")*ISNUMBER(Override!$G$207)&gt;0,"overridden",IF($J61+$K61=0,"no dividend in year Y",""))))</f>
        <v/>
      </c>
      <c r="V61" s="54">
        <f>IF($B61="","",IFERROR(IF(ISNUMBER($H61),$B61*$G61*$H61/$B$3,0),""))</f>
        <v/>
      </c>
      <c r="W61" s="54">
        <f>IF($B61="","",IFERROR($B61*$G61*$K61/$B$3,""))</f>
        <v/>
      </c>
    </row>
    <row r="62">
      <c r="B62" s="73" t="n"/>
      <c r="C62" s="6">
        <f>IF($A62="","",$A62&amp;" Equity")</f>
        <v/>
      </c>
      <c r="D62" s="6">
        <f>IF($C62="","",BDP($C62,"NAME"))</f>
        <v/>
      </c>
      <c r="E62" s="6">
        <f>IF($C62="","",BDP($C62,"GICS_SECTOR_NAME"))</f>
        <v/>
      </c>
      <c r="F62" s="31">
        <f>IF($C62="","",BDP($C62,'Field Check'!$C$8))</f>
        <v/>
      </c>
      <c r="G62" s="74">
        <f>IFERROR(IF(LEN($F62)&lt;&gt;3,1,IF($F62="HKD",1,BDP(IF($F62="CNY",Summary!$C$14,$F62)&amp;"HKD Curncy","PX_LAST"))),1)</f>
        <v/>
      </c>
      <c r="H62" s="54">
        <f>IF($C62="","",BDP($C62,'Field Check'!$C$9))</f>
        <v/>
      </c>
      <c r="I62" s="45">
        <f>IF($C62="","",BDP($C62,'Field Check'!$C$10))</f>
        <v/>
      </c>
      <c r="J62" s="47">
        <f>IF($B62="",0,IF(Summary!$C$13="Y",SUMIFS('Dvd Calendar'!$E$2946:$AR$2946,'Dvd Calendar'!$E$2945:$AR$2945,"&gt;="&amp;DATE(Summary!$C$12,1,1),'Dvd Calendar'!$E$2945:$AR$2945,"&lt;="&amp;MIN(Summary!$C$11,DATE(Summary!$C$12,12,31))),SUMIFS('Dvd Calendar'!$E$2946:$AR$2946,'Dvd Calendar'!$E$2945:$AR$2945,"&gt;="&amp;DATE(Summary!$C$12,1,1),'Dvd Calendar'!$E$2945:$AR$2945,"&lt;="&amp;MIN(Summary!$C$11,DATE(Summary!$C$12,12,31)),'Dvd Calendar'!$E$2950:$AR$2950,"&lt;&gt;"&amp;'Field Check'!$C$25)))</f>
        <v/>
      </c>
      <c r="K62" s="47">
        <f>IF($B62="",0,IF(Summary!$C$13="Y",SUMIFS('Dvd Calendar'!$E$2953:$AR$2953,'Dvd Calendar'!$E$2952:$AR$2952,"&gt;"&amp;MAX(Summary!$C$11,DATE(Summary!$C$12,1,1)-1),'Dvd Calendar'!$E$2952:$AR$2952,"&lt;="&amp;DATE(Summary!$C$12,12,31)),SUMIFS('Dvd Calendar'!$E$2953:$AR$2953,'Dvd Calendar'!$E$2952:$AR$2952,"&gt;"&amp;MAX(Summary!$C$11,DATE(Summary!$C$12,1,1)-1),'Dvd Calendar'!$E$2952:$AR$2952,"&lt;="&amp;DATE(Summary!$C$12,12,31),'Dvd Calendar'!$E$2957:$AR$2957,"&lt;&gt;"&amp;'Field Check'!$C$25)))</f>
        <v/>
      </c>
      <c r="L62" s="47">
        <f>IF($B62="",0,IF((Override!$C$4="ON")*ISNUMBER(Override!$G$208)&gt;0,Override!$G$208,$K62))</f>
        <v/>
      </c>
      <c r="M62" s="47">
        <f>IF($B62="",0,IF((Override!$C$4="ON")*ISNUMBER(Override!$H$208)&gt;0,Override!$H$208,$L62))</f>
        <v/>
      </c>
      <c r="N62" s="47">
        <f>IF($B62="",0,IF((Override!$C$4="ON")*ISNUMBER(Override!$I$208)&gt;0,Override!$I$208,$L62))</f>
        <v/>
      </c>
      <c r="O62" s="54">
        <f>IF($B62="","",IFERROR($B62*$G62*$J62/$B$3,""))</f>
        <v/>
      </c>
      <c r="P62" s="54">
        <f>IF($B62="","",IFERROR($B62*$G62*$L62/$B$3,""))</f>
        <v/>
      </c>
      <c r="Q62" s="38">
        <f>IF($B62="","",IFERROR($O62+$P62,""))</f>
        <v/>
      </c>
      <c r="R62" s="54">
        <f>IF($B62="","",IFERROR($O62+$B62*$G62*$M62/$B$3,""))</f>
        <v/>
      </c>
      <c r="S62" s="54">
        <f>IF($B62="","",IFERROR($O62+$B62*$G62*$N62/$B$3,""))</f>
        <v/>
      </c>
      <c r="T62" s="63">
        <f>IF($B62="","",IFERROR($Q62/$Q$5,""))</f>
        <v/>
      </c>
      <c r="U62" s="2">
        <f>IF($B62="","",IF(COUNTIFS('Dvd Calendar'!$E$2951:$AR$2951,"&gt;0",'Dvd Calendar'!$E$2952:$AR$2952,"&gt;"&amp;MAX(Summary!$C$11,DATE(Summary!$C$12,1,1)-1),'Dvd Calendar'!$E$2952:$AR$2952,"&lt;="&amp;DATE(Summary!$C$12,12,31))-COUNTIFS('Dvd Calendar'!$E$2951:$AR$2951,"&gt;0",'Dvd Calendar'!$E$2952:$AR$2952,"&gt;"&amp;MAX(Summary!$C$11,DATE(Summary!$C$12,1,1)-1),'Dvd Calendar'!$E$2952:$AR$2952,"&lt;="&amp;DATE(Summary!$C$12,12,31),'Dvd Calendar'!$E$2953:$AR$2953,"&gt;=0")&gt;0,"TBA amount - override me",IF((Override!$C$4="ON")*ISNUMBER(Override!$G$208)&gt;0,"overridden",IF($J62+$K62=0,"no dividend in year Y",""))))</f>
        <v/>
      </c>
      <c r="V62" s="54">
        <f>IF($B62="","",IFERROR(IF(ISNUMBER($H62),$B62*$G62*$H62/$B$3,0),""))</f>
        <v/>
      </c>
      <c r="W62" s="54">
        <f>IF($B62="","",IFERROR($B62*$G62*$K62/$B$3,""))</f>
        <v/>
      </c>
    </row>
    <row r="63">
      <c r="B63" s="73" t="n"/>
      <c r="C63" s="6">
        <f>IF($A63="","",$A63&amp;" Equity")</f>
        <v/>
      </c>
      <c r="D63" s="6">
        <f>IF($C63="","",BDP($C63,"NAME"))</f>
        <v/>
      </c>
      <c r="E63" s="6">
        <f>IF($C63="","",BDP($C63,"GICS_SECTOR_NAME"))</f>
        <v/>
      </c>
      <c r="F63" s="31">
        <f>IF($C63="","",BDP($C63,'Field Check'!$C$8))</f>
        <v/>
      </c>
      <c r="G63" s="74">
        <f>IFERROR(IF(LEN($F63)&lt;&gt;3,1,IF($F63="HKD",1,BDP(IF($F63="CNY",Summary!$C$14,$F63)&amp;"HKD Curncy","PX_LAST"))),1)</f>
        <v/>
      </c>
      <c r="H63" s="54">
        <f>IF($C63="","",BDP($C63,'Field Check'!$C$9))</f>
        <v/>
      </c>
      <c r="I63" s="45">
        <f>IF($C63="","",BDP($C63,'Field Check'!$C$10))</f>
        <v/>
      </c>
      <c r="J63" s="47">
        <f>IF($B63="",0,IF(Summary!$C$13="Y",SUMIFS('Dvd Calendar'!$E$2961:$AR$2961,'Dvd Calendar'!$E$2960:$AR$2960,"&gt;="&amp;DATE(Summary!$C$12,1,1),'Dvd Calendar'!$E$2960:$AR$2960,"&lt;="&amp;MIN(Summary!$C$11,DATE(Summary!$C$12,12,31))),SUMIFS('Dvd Calendar'!$E$2961:$AR$2961,'Dvd Calendar'!$E$2960:$AR$2960,"&gt;="&amp;DATE(Summary!$C$12,1,1),'Dvd Calendar'!$E$2960:$AR$2960,"&lt;="&amp;MIN(Summary!$C$11,DATE(Summary!$C$12,12,31)),'Dvd Calendar'!$E$2965:$AR$2965,"&lt;&gt;"&amp;'Field Check'!$C$25)))</f>
        <v/>
      </c>
      <c r="K63" s="47">
        <f>IF($B63="",0,IF(Summary!$C$13="Y",SUMIFS('Dvd Calendar'!$E$2968:$AR$2968,'Dvd Calendar'!$E$2967:$AR$2967,"&gt;"&amp;MAX(Summary!$C$11,DATE(Summary!$C$12,1,1)-1),'Dvd Calendar'!$E$2967:$AR$2967,"&lt;="&amp;DATE(Summary!$C$12,12,31)),SUMIFS('Dvd Calendar'!$E$2968:$AR$2968,'Dvd Calendar'!$E$2967:$AR$2967,"&gt;"&amp;MAX(Summary!$C$11,DATE(Summary!$C$12,1,1)-1),'Dvd Calendar'!$E$2967:$AR$2967,"&lt;="&amp;DATE(Summary!$C$12,12,31),'Dvd Calendar'!$E$2972:$AR$2972,"&lt;&gt;"&amp;'Field Check'!$C$25)))</f>
        <v/>
      </c>
      <c r="L63" s="47">
        <f>IF($B63="",0,IF((Override!$C$4="ON")*ISNUMBER(Override!$G$209)&gt;0,Override!$G$209,$K63))</f>
        <v/>
      </c>
      <c r="M63" s="47">
        <f>IF($B63="",0,IF((Override!$C$4="ON")*ISNUMBER(Override!$H$209)&gt;0,Override!$H$209,$L63))</f>
        <v/>
      </c>
      <c r="N63" s="47">
        <f>IF($B63="",0,IF((Override!$C$4="ON")*ISNUMBER(Override!$I$209)&gt;0,Override!$I$209,$L63))</f>
        <v/>
      </c>
      <c r="O63" s="54">
        <f>IF($B63="","",IFERROR($B63*$G63*$J63/$B$3,""))</f>
        <v/>
      </c>
      <c r="P63" s="54">
        <f>IF($B63="","",IFERROR($B63*$G63*$L63/$B$3,""))</f>
        <v/>
      </c>
      <c r="Q63" s="38">
        <f>IF($B63="","",IFERROR($O63+$P63,""))</f>
        <v/>
      </c>
      <c r="R63" s="54">
        <f>IF($B63="","",IFERROR($O63+$B63*$G63*$M63/$B$3,""))</f>
        <v/>
      </c>
      <c r="S63" s="54">
        <f>IF($B63="","",IFERROR($O63+$B63*$G63*$N63/$B$3,""))</f>
        <v/>
      </c>
      <c r="T63" s="63">
        <f>IF($B63="","",IFERROR($Q63/$Q$5,""))</f>
        <v/>
      </c>
      <c r="U63" s="2">
        <f>IF($B63="","",IF(COUNTIFS('Dvd Calendar'!$E$2966:$AR$2966,"&gt;0",'Dvd Calendar'!$E$2967:$AR$2967,"&gt;"&amp;MAX(Summary!$C$11,DATE(Summary!$C$12,1,1)-1),'Dvd Calendar'!$E$2967:$AR$2967,"&lt;="&amp;DATE(Summary!$C$12,12,31))-COUNTIFS('Dvd Calendar'!$E$2966:$AR$2966,"&gt;0",'Dvd Calendar'!$E$2967:$AR$2967,"&gt;"&amp;MAX(Summary!$C$11,DATE(Summary!$C$12,1,1)-1),'Dvd Calendar'!$E$2967:$AR$2967,"&lt;="&amp;DATE(Summary!$C$12,12,31),'Dvd Calendar'!$E$2968:$AR$2968,"&gt;=0")&gt;0,"TBA amount - override me",IF((Override!$C$4="ON")*ISNUMBER(Override!$G$209)&gt;0,"overridden",IF($J63+$K63=0,"no dividend in year Y",""))))</f>
        <v/>
      </c>
      <c r="V63" s="54">
        <f>IF($B63="","",IFERROR(IF(ISNUMBER($H63),$B63*$G63*$H63/$B$3,0),""))</f>
        <v/>
      </c>
      <c r="W63" s="54">
        <f>IF($B63="","",IFERROR($B63*$G63*$K63/$B$3,""))</f>
        <v/>
      </c>
    </row>
    <row r="64">
      <c r="B64" s="73" t="n"/>
      <c r="C64" s="6">
        <f>IF($A64="","",$A64&amp;" Equity")</f>
        <v/>
      </c>
      <c r="D64" s="6">
        <f>IF($C64="","",BDP($C64,"NAME"))</f>
        <v/>
      </c>
      <c r="E64" s="6">
        <f>IF($C64="","",BDP($C64,"GICS_SECTOR_NAME"))</f>
        <v/>
      </c>
      <c r="F64" s="31">
        <f>IF($C64="","",BDP($C64,'Field Check'!$C$8))</f>
        <v/>
      </c>
      <c r="G64" s="74">
        <f>IFERROR(IF(LEN($F64)&lt;&gt;3,1,IF($F64="HKD",1,BDP(IF($F64="CNY",Summary!$C$14,$F64)&amp;"HKD Curncy","PX_LAST"))),1)</f>
        <v/>
      </c>
      <c r="H64" s="54">
        <f>IF($C64="","",BDP($C64,'Field Check'!$C$9))</f>
        <v/>
      </c>
      <c r="I64" s="45">
        <f>IF($C64="","",BDP($C64,'Field Check'!$C$10))</f>
        <v/>
      </c>
      <c r="J64" s="47">
        <f>IF($B64="",0,IF(Summary!$C$13="Y",SUMIFS('Dvd Calendar'!$E$2976:$AR$2976,'Dvd Calendar'!$E$2975:$AR$2975,"&gt;="&amp;DATE(Summary!$C$12,1,1),'Dvd Calendar'!$E$2975:$AR$2975,"&lt;="&amp;MIN(Summary!$C$11,DATE(Summary!$C$12,12,31))),SUMIFS('Dvd Calendar'!$E$2976:$AR$2976,'Dvd Calendar'!$E$2975:$AR$2975,"&gt;="&amp;DATE(Summary!$C$12,1,1),'Dvd Calendar'!$E$2975:$AR$2975,"&lt;="&amp;MIN(Summary!$C$11,DATE(Summary!$C$12,12,31)),'Dvd Calendar'!$E$2980:$AR$2980,"&lt;&gt;"&amp;'Field Check'!$C$25)))</f>
        <v/>
      </c>
      <c r="K64" s="47">
        <f>IF($B64="",0,IF(Summary!$C$13="Y",SUMIFS('Dvd Calendar'!$E$2983:$AR$2983,'Dvd Calendar'!$E$2982:$AR$2982,"&gt;"&amp;MAX(Summary!$C$11,DATE(Summary!$C$12,1,1)-1),'Dvd Calendar'!$E$2982:$AR$2982,"&lt;="&amp;DATE(Summary!$C$12,12,31)),SUMIFS('Dvd Calendar'!$E$2983:$AR$2983,'Dvd Calendar'!$E$2982:$AR$2982,"&gt;"&amp;MAX(Summary!$C$11,DATE(Summary!$C$12,1,1)-1),'Dvd Calendar'!$E$2982:$AR$2982,"&lt;="&amp;DATE(Summary!$C$12,12,31),'Dvd Calendar'!$E$2987:$AR$2987,"&lt;&gt;"&amp;'Field Check'!$C$25)))</f>
        <v/>
      </c>
      <c r="L64" s="47">
        <f>IF($B64="",0,IF((Override!$C$4="ON")*ISNUMBER(Override!$G$210)&gt;0,Override!$G$210,$K64))</f>
        <v/>
      </c>
      <c r="M64" s="47">
        <f>IF($B64="",0,IF((Override!$C$4="ON")*ISNUMBER(Override!$H$210)&gt;0,Override!$H$210,$L64))</f>
        <v/>
      </c>
      <c r="N64" s="47">
        <f>IF($B64="",0,IF((Override!$C$4="ON")*ISNUMBER(Override!$I$210)&gt;0,Override!$I$210,$L64))</f>
        <v/>
      </c>
      <c r="O64" s="54">
        <f>IF($B64="","",IFERROR($B64*$G64*$J64/$B$3,""))</f>
        <v/>
      </c>
      <c r="P64" s="54">
        <f>IF($B64="","",IFERROR($B64*$G64*$L64/$B$3,""))</f>
        <v/>
      </c>
      <c r="Q64" s="38">
        <f>IF($B64="","",IFERROR($O64+$P64,""))</f>
        <v/>
      </c>
      <c r="R64" s="54">
        <f>IF($B64="","",IFERROR($O64+$B64*$G64*$M64/$B$3,""))</f>
        <v/>
      </c>
      <c r="S64" s="54">
        <f>IF($B64="","",IFERROR($O64+$B64*$G64*$N64/$B$3,""))</f>
        <v/>
      </c>
      <c r="T64" s="63">
        <f>IF($B64="","",IFERROR($Q64/$Q$5,""))</f>
        <v/>
      </c>
      <c r="U64" s="2">
        <f>IF($B64="","",IF(COUNTIFS('Dvd Calendar'!$E$2981:$AR$2981,"&gt;0",'Dvd Calendar'!$E$2982:$AR$2982,"&gt;"&amp;MAX(Summary!$C$11,DATE(Summary!$C$12,1,1)-1),'Dvd Calendar'!$E$2982:$AR$2982,"&lt;="&amp;DATE(Summary!$C$12,12,31))-COUNTIFS('Dvd Calendar'!$E$2981:$AR$2981,"&gt;0",'Dvd Calendar'!$E$2982:$AR$2982,"&gt;"&amp;MAX(Summary!$C$11,DATE(Summary!$C$12,1,1)-1),'Dvd Calendar'!$E$2982:$AR$2982,"&lt;="&amp;DATE(Summary!$C$12,12,31),'Dvd Calendar'!$E$2983:$AR$2983,"&gt;=0")&gt;0,"TBA amount - override me",IF((Override!$C$4="ON")*ISNUMBER(Override!$G$210)&gt;0,"overridden",IF($J64+$K64=0,"no dividend in year Y",""))))</f>
        <v/>
      </c>
      <c r="V64" s="54">
        <f>IF($B64="","",IFERROR(IF(ISNUMBER($H64),$B64*$G64*$H64/$B$3,0),""))</f>
        <v/>
      </c>
      <c r="W64" s="54">
        <f>IF($B64="","",IFERROR($B64*$G64*$K64/$B$3,""))</f>
        <v/>
      </c>
    </row>
    <row r="65">
      <c r="B65" s="73" t="n"/>
      <c r="C65" s="6">
        <f>IF($A65="","",$A65&amp;" Equity")</f>
        <v/>
      </c>
      <c r="D65" s="6">
        <f>IF($C65="","",BDP($C65,"NAME"))</f>
        <v/>
      </c>
      <c r="E65" s="6">
        <f>IF($C65="","",BDP($C65,"GICS_SECTOR_NAME"))</f>
        <v/>
      </c>
      <c r="F65" s="31">
        <f>IF($C65="","",BDP($C65,'Field Check'!$C$8))</f>
        <v/>
      </c>
      <c r="G65" s="74">
        <f>IFERROR(IF(LEN($F65)&lt;&gt;3,1,IF($F65="HKD",1,BDP(IF($F65="CNY",Summary!$C$14,$F65)&amp;"HKD Curncy","PX_LAST"))),1)</f>
        <v/>
      </c>
      <c r="H65" s="54">
        <f>IF($C65="","",BDP($C65,'Field Check'!$C$9))</f>
        <v/>
      </c>
      <c r="I65" s="45">
        <f>IF($C65="","",BDP($C65,'Field Check'!$C$10))</f>
        <v/>
      </c>
      <c r="J65" s="47">
        <f>IF($B65="",0,IF(Summary!$C$13="Y",SUMIFS('Dvd Calendar'!$E$2991:$AR$2991,'Dvd Calendar'!$E$2990:$AR$2990,"&gt;="&amp;DATE(Summary!$C$12,1,1),'Dvd Calendar'!$E$2990:$AR$2990,"&lt;="&amp;MIN(Summary!$C$11,DATE(Summary!$C$12,12,31))),SUMIFS('Dvd Calendar'!$E$2991:$AR$2991,'Dvd Calendar'!$E$2990:$AR$2990,"&gt;="&amp;DATE(Summary!$C$12,1,1),'Dvd Calendar'!$E$2990:$AR$2990,"&lt;="&amp;MIN(Summary!$C$11,DATE(Summary!$C$12,12,31)),'Dvd Calendar'!$E$2995:$AR$2995,"&lt;&gt;"&amp;'Field Check'!$C$25)))</f>
        <v/>
      </c>
      <c r="K65" s="47">
        <f>IF($B65="",0,IF(Summary!$C$13="Y",SUMIFS('Dvd Calendar'!$E$2998:$AR$2998,'Dvd Calendar'!$E$2997:$AR$2997,"&gt;"&amp;MAX(Summary!$C$11,DATE(Summary!$C$12,1,1)-1),'Dvd Calendar'!$E$2997:$AR$2997,"&lt;="&amp;DATE(Summary!$C$12,12,31)),SUMIFS('Dvd Calendar'!$E$2998:$AR$2998,'Dvd Calendar'!$E$2997:$AR$2997,"&gt;"&amp;MAX(Summary!$C$11,DATE(Summary!$C$12,1,1)-1),'Dvd Calendar'!$E$2997:$AR$2997,"&lt;="&amp;DATE(Summary!$C$12,12,31),'Dvd Calendar'!$E$3002:$AR$3002,"&lt;&gt;"&amp;'Field Check'!$C$25)))</f>
        <v/>
      </c>
      <c r="L65" s="47">
        <f>IF($B65="",0,IF((Override!$C$4="ON")*ISNUMBER(Override!$G$211)&gt;0,Override!$G$211,$K65))</f>
        <v/>
      </c>
      <c r="M65" s="47">
        <f>IF($B65="",0,IF((Override!$C$4="ON")*ISNUMBER(Override!$H$211)&gt;0,Override!$H$211,$L65))</f>
        <v/>
      </c>
      <c r="N65" s="47">
        <f>IF($B65="",0,IF((Override!$C$4="ON")*ISNUMBER(Override!$I$211)&gt;0,Override!$I$211,$L65))</f>
        <v/>
      </c>
      <c r="O65" s="54">
        <f>IF($B65="","",IFERROR($B65*$G65*$J65/$B$3,""))</f>
        <v/>
      </c>
      <c r="P65" s="54">
        <f>IF($B65="","",IFERROR($B65*$G65*$L65/$B$3,""))</f>
        <v/>
      </c>
      <c r="Q65" s="38">
        <f>IF($B65="","",IFERROR($O65+$P65,""))</f>
        <v/>
      </c>
      <c r="R65" s="54">
        <f>IF($B65="","",IFERROR($O65+$B65*$G65*$M65/$B$3,""))</f>
        <v/>
      </c>
      <c r="S65" s="54">
        <f>IF($B65="","",IFERROR($O65+$B65*$G65*$N65/$B$3,""))</f>
        <v/>
      </c>
      <c r="T65" s="63">
        <f>IF($B65="","",IFERROR($Q65/$Q$5,""))</f>
        <v/>
      </c>
      <c r="U65" s="2">
        <f>IF($B65="","",IF(COUNTIFS('Dvd Calendar'!$E$2996:$AR$2996,"&gt;0",'Dvd Calendar'!$E$2997:$AR$2997,"&gt;"&amp;MAX(Summary!$C$11,DATE(Summary!$C$12,1,1)-1),'Dvd Calendar'!$E$2997:$AR$2997,"&lt;="&amp;DATE(Summary!$C$12,12,31))-COUNTIFS('Dvd Calendar'!$E$2996:$AR$2996,"&gt;0",'Dvd Calendar'!$E$2997:$AR$2997,"&gt;"&amp;MAX(Summary!$C$11,DATE(Summary!$C$12,1,1)-1),'Dvd Calendar'!$E$2997:$AR$2997,"&lt;="&amp;DATE(Summary!$C$12,12,31),'Dvd Calendar'!$E$2998:$AR$2998,"&gt;=0")&gt;0,"TBA amount - override me",IF((Override!$C$4="ON")*ISNUMBER(Override!$G$211)&gt;0,"overridden",IF($J65+$K65=0,"no dividend in year Y",""))))</f>
        <v/>
      </c>
      <c r="V65" s="54">
        <f>IF($B65="","",IFERROR(IF(ISNUMBER($H65),$B65*$G65*$H65/$B$3,0),""))</f>
        <v/>
      </c>
      <c r="W65" s="54">
        <f>IF($B65="","",IFERROR($B65*$G65*$K65/$B$3,""))</f>
        <v/>
      </c>
    </row>
    <row r="66">
      <c r="B66" s="73" t="n"/>
      <c r="C66" s="6">
        <f>IF($A66="","",$A66&amp;" Equity")</f>
        <v/>
      </c>
      <c r="D66" s="6">
        <f>IF($C66="","",BDP($C66,"NAME"))</f>
        <v/>
      </c>
      <c r="E66" s="6">
        <f>IF($C66="","",BDP($C66,"GICS_SECTOR_NAME"))</f>
        <v/>
      </c>
      <c r="F66" s="31">
        <f>IF($C66="","",BDP($C66,'Field Check'!$C$8))</f>
        <v/>
      </c>
      <c r="G66" s="74">
        <f>IFERROR(IF(LEN($F66)&lt;&gt;3,1,IF($F66="HKD",1,BDP(IF($F66="CNY",Summary!$C$14,$F66)&amp;"HKD Curncy","PX_LAST"))),1)</f>
        <v/>
      </c>
      <c r="H66" s="54">
        <f>IF($C66="","",BDP($C66,'Field Check'!$C$9))</f>
        <v/>
      </c>
      <c r="I66" s="45">
        <f>IF($C66="","",BDP($C66,'Field Check'!$C$10))</f>
        <v/>
      </c>
      <c r="J66" s="47">
        <f>IF($B66="",0,IF(Summary!$C$13="Y",SUMIFS('Dvd Calendar'!$E$3006:$AR$3006,'Dvd Calendar'!$E$3005:$AR$3005,"&gt;="&amp;DATE(Summary!$C$12,1,1),'Dvd Calendar'!$E$3005:$AR$3005,"&lt;="&amp;MIN(Summary!$C$11,DATE(Summary!$C$12,12,31))),SUMIFS('Dvd Calendar'!$E$3006:$AR$3006,'Dvd Calendar'!$E$3005:$AR$3005,"&gt;="&amp;DATE(Summary!$C$12,1,1),'Dvd Calendar'!$E$3005:$AR$3005,"&lt;="&amp;MIN(Summary!$C$11,DATE(Summary!$C$12,12,31)),'Dvd Calendar'!$E$3010:$AR$3010,"&lt;&gt;"&amp;'Field Check'!$C$25)))</f>
        <v/>
      </c>
      <c r="K66" s="47">
        <f>IF($B66="",0,IF(Summary!$C$13="Y",SUMIFS('Dvd Calendar'!$E$3013:$AR$3013,'Dvd Calendar'!$E$3012:$AR$3012,"&gt;"&amp;MAX(Summary!$C$11,DATE(Summary!$C$12,1,1)-1),'Dvd Calendar'!$E$3012:$AR$3012,"&lt;="&amp;DATE(Summary!$C$12,12,31)),SUMIFS('Dvd Calendar'!$E$3013:$AR$3013,'Dvd Calendar'!$E$3012:$AR$3012,"&gt;"&amp;MAX(Summary!$C$11,DATE(Summary!$C$12,1,1)-1),'Dvd Calendar'!$E$3012:$AR$3012,"&lt;="&amp;DATE(Summary!$C$12,12,31),'Dvd Calendar'!$E$3017:$AR$3017,"&lt;&gt;"&amp;'Field Check'!$C$25)))</f>
        <v/>
      </c>
      <c r="L66" s="47">
        <f>IF($B66="",0,IF((Override!$C$4="ON")*ISNUMBER(Override!$G$212)&gt;0,Override!$G$212,$K66))</f>
        <v/>
      </c>
      <c r="M66" s="47">
        <f>IF($B66="",0,IF((Override!$C$4="ON")*ISNUMBER(Override!$H$212)&gt;0,Override!$H$212,$L66))</f>
        <v/>
      </c>
      <c r="N66" s="47">
        <f>IF($B66="",0,IF((Override!$C$4="ON")*ISNUMBER(Override!$I$212)&gt;0,Override!$I$212,$L66))</f>
        <v/>
      </c>
      <c r="O66" s="54">
        <f>IF($B66="","",IFERROR($B66*$G66*$J66/$B$3,""))</f>
        <v/>
      </c>
      <c r="P66" s="54">
        <f>IF($B66="","",IFERROR($B66*$G66*$L66/$B$3,""))</f>
        <v/>
      </c>
      <c r="Q66" s="38">
        <f>IF($B66="","",IFERROR($O66+$P66,""))</f>
        <v/>
      </c>
      <c r="R66" s="54">
        <f>IF($B66="","",IFERROR($O66+$B66*$G66*$M66/$B$3,""))</f>
        <v/>
      </c>
      <c r="S66" s="54">
        <f>IF($B66="","",IFERROR($O66+$B66*$G66*$N66/$B$3,""))</f>
        <v/>
      </c>
      <c r="T66" s="63">
        <f>IF($B66="","",IFERROR($Q66/$Q$5,""))</f>
        <v/>
      </c>
      <c r="U66" s="2">
        <f>IF($B66="","",IF(COUNTIFS('Dvd Calendar'!$E$3011:$AR$3011,"&gt;0",'Dvd Calendar'!$E$3012:$AR$3012,"&gt;"&amp;MAX(Summary!$C$11,DATE(Summary!$C$12,1,1)-1),'Dvd Calendar'!$E$3012:$AR$3012,"&lt;="&amp;DATE(Summary!$C$12,12,31))-COUNTIFS('Dvd Calendar'!$E$3011:$AR$3011,"&gt;0",'Dvd Calendar'!$E$3012:$AR$3012,"&gt;"&amp;MAX(Summary!$C$11,DATE(Summary!$C$12,1,1)-1),'Dvd Calendar'!$E$3012:$AR$3012,"&lt;="&amp;DATE(Summary!$C$12,12,31),'Dvd Calendar'!$E$3013:$AR$3013,"&gt;=0")&gt;0,"TBA amount - override me",IF((Override!$C$4="ON")*ISNUMBER(Override!$G$212)&gt;0,"overridden",IF($J66+$K66=0,"no dividend in year Y",""))))</f>
        <v/>
      </c>
      <c r="V66" s="54">
        <f>IF($B66="","",IFERROR(IF(ISNUMBER($H66),$B66*$G66*$H66/$B$3,0),""))</f>
        <v/>
      </c>
      <c r="W66" s="54">
        <f>IF($B66="","",IFERROR($B66*$G66*$K66/$B$3,""))</f>
        <v/>
      </c>
    </row>
  </sheetData>
  <autoFilter ref="A6:W66"/>
  <conditionalFormatting sqref="U7:U66">
    <cfRule type="expression" priority="1" dxfId="0">
      <formula>ISNUMBER(SEARCH("TBA",$U7))</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BZ50"/>
  <sheetViews>
    <sheetView workbookViewId="0">
      <selection activeCell="A1" sqref="A1"/>
    </sheetView>
  </sheetViews>
  <sheetFormatPr baseColWidth="8" defaultRowHeight="15"/>
  <cols>
    <col width="3" customWidth="1" min="1" max="1"/>
    <col width="32" customWidth="1" min="2" max="2"/>
    <col width="27" customWidth="1" min="3" max="3"/>
    <col width="15" customWidth="1" min="4" max="4"/>
    <col width="14" customWidth="1" min="5" max="5"/>
    <col width="76" customWidth="1" min="6" max="6"/>
  </cols>
  <sheetData>
    <row r="1">
      <c r="B1" s="1" t="inlineStr">
        <is>
          <t>FIELD MNEMONIC TESTER &amp; CONFIG</t>
        </is>
      </c>
    </row>
    <row r="2">
      <c r="B2" s="2" t="inlineStr">
        <is>
          <t>Every mnemonic the book uses is a cell on this tab - fix one here and the whole workbook follows. Green = confirmed working. Amber = candidate: look at its live result once.</t>
        </is>
      </c>
    </row>
    <row r="3">
      <c r="B3" s="10" t="inlineStr">
        <is>
          <t>Test ticker</t>
        </is>
      </c>
      <c r="C3" s="12" t="inlineStr">
        <is>
          <t>700 HK Equity</t>
        </is>
      </c>
      <c r="F3" s="2" t="inlineStr">
        <is>
          <t>Tencent: pays HKD dividends, buys back stock, years of history - a good all-round tester.</t>
        </is>
      </c>
    </row>
    <row r="5">
      <c r="B5" s="3" t="inlineStr">
        <is>
          <t>CONFIRMED (verified on your terminal in the AU build)</t>
        </is>
      </c>
      <c r="C5" s="4" t="n"/>
      <c r="D5" s="4" t="n"/>
      <c r="E5" s="4" t="n"/>
      <c r="F5" s="4" t="n"/>
    </row>
    <row r="6">
      <c r="B6" s="6" t="inlineStr">
        <is>
          <t>Projected dividends (BDS)</t>
        </is>
      </c>
      <c r="C6" s="75" t="inlineStr">
        <is>
          <t>BDVD_ALL_PROJECTIONS</t>
        </is>
      </c>
      <c r="F6" s="2" t="inlineStr">
        <is>
          <t>The full projected schedule, announced ones included.</t>
        </is>
      </c>
    </row>
    <row r="7">
      <c r="B7" s="6" t="inlineStr">
        <is>
          <t>Dividend history (BDS)</t>
        </is>
      </c>
      <c r="C7" s="75" t="inlineStr">
        <is>
          <t>DVD_HIST_ALL</t>
        </is>
      </c>
      <c r="F7" s="2" t="inlineStr">
        <is>
          <t>Actual paid dividends; the date overrides are confirmed.</t>
        </is>
      </c>
    </row>
    <row r="8">
      <c r="B8" s="6" t="inlineStr">
        <is>
          <t>Dividend currency (BDP)</t>
        </is>
      </c>
      <c r="C8" s="75" t="inlineStr">
        <is>
          <t>EQY_DVD_CRNCY</t>
        </is>
      </c>
      <c r="F8" s="2" t="inlineStr">
        <is>
          <t>Feeds the FX-to-HKD column.</t>
        </is>
      </c>
    </row>
    <row r="9">
      <c r="B9" s="6" t="inlineStr">
        <is>
          <t>DPS 12M (BDP)</t>
        </is>
      </c>
      <c r="C9" s="75" t="inlineStr">
        <is>
          <t>EQY_DVD_SH_12M</t>
        </is>
      </c>
      <c r="F9" s="2" t="inlineStr">
        <is>
          <t>Reference column, and the 12M divisor check on Summary.</t>
        </is>
      </c>
    </row>
    <row r="10">
      <c r="B10" s="6" t="inlineStr">
        <is>
          <t>Yield 12M (BDP)</t>
        </is>
      </c>
      <c r="C10" s="75" t="inlineStr">
        <is>
          <t>EQY_DVD_YLD_12M</t>
        </is>
      </c>
      <c r="F10" s="2" t="inlineStr">
        <is>
          <t>Reference column; also read at index level on Summary.</t>
        </is>
      </c>
    </row>
    <row r="11">
      <c r="B11" s="6" t="inlineStr">
        <is>
          <t>GICS sector (BDP)</t>
        </is>
      </c>
      <c r="C11" s="75" t="inlineStr">
        <is>
          <t>GICS_SECTOR_NAME</t>
        </is>
      </c>
      <c r="F11" s="2" t="inlineStr">
        <is>
          <t>Drives every sector rollup.</t>
        </is>
      </c>
    </row>
    <row r="12">
      <c r="B12" s="6" t="inlineStr">
        <is>
          <t>Name (BDP)</t>
        </is>
      </c>
      <c r="C12" s="75" t="inlineStr">
        <is>
          <t>NAME</t>
        </is>
      </c>
      <c r="F12" s="2" t="inlineStr"/>
    </row>
    <row r="14">
      <c r="B14" s="3" t="inlineStr">
        <is>
          <t>CANDIDATES - CHECK COLUMN E ONCE AFTER THE FIRST REFRESH</t>
        </is>
      </c>
      <c r="C14" s="4" t="n"/>
      <c r="D14" s="4" t="n"/>
      <c r="E14" s="4" t="n"/>
      <c r="F14" s="4" t="n"/>
    </row>
    <row r="15">
      <c r="D15" s="2" t="inlineStr">
        <is>
          <t>live result</t>
        </is>
      </c>
      <c r="E15" s="2" t="inlineStr">
        <is>
          <t>status</t>
        </is>
      </c>
    </row>
    <row r="16">
      <c r="B16" s="6" t="inlineStr">
        <is>
          <t>EPS by fiscal year (BDP)</t>
        </is>
      </c>
      <c r="C16" s="76" t="inlineStr">
        <is>
          <t>IS_EPS</t>
        </is>
      </c>
      <c r="D16" s="74">
        <f>BDP($C$3,$C$16,$C$17,TEXT(Summary!$C$12-1,"0"))</f>
        <v/>
      </c>
      <c r="E16" s="77">
        <f>IF(ISNUMBER($D$16),"OK","check field")</f>
        <v/>
      </c>
      <c r="F16" s="2" t="inlineStr">
        <is>
          <t>Alternates if this errors: IS_DIL_EPS_CONT_OPS, TRAIL_12M_EPS (no year override), BEST_EPS.</t>
        </is>
      </c>
    </row>
    <row r="17">
      <c r="B17" s="6" t="inlineStr">
        <is>
          <t xml:space="preserve">  fiscal-year override name</t>
        </is>
      </c>
      <c r="C17" s="76" t="inlineStr">
        <is>
          <t>EQY_FUND_YEAR</t>
        </is>
      </c>
      <c r="F17" s="2" t="inlineStr">
        <is>
          <t>The override argument used by the two year-by-year fields. Alternate: FUND_PER.</t>
        </is>
      </c>
    </row>
    <row r="18">
      <c r="B18" s="6" t="inlineStr">
        <is>
          <t>Payout ratio by fiscal year (BDP)</t>
        </is>
      </c>
      <c r="C18" s="76" t="inlineStr">
        <is>
          <t>DVD_PAYOUT_RATIO</t>
        </is>
      </c>
      <c r="D18" s="74">
        <f>BDP($C$3,$C$18,$C$17,TEXT(Summary!$C$12-1,"0"))</f>
        <v/>
      </c>
      <c r="E18" s="77">
        <f>IF(ISNUMBER($D$18),"OK","check field")</f>
        <v/>
      </c>
      <c r="F18" s="2" t="inlineStr">
        <is>
          <t>Fiscal-basis payout - the clean one, because DPS and EPS come from the same fiscal year. Alternate: DVD_PAYOUT_RATIO_ADJ.</t>
        </is>
      </c>
    </row>
    <row r="19">
      <c r="B19" s="6" t="inlineStr">
        <is>
          <t>Buyback yield (BDP)</t>
        </is>
      </c>
      <c r="C19" s="76" t="inlineStr">
        <is>
          <t>EQY_BUYBACK_YIELD</t>
        </is>
      </c>
      <c r="D19" s="74">
        <f>BDP($C$3,$C$19)</f>
        <v/>
      </c>
      <c r="E19" s="77">
        <f>IF(ISNUMBER($D$19),"OK","check field")</f>
        <v/>
      </c>
      <c r="F19" s="2" t="inlineStr">
        <is>
          <t>For names that return cash by buying back instead of paying out. Alternates: TOT_BUYBACK_TO_MKT_CAP, BUYBACK_YIELD.</t>
        </is>
      </c>
    </row>
    <row r="20">
      <c r="B20" s="6" t="inlineStr">
        <is>
          <t>FCF yield (BDP)</t>
        </is>
      </c>
      <c r="C20" s="76" t="inlineStr">
        <is>
          <t>FREE_CASH_FLOW_YIELD</t>
        </is>
      </c>
      <c r="D20" s="74">
        <f>BDP($C$3,$C$20)</f>
        <v/>
      </c>
      <c r="E20" s="77">
        <f>IF(ISNUMBER($D$20),"OK","check field")</f>
        <v/>
      </c>
      <c r="F20" s="2" t="inlineStr">
        <is>
          <t>Cash actually available to pay dividends. Alternate: CF_FREE_CASH_FLOW_YIELD.</t>
        </is>
      </c>
    </row>
    <row r="21">
      <c r="B21" s="6" t="inlineStr">
        <is>
          <t>Net debt / equity (BDP)</t>
        </is>
      </c>
      <c r="C21" s="76" t="inlineStr">
        <is>
          <t>NET_DEBT_TO_SHRHLDR_EQY</t>
        </is>
      </c>
      <c r="D21" s="74">
        <f>BDP($C$3,$C$21)</f>
        <v/>
      </c>
      <c r="E21" s="77">
        <f>IF(ISNUMBER($D$21),"OK","check field")</f>
        <v/>
      </c>
      <c r="F21" s="2" t="inlineStr">
        <is>
          <t>Leverage. Alternate: NET_DEBT_TO_EQY.</t>
        </is>
      </c>
    </row>
    <row r="22">
      <c r="B22" s="6" t="inlineStr">
        <is>
          <t>Net debt / EBITDA (BDP)</t>
        </is>
      </c>
      <c r="C22" s="76" t="inlineStr">
        <is>
          <t>NET_DEBT_TO_EBITDA</t>
        </is>
      </c>
      <c r="D22" s="74">
        <f>BDP($C$3,$C$22)</f>
        <v/>
      </c>
      <c r="E22" s="77">
        <f>IF(ISNUMBER($D$22),"OK","check field")</f>
        <v/>
      </c>
      <c r="F22" s="2" t="inlineStr">
        <is>
          <t>The leverage measure that travels best across property and infrastructure names.</t>
        </is>
      </c>
    </row>
    <row r="23">
      <c r="B23" s="6" t="inlineStr">
        <is>
          <t>EBITDA / interest (BDP)</t>
        </is>
      </c>
      <c r="C23" s="76" t="inlineStr">
        <is>
          <t>EBITDA_TO_INTEREST_EXPN</t>
        </is>
      </c>
      <c r="D23" s="74">
        <f>BDP($C$3,$C$23)</f>
        <v/>
      </c>
      <c r="E23" s="77">
        <f>IF(ISNUMBER($D$23),"OK","check field")</f>
        <v/>
      </c>
      <c r="F23" s="2" t="inlineStr">
        <is>
          <t>Can they service the debt before they think about the dividend? Alternates: EBITDA_TO_INT_EXP, EBIT_TO_INT_EXP.</t>
        </is>
      </c>
    </row>
    <row r="25">
      <c r="B25" s="10" t="inlineStr">
        <is>
          <t>Special-dividend label</t>
        </is>
      </c>
      <c r="C25" s="12" t="inlineStr">
        <is>
          <t>Special Cash</t>
        </is>
      </c>
      <c r="F25" s="2" t="inlineStr">
        <is>
          <t>The text that appears in the TYPE row of the pulls for a special. Look at the samples below and correct this cell if Bloomberg spells it differently - the specials switch on Summary keys off it.</t>
        </is>
      </c>
    </row>
    <row r="27">
      <c r="B27" s="3" t="inlineStr">
        <is>
          <t>LIVE SAMPLE 1 - the exact projections pull (7 rows, spilling right)</t>
        </is>
      </c>
      <c r="C27" s="4" t="n"/>
      <c r="D27" s="4" t="n"/>
      <c r="E27" s="4" t="n"/>
      <c r="F27" s="78" t="inlineStr">
        <is>
          <t>Expected row order: Declared date, Ex-date, Amount, then record / pay / frequency / TYPE. The book only hardcodes rows 1-3 and the TYPE row - if TYPE is not the 7th row here, say so and it is a one-parameter rebuild.</t>
        </is>
      </c>
    </row>
    <row r="28">
      <c r="C28" s="79">
        <f>BDS($C$3,$C$6,"headers=y","startcol=1","endcol=7","dir=h")</f>
        <v/>
      </c>
      <c r="D28" s="80" t="n"/>
      <c r="E28" s="80" t="n"/>
      <c r="F28" s="80" t="n"/>
      <c r="G28" s="80" t="n"/>
      <c r="H28" s="80" t="n"/>
      <c r="I28" s="80" t="n"/>
      <c r="J28" s="80" t="n"/>
      <c r="K28" s="80" t="n"/>
      <c r="L28" s="80" t="n"/>
      <c r="M28" s="80" t="n"/>
      <c r="N28" s="80" t="n"/>
      <c r="O28" s="80" t="n"/>
      <c r="P28" s="80" t="n"/>
      <c r="Q28" s="80" t="n"/>
      <c r="R28" s="80" t="n"/>
      <c r="S28" s="80" t="n"/>
      <c r="T28" s="80" t="n"/>
      <c r="U28" s="80" t="n"/>
      <c r="V28" s="80" t="n"/>
      <c r="W28" s="80" t="n"/>
      <c r="X28" s="80" t="n"/>
      <c r="Y28" s="80" t="n"/>
      <c r="Z28" s="80" t="n"/>
      <c r="AA28" s="80" t="n"/>
      <c r="AB28" s="80" t="n"/>
      <c r="AC28" s="80" t="n"/>
      <c r="AD28" s="80" t="n"/>
      <c r="AE28" s="80" t="n"/>
      <c r="AF28" s="80" t="n"/>
      <c r="AG28" s="80" t="n"/>
      <c r="AH28" s="80" t="n"/>
      <c r="AI28" s="80" t="n"/>
      <c r="AJ28" s="80" t="n"/>
      <c r="AK28" s="80" t="n"/>
      <c r="AL28" s="80" t="n"/>
      <c r="AM28" s="80" t="n"/>
      <c r="AN28" s="80" t="n"/>
      <c r="AO28" s="80" t="n"/>
      <c r="AP28" s="80" t="n"/>
      <c r="AQ28" s="80" t="n"/>
      <c r="AR28" s="80" t="n"/>
      <c r="AS28" s="80" t="n"/>
      <c r="AT28" s="80" t="n"/>
      <c r="AU28" s="80" t="n"/>
      <c r="AV28" s="80" t="n"/>
      <c r="AW28" s="80" t="n"/>
      <c r="AX28" s="80" t="n"/>
      <c r="AY28" s="80" t="n"/>
      <c r="AZ28" s="80" t="n"/>
      <c r="BA28" s="80" t="n"/>
      <c r="BB28" s="80" t="n"/>
      <c r="BC28" s="80" t="n"/>
      <c r="BD28" s="80" t="n"/>
      <c r="BE28" s="80" t="n"/>
      <c r="BF28" s="80" t="n"/>
      <c r="BG28" s="80" t="n"/>
      <c r="BH28" s="80" t="n"/>
      <c r="BI28" s="80" t="n"/>
      <c r="BJ28" s="80" t="n"/>
      <c r="BK28" s="80" t="n"/>
      <c r="BL28" s="80" t="n"/>
      <c r="BM28" s="80" t="n"/>
      <c r="BN28" s="80" t="n"/>
      <c r="BO28" s="80" t="n"/>
      <c r="BP28" s="80" t="n"/>
      <c r="BQ28" s="80" t="n"/>
      <c r="BR28" s="80" t="n"/>
      <c r="BS28" s="80" t="n"/>
      <c r="BT28" s="80" t="n"/>
      <c r="BU28" s="80" t="n"/>
      <c r="BV28" s="80" t="n"/>
      <c r="BW28" s="80" t="n"/>
      <c r="BX28" s="80" t="n"/>
      <c r="BY28" s="80" t="n"/>
      <c r="BZ28" s="80" t="n"/>
    </row>
    <row r="29">
      <c r="C29" s="80" t="n"/>
      <c r="D29" s="80" t="n"/>
      <c r="E29" s="80" t="n"/>
      <c r="F29" s="80" t="n"/>
      <c r="G29" s="80" t="n"/>
      <c r="H29" s="80" t="n"/>
      <c r="I29" s="80" t="n"/>
      <c r="J29" s="80" t="n"/>
      <c r="K29" s="80" t="n"/>
      <c r="L29" s="80" t="n"/>
      <c r="M29" s="80" t="n"/>
      <c r="N29" s="80" t="n"/>
      <c r="O29" s="80" t="n"/>
      <c r="P29" s="80" t="n"/>
      <c r="Q29" s="80" t="n"/>
      <c r="R29" s="80" t="n"/>
      <c r="S29" s="80" t="n"/>
      <c r="T29" s="80" t="n"/>
      <c r="U29" s="80" t="n"/>
      <c r="V29" s="80" t="n"/>
      <c r="W29" s="80" t="n"/>
      <c r="X29" s="80" t="n"/>
      <c r="Y29" s="80" t="n"/>
      <c r="Z29" s="80" t="n"/>
      <c r="AA29" s="80" t="n"/>
      <c r="AB29" s="80" t="n"/>
      <c r="AC29" s="80" t="n"/>
      <c r="AD29" s="80" t="n"/>
      <c r="AE29" s="80" t="n"/>
      <c r="AF29" s="80" t="n"/>
      <c r="AG29" s="80" t="n"/>
      <c r="AH29" s="80" t="n"/>
      <c r="AI29" s="80" t="n"/>
      <c r="AJ29" s="80" t="n"/>
      <c r="AK29" s="80" t="n"/>
      <c r="AL29" s="80" t="n"/>
      <c r="AM29" s="80" t="n"/>
      <c r="AN29" s="80" t="n"/>
      <c r="AO29" s="80" t="n"/>
      <c r="AP29" s="80" t="n"/>
      <c r="AQ29" s="80" t="n"/>
      <c r="AR29" s="80" t="n"/>
      <c r="AS29" s="80" t="n"/>
      <c r="AT29" s="80" t="n"/>
      <c r="AU29" s="80" t="n"/>
      <c r="AV29" s="80" t="n"/>
      <c r="AW29" s="80" t="n"/>
      <c r="AX29" s="80" t="n"/>
      <c r="AY29" s="80" t="n"/>
      <c r="AZ29" s="80" t="n"/>
      <c r="BA29" s="80" t="n"/>
      <c r="BB29" s="80" t="n"/>
      <c r="BC29" s="80" t="n"/>
      <c r="BD29" s="80" t="n"/>
      <c r="BE29" s="80" t="n"/>
      <c r="BF29" s="80" t="n"/>
      <c r="BG29" s="80" t="n"/>
      <c r="BH29" s="80" t="n"/>
      <c r="BI29" s="80" t="n"/>
      <c r="BJ29" s="80" t="n"/>
      <c r="BK29" s="80" t="n"/>
      <c r="BL29" s="80" t="n"/>
      <c r="BM29" s="80" t="n"/>
      <c r="BN29" s="80" t="n"/>
      <c r="BO29" s="80" t="n"/>
      <c r="BP29" s="80" t="n"/>
      <c r="BQ29" s="80" t="n"/>
      <c r="BR29" s="80" t="n"/>
      <c r="BS29" s="80" t="n"/>
      <c r="BT29" s="80" t="n"/>
      <c r="BU29" s="80" t="n"/>
      <c r="BV29" s="80" t="n"/>
      <c r="BW29" s="80" t="n"/>
      <c r="BX29" s="80" t="n"/>
      <c r="BY29" s="80" t="n"/>
      <c r="BZ29" s="80" t="n"/>
    </row>
    <row r="30">
      <c r="C30" s="80" t="n"/>
      <c r="D30" s="80" t="n"/>
      <c r="E30" s="80" t="n"/>
      <c r="F30" s="80" t="n"/>
      <c r="G30" s="80" t="n"/>
      <c r="H30" s="80" t="n"/>
      <c r="I30" s="80" t="n"/>
      <c r="J30" s="80" t="n"/>
      <c r="K30" s="80" t="n"/>
      <c r="L30" s="80" t="n"/>
      <c r="M30" s="80" t="n"/>
      <c r="N30" s="80" t="n"/>
      <c r="O30" s="80" t="n"/>
      <c r="P30" s="80" t="n"/>
      <c r="Q30" s="80" t="n"/>
      <c r="R30" s="80" t="n"/>
      <c r="S30" s="80" t="n"/>
      <c r="T30" s="80" t="n"/>
      <c r="U30" s="80" t="n"/>
      <c r="V30" s="80" t="n"/>
      <c r="W30" s="80" t="n"/>
      <c r="X30" s="80" t="n"/>
      <c r="Y30" s="80" t="n"/>
      <c r="Z30" s="80" t="n"/>
      <c r="AA30" s="80" t="n"/>
      <c r="AB30" s="80" t="n"/>
      <c r="AC30" s="80" t="n"/>
      <c r="AD30" s="80" t="n"/>
      <c r="AE30" s="80" t="n"/>
      <c r="AF30" s="80" t="n"/>
      <c r="AG30" s="80" t="n"/>
      <c r="AH30" s="80" t="n"/>
      <c r="AI30" s="80" t="n"/>
      <c r="AJ30" s="80" t="n"/>
      <c r="AK30" s="80" t="n"/>
      <c r="AL30" s="80" t="n"/>
      <c r="AM30" s="80" t="n"/>
      <c r="AN30" s="80" t="n"/>
      <c r="AO30" s="80" t="n"/>
      <c r="AP30" s="80" t="n"/>
      <c r="AQ30" s="80" t="n"/>
      <c r="AR30" s="80" t="n"/>
      <c r="AS30" s="80" t="n"/>
      <c r="AT30" s="80" t="n"/>
      <c r="AU30" s="80" t="n"/>
      <c r="AV30" s="80" t="n"/>
      <c r="AW30" s="80" t="n"/>
      <c r="AX30" s="80" t="n"/>
      <c r="AY30" s="80" t="n"/>
      <c r="AZ30" s="80" t="n"/>
      <c r="BA30" s="80" t="n"/>
      <c r="BB30" s="80" t="n"/>
      <c r="BC30" s="80" t="n"/>
      <c r="BD30" s="80" t="n"/>
      <c r="BE30" s="80" t="n"/>
      <c r="BF30" s="80" t="n"/>
      <c r="BG30" s="80" t="n"/>
      <c r="BH30" s="80" t="n"/>
      <c r="BI30" s="80" t="n"/>
      <c r="BJ30" s="80" t="n"/>
      <c r="BK30" s="80" t="n"/>
      <c r="BL30" s="80" t="n"/>
      <c r="BM30" s="80" t="n"/>
      <c r="BN30" s="80" t="n"/>
      <c r="BO30" s="80" t="n"/>
      <c r="BP30" s="80" t="n"/>
      <c r="BQ30" s="80" t="n"/>
      <c r="BR30" s="80" t="n"/>
      <c r="BS30" s="80" t="n"/>
      <c r="BT30" s="80" t="n"/>
      <c r="BU30" s="80" t="n"/>
      <c r="BV30" s="80" t="n"/>
      <c r="BW30" s="80" t="n"/>
      <c r="BX30" s="80" t="n"/>
      <c r="BY30" s="80" t="n"/>
      <c r="BZ30" s="80" t="n"/>
    </row>
    <row r="31">
      <c r="C31" s="80" t="n"/>
      <c r="D31" s="80" t="n"/>
      <c r="E31" s="80" t="n"/>
      <c r="F31" s="80" t="n"/>
      <c r="G31" s="80" t="n"/>
      <c r="H31" s="80" t="n"/>
      <c r="I31" s="80" t="n"/>
      <c r="J31" s="80" t="n"/>
      <c r="K31" s="80" t="n"/>
      <c r="L31" s="80" t="n"/>
      <c r="M31" s="80" t="n"/>
      <c r="N31" s="80" t="n"/>
      <c r="O31" s="80" t="n"/>
      <c r="P31" s="80" t="n"/>
      <c r="Q31" s="80" t="n"/>
      <c r="R31" s="80" t="n"/>
      <c r="S31" s="80" t="n"/>
      <c r="T31" s="80" t="n"/>
      <c r="U31" s="80" t="n"/>
      <c r="V31" s="80" t="n"/>
      <c r="W31" s="80" t="n"/>
      <c r="X31" s="80" t="n"/>
      <c r="Y31" s="80" t="n"/>
      <c r="Z31" s="80" t="n"/>
      <c r="AA31" s="80" t="n"/>
      <c r="AB31" s="80" t="n"/>
      <c r="AC31" s="80" t="n"/>
      <c r="AD31" s="80" t="n"/>
      <c r="AE31" s="80" t="n"/>
      <c r="AF31" s="80" t="n"/>
      <c r="AG31" s="80" t="n"/>
      <c r="AH31" s="80" t="n"/>
      <c r="AI31" s="80" t="n"/>
      <c r="AJ31" s="80" t="n"/>
      <c r="AK31" s="80" t="n"/>
      <c r="AL31" s="80" t="n"/>
      <c r="AM31" s="80" t="n"/>
      <c r="AN31" s="80" t="n"/>
      <c r="AO31" s="80" t="n"/>
      <c r="AP31" s="80" t="n"/>
      <c r="AQ31" s="80" t="n"/>
      <c r="AR31" s="80" t="n"/>
      <c r="AS31" s="80" t="n"/>
      <c r="AT31" s="80" t="n"/>
      <c r="AU31" s="80" t="n"/>
      <c r="AV31" s="80" t="n"/>
      <c r="AW31" s="80" t="n"/>
      <c r="AX31" s="80" t="n"/>
      <c r="AY31" s="80" t="n"/>
      <c r="AZ31" s="80" t="n"/>
      <c r="BA31" s="80" t="n"/>
      <c r="BB31" s="80" t="n"/>
      <c r="BC31" s="80" t="n"/>
      <c r="BD31" s="80" t="n"/>
      <c r="BE31" s="80" t="n"/>
      <c r="BF31" s="80" t="n"/>
      <c r="BG31" s="80" t="n"/>
      <c r="BH31" s="80" t="n"/>
      <c r="BI31" s="80" t="n"/>
      <c r="BJ31" s="80" t="n"/>
      <c r="BK31" s="80" t="n"/>
      <c r="BL31" s="80" t="n"/>
      <c r="BM31" s="80" t="n"/>
      <c r="BN31" s="80" t="n"/>
      <c r="BO31" s="80" t="n"/>
      <c r="BP31" s="80" t="n"/>
      <c r="BQ31" s="80" t="n"/>
      <c r="BR31" s="80" t="n"/>
      <c r="BS31" s="80" t="n"/>
      <c r="BT31" s="80" t="n"/>
      <c r="BU31" s="80" t="n"/>
      <c r="BV31" s="80" t="n"/>
      <c r="BW31" s="80" t="n"/>
      <c r="BX31" s="80" t="n"/>
      <c r="BY31" s="80" t="n"/>
      <c r="BZ31" s="80" t="n"/>
    </row>
    <row r="32">
      <c r="C32" s="80" t="n"/>
      <c r="D32" s="80" t="n"/>
      <c r="E32" s="80" t="n"/>
      <c r="F32" s="80" t="n"/>
      <c r="G32" s="80" t="n"/>
      <c r="H32" s="80" t="n"/>
      <c r="I32" s="80" t="n"/>
      <c r="J32" s="80" t="n"/>
      <c r="K32" s="80" t="n"/>
      <c r="L32" s="80" t="n"/>
      <c r="M32" s="80" t="n"/>
      <c r="N32" s="80" t="n"/>
      <c r="O32" s="80" t="n"/>
      <c r="P32" s="80" t="n"/>
      <c r="Q32" s="80" t="n"/>
      <c r="R32" s="80" t="n"/>
      <c r="S32" s="80" t="n"/>
      <c r="T32" s="80" t="n"/>
      <c r="U32" s="80" t="n"/>
      <c r="V32" s="80" t="n"/>
      <c r="W32" s="80" t="n"/>
      <c r="X32" s="80" t="n"/>
      <c r="Y32" s="80" t="n"/>
      <c r="Z32" s="80" t="n"/>
      <c r="AA32" s="80" t="n"/>
      <c r="AB32" s="80" t="n"/>
      <c r="AC32" s="80" t="n"/>
      <c r="AD32" s="80" t="n"/>
      <c r="AE32" s="80" t="n"/>
      <c r="AF32" s="80" t="n"/>
      <c r="AG32" s="80" t="n"/>
      <c r="AH32" s="80" t="n"/>
      <c r="AI32" s="80" t="n"/>
      <c r="AJ32" s="80" t="n"/>
      <c r="AK32" s="80" t="n"/>
      <c r="AL32" s="80" t="n"/>
      <c r="AM32" s="80" t="n"/>
      <c r="AN32" s="80" t="n"/>
      <c r="AO32" s="80" t="n"/>
      <c r="AP32" s="80" t="n"/>
      <c r="AQ32" s="80" t="n"/>
      <c r="AR32" s="80" t="n"/>
      <c r="AS32" s="80" t="n"/>
      <c r="AT32" s="80" t="n"/>
      <c r="AU32" s="80" t="n"/>
      <c r="AV32" s="80" t="n"/>
      <c r="AW32" s="80" t="n"/>
      <c r="AX32" s="80" t="n"/>
      <c r="AY32" s="80" t="n"/>
      <c r="AZ32" s="80" t="n"/>
      <c r="BA32" s="80" t="n"/>
      <c r="BB32" s="80" t="n"/>
      <c r="BC32" s="80" t="n"/>
      <c r="BD32" s="80" t="n"/>
      <c r="BE32" s="80" t="n"/>
      <c r="BF32" s="80" t="n"/>
      <c r="BG32" s="80" t="n"/>
      <c r="BH32" s="80" t="n"/>
      <c r="BI32" s="80" t="n"/>
      <c r="BJ32" s="80" t="n"/>
      <c r="BK32" s="80" t="n"/>
      <c r="BL32" s="80" t="n"/>
      <c r="BM32" s="80" t="n"/>
      <c r="BN32" s="80" t="n"/>
      <c r="BO32" s="80" t="n"/>
      <c r="BP32" s="80" t="n"/>
      <c r="BQ32" s="80" t="n"/>
      <c r="BR32" s="80" t="n"/>
      <c r="BS32" s="80" t="n"/>
      <c r="BT32" s="80" t="n"/>
      <c r="BU32" s="80" t="n"/>
      <c r="BV32" s="80" t="n"/>
      <c r="BW32" s="80" t="n"/>
      <c r="BX32" s="80" t="n"/>
      <c r="BY32" s="80" t="n"/>
      <c r="BZ32" s="80" t="n"/>
    </row>
    <row r="33">
      <c r="C33" s="80" t="n"/>
      <c r="D33" s="80" t="n"/>
      <c r="E33" s="80" t="n"/>
      <c r="F33" s="80" t="n"/>
      <c r="G33" s="80" t="n"/>
      <c r="H33" s="80" t="n"/>
      <c r="I33" s="80" t="n"/>
      <c r="J33" s="80" t="n"/>
      <c r="K33" s="80" t="n"/>
      <c r="L33" s="80" t="n"/>
      <c r="M33" s="80" t="n"/>
      <c r="N33" s="80" t="n"/>
      <c r="O33" s="80" t="n"/>
      <c r="P33" s="80" t="n"/>
      <c r="Q33" s="80" t="n"/>
      <c r="R33" s="80" t="n"/>
      <c r="S33" s="80" t="n"/>
      <c r="T33" s="80" t="n"/>
      <c r="U33" s="80" t="n"/>
      <c r="V33" s="80" t="n"/>
      <c r="W33" s="80" t="n"/>
      <c r="X33" s="80" t="n"/>
      <c r="Y33" s="80" t="n"/>
      <c r="Z33" s="80" t="n"/>
      <c r="AA33" s="80" t="n"/>
      <c r="AB33" s="80" t="n"/>
      <c r="AC33" s="80" t="n"/>
      <c r="AD33" s="80" t="n"/>
      <c r="AE33" s="80" t="n"/>
      <c r="AF33" s="80" t="n"/>
      <c r="AG33" s="80" t="n"/>
      <c r="AH33" s="80" t="n"/>
      <c r="AI33" s="80" t="n"/>
      <c r="AJ33" s="80" t="n"/>
      <c r="AK33" s="80" t="n"/>
      <c r="AL33" s="80" t="n"/>
      <c r="AM33" s="80" t="n"/>
      <c r="AN33" s="80" t="n"/>
      <c r="AO33" s="80" t="n"/>
      <c r="AP33" s="80" t="n"/>
      <c r="AQ33" s="80" t="n"/>
      <c r="AR33" s="80" t="n"/>
      <c r="AS33" s="80" t="n"/>
      <c r="AT33" s="80" t="n"/>
      <c r="AU33" s="80" t="n"/>
      <c r="AV33" s="80" t="n"/>
      <c r="AW33" s="80" t="n"/>
      <c r="AX33" s="80" t="n"/>
      <c r="AY33" s="80" t="n"/>
      <c r="AZ33" s="80" t="n"/>
      <c r="BA33" s="80" t="n"/>
      <c r="BB33" s="80" t="n"/>
      <c r="BC33" s="80" t="n"/>
      <c r="BD33" s="80" t="n"/>
      <c r="BE33" s="80" t="n"/>
      <c r="BF33" s="80" t="n"/>
      <c r="BG33" s="80" t="n"/>
      <c r="BH33" s="80" t="n"/>
      <c r="BI33" s="80" t="n"/>
      <c r="BJ33" s="80" t="n"/>
      <c r="BK33" s="80" t="n"/>
      <c r="BL33" s="80" t="n"/>
      <c r="BM33" s="80" t="n"/>
      <c r="BN33" s="80" t="n"/>
      <c r="BO33" s="80" t="n"/>
      <c r="BP33" s="80" t="n"/>
      <c r="BQ33" s="80" t="n"/>
      <c r="BR33" s="80" t="n"/>
      <c r="BS33" s="80" t="n"/>
      <c r="BT33" s="80" t="n"/>
      <c r="BU33" s="80" t="n"/>
      <c r="BV33" s="80" t="n"/>
      <c r="BW33" s="80" t="n"/>
      <c r="BX33" s="80" t="n"/>
      <c r="BY33" s="80" t="n"/>
      <c r="BZ33" s="80" t="n"/>
    </row>
    <row r="34">
      <c r="C34" s="80" t="n"/>
      <c r="D34" s="80" t="n"/>
      <c r="E34" s="80" t="n"/>
      <c r="F34" s="80" t="n"/>
      <c r="G34" s="80" t="n"/>
      <c r="H34" s="80" t="n"/>
      <c r="I34" s="80" t="n"/>
      <c r="J34" s="80" t="n"/>
      <c r="K34" s="80" t="n"/>
      <c r="L34" s="80" t="n"/>
      <c r="M34" s="80" t="n"/>
      <c r="N34" s="80" t="n"/>
      <c r="O34" s="80" t="n"/>
      <c r="P34" s="80" t="n"/>
      <c r="Q34" s="80" t="n"/>
      <c r="R34" s="80" t="n"/>
      <c r="S34" s="80" t="n"/>
      <c r="T34" s="80" t="n"/>
      <c r="U34" s="80" t="n"/>
      <c r="V34" s="80" t="n"/>
      <c r="W34" s="80" t="n"/>
      <c r="X34" s="80" t="n"/>
      <c r="Y34" s="80" t="n"/>
      <c r="Z34" s="80" t="n"/>
      <c r="AA34" s="80" t="n"/>
      <c r="AB34" s="80" t="n"/>
      <c r="AC34" s="80" t="n"/>
      <c r="AD34" s="80" t="n"/>
      <c r="AE34" s="80" t="n"/>
      <c r="AF34" s="80" t="n"/>
      <c r="AG34" s="80" t="n"/>
      <c r="AH34" s="80" t="n"/>
      <c r="AI34" s="80" t="n"/>
      <c r="AJ34" s="80" t="n"/>
      <c r="AK34" s="80" t="n"/>
      <c r="AL34" s="80" t="n"/>
      <c r="AM34" s="80" t="n"/>
      <c r="AN34" s="80" t="n"/>
      <c r="AO34" s="80" t="n"/>
      <c r="AP34" s="80" t="n"/>
      <c r="AQ34" s="80" t="n"/>
      <c r="AR34" s="80" t="n"/>
      <c r="AS34" s="80" t="n"/>
      <c r="AT34" s="80" t="n"/>
      <c r="AU34" s="80" t="n"/>
      <c r="AV34" s="80" t="n"/>
      <c r="AW34" s="80" t="n"/>
      <c r="AX34" s="80" t="n"/>
      <c r="AY34" s="80" t="n"/>
      <c r="AZ34" s="80" t="n"/>
      <c r="BA34" s="80" t="n"/>
      <c r="BB34" s="80" t="n"/>
      <c r="BC34" s="80" t="n"/>
      <c r="BD34" s="80" t="n"/>
      <c r="BE34" s="80" t="n"/>
      <c r="BF34" s="80" t="n"/>
      <c r="BG34" s="80" t="n"/>
      <c r="BH34" s="80" t="n"/>
      <c r="BI34" s="80" t="n"/>
      <c r="BJ34" s="80" t="n"/>
      <c r="BK34" s="80" t="n"/>
      <c r="BL34" s="80" t="n"/>
      <c r="BM34" s="80" t="n"/>
      <c r="BN34" s="80" t="n"/>
      <c r="BO34" s="80" t="n"/>
      <c r="BP34" s="80" t="n"/>
      <c r="BQ34" s="80" t="n"/>
      <c r="BR34" s="80" t="n"/>
      <c r="BS34" s="80" t="n"/>
      <c r="BT34" s="80" t="n"/>
      <c r="BU34" s="80" t="n"/>
      <c r="BV34" s="80" t="n"/>
      <c r="BW34" s="80" t="n"/>
      <c r="BX34" s="80" t="n"/>
      <c r="BY34" s="80" t="n"/>
      <c r="BZ34" s="80" t="n"/>
    </row>
    <row r="36">
      <c r="B36" s="3" t="inlineStr">
        <is>
          <t>LIVE SAMPLE 2 - dividend history, horizontal (7 rows, spilling right)</t>
        </is>
      </c>
      <c r="C36" s="4" t="n"/>
      <c r="D36" s="4" t="n"/>
      <c r="E36" s="4" t="n"/>
      <c r="F36" s="78" t="inlineStr">
        <is>
          <t>The vertical form of this field is confirmed; the calendar needs the horizontal one. If this comes back empty or in a different shape, tell Claude.</t>
        </is>
      </c>
    </row>
    <row r="37">
      <c r="C37" s="79">
        <f>BDS($C$3,$C$7,"headers=y","startcol=1","endcol=7","dir=h","DVD_START_DT",Summary!$C$18,"DVD_END_DT",Summary!$D$18)</f>
        <v/>
      </c>
      <c r="D37" s="80" t="n"/>
      <c r="E37" s="80" t="n"/>
      <c r="F37" s="80" t="n"/>
      <c r="G37" s="80" t="n"/>
      <c r="H37" s="80" t="n"/>
      <c r="I37" s="80" t="n"/>
      <c r="J37" s="80" t="n"/>
      <c r="K37" s="80" t="n"/>
      <c r="L37" s="80" t="n"/>
      <c r="M37" s="80" t="n"/>
      <c r="N37" s="80" t="n"/>
      <c r="O37" s="80" t="n"/>
      <c r="P37" s="80" t="n"/>
      <c r="Q37" s="80" t="n"/>
      <c r="R37" s="80" t="n"/>
      <c r="S37" s="80" t="n"/>
      <c r="T37" s="80" t="n"/>
      <c r="U37" s="80" t="n"/>
      <c r="V37" s="80" t="n"/>
      <c r="W37" s="80" t="n"/>
      <c r="X37" s="80" t="n"/>
      <c r="Y37" s="80" t="n"/>
      <c r="Z37" s="80" t="n"/>
      <c r="AA37" s="80" t="n"/>
      <c r="AB37" s="80" t="n"/>
      <c r="AC37" s="80" t="n"/>
      <c r="AD37" s="80" t="n"/>
      <c r="AE37" s="80" t="n"/>
      <c r="AF37" s="80" t="n"/>
      <c r="AG37" s="80" t="n"/>
      <c r="AH37" s="80" t="n"/>
      <c r="AI37" s="80" t="n"/>
      <c r="AJ37" s="80" t="n"/>
      <c r="AK37" s="80" t="n"/>
      <c r="AL37" s="80" t="n"/>
      <c r="AM37" s="80" t="n"/>
      <c r="AN37" s="80" t="n"/>
      <c r="AO37" s="80" t="n"/>
      <c r="AP37" s="80" t="n"/>
      <c r="AQ37" s="80" t="n"/>
      <c r="AR37" s="80" t="n"/>
      <c r="AS37" s="80" t="n"/>
      <c r="AT37" s="80" t="n"/>
      <c r="AU37" s="80" t="n"/>
      <c r="AV37" s="80" t="n"/>
      <c r="AW37" s="80" t="n"/>
      <c r="AX37" s="80" t="n"/>
      <c r="AY37" s="80" t="n"/>
      <c r="AZ37" s="80" t="n"/>
      <c r="BA37" s="80" t="n"/>
      <c r="BB37" s="80" t="n"/>
      <c r="BC37" s="80" t="n"/>
      <c r="BD37" s="80" t="n"/>
      <c r="BE37" s="80" t="n"/>
      <c r="BF37" s="80" t="n"/>
      <c r="BG37" s="80" t="n"/>
      <c r="BH37" s="80" t="n"/>
      <c r="BI37" s="80" t="n"/>
      <c r="BJ37" s="80" t="n"/>
      <c r="BK37" s="80" t="n"/>
      <c r="BL37" s="80" t="n"/>
      <c r="BM37" s="80" t="n"/>
      <c r="BN37" s="80" t="n"/>
      <c r="BO37" s="80" t="n"/>
      <c r="BP37" s="80" t="n"/>
      <c r="BQ37" s="80" t="n"/>
      <c r="BR37" s="80" t="n"/>
      <c r="BS37" s="80" t="n"/>
      <c r="BT37" s="80" t="n"/>
      <c r="BU37" s="80" t="n"/>
      <c r="BV37" s="80" t="n"/>
      <c r="BW37" s="80" t="n"/>
      <c r="BX37" s="80" t="n"/>
      <c r="BY37" s="80" t="n"/>
      <c r="BZ37" s="80" t="n"/>
    </row>
    <row r="38">
      <c r="C38" s="80" t="n"/>
      <c r="D38" s="80" t="n"/>
      <c r="E38" s="80" t="n"/>
      <c r="F38" s="80" t="n"/>
      <c r="G38" s="80" t="n"/>
      <c r="H38" s="80" t="n"/>
      <c r="I38" s="80" t="n"/>
      <c r="J38" s="80" t="n"/>
      <c r="K38" s="80" t="n"/>
      <c r="L38" s="80" t="n"/>
      <c r="M38" s="80" t="n"/>
      <c r="N38" s="80" t="n"/>
      <c r="O38" s="80" t="n"/>
      <c r="P38" s="80" t="n"/>
      <c r="Q38" s="80" t="n"/>
      <c r="R38" s="80" t="n"/>
      <c r="S38" s="80" t="n"/>
      <c r="T38" s="80" t="n"/>
      <c r="U38" s="80" t="n"/>
      <c r="V38" s="80" t="n"/>
      <c r="W38" s="80" t="n"/>
      <c r="X38" s="80" t="n"/>
      <c r="Y38" s="80" t="n"/>
      <c r="Z38" s="80" t="n"/>
      <c r="AA38" s="80" t="n"/>
      <c r="AB38" s="80" t="n"/>
      <c r="AC38" s="80" t="n"/>
      <c r="AD38" s="80" t="n"/>
      <c r="AE38" s="80" t="n"/>
      <c r="AF38" s="80" t="n"/>
      <c r="AG38" s="80" t="n"/>
      <c r="AH38" s="80" t="n"/>
      <c r="AI38" s="80" t="n"/>
      <c r="AJ38" s="80" t="n"/>
      <c r="AK38" s="80" t="n"/>
      <c r="AL38" s="80" t="n"/>
      <c r="AM38" s="80" t="n"/>
      <c r="AN38" s="80" t="n"/>
      <c r="AO38" s="80" t="n"/>
      <c r="AP38" s="80" t="n"/>
      <c r="AQ38" s="80" t="n"/>
      <c r="AR38" s="80" t="n"/>
      <c r="AS38" s="80" t="n"/>
      <c r="AT38" s="80" t="n"/>
      <c r="AU38" s="80" t="n"/>
      <c r="AV38" s="80" t="n"/>
      <c r="AW38" s="80" t="n"/>
      <c r="AX38" s="80" t="n"/>
      <c r="AY38" s="80" t="n"/>
      <c r="AZ38" s="80" t="n"/>
      <c r="BA38" s="80" t="n"/>
      <c r="BB38" s="80" t="n"/>
      <c r="BC38" s="80" t="n"/>
      <c r="BD38" s="80" t="n"/>
      <c r="BE38" s="80" t="n"/>
      <c r="BF38" s="80" t="n"/>
      <c r="BG38" s="80" t="n"/>
      <c r="BH38" s="80" t="n"/>
      <c r="BI38" s="80" t="n"/>
      <c r="BJ38" s="80" t="n"/>
      <c r="BK38" s="80" t="n"/>
      <c r="BL38" s="80" t="n"/>
      <c r="BM38" s="80" t="n"/>
      <c r="BN38" s="80" t="n"/>
      <c r="BO38" s="80" t="n"/>
      <c r="BP38" s="80" t="n"/>
      <c r="BQ38" s="80" t="n"/>
      <c r="BR38" s="80" t="n"/>
      <c r="BS38" s="80" t="n"/>
      <c r="BT38" s="80" t="n"/>
      <c r="BU38" s="80" t="n"/>
      <c r="BV38" s="80" t="n"/>
      <c r="BW38" s="80" t="n"/>
      <c r="BX38" s="80" t="n"/>
      <c r="BY38" s="80" t="n"/>
      <c r="BZ38" s="80" t="n"/>
    </row>
    <row r="39">
      <c r="C39" s="80" t="n"/>
      <c r="D39" s="80" t="n"/>
      <c r="E39" s="80" t="n"/>
      <c r="F39" s="80" t="n"/>
      <c r="G39" s="80" t="n"/>
      <c r="H39" s="80" t="n"/>
      <c r="I39" s="80" t="n"/>
      <c r="J39" s="80" t="n"/>
      <c r="K39" s="80" t="n"/>
      <c r="L39" s="80" t="n"/>
      <c r="M39" s="80" t="n"/>
      <c r="N39" s="80" t="n"/>
      <c r="O39" s="80" t="n"/>
      <c r="P39" s="80" t="n"/>
      <c r="Q39" s="80" t="n"/>
      <c r="R39" s="80" t="n"/>
      <c r="S39" s="80" t="n"/>
      <c r="T39" s="80" t="n"/>
      <c r="U39" s="80" t="n"/>
      <c r="V39" s="80" t="n"/>
      <c r="W39" s="80" t="n"/>
      <c r="X39" s="80" t="n"/>
      <c r="Y39" s="80" t="n"/>
      <c r="Z39" s="80" t="n"/>
      <c r="AA39" s="80" t="n"/>
      <c r="AB39" s="80" t="n"/>
      <c r="AC39" s="80" t="n"/>
      <c r="AD39" s="80" t="n"/>
      <c r="AE39" s="80" t="n"/>
      <c r="AF39" s="80" t="n"/>
      <c r="AG39" s="80" t="n"/>
      <c r="AH39" s="80" t="n"/>
      <c r="AI39" s="80" t="n"/>
      <c r="AJ39" s="80" t="n"/>
      <c r="AK39" s="80" t="n"/>
      <c r="AL39" s="80" t="n"/>
      <c r="AM39" s="80" t="n"/>
      <c r="AN39" s="80" t="n"/>
      <c r="AO39" s="80" t="n"/>
      <c r="AP39" s="80" t="n"/>
      <c r="AQ39" s="80" t="n"/>
      <c r="AR39" s="80" t="n"/>
      <c r="AS39" s="80" t="n"/>
      <c r="AT39" s="80" t="n"/>
      <c r="AU39" s="80" t="n"/>
      <c r="AV39" s="80" t="n"/>
      <c r="AW39" s="80" t="n"/>
      <c r="AX39" s="80" t="n"/>
      <c r="AY39" s="80" t="n"/>
      <c r="AZ39" s="80" t="n"/>
      <c r="BA39" s="80" t="n"/>
      <c r="BB39" s="80" t="n"/>
      <c r="BC39" s="80" t="n"/>
      <c r="BD39" s="80" t="n"/>
      <c r="BE39" s="80" t="n"/>
      <c r="BF39" s="80" t="n"/>
      <c r="BG39" s="80" t="n"/>
      <c r="BH39" s="80" t="n"/>
      <c r="BI39" s="80" t="n"/>
      <c r="BJ39" s="80" t="n"/>
      <c r="BK39" s="80" t="n"/>
      <c r="BL39" s="80" t="n"/>
      <c r="BM39" s="80" t="n"/>
      <c r="BN39" s="80" t="n"/>
      <c r="BO39" s="80" t="n"/>
      <c r="BP39" s="80" t="n"/>
      <c r="BQ39" s="80" t="n"/>
      <c r="BR39" s="80" t="n"/>
      <c r="BS39" s="80" t="n"/>
      <c r="BT39" s="80" t="n"/>
      <c r="BU39" s="80" t="n"/>
      <c r="BV39" s="80" t="n"/>
      <c r="BW39" s="80" t="n"/>
      <c r="BX39" s="80" t="n"/>
      <c r="BY39" s="80" t="n"/>
      <c r="BZ39" s="80" t="n"/>
    </row>
    <row r="40">
      <c r="C40" s="80" t="n"/>
      <c r="D40" s="80" t="n"/>
      <c r="E40" s="80" t="n"/>
      <c r="F40" s="80" t="n"/>
      <c r="G40" s="80" t="n"/>
      <c r="H40" s="80" t="n"/>
      <c r="I40" s="80" t="n"/>
      <c r="J40" s="80" t="n"/>
      <c r="K40" s="80" t="n"/>
      <c r="L40" s="80" t="n"/>
      <c r="M40" s="80" t="n"/>
      <c r="N40" s="80" t="n"/>
      <c r="O40" s="80" t="n"/>
      <c r="P40" s="80" t="n"/>
      <c r="Q40" s="80" t="n"/>
      <c r="R40" s="80" t="n"/>
      <c r="S40" s="80" t="n"/>
      <c r="T40" s="80" t="n"/>
      <c r="U40" s="80" t="n"/>
      <c r="V40" s="80" t="n"/>
      <c r="W40" s="80" t="n"/>
      <c r="X40" s="80" t="n"/>
      <c r="Y40" s="80" t="n"/>
      <c r="Z40" s="80" t="n"/>
      <c r="AA40" s="80" t="n"/>
      <c r="AB40" s="80" t="n"/>
      <c r="AC40" s="80" t="n"/>
      <c r="AD40" s="80" t="n"/>
      <c r="AE40" s="80" t="n"/>
      <c r="AF40" s="80" t="n"/>
      <c r="AG40" s="80" t="n"/>
      <c r="AH40" s="80" t="n"/>
      <c r="AI40" s="80" t="n"/>
      <c r="AJ40" s="80" t="n"/>
      <c r="AK40" s="80" t="n"/>
      <c r="AL40" s="80" t="n"/>
      <c r="AM40" s="80" t="n"/>
      <c r="AN40" s="80" t="n"/>
      <c r="AO40" s="80" t="n"/>
      <c r="AP40" s="80" t="n"/>
      <c r="AQ40" s="80" t="n"/>
      <c r="AR40" s="80" t="n"/>
      <c r="AS40" s="80" t="n"/>
      <c r="AT40" s="80" t="n"/>
      <c r="AU40" s="80" t="n"/>
      <c r="AV40" s="80" t="n"/>
      <c r="AW40" s="80" t="n"/>
      <c r="AX40" s="80" t="n"/>
      <c r="AY40" s="80" t="n"/>
      <c r="AZ40" s="80" t="n"/>
      <c r="BA40" s="80" t="n"/>
      <c r="BB40" s="80" t="n"/>
      <c r="BC40" s="80" t="n"/>
      <c r="BD40" s="80" t="n"/>
      <c r="BE40" s="80" t="n"/>
      <c r="BF40" s="80" t="n"/>
      <c r="BG40" s="80" t="n"/>
      <c r="BH40" s="80" t="n"/>
      <c r="BI40" s="80" t="n"/>
      <c r="BJ40" s="80" t="n"/>
      <c r="BK40" s="80" t="n"/>
      <c r="BL40" s="80" t="n"/>
      <c r="BM40" s="80" t="n"/>
      <c r="BN40" s="80" t="n"/>
      <c r="BO40" s="80" t="n"/>
      <c r="BP40" s="80" t="n"/>
      <c r="BQ40" s="80" t="n"/>
      <c r="BR40" s="80" t="n"/>
      <c r="BS40" s="80" t="n"/>
      <c r="BT40" s="80" t="n"/>
      <c r="BU40" s="80" t="n"/>
      <c r="BV40" s="80" t="n"/>
      <c r="BW40" s="80" t="n"/>
      <c r="BX40" s="80" t="n"/>
      <c r="BY40" s="80" t="n"/>
      <c r="BZ40" s="80" t="n"/>
    </row>
    <row r="41">
      <c r="C41" s="80" t="n"/>
      <c r="D41" s="80" t="n"/>
      <c r="E41" s="80" t="n"/>
      <c r="F41" s="80" t="n"/>
      <c r="G41" s="80" t="n"/>
      <c r="H41" s="80" t="n"/>
      <c r="I41" s="80" t="n"/>
      <c r="J41" s="80" t="n"/>
      <c r="K41" s="80" t="n"/>
      <c r="L41" s="80" t="n"/>
      <c r="M41" s="80" t="n"/>
      <c r="N41" s="80" t="n"/>
      <c r="O41" s="80" t="n"/>
      <c r="P41" s="80" t="n"/>
      <c r="Q41" s="80" t="n"/>
      <c r="R41" s="80" t="n"/>
      <c r="S41" s="80" t="n"/>
      <c r="T41" s="80" t="n"/>
      <c r="U41" s="80" t="n"/>
      <c r="V41" s="80" t="n"/>
      <c r="W41" s="80" t="n"/>
      <c r="X41" s="80" t="n"/>
      <c r="Y41" s="80" t="n"/>
      <c r="Z41" s="80" t="n"/>
      <c r="AA41" s="80" t="n"/>
      <c r="AB41" s="80" t="n"/>
      <c r="AC41" s="80" t="n"/>
      <c r="AD41" s="80" t="n"/>
      <c r="AE41" s="80" t="n"/>
      <c r="AF41" s="80" t="n"/>
      <c r="AG41" s="80" t="n"/>
      <c r="AH41" s="80" t="n"/>
      <c r="AI41" s="80" t="n"/>
      <c r="AJ41" s="80" t="n"/>
      <c r="AK41" s="80" t="n"/>
      <c r="AL41" s="80" t="n"/>
      <c r="AM41" s="80" t="n"/>
      <c r="AN41" s="80" t="n"/>
      <c r="AO41" s="80" t="n"/>
      <c r="AP41" s="80" t="n"/>
      <c r="AQ41" s="80" t="n"/>
      <c r="AR41" s="80" t="n"/>
      <c r="AS41" s="80" t="n"/>
      <c r="AT41" s="80" t="n"/>
      <c r="AU41" s="80" t="n"/>
      <c r="AV41" s="80" t="n"/>
      <c r="AW41" s="80" t="n"/>
      <c r="AX41" s="80" t="n"/>
      <c r="AY41" s="80" t="n"/>
      <c r="AZ41" s="80" t="n"/>
      <c r="BA41" s="80" t="n"/>
      <c r="BB41" s="80" t="n"/>
      <c r="BC41" s="80" t="n"/>
      <c r="BD41" s="80" t="n"/>
      <c r="BE41" s="80" t="n"/>
      <c r="BF41" s="80" t="n"/>
      <c r="BG41" s="80" t="n"/>
      <c r="BH41" s="80" t="n"/>
      <c r="BI41" s="80" t="n"/>
      <c r="BJ41" s="80" t="n"/>
      <c r="BK41" s="80" t="n"/>
      <c r="BL41" s="80" t="n"/>
      <c r="BM41" s="80" t="n"/>
      <c r="BN41" s="80" t="n"/>
      <c r="BO41" s="80" t="n"/>
      <c r="BP41" s="80" t="n"/>
      <c r="BQ41" s="80" t="n"/>
      <c r="BR41" s="80" t="n"/>
      <c r="BS41" s="80" t="n"/>
      <c r="BT41" s="80" t="n"/>
      <c r="BU41" s="80" t="n"/>
      <c r="BV41" s="80" t="n"/>
      <c r="BW41" s="80" t="n"/>
      <c r="BX41" s="80" t="n"/>
      <c r="BY41" s="80" t="n"/>
      <c r="BZ41" s="80" t="n"/>
    </row>
    <row r="42">
      <c r="C42" s="80" t="n"/>
      <c r="D42" s="80" t="n"/>
      <c r="E42" s="80" t="n"/>
      <c r="F42" s="80" t="n"/>
      <c r="G42" s="80" t="n"/>
      <c r="H42" s="80" t="n"/>
      <c r="I42" s="80" t="n"/>
      <c r="J42" s="80" t="n"/>
      <c r="K42" s="80" t="n"/>
      <c r="L42" s="80" t="n"/>
      <c r="M42" s="80" t="n"/>
      <c r="N42" s="80" t="n"/>
      <c r="O42" s="80" t="n"/>
      <c r="P42" s="80" t="n"/>
      <c r="Q42" s="80" t="n"/>
      <c r="R42" s="80" t="n"/>
      <c r="S42" s="80" t="n"/>
      <c r="T42" s="80" t="n"/>
      <c r="U42" s="80" t="n"/>
      <c r="V42" s="80" t="n"/>
      <c r="W42" s="80" t="n"/>
      <c r="X42" s="80" t="n"/>
      <c r="Y42" s="80" t="n"/>
      <c r="Z42" s="80" t="n"/>
      <c r="AA42" s="80" t="n"/>
      <c r="AB42" s="80" t="n"/>
      <c r="AC42" s="80" t="n"/>
      <c r="AD42" s="80" t="n"/>
      <c r="AE42" s="80" t="n"/>
      <c r="AF42" s="80" t="n"/>
      <c r="AG42" s="80" t="n"/>
      <c r="AH42" s="80" t="n"/>
      <c r="AI42" s="80" t="n"/>
      <c r="AJ42" s="80" t="n"/>
      <c r="AK42" s="80" t="n"/>
      <c r="AL42" s="80" t="n"/>
      <c r="AM42" s="80" t="n"/>
      <c r="AN42" s="80" t="n"/>
      <c r="AO42" s="80" t="n"/>
      <c r="AP42" s="80" t="n"/>
      <c r="AQ42" s="80" t="n"/>
      <c r="AR42" s="80" t="n"/>
      <c r="AS42" s="80" t="n"/>
      <c r="AT42" s="80" t="n"/>
      <c r="AU42" s="80" t="n"/>
      <c r="AV42" s="80" t="n"/>
      <c r="AW42" s="80" t="n"/>
      <c r="AX42" s="80" t="n"/>
      <c r="AY42" s="80" t="n"/>
      <c r="AZ42" s="80" t="n"/>
      <c r="BA42" s="80" t="n"/>
      <c r="BB42" s="80" t="n"/>
      <c r="BC42" s="80" t="n"/>
      <c r="BD42" s="80" t="n"/>
      <c r="BE42" s="80" t="n"/>
      <c r="BF42" s="80" t="n"/>
      <c r="BG42" s="80" t="n"/>
      <c r="BH42" s="80" t="n"/>
      <c r="BI42" s="80" t="n"/>
      <c r="BJ42" s="80" t="n"/>
      <c r="BK42" s="80" t="n"/>
      <c r="BL42" s="80" t="n"/>
      <c r="BM42" s="80" t="n"/>
      <c r="BN42" s="80" t="n"/>
      <c r="BO42" s="80" t="n"/>
      <c r="BP42" s="80" t="n"/>
      <c r="BQ42" s="80" t="n"/>
      <c r="BR42" s="80" t="n"/>
      <c r="BS42" s="80" t="n"/>
      <c r="BT42" s="80" t="n"/>
      <c r="BU42" s="80" t="n"/>
      <c r="BV42" s="80" t="n"/>
      <c r="BW42" s="80" t="n"/>
      <c r="BX42" s="80" t="n"/>
      <c r="BY42" s="80" t="n"/>
      <c r="BZ42" s="80" t="n"/>
    </row>
    <row r="43">
      <c r="C43" s="80" t="n"/>
      <c r="D43" s="80" t="n"/>
      <c r="E43" s="80" t="n"/>
      <c r="F43" s="80" t="n"/>
      <c r="G43" s="80" t="n"/>
      <c r="H43" s="80" t="n"/>
      <c r="I43" s="80" t="n"/>
      <c r="J43" s="80" t="n"/>
      <c r="K43" s="80" t="n"/>
      <c r="L43" s="80" t="n"/>
      <c r="M43" s="80" t="n"/>
      <c r="N43" s="80" t="n"/>
      <c r="O43" s="80" t="n"/>
      <c r="P43" s="80" t="n"/>
      <c r="Q43" s="80" t="n"/>
      <c r="R43" s="80" t="n"/>
      <c r="S43" s="80" t="n"/>
      <c r="T43" s="80" t="n"/>
      <c r="U43" s="80" t="n"/>
      <c r="V43" s="80" t="n"/>
      <c r="W43" s="80" t="n"/>
      <c r="X43" s="80" t="n"/>
      <c r="Y43" s="80" t="n"/>
      <c r="Z43" s="80" t="n"/>
      <c r="AA43" s="80" t="n"/>
      <c r="AB43" s="80" t="n"/>
      <c r="AC43" s="80" t="n"/>
      <c r="AD43" s="80" t="n"/>
      <c r="AE43" s="80" t="n"/>
      <c r="AF43" s="80" t="n"/>
      <c r="AG43" s="80" t="n"/>
      <c r="AH43" s="80" t="n"/>
      <c r="AI43" s="80" t="n"/>
      <c r="AJ43" s="80" t="n"/>
      <c r="AK43" s="80" t="n"/>
      <c r="AL43" s="80" t="n"/>
      <c r="AM43" s="80" t="n"/>
      <c r="AN43" s="80" t="n"/>
      <c r="AO43" s="80" t="n"/>
      <c r="AP43" s="80" t="n"/>
      <c r="AQ43" s="80" t="n"/>
      <c r="AR43" s="80" t="n"/>
      <c r="AS43" s="80" t="n"/>
      <c r="AT43" s="80" t="n"/>
      <c r="AU43" s="80" t="n"/>
      <c r="AV43" s="80" t="n"/>
      <c r="AW43" s="80" t="n"/>
      <c r="AX43" s="80" t="n"/>
      <c r="AY43" s="80" t="n"/>
      <c r="AZ43" s="80" t="n"/>
      <c r="BA43" s="80" t="n"/>
      <c r="BB43" s="80" t="n"/>
      <c r="BC43" s="80" t="n"/>
      <c r="BD43" s="80" t="n"/>
      <c r="BE43" s="80" t="n"/>
      <c r="BF43" s="80" t="n"/>
      <c r="BG43" s="80" t="n"/>
      <c r="BH43" s="80" t="n"/>
      <c r="BI43" s="80" t="n"/>
      <c r="BJ43" s="80" t="n"/>
      <c r="BK43" s="80" t="n"/>
      <c r="BL43" s="80" t="n"/>
      <c r="BM43" s="80" t="n"/>
      <c r="BN43" s="80" t="n"/>
      <c r="BO43" s="80" t="n"/>
      <c r="BP43" s="80" t="n"/>
      <c r="BQ43" s="80" t="n"/>
      <c r="BR43" s="80" t="n"/>
      <c r="BS43" s="80" t="n"/>
      <c r="BT43" s="80" t="n"/>
      <c r="BU43" s="80" t="n"/>
      <c r="BV43" s="80" t="n"/>
      <c r="BW43" s="80" t="n"/>
      <c r="BX43" s="80" t="n"/>
      <c r="BY43" s="80" t="n"/>
      <c r="BZ43" s="80" t="n"/>
    </row>
    <row r="46">
      <c r="B46" s="3" t="inlineStr">
        <is>
          <t>YOUR BQL QUERY - reference only, the book does not use BQL</t>
        </is>
      </c>
      <c r="C46" s="4" t="n"/>
      <c r="D46" s="4" t="n"/>
      <c r="E46" s="4" t="n"/>
      <c r="F46" s="78" t="inlineStr">
        <is>
          <t>Kept so you can spot-check. The BDS pulls carry the same information: a DECLARED date means the company announced it; declared with no amount is your TBA case; no declared date means it is Bloomberg's own projection.</t>
        </is>
      </c>
    </row>
    <row r="47">
      <c r="C47" s="2" t="inlineStr">
        <is>
          <t>'=@BQL.QUERY(AC16&amp;AC17,"showallcols=t, showheaders=f, xlfill=b","cols=10;rows=1")</t>
        </is>
      </c>
    </row>
    <row r="48">
      <c r="C48" s="2" t="inlineStr">
        <is>
          <t>let(#div=dividends(offset=1, status=TBA);#hastba=count(#div().status);) get(groupsort(#div,sortby=#div().ex_date,order=asc)) for(filter(members('HSI Index'),#hastba&gt;0))</t>
        </is>
      </c>
    </row>
    <row r="50">
      <c r="B50" s="2" t="inlineStr">
        <is>
          <t>Leave the space to the right of both samples clear - they spill as far as they need.</t>
        </is>
      </c>
    </row>
  </sheetData>
  <pageMargins left="0.75" right="0.75" top="1" bottom="1" header="0.5" footer="0.5"/>
</worksheet>
</file>

<file path=xl/worksheets/sheet11.xml><?xml version="1.0" encoding="utf-8"?>
<worksheet xmlns="http://schemas.openxmlformats.org/spreadsheetml/2006/main">
  <sheetPr>
    <tabColor rgb="00A6A6A6"/>
    <outlinePr summaryBelow="1" summaryRight="1"/>
    <pageSetUpPr/>
  </sheetPr>
  <dimension ref="A1:AR3017"/>
  <sheetViews>
    <sheetView workbookViewId="0">
      <pane xSplit="4" ySplit="5" topLeftCell="E6" activePane="bottomRight" state="frozen"/>
      <selection pane="topRight"/>
      <selection pane="bottomLeft"/>
      <selection pane="bottomRight" activeCell="A1" sqref="A1"/>
    </sheetView>
  </sheetViews>
  <sheetFormatPr baseColWidth="8" defaultRowHeight="15"/>
  <cols>
    <col width="17" customWidth="1" min="1" max="1"/>
    <col width="8" customWidth="1" min="2" max="2"/>
    <col width="11" customWidth="1" min="3" max="3"/>
    <col width="15" customWidth="1" min="4" max="4"/>
  </cols>
  <sheetData>
    <row r="1">
      <c r="A1" s="1" t="inlineStr">
        <is>
          <t>DIVIDEND CALENDAR - RAW BLOOMBERG PULLS.  ENGINE TAB: NEVER EDIT, NEVER SORT.</t>
        </is>
      </c>
    </row>
    <row r="2">
      <c r="A2" s="2" t="inlineStr">
        <is>
          <t>Two pulls per stock, seven rows each, spilling right. Block 1 = history (five years back to the valuation date), block 2 = projections. Row order: Declared / Ex-date / Amount / record / pay / frequency / Type.</t>
        </is>
      </c>
    </row>
    <row r="3">
      <c r="A3" s="2" t="inlineStr">
        <is>
          <t>A DECLARED date is what separates an announced dividend from a Bloomberg projection; an announced one with a blank amount is your TBA case. Date rows are pre-formatted because Bloomberg hands dates over as serial numbers. Your overrides never touch this tab.</t>
        </is>
      </c>
    </row>
    <row r="6">
      <c r="A6" s="3" t="inlineStr">
        <is>
          <t>Hang Seng Index (HSI)</t>
        </is>
      </c>
      <c r="B6" s="4" t="n"/>
      <c r="C6" s="4" t="n"/>
      <c r="D6" s="4" t="n"/>
      <c r="F6" s="2">
        <f>SUMPRODUCT($B$9:$B$1508)&amp;" events read   |   "&amp;COUNTA($AS$9:$CF$1508)&amp;" events beyond the window (must be 0 - if not, the window needs widening)"</f>
        <v/>
      </c>
    </row>
    <row r="7">
      <c r="A7" s="17" t="inlineStr">
        <is>
          <t>Ticker</t>
        </is>
      </c>
      <c r="B7" s="17" t="inlineStr">
        <is>
          <t>Events</t>
        </is>
      </c>
      <c r="C7" s="17" t="inlineStr">
        <is>
          <t>Last ex</t>
        </is>
      </c>
      <c r="D7" s="17" t="inlineStr">
        <is>
          <t>Bloomberg spill -&gt;</t>
        </is>
      </c>
    </row>
    <row r="9">
      <c r="A9" s="6">
        <f>IF(HSI!$C$7="","",HSI!$C$7)</f>
        <v/>
      </c>
      <c r="B9" s="41">
        <f>IF($A9="",0,COUNT($E10:$AR10))</f>
        <v/>
      </c>
      <c r="C9" s="81">
        <f>IF($B9=0,0,MAX($E10:$AR10))</f>
        <v/>
      </c>
      <c r="D9" s="82">
        <f>BDS($A9,'Field Check'!$C$7,"headers=y","startcol=1","endcol=7","dir=h","DVD_START_DT",Summary!$C$18,"DVD_END_DT",Summary!$D$18)</f>
        <v/>
      </c>
      <c r="E9" s="83" t="n"/>
      <c r="F9" s="83" t="n"/>
      <c r="G9" s="83" t="n"/>
      <c r="H9" s="83" t="n"/>
      <c r="I9" s="83" t="n"/>
      <c r="J9" s="83" t="n"/>
      <c r="K9" s="83" t="n"/>
      <c r="L9" s="83" t="n"/>
      <c r="M9" s="83" t="n"/>
      <c r="N9" s="83" t="n"/>
      <c r="O9" s="83" t="n"/>
      <c r="P9" s="83" t="n"/>
      <c r="Q9" s="83" t="n"/>
      <c r="R9" s="83" t="n"/>
      <c r="S9" s="83" t="n"/>
      <c r="T9" s="83" t="n"/>
      <c r="U9" s="83" t="n"/>
      <c r="V9" s="83" t="n"/>
      <c r="W9" s="83" t="n"/>
      <c r="X9" s="83" t="n"/>
      <c r="Y9" s="83" t="n"/>
      <c r="Z9" s="83" t="n"/>
      <c r="AA9" s="83" t="n"/>
      <c r="AB9" s="83" t="n"/>
      <c r="AC9" s="83" t="n"/>
      <c r="AD9" s="83" t="n"/>
      <c r="AE9" s="83" t="n"/>
      <c r="AF9" s="83" t="n"/>
      <c r="AG9" s="83" t="n"/>
      <c r="AH9" s="83" t="n"/>
      <c r="AI9" s="83" t="n"/>
      <c r="AJ9" s="83" t="n"/>
      <c r="AK9" s="83" t="n"/>
      <c r="AL9" s="83" t="n"/>
      <c r="AM9" s="83" t="n"/>
      <c r="AN9" s="83" t="n"/>
      <c r="AO9" s="83" t="n"/>
      <c r="AP9" s="83" t="n"/>
      <c r="AQ9" s="83" t="n"/>
      <c r="AR9" s="83" t="n"/>
    </row>
    <row r="10">
      <c r="D10" s="83" t="n"/>
      <c r="E10" s="83" t="n"/>
      <c r="F10" s="83" t="n"/>
      <c r="G10" s="83" t="n"/>
      <c r="H10" s="83" t="n"/>
      <c r="I10" s="83" t="n"/>
      <c r="J10" s="83" t="n"/>
      <c r="K10" s="83" t="n"/>
      <c r="L10" s="83" t="n"/>
      <c r="M10" s="83" t="n"/>
      <c r="N10" s="83" t="n"/>
      <c r="O10" s="83" t="n"/>
      <c r="P10" s="83" t="n"/>
      <c r="Q10" s="83" t="n"/>
      <c r="R10" s="83" t="n"/>
      <c r="S10" s="83" t="n"/>
      <c r="T10" s="83" t="n"/>
      <c r="U10" s="83" t="n"/>
      <c r="V10" s="83" t="n"/>
      <c r="W10" s="83" t="n"/>
      <c r="X10" s="83" t="n"/>
      <c r="Y10" s="83" t="n"/>
      <c r="Z10" s="83" t="n"/>
      <c r="AA10" s="83" t="n"/>
      <c r="AB10" s="83" t="n"/>
      <c r="AC10" s="83" t="n"/>
      <c r="AD10" s="83" t="n"/>
      <c r="AE10" s="83" t="n"/>
      <c r="AF10" s="83" t="n"/>
      <c r="AG10" s="83" t="n"/>
      <c r="AH10" s="83" t="n"/>
      <c r="AI10" s="83" t="n"/>
      <c r="AJ10" s="83" t="n"/>
      <c r="AK10" s="83" t="n"/>
      <c r="AL10" s="83" t="n"/>
      <c r="AM10" s="83" t="n"/>
      <c r="AN10" s="83" t="n"/>
      <c r="AO10" s="83" t="n"/>
      <c r="AP10" s="83" t="n"/>
      <c r="AQ10" s="83" t="n"/>
      <c r="AR10" s="83" t="n"/>
    </row>
    <row r="11">
      <c r="D11" s="84" t="n"/>
      <c r="E11" s="84" t="n"/>
      <c r="F11" s="84" t="n"/>
      <c r="G11" s="84" t="n"/>
      <c r="H11" s="84" t="n"/>
      <c r="I11" s="84" t="n"/>
      <c r="J11" s="84" t="n"/>
      <c r="K11" s="84" t="n"/>
      <c r="L11" s="84" t="n"/>
      <c r="M11" s="84" t="n"/>
      <c r="N11" s="84" t="n"/>
      <c r="O11" s="84" t="n"/>
      <c r="P11" s="84" t="n"/>
      <c r="Q11" s="84" t="n"/>
      <c r="R11" s="84" t="n"/>
      <c r="S11" s="84" t="n"/>
      <c r="T11" s="84" t="n"/>
      <c r="U11" s="84" t="n"/>
      <c r="V11" s="84" t="n"/>
      <c r="W11" s="84" t="n"/>
      <c r="X11" s="84" t="n"/>
      <c r="Y11" s="84" t="n"/>
      <c r="Z11" s="84" t="n"/>
      <c r="AA11" s="84" t="n"/>
      <c r="AB11" s="84" t="n"/>
      <c r="AC11" s="84" t="n"/>
      <c r="AD11" s="84" t="n"/>
      <c r="AE11" s="84" t="n"/>
      <c r="AF11" s="84" t="n"/>
      <c r="AG11" s="84" t="n"/>
      <c r="AH11" s="84" t="n"/>
      <c r="AI11" s="84" t="n"/>
      <c r="AJ11" s="84" t="n"/>
      <c r="AK11" s="84" t="n"/>
      <c r="AL11" s="84" t="n"/>
      <c r="AM11" s="84" t="n"/>
      <c r="AN11" s="84" t="n"/>
      <c r="AO11" s="84" t="n"/>
      <c r="AP11" s="84" t="n"/>
      <c r="AQ11" s="84" t="n"/>
      <c r="AR11" s="84" t="n"/>
    </row>
    <row r="12">
      <c r="D12" s="80" t="n"/>
      <c r="E12" s="80" t="n"/>
      <c r="F12" s="80" t="n"/>
      <c r="G12" s="80" t="n"/>
      <c r="H12" s="80" t="n"/>
      <c r="I12" s="80" t="n"/>
      <c r="J12" s="80" t="n"/>
      <c r="K12" s="80" t="n"/>
      <c r="L12" s="80" t="n"/>
      <c r="M12" s="80" t="n"/>
      <c r="N12" s="80" t="n"/>
      <c r="O12" s="80" t="n"/>
      <c r="P12" s="80" t="n"/>
      <c r="Q12" s="80" t="n"/>
      <c r="R12" s="80" t="n"/>
      <c r="S12" s="80" t="n"/>
      <c r="T12" s="80" t="n"/>
      <c r="U12" s="80" t="n"/>
      <c r="V12" s="80" t="n"/>
      <c r="W12" s="80" t="n"/>
      <c r="X12" s="80" t="n"/>
      <c r="Y12" s="80" t="n"/>
      <c r="Z12" s="80" t="n"/>
      <c r="AA12" s="80" t="n"/>
      <c r="AB12" s="80" t="n"/>
      <c r="AC12" s="80" t="n"/>
      <c r="AD12" s="80" t="n"/>
      <c r="AE12" s="80" t="n"/>
      <c r="AF12" s="80" t="n"/>
      <c r="AG12" s="80" t="n"/>
      <c r="AH12" s="80" t="n"/>
      <c r="AI12" s="80" t="n"/>
      <c r="AJ12" s="80" t="n"/>
      <c r="AK12" s="80" t="n"/>
      <c r="AL12" s="80" t="n"/>
      <c r="AM12" s="80" t="n"/>
      <c r="AN12" s="80" t="n"/>
      <c r="AO12" s="80" t="n"/>
      <c r="AP12" s="80" t="n"/>
      <c r="AQ12" s="80" t="n"/>
      <c r="AR12" s="80" t="n"/>
    </row>
    <row r="13">
      <c r="D13" s="80" t="n"/>
      <c r="E13" s="80" t="n"/>
      <c r="F13" s="80" t="n"/>
      <c r="G13" s="80" t="n"/>
      <c r="H13" s="80" t="n"/>
      <c r="I13" s="80" t="n"/>
      <c r="J13" s="80" t="n"/>
      <c r="K13" s="80" t="n"/>
      <c r="L13" s="80" t="n"/>
      <c r="M13" s="80" t="n"/>
      <c r="N13" s="80" t="n"/>
      <c r="O13" s="80" t="n"/>
      <c r="P13" s="80" t="n"/>
      <c r="Q13" s="80" t="n"/>
      <c r="R13" s="80" t="n"/>
      <c r="S13" s="80" t="n"/>
      <c r="T13" s="80" t="n"/>
      <c r="U13" s="80" t="n"/>
      <c r="V13" s="80" t="n"/>
      <c r="W13" s="80" t="n"/>
      <c r="X13" s="80" t="n"/>
      <c r="Y13" s="80" t="n"/>
      <c r="Z13" s="80" t="n"/>
      <c r="AA13" s="80" t="n"/>
      <c r="AB13" s="80" t="n"/>
      <c r="AC13" s="80" t="n"/>
      <c r="AD13" s="80" t="n"/>
      <c r="AE13" s="80" t="n"/>
      <c r="AF13" s="80" t="n"/>
      <c r="AG13" s="80" t="n"/>
      <c r="AH13" s="80" t="n"/>
      <c r="AI13" s="80" t="n"/>
      <c r="AJ13" s="80" t="n"/>
      <c r="AK13" s="80" t="n"/>
      <c r="AL13" s="80" t="n"/>
      <c r="AM13" s="80" t="n"/>
      <c r="AN13" s="80" t="n"/>
      <c r="AO13" s="80" t="n"/>
      <c r="AP13" s="80" t="n"/>
      <c r="AQ13" s="80" t="n"/>
      <c r="AR13" s="80" t="n"/>
    </row>
    <row r="14">
      <c r="D14" s="80" t="n"/>
      <c r="E14" s="80" t="n"/>
      <c r="F14" s="80" t="n"/>
      <c r="G14" s="80" t="n"/>
      <c r="H14" s="80" t="n"/>
      <c r="I14" s="80" t="n"/>
      <c r="J14" s="80" t="n"/>
      <c r="K14" s="80" t="n"/>
      <c r="L14" s="80" t="n"/>
      <c r="M14" s="80" t="n"/>
      <c r="N14" s="80" t="n"/>
      <c r="O14" s="80" t="n"/>
      <c r="P14" s="80" t="n"/>
      <c r="Q14" s="80" t="n"/>
      <c r="R14" s="80" t="n"/>
      <c r="S14" s="80" t="n"/>
      <c r="T14" s="80" t="n"/>
      <c r="U14" s="80" t="n"/>
      <c r="V14" s="80" t="n"/>
      <c r="W14" s="80" t="n"/>
      <c r="X14" s="80" t="n"/>
      <c r="Y14" s="80" t="n"/>
      <c r="Z14" s="80" t="n"/>
      <c r="AA14" s="80" t="n"/>
      <c r="AB14" s="80" t="n"/>
      <c r="AC14" s="80" t="n"/>
      <c r="AD14" s="80" t="n"/>
      <c r="AE14" s="80" t="n"/>
      <c r="AF14" s="80" t="n"/>
      <c r="AG14" s="80" t="n"/>
      <c r="AH14" s="80" t="n"/>
      <c r="AI14" s="80" t="n"/>
      <c r="AJ14" s="80" t="n"/>
      <c r="AK14" s="80" t="n"/>
      <c r="AL14" s="80" t="n"/>
      <c r="AM14" s="80" t="n"/>
      <c r="AN14" s="80" t="n"/>
      <c r="AO14" s="80" t="n"/>
      <c r="AP14" s="80" t="n"/>
      <c r="AQ14" s="80" t="n"/>
      <c r="AR14" s="80" t="n"/>
    </row>
    <row r="15">
      <c r="D15" s="80" t="n"/>
      <c r="E15" s="80" t="n"/>
      <c r="F15" s="80" t="n"/>
      <c r="G15" s="80" t="n"/>
      <c r="H15" s="80" t="n"/>
      <c r="I15" s="80" t="n"/>
      <c r="J15" s="80" t="n"/>
      <c r="K15" s="80" t="n"/>
      <c r="L15" s="80" t="n"/>
      <c r="M15" s="80" t="n"/>
      <c r="N15" s="80" t="n"/>
      <c r="O15" s="80" t="n"/>
      <c r="P15" s="80" t="n"/>
      <c r="Q15" s="80" t="n"/>
      <c r="R15" s="80" t="n"/>
      <c r="S15" s="80" t="n"/>
      <c r="T15" s="80" t="n"/>
      <c r="U15" s="80" t="n"/>
      <c r="V15" s="80" t="n"/>
      <c r="W15" s="80" t="n"/>
      <c r="X15" s="80" t="n"/>
      <c r="Y15" s="80" t="n"/>
      <c r="Z15" s="80" t="n"/>
      <c r="AA15" s="80" t="n"/>
      <c r="AB15" s="80" t="n"/>
      <c r="AC15" s="80" t="n"/>
      <c r="AD15" s="80" t="n"/>
      <c r="AE15" s="80" t="n"/>
      <c r="AF15" s="80" t="n"/>
      <c r="AG15" s="80" t="n"/>
      <c r="AH15" s="80" t="n"/>
      <c r="AI15" s="80" t="n"/>
      <c r="AJ15" s="80" t="n"/>
      <c r="AK15" s="80" t="n"/>
      <c r="AL15" s="80" t="n"/>
      <c r="AM15" s="80" t="n"/>
      <c r="AN15" s="80" t="n"/>
      <c r="AO15" s="80" t="n"/>
      <c r="AP15" s="80" t="n"/>
      <c r="AQ15" s="80" t="n"/>
      <c r="AR15" s="80" t="n"/>
    </row>
    <row r="16">
      <c r="A16" s="2">
        <f>IF($A9="","","   projections")</f>
        <v/>
      </c>
      <c r="B16" s="41">
        <f>IF($A9="",0,COUNT($E17:$AR17))</f>
        <v/>
      </c>
      <c r="C16" s="81">
        <f>IF($B16=0,0,MAX($E17:$AR17))</f>
        <v/>
      </c>
      <c r="D16" s="82">
        <f>BDS($A9,'Field Check'!$C$6,"headers=y","startcol=1","endcol=7","dir=h")</f>
        <v/>
      </c>
      <c r="E16" s="83" t="n"/>
      <c r="F16" s="83" t="n"/>
      <c r="G16" s="83" t="n"/>
      <c r="H16" s="83" t="n"/>
      <c r="I16" s="83" t="n"/>
      <c r="J16" s="83" t="n"/>
      <c r="K16" s="83" t="n"/>
      <c r="L16" s="83" t="n"/>
      <c r="M16" s="83" t="n"/>
      <c r="N16" s="83" t="n"/>
      <c r="O16" s="83" t="n"/>
      <c r="P16" s="83" t="n"/>
      <c r="Q16" s="83" t="n"/>
      <c r="R16" s="83" t="n"/>
      <c r="S16" s="83" t="n"/>
      <c r="T16" s="83" t="n"/>
      <c r="U16" s="83" t="n"/>
      <c r="V16" s="83" t="n"/>
      <c r="W16" s="83" t="n"/>
      <c r="X16" s="83" t="n"/>
      <c r="Y16" s="83" t="n"/>
      <c r="Z16" s="83" t="n"/>
      <c r="AA16" s="83" t="n"/>
      <c r="AB16" s="83" t="n"/>
      <c r="AC16" s="83" t="n"/>
      <c r="AD16" s="83" t="n"/>
      <c r="AE16" s="83" t="n"/>
      <c r="AF16" s="83" t="n"/>
      <c r="AG16" s="83" t="n"/>
      <c r="AH16" s="83" t="n"/>
      <c r="AI16" s="83" t="n"/>
      <c r="AJ16" s="83" t="n"/>
      <c r="AK16" s="83" t="n"/>
      <c r="AL16" s="83" t="n"/>
      <c r="AM16" s="83" t="n"/>
      <c r="AN16" s="83" t="n"/>
      <c r="AO16" s="83" t="n"/>
      <c r="AP16" s="83" t="n"/>
      <c r="AQ16" s="83" t="n"/>
      <c r="AR16" s="83" t="n"/>
    </row>
    <row r="17">
      <c r="D17" s="83" t="n"/>
      <c r="E17" s="83" t="n"/>
      <c r="F17" s="83" t="n"/>
      <c r="G17" s="83" t="n"/>
      <c r="H17" s="83" t="n"/>
      <c r="I17" s="83" t="n"/>
      <c r="J17" s="83" t="n"/>
      <c r="K17" s="83" t="n"/>
      <c r="L17" s="83" t="n"/>
      <c r="M17" s="83" t="n"/>
      <c r="N17" s="83" t="n"/>
      <c r="O17" s="83" t="n"/>
      <c r="P17" s="83" t="n"/>
      <c r="Q17" s="83" t="n"/>
      <c r="R17" s="83" t="n"/>
      <c r="S17" s="83" t="n"/>
      <c r="T17" s="83" t="n"/>
      <c r="U17" s="83" t="n"/>
      <c r="V17" s="83" t="n"/>
      <c r="W17" s="83" t="n"/>
      <c r="X17" s="83" t="n"/>
      <c r="Y17" s="83" t="n"/>
      <c r="Z17" s="83" t="n"/>
      <c r="AA17" s="83" t="n"/>
      <c r="AB17" s="83" t="n"/>
      <c r="AC17" s="83" t="n"/>
      <c r="AD17" s="83" t="n"/>
      <c r="AE17" s="83" t="n"/>
      <c r="AF17" s="83" t="n"/>
      <c r="AG17" s="83" t="n"/>
      <c r="AH17" s="83" t="n"/>
      <c r="AI17" s="83" t="n"/>
      <c r="AJ17" s="83" t="n"/>
      <c r="AK17" s="83" t="n"/>
      <c r="AL17" s="83" t="n"/>
      <c r="AM17" s="83" t="n"/>
      <c r="AN17" s="83" t="n"/>
      <c r="AO17" s="83" t="n"/>
      <c r="AP17" s="83" t="n"/>
      <c r="AQ17" s="83" t="n"/>
      <c r="AR17" s="83" t="n"/>
    </row>
    <row r="18">
      <c r="D18" s="84" t="n"/>
      <c r="E18" s="84" t="n"/>
      <c r="F18" s="84" t="n"/>
      <c r="G18" s="84" t="n"/>
      <c r="H18" s="84" t="n"/>
      <c r="I18" s="84" t="n"/>
      <c r="J18" s="84" t="n"/>
      <c r="K18" s="84" t="n"/>
      <c r="L18" s="84" t="n"/>
      <c r="M18" s="84" t="n"/>
      <c r="N18" s="84" t="n"/>
      <c r="O18" s="84" t="n"/>
      <c r="P18" s="84" t="n"/>
      <c r="Q18" s="84" t="n"/>
      <c r="R18" s="84" t="n"/>
      <c r="S18" s="84" t="n"/>
      <c r="T18" s="84" t="n"/>
      <c r="U18" s="84" t="n"/>
      <c r="V18" s="84" t="n"/>
      <c r="W18" s="84" t="n"/>
      <c r="X18" s="84" t="n"/>
      <c r="Y18" s="84" t="n"/>
      <c r="Z18" s="84" t="n"/>
      <c r="AA18" s="84" t="n"/>
      <c r="AB18" s="84" t="n"/>
      <c r="AC18" s="84" t="n"/>
      <c r="AD18" s="84" t="n"/>
      <c r="AE18" s="84" t="n"/>
      <c r="AF18" s="84" t="n"/>
      <c r="AG18" s="84" t="n"/>
      <c r="AH18" s="84" t="n"/>
      <c r="AI18" s="84" t="n"/>
      <c r="AJ18" s="84" t="n"/>
      <c r="AK18" s="84" t="n"/>
      <c r="AL18" s="84" t="n"/>
      <c r="AM18" s="84" t="n"/>
      <c r="AN18" s="84" t="n"/>
      <c r="AO18" s="84" t="n"/>
      <c r="AP18" s="84" t="n"/>
      <c r="AQ18" s="84" t="n"/>
      <c r="AR18" s="84" t="n"/>
    </row>
    <row r="19">
      <c r="D19" s="80" t="n"/>
      <c r="E19" s="80" t="n"/>
      <c r="F19" s="80" t="n"/>
      <c r="G19" s="80" t="n"/>
      <c r="H19" s="80" t="n"/>
      <c r="I19" s="80" t="n"/>
      <c r="J19" s="80" t="n"/>
      <c r="K19" s="80" t="n"/>
      <c r="L19" s="80" t="n"/>
      <c r="M19" s="80" t="n"/>
      <c r="N19" s="80" t="n"/>
      <c r="O19" s="80" t="n"/>
      <c r="P19" s="80" t="n"/>
      <c r="Q19" s="80" t="n"/>
      <c r="R19" s="80" t="n"/>
      <c r="S19" s="80" t="n"/>
      <c r="T19" s="80" t="n"/>
      <c r="U19" s="80" t="n"/>
      <c r="V19" s="80" t="n"/>
      <c r="W19" s="80" t="n"/>
      <c r="X19" s="80" t="n"/>
      <c r="Y19" s="80" t="n"/>
      <c r="Z19" s="80" t="n"/>
      <c r="AA19" s="80" t="n"/>
      <c r="AB19" s="80" t="n"/>
      <c r="AC19" s="80" t="n"/>
      <c r="AD19" s="80" t="n"/>
      <c r="AE19" s="80" t="n"/>
      <c r="AF19" s="80" t="n"/>
      <c r="AG19" s="80" t="n"/>
      <c r="AH19" s="80" t="n"/>
      <c r="AI19" s="80" t="n"/>
      <c r="AJ19" s="80" t="n"/>
      <c r="AK19" s="80" t="n"/>
      <c r="AL19" s="80" t="n"/>
      <c r="AM19" s="80" t="n"/>
      <c r="AN19" s="80" t="n"/>
      <c r="AO19" s="80" t="n"/>
      <c r="AP19" s="80" t="n"/>
      <c r="AQ19" s="80" t="n"/>
      <c r="AR19" s="80" t="n"/>
    </row>
    <row r="20">
      <c r="D20" s="80" t="n"/>
      <c r="E20" s="80" t="n"/>
      <c r="F20" s="80" t="n"/>
      <c r="G20" s="80" t="n"/>
      <c r="H20" s="80" t="n"/>
      <c r="I20" s="80" t="n"/>
      <c r="J20" s="80" t="n"/>
      <c r="K20" s="80" t="n"/>
      <c r="L20" s="80" t="n"/>
      <c r="M20" s="80" t="n"/>
      <c r="N20" s="80" t="n"/>
      <c r="O20" s="80" t="n"/>
      <c r="P20" s="80" t="n"/>
      <c r="Q20" s="80" t="n"/>
      <c r="R20" s="80" t="n"/>
      <c r="S20" s="80" t="n"/>
      <c r="T20" s="80" t="n"/>
      <c r="U20" s="80" t="n"/>
      <c r="V20" s="80" t="n"/>
      <c r="W20" s="80" t="n"/>
      <c r="X20" s="80" t="n"/>
      <c r="Y20" s="80" t="n"/>
      <c r="Z20" s="80" t="n"/>
      <c r="AA20" s="80" t="n"/>
      <c r="AB20" s="80" t="n"/>
      <c r="AC20" s="80" t="n"/>
      <c r="AD20" s="80" t="n"/>
      <c r="AE20" s="80" t="n"/>
      <c r="AF20" s="80" t="n"/>
      <c r="AG20" s="80" t="n"/>
      <c r="AH20" s="80" t="n"/>
      <c r="AI20" s="80" t="n"/>
      <c r="AJ20" s="80" t="n"/>
      <c r="AK20" s="80" t="n"/>
      <c r="AL20" s="80" t="n"/>
      <c r="AM20" s="80" t="n"/>
      <c r="AN20" s="80" t="n"/>
      <c r="AO20" s="80" t="n"/>
      <c r="AP20" s="80" t="n"/>
      <c r="AQ20" s="80" t="n"/>
      <c r="AR20" s="80" t="n"/>
    </row>
    <row r="21">
      <c r="D21" s="80" t="n"/>
      <c r="E21" s="80" t="n"/>
      <c r="F21" s="80" t="n"/>
      <c r="G21" s="80" t="n"/>
      <c r="H21" s="80" t="n"/>
      <c r="I21" s="80" t="n"/>
      <c r="J21" s="80" t="n"/>
      <c r="K21" s="80" t="n"/>
      <c r="L21" s="80" t="n"/>
      <c r="M21" s="80" t="n"/>
      <c r="N21" s="80" t="n"/>
      <c r="O21" s="80" t="n"/>
      <c r="P21" s="80" t="n"/>
      <c r="Q21" s="80" t="n"/>
      <c r="R21" s="80" t="n"/>
      <c r="S21" s="80" t="n"/>
      <c r="T21" s="80" t="n"/>
      <c r="U21" s="80" t="n"/>
      <c r="V21" s="80" t="n"/>
      <c r="W21" s="80" t="n"/>
      <c r="X21" s="80" t="n"/>
      <c r="Y21" s="80" t="n"/>
      <c r="Z21" s="80" t="n"/>
      <c r="AA21" s="80" t="n"/>
      <c r="AB21" s="80" t="n"/>
      <c r="AC21" s="80" t="n"/>
      <c r="AD21" s="80" t="n"/>
      <c r="AE21" s="80" t="n"/>
      <c r="AF21" s="80" t="n"/>
      <c r="AG21" s="80" t="n"/>
      <c r="AH21" s="80" t="n"/>
      <c r="AI21" s="80" t="n"/>
      <c r="AJ21" s="80" t="n"/>
      <c r="AK21" s="80" t="n"/>
      <c r="AL21" s="80" t="n"/>
      <c r="AM21" s="80" t="n"/>
      <c r="AN21" s="80" t="n"/>
      <c r="AO21" s="80" t="n"/>
      <c r="AP21" s="80" t="n"/>
      <c r="AQ21" s="80" t="n"/>
      <c r="AR21" s="80" t="n"/>
    </row>
    <row r="22">
      <c r="D22" s="80" t="n"/>
      <c r="E22" s="80" t="n"/>
      <c r="F22" s="80" t="n"/>
      <c r="G22" s="80" t="n"/>
      <c r="H22" s="80" t="n"/>
      <c r="I22" s="80" t="n"/>
      <c r="J22" s="80" t="n"/>
      <c r="K22" s="80" t="n"/>
      <c r="L22" s="80" t="n"/>
      <c r="M22" s="80" t="n"/>
      <c r="N22" s="80" t="n"/>
      <c r="O22" s="80" t="n"/>
      <c r="P22" s="80" t="n"/>
      <c r="Q22" s="80" t="n"/>
      <c r="R22" s="80" t="n"/>
      <c r="S22" s="80" t="n"/>
      <c r="T22" s="80" t="n"/>
      <c r="U22" s="80" t="n"/>
      <c r="V22" s="80" t="n"/>
      <c r="W22" s="80" t="n"/>
      <c r="X22" s="80" t="n"/>
      <c r="Y22" s="80" t="n"/>
      <c r="Z22" s="80" t="n"/>
      <c r="AA22" s="80" t="n"/>
      <c r="AB22" s="80" t="n"/>
      <c r="AC22" s="80" t="n"/>
      <c r="AD22" s="80" t="n"/>
      <c r="AE22" s="80" t="n"/>
      <c r="AF22" s="80" t="n"/>
      <c r="AG22" s="80" t="n"/>
      <c r="AH22" s="80" t="n"/>
      <c r="AI22" s="80" t="n"/>
      <c r="AJ22" s="80" t="n"/>
      <c r="AK22" s="80" t="n"/>
      <c r="AL22" s="80" t="n"/>
      <c r="AM22" s="80" t="n"/>
      <c r="AN22" s="80" t="n"/>
      <c r="AO22" s="80" t="n"/>
      <c r="AP22" s="80" t="n"/>
      <c r="AQ22" s="80" t="n"/>
      <c r="AR22" s="80" t="n"/>
    </row>
    <row r="24">
      <c r="A24" s="6">
        <f>IF(HSI!$C$8="","",HSI!$C$8)</f>
        <v/>
      </c>
      <c r="B24" s="41">
        <f>IF($A24="",0,COUNT($E25:$AR25))</f>
        <v/>
      </c>
      <c r="C24" s="81">
        <f>IF($B24=0,0,MAX($E25:$AR25))</f>
        <v/>
      </c>
      <c r="D24" s="82">
        <f>BDS($A24,'Field Check'!$C$7,"headers=y","startcol=1","endcol=7","dir=h","DVD_START_DT",Summary!$C$18,"DVD_END_DT",Summary!$D$18)</f>
        <v/>
      </c>
      <c r="E24" s="83" t="n"/>
      <c r="F24" s="83" t="n"/>
      <c r="G24" s="83" t="n"/>
      <c r="H24" s="83" t="n"/>
      <c r="I24" s="83" t="n"/>
      <c r="J24" s="83" t="n"/>
      <c r="K24" s="83" t="n"/>
      <c r="L24" s="83" t="n"/>
      <c r="M24" s="83" t="n"/>
      <c r="N24" s="83" t="n"/>
      <c r="O24" s="83" t="n"/>
      <c r="P24" s="83" t="n"/>
      <c r="Q24" s="83" t="n"/>
      <c r="R24" s="83" t="n"/>
      <c r="S24" s="83" t="n"/>
      <c r="T24" s="83" t="n"/>
      <c r="U24" s="83" t="n"/>
      <c r="V24" s="83" t="n"/>
      <c r="W24" s="83" t="n"/>
      <c r="X24" s="83" t="n"/>
      <c r="Y24" s="83" t="n"/>
      <c r="Z24" s="83" t="n"/>
      <c r="AA24" s="83" t="n"/>
      <c r="AB24" s="83" t="n"/>
      <c r="AC24" s="83" t="n"/>
      <c r="AD24" s="83" t="n"/>
      <c r="AE24" s="83" t="n"/>
      <c r="AF24" s="83" t="n"/>
      <c r="AG24" s="83" t="n"/>
      <c r="AH24" s="83" t="n"/>
      <c r="AI24" s="83" t="n"/>
      <c r="AJ24" s="83" t="n"/>
      <c r="AK24" s="83" t="n"/>
      <c r="AL24" s="83" t="n"/>
      <c r="AM24" s="83" t="n"/>
      <c r="AN24" s="83" t="n"/>
      <c r="AO24" s="83" t="n"/>
      <c r="AP24" s="83" t="n"/>
      <c r="AQ24" s="83" t="n"/>
      <c r="AR24" s="83" t="n"/>
    </row>
    <row r="25">
      <c r="D25" s="83" t="n"/>
      <c r="E25" s="83" t="n"/>
      <c r="F25" s="83" t="n"/>
      <c r="G25" s="83" t="n"/>
      <c r="H25" s="83" t="n"/>
      <c r="I25" s="83" t="n"/>
      <c r="J25" s="83" t="n"/>
      <c r="K25" s="83" t="n"/>
      <c r="L25" s="83" t="n"/>
      <c r="M25" s="83" t="n"/>
      <c r="N25" s="83" t="n"/>
      <c r="O25" s="83" t="n"/>
      <c r="P25" s="83" t="n"/>
      <c r="Q25" s="83" t="n"/>
      <c r="R25" s="83" t="n"/>
      <c r="S25" s="83" t="n"/>
      <c r="T25" s="83" t="n"/>
      <c r="U25" s="83" t="n"/>
      <c r="V25" s="83" t="n"/>
      <c r="W25" s="83" t="n"/>
      <c r="X25" s="83" t="n"/>
      <c r="Y25" s="83" t="n"/>
      <c r="Z25" s="83" t="n"/>
      <c r="AA25" s="83" t="n"/>
      <c r="AB25" s="83" t="n"/>
      <c r="AC25" s="83" t="n"/>
      <c r="AD25" s="83" t="n"/>
      <c r="AE25" s="83" t="n"/>
      <c r="AF25" s="83" t="n"/>
      <c r="AG25" s="83" t="n"/>
      <c r="AH25" s="83" t="n"/>
      <c r="AI25" s="83" t="n"/>
      <c r="AJ25" s="83" t="n"/>
      <c r="AK25" s="83" t="n"/>
      <c r="AL25" s="83" t="n"/>
      <c r="AM25" s="83" t="n"/>
      <c r="AN25" s="83" t="n"/>
      <c r="AO25" s="83" t="n"/>
      <c r="AP25" s="83" t="n"/>
      <c r="AQ25" s="83" t="n"/>
      <c r="AR25" s="83" t="n"/>
    </row>
    <row r="26">
      <c r="D26" s="84" t="n"/>
      <c r="E26" s="84" t="n"/>
      <c r="F26" s="84" t="n"/>
      <c r="G26" s="84" t="n"/>
      <c r="H26" s="84" t="n"/>
      <c r="I26" s="84" t="n"/>
      <c r="J26" s="84" t="n"/>
      <c r="K26" s="84" t="n"/>
      <c r="L26" s="84" t="n"/>
      <c r="M26" s="84" t="n"/>
      <c r="N26" s="84" t="n"/>
      <c r="O26" s="84" t="n"/>
      <c r="P26" s="84" t="n"/>
      <c r="Q26" s="84" t="n"/>
      <c r="R26" s="84" t="n"/>
      <c r="S26" s="84" t="n"/>
      <c r="T26" s="84" t="n"/>
      <c r="U26" s="84" t="n"/>
      <c r="V26" s="84" t="n"/>
      <c r="W26" s="84" t="n"/>
      <c r="X26" s="84" t="n"/>
      <c r="Y26" s="84" t="n"/>
      <c r="Z26" s="84" t="n"/>
      <c r="AA26" s="84" t="n"/>
      <c r="AB26" s="84" t="n"/>
      <c r="AC26" s="84" t="n"/>
      <c r="AD26" s="84" t="n"/>
      <c r="AE26" s="84" t="n"/>
      <c r="AF26" s="84" t="n"/>
      <c r="AG26" s="84" t="n"/>
      <c r="AH26" s="84" t="n"/>
      <c r="AI26" s="84" t="n"/>
      <c r="AJ26" s="84" t="n"/>
      <c r="AK26" s="84" t="n"/>
      <c r="AL26" s="84" t="n"/>
      <c r="AM26" s="84" t="n"/>
      <c r="AN26" s="84" t="n"/>
      <c r="AO26" s="84" t="n"/>
      <c r="AP26" s="84" t="n"/>
      <c r="AQ26" s="84" t="n"/>
      <c r="AR26" s="84" t="n"/>
    </row>
    <row r="27">
      <c r="D27" s="80" t="n"/>
      <c r="E27" s="80" t="n"/>
      <c r="F27" s="80" t="n"/>
      <c r="G27" s="80" t="n"/>
      <c r="H27" s="80" t="n"/>
      <c r="I27" s="80" t="n"/>
      <c r="J27" s="80" t="n"/>
      <c r="K27" s="80" t="n"/>
      <c r="L27" s="80" t="n"/>
      <c r="M27" s="80" t="n"/>
      <c r="N27" s="80" t="n"/>
      <c r="O27" s="80" t="n"/>
      <c r="P27" s="80" t="n"/>
      <c r="Q27" s="80" t="n"/>
      <c r="R27" s="80" t="n"/>
      <c r="S27" s="80" t="n"/>
      <c r="T27" s="80" t="n"/>
      <c r="U27" s="80" t="n"/>
      <c r="V27" s="80" t="n"/>
      <c r="W27" s="80" t="n"/>
      <c r="X27" s="80" t="n"/>
      <c r="Y27" s="80" t="n"/>
      <c r="Z27" s="80" t="n"/>
      <c r="AA27" s="80" t="n"/>
      <c r="AB27" s="80" t="n"/>
      <c r="AC27" s="80" t="n"/>
      <c r="AD27" s="80" t="n"/>
      <c r="AE27" s="80" t="n"/>
      <c r="AF27" s="80" t="n"/>
      <c r="AG27" s="80" t="n"/>
      <c r="AH27" s="80" t="n"/>
      <c r="AI27" s="80" t="n"/>
      <c r="AJ27" s="80" t="n"/>
      <c r="AK27" s="80" t="n"/>
      <c r="AL27" s="80" t="n"/>
      <c r="AM27" s="80" t="n"/>
      <c r="AN27" s="80" t="n"/>
      <c r="AO27" s="80" t="n"/>
      <c r="AP27" s="80" t="n"/>
      <c r="AQ27" s="80" t="n"/>
      <c r="AR27" s="80" t="n"/>
    </row>
    <row r="28">
      <c r="D28" s="80" t="n"/>
      <c r="E28" s="80" t="n"/>
      <c r="F28" s="80" t="n"/>
      <c r="G28" s="80" t="n"/>
      <c r="H28" s="80" t="n"/>
      <c r="I28" s="80" t="n"/>
      <c r="J28" s="80" t="n"/>
      <c r="K28" s="80" t="n"/>
      <c r="L28" s="80" t="n"/>
      <c r="M28" s="80" t="n"/>
      <c r="N28" s="80" t="n"/>
      <c r="O28" s="80" t="n"/>
      <c r="P28" s="80" t="n"/>
      <c r="Q28" s="80" t="n"/>
      <c r="R28" s="80" t="n"/>
      <c r="S28" s="80" t="n"/>
      <c r="T28" s="80" t="n"/>
      <c r="U28" s="80" t="n"/>
      <c r="V28" s="80" t="n"/>
      <c r="W28" s="80" t="n"/>
      <c r="X28" s="80" t="n"/>
      <c r="Y28" s="80" t="n"/>
      <c r="Z28" s="80" t="n"/>
      <c r="AA28" s="80" t="n"/>
      <c r="AB28" s="80" t="n"/>
      <c r="AC28" s="80" t="n"/>
      <c r="AD28" s="80" t="n"/>
      <c r="AE28" s="80" t="n"/>
      <c r="AF28" s="80" t="n"/>
      <c r="AG28" s="80" t="n"/>
      <c r="AH28" s="80" t="n"/>
      <c r="AI28" s="80" t="n"/>
      <c r="AJ28" s="80" t="n"/>
      <c r="AK28" s="80" t="n"/>
      <c r="AL28" s="80" t="n"/>
      <c r="AM28" s="80" t="n"/>
      <c r="AN28" s="80" t="n"/>
      <c r="AO28" s="80" t="n"/>
      <c r="AP28" s="80" t="n"/>
      <c r="AQ28" s="80" t="n"/>
      <c r="AR28" s="80" t="n"/>
    </row>
    <row r="29">
      <c r="D29" s="80" t="n"/>
      <c r="E29" s="80" t="n"/>
      <c r="F29" s="80" t="n"/>
      <c r="G29" s="80" t="n"/>
      <c r="H29" s="80" t="n"/>
      <c r="I29" s="80" t="n"/>
      <c r="J29" s="80" t="n"/>
      <c r="K29" s="80" t="n"/>
      <c r="L29" s="80" t="n"/>
      <c r="M29" s="80" t="n"/>
      <c r="N29" s="80" t="n"/>
      <c r="O29" s="80" t="n"/>
      <c r="P29" s="80" t="n"/>
      <c r="Q29" s="80" t="n"/>
      <c r="R29" s="80" t="n"/>
      <c r="S29" s="80" t="n"/>
      <c r="T29" s="80" t="n"/>
      <c r="U29" s="80" t="n"/>
      <c r="V29" s="80" t="n"/>
      <c r="W29" s="80" t="n"/>
      <c r="X29" s="80" t="n"/>
      <c r="Y29" s="80" t="n"/>
      <c r="Z29" s="80" t="n"/>
      <c r="AA29" s="80" t="n"/>
      <c r="AB29" s="80" t="n"/>
      <c r="AC29" s="80" t="n"/>
      <c r="AD29" s="80" t="n"/>
      <c r="AE29" s="80" t="n"/>
      <c r="AF29" s="80" t="n"/>
      <c r="AG29" s="80" t="n"/>
      <c r="AH29" s="80" t="n"/>
      <c r="AI29" s="80" t="n"/>
      <c r="AJ29" s="80" t="n"/>
      <c r="AK29" s="80" t="n"/>
      <c r="AL29" s="80" t="n"/>
      <c r="AM29" s="80" t="n"/>
      <c r="AN29" s="80" t="n"/>
      <c r="AO29" s="80" t="n"/>
      <c r="AP29" s="80" t="n"/>
      <c r="AQ29" s="80" t="n"/>
      <c r="AR29" s="80" t="n"/>
    </row>
    <row r="30">
      <c r="D30" s="80" t="n"/>
      <c r="E30" s="80" t="n"/>
      <c r="F30" s="80" t="n"/>
      <c r="G30" s="80" t="n"/>
      <c r="H30" s="80" t="n"/>
      <c r="I30" s="80" t="n"/>
      <c r="J30" s="80" t="n"/>
      <c r="K30" s="80" t="n"/>
      <c r="L30" s="80" t="n"/>
      <c r="M30" s="80" t="n"/>
      <c r="N30" s="80" t="n"/>
      <c r="O30" s="80" t="n"/>
      <c r="P30" s="80" t="n"/>
      <c r="Q30" s="80" t="n"/>
      <c r="R30" s="80" t="n"/>
      <c r="S30" s="80" t="n"/>
      <c r="T30" s="80" t="n"/>
      <c r="U30" s="80" t="n"/>
      <c r="V30" s="80" t="n"/>
      <c r="W30" s="80" t="n"/>
      <c r="X30" s="80" t="n"/>
      <c r="Y30" s="80" t="n"/>
      <c r="Z30" s="80" t="n"/>
      <c r="AA30" s="80" t="n"/>
      <c r="AB30" s="80" t="n"/>
      <c r="AC30" s="80" t="n"/>
      <c r="AD30" s="80" t="n"/>
      <c r="AE30" s="80" t="n"/>
      <c r="AF30" s="80" t="n"/>
      <c r="AG30" s="80" t="n"/>
      <c r="AH30" s="80" t="n"/>
      <c r="AI30" s="80" t="n"/>
      <c r="AJ30" s="80" t="n"/>
      <c r="AK30" s="80" t="n"/>
      <c r="AL30" s="80" t="n"/>
      <c r="AM30" s="80" t="n"/>
      <c r="AN30" s="80" t="n"/>
      <c r="AO30" s="80" t="n"/>
      <c r="AP30" s="80" t="n"/>
      <c r="AQ30" s="80" t="n"/>
      <c r="AR30" s="80" t="n"/>
    </row>
    <row r="31">
      <c r="A31" s="2">
        <f>IF($A24="","","   projections")</f>
        <v/>
      </c>
      <c r="B31" s="41">
        <f>IF($A24="",0,COUNT($E32:$AR32))</f>
        <v/>
      </c>
      <c r="C31" s="81">
        <f>IF($B31=0,0,MAX($E32:$AR32))</f>
        <v/>
      </c>
      <c r="D31" s="82">
        <f>BDS($A24,'Field Check'!$C$6,"headers=y","startcol=1","endcol=7","dir=h")</f>
        <v/>
      </c>
      <c r="E31" s="83" t="n"/>
      <c r="F31" s="83" t="n"/>
      <c r="G31" s="83" t="n"/>
      <c r="H31" s="83" t="n"/>
      <c r="I31" s="83" t="n"/>
      <c r="J31" s="83" t="n"/>
      <c r="K31" s="83" t="n"/>
      <c r="L31" s="83" t="n"/>
      <c r="M31" s="83" t="n"/>
      <c r="N31" s="83" t="n"/>
      <c r="O31" s="83" t="n"/>
      <c r="P31" s="83" t="n"/>
      <c r="Q31" s="83" t="n"/>
      <c r="R31" s="83" t="n"/>
      <c r="S31" s="83" t="n"/>
      <c r="T31" s="83" t="n"/>
      <c r="U31" s="83" t="n"/>
      <c r="V31" s="83" t="n"/>
      <c r="W31" s="83" t="n"/>
      <c r="X31" s="83" t="n"/>
      <c r="Y31" s="83" t="n"/>
      <c r="Z31" s="83" t="n"/>
      <c r="AA31" s="83" t="n"/>
      <c r="AB31" s="83" t="n"/>
      <c r="AC31" s="83" t="n"/>
      <c r="AD31" s="83" t="n"/>
      <c r="AE31" s="83" t="n"/>
      <c r="AF31" s="83" t="n"/>
      <c r="AG31" s="83" t="n"/>
      <c r="AH31" s="83" t="n"/>
      <c r="AI31" s="83" t="n"/>
      <c r="AJ31" s="83" t="n"/>
      <c r="AK31" s="83" t="n"/>
      <c r="AL31" s="83" t="n"/>
      <c r="AM31" s="83" t="n"/>
      <c r="AN31" s="83" t="n"/>
      <c r="AO31" s="83" t="n"/>
      <c r="AP31" s="83" t="n"/>
      <c r="AQ31" s="83" t="n"/>
      <c r="AR31" s="83" t="n"/>
    </row>
    <row r="32">
      <c r="D32" s="83" t="n"/>
      <c r="E32" s="83" t="n"/>
      <c r="F32" s="83" t="n"/>
      <c r="G32" s="83" t="n"/>
      <c r="H32" s="83" t="n"/>
      <c r="I32" s="83" t="n"/>
      <c r="J32" s="83" t="n"/>
      <c r="K32" s="83" t="n"/>
      <c r="L32" s="83" t="n"/>
      <c r="M32" s="83" t="n"/>
      <c r="N32" s="83" t="n"/>
      <c r="O32" s="83" t="n"/>
      <c r="P32" s="83" t="n"/>
      <c r="Q32" s="83" t="n"/>
      <c r="R32" s="83" t="n"/>
      <c r="S32" s="83" t="n"/>
      <c r="T32" s="83" t="n"/>
      <c r="U32" s="83" t="n"/>
      <c r="V32" s="83" t="n"/>
      <c r="W32" s="83" t="n"/>
      <c r="X32" s="83" t="n"/>
      <c r="Y32" s="83" t="n"/>
      <c r="Z32" s="83" t="n"/>
      <c r="AA32" s="83" t="n"/>
      <c r="AB32" s="83" t="n"/>
      <c r="AC32" s="83" t="n"/>
      <c r="AD32" s="83" t="n"/>
      <c r="AE32" s="83" t="n"/>
      <c r="AF32" s="83" t="n"/>
      <c r="AG32" s="83" t="n"/>
      <c r="AH32" s="83" t="n"/>
      <c r="AI32" s="83" t="n"/>
      <c r="AJ32" s="83" t="n"/>
      <c r="AK32" s="83" t="n"/>
      <c r="AL32" s="83" t="n"/>
      <c r="AM32" s="83" t="n"/>
      <c r="AN32" s="83" t="n"/>
      <c r="AO32" s="83" t="n"/>
      <c r="AP32" s="83" t="n"/>
      <c r="AQ32" s="83" t="n"/>
      <c r="AR32" s="83" t="n"/>
    </row>
    <row r="33">
      <c r="D33" s="84" t="n"/>
      <c r="E33" s="84" t="n"/>
      <c r="F33" s="84" t="n"/>
      <c r="G33" s="84" t="n"/>
      <c r="H33" s="84" t="n"/>
      <c r="I33" s="84" t="n"/>
      <c r="J33" s="84" t="n"/>
      <c r="K33" s="84" t="n"/>
      <c r="L33" s="84" t="n"/>
      <c r="M33" s="84" t="n"/>
      <c r="N33" s="84" t="n"/>
      <c r="O33" s="84" t="n"/>
      <c r="P33" s="84" t="n"/>
      <c r="Q33" s="84" t="n"/>
      <c r="R33" s="84" t="n"/>
      <c r="S33" s="84" t="n"/>
      <c r="T33" s="84" t="n"/>
      <c r="U33" s="84" t="n"/>
      <c r="V33" s="84" t="n"/>
      <c r="W33" s="84" t="n"/>
      <c r="X33" s="84" t="n"/>
      <c r="Y33" s="84" t="n"/>
      <c r="Z33" s="84" t="n"/>
      <c r="AA33" s="84" t="n"/>
      <c r="AB33" s="84" t="n"/>
      <c r="AC33" s="84" t="n"/>
      <c r="AD33" s="84" t="n"/>
      <c r="AE33" s="84" t="n"/>
      <c r="AF33" s="84" t="n"/>
      <c r="AG33" s="84" t="n"/>
      <c r="AH33" s="84" t="n"/>
      <c r="AI33" s="84" t="n"/>
      <c r="AJ33" s="84" t="n"/>
      <c r="AK33" s="84" t="n"/>
      <c r="AL33" s="84" t="n"/>
      <c r="AM33" s="84" t="n"/>
      <c r="AN33" s="84" t="n"/>
      <c r="AO33" s="84" t="n"/>
      <c r="AP33" s="84" t="n"/>
      <c r="AQ33" s="84" t="n"/>
      <c r="AR33" s="84" t="n"/>
    </row>
    <row r="34">
      <c r="D34" s="80" t="n"/>
      <c r="E34" s="80" t="n"/>
      <c r="F34" s="80" t="n"/>
      <c r="G34" s="80" t="n"/>
      <c r="H34" s="80" t="n"/>
      <c r="I34" s="80" t="n"/>
      <c r="J34" s="80" t="n"/>
      <c r="K34" s="80" t="n"/>
      <c r="L34" s="80" t="n"/>
      <c r="M34" s="80" t="n"/>
      <c r="N34" s="80" t="n"/>
      <c r="O34" s="80" t="n"/>
      <c r="P34" s="80" t="n"/>
      <c r="Q34" s="80" t="n"/>
      <c r="R34" s="80" t="n"/>
      <c r="S34" s="80" t="n"/>
      <c r="T34" s="80" t="n"/>
      <c r="U34" s="80" t="n"/>
      <c r="V34" s="80" t="n"/>
      <c r="W34" s="80" t="n"/>
      <c r="X34" s="80" t="n"/>
      <c r="Y34" s="80" t="n"/>
      <c r="Z34" s="80" t="n"/>
      <c r="AA34" s="80" t="n"/>
      <c r="AB34" s="80" t="n"/>
      <c r="AC34" s="80" t="n"/>
      <c r="AD34" s="80" t="n"/>
      <c r="AE34" s="80" t="n"/>
      <c r="AF34" s="80" t="n"/>
      <c r="AG34" s="80" t="n"/>
      <c r="AH34" s="80" t="n"/>
      <c r="AI34" s="80" t="n"/>
      <c r="AJ34" s="80" t="n"/>
      <c r="AK34" s="80" t="n"/>
      <c r="AL34" s="80" t="n"/>
      <c r="AM34" s="80" t="n"/>
      <c r="AN34" s="80" t="n"/>
      <c r="AO34" s="80" t="n"/>
      <c r="AP34" s="80" t="n"/>
      <c r="AQ34" s="80" t="n"/>
      <c r="AR34" s="80" t="n"/>
    </row>
    <row r="35">
      <c r="D35" s="80" t="n"/>
      <c r="E35" s="80" t="n"/>
      <c r="F35" s="80" t="n"/>
      <c r="G35" s="80" t="n"/>
      <c r="H35" s="80" t="n"/>
      <c r="I35" s="80" t="n"/>
      <c r="J35" s="80" t="n"/>
      <c r="K35" s="80" t="n"/>
      <c r="L35" s="80" t="n"/>
      <c r="M35" s="80" t="n"/>
      <c r="N35" s="80" t="n"/>
      <c r="O35" s="80" t="n"/>
      <c r="P35" s="80" t="n"/>
      <c r="Q35" s="80" t="n"/>
      <c r="R35" s="80" t="n"/>
      <c r="S35" s="80" t="n"/>
      <c r="T35" s="80" t="n"/>
      <c r="U35" s="80" t="n"/>
      <c r="V35" s="80" t="n"/>
      <c r="W35" s="80" t="n"/>
      <c r="X35" s="80" t="n"/>
      <c r="Y35" s="80" t="n"/>
      <c r="Z35" s="80" t="n"/>
      <c r="AA35" s="80" t="n"/>
      <c r="AB35" s="80" t="n"/>
      <c r="AC35" s="80" t="n"/>
      <c r="AD35" s="80" t="n"/>
      <c r="AE35" s="80" t="n"/>
      <c r="AF35" s="80" t="n"/>
      <c r="AG35" s="80" t="n"/>
      <c r="AH35" s="80" t="n"/>
      <c r="AI35" s="80" t="n"/>
      <c r="AJ35" s="80" t="n"/>
      <c r="AK35" s="80" t="n"/>
      <c r="AL35" s="80" t="n"/>
      <c r="AM35" s="80" t="n"/>
      <c r="AN35" s="80" t="n"/>
      <c r="AO35" s="80" t="n"/>
      <c r="AP35" s="80" t="n"/>
      <c r="AQ35" s="80" t="n"/>
      <c r="AR35" s="80" t="n"/>
    </row>
    <row r="36">
      <c r="D36" s="80" t="n"/>
      <c r="E36" s="80" t="n"/>
      <c r="F36" s="80" t="n"/>
      <c r="G36" s="80" t="n"/>
      <c r="H36" s="80" t="n"/>
      <c r="I36" s="80" t="n"/>
      <c r="J36" s="80" t="n"/>
      <c r="K36" s="80" t="n"/>
      <c r="L36" s="80" t="n"/>
      <c r="M36" s="80" t="n"/>
      <c r="N36" s="80" t="n"/>
      <c r="O36" s="80" t="n"/>
      <c r="P36" s="80" t="n"/>
      <c r="Q36" s="80" t="n"/>
      <c r="R36" s="80" t="n"/>
      <c r="S36" s="80" t="n"/>
      <c r="T36" s="80" t="n"/>
      <c r="U36" s="80" t="n"/>
      <c r="V36" s="80" t="n"/>
      <c r="W36" s="80" t="n"/>
      <c r="X36" s="80" t="n"/>
      <c r="Y36" s="80" t="n"/>
      <c r="Z36" s="80" t="n"/>
      <c r="AA36" s="80" t="n"/>
      <c r="AB36" s="80" t="n"/>
      <c r="AC36" s="80" t="n"/>
      <c r="AD36" s="80" t="n"/>
      <c r="AE36" s="80" t="n"/>
      <c r="AF36" s="80" t="n"/>
      <c r="AG36" s="80" t="n"/>
      <c r="AH36" s="80" t="n"/>
      <c r="AI36" s="80" t="n"/>
      <c r="AJ36" s="80" t="n"/>
      <c r="AK36" s="80" t="n"/>
      <c r="AL36" s="80" t="n"/>
      <c r="AM36" s="80" t="n"/>
      <c r="AN36" s="80" t="n"/>
      <c r="AO36" s="80" t="n"/>
      <c r="AP36" s="80" t="n"/>
      <c r="AQ36" s="80" t="n"/>
      <c r="AR36" s="80" t="n"/>
    </row>
    <row r="37">
      <c r="D37" s="80" t="n"/>
      <c r="E37" s="80" t="n"/>
      <c r="F37" s="80" t="n"/>
      <c r="G37" s="80" t="n"/>
      <c r="H37" s="80" t="n"/>
      <c r="I37" s="80" t="n"/>
      <c r="J37" s="80" t="n"/>
      <c r="K37" s="80" t="n"/>
      <c r="L37" s="80" t="n"/>
      <c r="M37" s="80" t="n"/>
      <c r="N37" s="80" t="n"/>
      <c r="O37" s="80" t="n"/>
      <c r="P37" s="80" t="n"/>
      <c r="Q37" s="80" t="n"/>
      <c r="R37" s="80" t="n"/>
      <c r="S37" s="80" t="n"/>
      <c r="T37" s="80" t="n"/>
      <c r="U37" s="80" t="n"/>
      <c r="V37" s="80" t="n"/>
      <c r="W37" s="80" t="n"/>
      <c r="X37" s="80" t="n"/>
      <c r="Y37" s="80" t="n"/>
      <c r="Z37" s="80" t="n"/>
      <c r="AA37" s="80" t="n"/>
      <c r="AB37" s="80" t="n"/>
      <c r="AC37" s="80" t="n"/>
      <c r="AD37" s="80" t="n"/>
      <c r="AE37" s="80" t="n"/>
      <c r="AF37" s="80" t="n"/>
      <c r="AG37" s="80" t="n"/>
      <c r="AH37" s="80" t="n"/>
      <c r="AI37" s="80" t="n"/>
      <c r="AJ37" s="80" t="n"/>
      <c r="AK37" s="80" t="n"/>
      <c r="AL37" s="80" t="n"/>
      <c r="AM37" s="80" t="n"/>
      <c r="AN37" s="80" t="n"/>
      <c r="AO37" s="80" t="n"/>
      <c r="AP37" s="80" t="n"/>
      <c r="AQ37" s="80" t="n"/>
      <c r="AR37" s="80" t="n"/>
    </row>
    <row r="39">
      <c r="A39" s="6">
        <f>IF(HSI!$C$9="","",HSI!$C$9)</f>
        <v/>
      </c>
      <c r="B39" s="41">
        <f>IF($A39="",0,COUNT($E40:$AR40))</f>
        <v/>
      </c>
      <c r="C39" s="81">
        <f>IF($B39=0,0,MAX($E40:$AR40))</f>
        <v/>
      </c>
      <c r="D39" s="82">
        <f>BDS($A39,'Field Check'!$C$7,"headers=y","startcol=1","endcol=7","dir=h","DVD_START_DT",Summary!$C$18,"DVD_END_DT",Summary!$D$18)</f>
        <v/>
      </c>
      <c r="E39" s="83" t="n"/>
      <c r="F39" s="83" t="n"/>
      <c r="G39" s="83" t="n"/>
      <c r="H39" s="83" t="n"/>
      <c r="I39" s="83" t="n"/>
      <c r="J39" s="83" t="n"/>
      <c r="K39" s="83" t="n"/>
      <c r="L39" s="83" t="n"/>
      <c r="M39" s="83" t="n"/>
      <c r="N39" s="83" t="n"/>
      <c r="O39" s="83" t="n"/>
      <c r="P39" s="83" t="n"/>
      <c r="Q39" s="83" t="n"/>
      <c r="R39" s="83" t="n"/>
      <c r="S39" s="83" t="n"/>
      <c r="T39" s="83" t="n"/>
      <c r="U39" s="83" t="n"/>
      <c r="V39" s="83" t="n"/>
      <c r="W39" s="83" t="n"/>
      <c r="X39" s="83" t="n"/>
      <c r="Y39" s="83" t="n"/>
      <c r="Z39" s="83" t="n"/>
      <c r="AA39" s="83" t="n"/>
      <c r="AB39" s="83" t="n"/>
      <c r="AC39" s="83" t="n"/>
      <c r="AD39" s="83" t="n"/>
      <c r="AE39" s="83" t="n"/>
      <c r="AF39" s="83" t="n"/>
      <c r="AG39" s="83" t="n"/>
      <c r="AH39" s="83" t="n"/>
      <c r="AI39" s="83" t="n"/>
      <c r="AJ39" s="83" t="n"/>
      <c r="AK39" s="83" t="n"/>
      <c r="AL39" s="83" t="n"/>
      <c r="AM39" s="83" t="n"/>
      <c r="AN39" s="83" t="n"/>
      <c r="AO39" s="83" t="n"/>
      <c r="AP39" s="83" t="n"/>
      <c r="AQ39" s="83" t="n"/>
      <c r="AR39" s="83" t="n"/>
    </row>
    <row r="40">
      <c r="D40" s="83" t="n"/>
      <c r="E40" s="83" t="n"/>
      <c r="F40" s="83" t="n"/>
      <c r="G40" s="83" t="n"/>
      <c r="H40" s="83" t="n"/>
      <c r="I40" s="83" t="n"/>
      <c r="J40" s="83" t="n"/>
      <c r="K40" s="83" t="n"/>
      <c r="L40" s="83" t="n"/>
      <c r="M40" s="83" t="n"/>
      <c r="N40" s="83" t="n"/>
      <c r="O40" s="83" t="n"/>
      <c r="P40" s="83" t="n"/>
      <c r="Q40" s="83" t="n"/>
      <c r="R40" s="83" t="n"/>
      <c r="S40" s="83" t="n"/>
      <c r="T40" s="83" t="n"/>
      <c r="U40" s="83" t="n"/>
      <c r="V40" s="83" t="n"/>
      <c r="W40" s="83" t="n"/>
      <c r="X40" s="83" t="n"/>
      <c r="Y40" s="83" t="n"/>
      <c r="Z40" s="83" t="n"/>
      <c r="AA40" s="83" t="n"/>
      <c r="AB40" s="83" t="n"/>
      <c r="AC40" s="83" t="n"/>
      <c r="AD40" s="83" t="n"/>
      <c r="AE40" s="83" t="n"/>
      <c r="AF40" s="83" t="n"/>
      <c r="AG40" s="83" t="n"/>
      <c r="AH40" s="83" t="n"/>
      <c r="AI40" s="83" t="n"/>
      <c r="AJ40" s="83" t="n"/>
      <c r="AK40" s="83" t="n"/>
      <c r="AL40" s="83" t="n"/>
      <c r="AM40" s="83" t="n"/>
      <c r="AN40" s="83" t="n"/>
      <c r="AO40" s="83" t="n"/>
      <c r="AP40" s="83" t="n"/>
      <c r="AQ40" s="83" t="n"/>
      <c r="AR40" s="83" t="n"/>
    </row>
    <row r="41">
      <c r="D41" s="84" t="n"/>
      <c r="E41" s="84" t="n"/>
      <c r="F41" s="84" t="n"/>
      <c r="G41" s="84" t="n"/>
      <c r="H41" s="84" t="n"/>
      <c r="I41" s="84" t="n"/>
      <c r="J41" s="84" t="n"/>
      <c r="K41" s="84" t="n"/>
      <c r="L41" s="84" t="n"/>
      <c r="M41" s="84" t="n"/>
      <c r="N41" s="84" t="n"/>
      <c r="O41" s="84" t="n"/>
      <c r="P41" s="84" t="n"/>
      <c r="Q41" s="84" t="n"/>
      <c r="R41" s="84" t="n"/>
      <c r="S41" s="84" t="n"/>
      <c r="T41" s="84" t="n"/>
      <c r="U41" s="84" t="n"/>
      <c r="V41" s="84" t="n"/>
      <c r="W41" s="84" t="n"/>
      <c r="X41" s="84" t="n"/>
      <c r="Y41" s="84" t="n"/>
      <c r="Z41" s="84" t="n"/>
      <c r="AA41" s="84" t="n"/>
      <c r="AB41" s="84" t="n"/>
      <c r="AC41" s="84" t="n"/>
      <c r="AD41" s="84" t="n"/>
      <c r="AE41" s="84" t="n"/>
      <c r="AF41" s="84" t="n"/>
      <c r="AG41" s="84" t="n"/>
      <c r="AH41" s="84" t="n"/>
      <c r="AI41" s="84" t="n"/>
      <c r="AJ41" s="84" t="n"/>
      <c r="AK41" s="84" t="n"/>
      <c r="AL41" s="84" t="n"/>
      <c r="AM41" s="84" t="n"/>
      <c r="AN41" s="84" t="n"/>
      <c r="AO41" s="84" t="n"/>
      <c r="AP41" s="84" t="n"/>
      <c r="AQ41" s="84" t="n"/>
      <c r="AR41" s="84" t="n"/>
    </row>
    <row r="42">
      <c r="D42" s="80" t="n"/>
      <c r="E42" s="80" t="n"/>
      <c r="F42" s="80" t="n"/>
      <c r="G42" s="80" t="n"/>
      <c r="H42" s="80" t="n"/>
      <c r="I42" s="80" t="n"/>
      <c r="J42" s="80" t="n"/>
      <c r="K42" s="80" t="n"/>
      <c r="L42" s="80" t="n"/>
      <c r="M42" s="80" t="n"/>
      <c r="N42" s="80" t="n"/>
      <c r="O42" s="80" t="n"/>
      <c r="P42" s="80" t="n"/>
      <c r="Q42" s="80" t="n"/>
      <c r="R42" s="80" t="n"/>
      <c r="S42" s="80" t="n"/>
      <c r="T42" s="80" t="n"/>
      <c r="U42" s="80" t="n"/>
      <c r="V42" s="80" t="n"/>
      <c r="W42" s="80" t="n"/>
      <c r="X42" s="80" t="n"/>
      <c r="Y42" s="80" t="n"/>
      <c r="Z42" s="80" t="n"/>
      <c r="AA42" s="80" t="n"/>
      <c r="AB42" s="80" t="n"/>
      <c r="AC42" s="80" t="n"/>
      <c r="AD42" s="80" t="n"/>
      <c r="AE42" s="80" t="n"/>
      <c r="AF42" s="80" t="n"/>
      <c r="AG42" s="80" t="n"/>
      <c r="AH42" s="80" t="n"/>
      <c r="AI42" s="80" t="n"/>
      <c r="AJ42" s="80" t="n"/>
      <c r="AK42" s="80" t="n"/>
      <c r="AL42" s="80" t="n"/>
      <c r="AM42" s="80" t="n"/>
      <c r="AN42" s="80" t="n"/>
      <c r="AO42" s="80" t="n"/>
      <c r="AP42" s="80" t="n"/>
      <c r="AQ42" s="80" t="n"/>
      <c r="AR42" s="80" t="n"/>
    </row>
    <row r="43">
      <c r="D43" s="80" t="n"/>
      <c r="E43" s="80" t="n"/>
      <c r="F43" s="80" t="n"/>
      <c r="G43" s="80" t="n"/>
      <c r="H43" s="80" t="n"/>
      <c r="I43" s="80" t="n"/>
      <c r="J43" s="80" t="n"/>
      <c r="K43" s="80" t="n"/>
      <c r="L43" s="80" t="n"/>
      <c r="M43" s="80" t="n"/>
      <c r="N43" s="80" t="n"/>
      <c r="O43" s="80" t="n"/>
      <c r="P43" s="80" t="n"/>
      <c r="Q43" s="80" t="n"/>
      <c r="R43" s="80" t="n"/>
      <c r="S43" s="80" t="n"/>
      <c r="T43" s="80" t="n"/>
      <c r="U43" s="80" t="n"/>
      <c r="V43" s="80" t="n"/>
      <c r="W43" s="80" t="n"/>
      <c r="X43" s="80" t="n"/>
      <c r="Y43" s="80" t="n"/>
      <c r="Z43" s="80" t="n"/>
      <c r="AA43" s="80" t="n"/>
      <c r="AB43" s="80" t="n"/>
      <c r="AC43" s="80" t="n"/>
      <c r="AD43" s="80" t="n"/>
      <c r="AE43" s="80" t="n"/>
      <c r="AF43" s="80" t="n"/>
      <c r="AG43" s="80" t="n"/>
      <c r="AH43" s="80" t="n"/>
      <c r="AI43" s="80" t="n"/>
      <c r="AJ43" s="80" t="n"/>
      <c r="AK43" s="80" t="n"/>
      <c r="AL43" s="80" t="n"/>
      <c r="AM43" s="80" t="n"/>
      <c r="AN43" s="80" t="n"/>
      <c r="AO43" s="80" t="n"/>
      <c r="AP43" s="80" t="n"/>
      <c r="AQ43" s="80" t="n"/>
      <c r="AR43" s="80" t="n"/>
    </row>
    <row r="44">
      <c r="D44" s="80" t="n"/>
      <c r="E44" s="80" t="n"/>
      <c r="F44" s="80" t="n"/>
      <c r="G44" s="80" t="n"/>
      <c r="H44" s="80" t="n"/>
      <c r="I44" s="80" t="n"/>
      <c r="J44" s="80" t="n"/>
      <c r="K44" s="80" t="n"/>
      <c r="L44" s="80" t="n"/>
      <c r="M44" s="80" t="n"/>
      <c r="N44" s="80" t="n"/>
      <c r="O44" s="80" t="n"/>
      <c r="P44" s="80" t="n"/>
      <c r="Q44" s="80" t="n"/>
      <c r="R44" s="80" t="n"/>
      <c r="S44" s="80" t="n"/>
      <c r="T44" s="80" t="n"/>
      <c r="U44" s="80" t="n"/>
      <c r="V44" s="80" t="n"/>
      <c r="W44" s="80" t="n"/>
      <c r="X44" s="80" t="n"/>
      <c r="Y44" s="80" t="n"/>
      <c r="Z44" s="80" t="n"/>
      <c r="AA44" s="80" t="n"/>
      <c r="AB44" s="80" t="n"/>
      <c r="AC44" s="80" t="n"/>
      <c r="AD44" s="80" t="n"/>
      <c r="AE44" s="80" t="n"/>
      <c r="AF44" s="80" t="n"/>
      <c r="AG44" s="80" t="n"/>
      <c r="AH44" s="80" t="n"/>
      <c r="AI44" s="80" t="n"/>
      <c r="AJ44" s="80" t="n"/>
      <c r="AK44" s="80" t="n"/>
      <c r="AL44" s="80" t="n"/>
      <c r="AM44" s="80" t="n"/>
      <c r="AN44" s="80" t="n"/>
      <c r="AO44" s="80" t="n"/>
      <c r="AP44" s="80" t="n"/>
      <c r="AQ44" s="80" t="n"/>
      <c r="AR44" s="80" t="n"/>
    </row>
    <row r="45">
      <c r="D45" s="80" t="n"/>
      <c r="E45" s="80" t="n"/>
      <c r="F45" s="80" t="n"/>
      <c r="G45" s="80" t="n"/>
      <c r="H45" s="80" t="n"/>
      <c r="I45" s="80" t="n"/>
      <c r="J45" s="80" t="n"/>
      <c r="K45" s="80" t="n"/>
      <c r="L45" s="80" t="n"/>
      <c r="M45" s="80" t="n"/>
      <c r="N45" s="80" t="n"/>
      <c r="O45" s="80" t="n"/>
      <c r="P45" s="80" t="n"/>
      <c r="Q45" s="80" t="n"/>
      <c r="R45" s="80" t="n"/>
      <c r="S45" s="80" t="n"/>
      <c r="T45" s="80" t="n"/>
      <c r="U45" s="80" t="n"/>
      <c r="V45" s="80" t="n"/>
      <c r="W45" s="80" t="n"/>
      <c r="X45" s="80" t="n"/>
      <c r="Y45" s="80" t="n"/>
      <c r="Z45" s="80" t="n"/>
      <c r="AA45" s="80" t="n"/>
      <c r="AB45" s="80" t="n"/>
      <c r="AC45" s="80" t="n"/>
      <c r="AD45" s="80" t="n"/>
      <c r="AE45" s="80" t="n"/>
      <c r="AF45" s="80" t="n"/>
      <c r="AG45" s="80" t="n"/>
      <c r="AH45" s="80" t="n"/>
      <c r="AI45" s="80" t="n"/>
      <c r="AJ45" s="80" t="n"/>
      <c r="AK45" s="80" t="n"/>
      <c r="AL45" s="80" t="n"/>
      <c r="AM45" s="80" t="n"/>
      <c r="AN45" s="80" t="n"/>
      <c r="AO45" s="80" t="n"/>
      <c r="AP45" s="80" t="n"/>
      <c r="AQ45" s="80" t="n"/>
      <c r="AR45" s="80" t="n"/>
    </row>
    <row r="46">
      <c r="A46" s="2">
        <f>IF($A39="","","   projections")</f>
        <v/>
      </c>
      <c r="B46" s="41">
        <f>IF($A39="",0,COUNT($E47:$AR47))</f>
        <v/>
      </c>
      <c r="C46" s="81">
        <f>IF($B46=0,0,MAX($E47:$AR47))</f>
        <v/>
      </c>
      <c r="D46" s="82">
        <f>BDS($A39,'Field Check'!$C$6,"headers=y","startcol=1","endcol=7","dir=h")</f>
        <v/>
      </c>
      <c r="E46" s="83" t="n"/>
      <c r="F46" s="83" t="n"/>
      <c r="G46" s="83" t="n"/>
      <c r="H46" s="83" t="n"/>
      <c r="I46" s="83" t="n"/>
      <c r="J46" s="83" t="n"/>
      <c r="K46" s="83" t="n"/>
      <c r="L46" s="83" t="n"/>
      <c r="M46" s="83" t="n"/>
      <c r="N46" s="83" t="n"/>
      <c r="O46" s="83" t="n"/>
      <c r="P46" s="83" t="n"/>
      <c r="Q46" s="83" t="n"/>
      <c r="R46" s="83" t="n"/>
      <c r="S46" s="83" t="n"/>
      <c r="T46" s="83" t="n"/>
      <c r="U46" s="83" t="n"/>
      <c r="V46" s="83" t="n"/>
      <c r="W46" s="83" t="n"/>
      <c r="X46" s="83" t="n"/>
      <c r="Y46" s="83" t="n"/>
      <c r="Z46" s="83" t="n"/>
      <c r="AA46" s="83" t="n"/>
      <c r="AB46" s="83" t="n"/>
      <c r="AC46" s="83" t="n"/>
      <c r="AD46" s="83" t="n"/>
      <c r="AE46" s="83" t="n"/>
      <c r="AF46" s="83" t="n"/>
      <c r="AG46" s="83" t="n"/>
      <c r="AH46" s="83" t="n"/>
      <c r="AI46" s="83" t="n"/>
      <c r="AJ46" s="83" t="n"/>
      <c r="AK46" s="83" t="n"/>
      <c r="AL46" s="83" t="n"/>
      <c r="AM46" s="83" t="n"/>
      <c r="AN46" s="83" t="n"/>
      <c r="AO46" s="83" t="n"/>
      <c r="AP46" s="83" t="n"/>
      <c r="AQ46" s="83" t="n"/>
      <c r="AR46" s="83" t="n"/>
    </row>
    <row r="47">
      <c r="D47" s="83" t="n"/>
      <c r="E47" s="83" t="n"/>
      <c r="F47" s="83" t="n"/>
      <c r="G47" s="83" t="n"/>
      <c r="H47" s="83" t="n"/>
      <c r="I47" s="83" t="n"/>
      <c r="J47" s="83" t="n"/>
      <c r="K47" s="83" t="n"/>
      <c r="L47" s="83" t="n"/>
      <c r="M47" s="83" t="n"/>
      <c r="N47" s="83" t="n"/>
      <c r="O47" s="83" t="n"/>
      <c r="P47" s="83" t="n"/>
      <c r="Q47" s="83" t="n"/>
      <c r="R47" s="83" t="n"/>
      <c r="S47" s="83" t="n"/>
      <c r="T47" s="83" t="n"/>
      <c r="U47" s="83" t="n"/>
      <c r="V47" s="83" t="n"/>
      <c r="W47" s="83" t="n"/>
      <c r="X47" s="83" t="n"/>
      <c r="Y47" s="83" t="n"/>
      <c r="Z47" s="83" t="n"/>
      <c r="AA47" s="83" t="n"/>
      <c r="AB47" s="83" t="n"/>
      <c r="AC47" s="83" t="n"/>
      <c r="AD47" s="83" t="n"/>
      <c r="AE47" s="83" t="n"/>
      <c r="AF47" s="83" t="n"/>
      <c r="AG47" s="83" t="n"/>
      <c r="AH47" s="83" t="n"/>
      <c r="AI47" s="83" t="n"/>
      <c r="AJ47" s="83" t="n"/>
      <c r="AK47" s="83" t="n"/>
      <c r="AL47" s="83" t="n"/>
      <c r="AM47" s="83" t="n"/>
      <c r="AN47" s="83" t="n"/>
      <c r="AO47" s="83" t="n"/>
      <c r="AP47" s="83" t="n"/>
      <c r="AQ47" s="83" t="n"/>
      <c r="AR47" s="83" t="n"/>
    </row>
    <row r="48">
      <c r="D48" s="84" t="n"/>
      <c r="E48" s="84" t="n"/>
      <c r="F48" s="84" t="n"/>
      <c r="G48" s="84" t="n"/>
      <c r="H48" s="84" t="n"/>
      <c r="I48" s="84" t="n"/>
      <c r="J48" s="84" t="n"/>
      <c r="K48" s="84" t="n"/>
      <c r="L48" s="84" t="n"/>
      <c r="M48" s="84" t="n"/>
      <c r="N48" s="84" t="n"/>
      <c r="O48" s="84" t="n"/>
      <c r="P48" s="84" t="n"/>
      <c r="Q48" s="84" t="n"/>
      <c r="R48" s="84" t="n"/>
      <c r="S48" s="84" t="n"/>
      <c r="T48" s="84" t="n"/>
      <c r="U48" s="84" t="n"/>
      <c r="V48" s="84" t="n"/>
      <c r="W48" s="84" t="n"/>
      <c r="X48" s="84" t="n"/>
      <c r="Y48" s="84" t="n"/>
      <c r="Z48" s="84" t="n"/>
      <c r="AA48" s="84" t="n"/>
      <c r="AB48" s="84" t="n"/>
      <c r="AC48" s="84" t="n"/>
      <c r="AD48" s="84" t="n"/>
      <c r="AE48" s="84" t="n"/>
      <c r="AF48" s="84" t="n"/>
      <c r="AG48" s="84" t="n"/>
      <c r="AH48" s="84" t="n"/>
      <c r="AI48" s="84" t="n"/>
      <c r="AJ48" s="84" t="n"/>
      <c r="AK48" s="84" t="n"/>
      <c r="AL48" s="84" t="n"/>
      <c r="AM48" s="84" t="n"/>
      <c r="AN48" s="84" t="n"/>
      <c r="AO48" s="84" t="n"/>
      <c r="AP48" s="84" t="n"/>
      <c r="AQ48" s="84" t="n"/>
      <c r="AR48" s="84" t="n"/>
    </row>
    <row r="49">
      <c r="D49" s="80" t="n"/>
      <c r="E49" s="80" t="n"/>
      <c r="F49" s="80" t="n"/>
      <c r="G49" s="80" t="n"/>
      <c r="H49" s="80" t="n"/>
      <c r="I49" s="80" t="n"/>
      <c r="J49" s="80" t="n"/>
      <c r="K49" s="80" t="n"/>
      <c r="L49" s="80" t="n"/>
      <c r="M49" s="80" t="n"/>
      <c r="N49" s="80" t="n"/>
      <c r="O49" s="80" t="n"/>
      <c r="P49" s="80" t="n"/>
      <c r="Q49" s="80" t="n"/>
      <c r="R49" s="80" t="n"/>
      <c r="S49" s="80" t="n"/>
      <c r="T49" s="80" t="n"/>
      <c r="U49" s="80" t="n"/>
      <c r="V49" s="80" t="n"/>
      <c r="W49" s="80" t="n"/>
      <c r="X49" s="80" t="n"/>
      <c r="Y49" s="80" t="n"/>
      <c r="Z49" s="80" t="n"/>
      <c r="AA49" s="80" t="n"/>
      <c r="AB49" s="80" t="n"/>
      <c r="AC49" s="80" t="n"/>
      <c r="AD49" s="80" t="n"/>
      <c r="AE49" s="80" t="n"/>
      <c r="AF49" s="80" t="n"/>
      <c r="AG49" s="80" t="n"/>
      <c r="AH49" s="80" t="n"/>
      <c r="AI49" s="80" t="n"/>
      <c r="AJ49" s="80" t="n"/>
      <c r="AK49" s="80" t="n"/>
      <c r="AL49" s="80" t="n"/>
      <c r="AM49" s="80" t="n"/>
      <c r="AN49" s="80" t="n"/>
      <c r="AO49" s="80" t="n"/>
      <c r="AP49" s="80" t="n"/>
      <c r="AQ49" s="80" t="n"/>
      <c r="AR49" s="80" t="n"/>
    </row>
    <row r="50">
      <c r="D50" s="80" t="n"/>
      <c r="E50" s="80" t="n"/>
      <c r="F50" s="80" t="n"/>
      <c r="G50" s="80" t="n"/>
      <c r="H50" s="80" t="n"/>
      <c r="I50" s="80" t="n"/>
      <c r="J50" s="80" t="n"/>
      <c r="K50" s="80" t="n"/>
      <c r="L50" s="80" t="n"/>
      <c r="M50" s="80" t="n"/>
      <c r="N50" s="80" t="n"/>
      <c r="O50" s="80" t="n"/>
      <c r="P50" s="80" t="n"/>
      <c r="Q50" s="80" t="n"/>
      <c r="R50" s="80" t="n"/>
      <c r="S50" s="80" t="n"/>
      <c r="T50" s="80" t="n"/>
      <c r="U50" s="80" t="n"/>
      <c r="V50" s="80" t="n"/>
      <c r="W50" s="80" t="n"/>
      <c r="X50" s="80" t="n"/>
      <c r="Y50" s="80" t="n"/>
      <c r="Z50" s="80" t="n"/>
      <c r="AA50" s="80" t="n"/>
      <c r="AB50" s="80" t="n"/>
      <c r="AC50" s="80" t="n"/>
      <c r="AD50" s="80" t="n"/>
      <c r="AE50" s="80" t="n"/>
      <c r="AF50" s="80" t="n"/>
      <c r="AG50" s="80" t="n"/>
      <c r="AH50" s="80" t="n"/>
      <c r="AI50" s="80" t="n"/>
      <c r="AJ50" s="80" t="n"/>
      <c r="AK50" s="80" t="n"/>
      <c r="AL50" s="80" t="n"/>
      <c r="AM50" s="80" t="n"/>
      <c r="AN50" s="80" t="n"/>
      <c r="AO50" s="80" t="n"/>
      <c r="AP50" s="80" t="n"/>
      <c r="AQ50" s="80" t="n"/>
      <c r="AR50" s="80" t="n"/>
    </row>
    <row r="51">
      <c r="D51" s="80" t="n"/>
      <c r="E51" s="80" t="n"/>
      <c r="F51" s="80" t="n"/>
      <c r="G51" s="80" t="n"/>
      <c r="H51" s="80" t="n"/>
      <c r="I51" s="80" t="n"/>
      <c r="J51" s="80" t="n"/>
      <c r="K51" s="80" t="n"/>
      <c r="L51" s="80" t="n"/>
      <c r="M51" s="80" t="n"/>
      <c r="N51" s="80" t="n"/>
      <c r="O51" s="80" t="n"/>
      <c r="P51" s="80" t="n"/>
      <c r="Q51" s="80" t="n"/>
      <c r="R51" s="80" t="n"/>
      <c r="S51" s="80" t="n"/>
      <c r="T51" s="80" t="n"/>
      <c r="U51" s="80" t="n"/>
      <c r="V51" s="80" t="n"/>
      <c r="W51" s="80" t="n"/>
      <c r="X51" s="80" t="n"/>
      <c r="Y51" s="80" t="n"/>
      <c r="Z51" s="80" t="n"/>
      <c r="AA51" s="80" t="n"/>
      <c r="AB51" s="80" t="n"/>
      <c r="AC51" s="80" t="n"/>
      <c r="AD51" s="80" t="n"/>
      <c r="AE51" s="80" t="n"/>
      <c r="AF51" s="80" t="n"/>
      <c r="AG51" s="80" t="n"/>
      <c r="AH51" s="80" t="n"/>
      <c r="AI51" s="80" t="n"/>
      <c r="AJ51" s="80" t="n"/>
      <c r="AK51" s="80" t="n"/>
      <c r="AL51" s="80" t="n"/>
      <c r="AM51" s="80" t="n"/>
      <c r="AN51" s="80" t="n"/>
      <c r="AO51" s="80" t="n"/>
      <c r="AP51" s="80" t="n"/>
      <c r="AQ51" s="80" t="n"/>
      <c r="AR51" s="80" t="n"/>
    </row>
    <row r="52">
      <c r="D52" s="80" t="n"/>
      <c r="E52" s="80" t="n"/>
      <c r="F52" s="80" t="n"/>
      <c r="G52" s="80" t="n"/>
      <c r="H52" s="80" t="n"/>
      <c r="I52" s="80" t="n"/>
      <c r="J52" s="80" t="n"/>
      <c r="K52" s="80" t="n"/>
      <c r="L52" s="80" t="n"/>
      <c r="M52" s="80" t="n"/>
      <c r="N52" s="80" t="n"/>
      <c r="O52" s="80" t="n"/>
      <c r="P52" s="80" t="n"/>
      <c r="Q52" s="80" t="n"/>
      <c r="R52" s="80" t="n"/>
      <c r="S52" s="80" t="n"/>
      <c r="T52" s="80" t="n"/>
      <c r="U52" s="80" t="n"/>
      <c r="V52" s="80" t="n"/>
      <c r="W52" s="80" t="n"/>
      <c r="X52" s="80" t="n"/>
      <c r="Y52" s="80" t="n"/>
      <c r="Z52" s="80" t="n"/>
      <c r="AA52" s="80" t="n"/>
      <c r="AB52" s="80" t="n"/>
      <c r="AC52" s="80" t="n"/>
      <c r="AD52" s="80" t="n"/>
      <c r="AE52" s="80" t="n"/>
      <c r="AF52" s="80" t="n"/>
      <c r="AG52" s="80" t="n"/>
      <c r="AH52" s="80" t="n"/>
      <c r="AI52" s="80" t="n"/>
      <c r="AJ52" s="80" t="n"/>
      <c r="AK52" s="80" t="n"/>
      <c r="AL52" s="80" t="n"/>
      <c r="AM52" s="80" t="n"/>
      <c r="AN52" s="80" t="n"/>
      <c r="AO52" s="80" t="n"/>
      <c r="AP52" s="80" t="n"/>
      <c r="AQ52" s="80" t="n"/>
      <c r="AR52" s="80" t="n"/>
    </row>
    <row r="54">
      <c r="A54" s="6">
        <f>IF(HSI!$C$10="","",HSI!$C$10)</f>
        <v/>
      </c>
      <c r="B54" s="41">
        <f>IF($A54="",0,COUNT($E55:$AR55))</f>
        <v/>
      </c>
      <c r="C54" s="81">
        <f>IF($B54=0,0,MAX($E55:$AR55))</f>
        <v/>
      </c>
      <c r="D54" s="82">
        <f>BDS($A54,'Field Check'!$C$7,"headers=y","startcol=1","endcol=7","dir=h","DVD_START_DT",Summary!$C$18,"DVD_END_DT",Summary!$D$18)</f>
        <v/>
      </c>
      <c r="E54" s="83" t="n"/>
      <c r="F54" s="83" t="n"/>
      <c r="G54" s="83" t="n"/>
      <c r="H54" s="83" t="n"/>
      <c r="I54" s="83" t="n"/>
      <c r="J54" s="83" t="n"/>
      <c r="K54" s="83" t="n"/>
      <c r="L54" s="83" t="n"/>
      <c r="M54" s="83" t="n"/>
      <c r="N54" s="83" t="n"/>
      <c r="O54" s="83" t="n"/>
      <c r="P54" s="83" t="n"/>
      <c r="Q54" s="83" t="n"/>
      <c r="R54" s="83" t="n"/>
      <c r="S54" s="83" t="n"/>
      <c r="T54" s="83" t="n"/>
      <c r="U54" s="83" t="n"/>
      <c r="V54" s="83" t="n"/>
      <c r="W54" s="83" t="n"/>
      <c r="X54" s="83" t="n"/>
      <c r="Y54" s="83" t="n"/>
      <c r="Z54" s="83" t="n"/>
      <c r="AA54" s="83" t="n"/>
      <c r="AB54" s="83" t="n"/>
      <c r="AC54" s="83" t="n"/>
      <c r="AD54" s="83" t="n"/>
      <c r="AE54" s="83" t="n"/>
      <c r="AF54" s="83" t="n"/>
      <c r="AG54" s="83" t="n"/>
      <c r="AH54" s="83" t="n"/>
      <c r="AI54" s="83" t="n"/>
      <c r="AJ54" s="83" t="n"/>
      <c r="AK54" s="83" t="n"/>
      <c r="AL54" s="83" t="n"/>
      <c r="AM54" s="83" t="n"/>
      <c r="AN54" s="83" t="n"/>
      <c r="AO54" s="83" t="n"/>
      <c r="AP54" s="83" t="n"/>
      <c r="AQ54" s="83" t="n"/>
      <c r="AR54" s="83" t="n"/>
    </row>
    <row r="55">
      <c r="D55" s="83" t="n"/>
      <c r="E55" s="83" t="n"/>
      <c r="F55" s="83" t="n"/>
      <c r="G55" s="83" t="n"/>
      <c r="H55" s="83" t="n"/>
      <c r="I55" s="83" t="n"/>
      <c r="J55" s="83" t="n"/>
      <c r="K55" s="83" t="n"/>
      <c r="L55" s="83" t="n"/>
      <c r="M55" s="83" t="n"/>
      <c r="N55" s="83" t="n"/>
      <c r="O55" s="83" t="n"/>
      <c r="P55" s="83" t="n"/>
      <c r="Q55" s="83" t="n"/>
      <c r="R55" s="83" t="n"/>
      <c r="S55" s="83" t="n"/>
      <c r="T55" s="83" t="n"/>
      <c r="U55" s="83" t="n"/>
      <c r="V55" s="83" t="n"/>
      <c r="W55" s="83" t="n"/>
      <c r="X55" s="83" t="n"/>
      <c r="Y55" s="83" t="n"/>
      <c r="Z55" s="83" t="n"/>
      <c r="AA55" s="83" t="n"/>
      <c r="AB55" s="83" t="n"/>
      <c r="AC55" s="83" t="n"/>
      <c r="AD55" s="83" t="n"/>
      <c r="AE55" s="83" t="n"/>
      <c r="AF55" s="83" t="n"/>
      <c r="AG55" s="83" t="n"/>
      <c r="AH55" s="83" t="n"/>
      <c r="AI55" s="83" t="n"/>
      <c r="AJ55" s="83" t="n"/>
      <c r="AK55" s="83" t="n"/>
      <c r="AL55" s="83" t="n"/>
      <c r="AM55" s="83" t="n"/>
      <c r="AN55" s="83" t="n"/>
      <c r="AO55" s="83" t="n"/>
      <c r="AP55" s="83" t="n"/>
      <c r="AQ55" s="83" t="n"/>
      <c r="AR55" s="83" t="n"/>
    </row>
    <row r="56">
      <c r="D56" s="84" t="n"/>
      <c r="E56" s="84" t="n"/>
      <c r="F56" s="84" t="n"/>
      <c r="G56" s="84" t="n"/>
      <c r="H56" s="84" t="n"/>
      <c r="I56" s="84" t="n"/>
      <c r="J56" s="84" t="n"/>
      <c r="K56" s="84" t="n"/>
      <c r="L56" s="84" t="n"/>
      <c r="M56" s="84" t="n"/>
      <c r="N56" s="84" t="n"/>
      <c r="O56" s="84" t="n"/>
      <c r="P56" s="84" t="n"/>
      <c r="Q56" s="84" t="n"/>
      <c r="R56" s="84" t="n"/>
      <c r="S56" s="84" t="n"/>
      <c r="T56" s="84" t="n"/>
      <c r="U56" s="84" t="n"/>
      <c r="V56" s="84" t="n"/>
      <c r="W56" s="84" t="n"/>
      <c r="X56" s="84" t="n"/>
      <c r="Y56" s="84" t="n"/>
      <c r="Z56" s="84" t="n"/>
      <c r="AA56" s="84" t="n"/>
      <c r="AB56" s="84" t="n"/>
      <c r="AC56" s="84" t="n"/>
      <c r="AD56" s="84" t="n"/>
      <c r="AE56" s="84" t="n"/>
      <c r="AF56" s="84" t="n"/>
      <c r="AG56" s="84" t="n"/>
      <c r="AH56" s="84" t="n"/>
      <c r="AI56" s="84" t="n"/>
      <c r="AJ56" s="84" t="n"/>
      <c r="AK56" s="84" t="n"/>
      <c r="AL56" s="84" t="n"/>
      <c r="AM56" s="84" t="n"/>
      <c r="AN56" s="84" t="n"/>
      <c r="AO56" s="84" t="n"/>
      <c r="AP56" s="84" t="n"/>
      <c r="AQ56" s="84" t="n"/>
      <c r="AR56" s="84" t="n"/>
    </row>
    <row r="57">
      <c r="D57" s="80" t="n"/>
      <c r="E57" s="80" t="n"/>
      <c r="F57" s="80" t="n"/>
      <c r="G57" s="80" t="n"/>
      <c r="H57" s="80" t="n"/>
      <c r="I57" s="80" t="n"/>
      <c r="J57" s="80" t="n"/>
      <c r="K57" s="80" t="n"/>
      <c r="L57" s="80" t="n"/>
      <c r="M57" s="80" t="n"/>
      <c r="N57" s="80" t="n"/>
      <c r="O57" s="80" t="n"/>
      <c r="P57" s="80" t="n"/>
      <c r="Q57" s="80" t="n"/>
      <c r="R57" s="80" t="n"/>
      <c r="S57" s="80" t="n"/>
      <c r="T57" s="80" t="n"/>
      <c r="U57" s="80" t="n"/>
      <c r="V57" s="80" t="n"/>
      <c r="W57" s="80" t="n"/>
      <c r="X57" s="80" t="n"/>
      <c r="Y57" s="80" t="n"/>
      <c r="Z57" s="80" t="n"/>
      <c r="AA57" s="80" t="n"/>
      <c r="AB57" s="80" t="n"/>
      <c r="AC57" s="80" t="n"/>
      <c r="AD57" s="80" t="n"/>
      <c r="AE57" s="80" t="n"/>
      <c r="AF57" s="80" t="n"/>
      <c r="AG57" s="80" t="n"/>
      <c r="AH57" s="80" t="n"/>
      <c r="AI57" s="80" t="n"/>
      <c r="AJ57" s="80" t="n"/>
      <c r="AK57" s="80" t="n"/>
      <c r="AL57" s="80" t="n"/>
      <c r="AM57" s="80" t="n"/>
      <c r="AN57" s="80" t="n"/>
      <c r="AO57" s="80" t="n"/>
      <c r="AP57" s="80" t="n"/>
      <c r="AQ57" s="80" t="n"/>
      <c r="AR57" s="80" t="n"/>
    </row>
    <row r="58">
      <c r="D58" s="80" t="n"/>
      <c r="E58" s="80" t="n"/>
      <c r="F58" s="80" t="n"/>
      <c r="G58" s="80" t="n"/>
      <c r="H58" s="80" t="n"/>
      <c r="I58" s="80" t="n"/>
      <c r="J58" s="80" t="n"/>
      <c r="K58" s="80" t="n"/>
      <c r="L58" s="80" t="n"/>
      <c r="M58" s="80" t="n"/>
      <c r="N58" s="80" t="n"/>
      <c r="O58" s="80" t="n"/>
      <c r="P58" s="80" t="n"/>
      <c r="Q58" s="80" t="n"/>
      <c r="R58" s="80" t="n"/>
      <c r="S58" s="80" t="n"/>
      <c r="T58" s="80" t="n"/>
      <c r="U58" s="80" t="n"/>
      <c r="V58" s="80" t="n"/>
      <c r="W58" s="80" t="n"/>
      <c r="X58" s="80" t="n"/>
      <c r="Y58" s="80" t="n"/>
      <c r="Z58" s="80" t="n"/>
      <c r="AA58" s="80" t="n"/>
      <c r="AB58" s="80" t="n"/>
      <c r="AC58" s="80" t="n"/>
      <c r="AD58" s="80" t="n"/>
      <c r="AE58" s="80" t="n"/>
      <c r="AF58" s="80" t="n"/>
      <c r="AG58" s="80" t="n"/>
      <c r="AH58" s="80" t="n"/>
      <c r="AI58" s="80" t="n"/>
      <c r="AJ58" s="80" t="n"/>
      <c r="AK58" s="80" t="n"/>
      <c r="AL58" s="80" t="n"/>
      <c r="AM58" s="80" t="n"/>
      <c r="AN58" s="80" t="n"/>
      <c r="AO58" s="80" t="n"/>
      <c r="AP58" s="80" t="n"/>
      <c r="AQ58" s="80" t="n"/>
      <c r="AR58" s="80" t="n"/>
    </row>
    <row r="59">
      <c r="D59" s="80" t="n"/>
      <c r="E59" s="80" t="n"/>
      <c r="F59" s="80" t="n"/>
      <c r="G59" s="80" t="n"/>
      <c r="H59" s="80" t="n"/>
      <c r="I59" s="80" t="n"/>
      <c r="J59" s="80" t="n"/>
      <c r="K59" s="80" t="n"/>
      <c r="L59" s="80" t="n"/>
      <c r="M59" s="80" t="n"/>
      <c r="N59" s="80" t="n"/>
      <c r="O59" s="80" t="n"/>
      <c r="P59" s="80" t="n"/>
      <c r="Q59" s="80" t="n"/>
      <c r="R59" s="80" t="n"/>
      <c r="S59" s="80" t="n"/>
      <c r="T59" s="80" t="n"/>
      <c r="U59" s="80" t="n"/>
      <c r="V59" s="80" t="n"/>
      <c r="W59" s="80" t="n"/>
      <c r="X59" s="80" t="n"/>
      <c r="Y59" s="80" t="n"/>
      <c r="Z59" s="80" t="n"/>
      <c r="AA59" s="80" t="n"/>
      <c r="AB59" s="80" t="n"/>
      <c r="AC59" s="80" t="n"/>
      <c r="AD59" s="80" t="n"/>
      <c r="AE59" s="80" t="n"/>
      <c r="AF59" s="80" t="n"/>
      <c r="AG59" s="80" t="n"/>
      <c r="AH59" s="80" t="n"/>
      <c r="AI59" s="80" t="n"/>
      <c r="AJ59" s="80" t="n"/>
      <c r="AK59" s="80" t="n"/>
      <c r="AL59" s="80" t="n"/>
      <c r="AM59" s="80" t="n"/>
      <c r="AN59" s="80" t="n"/>
      <c r="AO59" s="80" t="n"/>
      <c r="AP59" s="80" t="n"/>
      <c r="AQ59" s="80" t="n"/>
      <c r="AR59" s="80" t="n"/>
    </row>
    <row r="60">
      <c r="D60" s="80" t="n"/>
      <c r="E60" s="80" t="n"/>
      <c r="F60" s="80" t="n"/>
      <c r="G60" s="80" t="n"/>
      <c r="H60" s="80" t="n"/>
      <c r="I60" s="80" t="n"/>
      <c r="J60" s="80" t="n"/>
      <c r="K60" s="80" t="n"/>
      <c r="L60" s="80" t="n"/>
      <c r="M60" s="80" t="n"/>
      <c r="N60" s="80" t="n"/>
      <c r="O60" s="80" t="n"/>
      <c r="P60" s="80" t="n"/>
      <c r="Q60" s="80" t="n"/>
      <c r="R60" s="80" t="n"/>
      <c r="S60" s="80" t="n"/>
      <c r="T60" s="80" t="n"/>
      <c r="U60" s="80" t="n"/>
      <c r="V60" s="80" t="n"/>
      <c r="W60" s="80" t="n"/>
      <c r="X60" s="80" t="n"/>
      <c r="Y60" s="80" t="n"/>
      <c r="Z60" s="80" t="n"/>
      <c r="AA60" s="80" t="n"/>
      <c r="AB60" s="80" t="n"/>
      <c r="AC60" s="80" t="n"/>
      <c r="AD60" s="80" t="n"/>
      <c r="AE60" s="80" t="n"/>
      <c r="AF60" s="80" t="n"/>
      <c r="AG60" s="80" t="n"/>
      <c r="AH60" s="80" t="n"/>
      <c r="AI60" s="80" t="n"/>
      <c r="AJ60" s="80" t="n"/>
      <c r="AK60" s="80" t="n"/>
      <c r="AL60" s="80" t="n"/>
      <c r="AM60" s="80" t="n"/>
      <c r="AN60" s="80" t="n"/>
      <c r="AO60" s="80" t="n"/>
      <c r="AP60" s="80" t="n"/>
      <c r="AQ60" s="80" t="n"/>
      <c r="AR60" s="80" t="n"/>
    </row>
    <row r="61">
      <c r="A61" s="2">
        <f>IF($A54="","","   projections")</f>
        <v/>
      </c>
      <c r="B61" s="41">
        <f>IF($A54="",0,COUNT($E62:$AR62))</f>
        <v/>
      </c>
      <c r="C61" s="81">
        <f>IF($B61=0,0,MAX($E62:$AR62))</f>
        <v/>
      </c>
      <c r="D61" s="82">
        <f>BDS($A54,'Field Check'!$C$6,"headers=y","startcol=1","endcol=7","dir=h")</f>
        <v/>
      </c>
      <c r="E61" s="83" t="n"/>
      <c r="F61" s="83" t="n"/>
      <c r="G61" s="83" t="n"/>
      <c r="H61" s="83" t="n"/>
      <c r="I61" s="83" t="n"/>
      <c r="J61" s="83" t="n"/>
      <c r="K61" s="83" t="n"/>
      <c r="L61" s="83" t="n"/>
      <c r="M61" s="83" t="n"/>
      <c r="N61" s="83" t="n"/>
      <c r="O61" s="83" t="n"/>
      <c r="P61" s="83" t="n"/>
      <c r="Q61" s="83" t="n"/>
      <c r="R61" s="83" t="n"/>
      <c r="S61" s="83" t="n"/>
      <c r="T61" s="83" t="n"/>
      <c r="U61" s="83" t="n"/>
      <c r="V61" s="83" t="n"/>
      <c r="W61" s="83" t="n"/>
      <c r="X61" s="83" t="n"/>
      <c r="Y61" s="83" t="n"/>
      <c r="Z61" s="83" t="n"/>
      <c r="AA61" s="83" t="n"/>
      <c r="AB61" s="83" t="n"/>
      <c r="AC61" s="83" t="n"/>
      <c r="AD61" s="83" t="n"/>
      <c r="AE61" s="83" t="n"/>
      <c r="AF61" s="83" t="n"/>
      <c r="AG61" s="83" t="n"/>
      <c r="AH61" s="83" t="n"/>
      <c r="AI61" s="83" t="n"/>
      <c r="AJ61" s="83" t="n"/>
      <c r="AK61" s="83" t="n"/>
      <c r="AL61" s="83" t="n"/>
      <c r="AM61" s="83" t="n"/>
      <c r="AN61" s="83" t="n"/>
      <c r="AO61" s="83" t="n"/>
      <c r="AP61" s="83" t="n"/>
      <c r="AQ61" s="83" t="n"/>
      <c r="AR61" s="83" t="n"/>
    </row>
    <row r="62">
      <c r="D62" s="83" t="n"/>
      <c r="E62" s="83" t="n"/>
      <c r="F62" s="83" t="n"/>
      <c r="G62" s="83" t="n"/>
      <c r="H62" s="83" t="n"/>
      <c r="I62" s="83" t="n"/>
      <c r="J62" s="83" t="n"/>
      <c r="K62" s="83" t="n"/>
      <c r="L62" s="83" t="n"/>
      <c r="M62" s="83" t="n"/>
      <c r="N62" s="83" t="n"/>
      <c r="O62" s="83" t="n"/>
      <c r="P62" s="83" t="n"/>
      <c r="Q62" s="83" t="n"/>
      <c r="R62" s="83" t="n"/>
      <c r="S62" s="83" t="n"/>
      <c r="T62" s="83" t="n"/>
      <c r="U62" s="83" t="n"/>
      <c r="V62" s="83" t="n"/>
      <c r="W62" s="83" t="n"/>
      <c r="X62" s="83" t="n"/>
      <c r="Y62" s="83" t="n"/>
      <c r="Z62" s="83" t="n"/>
      <c r="AA62" s="83" t="n"/>
      <c r="AB62" s="83" t="n"/>
      <c r="AC62" s="83" t="n"/>
      <c r="AD62" s="83" t="n"/>
      <c r="AE62" s="83" t="n"/>
      <c r="AF62" s="83" t="n"/>
      <c r="AG62" s="83" t="n"/>
      <c r="AH62" s="83" t="n"/>
      <c r="AI62" s="83" t="n"/>
      <c r="AJ62" s="83" t="n"/>
      <c r="AK62" s="83" t="n"/>
      <c r="AL62" s="83" t="n"/>
      <c r="AM62" s="83" t="n"/>
      <c r="AN62" s="83" t="n"/>
      <c r="AO62" s="83" t="n"/>
      <c r="AP62" s="83" t="n"/>
      <c r="AQ62" s="83" t="n"/>
      <c r="AR62" s="83" t="n"/>
    </row>
    <row r="63">
      <c r="D63" s="84" t="n"/>
      <c r="E63" s="84" t="n"/>
      <c r="F63" s="84" t="n"/>
      <c r="G63" s="84" t="n"/>
      <c r="H63" s="84" t="n"/>
      <c r="I63" s="84" t="n"/>
      <c r="J63" s="84" t="n"/>
      <c r="K63" s="84" t="n"/>
      <c r="L63" s="84" t="n"/>
      <c r="M63" s="84" t="n"/>
      <c r="N63" s="84" t="n"/>
      <c r="O63" s="84" t="n"/>
      <c r="P63" s="84" t="n"/>
      <c r="Q63" s="84" t="n"/>
      <c r="R63" s="84" t="n"/>
      <c r="S63" s="84" t="n"/>
      <c r="T63" s="84" t="n"/>
      <c r="U63" s="84" t="n"/>
      <c r="V63" s="84" t="n"/>
      <c r="W63" s="84" t="n"/>
      <c r="X63" s="84" t="n"/>
      <c r="Y63" s="84" t="n"/>
      <c r="Z63" s="84" t="n"/>
      <c r="AA63" s="84" t="n"/>
      <c r="AB63" s="84" t="n"/>
      <c r="AC63" s="84" t="n"/>
      <c r="AD63" s="84" t="n"/>
      <c r="AE63" s="84" t="n"/>
      <c r="AF63" s="84" t="n"/>
      <c r="AG63" s="84" t="n"/>
      <c r="AH63" s="84" t="n"/>
      <c r="AI63" s="84" t="n"/>
      <c r="AJ63" s="84" t="n"/>
      <c r="AK63" s="84" t="n"/>
      <c r="AL63" s="84" t="n"/>
      <c r="AM63" s="84" t="n"/>
      <c r="AN63" s="84" t="n"/>
      <c r="AO63" s="84" t="n"/>
      <c r="AP63" s="84" t="n"/>
      <c r="AQ63" s="84" t="n"/>
      <c r="AR63" s="84" t="n"/>
    </row>
    <row r="64">
      <c r="D64" s="80" t="n"/>
      <c r="E64" s="80" t="n"/>
      <c r="F64" s="80" t="n"/>
      <c r="G64" s="80" t="n"/>
      <c r="H64" s="80" t="n"/>
      <c r="I64" s="80" t="n"/>
      <c r="J64" s="80" t="n"/>
      <c r="K64" s="80" t="n"/>
      <c r="L64" s="80" t="n"/>
      <c r="M64" s="80" t="n"/>
      <c r="N64" s="80" t="n"/>
      <c r="O64" s="80" t="n"/>
      <c r="P64" s="80" t="n"/>
      <c r="Q64" s="80" t="n"/>
      <c r="R64" s="80" t="n"/>
      <c r="S64" s="80" t="n"/>
      <c r="T64" s="80" t="n"/>
      <c r="U64" s="80" t="n"/>
      <c r="V64" s="80" t="n"/>
      <c r="W64" s="80" t="n"/>
      <c r="X64" s="80" t="n"/>
      <c r="Y64" s="80" t="n"/>
      <c r="Z64" s="80" t="n"/>
      <c r="AA64" s="80" t="n"/>
      <c r="AB64" s="80" t="n"/>
      <c r="AC64" s="80" t="n"/>
      <c r="AD64" s="80" t="n"/>
      <c r="AE64" s="80" t="n"/>
      <c r="AF64" s="80" t="n"/>
      <c r="AG64" s="80" t="n"/>
      <c r="AH64" s="80" t="n"/>
      <c r="AI64" s="80" t="n"/>
      <c r="AJ64" s="80" t="n"/>
      <c r="AK64" s="80" t="n"/>
      <c r="AL64" s="80" t="n"/>
      <c r="AM64" s="80" t="n"/>
      <c r="AN64" s="80" t="n"/>
      <c r="AO64" s="80" t="n"/>
      <c r="AP64" s="80" t="n"/>
      <c r="AQ64" s="80" t="n"/>
      <c r="AR64" s="80" t="n"/>
    </row>
    <row r="65">
      <c r="D65" s="80" t="n"/>
      <c r="E65" s="80" t="n"/>
      <c r="F65" s="80" t="n"/>
      <c r="G65" s="80" t="n"/>
      <c r="H65" s="80" t="n"/>
      <c r="I65" s="80" t="n"/>
      <c r="J65" s="80" t="n"/>
      <c r="K65" s="80" t="n"/>
      <c r="L65" s="80" t="n"/>
      <c r="M65" s="80" t="n"/>
      <c r="N65" s="80" t="n"/>
      <c r="O65" s="80" t="n"/>
      <c r="P65" s="80" t="n"/>
      <c r="Q65" s="80" t="n"/>
      <c r="R65" s="80" t="n"/>
      <c r="S65" s="80" t="n"/>
      <c r="T65" s="80" t="n"/>
      <c r="U65" s="80" t="n"/>
      <c r="V65" s="80" t="n"/>
      <c r="W65" s="80" t="n"/>
      <c r="X65" s="80" t="n"/>
      <c r="Y65" s="80" t="n"/>
      <c r="Z65" s="80" t="n"/>
      <c r="AA65" s="80" t="n"/>
      <c r="AB65" s="80" t="n"/>
      <c r="AC65" s="80" t="n"/>
      <c r="AD65" s="80" t="n"/>
      <c r="AE65" s="80" t="n"/>
      <c r="AF65" s="80" t="n"/>
      <c r="AG65" s="80" t="n"/>
      <c r="AH65" s="80" t="n"/>
      <c r="AI65" s="80" t="n"/>
      <c r="AJ65" s="80" t="n"/>
      <c r="AK65" s="80" t="n"/>
      <c r="AL65" s="80" t="n"/>
      <c r="AM65" s="80" t="n"/>
      <c r="AN65" s="80" t="n"/>
      <c r="AO65" s="80" t="n"/>
      <c r="AP65" s="80" t="n"/>
      <c r="AQ65" s="80" t="n"/>
      <c r="AR65" s="80" t="n"/>
    </row>
    <row r="66">
      <c r="D66" s="80" t="n"/>
      <c r="E66" s="80" t="n"/>
      <c r="F66" s="80" t="n"/>
      <c r="G66" s="80" t="n"/>
      <c r="H66" s="80" t="n"/>
      <c r="I66" s="80" t="n"/>
      <c r="J66" s="80" t="n"/>
      <c r="K66" s="80" t="n"/>
      <c r="L66" s="80" t="n"/>
      <c r="M66" s="80" t="n"/>
      <c r="N66" s="80" t="n"/>
      <c r="O66" s="80" t="n"/>
      <c r="P66" s="80" t="n"/>
      <c r="Q66" s="80" t="n"/>
      <c r="R66" s="80" t="n"/>
      <c r="S66" s="80" t="n"/>
      <c r="T66" s="80" t="n"/>
      <c r="U66" s="80" t="n"/>
      <c r="V66" s="80" t="n"/>
      <c r="W66" s="80" t="n"/>
      <c r="X66" s="80" t="n"/>
      <c r="Y66" s="80" t="n"/>
      <c r="Z66" s="80" t="n"/>
      <c r="AA66" s="80" t="n"/>
      <c r="AB66" s="80" t="n"/>
      <c r="AC66" s="80" t="n"/>
      <c r="AD66" s="80" t="n"/>
      <c r="AE66" s="80" t="n"/>
      <c r="AF66" s="80" t="n"/>
      <c r="AG66" s="80" t="n"/>
      <c r="AH66" s="80" t="n"/>
      <c r="AI66" s="80" t="n"/>
      <c r="AJ66" s="80" t="n"/>
      <c r="AK66" s="80" t="n"/>
      <c r="AL66" s="80" t="n"/>
      <c r="AM66" s="80" t="n"/>
      <c r="AN66" s="80" t="n"/>
      <c r="AO66" s="80" t="n"/>
      <c r="AP66" s="80" t="n"/>
      <c r="AQ66" s="80" t="n"/>
      <c r="AR66" s="80" t="n"/>
    </row>
    <row r="67">
      <c r="D67" s="80" t="n"/>
      <c r="E67" s="80" t="n"/>
      <c r="F67" s="80" t="n"/>
      <c r="G67" s="80" t="n"/>
      <c r="H67" s="80" t="n"/>
      <c r="I67" s="80" t="n"/>
      <c r="J67" s="80" t="n"/>
      <c r="K67" s="80" t="n"/>
      <c r="L67" s="80" t="n"/>
      <c r="M67" s="80" t="n"/>
      <c r="N67" s="80" t="n"/>
      <c r="O67" s="80" t="n"/>
      <c r="P67" s="80" t="n"/>
      <c r="Q67" s="80" t="n"/>
      <c r="R67" s="80" t="n"/>
      <c r="S67" s="80" t="n"/>
      <c r="T67" s="80" t="n"/>
      <c r="U67" s="80" t="n"/>
      <c r="V67" s="80" t="n"/>
      <c r="W67" s="80" t="n"/>
      <c r="X67" s="80" t="n"/>
      <c r="Y67" s="80" t="n"/>
      <c r="Z67" s="80" t="n"/>
      <c r="AA67" s="80" t="n"/>
      <c r="AB67" s="80" t="n"/>
      <c r="AC67" s="80" t="n"/>
      <c r="AD67" s="80" t="n"/>
      <c r="AE67" s="80" t="n"/>
      <c r="AF67" s="80" t="n"/>
      <c r="AG67" s="80" t="n"/>
      <c r="AH67" s="80" t="n"/>
      <c r="AI67" s="80" t="n"/>
      <c r="AJ67" s="80" t="n"/>
      <c r="AK67" s="80" t="n"/>
      <c r="AL67" s="80" t="n"/>
      <c r="AM67" s="80" t="n"/>
      <c r="AN67" s="80" t="n"/>
      <c r="AO67" s="80" t="n"/>
      <c r="AP67" s="80" t="n"/>
      <c r="AQ67" s="80" t="n"/>
      <c r="AR67" s="80" t="n"/>
    </row>
    <row r="69">
      <c r="A69" s="6">
        <f>IF(HSI!$C$11="","",HSI!$C$11)</f>
        <v/>
      </c>
      <c r="B69" s="41">
        <f>IF($A69="",0,COUNT($E70:$AR70))</f>
        <v/>
      </c>
      <c r="C69" s="81">
        <f>IF($B69=0,0,MAX($E70:$AR70))</f>
        <v/>
      </c>
      <c r="D69" s="82">
        <f>BDS($A69,'Field Check'!$C$7,"headers=y","startcol=1","endcol=7","dir=h","DVD_START_DT",Summary!$C$18,"DVD_END_DT",Summary!$D$18)</f>
        <v/>
      </c>
      <c r="E69" s="83" t="n"/>
      <c r="F69" s="83" t="n"/>
      <c r="G69" s="83" t="n"/>
      <c r="H69" s="83" t="n"/>
      <c r="I69" s="83" t="n"/>
      <c r="J69" s="83" t="n"/>
      <c r="K69" s="83" t="n"/>
      <c r="L69" s="83" t="n"/>
      <c r="M69" s="83" t="n"/>
      <c r="N69" s="83" t="n"/>
      <c r="O69" s="83" t="n"/>
      <c r="P69" s="83" t="n"/>
      <c r="Q69" s="83" t="n"/>
      <c r="R69" s="83" t="n"/>
      <c r="S69" s="83" t="n"/>
      <c r="T69" s="83" t="n"/>
      <c r="U69" s="83" t="n"/>
      <c r="V69" s="83" t="n"/>
      <c r="W69" s="83" t="n"/>
      <c r="X69" s="83" t="n"/>
      <c r="Y69" s="83" t="n"/>
      <c r="Z69" s="83" t="n"/>
      <c r="AA69" s="83" t="n"/>
      <c r="AB69" s="83" t="n"/>
      <c r="AC69" s="83" t="n"/>
      <c r="AD69" s="83" t="n"/>
      <c r="AE69" s="83" t="n"/>
      <c r="AF69" s="83" t="n"/>
      <c r="AG69" s="83" t="n"/>
      <c r="AH69" s="83" t="n"/>
      <c r="AI69" s="83" t="n"/>
      <c r="AJ69" s="83" t="n"/>
      <c r="AK69" s="83" t="n"/>
      <c r="AL69" s="83" t="n"/>
      <c r="AM69" s="83" t="n"/>
      <c r="AN69" s="83" t="n"/>
      <c r="AO69" s="83" t="n"/>
      <c r="AP69" s="83" t="n"/>
      <c r="AQ69" s="83" t="n"/>
      <c r="AR69" s="83" t="n"/>
    </row>
    <row r="70">
      <c r="D70" s="83" t="n"/>
      <c r="E70" s="83" t="n"/>
      <c r="F70" s="83" t="n"/>
      <c r="G70" s="83" t="n"/>
      <c r="H70" s="83" t="n"/>
      <c r="I70" s="83" t="n"/>
      <c r="J70" s="83" t="n"/>
      <c r="K70" s="83" t="n"/>
      <c r="L70" s="83" t="n"/>
      <c r="M70" s="83" t="n"/>
      <c r="N70" s="83" t="n"/>
      <c r="O70" s="83" t="n"/>
      <c r="P70" s="83" t="n"/>
      <c r="Q70" s="83" t="n"/>
      <c r="R70" s="83" t="n"/>
      <c r="S70" s="83" t="n"/>
      <c r="T70" s="83" t="n"/>
      <c r="U70" s="83" t="n"/>
      <c r="V70" s="83" t="n"/>
      <c r="W70" s="83" t="n"/>
      <c r="X70" s="83" t="n"/>
      <c r="Y70" s="83" t="n"/>
      <c r="Z70" s="83" t="n"/>
      <c r="AA70" s="83" t="n"/>
      <c r="AB70" s="83" t="n"/>
      <c r="AC70" s="83" t="n"/>
      <c r="AD70" s="83" t="n"/>
      <c r="AE70" s="83" t="n"/>
      <c r="AF70" s="83" t="n"/>
      <c r="AG70" s="83" t="n"/>
      <c r="AH70" s="83" t="n"/>
      <c r="AI70" s="83" t="n"/>
      <c r="AJ70" s="83" t="n"/>
      <c r="AK70" s="83" t="n"/>
      <c r="AL70" s="83" t="n"/>
      <c r="AM70" s="83" t="n"/>
      <c r="AN70" s="83" t="n"/>
      <c r="AO70" s="83" t="n"/>
      <c r="AP70" s="83" t="n"/>
      <c r="AQ70" s="83" t="n"/>
      <c r="AR70" s="83" t="n"/>
    </row>
    <row r="71">
      <c r="D71" s="84" t="n"/>
      <c r="E71" s="84" t="n"/>
      <c r="F71" s="84" t="n"/>
      <c r="G71" s="84" t="n"/>
      <c r="H71" s="84" t="n"/>
      <c r="I71" s="84" t="n"/>
      <c r="J71" s="84" t="n"/>
      <c r="K71" s="84" t="n"/>
      <c r="L71" s="84" t="n"/>
      <c r="M71" s="84" t="n"/>
      <c r="N71" s="84" t="n"/>
      <c r="O71" s="84" t="n"/>
      <c r="P71" s="84" t="n"/>
      <c r="Q71" s="84" t="n"/>
      <c r="R71" s="84" t="n"/>
      <c r="S71" s="84" t="n"/>
      <c r="T71" s="84" t="n"/>
      <c r="U71" s="84" t="n"/>
      <c r="V71" s="84" t="n"/>
      <c r="W71" s="84" t="n"/>
      <c r="X71" s="84" t="n"/>
      <c r="Y71" s="84" t="n"/>
      <c r="Z71" s="84" t="n"/>
      <c r="AA71" s="84" t="n"/>
      <c r="AB71" s="84" t="n"/>
      <c r="AC71" s="84" t="n"/>
      <c r="AD71" s="84" t="n"/>
      <c r="AE71" s="84" t="n"/>
      <c r="AF71" s="84" t="n"/>
      <c r="AG71" s="84" t="n"/>
      <c r="AH71" s="84" t="n"/>
      <c r="AI71" s="84" t="n"/>
      <c r="AJ71" s="84" t="n"/>
      <c r="AK71" s="84" t="n"/>
      <c r="AL71" s="84" t="n"/>
      <c r="AM71" s="84" t="n"/>
      <c r="AN71" s="84" t="n"/>
      <c r="AO71" s="84" t="n"/>
      <c r="AP71" s="84" t="n"/>
      <c r="AQ71" s="84" t="n"/>
      <c r="AR71" s="84" t="n"/>
    </row>
    <row r="72">
      <c r="D72" s="80" t="n"/>
      <c r="E72" s="80" t="n"/>
      <c r="F72" s="80" t="n"/>
      <c r="G72" s="80" t="n"/>
      <c r="H72" s="80" t="n"/>
      <c r="I72" s="80" t="n"/>
      <c r="J72" s="80" t="n"/>
      <c r="K72" s="80" t="n"/>
      <c r="L72" s="80" t="n"/>
      <c r="M72" s="80" t="n"/>
      <c r="N72" s="80" t="n"/>
      <c r="O72" s="80" t="n"/>
      <c r="P72" s="80" t="n"/>
      <c r="Q72" s="80" t="n"/>
      <c r="R72" s="80" t="n"/>
      <c r="S72" s="80" t="n"/>
      <c r="T72" s="80" t="n"/>
      <c r="U72" s="80" t="n"/>
      <c r="V72" s="80" t="n"/>
      <c r="W72" s="80" t="n"/>
      <c r="X72" s="80" t="n"/>
      <c r="Y72" s="80" t="n"/>
      <c r="Z72" s="80" t="n"/>
      <c r="AA72" s="80" t="n"/>
      <c r="AB72" s="80" t="n"/>
      <c r="AC72" s="80" t="n"/>
      <c r="AD72" s="80" t="n"/>
      <c r="AE72" s="80" t="n"/>
      <c r="AF72" s="80" t="n"/>
      <c r="AG72" s="80" t="n"/>
      <c r="AH72" s="80" t="n"/>
      <c r="AI72" s="80" t="n"/>
      <c r="AJ72" s="80" t="n"/>
      <c r="AK72" s="80" t="n"/>
      <c r="AL72" s="80" t="n"/>
      <c r="AM72" s="80" t="n"/>
      <c r="AN72" s="80" t="n"/>
      <c r="AO72" s="80" t="n"/>
      <c r="AP72" s="80" t="n"/>
      <c r="AQ72" s="80" t="n"/>
      <c r="AR72" s="80" t="n"/>
    </row>
    <row r="73">
      <c r="D73" s="80" t="n"/>
      <c r="E73" s="80" t="n"/>
      <c r="F73" s="80" t="n"/>
      <c r="G73" s="80" t="n"/>
      <c r="H73" s="80" t="n"/>
      <c r="I73" s="80" t="n"/>
      <c r="J73" s="80" t="n"/>
      <c r="K73" s="80" t="n"/>
      <c r="L73" s="80" t="n"/>
      <c r="M73" s="80" t="n"/>
      <c r="N73" s="80" t="n"/>
      <c r="O73" s="80" t="n"/>
      <c r="P73" s="80" t="n"/>
      <c r="Q73" s="80" t="n"/>
      <c r="R73" s="80" t="n"/>
      <c r="S73" s="80" t="n"/>
      <c r="T73" s="80" t="n"/>
      <c r="U73" s="80" t="n"/>
      <c r="V73" s="80" t="n"/>
      <c r="W73" s="80" t="n"/>
      <c r="X73" s="80" t="n"/>
      <c r="Y73" s="80" t="n"/>
      <c r="Z73" s="80" t="n"/>
      <c r="AA73" s="80" t="n"/>
      <c r="AB73" s="80" t="n"/>
      <c r="AC73" s="80" t="n"/>
      <c r="AD73" s="80" t="n"/>
      <c r="AE73" s="80" t="n"/>
      <c r="AF73" s="80" t="n"/>
      <c r="AG73" s="80" t="n"/>
      <c r="AH73" s="80" t="n"/>
      <c r="AI73" s="80" t="n"/>
      <c r="AJ73" s="80" t="n"/>
      <c r="AK73" s="80" t="n"/>
      <c r="AL73" s="80" t="n"/>
      <c r="AM73" s="80" t="n"/>
      <c r="AN73" s="80" t="n"/>
      <c r="AO73" s="80" t="n"/>
      <c r="AP73" s="80" t="n"/>
      <c r="AQ73" s="80" t="n"/>
      <c r="AR73" s="80" t="n"/>
    </row>
    <row r="74">
      <c r="D74" s="80" t="n"/>
      <c r="E74" s="80" t="n"/>
      <c r="F74" s="80" t="n"/>
      <c r="G74" s="80" t="n"/>
      <c r="H74" s="80" t="n"/>
      <c r="I74" s="80" t="n"/>
      <c r="J74" s="80" t="n"/>
      <c r="K74" s="80" t="n"/>
      <c r="L74" s="80" t="n"/>
      <c r="M74" s="80" t="n"/>
      <c r="N74" s="80" t="n"/>
      <c r="O74" s="80" t="n"/>
      <c r="P74" s="80" t="n"/>
      <c r="Q74" s="80" t="n"/>
      <c r="R74" s="80" t="n"/>
      <c r="S74" s="80" t="n"/>
      <c r="T74" s="80" t="n"/>
      <c r="U74" s="80" t="n"/>
      <c r="V74" s="80" t="n"/>
      <c r="W74" s="80" t="n"/>
      <c r="X74" s="80" t="n"/>
      <c r="Y74" s="80" t="n"/>
      <c r="Z74" s="80" t="n"/>
      <c r="AA74" s="80" t="n"/>
      <c r="AB74" s="80" t="n"/>
      <c r="AC74" s="80" t="n"/>
      <c r="AD74" s="80" t="n"/>
      <c r="AE74" s="80" t="n"/>
      <c r="AF74" s="80" t="n"/>
      <c r="AG74" s="80" t="n"/>
      <c r="AH74" s="80" t="n"/>
      <c r="AI74" s="80" t="n"/>
      <c r="AJ74" s="80" t="n"/>
      <c r="AK74" s="80" t="n"/>
      <c r="AL74" s="80" t="n"/>
      <c r="AM74" s="80" t="n"/>
      <c r="AN74" s="80" t="n"/>
      <c r="AO74" s="80" t="n"/>
      <c r="AP74" s="80" t="n"/>
      <c r="AQ74" s="80" t="n"/>
      <c r="AR74" s="80" t="n"/>
    </row>
    <row r="75">
      <c r="D75" s="80" t="n"/>
      <c r="E75" s="80" t="n"/>
      <c r="F75" s="80" t="n"/>
      <c r="G75" s="80" t="n"/>
      <c r="H75" s="80" t="n"/>
      <c r="I75" s="80" t="n"/>
      <c r="J75" s="80" t="n"/>
      <c r="K75" s="80" t="n"/>
      <c r="L75" s="80" t="n"/>
      <c r="M75" s="80" t="n"/>
      <c r="N75" s="80" t="n"/>
      <c r="O75" s="80" t="n"/>
      <c r="P75" s="80" t="n"/>
      <c r="Q75" s="80" t="n"/>
      <c r="R75" s="80" t="n"/>
      <c r="S75" s="80" t="n"/>
      <c r="T75" s="80" t="n"/>
      <c r="U75" s="80" t="n"/>
      <c r="V75" s="80" t="n"/>
      <c r="W75" s="80" t="n"/>
      <c r="X75" s="80" t="n"/>
      <c r="Y75" s="80" t="n"/>
      <c r="Z75" s="80" t="n"/>
      <c r="AA75" s="80" t="n"/>
      <c r="AB75" s="80" t="n"/>
      <c r="AC75" s="80" t="n"/>
      <c r="AD75" s="80" t="n"/>
      <c r="AE75" s="80" t="n"/>
      <c r="AF75" s="80" t="n"/>
      <c r="AG75" s="80" t="n"/>
      <c r="AH75" s="80" t="n"/>
      <c r="AI75" s="80" t="n"/>
      <c r="AJ75" s="80" t="n"/>
      <c r="AK75" s="80" t="n"/>
      <c r="AL75" s="80" t="n"/>
      <c r="AM75" s="80" t="n"/>
      <c r="AN75" s="80" t="n"/>
      <c r="AO75" s="80" t="n"/>
      <c r="AP75" s="80" t="n"/>
      <c r="AQ75" s="80" t="n"/>
      <c r="AR75" s="80" t="n"/>
    </row>
    <row r="76">
      <c r="A76" s="2">
        <f>IF($A69="","","   projections")</f>
        <v/>
      </c>
      <c r="B76" s="41">
        <f>IF($A69="",0,COUNT($E77:$AR77))</f>
        <v/>
      </c>
      <c r="C76" s="81">
        <f>IF($B76=0,0,MAX($E77:$AR77))</f>
        <v/>
      </c>
      <c r="D76" s="82">
        <f>BDS($A69,'Field Check'!$C$6,"headers=y","startcol=1","endcol=7","dir=h")</f>
        <v/>
      </c>
      <c r="E76" s="83" t="n"/>
      <c r="F76" s="83" t="n"/>
      <c r="G76" s="83" t="n"/>
      <c r="H76" s="83" t="n"/>
      <c r="I76" s="83" t="n"/>
      <c r="J76" s="83" t="n"/>
      <c r="K76" s="83" t="n"/>
      <c r="L76" s="83" t="n"/>
      <c r="M76" s="83" t="n"/>
      <c r="N76" s="83" t="n"/>
      <c r="O76" s="83" t="n"/>
      <c r="P76" s="83" t="n"/>
      <c r="Q76" s="83" t="n"/>
      <c r="R76" s="83" t="n"/>
      <c r="S76" s="83" t="n"/>
      <c r="T76" s="83" t="n"/>
      <c r="U76" s="83" t="n"/>
      <c r="V76" s="83" t="n"/>
      <c r="W76" s="83" t="n"/>
      <c r="X76" s="83" t="n"/>
      <c r="Y76" s="83" t="n"/>
      <c r="Z76" s="83" t="n"/>
      <c r="AA76" s="83" t="n"/>
      <c r="AB76" s="83" t="n"/>
      <c r="AC76" s="83" t="n"/>
      <c r="AD76" s="83" t="n"/>
      <c r="AE76" s="83" t="n"/>
      <c r="AF76" s="83" t="n"/>
      <c r="AG76" s="83" t="n"/>
      <c r="AH76" s="83" t="n"/>
      <c r="AI76" s="83" t="n"/>
      <c r="AJ76" s="83" t="n"/>
      <c r="AK76" s="83" t="n"/>
      <c r="AL76" s="83" t="n"/>
      <c r="AM76" s="83" t="n"/>
      <c r="AN76" s="83" t="n"/>
      <c r="AO76" s="83" t="n"/>
      <c r="AP76" s="83" t="n"/>
      <c r="AQ76" s="83" t="n"/>
      <c r="AR76" s="83" t="n"/>
    </row>
    <row r="77">
      <c r="D77" s="83" t="n"/>
      <c r="E77" s="83" t="n"/>
      <c r="F77" s="83" t="n"/>
      <c r="G77" s="83" t="n"/>
      <c r="H77" s="83" t="n"/>
      <c r="I77" s="83" t="n"/>
      <c r="J77" s="83" t="n"/>
      <c r="K77" s="83" t="n"/>
      <c r="L77" s="83" t="n"/>
      <c r="M77" s="83" t="n"/>
      <c r="N77" s="83" t="n"/>
      <c r="O77" s="83" t="n"/>
      <c r="P77" s="83" t="n"/>
      <c r="Q77" s="83" t="n"/>
      <c r="R77" s="83" t="n"/>
      <c r="S77" s="83" t="n"/>
      <c r="T77" s="83" t="n"/>
      <c r="U77" s="83" t="n"/>
      <c r="V77" s="83" t="n"/>
      <c r="W77" s="83" t="n"/>
      <c r="X77" s="83" t="n"/>
      <c r="Y77" s="83" t="n"/>
      <c r="Z77" s="83" t="n"/>
      <c r="AA77" s="83" t="n"/>
      <c r="AB77" s="83" t="n"/>
      <c r="AC77" s="83" t="n"/>
      <c r="AD77" s="83" t="n"/>
      <c r="AE77" s="83" t="n"/>
      <c r="AF77" s="83" t="n"/>
      <c r="AG77" s="83" t="n"/>
      <c r="AH77" s="83" t="n"/>
      <c r="AI77" s="83" t="n"/>
      <c r="AJ77" s="83" t="n"/>
      <c r="AK77" s="83" t="n"/>
      <c r="AL77" s="83" t="n"/>
      <c r="AM77" s="83" t="n"/>
      <c r="AN77" s="83" t="n"/>
      <c r="AO77" s="83" t="n"/>
      <c r="AP77" s="83" t="n"/>
      <c r="AQ77" s="83" t="n"/>
      <c r="AR77" s="83" t="n"/>
    </row>
    <row r="78">
      <c r="D78" s="84" t="n"/>
      <c r="E78" s="84" t="n"/>
      <c r="F78" s="84" t="n"/>
      <c r="G78" s="84" t="n"/>
      <c r="H78" s="84" t="n"/>
      <c r="I78" s="84" t="n"/>
      <c r="J78" s="84" t="n"/>
      <c r="K78" s="84" t="n"/>
      <c r="L78" s="84" t="n"/>
      <c r="M78" s="84" t="n"/>
      <c r="N78" s="84" t="n"/>
      <c r="O78" s="84" t="n"/>
      <c r="P78" s="84" t="n"/>
      <c r="Q78" s="84" t="n"/>
      <c r="R78" s="84" t="n"/>
      <c r="S78" s="84" t="n"/>
      <c r="T78" s="84" t="n"/>
      <c r="U78" s="84" t="n"/>
      <c r="V78" s="84" t="n"/>
      <c r="W78" s="84" t="n"/>
      <c r="X78" s="84" t="n"/>
      <c r="Y78" s="84" t="n"/>
      <c r="Z78" s="84" t="n"/>
      <c r="AA78" s="84" t="n"/>
      <c r="AB78" s="84" t="n"/>
      <c r="AC78" s="84" t="n"/>
      <c r="AD78" s="84" t="n"/>
      <c r="AE78" s="84" t="n"/>
      <c r="AF78" s="84" t="n"/>
      <c r="AG78" s="84" t="n"/>
      <c r="AH78" s="84" t="n"/>
      <c r="AI78" s="84" t="n"/>
      <c r="AJ78" s="84" t="n"/>
      <c r="AK78" s="84" t="n"/>
      <c r="AL78" s="84" t="n"/>
      <c r="AM78" s="84" t="n"/>
      <c r="AN78" s="84" t="n"/>
      <c r="AO78" s="84" t="n"/>
      <c r="AP78" s="84" t="n"/>
      <c r="AQ78" s="84" t="n"/>
      <c r="AR78" s="84" t="n"/>
    </row>
    <row r="79">
      <c r="D79" s="80" t="n"/>
      <c r="E79" s="80" t="n"/>
      <c r="F79" s="80" t="n"/>
      <c r="G79" s="80" t="n"/>
      <c r="H79" s="80" t="n"/>
      <c r="I79" s="80" t="n"/>
      <c r="J79" s="80" t="n"/>
      <c r="K79" s="80" t="n"/>
      <c r="L79" s="80" t="n"/>
      <c r="M79" s="80" t="n"/>
      <c r="N79" s="80" t="n"/>
      <c r="O79" s="80" t="n"/>
      <c r="P79" s="80" t="n"/>
      <c r="Q79" s="80" t="n"/>
      <c r="R79" s="80" t="n"/>
      <c r="S79" s="80" t="n"/>
      <c r="T79" s="80" t="n"/>
      <c r="U79" s="80" t="n"/>
      <c r="V79" s="80" t="n"/>
      <c r="W79" s="80" t="n"/>
      <c r="X79" s="80" t="n"/>
      <c r="Y79" s="80" t="n"/>
      <c r="Z79" s="80" t="n"/>
      <c r="AA79" s="80" t="n"/>
      <c r="AB79" s="80" t="n"/>
      <c r="AC79" s="80" t="n"/>
      <c r="AD79" s="80" t="n"/>
      <c r="AE79" s="80" t="n"/>
      <c r="AF79" s="80" t="n"/>
      <c r="AG79" s="80" t="n"/>
      <c r="AH79" s="80" t="n"/>
      <c r="AI79" s="80" t="n"/>
      <c r="AJ79" s="80" t="n"/>
      <c r="AK79" s="80" t="n"/>
      <c r="AL79" s="80" t="n"/>
      <c r="AM79" s="80" t="n"/>
      <c r="AN79" s="80" t="n"/>
      <c r="AO79" s="80" t="n"/>
      <c r="AP79" s="80" t="n"/>
      <c r="AQ79" s="80" t="n"/>
      <c r="AR79" s="80" t="n"/>
    </row>
    <row r="80">
      <c r="D80" s="80" t="n"/>
      <c r="E80" s="80" t="n"/>
      <c r="F80" s="80" t="n"/>
      <c r="G80" s="80" t="n"/>
      <c r="H80" s="80" t="n"/>
      <c r="I80" s="80" t="n"/>
      <c r="J80" s="80" t="n"/>
      <c r="K80" s="80" t="n"/>
      <c r="L80" s="80" t="n"/>
      <c r="M80" s="80" t="n"/>
      <c r="N80" s="80" t="n"/>
      <c r="O80" s="80" t="n"/>
      <c r="P80" s="80" t="n"/>
      <c r="Q80" s="80" t="n"/>
      <c r="R80" s="80" t="n"/>
      <c r="S80" s="80" t="n"/>
      <c r="T80" s="80" t="n"/>
      <c r="U80" s="80" t="n"/>
      <c r="V80" s="80" t="n"/>
      <c r="W80" s="80" t="n"/>
      <c r="X80" s="80" t="n"/>
      <c r="Y80" s="80" t="n"/>
      <c r="Z80" s="80" t="n"/>
      <c r="AA80" s="80" t="n"/>
      <c r="AB80" s="80" t="n"/>
      <c r="AC80" s="80" t="n"/>
      <c r="AD80" s="80" t="n"/>
      <c r="AE80" s="80" t="n"/>
      <c r="AF80" s="80" t="n"/>
      <c r="AG80" s="80" t="n"/>
      <c r="AH80" s="80" t="n"/>
      <c r="AI80" s="80" t="n"/>
      <c r="AJ80" s="80" t="n"/>
      <c r="AK80" s="80" t="n"/>
      <c r="AL80" s="80" t="n"/>
      <c r="AM80" s="80" t="n"/>
      <c r="AN80" s="80" t="n"/>
      <c r="AO80" s="80" t="n"/>
      <c r="AP80" s="80" t="n"/>
      <c r="AQ80" s="80" t="n"/>
      <c r="AR80" s="80" t="n"/>
    </row>
    <row r="81">
      <c r="D81" s="80" t="n"/>
      <c r="E81" s="80" t="n"/>
      <c r="F81" s="80" t="n"/>
      <c r="G81" s="80" t="n"/>
      <c r="H81" s="80" t="n"/>
      <c r="I81" s="80" t="n"/>
      <c r="J81" s="80" t="n"/>
      <c r="K81" s="80" t="n"/>
      <c r="L81" s="80" t="n"/>
      <c r="M81" s="80" t="n"/>
      <c r="N81" s="80" t="n"/>
      <c r="O81" s="80" t="n"/>
      <c r="P81" s="80" t="n"/>
      <c r="Q81" s="80" t="n"/>
      <c r="R81" s="80" t="n"/>
      <c r="S81" s="80" t="n"/>
      <c r="T81" s="80" t="n"/>
      <c r="U81" s="80" t="n"/>
      <c r="V81" s="80" t="n"/>
      <c r="W81" s="80" t="n"/>
      <c r="X81" s="80" t="n"/>
      <c r="Y81" s="80" t="n"/>
      <c r="Z81" s="80" t="n"/>
      <c r="AA81" s="80" t="n"/>
      <c r="AB81" s="80" t="n"/>
      <c r="AC81" s="80" t="n"/>
      <c r="AD81" s="80" t="n"/>
      <c r="AE81" s="80" t="n"/>
      <c r="AF81" s="80" t="n"/>
      <c r="AG81" s="80" t="n"/>
      <c r="AH81" s="80" t="n"/>
      <c r="AI81" s="80" t="n"/>
      <c r="AJ81" s="80" t="n"/>
      <c r="AK81" s="80" t="n"/>
      <c r="AL81" s="80" t="n"/>
      <c r="AM81" s="80" t="n"/>
      <c r="AN81" s="80" t="n"/>
      <c r="AO81" s="80" t="n"/>
      <c r="AP81" s="80" t="n"/>
      <c r="AQ81" s="80" t="n"/>
      <c r="AR81" s="80" t="n"/>
    </row>
    <row r="82">
      <c r="D82" s="80" t="n"/>
      <c r="E82" s="80" t="n"/>
      <c r="F82" s="80" t="n"/>
      <c r="G82" s="80" t="n"/>
      <c r="H82" s="80" t="n"/>
      <c r="I82" s="80" t="n"/>
      <c r="J82" s="80" t="n"/>
      <c r="K82" s="80" t="n"/>
      <c r="L82" s="80" t="n"/>
      <c r="M82" s="80" t="n"/>
      <c r="N82" s="80" t="n"/>
      <c r="O82" s="80" t="n"/>
      <c r="P82" s="80" t="n"/>
      <c r="Q82" s="80" t="n"/>
      <c r="R82" s="80" t="n"/>
      <c r="S82" s="80" t="n"/>
      <c r="T82" s="80" t="n"/>
      <c r="U82" s="80" t="n"/>
      <c r="V82" s="80" t="n"/>
      <c r="W82" s="80" t="n"/>
      <c r="X82" s="80" t="n"/>
      <c r="Y82" s="80" t="n"/>
      <c r="Z82" s="80" t="n"/>
      <c r="AA82" s="80" t="n"/>
      <c r="AB82" s="80" t="n"/>
      <c r="AC82" s="80" t="n"/>
      <c r="AD82" s="80" t="n"/>
      <c r="AE82" s="80" t="n"/>
      <c r="AF82" s="80" t="n"/>
      <c r="AG82" s="80" t="n"/>
      <c r="AH82" s="80" t="n"/>
      <c r="AI82" s="80" t="n"/>
      <c r="AJ82" s="80" t="n"/>
      <c r="AK82" s="80" t="n"/>
      <c r="AL82" s="80" t="n"/>
      <c r="AM82" s="80" t="n"/>
      <c r="AN82" s="80" t="n"/>
      <c r="AO82" s="80" t="n"/>
      <c r="AP82" s="80" t="n"/>
      <c r="AQ82" s="80" t="n"/>
      <c r="AR82" s="80" t="n"/>
    </row>
    <row r="84">
      <c r="A84" s="6">
        <f>IF(HSI!$C$12="","",HSI!$C$12)</f>
        <v/>
      </c>
      <c r="B84" s="41">
        <f>IF($A84="",0,COUNT($E85:$AR85))</f>
        <v/>
      </c>
      <c r="C84" s="81">
        <f>IF($B84=0,0,MAX($E85:$AR85))</f>
        <v/>
      </c>
      <c r="D84" s="82">
        <f>BDS($A84,'Field Check'!$C$7,"headers=y","startcol=1","endcol=7","dir=h","DVD_START_DT",Summary!$C$18,"DVD_END_DT",Summary!$D$18)</f>
        <v/>
      </c>
      <c r="E84" s="83" t="n"/>
      <c r="F84" s="83" t="n"/>
      <c r="G84" s="83" t="n"/>
      <c r="H84" s="83" t="n"/>
      <c r="I84" s="83" t="n"/>
      <c r="J84" s="83" t="n"/>
      <c r="K84" s="83" t="n"/>
      <c r="L84" s="83" t="n"/>
      <c r="M84" s="83" t="n"/>
      <c r="N84" s="83" t="n"/>
      <c r="O84" s="83" t="n"/>
      <c r="P84" s="83" t="n"/>
      <c r="Q84" s="83" t="n"/>
      <c r="R84" s="83" t="n"/>
      <c r="S84" s="83" t="n"/>
      <c r="T84" s="83" t="n"/>
      <c r="U84" s="83" t="n"/>
      <c r="V84" s="83" t="n"/>
      <c r="W84" s="83" t="n"/>
      <c r="X84" s="83" t="n"/>
      <c r="Y84" s="83" t="n"/>
      <c r="Z84" s="83" t="n"/>
      <c r="AA84" s="83" t="n"/>
      <c r="AB84" s="83" t="n"/>
      <c r="AC84" s="83" t="n"/>
      <c r="AD84" s="83" t="n"/>
      <c r="AE84" s="83" t="n"/>
      <c r="AF84" s="83" t="n"/>
      <c r="AG84" s="83" t="n"/>
      <c r="AH84" s="83" t="n"/>
      <c r="AI84" s="83" t="n"/>
      <c r="AJ84" s="83" t="n"/>
      <c r="AK84" s="83" t="n"/>
      <c r="AL84" s="83" t="n"/>
      <c r="AM84" s="83" t="n"/>
      <c r="AN84" s="83" t="n"/>
      <c r="AO84" s="83" t="n"/>
      <c r="AP84" s="83" t="n"/>
      <c r="AQ84" s="83" t="n"/>
      <c r="AR84" s="83" t="n"/>
    </row>
    <row r="85">
      <c r="D85" s="83" t="n"/>
      <c r="E85" s="83" t="n"/>
      <c r="F85" s="83" t="n"/>
      <c r="G85" s="83" t="n"/>
      <c r="H85" s="83" t="n"/>
      <c r="I85" s="83" t="n"/>
      <c r="J85" s="83" t="n"/>
      <c r="K85" s="83" t="n"/>
      <c r="L85" s="83" t="n"/>
      <c r="M85" s="83" t="n"/>
      <c r="N85" s="83" t="n"/>
      <c r="O85" s="83" t="n"/>
      <c r="P85" s="83" t="n"/>
      <c r="Q85" s="83" t="n"/>
      <c r="R85" s="83" t="n"/>
      <c r="S85" s="83" t="n"/>
      <c r="T85" s="83" t="n"/>
      <c r="U85" s="83" t="n"/>
      <c r="V85" s="83" t="n"/>
      <c r="W85" s="83" t="n"/>
      <c r="X85" s="83" t="n"/>
      <c r="Y85" s="83" t="n"/>
      <c r="Z85" s="83" t="n"/>
      <c r="AA85" s="83" t="n"/>
      <c r="AB85" s="83" t="n"/>
      <c r="AC85" s="83" t="n"/>
      <c r="AD85" s="83" t="n"/>
      <c r="AE85" s="83" t="n"/>
      <c r="AF85" s="83" t="n"/>
      <c r="AG85" s="83" t="n"/>
      <c r="AH85" s="83" t="n"/>
      <c r="AI85" s="83" t="n"/>
      <c r="AJ85" s="83" t="n"/>
      <c r="AK85" s="83" t="n"/>
      <c r="AL85" s="83" t="n"/>
      <c r="AM85" s="83" t="n"/>
      <c r="AN85" s="83" t="n"/>
      <c r="AO85" s="83" t="n"/>
      <c r="AP85" s="83" t="n"/>
      <c r="AQ85" s="83" t="n"/>
      <c r="AR85" s="83" t="n"/>
    </row>
    <row r="86">
      <c r="D86" s="84" t="n"/>
      <c r="E86" s="84" t="n"/>
      <c r="F86" s="84" t="n"/>
      <c r="G86" s="84" t="n"/>
      <c r="H86" s="84" t="n"/>
      <c r="I86" s="84" t="n"/>
      <c r="J86" s="84" t="n"/>
      <c r="K86" s="84" t="n"/>
      <c r="L86" s="84" t="n"/>
      <c r="M86" s="84" t="n"/>
      <c r="N86" s="84" t="n"/>
      <c r="O86" s="84" t="n"/>
      <c r="P86" s="84" t="n"/>
      <c r="Q86" s="84" t="n"/>
      <c r="R86" s="84" t="n"/>
      <c r="S86" s="84" t="n"/>
      <c r="T86" s="84" t="n"/>
      <c r="U86" s="84" t="n"/>
      <c r="V86" s="84" t="n"/>
      <c r="W86" s="84" t="n"/>
      <c r="X86" s="84" t="n"/>
      <c r="Y86" s="84" t="n"/>
      <c r="Z86" s="84" t="n"/>
      <c r="AA86" s="84" t="n"/>
      <c r="AB86" s="84" t="n"/>
      <c r="AC86" s="84" t="n"/>
      <c r="AD86" s="84" t="n"/>
      <c r="AE86" s="84" t="n"/>
      <c r="AF86" s="84" t="n"/>
      <c r="AG86" s="84" t="n"/>
      <c r="AH86" s="84" t="n"/>
      <c r="AI86" s="84" t="n"/>
      <c r="AJ86" s="84" t="n"/>
      <c r="AK86" s="84" t="n"/>
      <c r="AL86" s="84" t="n"/>
      <c r="AM86" s="84" t="n"/>
      <c r="AN86" s="84" t="n"/>
      <c r="AO86" s="84" t="n"/>
      <c r="AP86" s="84" t="n"/>
      <c r="AQ86" s="84" t="n"/>
      <c r="AR86" s="84" t="n"/>
    </row>
    <row r="87">
      <c r="D87" s="80" t="n"/>
      <c r="E87" s="80" t="n"/>
      <c r="F87" s="80" t="n"/>
      <c r="G87" s="80" t="n"/>
      <c r="H87" s="80" t="n"/>
      <c r="I87" s="80" t="n"/>
      <c r="J87" s="80" t="n"/>
      <c r="K87" s="80" t="n"/>
      <c r="L87" s="80" t="n"/>
      <c r="M87" s="80" t="n"/>
      <c r="N87" s="80" t="n"/>
      <c r="O87" s="80" t="n"/>
      <c r="P87" s="80" t="n"/>
      <c r="Q87" s="80" t="n"/>
      <c r="R87" s="80" t="n"/>
      <c r="S87" s="80" t="n"/>
      <c r="T87" s="80" t="n"/>
      <c r="U87" s="80" t="n"/>
      <c r="V87" s="80" t="n"/>
      <c r="W87" s="80" t="n"/>
      <c r="X87" s="80" t="n"/>
      <c r="Y87" s="80" t="n"/>
      <c r="Z87" s="80" t="n"/>
      <c r="AA87" s="80" t="n"/>
      <c r="AB87" s="80" t="n"/>
      <c r="AC87" s="80" t="n"/>
      <c r="AD87" s="80" t="n"/>
      <c r="AE87" s="80" t="n"/>
      <c r="AF87" s="80" t="n"/>
      <c r="AG87" s="80" t="n"/>
      <c r="AH87" s="80" t="n"/>
      <c r="AI87" s="80" t="n"/>
      <c r="AJ87" s="80" t="n"/>
      <c r="AK87" s="80" t="n"/>
      <c r="AL87" s="80" t="n"/>
      <c r="AM87" s="80" t="n"/>
      <c r="AN87" s="80" t="n"/>
      <c r="AO87" s="80" t="n"/>
      <c r="AP87" s="80" t="n"/>
      <c r="AQ87" s="80" t="n"/>
      <c r="AR87" s="80" t="n"/>
    </row>
    <row r="88">
      <c r="D88" s="80" t="n"/>
      <c r="E88" s="80" t="n"/>
      <c r="F88" s="80" t="n"/>
      <c r="G88" s="80" t="n"/>
      <c r="H88" s="80" t="n"/>
      <c r="I88" s="80" t="n"/>
      <c r="J88" s="80" t="n"/>
      <c r="K88" s="80" t="n"/>
      <c r="L88" s="80" t="n"/>
      <c r="M88" s="80" t="n"/>
      <c r="N88" s="80" t="n"/>
      <c r="O88" s="80" t="n"/>
      <c r="P88" s="80" t="n"/>
      <c r="Q88" s="80" t="n"/>
      <c r="R88" s="80" t="n"/>
      <c r="S88" s="80" t="n"/>
      <c r="T88" s="80" t="n"/>
      <c r="U88" s="80" t="n"/>
      <c r="V88" s="80" t="n"/>
      <c r="W88" s="80" t="n"/>
      <c r="X88" s="80" t="n"/>
      <c r="Y88" s="80" t="n"/>
      <c r="Z88" s="80" t="n"/>
      <c r="AA88" s="80" t="n"/>
      <c r="AB88" s="80" t="n"/>
      <c r="AC88" s="80" t="n"/>
      <c r="AD88" s="80" t="n"/>
      <c r="AE88" s="80" t="n"/>
      <c r="AF88" s="80" t="n"/>
      <c r="AG88" s="80" t="n"/>
      <c r="AH88" s="80" t="n"/>
      <c r="AI88" s="80" t="n"/>
      <c r="AJ88" s="80" t="n"/>
      <c r="AK88" s="80" t="n"/>
      <c r="AL88" s="80" t="n"/>
      <c r="AM88" s="80" t="n"/>
      <c r="AN88" s="80" t="n"/>
      <c r="AO88" s="80" t="n"/>
      <c r="AP88" s="80" t="n"/>
      <c r="AQ88" s="80" t="n"/>
      <c r="AR88" s="80" t="n"/>
    </row>
    <row r="89">
      <c r="D89" s="80" t="n"/>
      <c r="E89" s="80" t="n"/>
      <c r="F89" s="80" t="n"/>
      <c r="G89" s="80" t="n"/>
      <c r="H89" s="80" t="n"/>
      <c r="I89" s="80" t="n"/>
      <c r="J89" s="80" t="n"/>
      <c r="K89" s="80" t="n"/>
      <c r="L89" s="80" t="n"/>
      <c r="M89" s="80" t="n"/>
      <c r="N89" s="80" t="n"/>
      <c r="O89" s="80" t="n"/>
      <c r="P89" s="80" t="n"/>
      <c r="Q89" s="80" t="n"/>
      <c r="R89" s="80" t="n"/>
      <c r="S89" s="80" t="n"/>
      <c r="T89" s="80" t="n"/>
      <c r="U89" s="80" t="n"/>
      <c r="V89" s="80" t="n"/>
      <c r="W89" s="80" t="n"/>
      <c r="X89" s="80" t="n"/>
      <c r="Y89" s="80" t="n"/>
      <c r="Z89" s="80" t="n"/>
      <c r="AA89" s="80" t="n"/>
      <c r="AB89" s="80" t="n"/>
      <c r="AC89" s="80" t="n"/>
      <c r="AD89" s="80" t="n"/>
      <c r="AE89" s="80" t="n"/>
      <c r="AF89" s="80" t="n"/>
      <c r="AG89" s="80" t="n"/>
      <c r="AH89" s="80" t="n"/>
      <c r="AI89" s="80" t="n"/>
      <c r="AJ89" s="80" t="n"/>
      <c r="AK89" s="80" t="n"/>
      <c r="AL89" s="80" t="n"/>
      <c r="AM89" s="80" t="n"/>
      <c r="AN89" s="80" t="n"/>
      <c r="AO89" s="80" t="n"/>
      <c r="AP89" s="80" t="n"/>
      <c r="AQ89" s="80" t="n"/>
      <c r="AR89" s="80" t="n"/>
    </row>
    <row r="90">
      <c r="D90" s="80" t="n"/>
      <c r="E90" s="80" t="n"/>
      <c r="F90" s="80" t="n"/>
      <c r="G90" s="80" t="n"/>
      <c r="H90" s="80" t="n"/>
      <c r="I90" s="80" t="n"/>
      <c r="J90" s="80" t="n"/>
      <c r="K90" s="80" t="n"/>
      <c r="L90" s="80" t="n"/>
      <c r="M90" s="80" t="n"/>
      <c r="N90" s="80" t="n"/>
      <c r="O90" s="80" t="n"/>
      <c r="P90" s="80" t="n"/>
      <c r="Q90" s="80" t="n"/>
      <c r="R90" s="80" t="n"/>
      <c r="S90" s="80" t="n"/>
      <c r="T90" s="80" t="n"/>
      <c r="U90" s="80" t="n"/>
      <c r="V90" s="80" t="n"/>
      <c r="W90" s="80" t="n"/>
      <c r="X90" s="80" t="n"/>
      <c r="Y90" s="80" t="n"/>
      <c r="Z90" s="80" t="n"/>
      <c r="AA90" s="80" t="n"/>
      <c r="AB90" s="80" t="n"/>
      <c r="AC90" s="80" t="n"/>
      <c r="AD90" s="80" t="n"/>
      <c r="AE90" s="80" t="n"/>
      <c r="AF90" s="80" t="n"/>
      <c r="AG90" s="80" t="n"/>
      <c r="AH90" s="80" t="n"/>
      <c r="AI90" s="80" t="n"/>
      <c r="AJ90" s="80" t="n"/>
      <c r="AK90" s="80" t="n"/>
      <c r="AL90" s="80" t="n"/>
      <c r="AM90" s="80" t="n"/>
      <c r="AN90" s="80" t="n"/>
      <c r="AO90" s="80" t="n"/>
      <c r="AP90" s="80" t="n"/>
      <c r="AQ90" s="80" t="n"/>
      <c r="AR90" s="80" t="n"/>
    </row>
    <row r="91">
      <c r="A91" s="2">
        <f>IF($A84="","","   projections")</f>
        <v/>
      </c>
      <c r="B91" s="41">
        <f>IF($A84="",0,COUNT($E92:$AR92))</f>
        <v/>
      </c>
      <c r="C91" s="81">
        <f>IF($B91=0,0,MAX($E92:$AR92))</f>
        <v/>
      </c>
      <c r="D91" s="82">
        <f>BDS($A84,'Field Check'!$C$6,"headers=y","startcol=1","endcol=7","dir=h")</f>
        <v/>
      </c>
      <c r="E91" s="83" t="n"/>
      <c r="F91" s="83" t="n"/>
      <c r="G91" s="83" t="n"/>
      <c r="H91" s="83" t="n"/>
      <c r="I91" s="83" t="n"/>
      <c r="J91" s="83" t="n"/>
      <c r="K91" s="83" t="n"/>
      <c r="L91" s="83" t="n"/>
      <c r="M91" s="83" t="n"/>
      <c r="N91" s="83" t="n"/>
      <c r="O91" s="83" t="n"/>
      <c r="P91" s="83" t="n"/>
      <c r="Q91" s="83" t="n"/>
      <c r="R91" s="83" t="n"/>
      <c r="S91" s="83" t="n"/>
      <c r="T91" s="83" t="n"/>
      <c r="U91" s="83" t="n"/>
      <c r="V91" s="83" t="n"/>
      <c r="W91" s="83" t="n"/>
      <c r="X91" s="83" t="n"/>
      <c r="Y91" s="83" t="n"/>
      <c r="Z91" s="83" t="n"/>
      <c r="AA91" s="83" t="n"/>
      <c r="AB91" s="83" t="n"/>
      <c r="AC91" s="83" t="n"/>
      <c r="AD91" s="83" t="n"/>
      <c r="AE91" s="83" t="n"/>
      <c r="AF91" s="83" t="n"/>
      <c r="AG91" s="83" t="n"/>
      <c r="AH91" s="83" t="n"/>
      <c r="AI91" s="83" t="n"/>
      <c r="AJ91" s="83" t="n"/>
      <c r="AK91" s="83" t="n"/>
      <c r="AL91" s="83" t="n"/>
      <c r="AM91" s="83" t="n"/>
      <c r="AN91" s="83" t="n"/>
      <c r="AO91" s="83" t="n"/>
      <c r="AP91" s="83" t="n"/>
      <c r="AQ91" s="83" t="n"/>
      <c r="AR91" s="83" t="n"/>
    </row>
    <row r="92">
      <c r="D92" s="83" t="n"/>
      <c r="E92" s="83" t="n"/>
      <c r="F92" s="83" t="n"/>
      <c r="G92" s="83" t="n"/>
      <c r="H92" s="83" t="n"/>
      <c r="I92" s="83" t="n"/>
      <c r="J92" s="83" t="n"/>
      <c r="K92" s="83" t="n"/>
      <c r="L92" s="83" t="n"/>
      <c r="M92" s="83" t="n"/>
      <c r="N92" s="83" t="n"/>
      <c r="O92" s="83" t="n"/>
      <c r="P92" s="83" t="n"/>
      <c r="Q92" s="83" t="n"/>
      <c r="R92" s="83" t="n"/>
      <c r="S92" s="83" t="n"/>
      <c r="T92" s="83" t="n"/>
      <c r="U92" s="83" t="n"/>
      <c r="V92" s="83" t="n"/>
      <c r="W92" s="83" t="n"/>
      <c r="X92" s="83" t="n"/>
      <c r="Y92" s="83" t="n"/>
      <c r="Z92" s="83" t="n"/>
      <c r="AA92" s="83" t="n"/>
      <c r="AB92" s="83" t="n"/>
      <c r="AC92" s="83" t="n"/>
      <c r="AD92" s="83" t="n"/>
      <c r="AE92" s="83" t="n"/>
      <c r="AF92" s="83" t="n"/>
      <c r="AG92" s="83" t="n"/>
      <c r="AH92" s="83" t="n"/>
      <c r="AI92" s="83" t="n"/>
      <c r="AJ92" s="83" t="n"/>
      <c r="AK92" s="83" t="n"/>
      <c r="AL92" s="83" t="n"/>
      <c r="AM92" s="83" t="n"/>
      <c r="AN92" s="83" t="n"/>
      <c r="AO92" s="83" t="n"/>
      <c r="AP92" s="83" t="n"/>
      <c r="AQ92" s="83" t="n"/>
      <c r="AR92" s="83" t="n"/>
    </row>
    <row r="93">
      <c r="D93" s="84" t="n"/>
      <c r="E93" s="84" t="n"/>
      <c r="F93" s="84" t="n"/>
      <c r="G93" s="84" t="n"/>
      <c r="H93" s="84" t="n"/>
      <c r="I93" s="84" t="n"/>
      <c r="J93" s="84" t="n"/>
      <c r="K93" s="84" t="n"/>
      <c r="L93" s="84" t="n"/>
      <c r="M93" s="84" t="n"/>
      <c r="N93" s="84" t="n"/>
      <c r="O93" s="84" t="n"/>
      <c r="P93" s="84" t="n"/>
      <c r="Q93" s="84" t="n"/>
      <c r="R93" s="84" t="n"/>
      <c r="S93" s="84" t="n"/>
      <c r="T93" s="84" t="n"/>
      <c r="U93" s="84" t="n"/>
      <c r="V93" s="84" t="n"/>
      <c r="W93" s="84" t="n"/>
      <c r="X93" s="84" t="n"/>
      <c r="Y93" s="84" t="n"/>
      <c r="Z93" s="84" t="n"/>
      <c r="AA93" s="84" t="n"/>
      <c r="AB93" s="84" t="n"/>
      <c r="AC93" s="84" t="n"/>
      <c r="AD93" s="84" t="n"/>
      <c r="AE93" s="84" t="n"/>
      <c r="AF93" s="84" t="n"/>
      <c r="AG93" s="84" t="n"/>
      <c r="AH93" s="84" t="n"/>
      <c r="AI93" s="84" t="n"/>
      <c r="AJ93" s="84" t="n"/>
      <c r="AK93" s="84" t="n"/>
      <c r="AL93" s="84" t="n"/>
      <c r="AM93" s="84" t="n"/>
      <c r="AN93" s="84" t="n"/>
      <c r="AO93" s="84" t="n"/>
      <c r="AP93" s="84" t="n"/>
      <c r="AQ93" s="84" t="n"/>
      <c r="AR93" s="84" t="n"/>
    </row>
    <row r="94">
      <c r="D94" s="80" t="n"/>
      <c r="E94" s="80" t="n"/>
      <c r="F94" s="80" t="n"/>
      <c r="G94" s="80" t="n"/>
      <c r="H94" s="80" t="n"/>
      <c r="I94" s="80" t="n"/>
      <c r="J94" s="80" t="n"/>
      <c r="K94" s="80" t="n"/>
      <c r="L94" s="80" t="n"/>
      <c r="M94" s="80" t="n"/>
      <c r="N94" s="80" t="n"/>
      <c r="O94" s="80" t="n"/>
      <c r="P94" s="80" t="n"/>
      <c r="Q94" s="80" t="n"/>
      <c r="R94" s="80" t="n"/>
      <c r="S94" s="80" t="n"/>
      <c r="T94" s="80" t="n"/>
      <c r="U94" s="80" t="n"/>
      <c r="V94" s="80" t="n"/>
      <c r="W94" s="80" t="n"/>
      <c r="X94" s="80" t="n"/>
      <c r="Y94" s="80" t="n"/>
      <c r="Z94" s="80" t="n"/>
      <c r="AA94" s="80" t="n"/>
      <c r="AB94" s="80" t="n"/>
      <c r="AC94" s="80" t="n"/>
      <c r="AD94" s="80" t="n"/>
      <c r="AE94" s="80" t="n"/>
      <c r="AF94" s="80" t="n"/>
      <c r="AG94" s="80" t="n"/>
      <c r="AH94" s="80" t="n"/>
      <c r="AI94" s="80" t="n"/>
      <c r="AJ94" s="80" t="n"/>
      <c r="AK94" s="80" t="n"/>
      <c r="AL94" s="80" t="n"/>
      <c r="AM94" s="80" t="n"/>
      <c r="AN94" s="80" t="n"/>
      <c r="AO94" s="80" t="n"/>
      <c r="AP94" s="80" t="n"/>
      <c r="AQ94" s="80" t="n"/>
      <c r="AR94" s="80" t="n"/>
    </row>
    <row r="95">
      <c r="D95" s="80" t="n"/>
      <c r="E95" s="80" t="n"/>
      <c r="F95" s="80" t="n"/>
      <c r="G95" s="80" t="n"/>
      <c r="H95" s="80" t="n"/>
      <c r="I95" s="80" t="n"/>
      <c r="J95" s="80" t="n"/>
      <c r="K95" s="80" t="n"/>
      <c r="L95" s="80" t="n"/>
      <c r="M95" s="80" t="n"/>
      <c r="N95" s="80" t="n"/>
      <c r="O95" s="80" t="n"/>
      <c r="P95" s="80" t="n"/>
      <c r="Q95" s="80" t="n"/>
      <c r="R95" s="80" t="n"/>
      <c r="S95" s="80" t="n"/>
      <c r="T95" s="80" t="n"/>
      <c r="U95" s="80" t="n"/>
      <c r="V95" s="80" t="n"/>
      <c r="W95" s="80" t="n"/>
      <c r="X95" s="80" t="n"/>
      <c r="Y95" s="80" t="n"/>
      <c r="Z95" s="80" t="n"/>
      <c r="AA95" s="80" t="n"/>
      <c r="AB95" s="80" t="n"/>
      <c r="AC95" s="80" t="n"/>
      <c r="AD95" s="80" t="n"/>
      <c r="AE95" s="80" t="n"/>
      <c r="AF95" s="80" t="n"/>
      <c r="AG95" s="80" t="n"/>
      <c r="AH95" s="80" t="n"/>
      <c r="AI95" s="80" t="n"/>
      <c r="AJ95" s="80" t="n"/>
      <c r="AK95" s="80" t="n"/>
      <c r="AL95" s="80" t="n"/>
      <c r="AM95" s="80" t="n"/>
      <c r="AN95" s="80" t="n"/>
      <c r="AO95" s="80" t="n"/>
      <c r="AP95" s="80" t="n"/>
      <c r="AQ95" s="80" t="n"/>
      <c r="AR95" s="80" t="n"/>
    </row>
    <row r="96">
      <c r="D96" s="80" t="n"/>
      <c r="E96" s="80" t="n"/>
      <c r="F96" s="80" t="n"/>
      <c r="G96" s="80" t="n"/>
      <c r="H96" s="80" t="n"/>
      <c r="I96" s="80" t="n"/>
      <c r="J96" s="80" t="n"/>
      <c r="K96" s="80" t="n"/>
      <c r="L96" s="80" t="n"/>
      <c r="M96" s="80" t="n"/>
      <c r="N96" s="80" t="n"/>
      <c r="O96" s="80" t="n"/>
      <c r="P96" s="80" t="n"/>
      <c r="Q96" s="80" t="n"/>
      <c r="R96" s="80" t="n"/>
      <c r="S96" s="80" t="n"/>
      <c r="T96" s="80" t="n"/>
      <c r="U96" s="80" t="n"/>
      <c r="V96" s="80" t="n"/>
      <c r="W96" s="80" t="n"/>
      <c r="X96" s="80" t="n"/>
      <c r="Y96" s="80" t="n"/>
      <c r="Z96" s="80" t="n"/>
      <c r="AA96" s="80" t="n"/>
      <c r="AB96" s="80" t="n"/>
      <c r="AC96" s="80" t="n"/>
      <c r="AD96" s="80" t="n"/>
      <c r="AE96" s="80" t="n"/>
      <c r="AF96" s="80" t="n"/>
      <c r="AG96" s="80" t="n"/>
      <c r="AH96" s="80" t="n"/>
      <c r="AI96" s="80" t="n"/>
      <c r="AJ96" s="80" t="n"/>
      <c r="AK96" s="80" t="n"/>
      <c r="AL96" s="80" t="n"/>
      <c r="AM96" s="80" t="n"/>
      <c r="AN96" s="80" t="n"/>
      <c r="AO96" s="80" t="n"/>
      <c r="AP96" s="80" t="n"/>
      <c r="AQ96" s="80" t="n"/>
      <c r="AR96" s="80" t="n"/>
    </row>
    <row r="97">
      <c r="D97" s="80" t="n"/>
      <c r="E97" s="80" t="n"/>
      <c r="F97" s="80" t="n"/>
      <c r="G97" s="80" t="n"/>
      <c r="H97" s="80" t="n"/>
      <c r="I97" s="80" t="n"/>
      <c r="J97" s="80" t="n"/>
      <c r="K97" s="80" t="n"/>
      <c r="L97" s="80" t="n"/>
      <c r="M97" s="80" t="n"/>
      <c r="N97" s="80" t="n"/>
      <c r="O97" s="80" t="n"/>
      <c r="P97" s="80" t="n"/>
      <c r="Q97" s="80" t="n"/>
      <c r="R97" s="80" t="n"/>
      <c r="S97" s="80" t="n"/>
      <c r="T97" s="80" t="n"/>
      <c r="U97" s="80" t="n"/>
      <c r="V97" s="80" t="n"/>
      <c r="W97" s="80" t="n"/>
      <c r="X97" s="80" t="n"/>
      <c r="Y97" s="80" t="n"/>
      <c r="Z97" s="80" t="n"/>
      <c r="AA97" s="80" t="n"/>
      <c r="AB97" s="80" t="n"/>
      <c r="AC97" s="80" t="n"/>
      <c r="AD97" s="80" t="n"/>
      <c r="AE97" s="80" t="n"/>
      <c r="AF97" s="80" t="n"/>
      <c r="AG97" s="80" t="n"/>
      <c r="AH97" s="80" t="n"/>
      <c r="AI97" s="80" t="n"/>
      <c r="AJ97" s="80" t="n"/>
      <c r="AK97" s="80" t="n"/>
      <c r="AL97" s="80" t="n"/>
      <c r="AM97" s="80" t="n"/>
      <c r="AN97" s="80" t="n"/>
      <c r="AO97" s="80" t="n"/>
      <c r="AP97" s="80" t="n"/>
      <c r="AQ97" s="80" t="n"/>
      <c r="AR97" s="80" t="n"/>
    </row>
    <row r="99">
      <c r="A99" s="6">
        <f>IF(HSI!$C$13="","",HSI!$C$13)</f>
        <v/>
      </c>
      <c r="B99" s="41">
        <f>IF($A99="",0,COUNT($E100:$AR100))</f>
        <v/>
      </c>
      <c r="C99" s="81">
        <f>IF($B99=0,0,MAX($E100:$AR100))</f>
        <v/>
      </c>
      <c r="D99" s="82">
        <f>BDS($A99,'Field Check'!$C$7,"headers=y","startcol=1","endcol=7","dir=h","DVD_START_DT",Summary!$C$18,"DVD_END_DT",Summary!$D$18)</f>
        <v/>
      </c>
      <c r="E99" s="83" t="n"/>
      <c r="F99" s="83" t="n"/>
      <c r="G99" s="83" t="n"/>
      <c r="H99" s="83" t="n"/>
      <c r="I99" s="83" t="n"/>
      <c r="J99" s="83" t="n"/>
      <c r="K99" s="83" t="n"/>
      <c r="L99" s="83" t="n"/>
      <c r="M99" s="83" t="n"/>
      <c r="N99" s="83" t="n"/>
      <c r="O99" s="83" t="n"/>
      <c r="P99" s="83" t="n"/>
      <c r="Q99" s="83" t="n"/>
      <c r="R99" s="83" t="n"/>
      <c r="S99" s="83" t="n"/>
      <c r="T99" s="83" t="n"/>
      <c r="U99" s="83" t="n"/>
      <c r="V99" s="83" t="n"/>
      <c r="W99" s="83" t="n"/>
      <c r="X99" s="83" t="n"/>
      <c r="Y99" s="83" t="n"/>
      <c r="Z99" s="83" t="n"/>
      <c r="AA99" s="83" t="n"/>
      <c r="AB99" s="83" t="n"/>
      <c r="AC99" s="83" t="n"/>
      <c r="AD99" s="83" t="n"/>
      <c r="AE99" s="83" t="n"/>
      <c r="AF99" s="83" t="n"/>
      <c r="AG99" s="83" t="n"/>
      <c r="AH99" s="83" t="n"/>
      <c r="AI99" s="83" t="n"/>
      <c r="AJ99" s="83" t="n"/>
      <c r="AK99" s="83" t="n"/>
      <c r="AL99" s="83" t="n"/>
      <c r="AM99" s="83" t="n"/>
      <c r="AN99" s="83" t="n"/>
      <c r="AO99" s="83" t="n"/>
      <c r="AP99" s="83" t="n"/>
      <c r="AQ99" s="83" t="n"/>
      <c r="AR99" s="83" t="n"/>
    </row>
    <row r="100">
      <c r="D100" s="83" t="n"/>
      <c r="E100" s="83" t="n"/>
      <c r="F100" s="83" t="n"/>
      <c r="G100" s="83" t="n"/>
      <c r="H100" s="83" t="n"/>
      <c r="I100" s="83" t="n"/>
      <c r="J100" s="83" t="n"/>
      <c r="K100" s="83" t="n"/>
      <c r="L100" s="83" t="n"/>
      <c r="M100" s="83" t="n"/>
      <c r="N100" s="83" t="n"/>
      <c r="O100" s="83" t="n"/>
      <c r="P100" s="83" t="n"/>
      <c r="Q100" s="83" t="n"/>
      <c r="R100" s="83" t="n"/>
      <c r="S100" s="83" t="n"/>
      <c r="T100" s="83" t="n"/>
      <c r="U100" s="83" t="n"/>
      <c r="V100" s="83" t="n"/>
      <c r="W100" s="83" t="n"/>
      <c r="X100" s="83" t="n"/>
      <c r="Y100" s="83" t="n"/>
      <c r="Z100" s="83" t="n"/>
      <c r="AA100" s="83" t="n"/>
      <c r="AB100" s="83" t="n"/>
      <c r="AC100" s="83" t="n"/>
      <c r="AD100" s="83" t="n"/>
      <c r="AE100" s="83" t="n"/>
      <c r="AF100" s="83" t="n"/>
      <c r="AG100" s="83" t="n"/>
      <c r="AH100" s="83" t="n"/>
      <c r="AI100" s="83" t="n"/>
      <c r="AJ100" s="83" t="n"/>
      <c r="AK100" s="83" t="n"/>
      <c r="AL100" s="83" t="n"/>
      <c r="AM100" s="83" t="n"/>
      <c r="AN100" s="83" t="n"/>
      <c r="AO100" s="83" t="n"/>
      <c r="AP100" s="83" t="n"/>
      <c r="AQ100" s="83" t="n"/>
      <c r="AR100" s="83" t="n"/>
    </row>
    <row r="101">
      <c r="D101" s="84" t="n"/>
      <c r="E101" s="84" t="n"/>
      <c r="F101" s="84" t="n"/>
      <c r="G101" s="84" t="n"/>
      <c r="H101" s="84" t="n"/>
      <c r="I101" s="84" t="n"/>
      <c r="J101" s="84" t="n"/>
      <c r="K101" s="84" t="n"/>
      <c r="L101" s="84" t="n"/>
      <c r="M101" s="84" t="n"/>
      <c r="N101" s="84" t="n"/>
      <c r="O101" s="84" t="n"/>
      <c r="P101" s="84" t="n"/>
      <c r="Q101" s="84" t="n"/>
      <c r="R101" s="84" t="n"/>
      <c r="S101" s="84" t="n"/>
      <c r="T101" s="84" t="n"/>
      <c r="U101" s="84" t="n"/>
      <c r="V101" s="84" t="n"/>
      <c r="W101" s="84" t="n"/>
      <c r="X101" s="84" t="n"/>
      <c r="Y101" s="84" t="n"/>
      <c r="Z101" s="84" t="n"/>
      <c r="AA101" s="84" t="n"/>
      <c r="AB101" s="84" t="n"/>
      <c r="AC101" s="84" t="n"/>
      <c r="AD101" s="84" t="n"/>
      <c r="AE101" s="84" t="n"/>
      <c r="AF101" s="84" t="n"/>
      <c r="AG101" s="84" t="n"/>
      <c r="AH101" s="84" t="n"/>
      <c r="AI101" s="84" t="n"/>
      <c r="AJ101" s="84" t="n"/>
      <c r="AK101" s="84" t="n"/>
      <c r="AL101" s="84" t="n"/>
      <c r="AM101" s="84" t="n"/>
      <c r="AN101" s="84" t="n"/>
      <c r="AO101" s="84" t="n"/>
      <c r="AP101" s="84" t="n"/>
      <c r="AQ101" s="84" t="n"/>
      <c r="AR101" s="84" t="n"/>
    </row>
    <row r="102">
      <c r="D102" s="80" t="n"/>
      <c r="E102" s="80" t="n"/>
      <c r="F102" s="80" t="n"/>
      <c r="G102" s="80" t="n"/>
      <c r="H102" s="80" t="n"/>
      <c r="I102" s="80" t="n"/>
      <c r="J102" s="80" t="n"/>
      <c r="K102" s="80" t="n"/>
      <c r="L102" s="80" t="n"/>
      <c r="M102" s="80" t="n"/>
      <c r="N102" s="80" t="n"/>
      <c r="O102" s="80" t="n"/>
      <c r="P102" s="80" t="n"/>
      <c r="Q102" s="80" t="n"/>
      <c r="R102" s="80" t="n"/>
      <c r="S102" s="80" t="n"/>
      <c r="T102" s="80" t="n"/>
      <c r="U102" s="80" t="n"/>
      <c r="V102" s="80" t="n"/>
      <c r="W102" s="80" t="n"/>
      <c r="X102" s="80" t="n"/>
      <c r="Y102" s="80" t="n"/>
      <c r="Z102" s="80" t="n"/>
      <c r="AA102" s="80" t="n"/>
      <c r="AB102" s="80" t="n"/>
      <c r="AC102" s="80" t="n"/>
      <c r="AD102" s="80" t="n"/>
      <c r="AE102" s="80" t="n"/>
      <c r="AF102" s="80" t="n"/>
      <c r="AG102" s="80" t="n"/>
      <c r="AH102" s="80" t="n"/>
      <c r="AI102" s="80" t="n"/>
      <c r="AJ102" s="80" t="n"/>
      <c r="AK102" s="80" t="n"/>
      <c r="AL102" s="80" t="n"/>
      <c r="AM102" s="80" t="n"/>
      <c r="AN102" s="80" t="n"/>
      <c r="AO102" s="80" t="n"/>
      <c r="AP102" s="80" t="n"/>
      <c r="AQ102" s="80" t="n"/>
      <c r="AR102" s="80" t="n"/>
    </row>
    <row r="103">
      <c r="D103" s="80" t="n"/>
      <c r="E103" s="80" t="n"/>
      <c r="F103" s="80" t="n"/>
      <c r="G103" s="80" t="n"/>
      <c r="H103" s="80" t="n"/>
      <c r="I103" s="80" t="n"/>
      <c r="J103" s="80" t="n"/>
      <c r="K103" s="80" t="n"/>
      <c r="L103" s="80" t="n"/>
      <c r="M103" s="80" t="n"/>
      <c r="N103" s="80" t="n"/>
      <c r="O103" s="80" t="n"/>
      <c r="P103" s="80" t="n"/>
      <c r="Q103" s="80" t="n"/>
      <c r="R103" s="80" t="n"/>
      <c r="S103" s="80" t="n"/>
      <c r="T103" s="80" t="n"/>
      <c r="U103" s="80" t="n"/>
      <c r="V103" s="80" t="n"/>
      <c r="W103" s="80" t="n"/>
      <c r="X103" s="80" t="n"/>
      <c r="Y103" s="80" t="n"/>
      <c r="Z103" s="80" t="n"/>
      <c r="AA103" s="80" t="n"/>
      <c r="AB103" s="80" t="n"/>
      <c r="AC103" s="80" t="n"/>
      <c r="AD103" s="80" t="n"/>
      <c r="AE103" s="80" t="n"/>
      <c r="AF103" s="80" t="n"/>
      <c r="AG103" s="80" t="n"/>
      <c r="AH103" s="80" t="n"/>
      <c r="AI103" s="80" t="n"/>
      <c r="AJ103" s="80" t="n"/>
      <c r="AK103" s="80" t="n"/>
      <c r="AL103" s="80" t="n"/>
      <c r="AM103" s="80" t="n"/>
      <c r="AN103" s="80" t="n"/>
      <c r="AO103" s="80" t="n"/>
      <c r="AP103" s="80" t="n"/>
      <c r="AQ103" s="80" t="n"/>
      <c r="AR103" s="80" t="n"/>
    </row>
    <row r="104">
      <c r="D104" s="80" t="n"/>
      <c r="E104" s="80" t="n"/>
      <c r="F104" s="80" t="n"/>
      <c r="G104" s="80" t="n"/>
      <c r="H104" s="80" t="n"/>
      <c r="I104" s="80" t="n"/>
      <c r="J104" s="80" t="n"/>
      <c r="K104" s="80" t="n"/>
      <c r="L104" s="80" t="n"/>
      <c r="M104" s="80" t="n"/>
      <c r="N104" s="80" t="n"/>
      <c r="O104" s="80" t="n"/>
      <c r="P104" s="80" t="n"/>
      <c r="Q104" s="80" t="n"/>
      <c r="R104" s="80" t="n"/>
      <c r="S104" s="80" t="n"/>
      <c r="T104" s="80" t="n"/>
      <c r="U104" s="80" t="n"/>
      <c r="V104" s="80" t="n"/>
      <c r="W104" s="80" t="n"/>
      <c r="X104" s="80" t="n"/>
      <c r="Y104" s="80" t="n"/>
      <c r="Z104" s="80" t="n"/>
      <c r="AA104" s="80" t="n"/>
      <c r="AB104" s="80" t="n"/>
      <c r="AC104" s="80" t="n"/>
      <c r="AD104" s="80" t="n"/>
      <c r="AE104" s="80" t="n"/>
      <c r="AF104" s="80" t="n"/>
      <c r="AG104" s="80" t="n"/>
      <c r="AH104" s="80" t="n"/>
      <c r="AI104" s="80" t="n"/>
      <c r="AJ104" s="80" t="n"/>
      <c r="AK104" s="80" t="n"/>
      <c r="AL104" s="80" t="n"/>
      <c r="AM104" s="80" t="n"/>
      <c r="AN104" s="80" t="n"/>
      <c r="AO104" s="80" t="n"/>
      <c r="AP104" s="80" t="n"/>
      <c r="AQ104" s="80" t="n"/>
      <c r="AR104" s="80" t="n"/>
    </row>
    <row r="105">
      <c r="D105" s="80" t="n"/>
      <c r="E105" s="80" t="n"/>
      <c r="F105" s="80" t="n"/>
      <c r="G105" s="80" t="n"/>
      <c r="H105" s="80" t="n"/>
      <c r="I105" s="80" t="n"/>
      <c r="J105" s="80" t="n"/>
      <c r="K105" s="80" t="n"/>
      <c r="L105" s="80" t="n"/>
      <c r="M105" s="80" t="n"/>
      <c r="N105" s="80" t="n"/>
      <c r="O105" s="80" t="n"/>
      <c r="P105" s="80" t="n"/>
      <c r="Q105" s="80" t="n"/>
      <c r="R105" s="80" t="n"/>
      <c r="S105" s="80" t="n"/>
      <c r="T105" s="80" t="n"/>
      <c r="U105" s="80" t="n"/>
      <c r="V105" s="80" t="n"/>
      <c r="W105" s="80" t="n"/>
      <c r="X105" s="80" t="n"/>
      <c r="Y105" s="80" t="n"/>
      <c r="Z105" s="80" t="n"/>
      <c r="AA105" s="80" t="n"/>
      <c r="AB105" s="80" t="n"/>
      <c r="AC105" s="80" t="n"/>
      <c r="AD105" s="80" t="n"/>
      <c r="AE105" s="80" t="n"/>
      <c r="AF105" s="80" t="n"/>
      <c r="AG105" s="80" t="n"/>
      <c r="AH105" s="80" t="n"/>
      <c r="AI105" s="80" t="n"/>
      <c r="AJ105" s="80" t="n"/>
      <c r="AK105" s="80" t="n"/>
      <c r="AL105" s="80" t="n"/>
      <c r="AM105" s="80" t="n"/>
      <c r="AN105" s="80" t="n"/>
      <c r="AO105" s="80" t="n"/>
      <c r="AP105" s="80" t="n"/>
      <c r="AQ105" s="80" t="n"/>
      <c r="AR105" s="80" t="n"/>
    </row>
    <row r="106">
      <c r="A106" s="2">
        <f>IF($A99="","","   projections")</f>
        <v/>
      </c>
      <c r="B106" s="41">
        <f>IF($A99="",0,COUNT($E107:$AR107))</f>
        <v/>
      </c>
      <c r="C106" s="81">
        <f>IF($B106=0,0,MAX($E107:$AR107))</f>
        <v/>
      </c>
      <c r="D106" s="82">
        <f>BDS($A99,'Field Check'!$C$6,"headers=y","startcol=1","endcol=7","dir=h")</f>
        <v/>
      </c>
      <c r="E106" s="83" t="n"/>
      <c r="F106" s="83" t="n"/>
      <c r="G106" s="83" t="n"/>
      <c r="H106" s="83" t="n"/>
      <c r="I106" s="83" t="n"/>
      <c r="J106" s="83" t="n"/>
      <c r="K106" s="83" t="n"/>
      <c r="L106" s="83" t="n"/>
      <c r="M106" s="83" t="n"/>
      <c r="N106" s="83" t="n"/>
      <c r="O106" s="83" t="n"/>
      <c r="P106" s="83" t="n"/>
      <c r="Q106" s="83" t="n"/>
      <c r="R106" s="83" t="n"/>
      <c r="S106" s="83" t="n"/>
      <c r="T106" s="83" t="n"/>
      <c r="U106" s="83" t="n"/>
      <c r="V106" s="83" t="n"/>
      <c r="W106" s="83" t="n"/>
      <c r="X106" s="83" t="n"/>
      <c r="Y106" s="83" t="n"/>
      <c r="Z106" s="83" t="n"/>
      <c r="AA106" s="83" t="n"/>
      <c r="AB106" s="83" t="n"/>
      <c r="AC106" s="83" t="n"/>
      <c r="AD106" s="83" t="n"/>
      <c r="AE106" s="83" t="n"/>
      <c r="AF106" s="83" t="n"/>
      <c r="AG106" s="83" t="n"/>
      <c r="AH106" s="83" t="n"/>
      <c r="AI106" s="83" t="n"/>
      <c r="AJ106" s="83" t="n"/>
      <c r="AK106" s="83" t="n"/>
      <c r="AL106" s="83" t="n"/>
      <c r="AM106" s="83" t="n"/>
      <c r="AN106" s="83" t="n"/>
      <c r="AO106" s="83" t="n"/>
      <c r="AP106" s="83" t="n"/>
      <c r="AQ106" s="83" t="n"/>
      <c r="AR106" s="83" t="n"/>
    </row>
    <row r="107">
      <c r="D107" s="83" t="n"/>
      <c r="E107" s="83" t="n"/>
      <c r="F107" s="83" t="n"/>
      <c r="G107" s="83" t="n"/>
      <c r="H107" s="83" t="n"/>
      <c r="I107" s="83" t="n"/>
      <c r="J107" s="83" t="n"/>
      <c r="K107" s="83" t="n"/>
      <c r="L107" s="83" t="n"/>
      <c r="M107" s="83" t="n"/>
      <c r="N107" s="83" t="n"/>
      <c r="O107" s="83" t="n"/>
      <c r="P107" s="83" t="n"/>
      <c r="Q107" s="83" t="n"/>
      <c r="R107" s="83" t="n"/>
      <c r="S107" s="83" t="n"/>
      <c r="T107" s="83" t="n"/>
      <c r="U107" s="83" t="n"/>
      <c r="V107" s="83" t="n"/>
      <c r="W107" s="83" t="n"/>
      <c r="X107" s="83" t="n"/>
      <c r="Y107" s="83" t="n"/>
      <c r="Z107" s="83" t="n"/>
      <c r="AA107" s="83" t="n"/>
      <c r="AB107" s="83" t="n"/>
      <c r="AC107" s="83" t="n"/>
      <c r="AD107" s="83" t="n"/>
      <c r="AE107" s="83" t="n"/>
      <c r="AF107" s="83" t="n"/>
      <c r="AG107" s="83" t="n"/>
      <c r="AH107" s="83" t="n"/>
      <c r="AI107" s="83" t="n"/>
      <c r="AJ107" s="83" t="n"/>
      <c r="AK107" s="83" t="n"/>
      <c r="AL107" s="83" t="n"/>
      <c r="AM107" s="83" t="n"/>
      <c r="AN107" s="83" t="n"/>
      <c r="AO107" s="83" t="n"/>
      <c r="AP107" s="83" t="n"/>
      <c r="AQ107" s="83" t="n"/>
      <c r="AR107" s="83" t="n"/>
    </row>
    <row r="108">
      <c r="D108" s="84" t="n"/>
      <c r="E108" s="84" t="n"/>
      <c r="F108" s="84" t="n"/>
      <c r="G108" s="84" t="n"/>
      <c r="H108" s="84" t="n"/>
      <c r="I108" s="84" t="n"/>
      <c r="J108" s="84" t="n"/>
      <c r="K108" s="84" t="n"/>
      <c r="L108" s="84" t="n"/>
      <c r="M108" s="84" t="n"/>
      <c r="N108" s="84" t="n"/>
      <c r="O108" s="84" t="n"/>
      <c r="P108" s="84" t="n"/>
      <c r="Q108" s="84" t="n"/>
      <c r="R108" s="84" t="n"/>
      <c r="S108" s="84" t="n"/>
      <c r="T108" s="84" t="n"/>
      <c r="U108" s="84" t="n"/>
      <c r="V108" s="84" t="n"/>
      <c r="W108" s="84" t="n"/>
      <c r="X108" s="84" t="n"/>
      <c r="Y108" s="84" t="n"/>
      <c r="Z108" s="84" t="n"/>
      <c r="AA108" s="84" t="n"/>
      <c r="AB108" s="84" t="n"/>
      <c r="AC108" s="84" t="n"/>
      <c r="AD108" s="84" t="n"/>
      <c r="AE108" s="84" t="n"/>
      <c r="AF108" s="84" t="n"/>
      <c r="AG108" s="84" t="n"/>
      <c r="AH108" s="84" t="n"/>
      <c r="AI108" s="84" t="n"/>
      <c r="AJ108" s="84" t="n"/>
      <c r="AK108" s="84" t="n"/>
      <c r="AL108" s="84" t="n"/>
      <c r="AM108" s="84" t="n"/>
      <c r="AN108" s="84" t="n"/>
      <c r="AO108" s="84" t="n"/>
      <c r="AP108" s="84" t="n"/>
      <c r="AQ108" s="84" t="n"/>
      <c r="AR108" s="84" t="n"/>
    </row>
    <row r="109">
      <c r="D109" s="80" t="n"/>
      <c r="E109" s="80" t="n"/>
      <c r="F109" s="80" t="n"/>
      <c r="G109" s="80" t="n"/>
      <c r="H109" s="80" t="n"/>
      <c r="I109" s="80" t="n"/>
      <c r="J109" s="80" t="n"/>
      <c r="K109" s="80" t="n"/>
      <c r="L109" s="80" t="n"/>
      <c r="M109" s="80" t="n"/>
      <c r="N109" s="80" t="n"/>
      <c r="O109" s="80" t="n"/>
      <c r="P109" s="80" t="n"/>
      <c r="Q109" s="80" t="n"/>
      <c r="R109" s="80" t="n"/>
      <c r="S109" s="80" t="n"/>
      <c r="T109" s="80" t="n"/>
      <c r="U109" s="80" t="n"/>
      <c r="V109" s="80" t="n"/>
      <c r="W109" s="80" t="n"/>
      <c r="X109" s="80" t="n"/>
      <c r="Y109" s="80" t="n"/>
      <c r="Z109" s="80" t="n"/>
      <c r="AA109" s="80" t="n"/>
      <c r="AB109" s="80" t="n"/>
      <c r="AC109" s="80" t="n"/>
      <c r="AD109" s="80" t="n"/>
      <c r="AE109" s="80" t="n"/>
      <c r="AF109" s="80" t="n"/>
      <c r="AG109" s="80" t="n"/>
      <c r="AH109" s="80" t="n"/>
      <c r="AI109" s="80" t="n"/>
      <c r="AJ109" s="80" t="n"/>
      <c r="AK109" s="80" t="n"/>
      <c r="AL109" s="80" t="n"/>
      <c r="AM109" s="80" t="n"/>
      <c r="AN109" s="80" t="n"/>
      <c r="AO109" s="80" t="n"/>
      <c r="AP109" s="80" t="n"/>
      <c r="AQ109" s="80" t="n"/>
      <c r="AR109" s="80" t="n"/>
    </row>
    <row r="110">
      <c r="D110" s="80" t="n"/>
      <c r="E110" s="80" t="n"/>
      <c r="F110" s="80" t="n"/>
      <c r="G110" s="80" t="n"/>
      <c r="H110" s="80" t="n"/>
      <c r="I110" s="80" t="n"/>
      <c r="J110" s="80" t="n"/>
      <c r="K110" s="80" t="n"/>
      <c r="L110" s="80" t="n"/>
      <c r="M110" s="80" t="n"/>
      <c r="N110" s="80" t="n"/>
      <c r="O110" s="80" t="n"/>
      <c r="P110" s="80" t="n"/>
      <c r="Q110" s="80" t="n"/>
      <c r="R110" s="80" t="n"/>
      <c r="S110" s="80" t="n"/>
      <c r="T110" s="80" t="n"/>
      <c r="U110" s="80" t="n"/>
      <c r="V110" s="80" t="n"/>
      <c r="W110" s="80" t="n"/>
      <c r="X110" s="80" t="n"/>
      <c r="Y110" s="80" t="n"/>
      <c r="Z110" s="80" t="n"/>
      <c r="AA110" s="80" t="n"/>
      <c r="AB110" s="80" t="n"/>
      <c r="AC110" s="80" t="n"/>
      <c r="AD110" s="80" t="n"/>
      <c r="AE110" s="80" t="n"/>
      <c r="AF110" s="80" t="n"/>
      <c r="AG110" s="80" t="n"/>
      <c r="AH110" s="80" t="n"/>
      <c r="AI110" s="80" t="n"/>
      <c r="AJ110" s="80" t="n"/>
      <c r="AK110" s="80" t="n"/>
      <c r="AL110" s="80" t="n"/>
      <c r="AM110" s="80" t="n"/>
      <c r="AN110" s="80" t="n"/>
      <c r="AO110" s="80" t="n"/>
      <c r="AP110" s="80" t="n"/>
      <c r="AQ110" s="80" t="n"/>
      <c r="AR110" s="80" t="n"/>
    </row>
    <row r="111">
      <c r="D111" s="80" t="n"/>
      <c r="E111" s="80" t="n"/>
      <c r="F111" s="80" t="n"/>
      <c r="G111" s="80" t="n"/>
      <c r="H111" s="80" t="n"/>
      <c r="I111" s="80" t="n"/>
      <c r="J111" s="80" t="n"/>
      <c r="K111" s="80" t="n"/>
      <c r="L111" s="80" t="n"/>
      <c r="M111" s="80" t="n"/>
      <c r="N111" s="80" t="n"/>
      <c r="O111" s="80" t="n"/>
      <c r="P111" s="80" t="n"/>
      <c r="Q111" s="80" t="n"/>
      <c r="R111" s="80" t="n"/>
      <c r="S111" s="80" t="n"/>
      <c r="T111" s="80" t="n"/>
      <c r="U111" s="80" t="n"/>
      <c r="V111" s="80" t="n"/>
      <c r="W111" s="80" t="n"/>
      <c r="X111" s="80" t="n"/>
      <c r="Y111" s="80" t="n"/>
      <c r="Z111" s="80" t="n"/>
      <c r="AA111" s="80" t="n"/>
      <c r="AB111" s="80" t="n"/>
      <c r="AC111" s="80" t="n"/>
      <c r="AD111" s="80" t="n"/>
      <c r="AE111" s="80" t="n"/>
      <c r="AF111" s="80" t="n"/>
      <c r="AG111" s="80" t="n"/>
      <c r="AH111" s="80" t="n"/>
      <c r="AI111" s="80" t="n"/>
      <c r="AJ111" s="80" t="n"/>
      <c r="AK111" s="80" t="n"/>
      <c r="AL111" s="80" t="n"/>
      <c r="AM111" s="80" t="n"/>
      <c r="AN111" s="80" t="n"/>
      <c r="AO111" s="80" t="n"/>
      <c r="AP111" s="80" t="n"/>
      <c r="AQ111" s="80" t="n"/>
      <c r="AR111" s="80" t="n"/>
    </row>
    <row r="112">
      <c r="D112" s="80" t="n"/>
      <c r="E112" s="80" t="n"/>
      <c r="F112" s="80" t="n"/>
      <c r="G112" s="80" t="n"/>
      <c r="H112" s="80" t="n"/>
      <c r="I112" s="80" t="n"/>
      <c r="J112" s="80" t="n"/>
      <c r="K112" s="80" t="n"/>
      <c r="L112" s="80" t="n"/>
      <c r="M112" s="80" t="n"/>
      <c r="N112" s="80" t="n"/>
      <c r="O112" s="80" t="n"/>
      <c r="P112" s="80" t="n"/>
      <c r="Q112" s="80" t="n"/>
      <c r="R112" s="80" t="n"/>
      <c r="S112" s="80" t="n"/>
      <c r="T112" s="80" t="n"/>
      <c r="U112" s="80" t="n"/>
      <c r="V112" s="80" t="n"/>
      <c r="W112" s="80" t="n"/>
      <c r="X112" s="80" t="n"/>
      <c r="Y112" s="80" t="n"/>
      <c r="Z112" s="80" t="n"/>
      <c r="AA112" s="80" t="n"/>
      <c r="AB112" s="80" t="n"/>
      <c r="AC112" s="80" t="n"/>
      <c r="AD112" s="80" t="n"/>
      <c r="AE112" s="80" t="n"/>
      <c r="AF112" s="80" t="n"/>
      <c r="AG112" s="80" t="n"/>
      <c r="AH112" s="80" t="n"/>
      <c r="AI112" s="80" t="n"/>
      <c r="AJ112" s="80" t="n"/>
      <c r="AK112" s="80" t="n"/>
      <c r="AL112" s="80" t="n"/>
      <c r="AM112" s="80" t="n"/>
      <c r="AN112" s="80" t="n"/>
      <c r="AO112" s="80" t="n"/>
      <c r="AP112" s="80" t="n"/>
      <c r="AQ112" s="80" t="n"/>
      <c r="AR112" s="80" t="n"/>
    </row>
    <row r="114">
      <c r="A114" s="6">
        <f>IF(HSI!$C$14="","",HSI!$C$14)</f>
        <v/>
      </c>
      <c r="B114" s="41">
        <f>IF($A114="",0,COUNT($E115:$AR115))</f>
        <v/>
      </c>
      <c r="C114" s="81">
        <f>IF($B114=0,0,MAX($E115:$AR115))</f>
        <v/>
      </c>
      <c r="D114" s="82">
        <f>BDS($A114,'Field Check'!$C$7,"headers=y","startcol=1","endcol=7","dir=h","DVD_START_DT",Summary!$C$18,"DVD_END_DT",Summary!$D$18)</f>
        <v/>
      </c>
      <c r="E114" s="83" t="n"/>
      <c r="F114" s="83" t="n"/>
      <c r="G114" s="83" t="n"/>
      <c r="H114" s="83" t="n"/>
      <c r="I114" s="83" t="n"/>
      <c r="J114" s="83" t="n"/>
      <c r="K114" s="83" t="n"/>
      <c r="L114" s="83" t="n"/>
      <c r="M114" s="83" t="n"/>
      <c r="N114" s="83" t="n"/>
      <c r="O114" s="83" t="n"/>
      <c r="P114" s="83" t="n"/>
      <c r="Q114" s="83" t="n"/>
      <c r="R114" s="83" t="n"/>
      <c r="S114" s="83" t="n"/>
      <c r="T114" s="83" t="n"/>
      <c r="U114" s="83" t="n"/>
      <c r="V114" s="83" t="n"/>
      <c r="W114" s="83" t="n"/>
      <c r="X114" s="83" t="n"/>
      <c r="Y114" s="83" t="n"/>
      <c r="Z114" s="83" t="n"/>
      <c r="AA114" s="83" t="n"/>
      <c r="AB114" s="83" t="n"/>
      <c r="AC114" s="83" t="n"/>
      <c r="AD114" s="83" t="n"/>
      <c r="AE114" s="83" t="n"/>
      <c r="AF114" s="83" t="n"/>
      <c r="AG114" s="83" t="n"/>
      <c r="AH114" s="83" t="n"/>
      <c r="AI114" s="83" t="n"/>
      <c r="AJ114" s="83" t="n"/>
      <c r="AK114" s="83" t="n"/>
      <c r="AL114" s="83" t="n"/>
      <c r="AM114" s="83" t="n"/>
      <c r="AN114" s="83" t="n"/>
      <c r="AO114" s="83" t="n"/>
      <c r="AP114" s="83" t="n"/>
      <c r="AQ114" s="83" t="n"/>
      <c r="AR114" s="83" t="n"/>
    </row>
    <row r="115">
      <c r="D115" s="83" t="n"/>
      <c r="E115" s="83" t="n"/>
      <c r="F115" s="83" t="n"/>
      <c r="G115" s="83" t="n"/>
      <c r="H115" s="83" t="n"/>
      <c r="I115" s="83" t="n"/>
      <c r="J115" s="83" t="n"/>
      <c r="K115" s="83" t="n"/>
      <c r="L115" s="83" t="n"/>
      <c r="M115" s="83" t="n"/>
      <c r="N115" s="83" t="n"/>
      <c r="O115" s="83" t="n"/>
      <c r="P115" s="83" t="n"/>
      <c r="Q115" s="83" t="n"/>
      <c r="R115" s="83" t="n"/>
      <c r="S115" s="83" t="n"/>
      <c r="T115" s="83" t="n"/>
      <c r="U115" s="83" t="n"/>
      <c r="V115" s="83" t="n"/>
      <c r="W115" s="83" t="n"/>
      <c r="X115" s="83" t="n"/>
      <c r="Y115" s="83" t="n"/>
      <c r="Z115" s="83" t="n"/>
      <c r="AA115" s="83" t="n"/>
      <c r="AB115" s="83" t="n"/>
      <c r="AC115" s="83" t="n"/>
      <c r="AD115" s="83" t="n"/>
      <c r="AE115" s="83" t="n"/>
      <c r="AF115" s="83" t="n"/>
      <c r="AG115" s="83" t="n"/>
      <c r="AH115" s="83" t="n"/>
      <c r="AI115" s="83" t="n"/>
      <c r="AJ115" s="83" t="n"/>
      <c r="AK115" s="83" t="n"/>
      <c r="AL115" s="83" t="n"/>
      <c r="AM115" s="83" t="n"/>
      <c r="AN115" s="83" t="n"/>
      <c r="AO115" s="83" t="n"/>
      <c r="AP115" s="83" t="n"/>
      <c r="AQ115" s="83" t="n"/>
      <c r="AR115" s="83" t="n"/>
    </row>
    <row r="116">
      <c r="D116" s="84" t="n"/>
      <c r="E116" s="84" t="n"/>
      <c r="F116" s="84" t="n"/>
      <c r="G116" s="84" t="n"/>
      <c r="H116" s="84" t="n"/>
      <c r="I116" s="84" t="n"/>
      <c r="J116" s="84" t="n"/>
      <c r="K116" s="84" t="n"/>
      <c r="L116" s="84" t="n"/>
      <c r="M116" s="84" t="n"/>
      <c r="N116" s="84" t="n"/>
      <c r="O116" s="84" t="n"/>
      <c r="P116" s="84" t="n"/>
      <c r="Q116" s="84" t="n"/>
      <c r="R116" s="84" t="n"/>
      <c r="S116" s="84" t="n"/>
      <c r="T116" s="84" t="n"/>
      <c r="U116" s="84" t="n"/>
      <c r="V116" s="84" t="n"/>
      <c r="W116" s="84" t="n"/>
      <c r="X116" s="84" t="n"/>
      <c r="Y116" s="84" t="n"/>
      <c r="Z116" s="84" t="n"/>
      <c r="AA116" s="84" t="n"/>
      <c r="AB116" s="84" t="n"/>
      <c r="AC116" s="84" t="n"/>
      <c r="AD116" s="84" t="n"/>
      <c r="AE116" s="84" t="n"/>
      <c r="AF116" s="84" t="n"/>
      <c r="AG116" s="84" t="n"/>
      <c r="AH116" s="84" t="n"/>
      <c r="AI116" s="84" t="n"/>
      <c r="AJ116" s="84" t="n"/>
      <c r="AK116" s="84" t="n"/>
      <c r="AL116" s="84" t="n"/>
      <c r="AM116" s="84" t="n"/>
      <c r="AN116" s="84" t="n"/>
      <c r="AO116" s="84" t="n"/>
      <c r="AP116" s="84" t="n"/>
      <c r="AQ116" s="84" t="n"/>
      <c r="AR116" s="84" t="n"/>
    </row>
    <row r="117">
      <c r="D117" s="80" t="n"/>
      <c r="E117" s="80" t="n"/>
      <c r="F117" s="80" t="n"/>
      <c r="G117" s="80" t="n"/>
      <c r="H117" s="80" t="n"/>
      <c r="I117" s="80" t="n"/>
      <c r="J117" s="80" t="n"/>
      <c r="K117" s="80" t="n"/>
      <c r="L117" s="80" t="n"/>
      <c r="M117" s="80" t="n"/>
      <c r="N117" s="80" t="n"/>
      <c r="O117" s="80" t="n"/>
      <c r="P117" s="80" t="n"/>
      <c r="Q117" s="80" t="n"/>
      <c r="R117" s="80" t="n"/>
      <c r="S117" s="80" t="n"/>
      <c r="T117" s="80" t="n"/>
      <c r="U117" s="80" t="n"/>
      <c r="V117" s="80" t="n"/>
      <c r="W117" s="80" t="n"/>
      <c r="X117" s="80" t="n"/>
      <c r="Y117" s="80" t="n"/>
      <c r="Z117" s="80" t="n"/>
      <c r="AA117" s="80" t="n"/>
      <c r="AB117" s="80" t="n"/>
      <c r="AC117" s="80" t="n"/>
      <c r="AD117" s="80" t="n"/>
      <c r="AE117" s="80" t="n"/>
      <c r="AF117" s="80" t="n"/>
      <c r="AG117" s="80" t="n"/>
      <c r="AH117" s="80" t="n"/>
      <c r="AI117" s="80" t="n"/>
      <c r="AJ117" s="80" t="n"/>
      <c r="AK117" s="80" t="n"/>
      <c r="AL117" s="80" t="n"/>
      <c r="AM117" s="80" t="n"/>
      <c r="AN117" s="80" t="n"/>
      <c r="AO117" s="80" t="n"/>
      <c r="AP117" s="80" t="n"/>
      <c r="AQ117" s="80" t="n"/>
      <c r="AR117" s="80" t="n"/>
    </row>
    <row r="118">
      <c r="D118" s="80" t="n"/>
      <c r="E118" s="80" t="n"/>
      <c r="F118" s="80" t="n"/>
      <c r="G118" s="80" t="n"/>
      <c r="H118" s="80" t="n"/>
      <c r="I118" s="80" t="n"/>
      <c r="J118" s="80" t="n"/>
      <c r="K118" s="80" t="n"/>
      <c r="L118" s="80" t="n"/>
      <c r="M118" s="80" t="n"/>
      <c r="N118" s="80" t="n"/>
      <c r="O118" s="80" t="n"/>
      <c r="P118" s="80" t="n"/>
      <c r="Q118" s="80" t="n"/>
      <c r="R118" s="80" t="n"/>
      <c r="S118" s="80" t="n"/>
      <c r="T118" s="80" t="n"/>
      <c r="U118" s="80" t="n"/>
      <c r="V118" s="80" t="n"/>
      <c r="W118" s="80" t="n"/>
      <c r="X118" s="80" t="n"/>
      <c r="Y118" s="80" t="n"/>
      <c r="Z118" s="80" t="n"/>
      <c r="AA118" s="80" t="n"/>
      <c r="AB118" s="80" t="n"/>
      <c r="AC118" s="80" t="n"/>
      <c r="AD118" s="80" t="n"/>
      <c r="AE118" s="80" t="n"/>
      <c r="AF118" s="80" t="n"/>
      <c r="AG118" s="80" t="n"/>
      <c r="AH118" s="80" t="n"/>
      <c r="AI118" s="80" t="n"/>
      <c r="AJ118" s="80" t="n"/>
      <c r="AK118" s="80" t="n"/>
      <c r="AL118" s="80" t="n"/>
      <c r="AM118" s="80" t="n"/>
      <c r="AN118" s="80" t="n"/>
      <c r="AO118" s="80" t="n"/>
      <c r="AP118" s="80" t="n"/>
      <c r="AQ118" s="80" t="n"/>
      <c r="AR118" s="80" t="n"/>
    </row>
    <row r="119">
      <c r="D119" s="80" t="n"/>
      <c r="E119" s="80" t="n"/>
      <c r="F119" s="80" t="n"/>
      <c r="G119" s="80" t="n"/>
      <c r="H119" s="80" t="n"/>
      <c r="I119" s="80" t="n"/>
      <c r="J119" s="80" t="n"/>
      <c r="K119" s="80" t="n"/>
      <c r="L119" s="80" t="n"/>
      <c r="M119" s="80" t="n"/>
      <c r="N119" s="80" t="n"/>
      <c r="O119" s="80" t="n"/>
      <c r="P119" s="80" t="n"/>
      <c r="Q119" s="80" t="n"/>
      <c r="R119" s="80" t="n"/>
      <c r="S119" s="80" t="n"/>
      <c r="T119" s="80" t="n"/>
      <c r="U119" s="80" t="n"/>
      <c r="V119" s="80" t="n"/>
      <c r="W119" s="80" t="n"/>
      <c r="X119" s="80" t="n"/>
      <c r="Y119" s="80" t="n"/>
      <c r="Z119" s="80" t="n"/>
      <c r="AA119" s="80" t="n"/>
      <c r="AB119" s="80" t="n"/>
      <c r="AC119" s="80" t="n"/>
      <c r="AD119" s="80" t="n"/>
      <c r="AE119" s="80" t="n"/>
      <c r="AF119" s="80" t="n"/>
      <c r="AG119" s="80" t="n"/>
      <c r="AH119" s="80" t="n"/>
      <c r="AI119" s="80" t="n"/>
      <c r="AJ119" s="80" t="n"/>
      <c r="AK119" s="80" t="n"/>
      <c r="AL119" s="80" t="n"/>
      <c r="AM119" s="80" t="n"/>
      <c r="AN119" s="80" t="n"/>
      <c r="AO119" s="80" t="n"/>
      <c r="AP119" s="80" t="n"/>
      <c r="AQ119" s="80" t="n"/>
      <c r="AR119" s="80" t="n"/>
    </row>
    <row r="120">
      <c r="D120" s="80" t="n"/>
      <c r="E120" s="80" t="n"/>
      <c r="F120" s="80" t="n"/>
      <c r="G120" s="80" t="n"/>
      <c r="H120" s="80" t="n"/>
      <c r="I120" s="80" t="n"/>
      <c r="J120" s="80" t="n"/>
      <c r="K120" s="80" t="n"/>
      <c r="L120" s="80" t="n"/>
      <c r="M120" s="80" t="n"/>
      <c r="N120" s="80" t="n"/>
      <c r="O120" s="80" t="n"/>
      <c r="P120" s="80" t="n"/>
      <c r="Q120" s="80" t="n"/>
      <c r="R120" s="80" t="n"/>
      <c r="S120" s="80" t="n"/>
      <c r="T120" s="80" t="n"/>
      <c r="U120" s="80" t="n"/>
      <c r="V120" s="80" t="n"/>
      <c r="W120" s="80" t="n"/>
      <c r="X120" s="80" t="n"/>
      <c r="Y120" s="80" t="n"/>
      <c r="Z120" s="80" t="n"/>
      <c r="AA120" s="80" t="n"/>
      <c r="AB120" s="80" t="n"/>
      <c r="AC120" s="80" t="n"/>
      <c r="AD120" s="80" t="n"/>
      <c r="AE120" s="80" t="n"/>
      <c r="AF120" s="80" t="n"/>
      <c r="AG120" s="80" t="n"/>
      <c r="AH120" s="80" t="n"/>
      <c r="AI120" s="80" t="n"/>
      <c r="AJ120" s="80" t="n"/>
      <c r="AK120" s="80" t="n"/>
      <c r="AL120" s="80" t="n"/>
      <c r="AM120" s="80" t="n"/>
      <c r="AN120" s="80" t="n"/>
      <c r="AO120" s="80" t="n"/>
      <c r="AP120" s="80" t="n"/>
      <c r="AQ120" s="80" t="n"/>
      <c r="AR120" s="80" t="n"/>
    </row>
    <row r="121">
      <c r="A121" s="2">
        <f>IF($A114="","","   projections")</f>
        <v/>
      </c>
      <c r="B121" s="41">
        <f>IF($A114="",0,COUNT($E122:$AR122))</f>
        <v/>
      </c>
      <c r="C121" s="81">
        <f>IF($B121=0,0,MAX($E122:$AR122))</f>
        <v/>
      </c>
      <c r="D121" s="82">
        <f>BDS($A114,'Field Check'!$C$6,"headers=y","startcol=1","endcol=7","dir=h")</f>
        <v/>
      </c>
      <c r="E121" s="83" t="n"/>
      <c r="F121" s="83" t="n"/>
      <c r="G121" s="83" t="n"/>
      <c r="H121" s="83" t="n"/>
      <c r="I121" s="83" t="n"/>
      <c r="J121" s="83" t="n"/>
      <c r="K121" s="83" t="n"/>
      <c r="L121" s="83" t="n"/>
      <c r="M121" s="83" t="n"/>
      <c r="N121" s="83" t="n"/>
      <c r="O121" s="83" t="n"/>
      <c r="P121" s="83" t="n"/>
      <c r="Q121" s="83" t="n"/>
      <c r="R121" s="83" t="n"/>
      <c r="S121" s="83" t="n"/>
      <c r="T121" s="83" t="n"/>
      <c r="U121" s="83" t="n"/>
      <c r="V121" s="83" t="n"/>
      <c r="W121" s="83" t="n"/>
      <c r="X121" s="83" t="n"/>
      <c r="Y121" s="83" t="n"/>
      <c r="Z121" s="83" t="n"/>
      <c r="AA121" s="83" t="n"/>
      <c r="AB121" s="83" t="n"/>
      <c r="AC121" s="83" t="n"/>
      <c r="AD121" s="83" t="n"/>
      <c r="AE121" s="83" t="n"/>
      <c r="AF121" s="83" t="n"/>
      <c r="AG121" s="83" t="n"/>
      <c r="AH121" s="83" t="n"/>
      <c r="AI121" s="83" t="n"/>
      <c r="AJ121" s="83" t="n"/>
      <c r="AK121" s="83" t="n"/>
      <c r="AL121" s="83" t="n"/>
      <c r="AM121" s="83" t="n"/>
      <c r="AN121" s="83" t="n"/>
      <c r="AO121" s="83" t="n"/>
      <c r="AP121" s="83" t="n"/>
      <c r="AQ121" s="83" t="n"/>
      <c r="AR121" s="83" t="n"/>
    </row>
    <row r="122">
      <c r="D122" s="83" t="n"/>
      <c r="E122" s="83" t="n"/>
      <c r="F122" s="83" t="n"/>
      <c r="G122" s="83" t="n"/>
      <c r="H122" s="83" t="n"/>
      <c r="I122" s="83" t="n"/>
      <c r="J122" s="83" t="n"/>
      <c r="K122" s="83" t="n"/>
      <c r="L122" s="83" t="n"/>
      <c r="M122" s="83" t="n"/>
      <c r="N122" s="83" t="n"/>
      <c r="O122" s="83" t="n"/>
      <c r="P122" s="83" t="n"/>
      <c r="Q122" s="83" t="n"/>
      <c r="R122" s="83" t="n"/>
      <c r="S122" s="83" t="n"/>
      <c r="T122" s="83" t="n"/>
      <c r="U122" s="83" t="n"/>
      <c r="V122" s="83" t="n"/>
      <c r="W122" s="83" t="n"/>
      <c r="X122" s="83" t="n"/>
      <c r="Y122" s="83" t="n"/>
      <c r="Z122" s="83" t="n"/>
      <c r="AA122" s="83" t="n"/>
      <c r="AB122" s="83" t="n"/>
      <c r="AC122" s="83" t="n"/>
      <c r="AD122" s="83" t="n"/>
      <c r="AE122" s="83" t="n"/>
      <c r="AF122" s="83" t="n"/>
      <c r="AG122" s="83" t="n"/>
      <c r="AH122" s="83" t="n"/>
      <c r="AI122" s="83" t="n"/>
      <c r="AJ122" s="83" t="n"/>
      <c r="AK122" s="83" t="n"/>
      <c r="AL122" s="83" t="n"/>
      <c r="AM122" s="83" t="n"/>
      <c r="AN122" s="83" t="n"/>
      <c r="AO122" s="83" t="n"/>
      <c r="AP122" s="83" t="n"/>
      <c r="AQ122" s="83" t="n"/>
      <c r="AR122" s="83" t="n"/>
    </row>
    <row r="123">
      <c r="D123" s="84" t="n"/>
      <c r="E123" s="84" t="n"/>
      <c r="F123" s="84" t="n"/>
      <c r="G123" s="84" t="n"/>
      <c r="H123" s="84" t="n"/>
      <c r="I123" s="84" t="n"/>
      <c r="J123" s="84" t="n"/>
      <c r="K123" s="84" t="n"/>
      <c r="L123" s="84" t="n"/>
      <c r="M123" s="84" t="n"/>
      <c r="N123" s="84" t="n"/>
      <c r="O123" s="84" t="n"/>
      <c r="P123" s="84" t="n"/>
      <c r="Q123" s="84" t="n"/>
      <c r="R123" s="84" t="n"/>
      <c r="S123" s="84" t="n"/>
      <c r="T123" s="84" t="n"/>
      <c r="U123" s="84" t="n"/>
      <c r="V123" s="84" t="n"/>
      <c r="W123" s="84" t="n"/>
      <c r="X123" s="84" t="n"/>
      <c r="Y123" s="84" t="n"/>
      <c r="Z123" s="84" t="n"/>
      <c r="AA123" s="84" t="n"/>
      <c r="AB123" s="84" t="n"/>
      <c r="AC123" s="84" t="n"/>
      <c r="AD123" s="84" t="n"/>
      <c r="AE123" s="84" t="n"/>
      <c r="AF123" s="84" t="n"/>
      <c r="AG123" s="84" t="n"/>
      <c r="AH123" s="84" t="n"/>
      <c r="AI123" s="84" t="n"/>
      <c r="AJ123" s="84" t="n"/>
      <c r="AK123" s="84" t="n"/>
      <c r="AL123" s="84" t="n"/>
      <c r="AM123" s="84" t="n"/>
      <c r="AN123" s="84" t="n"/>
      <c r="AO123" s="84" t="n"/>
      <c r="AP123" s="84" t="n"/>
      <c r="AQ123" s="84" t="n"/>
      <c r="AR123" s="84" t="n"/>
    </row>
    <row r="124">
      <c r="D124" s="80" t="n"/>
      <c r="E124" s="80" t="n"/>
      <c r="F124" s="80" t="n"/>
      <c r="G124" s="80" t="n"/>
      <c r="H124" s="80" t="n"/>
      <c r="I124" s="80" t="n"/>
      <c r="J124" s="80" t="n"/>
      <c r="K124" s="80" t="n"/>
      <c r="L124" s="80" t="n"/>
      <c r="M124" s="80" t="n"/>
      <c r="N124" s="80" t="n"/>
      <c r="O124" s="80" t="n"/>
      <c r="P124" s="80" t="n"/>
      <c r="Q124" s="80" t="n"/>
      <c r="R124" s="80" t="n"/>
      <c r="S124" s="80" t="n"/>
      <c r="T124" s="80" t="n"/>
      <c r="U124" s="80" t="n"/>
      <c r="V124" s="80" t="n"/>
      <c r="W124" s="80" t="n"/>
      <c r="X124" s="80" t="n"/>
      <c r="Y124" s="80" t="n"/>
      <c r="Z124" s="80" t="n"/>
      <c r="AA124" s="80" t="n"/>
      <c r="AB124" s="80" t="n"/>
      <c r="AC124" s="80" t="n"/>
      <c r="AD124" s="80" t="n"/>
      <c r="AE124" s="80" t="n"/>
      <c r="AF124" s="80" t="n"/>
      <c r="AG124" s="80" t="n"/>
      <c r="AH124" s="80" t="n"/>
      <c r="AI124" s="80" t="n"/>
      <c r="AJ124" s="80" t="n"/>
      <c r="AK124" s="80" t="n"/>
      <c r="AL124" s="80" t="n"/>
      <c r="AM124" s="80" t="n"/>
      <c r="AN124" s="80" t="n"/>
      <c r="AO124" s="80" t="n"/>
      <c r="AP124" s="80" t="n"/>
      <c r="AQ124" s="80" t="n"/>
      <c r="AR124" s="80" t="n"/>
    </row>
    <row r="125">
      <c r="D125" s="80" t="n"/>
      <c r="E125" s="80" t="n"/>
      <c r="F125" s="80" t="n"/>
      <c r="G125" s="80" t="n"/>
      <c r="H125" s="80" t="n"/>
      <c r="I125" s="80" t="n"/>
      <c r="J125" s="80" t="n"/>
      <c r="K125" s="80" t="n"/>
      <c r="L125" s="80" t="n"/>
      <c r="M125" s="80" t="n"/>
      <c r="N125" s="80" t="n"/>
      <c r="O125" s="80" t="n"/>
      <c r="P125" s="80" t="n"/>
      <c r="Q125" s="80" t="n"/>
      <c r="R125" s="80" t="n"/>
      <c r="S125" s="80" t="n"/>
      <c r="T125" s="80" t="n"/>
      <c r="U125" s="80" t="n"/>
      <c r="V125" s="80" t="n"/>
      <c r="W125" s="80" t="n"/>
      <c r="X125" s="80" t="n"/>
      <c r="Y125" s="80" t="n"/>
      <c r="Z125" s="80" t="n"/>
      <c r="AA125" s="80" t="n"/>
      <c r="AB125" s="80" t="n"/>
      <c r="AC125" s="80" t="n"/>
      <c r="AD125" s="80" t="n"/>
      <c r="AE125" s="80" t="n"/>
      <c r="AF125" s="80" t="n"/>
      <c r="AG125" s="80" t="n"/>
      <c r="AH125" s="80" t="n"/>
      <c r="AI125" s="80" t="n"/>
      <c r="AJ125" s="80" t="n"/>
      <c r="AK125" s="80" t="n"/>
      <c r="AL125" s="80" t="n"/>
      <c r="AM125" s="80" t="n"/>
      <c r="AN125" s="80" t="n"/>
      <c r="AO125" s="80" t="n"/>
      <c r="AP125" s="80" t="n"/>
      <c r="AQ125" s="80" t="n"/>
      <c r="AR125" s="80" t="n"/>
    </row>
    <row r="126">
      <c r="D126" s="80" t="n"/>
      <c r="E126" s="80" t="n"/>
      <c r="F126" s="80" t="n"/>
      <c r="G126" s="80" t="n"/>
      <c r="H126" s="80" t="n"/>
      <c r="I126" s="80" t="n"/>
      <c r="J126" s="80" t="n"/>
      <c r="K126" s="80" t="n"/>
      <c r="L126" s="80" t="n"/>
      <c r="M126" s="80" t="n"/>
      <c r="N126" s="80" t="n"/>
      <c r="O126" s="80" t="n"/>
      <c r="P126" s="80" t="n"/>
      <c r="Q126" s="80" t="n"/>
      <c r="R126" s="80" t="n"/>
      <c r="S126" s="80" t="n"/>
      <c r="T126" s="80" t="n"/>
      <c r="U126" s="80" t="n"/>
      <c r="V126" s="80" t="n"/>
      <c r="W126" s="80" t="n"/>
      <c r="X126" s="80" t="n"/>
      <c r="Y126" s="80" t="n"/>
      <c r="Z126" s="80" t="n"/>
      <c r="AA126" s="80" t="n"/>
      <c r="AB126" s="80" t="n"/>
      <c r="AC126" s="80" t="n"/>
      <c r="AD126" s="80" t="n"/>
      <c r="AE126" s="80" t="n"/>
      <c r="AF126" s="80" t="n"/>
      <c r="AG126" s="80" t="n"/>
      <c r="AH126" s="80" t="n"/>
      <c r="AI126" s="80" t="n"/>
      <c r="AJ126" s="80" t="n"/>
      <c r="AK126" s="80" t="n"/>
      <c r="AL126" s="80" t="n"/>
      <c r="AM126" s="80" t="n"/>
      <c r="AN126" s="80" t="n"/>
      <c r="AO126" s="80" t="n"/>
      <c r="AP126" s="80" t="n"/>
      <c r="AQ126" s="80" t="n"/>
      <c r="AR126" s="80" t="n"/>
    </row>
    <row r="127">
      <c r="D127" s="80" t="n"/>
      <c r="E127" s="80" t="n"/>
      <c r="F127" s="80" t="n"/>
      <c r="G127" s="80" t="n"/>
      <c r="H127" s="80" t="n"/>
      <c r="I127" s="80" t="n"/>
      <c r="J127" s="80" t="n"/>
      <c r="K127" s="80" t="n"/>
      <c r="L127" s="80" t="n"/>
      <c r="M127" s="80" t="n"/>
      <c r="N127" s="80" t="n"/>
      <c r="O127" s="80" t="n"/>
      <c r="P127" s="80" t="n"/>
      <c r="Q127" s="80" t="n"/>
      <c r="R127" s="80" t="n"/>
      <c r="S127" s="80" t="n"/>
      <c r="T127" s="80" t="n"/>
      <c r="U127" s="80" t="n"/>
      <c r="V127" s="80" t="n"/>
      <c r="W127" s="80" t="n"/>
      <c r="X127" s="80" t="n"/>
      <c r="Y127" s="80" t="n"/>
      <c r="Z127" s="80" t="n"/>
      <c r="AA127" s="80" t="n"/>
      <c r="AB127" s="80" t="n"/>
      <c r="AC127" s="80" t="n"/>
      <c r="AD127" s="80" t="n"/>
      <c r="AE127" s="80" t="n"/>
      <c r="AF127" s="80" t="n"/>
      <c r="AG127" s="80" t="n"/>
      <c r="AH127" s="80" t="n"/>
      <c r="AI127" s="80" t="n"/>
      <c r="AJ127" s="80" t="n"/>
      <c r="AK127" s="80" t="n"/>
      <c r="AL127" s="80" t="n"/>
      <c r="AM127" s="80" t="n"/>
      <c r="AN127" s="80" t="n"/>
      <c r="AO127" s="80" t="n"/>
      <c r="AP127" s="80" t="n"/>
      <c r="AQ127" s="80" t="n"/>
      <c r="AR127" s="80" t="n"/>
    </row>
    <row r="129">
      <c r="A129" s="6">
        <f>IF(HSI!$C$15="","",HSI!$C$15)</f>
        <v/>
      </c>
      <c r="B129" s="41">
        <f>IF($A129="",0,COUNT($E130:$AR130))</f>
        <v/>
      </c>
      <c r="C129" s="81">
        <f>IF($B129=0,0,MAX($E130:$AR130))</f>
        <v/>
      </c>
      <c r="D129" s="82">
        <f>BDS($A129,'Field Check'!$C$7,"headers=y","startcol=1","endcol=7","dir=h","DVD_START_DT",Summary!$C$18,"DVD_END_DT",Summary!$D$18)</f>
        <v/>
      </c>
      <c r="E129" s="83" t="n"/>
      <c r="F129" s="83" t="n"/>
      <c r="G129" s="83" t="n"/>
      <c r="H129" s="83" t="n"/>
      <c r="I129" s="83" t="n"/>
      <c r="J129" s="83" t="n"/>
      <c r="K129" s="83" t="n"/>
      <c r="L129" s="83" t="n"/>
      <c r="M129" s="83" t="n"/>
      <c r="N129" s="83" t="n"/>
      <c r="O129" s="83" t="n"/>
      <c r="P129" s="83" t="n"/>
      <c r="Q129" s="83" t="n"/>
      <c r="R129" s="83" t="n"/>
      <c r="S129" s="83" t="n"/>
      <c r="T129" s="83" t="n"/>
      <c r="U129" s="83" t="n"/>
      <c r="V129" s="83" t="n"/>
      <c r="W129" s="83" t="n"/>
      <c r="X129" s="83" t="n"/>
      <c r="Y129" s="83" t="n"/>
      <c r="Z129" s="83" t="n"/>
      <c r="AA129" s="83" t="n"/>
      <c r="AB129" s="83" t="n"/>
      <c r="AC129" s="83" t="n"/>
      <c r="AD129" s="83" t="n"/>
      <c r="AE129" s="83" t="n"/>
      <c r="AF129" s="83" t="n"/>
      <c r="AG129" s="83" t="n"/>
      <c r="AH129" s="83" t="n"/>
      <c r="AI129" s="83" t="n"/>
      <c r="AJ129" s="83" t="n"/>
      <c r="AK129" s="83" t="n"/>
      <c r="AL129" s="83" t="n"/>
      <c r="AM129" s="83" t="n"/>
      <c r="AN129" s="83" t="n"/>
      <c r="AO129" s="83" t="n"/>
      <c r="AP129" s="83" t="n"/>
      <c r="AQ129" s="83" t="n"/>
      <c r="AR129" s="83" t="n"/>
    </row>
    <row r="130">
      <c r="D130" s="83" t="n"/>
      <c r="E130" s="83" t="n"/>
      <c r="F130" s="83" t="n"/>
      <c r="G130" s="83" t="n"/>
      <c r="H130" s="83" t="n"/>
      <c r="I130" s="83" t="n"/>
      <c r="J130" s="83" t="n"/>
      <c r="K130" s="83" t="n"/>
      <c r="L130" s="83" t="n"/>
      <c r="M130" s="83" t="n"/>
      <c r="N130" s="83" t="n"/>
      <c r="O130" s="83" t="n"/>
      <c r="P130" s="83" t="n"/>
      <c r="Q130" s="83" t="n"/>
      <c r="R130" s="83" t="n"/>
      <c r="S130" s="83" t="n"/>
      <c r="T130" s="83" t="n"/>
      <c r="U130" s="83" t="n"/>
      <c r="V130" s="83" t="n"/>
      <c r="W130" s="83" t="n"/>
      <c r="X130" s="83" t="n"/>
      <c r="Y130" s="83" t="n"/>
      <c r="Z130" s="83" t="n"/>
      <c r="AA130" s="83" t="n"/>
      <c r="AB130" s="83" t="n"/>
      <c r="AC130" s="83" t="n"/>
      <c r="AD130" s="83" t="n"/>
      <c r="AE130" s="83" t="n"/>
      <c r="AF130" s="83" t="n"/>
      <c r="AG130" s="83" t="n"/>
      <c r="AH130" s="83" t="n"/>
      <c r="AI130" s="83" t="n"/>
      <c r="AJ130" s="83" t="n"/>
      <c r="AK130" s="83" t="n"/>
      <c r="AL130" s="83" t="n"/>
      <c r="AM130" s="83" t="n"/>
      <c r="AN130" s="83" t="n"/>
      <c r="AO130" s="83" t="n"/>
      <c r="AP130" s="83" t="n"/>
      <c r="AQ130" s="83" t="n"/>
      <c r="AR130" s="83" t="n"/>
    </row>
    <row r="131">
      <c r="D131" s="84" t="n"/>
      <c r="E131" s="84" t="n"/>
      <c r="F131" s="84" t="n"/>
      <c r="G131" s="84" t="n"/>
      <c r="H131" s="84" t="n"/>
      <c r="I131" s="84" t="n"/>
      <c r="J131" s="84" t="n"/>
      <c r="K131" s="84" t="n"/>
      <c r="L131" s="84" t="n"/>
      <c r="M131" s="84" t="n"/>
      <c r="N131" s="84" t="n"/>
      <c r="O131" s="84" t="n"/>
      <c r="P131" s="84" t="n"/>
      <c r="Q131" s="84" t="n"/>
      <c r="R131" s="84" t="n"/>
      <c r="S131" s="84" t="n"/>
      <c r="T131" s="84" t="n"/>
      <c r="U131" s="84" t="n"/>
      <c r="V131" s="84" t="n"/>
      <c r="W131" s="84" t="n"/>
      <c r="X131" s="84" t="n"/>
      <c r="Y131" s="84" t="n"/>
      <c r="Z131" s="84" t="n"/>
      <c r="AA131" s="84" t="n"/>
      <c r="AB131" s="84" t="n"/>
      <c r="AC131" s="84" t="n"/>
      <c r="AD131" s="84" t="n"/>
      <c r="AE131" s="84" t="n"/>
      <c r="AF131" s="84" t="n"/>
      <c r="AG131" s="84" t="n"/>
      <c r="AH131" s="84" t="n"/>
      <c r="AI131" s="84" t="n"/>
      <c r="AJ131" s="84" t="n"/>
      <c r="AK131" s="84" t="n"/>
      <c r="AL131" s="84" t="n"/>
      <c r="AM131" s="84" t="n"/>
      <c r="AN131" s="84" t="n"/>
      <c r="AO131" s="84" t="n"/>
      <c r="AP131" s="84" t="n"/>
      <c r="AQ131" s="84" t="n"/>
      <c r="AR131" s="84" t="n"/>
    </row>
    <row r="132">
      <c r="D132" s="80" t="n"/>
      <c r="E132" s="80" t="n"/>
      <c r="F132" s="80" t="n"/>
      <c r="G132" s="80" t="n"/>
      <c r="H132" s="80" t="n"/>
      <c r="I132" s="80" t="n"/>
      <c r="J132" s="80" t="n"/>
      <c r="K132" s="80" t="n"/>
      <c r="L132" s="80" t="n"/>
      <c r="M132" s="80" t="n"/>
      <c r="N132" s="80" t="n"/>
      <c r="O132" s="80" t="n"/>
      <c r="P132" s="80" t="n"/>
      <c r="Q132" s="80" t="n"/>
      <c r="R132" s="80" t="n"/>
      <c r="S132" s="80" t="n"/>
      <c r="T132" s="80" t="n"/>
      <c r="U132" s="80" t="n"/>
      <c r="V132" s="80" t="n"/>
      <c r="W132" s="80" t="n"/>
      <c r="X132" s="80" t="n"/>
      <c r="Y132" s="80" t="n"/>
      <c r="Z132" s="80" t="n"/>
      <c r="AA132" s="80" t="n"/>
      <c r="AB132" s="80" t="n"/>
      <c r="AC132" s="80" t="n"/>
      <c r="AD132" s="80" t="n"/>
      <c r="AE132" s="80" t="n"/>
      <c r="AF132" s="80" t="n"/>
      <c r="AG132" s="80" t="n"/>
      <c r="AH132" s="80" t="n"/>
      <c r="AI132" s="80" t="n"/>
      <c r="AJ132" s="80" t="n"/>
      <c r="AK132" s="80" t="n"/>
      <c r="AL132" s="80" t="n"/>
      <c r="AM132" s="80" t="n"/>
      <c r="AN132" s="80" t="n"/>
      <c r="AO132" s="80" t="n"/>
      <c r="AP132" s="80" t="n"/>
      <c r="AQ132" s="80" t="n"/>
      <c r="AR132" s="80" t="n"/>
    </row>
    <row r="133">
      <c r="D133" s="80" t="n"/>
      <c r="E133" s="80" t="n"/>
      <c r="F133" s="80" t="n"/>
      <c r="G133" s="80" t="n"/>
      <c r="H133" s="80" t="n"/>
      <c r="I133" s="80" t="n"/>
      <c r="J133" s="80" t="n"/>
      <c r="K133" s="80" t="n"/>
      <c r="L133" s="80" t="n"/>
      <c r="M133" s="80" t="n"/>
      <c r="N133" s="80" t="n"/>
      <c r="O133" s="80" t="n"/>
      <c r="P133" s="80" t="n"/>
      <c r="Q133" s="80" t="n"/>
      <c r="R133" s="80" t="n"/>
      <c r="S133" s="80" t="n"/>
      <c r="T133" s="80" t="n"/>
      <c r="U133" s="80" t="n"/>
      <c r="V133" s="80" t="n"/>
      <c r="W133" s="80" t="n"/>
      <c r="X133" s="80" t="n"/>
      <c r="Y133" s="80" t="n"/>
      <c r="Z133" s="80" t="n"/>
      <c r="AA133" s="80" t="n"/>
      <c r="AB133" s="80" t="n"/>
      <c r="AC133" s="80" t="n"/>
      <c r="AD133" s="80" t="n"/>
      <c r="AE133" s="80" t="n"/>
      <c r="AF133" s="80" t="n"/>
      <c r="AG133" s="80" t="n"/>
      <c r="AH133" s="80" t="n"/>
      <c r="AI133" s="80" t="n"/>
      <c r="AJ133" s="80" t="n"/>
      <c r="AK133" s="80" t="n"/>
      <c r="AL133" s="80" t="n"/>
      <c r="AM133" s="80" t="n"/>
      <c r="AN133" s="80" t="n"/>
      <c r="AO133" s="80" t="n"/>
      <c r="AP133" s="80" t="n"/>
      <c r="AQ133" s="80" t="n"/>
      <c r="AR133" s="80" t="n"/>
    </row>
    <row r="134">
      <c r="D134" s="80" t="n"/>
      <c r="E134" s="80" t="n"/>
      <c r="F134" s="80" t="n"/>
      <c r="G134" s="80" t="n"/>
      <c r="H134" s="80" t="n"/>
      <c r="I134" s="80" t="n"/>
      <c r="J134" s="80" t="n"/>
      <c r="K134" s="80" t="n"/>
      <c r="L134" s="80" t="n"/>
      <c r="M134" s="80" t="n"/>
      <c r="N134" s="80" t="n"/>
      <c r="O134" s="80" t="n"/>
      <c r="P134" s="80" t="n"/>
      <c r="Q134" s="80" t="n"/>
      <c r="R134" s="80" t="n"/>
      <c r="S134" s="80" t="n"/>
      <c r="T134" s="80" t="n"/>
      <c r="U134" s="80" t="n"/>
      <c r="V134" s="80" t="n"/>
      <c r="W134" s="80" t="n"/>
      <c r="X134" s="80" t="n"/>
      <c r="Y134" s="80" t="n"/>
      <c r="Z134" s="80" t="n"/>
      <c r="AA134" s="80" t="n"/>
      <c r="AB134" s="80" t="n"/>
      <c r="AC134" s="80" t="n"/>
      <c r="AD134" s="80" t="n"/>
      <c r="AE134" s="80" t="n"/>
      <c r="AF134" s="80" t="n"/>
      <c r="AG134" s="80" t="n"/>
      <c r="AH134" s="80" t="n"/>
      <c r="AI134" s="80" t="n"/>
      <c r="AJ134" s="80" t="n"/>
      <c r="AK134" s="80" t="n"/>
      <c r="AL134" s="80" t="n"/>
      <c r="AM134" s="80" t="n"/>
      <c r="AN134" s="80" t="n"/>
      <c r="AO134" s="80" t="n"/>
      <c r="AP134" s="80" t="n"/>
      <c r="AQ134" s="80" t="n"/>
      <c r="AR134" s="80" t="n"/>
    </row>
    <row r="135">
      <c r="D135" s="80" t="n"/>
      <c r="E135" s="80" t="n"/>
      <c r="F135" s="80" t="n"/>
      <c r="G135" s="80" t="n"/>
      <c r="H135" s="80" t="n"/>
      <c r="I135" s="80" t="n"/>
      <c r="J135" s="80" t="n"/>
      <c r="K135" s="80" t="n"/>
      <c r="L135" s="80" t="n"/>
      <c r="M135" s="80" t="n"/>
      <c r="N135" s="80" t="n"/>
      <c r="O135" s="80" t="n"/>
      <c r="P135" s="80" t="n"/>
      <c r="Q135" s="80" t="n"/>
      <c r="R135" s="80" t="n"/>
      <c r="S135" s="80" t="n"/>
      <c r="T135" s="80" t="n"/>
      <c r="U135" s="80" t="n"/>
      <c r="V135" s="80" t="n"/>
      <c r="W135" s="80" t="n"/>
      <c r="X135" s="80" t="n"/>
      <c r="Y135" s="80" t="n"/>
      <c r="Z135" s="80" t="n"/>
      <c r="AA135" s="80" t="n"/>
      <c r="AB135" s="80" t="n"/>
      <c r="AC135" s="80" t="n"/>
      <c r="AD135" s="80" t="n"/>
      <c r="AE135" s="80" t="n"/>
      <c r="AF135" s="80" t="n"/>
      <c r="AG135" s="80" t="n"/>
      <c r="AH135" s="80" t="n"/>
      <c r="AI135" s="80" t="n"/>
      <c r="AJ135" s="80" t="n"/>
      <c r="AK135" s="80" t="n"/>
      <c r="AL135" s="80" t="n"/>
      <c r="AM135" s="80" t="n"/>
      <c r="AN135" s="80" t="n"/>
      <c r="AO135" s="80" t="n"/>
      <c r="AP135" s="80" t="n"/>
      <c r="AQ135" s="80" t="n"/>
      <c r="AR135" s="80" t="n"/>
    </row>
    <row r="136">
      <c r="A136" s="2">
        <f>IF($A129="","","   projections")</f>
        <v/>
      </c>
      <c r="B136" s="41">
        <f>IF($A129="",0,COUNT($E137:$AR137))</f>
        <v/>
      </c>
      <c r="C136" s="81">
        <f>IF($B136=0,0,MAX($E137:$AR137))</f>
        <v/>
      </c>
      <c r="D136" s="82">
        <f>BDS($A129,'Field Check'!$C$6,"headers=y","startcol=1","endcol=7","dir=h")</f>
        <v/>
      </c>
      <c r="E136" s="83" t="n"/>
      <c r="F136" s="83" t="n"/>
      <c r="G136" s="83" t="n"/>
      <c r="H136" s="83" t="n"/>
      <c r="I136" s="83" t="n"/>
      <c r="J136" s="83" t="n"/>
      <c r="K136" s="83" t="n"/>
      <c r="L136" s="83" t="n"/>
      <c r="M136" s="83" t="n"/>
      <c r="N136" s="83" t="n"/>
      <c r="O136" s="83" t="n"/>
      <c r="P136" s="83" t="n"/>
      <c r="Q136" s="83" t="n"/>
      <c r="R136" s="83" t="n"/>
      <c r="S136" s="83" t="n"/>
      <c r="T136" s="83" t="n"/>
      <c r="U136" s="83" t="n"/>
      <c r="V136" s="83" t="n"/>
      <c r="W136" s="83" t="n"/>
      <c r="X136" s="83" t="n"/>
      <c r="Y136" s="83" t="n"/>
      <c r="Z136" s="83" t="n"/>
      <c r="AA136" s="83" t="n"/>
      <c r="AB136" s="83" t="n"/>
      <c r="AC136" s="83" t="n"/>
      <c r="AD136" s="83" t="n"/>
      <c r="AE136" s="83" t="n"/>
      <c r="AF136" s="83" t="n"/>
      <c r="AG136" s="83" t="n"/>
      <c r="AH136" s="83" t="n"/>
      <c r="AI136" s="83" t="n"/>
      <c r="AJ136" s="83" t="n"/>
      <c r="AK136" s="83" t="n"/>
      <c r="AL136" s="83" t="n"/>
      <c r="AM136" s="83" t="n"/>
      <c r="AN136" s="83" t="n"/>
      <c r="AO136" s="83" t="n"/>
      <c r="AP136" s="83" t="n"/>
      <c r="AQ136" s="83" t="n"/>
      <c r="AR136" s="83" t="n"/>
    </row>
    <row r="137">
      <c r="D137" s="83" t="n"/>
      <c r="E137" s="83" t="n"/>
      <c r="F137" s="83" t="n"/>
      <c r="G137" s="83" t="n"/>
      <c r="H137" s="83" t="n"/>
      <c r="I137" s="83" t="n"/>
      <c r="J137" s="83" t="n"/>
      <c r="K137" s="83" t="n"/>
      <c r="L137" s="83" t="n"/>
      <c r="M137" s="83" t="n"/>
      <c r="N137" s="83" t="n"/>
      <c r="O137" s="83" t="n"/>
      <c r="P137" s="83" t="n"/>
      <c r="Q137" s="83" t="n"/>
      <c r="R137" s="83" t="n"/>
      <c r="S137" s="83" t="n"/>
      <c r="T137" s="83" t="n"/>
      <c r="U137" s="83" t="n"/>
      <c r="V137" s="83" t="n"/>
      <c r="W137" s="83" t="n"/>
      <c r="X137" s="83" t="n"/>
      <c r="Y137" s="83" t="n"/>
      <c r="Z137" s="83" t="n"/>
      <c r="AA137" s="83" t="n"/>
      <c r="AB137" s="83" t="n"/>
      <c r="AC137" s="83" t="n"/>
      <c r="AD137" s="83" t="n"/>
      <c r="AE137" s="83" t="n"/>
      <c r="AF137" s="83" t="n"/>
      <c r="AG137" s="83" t="n"/>
      <c r="AH137" s="83" t="n"/>
      <c r="AI137" s="83" t="n"/>
      <c r="AJ137" s="83" t="n"/>
      <c r="AK137" s="83" t="n"/>
      <c r="AL137" s="83" t="n"/>
      <c r="AM137" s="83" t="n"/>
      <c r="AN137" s="83" t="n"/>
      <c r="AO137" s="83" t="n"/>
      <c r="AP137" s="83" t="n"/>
      <c r="AQ137" s="83" t="n"/>
      <c r="AR137" s="83" t="n"/>
    </row>
    <row r="138">
      <c r="D138" s="84" t="n"/>
      <c r="E138" s="84" t="n"/>
      <c r="F138" s="84" t="n"/>
      <c r="G138" s="84" t="n"/>
      <c r="H138" s="84" t="n"/>
      <c r="I138" s="84" t="n"/>
      <c r="J138" s="84" t="n"/>
      <c r="K138" s="84" t="n"/>
      <c r="L138" s="84" t="n"/>
      <c r="M138" s="84" t="n"/>
      <c r="N138" s="84" t="n"/>
      <c r="O138" s="84" t="n"/>
      <c r="P138" s="84" t="n"/>
      <c r="Q138" s="84" t="n"/>
      <c r="R138" s="84" t="n"/>
      <c r="S138" s="84" t="n"/>
      <c r="T138" s="84" t="n"/>
      <c r="U138" s="84" t="n"/>
      <c r="V138" s="84" t="n"/>
      <c r="W138" s="84" t="n"/>
      <c r="X138" s="84" t="n"/>
      <c r="Y138" s="84" t="n"/>
      <c r="Z138" s="84" t="n"/>
      <c r="AA138" s="84" t="n"/>
      <c r="AB138" s="84" t="n"/>
      <c r="AC138" s="84" t="n"/>
      <c r="AD138" s="84" t="n"/>
      <c r="AE138" s="84" t="n"/>
      <c r="AF138" s="84" t="n"/>
      <c r="AG138" s="84" t="n"/>
      <c r="AH138" s="84" t="n"/>
      <c r="AI138" s="84" t="n"/>
      <c r="AJ138" s="84" t="n"/>
      <c r="AK138" s="84" t="n"/>
      <c r="AL138" s="84" t="n"/>
      <c r="AM138" s="84" t="n"/>
      <c r="AN138" s="84" t="n"/>
      <c r="AO138" s="84" t="n"/>
      <c r="AP138" s="84" t="n"/>
      <c r="AQ138" s="84" t="n"/>
      <c r="AR138" s="84" t="n"/>
    </row>
    <row r="139">
      <c r="D139" s="80" t="n"/>
      <c r="E139" s="80" t="n"/>
      <c r="F139" s="80" t="n"/>
      <c r="G139" s="80" t="n"/>
      <c r="H139" s="80" t="n"/>
      <c r="I139" s="80" t="n"/>
      <c r="J139" s="80" t="n"/>
      <c r="K139" s="80" t="n"/>
      <c r="L139" s="80" t="n"/>
      <c r="M139" s="80" t="n"/>
      <c r="N139" s="80" t="n"/>
      <c r="O139" s="80" t="n"/>
      <c r="P139" s="80" t="n"/>
      <c r="Q139" s="80" t="n"/>
      <c r="R139" s="80" t="n"/>
      <c r="S139" s="80" t="n"/>
      <c r="T139" s="80" t="n"/>
      <c r="U139" s="80" t="n"/>
      <c r="V139" s="80" t="n"/>
      <c r="W139" s="80" t="n"/>
      <c r="X139" s="80" t="n"/>
      <c r="Y139" s="80" t="n"/>
      <c r="Z139" s="80" t="n"/>
      <c r="AA139" s="80" t="n"/>
      <c r="AB139" s="80" t="n"/>
      <c r="AC139" s="80" t="n"/>
      <c r="AD139" s="80" t="n"/>
      <c r="AE139" s="80" t="n"/>
      <c r="AF139" s="80" t="n"/>
      <c r="AG139" s="80" t="n"/>
      <c r="AH139" s="80" t="n"/>
      <c r="AI139" s="80" t="n"/>
      <c r="AJ139" s="80" t="n"/>
      <c r="AK139" s="80" t="n"/>
      <c r="AL139" s="80" t="n"/>
      <c r="AM139" s="80" t="n"/>
      <c r="AN139" s="80" t="n"/>
      <c r="AO139" s="80" t="n"/>
      <c r="AP139" s="80" t="n"/>
      <c r="AQ139" s="80" t="n"/>
      <c r="AR139" s="80" t="n"/>
    </row>
    <row r="140">
      <c r="D140" s="80" t="n"/>
      <c r="E140" s="80" t="n"/>
      <c r="F140" s="80" t="n"/>
      <c r="G140" s="80" t="n"/>
      <c r="H140" s="80" t="n"/>
      <c r="I140" s="80" t="n"/>
      <c r="J140" s="80" t="n"/>
      <c r="K140" s="80" t="n"/>
      <c r="L140" s="80" t="n"/>
      <c r="M140" s="80" t="n"/>
      <c r="N140" s="80" t="n"/>
      <c r="O140" s="80" t="n"/>
      <c r="P140" s="80" t="n"/>
      <c r="Q140" s="80" t="n"/>
      <c r="R140" s="80" t="n"/>
      <c r="S140" s="80" t="n"/>
      <c r="T140" s="80" t="n"/>
      <c r="U140" s="80" t="n"/>
      <c r="V140" s="80" t="n"/>
      <c r="W140" s="80" t="n"/>
      <c r="X140" s="80" t="n"/>
      <c r="Y140" s="80" t="n"/>
      <c r="Z140" s="80" t="n"/>
      <c r="AA140" s="80" t="n"/>
      <c r="AB140" s="80" t="n"/>
      <c r="AC140" s="80" t="n"/>
      <c r="AD140" s="80" t="n"/>
      <c r="AE140" s="80" t="n"/>
      <c r="AF140" s="80" t="n"/>
      <c r="AG140" s="80" t="n"/>
      <c r="AH140" s="80" t="n"/>
      <c r="AI140" s="80" t="n"/>
      <c r="AJ140" s="80" t="n"/>
      <c r="AK140" s="80" t="n"/>
      <c r="AL140" s="80" t="n"/>
      <c r="AM140" s="80" t="n"/>
      <c r="AN140" s="80" t="n"/>
      <c r="AO140" s="80" t="n"/>
      <c r="AP140" s="80" t="n"/>
      <c r="AQ140" s="80" t="n"/>
      <c r="AR140" s="80" t="n"/>
    </row>
    <row r="141">
      <c r="D141" s="80" t="n"/>
      <c r="E141" s="80" t="n"/>
      <c r="F141" s="80" t="n"/>
      <c r="G141" s="80" t="n"/>
      <c r="H141" s="80" t="n"/>
      <c r="I141" s="80" t="n"/>
      <c r="J141" s="80" t="n"/>
      <c r="K141" s="80" t="n"/>
      <c r="L141" s="80" t="n"/>
      <c r="M141" s="80" t="n"/>
      <c r="N141" s="80" t="n"/>
      <c r="O141" s="80" t="n"/>
      <c r="P141" s="80" t="n"/>
      <c r="Q141" s="80" t="n"/>
      <c r="R141" s="80" t="n"/>
      <c r="S141" s="80" t="n"/>
      <c r="T141" s="80" t="n"/>
      <c r="U141" s="80" t="n"/>
      <c r="V141" s="80" t="n"/>
      <c r="W141" s="80" t="n"/>
      <c r="X141" s="80" t="n"/>
      <c r="Y141" s="80" t="n"/>
      <c r="Z141" s="80" t="n"/>
      <c r="AA141" s="80" t="n"/>
      <c r="AB141" s="80" t="n"/>
      <c r="AC141" s="80" t="n"/>
      <c r="AD141" s="80" t="n"/>
      <c r="AE141" s="80" t="n"/>
      <c r="AF141" s="80" t="n"/>
      <c r="AG141" s="80" t="n"/>
      <c r="AH141" s="80" t="n"/>
      <c r="AI141" s="80" t="n"/>
      <c r="AJ141" s="80" t="n"/>
      <c r="AK141" s="80" t="n"/>
      <c r="AL141" s="80" t="n"/>
      <c r="AM141" s="80" t="n"/>
      <c r="AN141" s="80" t="n"/>
      <c r="AO141" s="80" t="n"/>
      <c r="AP141" s="80" t="n"/>
      <c r="AQ141" s="80" t="n"/>
      <c r="AR141" s="80" t="n"/>
    </row>
    <row r="142">
      <c r="D142" s="80" t="n"/>
      <c r="E142" s="80" t="n"/>
      <c r="F142" s="80" t="n"/>
      <c r="G142" s="80" t="n"/>
      <c r="H142" s="80" t="n"/>
      <c r="I142" s="80" t="n"/>
      <c r="J142" s="80" t="n"/>
      <c r="K142" s="80" t="n"/>
      <c r="L142" s="80" t="n"/>
      <c r="M142" s="80" t="n"/>
      <c r="N142" s="80" t="n"/>
      <c r="O142" s="80" t="n"/>
      <c r="P142" s="80" t="n"/>
      <c r="Q142" s="80" t="n"/>
      <c r="R142" s="80" t="n"/>
      <c r="S142" s="80" t="n"/>
      <c r="T142" s="80" t="n"/>
      <c r="U142" s="80" t="n"/>
      <c r="V142" s="80" t="n"/>
      <c r="W142" s="80" t="n"/>
      <c r="X142" s="80" t="n"/>
      <c r="Y142" s="80" t="n"/>
      <c r="Z142" s="80" t="n"/>
      <c r="AA142" s="80" t="n"/>
      <c r="AB142" s="80" t="n"/>
      <c r="AC142" s="80" t="n"/>
      <c r="AD142" s="80" t="n"/>
      <c r="AE142" s="80" t="n"/>
      <c r="AF142" s="80" t="n"/>
      <c r="AG142" s="80" t="n"/>
      <c r="AH142" s="80" t="n"/>
      <c r="AI142" s="80" t="n"/>
      <c r="AJ142" s="80" t="n"/>
      <c r="AK142" s="80" t="n"/>
      <c r="AL142" s="80" t="n"/>
      <c r="AM142" s="80" t="n"/>
      <c r="AN142" s="80" t="n"/>
      <c r="AO142" s="80" t="n"/>
      <c r="AP142" s="80" t="n"/>
      <c r="AQ142" s="80" t="n"/>
      <c r="AR142" s="80" t="n"/>
    </row>
    <row r="144">
      <c r="A144" s="6">
        <f>IF(HSI!$C$16="","",HSI!$C$16)</f>
        <v/>
      </c>
      <c r="B144" s="41">
        <f>IF($A144="",0,COUNT($E145:$AR145))</f>
        <v/>
      </c>
      <c r="C144" s="81">
        <f>IF($B144=0,0,MAX($E145:$AR145))</f>
        <v/>
      </c>
      <c r="D144" s="82">
        <f>BDS($A144,'Field Check'!$C$7,"headers=y","startcol=1","endcol=7","dir=h","DVD_START_DT",Summary!$C$18,"DVD_END_DT",Summary!$D$18)</f>
        <v/>
      </c>
      <c r="E144" s="83" t="n"/>
      <c r="F144" s="83" t="n"/>
      <c r="G144" s="83" t="n"/>
      <c r="H144" s="83" t="n"/>
      <c r="I144" s="83" t="n"/>
      <c r="J144" s="83" t="n"/>
      <c r="K144" s="83" t="n"/>
      <c r="L144" s="83" t="n"/>
      <c r="M144" s="83" t="n"/>
      <c r="N144" s="83" t="n"/>
      <c r="O144" s="83" t="n"/>
      <c r="P144" s="83" t="n"/>
      <c r="Q144" s="83" t="n"/>
      <c r="R144" s="83" t="n"/>
      <c r="S144" s="83" t="n"/>
      <c r="T144" s="83" t="n"/>
      <c r="U144" s="83" t="n"/>
      <c r="V144" s="83" t="n"/>
      <c r="W144" s="83" t="n"/>
      <c r="X144" s="83" t="n"/>
      <c r="Y144" s="83" t="n"/>
      <c r="Z144" s="83" t="n"/>
      <c r="AA144" s="83" t="n"/>
      <c r="AB144" s="83" t="n"/>
      <c r="AC144" s="83" t="n"/>
      <c r="AD144" s="83" t="n"/>
      <c r="AE144" s="83" t="n"/>
      <c r="AF144" s="83" t="n"/>
      <c r="AG144" s="83" t="n"/>
      <c r="AH144" s="83" t="n"/>
      <c r="AI144" s="83" t="n"/>
      <c r="AJ144" s="83" t="n"/>
      <c r="AK144" s="83" t="n"/>
      <c r="AL144" s="83" t="n"/>
      <c r="AM144" s="83" t="n"/>
      <c r="AN144" s="83" t="n"/>
      <c r="AO144" s="83" t="n"/>
      <c r="AP144" s="83" t="n"/>
      <c r="AQ144" s="83" t="n"/>
      <c r="AR144" s="83" t="n"/>
    </row>
    <row r="145">
      <c r="D145" s="83" t="n"/>
      <c r="E145" s="83" t="n"/>
      <c r="F145" s="83" t="n"/>
      <c r="G145" s="83" t="n"/>
      <c r="H145" s="83" t="n"/>
      <c r="I145" s="83" t="n"/>
      <c r="J145" s="83" t="n"/>
      <c r="K145" s="83" t="n"/>
      <c r="L145" s="83" t="n"/>
      <c r="M145" s="83" t="n"/>
      <c r="N145" s="83" t="n"/>
      <c r="O145" s="83" t="n"/>
      <c r="P145" s="83" t="n"/>
      <c r="Q145" s="83" t="n"/>
      <c r="R145" s="83" t="n"/>
      <c r="S145" s="83" t="n"/>
      <c r="T145" s="83" t="n"/>
      <c r="U145" s="83" t="n"/>
      <c r="V145" s="83" t="n"/>
      <c r="W145" s="83" t="n"/>
      <c r="X145" s="83" t="n"/>
      <c r="Y145" s="83" t="n"/>
      <c r="Z145" s="83" t="n"/>
      <c r="AA145" s="83" t="n"/>
      <c r="AB145" s="83" t="n"/>
      <c r="AC145" s="83" t="n"/>
      <c r="AD145" s="83" t="n"/>
      <c r="AE145" s="83" t="n"/>
      <c r="AF145" s="83" t="n"/>
      <c r="AG145" s="83" t="n"/>
      <c r="AH145" s="83" t="n"/>
      <c r="AI145" s="83" t="n"/>
      <c r="AJ145" s="83" t="n"/>
      <c r="AK145" s="83" t="n"/>
      <c r="AL145" s="83" t="n"/>
      <c r="AM145" s="83" t="n"/>
      <c r="AN145" s="83" t="n"/>
      <c r="AO145" s="83" t="n"/>
      <c r="AP145" s="83" t="n"/>
      <c r="AQ145" s="83" t="n"/>
      <c r="AR145" s="83" t="n"/>
    </row>
    <row r="146">
      <c r="D146" s="84" t="n"/>
      <c r="E146" s="84" t="n"/>
      <c r="F146" s="84" t="n"/>
      <c r="G146" s="84" t="n"/>
      <c r="H146" s="84" t="n"/>
      <c r="I146" s="84" t="n"/>
      <c r="J146" s="84" t="n"/>
      <c r="K146" s="84" t="n"/>
      <c r="L146" s="84" t="n"/>
      <c r="M146" s="84" t="n"/>
      <c r="N146" s="84" t="n"/>
      <c r="O146" s="84" t="n"/>
      <c r="P146" s="84" t="n"/>
      <c r="Q146" s="84" t="n"/>
      <c r="R146" s="84" t="n"/>
      <c r="S146" s="84" t="n"/>
      <c r="T146" s="84" t="n"/>
      <c r="U146" s="84" t="n"/>
      <c r="V146" s="84" t="n"/>
      <c r="W146" s="84" t="n"/>
      <c r="X146" s="84" t="n"/>
      <c r="Y146" s="84" t="n"/>
      <c r="Z146" s="84" t="n"/>
      <c r="AA146" s="84" t="n"/>
      <c r="AB146" s="84" t="n"/>
      <c r="AC146" s="84" t="n"/>
      <c r="AD146" s="84" t="n"/>
      <c r="AE146" s="84" t="n"/>
      <c r="AF146" s="84" t="n"/>
      <c r="AG146" s="84" t="n"/>
      <c r="AH146" s="84" t="n"/>
      <c r="AI146" s="84" t="n"/>
      <c r="AJ146" s="84" t="n"/>
      <c r="AK146" s="84" t="n"/>
      <c r="AL146" s="84" t="n"/>
      <c r="AM146" s="84" t="n"/>
      <c r="AN146" s="84" t="n"/>
      <c r="AO146" s="84" t="n"/>
      <c r="AP146" s="84" t="n"/>
      <c r="AQ146" s="84" t="n"/>
      <c r="AR146" s="84" t="n"/>
    </row>
    <row r="147">
      <c r="D147" s="80" t="n"/>
      <c r="E147" s="80" t="n"/>
      <c r="F147" s="80" t="n"/>
      <c r="G147" s="80" t="n"/>
      <c r="H147" s="80" t="n"/>
      <c r="I147" s="80" t="n"/>
      <c r="J147" s="80" t="n"/>
      <c r="K147" s="80" t="n"/>
      <c r="L147" s="80" t="n"/>
      <c r="M147" s="80" t="n"/>
      <c r="N147" s="80" t="n"/>
      <c r="O147" s="80" t="n"/>
      <c r="P147" s="80" t="n"/>
      <c r="Q147" s="80" t="n"/>
      <c r="R147" s="80" t="n"/>
      <c r="S147" s="80" t="n"/>
      <c r="T147" s="80" t="n"/>
      <c r="U147" s="80" t="n"/>
      <c r="V147" s="80" t="n"/>
      <c r="W147" s="80" t="n"/>
      <c r="X147" s="80" t="n"/>
      <c r="Y147" s="80" t="n"/>
      <c r="Z147" s="80" t="n"/>
      <c r="AA147" s="80" t="n"/>
      <c r="AB147" s="80" t="n"/>
      <c r="AC147" s="80" t="n"/>
      <c r="AD147" s="80" t="n"/>
      <c r="AE147" s="80" t="n"/>
      <c r="AF147" s="80" t="n"/>
      <c r="AG147" s="80" t="n"/>
      <c r="AH147" s="80" t="n"/>
      <c r="AI147" s="80" t="n"/>
      <c r="AJ147" s="80" t="n"/>
      <c r="AK147" s="80" t="n"/>
      <c r="AL147" s="80" t="n"/>
      <c r="AM147" s="80" t="n"/>
      <c r="AN147" s="80" t="n"/>
      <c r="AO147" s="80" t="n"/>
      <c r="AP147" s="80" t="n"/>
      <c r="AQ147" s="80" t="n"/>
      <c r="AR147" s="80" t="n"/>
    </row>
    <row r="148">
      <c r="D148" s="80" t="n"/>
      <c r="E148" s="80" t="n"/>
      <c r="F148" s="80" t="n"/>
      <c r="G148" s="80" t="n"/>
      <c r="H148" s="80" t="n"/>
      <c r="I148" s="80" t="n"/>
      <c r="J148" s="80" t="n"/>
      <c r="K148" s="80" t="n"/>
      <c r="L148" s="80" t="n"/>
      <c r="M148" s="80" t="n"/>
      <c r="N148" s="80" t="n"/>
      <c r="O148" s="80" t="n"/>
      <c r="P148" s="80" t="n"/>
      <c r="Q148" s="80" t="n"/>
      <c r="R148" s="80" t="n"/>
      <c r="S148" s="80" t="n"/>
      <c r="T148" s="80" t="n"/>
      <c r="U148" s="80" t="n"/>
      <c r="V148" s="80" t="n"/>
      <c r="W148" s="80" t="n"/>
      <c r="X148" s="80" t="n"/>
      <c r="Y148" s="80" t="n"/>
      <c r="Z148" s="80" t="n"/>
      <c r="AA148" s="80" t="n"/>
      <c r="AB148" s="80" t="n"/>
      <c r="AC148" s="80" t="n"/>
      <c r="AD148" s="80" t="n"/>
      <c r="AE148" s="80" t="n"/>
      <c r="AF148" s="80" t="n"/>
      <c r="AG148" s="80" t="n"/>
      <c r="AH148" s="80" t="n"/>
      <c r="AI148" s="80" t="n"/>
      <c r="AJ148" s="80" t="n"/>
      <c r="AK148" s="80" t="n"/>
      <c r="AL148" s="80" t="n"/>
      <c r="AM148" s="80" t="n"/>
      <c r="AN148" s="80" t="n"/>
      <c r="AO148" s="80" t="n"/>
      <c r="AP148" s="80" t="n"/>
      <c r="AQ148" s="80" t="n"/>
      <c r="AR148" s="80" t="n"/>
    </row>
    <row r="149">
      <c r="D149" s="80" t="n"/>
      <c r="E149" s="80" t="n"/>
      <c r="F149" s="80" t="n"/>
      <c r="G149" s="80" t="n"/>
      <c r="H149" s="80" t="n"/>
      <c r="I149" s="80" t="n"/>
      <c r="J149" s="80" t="n"/>
      <c r="K149" s="80" t="n"/>
      <c r="L149" s="80" t="n"/>
      <c r="M149" s="80" t="n"/>
      <c r="N149" s="80" t="n"/>
      <c r="O149" s="80" t="n"/>
      <c r="P149" s="80" t="n"/>
      <c r="Q149" s="80" t="n"/>
      <c r="R149" s="80" t="n"/>
      <c r="S149" s="80" t="n"/>
      <c r="T149" s="80" t="n"/>
      <c r="U149" s="80" t="n"/>
      <c r="V149" s="80" t="n"/>
      <c r="W149" s="80" t="n"/>
      <c r="X149" s="80" t="n"/>
      <c r="Y149" s="80" t="n"/>
      <c r="Z149" s="80" t="n"/>
      <c r="AA149" s="80" t="n"/>
      <c r="AB149" s="80" t="n"/>
      <c r="AC149" s="80" t="n"/>
      <c r="AD149" s="80" t="n"/>
      <c r="AE149" s="80" t="n"/>
      <c r="AF149" s="80" t="n"/>
      <c r="AG149" s="80" t="n"/>
      <c r="AH149" s="80" t="n"/>
      <c r="AI149" s="80" t="n"/>
      <c r="AJ149" s="80" t="n"/>
      <c r="AK149" s="80" t="n"/>
      <c r="AL149" s="80" t="n"/>
      <c r="AM149" s="80" t="n"/>
      <c r="AN149" s="80" t="n"/>
      <c r="AO149" s="80" t="n"/>
      <c r="AP149" s="80" t="n"/>
      <c r="AQ149" s="80" t="n"/>
      <c r="AR149" s="80" t="n"/>
    </row>
    <row r="150">
      <c r="D150" s="80" t="n"/>
      <c r="E150" s="80" t="n"/>
      <c r="F150" s="80" t="n"/>
      <c r="G150" s="80" t="n"/>
      <c r="H150" s="80" t="n"/>
      <c r="I150" s="80" t="n"/>
      <c r="J150" s="80" t="n"/>
      <c r="K150" s="80" t="n"/>
      <c r="L150" s="80" t="n"/>
      <c r="M150" s="80" t="n"/>
      <c r="N150" s="80" t="n"/>
      <c r="O150" s="80" t="n"/>
      <c r="P150" s="80" t="n"/>
      <c r="Q150" s="80" t="n"/>
      <c r="R150" s="80" t="n"/>
      <c r="S150" s="80" t="n"/>
      <c r="T150" s="80" t="n"/>
      <c r="U150" s="80" t="n"/>
      <c r="V150" s="80" t="n"/>
      <c r="W150" s="80" t="n"/>
      <c r="X150" s="80" t="n"/>
      <c r="Y150" s="80" t="n"/>
      <c r="Z150" s="80" t="n"/>
      <c r="AA150" s="80" t="n"/>
      <c r="AB150" s="80" t="n"/>
      <c r="AC150" s="80" t="n"/>
      <c r="AD150" s="80" t="n"/>
      <c r="AE150" s="80" t="n"/>
      <c r="AF150" s="80" t="n"/>
      <c r="AG150" s="80" t="n"/>
      <c r="AH150" s="80" t="n"/>
      <c r="AI150" s="80" t="n"/>
      <c r="AJ150" s="80" t="n"/>
      <c r="AK150" s="80" t="n"/>
      <c r="AL150" s="80" t="n"/>
      <c r="AM150" s="80" t="n"/>
      <c r="AN150" s="80" t="n"/>
      <c r="AO150" s="80" t="n"/>
      <c r="AP150" s="80" t="n"/>
      <c r="AQ150" s="80" t="n"/>
      <c r="AR150" s="80" t="n"/>
    </row>
    <row r="151">
      <c r="A151" s="2">
        <f>IF($A144="","","   projections")</f>
        <v/>
      </c>
      <c r="B151" s="41">
        <f>IF($A144="",0,COUNT($E152:$AR152))</f>
        <v/>
      </c>
      <c r="C151" s="81">
        <f>IF($B151=0,0,MAX($E152:$AR152))</f>
        <v/>
      </c>
      <c r="D151" s="82">
        <f>BDS($A144,'Field Check'!$C$6,"headers=y","startcol=1","endcol=7","dir=h")</f>
        <v/>
      </c>
      <c r="E151" s="83" t="n"/>
      <c r="F151" s="83" t="n"/>
      <c r="G151" s="83" t="n"/>
      <c r="H151" s="83" t="n"/>
      <c r="I151" s="83" t="n"/>
      <c r="J151" s="83" t="n"/>
      <c r="K151" s="83" t="n"/>
      <c r="L151" s="83" t="n"/>
      <c r="M151" s="83" t="n"/>
      <c r="N151" s="83" t="n"/>
      <c r="O151" s="83" t="n"/>
      <c r="P151" s="83" t="n"/>
      <c r="Q151" s="83" t="n"/>
      <c r="R151" s="83" t="n"/>
      <c r="S151" s="83" t="n"/>
      <c r="T151" s="83" t="n"/>
      <c r="U151" s="83" t="n"/>
      <c r="V151" s="83" t="n"/>
      <c r="W151" s="83" t="n"/>
      <c r="X151" s="83" t="n"/>
      <c r="Y151" s="83" t="n"/>
      <c r="Z151" s="83" t="n"/>
      <c r="AA151" s="83" t="n"/>
      <c r="AB151" s="83" t="n"/>
      <c r="AC151" s="83" t="n"/>
      <c r="AD151" s="83" t="n"/>
      <c r="AE151" s="83" t="n"/>
      <c r="AF151" s="83" t="n"/>
      <c r="AG151" s="83" t="n"/>
      <c r="AH151" s="83" t="n"/>
      <c r="AI151" s="83" t="n"/>
      <c r="AJ151" s="83" t="n"/>
      <c r="AK151" s="83" t="n"/>
      <c r="AL151" s="83" t="n"/>
      <c r="AM151" s="83" t="n"/>
      <c r="AN151" s="83" t="n"/>
      <c r="AO151" s="83" t="n"/>
      <c r="AP151" s="83" t="n"/>
      <c r="AQ151" s="83" t="n"/>
      <c r="AR151" s="83" t="n"/>
    </row>
    <row r="152">
      <c r="D152" s="83" t="n"/>
      <c r="E152" s="83" t="n"/>
      <c r="F152" s="83" t="n"/>
      <c r="G152" s="83" t="n"/>
      <c r="H152" s="83" t="n"/>
      <c r="I152" s="83" t="n"/>
      <c r="J152" s="83" t="n"/>
      <c r="K152" s="83" t="n"/>
      <c r="L152" s="83" t="n"/>
      <c r="M152" s="83" t="n"/>
      <c r="N152" s="83" t="n"/>
      <c r="O152" s="83" t="n"/>
      <c r="P152" s="83" t="n"/>
      <c r="Q152" s="83" t="n"/>
      <c r="R152" s="83" t="n"/>
      <c r="S152" s="83" t="n"/>
      <c r="T152" s="83" t="n"/>
      <c r="U152" s="83" t="n"/>
      <c r="V152" s="83" t="n"/>
      <c r="W152" s="83" t="n"/>
      <c r="X152" s="83" t="n"/>
      <c r="Y152" s="83" t="n"/>
      <c r="Z152" s="83" t="n"/>
      <c r="AA152" s="83" t="n"/>
      <c r="AB152" s="83" t="n"/>
      <c r="AC152" s="83" t="n"/>
      <c r="AD152" s="83" t="n"/>
      <c r="AE152" s="83" t="n"/>
      <c r="AF152" s="83" t="n"/>
      <c r="AG152" s="83" t="n"/>
      <c r="AH152" s="83" t="n"/>
      <c r="AI152" s="83" t="n"/>
      <c r="AJ152" s="83" t="n"/>
      <c r="AK152" s="83" t="n"/>
      <c r="AL152" s="83" t="n"/>
      <c r="AM152" s="83" t="n"/>
      <c r="AN152" s="83" t="n"/>
      <c r="AO152" s="83" t="n"/>
      <c r="AP152" s="83" t="n"/>
      <c r="AQ152" s="83" t="n"/>
      <c r="AR152" s="83" t="n"/>
    </row>
    <row r="153">
      <c r="D153" s="84" t="n"/>
      <c r="E153" s="84" t="n"/>
      <c r="F153" s="84" t="n"/>
      <c r="G153" s="84" t="n"/>
      <c r="H153" s="84" t="n"/>
      <c r="I153" s="84" t="n"/>
      <c r="J153" s="84" t="n"/>
      <c r="K153" s="84" t="n"/>
      <c r="L153" s="84" t="n"/>
      <c r="M153" s="84" t="n"/>
      <c r="N153" s="84" t="n"/>
      <c r="O153" s="84" t="n"/>
      <c r="P153" s="84" t="n"/>
      <c r="Q153" s="84" t="n"/>
      <c r="R153" s="84" t="n"/>
      <c r="S153" s="84" t="n"/>
      <c r="T153" s="84" t="n"/>
      <c r="U153" s="84" t="n"/>
      <c r="V153" s="84" t="n"/>
      <c r="W153" s="84" t="n"/>
      <c r="X153" s="84" t="n"/>
      <c r="Y153" s="84" t="n"/>
      <c r="Z153" s="84" t="n"/>
      <c r="AA153" s="84" t="n"/>
      <c r="AB153" s="84" t="n"/>
      <c r="AC153" s="84" t="n"/>
      <c r="AD153" s="84" t="n"/>
      <c r="AE153" s="84" t="n"/>
      <c r="AF153" s="84" t="n"/>
      <c r="AG153" s="84" t="n"/>
      <c r="AH153" s="84" t="n"/>
      <c r="AI153" s="84" t="n"/>
      <c r="AJ153" s="84" t="n"/>
      <c r="AK153" s="84" t="n"/>
      <c r="AL153" s="84" t="n"/>
      <c r="AM153" s="84" t="n"/>
      <c r="AN153" s="84" t="n"/>
      <c r="AO153" s="84" t="n"/>
      <c r="AP153" s="84" t="n"/>
      <c r="AQ153" s="84" t="n"/>
      <c r="AR153" s="84" t="n"/>
    </row>
    <row r="154">
      <c r="D154" s="80" t="n"/>
      <c r="E154" s="80" t="n"/>
      <c r="F154" s="80" t="n"/>
      <c r="G154" s="80" t="n"/>
      <c r="H154" s="80" t="n"/>
      <c r="I154" s="80" t="n"/>
      <c r="J154" s="80" t="n"/>
      <c r="K154" s="80" t="n"/>
      <c r="L154" s="80" t="n"/>
      <c r="M154" s="80" t="n"/>
      <c r="N154" s="80" t="n"/>
      <c r="O154" s="80" t="n"/>
      <c r="P154" s="80" t="n"/>
      <c r="Q154" s="80" t="n"/>
      <c r="R154" s="80" t="n"/>
      <c r="S154" s="80" t="n"/>
      <c r="T154" s="80" t="n"/>
      <c r="U154" s="80" t="n"/>
      <c r="V154" s="80" t="n"/>
      <c r="W154" s="80" t="n"/>
      <c r="X154" s="80" t="n"/>
      <c r="Y154" s="80" t="n"/>
      <c r="Z154" s="80" t="n"/>
      <c r="AA154" s="80" t="n"/>
      <c r="AB154" s="80" t="n"/>
      <c r="AC154" s="80" t="n"/>
      <c r="AD154" s="80" t="n"/>
      <c r="AE154" s="80" t="n"/>
      <c r="AF154" s="80" t="n"/>
      <c r="AG154" s="80" t="n"/>
      <c r="AH154" s="80" t="n"/>
      <c r="AI154" s="80" t="n"/>
      <c r="AJ154" s="80" t="n"/>
      <c r="AK154" s="80" t="n"/>
      <c r="AL154" s="80" t="n"/>
      <c r="AM154" s="80" t="n"/>
      <c r="AN154" s="80" t="n"/>
      <c r="AO154" s="80" t="n"/>
      <c r="AP154" s="80" t="n"/>
      <c r="AQ154" s="80" t="n"/>
      <c r="AR154" s="80" t="n"/>
    </row>
    <row r="155">
      <c r="D155" s="80" t="n"/>
      <c r="E155" s="80" t="n"/>
      <c r="F155" s="80" t="n"/>
      <c r="G155" s="80" t="n"/>
      <c r="H155" s="80" t="n"/>
      <c r="I155" s="80" t="n"/>
      <c r="J155" s="80" t="n"/>
      <c r="K155" s="80" t="n"/>
      <c r="L155" s="80" t="n"/>
      <c r="M155" s="80" t="n"/>
      <c r="N155" s="80" t="n"/>
      <c r="O155" s="80" t="n"/>
      <c r="P155" s="80" t="n"/>
      <c r="Q155" s="80" t="n"/>
      <c r="R155" s="80" t="n"/>
      <c r="S155" s="80" t="n"/>
      <c r="T155" s="80" t="n"/>
      <c r="U155" s="80" t="n"/>
      <c r="V155" s="80" t="n"/>
      <c r="W155" s="80" t="n"/>
      <c r="X155" s="80" t="n"/>
      <c r="Y155" s="80" t="n"/>
      <c r="Z155" s="80" t="n"/>
      <c r="AA155" s="80" t="n"/>
      <c r="AB155" s="80" t="n"/>
      <c r="AC155" s="80" t="n"/>
      <c r="AD155" s="80" t="n"/>
      <c r="AE155" s="80" t="n"/>
      <c r="AF155" s="80" t="n"/>
      <c r="AG155" s="80" t="n"/>
      <c r="AH155" s="80" t="n"/>
      <c r="AI155" s="80" t="n"/>
      <c r="AJ155" s="80" t="n"/>
      <c r="AK155" s="80" t="n"/>
      <c r="AL155" s="80" t="n"/>
      <c r="AM155" s="80" t="n"/>
      <c r="AN155" s="80" t="n"/>
      <c r="AO155" s="80" t="n"/>
      <c r="AP155" s="80" t="n"/>
      <c r="AQ155" s="80" t="n"/>
      <c r="AR155" s="80" t="n"/>
    </row>
    <row r="156">
      <c r="D156" s="80" t="n"/>
      <c r="E156" s="80" t="n"/>
      <c r="F156" s="80" t="n"/>
      <c r="G156" s="80" t="n"/>
      <c r="H156" s="80" t="n"/>
      <c r="I156" s="80" t="n"/>
      <c r="J156" s="80" t="n"/>
      <c r="K156" s="80" t="n"/>
      <c r="L156" s="80" t="n"/>
      <c r="M156" s="80" t="n"/>
      <c r="N156" s="80" t="n"/>
      <c r="O156" s="80" t="n"/>
      <c r="P156" s="80" t="n"/>
      <c r="Q156" s="80" t="n"/>
      <c r="R156" s="80" t="n"/>
      <c r="S156" s="80" t="n"/>
      <c r="T156" s="80" t="n"/>
      <c r="U156" s="80" t="n"/>
      <c r="V156" s="80" t="n"/>
      <c r="W156" s="80" t="n"/>
      <c r="X156" s="80" t="n"/>
      <c r="Y156" s="80" t="n"/>
      <c r="Z156" s="80" t="n"/>
      <c r="AA156" s="80" t="n"/>
      <c r="AB156" s="80" t="n"/>
      <c r="AC156" s="80" t="n"/>
      <c r="AD156" s="80" t="n"/>
      <c r="AE156" s="80" t="n"/>
      <c r="AF156" s="80" t="n"/>
      <c r="AG156" s="80" t="n"/>
      <c r="AH156" s="80" t="n"/>
      <c r="AI156" s="80" t="n"/>
      <c r="AJ156" s="80" t="n"/>
      <c r="AK156" s="80" t="n"/>
      <c r="AL156" s="80" t="n"/>
      <c r="AM156" s="80" t="n"/>
      <c r="AN156" s="80" t="n"/>
      <c r="AO156" s="80" t="n"/>
      <c r="AP156" s="80" t="n"/>
      <c r="AQ156" s="80" t="n"/>
      <c r="AR156" s="80" t="n"/>
    </row>
    <row r="157">
      <c r="D157" s="80" t="n"/>
      <c r="E157" s="80" t="n"/>
      <c r="F157" s="80" t="n"/>
      <c r="G157" s="80" t="n"/>
      <c r="H157" s="80" t="n"/>
      <c r="I157" s="80" t="n"/>
      <c r="J157" s="80" t="n"/>
      <c r="K157" s="80" t="n"/>
      <c r="L157" s="80" t="n"/>
      <c r="M157" s="80" t="n"/>
      <c r="N157" s="80" t="n"/>
      <c r="O157" s="80" t="n"/>
      <c r="P157" s="80" t="n"/>
      <c r="Q157" s="80" t="n"/>
      <c r="R157" s="80" t="n"/>
      <c r="S157" s="80" t="n"/>
      <c r="T157" s="80" t="n"/>
      <c r="U157" s="80" t="n"/>
      <c r="V157" s="80" t="n"/>
      <c r="W157" s="80" t="n"/>
      <c r="X157" s="80" t="n"/>
      <c r="Y157" s="80" t="n"/>
      <c r="Z157" s="80" t="n"/>
      <c r="AA157" s="80" t="n"/>
      <c r="AB157" s="80" t="n"/>
      <c r="AC157" s="80" t="n"/>
      <c r="AD157" s="80" t="n"/>
      <c r="AE157" s="80" t="n"/>
      <c r="AF157" s="80" t="n"/>
      <c r="AG157" s="80" t="n"/>
      <c r="AH157" s="80" t="n"/>
      <c r="AI157" s="80" t="n"/>
      <c r="AJ157" s="80" t="n"/>
      <c r="AK157" s="80" t="n"/>
      <c r="AL157" s="80" t="n"/>
      <c r="AM157" s="80" t="n"/>
      <c r="AN157" s="80" t="n"/>
      <c r="AO157" s="80" t="n"/>
      <c r="AP157" s="80" t="n"/>
      <c r="AQ157" s="80" t="n"/>
      <c r="AR157" s="80" t="n"/>
    </row>
    <row r="159">
      <c r="A159" s="6">
        <f>IF(HSI!$C$17="","",HSI!$C$17)</f>
        <v/>
      </c>
      <c r="B159" s="41">
        <f>IF($A159="",0,COUNT($E160:$AR160))</f>
        <v/>
      </c>
      <c r="C159" s="81">
        <f>IF($B159=0,0,MAX($E160:$AR160))</f>
        <v/>
      </c>
      <c r="D159" s="82">
        <f>BDS($A159,'Field Check'!$C$7,"headers=y","startcol=1","endcol=7","dir=h","DVD_START_DT",Summary!$C$18,"DVD_END_DT",Summary!$D$18)</f>
        <v/>
      </c>
      <c r="E159" s="83" t="n"/>
      <c r="F159" s="83" t="n"/>
      <c r="G159" s="83" t="n"/>
      <c r="H159" s="83" t="n"/>
      <c r="I159" s="83" t="n"/>
      <c r="J159" s="83" t="n"/>
      <c r="K159" s="83" t="n"/>
      <c r="L159" s="83" t="n"/>
      <c r="M159" s="83" t="n"/>
      <c r="N159" s="83" t="n"/>
      <c r="O159" s="83" t="n"/>
      <c r="P159" s="83" t="n"/>
      <c r="Q159" s="83" t="n"/>
      <c r="R159" s="83" t="n"/>
      <c r="S159" s="83" t="n"/>
      <c r="T159" s="83" t="n"/>
      <c r="U159" s="83" t="n"/>
      <c r="V159" s="83" t="n"/>
      <c r="W159" s="83" t="n"/>
      <c r="X159" s="83" t="n"/>
      <c r="Y159" s="83" t="n"/>
      <c r="Z159" s="83" t="n"/>
      <c r="AA159" s="83" t="n"/>
      <c r="AB159" s="83" t="n"/>
      <c r="AC159" s="83" t="n"/>
      <c r="AD159" s="83" t="n"/>
      <c r="AE159" s="83" t="n"/>
      <c r="AF159" s="83" t="n"/>
      <c r="AG159" s="83" t="n"/>
      <c r="AH159" s="83" t="n"/>
      <c r="AI159" s="83" t="n"/>
      <c r="AJ159" s="83" t="n"/>
      <c r="AK159" s="83" t="n"/>
      <c r="AL159" s="83" t="n"/>
      <c r="AM159" s="83" t="n"/>
      <c r="AN159" s="83" t="n"/>
      <c r="AO159" s="83" t="n"/>
      <c r="AP159" s="83" t="n"/>
      <c r="AQ159" s="83" t="n"/>
      <c r="AR159" s="83" t="n"/>
    </row>
    <row r="160">
      <c r="D160" s="83" t="n"/>
      <c r="E160" s="83" t="n"/>
      <c r="F160" s="83" t="n"/>
      <c r="G160" s="83" t="n"/>
      <c r="H160" s="83" t="n"/>
      <c r="I160" s="83" t="n"/>
      <c r="J160" s="83" t="n"/>
      <c r="K160" s="83" t="n"/>
      <c r="L160" s="83" t="n"/>
      <c r="M160" s="83" t="n"/>
      <c r="N160" s="83" t="n"/>
      <c r="O160" s="83" t="n"/>
      <c r="P160" s="83" t="n"/>
      <c r="Q160" s="83" t="n"/>
      <c r="R160" s="83" t="n"/>
      <c r="S160" s="83" t="n"/>
      <c r="T160" s="83" t="n"/>
      <c r="U160" s="83" t="n"/>
      <c r="V160" s="83" t="n"/>
      <c r="W160" s="83" t="n"/>
      <c r="X160" s="83" t="n"/>
      <c r="Y160" s="83" t="n"/>
      <c r="Z160" s="83" t="n"/>
      <c r="AA160" s="83" t="n"/>
      <c r="AB160" s="83" t="n"/>
      <c r="AC160" s="83" t="n"/>
      <c r="AD160" s="83" t="n"/>
      <c r="AE160" s="83" t="n"/>
      <c r="AF160" s="83" t="n"/>
      <c r="AG160" s="83" t="n"/>
      <c r="AH160" s="83" t="n"/>
      <c r="AI160" s="83" t="n"/>
      <c r="AJ160" s="83" t="n"/>
      <c r="AK160" s="83" t="n"/>
      <c r="AL160" s="83" t="n"/>
      <c r="AM160" s="83" t="n"/>
      <c r="AN160" s="83" t="n"/>
      <c r="AO160" s="83" t="n"/>
      <c r="AP160" s="83" t="n"/>
      <c r="AQ160" s="83" t="n"/>
      <c r="AR160" s="83" t="n"/>
    </row>
    <row r="161">
      <c r="D161" s="84" t="n"/>
      <c r="E161" s="84" t="n"/>
      <c r="F161" s="84" t="n"/>
      <c r="G161" s="84" t="n"/>
      <c r="H161" s="84" t="n"/>
      <c r="I161" s="84" t="n"/>
      <c r="J161" s="84" t="n"/>
      <c r="K161" s="84" t="n"/>
      <c r="L161" s="84" t="n"/>
      <c r="M161" s="84" t="n"/>
      <c r="N161" s="84" t="n"/>
      <c r="O161" s="84" t="n"/>
      <c r="P161" s="84" t="n"/>
      <c r="Q161" s="84" t="n"/>
      <c r="R161" s="84" t="n"/>
      <c r="S161" s="84" t="n"/>
      <c r="T161" s="84" t="n"/>
      <c r="U161" s="84" t="n"/>
      <c r="V161" s="84" t="n"/>
      <c r="W161" s="84" t="n"/>
      <c r="X161" s="84" t="n"/>
      <c r="Y161" s="84" t="n"/>
      <c r="Z161" s="84" t="n"/>
      <c r="AA161" s="84" t="n"/>
      <c r="AB161" s="84" t="n"/>
      <c r="AC161" s="84" t="n"/>
      <c r="AD161" s="84" t="n"/>
      <c r="AE161" s="84" t="n"/>
      <c r="AF161" s="84" t="n"/>
      <c r="AG161" s="84" t="n"/>
      <c r="AH161" s="84" t="n"/>
      <c r="AI161" s="84" t="n"/>
      <c r="AJ161" s="84" t="n"/>
      <c r="AK161" s="84" t="n"/>
      <c r="AL161" s="84" t="n"/>
      <c r="AM161" s="84" t="n"/>
      <c r="AN161" s="84" t="n"/>
      <c r="AO161" s="84" t="n"/>
      <c r="AP161" s="84" t="n"/>
      <c r="AQ161" s="84" t="n"/>
      <c r="AR161" s="84" t="n"/>
    </row>
    <row r="162">
      <c r="D162" s="80" t="n"/>
      <c r="E162" s="80" t="n"/>
      <c r="F162" s="80" t="n"/>
      <c r="G162" s="80" t="n"/>
      <c r="H162" s="80" t="n"/>
      <c r="I162" s="80" t="n"/>
      <c r="J162" s="80" t="n"/>
      <c r="K162" s="80" t="n"/>
      <c r="L162" s="80" t="n"/>
      <c r="M162" s="80" t="n"/>
      <c r="N162" s="80" t="n"/>
      <c r="O162" s="80" t="n"/>
      <c r="P162" s="80" t="n"/>
      <c r="Q162" s="80" t="n"/>
      <c r="R162" s="80" t="n"/>
      <c r="S162" s="80" t="n"/>
      <c r="T162" s="80" t="n"/>
      <c r="U162" s="80" t="n"/>
      <c r="V162" s="80" t="n"/>
      <c r="W162" s="80" t="n"/>
      <c r="X162" s="80" t="n"/>
      <c r="Y162" s="80" t="n"/>
      <c r="Z162" s="80" t="n"/>
      <c r="AA162" s="80" t="n"/>
      <c r="AB162" s="80" t="n"/>
      <c r="AC162" s="80" t="n"/>
      <c r="AD162" s="80" t="n"/>
      <c r="AE162" s="80" t="n"/>
      <c r="AF162" s="80" t="n"/>
      <c r="AG162" s="80" t="n"/>
      <c r="AH162" s="80" t="n"/>
      <c r="AI162" s="80" t="n"/>
      <c r="AJ162" s="80" t="n"/>
      <c r="AK162" s="80" t="n"/>
      <c r="AL162" s="80" t="n"/>
      <c r="AM162" s="80" t="n"/>
      <c r="AN162" s="80" t="n"/>
      <c r="AO162" s="80" t="n"/>
      <c r="AP162" s="80" t="n"/>
      <c r="AQ162" s="80" t="n"/>
      <c r="AR162" s="80" t="n"/>
    </row>
    <row r="163">
      <c r="D163" s="80" t="n"/>
      <c r="E163" s="80" t="n"/>
      <c r="F163" s="80" t="n"/>
      <c r="G163" s="80" t="n"/>
      <c r="H163" s="80" t="n"/>
      <c r="I163" s="80" t="n"/>
      <c r="J163" s="80" t="n"/>
      <c r="K163" s="80" t="n"/>
      <c r="L163" s="80" t="n"/>
      <c r="M163" s="80" t="n"/>
      <c r="N163" s="80" t="n"/>
      <c r="O163" s="80" t="n"/>
      <c r="P163" s="80" t="n"/>
      <c r="Q163" s="80" t="n"/>
      <c r="R163" s="80" t="n"/>
      <c r="S163" s="80" t="n"/>
      <c r="T163" s="80" t="n"/>
      <c r="U163" s="80" t="n"/>
      <c r="V163" s="80" t="n"/>
      <c r="W163" s="80" t="n"/>
      <c r="X163" s="80" t="n"/>
      <c r="Y163" s="80" t="n"/>
      <c r="Z163" s="80" t="n"/>
      <c r="AA163" s="80" t="n"/>
      <c r="AB163" s="80" t="n"/>
      <c r="AC163" s="80" t="n"/>
      <c r="AD163" s="80" t="n"/>
      <c r="AE163" s="80" t="n"/>
      <c r="AF163" s="80" t="n"/>
      <c r="AG163" s="80" t="n"/>
      <c r="AH163" s="80" t="n"/>
      <c r="AI163" s="80" t="n"/>
      <c r="AJ163" s="80" t="n"/>
      <c r="AK163" s="80" t="n"/>
      <c r="AL163" s="80" t="n"/>
      <c r="AM163" s="80" t="n"/>
      <c r="AN163" s="80" t="n"/>
      <c r="AO163" s="80" t="n"/>
      <c r="AP163" s="80" t="n"/>
      <c r="AQ163" s="80" t="n"/>
      <c r="AR163" s="80" t="n"/>
    </row>
    <row r="164">
      <c r="D164" s="80" t="n"/>
      <c r="E164" s="80" t="n"/>
      <c r="F164" s="80" t="n"/>
      <c r="G164" s="80" t="n"/>
      <c r="H164" s="80" t="n"/>
      <c r="I164" s="80" t="n"/>
      <c r="J164" s="80" t="n"/>
      <c r="K164" s="80" t="n"/>
      <c r="L164" s="80" t="n"/>
      <c r="M164" s="80" t="n"/>
      <c r="N164" s="80" t="n"/>
      <c r="O164" s="80" t="n"/>
      <c r="P164" s="80" t="n"/>
      <c r="Q164" s="80" t="n"/>
      <c r="R164" s="80" t="n"/>
      <c r="S164" s="80" t="n"/>
      <c r="T164" s="80" t="n"/>
      <c r="U164" s="80" t="n"/>
      <c r="V164" s="80" t="n"/>
      <c r="W164" s="80" t="n"/>
      <c r="X164" s="80" t="n"/>
      <c r="Y164" s="80" t="n"/>
      <c r="Z164" s="80" t="n"/>
      <c r="AA164" s="80" t="n"/>
      <c r="AB164" s="80" t="n"/>
      <c r="AC164" s="80" t="n"/>
      <c r="AD164" s="80" t="n"/>
      <c r="AE164" s="80" t="n"/>
      <c r="AF164" s="80" t="n"/>
      <c r="AG164" s="80" t="n"/>
      <c r="AH164" s="80" t="n"/>
      <c r="AI164" s="80" t="n"/>
      <c r="AJ164" s="80" t="n"/>
      <c r="AK164" s="80" t="n"/>
      <c r="AL164" s="80" t="n"/>
      <c r="AM164" s="80" t="n"/>
      <c r="AN164" s="80" t="n"/>
      <c r="AO164" s="80" t="n"/>
      <c r="AP164" s="80" t="n"/>
      <c r="AQ164" s="80" t="n"/>
      <c r="AR164" s="80" t="n"/>
    </row>
    <row r="165">
      <c r="D165" s="80" t="n"/>
      <c r="E165" s="80" t="n"/>
      <c r="F165" s="80" t="n"/>
      <c r="G165" s="80" t="n"/>
      <c r="H165" s="80" t="n"/>
      <c r="I165" s="80" t="n"/>
      <c r="J165" s="80" t="n"/>
      <c r="K165" s="80" t="n"/>
      <c r="L165" s="80" t="n"/>
      <c r="M165" s="80" t="n"/>
      <c r="N165" s="80" t="n"/>
      <c r="O165" s="80" t="n"/>
      <c r="P165" s="80" t="n"/>
      <c r="Q165" s="80" t="n"/>
      <c r="R165" s="80" t="n"/>
      <c r="S165" s="80" t="n"/>
      <c r="T165" s="80" t="n"/>
      <c r="U165" s="80" t="n"/>
      <c r="V165" s="80" t="n"/>
      <c r="W165" s="80" t="n"/>
      <c r="X165" s="80" t="n"/>
      <c r="Y165" s="80" t="n"/>
      <c r="Z165" s="80" t="n"/>
      <c r="AA165" s="80" t="n"/>
      <c r="AB165" s="80" t="n"/>
      <c r="AC165" s="80" t="n"/>
      <c r="AD165" s="80" t="n"/>
      <c r="AE165" s="80" t="n"/>
      <c r="AF165" s="80" t="n"/>
      <c r="AG165" s="80" t="n"/>
      <c r="AH165" s="80" t="n"/>
      <c r="AI165" s="80" t="n"/>
      <c r="AJ165" s="80" t="n"/>
      <c r="AK165" s="80" t="n"/>
      <c r="AL165" s="80" t="n"/>
      <c r="AM165" s="80" t="n"/>
      <c r="AN165" s="80" t="n"/>
      <c r="AO165" s="80" t="n"/>
      <c r="AP165" s="80" t="n"/>
      <c r="AQ165" s="80" t="n"/>
      <c r="AR165" s="80" t="n"/>
    </row>
    <row r="166">
      <c r="A166" s="2">
        <f>IF($A159="","","   projections")</f>
        <v/>
      </c>
      <c r="B166" s="41">
        <f>IF($A159="",0,COUNT($E167:$AR167))</f>
        <v/>
      </c>
      <c r="C166" s="81">
        <f>IF($B166=0,0,MAX($E167:$AR167))</f>
        <v/>
      </c>
      <c r="D166" s="82">
        <f>BDS($A159,'Field Check'!$C$6,"headers=y","startcol=1","endcol=7","dir=h")</f>
        <v/>
      </c>
      <c r="E166" s="83" t="n"/>
      <c r="F166" s="83" t="n"/>
      <c r="G166" s="83" t="n"/>
      <c r="H166" s="83" t="n"/>
      <c r="I166" s="83" t="n"/>
      <c r="J166" s="83" t="n"/>
      <c r="K166" s="83" t="n"/>
      <c r="L166" s="83" t="n"/>
      <c r="M166" s="83" t="n"/>
      <c r="N166" s="83" t="n"/>
      <c r="O166" s="83" t="n"/>
      <c r="P166" s="83" t="n"/>
      <c r="Q166" s="83" t="n"/>
      <c r="R166" s="83" t="n"/>
      <c r="S166" s="83" t="n"/>
      <c r="T166" s="83" t="n"/>
      <c r="U166" s="83" t="n"/>
      <c r="V166" s="83" t="n"/>
      <c r="W166" s="83" t="n"/>
      <c r="X166" s="83" t="n"/>
      <c r="Y166" s="83" t="n"/>
      <c r="Z166" s="83" t="n"/>
      <c r="AA166" s="83" t="n"/>
      <c r="AB166" s="83" t="n"/>
      <c r="AC166" s="83" t="n"/>
      <c r="AD166" s="83" t="n"/>
      <c r="AE166" s="83" t="n"/>
      <c r="AF166" s="83" t="n"/>
      <c r="AG166" s="83" t="n"/>
      <c r="AH166" s="83" t="n"/>
      <c r="AI166" s="83" t="n"/>
      <c r="AJ166" s="83" t="n"/>
      <c r="AK166" s="83" t="n"/>
      <c r="AL166" s="83" t="n"/>
      <c r="AM166" s="83" t="n"/>
      <c r="AN166" s="83" t="n"/>
      <c r="AO166" s="83" t="n"/>
      <c r="AP166" s="83" t="n"/>
      <c r="AQ166" s="83" t="n"/>
      <c r="AR166" s="83" t="n"/>
    </row>
    <row r="167">
      <c r="D167" s="83" t="n"/>
      <c r="E167" s="83" t="n"/>
      <c r="F167" s="83" t="n"/>
      <c r="G167" s="83" t="n"/>
      <c r="H167" s="83" t="n"/>
      <c r="I167" s="83" t="n"/>
      <c r="J167" s="83" t="n"/>
      <c r="K167" s="83" t="n"/>
      <c r="L167" s="83" t="n"/>
      <c r="M167" s="83" t="n"/>
      <c r="N167" s="83" t="n"/>
      <c r="O167" s="83" t="n"/>
      <c r="P167" s="83" t="n"/>
      <c r="Q167" s="83" t="n"/>
      <c r="R167" s="83" t="n"/>
      <c r="S167" s="83" t="n"/>
      <c r="T167" s="83" t="n"/>
      <c r="U167" s="83" t="n"/>
      <c r="V167" s="83" t="n"/>
      <c r="W167" s="83" t="n"/>
      <c r="X167" s="83" t="n"/>
      <c r="Y167" s="83" t="n"/>
      <c r="Z167" s="83" t="n"/>
      <c r="AA167" s="83" t="n"/>
      <c r="AB167" s="83" t="n"/>
      <c r="AC167" s="83" t="n"/>
      <c r="AD167" s="83" t="n"/>
      <c r="AE167" s="83" t="n"/>
      <c r="AF167" s="83" t="n"/>
      <c r="AG167" s="83" t="n"/>
      <c r="AH167" s="83" t="n"/>
      <c r="AI167" s="83" t="n"/>
      <c r="AJ167" s="83" t="n"/>
      <c r="AK167" s="83" t="n"/>
      <c r="AL167" s="83" t="n"/>
      <c r="AM167" s="83" t="n"/>
      <c r="AN167" s="83" t="n"/>
      <c r="AO167" s="83" t="n"/>
      <c r="AP167" s="83" t="n"/>
      <c r="AQ167" s="83" t="n"/>
      <c r="AR167" s="83" t="n"/>
    </row>
    <row r="168">
      <c r="D168" s="84" t="n"/>
      <c r="E168" s="84" t="n"/>
      <c r="F168" s="84" t="n"/>
      <c r="G168" s="84" t="n"/>
      <c r="H168" s="84" t="n"/>
      <c r="I168" s="84" t="n"/>
      <c r="J168" s="84" t="n"/>
      <c r="K168" s="84" t="n"/>
      <c r="L168" s="84" t="n"/>
      <c r="M168" s="84" t="n"/>
      <c r="N168" s="84" t="n"/>
      <c r="O168" s="84" t="n"/>
      <c r="P168" s="84" t="n"/>
      <c r="Q168" s="84" t="n"/>
      <c r="R168" s="84" t="n"/>
      <c r="S168" s="84" t="n"/>
      <c r="T168" s="84" t="n"/>
      <c r="U168" s="84" t="n"/>
      <c r="V168" s="84" t="n"/>
      <c r="W168" s="84" t="n"/>
      <c r="X168" s="84" t="n"/>
      <c r="Y168" s="84" t="n"/>
      <c r="Z168" s="84" t="n"/>
      <c r="AA168" s="84" t="n"/>
      <c r="AB168" s="84" t="n"/>
      <c r="AC168" s="84" t="n"/>
      <c r="AD168" s="84" t="n"/>
      <c r="AE168" s="84" t="n"/>
      <c r="AF168" s="84" t="n"/>
      <c r="AG168" s="84" t="n"/>
      <c r="AH168" s="84" t="n"/>
      <c r="AI168" s="84" t="n"/>
      <c r="AJ168" s="84" t="n"/>
      <c r="AK168" s="84" t="n"/>
      <c r="AL168" s="84" t="n"/>
      <c r="AM168" s="84" t="n"/>
      <c r="AN168" s="84" t="n"/>
      <c r="AO168" s="84" t="n"/>
      <c r="AP168" s="84" t="n"/>
      <c r="AQ168" s="84" t="n"/>
      <c r="AR168" s="84" t="n"/>
    </row>
    <row r="169">
      <c r="D169" s="80" t="n"/>
      <c r="E169" s="80" t="n"/>
      <c r="F169" s="80" t="n"/>
      <c r="G169" s="80" t="n"/>
      <c r="H169" s="80" t="n"/>
      <c r="I169" s="80" t="n"/>
      <c r="J169" s="80" t="n"/>
      <c r="K169" s="80" t="n"/>
      <c r="L169" s="80" t="n"/>
      <c r="M169" s="80" t="n"/>
      <c r="N169" s="80" t="n"/>
      <c r="O169" s="80" t="n"/>
      <c r="P169" s="80" t="n"/>
      <c r="Q169" s="80" t="n"/>
      <c r="R169" s="80" t="n"/>
      <c r="S169" s="80" t="n"/>
      <c r="T169" s="80" t="n"/>
      <c r="U169" s="80" t="n"/>
      <c r="V169" s="80" t="n"/>
      <c r="W169" s="80" t="n"/>
      <c r="X169" s="80" t="n"/>
      <c r="Y169" s="80" t="n"/>
      <c r="Z169" s="80" t="n"/>
      <c r="AA169" s="80" t="n"/>
      <c r="AB169" s="80" t="n"/>
      <c r="AC169" s="80" t="n"/>
      <c r="AD169" s="80" t="n"/>
      <c r="AE169" s="80" t="n"/>
      <c r="AF169" s="80" t="n"/>
      <c r="AG169" s="80" t="n"/>
      <c r="AH169" s="80" t="n"/>
      <c r="AI169" s="80" t="n"/>
      <c r="AJ169" s="80" t="n"/>
      <c r="AK169" s="80" t="n"/>
      <c r="AL169" s="80" t="n"/>
      <c r="AM169" s="80" t="n"/>
      <c r="AN169" s="80" t="n"/>
      <c r="AO169" s="80" t="n"/>
      <c r="AP169" s="80" t="n"/>
      <c r="AQ169" s="80" t="n"/>
      <c r="AR169" s="80" t="n"/>
    </row>
    <row r="170">
      <c r="D170" s="80" t="n"/>
      <c r="E170" s="80" t="n"/>
      <c r="F170" s="80" t="n"/>
      <c r="G170" s="80" t="n"/>
      <c r="H170" s="80" t="n"/>
      <c r="I170" s="80" t="n"/>
      <c r="J170" s="80" t="n"/>
      <c r="K170" s="80" t="n"/>
      <c r="L170" s="80" t="n"/>
      <c r="M170" s="80" t="n"/>
      <c r="N170" s="80" t="n"/>
      <c r="O170" s="80" t="n"/>
      <c r="P170" s="80" t="n"/>
      <c r="Q170" s="80" t="n"/>
      <c r="R170" s="80" t="n"/>
      <c r="S170" s="80" t="n"/>
      <c r="T170" s="80" t="n"/>
      <c r="U170" s="80" t="n"/>
      <c r="V170" s="80" t="n"/>
      <c r="W170" s="80" t="n"/>
      <c r="X170" s="80" t="n"/>
      <c r="Y170" s="80" t="n"/>
      <c r="Z170" s="80" t="n"/>
      <c r="AA170" s="80" t="n"/>
      <c r="AB170" s="80" t="n"/>
      <c r="AC170" s="80" t="n"/>
      <c r="AD170" s="80" t="n"/>
      <c r="AE170" s="80" t="n"/>
      <c r="AF170" s="80" t="n"/>
      <c r="AG170" s="80" t="n"/>
      <c r="AH170" s="80" t="n"/>
      <c r="AI170" s="80" t="n"/>
      <c r="AJ170" s="80" t="n"/>
      <c r="AK170" s="80" t="n"/>
      <c r="AL170" s="80" t="n"/>
      <c r="AM170" s="80" t="n"/>
      <c r="AN170" s="80" t="n"/>
      <c r="AO170" s="80" t="n"/>
      <c r="AP170" s="80" t="n"/>
      <c r="AQ170" s="80" t="n"/>
      <c r="AR170" s="80" t="n"/>
    </row>
    <row r="171">
      <c r="D171" s="80" t="n"/>
      <c r="E171" s="80" t="n"/>
      <c r="F171" s="80" t="n"/>
      <c r="G171" s="80" t="n"/>
      <c r="H171" s="80" t="n"/>
      <c r="I171" s="80" t="n"/>
      <c r="J171" s="80" t="n"/>
      <c r="K171" s="80" t="n"/>
      <c r="L171" s="80" t="n"/>
      <c r="M171" s="80" t="n"/>
      <c r="N171" s="80" t="n"/>
      <c r="O171" s="80" t="n"/>
      <c r="P171" s="80" t="n"/>
      <c r="Q171" s="80" t="n"/>
      <c r="R171" s="80" t="n"/>
      <c r="S171" s="80" t="n"/>
      <c r="T171" s="80" t="n"/>
      <c r="U171" s="80" t="n"/>
      <c r="V171" s="80" t="n"/>
      <c r="W171" s="80" t="n"/>
      <c r="X171" s="80" t="n"/>
      <c r="Y171" s="80" t="n"/>
      <c r="Z171" s="80" t="n"/>
      <c r="AA171" s="80" t="n"/>
      <c r="AB171" s="80" t="n"/>
      <c r="AC171" s="80" t="n"/>
      <c r="AD171" s="80" t="n"/>
      <c r="AE171" s="80" t="n"/>
      <c r="AF171" s="80" t="n"/>
      <c r="AG171" s="80" t="n"/>
      <c r="AH171" s="80" t="n"/>
      <c r="AI171" s="80" t="n"/>
      <c r="AJ171" s="80" t="n"/>
      <c r="AK171" s="80" t="n"/>
      <c r="AL171" s="80" t="n"/>
      <c r="AM171" s="80" t="n"/>
      <c r="AN171" s="80" t="n"/>
      <c r="AO171" s="80" t="n"/>
      <c r="AP171" s="80" t="n"/>
      <c r="AQ171" s="80" t="n"/>
      <c r="AR171" s="80" t="n"/>
    </row>
    <row r="172">
      <c r="D172" s="80" t="n"/>
      <c r="E172" s="80" t="n"/>
      <c r="F172" s="80" t="n"/>
      <c r="G172" s="80" t="n"/>
      <c r="H172" s="80" t="n"/>
      <c r="I172" s="80" t="n"/>
      <c r="J172" s="80" t="n"/>
      <c r="K172" s="80" t="n"/>
      <c r="L172" s="80" t="n"/>
      <c r="M172" s="80" t="n"/>
      <c r="N172" s="80" t="n"/>
      <c r="O172" s="80" t="n"/>
      <c r="P172" s="80" t="n"/>
      <c r="Q172" s="80" t="n"/>
      <c r="R172" s="80" t="n"/>
      <c r="S172" s="80" t="n"/>
      <c r="T172" s="80" t="n"/>
      <c r="U172" s="80" t="n"/>
      <c r="V172" s="80" t="n"/>
      <c r="W172" s="80" t="n"/>
      <c r="X172" s="80" t="n"/>
      <c r="Y172" s="80" t="n"/>
      <c r="Z172" s="80" t="n"/>
      <c r="AA172" s="80" t="n"/>
      <c r="AB172" s="80" t="n"/>
      <c r="AC172" s="80" t="n"/>
      <c r="AD172" s="80" t="n"/>
      <c r="AE172" s="80" t="n"/>
      <c r="AF172" s="80" t="n"/>
      <c r="AG172" s="80" t="n"/>
      <c r="AH172" s="80" t="n"/>
      <c r="AI172" s="80" t="n"/>
      <c r="AJ172" s="80" t="n"/>
      <c r="AK172" s="80" t="n"/>
      <c r="AL172" s="80" t="n"/>
      <c r="AM172" s="80" t="n"/>
      <c r="AN172" s="80" t="n"/>
      <c r="AO172" s="80" t="n"/>
      <c r="AP172" s="80" t="n"/>
      <c r="AQ172" s="80" t="n"/>
      <c r="AR172" s="80" t="n"/>
    </row>
    <row r="174">
      <c r="A174" s="6">
        <f>IF(HSI!$C$18="","",HSI!$C$18)</f>
        <v/>
      </c>
      <c r="B174" s="41">
        <f>IF($A174="",0,COUNT($E175:$AR175))</f>
        <v/>
      </c>
      <c r="C174" s="81">
        <f>IF($B174=0,0,MAX($E175:$AR175))</f>
        <v/>
      </c>
      <c r="D174" s="82">
        <f>BDS($A174,'Field Check'!$C$7,"headers=y","startcol=1","endcol=7","dir=h","DVD_START_DT",Summary!$C$18,"DVD_END_DT",Summary!$D$18)</f>
        <v/>
      </c>
      <c r="E174" s="83" t="n"/>
      <c r="F174" s="83" t="n"/>
      <c r="G174" s="83" t="n"/>
      <c r="H174" s="83" t="n"/>
      <c r="I174" s="83" t="n"/>
      <c r="J174" s="83" t="n"/>
      <c r="K174" s="83" t="n"/>
      <c r="L174" s="83" t="n"/>
      <c r="M174" s="83" t="n"/>
      <c r="N174" s="83" t="n"/>
      <c r="O174" s="83" t="n"/>
      <c r="P174" s="83" t="n"/>
      <c r="Q174" s="83" t="n"/>
      <c r="R174" s="83" t="n"/>
      <c r="S174" s="83" t="n"/>
      <c r="T174" s="83" t="n"/>
      <c r="U174" s="83" t="n"/>
      <c r="V174" s="83" t="n"/>
      <c r="W174" s="83" t="n"/>
      <c r="X174" s="83" t="n"/>
      <c r="Y174" s="83" t="n"/>
      <c r="Z174" s="83" t="n"/>
      <c r="AA174" s="83" t="n"/>
      <c r="AB174" s="83" t="n"/>
      <c r="AC174" s="83" t="n"/>
      <c r="AD174" s="83" t="n"/>
      <c r="AE174" s="83" t="n"/>
      <c r="AF174" s="83" t="n"/>
      <c r="AG174" s="83" t="n"/>
      <c r="AH174" s="83" t="n"/>
      <c r="AI174" s="83" t="n"/>
      <c r="AJ174" s="83" t="n"/>
      <c r="AK174" s="83" t="n"/>
      <c r="AL174" s="83" t="n"/>
      <c r="AM174" s="83" t="n"/>
      <c r="AN174" s="83" t="n"/>
      <c r="AO174" s="83" t="n"/>
      <c r="AP174" s="83" t="n"/>
      <c r="AQ174" s="83" t="n"/>
      <c r="AR174" s="83" t="n"/>
    </row>
    <row r="175">
      <c r="D175" s="83" t="n"/>
      <c r="E175" s="83" t="n"/>
      <c r="F175" s="83" t="n"/>
      <c r="G175" s="83" t="n"/>
      <c r="H175" s="83" t="n"/>
      <c r="I175" s="83" t="n"/>
      <c r="J175" s="83" t="n"/>
      <c r="K175" s="83" t="n"/>
      <c r="L175" s="83" t="n"/>
      <c r="M175" s="83" t="n"/>
      <c r="N175" s="83" t="n"/>
      <c r="O175" s="83" t="n"/>
      <c r="P175" s="83" t="n"/>
      <c r="Q175" s="83" t="n"/>
      <c r="R175" s="83" t="n"/>
      <c r="S175" s="83" t="n"/>
      <c r="T175" s="83" t="n"/>
      <c r="U175" s="83" t="n"/>
      <c r="V175" s="83" t="n"/>
      <c r="W175" s="83" t="n"/>
      <c r="X175" s="83" t="n"/>
      <c r="Y175" s="83" t="n"/>
      <c r="Z175" s="83" t="n"/>
      <c r="AA175" s="83" t="n"/>
      <c r="AB175" s="83" t="n"/>
      <c r="AC175" s="83" t="n"/>
      <c r="AD175" s="83" t="n"/>
      <c r="AE175" s="83" t="n"/>
      <c r="AF175" s="83" t="n"/>
      <c r="AG175" s="83" t="n"/>
      <c r="AH175" s="83" t="n"/>
      <c r="AI175" s="83" t="n"/>
      <c r="AJ175" s="83" t="n"/>
      <c r="AK175" s="83" t="n"/>
      <c r="AL175" s="83" t="n"/>
      <c r="AM175" s="83" t="n"/>
      <c r="AN175" s="83" t="n"/>
      <c r="AO175" s="83" t="n"/>
      <c r="AP175" s="83" t="n"/>
      <c r="AQ175" s="83" t="n"/>
      <c r="AR175" s="83" t="n"/>
    </row>
    <row r="176">
      <c r="D176" s="84" t="n"/>
      <c r="E176" s="84" t="n"/>
      <c r="F176" s="84" t="n"/>
      <c r="G176" s="84" t="n"/>
      <c r="H176" s="84" t="n"/>
      <c r="I176" s="84" t="n"/>
      <c r="J176" s="84" t="n"/>
      <c r="K176" s="84" t="n"/>
      <c r="L176" s="84" t="n"/>
      <c r="M176" s="84" t="n"/>
      <c r="N176" s="84" t="n"/>
      <c r="O176" s="84" t="n"/>
      <c r="P176" s="84" t="n"/>
      <c r="Q176" s="84" t="n"/>
      <c r="R176" s="84" t="n"/>
      <c r="S176" s="84" t="n"/>
      <c r="T176" s="84" t="n"/>
      <c r="U176" s="84" t="n"/>
      <c r="V176" s="84" t="n"/>
      <c r="W176" s="84" t="n"/>
      <c r="X176" s="84" t="n"/>
      <c r="Y176" s="84" t="n"/>
      <c r="Z176" s="84" t="n"/>
      <c r="AA176" s="84" t="n"/>
      <c r="AB176" s="84" t="n"/>
      <c r="AC176" s="84" t="n"/>
      <c r="AD176" s="84" t="n"/>
      <c r="AE176" s="84" t="n"/>
      <c r="AF176" s="84" t="n"/>
      <c r="AG176" s="84" t="n"/>
      <c r="AH176" s="84" t="n"/>
      <c r="AI176" s="84" t="n"/>
      <c r="AJ176" s="84" t="n"/>
      <c r="AK176" s="84" t="n"/>
      <c r="AL176" s="84" t="n"/>
      <c r="AM176" s="84" t="n"/>
      <c r="AN176" s="84" t="n"/>
      <c r="AO176" s="84" t="n"/>
      <c r="AP176" s="84" t="n"/>
      <c r="AQ176" s="84" t="n"/>
      <c r="AR176" s="84" t="n"/>
    </row>
    <row r="177">
      <c r="D177" s="80" t="n"/>
      <c r="E177" s="80" t="n"/>
      <c r="F177" s="80" t="n"/>
      <c r="G177" s="80" t="n"/>
      <c r="H177" s="80" t="n"/>
      <c r="I177" s="80" t="n"/>
      <c r="J177" s="80" t="n"/>
      <c r="K177" s="80" t="n"/>
      <c r="L177" s="80" t="n"/>
      <c r="M177" s="80" t="n"/>
      <c r="N177" s="80" t="n"/>
      <c r="O177" s="80" t="n"/>
      <c r="P177" s="80" t="n"/>
      <c r="Q177" s="80" t="n"/>
      <c r="R177" s="80" t="n"/>
      <c r="S177" s="80" t="n"/>
      <c r="T177" s="80" t="n"/>
      <c r="U177" s="80" t="n"/>
      <c r="V177" s="80" t="n"/>
      <c r="W177" s="80" t="n"/>
      <c r="X177" s="80" t="n"/>
      <c r="Y177" s="80" t="n"/>
      <c r="Z177" s="80" t="n"/>
      <c r="AA177" s="80" t="n"/>
      <c r="AB177" s="80" t="n"/>
      <c r="AC177" s="80" t="n"/>
      <c r="AD177" s="80" t="n"/>
      <c r="AE177" s="80" t="n"/>
      <c r="AF177" s="80" t="n"/>
      <c r="AG177" s="80" t="n"/>
      <c r="AH177" s="80" t="n"/>
      <c r="AI177" s="80" t="n"/>
      <c r="AJ177" s="80" t="n"/>
      <c r="AK177" s="80" t="n"/>
      <c r="AL177" s="80" t="n"/>
      <c r="AM177" s="80" t="n"/>
      <c r="AN177" s="80" t="n"/>
      <c r="AO177" s="80" t="n"/>
      <c r="AP177" s="80" t="n"/>
      <c r="AQ177" s="80" t="n"/>
      <c r="AR177" s="80" t="n"/>
    </row>
    <row r="178">
      <c r="D178" s="80" t="n"/>
      <c r="E178" s="80" t="n"/>
      <c r="F178" s="80" t="n"/>
      <c r="G178" s="80" t="n"/>
      <c r="H178" s="80" t="n"/>
      <c r="I178" s="80" t="n"/>
      <c r="J178" s="80" t="n"/>
      <c r="K178" s="80" t="n"/>
      <c r="L178" s="80" t="n"/>
      <c r="M178" s="80" t="n"/>
      <c r="N178" s="80" t="n"/>
      <c r="O178" s="80" t="n"/>
      <c r="P178" s="80" t="n"/>
      <c r="Q178" s="80" t="n"/>
      <c r="R178" s="80" t="n"/>
      <c r="S178" s="80" t="n"/>
      <c r="T178" s="80" t="n"/>
      <c r="U178" s="80" t="n"/>
      <c r="V178" s="80" t="n"/>
      <c r="W178" s="80" t="n"/>
      <c r="X178" s="80" t="n"/>
      <c r="Y178" s="80" t="n"/>
      <c r="Z178" s="80" t="n"/>
      <c r="AA178" s="80" t="n"/>
      <c r="AB178" s="80" t="n"/>
      <c r="AC178" s="80" t="n"/>
      <c r="AD178" s="80" t="n"/>
      <c r="AE178" s="80" t="n"/>
      <c r="AF178" s="80" t="n"/>
      <c r="AG178" s="80" t="n"/>
      <c r="AH178" s="80" t="n"/>
      <c r="AI178" s="80" t="n"/>
      <c r="AJ178" s="80" t="n"/>
      <c r="AK178" s="80" t="n"/>
      <c r="AL178" s="80" t="n"/>
      <c r="AM178" s="80" t="n"/>
      <c r="AN178" s="80" t="n"/>
      <c r="AO178" s="80" t="n"/>
      <c r="AP178" s="80" t="n"/>
      <c r="AQ178" s="80" t="n"/>
      <c r="AR178" s="80" t="n"/>
    </row>
    <row r="179">
      <c r="D179" s="80" t="n"/>
      <c r="E179" s="80" t="n"/>
      <c r="F179" s="80" t="n"/>
      <c r="G179" s="80" t="n"/>
      <c r="H179" s="80" t="n"/>
      <c r="I179" s="80" t="n"/>
      <c r="J179" s="80" t="n"/>
      <c r="K179" s="80" t="n"/>
      <c r="L179" s="80" t="n"/>
      <c r="M179" s="80" t="n"/>
      <c r="N179" s="80" t="n"/>
      <c r="O179" s="80" t="n"/>
      <c r="P179" s="80" t="n"/>
      <c r="Q179" s="80" t="n"/>
      <c r="R179" s="80" t="n"/>
      <c r="S179" s="80" t="n"/>
      <c r="T179" s="80" t="n"/>
      <c r="U179" s="80" t="n"/>
      <c r="V179" s="80" t="n"/>
      <c r="W179" s="80" t="n"/>
      <c r="X179" s="80" t="n"/>
      <c r="Y179" s="80" t="n"/>
      <c r="Z179" s="80" t="n"/>
      <c r="AA179" s="80" t="n"/>
      <c r="AB179" s="80" t="n"/>
      <c r="AC179" s="80" t="n"/>
      <c r="AD179" s="80" t="n"/>
      <c r="AE179" s="80" t="n"/>
      <c r="AF179" s="80" t="n"/>
      <c r="AG179" s="80" t="n"/>
      <c r="AH179" s="80" t="n"/>
      <c r="AI179" s="80" t="n"/>
      <c r="AJ179" s="80" t="n"/>
      <c r="AK179" s="80" t="n"/>
      <c r="AL179" s="80" t="n"/>
      <c r="AM179" s="80" t="n"/>
      <c r="AN179" s="80" t="n"/>
      <c r="AO179" s="80" t="n"/>
      <c r="AP179" s="80" t="n"/>
      <c r="AQ179" s="80" t="n"/>
      <c r="AR179" s="80" t="n"/>
    </row>
    <row r="180">
      <c r="D180" s="80" t="n"/>
      <c r="E180" s="80" t="n"/>
      <c r="F180" s="80" t="n"/>
      <c r="G180" s="80" t="n"/>
      <c r="H180" s="80" t="n"/>
      <c r="I180" s="80" t="n"/>
      <c r="J180" s="80" t="n"/>
      <c r="K180" s="80" t="n"/>
      <c r="L180" s="80" t="n"/>
      <c r="M180" s="80" t="n"/>
      <c r="N180" s="80" t="n"/>
      <c r="O180" s="80" t="n"/>
      <c r="P180" s="80" t="n"/>
      <c r="Q180" s="80" t="n"/>
      <c r="R180" s="80" t="n"/>
      <c r="S180" s="80" t="n"/>
      <c r="T180" s="80" t="n"/>
      <c r="U180" s="80" t="n"/>
      <c r="V180" s="80" t="n"/>
      <c r="W180" s="80" t="n"/>
      <c r="X180" s="80" t="n"/>
      <c r="Y180" s="80" t="n"/>
      <c r="Z180" s="80" t="n"/>
      <c r="AA180" s="80" t="n"/>
      <c r="AB180" s="80" t="n"/>
      <c r="AC180" s="80" t="n"/>
      <c r="AD180" s="80" t="n"/>
      <c r="AE180" s="80" t="n"/>
      <c r="AF180" s="80" t="n"/>
      <c r="AG180" s="80" t="n"/>
      <c r="AH180" s="80" t="n"/>
      <c r="AI180" s="80" t="n"/>
      <c r="AJ180" s="80" t="n"/>
      <c r="AK180" s="80" t="n"/>
      <c r="AL180" s="80" t="n"/>
      <c r="AM180" s="80" t="n"/>
      <c r="AN180" s="80" t="n"/>
      <c r="AO180" s="80" t="n"/>
      <c r="AP180" s="80" t="n"/>
      <c r="AQ180" s="80" t="n"/>
      <c r="AR180" s="80" t="n"/>
    </row>
    <row r="181">
      <c r="A181" s="2">
        <f>IF($A174="","","   projections")</f>
        <v/>
      </c>
      <c r="B181" s="41">
        <f>IF($A174="",0,COUNT($E182:$AR182))</f>
        <v/>
      </c>
      <c r="C181" s="81">
        <f>IF($B181=0,0,MAX($E182:$AR182))</f>
        <v/>
      </c>
      <c r="D181" s="82">
        <f>BDS($A174,'Field Check'!$C$6,"headers=y","startcol=1","endcol=7","dir=h")</f>
        <v/>
      </c>
      <c r="E181" s="83" t="n"/>
      <c r="F181" s="83" t="n"/>
      <c r="G181" s="83" t="n"/>
      <c r="H181" s="83" t="n"/>
      <c r="I181" s="83" t="n"/>
      <c r="J181" s="83" t="n"/>
      <c r="K181" s="83" t="n"/>
      <c r="L181" s="83" t="n"/>
      <c r="M181" s="83" t="n"/>
      <c r="N181" s="83" t="n"/>
      <c r="O181" s="83" t="n"/>
      <c r="P181" s="83" t="n"/>
      <c r="Q181" s="83" t="n"/>
      <c r="R181" s="83" t="n"/>
      <c r="S181" s="83" t="n"/>
      <c r="T181" s="83" t="n"/>
      <c r="U181" s="83" t="n"/>
      <c r="V181" s="83" t="n"/>
      <c r="W181" s="83" t="n"/>
      <c r="X181" s="83" t="n"/>
      <c r="Y181" s="83" t="n"/>
      <c r="Z181" s="83" t="n"/>
      <c r="AA181" s="83" t="n"/>
      <c r="AB181" s="83" t="n"/>
      <c r="AC181" s="83" t="n"/>
      <c r="AD181" s="83" t="n"/>
      <c r="AE181" s="83" t="n"/>
      <c r="AF181" s="83" t="n"/>
      <c r="AG181" s="83" t="n"/>
      <c r="AH181" s="83" t="n"/>
      <c r="AI181" s="83" t="n"/>
      <c r="AJ181" s="83" t="n"/>
      <c r="AK181" s="83" t="n"/>
      <c r="AL181" s="83" t="n"/>
      <c r="AM181" s="83" t="n"/>
      <c r="AN181" s="83" t="n"/>
      <c r="AO181" s="83" t="n"/>
      <c r="AP181" s="83" t="n"/>
      <c r="AQ181" s="83" t="n"/>
      <c r="AR181" s="83" t="n"/>
    </row>
    <row r="182">
      <c r="D182" s="83" t="n"/>
      <c r="E182" s="83" t="n"/>
      <c r="F182" s="83" t="n"/>
      <c r="G182" s="83" t="n"/>
      <c r="H182" s="83" t="n"/>
      <c r="I182" s="83" t="n"/>
      <c r="J182" s="83" t="n"/>
      <c r="K182" s="83" t="n"/>
      <c r="L182" s="83" t="n"/>
      <c r="M182" s="83" t="n"/>
      <c r="N182" s="83" t="n"/>
      <c r="O182" s="83" t="n"/>
      <c r="P182" s="83" t="n"/>
      <c r="Q182" s="83" t="n"/>
      <c r="R182" s="83" t="n"/>
      <c r="S182" s="83" t="n"/>
      <c r="T182" s="83" t="n"/>
      <c r="U182" s="83" t="n"/>
      <c r="V182" s="83" t="n"/>
      <c r="W182" s="83" t="n"/>
      <c r="X182" s="83" t="n"/>
      <c r="Y182" s="83" t="n"/>
      <c r="Z182" s="83" t="n"/>
      <c r="AA182" s="83" t="n"/>
      <c r="AB182" s="83" t="n"/>
      <c r="AC182" s="83" t="n"/>
      <c r="AD182" s="83" t="n"/>
      <c r="AE182" s="83" t="n"/>
      <c r="AF182" s="83" t="n"/>
      <c r="AG182" s="83" t="n"/>
      <c r="AH182" s="83" t="n"/>
      <c r="AI182" s="83" t="n"/>
      <c r="AJ182" s="83" t="n"/>
      <c r="AK182" s="83" t="n"/>
      <c r="AL182" s="83" t="n"/>
      <c r="AM182" s="83" t="n"/>
      <c r="AN182" s="83" t="n"/>
      <c r="AO182" s="83" t="n"/>
      <c r="AP182" s="83" t="n"/>
      <c r="AQ182" s="83" t="n"/>
      <c r="AR182" s="83" t="n"/>
    </row>
    <row r="183">
      <c r="D183" s="84" t="n"/>
      <c r="E183" s="84" t="n"/>
      <c r="F183" s="84" t="n"/>
      <c r="G183" s="84" t="n"/>
      <c r="H183" s="84" t="n"/>
      <c r="I183" s="84" t="n"/>
      <c r="J183" s="84" t="n"/>
      <c r="K183" s="84" t="n"/>
      <c r="L183" s="84" t="n"/>
      <c r="M183" s="84" t="n"/>
      <c r="N183" s="84" t="n"/>
      <c r="O183" s="84" t="n"/>
      <c r="P183" s="84" t="n"/>
      <c r="Q183" s="84" t="n"/>
      <c r="R183" s="84" t="n"/>
      <c r="S183" s="84" t="n"/>
      <c r="T183" s="84" t="n"/>
      <c r="U183" s="84" t="n"/>
      <c r="V183" s="84" t="n"/>
      <c r="W183" s="84" t="n"/>
      <c r="X183" s="84" t="n"/>
      <c r="Y183" s="84" t="n"/>
      <c r="Z183" s="84" t="n"/>
      <c r="AA183" s="84" t="n"/>
      <c r="AB183" s="84" t="n"/>
      <c r="AC183" s="84" t="n"/>
      <c r="AD183" s="84" t="n"/>
      <c r="AE183" s="84" t="n"/>
      <c r="AF183" s="84" t="n"/>
      <c r="AG183" s="84" t="n"/>
      <c r="AH183" s="84" t="n"/>
      <c r="AI183" s="84" t="n"/>
      <c r="AJ183" s="84" t="n"/>
      <c r="AK183" s="84" t="n"/>
      <c r="AL183" s="84" t="n"/>
      <c r="AM183" s="84" t="n"/>
      <c r="AN183" s="84" t="n"/>
      <c r="AO183" s="84" t="n"/>
      <c r="AP183" s="84" t="n"/>
      <c r="AQ183" s="84" t="n"/>
      <c r="AR183" s="84" t="n"/>
    </row>
    <row r="184">
      <c r="D184" s="80" t="n"/>
      <c r="E184" s="80" t="n"/>
      <c r="F184" s="80" t="n"/>
      <c r="G184" s="80" t="n"/>
      <c r="H184" s="80" t="n"/>
      <c r="I184" s="80" t="n"/>
      <c r="J184" s="80" t="n"/>
      <c r="K184" s="80" t="n"/>
      <c r="L184" s="80" t="n"/>
      <c r="M184" s="80" t="n"/>
      <c r="N184" s="80" t="n"/>
      <c r="O184" s="80" t="n"/>
      <c r="P184" s="80" t="n"/>
      <c r="Q184" s="80" t="n"/>
      <c r="R184" s="80" t="n"/>
      <c r="S184" s="80" t="n"/>
      <c r="T184" s="80" t="n"/>
      <c r="U184" s="80" t="n"/>
      <c r="V184" s="80" t="n"/>
      <c r="W184" s="80" t="n"/>
      <c r="X184" s="80" t="n"/>
      <c r="Y184" s="80" t="n"/>
      <c r="Z184" s="80" t="n"/>
      <c r="AA184" s="80" t="n"/>
      <c r="AB184" s="80" t="n"/>
      <c r="AC184" s="80" t="n"/>
      <c r="AD184" s="80" t="n"/>
      <c r="AE184" s="80" t="n"/>
      <c r="AF184" s="80" t="n"/>
      <c r="AG184" s="80" t="n"/>
      <c r="AH184" s="80" t="n"/>
      <c r="AI184" s="80" t="n"/>
      <c r="AJ184" s="80" t="n"/>
      <c r="AK184" s="80" t="n"/>
      <c r="AL184" s="80" t="n"/>
      <c r="AM184" s="80" t="n"/>
      <c r="AN184" s="80" t="n"/>
      <c r="AO184" s="80" t="n"/>
      <c r="AP184" s="80" t="n"/>
      <c r="AQ184" s="80" t="n"/>
      <c r="AR184" s="80" t="n"/>
    </row>
    <row r="185">
      <c r="D185" s="80" t="n"/>
      <c r="E185" s="80" t="n"/>
      <c r="F185" s="80" t="n"/>
      <c r="G185" s="80" t="n"/>
      <c r="H185" s="80" t="n"/>
      <c r="I185" s="80" t="n"/>
      <c r="J185" s="80" t="n"/>
      <c r="K185" s="80" t="n"/>
      <c r="L185" s="80" t="n"/>
      <c r="M185" s="80" t="n"/>
      <c r="N185" s="80" t="n"/>
      <c r="O185" s="80" t="n"/>
      <c r="P185" s="80" t="n"/>
      <c r="Q185" s="80" t="n"/>
      <c r="R185" s="80" t="n"/>
      <c r="S185" s="80" t="n"/>
      <c r="T185" s="80" t="n"/>
      <c r="U185" s="80" t="n"/>
      <c r="V185" s="80" t="n"/>
      <c r="W185" s="80" t="n"/>
      <c r="X185" s="80" t="n"/>
      <c r="Y185" s="80" t="n"/>
      <c r="Z185" s="80" t="n"/>
      <c r="AA185" s="80" t="n"/>
      <c r="AB185" s="80" t="n"/>
      <c r="AC185" s="80" t="n"/>
      <c r="AD185" s="80" t="n"/>
      <c r="AE185" s="80" t="n"/>
      <c r="AF185" s="80" t="n"/>
      <c r="AG185" s="80" t="n"/>
      <c r="AH185" s="80" t="n"/>
      <c r="AI185" s="80" t="n"/>
      <c r="AJ185" s="80" t="n"/>
      <c r="AK185" s="80" t="n"/>
      <c r="AL185" s="80" t="n"/>
      <c r="AM185" s="80" t="n"/>
      <c r="AN185" s="80" t="n"/>
      <c r="AO185" s="80" t="n"/>
      <c r="AP185" s="80" t="n"/>
      <c r="AQ185" s="80" t="n"/>
      <c r="AR185" s="80" t="n"/>
    </row>
    <row r="186">
      <c r="D186" s="80" t="n"/>
      <c r="E186" s="80" t="n"/>
      <c r="F186" s="80" t="n"/>
      <c r="G186" s="80" t="n"/>
      <c r="H186" s="80" t="n"/>
      <c r="I186" s="80" t="n"/>
      <c r="J186" s="80" t="n"/>
      <c r="K186" s="80" t="n"/>
      <c r="L186" s="80" t="n"/>
      <c r="M186" s="80" t="n"/>
      <c r="N186" s="80" t="n"/>
      <c r="O186" s="80" t="n"/>
      <c r="P186" s="80" t="n"/>
      <c r="Q186" s="80" t="n"/>
      <c r="R186" s="80" t="n"/>
      <c r="S186" s="80" t="n"/>
      <c r="T186" s="80" t="n"/>
      <c r="U186" s="80" t="n"/>
      <c r="V186" s="80" t="n"/>
      <c r="W186" s="80" t="n"/>
      <c r="X186" s="80" t="n"/>
      <c r="Y186" s="80" t="n"/>
      <c r="Z186" s="80" t="n"/>
      <c r="AA186" s="80" t="n"/>
      <c r="AB186" s="80" t="n"/>
      <c r="AC186" s="80" t="n"/>
      <c r="AD186" s="80" t="n"/>
      <c r="AE186" s="80" t="n"/>
      <c r="AF186" s="80" t="n"/>
      <c r="AG186" s="80" t="n"/>
      <c r="AH186" s="80" t="n"/>
      <c r="AI186" s="80" t="n"/>
      <c r="AJ186" s="80" t="n"/>
      <c r="AK186" s="80" t="n"/>
      <c r="AL186" s="80" t="n"/>
      <c r="AM186" s="80" t="n"/>
      <c r="AN186" s="80" t="n"/>
      <c r="AO186" s="80" t="n"/>
      <c r="AP186" s="80" t="n"/>
      <c r="AQ186" s="80" t="n"/>
      <c r="AR186" s="80" t="n"/>
    </row>
    <row r="187">
      <c r="D187" s="80" t="n"/>
      <c r="E187" s="80" t="n"/>
      <c r="F187" s="80" t="n"/>
      <c r="G187" s="80" t="n"/>
      <c r="H187" s="80" t="n"/>
      <c r="I187" s="80" t="n"/>
      <c r="J187" s="80" t="n"/>
      <c r="K187" s="80" t="n"/>
      <c r="L187" s="80" t="n"/>
      <c r="M187" s="80" t="n"/>
      <c r="N187" s="80" t="n"/>
      <c r="O187" s="80" t="n"/>
      <c r="P187" s="80" t="n"/>
      <c r="Q187" s="80" t="n"/>
      <c r="R187" s="80" t="n"/>
      <c r="S187" s="80" t="n"/>
      <c r="T187" s="80" t="n"/>
      <c r="U187" s="80" t="n"/>
      <c r="V187" s="80" t="n"/>
      <c r="W187" s="80" t="n"/>
      <c r="X187" s="80" t="n"/>
      <c r="Y187" s="80" t="n"/>
      <c r="Z187" s="80" t="n"/>
      <c r="AA187" s="80" t="n"/>
      <c r="AB187" s="80" t="n"/>
      <c r="AC187" s="80" t="n"/>
      <c r="AD187" s="80" t="n"/>
      <c r="AE187" s="80" t="n"/>
      <c r="AF187" s="80" t="n"/>
      <c r="AG187" s="80" t="n"/>
      <c r="AH187" s="80" t="n"/>
      <c r="AI187" s="80" t="n"/>
      <c r="AJ187" s="80" t="n"/>
      <c r="AK187" s="80" t="n"/>
      <c r="AL187" s="80" t="n"/>
      <c r="AM187" s="80" t="n"/>
      <c r="AN187" s="80" t="n"/>
      <c r="AO187" s="80" t="n"/>
      <c r="AP187" s="80" t="n"/>
      <c r="AQ187" s="80" t="n"/>
      <c r="AR187" s="80" t="n"/>
    </row>
    <row r="189">
      <c r="A189" s="6">
        <f>IF(HSI!$C$19="","",HSI!$C$19)</f>
        <v/>
      </c>
      <c r="B189" s="41">
        <f>IF($A189="",0,COUNT($E190:$AR190))</f>
        <v/>
      </c>
      <c r="C189" s="81">
        <f>IF($B189=0,0,MAX($E190:$AR190))</f>
        <v/>
      </c>
      <c r="D189" s="82">
        <f>BDS($A189,'Field Check'!$C$7,"headers=y","startcol=1","endcol=7","dir=h","DVD_START_DT",Summary!$C$18,"DVD_END_DT",Summary!$D$18)</f>
        <v/>
      </c>
      <c r="E189" s="83" t="n"/>
      <c r="F189" s="83" t="n"/>
      <c r="G189" s="83" t="n"/>
      <c r="H189" s="83" t="n"/>
      <c r="I189" s="83" t="n"/>
      <c r="J189" s="83" t="n"/>
      <c r="K189" s="83" t="n"/>
      <c r="L189" s="83" t="n"/>
      <c r="M189" s="83" t="n"/>
      <c r="N189" s="83" t="n"/>
      <c r="O189" s="83" t="n"/>
      <c r="P189" s="83" t="n"/>
      <c r="Q189" s="83" t="n"/>
      <c r="R189" s="83" t="n"/>
      <c r="S189" s="83" t="n"/>
      <c r="T189" s="83" t="n"/>
      <c r="U189" s="83" t="n"/>
      <c r="V189" s="83" t="n"/>
      <c r="W189" s="83" t="n"/>
      <c r="X189" s="83" t="n"/>
      <c r="Y189" s="83" t="n"/>
      <c r="Z189" s="83" t="n"/>
      <c r="AA189" s="83" t="n"/>
      <c r="AB189" s="83" t="n"/>
      <c r="AC189" s="83" t="n"/>
      <c r="AD189" s="83" t="n"/>
      <c r="AE189" s="83" t="n"/>
      <c r="AF189" s="83" t="n"/>
      <c r="AG189" s="83" t="n"/>
      <c r="AH189" s="83" t="n"/>
      <c r="AI189" s="83" t="n"/>
      <c r="AJ189" s="83" t="n"/>
      <c r="AK189" s="83" t="n"/>
      <c r="AL189" s="83" t="n"/>
      <c r="AM189" s="83" t="n"/>
      <c r="AN189" s="83" t="n"/>
      <c r="AO189" s="83" t="n"/>
      <c r="AP189" s="83" t="n"/>
      <c r="AQ189" s="83" t="n"/>
      <c r="AR189" s="83" t="n"/>
    </row>
    <row r="190">
      <c r="D190" s="83" t="n"/>
      <c r="E190" s="83" t="n"/>
      <c r="F190" s="83" t="n"/>
      <c r="G190" s="83" t="n"/>
      <c r="H190" s="83" t="n"/>
      <c r="I190" s="83" t="n"/>
      <c r="J190" s="83" t="n"/>
      <c r="K190" s="83" t="n"/>
      <c r="L190" s="83" t="n"/>
      <c r="M190" s="83" t="n"/>
      <c r="N190" s="83" t="n"/>
      <c r="O190" s="83" t="n"/>
      <c r="P190" s="83" t="n"/>
      <c r="Q190" s="83" t="n"/>
      <c r="R190" s="83" t="n"/>
      <c r="S190" s="83" t="n"/>
      <c r="T190" s="83" t="n"/>
      <c r="U190" s="83" t="n"/>
      <c r="V190" s="83" t="n"/>
      <c r="W190" s="83" t="n"/>
      <c r="X190" s="83" t="n"/>
      <c r="Y190" s="83" t="n"/>
      <c r="Z190" s="83" t="n"/>
      <c r="AA190" s="83" t="n"/>
      <c r="AB190" s="83" t="n"/>
      <c r="AC190" s="83" t="n"/>
      <c r="AD190" s="83" t="n"/>
      <c r="AE190" s="83" t="n"/>
      <c r="AF190" s="83" t="n"/>
      <c r="AG190" s="83" t="n"/>
      <c r="AH190" s="83" t="n"/>
      <c r="AI190" s="83" t="n"/>
      <c r="AJ190" s="83" t="n"/>
      <c r="AK190" s="83" t="n"/>
      <c r="AL190" s="83" t="n"/>
      <c r="AM190" s="83" t="n"/>
      <c r="AN190" s="83" t="n"/>
      <c r="AO190" s="83" t="n"/>
      <c r="AP190" s="83" t="n"/>
      <c r="AQ190" s="83" t="n"/>
      <c r="AR190" s="83" t="n"/>
    </row>
    <row r="191">
      <c r="D191" s="84" t="n"/>
      <c r="E191" s="84" t="n"/>
      <c r="F191" s="84" t="n"/>
      <c r="G191" s="84" t="n"/>
      <c r="H191" s="84" t="n"/>
      <c r="I191" s="84" t="n"/>
      <c r="J191" s="84" t="n"/>
      <c r="K191" s="84" t="n"/>
      <c r="L191" s="84" t="n"/>
      <c r="M191" s="84" t="n"/>
      <c r="N191" s="84" t="n"/>
      <c r="O191" s="84" t="n"/>
      <c r="P191" s="84" t="n"/>
      <c r="Q191" s="84" t="n"/>
      <c r="R191" s="84" t="n"/>
      <c r="S191" s="84" t="n"/>
      <c r="T191" s="84" t="n"/>
      <c r="U191" s="84" t="n"/>
      <c r="V191" s="84" t="n"/>
      <c r="W191" s="84" t="n"/>
      <c r="X191" s="84" t="n"/>
      <c r="Y191" s="84" t="n"/>
      <c r="Z191" s="84" t="n"/>
      <c r="AA191" s="84" t="n"/>
      <c r="AB191" s="84" t="n"/>
      <c r="AC191" s="84" t="n"/>
      <c r="AD191" s="84" t="n"/>
      <c r="AE191" s="84" t="n"/>
      <c r="AF191" s="84" t="n"/>
      <c r="AG191" s="84" t="n"/>
      <c r="AH191" s="84" t="n"/>
      <c r="AI191" s="84" t="n"/>
      <c r="AJ191" s="84" t="n"/>
      <c r="AK191" s="84" t="n"/>
      <c r="AL191" s="84" t="n"/>
      <c r="AM191" s="84" t="n"/>
      <c r="AN191" s="84" t="n"/>
      <c r="AO191" s="84" t="n"/>
      <c r="AP191" s="84" t="n"/>
      <c r="AQ191" s="84" t="n"/>
      <c r="AR191" s="84" t="n"/>
    </row>
    <row r="192">
      <c r="D192" s="80" t="n"/>
      <c r="E192" s="80" t="n"/>
      <c r="F192" s="80" t="n"/>
      <c r="G192" s="80" t="n"/>
      <c r="H192" s="80" t="n"/>
      <c r="I192" s="80" t="n"/>
      <c r="J192" s="80" t="n"/>
      <c r="K192" s="80" t="n"/>
      <c r="L192" s="80" t="n"/>
      <c r="M192" s="80" t="n"/>
      <c r="N192" s="80" t="n"/>
      <c r="O192" s="80" t="n"/>
      <c r="P192" s="80" t="n"/>
      <c r="Q192" s="80" t="n"/>
      <c r="R192" s="80" t="n"/>
      <c r="S192" s="80" t="n"/>
      <c r="T192" s="80" t="n"/>
      <c r="U192" s="80" t="n"/>
      <c r="V192" s="80" t="n"/>
      <c r="W192" s="80" t="n"/>
      <c r="X192" s="80" t="n"/>
      <c r="Y192" s="80" t="n"/>
      <c r="Z192" s="80" t="n"/>
      <c r="AA192" s="80" t="n"/>
      <c r="AB192" s="80" t="n"/>
      <c r="AC192" s="80" t="n"/>
      <c r="AD192" s="80" t="n"/>
      <c r="AE192" s="80" t="n"/>
      <c r="AF192" s="80" t="n"/>
      <c r="AG192" s="80" t="n"/>
      <c r="AH192" s="80" t="n"/>
      <c r="AI192" s="80" t="n"/>
      <c r="AJ192" s="80" t="n"/>
      <c r="AK192" s="80" t="n"/>
      <c r="AL192" s="80" t="n"/>
      <c r="AM192" s="80" t="n"/>
      <c r="AN192" s="80" t="n"/>
      <c r="AO192" s="80" t="n"/>
      <c r="AP192" s="80" t="n"/>
      <c r="AQ192" s="80" t="n"/>
      <c r="AR192" s="80" t="n"/>
    </row>
    <row r="193">
      <c r="D193" s="80" t="n"/>
      <c r="E193" s="80" t="n"/>
      <c r="F193" s="80" t="n"/>
      <c r="G193" s="80" t="n"/>
      <c r="H193" s="80" t="n"/>
      <c r="I193" s="80" t="n"/>
      <c r="J193" s="80" t="n"/>
      <c r="K193" s="80" t="n"/>
      <c r="L193" s="80" t="n"/>
      <c r="M193" s="80" t="n"/>
      <c r="N193" s="80" t="n"/>
      <c r="O193" s="80" t="n"/>
      <c r="P193" s="80" t="n"/>
      <c r="Q193" s="80" t="n"/>
      <c r="R193" s="80" t="n"/>
      <c r="S193" s="80" t="n"/>
      <c r="T193" s="80" t="n"/>
      <c r="U193" s="80" t="n"/>
      <c r="V193" s="80" t="n"/>
      <c r="W193" s="80" t="n"/>
      <c r="X193" s="80" t="n"/>
      <c r="Y193" s="80" t="n"/>
      <c r="Z193" s="80" t="n"/>
      <c r="AA193" s="80" t="n"/>
      <c r="AB193" s="80" t="n"/>
      <c r="AC193" s="80" t="n"/>
      <c r="AD193" s="80" t="n"/>
      <c r="AE193" s="80" t="n"/>
      <c r="AF193" s="80" t="n"/>
      <c r="AG193" s="80" t="n"/>
      <c r="AH193" s="80" t="n"/>
      <c r="AI193" s="80" t="n"/>
      <c r="AJ193" s="80" t="n"/>
      <c r="AK193" s="80" t="n"/>
      <c r="AL193" s="80" t="n"/>
      <c r="AM193" s="80" t="n"/>
      <c r="AN193" s="80" t="n"/>
      <c r="AO193" s="80" t="n"/>
      <c r="AP193" s="80" t="n"/>
      <c r="AQ193" s="80" t="n"/>
      <c r="AR193" s="80" t="n"/>
    </row>
    <row r="194">
      <c r="D194" s="80" t="n"/>
      <c r="E194" s="80" t="n"/>
      <c r="F194" s="80" t="n"/>
      <c r="G194" s="80" t="n"/>
      <c r="H194" s="80" t="n"/>
      <c r="I194" s="80" t="n"/>
      <c r="J194" s="80" t="n"/>
      <c r="K194" s="80" t="n"/>
      <c r="L194" s="80" t="n"/>
      <c r="M194" s="80" t="n"/>
      <c r="N194" s="80" t="n"/>
      <c r="O194" s="80" t="n"/>
      <c r="P194" s="80" t="n"/>
      <c r="Q194" s="80" t="n"/>
      <c r="R194" s="80" t="n"/>
      <c r="S194" s="80" t="n"/>
      <c r="T194" s="80" t="n"/>
      <c r="U194" s="80" t="n"/>
      <c r="V194" s="80" t="n"/>
      <c r="W194" s="80" t="n"/>
      <c r="X194" s="80" t="n"/>
      <c r="Y194" s="80" t="n"/>
      <c r="Z194" s="80" t="n"/>
      <c r="AA194" s="80" t="n"/>
      <c r="AB194" s="80" t="n"/>
      <c r="AC194" s="80" t="n"/>
      <c r="AD194" s="80" t="n"/>
      <c r="AE194" s="80" t="n"/>
      <c r="AF194" s="80" t="n"/>
      <c r="AG194" s="80" t="n"/>
      <c r="AH194" s="80" t="n"/>
      <c r="AI194" s="80" t="n"/>
      <c r="AJ194" s="80" t="n"/>
      <c r="AK194" s="80" t="n"/>
      <c r="AL194" s="80" t="n"/>
      <c r="AM194" s="80" t="n"/>
      <c r="AN194" s="80" t="n"/>
      <c r="AO194" s="80" t="n"/>
      <c r="AP194" s="80" t="n"/>
      <c r="AQ194" s="80" t="n"/>
      <c r="AR194" s="80" t="n"/>
    </row>
    <row r="195">
      <c r="D195" s="80" t="n"/>
      <c r="E195" s="80" t="n"/>
      <c r="F195" s="80" t="n"/>
      <c r="G195" s="80" t="n"/>
      <c r="H195" s="80" t="n"/>
      <c r="I195" s="80" t="n"/>
      <c r="J195" s="80" t="n"/>
      <c r="K195" s="80" t="n"/>
      <c r="L195" s="80" t="n"/>
      <c r="M195" s="80" t="n"/>
      <c r="N195" s="80" t="n"/>
      <c r="O195" s="80" t="n"/>
      <c r="P195" s="80" t="n"/>
      <c r="Q195" s="80" t="n"/>
      <c r="R195" s="80" t="n"/>
      <c r="S195" s="80" t="n"/>
      <c r="T195" s="80" t="n"/>
      <c r="U195" s="80" t="n"/>
      <c r="V195" s="80" t="n"/>
      <c r="W195" s="80" t="n"/>
      <c r="X195" s="80" t="n"/>
      <c r="Y195" s="80" t="n"/>
      <c r="Z195" s="80" t="n"/>
      <c r="AA195" s="80" t="n"/>
      <c r="AB195" s="80" t="n"/>
      <c r="AC195" s="80" t="n"/>
      <c r="AD195" s="80" t="n"/>
      <c r="AE195" s="80" t="n"/>
      <c r="AF195" s="80" t="n"/>
      <c r="AG195" s="80" t="n"/>
      <c r="AH195" s="80" t="n"/>
      <c r="AI195" s="80" t="n"/>
      <c r="AJ195" s="80" t="n"/>
      <c r="AK195" s="80" t="n"/>
      <c r="AL195" s="80" t="n"/>
      <c r="AM195" s="80" t="n"/>
      <c r="AN195" s="80" t="n"/>
      <c r="AO195" s="80" t="n"/>
      <c r="AP195" s="80" t="n"/>
      <c r="AQ195" s="80" t="n"/>
      <c r="AR195" s="80" t="n"/>
    </row>
    <row r="196">
      <c r="A196" s="2">
        <f>IF($A189="","","   projections")</f>
        <v/>
      </c>
      <c r="B196" s="41">
        <f>IF($A189="",0,COUNT($E197:$AR197))</f>
        <v/>
      </c>
      <c r="C196" s="81">
        <f>IF($B196=0,0,MAX($E197:$AR197))</f>
        <v/>
      </c>
      <c r="D196" s="82">
        <f>BDS($A189,'Field Check'!$C$6,"headers=y","startcol=1","endcol=7","dir=h")</f>
        <v/>
      </c>
      <c r="E196" s="83" t="n"/>
      <c r="F196" s="83" t="n"/>
      <c r="G196" s="83" t="n"/>
      <c r="H196" s="83" t="n"/>
      <c r="I196" s="83" t="n"/>
      <c r="J196" s="83" t="n"/>
      <c r="K196" s="83" t="n"/>
      <c r="L196" s="83" t="n"/>
      <c r="M196" s="83" t="n"/>
      <c r="N196" s="83" t="n"/>
      <c r="O196" s="83" t="n"/>
      <c r="P196" s="83" t="n"/>
      <c r="Q196" s="83" t="n"/>
      <c r="R196" s="83" t="n"/>
      <c r="S196" s="83" t="n"/>
      <c r="T196" s="83" t="n"/>
      <c r="U196" s="83" t="n"/>
      <c r="V196" s="83" t="n"/>
      <c r="W196" s="83" t="n"/>
      <c r="X196" s="83" t="n"/>
      <c r="Y196" s="83" t="n"/>
      <c r="Z196" s="83" t="n"/>
      <c r="AA196" s="83" t="n"/>
      <c r="AB196" s="83" t="n"/>
      <c r="AC196" s="83" t="n"/>
      <c r="AD196" s="83" t="n"/>
      <c r="AE196" s="83" t="n"/>
      <c r="AF196" s="83" t="n"/>
      <c r="AG196" s="83" t="n"/>
      <c r="AH196" s="83" t="n"/>
      <c r="AI196" s="83" t="n"/>
      <c r="AJ196" s="83" t="n"/>
      <c r="AK196" s="83" t="n"/>
      <c r="AL196" s="83" t="n"/>
      <c r="AM196" s="83" t="n"/>
      <c r="AN196" s="83" t="n"/>
      <c r="AO196" s="83" t="n"/>
      <c r="AP196" s="83" t="n"/>
      <c r="AQ196" s="83" t="n"/>
      <c r="AR196" s="83" t="n"/>
    </row>
    <row r="197">
      <c r="D197" s="83" t="n"/>
      <c r="E197" s="83" t="n"/>
      <c r="F197" s="83" t="n"/>
      <c r="G197" s="83" t="n"/>
      <c r="H197" s="83" t="n"/>
      <c r="I197" s="83" t="n"/>
      <c r="J197" s="83" t="n"/>
      <c r="K197" s="83" t="n"/>
      <c r="L197" s="83" t="n"/>
      <c r="M197" s="83" t="n"/>
      <c r="N197" s="83" t="n"/>
      <c r="O197" s="83" t="n"/>
      <c r="P197" s="83" t="n"/>
      <c r="Q197" s="83" t="n"/>
      <c r="R197" s="83" t="n"/>
      <c r="S197" s="83" t="n"/>
      <c r="T197" s="83" t="n"/>
      <c r="U197" s="83" t="n"/>
      <c r="V197" s="83" t="n"/>
      <c r="W197" s="83" t="n"/>
      <c r="X197" s="83" t="n"/>
      <c r="Y197" s="83" t="n"/>
      <c r="Z197" s="83" t="n"/>
      <c r="AA197" s="83" t="n"/>
      <c r="AB197" s="83" t="n"/>
      <c r="AC197" s="83" t="n"/>
      <c r="AD197" s="83" t="n"/>
      <c r="AE197" s="83" t="n"/>
      <c r="AF197" s="83" t="n"/>
      <c r="AG197" s="83" t="n"/>
      <c r="AH197" s="83" t="n"/>
      <c r="AI197" s="83" t="n"/>
      <c r="AJ197" s="83" t="n"/>
      <c r="AK197" s="83" t="n"/>
      <c r="AL197" s="83" t="n"/>
      <c r="AM197" s="83" t="n"/>
      <c r="AN197" s="83" t="n"/>
      <c r="AO197" s="83" t="n"/>
      <c r="AP197" s="83" t="n"/>
      <c r="AQ197" s="83" t="n"/>
      <c r="AR197" s="83" t="n"/>
    </row>
    <row r="198">
      <c r="D198" s="84" t="n"/>
      <c r="E198" s="84" t="n"/>
      <c r="F198" s="84" t="n"/>
      <c r="G198" s="84" t="n"/>
      <c r="H198" s="84" t="n"/>
      <c r="I198" s="84" t="n"/>
      <c r="J198" s="84" t="n"/>
      <c r="K198" s="84" t="n"/>
      <c r="L198" s="84" t="n"/>
      <c r="M198" s="84" t="n"/>
      <c r="N198" s="84" t="n"/>
      <c r="O198" s="84" t="n"/>
      <c r="P198" s="84" t="n"/>
      <c r="Q198" s="84" t="n"/>
      <c r="R198" s="84" t="n"/>
      <c r="S198" s="84" t="n"/>
      <c r="T198" s="84" t="n"/>
      <c r="U198" s="84" t="n"/>
      <c r="V198" s="84" t="n"/>
      <c r="W198" s="84" t="n"/>
      <c r="X198" s="84" t="n"/>
      <c r="Y198" s="84" t="n"/>
      <c r="Z198" s="84" t="n"/>
      <c r="AA198" s="84" t="n"/>
      <c r="AB198" s="84" t="n"/>
      <c r="AC198" s="84" t="n"/>
      <c r="AD198" s="84" t="n"/>
      <c r="AE198" s="84" t="n"/>
      <c r="AF198" s="84" t="n"/>
      <c r="AG198" s="84" t="n"/>
      <c r="AH198" s="84" t="n"/>
      <c r="AI198" s="84" t="n"/>
      <c r="AJ198" s="84" t="n"/>
      <c r="AK198" s="84" t="n"/>
      <c r="AL198" s="84" t="n"/>
      <c r="AM198" s="84" t="n"/>
      <c r="AN198" s="84" t="n"/>
      <c r="AO198" s="84" t="n"/>
      <c r="AP198" s="84" t="n"/>
      <c r="AQ198" s="84" t="n"/>
      <c r="AR198" s="84" t="n"/>
    </row>
    <row r="199">
      <c r="D199" s="80" t="n"/>
      <c r="E199" s="80" t="n"/>
      <c r="F199" s="80" t="n"/>
      <c r="G199" s="80" t="n"/>
      <c r="H199" s="80" t="n"/>
      <c r="I199" s="80" t="n"/>
      <c r="J199" s="80" t="n"/>
      <c r="K199" s="80" t="n"/>
      <c r="L199" s="80" t="n"/>
      <c r="M199" s="80" t="n"/>
      <c r="N199" s="80" t="n"/>
      <c r="O199" s="80" t="n"/>
      <c r="P199" s="80" t="n"/>
      <c r="Q199" s="80" t="n"/>
      <c r="R199" s="80" t="n"/>
      <c r="S199" s="80" t="n"/>
      <c r="T199" s="80" t="n"/>
      <c r="U199" s="80" t="n"/>
      <c r="V199" s="80" t="n"/>
      <c r="W199" s="80" t="n"/>
      <c r="X199" s="80" t="n"/>
      <c r="Y199" s="80" t="n"/>
      <c r="Z199" s="80" t="n"/>
      <c r="AA199" s="80" t="n"/>
      <c r="AB199" s="80" t="n"/>
      <c r="AC199" s="80" t="n"/>
      <c r="AD199" s="80" t="n"/>
      <c r="AE199" s="80" t="n"/>
      <c r="AF199" s="80" t="n"/>
      <c r="AG199" s="80" t="n"/>
      <c r="AH199" s="80" t="n"/>
      <c r="AI199" s="80" t="n"/>
      <c r="AJ199" s="80" t="n"/>
      <c r="AK199" s="80" t="n"/>
      <c r="AL199" s="80" t="n"/>
      <c r="AM199" s="80" t="n"/>
      <c r="AN199" s="80" t="n"/>
      <c r="AO199" s="80" t="n"/>
      <c r="AP199" s="80" t="n"/>
      <c r="AQ199" s="80" t="n"/>
      <c r="AR199" s="80" t="n"/>
    </row>
    <row r="200">
      <c r="D200" s="80" t="n"/>
      <c r="E200" s="80" t="n"/>
      <c r="F200" s="80" t="n"/>
      <c r="G200" s="80" t="n"/>
      <c r="H200" s="80" t="n"/>
      <c r="I200" s="80" t="n"/>
      <c r="J200" s="80" t="n"/>
      <c r="K200" s="80" t="n"/>
      <c r="L200" s="80" t="n"/>
      <c r="M200" s="80" t="n"/>
      <c r="N200" s="80" t="n"/>
      <c r="O200" s="80" t="n"/>
      <c r="P200" s="80" t="n"/>
      <c r="Q200" s="80" t="n"/>
      <c r="R200" s="80" t="n"/>
      <c r="S200" s="80" t="n"/>
      <c r="T200" s="80" t="n"/>
      <c r="U200" s="80" t="n"/>
      <c r="V200" s="80" t="n"/>
      <c r="W200" s="80" t="n"/>
      <c r="X200" s="80" t="n"/>
      <c r="Y200" s="80" t="n"/>
      <c r="Z200" s="80" t="n"/>
      <c r="AA200" s="80" t="n"/>
      <c r="AB200" s="80" t="n"/>
      <c r="AC200" s="80" t="n"/>
      <c r="AD200" s="80" t="n"/>
      <c r="AE200" s="80" t="n"/>
      <c r="AF200" s="80" t="n"/>
      <c r="AG200" s="80" t="n"/>
      <c r="AH200" s="80" t="n"/>
      <c r="AI200" s="80" t="n"/>
      <c r="AJ200" s="80" t="n"/>
      <c r="AK200" s="80" t="n"/>
      <c r="AL200" s="80" t="n"/>
      <c r="AM200" s="80" t="n"/>
      <c r="AN200" s="80" t="n"/>
      <c r="AO200" s="80" t="n"/>
      <c r="AP200" s="80" t="n"/>
      <c r="AQ200" s="80" t="n"/>
      <c r="AR200" s="80" t="n"/>
    </row>
    <row r="201">
      <c r="D201" s="80" t="n"/>
      <c r="E201" s="80" t="n"/>
      <c r="F201" s="80" t="n"/>
      <c r="G201" s="80" t="n"/>
      <c r="H201" s="80" t="n"/>
      <c r="I201" s="80" t="n"/>
      <c r="J201" s="80" t="n"/>
      <c r="K201" s="80" t="n"/>
      <c r="L201" s="80" t="n"/>
      <c r="M201" s="80" t="n"/>
      <c r="N201" s="80" t="n"/>
      <c r="O201" s="80" t="n"/>
      <c r="P201" s="80" t="n"/>
      <c r="Q201" s="80" t="n"/>
      <c r="R201" s="80" t="n"/>
      <c r="S201" s="80" t="n"/>
      <c r="T201" s="80" t="n"/>
      <c r="U201" s="80" t="n"/>
      <c r="V201" s="80" t="n"/>
      <c r="W201" s="80" t="n"/>
      <c r="X201" s="80" t="n"/>
      <c r="Y201" s="80" t="n"/>
      <c r="Z201" s="80" t="n"/>
      <c r="AA201" s="80" t="n"/>
      <c r="AB201" s="80" t="n"/>
      <c r="AC201" s="80" t="n"/>
      <c r="AD201" s="80" t="n"/>
      <c r="AE201" s="80" t="n"/>
      <c r="AF201" s="80" t="n"/>
      <c r="AG201" s="80" t="n"/>
      <c r="AH201" s="80" t="n"/>
      <c r="AI201" s="80" t="n"/>
      <c r="AJ201" s="80" t="n"/>
      <c r="AK201" s="80" t="n"/>
      <c r="AL201" s="80" t="n"/>
      <c r="AM201" s="80" t="n"/>
      <c r="AN201" s="80" t="n"/>
      <c r="AO201" s="80" t="n"/>
      <c r="AP201" s="80" t="n"/>
      <c r="AQ201" s="80" t="n"/>
      <c r="AR201" s="80" t="n"/>
    </row>
    <row r="202">
      <c r="D202" s="80" t="n"/>
      <c r="E202" s="80" t="n"/>
      <c r="F202" s="80" t="n"/>
      <c r="G202" s="80" t="n"/>
      <c r="H202" s="80" t="n"/>
      <c r="I202" s="80" t="n"/>
      <c r="J202" s="80" t="n"/>
      <c r="K202" s="80" t="n"/>
      <c r="L202" s="80" t="n"/>
      <c r="M202" s="80" t="n"/>
      <c r="N202" s="80" t="n"/>
      <c r="O202" s="80" t="n"/>
      <c r="P202" s="80" t="n"/>
      <c r="Q202" s="80" t="n"/>
      <c r="R202" s="80" t="n"/>
      <c r="S202" s="80" t="n"/>
      <c r="T202" s="80" t="n"/>
      <c r="U202" s="80" t="n"/>
      <c r="V202" s="80" t="n"/>
      <c r="W202" s="80" t="n"/>
      <c r="X202" s="80" t="n"/>
      <c r="Y202" s="80" t="n"/>
      <c r="Z202" s="80" t="n"/>
      <c r="AA202" s="80" t="n"/>
      <c r="AB202" s="80" t="n"/>
      <c r="AC202" s="80" t="n"/>
      <c r="AD202" s="80" t="n"/>
      <c r="AE202" s="80" t="n"/>
      <c r="AF202" s="80" t="n"/>
      <c r="AG202" s="80" t="n"/>
      <c r="AH202" s="80" t="n"/>
      <c r="AI202" s="80" t="n"/>
      <c r="AJ202" s="80" t="n"/>
      <c r="AK202" s="80" t="n"/>
      <c r="AL202" s="80" t="n"/>
      <c r="AM202" s="80" t="n"/>
      <c r="AN202" s="80" t="n"/>
      <c r="AO202" s="80" t="n"/>
      <c r="AP202" s="80" t="n"/>
      <c r="AQ202" s="80" t="n"/>
      <c r="AR202" s="80" t="n"/>
    </row>
    <row r="204">
      <c r="A204" s="6">
        <f>IF(HSI!$C$20="","",HSI!$C$20)</f>
        <v/>
      </c>
      <c r="B204" s="41">
        <f>IF($A204="",0,COUNT($E205:$AR205))</f>
        <v/>
      </c>
      <c r="C204" s="81">
        <f>IF($B204=0,0,MAX($E205:$AR205))</f>
        <v/>
      </c>
      <c r="D204" s="82">
        <f>BDS($A204,'Field Check'!$C$7,"headers=y","startcol=1","endcol=7","dir=h","DVD_START_DT",Summary!$C$18,"DVD_END_DT",Summary!$D$18)</f>
        <v/>
      </c>
      <c r="E204" s="83" t="n"/>
      <c r="F204" s="83" t="n"/>
      <c r="G204" s="83" t="n"/>
      <c r="H204" s="83" t="n"/>
      <c r="I204" s="83" t="n"/>
      <c r="J204" s="83" t="n"/>
      <c r="K204" s="83" t="n"/>
      <c r="L204" s="83" t="n"/>
      <c r="M204" s="83" t="n"/>
      <c r="N204" s="83" t="n"/>
      <c r="O204" s="83" t="n"/>
      <c r="P204" s="83" t="n"/>
      <c r="Q204" s="83" t="n"/>
      <c r="R204" s="83" t="n"/>
      <c r="S204" s="83" t="n"/>
      <c r="T204" s="83" t="n"/>
      <c r="U204" s="83" t="n"/>
      <c r="V204" s="83" t="n"/>
      <c r="W204" s="83" t="n"/>
      <c r="X204" s="83" t="n"/>
      <c r="Y204" s="83" t="n"/>
      <c r="Z204" s="83" t="n"/>
      <c r="AA204" s="83" t="n"/>
      <c r="AB204" s="83" t="n"/>
      <c r="AC204" s="83" t="n"/>
      <c r="AD204" s="83" t="n"/>
      <c r="AE204" s="83" t="n"/>
      <c r="AF204" s="83" t="n"/>
      <c r="AG204" s="83" t="n"/>
      <c r="AH204" s="83" t="n"/>
      <c r="AI204" s="83" t="n"/>
      <c r="AJ204" s="83" t="n"/>
      <c r="AK204" s="83" t="n"/>
      <c r="AL204" s="83" t="n"/>
      <c r="AM204" s="83" t="n"/>
      <c r="AN204" s="83" t="n"/>
      <c r="AO204" s="83" t="n"/>
      <c r="AP204" s="83" t="n"/>
      <c r="AQ204" s="83" t="n"/>
      <c r="AR204" s="83" t="n"/>
    </row>
    <row r="205">
      <c r="D205" s="83" t="n"/>
      <c r="E205" s="83" t="n"/>
      <c r="F205" s="83" t="n"/>
      <c r="G205" s="83" t="n"/>
      <c r="H205" s="83" t="n"/>
      <c r="I205" s="83" t="n"/>
      <c r="J205" s="83" t="n"/>
      <c r="K205" s="83" t="n"/>
      <c r="L205" s="83" t="n"/>
      <c r="M205" s="83" t="n"/>
      <c r="N205" s="83" t="n"/>
      <c r="O205" s="83" t="n"/>
      <c r="P205" s="83" t="n"/>
      <c r="Q205" s="83" t="n"/>
      <c r="R205" s="83" t="n"/>
      <c r="S205" s="83" t="n"/>
      <c r="T205" s="83" t="n"/>
      <c r="U205" s="83" t="n"/>
      <c r="V205" s="83" t="n"/>
      <c r="W205" s="83" t="n"/>
      <c r="X205" s="83" t="n"/>
      <c r="Y205" s="83" t="n"/>
      <c r="Z205" s="83" t="n"/>
      <c r="AA205" s="83" t="n"/>
      <c r="AB205" s="83" t="n"/>
      <c r="AC205" s="83" t="n"/>
      <c r="AD205" s="83" t="n"/>
      <c r="AE205" s="83" t="n"/>
      <c r="AF205" s="83" t="n"/>
      <c r="AG205" s="83" t="n"/>
      <c r="AH205" s="83" t="n"/>
      <c r="AI205" s="83" t="n"/>
      <c r="AJ205" s="83" t="n"/>
      <c r="AK205" s="83" t="n"/>
      <c r="AL205" s="83" t="n"/>
      <c r="AM205" s="83" t="n"/>
      <c r="AN205" s="83" t="n"/>
      <c r="AO205" s="83" t="n"/>
      <c r="AP205" s="83" t="n"/>
      <c r="AQ205" s="83" t="n"/>
      <c r="AR205" s="83" t="n"/>
    </row>
    <row r="206">
      <c r="D206" s="84" t="n"/>
      <c r="E206" s="84" t="n"/>
      <c r="F206" s="84" t="n"/>
      <c r="G206" s="84" t="n"/>
      <c r="H206" s="84" t="n"/>
      <c r="I206" s="84" t="n"/>
      <c r="J206" s="84" t="n"/>
      <c r="K206" s="84" t="n"/>
      <c r="L206" s="84" t="n"/>
      <c r="M206" s="84" t="n"/>
      <c r="N206" s="84" t="n"/>
      <c r="O206" s="84" t="n"/>
      <c r="P206" s="84" t="n"/>
      <c r="Q206" s="84" t="n"/>
      <c r="R206" s="84" t="n"/>
      <c r="S206" s="84" t="n"/>
      <c r="T206" s="84" t="n"/>
      <c r="U206" s="84" t="n"/>
      <c r="V206" s="84" t="n"/>
      <c r="W206" s="84" t="n"/>
      <c r="X206" s="84" t="n"/>
      <c r="Y206" s="84" t="n"/>
      <c r="Z206" s="84" t="n"/>
      <c r="AA206" s="84" t="n"/>
      <c r="AB206" s="84" t="n"/>
      <c r="AC206" s="84" t="n"/>
      <c r="AD206" s="84" t="n"/>
      <c r="AE206" s="84" t="n"/>
      <c r="AF206" s="84" t="n"/>
      <c r="AG206" s="84" t="n"/>
      <c r="AH206" s="84" t="n"/>
      <c r="AI206" s="84" t="n"/>
      <c r="AJ206" s="84" t="n"/>
      <c r="AK206" s="84" t="n"/>
      <c r="AL206" s="84" t="n"/>
      <c r="AM206" s="84" t="n"/>
      <c r="AN206" s="84" t="n"/>
      <c r="AO206" s="84" t="n"/>
      <c r="AP206" s="84" t="n"/>
      <c r="AQ206" s="84" t="n"/>
      <c r="AR206" s="84" t="n"/>
    </row>
    <row r="207">
      <c r="D207" s="80" t="n"/>
      <c r="E207" s="80" t="n"/>
      <c r="F207" s="80" t="n"/>
      <c r="G207" s="80" t="n"/>
      <c r="H207" s="80" t="n"/>
      <c r="I207" s="80" t="n"/>
      <c r="J207" s="80" t="n"/>
      <c r="K207" s="80" t="n"/>
      <c r="L207" s="80" t="n"/>
      <c r="M207" s="80" t="n"/>
      <c r="N207" s="80" t="n"/>
      <c r="O207" s="80" t="n"/>
      <c r="P207" s="80" t="n"/>
      <c r="Q207" s="80" t="n"/>
      <c r="R207" s="80" t="n"/>
      <c r="S207" s="80" t="n"/>
      <c r="T207" s="80" t="n"/>
      <c r="U207" s="80" t="n"/>
      <c r="V207" s="80" t="n"/>
      <c r="W207" s="80" t="n"/>
      <c r="X207" s="80" t="n"/>
      <c r="Y207" s="80" t="n"/>
      <c r="Z207" s="80" t="n"/>
      <c r="AA207" s="80" t="n"/>
      <c r="AB207" s="80" t="n"/>
      <c r="AC207" s="80" t="n"/>
      <c r="AD207" s="80" t="n"/>
      <c r="AE207" s="80" t="n"/>
      <c r="AF207" s="80" t="n"/>
      <c r="AG207" s="80" t="n"/>
      <c r="AH207" s="80" t="n"/>
      <c r="AI207" s="80" t="n"/>
      <c r="AJ207" s="80" t="n"/>
      <c r="AK207" s="80" t="n"/>
      <c r="AL207" s="80" t="n"/>
      <c r="AM207" s="80" t="n"/>
      <c r="AN207" s="80" t="n"/>
      <c r="AO207" s="80" t="n"/>
      <c r="AP207" s="80" t="n"/>
      <c r="AQ207" s="80" t="n"/>
      <c r="AR207" s="80" t="n"/>
    </row>
    <row r="208">
      <c r="D208" s="80" t="n"/>
      <c r="E208" s="80" t="n"/>
      <c r="F208" s="80" t="n"/>
      <c r="G208" s="80" t="n"/>
      <c r="H208" s="80" t="n"/>
      <c r="I208" s="80" t="n"/>
      <c r="J208" s="80" t="n"/>
      <c r="K208" s="80" t="n"/>
      <c r="L208" s="80" t="n"/>
      <c r="M208" s="80" t="n"/>
      <c r="N208" s="80" t="n"/>
      <c r="O208" s="80" t="n"/>
      <c r="P208" s="80" t="n"/>
      <c r="Q208" s="80" t="n"/>
      <c r="R208" s="80" t="n"/>
      <c r="S208" s="80" t="n"/>
      <c r="T208" s="80" t="n"/>
      <c r="U208" s="80" t="n"/>
      <c r="V208" s="80" t="n"/>
      <c r="W208" s="80" t="n"/>
      <c r="X208" s="80" t="n"/>
      <c r="Y208" s="80" t="n"/>
      <c r="Z208" s="80" t="n"/>
      <c r="AA208" s="80" t="n"/>
      <c r="AB208" s="80" t="n"/>
      <c r="AC208" s="80" t="n"/>
      <c r="AD208" s="80" t="n"/>
      <c r="AE208" s="80" t="n"/>
      <c r="AF208" s="80" t="n"/>
      <c r="AG208" s="80" t="n"/>
      <c r="AH208" s="80" t="n"/>
      <c r="AI208" s="80" t="n"/>
      <c r="AJ208" s="80" t="n"/>
      <c r="AK208" s="80" t="n"/>
      <c r="AL208" s="80" t="n"/>
      <c r="AM208" s="80" t="n"/>
      <c r="AN208" s="80" t="n"/>
      <c r="AO208" s="80" t="n"/>
      <c r="AP208" s="80" t="n"/>
      <c r="AQ208" s="80" t="n"/>
      <c r="AR208" s="80" t="n"/>
    </row>
    <row r="209">
      <c r="D209" s="80" t="n"/>
      <c r="E209" s="80" t="n"/>
      <c r="F209" s="80" t="n"/>
      <c r="G209" s="80" t="n"/>
      <c r="H209" s="80" t="n"/>
      <c r="I209" s="80" t="n"/>
      <c r="J209" s="80" t="n"/>
      <c r="K209" s="80" t="n"/>
      <c r="L209" s="80" t="n"/>
      <c r="M209" s="80" t="n"/>
      <c r="N209" s="80" t="n"/>
      <c r="O209" s="80" t="n"/>
      <c r="P209" s="80" t="n"/>
      <c r="Q209" s="80" t="n"/>
      <c r="R209" s="80" t="n"/>
      <c r="S209" s="80" t="n"/>
      <c r="T209" s="80" t="n"/>
      <c r="U209" s="80" t="n"/>
      <c r="V209" s="80" t="n"/>
      <c r="W209" s="80" t="n"/>
      <c r="X209" s="80" t="n"/>
      <c r="Y209" s="80" t="n"/>
      <c r="Z209" s="80" t="n"/>
      <c r="AA209" s="80" t="n"/>
      <c r="AB209" s="80" t="n"/>
      <c r="AC209" s="80" t="n"/>
      <c r="AD209" s="80" t="n"/>
      <c r="AE209" s="80" t="n"/>
      <c r="AF209" s="80" t="n"/>
      <c r="AG209" s="80" t="n"/>
      <c r="AH209" s="80" t="n"/>
      <c r="AI209" s="80" t="n"/>
      <c r="AJ209" s="80" t="n"/>
      <c r="AK209" s="80" t="n"/>
      <c r="AL209" s="80" t="n"/>
      <c r="AM209" s="80" t="n"/>
      <c r="AN209" s="80" t="n"/>
      <c r="AO209" s="80" t="n"/>
      <c r="AP209" s="80" t="n"/>
      <c r="AQ209" s="80" t="n"/>
      <c r="AR209" s="80" t="n"/>
    </row>
    <row r="210">
      <c r="D210" s="80" t="n"/>
      <c r="E210" s="80" t="n"/>
      <c r="F210" s="80" t="n"/>
      <c r="G210" s="80" t="n"/>
      <c r="H210" s="80" t="n"/>
      <c r="I210" s="80" t="n"/>
      <c r="J210" s="80" t="n"/>
      <c r="K210" s="80" t="n"/>
      <c r="L210" s="80" t="n"/>
      <c r="M210" s="80" t="n"/>
      <c r="N210" s="80" t="n"/>
      <c r="O210" s="80" t="n"/>
      <c r="P210" s="80" t="n"/>
      <c r="Q210" s="80" t="n"/>
      <c r="R210" s="80" t="n"/>
      <c r="S210" s="80" t="n"/>
      <c r="T210" s="80" t="n"/>
      <c r="U210" s="80" t="n"/>
      <c r="V210" s="80" t="n"/>
      <c r="W210" s="80" t="n"/>
      <c r="X210" s="80" t="n"/>
      <c r="Y210" s="80" t="n"/>
      <c r="Z210" s="80" t="n"/>
      <c r="AA210" s="80" t="n"/>
      <c r="AB210" s="80" t="n"/>
      <c r="AC210" s="80" t="n"/>
      <c r="AD210" s="80" t="n"/>
      <c r="AE210" s="80" t="n"/>
      <c r="AF210" s="80" t="n"/>
      <c r="AG210" s="80" t="n"/>
      <c r="AH210" s="80" t="n"/>
      <c r="AI210" s="80" t="n"/>
      <c r="AJ210" s="80" t="n"/>
      <c r="AK210" s="80" t="n"/>
      <c r="AL210" s="80" t="n"/>
      <c r="AM210" s="80" t="n"/>
      <c r="AN210" s="80" t="n"/>
      <c r="AO210" s="80" t="n"/>
      <c r="AP210" s="80" t="n"/>
      <c r="AQ210" s="80" t="n"/>
      <c r="AR210" s="80" t="n"/>
    </row>
    <row r="211">
      <c r="A211" s="2">
        <f>IF($A204="","","   projections")</f>
        <v/>
      </c>
      <c r="B211" s="41">
        <f>IF($A204="",0,COUNT($E212:$AR212))</f>
        <v/>
      </c>
      <c r="C211" s="81">
        <f>IF($B211=0,0,MAX($E212:$AR212))</f>
        <v/>
      </c>
      <c r="D211" s="82">
        <f>BDS($A204,'Field Check'!$C$6,"headers=y","startcol=1","endcol=7","dir=h")</f>
        <v/>
      </c>
      <c r="E211" s="83" t="n"/>
      <c r="F211" s="83" t="n"/>
      <c r="G211" s="83" t="n"/>
      <c r="H211" s="83" t="n"/>
      <c r="I211" s="83" t="n"/>
      <c r="J211" s="83" t="n"/>
      <c r="K211" s="83" t="n"/>
      <c r="L211" s="83" t="n"/>
      <c r="M211" s="83" t="n"/>
      <c r="N211" s="83" t="n"/>
      <c r="O211" s="83" t="n"/>
      <c r="P211" s="83" t="n"/>
      <c r="Q211" s="83" t="n"/>
      <c r="R211" s="83" t="n"/>
      <c r="S211" s="83" t="n"/>
      <c r="T211" s="83" t="n"/>
      <c r="U211" s="83" t="n"/>
      <c r="V211" s="83" t="n"/>
      <c r="W211" s="83" t="n"/>
      <c r="X211" s="83" t="n"/>
      <c r="Y211" s="83" t="n"/>
      <c r="Z211" s="83" t="n"/>
      <c r="AA211" s="83" t="n"/>
      <c r="AB211" s="83" t="n"/>
      <c r="AC211" s="83" t="n"/>
      <c r="AD211" s="83" t="n"/>
      <c r="AE211" s="83" t="n"/>
      <c r="AF211" s="83" t="n"/>
      <c r="AG211" s="83" t="n"/>
      <c r="AH211" s="83" t="n"/>
      <c r="AI211" s="83" t="n"/>
      <c r="AJ211" s="83" t="n"/>
      <c r="AK211" s="83" t="n"/>
      <c r="AL211" s="83" t="n"/>
      <c r="AM211" s="83" t="n"/>
      <c r="AN211" s="83" t="n"/>
      <c r="AO211" s="83" t="n"/>
      <c r="AP211" s="83" t="n"/>
      <c r="AQ211" s="83" t="n"/>
      <c r="AR211" s="83" t="n"/>
    </row>
    <row r="212">
      <c r="D212" s="83" t="n"/>
      <c r="E212" s="83" t="n"/>
      <c r="F212" s="83" t="n"/>
      <c r="G212" s="83" t="n"/>
      <c r="H212" s="83" t="n"/>
      <c r="I212" s="83" t="n"/>
      <c r="J212" s="83" t="n"/>
      <c r="K212" s="83" t="n"/>
      <c r="L212" s="83" t="n"/>
      <c r="M212" s="83" t="n"/>
      <c r="N212" s="83" t="n"/>
      <c r="O212" s="83" t="n"/>
      <c r="P212" s="83" t="n"/>
      <c r="Q212" s="83" t="n"/>
      <c r="R212" s="83" t="n"/>
      <c r="S212" s="83" t="n"/>
      <c r="T212" s="83" t="n"/>
      <c r="U212" s="83" t="n"/>
      <c r="V212" s="83" t="n"/>
      <c r="W212" s="83" t="n"/>
      <c r="X212" s="83" t="n"/>
      <c r="Y212" s="83" t="n"/>
      <c r="Z212" s="83" t="n"/>
      <c r="AA212" s="83" t="n"/>
      <c r="AB212" s="83" t="n"/>
      <c r="AC212" s="83" t="n"/>
      <c r="AD212" s="83" t="n"/>
      <c r="AE212" s="83" t="n"/>
      <c r="AF212" s="83" t="n"/>
      <c r="AG212" s="83" t="n"/>
      <c r="AH212" s="83" t="n"/>
      <c r="AI212" s="83" t="n"/>
      <c r="AJ212" s="83" t="n"/>
      <c r="AK212" s="83" t="n"/>
      <c r="AL212" s="83" t="n"/>
      <c r="AM212" s="83" t="n"/>
      <c r="AN212" s="83" t="n"/>
      <c r="AO212" s="83" t="n"/>
      <c r="AP212" s="83" t="n"/>
      <c r="AQ212" s="83" t="n"/>
      <c r="AR212" s="83" t="n"/>
    </row>
    <row r="213">
      <c r="D213" s="84" t="n"/>
      <c r="E213" s="84" t="n"/>
      <c r="F213" s="84" t="n"/>
      <c r="G213" s="84" t="n"/>
      <c r="H213" s="84" t="n"/>
      <c r="I213" s="84" t="n"/>
      <c r="J213" s="84" t="n"/>
      <c r="K213" s="84" t="n"/>
      <c r="L213" s="84" t="n"/>
      <c r="M213" s="84" t="n"/>
      <c r="N213" s="84" t="n"/>
      <c r="O213" s="84" t="n"/>
      <c r="P213" s="84" t="n"/>
      <c r="Q213" s="84" t="n"/>
      <c r="R213" s="84" t="n"/>
      <c r="S213" s="84" t="n"/>
      <c r="T213" s="84" t="n"/>
      <c r="U213" s="84" t="n"/>
      <c r="V213" s="84" t="n"/>
      <c r="W213" s="84" t="n"/>
      <c r="X213" s="84" t="n"/>
      <c r="Y213" s="84" t="n"/>
      <c r="Z213" s="84" t="n"/>
      <c r="AA213" s="84" t="n"/>
      <c r="AB213" s="84" t="n"/>
      <c r="AC213" s="84" t="n"/>
      <c r="AD213" s="84" t="n"/>
      <c r="AE213" s="84" t="n"/>
      <c r="AF213" s="84" t="n"/>
      <c r="AG213" s="84" t="n"/>
      <c r="AH213" s="84" t="n"/>
      <c r="AI213" s="84" t="n"/>
      <c r="AJ213" s="84" t="n"/>
      <c r="AK213" s="84" t="n"/>
      <c r="AL213" s="84" t="n"/>
      <c r="AM213" s="84" t="n"/>
      <c r="AN213" s="84" t="n"/>
      <c r="AO213" s="84" t="n"/>
      <c r="AP213" s="84" t="n"/>
      <c r="AQ213" s="84" t="n"/>
      <c r="AR213" s="84" t="n"/>
    </row>
    <row r="214">
      <c r="D214" s="80" t="n"/>
      <c r="E214" s="80" t="n"/>
      <c r="F214" s="80" t="n"/>
      <c r="G214" s="80" t="n"/>
      <c r="H214" s="80" t="n"/>
      <c r="I214" s="80" t="n"/>
      <c r="J214" s="80" t="n"/>
      <c r="K214" s="80" t="n"/>
      <c r="L214" s="80" t="n"/>
      <c r="M214" s="80" t="n"/>
      <c r="N214" s="80" t="n"/>
      <c r="O214" s="80" t="n"/>
      <c r="P214" s="80" t="n"/>
      <c r="Q214" s="80" t="n"/>
      <c r="R214" s="80" t="n"/>
      <c r="S214" s="80" t="n"/>
      <c r="T214" s="80" t="n"/>
      <c r="U214" s="80" t="n"/>
      <c r="V214" s="80" t="n"/>
      <c r="W214" s="80" t="n"/>
      <c r="X214" s="80" t="n"/>
      <c r="Y214" s="80" t="n"/>
      <c r="Z214" s="80" t="n"/>
      <c r="AA214" s="80" t="n"/>
      <c r="AB214" s="80" t="n"/>
      <c r="AC214" s="80" t="n"/>
      <c r="AD214" s="80" t="n"/>
      <c r="AE214" s="80" t="n"/>
      <c r="AF214" s="80" t="n"/>
      <c r="AG214" s="80" t="n"/>
      <c r="AH214" s="80" t="n"/>
      <c r="AI214" s="80" t="n"/>
      <c r="AJ214" s="80" t="n"/>
      <c r="AK214" s="80" t="n"/>
      <c r="AL214" s="80" t="n"/>
      <c r="AM214" s="80" t="n"/>
      <c r="AN214" s="80" t="n"/>
      <c r="AO214" s="80" t="n"/>
      <c r="AP214" s="80" t="n"/>
      <c r="AQ214" s="80" t="n"/>
      <c r="AR214" s="80" t="n"/>
    </row>
    <row r="215">
      <c r="D215" s="80" t="n"/>
      <c r="E215" s="80" t="n"/>
      <c r="F215" s="80" t="n"/>
      <c r="G215" s="80" t="n"/>
      <c r="H215" s="80" t="n"/>
      <c r="I215" s="80" t="n"/>
      <c r="J215" s="80" t="n"/>
      <c r="K215" s="80" t="n"/>
      <c r="L215" s="80" t="n"/>
      <c r="M215" s="80" t="n"/>
      <c r="N215" s="80" t="n"/>
      <c r="O215" s="80" t="n"/>
      <c r="P215" s="80" t="n"/>
      <c r="Q215" s="80" t="n"/>
      <c r="R215" s="80" t="n"/>
      <c r="S215" s="80" t="n"/>
      <c r="T215" s="80" t="n"/>
      <c r="U215" s="80" t="n"/>
      <c r="V215" s="80" t="n"/>
      <c r="W215" s="80" t="n"/>
      <c r="X215" s="80" t="n"/>
      <c r="Y215" s="80" t="n"/>
      <c r="Z215" s="80" t="n"/>
      <c r="AA215" s="80" t="n"/>
      <c r="AB215" s="80" t="n"/>
      <c r="AC215" s="80" t="n"/>
      <c r="AD215" s="80" t="n"/>
      <c r="AE215" s="80" t="n"/>
      <c r="AF215" s="80" t="n"/>
      <c r="AG215" s="80" t="n"/>
      <c r="AH215" s="80" t="n"/>
      <c r="AI215" s="80" t="n"/>
      <c r="AJ215" s="80" t="n"/>
      <c r="AK215" s="80" t="n"/>
      <c r="AL215" s="80" t="n"/>
      <c r="AM215" s="80" t="n"/>
      <c r="AN215" s="80" t="n"/>
      <c r="AO215" s="80" t="n"/>
      <c r="AP215" s="80" t="n"/>
      <c r="AQ215" s="80" t="n"/>
      <c r="AR215" s="80" t="n"/>
    </row>
    <row r="216">
      <c r="D216" s="80" t="n"/>
      <c r="E216" s="80" t="n"/>
      <c r="F216" s="80" t="n"/>
      <c r="G216" s="80" t="n"/>
      <c r="H216" s="80" t="n"/>
      <c r="I216" s="80" t="n"/>
      <c r="J216" s="80" t="n"/>
      <c r="K216" s="80" t="n"/>
      <c r="L216" s="80" t="n"/>
      <c r="M216" s="80" t="n"/>
      <c r="N216" s="80" t="n"/>
      <c r="O216" s="80" t="n"/>
      <c r="P216" s="80" t="n"/>
      <c r="Q216" s="80" t="n"/>
      <c r="R216" s="80" t="n"/>
      <c r="S216" s="80" t="n"/>
      <c r="T216" s="80" t="n"/>
      <c r="U216" s="80" t="n"/>
      <c r="V216" s="80" t="n"/>
      <c r="W216" s="80" t="n"/>
      <c r="X216" s="80" t="n"/>
      <c r="Y216" s="80" t="n"/>
      <c r="Z216" s="80" t="n"/>
      <c r="AA216" s="80" t="n"/>
      <c r="AB216" s="80" t="n"/>
      <c r="AC216" s="80" t="n"/>
      <c r="AD216" s="80" t="n"/>
      <c r="AE216" s="80" t="n"/>
      <c r="AF216" s="80" t="n"/>
      <c r="AG216" s="80" t="n"/>
      <c r="AH216" s="80" t="n"/>
      <c r="AI216" s="80" t="n"/>
      <c r="AJ216" s="80" t="n"/>
      <c r="AK216" s="80" t="n"/>
      <c r="AL216" s="80" t="n"/>
      <c r="AM216" s="80" t="n"/>
      <c r="AN216" s="80" t="n"/>
      <c r="AO216" s="80" t="n"/>
      <c r="AP216" s="80" t="n"/>
      <c r="AQ216" s="80" t="n"/>
      <c r="AR216" s="80" t="n"/>
    </row>
    <row r="217">
      <c r="D217" s="80" t="n"/>
      <c r="E217" s="80" t="n"/>
      <c r="F217" s="80" t="n"/>
      <c r="G217" s="80" t="n"/>
      <c r="H217" s="80" t="n"/>
      <c r="I217" s="80" t="n"/>
      <c r="J217" s="80" t="n"/>
      <c r="K217" s="80" t="n"/>
      <c r="L217" s="80" t="n"/>
      <c r="M217" s="80" t="n"/>
      <c r="N217" s="80" t="n"/>
      <c r="O217" s="80" t="n"/>
      <c r="P217" s="80" t="n"/>
      <c r="Q217" s="80" t="n"/>
      <c r="R217" s="80" t="n"/>
      <c r="S217" s="80" t="n"/>
      <c r="T217" s="80" t="n"/>
      <c r="U217" s="80" t="n"/>
      <c r="V217" s="80" t="n"/>
      <c r="W217" s="80" t="n"/>
      <c r="X217" s="80" t="n"/>
      <c r="Y217" s="80" t="n"/>
      <c r="Z217" s="80" t="n"/>
      <c r="AA217" s="80" t="n"/>
      <c r="AB217" s="80" t="n"/>
      <c r="AC217" s="80" t="n"/>
      <c r="AD217" s="80" t="n"/>
      <c r="AE217" s="80" t="n"/>
      <c r="AF217" s="80" t="n"/>
      <c r="AG217" s="80" t="n"/>
      <c r="AH217" s="80" t="n"/>
      <c r="AI217" s="80" t="n"/>
      <c r="AJ217" s="80" t="n"/>
      <c r="AK217" s="80" t="n"/>
      <c r="AL217" s="80" t="n"/>
      <c r="AM217" s="80" t="n"/>
      <c r="AN217" s="80" t="n"/>
      <c r="AO217" s="80" t="n"/>
      <c r="AP217" s="80" t="n"/>
      <c r="AQ217" s="80" t="n"/>
      <c r="AR217" s="80" t="n"/>
    </row>
    <row r="219">
      <c r="A219" s="6">
        <f>IF(HSI!$C$21="","",HSI!$C$21)</f>
        <v/>
      </c>
      <c r="B219" s="41">
        <f>IF($A219="",0,COUNT($E220:$AR220))</f>
        <v/>
      </c>
      <c r="C219" s="81">
        <f>IF($B219=0,0,MAX($E220:$AR220))</f>
        <v/>
      </c>
      <c r="D219" s="82">
        <f>BDS($A219,'Field Check'!$C$7,"headers=y","startcol=1","endcol=7","dir=h","DVD_START_DT",Summary!$C$18,"DVD_END_DT",Summary!$D$18)</f>
        <v/>
      </c>
      <c r="E219" s="83" t="n"/>
      <c r="F219" s="83" t="n"/>
      <c r="G219" s="83" t="n"/>
      <c r="H219" s="83" t="n"/>
      <c r="I219" s="83" t="n"/>
      <c r="J219" s="83" t="n"/>
      <c r="K219" s="83" t="n"/>
      <c r="L219" s="83" t="n"/>
      <c r="M219" s="83" t="n"/>
      <c r="N219" s="83" t="n"/>
      <c r="O219" s="83" t="n"/>
      <c r="P219" s="83" t="n"/>
      <c r="Q219" s="83" t="n"/>
      <c r="R219" s="83" t="n"/>
      <c r="S219" s="83" t="n"/>
      <c r="T219" s="83" t="n"/>
      <c r="U219" s="83" t="n"/>
      <c r="V219" s="83" t="n"/>
      <c r="W219" s="83" t="n"/>
      <c r="X219" s="83" t="n"/>
      <c r="Y219" s="83" t="n"/>
      <c r="Z219" s="83" t="n"/>
      <c r="AA219" s="83" t="n"/>
      <c r="AB219" s="83" t="n"/>
      <c r="AC219" s="83" t="n"/>
      <c r="AD219" s="83" t="n"/>
      <c r="AE219" s="83" t="n"/>
      <c r="AF219" s="83" t="n"/>
      <c r="AG219" s="83" t="n"/>
      <c r="AH219" s="83" t="n"/>
      <c r="AI219" s="83" t="n"/>
      <c r="AJ219" s="83" t="n"/>
      <c r="AK219" s="83" t="n"/>
      <c r="AL219" s="83" t="n"/>
      <c r="AM219" s="83" t="n"/>
      <c r="AN219" s="83" t="n"/>
      <c r="AO219" s="83" t="n"/>
      <c r="AP219" s="83" t="n"/>
      <c r="AQ219" s="83" t="n"/>
      <c r="AR219" s="83" t="n"/>
    </row>
    <row r="220">
      <c r="D220" s="83" t="n"/>
      <c r="E220" s="83" t="n"/>
      <c r="F220" s="83" t="n"/>
      <c r="G220" s="83" t="n"/>
      <c r="H220" s="83" t="n"/>
      <c r="I220" s="83" t="n"/>
      <c r="J220" s="83" t="n"/>
      <c r="K220" s="83" t="n"/>
      <c r="L220" s="83" t="n"/>
      <c r="M220" s="83" t="n"/>
      <c r="N220" s="83" t="n"/>
      <c r="O220" s="83" t="n"/>
      <c r="P220" s="83" t="n"/>
      <c r="Q220" s="83" t="n"/>
      <c r="R220" s="83" t="n"/>
      <c r="S220" s="83" t="n"/>
      <c r="T220" s="83" t="n"/>
      <c r="U220" s="83" t="n"/>
      <c r="V220" s="83" t="n"/>
      <c r="W220" s="83" t="n"/>
      <c r="X220" s="83" t="n"/>
      <c r="Y220" s="83" t="n"/>
      <c r="Z220" s="83" t="n"/>
      <c r="AA220" s="83" t="n"/>
      <c r="AB220" s="83" t="n"/>
      <c r="AC220" s="83" t="n"/>
      <c r="AD220" s="83" t="n"/>
      <c r="AE220" s="83" t="n"/>
      <c r="AF220" s="83" t="n"/>
      <c r="AG220" s="83" t="n"/>
      <c r="AH220" s="83" t="n"/>
      <c r="AI220" s="83" t="n"/>
      <c r="AJ220" s="83" t="n"/>
      <c r="AK220" s="83" t="n"/>
      <c r="AL220" s="83" t="n"/>
      <c r="AM220" s="83" t="n"/>
      <c r="AN220" s="83" t="n"/>
      <c r="AO220" s="83" t="n"/>
      <c r="AP220" s="83" t="n"/>
      <c r="AQ220" s="83" t="n"/>
      <c r="AR220" s="83" t="n"/>
    </row>
    <row r="221">
      <c r="D221" s="84" t="n"/>
      <c r="E221" s="84" t="n"/>
      <c r="F221" s="84" t="n"/>
      <c r="G221" s="84" t="n"/>
      <c r="H221" s="84" t="n"/>
      <c r="I221" s="84" t="n"/>
      <c r="J221" s="84" t="n"/>
      <c r="K221" s="84" t="n"/>
      <c r="L221" s="84" t="n"/>
      <c r="M221" s="84" t="n"/>
      <c r="N221" s="84" t="n"/>
      <c r="O221" s="84" t="n"/>
      <c r="P221" s="84" t="n"/>
      <c r="Q221" s="84" t="n"/>
      <c r="R221" s="84" t="n"/>
      <c r="S221" s="84" t="n"/>
      <c r="T221" s="84" t="n"/>
      <c r="U221" s="84" t="n"/>
      <c r="V221" s="84" t="n"/>
      <c r="W221" s="84" t="n"/>
      <c r="X221" s="84" t="n"/>
      <c r="Y221" s="84" t="n"/>
      <c r="Z221" s="84" t="n"/>
      <c r="AA221" s="84" t="n"/>
      <c r="AB221" s="84" t="n"/>
      <c r="AC221" s="84" t="n"/>
      <c r="AD221" s="84" t="n"/>
      <c r="AE221" s="84" t="n"/>
      <c r="AF221" s="84" t="n"/>
      <c r="AG221" s="84" t="n"/>
      <c r="AH221" s="84" t="n"/>
      <c r="AI221" s="84" t="n"/>
      <c r="AJ221" s="84" t="n"/>
      <c r="AK221" s="84" t="n"/>
      <c r="AL221" s="84" t="n"/>
      <c r="AM221" s="84" t="n"/>
      <c r="AN221" s="84" t="n"/>
      <c r="AO221" s="84" t="n"/>
      <c r="AP221" s="84" t="n"/>
      <c r="AQ221" s="84" t="n"/>
      <c r="AR221" s="84" t="n"/>
    </row>
    <row r="222">
      <c r="D222" s="80" t="n"/>
      <c r="E222" s="80" t="n"/>
      <c r="F222" s="80" t="n"/>
      <c r="G222" s="80" t="n"/>
      <c r="H222" s="80" t="n"/>
      <c r="I222" s="80" t="n"/>
      <c r="J222" s="80" t="n"/>
      <c r="K222" s="80" t="n"/>
      <c r="L222" s="80" t="n"/>
      <c r="M222" s="80" t="n"/>
      <c r="N222" s="80" t="n"/>
      <c r="O222" s="80" t="n"/>
      <c r="P222" s="80" t="n"/>
      <c r="Q222" s="80" t="n"/>
      <c r="R222" s="80" t="n"/>
      <c r="S222" s="80" t="n"/>
      <c r="T222" s="80" t="n"/>
      <c r="U222" s="80" t="n"/>
      <c r="V222" s="80" t="n"/>
      <c r="W222" s="80" t="n"/>
      <c r="X222" s="80" t="n"/>
      <c r="Y222" s="80" t="n"/>
      <c r="Z222" s="80" t="n"/>
      <c r="AA222" s="80" t="n"/>
      <c r="AB222" s="80" t="n"/>
      <c r="AC222" s="80" t="n"/>
      <c r="AD222" s="80" t="n"/>
      <c r="AE222" s="80" t="n"/>
      <c r="AF222" s="80" t="n"/>
      <c r="AG222" s="80" t="n"/>
      <c r="AH222" s="80" t="n"/>
      <c r="AI222" s="80" t="n"/>
      <c r="AJ222" s="80" t="n"/>
      <c r="AK222" s="80" t="n"/>
      <c r="AL222" s="80" t="n"/>
      <c r="AM222" s="80" t="n"/>
      <c r="AN222" s="80" t="n"/>
      <c r="AO222" s="80" t="n"/>
      <c r="AP222" s="80" t="n"/>
      <c r="AQ222" s="80" t="n"/>
      <c r="AR222" s="80" t="n"/>
    </row>
    <row r="223">
      <c r="D223" s="80" t="n"/>
      <c r="E223" s="80" t="n"/>
      <c r="F223" s="80" t="n"/>
      <c r="G223" s="80" t="n"/>
      <c r="H223" s="80" t="n"/>
      <c r="I223" s="80" t="n"/>
      <c r="J223" s="80" t="n"/>
      <c r="K223" s="80" t="n"/>
      <c r="L223" s="80" t="n"/>
      <c r="M223" s="80" t="n"/>
      <c r="N223" s="80" t="n"/>
      <c r="O223" s="80" t="n"/>
      <c r="P223" s="80" t="n"/>
      <c r="Q223" s="80" t="n"/>
      <c r="R223" s="80" t="n"/>
      <c r="S223" s="80" t="n"/>
      <c r="T223" s="80" t="n"/>
      <c r="U223" s="80" t="n"/>
      <c r="V223" s="80" t="n"/>
      <c r="W223" s="80" t="n"/>
      <c r="X223" s="80" t="n"/>
      <c r="Y223" s="80" t="n"/>
      <c r="Z223" s="80" t="n"/>
      <c r="AA223" s="80" t="n"/>
      <c r="AB223" s="80" t="n"/>
      <c r="AC223" s="80" t="n"/>
      <c r="AD223" s="80" t="n"/>
      <c r="AE223" s="80" t="n"/>
      <c r="AF223" s="80" t="n"/>
      <c r="AG223" s="80" t="n"/>
      <c r="AH223" s="80" t="n"/>
      <c r="AI223" s="80" t="n"/>
      <c r="AJ223" s="80" t="n"/>
      <c r="AK223" s="80" t="n"/>
      <c r="AL223" s="80" t="n"/>
      <c r="AM223" s="80" t="n"/>
      <c r="AN223" s="80" t="n"/>
      <c r="AO223" s="80" t="n"/>
      <c r="AP223" s="80" t="n"/>
      <c r="AQ223" s="80" t="n"/>
      <c r="AR223" s="80" t="n"/>
    </row>
    <row r="224">
      <c r="D224" s="80" t="n"/>
      <c r="E224" s="80" t="n"/>
      <c r="F224" s="80" t="n"/>
      <c r="G224" s="80" t="n"/>
      <c r="H224" s="80" t="n"/>
      <c r="I224" s="80" t="n"/>
      <c r="J224" s="80" t="n"/>
      <c r="K224" s="80" t="n"/>
      <c r="L224" s="80" t="n"/>
      <c r="M224" s="80" t="n"/>
      <c r="N224" s="80" t="n"/>
      <c r="O224" s="80" t="n"/>
      <c r="P224" s="80" t="n"/>
      <c r="Q224" s="80" t="n"/>
      <c r="R224" s="80" t="n"/>
      <c r="S224" s="80" t="n"/>
      <c r="T224" s="80" t="n"/>
      <c r="U224" s="80" t="n"/>
      <c r="V224" s="80" t="n"/>
      <c r="W224" s="80" t="n"/>
      <c r="X224" s="80" t="n"/>
      <c r="Y224" s="80" t="n"/>
      <c r="Z224" s="80" t="n"/>
      <c r="AA224" s="80" t="n"/>
      <c r="AB224" s="80" t="n"/>
      <c r="AC224" s="80" t="n"/>
      <c r="AD224" s="80" t="n"/>
      <c r="AE224" s="80" t="n"/>
      <c r="AF224" s="80" t="n"/>
      <c r="AG224" s="80" t="n"/>
      <c r="AH224" s="80" t="n"/>
      <c r="AI224" s="80" t="n"/>
      <c r="AJ224" s="80" t="n"/>
      <c r="AK224" s="80" t="n"/>
      <c r="AL224" s="80" t="n"/>
      <c r="AM224" s="80" t="n"/>
      <c r="AN224" s="80" t="n"/>
      <c r="AO224" s="80" t="n"/>
      <c r="AP224" s="80" t="n"/>
      <c r="AQ224" s="80" t="n"/>
      <c r="AR224" s="80" t="n"/>
    </row>
    <row r="225">
      <c r="D225" s="80" t="n"/>
      <c r="E225" s="80" t="n"/>
      <c r="F225" s="80" t="n"/>
      <c r="G225" s="80" t="n"/>
      <c r="H225" s="80" t="n"/>
      <c r="I225" s="80" t="n"/>
      <c r="J225" s="80" t="n"/>
      <c r="K225" s="80" t="n"/>
      <c r="L225" s="80" t="n"/>
      <c r="M225" s="80" t="n"/>
      <c r="N225" s="80" t="n"/>
      <c r="O225" s="80" t="n"/>
      <c r="P225" s="80" t="n"/>
      <c r="Q225" s="80" t="n"/>
      <c r="R225" s="80" t="n"/>
      <c r="S225" s="80" t="n"/>
      <c r="T225" s="80" t="n"/>
      <c r="U225" s="80" t="n"/>
      <c r="V225" s="80" t="n"/>
      <c r="W225" s="80" t="n"/>
      <c r="X225" s="80" t="n"/>
      <c r="Y225" s="80" t="n"/>
      <c r="Z225" s="80" t="n"/>
      <c r="AA225" s="80" t="n"/>
      <c r="AB225" s="80" t="n"/>
      <c r="AC225" s="80" t="n"/>
      <c r="AD225" s="80" t="n"/>
      <c r="AE225" s="80" t="n"/>
      <c r="AF225" s="80" t="n"/>
      <c r="AG225" s="80" t="n"/>
      <c r="AH225" s="80" t="n"/>
      <c r="AI225" s="80" t="n"/>
      <c r="AJ225" s="80" t="n"/>
      <c r="AK225" s="80" t="n"/>
      <c r="AL225" s="80" t="n"/>
      <c r="AM225" s="80" t="n"/>
      <c r="AN225" s="80" t="n"/>
      <c r="AO225" s="80" t="n"/>
      <c r="AP225" s="80" t="n"/>
      <c r="AQ225" s="80" t="n"/>
      <c r="AR225" s="80" t="n"/>
    </row>
    <row r="226">
      <c r="A226" s="2">
        <f>IF($A219="","","   projections")</f>
        <v/>
      </c>
      <c r="B226" s="41">
        <f>IF($A219="",0,COUNT($E227:$AR227))</f>
        <v/>
      </c>
      <c r="C226" s="81">
        <f>IF($B226=0,0,MAX($E227:$AR227))</f>
        <v/>
      </c>
      <c r="D226" s="82">
        <f>BDS($A219,'Field Check'!$C$6,"headers=y","startcol=1","endcol=7","dir=h")</f>
        <v/>
      </c>
      <c r="E226" s="83" t="n"/>
      <c r="F226" s="83" t="n"/>
      <c r="G226" s="83" t="n"/>
      <c r="H226" s="83" t="n"/>
      <c r="I226" s="83" t="n"/>
      <c r="J226" s="83" t="n"/>
      <c r="K226" s="83" t="n"/>
      <c r="L226" s="83" t="n"/>
      <c r="M226" s="83" t="n"/>
      <c r="N226" s="83" t="n"/>
      <c r="O226" s="83" t="n"/>
      <c r="P226" s="83" t="n"/>
      <c r="Q226" s="83" t="n"/>
      <c r="R226" s="83" t="n"/>
      <c r="S226" s="83" t="n"/>
      <c r="T226" s="83" t="n"/>
      <c r="U226" s="83" t="n"/>
      <c r="V226" s="83" t="n"/>
      <c r="W226" s="83" t="n"/>
      <c r="X226" s="83" t="n"/>
      <c r="Y226" s="83" t="n"/>
      <c r="Z226" s="83" t="n"/>
      <c r="AA226" s="83" t="n"/>
      <c r="AB226" s="83" t="n"/>
      <c r="AC226" s="83" t="n"/>
      <c r="AD226" s="83" t="n"/>
      <c r="AE226" s="83" t="n"/>
      <c r="AF226" s="83" t="n"/>
      <c r="AG226" s="83" t="n"/>
      <c r="AH226" s="83" t="n"/>
      <c r="AI226" s="83" t="n"/>
      <c r="AJ226" s="83" t="n"/>
      <c r="AK226" s="83" t="n"/>
      <c r="AL226" s="83" t="n"/>
      <c r="AM226" s="83" t="n"/>
      <c r="AN226" s="83" t="n"/>
      <c r="AO226" s="83" t="n"/>
      <c r="AP226" s="83" t="n"/>
      <c r="AQ226" s="83" t="n"/>
      <c r="AR226" s="83" t="n"/>
    </row>
    <row r="227">
      <c r="D227" s="83" t="n"/>
      <c r="E227" s="83" t="n"/>
      <c r="F227" s="83" t="n"/>
      <c r="G227" s="83" t="n"/>
      <c r="H227" s="83" t="n"/>
      <c r="I227" s="83" t="n"/>
      <c r="J227" s="83" t="n"/>
      <c r="K227" s="83" t="n"/>
      <c r="L227" s="83" t="n"/>
      <c r="M227" s="83" t="n"/>
      <c r="N227" s="83" t="n"/>
      <c r="O227" s="83" t="n"/>
      <c r="P227" s="83" t="n"/>
      <c r="Q227" s="83" t="n"/>
      <c r="R227" s="83" t="n"/>
      <c r="S227" s="83" t="n"/>
      <c r="T227" s="83" t="n"/>
      <c r="U227" s="83" t="n"/>
      <c r="V227" s="83" t="n"/>
      <c r="W227" s="83" t="n"/>
      <c r="X227" s="83" t="n"/>
      <c r="Y227" s="83" t="n"/>
      <c r="Z227" s="83" t="n"/>
      <c r="AA227" s="83" t="n"/>
      <c r="AB227" s="83" t="n"/>
      <c r="AC227" s="83" t="n"/>
      <c r="AD227" s="83" t="n"/>
      <c r="AE227" s="83" t="n"/>
      <c r="AF227" s="83" t="n"/>
      <c r="AG227" s="83" t="n"/>
      <c r="AH227" s="83" t="n"/>
      <c r="AI227" s="83" t="n"/>
      <c r="AJ227" s="83" t="n"/>
      <c r="AK227" s="83" t="n"/>
      <c r="AL227" s="83" t="n"/>
      <c r="AM227" s="83" t="n"/>
      <c r="AN227" s="83" t="n"/>
      <c r="AO227" s="83" t="n"/>
      <c r="AP227" s="83" t="n"/>
      <c r="AQ227" s="83" t="n"/>
      <c r="AR227" s="83" t="n"/>
    </row>
    <row r="228">
      <c r="D228" s="84" t="n"/>
      <c r="E228" s="84" t="n"/>
      <c r="F228" s="84" t="n"/>
      <c r="G228" s="84" t="n"/>
      <c r="H228" s="84" t="n"/>
      <c r="I228" s="84" t="n"/>
      <c r="J228" s="84" t="n"/>
      <c r="K228" s="84" t="n"/>
      <c r="L228" s="84" t="n"/>
      <c r="M228" s="84" t="n"/>
      <c r="N228" s="84" t="n"/>
      <c r="O228" s="84" t="n"/>
      <c r="P228" s="84" t="n"/>
      <c r="Q228" s="84" t="n"/>
      <c r="R228" s="84" t="n"/>
      <c r="S228" s="84" t="n"/>
      <c r="T228" s="84" t="n"/>
      <c r="U228" s="84" t="n"/>
      <c r="V228" s="84" t="n"/>
      <c r="W228" s="84" t="n"/>
      <c r="X228" s="84" t="n"/>
      <c r="Y228" s="84" t="n"/>
      <c r="Z228" s="84" t="n"/>
      <c r="AA228" s="84" t="n"/>
      <c r="AB228" s="84" t="n"/>
      <c r="AC228" s="84" t="n"/>
      <c r="AD228" s="84" t="n"/>
      <c r="AE228" s="84" t="n"/>
      <c r="AF228" s="84" t="n"/>
      <c r="AG228" s="84" t="n"/>
      <c r="AH228" s="84" t="n"/>
      <c r="AI228" s="84" t="n"/>
      <c r="AJ228" s="84" t="n"/>
      <c r="AK228" s="84" t="n"/>
      <c r="AL228" s="84" t="n"/>
      <c r="AM228" s="84" t="n"/>
      <c r="AN228" s="84" t="n"/>
      <c r="AO228" s="84" t="n"/>
      <c r="AP228" s="84" t="n"/>
      <c r="AQ228" s="84" t="n"/>
      <c r="AR228" s="84" t="n"/>
    </row>
    <row r="229">
      <c r="D229" s="80" t="n"/>
      <c r="E229" s="80" t="n"/>
      <c r="F229" s="80" t="n"/>
      <c r="G229" s="80" t="n"/>
      <c r="H229" s="80" t="n"/>
      <c r="I229" s="80" t="n"/>
      <c r="J229" s="80" t="n"/>
      <c r="K229" s="80" t="n"/>
      <c r="L229" s="80" t="n"/>
      <c r="M229" s="80" t="n"/>
      <c r="N229" s="80" t="n"/>
      <c r="O229" s="80" t="n"/>
      <c r="P229" s="80" t="n"/>
      <c r="Q229" s="80" t="n"/>
      <c r="R229" s="80" t="n"/>
      <c r="S229" s="80" t="n"/>
      <c r="T229" s="80" t="n"/>
      <c r="U229" s="80" t="n"/>
      <c r="V229" s="80" t="n"/>
      <c r="W229" s="80" t="n"/>
      <c r="X229" s="80" t="n"/>
      <c r="Y229" s="80" t="n"/>
      <c r="Z229" s="80" t="n"/>
      <c r="AA229" s="80" t="n"/>
      <c r="AB229" s="80" t="n"/>
      <c r="AC229" s="80" t="n"/>
      <c r="AD229" s="80" t="n"/>
      <c r="AE229" s="80" t="n"/>
      <c r="AF229" s="80" t="n"/>
      <c r="AG229" s="80" t="n"/>
      <c r="AH229" s="80" t="n"/>
      <c r="AI229" s="80" t="n"/>
      <c r="AJ229" s="80" t="n"/>
      <c r="AK229" s="80" t="n"/>
      <c r="AL229" s="80" t="n"/>
      <c r="AM229" s="80" t="n"/>
      <c r="AN229" s="80" t="n"/>
      <c r="AO229" s="80" t="n"/>
      <c r="AP229" s="80" t="n"/>
      <c r="AQ229" s="80" t="n"/>
      <c r="AR229" s="80" t="n"/>
    </row>
    <row r="230">
      <c r="D230" s="80" t="n"/>
      <c r="E230" s="80" t="n"/>
      <c r="F230" s="80" t="n"/>
      <c r="G230" s="80" t="n"/>
      <c r="H230" s="80" t="n"/>
      <c r="I230" s="80" t="n"/>
      <c r="J230" s="80" t="n"/>
      <c r="K230" s="80" t="n"/>
      <c r="L230" s="80" t="n"/>
      <c r="M230" s="80" t="n"/>
      <c r="N230" s="80" t="n"/>
      <c r="O230" s="80" t="n"/>
      <c r="P230" s="80" t="n"/>
      <c r="Q230" s="80" t="n"/>
      <c r="R230" s="80" t="n"/>
      <c r="S230" s="80" t="n"/>
      <c r="T230" s="80" t="n"/>
      <c r="U230" s="80" t="n"/>
      <c r="V230" s="80" t="n"/>
      <c r="W230" s="80" t="n"/>
      <c r="X230" s="80" t="n"/>
      <c r="Y230" s="80" t="n"/>
      <c r="Z230" s="80" t="n"/>
      <c r="AA230" s="80" t="n"/>
      <c r="AB230" s="80" t="n"/>
      <c r="AC230" s="80" t="n"/>
      <c r="AD230" s="80" t="n"/>
      <c r="AE230" s="80" t="n"/>
      <c r="AF230" s="80" t="n"/>
      <c r="AG230" s="80" t="n"/>
      <c r="AH230" s="80" t="n"/>
      <c r="AI230" s="80" t="n"/>
      <c r="AJ230" s="80" t="n"/>
      <c r="AK230" s="80" t="n"/>
      <c r="AL230" s="80" t="n"/>
      <c r="AM230" s="80" t="n"/>
      <c r="AN230" s="80" t="n"/>
      <c r="AO230" s="80" t="n"/>
      <c r="AP230" s="80" t="n"/>
      <c r="AQ230" s="80" t="n"/>
      <c r="AR230" s="80" t="n"/>
    </row>
    <row r="231">
      <c r="D231" s="80" t="n"/>
      <c r="E231" s="80" t="n"/>
      <c r="F231" s="80" t="n"/>
      <c r="G231" s="80" t="n"/>
      <c r="H231" s="80" t="n"/>
      <c r="I231" s="80" t="n"/>
      <c r="J231" s="80" t="n"/>
      <c r="K231" s="80" t="n"/>
      <c r="L231" s="80" t="n"/>
      <c r="M231" s="80" t="n"/>
      <c r="N231" s="80" t="n"/>
      <c r="O231" s="80" t="n"/>
      <c r="P231" s="80" t="n"/>
      <c r="Q231" s="80" t="n"/>
      <c r="R231" s="80" t="n"/>
      <c r="S231" s="80" t="n"/>
      <c r="T231" s="80" t="n"/>
      <c r="U231" s="80" t="n"/>
      <c r="V231" s="80" t="n"/>
      <c r="W231" s="80" t="n"/>
      <c r="X231" s="80" t="n"/>
      <c r="Y231" s="80" t="n"/>
      <c r="Z231" s="80" t="n"/>
      <c r="AA231" s="80" t="n"/>
      <c r="AB231" s="80" t="n"/>
      <c r="AC231" s="80" t="n"/>
      <c r="AD231" s="80" t="n"/>
      <c r="AE231" s="80" t="n"/>
      <c r="AF231" s="80" t="n"/>
      <c r="AG231" s="80" t="n"/>
      <c r="AH231" s="80" t="n"/>
      <c r="AI231" s="80" t="n"/>
      <c r="AJ231" s="80" t="n"/>
      <c r="AK231" s="80" t="n"/>
      <c r="AL231" s="80" t="n"/>
      <c r="AM231" s="80" t="n"/>
      <c r="AN231" s="80" t="n"/>
      <c r="AO231" s="80" t="n"/>
      <c r="AP231" s="80" t="n"/>
      <c r="AQ231" s="80" t="n"/>
      <c r="AR231" s="80" t="n"/>
    </row>
    <row r="232">
      <c r="D232" s="80" t="n"/>
      <c r="E232" s="80" t="n"/>
      <c r="F232" s="80" t="n"/>
      <c r="G232" s="80" t="n"/>
      <c r="H232" s="80" t="n"/>
      <c r="I232" s="80" t="n"/>
      <c r="J232" s="80" t="n"/>
      <c r="K232" s="80" t="n"/>
      <c r="L232" s="80" t="n"/>
      <c r="M232" s="80" t="n"/>
      <c r="N232" s="80" t="n"/>
      <c r="O232" s="80" t="n"/>
      <c r="P232" s="80" t="n"/>
      <c r="Q232" s="80" t="n"/>
      <c r="R232" s="80" t="n"/>
      <c r="S232" s="80" t="n"/>
      <c r="T232" s="80" t="n"/>
      <c r="U232" s="80" t="n"/>
      <c r="V232" s="80" t="n"/>
      <c r="W232" s="80" t="n"/>
      <c r="X232" s="80" t="n"/>
      <c r="Y232" s="80" t="n"/>
      <c r="Z232" s="80" t="n"/>
      <c r="AA232" s="80" t="n"/>
      <c r="AB232" s="80" t="n"/>
      <c r="AC232" s="80" t="n"/>
      <c r="AD232" s="80" t="n"/>
      <c r="AE232" s="80" t="n"/>
      <c r="AF232" s="80" t="n"/>
      <c r="AG232" s="80" t="n"/>
      <c r="AH232" s="80" t="n"/>
      <c r="AI232" s="80" t="n"/>
      <c r="AJ232" s="80" t="n"/>
      <c r="AK232" s="80" t="n"/>
      <c r="AL232" s="80" t="n"/>
      <c r="AM232" s="80" t="n"/>
      <c r="AN232" s="80" t="n"/>
      <c r="AO232" s="80" t="n"/>
      <c r="AP232" s="80" t="n"/>
      <c r="AQ232" s="80" t="n"/>
      <c r="AR232" s="80" t="n"/>
    </row>
    <row r="234">
      <c r="A234" s="6">
        <f>IF(HSI!$C$22="","",HSI!$C$22)</f>
        <v/>
      </c>
      <c r="B234" s="41">
        <f>IF($A234="",0,COUNT($E235:$AR235))</f>
        <v/>
      </c>
      <c r="C234" s="81">
        <f>IF($B234=0,0,MAX($E235:$AR235))</f>
        <v/>
      </c>
      <c r="D234" s="82">
        <f>BDS($A234,'Field Check'!$C$7,"headers=y","startcol=1","endcol=7","dir=h","DVD_START_DT",Summary!$C$18,"DVD_END_DT",Summary!$D$18)</f>
        <v/>
      </c>
      <c r="E234" s="83" t="n"/>
      <c r="F234" s="83" t="n"/>
      <c r="G234" s="83" t="n"/>
      <c r="H234" s="83" t="n"/>
      <c r="I234" s="83" t="n"/>
      <c r="J234" s="83" t="n"/>
      <c r="K234" s="83" t="n"/>
      <c r="L234" s="83" t="n"/>
      <c r="M234" s="83" t="n"/>
      <c r="N234" s="83" t="n"/>
      <c r="O234" s="83" t="n"/>
      <c r="P234" s="83" t="n"/>
      <c r="Q234" s="83" t="n"/>
      <c r="R234" s="83" t="n"/>
      <c r="S234" s="83" t="n"/>
      <c r="T234" s="83" t="n"/>
      <c r="U234" s="83" t="n"/>
      <c r="V234" s="83" t="n"/>
      <c r="W234" s="83" t="n"/>
      <c r="X234" s="83" t="n"/>
      <c r="Y234" s="83" t="n"/>
      <c r="Z234" s="83" t="n"/>
      <c r="AA234" s="83" t="n"/>
      <c r="AB234" s="83" t="n"/>
      <c r="AC234" s="83" t="n"/>
      <c r="AD234" s="83" t="n"/>
      <c r="AE234" s="83" t="n"/>
      <c r="AF234" s="83" t="n"/>
      <c r="AG234" s="83" t="n"/>
      <c r="AH234" s="83" t="n"/>
      <c r="AI234" s="83" t="n"/>
      <c r="AJ234" s="83" t="n"/>
      <c r="AK234" s="83" t="n"/>
      <c r="AL234" s="83" t="n"/>
      <c r="AM234" s="83" t="n"/>
      <c r="AN234" s="83" t="n"/>
      <c r="AO234" s="83" t="n"/>
      <c r="AP234" s="83" t="n"/>
      <c r="AQ234" s="83" t="n"/>
      <c r="AR234" s="83" t="n"/>
    </row>
    <row r="235">
      <c r="D235" s="83" t="n"/>
      <c r="E235" s="83" t="n"/>
      <c r="F235" s="83" t="n"/>
      <c r="G235" s="83" t="n"/>
      <c r="H235" s="83" t="n"/>
      <c r="I235" s="83" t="n"/>
      <c r="J235" s="83" t="n"/>
      <c r="K235" s="83" t="n"/>
      <c r="L235" s="83" t="n"/>
      <c r="M235" s="83" t="n"/>
      <c r="N235" s="83" t="n"/>
      <c r="O235" s="83" t="n"/>
      <c r="P235" s="83" t="n"/>
      <c r="Q235" s="83" t="n"/>
      <c r="R235" s="83" t="n"/>
      <c r="S235" s="83" t="n"/>
      <c r="T235" s="83" t="n"/>
      <c r="U235" s="83" t="n"/>
      <c r="V235" s="83" t="n"/>
      <c r="W235" s="83" t="n"/>
      <c r="X235" s="83" t="n"/>
      <c r="Y235" s="83" t="n"/>
      <c r="Z235" s="83" t="n"/>
      <c r="AA235" s="83" t="n"/>
      <c r="AB235" s="83" t="n"/>
      <c r="AC235" s="83" t="n"/>
      <c r="AD235" s="83" t="n"/>
      <c r="AE235" s="83" t="n"/>
      <c r="AF235" s="83" t="n"/>
      <c r="AG235" s="83" t="n"/>
      <c r="AH235" s="83" t="n"/>
      <c r="AI235" s="83" t="n"/>
      <c r="AJ235" s="83" t="n"/>
      <c r="AK235" s="83" t="n"/>
      <c r="AL235" s="83" t="n"/>
      <c r="AM235" s="83" t="n"/>
      <c r="AN235" s="83" t="n"/>
      <c r="AO235" s="83" t="n"/>
      <c r="AP235" s="83" t="n"/>
      <c r="AQ235" s="83" t="n"/>
      <c r="AR235" s="83" t="n"/>
    </row>
    <row r="236">
      <c r="D236" s="84" t="n"/>
      <c r="E236" s="84" t="n"/>
      <c r="F236" s="84" t="n"/>
      <c r="G236" s="84" t="n"/>
      <c r="H236" s="84" t="n"/>
      <c r="I236" s="84" t="n"/>
      <c r="J236" s="84" t="n"/>
      <c r="K236" s="84" t="n"/>
      <c r="L236" s="84" t="n"/>
      <c r="M236" s="84" t="n"/>
      <c r="N236" s="84" t="n"/>
      <c r="O236" s="84" t="n"/>
      <c r="P236" s="84" t="n"/>
      <c r="Q236" s="84" t="n"/>
      <c r="R236" s="84" t="n"/>
      <c r="S236" s="84" t="n"/>
      <c r="T236" s="84" t="n"/>
      <c r="U236" s="84" t="n"/>
      <c r="V236" s="84" t="n"/>
      <c r="W236" s="84" t="n"/>
      <c r="X236" s="84" t="n"/>
      <c r="Y236" s="84" t="n"/>
      <c r="Z236" s="84" t="n"/>
      <c r="AA236" s="84" t="n"/>
      <c r="AB236" s="84" t="n"/>
      <c r="AC236" s="84" t="n"/>
      <c r="AD236" s="84" t="n"/>
      <c r="AE236" s="84" t="n"/>
      <c r="AF236" s="84" t="n"/>
      <c r="AG236" s="84" t="n"/>
      <c r="AH236" s="84" t="n"/>
      <c r="AI236" s="84" t="n"/>
      <c r="AJ236" s="84" t="n"/>
      <c r="AK236" s="84" t="n"/>
      <c r="AL236" s="84" t="n"/>
      <c r="AM236" s="84" t="n"/>
      <c r="AN236" s="84" t="n"/>
      <c r="AO236" s="84" t="n"/>
      <c r="AP236" s="84" t="n"/>
      <c r="AQ236" s="84" t="n"/>
      <c r="AR236" s="84" t="n"/>
    </row>
    <row r="237">
      <c r="D237" s="80" t="n"/>
      <c r="E237" s="80" t="n"/>
      <c r="F237" s="80" t="n"/>
      <c r="G237" s="80" t="n"/>
      <c r="H237" s="80" t="n"/>
      <c r="I237" s="80" t="n"/>
      <c r="J237" s="80" t="n"/>
      <c r="K237" s="80" t="n"/>
      <c r="L237" s="80" t="n"/>
      <c r="M237" s="80" t="n"/>
      <c r="N237" s="80" t="n"/>
      <c r="O237" s="80" t="n"/>
      <c r="P237" s="80" t="n"/>
      <c r="Q237" s="80" t="n"/>
      <c r="R237" s="80" t="n"/>
      <c r="S237" s="80" t="n"/>
      <c r="T237" s="80" t="n"/>
      <c r="U237" s="80" t="n"/>
      <c r="V237" s="80" t="n"/>
      <c r="W237" s="80" t="n"/>
      <c r="X237" s="80" t="n"/>
      <c r="Y237" s="80" t="n"/>
      <c r="Z237" s="80" t="n"/>
      <c r="AA237" s="80" t="n"/>
      <c r="AB237" s="80" t="n"/>
      <c r="AC237" s="80" t="n"/>
      <c r="AD237" s="80" t="n"/>
      <c r="AE237" s="80" t="n"/>
      <c r="AF237" s="80" t="n"/>
      <c r="AG237" s="80" t="n"/>
      <c r="AH237" s="80" t="n"/>
      <c r="AI237" s="80" t="n"/>
      <c r="AJ237" s="80" t="n"/>
      <c r="AK237" s="80" t="n"/>
      <c r="AL237" s="80" t="n"/>
      <c r="AM237" s="80" t="n"/>
      <c r="AN237" s="80" t="n"/>
      <c r="AO237" s="80" t="n"/>
      <c r="AP237" s="80" t="n"/>
      <c r="AQ237" s="80" t="n"/>
      <c r="AR237" s="80" t="n"/>
    </row>
    <row r="238">
      <c r="D238" s="80" t="n"/>
      <c r="E238" s="80" t="n"/>
      <c r="F238" s="80" t="n"/>
      <c r="G238" s="80" t="n"/>
      <c r="H238" s="80" t="n"/>
      <c r="I238" s="80" t="n"/>
      <c r="J238" s="80" t="n"/>
      <c r="K238" s="80" t="n"/>
      <c r="L238" s="80" t="n"/>
      <c r="M238" s="80" t="n"/>
      <c r="N238" s="80" t="n"/>
      <c r="O238" s="80" t="n"/>
      <c r="P238" s="80" t="n"/>
      <c r="Q238" s="80" t="n"/>
      <c r="R238" s="80" t="n"/>
      <c r="S238" s="80" t="n"/>
      <c r="T238" s="80" t="n"/>
      <c r="U238" s="80" t="n"/>
      <c r="V238" s="80" t="n"/>
      <c r="W238" s="80" t="n"/>
      <c r="X238" s="80" t="n"/>
      <c r="Y238" s="80" t="n"/>
      <c r="Z238" s="80" t="n"/>
      <c r="AA238" s="80" t="n"/>
      <c r="AB238" s="80" t="n"/>
      <c r="AC238" s="80" t="n"/>
      <c r="AD238" s="80" t="n"/>
      <c r="AE238" s="80" t="n"/>
      <c r="AF238" s="80" t="n"/>
      <c r="AG238" s="80" t="n"/>
      <c r="AH238" s="80" t="n"/>
      <c r="AI238" s="80" t="n"/>
      <c r="AJ238" s="80" t="n"/>
      <c r="AK238" s="80" t="n"/>
      <c r="AL238" s="80" t="n"/>
      <c r="AM238" s="80" t="n"/>
      <c r="AN238" s="80" t="n"/>
      <c r="AO238" s="80" t="n"/>
      <c r="AP238" s="80" t="n"/>
      <c r="AQ238" s="80" t="n"/>
      <c r="AR238" s="80" t="n"/>
    </row>
    <row r="239">
      <c r="D239" s="80" t="n"/>
      <c r="E239" s="80" t="n"/>
      <c r="F239" s="80" t="n"/>
      <c r="G239" s="80" t="n"/>
      <c r="H239" s="80" t="n"/>
      <c r="I239" s="80" t="n"/>
      <c r="J239" s="80" t="n"/>
      <c r="K239" s="80" t="n"/>
      <c r="L239" s="80" t="n"/>
      <c r="M239" s="80" t="n"/>
      <c r="N239" s="80" t="n"/>
      <c r="O239" s="80" t="n"/>
      <c r="P239" s="80" t="n"/>
      <c r="Q239" s="80" t="n"/>
      <c r="R239" s="80" t="n"/>
      <c r="S239" s="80" t="n"/>
      <c r="T239" s="80" t="n"/>
      <c r="U239" s="80" t="n"/>
      <c r="V239" s="80" t="n"/>
      <c r="W239" s="80" t="n"/>
      <c r="X239" s="80" t="n"/>
      <c r="Y239" s="80" t="n"/>
      <c r="Z239" s="80" t="n"/>
      <c r="AA239" s="80" t="n"/>
      <c r="AB239" s="80" t="n"/>
      <c r="AC239" s="80" t="n"/>
      <c r="AD239" s="80" t="n"/>
      <c r="AE239" s="80" t="n"/>
      <c r="AF239" s="80" t="n"/>
      <c r="AG239" s="80" t="n"/>
      <c r="AH239" s="80" t="n"/>
      <c r="AI239" s="80" t="n"/>
      <c r="AJ239" s="80" t="n"/>
      <c r="AK239" s="80" t="n"/>
      <c r="AL239" s="80" t="n"/>
      <c r="AM239" s="80" t="n"/>
      <c r="AN239" s="80" t="n"/>
      <c r="AO239" s="80" t="n"/>
      <c r="AP239" s="80" t="n"/>
      <c r="AQ239" s="80" t="n"/>
      <c r="AR239" s="80" t="n"/>
    </row>
    <row r="240">
      <c r="D240" s="80" t="n"/>
      <c r="E240" s="80" t="n"/>
      <c r="F240" s="80" t="n"/>
      <c r="G240" s="80" t="n"/>
      <c r="H240" s="80" t="n"/>
      <c r="I240" s="80" t="n"/>
      <c r="J240" s="80" t="n"/>
      <c r="K240" s="80" t="n"/>
      <c r="L240" s="80" t="n"/>
      <c r="M240" s="80" t="n"/>
      <c r="N240" s="80" t="n"/>
      <c r="O240" s="80" t="n"/>
      <c r="P240" s="80" t="n"/>
      <c r="Q240" s="80" t="n"/>
      <c r="R240" s="80" t="n"/>
      <c r="S240" s="80" t="n"/>
      <c r="T240" s="80" t="n"/>
      <c r="U240" s="80" t="n"/>
      <c r="V240" s="80" t="n"/>
      <c r="W240" s="80" t="n"/>
      <c r="X240" s="80" t="n"/>
      <c r="Y240" s="80" t="n"/>
      <c r="Z240" s="80" t="n"/>
      <c r="AA240" s="80" t="n"/>
      <c r="AB240" s="80" t="n"/>
      <c r="AC240" s="80" t="n"/>
      <c r="AD240" s="80" t="n"/>
      <c r="AE240" s="80" t="n"/>
      <c r="AF240" s="80" t="n"/>
      <c r="AG240" s="80" t="n"/>
      <c r="AH240" s="80" t="n"/>
      <c r="AI240" s="80" t="n"/>
      <c r="AJ240" s="80" t="n"/>
      <c r="AK240" s="80" t="n"/>
      <c r="AL240" s="80" t="n"/>
      <c r="AM240" s="80" t="n"/>
      <c r="AN240" s="80" t="n"/>
      <c r="AO240" s="80" t="n"/>
      <c r="AP240" s="80" t="n"/>
      <c r="AQ240" s="80" t="n"/>
      <c r="AR240" s="80" t="n"/>
    </row>
    <row r="241">
      <c r="A241" s="2">
        <f>IF($A234="","","   projections")</f>
        <v/>
      </c>
      <c r="B241" s="41">
        <f>IF($A234="",0,COUNT($E242:$AR242))</f>
        <v/>
      </c>
      <c r="C241" s="81">
        <f>IF($B241=0,0,MAX($E242:$AR242))</f>
        <v/>
      </c>
      <c r="D241" s="82">
        <f>BDS($A234,'Field Check'!$C$6,"headers=y","startcol=1","endcol=7","dir=h")</f>
        <v/>
      </c>
      <c r="E241" s="83" t="n"/>
      <c r="F241" s="83" t="n"/>
      <c r="G241" s="83" t="n"/>
      <c r="H241" s="83" t="n"/>
      <c r="I241" s="83" t="n"/>
      <c r="J241" s="83" t="n"/>
      <c r="K241" s="83" t="n"/>
      <c r="L241" s="83" t="n"/>
      <c r="M241" s="83" t="n"/>
      <c r="N241" s="83" t="n"/>
      <c r="O241" s="83" t="n"/>
      <c r="P241" s="83" t="n"/>
      <c r="Q241" s="83" t="n"/>
      <c r="R241" s="83" t="n"/>
      <c r="S241" s="83" t="n"/>
      <c r="T241" s="83" t="n"/>
      <c r="U241" s="83" t="n"/>
      <c r="V241" s="83" t="n"/>
      <c r="W241" s="83" t="n"/>
      <c r="X241" s="83" t="n"/>
      <c r="Y241" s="83" t="n"/>
      <c r="Z241" s="83" t="n"/>
      <c r="AA241" s="83" t="n"/>
      <c r="AB241" s="83" t="n"/>
      <c r="AC241" s="83" t="n"/>
      <c r="AD241" s="83" t="n"/>
      <c r="AE241" s="83" t="n"/>
      <c r="AF241" s="83" t="n"/>
      <c r="AG241" s="83" t="n"/>
      <c r="AH241" s="83" t="n"/>
      <c r="AI241" s="83" t="n"/>
      <c r="AJ241" s="83" t="n"/>
      <c r="AK241" s="83" t="n"/>
      <c r="AL241" s="83" t="n"/>
      <c r="AM241" s="83" t="n"/>
      <c r="AN241" s="83" t="n"/>
      <c r="AO241" s="83" t="n"/>
      <c r="AP241" s="83" t="n"/>
      <c r="AQ241" s="83" t="n"/>
      <c r="AR241" s="83" t="n"/>
    </row>
    <row r="242">
      <c r="D242" s="83" t="n"/>
      <c r="E242" s="83" t="n"/>
      <c r="F242" s="83" t="n"/>
      <c r="G242" s="83" t="n"/>
      <c r="H242" s="83" t="n"/>
      <c r="I242" s="83" t="n"/>
      <c r="J242" s="83" t="n"/>
      <c r="K242" s="83" t="n"/>
      <c r="L242" s="83" t="n"/>
      <c r="M242" s="83" t="n"/>
      <c r="N242" s="83" t="n"/>
      <c r="O242" s="83" t="n"/>
      <c r="P242" s="83" t="n"/>
      <c r="Q242" s="83" t="n"/>
      <c r="R242" s="83" t="n"/>
      <c r="S242" s="83" t="n"/>
      <c r="T242" s="83" t="n"/>
      <c r="U242" s="83" t="n"/>
      <c r="V242" s="83" t="n"/>
      <c r="W242" s="83" t="n"/>
      <c r="X242" s="83" t="n"/>
      <c r="Y242" s="83" t="n"/>
      <c r="Z242" s="83" t="n"/>
      <c r="AA242" s="83" t="n"/>
      <c r="AB242" s="83" t="n"/>
      <c r="AC242" s="83" t="n"/>
      <c r="AD242" s="83" t="n"/>
      <c r="AE242" s="83" t="n"/>
      <c r="AF242" s="83" t="n"/>
      <c r="AG242" s="83" t="n"/>
      <c r="AH242" s="83" t="n"/>
      <c r="AI242" s="83" t="n"/>
      <c r="AJ242" s="83" t="n"/>
      <c r="AK242" s="83" t="n"/>
      <c r="AL242" s="83" t="n"/>
      <c r="AM242" s="83" t="n"/>
      <c r="AN242" s="83" t="n"/>
      <c r="AO242" s="83" t="n"/>
      <c r="AP242" s="83" t="n"/>
      <c r="AQ242" s="83" t="n"/>
      <c r="AR242" s="83" t="n"/>
    </row>
    <row r="243">
      <c r="D243" s="84" t="n"/>
      <c r="E243" s="84" t="n"/>
      <c r="F243" s="84" t="n"/>
      <c r="G243" s="84" t="n"/>
      <c r="H243" s="84" t="n"/>
      <c r="I243" s="84" t="n"/>
      <c r="J243" s="84" t="n"/>
      <c r="K243" s="84" t="n"/>
      <c r="L243" s="84" t="n"/>
      <c r="M243" s="84" t="n"/>
      <c r="N243" s="84" t="n"/>
      <c r="O243" s="84" t="n"/>
      <c r="P243" s="84" t="n"/>
      <c r="Q243" s="84" t="n"/>
      <c r="R243" s="84" t="n"/>
      <c r="S243" s="84" t="n"/>
      <c r="T243" s="84" t="n"/>
      <c r="U243" s="84" t="n"/>
      <c r="V243" s="84" t="n"/>
      <c r="W243" s="84" t="n"/>
      <c r="X243" s="84" t="n"/>
      <c r="Y243" s="84" t="n"/>
      <c r="Z243" s="84" t="n"/>
      <c r="AA243" s="84" t="n"/>
      <c r="AB243" s="84" t="n"/>
      <c r="AC243" s="84" t="n"/>
      <c r="AD243" s="84" t="n"/>
      <c r="AE243" s="84" t="n"/>
      <c r="AF243" s="84" t="n"/>
      <c r="AG243" s="84" t="n"/>
      <c r="AH243" s="84" t="n"/>
      <c r="AI243" s="84" t="n"/>
      <c r="AJ243" s="84" t="n"/>
      <c r="AK243" s="84" t="n"/>
      <c r="AL243" s="84" t="n"/>
      <c r="AM243" s="84" t="n"/>
      <c r="AN243" s="84" t="n"/>
      <c r="AO243" s="84" t="n"/>
      <c r="AP243" s="84" t="n"/>
      <c r="AQ243" s="84" t="n"/>
      <c r="AR243" s="84" t="n"/>
    </row>
    <row r="244">
      <c r="D244" s="80" t="n"/>
      <c r="E244" s="80" t="n"/>
      <c r="F244" s="80" t="n"/>
      <c r="G244" s="80" t="n"/>
      <c r="H244" s="80" t="n"/>
      <c r="I244" s="80" t="n"/>
      <c r="J244" s="80" t="n"/>
      <c r="K244" s="80" t="n"/>
      <c r="L244" s="80" t="n"/>
      <c r="M244" s="80" t="n"/>
      <c r="N244" s="80" t="n"/>
      <c r="O244" s="80" t="n"/>
      <c r="P244" s="80" t="n"/>
      <c r="Q244" s="80" t="n"/>
      <c r="R244" s="80" t="n"/>
      <c r="S244" s="80" t="n"/>
      <c r="T244" s="80" t="n"/>
      <c r="U244" s="80" t="n"/>
      <c r="V244" s="80" t="n"/>
      <c r="W244" s="80" t="n"/>
      <c r="X244" s="80" t="n"/>
      <c r="Y244" s="80" t="n"/>
      <c r="Z244" s="80" t="n"/>
      <c r="AA244" s="80" t="n"/>
      <c r="AB244" s="80" t="n"/>
      <c r="AC244" s="80" t="n"/>
      <c r="AD244" s="80" t="n"/>
      <c r="AE244" s="80" t="n"/>
      <c r="AF244" s="80" t="n"/>
      <c r="AG244" s="80" t="n"/>
      <c r="AH244" s="80" t="n"/>
      <c r="AI244" s="80" t="n"/>
      <c r="AJ244" s="80" t="n"/>
      <c r="AK244" s="80" t="n"/>
      <c r="AL244" s="80" t="n"/>
      <c r="AM244" s="80" t="n"/>
      <c r="AN244" s="80" t="n"/>
      <c r="AO244" s="80" t="n"/>
      <c r="AP244" s="80" t="n"/>
      <c r="AQ244" s="80" t="n"/>
      <c r="AR244" s="80" t="n"/>
    </row>
    <row r="245">
      <c r="D245" s="80" t="n"/>
      <c r="E245" s="80" t="n"/>
      <c r="F245" s="80" t="n"/>
      <c r="G245" s="80" t="n"/>
      <c r="H245" s="80" t="n"/>
      <c r="I245" s="80" t="n"/>
      <c r="J245" s="80" t="n"/>
      <c r="K245" s="80" t="n"/>
      <c r="L245" s="80" t="n"/>
      <c r="M245" s="80" t="n"/>
      <c r="N245" s="80" t="n"/>
      <c r="O245" s="80" t="n"/>
      <c r="P245" s="80" t="n"/>
      <c r="Q245" s="80" t="n"/>
      <c r="R245" s="80" t="n"/>
      <c r="S245" s="80" t="n"/>
      <c r="T245" s="80" t="n"/>
      <c r="U245" s="80" t="n"/>
      <c r="V245" s="80" t="n"/>
      <c r="W245" s="80" t="n"/>
      <c r="X245" s="80" t="n"/>
      <c r="Y245" s="80" t="n"/>
      <c r="Z245" s="80" t="n"/>
      <c r="AA245" s="80" t="n"/>
      <c r="AB245" s="80" t="n"/>
      <c r="AC245" s="80" t="n"/>
      <c r="AD245" s="80" t="n"/>
      <c r="AE245" s="80" t="n"/>
      <c r="AF245" s="80" t="n"/>
      <c r="AG245" s="80" t="n"/>
      <c r="AH245" s="80" t="n"/>
      <c r="AI245" s="80" t="n"/>
      <c r="AJ245" s="80" t="n"/>
      <c r="AK245" s="80" t="n"/>
      <c r="AL245" s="80" t="n"/>
      <c r="AM245" s="80" t="n"/>
      <c r="AN245" s="80" t="n"/>
      <c r="AO245" s="80" t="n"/>
      <c r="AP245" s="80" t="n"/>
      <c r="AQ245" s="80" t="n"/>
      <c r="AR245" s="80" t="n"/>
    </row>
    <row r="246">
      <c r="D246" s="80" t="n"/>
      <c r="E246" s="80" t="n"/>
      <c r="F246" s="80" t="n"/>
      <c r="G246" s="80" t="n"/>
      <c r="H246" s="80" t="n"/>
      <c r="I246" s="80" t="n"/>
      <c r="J246" s="80" t="n"/>
      <c r="K246" s="80" t="n"/>
      <c r="L246" s="80" t="n"/>
      <c r="M246" s="80" t="n"/>
      <c r="N246" s="80" t="n"/>
      <c r="O246" s="80" t="n"/>
      <c r="P246" s="80" t="n"/>
      <c r="Q246" s="80" t="n"/>
      <c r="R246" s="80" t="n"/>
      <c r="S246" s="80" t="n"/>
      <c r="T246" s="80" t="n"/>
      <c r="U246" s="80" t="n"/>
      <c r="V246" s="80" t="n"/>
      <c r="W246" s="80" t="n"/>
      <c r="X246" s="80" t="n"/>
      <c r="Y246" s="80" t="n"/>
      <c r="Z246" s="80" t="n"/>
      <c r="AA246" s="80" t="n"/>
      <c r="AB246" s="80" t="n"/>
      <c r="AC246" s="80" t="n"/>
      <c r="AD246" s="80" t="n"/>
      <c r="AE246" s="80" t="n"/>
      <c r="AF246" s="80" t="n"/>
      <c r="AG246" s="80" t="n"/>
      <c r="AH246" s="80" t="n"/>
      <c r="AI246" s="80" t="n"/>
      <c r="AJ246" s="80" t="n"/>
      <c r="AK246" s="80" t="n"/>
      <c r="AL246" s="80" t="n"/>
      <c r="AM246" s="80" t="n"/>
      <c r="AN246" s="80" t="n"/>
      <c r="AO246" s="80" t="n"/>
      <c r="AP246" s="80" t="n"/>
      <c r="AQ246" s="80" t="n"/>
      <c r="AR246" s="80" t="n"/>
    </row>
    <row r="247">
      <c r="D247" s="80" t="n"/>
      <c r="E247" s="80" t="n"/>
      <c r="F247" s="80" t="n"/>
      <c r="G247" s="80" t="n"/>
      <c r="H247" s="80" t="n"/>
      <c r="I247" s="80" t="n"/>
      <c r="J247" s="80" t="n"/>
      <c r="K247" s="80" t="n"/>
      <c r="L247" s="80" t="n"/>
      <c r="M247" s="80" t="n"/>
      <c r="N247" s="80" t="n"/>
      <c r="O247" s="80" t="n"/>
      <c r="P247" s="80" t="n"/>
      <c r="Q247" s="80" t="n"/>
      <c r="R247" s="80" t="n"/>
      <c r="S247" s="80" t="n"/>
      <c r="T247" s="80" t="n"/>
      <c r="U247" s="80" t="n"/>
      <c r="V247" s="80" t="n"/>
      <c r="W247" s="80" t="n"/>
      <c r="X247" s="80" t="n"/>
      <c r="Y247" s="80" t="n"/>
      <c r="Z247" s="80" t="n"/>
      <c r="AA247" s="80" t="n"/>
      <c r="AB247" s="80" t="n"/>
      <c r="AC247" s="80" t="n"/>
      <c r="AD247" s="80" t="n"/>
      <c r="AE247" s="80" t="n"/>
      <c r="AF247" s="80" t="n"/>
      <c r="AG247" s="80" t="n"/>
      <c r="AH247" s="80" t="n"/>
      <c r="AI247" s="80" t="n"/>
      <c r="AJ247" s="80" t="n"/>
      <c r="AK247" s="80" t="n"/>
      <c r="AL247" s="80" t="n"/>
      <c r="AM247" s="80" t="n"/>
      <c r="AN247" s="80" t="n"/>
      <c r="AO247" s="80" t="n"/>
      <c r="AP247" s="80" t="n"/>
      <c r="AQ247" s="80" t="n"/>
      <c r="AR247" s="80" t="n"/>
    </row>
    <row r="249">
      <c r="A249" s="6">
        <f>IF(HSI!$C$23="","",HSI!$C$23)</f>
        <v/>
      </c>
      <c r="B249" s="41">
        <f>IF($A249="",0,COUNT($E250:$AR250))</f>
        <v/>
      </c>
      <c r="C249" s="81">
        <f>IF($B249=0,0,MAX($E250:$AR250))</f>
        <v/>
      </c>
      <c r="D249" s="82">
        <f>BDS($A249,'Field Check'!$C$7,"headers=y","startcol=1","endcol=7","dir=h","DVD_START_DT",Summary!$C$18,"DVD_END_DT",Summary!$D$18)</f>
        <v/>
      </c>
      <c r="E249" s="83" t="n"/>
      <c r="F249" s="83" t="n"/>
      <c r="G249" s="83" t="n"/>
      <c r="H249" s="83" t="n"/>
      <c r="I249" s="83" t="n"/>
      <c r="J249" s="83" t="n"/>
      <c r="K249" s="83" t="n"/>
      <c r="L249" s="83" t="n"/>
      <c r="M249" s="83" t="n"/>
      <c r="N249" s="83" t="n"/>
      <c r="O249" s="83" t="n"/>
      <c r="P249" s="83" t="n"/>
      <c r="Q249" s="83" t="n"/>
      <c r="R249" s="83" t="n"/>
      <c r="S249" s="83" t="n"/>
      <c r="T249" s="83" t="n"/>
      <c r="U249" s="83" t="n"/>
      <c r="V249" s="83" t="n"/>
      <c r="W249" s="83" t="n"/>
      <c r="X249" s="83" t="n"/>
      <c r="Y249" s="83" t="n"/>
      <c r="Z249" s="83" t="n"/>
      <c r="AA249" s="83" t="n"/>
      <c r="AB249" s="83" t="n"/>
      <c r="AC249" s="83" t="n"/>
      <c r="AD249" s="83" t="n"/>
      <c r="AE249" s="83" t="n"/>
      <c r="AF249" s="83" t="n"/>
      <c r="AG249" s="83" t="n"/>
      <c r="AH249" s="83" t="n"/>
      <c r="AI249" s="83" t="n"/>
      <c r="AJ249" s="83" t="n"/>
      <c r="AK249" s="83" t="n"/>
      <c r="AL249" s="83" t="n"/>
      <c r="AM249" s="83" t="n"/>
      <c r="AN249" s="83" t="n"/>
      <c r="AO249" s="83" t="n"/>
      <c r="AP249" s="83" t="n"/>
      <c r="AQ249" s="83" t="n"/>
      <c r="AR249" s="83" t="n"/>
    </row>
    <row r="250">
      <c r="D250" s="83" t="n"/>
      <c r="E250" s="83" t="n"/>
      <c r="F250" s="83" t="n"/>
      <c r="G250" s="83" t="n"/>
      <c r="H250" s="83" t="n"/>
      <c r="I250" s="83" t="n"/>
      <c r="J250" s="83" t="n"/>
      <c r="K250" s="83" t="n"/>
      <c r="L250" s="83" t="n"/>
      <c r="M250" s="83" t="n"/>
      <c r="N250" s="83" t="n"/>
      <c r="O250" s="83" t="n"/>
      <c r="P250" s="83" t="n"/>
      <c r="Q250" s="83" t="n"/>
      <c r="R250" s="83" t="n"/>
      <c r="S250" s="83" t="n"/>
      <c r="T250" s="83" t="n"/>
      <c r="U250" s="83" t="n"/>
      <c r="V250" s="83" t="n"/>
      <c r="W250" s="83" t="n"/>
      <c r="X250" s="83" t="n"/>
      <c r="Y250" s="83" t="n"/>
      <c r="Z250" s="83" t="n"/>
      <c r="AA250" s="83" t="n"/>
      <c r="AB250" s="83" t="n"/>
      <c r="AC250" s="83" t="n"/>
      <c r="AD250" s="83" t="n"/>
      <c r="AE250" s="83" t="n"/>
      <c r="AF250" s="83" t="n"/>
      <c r="AG250" s="83" t="n"/>
      <c r="AH250" s="83" t="n"/>
      <c r="AI250" s="83" t="n"/>
      <c r="AJ250" s="83" t="n"/>
      <c r="AK250" s="83" t="n"/>
      <c r="AL250" s="83" t="n"/>
      <c r="AM250" s="83" t="n"/>
      <c r="AN250" s="83" t="n"/>
      <c r="AO250" s="83" t="n"/>
      <c r="AP250" s="83" t="n"/>
      <c r="AQ250" s="83" t="n"/>
      <c r="AR250" s="83" t="n"/>
    </row>
    <row r="251">
      <c r="D251" s="84" t="n"/>
      <c r="E251" s="84" t="n"/>
      <c r="F251" s="84" t="n"/>
      <c r="G251" s="84" t="n"/>
      <c r="H251" s="84" t="n"/>
      <c r="I251" s="84" t="n"/>
      <c r="J251" s="84" t="n"/>
      <c r="K251" s="84" t="n"/>
      <c r="L251" s="84" t="n"/>
      <c r="M251" s="84" t="n"/>
      <c r="N251" s="84" t="n"/>
      <c r="O251" s="84" t="n"/>
      <c r="P251" s="84" t="n"/>
      <c r="Q251" s="84" t="n"/>
      <c r="R251" s="84" t="n"/>
      <c r="S251" s="84" t="n"/>
      <c r="T251" s="84" t="n"/>
      <c r="U251" s="84" t="n"/>
      <c r="V251" s="84" t="n"/>
      <c r="W251" s="84" t="n"/>
      <c r="X251" s="84" t="n"/>
      <c r="Y251" s="84" t="n"/>
      <c r="Z251" s="84" t="n"/>
      <c r="AA251" s="84" t="n"/>
      <c r="AB251" s="84" t="n"/>
      <c r="AC251" s="84" t="n"/>
      <c r="AD251" s="84" t="n"/>
      <c r="AE251" s="84" t="n"/>
      <c r="AF251" s="84" t="n"/>
      <c r="AG251" s="84" t="n"/>
      <c r="AH251" s="84" t="n"/>
      <c r="AI251" s="84" t="n"/>
      <c r="AJ251" s="84" t="n"/>
      <c r="AK251" s="84" t="n"/>
      <c r="AL251" s="84" t="n"/>
      <c r="AM251" s="84" t="n"/>
      <c r="AN251" s="84" t="n"/>
      <c r="AO251" s="84" t="n"/>
      <c r="AP251" s="84" t="n"/>
      <c r="AQ251" s="84" t="n"/>
      <c r="AR251" s="84" t="n"/>
    </row>
    <row r="252">
      <c r="D252" s="80" t="n"/>
      <c r="E252" s="80" t="n"/>
      <c r="F252" s="80" t="n"/>
      <c r="G252" s="80" t="n"/>
      <c r="H252" s="80" t="n"/>
      <c r="I252" s="80" t="n"/>
      <c r="J252" s="80" t="n"/>
      <c r="K252" s="80" t="n"/>
      <c r="L252" s="80" t="n"/>
      <c r="M252" s="80" t="n"/>
      <c r="N252" s="80" t="n"/>
      <c r="O252" s="80" t="n"/>
      <c r="P252" s="80" t="n"/>
      <c r="Q252" s="80" t="n"/>
      <c r="R252" s="80" t="n"/>
      <c r="S252" s="80" t="n"/>
      <c r="T252" s="80" t="n"/>
      <c r="U252" s="80" t="n"/>
      <c r="V252" s="80" t="n"/>
      <c r="W252" s="80" t="n"/>
      <c r="X252" s="80" t="n"/>
      <c r="Y252" s="80" t="n"/>
      <c r="Z252" s="80" t="n"/>
      <c r="AA252" s="80" t="n"/>
      <c r="AB252" s="80" t="n"/>
      <c r="AC252" s="80" t="n"/>
      <c r="AD252" s="80" t="n"/>
      <c r="AE252" s="80" t="n"/>
      <c r="AF252" s="80" t="n"/>
      <c r="AG252" s="80" t="n"/>
      <c r="AH252" s="80" t="n"/>
      <c r="AI252" s="80" t="n"/>
      <c r="AJ252" s="80" t="n"/>
      <c r="AK252" s="80" t="n"/>
      <c r="AL252" s="80" t="n"/>
      <c r="AM252" s="80" t="n"/>
      <c r="AN252" s="80" t="n"/>
      <c r="AO252" s="80" t="n"/>
      <c r="AP252" s="80" t="n"/>
      <c r="AQ252" s="80" t="n"/>
      <c r="AR252" s="80" t="n"/>
    </row>
    <row r="253">
      <c r="D253" s="80" t="n"/>
      <c r="E253" s="80" t="n"/>
      <c r="F253" s="80" t="n"/>
      <c r="G253" s="80" t="n"/>
      <c r="H253" s="80" t="n"/>
      <c r="I253" s="80" t="n"/>
      <c r="J253" s="80" t="n"/>
      <c r="K253" s="80" t="n"/>
      <c r="L253" s="80" t="n"/>
      <c r="M253" s="80" t="n"/>
      <c r="N253" s="80" t="n"/>
      <c r="O253" s="80" t="n"/>
      <c r="P253" s="80" t="n"/>
      <c r="Q253" s="80" t="n"/>
      <c r="R253" s="80" t="n"/>
      <c r="S253" s="80" t="n"/>
      <c r="T253" s="80" t="n"/>
      <c r="U253" s="80" t="n"/>
      <c r="V253" s="80" t="n"/>
      <c r="W253" s="80" t="n"/>
      <c r="X253" s="80" t="n"/>
      <c r="Y253" s="80" t="n"/>
      <c r="Z253" s="80" t="n"/>
      <c r="AA253" s="80" t="n"/>
      <c r="AB253" s="80" t="n"/>
      <c r="AC253" s="80" t="n"/>
      <c r="AD253" s="80" t="n"/>
      <c r="AE253" s="80" t="n"/>
      <c r="AF253" s="80" t="n"/>
      <c r="AG253" s="80" t="n"/>
      <c r="AH253" s="80" t="n"/>
      <c r="AI253" s="80" t="n"/>
      <c r="AJ253" s="80" t="n"/>
      <c r="AK253" s="80" t="n"/>
      <c r="AL253" s="80" t="n"/>
      <c r="AM253" s="80" t="n"/>
      <c r="AN253" s="80" t="n"/>
      <c r="AO253" s="80" t="n"/>
      <c r="AP253" s="80" t="n"/>
      <c r="AQ253" s="80" t="n"/>
      <c r="AR253" s="80" t="n"/>
    </row>
    <row r="254">
      <c r="D254" s="80" t="n"/>
      <c r="E254" s="80" t="n"/>
      <c r="F254" s="80" t="n"/>
      <c r="G254" s="80" t="n"/>
      <c r="H254" s="80" t="n"/>
      <c r="I254" s="80" t="n"/>
      <c r="J254" s="80" t="n"/>
      <c r="K254" s="80" t="n"/>
      <c r="L254" s="80" t="n"/>
      <c r="M254" s="80" t="n"/>
      <c r="N254" s="80" t="n"/>
      <c r="O254" s="80" t="n"/>
      <c r="P254" s="80" t="n"/>
      <c r="Q254" s="80" t="n"/>
      <c r="R254" s="80" t="n"/>
      <c r="S254" s="80" t="n"/>
      <c r="T254" s="80" t="n"/>
      <c r="U254" s="80" t="n"/>
      <c r="V254" s="80" t="n"/>
      <c r="W254" s="80" t="n"/>
      <c r="X254" s="80" t="n"/>
      <c r="Y254" s="80" t="n"/>
      <c r="Z254" s="80" t="n"/>
      <c r="AA254" s="80" t="n"/>
      <c r="AB254" s="80" t="n"/>
      <c r="AC254" s="80" t="n"/>
      <c r="AD254" s="80" t="n"/>
      <c r="AE254" s="80" t="n"/>
      <c r="AF254" s="80" t="n"/>
      <c r="AG254" s="80" t="n"/>
      <c r="AH254" s="80" t="n"/>
      <c r="AI254" s="80" t="n"/>
      <c r="AJ254" s="80" t="n"/>
      <c r="AK254" s="80" t="n"/>
      <c r="AL254" s="80" t="n"/>
      <c r="AM254" s="80" t="n"/>
      <c r="AN254" s="80" t="n"/>
      <c r="AO254" s="80" t="n"/>
      <c r="AP254" s="80" t="n"/>
      <c r="AQ254" s="80" t="n"/>
      <c r="AR254" s="80" t="n"/>
    </row>
    <row r="255">
      <c r="D255" s="80" t="n"/>
      <c r="E255" s="80" t="n"/>
      <c r="F255" s="80" t="n"/>
      <c r="G255" s="80" t="n"/>
      <c r="H255" s="80" t="n"/>
      <c r="I255" s="80" t="n"/>
      <c r="J255" s="80" t="n"/>
      <c r="K255" s="80" t="n"/>
      <c r="L255" s="80" t="n"/>
      <c r="M255" s="80" t="n"/>
      <c r="N255" s="80" t="n"/>
      <c r="O255" s="80" t="n"/>
      <c r="P255" s="80" t="n"/>
      <c r="Q255" s="80" t="n"/>
      <c r="R255" s="80" t="n"/>
      <c r="S255" s="80" t="n"/>
      <c r="T255" s="80" t="n"/>
      <c r="U255" s="80" t="n"/>
      <c r="V255" s="80" t="n"/>
      <c r="W255" s="80" t="n"/>
      <c r="X255" s="80" t="n"/>
      <c r="Y255" s="80" t="n"/>
      <c r="Z255" s="80" t="n"/>
      <c r="AA255" s="80" t="n"/>
      <c r="AB255" s="80" t="n"/>
      <c r="AC255" s="80" t="n"/>
      <c r="AD255" s="80" t="n"/>
      <c r="AE255" s="80" t="n"/>
      <c r="AF255" s="80" t="n"/>
      <c r="AG255" s="80" t="n"/>
      <c r="AH255" s="80" t="n"/>
      <c r="AI255" s="80" t="n"/>
      <c r="AJ255" s="80" t="n"/>
      <c r="AK255" s="80" t="n"/>
      <c r="AL255" s="80" t="n"/>
      <c r="AM255" s="80" t="n"/>
      <c r="AN255" s="80" t="n"/>
      <c r="AO255" s="80" t="n"/>
      <c r="AP255" s="80" t="n"/>
      <c r="AQ255" s="80" t="n"/>
      <c r="AR255" s="80" t="n"/>
    </row>
    <row r="256">
      <c r="A256" s="2">
        <f>IF($A249="","","   projections")</f>
        <v/>
      </c>
      <c r="B256" s="41">
        <f>IF($A249="",0,COUNT($E257:$AR257))</f>
        <v/>
      </c>
      <c r="C256" s="81">
        <f>IF($B256=0,0,MAX($E257:$AR257))</f>
        <v/>
      </c>
      <c r="D256" s="82">
        <f>BDS($A249,'Field Check'!$C$6,"headers=y","startcol=1","endcol=7","dir=h")</f>
        <v/>
      </c>
      <c r="E256" s="83" t="n"/>
      <c r="F256" s="83" t="n"/>
      <c r="G256" s="83" t="n"/>
      <c r="H256" s="83" t="n"/>
      <c r="I256" s="83" t="n"/>
      <c r="J256" s="83" t="n"/>
      <c r="K256" s="83" t="n"/>
      <c r="L256" s="83" t="n"/>
      <c r="M256" s="83" t="n"/>
      <c r="N256" s="83" t="n"/>
      <c r="O256" s="83" t="n"/>
      <c r="P256" s="83" t="n"/>
      <c r="Q256" s="83" t="n"/>
      <c r="R256" s="83" t="n"/>
      <c r="S256" s="83" t="n"/>
      <c r="T256" s="83" t="n"/>
      <c r="U256" s="83" t="n"/>
      <c r="V256" s="83" t="n"/>
      <c r="W256" s="83" t="n"/>
      <c r="X256" s="83" t="n"/>
      <c r="Y256" s="83" t="n"/>
      <c r="Z256" s="83" t="n"/>
      <c r="AA256" s="83" t="n"/>
      <c r="AB256" s="83" t="n"/>
      <c r="AC256" s="83" t="n"/>
      <c r="AD256" s="83" t="n"/>
      <c r="AE256" s="83" t="n"/>
      <c r="AF256" s="83" t="n"/>
      <c r="AG256" s="83" t="n"/>
      <c r="AH256" s="83" t="n"/>
      <c r="AI256" s="83" t="n"/>
      <c r="AJ256" s="83" t="n"/>
      <c r="AK256" s="83" t="n"/>
      <c r="AL256" s="83" t="n"/>
      <c r="AM256" s="83" t="n"/>
      <c r="AN256" s="83" t="n"/>
      <c r="AO256" s="83" t="n"/>
      <c r="AP256" s="83" t="n"/>
      <c r="AQ256" s="83" t="n"/>
      <c r="AR256" s="83" t="n"/>
    </row>
    <row r="257">
      <c r="D257" s="83" t="n"/>
      <c r="E257" s="83" t="n"/>
      <c r="F257" s="83" t="n"/>
      <c r="G257" s="83" t="n"/>
      <c r="H257" s="83" t="n"/>
      <c r="I257" s="83" t="n"/>
      <c r="J257" s="83" t="n"/>
      <c r="K257" s="83" t="n"/>
      <c r="L257" s="83" t="n"/>
      <c r="M257" s="83" t="n"/>
      <c r="N257" s="83" t="n"/>
      <c r="O257" s="83" t="n"/>
      <c r="P257" s="83" t="n"/>
      <c r="Q257" s="83" t="n"/>
      <c r="R257" s="83" t="n"/>
      <c r="S257" s="83" t="n"/>
      <c r="T257" s="83" t="n"/>
      <c r="U257" s="83" t="n"/>
      <c r="V257" s="83" t="n"/>
      <c r="W257" s="83" t="n"/>
      <c r="X257" s="83" t="n"/>
      <c r="Y257" s="83" t="n"/>
      <c r="Z257" s="83" t="n"/>
      <c r="AA257" s="83" t="n"/>
      <c r="AB257" s="83" t="n"/>
      <c r="AC257" s="83" t="n"/>
      <c r="AD257" s="83" t="n"/>
      <c r="AE257" s="83" t="n"/>
      <c r="AF257" s="83" t="n"/>
      <c r="AG257" s="83" t="n"/>
      <c r="AH257" s="83" t="n"/>
      <c r="AI257" s="83" t="n"/>
      <c r="AJ257" s="83" t="n"/>
      <c r="AK257" s="83" t="n"/>
      <c r="AL257" s="83" t="n"/>
      <c r="AM257" s="83" t="n"/>
      <c r="AN257" s="83" t="n"/>
      <c r="AO257" s="83" t="n"/>
      <c r="AP257" s="83" t="n"/>
      <c r="AQ257" s="83" t="n"/>
      <c r="AR257" s="83" t="n"/>
    </row>
    <row r="258">
      <c r="D258" s="84" t="n"/>
      <c r="E258" s="84" t="n"/>
      <c r="F258" s="84" t="n"/>
      <c r="G258" s="84" t="n"/>
      <c r="H258" s="84" t="n"/>
      <c r="I258" s="84" t="n"/>
      <c r="J258" s="84" t="n"/>
      <c r="K258" s="84" t="n"/>
      <c r="L258" s="84" t="n"/>
      <c r="M258" s="84" t="n"/>
      <c r="N258" s="84" t="n"/>
      <c r="O258" s="84" t="n"/>
      <c r="P258" s="84" t="n"/>
      <c r="Q258" s="84" t="n"/>
      <c r="R258" s="84" t="n"/>
      <c r="S258" s="84" t="n"/>
      <c r="T258" s="84" t="n"/>
      <c r="U258" s="84" t="n"/>
      <c r="V258" s="84" t="n"/>
      <c r="W258" s="84" t="n"/>
      <c r="X258" s="84" t="n"/>
      <c r="Y258" s="84" t="n"/>
      <c r="Z258" s="84" t="n"/>
      <c r="AA258" s="84" t="n"/>
      <c r="AB258" s="84" t="n"/>
      <c r="AC258" s="84" t="n"/>
      <c r="AD258" s="84" t="n"/>
      <c r="AE258" s="84" t="n"/>
      <c r="AF258" s="84" t="n"/>
      <c r="AG258" s="84" t="n"/>
      <c r="AH258" s="84" t="n"/>
      <c r="AI258" s="84" t="n"/>
      <c r="AJ258" s="84" t="n"/>
      <c r="AK258" s="84" t="n"/>
      <c r="AL258" s="84" t="n"/>
      <c r="AM258" s="84" t="n"/>
      <c r="AN258" s="84" t="n"/>
      <c r="AO258" s="84" t="n"/>
      <c r="AP258" s="84" t="n"/>
      <c r="AQ258" s="84" t="n"/>
      <c r="AR258" s="84" t="n"/>
    </row>
    <row r="259">
      <c r="D259" s="80" t="n"/>
      <c r="E259" s="80" t="n"/>
      <c r="F259" s="80" t="n"/>
      <c r="G259" s="80" t="n"/>
      <c r="H259" s="80" t="n"/>
      <c r="I259" s="80" t="n"/>
      <c r="J259" s="80" t="n"/>
      <c r="K259" s="80" t="n"/>
      <c r="L259" s="80" t="n"/>
      <c r="M259" s="80" t="n"/>
      <c r="N259" s="80" t="n"/>
      <c r="O259" s="80" t="n"/>
      <c r="P259" s="80" t="n"/>
      <c r="Q259" s="80" t="n"/>
      <c r="R259" s="80" t="n"/>
      <c r="S259" s="80" t="n"/>
      <c r="T259" s="80" t="n"/>
      <c r="U259" s="80" t="n"/>
      <c r="V259" s="80" t="n"/>
      <c r="W259" s="80" t="n"/>
      <c r="X259" s="80" t="n"/>
      <c r="Y259" s="80" t="n"/>
      <c r="Z259" s="80" t="n"/>
      <c r="AA259" s="80" t="n"/>
      <c r="AB259" s="80" t="n"/>
      <c r="AC259" s="80" t="n"/>
      <c r="AD259" s="80" t="n"/>
      <c r="AE259" s="80" t="n"/>
      <c r="AF259" s="80" t="n"/>
      <c r="AG259" s="80" t="n"/>
      <c r="AH259" s="80" t="n"/>
      <c r="AI259" s="80" t="n"/>
      <c r="AJ259" s="80" t="n"/>
      <c r="AK259" s="80" t="n"/>
      <c r="AL259" s="80" t="n"/>
      <c r="AM259" s="80" t="n"/>
      <c r="AN259" s="80" t="n"/>
      <c r="AO259" s="80" t="n"/>
      <c r="AP259" s="80" t="n"/>
      <c r="AQ259" s="80" t="n"/>
      <c r="AR259" s="80" t="n"/>
    </row>
    <row r="260">
      <c r="D260" s="80" t="n"/>
      <c r="E260" s="80" t="n"/>
      <c r="F260" s="80" t="n"/>
      <c r="G260" s="80" t="n"/>
      <c r="H260" s="80" t="n"/>
      <c r="I260" s="80" t="n"/>
      <c r="J260" s="80" t="n"/>
      <c r="K260" s="80" t="n"/>
      <c r="L260" s="80" t="n"/>
      <c r="M260" s="80" t="n"/>
      <c r="N260" s="80" t="n"/>
      <c r="O260" s="80" t="n"/>
      <c r="P260" s="80" t="n"/>
      <c r="Q260" s="80" t="n"/>
      <c r="R260" s="80" t="n"/>
      <c r="S260" s="80" t="n"/>
      <c r="T260" s="80" t="n"/>
      <c r="U260" s="80" t="n"/>
      <c r="V260" s="80" t="n"/>
      <c r="W260" s="80" t="n"/>
      <c r="X260" s="80" t="n"/>
      <c r="Y260" s="80" t="n"/>
      <c r="Z260" s="80" t="n"/>
      <c r="AA260" s="80" t="n"/>
      <c r="AB260" s="80" t="n"/>
      <c r="AC260" s="80" t="n"/>
      <c r="AD260" s="80" t="n"/>
      <c r="AE260" s="80" t="n"/>
      <c r="AF260" s="80" t="n"/>
      <c r="AG260" s="80" t="n"/>
      <c r="AH260" s="80" t="n"/>
      <c r="AI260" s="80" t="n"/>
      <c r="AJ260" s="80" t="n"/>
      <c r="AK260" s="80" t="n"/>
      <c r="AL260" s="80" t="n"/>
      <c r="AM260" s="80" t="n"/>
      <c r="AN260" s="80" t="n"/>
      <c r="AO260" s="80" t="n"/>
      <c r="AP260" s="80" t="n"/>
      <c r="AQ260" s="80" t="n"/>
      <c r="AR260" s="80" t="n"/>
    </row>
    <row r="261">
      <c r="D261" s="80" t="n"/>
      <c r="E261" s="80" t="n"/>
      <c r="F261" s="80" t="n"/>
      <c r="G261" s="80" t="n"/>
      <c r="H261" s="80" t="n"/>
      <c r="I261" s="80" t="n"/>
      <c r="J261" s="80" t="n"/>
      <c r="K261" s="80" t="n"/>
      <c r="L261" s="80" t="n"/>
      <c r="M261" s="80" t="n"/>
      <c r="N261" s="80" t="n"/>
      <c r="O261" s="80" t="n"/>
      <c r="P261" s="80" t="n"/>
      <c r="Q261" s="80" t="n"/>
      <c r="R261" s="80" t="n"/>
      <c r="S261" s="80" t="n"/>
      <c r="T261" s="80" t="n"/>
      <c r="U261" s="80" t="n"/>
      <c r="V261" s="80" t="n"/>
      <c r="W261" s="80" t="n"/>
      <c r="X261" s="80" t="n"/>
      <c r="Y261" s="80" t="n"/>
      <c r="Z261" s="80" t="n"/>
      <c r="AA261" s="80" t="n"/>
      <c r="AB261" s="80" t="n"/>
      <c r="AC261" s="80" t="n"/>
      <c r="AD261" s="80" t="n"/>
      <c r="AE261" s="80" t="n"/>
      <c r="AF261" s="80" t="n"/>
      <c r="AG261" s="80" t="n"/>
      <c r="AH261" s="80" t="n"/>
      <c r="AI261" s="80" t="n"/>
      <c r="AJ261" s="80" t="n"/>
      <c r="AK261" s="80" t="n"/>
      <c r="AL261" s="80" t="n"/>
      <c r="AM261" s="80" t="n"/>
      <c r="AN261" s="80" t="n"/>
      <c r="AO261" s="80" t="n"/>
      <c r="AP261" s="80" t="n"/>
      <c r="AQ261" s="80" t="n"/>
      <c r="AR261" s="80" t="n"/>
    </row>
    <row r="262">
      <c r="D262" s="80" t="n"/>
      <c r="E262" s="80" t="n"/>
      <c r="F262" s="80" t="n"/>
      <c r="G262" s="80" t="n"/>
      <c r="H262" s="80" t="n"/>
      <c r="I262" s="80" t="n"/>
      <c r="J262" s="80" t="n"/>
      <c r="K262" s="80" t="n"/>
      <c r="L262" s="80" t="n"/>
      <c r="M262" s="80" t="n"/>
      <c r="N262" s="80" t="n"/>
      <c r="O262" s="80" t="n"/>
      <c r="P262" s="80" t="n"/>
      <c r="Q262" s="80" t="n"/>
      <c r="R262" s="80" t="n"/>
      <c r="S262" s="80" t="n"/>
      <c r="T262" s="80" t="n"/>
      <c r="U262" s="80" t="n"/>
      <c r="V262" s="80" t="n"/>
      <c r="W262" s="80" t="n"/>
      <c r="X262" s="80" t="n"/>
      <c r="Y262" s="80" t="n"/>
      <c r="Z262" s="80" t="n"/>
      <c r="AA262" s="80" t="n"/>
      <c r="AB262" s="80" t="n"/>
      <c r="AC262" s="80" t="n"/>
      <c r="AD262" s="80" t="n"/>
      <c r="AE262" s="80" t="n"/>
      <c r="AF262" s="80" t="n"/>
      <c r="AG262" s="80" t="n"/>
      <c r="AH262" s="80" t="n"/>
      <c r="AI262" s="80" t="n"/>
      <c r="AJ262" s="80" t="n"/>
      <c r="AK262" s="80" t="n"/>
      <c r="AL262" s="80" t="n"/>
      <c r="AM262" s="80" t="n"/>
      <c r="AN262" s="80" t="n"/>
      <c r="AO262" s="80" t="n"/>
      <c r="AP262" s="80" t="n"/>
      <c r="AQ262" s="80" t="n"/>
      <c r="AR262" s="80" t="n"/>
    </row>
    <row r="264">
      <c r="A264" s="6">
        <f>IF(HSI!$C$24="","",HSI!$C$24)</f>
        <v/>
      </c>
      <c r="B264" s="41">
        <f>IF($A264="",0,COUNT($E265:$AR265))</f>
        <v/>
      </c>
      <c r="C264" s="81">
        <f>IF($B264=0,0,MAX($E265:$AR265))</f>
        <v/>
      </c>
      <c r="D264" s="82">
        <f>BDS($A264,'Field Check'!$C$7,"headers=y","startcol=1","endcol=7","dir=h","DVD_START_DT",Summary!$C$18,"DVD_END_DT",Summary!$D$18)</f>
        <v/>
      </c>
      <c r="E264" s="83" t="n"/>
      <c r="F264" s="83" t="n"/>
      <c r="G264" s="83" t="n"/>
      <c r="H264" s="83" t="n"/>
      <c r="I264" s="83" t="n"/>
      <c r="J264" s="83" t="n"/>
      <c r="K264" s="83" t="n"/>
      <c r="L264" s="83" t="n"/>
      <c r="M264" s="83" t="n"/>
      <c r="N264" s="83" t="n"/>
      <c r="O264" s="83" t="n"/>
      <c r="P264" s="83" t="n"/>
      <c r="Q264" s="83" t="n"/>
      <c r="R264" s="83" t="n"/>
      <c r="S264" s="83" t="n"/>
      <c r="T264" s="83" t="n"/>
      <c r="U264" s="83" t="n"/>
      <c r="V264" s="83" t="n"/>
      <c r="W264" s="83" t="n"/>
      <c r="X264" s="83" t="n"/>
      <c r="Y264" s="83" t="n"/>
      <c r="Z264" s="83" t="n"/>
      <c r="AA264" s="83" t="n"/>
      <c r="AB264" s="83" t="n"/>
      <c r="AC264" s="83" t="n"/>
      <c r="AD264" s="83" t="n"/>
      <c r="AE264" s="83" t="n"/>
      <c r="AF264" s="83" t="n"/>
      <c r="AG264" s="83" t="n"/>
      <c r="AH264" s="83" t="n"/>
      <c r="AI264" s="83" t="n"/>
      <c r="AJ264" s="83" t="n"/>
      <c r="AK264" s="83" t="n"/>
      <c r="AL264" s="83" t="n"/>
      <c r="AM264" s="83" t="n"/>
      <c r="AN264" s="83" t="n"/>
      <c r="AO264" s="83" t="n"/>
      <c r="AP264" s="83" t="n"/>
      <c r="AQ264" s="83" t="n"/>
      <c r="AR264" s="83" t="n"/>
    </row>
    <row r="265">
      <c r="D265" s="83" t="n"/>
      <c r="E265" s="83" t="n"/>
      <c r="F265" s="83" t="n"/>
      <c r="G265" s="83" t="n"/>
      <c r="H265" s="83" t="n"/>
      <c r="I265" s="83" t="n"/>
      <c r="J265" s="83" t="n"/>
      <c r="K265" s="83" t="n"/>
      <c r="L265" s="83" t="n"/>
      <c r="M265" s="83" t="n"/>
      <c r="N265" s="83" t="n"/>
      <c r="O265" s="83" t="n"/>
      <c r="P265" s="83" t="n"/>
      <c r="Q265" s="83" t="n"/>
      <c r="R265" s="83" t="n"/>
      <c r="S265" s="83" t="n"/>
      <c r="T265" s="83" t="n"/>
      <c r="U265" s="83" t="n"/>
      <c r="V265" s="83" t="n"/>
      <c r="W265" s="83" t="n"/>
      <c r="X265" s="83" t="n"/>
      <c r="Y265" s="83" t="n"/>
      <c r="Z265" s="83" t="n"/>
      <c r="AA265" s="83" t="n"/>
      <c r="AB265" s="83" t="n"/>
      <c r="AC265" s="83" t="n"/>
      <c r="AD265" s="83" t="n"/>
      <c r="AE265" s="83" t="n"/>
      <c r="AF265" s="83" t="n"/>
      <c r="AG265" s="83" t="n"/>
      <c r="AH265" s="83" t="n"/>
      <c r="AI265" s="83" t="n"/>
      <c r="AJ265" s="83" t="n"/>
      <c r="AK265" s="83" t="n"/>
      <c r="AL265" s="83" t="n"/>
      <c r="AM265" s="83" t="n"/>
      <c r="AN265" s="83" t="n"/>
      <c r="AO265" s="83" t="n"/>
      <c r="AP265" s="83" t="n"/>
      <c r="AQ265" s="83" t="n"/>
      <c r="AR265" s="83" t="n"/>
    </row>
    <row r="266">
      <c r="D266" s="84" t="n"/>
      <c r="E266" s="84" t="n"/>
      <c r="F266" s="84" t="n"/>
      <c r="G266" s="84" t="n"/>
      <c r="H266" s="84" t="n"/>
      <c r="I266" s="84" t="n"/>
      <c r="J266" s="84" t="n"/>
      <c r="K266" s="84" t="n"/>
      <c r="L266" s="84" t="n"/>
      <c r="M266" s="84" t="n"/>
      <c r="N266" s="84" t="n"/>
      <c r="O266" s="84" t="n"/>
      <c r="P266" s="84" t="n"/>
      <c r="Q266" s="84" t="n"/>
      <c r="R266" s="84" t="n"/>
      <c r="S266" s="84" t="n"/>
      <c r="T266" s="84" t="n"/>
      <c r="U266" s="84" t="n"/>
      <c r="V266" s="84" t="n"/>
      <c r="W266" s="84" t="n"/>
      <c r="X266" s="84" t="n"/>
      <c r="Y266" s="84" t="n"/>
      <c r="Z266" s="84" t="n"/>
      <c r="AA266" s="84" t="n"/>
      <c r="AB266" s="84" t="n"/>
      <c r="AC266" s="84" t="n"/>
      <c r="AD266" s="84" t="n"/>
      <c r="AE266" s="84" t="n"/>
      <c r="AF266" s="84" t="n"/>
      <c r="AG266" s="84" t="n"/>
      <c r="AH266" s="84" t="n"/>
      <c r="AI266" s="84" t="n"/>
      <c r="AJ266" s="84" t="n"/>
      <c r="AK266" s="84" t="n"/>
      <c r="AL266" s="84" t="n"/>
      <c r="AM266" s="84" t="n"/>
      <c r="AN266" s="84" t="n"/>
      <c r="AO266" s="84" t="n"/>
      <c r="AP266" s="84" t="n"/>
      <c r="AQ266" s="84" t="n"/>
      <c r="AR266" s="84" t="n"/>
    </row>
    <row r="267">
      <c r="D267" s="80" t="n"/>
      <c r="E267" s="80" t="n"/>
      <c r="F267" s="80" t="n"/>
      <c r="G267" s="80" t="n"/>
      <c r="H267" s="80" t="n"/>
      <c r="I267" s="80" t="n"/>
      <c r="J267" s="80" t="n"/>
      <c r="K267" s="80" t="n"/>
      <c r="L267" s="80" t="n"/>
      <c r="M267" s="80" t="n"/>
      <c r="N267" s="80" t="n"/>
      <c r="O267" s="80" t="n"/>
      <c r="P267" s="80" t="n"/>
      <c r="Q267" s="80" t="n"/>
      <c r="R267" s="80" t="n"/>
      <c r="S267" s="80" t="n"/>
      <c r="T267" s="80" t="n"/>
      <c r="U267" s="80" t="n"/>
      <c r="V267" s="80" t="n"/>
      <c r="W267" s="80" t="n"/>
      <c r="X267" s="80" t="n"/>
      <c r="Y267" s="80" t="n"/>
      <c r="Z267" s="80" t="n"/>
      <c r="AA267" s="80" t="n"/>
      <c r="AB267" s="80" t="n"/>
      <c r="AC267" s="80" t="n"/>
      <c r="AD267" s="80" t="n"/>
      <c r="AE267" s="80" t="n"/>
      <c r="AF267" s="80" t="n"/>
      <c r="AG267" s="80" t="n"/>
      <c r="AH267" s="80" t="n"/>
      <c r="AI267" s="80" t="n"/>
      <c r="AJ267" s="80" t="n"/>
      <c r="AK267" s="80" t="n"/>
      <c r="AL267" s="80" t="n"/>
      <c r="AM267" s="80" t="n"/>
      <c r="AN267" s="80" t="n"/>
      <c r="AO267" s="80" t="n"/>
      <c r="AP267" s="80" t="n"/>
      <c r="AQ267" s="80" t="n"/>
      <c r="AR267" s="80" t="n"/>
    </row>
    <row r="268">
      <c r="D268" s="80" t="n"/>
      <c r="E268" s="80" t="n"/>
      <c r="F268" s="80" t="n"/>
      <c r="G268" s="80" t="n"/>
      <c r="H268" s="80" t="n"/>
      <c r="I268" s="80" t="n"/>
      <c r="J268" s="80" t="n"/>
      <c r="K268" s="80" t="n"/>
      <c r="L268" s="80" t="n"/>
      <c r="M268" s="80" t="n"/>
      <c r="N268" s="80" t="n"/>
      <c r="O268" s="80" t="n"/>
      <c r="P268" s="80" t="n"/>
      <c r="Q268" s="80" t="n"/>
      <c r="R268" s="80" t="n"/>
      <c r="S268" s="80" t="n"/>
      <c r="T268" s="80" t="n"/>
      <c r="U268" s="80" t="n"/>
      <c r="V268" s="80" t="n"/>
      <c r="W268" s="80" t="n"/>
      <c r="X268" s="80" t="n"/>
      <c r="Y268" s="80" t="n"/>
      <c r="Z268" s="80" t="n"/>
      <c r="AA268" s="80" t="n"/>
      <c r="AB268" s="80" t="n"/>
      <c r="AC268" s="80" t="n"/>
      <c r="AD268" s="80" t="n"/>
      <c r="AE268" s="80" t="n"/>
      <c r="AF268" s="80" t="n"/>
      <c r="AG268" s="80" t="n"/>
      <c r="AH268" s="80" t="n"/>
      <c r="AI268" s="80" t="n"/>
      <c r="AJ268" s="80" t="n"/>
      <c r="AK268" s="80" t="n"/>
      <c r="AL268" s="80" t="n"/>
      <c r="AM268" s="80" t="n"/>
      <c r="AN268" s="80" t="n"/>
      <c r="AO268" s="80" t="n"/>
      <c r="AP268" s="80" t="n"/>
      <c r="AQ268" s="80" t="n"/>
      <c r="AR268" s="80" t="n"/>
    </row>
    <row r="269">
      <c r="D269" s="80" t="n"/>
      <c r="E269" s="80" t="n"/>
      <c r="F269" s="80" t="n"/>
      <c r="G269" s="80" t="n"/>
      <c r="H269" s="80" t="n"/>
      <c r="I269" s="80" t="n"/>
      <c r="J269" s="80" t="n"/>
      <c r="K269" s="80" t="n"/>
      <c r="L269" s="80" t="n"/>
      <c r="M269" s="80" t="n"/>
      <c r="N269" s="80" t="n"/>
      <c r="O269" s="80" t="n"/>
      <c r="P269" s="80" t="n"/>
      <c r="Q269" s="80" t="n"/>
      <c r="R269" s="80" t="n"/>
      <c r="S269" s="80" t="n"/>
      <c r="T269" s="80" t="n"/>
      <c r="U269" s="80" t="n"/>
      <c r="V269" s="80" t="n"/>
      <c r="W269" s="80" t="n"/>
      <c r="X269" s="80" t="n"/>
      <c r="Y269" s="80" t="n"/>
      <c r="Z269" s="80" t="n"/>
      <c r="AA269" s="80" t="n"/>
      <c r="AB269" s="80" t="n"/>
      <c r="AC269" s="80" t="n"/>
      <c r="AD269" s="80" t="n"/>
      <c r="AE269" s="80" t="n"/>
      <c r="AF269" s="80" t="n"/>
      <c r="AG269" s="80" t="n"/>
      <c r="AH269" s="80" t="n"/>
      <c r="AI269" s="80" t="n"/>
      <c r="AJ269" s="80" t="n"/>
      <c r="AK269" s="80" t="n"/>
      <c r="AL269" s="80" t="n"/>
      <c r="AM269" s="80" t="n"/>
      <c r="AN269" s="80" t="n"/>
      <c r="AO269" s="80" t="n"/>
      <c r="AP269" s="80" t="n"/>
      <c r="AQ269" s="80" t="n"/>
      <c r="AR269" s="80" t="n"/>
    </row>
    <row r="270">
      <c r="D270" s="80" t="n"/>
      <c r="E270" s="80" t="n"/>
      <c r="F270" s="80" t="n"/>
      <c r="G270" s="80" t="n"/>
      <c r="H270" s="80" t="n"/>
      <c r="I270" s="80" t="n"/>
      <c r="J270" s="80" t="n"/>
      <c r="K270" s="80" t="n"/>
      <c r="L270" s="80" t="n"/>
      <c r="M270" s="80" t="n"/>
      <c r="N270" s="80" t="n"/>
      <c r="O270" s="80" t="n"/>
      <c r="P270" s="80" t="n"/>
      <c r="Q270" s="80" t="n"/>
      <c r="R270" s="80" t="n"/>
      <c r="S270" s="80" t="n"/>
      <c r="T270" s="80" t="n"/>
      <c r="U270" s="80" t="n"/>
      <c r="V270" s="80" t="n"/>
      <c r="W270" s="80" t="n"/>
      <c r="X270" s="80" t="n"/>
      <c r="Y270" s="80" t="n"/>
      <c r="Z270" s="80" t="n"/>
      <c r="AA270" s="80" t="n"/>
      <c r="AB270" s="80" t="n"/>
      <c r="AC270" s="80" t="n"/>
      <c r="AD270" s="80" t="n"/>
      <c r="AE270" s="80" t="n"/>
      <c r="AF270" s="80" t="n"/>
      <c r="AG270" s="80" t="n"/>
      <c r="AH270" s="80" t="n"/>
      <c r="AI270" s="80" t="n"/>
      <c r="AJ270" s="80" t="n"/>
      <c r="AK270" s="80" t="n"/>
      <c r="AL270" s="80" t="n"/>
      <c r="AM270" s="80" t="n"/>
      <c r="AN270" s="80" t="n"/>
      <c r="AO270" s="80" t="n"/>
      <c r="AP270" s="80" t="n"/>
      <c r="AQ270" s="80" t="n"/>
      <c r="AR270" s="80" t="n"/>
    </row>
    <row r="271">
      <c r="A271" s="2">
        <f>IF($A264="","","   projections")</f>
        <v/>
      </c>
      <c r="B271" s="41">
        <f>IF($A264="",0,COUNT($E272:$AR272))</f>
        <v/>
      </c>
      <c r="C271" s="81">
        <f>IF($B271=0,0,MAX($E272:$AR272))</f>
        <v/>
      </c>
      <c r="D271" s="82">
        <f>BDS($A264,'Field Check'!$C$6,"headers=y","startcol=1","endcol=7","dir=h")</f>
        <v/>
      </c>
      <c r="E271" s="83" t="n"/>
      <c r="F271" s="83" t="n"/>
      <c r="G271" s="83" t="n"/>
      <c r="H271" s="83" t="n"/>
      <c r="I271" s="83" t="n"/>
      <c r="J271" s="83" t="n"/>
      <c r="K271" s="83" t="n"/>
      <c r="L271" s="83" t="n"/>
      <c r="M271" s="83" t="n"/>
      <c r="N271" s="83" t="n"/>
      <c r="O271" s="83" t="n"/>
      <c r="P271" s="83" t="n"/>
      <c r="Q271" s="83" t="n"/>
      <c r="R271" s="83" t="n"/>
      <c r="S271" s="83" t="n"/>
      <c r="T271" s="83" t="n"/>
      <c r="U271" s="83" t="n"/>
      <c r="V271" s="83" t="n"/>
      <c r="W271" s="83" t="n"/>
      <c r="X271" s="83" t="n"/>
      <c r="Y271" s="83" t="n"/>
      <c r="Z271" s="83" t="n"/>
      <c r="AA271" s="83" t="n"/>
      <c r="AB271" s="83" t="n"/>
      <c r="AC271" s="83" t="n"/>
      <c r="AD271" s="83" t="n"/>
      <c r="AE271" s="83" t="n"/>
      <c r="AF271" s="83" t="n"/>
      <c r="AG271" s="83" t="n"/>
      <c r="AH271" s="83" t="n"/>
      <c r="AI271" s="83" t="n"/>
      <c r="AJ271" s="83" t="n"/>
      <c r="AK271" s="83" t="n"/>
      <c r="AL271" s="83" t="n"/>
      <c r="AM271" s="83" t="n"/>
      <c r="AN271" s="83" t="n"/>
      <c r="AO271" s="83" t="n"/>
      <c r="AP271" s="83" t="n"/>
      <c r="AQ271" s="83" t="n"/>
      <c r="AR271" s="83" t="n"/>
    </row>
    <row r="272">
      <c r="D272" s="83" t="n"/>
      <c r="E272" s="83" t="n"/>
      <c r="F272" s="83" t="n"/>
      <c r="G272" s="83" t="n"/>
      <c r="H272" s="83" t="n"/>
      <c r="I272" s="83" t="n"/>
      <c r="J272" s="83" t="n"/>
      <c r="K272" s="83" t="n"/>
      <c r="L272" s="83" t="n"/>
      <c r="M272" s="83" t="n"/>
      <c r="N272" s="83" t="n"/>
      <c r="O272" s="83" t="n"/>
      <c r="P272" s="83" t="n"/>
      <c r="Q272" s="83" t="n"/>
      <c r="R272" s="83" t="n"/>
      <c r="S272" s="83" t="n"/>
      <c r="T272" s="83" t="n"/>
      <c r="U272" s="83" t="n"/>
      <c r="V272" s="83" t="n"/>
      <c r="W272" s="83" t="n"/>
      <c r="X272" s="83" t="n"/>
      <c r="Y272" s="83" t="n"/>
      <c r="Z272" s="83" t="n"/>
      <c r="AA272" s="83" t="n"/>
      <c r="AB272" s="83" t="n"/>
      <c r="AC272" s="83" t="n"/>
      <c r="AD272" s="83" t="n"/>
      <c r="AE272" s="83" t="n"/>
      <c r="AF272" s="83" t="n"/>
      <c r="AG272" s="83" t="n"/>
      <c r="AH272" s="83" t="n"/>
      <c r="AI272" s="83" t="n"/>
      <c r="AJ272" s="83" t="n"/>
      <c r="AK272" s="83" t="n"/>
      <c r="AL272" s="83" t="n"/>
      <c r="AM272" s="83" t="n"/>
      <c r="AN272" s="83" t="n"/>
      <c r="AO272" s="83" t="n"/>
      <c r="AP272" s="83" t="n"/>
      <c r="AQ272" s="83" t="n"/>
      <c r="AR272" s="83" t="n"/>
    </row>
    <row r="273">
      <c r="D273" s="84" t="n"/>
      <c r="E273" s="84" t="n"/>
      <c r="F273" s="84" t="n"/>
      <c r="G273" s="84" t="n"/>
      <c r="H273" s="84" t="n"/>
      <c r="I273" s="84" t="n"/>
      <c r="J273" s="84" t="n"/>
      <c r="K273" s="84" t="n"/>
      <c r="L273" s="84" t="n"/>
      <c r="M273" s="84" t="n"/>
      <c r="N273" s="84" t="n"/>
      <c r="O273" s="84" t="n"/>
      <c r="P273" s="84" t="n"/>
      <c r="Q273" s="84" t="n"/>
      <c r="R273" s="84" t="n"/>
      <c r="S273" s="84" t="n"/>
      <c r="T273" s="84" t="n"/>
      <c r="U273" s="84" t="n"/>
      <c r="V273" s="84" t="n"/>
      <c r="W273" s="84" t="n"/>
      <c r="X273" s="84" t="n"/>
      <c r="Y273" s="84" t="n"/>
      <c r="Z273" s="84" t="n"/>
      <c r="AA273" s="84" t="n"/>
      <c r="AB273" s="84" t="n"/>
      <c r="AC273" s="84" t="n"/>
      <c r="AD273" s="84" t="n"/>
      <c r="AE273" s="84" t="n"/>
      <c r="AF273" s="84" t="n"/>
      <c r="AG273" s="84" t="n"/>
      <c r="AH273" s="84" t="n"/>
      <c r="AI273" s="84" t="n"/>
      <c r="AJ273" s="84" t="n"/>
      <c r="AK273" s="84" t="n"/>
      <c r="AL273" s="84" t="n"/>
      <c r="AM273" s="84" t="n"/>
      <c r="AN273" s="84" t="n"/>
      <c r="AO273" s="84" t="n"/>
      <c r="AP273" s="84" t="n"/>
      <c r="AQ273" s="84" t="n"/>
      <c r="AR273" s="84" t="n"/>
    </row>
    <row r="274">
      <c r="D274" s="80" t="n"/>
      <c r="E274" s="80" t="n"/>
      <c r="F274" s="80" t="n"/>
      <c r="G274" s="80" t="n"/>
      <c r="H274" s="80" t="n"/>
      <c r="I274" s="80" t="n"/>
      <c r="J274" s="80" t="n"/>
      <c r="K274" s="80" t="n"/>
      <c r="L274" s="80" t="n"/>
      <c r="M274" s="80" t="n"/>
      <c r="N274" s="80" t="n"/>
      <c r="O274" s="80" t="n"/>
      <c r="P274" s="80" t="n"/>
      <c r="Q274" s="80" t="n"/>
      <c r="R274" s="80" t="n"/>
      <c r="S274" s="80" t="n"/>
      <c r="T274" s="80" t="n"/>
      <c r="U274" s="80" t="n"/>
      <c r="V274" s="80" t="n"/>
      <c r="W274" s="80" t="n"/>
      <c r="X274" s="80" t="n"/>
      <c r="Y274" s="80" t="n"/>
      <c r="Z274" s="80" t="n"/>
      <c r="AA274" s="80" t="n"/>
      <c r="AB274" s="80" t="n"/>
      <c r="AC274" s="80" t="n"/>
      <c r="AD274" s="80" t="n"/>
      <c r="AE274" s="80" t="n"/>
      <c r="AF274" s="80" t="n"/>
      <c r="AG274" s="80" t="n"/>
      <c r="AH274" s="80" t="n"/>
      <c r="AI274" s="80" t="n"/>
      <c r="AJ274" s="80" t="n"/>
      <c r="AK274" s="80" t="n"/>
      <c r="AL274" s="80" t="n"/>
      <c r="AM274" s="80" t="n"/>
      <c r="AN274" s="80" t="n"/>
      <c r="AO274" s="80" t="n"/>
      <c r="AP274" s="80" t="n"/>
      <c r="AQ274" s="80" t="n"/>
      <c r="AR274" s="80" t="n"/>
    </row>
    <row r="275">
      <c r="D275" s="80" t="n"/>
      <c r="E275" s="80" t="n"/>
      <c r="F275" s="80" t="n"/>
      <c r="G275" s="80" t="n"/>
      <c r="H275" s="80" t="n"/>
      <c r="I275" s="80" t="n"/>
      <c r="J275" s="80" t="n"/>
      <c r="K275" s="80" t="n"/>
      <c r="L275" s="80" t="n"/>
      <c r="M275" s="80" t="n"/>
      <c r="N275" s="80" t="n"/>
      <c r="O275" s="80" t="n"/>
      <c r="P275" s="80" t="n"/>
      <c r="Q275" s="80" t="n"/>
      <c r="R275" s="80" t="n"/>
      <c r="S275" s="80" t="n"/>
      <c r="T275" s="80" t="n"/>
      <c r="U275" s="80" t="n"/>
      <c r="V275" s="80" t="n"/>
      <c r="W275" s="80" t="n"/>
      <c r="X275" s="80" t="n"/>
      <c r="Y275" s="80" t="n"/>
      <c r="Z275" s="80" t="n"/>
      <c r="AA275" s="80" t="n"/>
      <c r="AB275" s="80" t="n"/>
      <c r="AC275" s="80" t="n"/>
      <c r="AD275" s="80" t="n"/>
      <c r="AE275" s="80" t="n"/>
      <c r="AF275" s="80" t="n"/>
      <c r="AG275" s="80" t="n"/>
      <c r="AH275" s="80" t="n"/>
      <c r="AI275" s="80" t="n"/>
      <c r="AJ275" s="80" t="n"/>
      <c r="AK275" s="80" t="n"/>
      <c r="AL275" s="80" t="n"/>
      <c r="AM275" s="80" t="n"/>
      <c r="AN275" s="80" t="n"/>
      <c r="AO275" s="80" t="n"/>
      <c r="AP275" s="80" t="n"/>
      <c r="AQ275" s="80" t="n"/>
      <c r="AR275" s="80" t="n"/>
    </row>
    <row r="276">
      <c r="D276" s="80" t="n"/>
      <c r="E276" s="80" t="n"/>
      <c r="F276" s="80" t="n"/>
      <c r="G276" s="80" t="n"/>
      <c r="H276" s="80" t="n"/>
      <c r="I276" s="80" t="n"/>
      <c r="J276" s="80" t="n"/>
      <c r="K276" s="80" t="n"/>
      <c r="L276" s="80" t="n"/>
      <c r="M276" s="80" t="n"/>
      <c r="N276" s="80" t="n"/>
      <c r="O276" s="80" t="n"/>
      <c r="P276" s="80" t="n"/>
      <c r="Q276" s="80" t="n"/>
      <c r="R276" s="80" t="n"/>
      <c r="S276" s="80" t="n"/>
      <c r="T276" s="80" t="n"/>
      <c r="U276" s="80" t="n"/>
      <c r="V276" s="80" t="n"/>
      <c r="W276" s="80" t="n"/>
      <c r="X276" s="80" t="n"/>
      <c r="Y276" s="80" t="n"/>
      <c r="Z276" s="80" t="n"/>
      <c r="AA276" s="80" t="n"/>
      <c r="AB276" s="80" t="n"/>
      <c r="AC276" s="80" t="n"/>
      <c r="AD276" s="80" t="n"/>
      <c r="AE276" s="80" t="n"/>
      <c r="AF276" s="80" t="n"/>
      <c r="AG276" s="80" t="n"/>
      <c r="AH276" s="80" t="n"/>
      <c r="AI276" s="80" t="n"/>
      <c r="AJ276" s="80" t="n"/>
      <c r="AK276" s="80" t="n"/>
      <c r="AL276" s="80" t="n"/>
      <c r="AM276" s="80" t="n"/>
      <c r="AN276" s="80" t="n"/>
      <c r="AO276" s="80" t="n"/>
      <c r="AP276" s="80" t="n"/>
      <c r="AQ276" s="80" t="n"/>
      <c r="AR276" s="80" t="n"/>
    </row>
    <row r="277">
      <c r="D277" s="80" t="n"/>
      <c r="E277" s="80" t="n"/>
      <c r="F277" s="80" t="n"/>
      <c r="G277" s="80" t="n"/>
      <c r="H277" s="80" t="n"/>
      <c r="I277" s="80" t="n"/>
      <c r="J277" s="80" t="n"/>
      <c r="K277" s="80" t="n"/>
      <c r="L277" s="80" t="n"/>
      <c r="M277" s="80" t="n"/>
      <c r="N277" s="80" t="n"/>
      <c r="O277" s="80" t="n"/>
      <c r="P277" s="80" t="n"/>
      <c r="Q277" s="80" t="n"/>
      <c r="R277" s="80" t="n"/>
      <c r="S277" s="80" t="n"/>
      <c r="T277" s="80" t="n"/>
      <c r="U277" s="80" t="n"/>
      <c r="V277" s="80" t="n"/>
      <c r="W277" s="80" t="n"/>
      <c r="X277" s="80" t="n"/>
      <c r="Y277" s="80" t="n"/>
      <c r="Z277" s="80" t="n"/>
      <c r="AA277" s="80" t="n"/>
      <c r="AB277" s="80" t="n"/>
      <c r="AC277" s="80" t="n"/>
      <c r="AD277" s="80" t="n"/>
      <c r="AE277" s="80" t="n"/>
      <c r="AF277" s="80" t="n"/>
      <c r="AG277" s="80" t="n"/>
      <c r="AH277" s="80" t="n"/>
      <c r="AI277" s="80" t="n"/>
      <c r="AJ277" s="80" t="n"/>
      <c r="AK277" s="80" t="n"/>
      <c r="AL277" s="80" t="n"/>
      <c r="AM277" s="80" t="n"/>
      <c r="AN277" s="80" t="n"/>
      <c r="AO277" s="80" t="n"/>
      <c r="AP277" s="80" t="n"/>
      <c r="AQ277" s="80" t="n"/>
      <c r="AR277" s="80" t="n"/>
    </row>
    <row r="279">
      <c r="A279" s="6">
        <f>IF(HSI!$C$25="","",HSI!$C$25)</f>
        <v/>
      </c>
      <c r="B279" s="41">
        <f>IF($A279="",0,COUNT($E280:$AR280))</f>
        <v/>
      </c>
      <c r="C279" s="81">
        <f>IF($B279=0,0,MAX($E280:$AR280))</f>
        <v/>
      </c>
      <c r="D279" s="82">
        <f>BDS($A279,'Field Check'!$C$7,"headers=y","startcol=1","endcol=7","dir=h","DVD_START_DT",Summary!$C$18,"DVD_END_DT",Summary!$D$18)</f>
        <v/>
      </c>
      <c r="E279" s="83" t="n"/>
      <c r="F279" s="83" t="n"/>
      <c r="G279" s="83" t="n"/>
      <c r="H279" s="83" t="n"/>
      <c r="I279" s="83" t="n"/>
      <c r="J279" s="83" t="n"/>
      <c r="K279" s="83" t="n"/>
      <c r="L279" s="83" t="n"/>
      <c r="M279" s="83" t="n"/>
      <c r="N279" s="83" t="n"/>
      <c r="O279" s="83" t="n"/>
      <c r="P279" s="83" t="n"/>
      <c r="Q279" s="83" t="n"/>
      <c r="R279" s="83" t="n"/>
      <c r="S279" s="83" t="n"/>
      <c r="T279" s="83" t="n"/>
      <c r="U279" s="83" t="n"/>
      <c r="V279" s="83" t="n"/>
      <c r="W279" s="83" t="n"/>
      <c r="X279" s="83" t="n"/>
      <c r="Y279" s="83" t="n"/>
      <c r="Z279" s="83" t="n"/>
      <c r="AA279" s="83" t="n"/>
      <c r="AB279" s="83" t="n"/>
      <c r="AC279" s="83" t="n"/>
      <c r="AD279" s="83" t="n"/>
      <c r="AE279" s="83" t="n"/>
      <c r="AF279" s="83" t="n"/>
      <c r="AG279" s="83" t="n"/>
      <c r="AH279" s="83" t="n"/>
      <c r="AI279" s="83" t="n"/>
      <c r="AJ279" s="83" t="n"/>
      <c r="AK279" s="83" t="n"/>
      <c r="AL279" s="83" t="n"/>
      <c r="AM279" s="83" t="n"/>
      <c r="AN279" s="83" t="n"/>
      <c r="AO279" s="83" t="n"/>
      <c r="AP279" s="83" t="n"/>
      <c r="AQ279" s="83" t="n"/>
      <c r="AR279" s="83" t="n"/>
    </row>
    <row r="280">
      <c r="D280" s="83" t="n"/>
      <c r="E280" s="83" t="n"/>
      <c r="F280" s="83" t="n"/>
      <c r="G280" s="83" t="n"/>
      <c r="H280" s="83" t="n"/>
      <c r="I280" s="83" t="n"/>
      <c r="J280" s="83" t="n"/>
      <c r="K280" s="83" t="n"/>
      <c r="L280" s="83" t="n"/>
      <c r="M280" s="83" t="n"/>
      <c r="N280" s="83" t="n"/>
      <c r="O280" s="83" t="n"/>
      <c r="P280" s="83" t="n"/>
      <c r="Q280" s="83" t="n"/>
      <c r="R280" s="83" t="n"/>
      <c r="S280" s="83" t="n"/>
      <c r="T280" s="83" t="n"/>
      <c r="U280" s="83" t="n"/>
      <c r="V280" s="83" t="n"/>
      <c r="W280" s="83" t="n"/>
      <c r="X280" s="83" t="n"/>
      <c r="Y280" s="83" t="n"/>
      <c r="Z280" s="83" t="n"/>
      <c r="AA280" s="83" t="n"/>
      <c r="AB280" s="83" t="n"/>
      <c r="AC280" s="83" t="n"/>
      <c r="AD280" s="83" t="n"/>
      <c r="AE280" s="83" t="n"/>
      <c r="AF280" s="83" t="n"/>
      <c r="AG280" s="83" t="n"/>
      <c r="AH280" s="83" t="n"/>
      <c r="AI280" s="83" t="n"/>
      <c r="AJ280" s="83" t="n"/>
      <c r="AK280" s="83" t="n"/>
      <c r="AL280" s="83" t="n"/>
      <c r="AM280" s="83" t="n"/>
      <c r="AN280" s="83" t="n"/>
      <c r="AO280" s="83" t="n"/>
      <c r="AP280" s="83" t="n"/>
      <c r="AQ280" s="83" t="n"/>
      <c r="AR280" s="83" t="n"/>
    </row>
    <row r="281">
      <c r="D281" s="84" t="n"/>
      <c r="E281" s="84" t="n"/>
      <c r="F281" s="84" t="n"/>
      <c r="G281" s="84" t="n"/>
      <c r="H281" s="84" t="n"/>
      <c r="I281" s="84" t="n"/>
      <c r="J281" s="84" t="n"/>
      <c r="K281" s="84" t="n"/>
      <c r="L281" s="84" t="n"/>
      <c r="M281" s="84" t="n"/>
      <c r="N281" s="84" t="n"/>
      <c r="O281" s="84" t="n"/>
      <c r="P281" s="84" t="n"/>
      <c r="Q281" s="84" t="n"/>
      <c r="R281" s="84" t="n"/>
      <c r="S281" s="84" t="n"/>
      <c r="T281" s="84" t="n"/>
      <c r="U281" s="84" t="n"/>
      <c r="V281" s="84" t="n"/>
      <c r="W281" s="84" t="n"/>
      <c r="X281" s="84" t="n"/>
      <c r="Y281" s="84" t="n"/>
      <c r="Z281" s="84" t="n"/>
      <c r="AA281" s="84" t="n"/>
      <c r="AB281" s="84" t="n"/>
      <c r="AC281" s="84" t="n"/>
      <c r="AD281" s="84" t="n"/>
      <c r="AE281" s="84" t="n"/>
      <c r="AF281" s="84" t="n"/>
      <c r="AG281" s="84" t="n"/>
      <c r="AH281" s="84" t="n"/>
      <c r="AI281" s="84" t="n"/>
      <c r="AJ281" s="84" t="n"/>
      <c r="AK281" s="84" t="n"/>
      <c r="AL281" s="84" t="n"/>
      <c r="AM281" s="84" t="n"/>
      <c r="AN281" s="84" t="n"/>
      <c r="AO281" s="84" t="n"/>
      <c r="AP281" s="84" t="n"/>
      <c r="AQ281" s="84" t="n"/>
      <c r="AR281" s="84" t="n"/>
    </row>
    <row r="282">
      <c r="D282" s="80" t="n"/>
      <c r="E282" s="80" t="n"/>
      <c r="F282" s="80" t="n"/>
      <c r="G282" s="80" t="n"/>
      <c r="H282" s="80" t="n"/>
      <c r="I282" s="80" t="n"/>
      <c r="J282" s="80" t="n"/>
      <c r="K282" s="80" t="n"/>
      <c r="L282" s="80" t="n"/>
      <c r="M282" s="80" t="n"/>
      <c r="N282" s="80" t="n"/>
      <c r="O282" s="80" t="n"/>
      <c r="P282" s="80" t="n"/>
      <c r="Q282" s="80" t="n"/>
      <c r="R282" s="80" t="n"/>
      <c r="S282" s="80" t="n"/>
      <c r="T282" s="80" t="n"/>
      <c r="U282" s="80" t="n"/>
      <c r="V282" s="80" t="n"/>
      <c r="W282" s="80" t="n"/>
      <c r="X282" s="80" t="n"/>
      <c r="Y282" s="80" t="n"/>
      <c r="Z282" s="80" t="n"/>
      <c r="AA282" s="80" t="n"/>
      <c r="AB282" s="80" t="n"/>
      <c r="AC282" s="80" t="n"/>
      <c r="AD282" s="80" t="n"/>
      <c r="AE282" s="80" t="n"/>
      <c r="AF282" s="80" t="n"/>
      <c r="AG282" s="80" t="n"/>
      <c r="AH282" s="80" t="n"/>
      <c r="AI282" s="80" t="n"/>
      <c r="AJ282" s="80" t="n"/>
      <c r="AK282" s="80" t="n"/>
      <c r="AL282" s="80" t="n"/>
      <c r="AM282" s="80" t="n"/>
      <c r="AN282" s="80" t="n"/>
      <c r="AO282" s="80" t="n"/>
      <c r="AP282" s="80" t="n"/>
      <c r="AQ282" s="80" t="n"/>
      <c r="AR282" s="80" t="n"/>
    </row>
    <row r="283">
      <c r="D283" s="80" t="n"/>
      <c r="E283" s="80" t="n"/>
      <c r="F283" s="80" t="n"/>
      <c r="G283" s="80" t="n"/>
      <c r="H283" s="80" t="n"/>
      <c r="I283" s="80" t="n"/>
      <c r="J283" s="80" t="n"/>
      <c r="K283" s="80" t="n"/>
      <c r="L283" s="80" t="n"/>
      <c r="M283" s="80" t="n"/>
      <c r="N283" s="80" t="n"/>
      <c r="O283" s="80" t="n"/>
      <c r="P283" s="80" t="n"/>
      <c r="Q283" s="80" t="n"/>
      <c r="R283" s="80" t="n"/>
      <c r="S283" s="80" t="n"/>
      <c r="T283" s="80" t="n"/>
      <c r="U283" s="80" t="n"/>
      <c r="V283" s="80" t="n"/>
      <c r="W283" s="80" t="n"/>
      <c r="X283" s="80" t="n"/>
      <c r="Y283" s="80" t="n"/>
      <c r="Z283" s="80" t="n"/>
      <c r="AA283" s="80" t="n"/>
      <c r="AB283" s="80" t="n"/>
      <c r="AC283" s="80" t="n"/>
      <c r="AD283" s="80" t="n"/>
      <c r="AE283" s="80" t="n"/>
      <c r="AF283" s="80" t="n"/>
      <c r="AG283" s="80" t="n"/>
      <c r="AH283" s="80" t="n"/>
      <c r="AI283" s="80" t="n"/>
      <c r="AJ283" s="80" t="n"/>
      <c r="AK283" s="80" t="n"/>
      <c r="AL283" s="80" t="n"/>
      <c r="AM283" s="80" t="n"/>
      <c r="AN283" s="80" t="n"/>
      <c r="AO283" s="80" t="n"/>
      <c r="AP283" s="80" t="n"/>
      <c r="AQ283" s="80" t="n"/>
      <c r="AR283" s="80" t="n"/>
    </row>
    <row r="284">
      <c r="D284" s="80" t="n"/>
      <c r="E284" s="80" t="n"/>
      <c r="F284" s="80" t="n"/>
      <c r="G284" s="80" t="n"/>
      <c r="H284" s="80" t="n"/>
      <c r="I284" s="80" t="n"/>
      <c r="J284" s="80" t="n"/>
      <c r="K284" s="80" t="n"/>
      <c r="L284" s="80" t="n"/>
      <c r="M284" s="80" t="n"/>
      <c r="N284" s="80" t="n"/>
      <c r="O284" s="80" t="n"/>
      <c r="P284" s="80" t="n"/>
      <c r="Q284" s="80" t="n"/>
      <c r="R284" s="80" t="n"/>
      <c r="S284" s="80" t="n"/>
      <c r="T284" s="80" t="n"/>
      <c r="U284" s="80" t="n"/>
      <c r="V284" s="80" t="n"/>
      <c r="W284" s="80" t="n"/>
      <c r="X284" s="80" t="n"/>
      <c r="Y284" s="80" t="n"/>
      <c r="Z284" s="80" t="n"/>
      <c r="AA284" s="80" t="n"/>
      <c r="AB284" s="80" t="n"/>
      <c r="AC284" s="80" t="n"/>
      <c r="AD284" s="80" t="n"/>
      <c r="AE284" s="80" t="n"/>
      <c r="AF284" s="80" t="n"/>
      <c r="AG284" s="80" t="n"/>
      <c r="AH284" s="80" t="n"/>
      <c r="AI284" s="80" t="n"/>
      <c r="AJ284" s="80" t="n"/>
      <c r="AK284" s="80" t="n"/>
      <c r="AL284" s="80" t="n"/>
      <c r="AM284" s="80" t="n"/>
      <c r="AN284" s="80" t="n"/>
      <c r="AO284" s="80" t="n"/>
      <c r="AP284" s="80" t="n"/>
      <c r="AQ284" s="80" t="n"/>
      <c r="AR284" s="80" t="n"/>
    </row>
    <row r="285">
      <c r="D285" s="80" t="n"/>
      <c r="E285" s="80" t="n"/>
      <c r="F285" s="80" t="n"/>
      <c r="G285" s="80" t="n"/>
      <c r="H285" s="80" t="n"/>
      <c r="I285" s="80" t="n"/>
      <c r="J285" s="80" t="n"/>
      <c r="K285" s="80" t="n"/>
      <c r="L285" s="80" t="n"/>
      <c r="M285" s="80" t="n"/>
      <c r="N285" s="80" t="n"/>
      <c r="O285" s="80" t="n"/>
      <c r="P285" s="80" t="n"/>
      <c r="Q285" s="80" t="n"/>
      <c r="R285" s="80" t="n"/>
      <c r="S285" s="80" t="n"/>
      <c r="T285" s="80" t="n"/>
      <c r="U285" s="80" t="n"/>
      <c r="V285" s="80" t="n"/>
      <c r="W285" s="80" t="n"/>
      <c r="X285" s="80" t="n"/>
      <c r="Y285" s="80" t="n"/>
      <c r="Z285" s="80" t="n"/>
      <c r="AA285" s="80" t="n"/>
      <c r="AB285" s="80" t="n"/>
      <c r="AC285" s="80" t="n"/>
      <c r="AD285" s="80" t="n"/>
      <c r="AE285" s="80" t="n"/>
      <c r="AF285" s="80" t="n"/>
      <c r="AG285" s="80" t="n"/>
      <c r="AH285" s="80" t="n"/>
      <c r="AI285" s="80" t="n"/>
      <c r="AJ285" s="80" t="n"/>
      <c r="AK285" s="80" t="n"/>
      <c r="AL285" s="80" t="n"/>
      <c r="AM285" s="80" t="n"/>
      <c r="AN285" s="80" t="n"/>
      <c r="AO285" s="80" t="n"/>
      <c r="AP285" s="80" t="n"/>
      <c r="AQ285" s="80" t="n"/>
      <c r="AR285" s="80" t="n"/>
    </row>
    <row r="286">
      <c r="A286" s="2">
        <f>IF($A279="","","   projections")</f>
        <v/>
      </c>
      <c r="B286" s="41">
        <f>IF($A279="",0,COUNT($E287:$AR287))</f>
        <v/>
      </c>
      <c r="C286" s="81">
        <f>IF($B286=0,0,MAX($E287:$AR287))</f>
        <v/>
      </c>
      <c r="D286" s="82">
        <f>BDS($A279,'Field Check'!$C$6,"headers=y","startcol=1","endcol=7","dir=h")</f>
        <v/>
      </c>
      <c r="E286" s="83" t="n"/>
      <c r="F286" s="83" t="n"/>
      <c r="G286" s="83" t="n"/>
      <c r="H286" s="83" t="n"/>
      <c r="I286" s="83" t="n"/>
      <c r="J286" s="83" t="n"/>
      <c r="K286" s="83" t="n"/>
      <c r="L286" s="83" t="n"/>
      <c r="M286" s="83" t="n"/>
      <c r="N286" s="83" t="n"/>
      <c r="O286" s="83" t="n"/>
      <c r="P286" s="83" t="n"/>
      <c r="Q286" s="83" t="n"/>
      <c r="R286" s="83" t="n"/>
      <c r="S286" s="83" t="n"/>
      <c r="T286" s="83" t="n"/>
      <c r="U286" s="83" t="n"/>
      <c r="V286" s="83" t="n"/>
      <c r="W286" s="83" t="n"/>
      <c r="X286" s="83" t="n"/>
      <c r="Y286" s="83" t="n"/>
      <c r="Z286" s="83" t="n"/>
      <c r="AA286" s="83" t="n"/>
      <c r="AB286" s="83" t="n"/>
      <c r="AC286" s="83" t="n"/>
      <c r="AD286" s="83" t="n"/>
      <c r="AE286" s="83" t="n"/>
      <c r="AF286" s="83" t="n"/>
      <c r="AG286" s="83" t="n"/>
      <c r="AH286" s="83" t="n"/>
      <c r="AI286" s="83" t="n"/>
      <c r="AJ286" s="83" t="n"/>
      <c r="AK286" s="83" t="n"/>
      <c r="AL286" s="83" t="n"/>
      <c r="AM286" s="83" t="n"/>
      <c r="AN286" s="83" t="n"/>
      <c r="AO286" s="83" t="n"/>
      <c r="AP286" s="83" t="n"/>
      <c r="AQ286" s="83" t="n"/>
      <c r="AR286" s="83" t="n"/>
    </row>
    <row r="287">
      <c r="D287" s="83" t="n"/>
      <c r="E287" s="83" t="n"/>
      <c r="F287" s="83" t="n"/>
      <c r="G287" s="83" t="n"/>
      <c r="H287" s="83" t="n"/>
      <c r="I287" s="83" t="n"/>
      <c r="J287" s="83" t="n"/>
      <c r="K287" s="83" t="n"/>
      <c r="L287" s="83" t="n"/>
      <c r="M287" s="83" t="n"/>
      <c r="N287" s="83" t="n"/>
      <c r="O287" s="83" t="n"/>
      <c r="P287" s="83" t="n"/>
      <c r="Q287" s="83" t="n"/>
      <c r="R287" s="83" t="n"/>
      <c r="S287" s="83" t="n"/>
      <c r="T287" s="83" t="n"/>
      <c r="U287" s="83" t="n"/>
      <c r="V287" s="83" t="n"/>
      <c r="W287" s="83" t="n"/>
      <c r="X287" s="83" t="n"/>
      <c r="Y287" s="83" t="n"/>
      <c r="Z287" s="83" t="n"/>
      <c r="AA287" s="83" t="n"/>
      <c r="AB287" s="83" t="n"/>
      <c r="AC287" s="83" t="n"/>
      <c r="AD287" s="83" t="n"/>
      <c r="AE287" s="83" t="n"/>
      <c r="AF287" s="83" t="n"/>
      <c r="AG287" s="83" t="n"/>
      <c r="AH287" s="83" t="n"/>
      <c r="AI287" s="83" t="n"/>
      <c r="AJ287" s="83" t="n"/>
      <c r="AK287" s="83" t="n"/>
      <c r="AL287" s="83" t="n"/>
      <c r="AM287" s="83" t="n"/>
      <c r="AN287" s="83" t="n"/>
      <c r="AO287" s="83" t="n"/>
      <c r="AP287" s="83" t="n"/>
      <c r="AQ287" s="83" t="n"/>
      <c r="AR287" s="83" t="n"/>
    </row>
    <row r="288">
      <c r="D288" s="84" t="n"/>
      <c r="E288" s="84" t="n"/>
      <c r="F288" s="84" t="n"/>
      <c r="G288" s="84" t="n"/>
      <c r="H288" s="84" t="n"/>
      <c r="I288" s="84" t="n"/>
      <c r="J288" s="84" t="n"/>
      <c r="K288" s="84" t="n"/>
      <c r="L288" s="84" t="n"/>
      <c r="M288" s="84" t="n"/>
      <c r="N288" s="84" t="n"/>
      <c r="O288" s="84" t="n"/>
      <c r="P288" s="84" t="n"/>
      <c r="Q288" s="84" t="n"/>
      <c r="R288" s="84" t="n"/>
      <c r="S288" s="84" t="n"/>
      <c r="T288" s="84" t="n"/>
      <c r="U288" s="84" t="n"/>
      <c r="V288" s="84" t="n"/>
      <c r="W288" s="84" t="n"/>
      <c r="X288" s="84" t="n"/>
      <c r="Y288" s="84" t="n"/>
      <c r="Z288" s="84" t="n"/>
      <c r="AA288" s="84" t="n"/>
      <c r="AB288" s="84" t="n"/>
      <c r="AC288" s="84" t="n"/>
      <c r="AD288" s="84" t="n"/>
      <c r="AE288" s="84" t="n"/>
      <c r="AF288" s="84" t="n"/>
      <c r="AG288" s="84" t="n"/>
      <c r="AH288" s="84" t="n"/>
      <c r="AI288" s="84" t="n"/>
      <c r="AJ288" s="84" t="n"/>
      <c r="AK288" s="84" t="n"/>
      <c r="AL288" s="84" t="n"/>
      <c r="AM288" s="84" t="n"/>
      <c r="AN288" s="84" t="n"/>
      <c r="AO288" s="84" t="n"/>
      <c r="AP288" s="84" t="n"/>
      <c r="AQ288" s="84" t="n"/>
      <c r="AR288" s="84" t="n"/>
    </row>
    <row r="289">
      <c r="D289" s="80" t="n"/>
      <c r="E289" s="80" t="n"/>
      <c r="F289" s="80" t="n"/>
      <c r="G289" s="80" t="n"/>
      <c r="H289" s="80" t="n"/>
      <c r="I289" s="80" t="n"/>
      <c r="J289" s="80" t="n"/>
      <c r="K289" s="80" t="n"/>
      <c r="L289" s="80" t="n"/>
      <c r="M289" s="80" t="n"/>
      <c r="N289" s="80" t="n"/>
      <c r="O289" s="80" t="n"/>
      <c r="P289" s="80" t="n"/>
      <c r="Q289" s="80" t="n"/>
      <c r="R289" s="80" t="n"/>
      <c r="S289" s="80" t="n"/>
      <c r="T289" s="80" t="n"/>
      <c r="U289" s="80" t="n"/>
      <c r="V289" s="80" t="n"/>
      <c r="W289" s="80" t="n"/>
      <c r="X289" s="80" t="n"/>
      <c r="Y289" s="80" t="n"/>
      <c r="Z289" s="80" t="n"/>
      <c r="AA289" s="80" t="n"/>
      <c r="AB289" s="80" t="n"/>
      <c r="AC289" s="80" t="n"/>
      <c r="AD289" s="80" t="n"/>
      <c r="AE289" s="80" t="n"/>
      <c r="AF289" s="80" t="n"/>
      <c r="AG289" s="80" t="n"/>
      <c r="AH289" s="80" t="n"/>
      <c r="AI289" s="80" t="n"/>
      <c r="AJ289" s="80" t="n"/>
      <c r="AK289" s="80" t="n"/>
      <c r="AL289" s="80" t="n"/>
      <c r="AM289" s="80" t="n"/>
      <c r="AN289" s="80" t="n"/>
      <c r="AO289" s="80" t="n"/>
      <c r="AP289" s="80" t="n"/>
      <c r="AQ289" s="80" t="n"/>
      <c r="AR289" s="80" t="n"/>
    </row>
    <row r="290">
      <c r="D290" s="80" t="n"/>
      <c r="E290" s="80" t="n"/>
      <c r="F290" s="80" t="n"/>
      <c r="G290" s="80" t="n"/>
      <c r="H290" s="80" t="n"/>
      <c r="I290" s="80" t="n"/>
      <c r="J290" s="80" t="n"/>
      <c r="K290" s="80" t="n"/>
      <c r="L290" s="80" t="n"/>
      <c r="M290" s="80" t="n"/>
      <c r="N290" s="80" t="n"/>
      <c r="O290" s="80" t="n"/>
      <c r="P290" s="80" t="n"/>
      <c r="Q290" s="80" t="n"/>
      <c r="R290" s="80" t="n"/>
      <c r="S290" s="80" t="n"/>
      <c r="T290" s="80" t="n"/>
      <c r="U290" s="80" t="n"/>
      <c r="V290" s="80" t="n"/>
      <c r="W290" s="80" t="n"/>
      <c r="X290" s="80" t="n"/>
      <c r="Y290" s="80" t="n"/>
      <c r="Z290" s="80" t="n"/>
      <c r="AA290" s="80" t="n"/>
      <c r="AB290" s="80" t="n"/>
      <c r="AC290" s="80" t="n"/>
      <c r="AD290" s="80" t="n"/>
      <c r="AE290" s="80" t="n"/>
      <c r="AF290" s="80" t="n"/>
      <c r="AG290" s="80" t="n"/>
      <c r="AH290" s="80" t="n"/>
      <c r="AI290" s="80" t="n"/>
      <c r="AJ290" s="80" t="n"/>
      <c r="AK290" s="80" t="n"/>
      <c r="AL290" s="80" t="n"/>
      <c r="AM290" s="80" t="n"/>
      <c r="AN290" s="80" t="n"/>
      <c r="AO290" s="80" t="n"/>
      <c r="AP290" s="80" t="n"/>
      <c r="AQ290" s="80" t="n"/>
      <c r="AR290" s="80" t="n"/>
    </row>
    <row r="291">
      <c r="D291" s="80" t="n"/>
      <c r="E291" s="80" t="n"/>
      <c r="F291" s="80" t="n"/>
      <c r="G291" s="80" t="n"/>
      <c r="H291" s="80" t="n"/>
      <c r="I291" s="80" t="n"/>
      <c r="J291" s="80" t="n"/>
      <c r="K291" s="80" t="n"/>
      <c r="L291" s="80" t="n"/>
      <c r="M291" s="80" t="n"/>
      <c r="N291" s="80" t="n"/>
      <c r="O291" s="80" t="n"/>
      <c r="P291" s="80" t="n"/>
      <c r="Q291" s="80" t="n"/>
      <c r="R291" s="80" t="n"/>
      <c r="S291" s="80" t="n"/>
      <c r="T291" s="80" t="n"/>
      <c r="U291" s="80" t="n"/>
      <c r="V291" s="80" t="n"/>
      <c r="W291" s="80" t="n"/>
      <c r="X291" s="80" t="n"/>
      <c r="Y291" s="80" t="n"/>
      <c r="Z291" s="80" t="n"/>
      <c r="AA291" s="80" t="n"/>
      <c r="AB291" s="80" t="n"/>
      <c r="AC291" s="80" t="n"/>
      <c r="AD291" s="80" t="n"/>
      <c r="AE291" s="80" t="n"/>
      <c r="AF291" s="80" t="n"/>
      <c r="AG291" s="80" t="n"/>
      <c r="AH291" s="80" t="n"/>
      <c r="AI291" s="80" t="n"/>
      <c r="AJ291" s="80" t="n"/>
      <c r="AK291" s="80" t="n"/>
      <c r="AL291" s="80" t="n"/>
      <c r="AM291" s="80" t="n"/>
      <c r="AN291" s="80" t="n"/>
      <c r="AO291" s="80" t="n"/>
      <c r="AP291" s="80" t="n"/>
      <c r="AQ291" s="80" t="n"/>
      <c r="AR291" s="80" t="n"/>
    </row>
    <row r="292">
      <c r="D292" s="80" t="n"/>
      <c r="E292" s="80" t="n"/>
      <c r="F292" s="80" t="n"/>
      <c r="G292" s="80" t="n"/>
      <c r="H292" s="80" t="n"/>
      <c r="I292" s="80" t="n"/>
      <c r="J292" s="80" t="n"/>
      <c r="K292" s="80" t="n"/>
      <c r="L292" s="80" t="n"/>
      <c r="M292" s="80" t="n"/>
      <c r="N292" s="80" t="n"/>
      <c r="O292" s="80" t="n"/>
      <c r="P292" s="80" t="n"/>
      <c r="Q292" s="80" t="n"/>
      <c r="R292" s="80" t="n"/>
      <c r="S292" s="80" t="n"/>
      <c r="T292" s="80" t="n"/>
      <c r="U292" s="80" t="n"/>
      <c r="V292" s="80" t="n"/>
      <c r="W292" s="80" t="n"/>
      <c r="X292" s="80" t="n"/>
      <c r="Y292" s="80" t="n"/>
      <c r="Z292" s="80" t="n"/>
      <c r="AA292" s="80" t="n"/>
      <c r="AB292" s="80" t="n"/>
      <c r="AC292" s="80" t="n"/>
      <c r="AD292" s="80" t="n"/>
      <c r="AE292" s="80" t="n"/>
      <c r="AF292" s="80" t="n"/>
      <c r="AG292" s="80" t="n"/>
      <c r="AH292" s="80" t="n"/>
      <c r="AI292" s="80" t="n"/>
      <c r="AJ292" s="80" t="n"/>
      <c r="AK292" s="80" t="n"/>
      <c r="AL292" s="80" t="n"/>
      <c r="AM292" s="80" t="n"/>
      <c r="AN292" s="80" t="n"/>
      <c r="AO292" s="80" t="n"/>
      <c r="AP292" s="80" t="n"/>
      <c r="AQ292" s="80" t="n"/>
      <c r="AR292" s="80" t="n"/>
    </row>
    <row r="294">
      <c r="A294" s="6">
        <f>IF(HSI!$C$26="","",HSI!$C$26)</f>
        <v/>
      </c>
      <c r="B294" s="41">
        <f>IF($A294="",0,COUNT($E295:$AR295))</f>
        <v/>
      </c>
      <c r="C294" s="81">
        <f>IF($B294=0,0,MAX($E295:$AR295))</f>
        <v/>
      </c>
      <c r="D294" s="82">
        <f>BDS($A294,'Field Check'!$C$7,"headers=y","startcol=1","endcol=7","dir=h","DVD_START_DT",Summary!$C$18,"DVD_END_DT",Summary!$D$18)</f>
        <v/>
      </c>
      <c r="E294" s="83" t="n"/>
      <c r="F294" s="83" t="n"/>
      <c r="G294" s="83" t="n"/>
      <c r="H294" s="83" t="n"/>
      <c r="I294" s="83" t="n"/>
      <c r="J294" s="83" t="n"/>
      <c r="K294" s="83" t="n"/>
      <c r="L294" s="83" t="n"/>
      <c r="M294" s="83" t="n"/>
      <c r="N294" s="83" t="n"/>
      <c r="O294" s="83" t="n"/>
      <c r="P294" s="83" t="n"/>
      <c r="Q294" s="83" t="n"/>
      <c r="R294" s="83" t="n"/>
      <c r="S294" s="83" t="n"/>
      <c r="T294" s="83" t="n"/>
      <c r="U294" s="83" t="n"/>
      <c r="V294" s="83" t="n"/>
      <c r="W294" s="83" t="n"/>
      <c r="X294" s="83" t="n"/>
      <c r="Y294" s="83" t="n"/>
      <c r="Z294" s="83" t="n"/>
      <c r="AA294" s="83" t="n"/>
      <c r="AB294" s="83" t="n"/>
      <c r="AC294" s="83" t="n"/>
      <c r="AD294" s="83" t="n"/>
      <c r="AE294" s="83" t="n"/>
      <c r="AF294" s="83" t="n"/>
      <c r="AG294" s="83" t="n"/>
      <c r="AH294" s="83" t="n"/>
      <c r="AI294" s="83" t="n"/>
      <c r="AJ294" s="83" t="n"/>
      <c r="AK294" s="83" t="n"/>
      <c r="AL294" s="83" t="n"/>
      <c r="AM294" s="83" t="n"/>
      <c r="AN294" s="83" t="n"/>
      <c r="AO294" s="83" t="n"/>
      <c r="AP294" s="83" t="n"/>
      <c r="AQ294" s="83" t="n"/>
      <c r="AR294" s="83" t="n"/>
    </row>
    <row r="295">
      <c r="D295" s="83" t="n"/>
      <c r="E295" s="83" t="n"/>
      <c r="F295" s="83" t="n"/>
      <c r="G295" s="83" t="n"/>
      <c r="H295" s="83" t="n"/>
      <c r="I295" s="83" t="n"/>
      <c r="J295" s="83" t="n"/>
      <c r="K295" s="83" t="n"/>
      <c r="L295" s="83" t="n"/>
      <c r="M295" s="83" t="n"/>
      <c r="N295" s="83" t="n"/>
      <c r="O295" s="83" t="n"/>
      <c r="P295" s="83" t="n"/>
      <c r="Q295" s="83" t="n"/>
      <c r="R295" s="83" t="n"/>
      <c r="S295" s="83" t="n"/>
      <c r="T295" s="83" t="n"/>
      <c r="U295" s="83" t="n"/>
      <c r="V295" s="83" t="n"/>
      <c r="W295" s="83" t="n"/>
      <c r="X295" s="83" t="n"/>
      <c r="Y295" s="83" t="n"/>
      <c r="Z295" s="83" t="n"/>
      <c r="AA295" s="83" t="n"/>
      <c r="AB295" s="83" t="n"/>
      <c r="AC295" s="83" t="n"/>
      <c r="AD295" s="83" t="n"/>
      <c r="AE295" s="83" t="n"/>
      <c r="AF295" s="83" t="n"/>
      <c r="AG295" s="83" t="n"/>
      <c r="AH295" s="83" t="n"/>
      <c r="AI295" s="83" t="n"/>
      <c r="AJ295" s="83" t="n"/>
      <c r="AK295" s="83" t="n"/>
      <c r="AL295" s="83" t="n"/>
      <c r="AM295" s="83" t="n"/>
      <c r="AN295" s="83" t="n"/>
      <c r="AO295" s="83" t="n"/>
      <c r="AP295" s="83" t="n"/>
      <c r="AQ295" s="83" t="n"/>
      <c r="AR295" s="83" t="n"/>
    </row>
    <row r="296">
      <c r="D296" s="84" t="n"/>
      <c r="E296" s="84" t="n"/>
      <c r="F296" s="84" t="n"/>
      <c r="G296" s="84" t="n"/>
      <c r="H296" s="84" t="n"/>
      <c r="I296" s="84" t="n"/>
      <c r="J296" s="84" t="n"/>
      <c r="K296" s="84" t="n"/>
      <c r="L296" s="84" t="n"/>
      <c r="M296" s="84" t="n"/>
      <c r="N296" s="84" t="n"/>
      <c r="O296" s="84" t="n"/>
      <c r="P296" s="84" t="n"/>
      <c r="Q296" s="84" t="n"/>
      <c r="R296" s="84" t="n"/>
      <c r="S296" s="84" t="n"/>
      <c r="T296" s="84" t="n"/>
      <c r="U296" s="84" t="n"/>
      <c r="V296" s="84" t="n"/>
      <c r="W296" s="84" t="n"/>
      <c r="X296" s="84" t="n"/>
      <c r="Y296" s="84" t="n"/>
      <c r="Z296" s="84" t="n"/>
      <c r="AA296" s="84" t="n"/>
      <c r="AB296" s="84" t="n"/>
      <c r="AC296" s="84" t="n"/>
      <c r="AD296" s="84" t="n"/>
      <c r="AE296" s="84" t="n"/>
      <c r="AF296" s="84" t="n"/>
      <c r="AG296" s="84" t="n"/>
      <c r="AH296" s="84" t="n"/>
      <c r="AI296" s="84" t="n"/>
      <c r="AJ296" s="84" t="n"/>
      <c r="AK296" s="84" t="n"/>
      <c r="AL296" s="84" t="n"/>
      <c r="AM296" s="84" t="n"/>
      <c r="AN296" s="84" t="n"/>
      <c r="AO296" s="84" t="n"/>
      <c r="AP296" s="84" t="n"/>
      <c r="AQ296" s="84" t="n"/>
      <c r="AR296" s="84" t="n"/>
    </row>
    <row r="297">
      <c r="D297" s="80" t="n"/>
      <c r="E297" s="80" t="n"/>
      <c r="F297" s="80" t="n"/>
      <c r="G297" s="80" t="n"/>
      <c r="H297" s="80" t="n"/>
      <c r="I297" s="80" t="n"/>
      <c r="J297" s="80" t="n"/>
      <c r="K297" s="80" t="n"/>
      <c r="L297" s="80" t="n"/>
      <c r="M297" s="80" t="n"/>
      <c r="N297" s="80" t="n"/>
      <c r="O297" s="80" t="n"/>
      <c r="P297" s="80" t="n"/>
      <c r="Q297" s="80" t="n"/>
      <c r="R297" s="80" t="n"/>
      <c r="S297" s="80" t="n"/>
      <c r="T297" s="80" t="n"/>
      <c r="U297" s="80" t="n"/>
      <c r="V297" s="80" t="n"/>
      <c r="W297" s="80" t="n"/>
      <c r="X297" s="80" t="n"/>
      <c r="Y297" s="80" t="n"/>
      <c r="Z297" s="80" t="n"/>
      <c r="AA297" s="80" t="n"/>
      <c r="AB297" s="80" t="n"/>
      <c r="AC297" s="80" t="n"/>
      <c r="AD297" s="80" t="n"/>
      <c r="AE297" s="80" t="n"/>
      <c r="AF297" s="80" t="n"/>
      <c r="AG297" s="80" t="n"/>
      <c r="AH297" s="80" t="n"/>
      <c r="AI297" s="80" t="n"/>
      <c r="AJ297" s="80" t="n"/>
      <c r="AK297" s="80" t="n"/>
      <c r="AL297" s="80" t="n"/>
      <c r="AM297" s="80" t="n"/>
      <c r="AN297" s="80" t="n"/>
      <c r="AO297" s="80" t="n"/>
      <c r="AP297" s="80" t="n"/>
      <c r="AQ297" s="80" t="n"/>
      <c r="AR297" s="80" t="n"/>
    </row>
    <row r="298">
      <c r="D298" s="80" t="n"/>
      <c r="E298" s="80" t="n"/>
      <c r="F298" s="80" t="n"/>
      <c r="G298" s="80" t="n"/>
      <c r="H298" s="80" t="n"/>
      <c r="I298" s="80" t="n"/>
      <c r="J298" s="80" t="n"/>
      <c r="K298" s="80" t="n"/>
      <c r="L298" s="80" t="n"/>
      <c r="M298" s="80" t="n"/>
      <c r="N298" s="80" t="n"/>
      <c r="O298" s="80" t="n"/>
      <c r="P298" s="80" t="n"/>
      <c r="Q298" s="80" t="n"/>
      <c r="R298" s="80" t="n"/>
      <c r="S298" s="80" t="n"/>
      <c r="T298" s="80" t="n"/>
      <c r="U298" s="80" t="n"/>
      <c r="V298" s="80" t="n"/>
      <c r="W298" s="80" t="n"/>
      <c r="X298" s="80" t="n"/>
      <c r="Y298" s="80" t="n"/>
      <c r="Z298" s="80" t="n"/>
      <c r="AA298" s="80" t="n"/>
      <c r="AB298" s="80" t="n"/>
      <c r="AC298" s="80" t="n"/>
      <c r="AD298" s="80" t="n"/>
      <c r="AE298" s="80" t="n"/>
      <c r="AF298" s="80" t="n"/>
      <c r="AG298" s="80" t="n"/>
      <c r="AH298" s="80" t="n"/>
      <c r="AI298" s="80" t="n"/>
      <c r="AJ298" s="80" t="n"/>
      <c r="AK298" s="80" t="n"/>
      <c r="AL298" s="80" t="n"/>
      <c r="AM298" s="80" t="n"/>
      <c r="AN298" s="80" t="n"/>
      <c r="AO298" s="80" t="n"/>
      <c r="AP298" s="80" t="n"/>
      <c r="AQ298" s="80" t="n"/>
      <c r="AR298" s="80" t="n"/>
    </row>
    <row r="299">
      <c r="D299" s="80" t="n"/>
      <c r="E299" s="80" t="n"/>
      <c r="F299" s="80" t="n"/>
      <c r="G299" s="80" t="n"/>
      <c r="H299" s="80" t="n"/>
      <c r="I299" s="80" t="n"/>
      <c r="J299" s="80" t="n"/>
      <c r="K299" s="80" t="n"/>
      <c r="L299" s="80" t="n"/>
      <c r="M299" s="80" t="n"/>
      <c r="N299" s="80" t="n"/>
      <c r="O299" s="80" t="n"/>
      <c r="P299" s="80" t="n"/>
      <c r="Q299" s="80" t="n"/>
      <c r="R299" s="80" t="n"/>
      <c r="S299" s="80" t="n"/>
      <c r="T299" s="80" t="n"/>
      <c r="U299" s="80" t="n"/>
      <c r="V299" s="80" t="n"/>
      <c r="W299" s="80" t="n"/>
      <c r="X299" s="80" t="n"/>
      <c r="Y299" s="80" t="n"/>
      <c r="Z299" s="80" t="n"/>
      <c r="AA299" s="80" t="n"/>
      <c r="AB299" s="80" t="n"/>
      <c r="AC299" s="80" t="n"/>
      <c r="AD299" s="80" t="n"/>
      <c r="AE299" s="80" t="n"/>
      <c r="AF299" s="80" t="n"/>
      <c r="AG299" s="80" t="n"/>
      <c r="AH299" s="80" t="n"/>
      <c r="AI299" s="80" t="n"/>
      <c r="AJ299" s="80" t="n"/>
      <c r="AK299" s="80" t="n"/>
      <c r="AL299" s="80" t="n"/>
      <c r="AM299" s="80" t="n"/>
      <c r="AN299" s="80" t="n"/>
      <c r="AO299" s="80" t="n"/>
      <c r="AP299" s="80" t="n"/>
      <c r="AQ299" s="80" t="n"/>
      <c r="AR299" s="80" t="n"/>
    </row>
    <row r="300">
      <c r="D300" s="80" t="n"/>
      <c r="E300" s="80" t="n"/>
      <c r="F300" s="80" t="n"/>
      <c r="G300" s="80" t="n"/>
      <c r="H300" s="80" t="n"/>
      <c r="I300" s="80" t="n"/>
      <c r="J300" s="80" t="n"/>
      <c r="K300" s="80" t="n"/>
      <c r="L300" s="80" t="n"/>
      <c r="M300" s="80" t="n"/>
      <c r="N300" s="80" t="n"/>
      <c r="O300" s="80" t="n"/>
      <c r="P300" s="80" t="n"/>
      <c r="Q300" s="80" t="n"/>
      <c r="R300" s="80" t="n"/>
      <c r="S300" s="80" t="n"/>
      <c r="T300" s="80" t="n"/>
      <c r="U300" s="80" t="n"/>
      <c r="V300" s="80" t="n"/>
      <c r="W300" s="80" t="n"/>
      <c r="X300" s="80" t="n"/>
      <c r="Y300" s="80" t="n"/>
      <c r="Z300" s="80" t="n"/>
      <c r="AA300" s="80" t="n"/>
      <c r="AB300" s="80" t="n"/>
      <c r="AC300" s="80" t="n"/>
      <c r="AD300" s="80" t="n"/>
      <c r="AE300" s="80" t="n"/>
      <c r="AF300" s="80" t="n"/>
      <c r="AG300" s="80" t="n"/>
      <c r="AH300" s="80" t="n"/>
      <c r="AI300" s="80" t="n"/>
      <c r="AJ300" s="80" t="n"/>
      <c r="AK300" s="80" t="n"/>
      <c r="AL300" s="80" t="n"/>
      <c r="AM300" s="80" t="n"/>
      <c r="AN300" s="80" t="n"/>
      <c r="AO300" s="80" t="n"/>
      <c r="AP300" s="80" t="n"/>
      <c r="AQ300" s="80" t="n"/>
      <c r="AR300" s="80" t="n"/>
    </row>
    <row r="301">
      <c r="A301" s="2">
        <f>IF($A294="","","   projections")</f>
        <v/>
      </c>
      <c r="B301" s="41">
        <f>IF($A294="",0,COUNT($E302:$AR302))</f>
        <v/>
      </c>
      <c r="C301" s="81">
        <f>IF($B301=0,0,MAX($E302:$AR302))</f>
        <v/>
      </c>
      <c r="D301" s="82">
        <f>BDS($A294,'Field Check'!$C$6,"headers=y","startcol=1","endcol=7","dir=h")</f>
        <v/>
      </c>
      <c r="E301" s="83" t="n"/>
      <c r="F301" s="83" t="n"/>
      <c r="G301" s="83" t="n"/>
      <c r="H301" s="83" t="n"/>
      <c r="I301" s="83" t="n"/>
      <c r="J301" s="83" t="n"/>
      <c r="K301" s="83" t="n"/>
      <c r="L301" s="83" t="n"/>
      <c r="M301" s="83" t="n"/>
      <c r="N301" s="83" t="n"/>
      <c r="O301" s="83" t="n"/>
      <c r="P301" s="83" t="n"/>
      <c r="Q301" s="83" t="n"/>
      <c r="R301" s="83" t="n"/>
      <c r="S301" s="83" t="n"/>
      <c r="T301" s="83" t="n"/>
      <c r="U301" s="83" t="n"/>
      <c r="V301" s="83" t="n"/>
      <c r="W301" s="83" t="n"/>
      <c r="X301" s="83" t="n"/>
      <c r="Y301" s="83" t="n"/>
      <c r="Z301" s="83" t="n"/>
      <c r="AA301" s="83" t="n"/>
      <c r="AB301" s="83" t="n"/>
      <c r="AC301" s="83" t="n"/>
      <c r="AD301" s="83" t="n"/>
      <c r="AE301" s="83" t="n"/>
      <c r="AF301" s="83" t="n"/>
      <c r="AG301" s="83" t="n"/>
      <c r="AH301" s="83" t="n"/>
      <c r="AI301" s="83" t="n"/>
      <c r="AJ301" s="83" t="n"/>
      <c r="AK301" s="83" t="n"/>
      <c r="AL301" s="83" t="n"/>
      <c r="AM301" s="83" t="n"/>
      <c r="AN301" s="83" t="n"/>
      <c r="AO301" s="83" t="n"/>
      <c r="AP301" s="83" t="n"/>
      <c r="AQ301" s="83" t="n"/>
      <c r="AR301" s="83" t="n"/>
    </row>
    <row r="302">
      <c r="D302" s="83" t="n"/>
      <c r="E302" s="83" t="n"/>
      <c r="F302" s="83" t="n"/>
      <c r="G302" s="83" t="n"/>
      <c r="H302" s="83" t="n"/>
      <c r="I302" s="83" t="n"/>
      <c r="J302" s="83" t="n"/>
      <c r="K302" s="83" t="n"/>
      <c r="L302" s="83" t="n"/>
      <c r="M302" s="83" t="n"/>
      <c r="N302" s="83" t="n"/>
      <c r="O302" s="83" t="n"/>
      <c r="P302" s="83" t="n"/>
      <c r="Q302" s="83" t="n"/>
      <c r="R302" s="83" t="n"/>
      <c r="S302" s="83" t="n"/>
      <c r="T302" s="83" t="n"/>
      <c r="U302" s="83" t="n"/>
      <c r="V302" s="83" t="n"/>
      <c r="W302" s="83" t="n"/>
      <c r="X302" s="83" t="n"/>
      <c r="Y302" s="83" t="n"/>
      <c r="Z302" s="83" t="n"/>
      <c r="AA302" s="83" t="n"/>
      <c r="AB302" s="83" t="n"/>
      <c r="AC302" s="83" t="n"/>
      <c r="AD302" s="83" t="n"/>
      <c r="AE302" s="83" t="n"/>
      <c r="AF302" s="83" t="n"/>
      <c r="AG302" s="83" t="n"/>
      <c r="AH302" s="83" t="n"/>
      <c r="AI302" s="83" t="n"/>
      <c r="AJ302" s="83" t="n"/>
      <c r="AK302" s="83" t="n"/>
      <c r="AL302" s="83" t="n"/>
      <c r="AM302" s="83" t="n"/>
      <c r="AN302" s="83" t="n"/>
      <c r="AO302" s="83" t="n"/>
      <c r="AP302" s="83" t="n"/>
      <c r="AQ302" s="83" t="n"/>
      <c r="AR302" s="83" t="n"/>
    </row>
    <row r="303">
      <c r="D303" s="84" t="n"/>
      <c r="E303" s="84" t="n"/>
      <c r="F303" s="84" t="n"/>
      <c r="G303" s="84" t="n"/>
      <c r="H303" s="84" t="n"/>
      <c r="I303" s="84" t="n"/>
      <c r="J303" s="84" t="n"/>
      <c r="K303" s="84" t="n"/>
      <c r="L303" s="84" t="n"/>
      <c r="M303" s="84" t="n"/>
      <c r="N303" s="84" t="n"/>
      <c r="O303" s="84" t="n"/>
      <c r="P303" s="84" t="n"/>
      <c r="Q303" s="84" t="n"/>
      <c r="R303" s="84" t="n"/>
      <c r="S303" s="84" t="n"/>
      <c r="T303" s="84" t="n"/>
      <c r="U303" s="84" t="n"/>
      <c r="V303" s="84" t="n"/>
      <c r="W303" s="84" t="n"/>
      <c r="X303" s="84" t="n"/>
      <c r="Y303" s="84" t="n"/>
      <c r="Z303" s="84" t="n"/>
      <c r="AA303" s="84" t="n"/>
      <c r="AB303" s="84" t="n"/>
      <c r="AC303" s="84" t="n"/>
      <c r="AD303" s="84" t="n"/>
      <c r="AE303" s="84" t="n"/>
      <c r="AF303" s="84" t="n"/>
      <c r="AG303" s="84" t="n"/>
      <c r="AH303" s="84" t="n"/>
      <c r="AI303" s="84" t="n"/>
      <c r="AJ303" s="84" t="n"/>
      <c r="AK303" s="84" t="n"/>
      <c r="AL303" s="84" t="n"/>
      <c r="AM303" s="84" t="n"/>
      <c r="AN303" s="84" t="n"/>
      <c r="AO303" s="84" t="n"/>
      <c r="AP303" s="84" t="n"/>
      <c r="AQ303" s="84" t="n"/>
      <c r="AR303" s="84" t="n"/>
    </row>
    <row r="304">
      <c r="D304" s="80" t="n"/>
      <c r="E304" s="80" t="n"/>
      <c r="F304" s="80" t="n"/>
      <c r="G304" s="80" t="n"/>
      <c r="H304" s="80" t="n"/>
      <c r="I304" s="80" t="n"/>
      <c r="J304" s="80" t="n"/>
      <c r="K304" s="80" t="n"/>
      <c r="L304" s="80" t="n"/>
      <c r="M304" s="80" t="n"/>
      <c r="N304" s="80" t="n"/>
      <c r="O304" s="80" t="n"/>
      <c r="P304" s="80" t="n"/>
      <c r="Q304" s="80" t="n"/>
      <c r="R304" s="80" t="n"/>
      <c r="S304" s="80" t="n"/>
      <c r="T304" s="80" t="n"/>
      <c r="U304" s="80" t="n"/>
      <c r="V304" s="80" t="n"/>
      <c r="W304" s="80" t="n"/>
      <c r="X304" s="80" t="n"/>
      <c r="Y304" s="80" t="n"/>
      <c r="Z304" s="80" t="n"/>
      <c r="AA304" s="80" t="n"/>
      <c r="AB304" s="80" t="n"/>
      <c r="AC304" s="80" t="n"/>
      <c r="AD304" s="80" t="n"/>
      <c r="AE304" s="80" t="n"/>
      <c r="AF304" s="80" t="n"/>
      <c r="AG304" s="80" t="n"/>
      <c r="AH304" s="80" t="n"/>
      <c r="AI304" s="80" t="n"/>
      <c r="AJ304" s="80" t="n"/>
      <c r="AK304" s="80" t="n"/>
      <c r="AL304" s="80" t="n"/>
      <c r="AM304" s="80" t="n"/>
      <c r="AN304" s="80" t="n"/>
      <c r="AO304" s="80" t="n"/>
      <c r="AP304" s="80" t="n"/>
      <c r="AQ304" s="80" t="n"/>
      <c r="AR304" s="80" t="n"/>
    </row>
    <row r="305">
      <c r="D305" s="80" t="n"/>
      <c r="E305" s="80" t="n"/>
      <c r="F305" s="80" t="n"/>
      <c r="G305" s="80" t="n"/>
      <c r="H305" s="80" t="n"/>
      <c r="I305" s="80" t="n"/>
      <c r="J305" s="80" t="n"/>
      <c r="K305" s="80" t="n"/>
      <c r="L305" s="80" t="n"/>
      <c r="M305" s="80" t="n"/>
      <c r="N305" s="80" t="n"/>
      <c r="O305" s="80" t="n"/>
      <c r="P305" s="80" t="n"/>
      <c r="Q305" s="80" t="n"/>
      <c r="R305" s="80" t="n"/>
      <c r="S305" s="80" t="n"/>
      <c r="T305" s="80" t="n"/>
      <c r="U305" s="80" t="n"/>
      <c r="V305" s="80" t="n"/>
      <c r="W305" s="80" t="n"/>
      <c r="X305" s="80" t="n"/>
      <c r="Y305" s="80" t="n"/>
      <c r="Z305" s="80" t="n"/>
      <c r="AA305" s="80" t="n"/>
      <c r="AB305" s="80" t="n"/>
      <c r="AC305" s="80" t="n"/>
      <c r="AD305" s="80" t="n"/>
      <c r="AE305" s="80" t="n"/>
      <c r="AF305" s="80" t="n"/>
      <c r="AG305" s="80" t="n"/>
      <c r="AH305" s="80" t="n"/>
      <c r="AI305" s="80" t="n"/>
      <c r="AJ305" s="80" t="n"/>
      <c r="AK305" s="80" t="n"/>
      <c r="AL305" s="80" t="n"/>
      <c r="AM305" s="80" t="n"/>
      <c r="AN305" s="80" t="n"/>
      <c r="AO305" s="80" t="n"/>
      <c r="AP305" s="80" t="n"/>
      <c r="AQ305" s="80" t="n"/>
      <c r="AR305" s="80" t="n"/>
    </row>
    <row r="306">
      <c r="D306" s="80" t="n"/>
      <c r="E306" s="80" t="n"/>
      <c r="F306" s="80" t="n"/>
      <c r="G306" s="80" t="n"/>
      <c r="H306" s="80" t="n"/>
      <c r="I306" s="80" t="n"/>
      <c r="J306" s="80" t="n"/>
      <c r="K306" s="80" t="n"/>
      <c r="L306" s="80" t="n"/>
      <c r="M306" s="80" t="n"/>
      <c r="N306" s="80" t="n"/>
      <c r="O306" s="80" t="n"/>
      <c r="P306" s="80" t="n"/>
      <c r="Q306" s="80" t="n"/>
      <c r="R306" s="80" t="n"/>
      <c r="S306" s="80" t="n"/>
      <c r="T306" s="80" t="n"/>
      <c r="U306" s="80" t="n"/>
      <c r="V306" s="80" t="n"/>
      <c r="W306" s="80" t="n"/>
      <c r="X306" s="80" t="n"/>
      <c r="Y306" s="80" t="n"/>
      <c r="Z306" s="80" t="n"/>
      <c r="AA306" s="80" t="n"/>
      <c r="AB306" s="80" t="n"/>
      <c r="AC306" s="80" t="n"/>
      <c r="AD306" s="80" t="n"/>
      <c r="AE306" s="80" t="n"/>
      <c r="AF306" s="80" t="n"/>
      <c r="AG306" s="80" t="n"/>
      <c r="AH306" s="80" t="n"/>
      <c r="AI306" s="80" t="n"/>
      <c r="AJ306" s="80" t="n"/>
      <c r="AK306" s="80" t="n"/>
      <c r="AL306" s="80" t="n"/>
      <c r="AM306" s="80" t="n"/>
      <c r="AN306" s="80" t="n"/>
      <c r="AO306" s="80" t="n"/>
      <c r="AP306" s="80" t="n"/>
      <c r="AQ306" s="80" t="n"/>
      <c r="AR306" s="80" t="n"/>
    </row>
    <row r="307">
      <c r="D307" s="80" t="n"/>
      <c r="E307" s="80" t="n"/>
      <c r="F307" s="80" t="n"/>
      <c r="G307" s="80" t="n"/>
      <c r="H307" s="80" t="n"/>
      <c r="I307" s="80" t="n"/>
      <c r="J307" s="80" t="n"/>
      <c r="K307" s="80" t="n"/>
      <c r="L307" s="80" t="n"/>
      <c r="M307" s="80" t="n"/>
      <c r="N307" s="80" t="n"/>
      <c r="O307" s="80" t="n"/>
      <c r="P307" s="80" t="n"/>
      <c r="Q307" s="80" t="n"/>
      <c r="R307" s="80" t="n"/>
      <c r="S307" s="80" t="n"/>
      <c r="T307" s="80" t="n"/>
      <c r="U307" s="80" t="n"/>
      <c r="V307" s="80" t="n"/>
      <c r="W307" s="80" t="n"/>
      <c r="X307" s="80" t="n"/>
      <c r="Y307" s="80" t="n"/>
      <c r="Z307" s="80" t="n"/>
      <c r="AA307" s="80" t="n"/>
      <c r="AB307" s="80" t="n"/>
      <c r="AC307" s="80" t="n"/>
      <c r="AD307" s="80" t="n"/>
      <c r="AE307" s="80" t="n"/>
      <c r="AF307" s="80" t="n"/>
      <c r="AG307" s="80" t="n"/>
      <c r="AH307" s="80" t="n"/>
      <c r="AI307" s="80" t="n"/>
      <c r="AJ307" s="80" t="n"/>
      <c r="AK307" s="80" t="n"/>
      <c r="AL307" s="80" t="n"/>
      <c r="AM307" s="80" t="n"/>
      <c r="AN307" s="80" t="n"/>
      <c r="AO307" s="80" t="n"/>
      <c r="AP307" s="80" t="n"/>
      <c r="AQ307" s="80" t="n"/>
      <c r="AR307" s="80" t="n"/>
    </row>
    <row r="309">
      <c r="A309" s="6">
        <f>IF(HSI!$C$27="","",HSI!$C$27)</f>
        <v/>
      </c>
      <c r="B309" s="41">
        <f>IF($A309="",0,COUNT($E310:$AR310))</f>
        <v/>
      </c>
      <c r="C309" s="81">
        <f>IF($B309=0,0,MAX($E310:$AR310))</f>
        <v/>
      </c>
      <c r="D309" s="82">
        <f>BDS($A309,'Field Check'!$C$7,"headers=y","startcol=1","endcol=7","dir=h","DVD_START_DT",Summary!$C$18,"DVD_END_DT",Summary!$D$18)</f>
        <v/>
      </c>
      <c r="E309" s="83" t="n"/>
      <c r="F309" s="83" t="n"/>
      <c r="G309" s="83" t="n"/>
      <c r="H309" s="83" t="n"/>
      <c r="I309" s="83" t="n"/>
      <c r="J309" s="83" t="n"/>
      <c r="K309" s="83" t="n"/>
      <c r="L309" s="83" t="n"/>
      <c r="M309" s="83" t="n"/>
      <c r="N309" s="83" t="n"/>
      <c r="O309" s="83" t="n"/>
      <c r="P309" s="83" t="n"/>
      <c r="Q309" s="83" t="n"/>
      <c r="R309" s="83" t="n"/>
      <c r="S309" s="83" t="n"/>
      <c r="T309" s="83" t="n"/>
      <c r="U309" s="83" t="n"/>
      <c r="V309" s="83" t="n"/>
      <c r="W309" s="83" t="n"/>
      <c r="X309" s="83" t="n"/>
      <c r="Y309" s="83" t="n"/>
      <c r="Z309" s="83" t="n"/>
      <c r="AA309" s="83" t="n"/>
      <c r="AB309" s="83" t="n"/>
      <c r="AC309" s="83" t="n"/>
      <c r="AD309" s="83" t="n"/>
      <c r="AE309" s="83" t="n"/>
      <c r="AF309" s="83" t="n"/>
      <c r="AG309" s="83" t="n"/>
      <c r="AH309" s="83" t="n"/>
      <c r="AI309" s="83" t="n"/>
      <c r="AJ309" s="83" t="n"/>
      <c r="AK309" s="83" t="n"/>
      <c r="AL309" s="83" t="n"/>
      <c r="AM309" s="83" t="n"/>
      <c r="AN309" s="83" t="n"/>
      <c r="AO309" s="83" t="n"/>
      <c r="AP309" s="83" t="n"/>
      <c r="AQ309" s="83" t="n"/>
      <c r="AR309" s="83" t="n"/>
    </row>
    <row r="310">
      <c r="D310" s="83" t="n"/>
      <c r="E310" s="83" t="n"/>
      <c r="F310" s="83" t="n"/>
      <c r="G310" s="83" t="n"/>
      <c r="H310" s="83" t="n"/>
      <c r="I310" s="83" t="n"/>
      <c r="J310" s="83" t="n"/>
      <c r="K310" s="83" t="n"/>
      <c r="L310" s="83" t="n"/>
      <c r="M310" s="83" t="n"/>
      <c r="N310" s="83" t="n"/>
      <c r="O310" s="83" t="n"/>
      <c r="P310" s="83" t="n"/>
      <c r="Q310" s="83" t="n"/>
      <c r="R310" s="83" t="n"/>
      <c r="S310" s="83" t="n"/>
      <c r="T310" s="83" t="n"/>
      <c r="U310" s="83" t="n"/>
      <c r="V310" s="83" t="n"/>
      <c r="W310" s="83" t="n"/>
      <c r="X310" s="83" t="n"/>
      <c r="Y310" s="83" t="n"/>
      <c r="Z310" s="83" t="n"/>
      <c r="AA310" s="83" t="n"/>
      <c r="AB310" s="83" t="n"/>
      <c r="AC310" s="83" t="n"/>
      <c r="AD310" s="83" t="n"/>
      <c r="AE310" s="83" t="n"/>
      <c r="AF310" s="83" t="n"/>
      <c r="AG310" s="83" t="n"/>
      <c r="AH310" s="83" t="n"/>
      <c r="AI310" s="83" t="n"/>
      <c r="AJ310" s="83" t="n"/>
      <c r="AK310" s="83" t="n"/>
      <c r="AL310" s="83" t="n"/>
      <c r="AM310" s="83" t="n"/>
      <c r="AN310" s="83" t="n"/>
      <c r="AO310" s="83" t="n"/>
      <c r="AP310" s="83" t="n"/>
      <c r="AQ310" s="83" t="n"/>
      <c r="AR310" s="83" t="n"/>
    </row>
    <row r="311">
      <c r="D311" s="84" t="n"/>
      <c r="E311" s="84" t="n"/>
      <c r="F311" s="84" t="n"/>
      <c r="G311" s="84" t="n"/>
      <c r="H311" s="84" t="n"/>
      <c r="I311" s="84" t="n"/>
      <c r="J311" s="84" t="n"/>
      <c r="K311" s="84" t="n"/>
      <c r="L311" s="84" t="n"/>
      <c r="M311" s="84" t="n"/>
      <c r="N311" s="84" t="n"/>
      <c r="O311" s="84" t="n"/>
      <c r="P311" s="84" t="n"/>
      <c r="Q311" s="84" t="n"/>
      <c r="R311" s="84" t="n"/>
      <c r="S311" s="84" t="n"/>
      <c r="T311" s="84" t="n"/>
      <c r="U311" s="84" t="n"/>
      <c r="V311" s="84" t="n"/>
      <c r="W311" s="84" t="n"/>
      <c r="X311" s="84" t="n"/>
      <c r="Y311" s="84" t="n"/>
      <c r="Z311" s="84" t="n"/>
      <c r="AA311" s="84" t="n"/>
      <c r="AB311" s="84" t="n"/>
      <c r="AC311" s="84" t="n"/>
      <c r="AD311" s="84" t="n"/>
      <c r="AE311" s="84" t="n"/>
      <c r="AF311" s="84" t="n"/>
      <c r="AG311" s="84" t="n"/>
      <c r="AH311" s="84" t="n"/>
      <c r="AI311" s="84" t="n"/>
      <c r="AJ311" s="84" t="n"/>
      <c r="AK311" s="84" t="n"/>
      <c r="AL311" s="84" t="n"/>
      <c r="AM311" s="84" t="n"/>
      <c r="AN311" s="84" t="n"/>
      <c r="AO311" s="84" t="n"/>
      <c r="AP311" s="84" t="n"/>
      <c r="AQ311" s="84" t="n"/>
      <c r="AR311" s="84" t="n"/>
    </row>
    <row r="312">
      <c r="D312" s="80" t="n"/>
      <c r="E312" s="80" t="n"/>
      <c r="F312" s="80" t="n"/>
      <c r="G312" s="80" t="n"/>
      <c r="H312" s="80" t="n"/>
      <c r="I312" s="80" t="n"/>
      <c r="J312" s="80" t="n"/>
      <c r="K312" s="80" t="n"/>
      <c r="L312" s="80" t="n"/>
      <c r="M312" s="80" t="n"/>
      <c r="N312" s="80" t="n"/>
      <c r="O312" s="80" t="n"/>
      <c r="P312" s="80" t="n"/>
      <c r="Q312" s="80" t="n"/>
      <c r="R312" s="80" t="n"/>
      <c r="S312" s="80" t="n"/>
      <c r="T312" s="80" t="n"/>
      <c r="U312" s="80" t="n"/>
      <c r="V312" s="80" t="n"/>
      <c r="W312" s="80" t="n"/>
      <c r="X312" s="80" t="n"/>
      <c r="Y312" s="80" t="n"/>
      <c r="Z312" s="80" t="n"/>
      <c r="AA312" s="80" t="n"/>
      <c r="AB312" s="80" t="n"/>
      <c r="AC312" s="80" t="n"/>
      <c r="AD312" s="80" t="n"/>
      <c r="AE312" s="80" t="n"/>
      <c r="AF312" s="80" t="n"/>
      <c r="AG312" s="80" t="n"/>
      <c r="AH312" s="80" t="n"/>
      <c r="AI312" s="80" t="n"/>
      <c r="AJ312" s="80" t="n"/>
      <c r="AK312" s="80" t="n"/>
      <c r="AL312" s="80" t="n"/>
      <c r="AM312" s="80" t="n"/>
      <c r="AN312" s="80" t="n"/>
      <c r="AO312" s="80" t="n"/>
      <c r="AP312" s="80" t="n"/>
      <c r="AQ312" s="80" t="n"/>
      <c r="AR312" s="80" t="n"/>
    </row>
    <row r="313">
      <c r="D313" s="80" t="n"/>
      <c r="E313" s="80" t="n"/>
      <c r="F313" s="80" t="n"/>
      <c r="G313" s="80" t="n"/>
      <c r="H313" s="80" t="n"/>
      <c r="I313" s="80" t="n"/>
      <c r="J313" s="80" t="n"/>
      <c r="K313" s="80" t="n"/>
      <c r="L313" s="80" t="n"/>
      <c r="M313" s="80" t="n"/>
      <c r="N313" s="80" t="n"/>
      <c r="O313" s="80" t="n"/>
      <c r="P313" s="80" t="n"/>
      <c r="Q313" s="80" t="n"/>
      <c r="R313" s="80" t="n"/>
      <c r="S313" s="80" t="n"/>
      <c r="T313" s="80" t="n"/>
      <c r="U313" s="80" t="n"/>
      <c r="V313" s="80" t="n"/>
      <c r="W313" s="80" t="n"/>
      <c r="X313" s="80" t="n"/>
      <c r="Y313" s="80" t="n"/>
      <c r="Z313" s="80" t="n"/>
      <c r="AA313" s="80" t="n"/>
      <c r="AB313" s="80" t="n"/>
      <c r="AC313" s="80" t="n"/>
      <c r="AD313" s="80" t="n"/>
      <c r="AE313" s="80" t="n"/>
      <c r="AF313" s="80" t="n"/>
      <c r="AG313" s="80" t="n"/>
      <c r="AH313" s="80" t="n"/>
      <c r="AI313" s="80" t="n"/>
      <c r="AJ313" s="80" t="n"/>
      <c r="AK313" s="80" t="n"/>
      <c r="AL313" s="80" t="n"/>
      <c r="AM313" s="80" t="n"/>
      <c r="AN313" s="80" t="n"/>
      <c r="AO313" s="80" t="n"/>
      <c r="AP313" s="80" t="n"/>
      <c r="AQ313" s="80" t="n"/>
      <c r="AR313" s="80" t="n"/>
    </row>
    <row r="314">
      <c r="D314" s="80" t="n"/>
      <c r="E314" s="80" t="n"/>
      <c r="F314" s="80" t="n"/>
      <c r="G314" s="80" t="n"/>
      <c r="H314" s="80" t="n"/>
      <c r="I314" s="80" t="n"/>
      <c r="J314" s="80" t="n"/>
      <c r="K314" s="80" t="n"/>
      <c r="L314" s="80" t="n"/>
      <c r="M314" s="80" t="n"/>
      <c r="N314" s="80" t="n"/>
      <c r="O314" s="80" t="n"/>
      <c r="P314" s="80" t="n"/>
      <c r="Q314" s="80" t="n"/>
      <c r="R314" s="80" t="n"/>
      <c r="S314" s="80" t="n"/>
      <c r="T314" s="80" t="n"/>
      <c r="U314" s="80" t="n"/>
      <c r="V314" s="80" t="n"/>
      <c r="W314" s="80" t="n"/>
      <c r="X314" s="80" t="n"/>
      <c r="Y314" s="80" t="n"/>
      <c r="Z314" s="80" t="n"/>
      <c r="AA314" s="80" t="n"/>
      <c r="AB314" s="80" t="n"/>
      <c r="AC314" s="80" t="n"/>
      <c r="AD314" s="80" t="n"/>
      <c r="AE314" s="80" t="n"/>
      <c r="AF314" s="80" t="n"/>
      <c r="AG314" s="80" t="n"/>
      <c r="AH314" s="80" t="n"/>
      <c r="AI314" s="80" t="n"/>
      <c r="AJ314" s="80" t="n"/>
      <c r="AK314" s="80" t="n"/>
      <c r="AL314" s="80" t="n"/>
      <c r="AM314" s="80" t="n"/>
      <c r="AN314" s="80" t="n"/>
      <c r="AO314" s="80" t="n"/>
      <c r="AP314" s="80" t="n"/>
      <c r="AQ314" s="80" t="n"/>
      <c r="AR314" s="80" t="n"/>
    </row>
    <row r="315">
      <c r="D315" s="80" t="n"/>
      <c r="E315" s="80" t="n"/>
      <c r="F315" s="80" t="n"/>
      <c r="G315" s="80" t="n"/>
      <c r="H315" s="80" t="n"/>
      <c r="I315" s="80" t="n"/>
      <c r="J315" s="80" t="n"/>
      <c r="K315" s="80" t="n"/>
      <c r="L315" s="80" t="n"/>
      <c r="M315" s="80" t="n"/>
      <c r="N315" s="80" t="n"/>
      <c r="O315" s="80" t="n"/>
      <c r="P315" s="80" t="n"/>
      <c r="Q315" s="80" t="n"/>
      <c r="R315" s="80" t="n"/>
      <c r="S315" s="80" t="n"/>
      <c r="T315" s="80" t="n"/>
      <c r="U315" s="80" t="n"/>
      <c r="V315" s="80" t="n"/>
      <c r="W315" s="80" t="n"/>
      <c r="X315" s="80" t="n"/>
      <c r="Y315" s="80" t="n"/>
      <c r="Z315" s="80" t="n"/>
      <c r="AA315" s="80" t="n"/>
      <c r="AB315" s="80" t="n"/>
      <c r="AC315" s="80" t="n"/>
      <c r="AD315" s="80" t="n"/>
      <c r="AE315" s="80" t="n"/>
      <c r="AF315" s="80" t="n"/>
      <c r="AG315" s="80" t="n"/>
      <c r="AH315" s="80" t="n"/>
      <c r="AI315" s="80" t="n"/>
      <c r="AJ315" s="80" t="n"/>
      <c r="AK315" s="80" t="n"/>
      <c r="AL315" s="80" t="n"/>
      <c r="AM315" s="80" t="n"/>
      <c r="AN315" s="80" t="n"/>
      <c r="AO315" s="80" t="n"/>
      <c r="AP315" s="80" t="n"/>
      <c r="AQ315" s="80" t="n"/>
      <c r="AR315" s="80" t="n"/>
    </row>
    <row r="316">
      <c r="A316" s="2">
        <f>IF($A309="","","   projections")</f>
        <v/>
      </c>
      <c r="B316" s="41">
        <f>IF($A309="",0,COUNT($E317:$AR317))</f>
        <v/>
      </c>
      <c r="C316" s="81">
        <f>IF($B316=0,0,MAX($E317:$AR317))</f>
        <v/>
      </c>
      <c r="D316" s="82">
        <f>BDS($A309,'Field Check'!$C$6,"headers=y","startcol=1","endcol=7","dir=h")</f>
        <v/>
      </c>
      <c r="E316" s="83" t="n"/>
      <c r="F316" s="83" t="n"/>
      <c r="G316" s="83" t="n"/>
      <c r="H316" s="83" t="n"/>
      <c r="I316" s="83" t="n"/>
      <c r="J316" s="83" t="n"/>
      <c r="K316" s="83" t="n"/>
      <c r="L316" s="83" t="n"/>
      <c r="M316" s="83" t="n"/>
      <c r="N316" s="83" t="n"/>
      <c r="O316" s="83" t="n"/>
      <c r="P316" s="83" t="n"/>
      <c r="Q316" s="83" t="n"/>
      <c r="R316" s="83" t="n"/>
      <c r="S316" s="83" t="n"/>
      <c r="T316" s="83" t="n"/>
      <c r="U316" s="83" t="n"/>
      <c r="V316" s="83" t="n"/>
      <c r="W316" s="83" t="n"/>
      <c r="X316" s="83" t="n"/>
      <c r="Y316" s="83" t="n"/>
      <c r="Z316" s="83" t="n"/>
      <c r="AA316" s="83" t="n"/>
      <c r="AB316" s="83" t="n"/>
      <c r="AC316" s="83" t="n"/>
      <c r="AD316" s="83" t="n"/>
      <c r="AE316" s="83" t="n"/>
      <c r="AF316" s="83" t="n"/>
      <c r="AG316" s="83" t="n"/>
      <c r="AH316" s="83" t="n"/>
      <c r="AI316" s="83" t="n"/>
      <c r="AJ316" s="83" t="n"/>
      <c r="AK316" s="83" t="n"/>
      <c r="AL316" s="83" t="n"/>
      <c r="AM316" s="83" t="n"/>
      <c r="AN316" s="83" t="n"/>
      <c r="AO316" s="83" t="n"/>
      <c r="AP316" s="83" t="n"/>
      <c r="AQ316" s="83" t="n"/>
      <c r="AR316" s="83" t="n"/>
    </row>
    <row r="317">
      <c r="D317" s="83" t="n"/>
      <c r="E317" s="83" t="n"/>
      <c r="F317" s="83" t="n"/>
      <c r="G317" s="83" t="n"/>
      <c r="H317" s="83" t="n"/>
      <c r="I317" s="83" t="n"/>
      <c r="J317" s="83" t="n"/>
      <c r="K317" s="83" t="n"/>
      <c r="L317" s="83" t="n"/>
      <c r="M317" s="83" t="n"/>
      <c r="N317" s="83" t="n"/>
      <c r="O317" s="83" t="n"/>
      <c r="P317" s="83" t="n"/>
      <c r="Q317" s="83" t="n"/>
      <c r="R317" s="83" t="n"/>
      <c r="S317" s="83" t="n"/>
      <c r="T317" s="83" t="n"/>
      <c r="U317" s="83" t="n"/>
      <c r="V317" s="83" t="n"/>
      <c r="W317" s="83" t="n"/>
      <c r="X317" s="83" t="n"/>
      <c r="Y317" s="83" t="n"/>
      <c r="Z317" s="83" t="n"/>
      <c r="AA317" s="83" t="n"/>
      <c r="AB317" s="83" t="n"/>
      <c r="AC317" s="83" t="n"/>
      <c r="AD317" s="83" t="n"/>
      <c r="AE317" s="83" t="n"/>
      <c r="AF317" s="83" t="n"/>
      <c r="AG317" s="83" t="n"/>
      <c r="AH317" s="83" t="n"/>
      <c r="AI317" s="83" t="n"/>
      <c r="AJ317" s="83" t="n"/>
      <c r="AK317" s="83" t="n"/>
      <c r="AL317" s="83" t="n"/>
      <c r="AM317" s="83" t="n"/>
      <c r="AN317" s="83" t="n"/>
      <c r="AO317" s="83" t="n"/>
      <c r="AP317" s="83" t="n"/>
      <c r="AQ317" s="83" t="n"/>
      <c r="AR317" s="83" t="n"/>
    </row>
    <row r="318">
      <c r="D318" s="84" t="n"/>
      <c r="E318" s="84" t="n"/>
      <c r="F318" s="84" t="n"/>
      <c r="G318" s="84" t="n"/>
      <c r="H318" s="84" t="n"/>
      <c r="I318" s="84" t="n"/>
      <c r="J318" s="84" t="n"/>
      <c r="K318" s="84" t="n"/>
      <c r="L318" s="84" t="n"/>
      <c r="M318" s="84" t="n"/>
      <c r="N318" s="84" t="n"/>
      <c r="O318" s="84" t="n"/>
      <c r="P318" s="84" t="n"/>
      <c r="Q318" s="84" t="n"/>
      <c r="R318" s="84" t="n"/>
      <c r="S318" s="84" t="n"/>
      <c r="T318" s="84" t="n"/>
      <c r="U318" s="84" t="n"/>
      <c r="V318" s="84" t="n"/>
      <c r="W318" s="84" t="n"/>
      <c r="X318" s="84" t="n"/>
      <c r="Y318" s="84" t="n"/>
      <c r="Z318" s="84" t="n"/>
      <c r="AA318" s="84" t="n"/>
      <c r="AB318" s="84" t="n"/>
      <c r="AC318" s="84" t="n"/>
      <c r="AD318" s="84" t="n"/>
      <c r="AE318" s="84" t="n"/>
      <c r="AF318" s="84" t="n"/>
      <c r="AG318" s="84" t="n"/>
      <c r="AH318" s="84" t="n"/>
      <c r="AI318" s="84" t="n"/>
      <c r="AJ318" s="84" t="n"/>
      <c r="AK318" s="84" t="n"/>
      <c r="AL318" s="84" t="n"/>
      <c r="AM318" s="84" t="n"/>
      <c r="AN318" s="84" t="n"/>
      <c r="AO318" s="84" t="n"/>
      <c r="AP318" s="84" t="n"/>
      <c r="AQ318" s="84" t="n"/>
      <c r="AR318" s="84" t="n"/>
    </row>
    <row r="319">
      <c r="D319" s="80" t="n"/>
      <c r="E319" s="80" t="n"/>
      <c r="F319" s="80" t="n"/>
      <c r="G319" s="80" t="n"/>
      <c r="H319" s="80" t="n"/>
      <c r="I319" s="80" t="n"/>
      <c r="J319" s="80" t="n"/>
      <c r="K319" s="80" t="n"/>
      <c r="L319" s="80" t="n"/>
      <c r="M319" s="80" t="n"/>
      <c r="N319" s="80" t="n"/>
      <c r="O319" s="80" t="n"/>
      <c r="P319" s="80" t="n"/>
      <c r="Q319" s="80" t="n"/>
      <c r="R319" s="80" t="n"/>
      <c r="S319" s="80" t="n"/>
      <c r="T319" s="80" t="n"/>
      <c r="U319" s="80" t="n"/>
      <c r="V319" s="80" t="n"/>
      <c r="W319" s="80" t="n"/>
      <c r="X319" s="80" t="n"/>
      <c r="Y319" s="80" t="n"/>
      <c r="Z319" s="80" t="n"/>
      <c r="AA319" s="80" t="n"/>
      <c r="AB319" s="80" t="n"/>
      <c r="AC319" s="80" t="n"/>
      <c r="AD319" s="80" t="n"/>
      <c r="AE319" s="80" t="n"/>
      <c r="AF319" s="80" t="n"/>
      <c r="AG319" s="80" t="n"/>
      <c r="AH319" s="80" t="n"/>
      <c r="AI319" s="80" t="n"/>
      <c r="AJ319" s="80" t="n"/>
      <c r="AK319" s="80" t="n"/>
      <c r="AL319" s="80" t="n"/>
      <c r="AM319" s="80" t="n"/>
      <c r="AN319" s="80" t="n"/>
      <c r="AO319" s="80" t="n"/>
      <c r="AP319" s="80" t="n"/>
      <c r="AQ319" s="80" t="n"/>
      <c r="AR319" s="80" t="n"/>
    </row>
    <row r="320">
      <c r="D320" s="80" t="n"/>
      <c r="E320" s="80" t="n"/>
      <c r="F320" s="80" t="n"/>
      <c r="G320" s="80" t="n"/>
      <c r="H320" s="80" t="n"/>
      <c r="I320" s="80" t="n"/>
      <c r="J320" s="80" t="n"/>
      <c r="K320" s="80" t="n"/>
      <c r="L320" s="80" t="n"/>
      <c r="M320" s="80" t="n"/>
      <c r="N320" s="80" t="n"/>
      <c r="O320" s="80" t="n"/>
      <c r="P320" s="80" t="n"/>
      <c r="Q320" s="80" t="n"/>
      <c r="R320" s="80" t="n"/>
      <c r="S320" s="80" t="n"/>
      <c r="T320" s="80" t="n"/>
      <c r="U320" s="80" t="n"/>
      <c r="V320" s="80" t="n"/>
      <c r="W320" s="80" t="n"/>
      <c r="X320" s="80" t="n"/>
      <c r="Y320" s="80" t="n"/>
      <c r="Z320" s="80" t="n"/>
      <c r="AA320" s="80" t="n"/>
      <c r="AB320" s="80" t="n"/>
      <c r="AC320" s="80" t="n"/>
      <c r="AD320" s="80" t="n"/>
      <c r="AE320" s="80" t="n"/>
      <c r="AF320" s="80" t="n"/>
      <c r="AG320" s="80" t="n"/>
      <c r="AH320" s="80" t="n"/>
      <c r="AI320" s="80" t="n"/>
      <c r="AJ320" s="80" t="n"/>
      <c r="AK320" s="80" t="n"/>
      <c r="AL320" s="80" t="n"/>
      <c r="AM320" s="80" t="n"/>
      <c r="AN320" s="80" t="n"/>
      <c r="AO320" s="80" t="n"/>
      <c r="AP320" s="80" t="n"/>
      <c r="AQ320" s="80" t="n"/>
      <c r="AR320" s="80" t="n"/>
    </row>
    <row r="321">
      <c r="D321" s="80" t="n"/>
      <c r="E321" s="80" t="n"/>
      <c r="F321" s="80" t="n"/>
      <c r="G321" s="80" t="n"/>
      <c r="H321" s="80" t="n"/>
      <c r="I321" s="80" t="n"/>
      <c r="J321" s="80" t="n"/>
      <c r="K321" s="80" t="n"/>
      <c r="L321" s="80" t="n"/>
      <c r="M321" s="80" t="n"/>
      <c r="N321" s="80" t="n"/>
      <c r="O321" s="80" t="n"/>
      <c r="P321" s="80" t="n"/>
      <c r="Q321" s="80" t="n"/>
      <c r="R321" s="80" t="n"/>
      <c r="S321" s="80" t="n"/>
      <c r="T321" s="80" t="n"/>
      <c r="U321" s="80" t="n"/>
      <c r="V321" s="80" t="n"/>
      <c r="W321" s="80" t="n"/>
      <c r="X321" s="80" t="n"/>
      <c r="Y321" s="80" t="n"/>
      <c r="Z321" s="80" t="n"/>
      <c r="AA321" s="80" t="n"/>
      <c r="AB321" s="80" t="n"/>
      <c r="AC321" s="80" t="n"/>
      <c r="AD321" s="80" t="n"/>
      <c r="AE321" s="80" t="n"/>
      <c r="AF321" s="80" t="n"/>
      <c r="AG321" s="80" t="n"/>
      <c r="AH321" s="80" t="n"/>
      <c r="AI321" s="80" t="n"/>
      <c r="AJ321" s="80" t="n"/>
      <c r="AK321" s="80" t="n"/>
      <c r="AL321" s="80" t="n"/>
      <c r="AM321" s="80" t="n"/>
      <c r="AN321" s="80" t="n"/>
      <c r="AO321" s="80" t="n"/>
      <c r="AP321" s="80" t="n"/>
      <c r="AQ321" s="80" t="n"/>
      <c r="AR321" s="80" t="n"/>
    </row>
    <row r="322">
      <c r="D322" s="80" t="n"/>
      <c r="E322" s="80" t="n"/>
      <c r="F322" s="80" t="n"/>
      <c r="G322" s="80" t="n"/>
      <c r="H322" s="80" t="n"/>
      <c r="I322" s="80" t="n"/>
      <c r="J322" s="80" t="n"/>
      <c r="K322" s="80" t="n"/>
      <c r="L322" s="80" t="n"/>
      <c r="M322" s="80" t="n"/>
      <c r="N322" s="80" t="n"/>
      <c r="O322" s="80" t="n"/>
      <c r="P322" s="80" t="n"/>
      <c r="Q322" s="80" t="n"/>
      <c r="R322" s="80" t="n"/>
      <c r="S322" s="80" t="n"/>
      <c r="T322" s="80" t="n"/>
      <c r="U322" s="80" t="n"/>
      <c r="V322" s="80" t="n"/>
      <c r="W322" s="80" t="n"/>
      <c r="X322" s="80" t="n"/>
      <c r="Y322" s="80" t="n"/>
      <c r="Z322" s="80" t="n"/>
      <c r="AA322" s="80" t="n"/>
      <c r="AB322" s="80" t="n"/>
      <c r="AC322" s="80" t="n"/>
      <c r="AD322" s="80" t="n"/>
      <c r="AE322" s="80" t="n"/>
      <c r="AF322" s="80" t="n"/>
      <c r="AG322" s="80" t="n"/>
      <c r="AH322" s="80" t="n"/>
      <c r="AI322" s="80" t="n"/>
      <c r="AJ322" s="80" t="n"/>
      <c r="AK322" s="80" t="n"/>
      <c r="AL322" s="80" t="n"/>
      <c r="AM322" s="80" t="n"/>
      <c r="AN322" s="80" t="n"/>
      <c r="AO322" s="80" t="n"/>
      <c r="AP322" s="80" t="n"/>
      <c r="AQ322" s="80" t="n"/>
      <c r="AR322" s="80" t="n"/>
    </row>
    <row r="324">
      <c r="A324" s="6">
        <f>IF(HSI!$C$28="","",HSI!$C$28)</f>
        <v/>
      </c>
      <c r="B324" s="41">
        <f>IF($A324="",0,COUNT($E325:$AR325))</f>
        <v/>
      </c>
      <c r="C324" s="81">
        <f>IF($B324=0,0,MAX($E325:$AR325))</f>
        <v/>
      </c>
      <c r="D324" s="82">
        <f>BDS($A324,'Field Check'!$C$7,"headers=y","startcol=1","endcol=7","dir=h","DVD_START_DT",Summary!$C$18,"DVD_END_DT",Summary!$D$18)</f>
        <v/>
      </c>
      <c r="E324" s="83" t="n"/>
      <c r="F324" s="83" t="n"/>
      <c r="G324" s="83" t="n"/>
      <c r="H324" s="83" t="n"/>
      <c r="I324" s="83" t="n"/>
      <c r="J324" s="83" t="n"/>
      <c r="K324" s="83" t="n"/>
      <c r="L324" s="83" t="n"/>
      <c r="M324" s="83" t="n"/>
      <c r="N324" s="83" t="n"/>
      <c r="O324" s="83" t="n"/>
      <c r="P324" s="83" t="n"/>
      <c r="Q324" s="83" t="n"/>
      <c r="R324" s="83" t="n"/>
      <c r="S324" s="83" t="n"/>
      <c r="T324" s="83" t="n"/>
      <c r="U324" s="83" t="n"/>
      <c r="V324" s="83" t="n"/>
      <c r="W324" s="83" t="n"/>
      <c r="X324" s="83" t="n"/>
      <c r="Y324" s="83" t="n"/>
      <c r="Z324" s="83" t="n"/>
      <c r="AA324" s="83" t="n"/>
      <c r="AB324" s="83" t="n"/>
      <c r="AC324" s="83" t="n"/>
      <c r="AD324" s="83" t="n"/>
      <c r="AE324" s="83" t="n"/>
      <c r="AF324" s="83" t="n"/>
      <c r="AG324" s="83" t="n"/>
      <c r="AH324" s="83" t="n"/>
      <c r="AI324" s="83" t="n"/>
      <c r="AJ324" s="83" t="n"/>
      <c r="AK324" s="83" t="n"/>
      <c r="AL324" s="83" t="n"/>
      <c r="AM324" s="83" t="n"/>
      <c r="AN324" s="83" t="n"/>
      <c r="AO324" s="83" t="n"/>
      <c r="AP324" s="83" t="n"/>
      <c r="AQ324" s="83" t="n"/>
      <c r="AR324" s="83" t="n"/>
    </row>
    <row r="325">
      <c r="D325" s="83" t="n"/>
      <c r="E325" s="83" t="n"/>
      <c r="F325" s="83" t="n"/>
      <c r="G325" s="83" t="n"/>
      <c r="H325" s="83" t="n"/>
      <c r="I325" s="83" t="n"/>
      <c r="J325" s="83" t="n"/>
      <c r="K325" s="83" t="n"/>
      <c r="L325" s="83" t="n"/>
      <c r="M325" s="83" t="n"/>
      <c r="N325" s="83" t="n"/>
      <c r="O325" s="83" t="n"/>
      <c r="P325" s="83" t="n"/>
      <c r="Q325" s="83" t="n"/>
      <c r="R325" s="83" t="n"/>
      <c r="S325" s="83" t="n"/>
      <c r="T325" s="83" t="n"/>
      <c r="U325" s="83" t="n"/>
      <c r="V325" s="83" t="n"/>
      <c r="W325" s="83" t="n"/>
      <c r="X325" s="83" t="n"/>
      <c r="Y325" s="83" t="n"/>
      <c r="Z325" s="83" t="n"/>
      <c r="AA325" s="83" t="n"/>
      <c r="AB325" s="83" t="n"/>
      <c r="AC325" s="83" t="n"/>
      <c r="AD325" s="83" t="n"/>
      <c r="AE325" s="83" t="n"/>
      <c r="AF325" s="83" t="n"/>
      <c r="AG325" s="83" t="n"/>
      <c r="AH325" s="83" t="n"/>
      <c r="AI325" s="83" t="n"/>
      <c r="AJ325" s="83" t="n"/>
      <c r="AK325" s="83" t="n"/>
      <c r="AL325" s="83" t="n"/>
      <c r="AM325" s="83" t="n"/>
      <c r="AN325" s="83" t="n"/>
      <c r="AO325" s="83" t="n"/>
      <c r="AP325" s="83" t="n"/>
      <c r="AQ325" s="83" t="n"/>
      <c r="AR325" s="83" t="n"/>
    </row>
    <row r="326">
      <c r="D326" s="84" t="n"/>
      <c r="E326" s="84" t="n"/>
      <c r="F326" s="84" t="n"/>
      <c r="G326" s="84" t="n"/>
      <c r="H326" s="84" t="n"/>
      <c r="I326" s="84" t="n"/>
      <c r="J326" s="84" t="n"/>
      <c r="K326" s="84" t="n"/>
      <c r="L326" s="84" t="n"/>
      <c r="M326" s="84" t="n"/>
      <c r="N326" s="84" t="n"/>
      <c r="O326" s="84" t="n"/>
      <c r="P326" s="84" t="n"/>
      <c r="Q326" s="84" t="n"/>
      <c r="R326" s="84" t="n"/>
      <c r="S326" s="84" t="n"/>
      <c r="T326" s="84" t="n"/>
      <c r="U326" s="84" t="n"/>
      <c r="V326" s="84" t="n"/>
      <c r="W326" s="84" t="n"/>
      <c r="X326" s="84" t="n"/>
      <c r="Y326" s="84" t="n"/>
      <c r="Z326" s="84" t="n"/>
      <c r="AA326" s="84" t="n"/>
      <c r="AB326" s="84" t="n"/>
      <c r="AC326" s="84" t="n"/>
      <c r="AD326" s="84" t="n"/>
      <c r="AE326" s="84" t="n"/>
      <c r="AF326" s="84" t="n"/>
      <c r="AG326" s="84" t="n"/>
      <c r="AH326" s="84" t="n"/>
      <c r="AI326" s="84" t="n"/>
      <c r="AJ326" s="84" t="n"/>
      <c r="AK326" s="84" t="n"/>
      <c r="AL326" s="84" t="n"/>
      <c r="AM326" s="84" t="n"/>
      <c r="AN326" s="84" t="n"/>
      <c r="AO326" s="84" t="n"/>
      <c r="AP326" s="84" t="n"/>
      <c r="AQ326" s="84" t="n"/>
      <c r="AR326" s="84" t="n"/>
    </row>
    <row r="327">
      <c r="D327" s="80" t="n"/>
      <c r="E327" s="80" t="n"/>
      <c r="F327" s="80" t="n"/>
      <c r="G327" s="80" t="n"/>
      <c r="H327" s="80" t="n"/>
      <c r="I327" s="80" t="n"/>
      <c r="J327" s="80" t="n"/>
      <c r="K327" s="80" t="n"/>
      <c r="L327" s="80" t="n"/>
      <c r="M327" s="80" t="n"/>
      <c r="N327" s="80" t="n"/>
      <c r="O327" s="80" t="n"/>
      <c r="P327" s="80" t="n"/>
      <c r="Q327" s="80" t="n"/>
      <c r="R327" s="80" t="n"/>
      <c r="S327" s="80" t="n"/>
      <c r="T327" s="80" t="n"/>
      <c r="U327" s="80" t="n"/>
      <c r="V327" s="80" t="n"/>
      <c r="W327" s="80" t="n"/>
      <c r="X327" s="80" t="n"/>
      <c r="Y327" s="80" t="n"/>
      <c r="Z327" s="80" t="n"/>
      <c r="AA327" s="80" t="n"/>
      <c r="AB327" s="80" t="n"/>
      <c r="AC327" s="80" t="n"/>
      <c r="AD327" s="80" t="n"/>
      <c r="AE327" s="80" t="n"/>
      <c r="AF327" s="80" t="n"/>
      <c r="AG327" s="80" t="n"/>
      <c r="AH327" s="80" t="n"/>
      <c r="AI327" s="80" t="n"/>
      <c r="AJ327" s="80" t="n"/>
      <c r="AK327" s="80" t="n"/>
      <c r="AL327" s="80" t="n"/>
      <c r="AM327" s="80" t="n"/>
      <c r="AN327" s="80" t="n"/>
      <c r="AO327" s="80" t="n"/>
      <c r="AP327" s="80" t="n"/>
      <c r="AQ327" s="80" t="n"/>
      <c r="AR327" s="80" t="n"/>
    </row>
    <row r="328">
      <c r="D328" s="80" t="n"/>
      <c r="E328" s="80" t="n"/>
      <c r="F328" s="80" t="n"/>
      <c r="G328" s="80" t="n"/>
      <c r="H328" s="80" t="n"/>
      <c r="I328" s="80" t="n"/>
      <c r="J328" s="80" t="n"/>
      <c r="K328" s="80" t="n"/>
      <c r="L328" s="80" t="n"/>
      <c r="M328" s="80" t="n"/>
      <c r="N328" s="80" t="n"/>
      <c r="O328" s="80" t="n"/>
      <c r="P328" s="80" t="n"/>
      <c r="Q328" s="80" t="n"/>
      <c r="R328" s="80" t="n"/>
      <c r="S328" s="80" t="n"/>
      <c r="T328" s="80" t="n"/>
      <c r="U328" s="80" t="n"/>
      <c r="V328" s="80" t="n"/>
      <c r="W328" s="80" t="n"/>
      <c r="X328" s="80" t="n"/>
      <c r="Y328" s="80" t="n"/>
      <c r="Z328" s="80" t="n"/>
      <c r="AA328" s="80" t="n"/>
      <c r="AB328" s="80" t="n"/>
      <c r="AC328" s="80" t="n"/>
      <c r="AD328" s="80" t="n"/>
      <c r="AE328" s="80" t="n"/>
      <c r="AF328" s="80" t="n"/>
      <c r="AG328" s="80" t="n"/>
      <c r="AH328" s="80" t="n"/>
      <c r="AI328" s="80" t="n"/>
      <c r="AJ328" s="80" t="n"/>
      <c r="AK328" s="80" t="n"/>
      <c r="AL328" s="80" t="n"/>
      <c r="AM328" s="80" t="n"/>
      <c r="AN328" s="80" t="n"/>
      <c r="AO328" s="80" t="n"/>
      <c r="AP328" s="80" t="n"/>
      <c r="AQ328" s="80" t="n"/>
      <c r="AR328" s="80" t="n"/>
    </row>
    <row r="329">
      <c r="D329" s="80" t="n"/>
      <c r="E329" s="80" t="n"/>
      <c r="F329" s="80" t="n"/>
      <c r="G329" s="80" t="n"/>
      <c r="H329" s="80" t="n"/>
      <c r="I329" s="80" t="n"/>
      <c r="J329" s="80" t="n"/>
      <c r="K329" s="80" t="n"/>
      <c r="L329" s="80" t="n"/>
      <c r="M329" s="80" t="n"/>
      <c r="N329" s="80" t="n"/>
      <c r="O329" s="80" t="n"/>
      <c r="P329" s="80" t="n"/>
      <c r="Q329" s="80" t="n"/>
      <c r="R329" s="80" t="n"/>
      <c r="S329" s="80" t="n"/>
      <c r="T329" s="80" t="n"/>
      <c r="U329" s="80" t="n"/>
      <c r="V329" s="80" t="n"/>
      <c r="W329" s="80" t="n"/>
      <c r="X329" s="80" t="n"/>
      <c r="Y329" s="80" t="n"/>
      <c r="Z329" s="80" t="n"/>
      <c r="AA329" s="80" t="n"/>
      <c r="AB329" s="80" t="n"/>
      <c r="AC329" s="80" t="n"/>
      <c r="AD329" s="80" t="n"/>
      <c r="AE329" s="80" t="n"/>
      <c r="AF329" s="80" t="n"/>
      <c r="AG329" s="80" t="n"/>
      <c r="AH329" s="80" t="n"/>
      <c r="AI329" s="80" t="n"/>
      <c r="AJ329" s="80" t="n"/>
      <c r="AK329" s="80" t="n"/>
      <c r="AL329" s="80" t="n"/>
      <c r="AM329" s="80" t="n"/>
      <c r="AN329" s="80" t="n"/>
      <c r="AO329" s="80" t="n"/>
      <c r="AP329" s="80" t="n"/>
      <c r="AQ329" s="80" t="n"/>
      <c r="AR329" s="80" t="n"/>
    </row>
    <row r="330">
      <c r="D330" s="80" t="n"/>
      <c r="E330" s="80" t="n"/>
      <c r="F330" s="80" t="n"/>
      <c r="G330" s="80" t="n"/>
      <c r="H330" s="80" t="n"/>
      <c r="I330" s="80" t="n"/>
      <c r="J330" s="80" t="n"/>
      <c r="K330" s="80" t="n"/>
      <c r="L330" s="80" t="n"/>
      <c r="M330" s="80" t="n"/>
      <c r="N330" s="80" t="n"/>
      <c r="O330" s="80" t="n"/>
      <c r="P330" s="80" t="n"/>
      <c r="Q330" s="80" t="n"/>
      <c r="R330" s="80" t="n"/>
      <c r="S330" s="80" t="n"/>
      <c r="T330" s="80" t="n"/>
      <c r="U330" s="80" t="n"/>
      <c r="V330" s="80" t="n"/>
      <c r="W330" s="80" t="n"/>
      <c r="X330" s="80" t="n"/>
      <c r="Y330" s="80" t="n"/>
      <c r="Z330" s="80" t="n"/>
      <c r="AA330" s="80" t="n"/>
      <c r="AB330" s="80" t="n"/>
      <c r="AC330" s="80" t="n"/>
      <c r="AD330" s="80" t="n"/>
      <c r="AE330" s="80" t="n"/>
      <c r="AF330" s="80" t="n"/>
      <c r="AG330" s="80" t="n"/>
      <c r="AH330" s="80" t="n"/>
      <c r="AI330" s="80" t="n"/>
      <c r="AJ330" s="80" t="n"/>
      <c r="AK330" s="80" t="n"/>
      <c r="AL330" s="80" t="n"/>
      <c r="AM330" s="80" t="n"/>
      <c r="AN330" s="80" t="n"/>
      <c r="AO330" s="80" t="n"/>
      <c r="AP330" s="80" t="n"/>
      <c r="AQ330" s="80" t="n"/>
      <c r="AR330" s="80" t="n"/>
    </row>
    <row r="331">
      <c r="A331" s="2">
        <f>IF($A324="","","   projections")</f>
        <v/>
      </c>
      <c r="B331" s="41">
        <f>IF($A324="",0,COUNT($E332:$AR332))</f>
        <v/>
      </c>
      <c r="C331" s="81">
        <f>IF($B331=0,0,MAX($E332:$AR332))</f>
        <v/>
      </c>
      <c r="D331" s="82">
        <f>BDS($A324,'Field Check'!$C$6,"headers=y","startcol=1","endcol=7","dir=h")</f>
        <v/>
      </c>
      <c r="E331" s="83" t="n"/>
      <c r="F331" s="83" t="n"/>
      <c r="G331" s="83" t="n"/>
      <c r="H331" s="83" t="n"/>
      <c r="I331" s="83" t="n"/>
      <c r="J331" s="83" t="n"/>
      <c r="K331" s="83" t="n"/>
      <c r="L331" s="83" t="n"/>
      <c r="M331" s="83" t="n"/>
      <c r="N331" s="83" t="n"/>
      <c r="O331" s="83" t="n"/>
      <c r="P331" s="83" t="n"/>
      <c r="Q331" s="83" t="n"/>
      <c r="R331" s="83" t="n"/>
      <c r="S331" s="83" t="n"/>
      <c r="T331" s="83" t="n"/>
      <c r="U331" s="83" t="n"/>
      <c r="V331" s="83" t="n"/>
      <c r="W331" s="83" t="n"/>
      <c r="X331" s="83" t="n"/>
      <c r="Y331" s="83" t="n"/>
      <c r="Z331" s="83" t="n"/>
      <c r="AA331" s="83" t="n"/>
      <c r="AB331" s="83" t="n"/>
      <c r="AC331" s="83" t="n"/>
      <c r="AD331" s="83" t="n"/>
      <c r="AE331" s="83" t="n"/>
      <c r="AF331" s="83" t="n"/>
      <c r="AG331" s="83" t="n"/>
      <c r="AH331" s="83" t="n"/>
      <c r="AI331" s="83" t="n"/>
      <c r="AJ331" s="83" t="n"/>
      <c r="AK331" s="83" t="n"/>
      <c r="AL331" s="83" t="n"/>
      <c r="AM331" s="83" t="n"/>
      <c r="AN331" s="83" t="n"/>
      <c r="AO331" s="83" t="n"/>
      <c r="AP331" s="83" t="n"/>
      <c r="AQ331" s="83" t="n"/>
      <c r="AR331" s="83" t="n"/>
    </row>
    <row r="332">
      <c r="D332" s="83" t="n"/>
      <c r="E332" s="83" t="n"/>
      <c r="F332" s="83" t="n"/>
      <c r="G332" s="83" t="n"/>
      <c r="H332" s="83" t="n"/>
      <c r="I332" s="83" t="n"/>
      <c r="J332" s="83" t="n"/>
      <c r="K332" s="83" t="n"/>
      <c r="L332" s="83" t="n"/>
      <c r="M332" s="83" t="n"/>
      <c r="N332" s="83" t="n"/>
      <c r="O332" s="83" t="n"/>
      <c r="P332" s="83" t="n"/>
      <c r="Q332" s="83" t="n"/>
      <c r="R332" s="83" t="n"/>
      <c r="S332" s="83" t="n"/>
      <c r="T332" s="83" t="n"/>
      <c r="U332" s="83" t="n"/>
      <c r="V332" s="83" t="n"/>
      <c r="W332" s="83" t="n"/>
      <c r="X332" s="83" t="n"/>
      <c r="Y332" s="83" t="n"/>
      <c r="Z332" s="83" t="n"/>
      <c r="AA332" s="83" t="n"/>
      <c r="AB332" s="83" t="n"/>
      <c r="AC332" s="83" t="n"/>
      <c r="AD332" s="83" t="n"/>
      <c r="AE332" s="83" t="n"/>
      <c r="AF332" s="83" t="n"/>
      <c r="AG332" s="83" t="n"/>
      <c r="AH332" s="83" t="n"/>
      <c r="AI332" s="83" t="n"/>
      <c r="AJ332" s="83" t="n"/>
      <c r="AK332" s="83" t="n"/>
      <c r="AL332" s="83" t="n"/>
      <c r="AM332" s="83" t="n"/>
      <c r="AN332" s="83" t="n"/>
      <c r="AO332" s="83" t="n"/>
      <c r="AP332" s="83" t="n"/>
      <c r="AQ332" s="83" t="n"/>
      <c r="AR332" s="83" t="n"/>
    </row>
    <row r="333">
      <c r="D333" s="84" t="n"/>
      <c r="E333" s="84" t="n"/>
      <c r="F333" s="84" t="n"/>
      <c r="G333" s="84" t="n"/>
      <c r="H333" s="84" t="n"/>
      <c r="I333" s="84" t="n"/>
      <c r="J333" s="84" t="n"/>
      <c r="K333" s="84" t="n"/>
      <c r="L333" s="84" t="n"/>
      <c r="M333" s="84" t="n"/>
      <c r="N333" s="84" t="n"/>
      <c r="O333" s="84" t="n"/>
      <c r="P333" s="84" t="n"/>
      <c r="Q333" s="84" t="n"/>
      <c r="R333" s="84" t="n"/>
      <c r="S333" s="84" t="n"/>
      <c r="T333" s="84" t="n"/>
      <c r="U333" s="84" t="n"/>
      <c r="V333" s="84" t="n"/>
      <c r="W333" s="84" t="n"/>
      <c r="X333" s="84" t="n"/>
      <c r="Y333" s="84" t="n"/>
      <c r="Z333" s="84" t="n"/>
      <c r="AA333" s="84" t="n"/>
      <c r="AB333" s="84" t="n"/>
      <c r="AC333" s="84" t="n"/>
      <c r="AD333" s="84" t="n"/>
      <c r="AE333" s="84" t="n"/>
      <c r="AF333" s="84" t="n"/>
      <c r="AG333" s="84" t="n"/>
      <c r="AH333" s="84" t="n"/>
      <c r="AI333" s="84" t="n"/>
      <c r="AJ333" s="84" t="n"/>
      <c r="AK333" s="84" t="n"/>
      <c r="AL333" s="84" t="n"/>
      <c r="AM333" s="84" t="n"/>
      <c r="AN333" s="84" t="n"/>
      <c r="AO333" s="84" t="n"/>
      <c r="AP333" s="84" t="n"/>
      <c r="AQ333" s="84" t="n"/>
      <c r="AR333" s="84" t="n"/>
    </row>
    <row r="334">
      <c r="D334" s="80" t="n"/>
      <c r="E334" s="80" t="n"/>
      <c r="F334" s="80" t="n"/>
      <c r="G334" s="80" t="n"/>
      <c r="H334" s="80" t="n"/>
      <c r="I334" s="80" t="n"/>
      <c r="J334" s="80" t="n"/>
      <c r="K334" s="80" t="n"/>
      <c r="L334" s="80" t="n"/>
      <c r="M334" s="80" t="n"/>
      <c r="N334" s="80" t="n"/>
      <c r="O334" s="80" t="n"/>
      <c r="P334" s="80" t="n"/>
      <c r="Q334" s="80" t="n"/>
      <c r="R334" s="80" t="n"/>
      <c r="S334" s="80" t="n"/>
      <c r="T334" s="80" t="n"/>
      <c r="U334" s="80" t="n"/>
      <c r="V334" s="80" t="n"/>
      <c r="W334" s="80" t="n"/>
      <c r="X334" s="80" t="n"/>
      <c r="Y334" s="80" t="n"/>
      <c r="Z334" s="80" t="n"/>
      <c r="AA334" s="80" t="n"/>
      <c r="AB334" s="80" t="n"/>
      <c r="AC334" s="80" t="n"/>
      <c r="AD334" s="80" t="n"/>
      <c r="AE334" s="80" t="n"/>
      <c r="AF334" s="80" t="n"/>
      <c r="AG334" s="80" t="n"/>
      <c r="AH334" s="80" t="n"/>
      <c r="AI334" s="80" t="n"/>
      <c r="AJ334" s="80" t="n"/>
      <c r="AK334" s="80" t="n"/>
      <c r="AL334" s="80" t="n"/>
      <c r="AM334" s="80" t="n"/>
      <c r="AN334" s="80" t="n"/>
      <c r="AO334" s="80" t="n"/>
      <c r="AP334" s="80" t="n"/>
      <c r="AQ334" s="80" t="n"/>
      <c r="AR334" s="80" t="n"/>
    </row>
    <row r="335">
      <c r="D335" s="80" t="n"/>
      <c r="E335" s="80" t="n"/>
      <c r="F335" s="80" t="n"/>
      <c r="G335" s="80" t="n"/>
      <c r="H335" s="80" t="n"/>
      <c r="I335" s="80" t="n"/>
      <c r="J335" s="80" t="n"/>
      <c r="K335" s="80" t="n"/>
      <c r="L335" s="80" t="n"/>
      <c r="M335" s="80" t="n"/>
      <c r="N335" s="80" t="n"/>
      <c r="O335" s="80" t="n"/>
      <c r="P335" s="80" t="n"/>
      <c r="Q335" s="80" t="n"/>
      <c r="R335" s="80" t="n"/>
      <c r="S335" s="80" t="n"/>
      <c r="T335" s="80" t="n"/>
      <c r="U335" s="80" t="n"/>
      <c r="V335" s="80" t="n"/>
      <c r="W335" s="80" t="n"/>
      <c r="X335" s="80" t="n"/>
      <c r="Y335" s="80" t="n"/>
      <c r="Z335" s="80" t="n"/>
      <c r="AA335" s="80" t="n"/>
      <c r="AB335" s="80" t="n"/>
      <c r="AC335" s="80" t="n"/>
      <c r="AD335" s="80" t="n"/>
      <c r="AE335" s="80" t="n"/>
      <c r="AF335" s="80" t="n"/>
      <c r="AG335" s="80" t="n"/>
      <c r="AH335" s="80" t="n"/>
      <c r="AI335" s="80" t="n"/>
      <c r="AJ335" s="80" t="n"/>
      <c r="AK335" s="80" t="n"/>
      <c r="AL335" s="80" t="n"/>
      <c r="AM335" s="80" t="n"/>
      <c r="AN335" s="80" t="n"/>
      <c r="AO335" s="80" t="n"/>
      <c r="AP335" s="80" t="n"/>
      <c r="AQ335" s="80" t="n"/>
      <c r="AR335" s="80" t="n"/>
    </row>
    <row r="336">
      <c r="D336" s="80" t="n"/>
      <c r="E336" s="80" t="n"/>
      <c r="F336" s="80" t="n"/>
      <c r="G336" s="80" t="n"/>
      <c r="H336" s="80" t="n"/>
      <c r="I336" s="80" t="n"/>
      <c r="J336" s="80" t="n"/>
      <c r="K336" s="80" t="n"/>
      <c r="L336" s="80" t="n"/>
      <c r="M336" s="80" t="n"/>
      <c r="N336" s="80" t="n"/>
      <c r="O336" s="80" t="n"/>
      <c r="P336" s="80" t="n"/>
      <c r="Q336" s="80" t="n"/>
      <c r="R336" s="80" t="n"/>
      <c r="S336" s="80" t="n"/>
      <c r="T336" s="80" t="n"/>
      <c r="U336" s="80" t="n"/>
      <c r="V336" s="80" t="n"/>
      <c r="W336" s="80" t="n"/>
      <c r="X336" s="80" t="n"/>
      <c r="Y336" s="80" t="n"/>
      <c r="Z336" s="80" t="n"/>
      <c r="AA336" s="80" t="n"/>
      <c r="AB336" s="80" t="n"/>
      <c r="AC336" s="80" t="n"/>
      <c r="AD336" s="80" t="n"/>
      <c r="AE336" s="80" t="n"/>
      <c r="AF336" s="80" t="n"/>
      <c r="AG336" s="80" t="n"/>
      <c r="AH336" s="80" t="n"/>
      <c r="AI336" s="80" t="n"/>
      <c r="AJ336" s="80" t="n"/>
      <c r="AK336" s="80" t="n"/>
      <c r="AL336" s="80" t="n"/>
      <c r="AM336" s="80" t="n"/>
      <c r="AN336" s="80" t="n"/>
      <c r="AO336" s="80" t="n"/>
      <c r="AP336" s="80" t="n"/>
      <c r="AQ336" s="80" t="n"/>
      <c r="AR336" s="80" t="n"/>
    </row>
    <row r="337">
      <c r="D337" s="80" t="n"/>
      <c r="E337" s="80" t="n"/>
      <c r="F337" s="80" t="n"/>
      <c r="G337" s="80" t="n"/>
      <c r="H337" s="80" t="n"/>
      <c r="I337" s="80" t="n"/>
      <c r="J337" s="80" t="n"/>
      <c r="K337" s="80" t="n"/>
      <c r="L337" s="80" t="n"/>
      <c r="M337" s="80" t="n"/>
      <c r="N337" s="80" t="n"/>
      <c r="O337" s="80" t="n"/>
      <c r="P337" s="80" t="n"/>
      <c r="Q337" s="80" t="n"/>
      <c r="R337" s="80" t="n"/>
      <c r="S337" s="80" t="n"/>
      <c r="T337" s="80" t="n"/>
      <c r="U337" s="80" t="n"/>
      <c r="V337" s="80" t="n"/>
      <c r="W337" s="80" t="n"/>
      <c r="X337" s="80" t="n"/>
      <c r="Y337" s="80" t="n"/>
      <c r="Z337" s="80" t="n"/>
      <c r="AA337" s="80" t="n"/>
      <c r="AB337" s="80" t="n"/>
      <c r="AC337" s="80" t="n"/>
      <c r="AD337" s="80" t="n"/>
      <c r="AE337" s="80" t="n"/>
      <c r="AF337" s="80" t="n"/>
      <c r="AG337" s="80" t="n"/>
      <c r="AH337" s="80" t="n"/>
      <c r="AI337" s="80" t="n"/>
      <c r="AJ337" s="80" t="n"/>
      <c r="AK337" s="80" t="n"/>
      <c r="AL337" s="80" t="n"/>
      <c r="AM337" s="80" t="n"/>
      <c r="AN337" s="80" t="n"/>
      <c r="AO337" s="80" t="n"/>
      <c r="AP337" s="80" t="n"/>
      <c r="AQ337" s="80" t="n"/>
      <c r="AR337" s="80" t="n"/>
    </row>
    <row r="339">
      <c r="A339" s="6">
        <f>IF(HSI!$C$29="","",HSI!$C$29)</f>
        <v/>
      </c>
      <c r="B339" s="41">
        <f>IF($A339="",0,COUNT($E340:$AR340))</f>
        <v/>
      </c>
      <c r="C339" s="81">
        <f>IF($B339=0,0,MAX($E340:$AR340))</f>
        <v/>
      </c>
      <c r="D339" s="82">
        <f>BDS($A339,'Field Check'!$C$7,"headers=y","startcol=1","endcol=7","dir=h","DVD_START_DT",Summary!$C$18,"DVD_END_DT",Summary!$D$18)</f>
        <v/>
      </c>
      <c r="E339" s="83" t="n"/>
      <c r="F339" s="83" t="n"/>
      <c r="G339" s="83" t="n"/>
      <c r="H339" s="83" t="n"/>
      <c r="I339" s="83" t="n"/>
      <c r="J339" s="83" t="n"/>
      <c r="K339" s="83" t="n"/>
      <c r="L339" s="83" t="n"/>
      <c r="M339" s="83" t="n"/>
      <c r="N339" s="83" t="n"/>
      <c r="O339" s="83" t="n"/>
      <c r="P339" s="83" t="n"/>
      <c r="Q339" s="83" t="n"/>
      <c r="R339" s="83" t="n"/>
      <c r="S339" s="83" t="n"/>
      <c r="T339" s="83" t="n"/>
      <c r="U339" s="83" t="n"/>
      <c r="V339" s="83" t="n"/>
      <c r="W339" s="83" t="n"/>
      <c r="X339" s="83" t="n"/>
      <c r="Y339" s="83" t="n"/>
      <c r="Z339" s="83" t="n"/>
      <c r="AA339" s="83" t="n"/>
      <c r="AB339" s="83" t="n"/>
      <c r="AC339" s="83" t="n"/>
      <c r="AD339" s="83" t="n"/>
      <c r="AE339" s="83" t="n"/>
      <c r="AF339" s="83" t="n"/>
      <c r="AG339" s="83" t="n"/>
      <c r="AH339" s="83" t="n"/>
      <c r="AI339" s="83" t="n"/>
      <c r="AJ339" s="83" t="n"/>
      <c r="AK339" s="83" t="n"/>
      <c r="AL339" s="83" t="n"/>
      <c r="AM339" s="83" t="n"/>
      <c r="AN339" s="83" t="n"/>
      <c r="AO339" s="83" t="n"/>
      <c r="AP339" s="83" t="n"/>
      <c r="AQ339" s="83" t="n"/>
      <c r="AR339" s="83" t="n"/>
    </row>
    <row r="340">
      <c r="D340" s="83" t="n"/>
      <c r="E340" s="83" t="n"/>
      <c r="F340" s="83" t="n"/>
      <c r="G340" s="83" t="n"/>
      <c r="H340" s="83" t="n"/>
      <c r="I340" s="83" t="n"/>
      <c r="J340" s="83" t="n"/>
      <c r="K340" s="83" t="n"/>
      <c r="L340" s="83" t="n"/>
      <c r="M340" s="83" t="n"/>
      <c r="N340" s="83" t="n"/>
      <c r="O340" s="83" t="n"/>
      <c r="P340" s="83" t="n"/>
      <c r="Q340" s="83" t="n"/>
      <c r="R340" s="83" t="n"/>
      <c r="S340" s="83" t="n"/>
      <c r="T340" s="83" t="n"/>
      <c r="U340" s="83" t="n"/>
      <c r="V340" s="83" t="n"/>
      <c r="W340" s="83" t="n"/>
      <c r="X340" s="83" t="n"/>
      <c r="Y340" s="83" t="n"/>
      <c r="Z340" s="83" t="n"/>
      <c r="AA340" s="83" t="n"/>
      <c r="AB340" s="83" t="n"/>
      <c r="AC340" s="83" t="n"/>
      <c r="AD340" s="83" t="n"/>
      <c r="AE340" s="83" t="n"/>
      <c r="AF340" s="83" t="n"/>
      <c r="AG340" s="83" t="n"/>
      <c r="AH340" s="83" t="n"/>
      <c r="AI340" s="83" t="n"/>
      <c r="AJ340" s="83" t="n"/>
      <c r="AK340" s="83" t="n"/>
      <c r="AL340" s="83" t="n"/>
      <c r="AM340" s="83" t="n"/>
      <c r="AN340" s="83" t="n"/>
      <c r="AO340" s="83" t="n"/>
      <c r="AP340" s="83" t="n"/>
      <c r="AQ340" s="83" t="n"/>
      <c r="AR340" s="83" t="n"/>
    </row>
    <row r="341">
      <c r="D341" s="84" t="n"/>
      <c r="E341" s="84" t="n"/>
      <c r="F341" s="84" t="n"/>
      <c r="G341" s="84" t="n"/>
      <c r="H341" s="84" t="n"/>
      <c r="I341" s="84" t="n"/>
      <c r="J341" s="84" t="n"/>
      <c r="K341" s="84" t="n"/>
      <c r="L341" s="84" t="n"/>
      <c r="M341" s="84" t="n"/>
      <c r="N341" s="84" t="n"/>
      <c r="O341" s="84" t="n"/>
      <c r="P341" s="84" t="n"/>
      <c r="Q341" s="84" t="n"/>
      <c r="R341" s="84" t="n"/>
      <c r="S341" s="84" t="n"/>
      <c r="T341" s="84" t="n"/>
      <c r="U341" s="84" t="n"/>
      <c r="V341" s="84" t="n"/>
      <c r="W341" s="84" t="n"/>
      <c r="X341" s="84" t="n"/>
      <c r="Y341" s="84" t="n"/>
      <c r="Z341" s="84" t="n"/>
      <c r="AA341" s="84" t="n"/>
      <c r="AB341" s="84" t="n"/>
      <c r="AC341" s="84" t="n"/>
      <c r="AD341" s="84" t="n"/>
      <c r="AE341" s="84" t="n"/>
      <c r="AF341" s="84" t="n"/>
      <c r="AG341" s="84" t="n"/>
      <c r="AH341" s="84" t="n"/>
      <c r="AI341" s="84" t="n"/>
      <c r="AJ341" s="84" t="n"/>
      <c r="AK341" s="84" t="n"/>
      <c r="AL341" s="84" t="n"/>
      <c r="AM341" s="84" t="n"/>
      <c r="AN341" s="84" t="n"/>
      <c r="AO341" s="84" t="n"/>
      <c r="AP341" s="84" t="n"/>
      <c r="AQ341" s="84" t="n"/>
      <c r="AR341" s="84" t="n"/>
    </row>
    <row r="342">
      <c r="D342" s="80" t="n"/>
      <c r="E342" s="80" t="n"/>
      <c r="F342" s="80" t="n"/>
      <c r="G342" s="80" t="n"/>
      <c r="H342" s="80" t="n"/>
      <c r="I342" s="80" t="n"/>
      <c r="J342" s="80" t="n"/>
      <c r="K342" s="80" t="n"/>
      <c r="L342" s="80" t="n"/>
      <c r="M342" s="80" t="n"/>
      <c r="N342" s="80" t="n"/>
      <c r="O342" s="80" t="n"/>
      <c r="P342" s="80" t="n"/>
      <c r="Q342" s="80" t="n"/>
      <c r="R342" s="80" t="n"/>
      <c r="S342" s="80" t="n"/>
      <c r="T342" s="80" t="n"/>
      <c r="U342" s="80" t="n"/>
      <c r="V342" s="80" t="n"/>
      <c r="W342" s="80" t="n"/>
      <c r="X342" s="80" t="n"/>
      <c r="Y342" s="80" t="n"/>
      <c r="Z342" s="80" t="n"/>
      <c r="AA342" s="80" t="n"/>
      <c r="AB342" s="80" t="n"/>
      <c r="AC342" s="80" t="n"/>
      <c r="AD342" s="80" t="n"/>
      <c r="AE342" s="80" t="n"/>
      <c r="AF342" s="80" t="n"/>
      <c r="AG342" s="80" t="n"/>
      <c r="AH342" s="80" t="n"/>
      <c r="AI342" s="80" t="n"/>
      <c r="AJ342" s="80" t="n"/>
      <c r="AK342" s="80" t="n"/>
      <c r="AL342" s="80" t="n"/>
      <c r="AM342" s="80" t="n"/>
      <c r="AN342" s="80" t="n"/>
      <c r="AO342" s="80" t="n"/>
      <c r="AP342" s="80" t="n"/>
      <c r="AQ342" s="80" t="n"/>
      <c r="AR342" s="80" t="n"/>
    </row>
    <row r="343">
      <c r="D343" s="80" t="n"/>
      <c r="E343" s="80" t="n"/>
      <c r="F343" s="80" t="n"/>
      <c r="G343" s="80" t="n"/>
      <c r="H343" s="80" t="n"/>
      <c r="I343" s="80" t="n"/>
      <c r="J343" s="80" t="n"/>
      <c r="K343" s="80" t="n"/>
      <c r="L343" s="80" t="n"/>
      <c r="M343" s="80" t="n"/>
      <c r="N343" s="80" t="n"/>
      <c r="O343" s="80" t="n"/>
      <c r="P343" s="80" t="n"/>
      <c r="Q343" s="80" t="n"/>
      <c r="R343" s="80" t="n"/>
      <c r="S343" s="80" t="n"/>
      <c r="T343" s="80" t="n"/>
      <c r="U343" s="80" t="n"/>
      <c r="V343" s="80" t="n"/>
      <c r="W343" s="80" t="n"/>
      <c r="X343" s="80" t="n"/>
      <c r="Y343" s="80" t="n"/>
      <c r="Z343" s="80" t="n"/>
      <c r="AA343" s="80" t="n"/>
      <c r="AB343" s="80" t="n"/>
      <c r="AC343" s="80" t="n"/>
      <c r="AD343" s="80" t="n"/>
      <c r="AE343" s="80" t="n"/>
      <c r="AF343" s="80" t="n"/>
      <c r="AG343" s="80" t="n"/>
      <c r="AH343" s="80" t="n"/>
      <c r="AI343" s="80" t="n"/>
      <c r="AJ343" s="80" t="n"/>
      <c r="AK343" s="80" t="n"/>
      <c r="AL343" s="80" t="n"/>
      <c r="AM343" s="80" t="n"/>
      <c r="AN343" s="80" t="n"/>
      <c r="AO343" s="80" t="n"/>
      <c r="AP343" s="80" t="n"/>
      <c r="AQ343" s="80" t="n"/>
      <c r="AR343" s="80" t="n"/>
    </row>
    <row r="344">
      <c r="D344" s="80" t="n"/>
      <c r="E344" s="80" t="n"/>
      <c r="F344" s="80" t="n"/>
      <c r="G344" s="80" t="n"/>
      <c r="H344" s="80" t="n"/>
      <c r="I344" s="80" t="n"/>
      <c r="J344" s="80" t="n"/>
      <c r="K344" s="80" t="n"/>
      <c r="L344" s="80" t="n"/>
      <c r="M344" s="80" t="n"/>
      <c r="N344" s="80" t="n"/>
      <c r="O344" s="80" t="n"/>
      <c r="P344" s="80" t="n"/>
      <c r="Q344" s="80" t="n"/>
      <c r="R344" s="80" t="n"/>
      <c r="S344" s="80" t="n"/>
      <c r="T344" s="80" t="n"/>
      <c r="U344" s="80" t="n"/>
      <c r="V344" s="80" t="n"/>
      <c r="W344" s="80" t="n"/>
      <c r="X344" s="80" t="n"/>
      <c r="Y344" s="80" t="n"/>
      <c r="Z344" s="80" t="n"/>
      <c r="AA344" s="80" t="n"/>
      <c r="AB344" s="80" t="n"/>
      <c r="AC344" s="80" t="n"/>
      <c r="AD344" s="80" t="n"/>
      <c r="AE344" s="80" t="n"/>
      <c r="AF344" s="80" t="n"/>
      <c r="AG344" s="80" t="n"/>
      <c r="AH344" s="80" t="n"/>
      <c r="AI344" s="80" t="n"/>
      <c r="AJ344" s="80" t="n"/>
      <c r="AK344" s="80" t="n"/>
      <c r="AL344" s="80" t="n"/>
      <c r="AM344" s="80" t="n"/>
      <c r="AN344" s="80" t="n"/>
      <c r="AO344" s="80" t="n"/>
      <c r="AP344" s="80" t="n"/>
      <c r="AQ344" s="80" t="n"/>
      <c r="AR344" s="80" t="n"/>
    </row>
    <row r="345">
      <c r="D345" s="80" t="n"/>
      <c r="E345" s="80" t="n"/>
      <c r="F345" s="80" t="n"/>
      <c r="G345" s="80" t="n"/>
      <c r="H345" s="80" t="n"/>
      <c r="I345" s="80" t="n"/>
      <c r="J345" s="80" t="n"/>
      <c r="K345" s="80" t="n"/>
      <c r="L345" s="80" t="n"/>
      <c r="M345" s="80" t="n"/>
      <c r="N345" s="80" t="n"/>
      <c r="O345" s="80" t="n"/>
      <c r="P345" s="80" t="n"/>
      <c r="Q345" s="80" t="n"/>
      <c r="R345" s="80" t="n"/>
      <c r="S345" s="80" t="n"/>
      <c r="T345" s="80" t="n"/>
      <c r="U345" s="80" t="n"/>
      <c r="V345" s="80" t="n"/>
      <c r="W345" s="80" t="n"/>
      <c r="X345" s="80" t="n"/>
      <c r="Y345" s="80" t="n"/>
      <c r="Z345" s="80" t="n"/>
      <c r="AA345" s="80" t="n"/>
      <c r="AB345" s="80" t="n"/>
      <c r="AC345" s="80" t="n"/>
      <c r="AD345" s="80" t="n"/>
      <c r="AE345" s="80" t="n"/>
      <c r="AF345" s="80" t="n"/>
      <c r="AG345" s="80" t="n"/>
      <c r="AH345" s="80" t="n"/>
      <c r="AI345" s="80" t="n"/>
      <c r="AJ345" s="80" t="n"/>
      <c r="AK345" s="80" t="n"/>
      <c r="AL345" s="80" t="n"/>
      <c r="AM345" s="80" t="n"/>
      <c r="AN345" s="80" t="n"/>
      <c r="AO345" s="80" t="n"/>
      <c r="AP345" s="80" t="n"/>
      <c r="AQ345" s="80" t="n"/>
      <c r="AR345" s="80" t="n"/>
    </row>
    <row r="346">
      <c r="A346" s="2">
        <f>IF($A339="","","   projections")</f>
        <v/>
      </c>
      <c r="B346" s="41">
        <f>IF($A339="",0,COUNT($E347:$AR347))</f>
        <v/>
      </c>
      <c r="C346" s="81">
        <f>IF($B346=0,0,MAX($E347:$AR347))</f>
        <v/>
      </c>
      <c r="D346" s="82">
        <f>BDS($A339,'Field Check'!$C$6,"headers=y","startcol=1","endcol=7","dir=h")</f>
        <v/>
      </c>
      <c r="E346" s="83" t="n"/>
      <c r="F346" s="83" t="n"/>
      <c r="G346" s="83" t="n"/>
      <c r="H346" s="83" t="n"/>
      <c r="I346" s="83" t="n"/>
      <c r="J346" s="83" t="n"/>
      <c r="K346" s="83" t="n"/>
      <c r="L346" s="83" t="n"/>
      <c r="M346" s="83" t="n"/>
      <c r="N346" s="83" t="n"/>
      <c r="O346" s="83" t="n"/>
      <c r="P346" s="83" t="n"/>
      <c r="Q346" s="83" t="n"/>
      <c r="R346" s="83" t="n"/>
      <c r="S346" s="83" t="n"/>
      <c r="T346" s="83" t="n"/>
      <c r="U346" s="83" t="n"/>
      <c r="V346" s="83" t="n"/>
      <c r="W346" s="83" t="n"/>
      <c r="X346" s="83" t="n"/>
      <c r="Y346" s="83" t="n"/>
      <c r="Z346" s="83" t="n"/>
      <c r="AA346" s="83" t="n"/>
      <c r="AB346" s="83" t="n"/>
      <c r="AC346" s="83" t="n"/>
      <c r="AD346" s="83" t="n"/>
      <c r="AE346" s="83" t="n"/>
      <c r="AF346" s="83" t="n"/>
      <c r="AG346" s="83" t="n"/>
      <c r="AH346" s="83" t="n"/>
      <c r="AI346" s="83" t="n"/>
      <c r="AJ346" s="83" t="n"/>
      <c r="AK346" s="83" t="n"/>
      <c r="AL346" s="83" t="n"/>
      <c r="AM346" s="83" t="n"/>
      <c r="AN346" s="83" t="n"/>
      <c r="AO346" s="83" t="n"/>
      <c r="AP346" s="83" t="n"/>
      <c r="AQ346" s="83" t="n"/>
      <c r="AR346" s="83" t="n"/>
    </row>
    <row r="347">
      <c r="D347" s="83" t="n"/>
      <c r="E347" s="83" t="n"/>
      <c r="F347" s="83" t="n"/>
      <c r="G347" s="83" t="n"/>
      <c r="H347" s="83" t="n"/>
      <c r="I347" s="83" t="n"/>
      <c r="J347" s="83" t="n"/>
      <c r="K347" s="83" t="n"/>
      <c r="L347" s="83" t="n"/>
      <c r="M347" s="83" t="n"/>
      <c r="N347" s="83" t="n"/>
      <c r="O347" s="83" t="n"/>
      <c r="P347" s="83" t="n"/>
      <c r="Q347" s="83" t="n"/>
      <c r="R347" s="83" t="n"/>
      <c r="S347" s="83" t="n"/>
      <c r="T347" s="83" t="n"/>
      <c r="U347" s="83" t="n"/>
      <c r="V347" s="83" t="n"/>
      <c r="W347" s="83" t="n"/>
      <c r="X347" s="83" t="n"/>
      <c r="Y347" s="83" t="n"/>
      <c r="Z347" s="83" t="n"/>
      <c r="AA347" s="83" t="n"/>
      <c r="AB347" s="83" t="n"/>
      <c r="AC347" s="83" t="n"/>
      <c r="AD347" s="83" t="n"/>
      <c r="AE347" s="83" t="n"/>
      <c r="AF347" s="83" t="n"/>
      <c r="AG347" s="83" t="n"/>
      <c r="AH347" s="83" t="n"/>
      <c r="AI347" s="83" t="n"/>
      <c r="AJ347" s="83" t="n"/>
      <c r="AK347" s="83" t="n"/>
      <c r="AL347" s="83" t="n"/>
      <c r="AM347" s="83" t="n"/>
      <c r="AN347" s="83" t="n"/>
      <c r="AO347" s="83" t="n"/>
      <c r="AP347" s="83" t="n"/>
      <c r="AQ347" s="83" t="n"/>
      <c r="AR347" s="83" t="n"/>
    </row>
    <row r="348">
      <c r="D348" s="84" t="n"/>
      <c r="E348" s="84" t="n"/>
      <c r="F348" s="84" t="n"/>
      <c r="G348" s="84" t="n"/>
      <c r="H348" s="84" t="n"/>
      <c r="I348" s="84" t="n"/>
      <c r="J348" s="84" t="n"/>
      <c r="K348" s="84" t="n"/>
      <c r="L348" s="84" t="n"/>
      <c r="M348" s="84" t="n"/>
      <c r="N348" s="84" t="n"/>
      <c r="O348" s="84" t="n"/>
      <c r="P348" s="84" t="n"/>
      <c r="Q348" s="84" t="n"/>
      <c r="R348" s="84" t="n"/>
      <c r="S348" s="84" t="n"/>
      <c r="T348" s="84" t="n"/>
      <c r="U348" s="84" t="n"/>
      <c r="V348" s="84" t="n"/>
      <c r="W348" s="84" t="n"/>
      <c r="X348" s="84" t="n"/>
      <c r="Y348" s="84" t="n"/>
      <c r="Z348" s="84" t="n"/>
      <c r="AA348" s="84" t="n"/>
      <c r="AB348" s="84" t="n"/>
      <c r="AC348" s="84" t="n"/>
      <c r="AD348" s="84" t="n"/>
      <c r="AE348" s="84" t="n"/>
      <c r="AF348" s="84" t="n"/>
      <c r="AG348" s="84" t="n"/>
      <c r="AH348" s="84" t="n"/>
      <c r="AI348" s="84" t="n"/>
      <c r="AJ348" s="84" t="n"/>
      <c r="AK348" s="84" t="n"/>
      <c r="AL348" s="84" t="n"/>
      <c r="AM348" s="84" t="n"/>
      <c r="AN348" s="84" t="n"/>
      <c r="AO348" s="84" t="n"/>
      <c r="AP348" s="84" t="n"/>
      <c r="AQ348" s="84" t="n"/>
      <c r="AR348" s="84" t="n"/>
    </row>
    <row r="349">
      <c r="D349" s="80" t="n"/>
      <c r="E349" s="80" t="n"/>
      <c r="F349" s="80" t="n"/>
      <c r="G349" s="80" t="n"/>
      <c r="H349" s="80" t="n"/>
      <c r="I349" s="80" t="n"/>
      <c r="J349" s="80" t="n"/>
      <c r="K349" s="80" t="n"/>
      <c r="L349" s="80" t="n"/>
      <c r="M349" s="80" t="n"/>
      <c r="N349" s="80" t="n"/>
      <c r="O349" s="80" t="n"/>
      <c r="P349" s="80" t="n"/>
      <c r="Q349" s="80" t="n"/>
      <c r="R349" s="80" t="n"/>
      <c r="S349" s="80" t="n"/>
      <c r="T349" s="80" t="n"/>
      <c r="U349" s="80" t="n"/>
      <c r="V349" s="80" t="n"/>
      <c r="W349" s="80" t="n"/>
      <c r="X349" s="80" t="n"/>
      <c r="Y349" s="80" t="n"/>
      <c r="Z349" s="80" t="n"/>
      <c r="AA349" s="80" t="n"/>
      <c r="AB349" s="80" t="n"/>
      <c r="AC349" s="80" t="n"/>
      <c r="AD349" s="80" t="n"/>
      <c r="AE349" s="80" t="n"/>
      <c r="AF349" s="80" t="n"/>
      <c r="AG349" s="80" t="n"/>
      <c r="AH349" s="80" t="n"/>
      <c r="AI349" s="80" t="n"/>
      <c r="AJ349" s="80" t="n"/>
      <c r="AK349" s="80" t="n"/>
      <c r="AL349" s="80" t="n"/>
      <c r="AM349" s="80" t="n"/>
      <c r="AN349" s="80" t="n"/>
      <c r="AO349" s="80" t="n"/>
      <c r="AP349" s="80" t="n"/>
      <c r="AQ349" s="80" t="n"/>
      <c r="AR349" s="80" t="n"/>
    </row>
    <row r="350">
      <c r="D350" s="80" t="n"/>
      <c r="E350" s="80" t="n"/>
      <c r="F350" s="80" t="n"/>
      <c r="G350" s="80" t="n"/>
      <c r="H350" s="80" t="n"/>
      <c r="I350" s="80" t="n"/>
      <c r="J350" s="80" t="n"/>
      <c r="K350" s="80" t="n"/>
      <c r="L350" s="80" t="n"/>
      <c r="M350" s="80" t="n"/>
      <c r="N350" s="80" t="n"/>
      <c r="O350" s="80" t="n"/>
      <c r="P350" s="80" t="n"/>
      <c r="Q350" s="80" t="n"/>
      <c r="R350" s="80" t="n"/>
      <c r="S350" s="80" t="n"/>
      <c r="T350" s="80" t="n"/>
      <c r="U350" s="80" t="n"/>
      <c r="V350" s="80" t="n"/>
      <c r="W350" s="80" t="n"/>
      <c r="X350" s="80" t="n"/>
      <c r="Y350" s="80" t="n"/>
      <c r="Z350" s="80" t="n"/>
      <c r="AA350" s="80" t="n"/>
      <c r="AB350" s="80" t="n"/>
      <c r="AC350" s="80" t="n"/>
      <c r="AD350" s="80" t="n"/>
      <c r="AE350" s="80" t="n"/>
      <c r="AF350" s="80" t="n"/>
      <c r="AG350" s="80" t="n"/>
      <c r="AH350" s="80" t="n"/>
      <c r="AI350" s="80" t="n"/>
      <c r="AJ350" s="80" t="n"/>
      <c r="AK350" s="80" t="n"/>
      <c r="AL350" s="80" t="n"/>
      <c r="AM350" s="80" t="n"/>
      <c r="AN350" s="80" t="n"/>
      <c r="AO350" s="80" t="n"/>
      <c r="AP350" s="80" t="n"/>
      <c r="AQ350" s="80" t="n"/>
      <c r="AR350" s="80" t="n"/>
    </row>
    <row r="351">
      <c r="D351" s="80" t="n"/>
      <c r="E351" s="80" t="n"/>
      <c r="F351" s="80" t="n"/>
      <c r="G351" s="80" t="n"/>
      <c r="H351" s="80" t="n"/>
      <c r="I351" s="80" t="n"/>
      <c r="J351" s="80" t="n"/>
      <c r="K351" s="80" t="n"/>
      <c r="L351" s="80" t="n"/>
      <c r="M351" s="80" t="n"/>
      <c r="N351" s="80" t="n"/>
      <c r="O351" s="80" t="n"/>
      <c r="P351" s="80" t="n"/>
      <c r="Q351" s="80" t="n"/>
      <c r="R351" s="80" t="n"/>
      <c r="S351" s="80" t="n"/>
      <c r="T351" s="80" t="n"/>
      <c r="U351" s="80" t="n"/>
      <c r="V351" s="80" t="n"/>
      <c r="W351" s="80" t="n"/>
      <c r="X351" s="80" t="n"/>
      <c r="Y351" s="80" t="n"/>
      <c r="Z351" s="80" t="n"/>
      <c r="AA351" s="80" t="n"/>
      <c r="AB351" s="80" t="n"/>
      <c r="AC351" s="80" t="n"/>
      <c r="AD351" s="80" t="n"/>
      <c r="AE351" s="80" t="n"/>
      <c r="AF351" s="80" t="n"/>
      <c r="AG351" s="80" t="n"/>
      <c r="AH351" s="80" t="n"/>
      <c r="AI351" s="80" t="n"/>
      <c r="AJ351" s="80" t="n"/>
      <c r="AK351" s="80" t="n"/>
      <c r="AL351" s="80" t="n"/>
      <c r="AM351" s="80" t="n"/>
      <c r="AN351" s="80" t="n"/>
      <c r="AO351" s="80" t="n"/>
      <c r="AP351" s="80" t="n"/>
      <c r="AQ351" s="80" t="n"/>
      <c r="AR351" s="80" t="n"/>
    </row>
    <row r="352">
      <c r="D352" s="80" t="n"/>
      <c r="E352" s="80" t="n"/>
      <c r="F352" s="80" t="n"/>
      <c r="G352" s="80" t="n"/>
      <c r="H352" s="80" t="n"/>
      <c r="I352" s="80" t="n"/>
      <c r="J352" s="80" t="n"/>
      <c r="K352" s="80" t="n"/>
      <c r="L352" s="80" t="n"/>
      <c r="M352" s="80" t="n"/>
      <c r="N352" s="80" t="n"/>
      <c r="O352" s="80" t="n"/>
      <c r="P352" s="80" t="n"/>
      <c r="Q352" s="80" t="n"/>
      <c r="R352" s="80" t="n"/>
      <c r="S352" s="80" t="n"/>
      <c r="T352" s="80" t="n"/>
      <c r="U352" s="80" t="n"/>
      <c r="V352" s="80" t="n"/>
      <c r="W352" s="80" t="n"/>
      <c r="X352" s="80" t="n"/>
      <c r="Y352" s="80" t="n"/>
      <c r="Z352" s="80" t="n"/>
      <c r="AA352" s="80" t="n"/>
      <c r="AB352" s="80" t="n"/>
      <c r="AC352" s="80" t="n"/>
      <c r="AD352" s="80" t="n"/>
      <c r="AE352" s="80" t="n"/>
      <c r="AF352" s="80" t="n"/>
      <c r="AG352" s="80" t="n"/>
      <c r="AH352" s="80" t="n"/>
      <c r="AI352" s="80" t="n"/>
      <c r="AJ352" s="80" t="n"/>
      <c r="AK352" s="80" t="n"/>
      <c r="AL352" s="80" t="n"/>
      <c r="AM352" s="80" t="n"/>
      <c r="AN352" s="80" t="n"/>
      <c r="AO352" s="80" t="n"/>
      <c r="AP352" s="80" t="n"/>
      <c r="AQ352" s="80" t="n"/>
      <c r="AR352" s="80" t="n"/>
    </row>
    <row r="354">
      <c r="A354" s="6">
        <f>IF(HSI!$C$30="","",HSI!$C$30)</f>
        <v/>
      </c>
      <c r="B354" s="41">
        <f>IF($A354="",0,COUNT($E355:$AR355))</f>
        <v/>
      </c>
      <c r="C354" s="81">
        <f>IF($B354=0,0,MAX($E355:$AR355))</f>
        <v/>
      </c>
      <c r="D354" s="82">
        <f>BDS($A354,'Field Check'!$C$7,"headers=y","startcol=1","endcol=7","dir=h","DVD_START_DT",Summary!$C$18,"DVD_END_DT",Summary!$D$18)</f>
        <v/>
      </c>
      <c r="E354" s="83" t="n"/>
      <c r="F354" s="83" t="n"/>
      <c r="G354" s="83" t="n"/>
      <c r="H354" s="83" t="n"/>
      <c r="I354" s="83" t="n"/>
      <c r="J354" s="83" t="n"/>
      <c r="K354" s="83" t="n"/>
      <c r="L354" s="83" t="n"/>
      <c r="M354" s="83" t="n"/>
      <c r="N354" s="83" t="n"/>
      <c r="O354" s="83" t="n"/>
      <c r="P354" s="83" t="n"/>
      <c r="Q354" s="83" t="n"/>
      <c r="R354" s="83" t="n"/>
      <c r="S354" s="83" t="n"/>
      <c r="T354" s="83" t="n"/>
      <c r="U354" s="83" t="n"/>
      <c r="V354" s="83" t="n"/>
      <c r="W354" s="83" t="n"/>
      <c r="X354" s="83" t="n"/>
      <c r="Y354" s="83" t="n"/>
      <c r="Z354" s="83" t="n"/>
      <c r="AA354" s="83" t="n"/>
      <c r="AB354" s="83" t="n"/>
      <c r="AC354" s="83" t="n"/>
      <c r="AD354" s="83" t="n"/>
      <c r="AE354" s="83" t="n"/>
      <c r="AF354" s="83" t="n"/>
      <c r="AG354" s="83" t="n"/>
      <c r="AH354" s="83" t="n"/>
      <c r="AI354" s="83" t="n"/>
      <c r="AJ354" s="83" t="n"/>
      <c r="AK354" s="83" t="n"/>
      <c r="AL354" s="83" t="n"/>
      <c r="AM354" s="83" t="n"/>
      <c r="AN354" s="83" t="n"/>
      <c r="AO354" s="83" t="n"/>
      <c r="AP354" s="83" t="n"/>
      <c r="AQ354" s="83" t="n"/>
      <c r="AR354" s="83" t="n"/>
    </row>
    <row r="355">
      <c r="D355" s="83" t="n"/>
      <c r="E355" s="83" t="n"/>
      <c r="F355" s="83" t="n"/>
      <c r="G355" s="83" t="n"/>
      <c r="H355" s="83" t="n"/>
      <c r="I355" s="83" t="n"/>
      <c r="J355" s="83" t="n"/>
      <c r="K355" s="83" t="n"/>
      <c r="L355" s="83" t="n"/>
      <c r="M355" s="83" t="n"/>
      <c r="N355" s="83" t="n"/>
      <c r="O355" s="83" t="n"/>
      <c r="P355" s="83" t="n"/>
      <c r="Q355" s="83" t="n"/>
      <c r="R355" s="83" t="n"/>
      <c r="S355" s="83" t="n"/>
      <c r="T355" s="83" t="n"/>
      <c r="U355" s="83" t="n"/>
      <c r="V355" s="83" t="n"/>
      <c r="W355" s="83" t="n"/>
      <c r="X355" s="83" t="n"/>
      <c r="Y355" s="83" t="n"/>
      <c r="Z355" s="83" t="n"/>
      <c r="AA355" s="83" t="n"/>
      <c r="AB355" s="83" t="n"/>
      <c r="AC355" s="83" t="n"/>
      <c r="AD355" s="83" t="n"/>
      <c r="AE355" s="83" t="n"/>
      <c r="AF355" s="83" t="n"/>
      <c r="AG355" s="83" t="n"/>
      <c r="AH355" s="83" t="n"/>
      <c r="AI355" s="83" t="n"/>
      <c r="AJ355" s="83" t="n"/>
      <c r="AK355" s="83" t="n"/>
      <c r="AL355" s="83" t="n"/>
      <c r="AM355" s="83" t="n"/>
      <c r="AN355" s="83" t="n"/>
      <c r="AO355" s="83" t="n"/>
      <c r="AP355" s="83" t="n"/>
      <c r="AQ355" s="83" t="n"/>
      <c r="AR355" s="83" t="n"/>
    </row>
    <row r="356">
      <c r="D356" s="84" t="n"/>
      <c r="E356" s="84" t="n"/>
      <c r="F356" s="84" t="n"/>
      <c r="G356" s="84" t="n"/>
      <c r="H356" s="84" t="n"/>
      <c r="I356" s="84" t="n"/>
      <c r="J356" s="84" t="n"/>
      <c r="K356" s="84" t="n"/>
      <c r="L356" s="84" t="n"/>
      <c r="M356" s="84" t="n"/>
      <c r="N356" s="84" t="n"/>
      <c r="O356" s="84" t="n"/>
      <c r="P356" s="84" t="n"/>
      <c r="Q356" s="84" t="n"/>
      <c r="R356" s="84" t="n"/>
      <c r="S356" s="84" t="n"/>
      <c r="T356" s="84" t="n"/>
      <c r="U356" s="84" t="n"/>
      <c r="V356" s="84" t="n"/>
      <c r="W356" s="84" t="n"/>
      <c r="X356" s="84" t="n"/>
      <c r="Y356" s="84" t="n"/>
      <c r="Z356" s="84" t="n"/>
      <c r="AA356" s="84" t="n"/>
      <c r="AB356" s="84" t="n"/>
      <c r="AC356" s="84" t="n"/>
      <c r="AD356" s="84" t="n"/>
      <c r="AE356" s="84" t="n"/>
      <c r="AF356" s="84" t="n"/>
      <c r="AG356" s="84" t="n"/>
      <c r="AH356" s="84" t="n"/>
      <c r="AI356" s="84" t="n"/>
      <c r="AJ356" s="84" t="n"/>
      <c r="AK356" s="84" t="n"/>
      <c r="AL356" s="84" t="n"/>
      <c r="AM356" s="84" t="n"/>
      <c r="AN356" s="84" t="n"/>
      <c r="AO356" s="84" t="n"/>
      <c r="AP356" s="84" t="n"/>
      <c r="AQ356" s="84" t="n"/>
      <c r="AR356" s="84" t="n"/>
    </row>
    <row r="357">
      <c r="D357" s="80" t="n"/>
      <c r="E357" s="80" t="n"/>
      <c r="F357" s="80" t="n"/>
      <c r="G357" s="80" t="n"/>
      <c r="H357" s="80" t="n"/>
      <c r="I357" s="80" t="n"/>
      <c r="J357" s="80" t="n"/>
      <c r="K357" s="80" t="n"/>
      <c r="L357" s="80" t="n"/>
      <c r="M357" s="80" t="n"/>
      <c r="N357" s="80" t="n"/>
      <c r="O357" s="80" t="n"/>
      <c r="P357" s="80" t="n"/>
      <c r="Q357" s="80" t="n"/>
      <c r="R357" s="80" t="n"/>
      <c r="S357" s="80" t="n"/>
      <c r="T357" s="80" t="n"/>
      <c r="U357" s="80" t="n"/>
      <c r="V357" s="80" t="n"/>
      <c r="W357" s="80" t="n"/>
      <c r="X357" s="80" t="n"/>
      <c r="Y357" s="80" t="n"/>
      <c r="Z357" s="80" t="n"/>
      <c r="AA357" s="80" t="n"/>
      <c r="AB357" s="80" t="n"/>
      <c r="AC357" s="80" t="n"/>
      <c r="AD357" s="80" t="n"/>
      <c r="AE357" s="80" t="n"/>
      <c r="AF357" s="80" t="n"/>
      <c r="AG357" s="80" t="n"/>
      <c r="AH357" s="80" t="n"/>
      <c r="AI357" s="80" t="n"/>
      <c r="AJ357" s="80" t="n"/>
      <c r="AK357" s="80" t="n"/>
      <c r="AL357" s="80" t="n"/>
      <c r="AM357" s="80" t="n"/>
      <c r="AN357" s="80" t="n"/>
      <c r="AO357" s="80" t="n"/>
      <c r="AP357" s="80" t="n"/>
      <c r="AQ357" s="80" t="n"/>
      <c r="AR357" s="80" t="n"/>
    </row>
    <row r="358">
      <c r="D358" s="80" t="n"/>
      <c r="E358" s="80" t="n"/>
      <c r="F358" s="80" t="n"/>
      <c r="G358" s="80" t="n"/>
      <c r="H358" s="80" t="n"/>
      <c r="I358" s="80" t="n"/>
      <c r="J358" s="80" t="n"/>
      <c r="K358" s="80" t="n"/>
      <c r="L358" s="80" t="n"/>
      <c r="M358" s="80" t="n"/>
      <c r="N358" s="80" t="n"/>
      <c r="O358" s="80" t="n"/>
      <c r="P358" s="80" t="n"/>
      <c r="Q358" s="80" t="n"/>
      <c r="R358" s="80" t="n"/>
      <c r="S358" s="80" t="n"/>
      <c r="T358" s="80" t="n"/>
      <c r="U358" s="80" t="n"/>
      <c r="V358" s="80" t="n"/>
      <c r="W358" s="80" t="n"/>
      <c r="X358" s="80" t="n"/>
      <c r="Y358" s="80" t="n"/>
      <c r="Z358" s="80" t="n"/>
      <c r="AA358" s="80" t="n"/>
      <c r="AB358" s="80" t="n"/>
      <c r="AC358" s="80" t="n"/>
      <c r="AD358" s="80" t="n"/>
      <c r="AE358" s="80" t="n"/>
      <c r="AF358" s="80" t="n"/>
      <c r="AG358" s="80" t="n"/>
      <c r="AH358" s="80" t="n"/>
      <c r="AI358" s="80" t="n"/>
      <c r="AJ358" s="80" t="n"/>
      <c r="AK358" s="80" t="n"/>
      <c r="AL358" s="80" t="n"/>
      <c r="AM358" s="80" t="n"/>
      <c r="AN358" s="80" t="n"/>
      <c r="AO358" s="80" t="n"/>
      <c r="AP358" s="80" t="n"/>
      <c r="AQ358" s="80" t="n"/>
      <c r="AR358" s="80" t="n"/>
    </row>
    <row r="359">
      <c r="D359" s="80" t="n"/>
      <c r="E359" s="80" t="n"/>
      <c r="F359" s="80" t="n"/>
      <c r="G359" s="80" t="n"/>
      <c r="H359" s="80" t="n"/>
      <c r="I359" s="80" t="n"/>
      <c r="J359" s="80" t="n"/>
      <c r="K359" s="80" t="n"/>
      <c r="L359" s="80" t="n"/>
      <c r="M359" s="80" t="n"/>
      <c r="N359" s="80" t="n"/>
      <c r="O359" s="80" t="n"/>
      <c r="P359" s="80" t="n"/>
      <c r="Q359" s="80" t="n"/>
      <c r="R359" s="80" t="n"/>
      <c r="S359" s="80" t="n"/>
      <c r="T359" s="80" t="n"/>
      <c r="U359" s="80" t="n"/>
      <c r="V359" s="80" t="n"/>
      <c r="W359" s="80" t="n"/>
      <c r="X359" s="80" t="n"/>
      <c r="Y359" s="80" t="n"/>
      <c r="Z359" s="80" t="n"/>
      <c r="AA359" s="80" t="n"/>
      <c r="AB359" s="80" t="n"/>
      <c r="AC359" s="80" t="n"/>
      <c r="AD359" s="80" t="n"/>
      <c r="AE359" s="80" t="n"/>
      <c r="AF359" s="80" t="n"/>
      <c r="AG359" s="80" t="n"/>
      <c r="AH359" s="80" t="n"/>
      <c r="AI359" s="80" t="n"/>
      <c r="AJ359" s="80" t="n"/>
      <c r="AK359" s="80" t="n"/>
      <c r="AL359" s="80" t="n"/>
      <c r="AM359" s="80" t="n"/>
      <c r="AN359" s="80" t="n"/>
      <c r="AO359" s="80" t="n"/>
      <c r="AP359" s="80" t="n"/>
      <c r="AQ359" s="80" t="n"/>
      <c r="AR359" s="80" t="n"/>
    </row>
    <row r="360">
      <c r="D360" s="80" t="n"/>
      <c r="E360" s="80" t="n"/>
      <c r="F360" s="80" t="n"/>
      <c r="G360" s="80" t="n"/>
      <c r="H360" s="80" t="n"/>
      <c r="I360" s="80" t="n"/>
      <c r="J360" s="80" t="n"/>
      <c r="K360" s="80" t="n"/>
      <c r="L360" s="80" t="n"/>
      <c r="M360" s="80" t="n"/>
      <c r="N360" s="80" t="n"/>
      <c r="O360" s="80" t="n"/>
      <c r="P360" s="80" t="n"/>
      <c r="Q360" s="80" t="n"/>
      <c r="R360" s="80" t="n"/>
      <c r="S360" s="80" t="n"/>
      <c r="T360" s="80" t="n"/>
      <c r="U360" s="80" t="n"/>
      <c r="V360" s="80" t="n"/>
      <c r="W360" s="80" t="n"/>
      <c r="X360" s="80" t="n"/>
      <c r="Y360" s="80" t="n"/>
      <c r="Z360" s="80" t="n"/>
      <c r="AA360" s="80" t="n"/>
      <c r="AB360" s="80" t="n"/>
      <c r="AC360" s="80" t="n"/>
      <c r="AD360" s="80" t="n"/>
      <c r="AE360" s="80" t="n"/>
      <c r="AF360" s="80" t="n"/>
      <c r="AG360" s="80" t="n"/>
      <c r="AH360" s="80" t="n"/>
      <c r="AI360" s="80" t="n"/>
      <c r="AJ360" s="80" t="n"/>
      <c r="AK360" s="80" t="n"/>
      <c r="AL360" s="80" t="n"/>
      <c r="AM360" s="80" t="n"/>
      <c r="AN360" s="80" t="n"/>
      <c r="AO360" s="80" t="n"/>
      <c r="AP360" s="80" t="n"/>
      <c r="AQ360" s="80" t="n"/>
      <c r="AR360" s="80" t="n"/>
    </row>
    <row r="361">
      <c r="A361" s="2">
        <f>IF($A354="","","   projections")</f>
        <v/>
      </c>
      <c r="B361" s="41">
        <f>IF($A354="",0,COUNT($E362:$AR362))</f>
        <v/>
      </c>
      <c r="C361" s="81">
        <f>IF($B361=0,0,MAX($E362:$AR362))</f>
        <v/>
      </c>
      <c r="D361" s="82">
        <f>BDS($A354,'Field Check'!$C$6,"headers=y","startcol=1","endcol=7","dir=h")</f>
        <v/>
      </c>
      <c r="E361" s="83" t="n"/>
      <c r="F361" s="83" t="n"/>
      <c r="G361" s="83" t="n"/>
      <c r="H361" s="83" t="n"/>
      <c r="I361" s="83" t="n"/>
      <c r="J361" s="83" t="n"/>
      <c r="K361" s="83" t="n"/>
      <c r="L361" s="83" t="n"/>
      <c r="M361" s="83" t="n"/>
      <c r="N361" s="83" t="n"/>
      <c r="O361" s="83" t="n"/>
      <c r="P361" s="83" t="n"/>
      <c r="Q361" s="83" t="n"/>
      <c r="R361" s="83" t="n"/>
      <c r="S361" s="83" t="n"/>
      <c r="T361" s="83" t="n"/>
      <c r="U361" s="83" t="n"/>
      <c r="V361" s="83" t="n"/>
      <c r="W361" s="83" t="n"/>
      <c r="X361" s="83" t="n"/>
      <c r="Y361" s="83" t="n"/>
      <c r="Z361" s="83" t="n"/>
      <c r="AA361" s="83" t="n"/>
      <c r="AB361" s="83" t="n"/>
      <c r="AC361" s="83" t="n"/>
      <c r="AD361" s="83" t="n"/>
      <c r="AE361" s="83" t="n"/>
      <c r="AF361" s="83" t="n"/>
      <c r="AG361" s="83" t="n"/>
      <c r="AH361" s="83" t="n"/>
      <c r="AI361" s="83" t="n"/>
      <c r="AJ361" s="83" t="n"/>
      <c r="AK361" s="83" t="n"/>
      <c r="AL361" s="83" t="n"/>
      <c r="AM361" s="83" t="n"/>
      <c r="AN361" s="83" t="n"/>
      <c r="AO361" s="83" t="n"/>
      <c r="AP361" s="83" t="n"/>
      <c r="AQ361" s="83" t="n"/>
      <c r="AR361" s="83" t="n"/>
    </row>
    <row r="362">
      <c r="D362" s="83" t="n"/>
      <c r="E362" s="83" t="n"/>
      <c r="F362" s="83" t="n"/>
      <c r="G362" s="83" t="n"/>
      <c r="H362" s="83" t="n"/>
      <c r="I362" s="83" t="n"/>
      <c r="J362" s="83" t="n"/>
      <c r="K362" s="83" t="n"/>
      <c r="L362" s="83" t="n"/>
      <c r="M362" s="83" t="n"/>
      <c r="N362" s="83" t="n"/>
      <c r="O362" s="83" t="n"/>
      <c r="P362" s="83" t="n"/>
      <c r="Q362" s="83" t="n"/>
      <c r="R362" s="83" t="n"/>
      <c r="S362" s="83" t="n"/>
      <c r="T362" s="83" t="n"/>
      <c r="U362" s="83" t="n"/>
      <c r="V362" s="83" t="n"/>
      <c r="W362" s="83" t="n"/>
      <c r="X362" s="83" t="n"/>
      <c r="Y362" s="83" t="n"/>
      <c r="Z362" s="83" t="n"/>
      <c r="AA362" s="83" t="n"/>
      <c r="AB362" s="83" t="n"/>
      <c r="AC362" s="83" t="n"/>
      <c r="AD362" s="83" t="n"/>
      <c r="AE362" s="83" t="n"/>
      <c r="AF362" s="83" t="n"/>
      <c r="AG362" s="83" t="n"/>
      <c r="AH362" s="83" t="n"/>
      <c r="AI362" s="83" t="n"/>
      <c r="AJ362" s="83" t="n"/>
      <c r="AK362" s="83" t="n"/>
      <c r="AL362" s="83" t="n"/>
      <c r="AM362" s="83" t="n"/>
      <c r="AN362" s="83" t="n"/>
      <c r="AO362" s="83" t="n"/>
      <c r="AP362" s="83" t="n"/>
      <c r="AQ362" s="83" t="n"/>
      <c r="AR362" s="83" t="n"/>
    </row>
    <row r="363">
      <c r="D363" s="84" t="n"/>
      <c r="E363" s="84" t="n"/>
      <c r="F363" s="84" t="n"/>
      <c r="G363" s="84" t="n"/>
      <c r="H363" s="84" t="n"/>
      <c r="I363" s="84" t="n"/>
      <c r="J363" s="84" t="n"/>
      <c r="K363" s="84" t="n"/>
      <c r="L363" s="84" t="n"/>
      <c r="M363" s="84" t="n"/>
      <c r="N363" s="84" t="n"/>
      <c r="O363" s="84" t="n"/>
      <c r="P363" s="84" t="n"/>
      <c r="Q363" s="84" t="n"/>
      <c r="R363" s="84" t="n"/>
      <c r="S363" s="84" t="n"/>
      <c r="T363" s="84" t="n"/>
      <c r="U363" s="84" t="n"/>
      <c r="V363" s="84" t="n"/>
      <c r="W363" s="84" t="n"/>
      <c r="X363" s="84" t="n"/>
      <c r="Y363" s="84" t="n"/>
      <c r="Z363" s="84" t="n"/>
      <c r="AA363" s="84" t="n"/>
      <c r="AB363" s="84" t="n"/>
      <c r="AC363" s="84" t="n"/>
      <c r="AD363" s="84" t="n"/>
      <c r="AE363" s="84" t="n"/>
      <c r="AF363" s="84" t="n"/>
      <c r="AG363" s="84" t="n"/>
      <c r="AH363" s="84" t="n"/>
      <c r="AI363" s="84" t="n"/>
      <c r="AJ363" s="84" t="n"/>
      <c r="AK363" s="84" t="n"/>
      <c r="AL363" s="84" t="n"/>
      <c r="AM363" s="84" t="n"/>
      <c r="AN363" s="84" t="n"/>
      <c r="AO363" s="84" t="n"/>
      <c r="AP363" s="84" t="n"/>
      <c r="AQ363" s="84" t="n"/>
      <c r="AR363" s="84" t="n"/>
    </row>
    <row r="364">
      <c r="D364" s="80" t="n"/>
      <c r="E364" s="80" t="n"/>
      <c r="F364" s="80" t="n"/>
      <c r="G364" s="80" t="n"/>
      <c r="H364" s="80" t="n"/>
      <c r="I364" s="80" t="n"/>
      <c r="J364" s="80" t="n"/>
      <c r="K364" s="80" t="n"/>
      <c r="L364" s="80" t="n"/>
      <c r="M364" s="80" t="n"/>
      <c r="N364" s="80" t="n"/>
      <c r="O364" s="80" t="n"/>
      <c r="P364" s="80" t="n"/>
      <c r="Q364" s="80" t="n"/>
      <c r="R364" s="80" t="n"/>
      <c r="S364" s="80" t="n"/>
      <c r="T364" s="80" t="n"/>
      <c r="U364" s="80" t="n"/>
      <c r="V364" s="80" t="n"/>
      <c r="W364" s="80" t="n"/>
      <c r="X364" s="80" t="n"/>
      <c r="Y364" s="80" t="n"/>
      <c r="Z364" s="80" t="n"/>
      <c r="AA364" s="80" t="n"/>
      <c r="AB364" s="80" t="n"/>
      <c r="AC364" s="80" t="n"/>
      <c r="AD364" s="80" t="n"/>
      <c r="AE364" s="80" t="n"/>
      <c r="AF364" s="80" t="n"/>
      <c r="AG364" s="80" t="n"/>
      <c r="AH364" s="80" t="n"/>
      <c r="AI364" s="80" t="n"/>
      <c r="AJ364" s="80" t="n"/>
      <c r="AK364" s="80" t="n"/>
      <c r="AL364" s="80" t="n"/>
      <c r="AM364" s="80" t="n"/>
      <c r="AN364" s="80" t="n"/>
      <c r="AO364" s="80" t="n"/>
      <c r="AP364" s="80" t="n"/>
      <c r="AQ364" s="80" t="n"/>
      <c r="AR364" s="80" t="n"/>
    </row>
    <row r="365">
      <c r="D365" s="80" t="n"/>
      <c r="E365" s="80" t="n"/>
      <c r="F365" s="80" t="n"/>
      <c r="G365" s="80" t="n"/>
      <c r="H365" s="80" t="n"/>
      <c r="I365" s="80" t="n"/>
      <c r="J365" s="80" t="n"/>
      <c r="K365" s="80" t="n"/>
      <c r="L365" s="80" t="n"/>
      <c r="M365" s="80" t="n"/>
      <c r="N365" s="80" t="n"/>
      <c r="O365" s="80" t="n"/>
      <c r="P365" s="80" t="n"/>
      <c r="Q365" s="80" t="n"/>
      <c r="R365" s="80" t="n"/>
      <c r="S365" s="80" t="n"/>
      <c r="T365" s="80" t="n"/>
      <c r="U365" s="80" t="n"/>
      <c r="V365" s="80" t="n"/>
      <c r="W365" s="80" t="n"/>
      <c r="X365" s="80" t="n"/>
      <c r="Y365" s="80" t="n"/>
      <c r="Z365" s="80" t="n"/>
      <c r="AA365" s="80" t="n"/>
      <c r="AB365" s="80" t="n"/>
      <c r="AC365" s="80" t="n"/>
      <c r="AD365" s="80" t="n"/>
      <c r="AE365" s="80" t="n"/>
      <c r="AF365" s="80" t="n"/>
      <c r="AG365" s="80" t="n"/>
      <c r="AH365" s="80" t="n"/>
      <c r="AI365" s="80" t="n"/>
      <c r="AJ365" s="80" t="n"/>
      <c r="AK365" s="80" t="n"/>
      <c r="AL365" s="80" t="n"/>
      <c r="AM365" s="80" t="n"/>
      <c r="AN365" s="80" t="n"/>
      <c r="AO365" s="80" t="n"/>
      <c r="AP365" s="80" t="n"/>
      <c r="AQ365" s="80" t="n"/>
      <c r="AR365" s="80" t="n"/>
    </row>
    <row r="366">
      <c r="D366" s="80" t="n"/>
      <c r="E366" s="80" t="n"/>
      <c r="F366" s="80" t="n"/>
      <c r="G366" s="80" t="n"/>
      <c r="H366" s="80" t="n"/>
      <c r="I366" s="80" t="n"/>
      <c r="J366" s="80" t="n"/>
      <c r="K366" s="80" t="n"/>
      <c r="L366" s="80" t="n"/>
      <c r="M366" s="80" t="n"/>
      <c r="N366" s="80" t="n"/>
      <c r="O366" s="80" t="n"/>
      <c r="P366" s="80" t="n"/>
      <c r="Q366" s="80" t="n"/>
      <c r="R366" s="80" t="n"/>
      <c r="S366" s="80" t="n"/>
      <c r="T366" s="80" t="n"/>
      <c r="U366" s="80" t="n"/>
      <c r="V366" s="80" t="n"/>
      <c r="W366" s="80" t="n"/>
      <c r="X366" s="80" t="n"/>
      <c r="Y366" s="80" t="n"/>
      <c r="Z366" s="80" t="n"/>
      <c r="AA366" s="80" t="n"/>
      <c r="AB366" s="80" t="n"/>
      <c r="AC366" s="80" t="n"/>
      <c r="AD366" s="80" t="n"/>
      <c r="AE366" s="80" t="n"/>
      <c r="AF366" s="80" t="n"/>
      <c r="AG366" s="80" t="n"/>
      <c r="AH366" s="80" t="n"/>
      <c r="AI366" s="80" t="n"/>
      <c r="AJ366" s="80" t="n"/>
      <c r="AK366" s="80" t="n"/>
      <c r="AL366" s="80" t="n"/>
      <c r="AM366" s="80" t="n"/>
      <c r="AN366" s="80" t="n"/>
      <c r="AO366" s="80" t="n"/>
      <c r="AP366" s="80" t="n"/>
      <c r="AQ366" s="80" t="n"/>
      <c r="AR366" s="80" t="n"/>
    </row>
    <row r="367">
      <c r="D367" s="80" t="n"/>
      <c r="E367" s="80" t="n"/>
      <c r="F367" s="80" t="n"/>
      <c r="G367" s="80" t="n"/>
      <c r="H367" s="80" t="n"/>
      <c r="I367" s="80" t="n"/>
      <c r="J367" s="80" t="n"/>
      <c r="K367" s="80" t="n"/>
      <c r="L367" s="80" t="n"/>
      <c r="M367" s="80" t="n"/>
      <c r="N367" s="80" t="n"/>
      <c r="O367" s="80" t="n"/>
      <c r="P367" s="80" t="n"/>
      <c r="Q367" s="80" t="n"/>
      <c r="R367" s="80" t="n"/>
      <c r="S367" s="80" t="n"/>
      <c r="T367" s="80" t="n"/>
      <c r="U367" s="80" t="n"/>
      <c r="V367" s="80" t="n"/>
      <c r="W367" s="80" t="n"/>
      <c r="X367" s="80" t="n"/>
      <c r="Y367" s="80" t="n"/>
      <c r="Z367" s="80" t="n"/>
      <c r="AA367" s="80" t="n"/>
      <c r="AB367" s="80" t="n"/>
      <c r="AC367" s="80" t="n"/>
      <c r="AD367" s="80" t="n"/>
      <c r="AE367" s="80" t="n"/>
      <c r="AF367" s="80" t="n"/>
      <c r="AG367" s="80" t="n"/>
      <c r="AH367" s="80" t="n"/>
      <c r="AI367" s="80" t="n"/>
      <c r="AJ367" s="80" t="n"/>
      <c r="AK367" s="80" t="n"/>
      <c r="AL367" s="80" t="n"/>
      <c r="AM367" s="80" t="n"/>
      <c r="AN367" s="80" t="n"/>
      <c r="AO367" s="80" t="n"/>
      <c r="AP367" s="80" t="n"/>
      <c r="AQ367" s="80" t="n"/>
      <c r="AR367" s="80" t="n"/>
    </row>
    <row r="369">
      <c r="A369" s="6">
        <f>IF(HSI!$C$31="","",HSI!$C$31)</f>
        <v/>
      </c>
      <c r="B369" s="41">
        <f>IF($A369="",0,COUNT($E370:$AR370))</f>
        <v/>
      </c>
      <c r="C369" s="81">
        <f>IF($B369=0,0,MAX($E370:$AR370))</f>
        <v/>
      </c>
      <c r="D369" s="82">
        <f>BDS($A369,'Field Check'!$C$7,"headers=y","startcol=1","endcol=7","dir=h","DVD_START_DT",Summary!$C$18,"DVD_END_DT",Summary!$D$18)</f>
        <v/>
      </c>
      <c r="E369" s="83" t="n"/>
      <c r="F369" s="83" t="n"/>
      <c r="G369" s="83" t="n"/>
      <c r="H369" s="83" t="n"/>
      <c r="I369" s="83" t="n"/>
      <c r="J369" s="83" t="n"/>
      <c r="K369" s="83" t="n"/>
      <c r="L369" s="83" t="n"/>
      <c r="M369" s="83" t="n"/>
      <c r="N369" s="83" t="n"/>
      <c r="O369" s="83" t="n"/>
      <c r="P369" s="83" t="n"/>
      <c r="Q369" s="83" t="n"/>
      <c r="R369" s="83" t="n"/>
      <c r="S369" s="83" t="n"/>
      <c r="T369" s="83" t="n"/>
      <c r="U369" s="83" t="n"/>
      <c r="V369" s="83" t="n"/>
      <c r="W369" s="83" t="n"/>
      <c r="X369" s="83" t="n"/>
      <c r="Y369" s="83" t="n"/>
      <c r="Z369" s="83" t="n"/>
      <c r="AA369" s="83" t="n"/>
      <c r="AB369" s="83" t="n"/>
      <c r="AC369" s="83" t="n"/>
      <c r="AD369" s="83" t="n"/>
      <c r="AE369" s="83" t="n"/>
      <c r="AF369" s="83" t="n"/>
      <c r="AG369" s="83" t="n"/>
      <c r="AH369" s="83" t="n"/>
      <c r="AI369" s="83" t="n"/>
      <c r="AJ369" s="83" t="n"/>
      <c r="AK369" s="83" t="n"/>
      <c r="AL369" s="83" t="n"/>
      <c r="AM369" s="83" t="n"/>
      <c r="AN369" s="83" t="n"/>
      <c r="AO369" s="83" t="n"/>
      <c r="AP369" s="83" t="n"/>
      <c r="AQ369" s="83" t="n"/>
      <c r="AR369" s="83" t="n"/>
    </row>
    <row r="370">
      <c r="D370" s="83" t="n"/>
      <c r="E370" s="83" t="n"/>
      <c r="F370" s="83" t="n"/>
      <c r="G370" s="83" t="n"/>
      <c r="H370" s="83" t="n"/>
      <c r="I370" s="83" t="n"/>
      <c r="J370" s="83" t="n"/>
      <c r="K370" s="83" t="n"/>
      <c r="L370" s="83" t="n"/>
      <c r="M370" s="83" t="n"/>
      <c r="N370" s="83" t="n"/>
      <c r="O370" s="83" t="n"/>
      <c r="P370" s="83" t="n"/>
      <c r="Q370" s="83" t="n"/>
      <c r="R370" s="83" t="n"/>
      <c r="S370" s="83" t="n"/>
      <c r="T370" s="83" t="n"/>
      <c r="U370" s="83" t="n"/>
      <c r="V370" s="83" t="n"/>
      <c r="W370" s="83" t="n"/>
      <c r="X370" s="83" t="n"/>
      <c r="Y370" s="83" t="n"/>
      <c r="Z370" s="83" t="n"/>
      <c r="AA370" s="83" t="n"/>
      <c r="AB370" s="83" t="n"/>
      <c r="AC370" s="83" t="n"/>
      <c r="AD370" s="83" t="n"/>
      <c r="AE370" s="83" t="n"/>
      <c r="AF370" s="83" t="n"/>
      <c r="AG370" s="83" t="n"/>
      <c r="AH370" s="83" t="n"/>
      <c r="AI370" s="83" t="n"/>
      <c r="AJ370" s="83" t="n"/>
      <c r="AK370" s="83" t="n"/>
      <c r="AL370" s="83" t="n"/>
      <c r="AM370" s="83" t="n"/>
      <c r="AN370" s="83" t="n"/>
      <c r="AO370" s="83" t="n"/>
      <c r="AP370" s="83" t="n"/>
      <c r="AQ370" s="83" t="n"/>
      <c r="AR370" s="83" t="n"/>
    </row>
    <row r="371">
      <c r="D371" s="84" t="n"/>
      <c r="E371" s="84" t="n"/>
      <c r="F371" s="84" t="n"/>
      <c r="G371" s="84" t="n"/>
      <c r="H371" s="84" t="n"/>
      <c r="I371" s="84" t="n"/>
      <c r="J371" s="84" t="n"/>
      <c r="K371" s="84" t="n"/>
      <c r="L371" s="84" t="n"/>
      <c r="M371" s="84" t="n"/>
      <c r="N371" s="84" t="n"/>
      <c r="O371" s="84" t="n"/>
      <c r="P371" s="84" t="n"/>
      <c r="Q371" s="84" t="n"/>
      <c r="R371" s="84" t="n"/>
      <c r="S371" s="84" t="n"/>
      <c r="T371" s="84" t="n"/>
      <c r="U371" s="84" t="n"/>
      <c r="V371" s="84" t="n"/>
      <c r="W371" s="84" t="n"/>
      <c r="X371" s="84" t="n"/>
      <c r="Y371" s="84" t="n"/>
      <c r="Z371" s="84" t="n"/>
      <c r="AA371" s="84" t="n"/>
      <c r="AB371" s="84" t="n"/>
      <c r="AC371" s="84" t="n"/>
      <c r="AD371" s="84" t="n"/>
      <c r="AE371" s="84" t="n"/>
      <c r="AF371" s="84" t="n"/>
      <c r="AG371" s="84" t="n"/>
      <c r="AH371" s="84" t="n"/>
      <c r="AI371" s="84" t="n"/>
      <c r="AJ371" s="84" t="n"/>
      <c r="AK371" s="84" t="n"/>
      <c r="AL371" s="84" t="n"/>
      <c r="AM371" s="84" t="n"/>
      <c r="AN371" s="84" t="n"/>
      <c r="AO371" s="84" t="n"/>
      <c r="AP371" s="84" t="n"/>
      <c r="AQ371" s="84" t="n"/>
      <c r="AR371" s="84" t="n"/>
    </row>
    <row r="372">
      <c r="D372" s="80" t="n"/>
      <c r="E372" s="80" t="n"/>
      <c r="F372" s="80" t="n"/>
      <c r="G372" s="80" t="n"/>
      <c r="H372" s="80" t="n"/>
      <c r="I372" s="80" t="n"/>
      <c r="J372" s="80" t="n"/>
      <c r="K372" s="80" t="n"/>
      <c r="L372" s="80" t="n"/>
      <c r="M372" s="80" t="n"/>
      <c r="N372" s="80" t="n"/>
      <c r="O372" s="80" t="n"/>
      <c r="P372" s="80" t="n"/>
      <c r="Q372" s="80" t="n"/>
      <c r="R372" s="80" t="n"/>
      <c r="S372" s="80" t="n"/>
      <c r="T372" s="80" t="n"/>
      <c r="U372" s="80" t="n"/>
      <c r="V372" s="80" t="n"/>
      <c r="W372" s="80" t="n"/>
      <c r="X372" s="80" t="n"/>
      <c r="Y372" s="80" t="n"/>
      <c r="Z372" s="80" t="n"/>
      <c r="AA372" s="80" t="n"/>
      <c r="AB372" s="80" t="n"/>
      <c r="AC372" s="80" t="n"/>
      <c r="AD372" s="80" t="n"/>
      <c r="AE372" s="80" t="n"/>
      <c r="AF372" s="80" t="n"/>
      <c r="AG372" s="80" t="n"/>
      <c r="AH372" s="80" t="n"/>
      <c r="AI372" s="80" t="n"/>
      <c r="AJ372" s="80" t="n"/>
      <c r="AK372" s="80" t="n"/>
      <c r="AL372" s="80" t="n"/>
      <c r="AM372" s="80" t="n"/>
      <c r="AN372" s="80" t="n"/>
      <c r="AO372" s="80" t="n"/>
      <c r="AP372" s="80" t="n"/>
      <c r="AQ372" s="80" t="n"/>
      <c r="AR372" s="80" t="n"/>
    </row>
    <row r="373">
      <c r="D373" s="80" t="n"/>
      <c r="E373" s="80" t="n"/>
      <c r="F373" s="80" t="n"/>
      <c r="G373" s="80" t="n"/>
      <c r="H373" s="80" t="n"/>
      <c r="I373" s="80" t="n"/>
      <c r="J373" s="80" t="n"/>
      <c r="K373" s="80" t="n"/>
      <c r="L373" s="80" t="n"/>
      <c r="M373" s="80" t="n"/>
      <c r="N373" s="80" t="n"/>
      <c r="O373" s="80" t="n"/>
      <c r="P373" s="80" t="n"/>
      <c r="Q373" s="80" t="n"/>
      <c r="R373" s="80" t="n"/>
      <c r="S373" s="80" t="n"/>
      <c r="T373" s="80" t="n"/>
      <c r="U373" s="80" t="n"/>
      <c r="V373" s="80" t="n"/>
      <c r="W373" s="80" t="n"/>
      <c r="X373" s="80" t="n"/>
      <c r="Y373" s="80" t="n"/>
      <c r="Z373" s="80" t="n"/>
      <c r="AA373" s="80" t="n"/>
      <c r="AB373" s="80" t="n"/>
      <c r="AC373" s="80" t="n"/>
      <c r="AD373" s="80" t="n"/>
      <c r="AE373" s="80" t="n"/>
      <c r="AF373" s="80" t="n"/>
      <c r="AG373" s="80" t="n"/>
      <c r="AH373" s="80" t="n"/>
      <c r="AI373" s="80" t="n"/>
      <c r="AJ373" s="80" t="n"/>
      <c r="AK373" s="80" t="n"/>
      <c r="AL373" s="80" t="n"/>
      <c r="AM373" s="80" t="n"/>
      <c r="AN373" s="80" t="n"/>
      <c r="AO373" s="80" t="n"/>
      <c r="AP373" s="80" t="n"/>
      <c r="AQ373" s="80" t="n"/>
      <c r="AR373" s="80" t="n"/>
    </row>
    <row r="374">
      <c r="D374" s="80" t="n"/>
      <c r="E374" s="80" t="n"/>
      <c r="F374" s="80" t="n"/>
      <c r="G374" s="80" t="n"/>
      <c r="H374" s="80" t="n"/>
      <c r="I374" s="80" t="n"/>
      <c r="J374" s="80" t="n"/>
      <c r="K374" s="80" t="n"/>
      <c r="L374" s="80" t="n"/>
      <c r="M374" s="80" t="n"/>
      <c r="N374" s="80" t="n"/>
      <c r="O374" s="80" t="n"/>
      <c r="P374" s="80" t="n"/>
      <c r="Q374" s="80" t="n"/>
      <c r="R374" s="80" t="n"/>
      <c r="S374" s="80" t="n"/>
      <c r="T374" s="80" t="n"/>
      <c r="U374" s="80" t="n"/>
      <c r="V374" s="80" t="n"/>
      <c r="W374" s="80" t="n"/>
      <c r="X374" s="80" t="n"/>
      <c r="Y374" s="80" t="n"/>
      <c r="Z374" s="80" t="n"/>
      <c r="AA374" s="80" t="n"/>
      <c r="AB374" s="80" t="n"/>
      <c r="AC374" s="80" t="n"/>
      <c r="AD374" s="80" t="n"/>
      <c r="AE374" s="80" t="n"/>
      <c r="AF374" s="80" t="n"/>
      <c r="AG374" s="80" t="n"/>
      <c r="AH374" s="80" t="n"/>
      <c r="AI374" s="80" t="n"/>
      <c r="AJ374" s="80" t="n"/>
      <c r="AK374" s="80" t="n"/>
      <c r="AL374" s="80" t="n"/>
      <c r="AM374" s="80" t="n"/>
      <c r="AN374" s="80" t="n"/>
      <c r="AO374" s="80" t="n"/>
      <c r="AP374" s="80" t="n"/>
      <c r="AQ374" s="80" t="n"/>
      <c r="AR374" s="80" t="n"/>
    </row>
    <row r="375">
      <c r="D375" s="80" t="n"/>
      <c r="E375" s="80" t="n"/>
      <c r="F375" s="80" t="n"/>
      <c r="G375" s="80" t="n"/>
      <c r="H375" s="80" t="n"/>
      <c r="I375" s="80" t="n"/>
      <c r="J375" s="80" t="n"/>
      <c r="K375" s="80" t="n"/>
      <c r="L375" s="80" t="n"/>
      <c r="M375" s="80" t="n"/>
      <c r="N375" s="80" t="n"/>
      <c r="O375" s="80" t="n"/>
      <c r="P375" s="80" t="n"/>
      <c r="Q375" s="80" t="n"/>
      <c r="R375" s="80" t="n"/>
      <c r="S375" s="80" t="n"/>
      <c r="T375" s="80" t="n"/>
      <c r="U375" s="80" t="n"/>
      <c r="V375" s="80" t="n"/>
      <c r="W375" s="80" t="n"/>
      <c r="X375" s="80" t="n"/>
      <c r="Y375" s="80" t="n"/>
      <c r="Z375" s="80" t="n"/>
      <c r="AA375" s="80" t="n"/>
      <c r="AB375" s="80" t="n"/>
      <c r="AC375" s="80" t="n"/>
      <c r="AD375" s="80" t="n"/>
      <c r="AE375" s="80" t="n"/>
      <c r="AF375" s="80" t="n"/>
      <c r="AG375" s="80" t="n"/>
      <c r="AH375" s="80" t="n"/>
      <c r="AI375" s="80" t="n"/>
      <c r="AJ375" s="80" t="n"/>
      <c r="AK375" s="80" t="n"/>
      <c r="AL375" s="80" t="n"/>
      <c r="AM375" s="80" t="n"/>
      <c r="AN375" s="80" t="n"/>
      <c r="AO375" s="80" t="n"/>
      <c r="AP375" s="80" t="n"/>
      <c r="AQ375" s="80" t="n"/>
      <c r="AR375" s="80" t="n"/>
    </row>
    <row r="376">
      <c r="A376" s="2">
        <f>IF($A369="","","   projections")</f>
        <v/>
      </c>
      <c r="B376" s="41">
        <f>IF($A369="",0,COUNT($E377:$AR377))</f>
        <v/>
      </c>
      <c r="C376" s="81">
        <f>IF($B376=0,0,MAX($E377:$AR377))</f>
        <v/>
      </c>
      <c r="D376" s="82">
        <f>BDS($A369,'Field Check'!$C$6,"headers=y","startcol=1","endcol=7","dir=h")</f>
        <v/>
      </c>
      <c r="E376" s="83" t="n"/>
      <c r="F376" s="83" t="n"/>
      <c r="G376" s="83" t="n"/>
      <c r="H376" s="83" t="n"/>
      <c r="I376" s="83" t="n"/>
      <c r="J376" s="83" t="n"/>
      <c r="K376" s="83" t="n"/>
      <c r="L376" s="83" t="n"/>
      <c r="M376" s="83" t="n"/>
      <c r="N376" s="83" t="n"/>
      <c r="O376" s="83" t="n"/>
      <c r="P376" s="83" t="n"/>
      <c r="Q376" s="83" t="n"/>
      <c r="R376" s="83" t="n"/>
      <c r="S376" s="83" t="n"/>
      <c r="T376" s="83" t="n"/>
      <c r="U376" s="83" t="n"/>
      <c r="V376" s="83" t="n"/>
      <c r="W376" s="83" t="n"/>
      <c r="X376" s="83" t="n"/>
      <c r="Y376" s="83" t="n"/>
      <c r="Z376" s="83" t="n"/>
      <c r="AA376" s="83" t="n"/>
      <c r="AB376" s="83" t="n"/>
      <c r="AC376" s="83" t="n"/>
      <c r="AD376" s="83" t="n"/>
      <c r="AE376" s="83" t="n"/>
      <c r="AF376" s="83" t="n"/>
      <c r="AG376" s="83" t="n"/>
      <c r="AH376" s="83" t="n"/>
      <c r="AI376" s="83" t="n"/>
      <c r="AJ376" s="83" t="n"/>
      <c r="AK376" s="83" t="n"/>
      <c r="AL376" s="83" t="n"/>
      <c r="AM376" s="83" t="n"/>
      <c r="AN376" s="83" t="n"/>
      <c r="AO376" s="83" t="n"/>
      <c r="AP376" s="83" t="n"/>
      <c r="AQ376" s="83" t="n"/>
      <c r="AR376" s="83" t="n"/>
    </row>
    <row r="377">
      <c r="D377" s="83" t="n"/>
      <c r="E377" s="83" t="n"/>
      <c r="F377" s="83" t="n"/>
      <c r="G377" s="83" t="n"/>
      <c r="H377" s="83" t="n"/>
      <c r="I377" s="83" t="n"/>
      <c r="J377" s="83" t="n"/>
      <c r="K377" s="83" t="n"/>
      <c r="L377" s="83" t="n"/>
      <c r="M377" s="83" t="n"/>
      <c r="N377" s="83" t="n"/>
      <c r="O377" s="83" t="n"/>
      <c r="P377" s="83" t="n"/>
      <c r="Q377" s="83" t="n"/>
      <c r="R377" s="83" t="n"/>
      <c r="S377" s="83" t="n"/>
      <c r="T377" s="83" t="n"/>
      <c r="U377" s="83" t="n"/>
      <c r="V377" s="83" t="n"/>
      <c r="W377" s="83" t="n"/>
      <c r="X377" s="83" t="n"/>
      <c r="Y377" s="83" t="n"/>
      <c r="Z377" s="83" t="n"/>
      <c r="AA377" s="83" t="n"/>
      <c r="AB377" s="83" t="n"/>
      <c r="AC377" s="83" t="n"/>
      <c r="AD377" s="83" t="n"/>
      <c r="AE377" s="83" t="n"/>
      <c r="AF377" s="83" t="n"/>
      <c r="AG377" s="83" t="n"/>
      <c r="AH377" s="83" t="n"/>
      <c r="AI377" s="83" t="n"/>
      <c r="AJ377" s="83" t="n"/>
      <c r="AK377" s="83" t="n"/>
      <c r="AL377" s="83" t="n"/>
      <c r="AM377" s="83" t="n"/>
      <c r="AN377" s="83" t="n"/>
      <c r="AO377" s="83" t="n"/>
      <c r="AP377" s="83" t="n"/>
      <c r="AQ377" s="83" t="n"/>
      <c r="AR377" s="83" t="n"/>
    </row>
    <row r="378">
      <c r="D378" s="84" t="n"/>
      <c r="E378" s="84" t="n"/>
      <c r="F378" s="84" t="n"/>
      <c r="G378" s="84" t="n"/>
      <c r="H378" s="84" t="n"/>
      <c r="I378" s="84" t="n"/>
      <c r="J378" s="84" t="n"/>
      <c r="K378" s="84" t="n"/>
      <c r="L378" s="84" t="n"/>
      <c r="M378" s="84" t="n"/>
      <c r="N378" s="84" t="n"/>
      <c r="O378" s="84" t="n"/>
      <c r="P378" s="84" t="n"/>
      <c r="Q378" s="84" t="n"/>
      <c r="R378" s="84" t="n"/>
      <c r="S378" s="84" t="n"/>
      <c r="T378" s="84" t="n"/>
      <c r="U378" s="84" t="n"/>
      <c r="V378" s="84" t="n"/>
      <c r="W378" s="84" t="n"/>
      <c r="X378" s="84" t="n"/>
      <c r="Y378" s="84" t="n"/>
      <c r="Z378" s="84" t="n"/>
      <c r="AA378" s="84" t="n"/>
      <c r="AB378" s="84" t="n"/>
      <c r="AC378" s="84" t="n"/>
      <c r="AD378" s="84" t="n"/>
      <c r="AE378" s="84" t="n"/>
      <c r="AF378" s="84" t="n"/>
      <c r="AG378" s="84" t="n"/>
      <c r="AH378" s="84" t="n"/>
      <c r="AI378" s="84" t="n"/>
      <c r="AJ378" s="84" t="n"/>
      <c r="AK378" s="84" t="n"/>
      <c r="AL378" s="84" t="n"/>
      <c r="AM378" s="84" t="n"/>
      <c r="AN378" s="84" t="n"/>
      <c r="AO378" s="84" t="n"/>
      <c r="AP378" s="84" t="n"/>
      <c r="AQ378" s="84" t="n"/>
      <c r="AR378" s="84" t="n"/>
    </row>
    <row r="379">
      <c r="D379" s="80" t="n"/>
      <c r="E379" s="80" t="n"/>
      <c r="F379" s="80" t="n"/>
      <c r="G379" s="80" t="n"/>
      <c r="H379" s="80" t="n"/>
      <c r="I379" s="80" t="n"/>
      <c r="J379" s="80" t="n"/>
      <c r="K379" s="80" t="n"/>
      <c r="L379" s="80" t="n"/>
      <c r="M379" s="80" t="n"/>
      <c r="N379" s="80" t="n"/>
      <c r="O379" s="80" t="n"/>
      <c r="P379" s="80" t="n"/>
      <c r="Q379" s="80" t="n"/>
      <c r="R379" s="80" t="n"/>
      <c r="S379" s="80" t="n"/>
      <c r="T379" s="80" t="n"/>
      <c r="U379" s="80" t="n"/>
      <c r="V379" s="80" t="n"/>
      <c r="W379" s="80" t="n"/>
      <c r="X379" s="80" t="n"/>
      <c r="Y379" s="80" t="n"/>
      <c r="Z379" s="80" t="n"/>
      <c r="AA379" s="80" t="n"/>
      <c r="AB379" s="80" t="n"/>
      <c r="AC379" s="80" t="n"/>
      <c r="AD379" s="80" t="n"/>
      <c r="AE379" s="80" t="n"/>
      <c r="AF379" s="80" t="n"/>
      <c r="AG379" s="80" t="n"/>
      <c r="AH379" s="80" t="n"/>
      <c r="AI379" s="80" t="n"/>
      <c r="AJ379" s="80" t="n"/>
      <c r="AK379" s="80" t="n"/>
      <c r="AL379" s="80" t="n"/>
      <c r="AM379" s="80" t="n"/>
      <c r="AN379" s="80" t="n"/>
      <c r="AO379" s="80" t="n"/>
      <c r="AP379" s="80" t="n"/>
      <c r="AQ379" s="80" t="n"/>
      <c r="AR379" s="80" t="n"/>
    </row>
    <row r="380">
      <c r="D380" s="80" t="n"/>
      <c r="E380" s="80" t="n"/>
      <c r="F380" s="80" t="n"/>
      <c r="G380" s="80" t="n"/>
      <c r="H380" s="80" t="n"/>
      <c r="I380" s="80" t="n"/>
      <c r="J380" s="80" t="n"/>
      <c r="K380" s="80" t="n"/>
      <c r="L380" s="80" t="n"/>
      <c r="M380" s="80" t="n"/>
      <c r="N380" s="80" t="n"/>
      <c r="O380" s="80" t="n"/>
      <c r="P380" s="80" t="n"/>
      <c r="Q380" s="80" t="n"/>
      <c r="R380" s="80" t="n"/>
      <c r="S380" s="80" t="n"/>
      <c r="T380" s="80" t="n"/>
      <c r="U380" s="80" t="n"/>
      <c r="V380" s="80" t="n"/>
      <c r="W380" s="80" t="n"/>
      <c r="X380" s="80" t="n"/>
      <c r="Y380" s="80" t="n"/>
      <c r="Z380" s="80" t="n"/>
      <c r="AA380" s="80" t="n"/>
      <c r="AB380" s="80" t="n"/>
      <c r="AC380" s="80" t="n"/>
      <c r="AD380" s="80" t="n"/>
      <c r="AE380" s="80" t="n"/>
      <c r="AF380" s="80" t="n"/>
      <c r="AG380" s="80" t="n"/>
      <c r="AH380" s="80" t="n"/>
      <c r="AI380" s="80" t="n"/>
      <c r="AJ380" s="80" t="n"/>
      <c r="AK380" s="80" t="n"/>
      <c r="AL380" s="80" t="n"/>
      <c r="AM380" s="80" t="n"/>
      <c r="AN380" s="80" t="n"/>
      <c r="AO380" s="80" t="n"/>
      <c r="AP380" s="80" t="n"/>
      <c r="AQ380" s="80" t="n"/>
      <c r="AR380" s="80" t="n"/>
    </row>
    <row r="381">
      <c r="D381" s="80" t="n"/>
      <c r="E381" s="80" t="n"/>
      <c r="F381" s="80" t="n"/>
      <c r="G381" s="80" t="n"/>
      <c r="H381" s="80" t="n"/>
      <c r="I381" s="80" t="n"/>
      <c r="J381" s="80" t="n"/>
      <c r="K381" s="80" t="n"/>
      <c r="L381" s="80" t="n"/>
      <c r="M381" s="80" t="n"/>
      <c r="N381" s="80" t="n"/>
      <c r="O381" s="80" t="n"/>
      <c r="P381" s="80" t="n"/>
      <c r="Q381" s="80" t="n"/>
      <c r="R381" s="80" t="n"/>
      <c r="S381" s="80" t="n"/>
      <c r="T381" s="80" t="n"/>
      <c r="U381" s="80" t="n"/>
      <c r="V381" s="80" t="n"/>
      <c r="W381" s="80" t="n"/>
      <c r="X381" s="80" t="n"/>
      <c r="Y381" s="80" t="n"/>
      <c r="Z381" s="80" t="n"/>
      <c r="AA381" s="80" t="n"/>
      <c r="AB381" s="80" t="n"/>
      <c r="AC381" s="80" t="n"/>
      <c r="AD381" s="80" t="n"/>
      <c r="AE381" s="80" t="n"/>
      <c r="AF381" s="80" t="n"/>
      <c r="AG381" s="80" t="n"/>
      <c r="AH381" s="80" t="n"/>
      <c r="AI381" s="80" t="n"/>
      <c r="AJ381" s="80" t="n"/>
      <c r="AK381" s="80" t="n"/>
      <c r="AL381" s="80" t="n"/>
      <c r="AM381" s="80" t="n"/>
      <c r="AN381" s="80" t="n"/>
      <c r="AO381" s="80" t="n"/>
      <c r="AP381" s="80" t="n"/>
      <c r="AQ381" s="80" t="n"/>
      <c r="AR381" s="80" t="n"/>
    </row>
    <row r="382">
      <c r="D382" s="80" t="n"/>
      <c r="E382" s="80" t="n"/>
      <c r="F382" s="80" t="n"/>
      <c r="G382" s="80" t="n"/>
      <c r="H382" s="80" t="n"/>
      <c r="I382" s="80" t="n"/>
      <c r="J382" s="80" t="n"/>
      <c r="K382" s="80" t="n"/>
      <c r="L382" s="80" t="n"/>
      <c r="M382" s="80" t="n"/>
      <c r="N382" s="80" t="n"/>
      <c r="O382" s="80" t="n"/>
      <c r="P382" s="80" t="n"/>
      <c r="Q382" s="80" t="n"/>
      <c r="R382" s="80" t="n"/>
      <c r="S382" s="80" t="n"/>
      <c r="T382" s="80" t="n"/>
      <c r="U382" s="80" t="n"/>
      <c r="V382" s="80" t="n"/>
      <c r="W382" s="80" t="n"/>
      <c r="X382" s="80" t="n"/>
      <c r="Y382" s="80" t="n"/>
      <c r="Z382" s="80" t="n"/>
      <c r="AA382" s="80" t="n"/>
      <c r="AB382" s="80" t="n"/>
      <c r="AC382" s="80" t="n"/>
      <c r="AD382" s="80" t="n"/>
      <c r="AE382" s="80" t="n"/>
      <c r="AF382" s="80" t="n"/>
      <c r="AG382" s="80" t="n"/>
      <c r="AH382" s="80" t="n"/>
      <c r="AI382" s="80" t="n"/>
      <c r="AJ382" s="80" t="n"/>
      <c r="AK382" s="80" t="n"/>
      <c r="AL382" s="80" t="n"/>
      <c r="AM382" s="80" t="n"/>
      <c r="AN382" s="80" t="n"/>
      <c r="AO382" s="80" t="n"/>
      <c r="AP382" s="80" t="n"/>
      <c r="AQ382" s="80" t="n"/>
      <c r="AR382" s="80" t="n"/>
    </row>
    <row r="384">
      <c r="A384" s="6">
        <f>IF(HSI!$C$32="","",HSI!$C$32)</f>
        <v/>
      </c>
      <c r="B384" s="41">
        <f>IF($A384="",0,COUNT($E385:$AR385))</f>
        <v/>
      </c>
      <c r="C384" s="81">
        <f>IF($B384=0,0,MAX($E385:$AR385))</f>
        <v/>
      </c>
      <c r="D384" s="82">
        <f>BDS($A384,'Field Check'!$C$7,"headers=y","startcol=1","endcol=7","dir=h","DVD_START_DT",Summary!$C$18,"DVD_END_DT",Summary!$D$18)</f>
        <v/>
      </c>
      <c r="E384" s="83" t="n"/>
      <c r="F384" s="83" t="n"/>
      <c r="G384" s="83" t="n"/>
      <c r="H384" s="83" t="n"/>
      <c r="I384" s="83" t="n"/>
      <c r="J384" s="83" t="n"/>
      <c r="K384" s="83" t="n"/>
      <c r="L384" s="83" t="n"/>
      <c r="M384" s="83" t="n"/>
      <c r="N384" s="83" t="n"/>
      <c r="O384" s="83" t="n"/>
      <c r="P384" s="83" t="n"/>
      <c r="Q384" s="83" t="n"/>
      <c r="R384" s="83" t="n"/>
      <c r="S384" s="83" t="n"/>
      <c r="T384" s="83" t="n"/>
      <c r="U384" s="83" t="n"/>
      <c r="V384" s="83" t="n"/>
      <c r="W384" s="83" t="n"/>
      <c r="X384" s="83" t="n"/>
      <c r="Y384" s="83" t="n"/>
      <c r="Z384" s="83" t="n"/>
      <c r="AA384" s="83" t="n"/>
      <c r="AB384" s="83" t="n"/>
      <c r="AC384" s="83" t="n"/>
      <c r="AD384" s="83" t="n"/>
      <c r="AE384" s="83" t="n"/>
      <c r="AF384" s="83" t="n"/>
      <c r="AG384" s="83" t="n"/>
      <c r="AH384" s="83" t="n"/>
      <c r="AI384" s="83" t="n"/>
      <c r="AJ384" s="83" t="n"/>
      <c r="AK384" s="83" t="n"/>
      <c r="AL384" s="83" t="n"/>
      <c r="AM384" s="83" t="n"/>
      <c r="AN384" s="83" t="n"/>
      <c r="AO384" s="83" t="n"/>
      <c r="AP384" s="83" t="n"/>
      <c r="AQ384" s="83" t="n"/>
      <c r="AR384" s="83" t="n"/>
    </row>
    <row r="385">
      <c r="D385" s="83" t="n"/>
      <c r="E385" s="83" t="n"/>
      <c r="F385" s="83" t="n"/>
      <c r="G385" s="83" t="n"/>
      <c r="H385" s="83" t="n"/>
      <c r="I385" s="83" t="n"/>
      <c r="J385" s="83" t="n"/>
      <c r="K385" s="83" t="n"/>
      <c r="L385" s="83" t="n"/>
      <c r="M385" s="83" t="n"/>
      <c r="N385" s="83" t="n"/>
      <c r="O385" s="83" t="n"/>
      <c r="P385" s="83" t="n"/>
      <c r="Q385" s="83" t="n"/>
      <c r="R385" s="83" t="n"/>
      <c r="S385" s="83" t="n"/>
      <c r="T385" s="83" t="n"/>
      <c r="U385" s="83" t="n"/>
      <c r="V385" s="83" t="n"/>
      <c r="W385" s="83" t="n"/>
      <c r="X385" s="83" t="n"/>
      <c r="Y385" s="83" t="n"/>
      <c r="Z385" s="83" t="n"/>
      <c r="AA385" s="83" t="n"/>
      <c r="AB385" s="83" t="n"/>
      <c r="AC385" s="83" t="n"/>
      <c r="AD385" s="83" t="n"/>
      <c r="AE385" s="83" t="n"/>
      <c r="AF385" s="83" t="n"/>
      <c r="AG385" s="83" t="n"/>
      <c r="AH385" s="83" t="n"/>
      <c r="AI385" s="83" t="n"/>
      <c r="AJ385" s="83" t="n"/>
      <c r="AK385" s="83" t="n"/>
      <c r="AL385" s="83" t="n"/>
      <c r="AM385" s="83" t="n"/>
      <c r="AN385" s="83" t="n"/>
      <c r="AO385" s="83" t="n"/>
      <c r="AP385" s="83" t="n"/>
      <c r="AQ385" s="83" t="n"/>
      <c r="AR385" s="83" t="n"/>
    </row>
    <row r="386">
      <c r="D386" s="84" t="n"/>
      <c r="E386" s="84" t="n"/>
      <c r="F386" s="84" t="n"/>
      <c r="G386" s="84" t="n"/>
      <c r="H386" s="84" t="n"/>
      <c r="I386" s="84" t="n"/>
      <c r="J386" s="84" t="n"/>
      <c r="K386" s="84" t="n"/>
      <c r="L386" s="84" t="n"/>
      <c r="M386" s="84" t="n"/>
      <c r="N386" s="84" t="n"/>
      <c r="O386" s="84" t="n"/>
      <c r="P386" s="84" t="n"/>
      <c r="Q386" s="84" t="n"/>
      <c r="R386" s="84" t="n"/>
      <c r="S386" s="84" t="n"/>
      <c r="T386" s="84" t="n"/>
      <c r="U386" s="84" t="n"/>
      <c r="V386" s="84" t="n"/>
      <c r="W386" s="84" t="n"/>
      <c r="X386" s="84" t="n"/>
      <c r="Y386" s="84" t="n"/>
      <c r="Z386" s="84" t="n"/>
      <c r="AA386" s="84" t="n"/>
      <c r="AB386" s="84" t="n"/>
      <c r="AC386" s="84" t="n"/>
      <c r="AD386" s="84" t="n"/>
      <c r="AE386" s="84" t="n"/>
      <c r="AF386" s="84" t="n"/>
      <c r="AG386" s="84" t="n"/>
      <c r="AH386" s="84" t="n"/>
      <c r="AI386" s="84" t="n"/>
      <c r="AJ386" s="84" t="n"/>
      <c r="AK386" s="84" t="n"/>
      <c r="AL386" s="84" t="n"/>
      <c r="AM386" s="84" t="n"/>
      <c r="AN386" s="84" t="n"/>
      <c r="AO386" s="84" t="n"/>
      <c r="AP386" s="84" t="n"/>
      <c r="AQ386" s="84" t="n"/>
      <c r="AR386" s="84" t="n"/>
    </row>
    <row r="387">
      <c r="D387" s="80" t="n"/>
      <c r="E387" s="80" t="n"/>
      <c r="F387" s="80" t="n"/>
      <c r="G387" s="80" t="n"/>
      <c r="H387" s="80" t="n"/>
      <c r="I387" s="80" t="n"/>
      <c r="J387" s="80" t="n"/>
      <c r="K387" s="80" t="n"/>
      <c r="L387" s="80" t="n"/>
      <c r="M387" s="80" t="n"/>
      <c r="N387" s="80" t="n"/>
      <c r="O387" s="80" t="n"/>
      <c r="P387" s="80" t="n"/>
      <c r="Q387" s="80" t="n"/>
      <c r="R387" s="80" t="n"/>
      <c r="S387" s="80" t="n"/>
      <c r="T387" s="80" t="n"/>
      <c r="U387" s="80" t="n"/>
      <c r="V387" s="80" t="n"/>
      <c r="W387" s="80" t="n"/>
      <c r="X387" s="80" t="n"/>
      <c r="Y387" s="80" t="n"/>
      <c r="Z387" s="80" t="n"/>
      <c r="AA387" s="80" t="n"/>
      <c r="AB387" s="80" t="n"/>
      <c r="AC387" s="80" t="n"/>
      <c r="AD387" s="80" t="n"/>
      <c r="AE387" s="80" t="n"/>
      <c r="AF387" s="80" t="n"/>
      <c r="AG387" s="80" t="n"/>
      <c r="AH387" s="80" t="n"/>
      <c r="AI387" s="80" t="n"/>
      <c r="AJ387" s="80" t="n"/>
      <c r="AK387" s="80" t="n"/>
      <c r="AL387" s="80" t="n"/>
      <c r="AM387" s="80" t="n"/>
      <c r="AN387" s="80" t="n"/>
      <c r="AO387" s="80" t="n"/>
      <c r="AP387" s="80" t="n"/>
      <c r="AQ387" s="80" t="n"/>
      <c r="AR387" s="80" t="n"/>
    </row>
    <row r="388">
      <c r="D388" s="80" t="n"/>
      <c r="E388" s="80" t="n"/>
      <c r="F388" s="80" t="n"/>
      <c r="G388" s="80" t="n"/>
      <c r="H388" s="80" t="n"/>
      <c r="I388" s="80" t="n"/>
      <c r="J388" s="80" t="n"/>
      <c r="K388" s="80" t="n"/>
      <c r="L388" s="80" t="n"/>
      <c r="M388" s="80" t="n"/>
      <c r="N388" s="80" t="n"/>
      <c r="O388" s="80" t="n"/>
      <c r="P388" s="80" t="n"/>
      <c r="Q388" s="80" t="n"/>
      <c r="R388" s="80" t="n"/>
      <c r="S388" s="80" t="n"/>
      <c r="T388" s="80" t="n"/>
      <c r="U388" s="80" t="n"/>
      <c r="V388" s="80" t="n"/>
      <c r="W388" s="80" t="n"/>
      <c r="X388" s="80" t="n"/>
      <c r="Y388" s="80" t="n"/>
      <c r="Z388" s="80" t="n"/>
      <c r="AA388" s="80" t="n"/>
      <c r="AB388" s="80" t="n"/>
      <c r="AC388" s="80" t="n"/>
      <c r="AD388" s="80" t="n"/>
      <c r="AE388" s="80" t="n"/>
      <c r="AF388" s="80" t="n"/>
      <c r="AG388" s="80" t="n"/>
      <c r="AH388" s="80" t="n"/>
      <c r="AI388" s="80" t="n"/>
      <c r="AJ388" s="80" t="n"/>
      <c r="AK388" s="80" t="n"/>
      <c r="AL388" s="80" t="n"/>
      <c r="AM388" s="80" t="n"/>
      <c r="AN388" s="80" t="n"/>
      <c r="AO388" s="80" t="n"/>
      <c r="AP388" s="80" t="n"/>
      <c r="AQ388" s="80" t="n"/>
      <c r="AR388" s="80" t="n"/>
    </row>
    <row r="389">
      <c r="D389" s="80" t="n"/>
      <c r="E389" s="80" t="n"/>
      <c r="F389" s="80" t="n"/>
      <c r="G389" s="80" t="n"/>
      <c r="H389" s="80" t="n"/>
      <c r="I389" s="80" t="n"/>
      <c r="J389" s="80" t="n"/>
      <c r="K389" s="80" t="n"/>
      <c r="L389" s="80" t="n"/>
      <c r="M389" s="80" t="n"/>
      <c r="N389" s="80" t="n"/>
      <c r="O389" s="80" t="n"/>
      <c r="P389" s="80" t="n"/>
      <c r="Q389" s="80" t="n"/>
      <c r="R389" s="80" t="n"/>
      <c r="S389" s="80" t="n"/>
      <c r="T389" s="80" t="n"/>
      <c r="U389" s="80" t="n"/>
      <c r="V389" s="80" t="n"/>
      <c r="W389" s="80" t="n"/>
      <c r="X389" s="80" t="n"/>
      <c r="Y389" s="80" t="n"/>
      <c r="Z389" s="80" t="n"/>
      <c r="AA389" s="80" t="n"/>
      <c r="AB389" s="80" t="n"/>
      <c r="AC389" s="80" t="n"/>
      <c r="AD389" s="80" t="n"/>
      <c r="AE389" s="80" t="n"/>
      <c r="AF389" s="80" t="n"/>
      <c r="AG389" s="80" t="n"/>
      <c r="AH389" s="80" t="n"/>
      <c r="AI389" s="80" t="n"/>
      <c r="AJ389" s="80" t="n"/>
      <c r="AK389" s="80" t="n"/>
      <c r="AL389" s="80" t="n"/>
      <c r="AM389" s="80" t="n"/>
      <c r="AN389" s="80" t="n"/>
      <c r="AO389" s="80" t="n"/>
      <c r="AP389" s="80" t="n"/>
      <c r="AQ389" s="80" t="n"/>
      <c r="AR389" s="80" t="n"/>
    </row>
    <row r="390">
      <c r="D390" s="80" t="n"/>
      <c r="E390" s="80" t="n"/>
      <c r="F390" s="80" t="n"/>
      <c r="G390" s="80" t="n"/>
      <c r="H390" s="80" t="n"/>
      <c r="I390" s="80" t="n"/>
      <c r="J390" s="80" t="n"/>
      <c r="K390" s="80" t="n"/>
      <c r="L390" s="80" t="n"/>
      <c r="M390" s="80" t="n"/>
      <c r="N390" s="80" t="n"/>
      <c r="O390" s="80" t="n"/>
      <c r="P390" s="80" t="n"/>
      <c r="Q390" s="80" t="n"/>
      <c r="R390" s="80" t="n"/>
      <c r="S390" s="80" t="n"/>
      <c r="T390" s="80" t="n"/>
      <c r="U390" s="80" t="n"/>
      <c r="V390" s="80" t="n"/>
      <c r="W390" s="80" t="n"/>
      <c r="X390" s="80" t="n"/>
      <c r="Y390" s="80" t="n"/>
      <c r="Z390" s="80" t="n"/>
      <c r="AA390" s="80" t="n"/>
      <c r="AB390" s="80" t="n"/>
      <c r="AC390" s="80" t="n"/>
      <c r="AD390" s="80" t="n"/>
      <c r="AE390" s="80" t="n"/>
      <c r="AF390" s="80" t="n"/>
      <c r="AG390" s="80" t="n"/>
      <c r="AH390" s="80" t="n"/>
      <c r="AI390" s="80" t="n"/>
      <c r="AJ390" s="80" t="n"/>
      <c r="AK390" s="80" t="n"/>
      <c r="AL390" s="80" t="n"/>
      <c r="AM390" s="80" t="n"/>
      <c r="AN390" s="80" t="n"/>
      <c r="AO390" s="80" t="n"/>
      <c r="AP390" s="80" t="n"/>
      <c r="AQ390" s="80" t="n"/>
      <c r="AR390" s="80" t="n"/>
    </row>
    <row r="391">
      <c r="A391" s="2">
        <f>IF($A384="","","   projections")</f>
        <v/>
      </c>
      <c r="B391" s="41">
        <f>IF($A384="",0,COUNT($E392:$AR392))</f>
        <v/>
      </c>
      <c r="C391" s="81">
        <f>IF($B391=0,0,MAX($E392:$AR392))</f>
        <v/>
      </c>
      <c r="D391" s="82">
        <f>BDS($A384,'Field Check'!$C$6,"headers=y","startcol=1","endcol=7","dir=h")</f>
        <v/>
      </c>
      <c r="E391" s="83" t="n"/>
      <c r="F391" s="83" t="n"/>
      <c r="G391" s="83" t="n"/>
      <c r="H391" s="83" t="n"/>
      <c r="I391" s="83" t="n"/>
      <c r="J391" s="83" t="n"/>
      <c r="K391" s="83" t="n"/>
      <c r="L391" s="83" t="n"/>
      <c r="M391" s="83" t="n"/>
      <c r="N391" s="83" t="n"/>
      <c r="O391" s="83" t="n"/>
      <c r="P391" s="83" t="n"/>
      <c r="Q391" s="83" t="n"/>
      <c r="R391" s="83" t="n"/>
      <c r="S391" s="83" t="n"/>
      <c r="T391" s="83" t="n"/>
      <c r="U391" s="83" t="n"/>
      <c r="V391" s="83" t="n"/>
      <c r="W391" s="83" t="n"/>
      <c r="X391" s="83" t="n"/>
      <c r="Y391" s="83" t="n"/>
      <c r="Z391" s="83" t="n"/>
      <c r="AA391" s="83" t="n"/>
      <c r="AB391" s="83" t="n"/>
      <c r="AC391" s="83" t="n"/>
      <c r="AD391" s="83" t="n"/>
      <c r="AE391" s="83" t="n"/>
      <c r="AF391" s="83" t="n"/>
      <c r="AG391" s="83" t="n"/>
      <c r="AH391" s="83" t="n"/>
      <c r="AI391" s="83" t="n"/>
      <c r="AJ391" s="83" t="n"/>
      <c r="AK391" s="83" t="n"/>
      <c r="AL391" s="83" t="n"/>
      <c r="AM391" s="83" t="n"/>
      <c r="AN391" s="83" t="n"/>
      <c r="AO391" s="83" t="n"/>
      <c r="AP391" s="83" t="n"/>
      <c r="AQ391" s="83" t="n"/>
      <c r="AR391" s="83" t="n"/>
    </row>
    <row r="392">
      <c r="D392" s="83" t="n"/>
      <c r="E392" s="83" t="n"/>
      <c r="F392" s="83" t="n"/>
      <c r="G392" s="83" t="n"/>
      <c r="H392" s="83" t="n"/>
      <c r="I392" s="83" t="n"/>
      <c r="J392" s="83" t="n"/>
      <c r="K392" s="83" t="n"/>
      <c r="L392" s="83" t="n"/>
      <c r="M392" s="83" t="n"/>
      <c r="N392" s="83" t="n"/>
      <c r="O392" s="83" t="n"/>
      <c r="P392" s="83" t="n"/>
      <c r="Q392" s="83" t="n"/>
      <c r="R392" s="83" t="n"/>
      <c r="S392" s="83" t="n"/>
      <c r="T392" s="83" t="n"/>
      <c r="U392" s="83" t="n"/>
      <c r="V392" s="83" t="n"/>
      <c r="W392" s="83" t="n"/>
      <c r="X392" s="83" t="n"/>
      <c r="Y392" s="83" t="n"/>
      <c r="Z392" s="83" t="n"/>
      <c r="AA392" s="83" t="n"/>
      <c r="AB392" s="83" t="n"/>
      <c r="AC392" s="83" t="n"/>
      <c r="AD392" s="83" t="n"/>
      <c r="AE392" s="83" t="n"/>
      <c r="AF392" s="83" t="n"/>
      <c r="AG392" s="83" t="n"/>
      <c r="AH392" s="83" t="n"/>
      <c r="AI392" s="83" t="n"/>
      <c r="AJ392" s="83" t="n"/>
      <c r="AK392" s="83" t="n"/>
      <c r="AL392" s="83" t="n"/>
      <c r="AM392" s="83" t="n"/>
      <c r="AN392" s="83" t="n"/>
      <c r="AO392" s="83" t="n"/>
      <c r="AP392" s="83" t="n"/>
      <c r="AQ392" s="83" t="n"/>
      <c r="AR392" s="83" t="n"/>
    </row>
    <row r="393">
      <c r="D393" s="84" t="n"/>
      <c r="E393" s="84" t="n"/>
      <c r="F393" s="84" t="n"/>
      <c r="G393" s="84" t="n"/>
      <c r="H393" s="84" t="n"/>
      <c r="I393" s="84" t="n"/>
      <c r="J393" s="84" t="n"/>
      <c r="K393" s="84" t="n"/>
      <c r="L393" s="84" t="n"/>
      <c r="M393" s="84" t="n"/>
      <c r="N393" s="84" t="n"/>
      <c r="O393" s="84" t="n"/>
      <c r="P393" s="84" t="n"/>
      <c r="Q393" s="84" t="n"/>
      <c r="R393" s="84" t="n"/>
      <c r="S393" s="84" t="n"/>
      <c r="T393" s="84" t="n"/>
      <c r="U393" s="84" t="n"/>
      <c r="V393" s="84" t="n"/>
      <c r="W393" s="84" t="n"/>
      <c r="X393" s="84" t="n"/>
      <c r="Y393" s="84" t="n"/>
      <c r="Z393" s="84" t="n"/>
      <c r="AA393" s="84" t="n"/>
      <c r="AB393" s="84" t="n"/>
      <c r="AC393" s="84" t="n"/>
      <c r="AD393" s="84" t="n"/>
      <c r="AE393" s="84" t="n"/>
      <c r="AF393" s="84" t="n"/>
      <c r="AG393" s="84" t="n"/>
      <c r="AH393" s="84" t="n"/>
      <c r="AI393" s="84" t="n"/>
      <c r="AJ393" s="84" t="n"/>
      <c r="AK393" s="84" t="n"/>
      <c r="AL393" s="84" t="n"/>
      <c r="AM393" s="84" t="n"/>
      <c r="AN393" s="84" t="n"/>
      <c r="AO393" s="84" t="n"/>
      <c r="AP393" s="84" t="n"/>
      <c r="AQ393" s="84" t="n"/>
      <c r="AR393" s="84" t="n"/>
    </row>
    <row r="394">
      <c r="D394" s="80" t="n"/>
      <c r="E394" s="80" t="n"/>
      <c r="F394" s="80" t="n"/>
      <c r="G394" s="80" t="n"/>
      <c r="H394" s="80" t="n"/>
      <c r="I394" s="80" t="n"/>
      <c r="J394" s="80" t="n"/>
      <c r="K394" s="80" t="n"/>
      <c r="L394" s="80" t="n"/>
      <c r="M394" s="80" t="n"/>
      <c r="N394" s="80" t="n"/>
      <c r="O394" s="80" t="n"/>
      <c r="P394" s="80" t="n"/>
      <c r="Q394" s="80" t="n"/>
      <c r="R394" s="80" t="n"/>
      <c r="S394" s="80" t="n"/>
      <c r="T394" s="80" t="n"/>
      <c r="U394" s="80" t="n"/>
      <c r="V394" s="80" t="n"/>
      <c r="W394" s="80" t="n"/>
      <c r="X394" s="80" t="n"/>
      <c r="Y394" s="80" t="n"/>
      <c r="Z394" s="80" t="n"/>
      <c r="AA394" s="80" t="n"/>
      <c r="AB394" s="80" t="n"/>
      <c r="AC394" s="80" t="n"/>
      <c r="AD394" s="80" t="n"/>
      <c r="AE394" s="80" t="n"/>
      <c r="AF394" s="80" t="n"/>
      <c r="AG394" s="80" t="n"/>
      <c r="AH394" s="80" t="n"/>
      <c r="AI394" s="80" t="n"/>
      <c r="AJ394" s="80" t="n"/>
      <c r="AK394" s="80" t="n"/>
      <c r="AL394" s="80" t="n"/>
      <c r="AM394" s="80" t="n"/>
      <c r="AN394" s="80" t="n"/>
      <c r="AO394" s="80" t="n"/>
      <c r="AP394" s="80" t="n"/>
      <c r="AQ394" s="80" t="n"/>
      <c r="AR394" s="80" t="n"/>
    </row>
    <row r="395">
      <c r="D395" s="80" t="n"/>
      <c r="E395" s="80" t="n"/>
      <c r="F395" s="80" t="n"/>
      <c r="G395" s="80" t="n"/>
      <c r="H395" s="80" t="n"/>
      <c r="I395" s="80" t="n"/>
      <c r="J395" s="80" t="n"/>
      <c r="K395" s="80" t="n"/>
      <c r="L395" s="80" t="n"/>
      <c r="M395" s="80" t="n"/>
      <c r="N395" s="80" t="n"/>
      <c r="O395" s="80" t="n"/>
      <c r="P395" s="80" t="n"/>
      <c r="Q395" s="80" t="n"/>
      <c r="R395" s="80" t="n"/>
      <c r="S395" s="80" t="n"/>
      <c r="T395" s="80" t="n"/>
      <c r="U395" s="80" t="n"/>
      <c r="V395" s="80" t="n"/>
      <c r="W395" s="80" t="n"/>
      <c r="X395" s="80" t="n"/>
      <c r="Y395" s="80" t="n"/>
      <c r="Z395" s="80" t="n"/>
      <c r="AA395" s="80" t="n"/>
      <c r="AB395" s="80" t="n"/>
      <c r="AC395" s="80" t="n"/>
      <c r="AD395" s="80" t="n"/>
      <c r="AE395" s="80" t="n"/>
      <c r="AF395" s="80" t="n"/>
      <c r="AG395" s="80" t="n"/>
      <c r="AH395" s="80" t="n"/>
      <c r="AI395" s="80" t="n"/>
      <c r="AJ395" s="80" t="n"/>
      <c r="AK395" s="80" t="n"/>
      <c r="AL395" s="80" t="n"/>
      <c r="AM395" s="80" t="n"/>
      <c r="AN395" s="80" t="n"/>
      <c r="AO395" s="80" t="n"/>
      <c r="AP395" s="80" t="n"/>
      <c r="AQ395" s="80" t="n"/>
      <c r="AR395" s="80" t="n"/>
    </row>
    <row r="396">
      <c r="D396" s="80" t="n"/>
      <c r="E396" s="80" t="n"/>
      <c r="F396" s="80" t="n"/>
      <c r="G396" s="80" t="n"/>
      <c r="H396" s="80" t="n"/>
      <c r="I396" s="80" t="n"/>
      <c r="J396" s="80" t="n"/>
      <c r="K396" s="80" t="n"/>
      <c r="L396" s="80" t="n"/>
      <c r="M396" s="80" t="n"/>
      <c r="N396" s="80" t="n"/>
      <c r="O396" s="80" t="n"/>
      <c r="P396" s="80" t="n"/>
      <c r="Q396" s="80" t="n"/>
      <c r="R396" s="80" t="n"/>
      <c r="S396" s="80" t="n"/>
      <c r="T396" s="80" t="n"/>
      <c r="U396" s="80" t="n"/>
      <c r="V396" s="80" t="n"/>
      <c r="W396" s="80" t="n"/>
      <c r="X396" s="80" t="n"/>
      <c r="Y396" s="80" t="n"/>
      <c r="Z396" s="80" t="n"/>
      <c r="AA396" s="80" t="n"/>
      <c r="AB396" s="80" t="n"/>
      <c r="AC396" s="80" t="n"/>
      <c r="AD396" s="80" t="n"/>
      <c r="AE396" s="80" t="n"/>
      <c r="AF396" s="80" t="n"/>
      <c r="AG396" s="80" t="n"/>
      <c r="AH396" s="80" t="n"/>
      <c r="AI396" s="80" t="n"/>
      <c r="AJ396" s="80" t="n"/>
      <c r="AK396" s="80" t="n"/>
      <c r="AL396" s="80" t="n"/>
      <c r="AM396" s="80" t="n"/>
      <c r="AN396" s="80" t="n"/>
      <c r="AO396" s="80" t="n"/>
      <c r="AP396" s="80" t="n"/>
      <c r="AQ396" s="80" t="n"/>
      <c r="AR396" s="80" t="n"/>
    </row>
    <row r="397">
      <c r="D397" s="80" t="n"/>
      <c r="E397" s="80" t="n"/>
      <c r="F397" s="80" t="n"/>
      <c r="G397" s="80" t="n"/>
      <c r="H397" s="80" t="n"/>
      <c r="I397" s="80" t="n"/>
      <c r="J397" s="80" t="n"/>
      <c r="K397" s="80" t="n"/>
      <c r="L397" s="80" t="n"/>
      <c r="M397" s="80" t="n"/>
      <c r="N397" s="80" t="n"/>
      <c r="O397" s="80" t="n"/>
      <c r="P397" s="80" t="n"/>
      <c r="Q397" s="80" t="n"/>
      <c r="R397" s="80" t="n"/>
      <c r="S397" s="80" t="n"/>
      <c r="T397" s="80" t="n"/>
      <c r="U397" s="80" t="n"/>
      <c r="V397" s="80" t="n"/>
      <c r="W397" s="80" t="n"/>
      <c r="X397" s="80" t="n"/>
      <c r="Y397" s="80" t="n"/>
      <c r="Z397" s="80" t="n"/>
      <c r="AA397" s="80" t="n"/>
      <c r="AB397" s="80" t="n"/>
      <c r="AC397" s="80" t="n"/>
      <c r="AD397" s="80" t="n"/>
      <c r="AE397" s="80" t="n"/>
      <c r="AF397" s="80" t="n"/>
      <c r="AG397" s="80" t="n"/>
      <c r="AH397" s="80" t="n"/>
      <c r="AI397" s="80" t="n"/>
      <c r="AJ397" s="80" t="n"/>
      <c r="AK397" s="80" t="n"/>
      <c r="AL397" s="80" t="n"/>
      <c r="AM397" s="80" t="n"/>
      <c r="AN397" s="80" t="n"/>
      <c r="AO397" s="80" t="n"/>
      <c r="AP397" s="80" t="n"/>
      <c r="AQ397" s="80" t="n"/>
      <c r="AR397" s="80" t="n"/>
    </row>
    <row r="399">
      <c r="A399" s="6">
        <f>IF(HSI!$C$33="","",HSI!$C$33)</f>
        <v/>
      </c>
      <c r="B399" s="41">
        <f>IF($A399="",0,COUNT($E400:$AR400))</f>
        <v/>
      </c>
      <c r="C399" s="81">
        <f>IF($B399=0,0,MAX($E400:$AR400))</f>
        <v/>
      </c>
      <c r="D399" s="82">
        <f>BDS($A399,'Field Check'!$C$7,"headers=y","startcol=1","endcol=7","dir=h","DVD_START_DT",Summary!$C$18,"DVD_END_DT",Summary!$D$18)</f>
        <v/>
      </c>
      <c r="E399" s="83" t="n"/>
      <c r="F399" s="83" t="n"/>
      <c r="G399" s="83" t="n"/>
      <c r="H399" s="83" t="n"/>
      <c r="I399" s="83" t="n"/>
      <c r="J399" s="83" t="n"/>
      <c r="K399" s="83" t="n"/>
      <c r="L399" s="83" t="n"/>
      <c r="M399" s="83" t="n"/>
      <c r="N399" s="83" t="n"/>
      <c r="O399" s="83" t="n"/>
      <c r="P399" s="83" t="n"/>
      <c r="Q399" s="83" t="n"/>
      <c r="R399" s="83" t="n"/>
      <c r="S399" s="83" t="n"/>
      <c r="T399" s="83" t="n"/>
      <c r="U399" s="83" t="n"/>
      <c r="V399" s="83" t="n"/>
      <c r="W399" s="83" t="n"/>
      <c r="X399" s="83" t="n"/>
      <c r="Y399" s="83" t="n"/>
      <c r="Z399" s="83" t="n"/>
      <c r="AA399" s="83" t="n"/>
      <c r="AB399" s="83" t="n"/>
      <c r="AC399" s="83" t="n"/>
      <c r="AD399" s="83" t="n"/>
      <c r="AE399" s="83" t="n"/>
      <c r="AF399" s="83" t="n"/>
      <c r="AG399" s="83" t="n"/>
      <c r="AH399" s="83" t="n"/>
      <c r="AI399" s="83" t="n"/>
      <c r="AJ399" s="83" t="n"/>
      <c r="AK399" s="83" t="n"/>
      <c r="AL399" s="83" t="n"/>
      <c r="AM399" s="83" t="n"/>
      <c r="AN399" s="83" t="n"/>
      <c r="AO399" s="83" t="n"/>
      <c r="AP399" s="83" t="n"/>
      <c r="AQ399" s="83" t="n"/>
      <c r="AR399" s="83" t="n"/>
    </row>
    <row r="400">
      <c r="D400" s="83" t="n"/>
      <c r="E400" s="83" t="n"/>
      <c r="F400" s="83" t="n"/>
      <c r="G400" s="83" t="n"/>
      <c r="H400" s="83" t="n"/>
      <c r="I400" s="83" t="n"/>
      <c r="J400" s="83" t="n"/>
      <c r="K400" s="83" t="n"/>
      <c r="L400" s="83" t="n"/>
      <c r="M400" s="83" t="n"/>
      <c r="N400" s="83" t="n"/>
      <c r="O400" s="83" t="n"/>
      <c r="P400" s="83" t="n"/>
      <c r="Q400" s="83" t="n"/>
      <c r="R400" s="83" t="n"/>
      <c r="S400" s="83" t="n"/>
      <c r="T400" s="83" t="n"/>
      <c r="U400" s="83" t="n"/>
      <c r="V400" s="83" t="n"/>
      <c r="W400" s="83" t="n"/>
      <c r="X400" s="83" t="n"/>
      <c r="Y400" s="83" t="n"/>
      <c r="Z400" s="83" t="n"/>
      <c r="AA400" s="83" t="n"/>
      <c r="AB400" s="83" t="n"/>
      <c r="AC400" s="83" t="n"/>
      <c r="AD400" s="83" t="n"/>
      <c r="AE400" s="83" t="n"/>
      <c r="AF400" s="83" t="n"/>
      <c r="AG400" s="83" t="n"/>
      <c r="AH400" s="83" t="n"/>
      <c r="AI400" s="83" t="n"/>
      <c r="AJ400" s="83" t="n"/>
      <c r="AK400" s="83" t="n"/>
      <c r="AL400" s="83" t="n"/>
      <c r="AM400" s="83" t="n"/>
      <c r="AN400" s="83" t="n"/>
      <c r="AO400" s="83" t="n"/>
      <c r="AP400" s="83" t="n"/>
      <c r="AQ400" s="83" t="n"/>
      <c r="AR400" s="83" t="n"/>
    </row>
    <row r="401">
      <c r="D401" s="84" t="n"/>
      <c r="E401" s="84" t="n"/>
      <c r="F401" s="84" t="n"/>
      <c r="G401" s="84" t="n"/>
      <c r="H401" s="84" t="n"/>
      <c r="I401" s="84" t="n"/>
      <c r="J401" s="84" t="n"/>
      <c r="K401" s="84" t="n"/>
      <c r="L401" s="84" t="n"/>
      <c r="M401" s="84" t="n"/>
      <c r="N401" s="84" t="n"/>
      <c r="O401" s="84" t="n"/>
      <c r="P401" s="84" t="n"/>
      <c r="Q401" s="84" t="n"/>
      <c r="R401" s="84" t="n"/>
      <c r="S401" s="84" t="n"/>
      <c r="T401" s="84" t="n"/>
      <c r="U401" s="84" t="n"/>
      <c r="V401" s="84" t="n"/>
      <c r="W401" s="84" t="n"/>
      <c r="X401" s="84" t="n"/>
      <c r="Y401" s="84" t="n"/>
      <c r="Z401" s="84" t="n"/>
      <c r="AA401" s="84" t="n"/>
      <c r="AB401" s="84" t="n"/>
      <c r="AC401" s="84" t="n"/>
      <c r="AD401" s="84" t="n"/>
      <c r="AE401" s="84" t="n"/>
      <c r="AF401" s="84" t="n"/>
      <c r="AG401" s="84" t="n"/>
      <c r="AH401" s="84" t="n"/>
      <c r="AI401" s="84" t="n"/>
      <c r="AJ401" s="84" t="n"/>
      <c r="AK401" s="84" t="n"/>
      <c r="AL401" s="84" t="n"/>
      <c r="AM401" s="84" t="n"/>
      <c r="AN401" s="84" t="n"/>
      <c r="AO401" s="84" t="n"/>
      <c r="AP401" s="84" t="n"/>
      <c r="AQ401" s="84" t="n"/>
      <c r="AR401" s="84" t="n"/>
    </row>
    <row r="402">
      <c r="D402" s="80" t="n"/>
      <c r="E402" s="80" t="n"/>
      <c r="F402" s="80" t="n"/>
      <c r="G402" s="80" t="n"/>
      <c r="H402" s="80" t="n"/>
      <c r="I402" s="80" t="n"/>
      <c r="J402" s="80" t="n"/>
      <c r="K402" s="80" t="n"/>
      <c r="L402" s="80" t="n"/>
      <c r="M402" s="80" t="n"/>
      <c r="N402" s="80" t="n"/>
      <c r="O402" s="80" t="n"/>
      <c r="P402" s="80" t="n"/>
      <c r="Q402" s="80" t="n"/>
      <c r="R402" s="80" t="n"/>
      <c r="S402" s="80" t="n"/>
      <c r="T402" s="80" t="n"/>
      <c r="U402" s="80" t="n"/>
      <c r="V402" s="80" t="n"/>
      <c r="W402" s="80" t="n"/>
      <c r="X402" s="80" t="n"/>
      <c r="Y402" s="80" t="n"/>
      <c r="Z402" s="80" t="n"/>
      <c r="AA402" s="80" t="n"/>
      <c r="AB402" s="80" t="n"/>
      <c r="AC402" s="80" t="n"/>
      <c r="AD402" s="80" t="n"/>
      <c r="AE402" s="80" t="n"/>
      <c r="AF402" s="80" t="n"/>
      <c r="AG402" s="80" t="n"/>
      <c r="AH402" s="80" t="n"/>
      <c r="AI402" s="80" t="n"/>
      <c r="AJ402" s="80" t="n"/>
      <c r="AK402" s="80" t="n"/>
      <c r="AL402" s="80" t="n"/>
      <c r="AM402" s="80" t="n"/>
      <c r="AN402" s="80" t="n"/>
      <c r="AO402" s="80" t="n"/>
      <c r="AP402" s="80" t="n"/>
      <c r="AQ402" s="80" t="n"/>
      <c r="AR402" s="80" t="n"/>
    </row>
    <row r="403">
      <c r="D403" s="80" t="n"/>
      <c r="E403" s="80" t="n"/>
      <c r="F403" s="80" t="n"/>
      <c r="G403" s="80" t="n"/>
      <c r="H403" s="80" t="n"/>
      <c r="I403" s="80" t="n"/>
      <c r="J403" s="80" t="n"/>
      <c r="K403" s="80" t="n"/>
      <c r="L403" s="80" t="n"/>
      <c r="M403" s="80" t="n"/>
      <c r="N403" s="80" t="n"/>
      <c r="O403" s="80" t="n"/>
      <c r="P403" s="80" t="n"/>
      <c r="Q403" s="80" t="n"/>
      <c r="R403" s="80" t="n"/>
      <c r="S403" s="80" t="n"/>
      <c r="T403" s="80" t="n"/>
      <c r="U403" s="80" t="n"/>
      <c r="V403" s="80" t="n"/>
      <c r="W403" s="80" t="n"/>
      <c r="X403" s="80" t="n"/>
      <c r="Y403" s="80" t="n"/>
      <c r="Z403" s="80" t="n"/>
      <c r="AA403" s="80" t="n"/>
      <c r="AB403" s="80" t="n"/>
      <c r="AC403" s="80" t="n"/>
      <c r="AD403" s="80" t="n"/>
      <c r="AE403" s="80" t="n"/>
      <c r="AF403" s="80" t="n"/>
      <c r="AG403" s="80" t="n"/>
      <c r="AH403" s="80" t="n"/>
      <c r="AI403" s="80" t="n"/>
      <c r="AJ403" s="80" t="n"/>
      <c r="AK403" s="80" t="n"/>
      <c r="AL403" s="80" t="n"/>
      <c r="AM403" s="80" t="n"/>
      <c r="AN403" s="80" t="n"/>
      <c r="AO403" s="80" t="n"/>
      <c r="AP403" s="80" t="n"/>
      <c r="AQ403" s="80" t="n"/>
      <c r="AR403" s="80" t="n"/>
    </row>
    <row r="404">
      <c r="D404" s="80" t="n"/>
      <c r="E404" s="80" t="n"/>
      <c r="F404" s="80" t="n"/>
      <c r="G404" s="80" t="n"/>
      <c r="H404" s="80" t="n"/>
      <c r="I404" s="80" t="n"/>
      <c r="J404" s="80" t="n"/>
      <c r="K404" s="80" t="n"/>
      <c r="L404" s="80" t="n"/>
      <c r="M404" s="80" t="n"/>
      <c r="N404" s="80" t="n"/>
      <c r="O404" s="80" t="n"/>
      <c r="P404" s="80" t="n"/>
      <c r="Q404" s="80" t="n"/>
      <c r="R404" s="80" t="n"/>
      <c r="S404" s="80" t="n"/>
      <c r="T404" s="80" t="n"/>
      <c r="U404" s="80" t="n"/>
      <c r="V404" s="80" t="n"/>
      <c r="W404" s="80" t="n"/>
      <c r="X404" s="80" t="n"/>
      <c r="Y404" s="80" t="n"/>
      <c r="Z404" s="80" t="n"/>
      <c r="AA404" s="80" t="n"/>
      <c r="AB404" s="80" t="n"/>
      <c r="AC404" s="80" t="n"/>
      <c r="AD404" s="80" t="n"/>
      <c r="AE404" s="80" t="n"/>
      <c r="AF404" s="80" t="n"/>
      <c r="AG404" s="80" t="n"/>
      <c r="AH404" s="80" t="n"/>
      <c r="AI404" s="80" t="n"/>
      <c r="AJ404" s="80" t="n"/>
      <c r="AK404" s="80" t="n"/>
      <c r="AL404" s="80" t="n"/>
      <c r="AM404" s="80" t="n"/>
      <c r="AN404" s="80" t="n"/>
      <c r="AO404" s="80" t="n"/>
      <c r="AP404" s="80" t="n"/>
      <c r="AQ404" s="80" t="n"/>
      <c r="AR404" s="80" t="n"/>
    </row>
    <row r="405">
      <c r="D405" s="80" t="n"/>
      <c r="E405" s="80" t="n"/>
      <c r="F405" s="80" t="n"/>
      <c r="G405" s="80" t="n"/>
      <c r="H405" s="80" t="n"/>
      <c r="I405" s="80" t="n"/>
      <c r="J405" s="80" t="n"/>
      <c r="K405" s="80" t="n"/>
      <c r="L405" s="80" t="n"/>
      <c r="M405" s="80" t="n"/>
      <c r="N405" s="80" t="n"/>
      <c r="O405" s="80" t="n"/>
      <c r="P405" s="80" t="n"/>
      <c r="Q405" s="80" t="n"/>
      <c r="R405" s="80" t="n"/>
      <c r="S405" s="80" t="n"/>
      <c r="T405" s="80" t="n"/>
      <c r="U405" s="80" t="n"/>
      <c r="V405" s="80" t="n"/>
      <c r="W405" s="80" t="n"/>
      <c r="X405" s="80" t="n"/>
      <c r="Y405" s="80" t="n"/>
      <c r="Z405" s="80" t="n"/>
      <c r="AA405" s="80" t="n"/>
      <c r="AB405" s="80" t="n"/>
      <c r="AC405" s="80" t="n"/>
      <c r="AD405" s="80" t="n"/>
      <c r="AE405" s="80" t="n"/>
      <c r="AF405" s="80" t="n"/>
      <c r="AG405" s="80" t="n"/>
      <c r="AH405" s="80" t="n"/>
      <c r="AI405" s="80" t="n"/>
      <c r="AJ405" s="80" t="n"/>
      <c r="AK405" s="80" t="n"/>
      <c r="AL405" s="80" t="n"/>
      <c r="AM405" s="80" t="n"/>
      <c r="AN405" s="80" t="n"/>
      <c r="AO405" s="80" t="n"/>
      <c r="AP405" s="80" t="n"/>
      <c r="AQ405" s="80" t="n"/>
      <c r="AR405" s="80" t="n"/>
    </row>
    <row r="406">
      <c r="A406" s="2">
        <f>IF($A399="","","   projections")</f>
        <v/>
      </c>
      <c r="B406" s="41">
        <f>IF($A399="",0,COUNT($E407:$AR407))</f>
        <v/>
      </c>
      <c r="C406" s="81">
        <f>IF($B406=0,0,MAX($E407:$AR407))</f>
        <v/>
      </c>
      <c r="D406" s="82">
        <f>BDS($A399,'Field Check'!$C$6,"headers=y","startcol=1","endcol=7","dir=h")</f>
        <v/>
      </c>
      <c r="E406" s="83" t="n"/>
      <c r="F406" s="83" t="n"/>
      <c r="G406" s="83" t="n"/>
      <c r="H406" s="83" t="n"/>
      <c r="I406" s="83" t="n"/>
      <c r="J406" s="83" t="n"/>
      <c r="K406" s="83" t="n"/>
      <c r="L406" s="83" t="n"/>
      <c r="M406" s="83" t="n"/>
      <c r="N406" s="83" t="n"/>
      <c r="O406" s="83" t="n"/>
      <c r="P406" s="83" t="n"/>
      <c r="Q406" s="83" t="n"/>
      <c r="R406" s="83" t="n"/>
      <c r="S406" s="83" t="n"/>
      <c r="T406" s="83" t="n"/>
      <c r="U406" s="83" t="n"/>
      <c r="V406" s="83" t="n"/>
      <c r="W406" s="83" t="n"/>
      <c r="X406" s="83" t="n"/>
      <c r="Y406" s="83" t="n"/>
      <c r="Z406" s="83" t="n"/>
      <c r="AA406" s="83" t="n"/>
      <c r="AB406" s="83" t="n"/>
      <c r="AC406" s="83" t="n"/>
      <c r="AD406" s="83" t="n"/>
      <c r="AE406" s="83" t="n"/>
      <c r="AF406" s="83" t="n"/>
      <c r="AG406" s="83" t="n"/>
      <c r="AH406" s="83" t="n"/>
      <c r="AI406" s="83" t="n"/>
      <c r="AJ406" s="83" t="n"/>
      <c r="AK406" s="83" t="n"/>
      <c r="AL406" s="83" t="n"/>
      <c r="AM406" s="83" t="n"/>
      <c r="AN406" s="83" t="n"/>
      <c r="AO406" s="83" t="n"/>
      <c r="AP406" s="83" t="n"/>
      <c r="AQ406" s="83" t="n"/>
      <c r="AR406" s="83" t="n"/>
    </row>
    <row r="407">
      <c r="D407" s="83" t="n"/>
      <c r="E407" s="83" t="n"/>
      <c r="F407" s="83" t="n"/>
      <c r="G407" s="83" t="n"/>
      <c r="H407" s="83" t="n"/>
      <c r="I407" s="83" t="n"/>
      <c r="J407" s="83" t="n"/>
      <c r="K407" s="83" t="n"/>
      <c r="L407" s="83" t="n"/>
      <c r="M407" s="83" t="n"/>
      <c r="N407" s="83" t="n"/>
      <c r="O407" s="83" t="n"/>
      <c r="P407" s="83" t="n"/>
      <c r="Q407" s="83" t="n"/>
      <c r="R407" s="83" t="n"/>
      <c r="S407" s="83" t="n"/>
      <c r="T407" s="83" t="n"/>
      <c r="U407" s="83" t="n"/>
      <c r="V407" s="83" t="n"/>
      <c r="W407" s="83" t="n"/>
      <c r="X407" s="83" t="n"/>
      <c r="Y407" s="83" t="n"/>
      <c r="Z407" s="83" t="n"/>
      <c r="AA407" s="83" t="n"/>
      <c r="AB407" s="83" t="n"/>
      <c r="AC407" s="83" t="n"/>
      <c r="AD407" s="83" t="n"/>
      <c r="AE407" s="83" t="n"/>
      <c r="AF407" s="83" t="n"/>
      <c r="AG407" s="83" t="n"/>
      <c r="AH407" s="83" t="n"/>
      <c r="AI407" s="83" t="n"/>
      <c r="AJ407" s="83" t="n"/>
      <c r="AK407" s="83" t="n"/>
      <c r="AL407" s="83" t="n"/>
      <c r="AM407" s="83" t="n"/>
      <c r="AN407" s="83" t="n"/>
      <c r="AO407" s="83" t="n"/>
      <c r="AP407" s="83" t="n"/>
      <c r="AQ407" s="83" t="n"/>
      <c r="AR407" s="83" t="n"/>
    </row>
    <row r="408">
      <c r="D408" s="84" t="n"/>
      <c r="E408" s="84" t="n"/>
      <c r="F408" s="84" t="n"/>
      <c r="G408" s="84" t="n"/>
      <c r="H408" s="84" t="n"/>
      <c r="I408" s="84" t="n"/>
      <c r="J408" s="84" t="n"/>
      <c r="K408" s="84" t="n"/>
      <c r="L408" s="84" t="n"/>
      <c r="M408" s="84" t="n"/>
      <c r="N408" s="84" t="n"/>
      <c r="O408" s="84" t="n"/>
      <c r="P408" s="84" t="n"/>
      <c r="Q408" s="84" t="n"/>
      <c r="R408" s="84" t="n"/>
      <c r="S408" s="84" t="n"/>
      <c r="T408" s="84" t="n"/>
      <c r="U408" s="84" t="n"/>
      <c r="V408" s="84" t="n"/>
      <c r="W408" s="84" t="n"/>
      <c r="X408" s="84" t="n"/>
      <c r="Y408" s="84" t="n"/>
      <c r="Z408" s="84" t="n"/>
      <c r="AA408" s="84" t="n"/>
      <c r="AB408" s="84" t="n"/>
      <c r="AC408" s="84" t="n"/>
      <c r="AD408" s="84" t="n"/>
      <c r="AE408" s="84" t="n"/>
      <c r="AF408" s="84" t="n"/>
      <c r="AG408" s="84" t="n"/>
      <c r="AH408" s="84" t="n"/>
      <c r="AI408" s="84" t="n"/>
      <c r="AJ408" s="84" t="n"/>
      <c r="AK408" s="84" t="n"/>
      <c r="AL408" s="84" t="n"/>
      <c r="AM408" s="84" t="n"/>
      <c r="AN408" s="84" t="n"/>
      <c r="AO408" s="84" t="n"/>
      <c r="AP408" s="84" t="n"/>
      <c r="AQ408" s="84" t="n"/>
      <c r="AR408" s="84" t="n"/>
    </row>
    <row r="409">
      <c r="D409" s="80" t="n"/>
      <c r="E409" s="80" t="n"/>
      <c r="F409" s="80" t="n"/>
      <c r="G409" s="80" t="n"/>
      <c r="H409" s="80" t="n"/>
      <c r="I409" s="80" t="n"/>
      <c r="J409" s="80" t="n"/>
      <c r="K409" s="80" t="n"/>
      <c r="L409" s="80" t="n"/>
      <c r="M409" s="80" t="n"/>
      <c r="N409" s="80" t="n"/>
      <c r="O409" s="80" t="n"/>
      <c r="P409" s="80" t="n"/>
      <c r="Q409" s="80" t="n"/>
      <c r="R409" s="80" t="n"/>
      <c r="S409" s="80" t="n"/>
      <c r="T409" s="80" t="n"/>
      <c r="U409" s="80" t="n"/>
      <c r="V409" s="80" t="n"/>
      <c r="W409" s="80" t="n"/>
      <c r="X409" s="80" t="n"/>
      <c r="Y409" s="80" t="n"/>
      <c r="Z409" s="80" t="n"/>
      <c r="AA409" s="80" t="n"/>
      <c r="AB409" s="80" t="n"/>
      <c r="AC409" s="80" t="n"/>
      <c r="AD409" s="80" t="n"/>
      <c r="AE409" s="80" t="n"/>
      <c r="AF409" s="80" t="n"/>
      <c r="AG409" s="80" t="n"/>
      <c r="AH409" s="80" t="n"/>
      <c r="AI409" s="80" t="n"/>
      <c r="AJ409" s="80" t="n"/>
      <c r="AK409" s="80" t="n"/>
      <c r="AL409" s="80" t="n"/>
      <c r="AM409" s="80" t="n"/>
      <c r="AN409" s="80" t="n"/>
      <c r="AO409" s="80" t="n"/>
      <c r="AP409" s="80" t="n"/>
      <c r="AQ409" s="80" t="n"/>
      <c r="AR409" s="80" t="n"/>
    </row>
    <row r="410">
      <c r="D410" s="80" t="n"/>
      <c r="E410" s="80" t="n"/>
      <c r="F410" s="80" t="n"/>
      <c r="G410" s="80" t="n"/>
      <c r="H410" s="80" t="n"/>
      <c r="I410" s="80" t="n"/>
      <c r="J410" s="80" t="n"/>
      <c r="K410" s="80" t="n"/>
      <c r="L410" s="80" t="n"/>
      <c r="M410" s="80" t="n"/>
      <c r="N410" s="80" t="n"/>
      <c r="O410" s="80" t="n"/>
      <c r="P410" s="80" t="n"/>
      <c r="Q410" s="80" t="n"/>
      <c r="R410" s="80" t="n"/>
      <c r="S410" s="80" t="n"/>
      <c r="T410" s="80" t="n"/>
      <c r="U410" s="80" t="n"/>
      <c r="V410" s="80" t="n"/>
      <c r="W410" s="80" t="n"/>
      <c r="X410" s="80" t="n"/>
      <c r="Y410" s="80" t="n"/>
      <c r="Z410" s="80" t="n"/>
      <c r="AA410" s="80" t="n"/>
      <c r="AB410" s="80" t="n"/>
      <c r="AC410" s="80" t="n"/>
      <c r="AD410" s="80" t="n"/>
      <c r="AE410" s="80" t="n"/>
      <c r="AF410" s="80" t="n"/>
      <c r="AG410" s="80" t="n"/>
      <c r="AH410" s="80" t="n"/>
      <c r="AI410" s="80" t="n"/>
      <c r="AJ410" s="80" t="n"/>
      <c r="AK410" s="80" t="n"/>
      <c r="AL410" s="80" t="n"/>
      <c r="AM410" s="80" t="n"/>
      <c r="AN410" s="80" t="n"/>
      <c r="AO410" s="80" t="n"/>
      <c r="AP410" s="80" t="n"/>
      <c r="AQ410" s="80" t="n"/>
      <c r="AR410" s="80" t="n"/>
    </row>
    <row r="411">
      <c r="D411" s="80" t="n"/>
      <c r="E411" s="80" t="n"/>
      <c r="F411" s="80" t="n"/>
      <c r="G411" s="80" t="n"/>
      <c r="H411" s="80" t="n"/>
      <c r="I411" s="80" t="n"/>
      <c r="J411" s="80" t="n"/>
      <c r="K411" s="80" t="n"/>
      <c r="L411" s="80" t="n"/>
      <c r="M411" s="80" t="n"/>
      <c r="N411" s="80" t="n"/>
      <c r="O411" s="80" t="n"/>
      <c r="P411" s="80" t="n"/>
      <c r="Q411" s="80" t="n"/>
      <c r="R411" s="80" t="n"/>
      <c r="S411" s="80" t="n"/>
      <c r="T411" s="80" t="n"/>
      <c r="U411" s="80" t="n"/>
      <c r="V411" s="80" t="n"/>
      <c r="W411" s="80" t="n"/>
      <c r="X411" s="80" t="n"/>
      <c r="Y411" s="80" t="n"/>
      <c r="Z411" s="80" t="n"/>
      <c r="AA411" s="80" t="n"/>
      <c r="AB411" s="80" t="n"/>
      <c r="AC411" s="80" t="n"/>
      <c r="AD411" s="80" t="n"/>
      <c r="AE411" s="80" t="n"/>
      <c r="AF411" s="80" t="n"/>
      <c r="AG411" s="80" t="n"/>
      <c r="AH411" s="80" t="n"/>
      <c r="AI411" s="80" t="n"/>
      <c r="AJ411" s="80" t="n"/>
      <c r="AK411" s="80" t="n"/>
      <c r="AL411" s="80" t="n"/>
      <c r="AM411" s="80" t="n"/>
      <c r="AN411" s="80" t="n"/>
      <c r="AO411" s="80" t="n"/>
      <c r="AP411" s="80" t="n"/>
      <c r="AQ411" s="80" t="n"/>
      <c r="AR411" s="80" t="n"/>
    </row>
    <row r="412">
      <c r="D412" s="80" t="n"/>
      <c r="E412" s="80" t="n"/>
      <c r="F412" s="80" t="n"/>
      <c r="G412" s="80" t="n"/>
      <c r="H412" s="80" t="n"/>
      <c r="I412" s="80" t="n"/>
      <c r="J412" s="80" t="n"/>
      <c r="K412" s="80" t="n"/>
      <c r="L412" s="80" t="n"/>
      <c r="M412" s="80" t="n"/>
      <c r="N412" s="80" t="n"/>
      <c r="O412" s="80" t="n"/>
      <c r="P412" s="80" t="n"/>
      <c r="Q412" s="80" t="n"/>
      <c r="R412" s="80" t="n"/>
      <c r="S412" s="80" t="n"/>
      <c r="T412" s="80" t="n"/>
      <c r="U412" s="80" t="n"/>
      <c r="V412" s="80" t="n"/>
      <c r="W412" s="80" t="n"/>
      <c r="X412" s="80" t="n"/>
      <c r="Y412" s="80" t="n"/>
      <c r="Z412" s="80" t="n"/>
      <c r="AA412" s="80" t="n"/>
      <c r="AB412" s="80" t="n"/>
      <c r="AC412" s="80" t="n"/>
      <c r="AD412" s="80" t="n"/>
      <c r="AE412" s="80" t="n"/>
      <c r="AF412" s="80" t="n"/>
      <c r="AG412" s="80" t="n"/>
      <c r="AH412" s="80" t="n"/>
      <c r="AI412" s="80" t="n"/>
      <c r="AJ412" s="80" t="n"/>
      <c r="AK412" s="80" t="n"/>
      <c r="AL412" s="80" t="n"/>
      <c r="AM412" s="80" t="n"/>
      <c r="AN412" s="80" t="n"/>
      <c r="AO412" s="80" t="n"/>
      <c r="AP412" s="80" t="n"/>
      <c r="AQ412" s="80" t="n"/>
      <c r="AR412" s="80" t="n"/>
    </row>
    <row r="414">
      <c r="A414" s="6">
        <f>IF(HSI!$C$34="","",HSI!$C$34)</f>
        <v/>
      </c>
      <c r="B414" s="41">
        <f>IF($A414="",0,COUNT($E415:$AR415))</f>
        <v/>
      </c>
      <c r="C414" s="81">
        <f>IF($B414=0,0,MAX($E415:$AR415))</f>
        <v/>
      </c>
      <c r="D414" s="82">
        <f>BDS($A414,'Field Check'!$C$7,"headers=y","startcol=1","endcol=7","dir=h","DVD_START_DT",Summary!$C$18,"DVD_END_DT",Summary!$D$18)</f>
        <v/>
      </c>
      <c r="E414" s="83" t="n"/>
      <c r="F414" s="83" t="n"/>
      <c r="G414" s="83" t="n"/>
      <c r="H414" s="83" t="n"/>
      <c r="I414" s="83" t="n"/>
      <c r="J414" s="83" t="n"/>
      <c r="K414" s="83" t="n"/>
      <c r="L414" s="83" t="n"/>
      <c r="M414" s="83" t="n"/>
      <c r="N414" s="83" t="n"/>
      <c r="O414" s="83" t="n"/>
      <c r="P414" s="83" t="n"/>
      <c r="Q414" s="83" t="n"/>
      <c r="R414" s="83" t="n"/>
      <c r="S414" s="83" t="n"/>
      <c r="T414" s="83" t="n"/>
      <c r="U414" s="83" t="n"/>
      <c r="V414" s="83" t="n"/>
      <c r="W414" s="83" t="n"/>
      <c r="X414" s="83" t="n"/>
      <c r="Y414" s="83" t="n"/>
      <c r="Z414" s="83" t="n"/>
      <c r="AA414" s="83" t="n"/>
      <c r="AB414" s="83" t="n"/>
      <c r="AC414" s="83" t="n"/>
      <c r="AD414" s="83" t="n"/>
      <c r="AE414" s="83" t="n"/>
      <c r="AF414" s="83" t="n"/>
      <c r="AG414" s="83" t="n"/>
      <c r="AH414" s="83" t="n"/>
      <c r="AI414" s="83" t="n"/>
      <c r="AJ414" s="83" t="n"/>
      <c r="AK414" s="83" t="n"/>
      <c r="AL414" s="83" t="n"/>
      <c r="AM414" s="83" t="n"/>
      <c r="AN414" s="83" t="n"/>
      <c r="AO414" s="83" t="n"/>
      <c r="AP414" s="83" t="n"/>
      <c r="AQ414" s="83" t="n"/>
      <c r="AR414" s="83" t="n"/>
    </row>
    <row r="415">
      <c r="D415" s="83" t="n"/>
      <c r="E415" s="83" t="n"/>
      <c r="F415" s="83" t="n"/>
      <c r="G415" s="83" t="n"/>
      <c r="H415" s="83" t="n"/>
      <c r="I415" s="83" t="n"/>
      <c r="J415" s="83" t="n"/>
      <c r="K415" s="83" t="n"/>
      <c r="L415" s="83" t="n"/>
      <c r="M415" s="83" t="n"/>
      <c r="N415" s="83" t="n"/>
      <c r="O415" s="83" t="n"/>
      <c r="P415" s="83" t="n"/>
      <c r="Q415" s="83" t="n"/>
      <c r="R415" s="83" t="n"/>
      <c r="S415" s="83" t="n"/>
      <c r="T415" s="83" t="n"/>
      <c r="U415" s="83" t="n"/>
      <c r="V415" s="83" t="n"/>
      <c r="W415" s="83" t="n"/>
      <c r="X415" s="83" t="n"/>
      <c r="Y415" s="83" t="n"/>
      <c r="Z415" s="83" t="n"/>
      <c r="AA415" s="83" t="n"/>
      <c r="AB415" s="83" t="n"/>
      <c r="AC415" s="83" t="n"/>
      <c r="AD415" s="83" t="n"/>
      <c r="AE415" s="83" t="n"/>
      <c r="AF415" s="83" t="n"/>
      <c r="AG415" s="83" t="n"/>
      <c r="AH415" s="83" t="n"/>
      <c r="AI415" s="83" t="n"/>
      <c r="AJ415" s="83" t="n"/>
      <c r="AK415" s="83" t="n"/>
      <c r="AL415" s="83" t="n"/>
      <c r="AM415" s="83" t="n"/>
      <c r="AN415" s="83" t="n"/>
      <c r="AO415" s="83" t="n"/>
      <c r="AP415" s="83" t="n"/>
      <c r="AQ415" s="83" t="n"/>
      <c r="AR415" s="83" t="n"/>
    </row>
    <row r="416">
      <c r="D416" s="84" t="n"/>
      <c r="E416" s="84" t="n"/>
      <c r="F416" s="84" t="n"/>
      <c r="G416" s="84" t="n"/>
      <c r="H416" s="84" t="n"/>
      <c r="I416" s="84" t="n"/>
      <c r="J416" s="84" t="n"/>
      <c r="K416" s="84" t="n"/>
      <c r="L416" s="84" t="n"/>
      <c r="M416" s="84" t="n"/>
      <c r="N416" s="84" t="n"/>
      <c r="O416" s="84" t="n"/>
      <c r="P416" s="84" t="n"/>
      <c r="Q416" s="84" t="n"/>
      <c r="R416" s="84" t="n"/>
      <c r="S416" s="84" t="n"/>
      <c r="T416" s="84" t="n"/>
      <c r="U416" s="84" t="n"/>
      <c r="V416" s="84" t="n"/>
      <c r="W416" s="84" t="n"/>
      <c r="X416" s="84" t="n"/>
      <c r="Y416" s="84" t="n"/>
      <c r="Z416" s="84" t="n"/>
      <c r="AA416" s="84" t="n"/>
      <c r="AB416" s="84" t="n"/>
      <c r="AC416" s="84" t="n"/>
      <c r="AD416" s="84" t="n"/>
      <c r="AE416" s="84" t="n"/>
      <c r="AF416" s="84" t="n"/>
      <c r="AG416" s="84" t="n"/>
      <c r="AH416" s="84" t="n"/>
      <c r="AI416" s="84" t="n"/>
      <c r="AJ416" s="84" t="n"/>
      <c r="AK416" s="84" t="n"/>
      <c r="AL416" s="84" t="n"/>
      <c r="AM416" s="84" t="n"/>
      <c r="AN416" s="84" t="n"/>
      <c r="AO416" s="84" t="n"/>
      <c r="AP416" s="84" t="n"/>
      <c r="AQ416" s="84" t="n"/>
      <c r="AR416" s="84" t="n"/>
    </row>
    <row r="417">
      <c r="D417" s="80" t="n"/>
      <c r="E417" s="80" t="n"/>
      <c r="F417" s="80" t="n"/>
      <c r="G417" s="80" t="n"/>
      <c r="H417" s="80" t="n"/>
      <c r="I417" s="80" t="n"/>
      <c r="J417" s="80" t="n"/>
      <c r="K417" s="80" t="n"/>
      <c r="L417" s="80" t="n"/>
      <c r="M417" s="80" t="n"/>
      <c r="N417" s="80" t="n"/>
      <c r="O417" s="80" t="n"/>
      <c r="P417" s="80" t="n"/>
      <c r="Q417" s="80" t="n"/>
      <c r="R417" s="80" t="n"/>
      <c r="S417" s="80" t="n"/>
      <c r="T417" s="80" t="n"/>
      <c r="U417" s="80" t="n"/>
      <c r="V417" s="80" t="n"/>
      <c r="W417" s="80" t="n"/>
      <c r="X417" s="80" t="n"/>
      <c r="Y417" s="80" t="n"/>
      <c r="Z417" s="80" t="n"/>
      <c r="AA417" s="80" t="n"/>
      <c r="AB417" s="80" t="n"/>
      <c r="AC417" s="80" t="n"/>
      <c r="AD417" s="80" t="n"/>
      <c r="AE417" s="80" t="n"/>
      <c r="AF417" s="80" t="n"/>
      <c r="AG417" s="80" t="n"/>
      <c r="AH417" s="80" t="n"/>
      <c r="AI417" s="80" t="n"/>
      <c r="AJ417" s="80" t="n"/>
      <c r="AK417" s="80" t="n"/>
      <c r="AL417" s="80" t="n"/>
      <c r="AM417" s="80" t="n"/>
      <c r="AN417" s="80" t="n"/>
      <c r="AO417" s="80" t="n"/>
      <c r="AP417" s="80" t="n"/>
      <c r="AQ417" s="80" t="n"/>
      <c r="AR417" s="80" t="n"/>
    </row>
    <row r="418">
      <c r="D418" s="80" t="n"/>
      <c r="E418" s="80" t="n"/>
      <c r="F418" s="80" t="n"/>
      <c r="G418" s="80" t="n"/>
      <c r="H418" s="80" t="n"/>
      <c r="I418" s="80" t="n"/>
      <c r="J418" s="80" t="n"/>
      <c r="K418" s="80" t="n"/>
      <c r="L418" s="80" t="n"/>
      <c r="M418" s="80" t="n"/>
      <c r="N418" s="80" t="n"/>
      <c r="O418" s="80" t="n"/>
      <c r="P418" s="80" t="n"/>
      <c r="Q418" s="80" t="n"/>
      <c r="R418" s="80" t="n"/>
      <c r="S418" s="80" t="n"/>
      <c r="T418" s="80" t="n"/>
      <c r="U418" s="80" t="n"/>
      <c r="V418" s="80" t="n"/>
      <c r="W418" s="80" t="n"/>
      <c r="X418" s="80" t="n"/>
      <c r="Y418" s="80" t="n"/>
      <c r="Z418" s="80" t="n"/>
      <c r="AA418" s="80" t="n"/>
      <c r="AB418" s="80" t="n"/>
      <c r="AC418" s="80" t="n"/>
      <c r="AD418" s="80" t="n"/>
      <c r="AE418" s="80" t="n"/>
      <c r="AF418" s="80" t="n"/>
      <c r="AG418" s="80" t="n"/>
      <c r="AH418" s="80" t="n"/>
      <c r="AI418" s="80" t="n"/>
      <c r="AJ418" s="80" t="n"/>
      <c r="AK418" s="80" t="n"/>
      <c r="AL418" s="80" t="n"/>
      <c r="AM418" s="80" t="n"/>
      <c r="AN418" s="80" t="n"/>
      <c r="AO418" s="80" t="n"/>
      <c r="AP418" s="80" t="n"/>
      <c r="AQ418" s="80" t="n"/>
      <c r="AR418" s="80" t="n"/>
    </row>
    <row r="419">
      <c r="D419" s="80" t="n"/>
      <c r="E419" s="80" t="n"/>
      <c r="F419" s="80" t="n"/>
      <c r="G419" s="80" t="n"/>
      <c r="H419" s="80" t="n"/>
      <c r="I419" s="80" t="n"/>
      <c r="J419" s="80" t="n"/>
      <c r="K419" s="80" t="n"/>
      <c r="L419" s="80" t="n"/>
      <c r="M419" s="80" t="n"/>
      <c r="N419" s="80" t="n"/>
      <c r="O419" s="80" t="n"/>
      <c r="P419" s="80" t="n"/>
      <c r="Q419" s="80" t="n"/>
      <c r="R419" s="80" t="n"/>
      <c r="S419" s="80" t="n"/>
      <c r="T419" s="80" t="n"/>
      <c r="U419" s="80" t="n"/>
      <c r="V419" s="80" t="n"/>
      <c r="W419" s="80" t="n"/>
      <c r="X419" s="80" t="n"/>
      <c r="Y419" s="80" t="n"/>
      <c r="Z419" s="80" t="n"/>
      <c r="AA419" s="80" t="n"/>
      <c r="AB419" s="80" t="n"/>
      <c r="AC419" s="80" t="n"/>
      <c r="AD419" s="80" t="n"/>
      <c r="AE419" s="80" t="n"/>
      <c r="AF419" s="80" t="n"/>
      <c r="AG419" s="80" t="n"/>
      <c r="AH419" s="80" t="n"/>
      <c r="AI419" s="80" t="n"/>
      <c r="AJ419" s="80" t="n"/>
      <c r="AK419" s="80" t="n"/>
      <c r="AL419" s="80" t="n"/>
      <c r="AM419" s="80" t="n"/>
      <c r="AN419" s="80" t="n"/>
      <c r="AO419" s="80" t="n"/>
      <c r="AP419" s="80" t="n"/>
      <c r="AQ419" s="80" t="n"/>
      <c r="AR419" s="80" t="n"/>
    </row>
    <row r="420">
      <c r="D420" s="80" t="n"/>
      <c r="E420" s="80" t="n"/>
      <c r="F420" s="80" t="n"/>
      <c r="G420" s="80" t="n"/>
      <c r="H420" s="80" t="n"/>
      <c r="I420" s="80" t="n"/>
      <c r="J420" s="80" t="n"/>
      <c r="K420" s="80" t="n"/>
      <c r="L420" s="80" t="n"/>
      <c r="M420" s="80" t="n"/>
      <c r="N420" s="80" t="n"/>
      <c r="O420" s="80" t="n"/>
      <c r="P420" s="80" t="n"/>
      <c r="Q420" s="80" t="n"/>
      <c r="R420" s="80" t="n"/>
      <c r="S420" s="80" t="n"/>
      <c r="T420" s="80" t="n"/>
      <c r="U420" s="80" t="n"/>
      <c r="V420" s="80" t="n"/>
      <c r="W420" s="80" t="n"/>
      <c r="X420" s="80" t="n"/>
      <c r="Y420" s="80" t="n"/>
      <c r="Z420" s="80" t="n"/>
      <c r="AA420" s="80" t="n"/>
      <c r="AB420" s="80" t="n"/>
      <c r="AC420" s="80" t="n"/>
      <c r="AD420" s="80" t="n"/>
      <c r="AE420" s="80" t="n"/>
      <c r="AF420" s="80" t="n"/>
      <c r="AG420" s="80" t="n"/>
      <c r="AH420" s="80" t="n"/>
      <c r="AI420" s="80" t="n"/>
      <c r="AJ420" s="80" t="n"/>
      <c r="AK420" s="80" t="n"/>
      <c r="AL420" s="80" t="n"/>
      <c r="AM420" s="80" t="n"/>
      <c r="AN420" s="80" t="n"/>
      <c r="AO420" s="80" t="n"/>
      <c r="AP420" s="80" t="n"/>
      <c r="AQ420" s="80" t="n"/>
      <c r="AR420" s="80" t="n"/>
    </row>
    <row r="421">
      <c r="A421" s="2">
        <f>IF($A414="","","   projections")</f>
        <v/>
      </c>
      <c r="B421" s="41">
        <f>IF($A414="",0,COUNT($E422:$AR422))</f>
        <v/>
      </c>
      <c r="C421" s="81">
        <f>IF($B421=0,0,MAX($E422:$AR422))</f>
        <v/>
      </c>
      <c r="D421" s="82">
        <f>BDS($A414,'Field Check'!$C$6,"headers=y","startcol=1","endcol=7","dir=h")</f>
        <v/>
      </c>
      <c r="E421" s="83" t="n"/>
      <c r="F421" s="83" t="n"/>
      <c r="G421" s="83" t="n"/>
      <c r="H421" s="83" t="n"/>
      <c r="I421" s="83" t="n"/>
      <c r="J421" s="83" t="n"/>
      <c r="K421" s="83" t="n"/>
      <c r="L421" s="83" t="n"/>
      <c r="M421" s="83" t="n"/>
      <c r="N421" s="83" t="n"/>
      <c r="O421" s="83" t="n"/>
      <c r="P421" s="83" t="n"/>
      <c r="Q421" s="83" t="n"/>
      <c r="R421" s="83" t="n"/>
      <c r="S421" s="83" t="n"/>
      <c r="T421" s="83" t="n"/>
      <c r="U421" s="83" t="n"/>
      <c r="V421" s="83" t="n"/>
      <c r="W421" s="83" t="n"/>
      <c r="X421" s="83" t="n"/>
      <c r="Y421" s="83" t="n"/>
      <c r="Z421" s="83" t="n"/>
      <c r="AA421" s="83" t="n"/>
      <c r="AB421" s="83" t="n"/>
      <c r="AC421" s="83" t="n"/>
      <c r="AD421" s="83" t="n"/>
      <c r="AE421" s="83" t="n"/>
      <c r="AF421" s="83" t="n"/>
      <c r="AG421" s="83" t="n"/>
      <c r="AH421" s="83" t="n"/>
      <c r="AI421" s="83" t="n"/>
      <c r="AJ421" s="83" t="n"/>
      <c r="AK421" s="83" t="n"/>
      <c r="AL421" s="83" t="n"/>
      <c r="AM421" s="83" t="n"/>
      <c r="AN421" s="83" t="n"/>
      <c r="AO421" s="83" t="n"/>
      <c r="AP421" s="83" t="n"/>
      <c r="AQ421" s="83" t="n"/>
      <c r="AR421" s="83" t="n"/>
    </row>
    <row r="422">
      <c r="D422" s="83" t="n"/>
      <c r="E422" s="83" t="n"/>
      <c r="F422" s="83" t="n"/>
      <c r="G422" s="83" t="n"/>
      <c r="H422" s="83" t="n"/>
      <c r="I422" s="83" t="n"/>
      <c r="J422" s="83" t="n"/>
      <c r="K422" s="83" t="n"/>
      <c r="L422" s="83" t="n"/>
      <c r="M422" s="83" t="n"/>
      <c r="N422" s="83" t="n"/>
      <c r="O422" s="83" t="n"/>
      <c r="P422" s="83" t="n"/>
      <c r="Q422" s="83" t="n"/>
      <c r="R422" s="83" t="n"/>
      <c r="S422" s="83" t="n"/>
      <c r="T422" s="83" t="n"/>
      <c r="U422" s="83" t="n"/>
      <c r="V422" s="83" t="n"/>
      <c r="W422" s="83" t="n"/>
      <c r="X422" s="83" t="n"/>
      <c r="Y422" s="83" t="n"/>
      <c r="Z422" s="83" t="n"/>
      <c r="AA422" s="83" t="n"/>
      <c r="AB422" s="83" t="n"/>
      <c r="AC422" s="83" t="n"/>
      <c r="AD422" s="83" t="n"/>
      <c r="AE422" s="83" t="n"/>
      <c r="AF422" s="83" t="n"/>
      <c r="AG422" s="83" t="n"/>
      <c r="AH422" s="83" t="n"/>
      <c r="AI422" s="83" t="n"/>
      <c r="AJ422" s="83" t="n"/>
      <c r="AK422" s="83" t="n"/>
      <c r="AL422" s="83" t="n"/>
      <c r="AM422" s="83" t="n"/>
      <c r="AN422" s="83" t="n"/>
      <c r="AO422" s="83" t="n"/>
      <c r="AP422" s="83" t="n"/>
      <c r="AQ422" s="83" t="n"/>
      <c r="AR422" s="83" t="n"/>
    </row>
    <row r="423">
      <c r="D423" s="84" t="n"/>
      <c r="E423" s="84" t="n"/>
      <c r="F423" s="84" t="n"/>
      <c r="G423" s="84" t="n"/>
      <c r="H423" s="84" t="n"/>
      <c r="I423" s="84" t="n"/>
      <c r="J423" s="84" t="n"/>
      <c r="K423" s="84" t="n"/>
      <c r="L423" s="84" t="n"/>
      <c r="M423" s="84" t="n"/>
      <c r="N423" s="84" t="n"/>
      <c r="O423" s="84" t="n"/>
      <c r="P423" s="84" t="n"/>
      <c r="Q423" s="84" t="n"/>
      <c r="R423" s="84" t="n"/>
      <c r="S423" s="84" t="n"/>
      <c r="T423" s="84" t="n"/>
      <c r="U423" s="84" t="n"/>
      <c r="V423" s="84" t="n"/>
      <c r="W423" s="84" t="n"/>
      <c r="X423" s="84" t="n"/>
      <c r="Y423" s="84" t="n"/>
      <c r="Z423" s="84" t="n"/>
      <c r="AA423" s="84" t="n"/>
      <c r="AB423" s="84" t="n"/>
      <c r="AC423" s="84" t="n"/>
      <c r="AD423" s="84" t="n"/>
      <c r="AE423" s="84" t="n"/>
      <c r="AF423" s="84" t="n"/>
      <c r="AG423" s="84" t="n"/>
      <c r="AH423" s="84" t="n"/>
      <c r="AI423" s="84" t="n"/>
      <c r="AJ423" s="84" t="n"/>
      <c r="AK423" s="84" t="n"/>
      <c r="AL423" s="84" t="n"/>
      <c r="AM423" s="84" t="n"/>
      <c r="AN423" s="84" t="n"/>
      <c r="AO423" s="84" t="n"/>
      <c r="AP423" s="84" t="n"/>
      <c r="AQ423" s="84" t="n"/>
      <c r="AR423" s="84" t="n"/>
    </row>
    <row r="424">
      <c r="D424" s="80" t="n"/>
      <c r="E424" s="80" t="n"/>
      <c r="F424" s="80" t="n"/>
      <c r="G424" s="80" t="n"/>
      <c r="H424" s="80" t="n"/>
      <c r="I424" s="80" t="n"/>
      <c r="J424" s="80" t="n"/>
      <c r="K424" s="80" t="n"/>
      <c r="L424" s="80" t="n"/>
      <c r="M424" s="80" t="n"/>
      <c r="N424" s="80" t="n"/>
      <c r="O424" s="80" t="n"/>
      <c r="P424" s="80" t="n"/>
      <c r="Q424" s="80" t="n"/>
      <c r="R424" s="80" t="n"/>
      <c r="S424" s="80" t="n"/>
      <c r="T424" s="80" t="n"/>
      <c r="U424" s="80" t="n"/>
      <c r="V424" s="80" t="n"/>
      <c r="W424" s="80" t="n"/>
      <c r="X424" s="80" t="n"/>
      <c r="Y424" s="80" t="n"/>
      <c r="Z424" s="80" t="n"/>
      <c r="AA424" s="80" t="n"/>
      <c r="AB424" s="80" t="n"/>
      <c r="AC424" s="80" t="n"/>
      <c r="AD424" s="80" t="n"/>
      <c r="AE424" s="80" t="n"/>
      <c r="AF424" s="80" t="n"/>
      <c r="AG424" s="80" t="n"/>
      <c r="AH424" s="80" t="n"/>
      <c r="AI424" s="80" t="n"/>
      <c r="AJ424" s="80" t="n"/>
      <c r="AK424" s="80" t="n"/>
      <c r="AL424" s="80" t="n"/>
      <c r="AM424" s="80" t="n"/>
      <c r="AN424" s="80" t="n"/>
      <c r="AO424" s="80" t="n"/>
      <c r="AP424" s="80" t="n"/>
      <c r="AQ424" s="80" t="n"/>
      <c r="AR424" s="80" t="n"/>
    </row>
    <row r="425">
      <c r="D425" s="80" t="n"/>
      <c r="E425" s="80" t="n"/>
      <c r="F425" s="80" t="n"/>
      <c r="G425" s="80" t="n"/>
      <c r="H425" s="80" t="n"/>
      <c r="I425" s="80" t="n"/>
      <c r="J425" s="80" t="n"/>
      <c r="K425" s="80" t="n"/>
      <c r="L425" s="80" t="n"/>
      <c r="M425" s="80" t="n"/>
      <c r="N425" s="80" t="n"/>
      <c r="O425" s="80" t="n"/>
      <c r="P425" s="80" t="n"/>
      <c r="Q425" s="80" t="n"/>
      <c r="R425" s="80" t="n"/>
      <c r="S425" s="80" t="n"/>
      <c r="T425" s="80" t="n"/>
      <c r="U425" s="80" t="n"/>
      <c r="V425" s="80" t="n"/>
      <c r="W425" s="80" t="n"/>
      <c r="X425" s="80" t="n"/>
      <c r="Y425" s="80" t="n"/>
      <c r="Z425" s="80" t="n"/>
      <c r="AA425" s="80" t="n"/>
      <c r="AB425" s="80" t="n"/>
      <c r="AC425" s="80" t="n"/>
      <c r="AD425" s="80" t="n"/>
      <c r="AE425" s="80" t="n"/>
      <c r="AF425" s="80" t="n"/>
      <c r="AG425" s="80" t="n"/>
      <c r="AH425" s="80" t="n"/>
      <c r="AI425" s="80" t="n"/>
      <c r="AJ425" s="80" t="n"/>
      <c r="AK425" s="80" t="n"/>
      <c r="AL425" s="80" t="n"/>
      <c r="AM425" s="80" t="n"/>
      <c r="AN425" s="80" t="n"/>
      <c r="AO425" s="80" t="n"/>
      <c r="AP425" s="80" t="n"/>
      <c r="AQ425" s="80" t="n"/>
      <c r="AR425" s="80" t="n"/>
    </row>
    <row r="426">
      <c r="D426" s="80" t="n"/>
      <c r="E426" s="80" t="n"/>
      <c r="F426" s="80" t="n"/>
      <c r="G426" s="80" t="n"/>
      <c r="H426" s="80" t="n"/>
      <c r="I426" s="80" t="n"/>
      <c r="J426" s="80" t="n"/>
      <c r="K426" s="80" t="n"/>
      <c r="L426" s="80" t="n"/>
      <c r="M426" s="80" t="n"/>
      <c r="N426" s="80" t="n"/>
      <c r="O426" s="80" t="n"/>
      <c r="P426" s="80" t="n"/>
      <c r="Q426" s="80" t="n"/>
      <c r="R426" s="80" t="n"/>
      <c r="S426" s="80" t="n"/>
      <c r="T426" s="80" t="n"/>
      <c r="U426" s="80" t="n"/>
      <c r="V426" s="80" t="n"/>
      <c r="W426" s="80" t="n"/>
      <c r="X426" s="80" t="n"/>
      <c r="Y426" s="80" t="n"/>
      <c r="Z426" s="80" t="n"/>
      <c r="AA426" s="80" t="n"/>
      <c r="AB426" s="80" t="n"/>
      <c r="AC426" s="80" t="n"/>
      <c r="AD426" s="80" t="n"/>
      <c r="AE426" s="80" t="n"/>
      <c r="AF426" s="80" t="n"/>
      <c r="AG426" s="80" t="n"/>
      <c r="AH426" s="80" t="n"/>
      <c r="AI426" s="80" t="n"/>
      <c r="AJ426" s="80" t="n"/>
      <c r="AK426" s="80" t="n"/>
      <c r="AL426" s="80" t="n"/>
      <c r="AM426" s="80" t="n"/>
      <c r="AN426" s="80" t="n"/>
      <c r="AO426" s="80" t="n"/>
      <c r="AP426" s="80" t="n"/>
      <c r="AQ426" s="80" t="n"/>
      <c r="AR426" s="80" t="n"/>
    </row>
    <row r="427">
      <c r="D427" s="80" t="n"/>
      <c r="E427" s="80" t="n"/>
      <c r="F427" s="80" t="n"/>
      <c r="G427" s="80" t="n"/>
      <c r="H427" s="80" t="n"/>
      <c r="I427" s="80" t="n"/>
      <c r="J427" s="80" t="n"/>
      <c r="K427" s="80" t="n"/>
      <c r="L427" s="80" t="n"/>
      <c r="M427" s="80" t="n"/>
      <c r="N427" s="80" t="n"/>
      <c r="O427" s="80" t="n"/>
      <c r="P427" s="80" t="n"/>
      <c r="Q427" s="80" t="n"/>
      <c r="R427" s="80" t="n"/>
      <c r="S427" s="80" t="n"/>
      <c r="T427" s="80" t="n"/>
      <c r="U427" s="80" t="n"/>
      <c r="V427" s="80" t="n"/>
      <c r="W427" s="80" t="n"/>
      <c r="X427" s="80" t="n"/>
      <c r="Y427" s="80" t="n"/>
      <c r="Z427" s="80" t="n"/>
      <c r="AA427" s="80" t="n"/>
      <c r="AB427" s="80" t="n"/>
      <c r="AC427" s="80" t="n"/>
      <c r="AD427" s="80" t="n"/>
      <c r="AE427" s="80" t="n"/>
      <c r="AF427" s="80" t="n"/>
      <c r="AG427" s="80" t="n"/>
      <c r="AH427" s="80" t="n"/>
      <c r="AI427" s="80" t="n"/>
      <c r="AJ427" s="80" t="n"/>
      <c r="AK427" s="80" t="n"/>
      <c r="AL427" s="80" t="n"/>
      <c r="AM427" s="80" t="n"/>
      <c r="AN427" s="80" t="n"/>
      <c r="AO427" s="80" t="n"/>
      <c r="AP427" s="80" t="n"/>
      <c r="AQ427" s="80" t="n"/>
      <c r="AR427" s="80" t="n"/>
    </row>
    <row r="429">
      <c r="A429" s="6">
        <f>IF(HSI!$C$35="","",HSI!$C$35)</f>
        <v/>
      </c>
      <c r="B429" s="41">
        <f>IF($A429="",0,COUNT($E430:$AR430))</f>
        <v/>
      </c>
      <c r="C429" s="81">
        <f>IF($B429=0,0,MAX($E430:$AR430))</f>
        <v/>
      </c>
      <c r="D429" s="82">
        <f>BDS($A429,'Field Check'!$C$7,"headers=y","startcol=1","endcol=7","dir=h","DVD_START_DT",Summary!$C$18,"DVD_END_DT",Summary!$D$18)</f>
        <v/>
      </c>
      <c r="E429" s="83" t="n"/>
      <c r="F429" s="83" t="n"/>
      <c r="G429" s="83" t="n"/>
      <c r="H429" s="83" t="n"/>
      <c r="I429" s="83" t="n"/>
      <c r="J429" s="83" t="n"/>
      <c r="K429" s="83" t="n"/>
      <c r="L429" s="83" t="n"/>
      <c r="M429" s="83" t="n"/>
      <c r="N429" s="83" t="n"/>
      <c r="O429" s="83" t="n"/>
      <c r="P429" s="83" t="n"/>
      <c r="Q429" s="83" t="n"/>
      <c r="R429" s="83" t="n"/>
      <c r="S429" s="83" t="n"/>
      <c r="T429" s="83" t="n"/>
      <c r="U429" s="83" t="n"/>
      <c r="V429" s="83" t="n"/>
      <c r="W429" s="83" t="n"/>
      <c r="X429" s="83" t="n"/>
      <c r="Y429" s="83" t="n"/>
      <c r="Z429" s="83" t="n"/>
      <c r="AA429" s="83" t="n"/>
      <c r="AB429" s="83" t="n"/>
      <c r="AC429" s="83" t="n"/>
      <c r="AD429" s="83" t="n"/>
      <c r="AE429" s="83" t="n"/>
      <c r="AF429" s="83" t="n"/>
      <c r="AG429" s="83" t="n"/>
      <c r="AH429" s="83" t="n"/>
      <c r="AI429" s="83" t="n"/>
      <c r="AJ429" s="83" t="n"/>
      <c r="AK429" s="83" t="n"/>
      <c r="AL429" s="83" t="n"/>
      <c r="AM429" s="83" t="n"/>
      <c r="AN429" s="83" t="n"/>
      <c r="AO429" s="83" t="n"/>
      <c r="AP429" s="83" t="n"/>
      <c r="AQ429" s="83" t="n"/>
      <c r="AR429" s="83" t="n"/>
    </row>
    <row r="430">
      <c r="D430" s="83" t="n"/>
      <c r="E430" s="83" t="n"/>
      <c r="F430" s="83" t="n"/>
      <c r="G430" s="83" t="n"/>
      <c r="H430" s="83" t="n"/>
      <c r="I430" s="83" t="n"/>
      <c r="J430" s="83" t="n"/>
      <c r="K430" s="83" t="n"/>
      <c r="L430" s="83" t="n"/>
      <c r="M430" s="83" t="n"/>
      <c r="N430" s="83" t="n"/>
      <c r="O430" s="83" t="n"/>
      <c r="P430" s="83" t="n"/>
      <c r="Q430" s="83" t="n"/>
      <c r="R430" s="83" t="n"/>
      <c r="S430" s="83" t="n"/>
      <c r="T430" s="83" t="n"/>
      <c r="U430" s="83" t="n"/>
      <c r="V430" s="83" t="n"/>
      <c r="W430" s="83" t="n"/>
      <c r="X430" s="83" t="n"/>
      <c r="Y430" s="83" t="n"/>
      <c r="Z430" s="83" t="n"/>
      <c r="AA430" s="83" t="n"/>
      <c r="AB430" s="83" t="n"/>
      <c r="AC430" s="83" t="n"/>
      <c r="AD430" s="83" t="n"/>
      <c r="AE430" s="83" t="n"/>
      <c r="AF430" s="83" t="n"/>
      <c r="AG430" s="83" t="n"/>
      <c r="AH430" s="83" t="n"/>
      <c r="AI430" s="83" t="n"/>
      <c r="AJ430" s="83" t="n"/>
      <c r="AK430" s="83" t="n"/>
      <c r="AL430" s="83" t="n"/>
      <c r="AM430" s="83" t="n"/>
      <c r="AN430" s="83" t="n"/>
      <c r="AO430" s="83" t="n"/>
      <c r="AP430" s="83" t="n"/>
      <c r="AQ430" s="83" t="n"/>
      <c r="AR430" s="83" t="n"/>
    </row>
    <row r="431">
      <c r="D431" s="84" t="n"/>
      <c r="E431" s="84" t="n"/>
      <c r="F431" s="84" t="n"/>
      <c r="G431" s="84" t="n"/>
      <c r="H431" s="84" t="n"/>
      <c r="I431" s="84" t="n"/>
      <c r="J431" s="84" t="n"/>
      <c r="K431" s="84" t="n"/>
      <c r="L431" s="84" t="n"/>
      <c r="M431" s="84" t="n"/>
      <c r="N431" s="84" t="n"/>
      <c r="O431" s="84" t="n"/>
      <c r="P431" s="84" t="n"/>
      <c r="Q431" s="84" t="n"/>
      <c r="R431" s="84" t="n"/>
      <c r="S431" s="84" t="n"/>
      <c r="T431" s="84" t="n"/>
      <c r="U431" s="84" t="n"/>
      <c r="V431" s="84" t="n"/>
      <c r="W431" s="84" t="n"/>
      <c r="X431" s="84" t="n"/>
      <c r="Y431" s="84" t="n"/>
      <c r="Z431" s="84" t="n"/>
      <c r="AA431" s="84" t="n"/>
      <c r="AB431" s="84" t="n"/>
      <c r="AC431" s="84" t="n"/>
      <c r="AD431" s="84" t="n"/>
      <c r="AE431" s="84" t="n"/>
      <c r="AF431" s="84" t="n"/>
      <c r="AG431" s="84" t="n"/>
      <c r="AH431" s="84" t="n"/>
      <c r="AI431" s="84" t="n"/>
      <c r="AJ431" s="84" t="n"/>
      <c r="AK431" s="84" t="n"/>
      <c r="AL431" s="84" t="n"/>
      <c r="AM431" s="84" t="n"/>
      <c r="AN431" s="84" t="n"/>
      <c r="AO431" s="84" t="n"/>
      <c r="AP431" s="84" t="n"/>
      <c r="AQ431" s="84" t="n"/>
      <c r="AR431" s="84" t="n"/>
    </row>
    <row r="432">
      <c r="D432" s="80" t="n"/>
      <c r="E432" s="80" t="n"/>
      <c r="F432" s="80" t="n"/>
      <c r="G432" s="80" t="n"/>
      <c r="H432" s="80" t="n"/>
      <c r="I432" s="80" t="n"/>
      <c r="J432" s="80" t="n"/>
      <c r="K432" s="80" t="n"/>
      <c r="L432" s="80" t="n"/>
      <c r="M432" s="80" t="n"/>
      <c r="N432" s="80" t="n"/>
      <c r="O432" s="80" t="n"/>
      <c r="P432" s="80" t="n"/>
      <c r="Q432" s="80" t="n"/>
      <c r="R432" s="80" t="n"/>
      <c r="S432" s="80" t="n"/>
      <c r="T432" s="80" t="n"/>
      <c r="U432" s="80" t="n"/>
      <c r="V432" s="80" t="n"/>
      <c r="W432" s="80" t="n"/>
      <c r="X432" s="80" t="n"/>
      <c r="Y432" s="80" t="n"/>
      <c r="Z432" s="80" t="n"/>
      <c r="AA432" s="80" t="n"/>
      <c r="AB432" s="80" t="n"/>
      <c r="AC432" s="80" t="n"/>
      <c r="AD432" s="80" t="n"/>
      <c r="AE432" s="80" t="n"/>
      <c r="AF432" s="80" t="n"/>
      <c r="AG432" s="80" t="n"/>
      <c r="AH432" s="80" t="n"/>
      <c r="AI432" s="80" t="n"/>
      <c r="AJ432" s="80" t="n"/>
      <c r="AK432" s="80" t="n"/>
      <c r="AL432" s="80" t="n"/>
      <c r="AM432" s="80" t="n"/>
      <c r="AN432" s="80" t="n"/>
      <c r="AO432" s="80" t="n"/>
      <c r="AP432" s="80" t="n"/>
      <c r="AQ432" s="80" t="n"/>
      <c r="AR432" s="80" t="n"/>
    </row>
    <row r="433">
      <c r="D433" s="80" t="n"/>
      <c r="E433" s="80" t="n"/>
      <c r="F433" s="80" t="n"/>
      <c r="G433" s="80" t="n"/>
      <c r="H433" s="80" t="n"/>
      <c r="I433" s="80" t="n"/>
      <c r="J433" s="80" t="n"/>
      <c r="K433" s="80" t="n"/>
      <c r="L433" s="80" t="n"/>
      <c r="M433" s="80" t="n"/>
      <c r="N433" s="80" t="n"/>
      <c r="O433" s="80" t="n"/>
      <c r="P433" s="80" t="n"/>
      <c r="Q433" s="80" t="n"/>
      <c r="R433" s="80" t="n"/>
      <c r="S433" s="80" t="n"/>
      <c r="T433" s="80" t="n"/>
      <c r="U433" s="80" t="n"/>
      <c r="V433" s="80" t="n"/>
      <c r="W433" s="80" t="n"/>
      <c r="X433" s="80" t="n"/>
      <c r="Y433" s="80" t="n"/>
      <c r="Z433" s="80" t="n"/>
      <c r="AA433" s="80" t="n"/>
      <c r="AB433" s="80" t="n"/>
      <c r="AC433" s="80" t="n"/>
      <c r="AD433" s="80" t="n"/>
      <c r="AE433" s="80" t="n"/>
      <c r="AF433" s="80" t="n"/>
      <c r="AG433" s="80" t="n"/>
      <c r="AH433" s="80" t="n"/>
      <c r="AI433" s="80" t="n"/>
      <c r="AJ433" s="80" t="n"/>
      <c r="AK433" s="80" t="n"/>
      <c r="AL433" s="80" t="n"/>
      <c r="AM433" s="80" t="n"/>
      <c r="AN433" s="80" t="n"/>
      <c r="AO433" s="80" t="n"/>
      <c r="AP433" s="80" t="n"/>
      <c r="AQ433" s="80" t="n"/>
      <c r="AR433" s="80" t="n"/>
    </row>
    <row r="434">
      <c r="D434" s="80" t="n"/>
      <c r="E434" s="80" t="n"/>
      <c r="F434" s="80" t="n"/>
      <c r="G434" s="80" t="n"/>
      <c r="H434" s="80" t="n"/>
      <c r="I434" s="80" t="n"/>
      <c r="J434" s="80" t="n"/>
      <c r="K434" s="80" t="n"/>
      <c r="L434" s="80" t="n"/>
      <c r="M434" s="80" t="n"/>
      <c r="N434" s="80" t="n"/>
      <c r="O434" s="80" t="n"/>
      <c r="P434" s="80" t="n"/>
      <c r="Q434" s="80" t="n"/>
      <c r="R434" s="80" t="n"/>
      <c r="S434" s="80" t="n"/>
      <c r="T434" s="80" t="n"/>
      <c r="U434" s="80" t="n"/>
      <c r="V434" s="80" t="n"/>
      <c r="W434" s="80" t="n"/>
      <c r="X434" s="80" t="n"/>
      <c r="Y434" s="80" t="n"/>
      <c r="Z434" s="80" t="n"/>
      <c r="AA434" s="80" t="n"/>
      <c r="AB434" s="80" t="n"/>
      <c r="AC434" s="80" t="n"/>
      <c r="AD434" s="80" t="n"/>
      <c r="AE434" s="80" t="n"/>
      <c r="AF434" s="80" t="n"/>
      <c r="AG434" s="80" t="n"/>
      <c r="AH434" s="80" t="n"/>
      <c r="AI434" s="80" t="n"/>
      <c r="AJ434" s="80" t="n"/>
      <c r="AK434" s="80" t="n"/>
      <c r="AL434" s="80" t="n"/>
      <c r="AM434" s="80" t="n"/>
      <c r="AN434" s="80" t="n"/>
      <c r="AO434" s="80" t="n"/>
      <c r="AP434" s="80" t="n"/>
      <c r="AQ434" s="80" t="n"/>
      <c r="AR434" s="80" t="n"/>
    </row>
    <row r="435">
      <c r="D435" s="80" t="n"/>
      <c r="E435" s="80" t="n"/>
      <c r="F435" s="80" t="n"/>
      <c r="G435" s="80" t="n"/>
      <c r="H435" s="80" t="n"/>
      <c r="I435" s="80" t="n"/>
      <c r="J435" s="80" t="n"/>
      <c r="K435" s="80" t="n"/>
      <c r="L435" s="80" t="n"/>
      <c r="M435" s="80" t="n"/>
      <c r="N435" s="80" t="n"/>
      <c r="O435" s="80" t="n"/>
      <c r="P435" s="80" t="n"/>
      <c r="Q435" s="80" t="n"/>
      <c r="R435" s="80" t="n"/>
      <c r="S435" s="80" t="n"/>
      <c r="T435" s="80" t="n"/>
      <c r="U435" s="80" t="n"/>
      <c r="V435" s="80" t="n"/>
      <c r="W435" s="80" t="n"/>
      <c r="X435" s="80" t="n"/>
      <c r="Y435" s="80" t="n"/>
      <c r="Z435" s="80" t="n"/>
      <c r="AA435" s="80" t="n"/>
      <c r="AB435" s="80" t="n"/>
      <c r="AC435" s="80" t="n"/>
      <c r="AD435" s="80" t="n"/>
      <c r="AE435" s="80" t="n"/>
      <c r="AF435" s="80" t="n"/>
      <c r="AG435" s="80" t="n"/>
      <c r="AH435" s="80" t="n"/>
      <c r="AI435" s="80" t="n"/>
      <c r="AJ435" s="80" t="n"/>
      <c r="AK435" s="80" t="n"/>
      <c r="AL435" s="80" t="n"/>
      <c r="AM435" s="80" t="n"/>
      <c r="AN435" s="80" t="n"/>
      <c r="AO435" s="80" t="n"/>
      <c r="AP435" s="80" t="n"/>
      <c r="AQ435" s="80" t="n"/>
      <c r="AR435" s="80" t="n"/>
    </row>
    <row r="436">
      <c r="A436" s="2">
        <f>IF($A429="","","   projections")</f>
        <v/>
      </c>
      <c r="B436" s="41">
        <f>IF($A429="",0,COUNT($E437:$AR437))</f>
        <v/>
      </c>
      <c r="C436" s="81">
        <f>IF($B436=0,0,MAX($E437:$AR437))</f>
        <v/>
      </c>
      <c r="D436" s="82">
        <f>BDS($A429,'Field Check'!$C$6,"headers=y","startcol=1","endcol=7","dir=h")</f>
        <v/>
      </c>
      <c r="E436" s="83" t="n"/>
      <c r="F436" s="83" t="n"/>
      <c r="G436" s="83" t="n"/>
      <c r="H436" s="83" t="n"/>
      <c r="I436" s="83" t="n"/>
      <c r="J436" s="83" t="n"/>
      <c r="K436" s="83" t="n"/>
      <c r="L436" s="83" t="n"/>
      <c r="M436" s="83" t="n"/>
      <c r="N436" s="83" t="n"/>
      <c r="O436" s="83" t="n"/>
      <c r="P436" s="83" t="n"/>
      <c r="Q436" s="83" t="n"/>
      <c r="R436" s="83" t="n"/>
      <c r="S436" s="83" t="n"/>
      <c r="T436" s="83" t="n"/>
      <c r="U436" s="83" t="n"/>
      <c r="V436" s="83" t="n"/>
      <c r="W436" s="83" t="n"/>
      <c r="X436" s="83" t="n"/>
      <c r="Y436" s="83" t="n"/>
      <c r="Z436" s="83" t="n"/>
      <c r="AA436" s="83" t="n"/>
      <c r="AB436" s="83" t="n"/>
      <c r="AC436" s="83" t="n"/>
      <c r="AD436" s="83" t="n"/>
      <c r="AE436" s="83" t="n"/>
      <c r="AF436" s="83" t="n"/>
      <c r="AG436" s="83" t="n"/>
      <c r="AH436" s="83" t="n"/>
      <c r="AI436" s="83" t="n"/>
      <c r="AJ436" s="83" t="n"/>
      <c r="AK436" s="83" t="n"/>
      <c r="AL436" s="83" t="n"/>
      <c r="AM436" s="83" t="n"/>
      <c r="AN436" s="83" t="n"/>
      <c r="AO436" s="83" t="n"/>
      <c r="AP436" s="83" t="n"/>
      <c r="AQ436" s="83" t="n"/>
      <c r="AR436" s="83" t="n"/>
    </row>
    <row r="437">
      <c r="D437" s="83" t="n"/>
      <c r="E437" s="83" t="n"/>
      <c r="F437" s="83" t="n"/>
      <c r="G437" s="83" t="n"/>
      <c r="H437" s="83" t="n"/>
      <c r="I437" s="83" t="n"/>
      <c r="J437" s="83" t="n"/>
      <c r="K437" s="83" t="n"/>
      <c r="L437" s="83" t="n"/>
      <c r="M437" s="83" t="n"/>
      <c r="N437" s="83" t="n"/>
      <c r="O437" s="83" t="n"/>
      <c r="P437" s="83" t="n"/>
      <c r="Q437" s="83" t="n"/>
      <c r="R437" s="83" t="n"/>
      <c r="S437" s="83" t="n"/>
      <c r="T437" s="83" t="n"/>
      <c r="U437" s="83" t="n"/>
      <c r="V437" s="83" t="n"/>
      <c r="W437" s="83" t="n"/>
      <c r="X437" s="83" t="n"/>
      <c r="Y437" s="83" t="n"/>
      <c r="Z437" s="83" t="n"/>
      <c r="AA437" s="83" t="n"/>
      <c r="AB437" s="83" t="n"/>
      <c r="AC437" s="83" t="n"/>
      <c r="AD437" s="83" t="n"/>
      <c r="AE437" s="83" t="n"/>
      <c r="AF437" s="83" t="n"/>
      <c r="AG437" s="83" t="n"/>
      <c r="AH437" s="83" t="n"/>
      <c r="AI437" s="83" t="n"/>
      <c r="AJ437" s="83" t="n"/>
      <c r="AK437" s="83" t="n"/>
      <c r="AL437" s="83" t="n"/>
      <c r="AM437" s="83" t="n"/>
      <c r="AN437" s="83" t="n"/>
      <c r="AO437" s="83" t="n"/>
      <c r="AP437" s="83" t="n"/>
      <c r="AQ437" s="83" t="n"/>
      <c r="AR437" s="83" t="n"/>
    </row>
    <row r="438">
      <c r="D438" s="84" t="n"/>
      <c r="E438" s="84" t="n"/>
      <c r="F438" s="84" t="n"/>
      <c r="G438" s="84" t="n"/>
      <c r="H438" s="84" t="n"/>
      <c r="I438" s="84" t="n"/>
      <c r="J438" s="84" t="n"/>
      <c r="K438" s="84" t="n"/>
      <c r="L438" s="84" t="n"/>
      <c r="M438" s="84" t="n"/>
      <c r="N438" s="84" t="n"/>
      <c r="O438" s="84" t="n"/>
      <c r="P438" s="84" t="n"/>
      <c r="Q438" s="84" t="n"/>
      <c r="R438" s="84" t="n"/>
      <c r="S438" s="84" t="n"/>
      <c r="T438" s="84" t="n"/>
      <c r="U438" s="84" t="n"/>
      <c r="V438" s="84" t="n"/>
      <c r="W438" s="84" t="n"/>
      <c r="X438" s="84" t="n"/>
      <c r="Y438" s="84" t="n"/>
      <c r="Z438" s="84" t="n"/>
      <c r="AA438" s="84" t="n"/>
      <c r="AB438" s="84" t="n"/>
      <c r="AC438" s="84" t="n"/>
      <c r="AD438" s="84" t="n"/>
      <c r="AE438" s="84" t="n"/>
      <c r="AF438" s="84" t="n"/>
      <c r="AG438" s="84" t="n"/>
      <c r="AH438" s="84" t="n"/>
      <c r="AI438" s="84" t="n"/>
      <c r="AJ438" s="84" t="n"/>
      <c r="AK438" s="84" t="n"/>
      <c r="AL438" s="84" t="n"/>
      <c r="AM438" s="84" t="n"/>
      <c r="AN438" s="84" t="n"/>
      <c r="AO438" s="84" t="n"/>
      <c r="AP438" s="84" t="n"/>
      <c r="AQ438" s="84" t="n"/>
      <c r="AR438" s="84" t="n"/>
    </row>
    <row r="439">
      <c r="D439" s="80" t="n"/>
      <c r="E439" s="80" t="n"/>
      <c r="F439" s="80" t="n"/>
      <c r="G439" s="80" t="n"/>
      <c r="H439" s="80" t="n"/>
      <c r="I439" s="80" t="n"/>
      <c r="J439" s="80" t="n"/>
      <c r="K439" s="80" t="n"/>
      <c r="L439" s="80" t="n"/>
      <c r="M439" s="80" t="n"/>
      <c r="N439" s="80" t="n"/>
      <c r="O439" s="80" t="n"/>
      <c r="P439" s="80" t="n"/>
      <c r="Q439" s="80" t="n"/>
      <c r="R439" s="80" t="n"/>
      <c r="S439" s="80" t="n"/>
      <c r="T439" s="80" t="n"/>
      <c r="U439" s="80" t="n"/>
      <c r="V439" s="80" t="n"/>
      <c r="W439" s="80" t="n"/>
      <c r="X439" s="80" t="n"/>
      <c r="Y439" s="80" t="n"/>
      <c r="Z439" s="80" t="n"/>
      <c r="AA439" s="80" t="n"/>
      <c r="AB439" s="80" t="n"/>
      <c r="AC439" s="80" t="n"/>
      <c r="AD439" s="80" t="n"/>
      <c r="AE439" s="80" t="n"/>
      <c r="AF439" s="80" t="n"/>
      <c r="AG439" s="80" t="n"/>
      <c r="AH439" s="80" t="n"/>
      <c r="AI439" s="80" t="n"/>
      <c r="AJ439" s="80" t="n"/>
      <c r="AK439" s="80" t="n"/>
      <c r="AL439" s="80" t="n"/>
      <c r="AM439" s="80" t="n"/>
      <c r="AN439" s="80" t="n"/>
      <c r="AO439" s="80" t="n"/>
      <c r="AP439" s="80" t="n"/>
      <c r="AQ439" s="80" t="n"/>
      <c r="AR439" s="80" t="n"/>
    </row>
    <row r="440">
      <c r="D440" s="80" t="n"/>
      <c r="E440" s="80" t="n"/>
      <c r="F440" s="80" t="n"/>
      <c r="G440" s="80" t="n"/>
      <c r="H440" s="80" t="n"/>
      <c r="I440" s="80" t="n"/>
      <c r="J440" s="80" t="n"/>
      <c r="K440" s="80" t="n"/>
      <c r="L440" s="80" t="n"/>
      <c r="M440" s="80" t="n"/>
      <c r="N440" s="80" t="n"/>
      <c r="O440" s="80" t="n"/>
      <c r="P440" s="80" t="n"/>
      <c r="Q440" s="80" t="n"/>
      <c r="R440" s="80" t="n"/>
      <c r="S440" s="80" t="n"/>
      <c r="T440" s="80" t="n"/>
      <c r="U440" s="80" t="n"/>
      <c r="V440" s="80" t="n"/>
      <c r="W440" s="80" t="n"/>
      <c r="X440" s="80" t="n"/>
      <c r="Y440" s="80" t="n"/>
      <c r="Z440" s="80" t="n"/>
      <c r="AA440" s="80" t="n"/>
      <c r="AB440" s="80" t="n"/>
      <c r="AC440" s="80" t="n"/>
      <c r="AD440" s="80" t="n"/>
      <c r="AE440" s="80" t="n"/>
      <c r="AF440" s="80" t="n"/>
      <c r="AG440" s="80" t="n"/>
      <c r="AH440" s="80" t="n"/>
      <c r="AI440" s="80" t="n"/>
      <c r="AJ440" s="80" t="n"/>
      <c r="AK440" s="80" t="n"/>
      <c r="AL440" s="80" t="n"/>
      <c r="AM440" s="80" t="n"/>
      <c r="AN440" s="80" t="n"/>
      <c r="AO440" s="80" t="n"/>
      <c r="AP440" s="80" t="n"/>
      <c r="AQ440" s="80" t="n"/>
      <c r="AR440" s="80" t="n"/>
    </row>
    <row r="441">
      <c r="D441" s="80" t="n"/>
      <c r="E441" s="80" t="n"/>
      <c r="F441" s="80" t="n"/>
      <c r="G441" s="80" t="n"/>
      <c r="H441" s="80" t="n"/>
      <c r="I441" s="80" t="n"/>
      <c r="J441" s="80" t="n"/>
      <c r="K441" s="80" t="n"/>
      <c r="L441" s="80" t="n"/>
      <c r="M441" s="80" t="n"/>
      <c r="N441" s="80" t="n"/>
      <c r="O441" s="80" t="n"/>
      <c r="P441" s="80" t="n"/>
      <c r="Q441" s="80" t="n"/>
      <c r="R441" s="80" t="n"/>
      <c r="S441" s="80" t="n"/>
      <c r="T441" s="80" t="n"/>
      <c r="U441" s="80" t="n"/>
      <c r="V441" s="80" t="n"/>
      <c r="W441" s="80" t="n"/>
      <c r="X441" s="80" t="n"/>
      <c r="Y441" s="80" t="n"/>
      <c r="Z441" s="80" t="n"/>
      <c r="AA441" s="80" t="n"/>
      <c r="AB441" s="80" t="n"/>
      <c r="AC441" s="80" t="n"/>
      <c r="AD441" s="80" t="n"/>
      <c r="AE441" s="80" t="n"/>
      <c r="AF441" s="80" t="n"/>
      <c r="AG441" s="80" t="n"/>
      <c r="AH441" s="80" t="n"/>
      <c r="AI441" s="80" t="n"/>
      <c r="AJ441" s="80" t="n"/>
      <c r="AK441" s="80" t="n"/>
      <c r="AL441" s="80" t="n"/>
      <c r="AM441" s="80" t="n"/>
      <c r="AN441" s="80" t="n"/>
      <c r="AO441" s="80" t="n"/>
      <c r="AP441" s="80" t="n"/>
      <c r="AQ441" s="80" t="n"/>
      <c r="AR441" s="80" t="n"/>
    </row>
    <row r="442">
      <c r="D442" s="80" t="n"/>
      <c r="E442" s="80" t="n"/>
      <c r="F442" s="80" t="n"/>
      <c r="G442" s="80" t="n"/>
      <c r="H442" s="80" t="n"/>
      <c r="I442" s="80" t="n"/>
      <c r="J442" s="80" t="n"/>
      <c r="K442" s="80" t="n"/>
      <c r="L442" s="80" t="n"/>
      <c r="M442" s="80" t="n"/>
      <c r="N442" s="80" t="n"/>
      <c r="O442" s="80" t="n"/>
      <c r="P442" s="80" t="n"/>
      <c r="Q442" s="80" t="n"/>
      <c r="R442" s="80" t="n"/>
      <c r="S442" s="80" t="n"/>
      <c r="T442" s="80" t="n"/>
      <c r="U442" s="80" t="n"/>
      <c r="V442" s="80" t="n"/>
      <c r="W442" s="80" t="n"/>
      <c r="X442" s="80" t="n"/>
      <c r="Y442" s="80" t="n"/>
      <c r="Z442" s="80" t="n"/>
      <c r="AA442" s="80" t="n"/>
      <c r="AB442" s="80" t="n"/>
      <c r="AC442" s="80" t="n"/>
      <c r="AD442" s="80" t="n"/>
      <c r="AE442" s="80" t="n"/>
      <c r="AF442" s="80" t="n"/>
      <c r="AG442" s="80" t="n"/>
      <c r="AH442" s="80" t="n"/>
      <c r="AI442" s="80" t="n"/>
      <c r="AJ442" s="80" t="n"/>
      <c r="AK442" s="80" t="n"/>
      <c r="AL442" s="80" t="n"/>
      <c r="AM442" s="80" t="n"/>
      <c r="AN442" s="80" t="n"/>
      <c r="AO442" s="80" t="n"/>
      <c r="AP442" s="80" t="n"/>
      <c r="AQ442" s="80" t="n"/>
      <c r="AR442" s="80" t="n"/>
    </row>
    <row r="444">
      <c r="A444" s="6">
        <f>IF(HSI!$C$36="","",HSI!$C$36)</f>
        <v/>
      </c>
      <c r="B444" s="41">
        <f>IF($A444="",0,COUNT($E445:$AR445))</f>
        <v/>
      </c>
      <c r="C444" s="81">
        <f>IF($B444=0,0,MAX($E445:$AR445))</f>
        <v/>
      </c>
      <c r="D444" s="82">
        <f>BDS($A444,'Field Check'!$C$7,"headers=y","startcol=1","endcol=7","dir=h","DVD_START_DT",Summary!$C$18,"DVD_END_DT",Summary!$D$18)</f>
        <v/>
      </c>
      <c r="E444" s="83" t="n"/>
      <c r="F444" s="83" t="n"/>
      <c r="G444" s="83" t="n"/>
      <c r="H444" s="83" t="n"/>
      <c r="I444" s="83" t="n"/>
      <c r="J444" s="83" t="n"/>
      <c r="K444" s="83" t="n"/>
      <c r="L444" s="83" t="n"/>
      <c r="M444" s="83" t="n"/>
      <c r="N444" s="83" t="n"/>
      <c r="O444" s="83" t="n"/>
      <c r="P444" s="83" t="n"/>
      <c r="Q444" s="83" t="n"/>
      <c r="R444" s="83" t="n"/>
      <c r="S444" s="83" t="n"/>
      <c r="T444" s="83" t="n"/>
      <c r="U444" s="83" t="n"/>
      <c r="V444" s="83" t="n"/>
      <c r="W444" s="83" t="n"/>
      <c r="X444" s="83" t="n"/>
      <c r="Y444" s="83" t="n"/>
      <c r="Z444" s="83" t="n"/>
      <c r="AA444" s="83" t="n"/>
      <c r="AB444" s="83" t="n"/>
      <c r="AC444" s="83" t="n"/>
      <c r="AD444" s="83" t="n"/>
      <c r="AE444" s="83" t="n"/>
      <c r="AF444" s="83" t="n"/>
      <c r="AG444" s="83" t="n"/>
      <c r="AH444" s="83" t="n"/>
      <c r="AI444" s="83" t="n"/>
      <c r="AJ444" s="83" t="n"/>
      <c r="AK444" s="83" t="n"/>
      <c r="AL444" s="83" t="n"/>
      <c r="AM444" s="83" t="n"/>
      <c r="AN444" s="83" t="n"/>
      <c r="AO444" s="83" t="n"/>
      <c r="AP444" s="83" t="n"/>
      <c r="AQ444" s="83" t="n"/>
      <c r="AR444" s="83" t="n"/>
    </row>
    <row r="445">
      <c r="D445" s="83" t="n"/>
      <c r="E445" s="83" t="n"/>
      <c r="F445" s="83" t="n"/>
      <c r="G445" s="83" t="n"/>
      <c r="H445" s="83" t="n"/>
      <c r="I445" s="83" t="n"/>
      <c r="J445" s="83" t="n"/>
      <c r="K445" s="83" t="n"/>
      <c r="L445" s="83" t="n"/>
      <c r="M445" s="83" t="n"/>
      <c r="N445" s="83" t="n"/>
      <c r="O445" s="83" t="n"/>
      <c r="P445" s="83" t="n"/>
      <c r="Q445" s="83" t="n"/>
      <c r="R445" s="83" t="n"/>
      <c r="S445" s="83" t="n"/>
      <c r="T445" s="83" t="n"/>
      <c r="U445" s="83" t="n"/>
      <c r="V445" s="83" t="n"/>
      <c r="W445" s="83" t="n"/>
      <c r="X445" s="83" t="n"/>
      <c r="Y445" s="83" t="n"/>
      <c r="Z445" s="83" t="n"/>
      <c r="AA445" s="83" t="n"/>
      <c r="AB445" s="83" t="n"/>
      <c r="AC445" s="83" t="n"/>
      <c r="AD445" s="83" t="n"/>
      <c r="AE445" s="83" t="n"/>
      <c r="AF445" s="83" t="n"/>
      <c r="AG445" s="83" t="n"/>
      <c r="AH445" s="83" t="n"/>
      <c r="AI445" s="83" t="n"/>
      <c r="AJ445" s="83" t="n"/>
      <c r="AK445" s="83" t="n"/>
      <c r="AL445" s="83" t="n"/>
      <c r="AM445" s="83" t="n"/>
      <c r="AN445" s="83" t="n"/>
      <c r="AO445" s="83" t="n"/>
      <c r="AP445" s="83" t="n"/>
      <c r="AQ445" s="83" t="n"/>
      <c r="AR445" s="83" t="n"/>
    </row>
    <row r="446">
      <c r="D446" s="84" t="n"/>
      <c r="E446" s="84" t="n"/>
      <c r="F446" s="84" t="n"/>
      <c r="G446" s="84" t="n"/>
      <c r="H446" s="84" t="n"/>
      <c r="I446" s="84" t="n"/>
      <c r="J446" s="84" t="n"/>
      <c r="K446" s="84" t="n"/>
      <c r="L446" s="84" t="n"/>
      <c r="M446" s="84" t="n"/>
      <c r="N446" s="84" t="n"/>
      <c r="O446" s="84" t="n"/>
      <c r="P446" s="84" t="n"/>
      <c r="Q446" s="84" t="n"/>
      <c r="R446" s="84" t="n"/>
      <c r="S446" s="84" t="n"/>
      <c r="T446" s="84" t="n"/>
      <c r="U446" s="84" t="n"/>
      <c r="V446" s="84" t="n"/>
      <c r="W446" s="84" t="n"/>
      <c r="X446" s="84" t="n"/>
      <c r="Y446" s="84" t="n"/>
      <c r="Z446" s="84" t="n"/>
      <c r="AA446" s="84" t="n"/>
      <c r="AB446" s="84" t="n"/>
      <c r="AC446" s="84" t="n"/>
      <c r="AD446" s="84" t="n"/>
      <c r="AE446" s="84" t="n"/>
      <c r="AF446" s="84" t="n"/>
      <c r="AG446" s="84" t="n"/>
      <c r="AH446" s="84" t="n"/>
      <c r="AI446" s="84" t="n"/>
      <c r="AJ446" s="84" t="n"/>
      <c r="AK446" s="84" t="n"/>
      <c r="AL446" s="84" t="n"/>
      <c r="AM446" s="84" t="n"/>
      <c r="AN446" s="84" t="n"/>
      <c r="AO446" s="84" t="n"/>
      <c r="AP446" s="84" t="n"/>
      <c r="AQ446" s="84" t="n"/>
      <c r="AR446" s="84" t="n"/>
    </row>
    <row r="447">
      <c r="D447" s="80" t="n"/>
      <c r="E447" s="80" t="n"/>
      <c r="F447" s="80" t="n"/>
      <c r="G447" s="80" t="n"/>
      <c r="H447" s="80" t="n"/>
      <c r="I447" s="80" t="n"/>
      <c r="J447" s="80" t="n"/>
      <c r="K447" s="80" t="n"/>
      <c r="L447" s="80" t="n"/>
      <c r="M447" s="80" t="n"/>
      <c r="N447" s="80" t="n"/>
      <c r="O447" s="80" t="n"/>
      <c r="P447" s="80" t="n"/>
      <c r="Q447" s="80" t="n"/>
      <c r="R447" s="80" t="n"/>
      <c r="S447" s="80" t="n"/>
      <c r="T447" s="80" t="n"/>
      <c r="U447" s="80" t="n"/>
      <c r="V447" s="80" t="n"/>
      <c r="W447" s="80" t="n"/>
      <c r="X447" s="80" t="n"/>
      <c r="Y447" s="80" t="n"/>
      <c r="Z447" s="80" t="n"/>
      <c r="AA447" s="80" t="n"/>
      <c r="AB447" s="80" t="n"/>
      <c r="AC447" s="80" t="n"/>
      <c r="AD447" s="80" t="n"/>
      <c r="AE447" s="80" t="n"/>
      <c r="AF447" s="80" t="n"/>
      <c r="AG447" s="80" t="n"/>
      <c r="AH447" s="80" t="n"/>
      <c r="AI447" s="80" t="n"/>
      <c r="AJ447" s="80" t="n"/>
      <c r="AK447" s="80" t="n"/>
      <c r="AL447" s="80" t="n"/>
      <c r="AM447" s="80" t="n"/>
      <c r="AN447" s="80" t="n"/>
      <c r="AO447" s="80" t="n"/>
      <c r="AP447" s="80" t="n"/>
      <c r="AQ447" s="80" t="n"/>
      <c r="AR447" s="80" t="n"/>
    </row>
    <row r="448">
      <c r="D448" s="80" t="n"/>
      <c r="E448" s="80" t="n"/>
      <c r="F448" s="80" t="n"/>
      <c r="G448" s="80" t="n"/>
      <c r="H448" s="80" t="n"/>
      <c r="I448" s="80" t="n"/>
      <c r="J448" s="80" t="n"/>
      <c r="K448" s="80" t="n"/>
      <c r="L448" s="80" t="n"/>
      <c r="M448" s="80" t="n"/>
      <c r="N448" s="80" t="n"/>
      <c r="O448" s="80" t="n"/>
      <c r="P448" s="80" t="n"/>
      <c r="Q448" s="80" t="n"/>
      <c r="R448" s="80" t="n"/>
      <c r="S448" s="80" t="n"/>
      <c r="T448" s="80" t="n"/>
      <c r="U448" s="80" t="n"/>
      <c r="V448" s="80" t="n"/>
      <c r="W448" s="80" t="n"/>
      <c r="X448" s="80" t="n"/>
      <c r="Y448" s="80" t="n"/>
      <c r="Z448" s="80" t="n"/>
      <c r="AA448" s="80" t="n"/>
      <c r="AB448" s="80" t="n"/>
      <c r="AC448" s="80" t="n"/>
      <c r="AD448" s="80" t="n"/>
      <c r="AE448" s="80" t="n"/>
      <c r="AF448" s="80" t="n"/>
      <c r="AG448" s="80" t="n"/>
      <c r="AH448" s="80" t="n"/>
      <c r="AI448" s="80" t="n"/>
      <c r="AJ448" s="80" t="n"/>
      <c r="AK448" s="80" t="n"/>
      <c r="AL448" s="80" t="n"/>
      <c r="AM448" s="80" t="n"/>
      <c r="AN448" s="80" t="n"/>
      <c r="AO448" s="80" t="n"/>
      <c r="AP448" s="80" t="n"/>
      <c r="AQ448" s="80" t="n"/>
      <c r="AR448" s="80" t="n"/>
    </row>
    <row r="449">
      <c r="D449" s="80" t="n"/>
      <c r="E449" s="80" t="n"/>
      <c r="F449" s="80" t="n"/>
      <c r="G449" s="80" t="n"/>
      <c r="H449" s="80" t="n"/>
      <c r="I449" s="80" t="n"/>
      <c r="J449" s="80" t="n"/>
      <c r="K449" s="80" t="n"/>
      <c r="L449" s="80" t="n"/>
      <c r="M449" s="80" t="n"/>
      <c r="N449" s="80" t="n"/>
      <c r="O449" s="80" t="n"/>
      <c r="P449" s="80" t="n"/>
      <c r="Q449" s="80" t="n"/>
      <c r="R449" s="80" t="n"/>
      <c r="S449" s="80" t="n"/>
      <c r="T449" s="80" t="n"/>
      <c r="U449" s="80" t="n"/>
      <c r="V449" s="80" t="n"/>
      <c r="W449" s="80" t="n"/>
      <c r="X449" s="80" t="n"/>
      <c r="Y449" s="80" t="n"/>
      <c r="Z449" s="80" t="n"/>
      <c r="AA449" s="80" t="n"/>
      <c r="AB449" s="80" t="n"/>
      <c r="AC449" s="80" t="n"/>
      <c r="AD449" s="80" t="n"/>
      <c r="AE449" s="80" t="n"/>
      <c r="AF449" s="80" t="n"/>
      <c r="AG449" s="80" t="n"/>
      <c r="AH449" s="80" t="n"/>
      <c r="AI449" s="80" t="n"/>
      <c r="AJ449" s="80" t="n"/>
      <c r="AK449" s="80" t="n"/>
      <c r="AL449" s="80" t="n"/>
      <c r="AM449" s="80" t="n"/>
      <c r="AN449" s="80" t="n"/>
      <c r="AO449" s="80" t="n"/>
      <c r="AP449" s="80" t="n"/>
      <c r="AQ449" s="80" t="n"/>
      <c r="AR449" s="80" t="n"/>
    </row>
    <row r="450">
      <c r="D450" s="80" t="n"/>
      <c r="E450" s="80" t="n"/>
      <c r="F450" s="80" t="n"/>
      <c r="G450" s="80" t="n"/>
      <c r="H450" s="80" t="n"/>
      <c r="I450" s="80" t="n"/>
      <c r="J450" s="80" t="n"/>
      <c r="K450" s="80" t="n"/>
      <c r="L450" s="80" t="n"/>
      <c r="M450" s="80" t="n"/>
      <c r="N450" s="80" t="n"/>
      <c r="O450" s="80" t="n"/>
      <c r="P450" s="80" t="n"/>
      <c r="Q450" s="80" t="n"/>
      <c r="R450" s="80" t="n"/>
      <c r="S450" s="80" t="n"/>
      <c r="T450" s="80" t="n"/>
      <c r="U450" s="80" t="n"/>
      <c r="V450" s="80" t="n"/>
      <c r="W450" s="80" t="n"/>
      <c r="X450" s="80" t="n"/>
      <c r="Y450" s="80" t="n"/>
      <c r="Z450" s="80" t="n"/>
      <c r="AA450" s="80" t="n"/>
      <c r="AB450" s="80" t="n"/>
      <c r="AC450" s="80" t="n"/>
      <c r="AD450" s="80" t="n"/>
      <c r="AE450" s="80" t="n"/>
      <c r="AF450" s="80" t="n"/>
      <c r="AG450" s="80" t="n"/>
      <c r="AH450" s="80" t="n"/>
      <c r="AI450" s="80" t="n"/>
      <c r="AJ450" s="80" t="n"/>
      <c r="AK450" s="80" t="n"/>
      <c r="AL450" s="80" t="n"/>
      <c r="AM450" s="80" t="n"/>
      <c r="AN450" s="80" t="n"/>
      <c r="AO450" s="80" t="n"/>
      <c r="AP450" s="80" t="n"/>
      <c r="AQ450" s="80" t="n"/>
      <c r="AR450" s="80" t="n"/>
    </row>
    <row r="451">
      <c r="A451" s="2">
        <f>IF($A444="","","   projections")</f>
        <v/>
      </c>
      <c r="B451" s="41">
        <f>IF($A444="",0,COUNT($E452:$AR452))</f>
        <v/>
      </c>
      <c r="C451" s="81">
        <f>IF($B451=0,0,MAX($E452:$AR452))</f>
        <v/>
      </c>
      <c r="D451" s="82">
        <f>BDS($A444,'Field Check'!$C$6,"headers=y","startcol=1","endcol=7","dir=h")</f>
        <v/>
      </c>
      <c r="E451" s="83" t="n"/>
      <c r="F451" s="83" t="n"/>
      <c r="G451" s="83" t="n"/>
      <c r="H451" s="83" t="n"/>
      <c r="I451" s="83" t="n"/>
      <c r="J451" s="83" t="n"/>
      <c r="K451" s="83" t="n"/>
      <c r="L451" s="83" t="n"/>
      <c r="M451" s="83" t="n"/>
      <c r="N451" s="83" t="n"/>
      <c r="O451" s="83" t="n"/>
      <c r="P451" s="83" t="n"/>
      <c r="Q451" s="83" t="n"/>
      <c r="R451" s="83" t="n"/>
      <c r="S451" s="83" t="n"/>
      <c r="T451" s="83" t="n"/>
      <c r="U451" s="83" t="n"/>
      <c r="V451" s="83" t="n"/>
      <c r="W451" s="83" t="n"/>
      <c r="X451" s="83" t="n"/>
      <c r="Y451" s="83" t="n"/>
      <c r="Z451" s="83" t="n"/>
      <c r="AA451" s="83" t="n"/>
      <c r="AB451" s="83" t="n"/>
      <c r="AC451" s="83" t="n"/>
      <c r="AD451" s="83" t="n"/>
      <c r="AE451" s="83" t="n"/>
      <c r="AF451" s="83" t="n"/>
      <c r="AG451" s="83" t="n"/>
      <c r="AH451" s="83" t="n"/>
      <c r="AI451" s="83" t="n"/>
      <c r="AJ451" s="83" t="n"/>
      <c r="AK451" s="83" t="n"/>
      <c r="AL451" s="83" t="n"/>
      <c r="AM451" s="83" t="n"/>
      <c r="AN451" s="83" t="n"/>
      <c r="AO451" s="83" t="n"/>
      <c r="AP451" s="83" t="n"/>
      <c r="AQ451" s="83" t="n"/>
      <c r="AR451" s="83" t="n"/>
    </row>
    <row r="452">
      <c r="D452" s="83" t="n"/>
      <c r="E452" s="83" t="n"/>
      <c r="F452" s="83" t="n"/>
      <c r="G452" s="83" t="n"/>
      <c r="H452" s="83" t="n"/>
      <c r="I452" s="83" t="n"/>
      <c r="J452" s="83" t="n"/>
      <c r="K452" s="83" t="n"/>
      <c r="L452" s="83" t="n"/>
      <c r="M452" s="83" t="n"/>
      <c r="N452" s="83" t="n"/>
      <c r="O452" s="83" t="n"/>
      <c r="P452" s="83" t="n"/>
      <c r="Q452" s="83" t="n"/>
      <c r="R452" s="83" t="n"/>
      <c r="S452" s="83" t="n"/>
      <c r="T452" s="83" t="n"/>
      <c r="U452" s="83" t="n"/>
      <c r="V452" s="83" t="n"/>
      <c r="W452" s="83" t="n"/>
      <c r="X452" s="83" t="n"/>
      <c r="Y452" s="83" t="n"/>
      <c r="Z452" s="83" t="n"/>
      <c r="AA452" s="83" t="n"/>
      <c r="AB452" s="83" t="n"/>
      <c r="AC452" s="83" t="n"/>
      <c r="AD452" s="83" t="n"/>
      <c r="AE452" s="83" t="n"/>
      <c r="AF452" s="83" t="n"/>
      <c r="AG452" s="83" t="n"/>
      <c r="AH452" s="83" t="n"/>
      <c r="AI452" s="83" t="n"/>
      <c r="AJ452" s="83" t="n"/>
      <c r="AK452" s="83" t="n"/>
      <c r="AL452" s="83" t="n"/>
      <c r="AM452" s="83" t="n"/>
      <c r="AN452" s="83" t="n"/>
      <c r="AO452" s="83" t="n"/>
      <c r="AP452" s="83" t="n"/>
      <c r="AQ452" s="83" t="n"/>
      <c r="AR452" s="83" t="n"/>
    </row>
    <row r="453">
      <c r="D453" s="84" t="n"/>
      <c r="E453" s="84" t="n"/>
      <c r="F453" s="84" t="n"/>
      <c r="G453" s="84" t="n"/>
      <c r="H453" s="84" t="n"/>
      <c r="I453" s="84" t="n"/>
      <c r="J453" s="84" t="n"/>
      <c r="K453" s="84" t="n"/>
      <c r="L453" s="84" t="n"/>
      <c r="M453" s="84" t="n"/>
      <c r="N453" s="84" t="n"/>
      <c r="O453" s="84" t="n"/>
      <c r="P453" s="84" t="n"/>
      <c r="Q453" s="84" t="n"/>
      <c r="R453" s="84" t="n"/>
      <c r="S453" s="84" t="n"/>
      <c r="T453" s="84" t="n"/>
      <c r="U453" s="84" t="n"/>
      <c r="V453" s="84" t="n"/>
      <c r="W453" s="84" t="n"/>
      <c r="X453" s="84" t="n"/>
      <c r="Y453" s="84" t="n"/>
      <c r="Z453" s="84" t="n"/>
      <c r="AA453" s="84" t="n"/>
      <c r="AB453" s="84" t="n"/>
      <c r="AC453" s="84" t="n"/>
      <c r="AD453" s="84" t="n"/>
      <c r="AE453" s="84" t="n"/>
      <c r="AF453" s="84" t="n"/>
      <c r="AG453" s="84" t="n"/>
      <c r="AH453" s="84" t="n"/>
      <c r="AI453" s="84" t="n"/>
      <c r="AJ453" s="84" t="n"/>
      <c r="AK453" s="84" t="n"/>
      <c r="AL453" s="84" t="n"/>
      <c r="AM453" s="84" t="n"/>
      <c r="AN453" s="84" t="n"/>
      <c r="AO453" s="84" t="n"/>
      <c r="AP453" s="84" t="n"/>
      <c r="AQ453" s="84" t="n"/>
      <c r="AR453" s="84" t="n"/>
    </row>
    <row r="454">
      <c r="D454" s="80" t="n"/>
      <c r="E454" s="80" t="n"/>
      <c r="F454" s="80" t="n"/>
      <c r="G454" s="80" t="n"/>
      <c r="H454" s="80" t="n"/>
      <c r="I454" s="80" t="n"/>
      <c r="J454" s="80" t="n"/>
      <c r="K454" s="80" t="n"/>
      <c r="L454" s="80" t="n"/>
      <c r="M454" s="80" t="n"/>
      <c r="N454" s="80" t="n"/>
      <c r="O454" s="80" t="n"/>
      <c r="P454" s="80" t="n"/>
      <c r="Q454" s="80" t="n"/>
      <c r="R454" s="80" t="n"/>
      <c r="S454" s="80" t="n"/>
      <c r="T454" s="80" t="n"/>
      <c r="U454" s="80" t="n"/>
      <c r="V454" s="80" t="n"/>
      <c r="W454" s="80" t="n"/>
      <c r="X454" s="80" t="n"/>
      <c r="Y454" s="80" t="n"/>
      <c r="Z454" s="80" t="n"/>
      <c r="AA454" s="80" t="n"/>
      <c r="AB454" s="80" t="n"/>
      <c r="AC454" s="80" t="n"/>
      <c r="AD454" s="80" t="n"/>
      <c r="AE454" s="80" t="n"/>
      <c r="AF454" s="80" t="n"/>
      <c r="AG454" s="80" t="n"/>
      <c r="AH454" s="80" t="n"/>
      <c r="AI454" s="80" t="n"/>
      <c r="AJ454" s="80" t="n"/>
      <c r="AK454" s="80" t="n"/>
      <c r="AL454" s="80" t="n"/>
      <c r="AM454" s="80" t="n"/>
      <c r="AN454" s="80" t="n"/>
      <c r="AO454" s="80" t="n"/>
      <c r="AP454" s="80" t="n"/>
      <c r="AQ454" s="80" t="n"/>
      <c r="AR454" s="80" t="n"/>
    </row>
    <row r="455">
      <c r="D455" s="80" t="n"/>
      <c r="E455" s="80" t="n"/>
      <c r="F455" s="80" t="n"/>
      <c r="G455" s="80" t="n"/>
      <c r="H455" s="80" t="n"/>
      <c r="I455" s="80" t="n"/>
      <c r="J455" s="80" t="n"/>
      <c r="K455" s="80" t="n"/>
      <c r="L455" s="80" t="n"/>
      <c r="M455" s="80" t="n"/>
      <c r="N455" s="80" t="n"/>
      <c r="O455" s="80" t="n"/>
      <c r="P455" s="80" t="n"/>
      <c r="Q455" s="80" t="n"/>
      <c r="R455" s="80" t="n"/>
      <c r="S455" s="80" t="n"/>
      <c r="T455" s="80" t="n"/>
      <c r="U455" s="80" t="n"/>
      <c r="V455" s="80" t="n"/>
      <c r="W455" s="80" t="n"/>
      <c r="X455" s="80" t="n"/>
      <c r="Y455" s="80" t="n"/>
      <c r="Z455" s="80" t="n"/>
      <c r="AA455" s="80" t="n"/>
      <c r="AB455" s="80" t="n"/>
      <c r="AC455" s="80" t="n"/>
      <c r="AD455" s="80" t="n"/>
      <c r="AE455" s="80" t="n"/>
      <c r="AF455" s="80" t="n"/>
      <c r="AG455" s="80" t="n"/>
      <c r="AH455" s="80" t="n"/>
      <c r="AI455" s="80" t="n"/>
      <c r="AJ455" s="80" t="n"/>
      <c r="AK455" s="80" t="n"/>
      <c r="AL455" s="80" t="n"/>
      <c r="AM455" s="80" t="n"/>
      <c r="AN455" s="80" t="n"/>
      <c r="AO455" s="80" t="n"/>
      <c r="AP455" s="80" t="n"/>
      <c r="AQ455" s="80" t="n"/>
      <c r="AR455" s="80" t="n"/>
    </row>
    <row r="456">
      <c r="D456" s="80" t="n"/>
      <c r="E456" s="80" t="n"/>
      <c r="F456" s="80" t="n"/>
      <c r="G456" s="80" t="n"/>
      <c r="H456" s="80" t="n"/>
      <c r="I456" s="80" t="n"/>
      <c r="J456" s="80" t="n"/>
      <c r="K456" s="80" t="n"/>
      <c r="L456" s="80" t="n"/>
      <c r="M456" s="80" t="n"/>
      <c r="N456" s="80" t="n"/>
      <c r="O456" s="80" t="n"/>
      <c r="P456" s="80" t="n"/>
      <c r="Q456" s="80" t="n"/>
      <c r="R456" s="80" t="n"/>
      <c r="S456" s="80" t="n"/>
      <c r="T456" s="80" t="n"/>
      <c r="U456" s="80" t="n"/>
      <c r="V456" s="80" t="n"/>
      <c r="W456" s="80" t="n"/>
      <c r="X456" s="80" t="n"/>
      <c r="Y456" s="80" t="n"/>
      <c r="Z456" s="80" t="n"/>
      <c r="AA456" s="80" t="n"/>
      <c r="AB456" s="80" t="n"/>
      <c r="AC456" s="80" t="n"/>
      <c r="AD456" s="80" t="n"/>
      <c r="AE456" s="80" t="n"/>
      <c r="AF456" s="80" t="n"/>
      <c r="AG456" s="80" t="n"/>
      <c r="AH456" s="80" t="n"/>
      <c r="AI456" s="80" t="n"/>
      <c r="AJ456" s="80" t="n"/>
      <c r="AK456" s="80" t="n"/>
      <c r="AL456" s="80" t="n"/>
      <c r="AM456" s="80" t="n"/>
      <c r="AN456" s="80" t="n"/>
      <c r="AO456" s="80" t="n"/>
      <c r="AP456" s="80" t="n"/>
      <c r="AQ456" s="80" t="n"/>
      <c r="AR456" s="80" t="n"/>
    </row>
    <row r="457">
      <c r="D457" s="80" t="n"/>
      <c r="E457" s="80" t="n"/>
      <c r="F457" s="80" t="n"/>
      <c r="G457" s="80" t="n"/>
      <c r="H457" s="80" t="n"/>
      <c r="I457" s="80" t="n"/>
      <c r="J457" s="80" t="n"/>
      <c r="K457" s="80" t="n"/>
      <c r="L457" s="80" t="n"/>
      <c r="M457" s="80" t="n"/>
      <c r="N457" s="80" t="n"/>
      <c r="O457" s="80" t="n"/>
      <c r="P457" s="80" t="n"/>
      <c r="Q457" s="80" t="n"/>
      <c r="R457" s="80" t="n"/>
      <c r="S457" s="80" t="n"/>
      <c r="T457" s="80" t="n"/>
      <c r="U457" s="80" t="n"/>
      <c r="V457" s="80" t="n"/>
      <c r="W457" s="80" t="n"/>
      <c r="X457" s="80" t="n"/>
      <c r="Y457" s="80" t="n"/>
      <c r="Z457" s="80" t="n"/>
      <c r="AA457" s="80" t="n"/>
      <c r="AB457" s="80" t="n"/>
      <c r="AC457" s="80" t="n"/>
      <c r="AD457" s="80" t="n"/>
      <c r="AE457" s="80" t="n"/>
      <c r="AF457" s="80" t="n"/>
      <c r="AG457" s="80" t="n"/>
      <c r="AH457" s="80" t="n"/>
      <c r="AI457" s="80" t="n"/>
      <c r="AJ457" s="80" t="n"/>
      <c r="AK457" s="80" t="n"/>
      <c r="AL457" s="80" t="n"/>
      <c r="AM457" s="80" t="n"/>
      <c r="AN457" s="80" t="n"/>
      <c r="AO457" s="80" t="n"/>
      <c r="AP457" s="80" t="n"/>
      <c r="AQ457" s="80" t="n"/>
      <c r="AR457" s="80" t="n"/>
    </row>
    <row r="459">
      <c r="A459" s="6">
        <f>IF(HSI!$C$37="","",HSI!$C$37)</f>
        <v/>
      </c>
      <c r="B459" s="41">
        <f>IF($A459="",0,COUNT($E460:$AR460))</f>
        <v/>
      </c>
      <c r="C459" s="81">
        <f>IF($B459=0,0,MAX($E460:$AR460))</f>
        <v/>
      </c>
      <c r="D459" s="82">
        <f>BDS($A459,'Field Check'!$C$7,"headers=y","startcol=1","endcol=7","dir=h","DVD_START_DT",Summary!$C$18,"DVD_END_DT",Summary!$D$18)</f>
        <v/>
      </c>
      <c r="E459" s="83" t="n"/>
      <c r="F459" s="83" t="n"/>
      <c r="G459" s="83" t="n"/>
      <c r="H459" s="83" t="n"/>
      <c r="I459" s="83" t="n"/>
      <c r="J459" s="83" t="n"/>
      <c r="K459" s="83" t="n"/>
      <c r="L459" s="83" t="n"/>
      <c r="M459" s="83" t="n"/>
      <c r="N459" s="83" t="n"/>
      <c r="O459" s="83" t="n"/>
      <c r="P459" s="83" t="n"/>
      <c r="Q459" s="83" t="n"/>
      <c r="R459" s="83" t="n"/>
      <c r="S459" s="83" t="n"/>
      <c r="T459" s="83" t="n"/>
      <c r="U459" s="83" t="n"/>
      <c r="V459" s="83" t="n"/>
      <c r="W459" s="83" t="n"/>
      <c r="X459" s="83" t="n"/>
      <c r="Y459" s="83" t="n"/>
      <c r="Z459" s="83" t="n"/>
      <c r="AA459" s="83" t="n"/>
      <c r="AB459" s="83" t="n"/>
      <c r="AC459" s="83" t="n"/>
      <c r="AD459" s="83" t="n"/>
      <c r="AE459" s="83" t="n"/>
      <c r="AF459" s="83" t="n"/>
      <c r="AG459" s="83" t="n"/>
      <c r="AH459" s="83" t="n"/>
      <c r="AI459" s="83" t="n"/>
      <c r="AJ459" s="83" t="n"/>
      <c r="AK459" s="83" t="n"/>
      <c r="AL459" s="83" t="n"/>
      <c r="AM459" s="83" t="n"/>
      <c r="AN459" s="83" t="n"/>
      <c r="AO459" s="83" t="n"/>
      <c r="AP459" s="83" t="n"/>
      <c r="AQ459" s="83" t="n"/>
      <c r="AR459" s="83" t="n"/>
    </row>
    <row r="460">
      <c r="D460" s="83" t="n"/>
      <c r="E460" s="83" t="n"/>
      <c r="F460" s="83" t="n"/>
      <c r="G460" s="83" t="n"/>
      <c r="H460" s="83" t="n"/>
      <c r="I460" s="83" t="n"/>
      <c r="J460" s="83" t="n"/>
      <c r="K460" s="83" t="n"/>
      <c r="L460" s="83" t="n"/>
      <c r="M460" s="83" t="n"/>
      <c r="N460" s="83" t="n"/>
      <c r="O460" s="83" t="n"/>
      <c r="P460" s="83" t="n"/>
      <c r="Q460" s="83" t="n"/>
      <c r="R460" s="83" t="n"/>
      <c r="S460" s="83" t="n"/>
      <c r="T460" s="83" t="n"/>
      <c r="U460" s="83" t="n"/>
      <c r="V460" s="83" t="n"/>
      <c r="W460" s="83" t="n"/>
      <c r="X460" s="83" t="n"/>
      <c r="Y460" s="83" t="n"/>
      <c r="Z460" s="83" t="n"/>
      <c r="AA460" s="83" t="n"/>
      <c r="AB460" s="83" t="n"/>
      <c r="AC460" s="83" t="n"/>
      <c r="AD460" s="83" t="n"/>
      <c r="AE460" s="83" t="n"/>
      <c r="AF460" s="83" t="n"/>
      <c r="AG460" s="83" t="n"/>
      <c r="AH460" s="83" t="n"/>
      <c r="AI460" s="83" t="n"/>
      <c r="AJ460" s="83" t="n"/>
      <c r="AK460" s="83" t="n"/>
      <c r="AL460" s="83" t="n"/>
      <c r="AM460" s="83" t="n"/>
      <c r="AN460" s="83" t="n"/>
      <c r="AO460" s="83" t="n"/>
      <c r="AP460" s="83" t="n"/>
      <c r="AQ460" s="83" t="n"/>
      <c r="AR460" s="83" t="n"/>
    </row>
    <row r="461">
      <c r="D461" s="84" t="n"/>
      <c r="E461" s="84" t="n"/>
      <c r="F461" s="84" t="n"/>
      <c r="G461" s="84" t="n"/>
      <c r="H461" s="84" t="n"/>
      <c r="I461" s="84" t="n"/>
      <c r="J461" s="84" t="n"/>
      <c r="K461" s="84" t="n"/>
      <c r="L461" s="84" t="n"/>
      <c r="M461" s="84" t="n"/>
      <c r="N461" s="84" t="n"/>
      <c r="O461" s="84" t="n"/>
      <c r="P461" s="84" t="n"/>
      <c r="Q461" s="84" t="n"/>
      <c r="R461" s="84" t="n"/>
      <c r="S461" s="84" t="n"/>
      <c r="T461" s="84" t="n"/>
      <c r="U461" s="84" t="n"/>
      <c r="V461" s="84" t="n"/>
      <c r="W461" s="84" t="n"/>
      <c r="X461" s="84" t="n"/>
      <c r="Y461" s="84" t="n"/>
      <c r="Z461" s="84" t="n"/>
      <c r="AA461" s="84" t="n"/>
      <c r="AB461" s="84" t="n"/>
      <c r="AC461" s="84" t="n"/>
      <c r="AD461" s="84" t="n"/>
      <c r="AE461" s="84" t="n"/>
      <c r="AF461" s="84" t="n"/>
      <c r="AG461" s="84" t="n"/>
      <c r="AH461" s="84" t="n"/>
      <c r="AI461" s="84" t="n"/>
      <c r="AJ461" s="84" t="n"/>
      <c r="AK461" s="84" t="n"/>
      <c r="AL461" s="84" t="n"/>
      <c r="AM461" s="84" t="n"/>
      <c r="AN461" s="84" t="n"/>
      <c r="AO461" s="84" t="n"/>
      <c r="AP461" s="84" t="n"/>
      <c r="AQ461" s="84" t="n"/>
      <c r="AR461" s="84" t="n"/>
    </row>
    <row r="462">
      <c r="D462" s="80" t="n"/>
      <c r="E462" s="80" t="n"/>
      <c r="F462" s="80" t="n"/>
      <c r="G462" s="80" t="n"/>
      <c r="H462" s="80" t="n"/>
      <c r="I462" s="80" t="n"/>
      <c r="J462" s="80" t="n"/>
      <c r="K462" s="80" t="n"/>
      <c r="L462" s="80" t="n"/>
      <c r="M462" s="80" t="n"/>
      <c r="N462" s="80" t="n"/>
      <c r="O462" s="80" t="n"/>
      <c r="P462" s="80" t="n"/>
      <c r="Q462" s="80" t="n"/>
      <c r="R462" s="80" t="n"/>
      <c r="S462" s="80" t="n"/>
      <c r="T462" s="80" t="n"/>
      <c r="U462" s="80" t="n"/>
      <c r="V462" s="80" t="n"/>
      <c r="W462" s="80" t="n"/>
      <c r="X462" s="80" t="n"/>
      <c r="Y462" s="80" t="n"/>
      <c r="Z462" s="80" t="n"/>
      <c r="AA462" s="80" t="n"/>
      <c r="AB462" s="80" t="n"/>
      <c r="AC462" s="80" t="n"/>
      <c r="AD462" s="80" t="n"/>
      <c r="AE462" s="80" t="n"/>
      <c r="AF462" s="80" t="n"/>
      <c r="AG462" s="80" t="n"/>
      <c r="AH462" s="80" t="n"/>
      <c r="AI462" s="80" t="n"/>
      <c r="AJ462" s="80" t="n"/>
      <c r="AK462" s="80" t="n"/>
      <c r="AL462" s="80" t="n"/>
      <c r="AM462" s="80" t="n"/>
      <c r="AN462" s="80" t="n"/>
      <c r="AO462" s="80" t="n"/>
      <c r="AP462" s="80" t="n"/>
      <c r="AQ462" s="80" t="n"/>
      <c r="AR462" s="80" t="n"/>
    </row>
    <row r="463">
      <c r="D463" s="80" t="n"/>
      <c r="E463" s="80" t="n"/>
      <c r="F463" s="80" t="n"/>
      <c r="G463" s="80" t="n"/>
      <c r="H463" s="80" t="n"/>
      <c r="I463" s="80" t="n"/>
      <c r="J463" s="80" t="n"/>
      <c r="K463" s="80" t="n"/>
      <c r="L463" s="80" t="n"/>
      <c r="M463" s="80" t="n"/>
      <c r="N463" s="80" t="n"/>
      <c r="O463" s="80" t="n"/>
      <c r="P463" s="80" t="n"/>
      <c r="Q463" s="80" t="n"/>
      <c r="R463" s="80" t="n"/>
      <c r="S463" s="80" t="n"/>
      <c r="T463" s="80" t="n"/>
      <c r="U463" s="80" t="n"/>
      <c r="V463" s="80" t="n"/>
      <c r="W463" s="80" t="n"/>
      <c r="X463" s="80" t="n"/>
      <c r="Y463" s="80" t="n"/>
      <c r="Z463" s="80" t="n"/>
      <c r="AA463" s="80" t="n"/>
      <c r="AB463" s="80" t="n"/>
      <c r="AC463" s="80" t="n"/>
      <c r="AD463" s="80" t="n"/>
      <c r="AE463" s="80" t="n"/>
      <c r="AF463" s="80" t="n"/>
      <c r="AG463" s="80" t="n"/>
      <c r="AH463" s="80" t="n"/>
      <c r="AI463" s="80" t="n"/>
      <c r="AJ463" s="80" t="n"/>
      <c r="AK463" s="80" t="n"/>
      <c r="AL463" s="80" t="n"/>
      <c r="AM463" s="80" t="n"/>
      <c r="AN463" s="80" t="n"/>
      <c r="AO463" s="80" t="n"/>
      <c r="AP463" s="80" t="n"/>
      <c r="AQ463" s="80" t="n"/>
      <c r="AR463" s="80" t="n"/>
    </row>
    <row r="464">
      <c r="D464" s="80" t="n"/>
      <c r="E464" s="80" t="n"/>
      <c r="F464" s="80" t="n"/>
      <c r="G464" s="80" t="n"/>
      <c r="H464" s="80" t="n"/>
      <c r="I464" s="80" t="n"/>
      <c r="J464" s="80" t="n"/>
      <c r="K464" s="80" t="n"/>
      <c r="L464" s="80" t="n"/>
      <c r="M464" s="80" t="n"/>
      <c r="N464" s="80" t="n"/>
      <c r="O464" s="80" t="n"/>
      <c r="P464" s="80" t="n"/>
      <c r="Q464" s="80" t="n"/>
      <c r="R464" s="80" t="n"/>
      <c r="S464" s="80" t="n"/>
      <c r="T464" s="80" t="n"/>
      <c r="U464" s="80" t="n"/>
      <c r="V464" s="80" t="n"/>
      <c r="W464" s="80" t="n"/>
      <c r="X464" s="80" t="n"/>
      <c r="Y464" s="80" t="n"/>
      <c r="Z464" s="80" t="n"/>
      <c r="AA464" s="80" t="n"/>
      <c r="AB464" s="80" t="n"/>
      <c r="AC464" s="80" t="n"/>
      <c r="AD464" s="80" t="n"/>
      <c r="AE464" s="80" t="n"/>
      <c r="AF464" s="80" t="n"/>
      <c r="AG464" s="80" t="n"/>
      <c r="AH464" s="80" t="n"/>
      <c r="AI464" s="80" t="n"/>
      <c r="AJ464" s="80" t="n"/>
      <c r="AK464" s="80" t="n"/>
      <c r="AL464" s="80" t="n"/>
      <c r="AM464" s="80" t="n"/>
      <c r="AN464" s="80" t="n"/>
      <c r="AO464" s="80" t="n"/>
      <c r="AP464" s="80" t="n"/>
      <c r="AQ464" s="80" t="n"/>
      <c r="AR464" s="80" t="n"/>
    </row>
    <row r="465">
      <c r="D465" s="80" t="n"/>
      <c r="E465" s="80" t="n"/>
      <c r="F465" s="80" t="n"/>
      <c r="G465" s="80" t="n"/>
      <c r="H465" s="80" t="n"/>
      <c r="I465" s="80" t="n"/>
      <c r="J465" s="80" t="n"/>
      <c r="K465" s="80" t="n"/>
      <c r="L465" s="80" t="n"/>
      <c r="M465" s="80" t="n"/>
      <c r="N465" s="80" t="n"/>
      <c r="O465" s="80" t="n"/>
      <c r="P465" s="80" t="n"/>
      <c r="Q465" s="80" t="n"/>
      <c r="R465" s="80" t="n"/>
      <c r="S465" s="80" t="n"/>
      <c r="T465" s="80" t="n"/>
      <c r="U465" s="80" t="n"/>
      <c r="V465" s="80" t="n"/>
      <c r="W465" s="80" t="n"/>
      <c r="X465" s="80" t="n"/>
      <c r="Y465" s="80" t="n"/>
      <c r="Z465" s="80" t="n"/>
      <c r="AA465" s="80" t="n"/>
      <c r="AB465" s="80" t="n"/>
      <c r="AC465" s="80" t="n"/>
      <c r="AD465" s="80" t="n"/>
      <c r="AE465" s="80" t="n"/>
      <c r="AF465" s="80" t="n"/>
      <c r="AG465" s="80" t="n"/>
      <c r="AH465" s="80" t="n"/>
      <c r="AI465" s="80" t="n"/>
      <c r="AJ465" s="80" t="n"/>
      <c r="AK465" s="80" t="n"/>
      <c r="AL465" s="80" t="n"/>
      <c r="AM465" s="80" t="n"/>
      <c r="AN465" s="80" t="n"/>
      <c r="AO465" s="80" t="n"/>
      <c r="AP465" s="80" t="n"/>
      <c r="AQ465" s="80" t="n"/>
      <c r="AR465" s="80" t="n"/>
    </row>
    <row r="466">
      <c r="A466" s="2">
        <f>IF($A459="","","   projections")</f>
        <v/>
      </c>
      <c r="B466" s="41">
        <f>IF($A459="",0,COUNT($E467:$AR467))</f>
        <v/>
      </c>
      <c r="C466" s="81">
        <f>IF($B466=0,0,MAX($E467:$AR467))</f>
        <v/>
      </c>
      <c r="D466" s="82">
        <f>BDS($A459,'Field Check'!$C$6,"headers=y","startcol=1","endcol=7","dir=h")</f>
        <v/>
      </c>
      <c r="E466" s="83" t="n"/>
      <c r="F466" s="83" t="n"/>
      <c r="G466" s="83" t="n"/>
      <c r="H466" s="83" t="n"/>
      <c r="I466" s="83" t="n"/>
      <c r="J466" s="83" t="n"/>
      <c r="K466" s="83" t="n"/>
      <c r="L466" s="83" t="n"/>
      <c r="M466" s="83" t="n"/>
      <c r="N466" s="83" t="n"/>
      <c r="O466" s="83" t="n"/>
      <c r="P466" s="83" t="n"/>
      <c r="Q466" s="83" t="n"/>
      <c r="R466" s="83" t="n"/>
      <c r="S466" s="83" t="n"/>
      <c r="T466" s="83" t="n"/>
      <c r="U466" s="83" t="n"/>
      <c r="V466" s="83" t="n"/>
      <c r="W466" s="83" t="n"/>
      <c r="X466" s="83" t="n"/>
      <c r="Y466" s="83" t="n"/>
      <c r="Z466" s="83" t="n"/>
      <c r="AA466" s="83" t="n"/>
      <c r="AB466" s="83" t="n"/>
      <c r="AC466" s="83" t="n"/>
      <c r="AD466" s="83" t="n"/>
      <c r="AE466" s="83" t="n"/>
      <c r="AF466" s="83" t="n"/>
      <c r="AG466" s="83" t="n"/>
      <c r="AH466" s="83" t="n"/>
      <c r="AI466" s="83" t="n"/>
      <c r="AJ466" s="83" t="n"/>
      <c r="AK466" s="83" t="n"/>
      <c r="AL466" s="83" t="n"/>
      <c r="AM466" s="83" t="n"/>
      <c r="AN466" s="83" t="n"/>
      <c r="AO466" s="83" t="n"/>
      <c r="AP466" s="83" t="n"/>
      <c r="AQ466" s="83" t="n"/>
      <c r="AR466" s="83" t="n"/>
    </row>
    <row r="467">
      <c r="D467" s="83" t="n"/>
      <c r="E467" s="83" t="n"/>
      <c r="F467" s="83" t="n"/>
      <c r="G467" s="83" t="n"/>
      <c r="H467" s="83" t="n"/>
      <c r="I467" s="83" t="n"/>
      <c r="J467" s="83" t="n"/>
      <c r="K467" s="83" t="n"/>
      <c r="L467" s="83" t="n"/>
      <c r="M467" s="83" t="n"/>
      <c r="N467" s="83" t="n"/>
      <c r="O467" s="83" t="n"/>
      <c r="P467" s="83" t="n"/>
      <c r="Q467" s="83" t="n"/>
      <c r="R467" s="83" t="n"/>
      <c r="S467" s="83" t="n"/>
      <c r="T467" s="83" t="n"/>
      <c r="U467" s="83" t="n"/>
      <c r="V467" s="83" t="n"/>
      <c r="W467" s="83" t="n"/>
      <c r="X467" s="83" t="n"/>
      <c r="Y467" s="83" t="n"/>
      <c r="Z467" s="83" t="n"/>
      <c r="AA467" s="83" t="n"/>
      <c r="AB467" s="83" t="n"/>
      <c r="AC467" s="83" t="n"/>
      <c r="AD467" s="83" t="n"/>
      <c r="AE467" s="83" t="n"/>
      <c r="AF467" s="83" t="n"/>
      <c r="AG467" s="83" t="n"/>
      <c r="AH467" s="83" t="n"/>
      <c r="AI467" s="83" t="n"/>
      <c r="AJ467" s="83" t="n"/>
      <c r="AK467" s="83" t="n"/>
      <c r="AL467" s="83" t="n"/>
      <c r="AM467" s="83" t="n"/>
      <c r="AN467" s="83" t="n"/>
      <c r="AO467" s="83" t="n"/>
      <c r="AP467" s="83" t="n"/>
      <c r="AQ467" s="83" t="n"/>
      <c r="AR467" s="83" t="n"/>
    </row>
    <row r="468">
      <c r="D468" s="84" t="n"/>
      <c r="E468" s="84" t="n"/>
      <c r="F468" s="84" t="n"/>
      <c r="G468" s="84" t="n"/>
      <c r="H468" s="84" t="n"/>
      <c r="I468" s="84" t="n"/>
      <c r="J468" s="84" t="n"/>
      <c r="K468" s="84" t="n"/>
      <c r="L468" s="84" t="n"/>
      <c r="M468" s="84" t="n"/>
      <c r="N468" s="84" t="n"/>
      <c r="O468" s="84" t="n"/>
      <c r="P468" s="84" t="n"/>
      <c r="Q468" s="84" t="n"/>
      <c r="R468" s="84" t="n"/>
      <c r="S468" s="84" t="n"/>
      <c r="T468" s="84" t="n"/>
      <c r="U468" s="84" t="n"/>
      <c r="V468" s="84" t="n"/>
      <c r="W468" s="84" t="n"/>
      <c r="X468" s="84" t="n"/>
      <c r="Y468" s="84" t="n"/>
      <c r="Z468" s="84" t="n"/>
      <c r="AA468" s="84" t="n"/>
      <c r="AB468" s="84" t="n"/>
      <c r="AC468" s="84" t="n"/>
      <c r="AD468" s="84" t="n"/>
      <c r="AE468" s="84" t="n"/>
      <c r="AF468" s="84" t="n"/>
      <c r="AG468" s="84" t="n"/>
      <c r="AH468" s="84" t="n"/>
      <c r="AI468" s="84" t="n"/>
      <c r="AJ468" s="84" t="n"/>
      <c r="AK468" s="84" t="n"/>
      <c r="AL468" s="84" t="n"/>
      <c r="AM468" s="84" t="n"/>
      <c r="AN468" s="84" t="n"/>
      <c r="AO468" s="84" t="n"/>
      <c r="AP468" s="84" t="n"/>
      <c r="AQ468" s="84" t="n"/>
      <c r="AR468" s="84" t="n"/>
    </row>
    <row r="469">
      <c r="D469" s="80" t="n"/>
      <c r="E469" s="80" t="n"/>
      <c r="F469" s="80" t="n"/>
      <c r="G469" s="80" t="n"/>
      <c r="H469" s="80" t="n"/>
      <c r="I469" s="80" t="n"/>
      <c r="J469" s="80" t="n"/>
      <c r="K469" s="80" t="n"/>
      <c r="L469" s="80" t="n"/>
      <c r="M469" s="80" t="n"/>
      <c r="N469" s="80" t="n"/>
      <c r="O469" s="80" t="n"/>
      <c r="P469" s="80" t="n"/>
      <c r="Q469" s="80" t="n"/>
      <c r="R469" s="80" t="n"/>
      <c r="S469" s="80" t="n"/>
      <c r="T469" s="80" t="n"/>
      <c r="U469" s="80" t="n"/>
      <c r="V469" s="80" t="n"/>
      <c r="W469" s="80" t="n"/>
      <c r="X469" s="80" t="n"/>
      <c r="Y469" s="80" t="n"/>
      <c r="Z469" s="80" t="n"/>
      <c r="AA469" s="80" t="n"/>
      <c r="AB469" s="80" t="n"/>
      <c r="AC469" s="80" t="n"/>
      <c r="AD469" s="80" t="n"/>
      <c r="AE469" s="80" t="n"/>
      <c r="AF469" s="80" t="n"/>
      <c r="AG469" s="80" t="n"/>
      <c r="AH469" s="80" t="n"/>
      <c r="AI469" s="80" t="n"/>
      <c r="AJ469" s="80" t="n"/>
      <c r="AK469" s="80" t="n"/>
      <c r="AL469" s="80" t="n"/>
      <c r="AM469" s="80" t="n"/>
      <c r="AN469" s="80" t="n"/>
      <c r="AO469" s="80" t="n"/>
      <c r="AP469" s="80" t="n"/>
      <c r="AQ469" s="80" t="n"/>
      <c r="AR469" s="80" t="n"/>
    </row>
    <row r="470">
      <c r="D470" s="80" t="n"/>
      <c r="E470" s="80" t="n"/>
      <c r="F470" s="80" t="n"/>
      <c r="G470" s="80" t="n"/>
      <c r="H470" s="80" t="n"/>
      <c r="I470" s="80" t="n"/>
      <c r="J470" s="80" t="n"/>
      <c r="K470" s="80" t="n"/>
      <c r="L470" s="80" t="n"/>
      <c r="M470" s="80" t="n"/>
      <c r="N470" s="80" t="n"/>
      <c r="O470" s="80" t="n"/>
      <c r="P470" s="80" t="n"/>
      <c r="Q470" s="80" t="n"/>
      <c r="R470" s="80" t="n"/>
      <c r="S470" s="80" t="n"/>
      <c r="T470" s="80" t="n"/>
      <c r="U470" s="80" t="n"/>
      <c r="V470" s="80" t="n"/>
      <c r="W470" s="80" t="n"/>
      <c r="X470" s="80" t="n"/>
      <c r="Y470" s="80" t="n"/>
      <c r="Z470" s="80" t="n"/>
      <c r="AA470" s="80" t="n"/>
      <c r="AB470" s="80" t="n"/>
      <c r="AC470" s="80" t="n"/>
      <c r="AD470" s="80" t="n"/>
      <c r="AE470" s="80" t="n"/>
      <c r="AF470" s="80" t="n"/>
      <c r="AG470" s="80" t="n"/>
      <c r="AH470" s="80" t="n"/>
      <c r="AI470" s="80" t="n"/>
      <c r="AJ470" s="80" t="n"/>
      <c r="AK470" s="80" t="n"/>
      <c r="AL470" s="80" t="n"/>
      <c r="AM470" s="80" t="n"/>
      <c r="AN470" s="80" t="n"/>
      <c r="AO470" s="80" t="n"/>
      <c r="AP470" s="80" t="n"/>
      <c r="AQ470" s="80" t="n"/>
      <c r="AR470" s="80" t="n"/>
    </row>
    <row r="471">
      <c r="D471" s="80" t="n"/>
      <c r="E471" s="80" t="n"/>
      <c r="F471" s="80" t="n"/>
      <c r="G471" s="80" t="n"/>
      <c r="H471" s="80" t="n"/>
      <c r="I471" s="80" t="n"/>
      <c r="J471" s="80" t="n"/>
      <c r="K471" s="80" t="n"/>
      <c r="L471" s="80" t="n"/>
      <c r="M471" s="80" t="n"/>
      <c r="N471" s="80" t="n"/>
      <c r="O471" s="80" t="n"/>
      <c r="P471" s="80" t="n"/>
      <c r="Q471" s="80" t="n"/>
      <c r="R471" s="80" t="n"/>
      <c r="S471" s="80" t="n"/>
      <c r="T471" s="80" t="n"/>
      <c r="U471" s="80" t="n"/>
      <c r="V471" s="80" t="n"/>
      <c r="W471" s="80" t="n"/>
      <c r="X471" s="80" t="n"/>
      <c r="Y471" s="80" t="n"/>
      <c r="Z471" s="80" t="n"/>
      <c r="AA471" s="80" t="n"/>
      <c r="AB471" s="80" t="n"/>
      <c r="AC471" s="80" t="n"/>
      <c r="AD471" s="80" t="n"/>
      <c r="AE471" s="80" t="n"/>
      <c r="AF471" s="80" t="n"/>
      <c r="AG471" s="80" t="n"/>
      <c r="AH471" s="80" t="n"/>
      <c r="AI471" s="80" t="n"/>
      <c r="AJ471" s="80" t="n"/>
      <c r="AK471" s="80" t="n"/>
      <c r="AL471" s="80" t="n"/>
      <c r="AM471" s="80" t="n"/>
      <c r="AN471" s="80" t="n"/>
      <c r="AO471" s="80" t="n"/>
      <c r="AP471" s="80" t="n"/>
      <c r="AQ471" s="80" t="n"/>
      <c r="AR471" s="80" t="n"/>
    </row>
    <row r="472">
      <c r="D472" s="80" t="n"/>
      <c r="E472" s="80" t="n"/>
      <c r="F472" s="80" t="n"/>
      <c r="G472" s="80" t="n"/>
      <c r="H472" s="80" t="n"/>
      <c r="I472" s="80" t="n"/>
      <c r="J472" s="80" t="n"/>
      <c r="K472" s="80" t="n"/>
      <c r="L472" s="80" t="n"/>
      <c r="M472" s="80" t="n"/>
      <c r="N472" s="80" t="n"/>
      <c r="O472" s="80" t="n"/>
      <c r="P472" s="80" t="n"/>
      <c r="Q472" s="80" t="n"/>
      <c r="R472" s="80" t="n"/>
      <c r="S472" s="80" t="n"/>
      <c r="T472" s="80" t="n"/>
      <c r="U472" s="80" t="n"/>
      <c r="V472" s="80" t="n"/>
      <c r="W472" s="80" t="n"/>
      <c r="X472" s="80" t="n"/>
      <c r="Y472" s="80" t="n"/>
      <c r="Z472" s="80" t="n"/>
      <c r="AA472" s="80" t="n"/>
      <c r="AB472" s="80" t="n"/>
      <c r="AC472" s="80" t="n"/>
      <c r="AD472" s="80" t="n"/>
      <c r="AE472" s="80" t="n"/>
      <c r="AF472" s="80" t="n"/>
      <c r="AG472" s="80" t="n"/>
      <c r="AH472" s="80" t="n"/>
      <c r="AI472" s="80" t="n"/>
      <c r="AJ472" s="80" t="n"/>
      <c r="AK472" s="80" t="n"/>
      <c r="AL472" s="80" t="n"/>
      <c r="AM472" s="80" t="n"/>
      <c r="AN472" s="80" t="n"/>
      <c r="AO472" s="80" t="n"/>
      <c r="AP472" s="80" t="n"/>
      <c r="AQ472" s="80" t="n"/>
      <c r="AR472" s="80" t="n"/>
    </row>
    <row r="474">
      <c r="A474" s="6">
        <f>IF(HSI!$C$38="","",HSI!$C$38)</f>
        <v/>
      </c>
      <c r="B474" s="41">
        <f>IF($A474="",0,COUNT($E475:$AR475))</f>
        <v/>
      </c>
      <c r="C474" s="81">
        <f>IF($B474=0,0,MAX($E475:$AR475))</f>
        <v/>
      </c>
      <c r="D474" s="82">
        <f>BDS($A474,'Field Check'!$C$7,"headers=y","startcol=1","endcol=7","dir=h","DVD_START_DT",Summary!$C$18,"DVD_END_DT",Summary!$D$18)</f>
        <v/>
      </c>
      <c r="E474" s="83" t="n"/>
      <c r="F474" s="83" t="n"/>
      <c r="G474" s="83" t="n"/>
      <c r="H474" s="83" t="n"/>
      <c r="I474" s="83" t="n"/>
      <c r="J474" s="83" t="n"/>
      <c r="K474" s="83" t="n"/>
      <c r="L474" s="83" t="n"/>
      <c r="M474" s="83" t="n"/>
      <c r="N474" s="83" t="n"/>
      <c r="O474" s="83" t="n"/>
      <c r="P474" s="83" t="n"/>
      <c r="Q474" s="83" t="n"/>
      <c r="R474" s="83" t="n"/>
      <c r="S474" s="83" t="n"/>
      <c r="T474" s="83" t="n"/>
      <c r="U474" s="83" t="n"/>
      <c r="V474" s="83" t="n"/>
      <c r="W474" s="83" t="n"/>
      <c r="X474" s="83" t="n"/>
      <c r="Y474" s="83" t="n"/>
      <c r="Z474" s="83" t="n"/>
      <c r="AA474" s="83" t="n"/>
      <c r="AB474" s="83" t="n"/>
      <c r="AC474" s="83" t="n"/>
      <c r="AD474" s="83" t="n"/>
      <c r="AE474" s="83" t="n"/>
      <c r="AF474" s="83" t="n"/>
      <c r="AG474" s="83" t="n"/>
      <c r="AH474" s="83" t="n"/>
      <c r="AI474" s="83" t="n"/>
      <c r="AJ474" s="83" t="n"/>
      <c r="AK474" s="83" t="n"/>
      <c r="AL474" s="83" t="n"/>
      <c r="AM474" s="83" t="n"/>
      <c r="AN474" s="83" t="n"/>
      <c r="AO474" s="83" t="n"/>
      <c r="AP474" s="83" t="n"/>
      <c r="AQ474" s="83" t="n"/>
      <c r="AR474" s="83" t="n"/>
    </row>
    <row r="475">
      <c r="D475" s="83" t="n"/>
      <c r="E475" s="83" t="n"/>
      <c r="F475" s="83" t="n"/>
      <c r="G475" s="83" t="n"/>
      <c r="H475" s="83" t="n"/>
      <c r="I475" s="83" t="n"/>
      <c r="J475" s="83" t="n"/>
      <c r="K475" s="83" t="n"/>
      <c r="L475" s="83" t="n"/>
      <c r="M475" s="83" t="n"/>
      <c r="N475" s="83" t="n"/>
      <c r="O475" s="83" t="n"/>
      <c r="P475" s="83" t="n"/>
      <c r="Q475" s="83" t="n"/>
      <c r="R475" s="83" t="n"/>
      <c r="S475" s="83" t="n"/>
      <c r="T475" s="83" t="n"/>
      <c r="U475" s="83" t="n"/>
      <c r="V475" s="83" t="n"/>
      <c r="W475" s="83" t="n"/>
      <c r="X475" s="83" t="n"/>
      <c r="Y475" s="83" t="n"/>
      <c r="Z475" s="83" t="n"/>
      <c r="AA475" s="83" t="n"/>
      <c r="AB475" s="83" t="n"/>
      <c r="AC475" s="83" t="n"/>
      <c r="AD475" s="83" t="n"/>
      <c r="AE475" s="83" t="n"/>
      <c r="AF475" s="83" t="n"/>
      <c r="AG475" s="83" t="n"/>
      <c r="AH475" s="83" t="n"/>
      <c r="AI475" s="83" t="n"/>
      <c r="AJ475" s="83" t="n"/>
      <c r="AK475" s="83" t="n"/>
      <c r="AL475" s="83" t="n"/>
      <c r="AM475" s="83" t="n"/>
      <c r="AN475" s="83" t="n"/>
      <c r="AO475" s="83" t="n"/>
      <c r="AP475" s="83" t="n"/>
      <c r="AQ475" s="83" t="n"/>
      <c r="AR475" s="83" t="n"/>
    </row>
    <row r="476">
      <c r="D476" s="84" t="n"/>
      <c r="E476" s="84" t="n"/>
      <c r="F476" s="84" t="n"/>
      <c r="G476" s="84" t="n"/>
      <c r="H476" s="84" t="n"/>
      <c r="I476" s="84" t="n"/>
      <c r="J476" s="84" t="n"/>
      <c r="K476" s="84" t="n"/>
      <c r="L476" s="84" t="n"/>
      <c r="M476" s="84" t="n"/>
      <c r="N476" s="84" t="n"/>
      <c r="O476" s="84" t="n"/>
      <c r="P476" s="84" t="n"/>
      <c r="Q476" s="84" t="n"/>
      <c r="R476" s="84" t="n"/>
      <c r="S476" s="84" t="n"/>
      <c r="T476" s="84" t="n"/>
      <c r="U476" s="84" t="n"/>
      <c r="V476" s="84" t="n"/>
      <c r="W476" s="84" t="n"/>
      <c r="X476" s="84" t="n"/>
      <c r="Y476" s="84" t="n"/>
      <c r="Z476" s="84" t="n"/>
      <c r="AA476" s="84" t="n"/>
      <c r="AB476" s="84" t="n"/>
      <c r="AC476" s="84" t="n"/>
      <c r="AD476" s="84" t="n"/>
      <c r="AE476" s="84" t="n"/>
      <c r="AF476" s="84" t="n"/>
      <c r="AG476" s="84" t="n"/>
      <c r="AH476" s="84" t="n"/>
      <c r="AI476" s="84" t="n"/>
      <c r="AJ476" s="84" t="n"/>
      <c r="AK476" s="84" t="n"/>
      <c r="AL476" s="84" t="n"/>
      <c r="AM476" s="84" t="n"/>
      <c r="AN476" s="84" t="n"/>
      <c r="AO476" s="84" t="n"/>
      <c r="AP476" s="84" t="n"/>
      <c r="AQ476" s="84" t="n"/>
      <c r="AR476" s="84" t="n"/>
    </row>
    <row r="477">
      <c r="D477" s="80" t="n"/>
      <c r="E477" s="80" t="n"/>
      <c r="F477" s="80" t="n"/>
      <c r="G477" s="80" t="n"/>
      <c r="H477" s="80" t="n"/>
      <c r="I477" s="80" t="n"/>
      <c r="J477" s="80" t="n"/>
      <c r="K477" s="80" t="n"/>
      <c r="L477" s="80" t="n"/>
      <c r="M477" s="80" t="n"/>
      <c r="N477" s="80" t="n"/>
      <c r="O477" s="80" t="n"/>
      <c r="P477" s="80" t="n"/>
      <c r="Q477" s="80" t="n"/>
      <c r="R477" s="80" t="n"/>
      <c r="S477" s="80" t="n"/>
      <c r="T477" s="80" t="n"/>
      <c r="U477" s="80" t="n"/>
      <c r="V477" s="80" t="n"/>
      <c r="W477" s="80" t="n"/>
      <c r="X477" s="80" t="n"/>
      <c r="Y477" s="80" t="n"/>
      <c r="Z477" s="80" t="n"/>
      <c r="AA477" s="80" t="n"/>
      <c r="AB477" s="80" t="n"/>
      <c r="AC477" s="80" t="n"/>
      <c r="AD477" s="80" t="n"/>
      <c r="AE477" s="80" t="n"/>
      <c r="AF477" s="80" t="n"/>
      <c r="AG477" s="80" t="n"/>
      <c r="AH477" s="80" t="n"/>
      <c r="AI477" s="80" t="n"/>
      <c r="AJ477" s="80" t="n"/>
      <c r="AK477" s="80" t="n"/>
      <c r="AL477" s="80" t="n"/>
      <c r="AM477" s="80" t="n"/>
      <c r="AN477" s="80" t="n"/>
      <c r="AO477" s="80" t="n"/>
      <c r="AP477" s="80" t="n"/>
      <c r="AQ477" s="80" t="n"/>
      <c r="AR477" s="80" t="n"/>
    </row>
    <row r="478">
      <c r="D478" s="80" t="n"/>
      <c r="E478" s="80" t="n"/>
      <c r="F478" s="80" t="n"/>
      <c r="G478" s="80" t="n"/>
      <c r="H478" s="80" t="n"/>
      <c r="I478" s="80" t="n"/>
      <c r="J478" s="80" t="n"/>
      <c r="K478" s="80" t="n"/>
      <c r="L478" s="80" t="n"/>
      <c r="M478" s="80" t="n"/>
      <c r="N478" s="80" t="n"/>
      <c r="O478" s="80" t="n"/>
      <c r="P478" s="80" t="n"/>
      <c r="Q478" s="80" t="n"/>
      <c r="R478" s="80" t="n"/>
      <c r="S478" s="80" t="n"/>
      <c r="T478" s="80" t="n"/>
      <c r="U478" s="80" t="n"/>
      <c r="V478" s="80" t="n"/>
      <c r="W478" s="80" t="n"/>
      <c r="X478" s="80" t="n"/>
      <c r="Y478" s="80" t="n"/>
      <c r="Z478" s="80" t="n"/>
      <c r="AA478" s="80" t="n"/>
      <c r="AB478" s="80" t="n"/>
      <c r="AC478" s="80" t="n"/>
      <c r="AD478" s="80" t="n"/>
      <c r="AE478" s="80" t="n"/>
      <c r="AF478" s="80" t="n"/>
      <c r="AG478" s="80" t="n"/>
      <c r="AH478" s="80" t="n"/>
      <c r="AI478" s="80" t="n"/>
      <c r="AJ478" s="80" t="n"/>
      <c r="AK478" s="80" t="n"/>
      <c r="AL478" s="80" t="n"/>
      <c r="AM478" s="80" t="n"/>
      <c r="AN478" s="80" t="n"/>
      <c r="AO478" s="80" t="n"/>
      <c r="AP478" s="80" t="n"/>
      <c r="AQ478" s="80" t="n"/>
      <c r="AR478" s="80" t="n"/>
    </row>
    <row r="479">
      <c r="D479" s="80" t="n"/>
      <c r="E479" s="80" t="n"/>
      <c r="F479" s="80" t="n"/>
      <c r="G479" s="80" t="n"/>
      <c r="H479" s="80" t="n"/>
      <c r="I479" s="80" t="n"/>
      <c r="J479" s="80" t="n"/>
      <c r="K479" s="80" t="n"/>
      <c r="L479" s="80" t="n"/>
      <c r="M479" s="80" t="n"/>
      <c r="N479" s="80" t="n"/>
      <c r="O479" s="80" t="n"/>
      <c r="P479" s="80" t="n"/>
      <c r="Q479" s="80" t="n"/>
      <c r="R479" s="80" t="n"/>
      <c r="S479" s="80" t="n"/>
      <c r="T479" s="80" t="n"/>
      <c r="U479" s="80" t="n"/>
      <c r="V479" s="80" t="n"/>
      <c r="W479" s="80" t="n"/>
      <c r="X479" s="80" t="n"/>
      <c r="Y479" s="80" t="n"/>
      <c r="Z479" s="80" t="n"/>
      <c r="AA479" s="80" t="n"/>
      <c r="AB479" s="80" t="n"/>
      <c r="AC479" s="80" t="n"/>
      <c r="AD479" s="80" t="n"/>
      <c r="AE479" s="80" t="n"/>
      <c r="AF479" s="80" t="n"/>
      <c r="AG479" s="80" t="n"/>
      <c r="AH479" s="80" t="n"/>
      <c r="AI479" s="80" t="n"/>
      <c r="AJ479" s="80" t="n"/>
      <c r="AK479" s="80" t="n"/>
      <c r="AL479" s="80" t="n"/>
      <c r="AM479" s="80" t="n"/>
      <c r="AN479" s="80" t="n"/>
      <c r="AO479" s="80" t="n"/>
      <c r="AP479" s="80" t="n"/>
      <c r="AQ479" s="80" t="n"/>
      <c r="AR479" s="80" t="n"/>
    </row>
    <row r="480">
      <c r="D480" s="80" t="n"/>
      <c r="E480" s="80" t="n"/>
      <c r="F480" s="80" t="n"/>
      <c r="G480" s="80" t="n"/>
      <c r="H480" s="80" t="n"/>
      <c r="I480" s="80" t="n"/>
      <c r="J480" s="80" t="n"/>
      <c r="K480" s="80" t="n"/>
      <c r="L480" s="80" t="n"/>
      <c r="M480" s="80" t="n"/>
      <c r="N480" s="80" t="n"/>
      <c r="O480" s="80" t="n"/>
      <c r="P480" s="80" t="n"/>
      <c r="Q480" s="80" t="n"/>
      <c r="R480" s="80" t="n"/>
      <c r="S480" s="80" t="n"/>
      <c r="T480" s="80" t="n"/>
      <c r="U480" s="80" t="n"/>
      <c r="V480" s="80" t="n"/>
      <c r="W480" s="80" t="n"/>
      <c r="X480" s="80" t="n"/>
      <c r="Y480" s="80" t="n"/>
      <c r="Z480" s="80" t="n"/>
      <c r="AA480" s="80" t="n"/>
      <c r="AB480" s="80" t="n"/>
      <c r="AC480" s="80" t="n"/>
      <c r="AD480" s="80" t="n"/>
      <c r="AE480" s="80" t="n"/>
      <c r="AF480" s="80" t="n"/>
      <c r="AG480" s="80" t="n"/>
      <c r="AH480" s="80" t="n"/>
      <c r="AI480" s="80" t="n"/>
      <c r="AJ480" s="80" t="n"/>
      <c r="AK480" s="80" t="n"/>
      <c r="AL480" s="80" t="n"/>
      <c r="AM480" s="80" t="n"/>
      <c r="AN480" s="80" t="n"/>
      <c r="AO480" s="80" t="n"/>
      <c r="AP480" s="80" t="n"/>
      <c r="AQ480" s="80" t="n"/>
      <c r="AR480" s="80" t="n"/>
    </row>
    <row r="481">
      <c r="A481" s="2">
        <f>IF($A474="","","   projections")</f>
        <v/>
      </c>
      <c r="B481" s="41">
        <f>IF($A474="",0,COUNT($E482:$AR482))</f>
        <v/>
      </c>
      <c r="C481" s="81">
        <f>IF($B481=0,0,MAX($E482:$AR482))</f>
        <v/>
      </c>
      <c r="D481" s="82">
        <f>BDS($A474,'Field Check'!$C$6,"headers=y","startcol=1","endcol=7","dir=h")</f>
        <v/>
      </c>
      <c r="E481" s="83" t="n"/>
      <c r="F481" s="83" t="n"/>
      <c r="G481" s="83" t="n"/>
      <c r="H481" s="83" t="n"/>
      <c r="I481" s="83" t="n"/>
      <c r="J481" s="83" t="n"/>
      <c r="K481" s="83" t="n"/>
      <c r="L481" s="83" t="n"/>
      <c r="M481" s="83" t="n"/>
      <c r="N481" s="83" t="n"/>
      <c r="O481" s="83" t="n"/>
      <c r="P481" s="83" t="n"/>
      <c r="Q481" s="83" t="n"/>
      <c r="R481" s="83" t="n"/>
      <c r="S481" s="83" t="n"/>
      <c r="T481" s="83" t="n"/>
      <c r="U481" s="83" t="n"/>
      <c r="V481" s="83" t="n"/>
      <c r="W481" s="83" t="n"/>
      <c r="X481" s="83" t="n"/>
      <c r="Y481" s="83" t="n"/>
      <c r="Z481" s="83" t="n"/>
      <c r="AA481" s="83" t="n"/>
      <c r="AB481" s="83" t="n"/>
      <c r="AC481" s="83" t="n"/>
      <c r="AD481" s="83" t="n"/>
      <c r="AE481" s="83" t="n"/>
      <c r="AF481" s="83" t="n"/>
      <c r="AG481" s="83" t="n"/>
      <c r="AH481" s="83" t="n"/>
      <c r="AI481" s="83" t="n"/>
      <c r="AJ481" s="83" t="n"/>
      <c r="AK481" s="83" t="n"/>
      <c r="AL481" s="83" t="n"/>
      <c r="AM481" s="83" t="n"/>
      <c r="AN481" s="83" t="n"/>
      <c r="AO481" s="83" t="n"/>
      <c r="AP481" s="83" t="n"/>
      <c r="AQ481" s="83" t="n"/>
      <c r="AR481" s="83" t="n"/>
    </row>
    <row r="482">
      <c r="D482" s="83" t="n"/>
      <c r="E482" s="83" t="n"/>
      <c r="F482" s="83" t="n"/>
      <c r="G482" s="83" t="n"/>
      <c r="H482" s="83" t="n"/>
      <c r="I482" s="83" t="n"/>
      <c r="J482" s="83" t="n"/>
      <c r="K482" s="83" t="n"/>
      <c r="L482" s="83" t="n"/>
      <c r="M482" s="83" t="n"/>
      <c r="N482" s="83" t="n"/>
      <c r="O482" s="83" t="n"/>
      <c r="P482" s="83" t="n"/>
      <c r="Q482" s="83" t="n"/>
      <c r="R482" s="83" t="n"/>
      <c r="S482" s="83" t="n"/>
      <c r="T482" s="83" t="n"/>
      <c r="U482" s="83" t="n"/>
      <c r="V482" s="83" t="n"/>
      <c r="W482" s="83" t="n"/>
      <c r="X482" s="83" t="n"/>
      <c r="Y482" s="83" t="n"/>
      <c r="Z482" s="83" t="n"/>
      <c r="AA482" s="83" t="n"/>
      <c r="AB482" s="83" t="n"/>
      <c r="AC482" s="83" t="n"/>
      <c r="AD482" s="83" t="n"/>
      <c r="AE482" s="83" t="n"/>
      <c r="AF482" s="83" t="n"/>
      <c r="AG482" s="83" t="n"/>
      <c r="AH482" s="83" t="n"/>
      <c r="AI482" s="83" t="n"/>
      <c r="AJ482" s="83" t="n"/>
      <c r="AK482" s="83" t="n"/>
      <c r="AL482" s="83" t="n"/>
      <c r="AM482" s="83" t="n"/>
      <c r="AN482" s="83" t="n"/>
      <c r="AO482" s="83" t="n"/>
      <c r="AP482" s="83" t="n"/>
      <c r="AQ482" s="83" t="n"/>
      <c r="AR482" s="83" t="n"/>
    </row>
    <row r="483">
      <c r="D483" s="84" t="n"/>
      <c r="E483" s="84" t="n"/>
      <c r="F483" s="84" t="n"/>
      <c r="G483" s="84" t="n"/>
      <c r="H483" s="84" t="n"/>
      <c r="I483" s="84" t="n"/>
      <c r="J483" s="84" t="n"/>
      <c r="K483" s="84" t="n"/>
      <c r="L483" s="84" t="n"/>
      <c r="M483" s="84" t="n"/>
      <c r="N483" s="84" t="n"/>
      <c r="O483" s="84" t="n"/>
      <c r="P483" s="84" t="n"/>
      <c r="Q483" s="84" t="n"/>
      <c r="R483" s="84" t="n"/>
      <c r="S483" s="84" t="n"/>
      <c r="T483" s="84" t="n"/>
      <c r="U483" s="84" t="n"/>
      <c r="V483" s="84" t="n"/>
      <c r="W483" s="84" t="n"/>
      <c r="X483" s="84" t="n"/>
      <c r="Y483" s="84" t="n"/>
      <c r="Z483" s="84" t="n"/>
      <c r="AA483" s="84" t="n"/>
      <c r="AB483" s="84" t="n"/>
      <c r="AC483" s="84" t="n"/>
      <c r="AD483" s="84" t="n"/>
      <c r="AE483" s="84" t="n"/>
      <c r="AF483" s="84" t="n"/>
      <c r="AG483" s="84" t="n"/>
      <c r="AH483" s="84" t="n"/>
      <c r="AI483" s="84" t="n"/>
      <c r="AJ483" s="84" t="n"/>
      <c r="AK483" s="84" t="n"/>
      <c r="AL483" s="84" t="n"/>
      <c r="AM483" s="84" t="n"/>
      <c r="AN483" s="84" t="n"/>
      <c r="AO483" s="84" t="n"/>
      <c r="AP483" s="84" t="n"/>
      <c r="AQ483" s="84" t="n"/>
      <c r="AR483" s="84" t="n"/>
    </row>
    <row r="484">
      <c r="D484" s="80" t="n"/>
      <c r="E484" s="80" t="n"/>
      <c r="F484" s="80" t="n"/>
      <c r="G484" s="80" t="n"/>
      <c r="H484" s="80" t="n"/>
      <c r="I484" s="80" t="n"/>
      <c r="J484" s="80" t="n"/>
      <c r="K484" s="80" t="n"/>
      <c r="L484" s="80" t="n"/>
      <c r="M484" s="80" t="n"/>
      <c r="N484" s="80" t="n"/>
      <c r="O484" s="80" t="n"/>
      <c r="P484" s="80" t="n"/>
      <c r="Q484" s="80" t="n"/>
      <c r="R484" s="80" t="n"/>
      <c r="S484" s="80" t="n"/>
      <c r="T484" s="80" t="n"/>
      <c r="U484" s="80" t="n"/>
      <c r="V484" s="80" t="n"/>
      <c r="W484" s="80" t="n"/>
      <c r="X484" s="80" t="n"/>
      <c r="Y484" s="80" t="n"/>
      <c r="Z484" s="80" t="n"/>
      <c r="AA484" s="80" t="n"/>
      <c r="AB484" s="80" t="n"/>
      <c r="AC484" s="80" t="n"/>
      <c r="AD484" s="80" t="n"/>
      <c r="AE484" s="80" t="n"/>
      <c r="AF484" s="80" t="n"/>
      <c r="AG484" s="80" t="n"/>
      <c r="AH484" s="80" t="n"/>
      <c r="AI484" s="80" t="n"/>
      <c r="AJ484" s="80" t="n"/>
      <c r="AK484" s="80" t="n"/>
      <c r="AL484" s="80" t="n"/>
      <c r="AM484" s="80" t="n"/>
      <c r="AN484" s="80" t="n"/>
      <c r="AO484" s="80" t="n"/>
      <c r="AP484" s="80" t="n"/>
      <c r="AQ484" s="80" t="n"/>
      <c r="AR484" s="80" t="n"/>
    </row>
    <row r="485">
      <c r="D485" s="80" t="n"/>
      <c r="E485" s="80" t="n"/>
      <c r="F485" s="80" t="n"/>
      <c r="G485" s="80" t="n"/>
      <c r="H485" s="80" t="n"/>
      <c r="I485" s="80" t="n"/>
      <c r="J485" s="80" t="n"/>
      <c r="K485" s="80" t="n"/>
      <c r="L485" s="80" t="n"/>
      <c r="M485" s="80" t="n"/>
      <c r="N485" s="80" t="n"/>
      <c r="O485" s="80" t="n"/>
      <c r="P485" s="80" t="n"/>
      <c r="Q485" s="80" t="n"/>
      <c r="R485" s="80" t="n"/>
      <c r="S485" s="80" t="n"/>
      <c r="T485" s="80" t="n"/>
      <c r="U485" s="80" t="n"/>
      <c r="V485" s="80" t="n"/>
      <c r="W485" s="80" t="n"/>
      <c r="X485" s="80" t="n"/>
      <c r="Y485" s="80" t="n"/>
      <c r="Z485" s="80" t="n"/>
      <c r="AA485" s="80" t="n"/>
      <c r="AB485" s="80" t="n"/>
      <c r="AC485" s="80" t="n"/>
      <c r="AD485" s="80" t="n"/>
      <c r="AE485" s="80" t="n"/>
      <c r="AF485" s="80" t="n"/>
      <c r="AG485" s="80" t="n"/>
      <c r="AH485" s="80" t="n"/>
      <c r="AI485" s="80" t="n"/>
      <c r="AJ485" s="80" t="n"/>
      <c r="AK485" s="80" t="n"/>
      <c r="AL485" s="80" t="n"/>
      <c r="AM485" s="80" t="n"/>
      <c r="AN485" s="80" t="n"/>
      <c r="AO485" s="80" t="n"/>
      <c r="AP485" s="80" t="n"/>
      <c r="AQ485" s="80" t="n"/>
      <c r="AR485" s="80" t="n"/>
    </row>
    <row r="486">
      <c r="D486" s="80" t="n"/>
      <c r="E486" s="80" t="n"/>
      <c r="F486" s="80" t="n"/>
      <c r="G486" s="80" t="n"/>
      <c r="H486" s="80" t="n"/>
      <c r="I486" s="80" t="n"/>
      <c r="J486" s="80" t="n"/>
      <c r="K486" s="80" t="n"/>
      <c r="L486" s="80" t="n"/>
      <c r="M486" s="80" t="n"/>
      <c r="N486" s="80" t="n"/>
      <c r="O486" s="80" t="n"/>
      <c r="P486" s="80" t="n"/>
      <c r="Q486" s="80" t="n"/>
      <c r="R486" s="80" t="n"/>
      <c r="S486" s="80" t="n"/>
      <c r="T486" s="80" t="n"/>
      <c r="U486" s="80" t="n"/>
      <c r="V486" s="80" t="n"/>
      <c r="W486" s="80" t="n"/>
      <c r="X486" s="80" t="n"/>
      <c r="Y486" s="80" t="n"/>
      <c r="Z486" s="80" t="n"/>
      <c r="AA486" s="80" t="n"/>
      <c r="AB486" s="80" t="n"/>
      <c r="AC486" s="80" t="n"/>
      <c r="AD486" s="80" t="n"/>
      <c r="AE486" s="80" t="n"/>
      <c r="AF486" s="80" t="n"/>
      <c r="AG486" s="80" t="n"/>
      <c r="AH486" s="80" t="n"/>
      <c r="AI486" s="80" t="n"/>
      <c r="AJ486" s="80" t="n"/>
      <c r="AK486" s="80" t="n"/>
      <c r="AL486" s="80" t="n"/>
      <c r="AM486" s="80" t="n"/>
      <c r="AN486" s="80" t="n"/>
      <c r="AO486" s="80" t="n"/>
      <c r="AP486" s="80" t="n"/>
      <c r="AQ486" s="80" t="n"/>
      <c r="AR486" s="80" t="n"/>
    </row>
    <row r="487">
      <c r="D487" s="80" t="n"/>
      <c r="E487" s="80" t="n"/>
      <c r="F487" s="80" t="n"/>
      <c r="G487" s="80" t="n"/>
      <c r="H487" s="80" t="n"/>
      <c r="I487" s="80" t="n"/>
      <c r="J487" s="80" t="n"/>
      <c r="K487" s="80" t="n"/>
      <c r="L487" s="80" t="n"/>
      <c r="M487" s="80" t="n"/>
      <c r="N487" s="80" t="n"/>
      <c r="O487" s="80" t="n"/>
      <c r="P487" s="80" t="n"/>
      <c r="Q487" s="80" t="n"/>
      <c r="R487" s="80" t="n"/>
      <c r="S487" s="80" t="n"/>
      <c r="T487" s="80" t="n"/>
      <c r="U487" s="80" t="n"/>
      <c r="V487" s="80" t="n"/>
      <c r="W487" s="80" t="n"/>
      <c r="X487" s="80" t="n"/>
      <c r="Y487" s="80" t="n"/>
      <c r="Z487" s="80" t="n"/>
      <c r="AA487" s="80" t="n"/>
      <c r="AB487" s="80" t="n"/>
      <c r="AC487" s="80" t="n"/>
      <c r="AD487" s="80" t="n"/>
      <c r="AE487" s="80" t="n"/>
      <c r="AF487" s="80" t="n"/>
      <c r="AG487" s="80" t="n"/>
      <c r="AH487" s="80" t="n"/>
      <c r="AI487" s="80" t="n"/>
      <c r="AJ487" s="80" t="n"/>
      <c r="AK487" s="80" t="n"/>
      <c r="AL487" s="80" t="n"/>
      <c r="AM487" s="80" t="n"/>
      <c r="AN487" s="80" t="n"/>
      <c r="AO487" s="80" t="n"/>
      <c r="AP487" s="80" t="n"/>
      <c r="AQ487" s="80" t="n"/>
      <c r="AR487" s="80" t="n"/>
    </row>
    <row r="489">
      <c r="A489" s="6">
        <f>IF(HSI!$C$39="","",HSI!$C$39)</f>
        <v/>
      </c>
      <c r="B489" s="41">
        <f>IF($A489="",0,COUNT($E490:$AR490))</f>
        <v/>
      </c>
      <c r="C489" s="81">
        <f>IF($B489=0,0,MAX($E490:$AR490))</f>
        <v/>
      </c>
      <c r="D489" s="82">
        <f>BDS($A489,'Field Check'!$C$7,"headers=y","startcol=1","endcol=7","dir=h","DVD_START_DT",Summary!$C$18,"DVD_END_DT",Summary!$D$18)</f>
        <v/>
      </c>
      <c r="E489" s="83" t="n"/>
      <c r="F489" s="83" t="n"/>
      <c r="G489" s="83" t="n"/>
      <c r="H489" s="83" t="n"/>
      <c r="I489" s="83" t="n"/>
      <c r="J489" s="83" t="n"/>
      <c r="K489" s="83" t="n"/>
      <c r="L489" s="83" t="n"/>
      <c r="M489" s="83" t="n"/>
      <c r="N489" s="83" t="n"/>
      <c r="O489" s="83" t="n"/>
      <c r="P489" s="83" t="n"/>
      <c r="Q489" s="83" t="n"/>
      <c r="R489" s="83" t="n"/>
      <c r="S489" s="83" t="n"/>
      <c r="T489" s="83" t="n"/>
      <c r="U489" s="83" t="n"/>
      <c r="V489" s="83" t="n"/>
      <c r="W489" s="83" t="n"/>
      <c r="X489" s="83" t="n"/>
      <c r="Y489" s="83" t="n"/>
      <c r="Z489" s="83" t="n"/>
      <c r="AA489" s="83" t="n"/>
      <c r="AB489" s="83" t="n"/>
      <c r="AC489" s="83" t="n"/>
      <c r="AD489" s="83" t="n"/>
      <c r="AE489" s="83" t="n"/>
      <c r="AF489" s="83" t="n"/>
      <c r="AG489" s="83" t="n"/>
      <c r="AH489" s="83" t="n"/>
      <c r="AI489" s="83" t="n"/>
      <c r="AJ489" s="83" t="n"/>
      <c r="AK489" s="83" t="n"/>
      <c r="AL489" s="83" t="n"/>
      <c r="AM489" s="83" t="n"/>
      <c r="AN489" s="83" t="n"/>
      <c r="AO489" s="83" t="n"/>
      <c r="AP489" s="83" t="n"/>
      <c r="AQ489" s="83" t="n"/>
      <c r="AR489" s="83" t="n"/>
    </row>
    <row r="490">
      <c r="D490" s="83" t="n"/>
      <c r="E490" s="83" t="n"/>
      <c r="F490" s="83" t="n"/>
      <c r="G490" s="83" t="n"/>
      <c r="H490" s="83" t="n"/>
      <c r="I490" s="83" t="n"/>
      <c r="J490" s="83" t="n"/>
      <c r="K490" s="83" t="n"/>
      <c r="L490" s="83" t="n"/>
      <c r="M490" s="83" t="n"/>
      <c r="N490" s="83" t="n"/>
      <c r="O490" s="83" t="n"/>
      <c r="P490" s="83" t="n"/>
      <c r="Q490" s="83" t="n"/>
      <c r="R490" s="83" t="n"/>
      <c r="S490" s="83" t="n"/>
      <c r="T490" s="83" t="n"/>
      <c r="U490" s="83" t="n"/>
      <c r="V490" s="83" t="n"/>
      <c r="W490" s="83" t="n"/>
      <c r="X490" s="83" t="n"/>
      <c r="Y490" s="83" t="n"/>
      <c r="Z490" s="83" t="n"/>
      <c r="AA490" s="83" t="n"/>
      <c r="AB490" s="83" t="n"/>
      <c r="AC490" s="83" t="n"/>
      <c r="AD490" s="83" t="n"/>
      <c r="AE490" s="83" t="n"/>
      <c r="AF490" s="83" t="n"/>
      <c r="AG490" s="83" t="n"/>
      <c r="AH490" s="83" t="n"/>
      <c r="AI490" s="83" t="n"/>
      <c r="AJ490" s="83" t="n"/>
      <c r="AK490" s="83" t="n"/>
      <c r="AL490" s="83" t="n"/>
      <c r="AM490" s="83" t="n"/>
      <c r="AN490" s="83" t="n"/>
      <c r="AO490" s="83" t="n"/>
      <c r="AP490" s="83" t="n"/>
      <c r="AQ490" s="83" t="n"/>
      <c r="AR490" s="83" t="n"/>
    </row>
    <row r="491">
      <c r="D491" s="84" t="n"/>
      <c r="E491" s="84" t="n"/>
      <c r="F491" s="84" t="n"/>
      <c r="G491" s="84" t="n"/>
      <c r="H491" s="84" t="n"/>
      <c r="I491" s="84" t="n"/>
      <c r="J491" s="84" t="n"/>
      <c r="K491" s="84" t="n"/>
      <c r="L491" s="84" t="n"/>
      <c r="M491" s="84" t="n"/>
      <c r="N491" s="84" t="n"/>
      <c r="O491" s="84" t="n"/>
      <c r="P491" s="84" t="n"/>
      <c r="Q491" s="84" t="n"/>
      <c r="R491" s="84" t="n"/>
      <c r="S491" s="84" t="n"/>
      <c r="T491" s="84" t="n"/>
      <c r="U491" s="84" t="n"/>
      <c r="V491" s="84" t="n"/>
      <c r="W491" s="84" t="n"/>
      <c r="X491" s="84" t="n"/>
      <c r="Y491" s="84" t="n"/>
      <c r="Z491" s="84" t="n"/>
      <c r="AA491" s="84" t="n"/>
      <c r="AB491" s="84" t="n"/>
      <c r="AC491" s="84" t="n"/>
      <c r="AD491" s="84" t="n"/>
      <c r="AE491" s="84" t="n"/>
      <c r="AF491" s="84" t="n"/>
      <c r="AG491" s="84" t="n"/>
      <c r="AH491" s="84" t="n"/>
      <c r="AI491" s="84" t="n"/>
      <c r="AJ491" s="84" t="n"/>
      <c r="AK491" s="84" t="n"/>
      <c r="AL491" s="84" t="n"/>
      <c r="AM491" s="84" t="n"/>
      <c r="AN491" s="84" t="n"/>
      <c r="AO491" s="84" t="n"/>
      <c r="AP491" s="84" t="n"/>
      <c r="AQ491" s="84" t="n"/>
      <c r="AR491" s="84" t="n"/>
    </row>
    <row r="492">
      <c r="D492" s="80" t="n"/>
      <c r="E492" s="80" t="n"/>
      <c r="F492" s="80" t="n"/>
      <c r="G492" s="80" t="n"/>
      <c r="H492" s="80" t="n"/>
      <c r="I492" s="80" t="n"/>
      <c r="J492" s="80" t="n"/>
      <c r="K492" s="80" t="n"/>
      <c r="L492" s="80" t="n"/>
      <c r="M492" s="80" t="n"/>
      <c r="N492" s="80" t="n"/>
      <c r="O492" s="80" t="n"/>
      <c r="P492" s="80" t="n"/>
      <c r="Q492" s="80" t="n"/>
      <c r="R492" s="80" t="n"/>
      <c r="S492" s="80" t="n"/>
      <c r="T492" s="80" t="n"/>
      <c r="U492" s="80" t="n"/>
      <c r="V492" s="80" t="n"/>
      <c r="W492" s="80" t="n"/>
      <c r="X492" s="80" t="n"/>
      <c r="Y492" s="80" t="n"/>
      <c r="Z492" s="80" t="n"/>
      <c r="AA492" s="80" t="n"/>
      <c r="AB492" s="80" t="n"/>
      <c r="AC492" s="80" t="n"/>
      <c r="AD492" s="80" t="n"/>
      <c r="AE492" s="80" t="n"/>
      <c r="AF492" s="80" t="n"/>
      <c r="AG492" s="80" t="n"/>
      <c r="AH492" s="80" t="n"/>
      <c r="AI492" s="80" t="n"/>
      <c r="AJ492" s="80" t="n"/>
      <c r="AK492" s="80" t="n"/>
      <c r="AL492" s="80" t="n"/>
      <c r="AM492" s="80" t="n"/>
      <c r="AN492" s="80" t="n"/>
      <c r="AO492" s="80" t="n"/>
      <c r="AP492" s="80" t="n"/>
      <c r="AQ492" s="80" t="n"/>
      <c r="AR492" s="80" t="n"/>
    </row>
    <row r="493">
      <c r="D493" s="80" t="n"/>
      <c r="E493" s="80" t="n"/>
      <c r="F493" s="80" t="n"/>
      <c r="G493" s="80" t="n"/>
      <c r="H493" s="80" t="n"/>
      <c r="I493" s="80" t="n"/>
      <c r="J493" s="80" t="n"/>
      <c r="K493" s="80" t="n"/>
      <c r="L493" s="80" t="n"/>
      <c r="M493" s="80" t="n"/>
      <c r="N493" s="80" t="n"/>
      <c r="O493" s="80" t="n"/>
      <c r="P493" s="80" t="n"/>
      <c r="Q493" s="80" t="n"/>
      <c r="R493" s="80" t="n"/>
      <c r="S493" s="80" t="n"/>
      <c r="T493" s="80" t="n"/>
      <c r="U493" s="80" t="n"/>
      <c r="V493" s="80" t="n"/>
      <c r="W493" s="80" t="n"/>
      <c r="X493" s="80" t="n"/>
      <c r="Y493" s="80" t="n"/>
      <c r="Z493" s="80" t="n"/>
      <c r="AA493" s="80" t="n"/>
      <c r="AB493" s="80" t="n"/>
      <c r="AC493" s="80" t="n"/>
      <c r="AD493" s="80" t="n"/>
      <c r="AE493" s="80" t="n"/>
      <c r="AF493" s="80" t="n"/>
      <c r="AG493" s="80" t="n"/>
      <c r="AH493" s="80" t="n"/>
      <c r="AI493" s="80" t="n"/>
      <c r="AJ493" s="80" t="n"/>
      <c r="AK493" s="80" t="n"/>
      <c r="AL493" s="80" t="n"/>
      <c r="AM493" s="80" t="n"/>
      <c r="AN493" s="80" t="n"/>
      <c r="AO493" s="80" t="n"/>
      <c r="AP493" s="80" t="n"/>
      <c r="AQ493" s="80" t="n"/>
      <c r="AR493" s="80" t="n"/>
    </row>
    <row r="494">
      <c r="D494" s="80" t="n"/>
      <c r="E494" s="80" t="n"/>
      <c r="F494" s="80" t="n"/>
      <c r="G494" s="80" t="n"/>
      <c r="H494" s="80" t="n"/>
      <c r="I494" s="80" t="n"/>
      <c r="J494" s="80" t="n"/>
      <c r="K494" s="80" t="n"/>
      <c r="L494" s="80" t="n"/>
      <c r="M494" s="80" t="n"/>
      <c r="N494" s="80" t="n"/>
      <c r="O494" s="80" t="n"/>
      <c r="P494" s="80" t="n"/>
      <c r="Q494" s="80" t="n"/>
      <c r="R494" s="80" t="n"/>
      <c r="S494" s="80" t="n"/>
      <c r="T494" s="80" t="n"/>
      <c r="U494" s="80" t="n"/>
      <c r="V494" s="80" t="n"/>
      <c r="W494" s="80" t="n"/>
      <c r="X494" s="80" t="n"/>
      <c r="Y494" s="80" t="n"/>
      <c r="Z494" s="80" t="n"/>
      <c r="AA494" s="80" t="n"/>
      <c r="AB494" s="80" t="n"/>
      <c r="AC494" s="80" t="n"/>
      <c r="AD494" s="80" t="n"/>
      <c r="AE494" s="80" t="n"/>
      <c r="AF494" s="80" t="n"/>
      <c r="AG494" s="80" t="n"/>
      <c r="AH494" s="80" t="n"/>
      <c r="AI494" s="80" t="n"/>
      <c r="AJ494" s="80" t="n"/>
      <c r="AK494" s="80" t="n"/>
      <c r="AL494" s="80" t="n"/>
      <c r="AM494" s="80" t="n"/>
      <c r="AN494" s="80" t="n"/>
      <c r="AO494" s="80" t="n"/>
      <c r="AP494" s="80" t="n"/>
      <c r="AQ494" s="80" t="n"/>
      <c r="AR494" s="80" t="n"/>
    </row>
    <row r="495">
      <c r="D495" s="80" t="n"/>
      <c r="E495" s="80" t="n"/>
      <c r="F495" s="80" t="n"/>
      <c r="G495" s="80" t="n"/>
      <c r="H495" s="80" t="n"/>
      <c r="I495" s="80" t="n"/>
      <c r="J495" s="80" t="n"/>
      <c r="K495" s="80" t="n"/>
      <c r="L495" s="80" t="n"/>
      <c r="M495" s="80" t="n"/>
      <c r="N495" s="80" t="n"/>
      <c r="O495" s="80" t="n"/>
      <c r="P495" s="80" t="n"/>
      <c r="Q495" s="80" t="n"/>
      <c r="R495" s="80" t="n"/>
      <c r="S495" s="80" t="n"/>
      <c r="T495" s="80" t="n"/>
      <c r="U495" s="80" t="n"/>
      <c r="V495" s="80" t="n"/>
      <c r="W495" s="80" t="n"/>
      <c r="X495" s="80" t="n"/>
      <c r="Y495" s="80" t="n"/>
      <c r="Z495" s="80" t="n"/>
      <c r="AA495" s="80" t="n"/>
      <c r="AB495" s="80" t="n"/>
      <c r="AC495" s="80" t="n"/>
      <c r="AD495" s="80" t="n"/>
      <c r="AE495" s="80" t="n"/>
      <c r="AF495" s="80" t="n"/>
      <c r="AG495" s="80" t="n"/>
      <c r="AH495" s="80" t="n"/>
      <c r="AI495" s="80" t="n"/>
      <c r="AJ495" s="80" t="n"/>
      <c r="AK495" s="80" t="n"/>
      <c r="AL495" s="80" t="n"/>
      <c r="AM495" s="80" t="n"/>
      <c r="AN495" s="80" t="n"/>
      <c r="AO495" s="80" t="n"/>
      <c r="AP495" s="80" t="n"/>
      <c r="AQ495" s="80" t="n"/>
      <c r="AR495" s="80" t="n"/>
    </row>
    <row r="496">
      <c r="A496" s="2">
        <f>IF($A489="","","   projections")</f>
        <v/>
      </c>
      <c r="B496" s="41">
        <f>IF($A489="",0,COUNT($E497:$AR497))</f>
        <v/>
      </c>
      <c r="C496" s="81">
        <f>IF($B496=0,0,MAX($E497:$AR497))</f>
        <v/>
      </c>
      <c r="D496" s="82">
        <f>BDS($A489,'Field Check'!$C$6,"headers=y","startcol=1","endcol=7","dir=h")</f>
        <v/>
      </c>
      <c r="E496" s="83" t="n"/>
      <c r="F496" s="83" t="n"/>
      <c r="G496" s="83" t="n"/>
      <c r="H496" s="83" t="n"/>
      <c r="I496" s="83" t="n"/>
      <c r="J496" s="83" t="n"/>
      <c r="K496" s="83" t="n"/>
      <c r="L496" s="83" t="n"/>
      <c r="M496" s="83" t="n"/>
      <c r="N496" s="83" t="n"/>
      <c r="O496" s="83" t="n"/>
      <c r="P496" s="83" t="n"/>
      <c r="Q496" s="83" t="n"/>
      <c r="R496" s="83" t="n"/>
      <c r="S496" s="83" t="n"/>
      <c r="T496" s="83" t="n"/>
      <c r="U496" s="83" t="n"/>
      <c r="V496" s="83" t="n"/>
      <c r="W496" s="83" t="n"/>
      <c r="X496" s="83" t="n"/>
      <c r="Y496" s="83" t="n"/>
      <c r="Z496" s="83" t="n"/>
      <c r="AA496" s="83" t="n"/>
      <c r="AB496" s="83" t="n"/>
      <c r="AC496" s="83" t="n"/>
      <c r="AD496" s="83" t="n"/>
      <c r="AE496" s="83" t="n"/>
      <c r="AF496" s="83" t="n"/>
      <c r="AG496" s="83" t="n"/>
      <c r="AH496" s="83" t="n"/>
      <c r="AI496" s="83" t="n"/>
      <c r="AJ496" s="83" t="n"/>
      <c r="AK496" s="83" t="n"/>
      <c r="AL496" s="83" t="n"/>
      <c r="AM496" s="83" t="n"/>
      <c r="AN496" s="83" t="n"/>
      <c r="AO496" s="83" t="n"/>
      <c r="AP496" s="83" t="n"/>
      <c r="AQ496" s="83" t="n"/>
      <c r="AR496" s="83" t="n"/>
    </row>
    <row r="497">
      <c r="D497" s="83" t="n"/>
      <c r="E497" s="83" t="n"/>
      <c r="F497" s="83" t="n"/>
      <c r="G497" s="83" t="n"/>
      <c r="H497" s="83" t="n"/>
      <c r="I497" s="83" t="n"/>
      <c r="J497" s="83" t="n"/>
      <c r="K497" s="83" t="n"/>
      <c r="L497" s="83" t="n"/>
      <c r="M497" s="83" t="n"/>
      <c r="N497" s="83" t="n"/>
      <c r="O497" s="83" t="n"/>
      <c r="P497" s="83" t="n"/>
      <c r="Q497" s="83" t="n"/>
      <c r="R497" s="83" t="n"/>
      <c r="S497" s="83" t="n"/>
      <c r="T497" s="83" t="n"/>
      <c r="U497" s="83" t="n"/>
      <c r="V497" s="83" t="n"/>
      <c r="W497" s="83" t="n"/>
      <c r="X497" s="83" t="n"/>
      <c r="Y497" s="83" t="n"/>
      <c r="Z497" s="83" t="n"/>
      <c r="AA497" s="83" t="n"/>
      <c r="AB497" s="83" t="n"/>
      <c r="AC497" s="83" t="n"/>
      <c r="AD497" s="83" t="n"/>
      <c r="AE497" s="83" t="n"/>
      <c r="AF497" s="83" t="n"/>
      <c r="AG497" s="83" t="n"/>
      <c r="AH497" s="83" t="n"/>
      <c r="AI497" s="83" t="n"/>
      <c r="AJ497" s="83" t="n"/>
      <c r="AK497" s="83" t="n"/>
      <c r="AL497" s="83" t="n"/>
      <c r="AM497" s="83" t="n"/>
      <c r="AN497" s="83" t="n"/>
      <c r="AO497" s="83" t="n"/>
      <c r="AP497" s="83" t="n"/>
      <c r="AQ497" s="83" t="n"/>
      <c r="AR497" s="83" t="n"/>
    </row>
    <row r="498">
      <c r="D498" s="84" t="n"/>
      <c r="E498" s="84" t="n"/>
      <c r="F498" s="84" t="n"/>
      <c r="G498" s="84" t="n"/>
      <c r="H498" s="84" t="n"/>
      <c r="I498" s="84" t="n"/>
      <c r="J498" s="84" t="n"/>
      <c r="K498" s="84" t="n"/>
      <c r="L498" s="84" t="n"/>
      <c r="M498" s="84" t="n"/>
      <c r="N498" s="84" t="n"/>
      <c r="O498" s="84" t="n"/>
      <c r="P498" s="84" t="n"/>
      <c r="Q498" s="84" t="n"/>
      <c r="R498" s="84" t="n"/>
      <c r="S498" s="84" t="n"/>
      <c r="T498" s="84" t="n"/>
      <c r="U498" s="84" t="n"/>
      <c r="V498" s="84" t="n"/>
      <c r="W498" s="84" t="n"/>
      <c r="X498" s="84" t="n"/>
      <c r="Y498" s="84" t="n"/>
      <c r="Z498" s="84" t="n"/>
      <c r="AA498" s="84" t="n"/>
      <c r="AB498" s="84" t="n"/>
      <c r="AC498" s="84" t="n"/>
      <c r="AD498" s="84" t="n"/>
      <c r="AE498" s="84" t="n"/>
      <c r="AF498" s="84" t="n"/>
      <c r="AG498" s="84" t="n"/>
      <c r="AH498" s="84" t="n"/>
      <c r="AI498" s="84" t="n"/>
      <c r="AJ498" s="84" t="n"/>
      <c r="AK498" s="84" t="n"/>
      <c r="AL498" s="84" t="n"/>
      <c r="AM498" s="84" t="n"/>
      <c r="AN498" s="84" t="n"/>
      <c r="AO498" s="84" t="n"/>
      <c r="AP498" s="84" t="n"/>
      <c r="AQ498" s="84" t="n"/>
      <c r="AR498" s="84" t="n"/>
    </row>
    <row r="499">
      <c r="D499" s="80" t="n"/>
      <c r="E499" s="80" t="n"/>
      <c r="F499" s="80" t="n"/>
      <c r="G499" s="80" t="n"/>
      <c r="H499" s="80" t="n"/>
      <c r="I499" s="80" t="n"/>
      <c r="J499" s="80" t="n"/>
      <c r="K499" s="80" t="n"/>
      <c r="L499" s="80" t="n"/>
      <c r="M499" s="80" t="n"/>
      <c r="N499" s="80" t="n"/>
      <c r="O499" s="80" t="n"/>
      <c r="P499" s="80" t="n"/>
      <c r="Q499" s="80" t="n"/>
      <c r="R499" s="80" t="n"/>
      <c r="S499" s="80" t="n"/>
      <c r="T499" s="80" t="n"/>
      <c r="U499" s="80" t="n"/>
      <c r="V499" s="80" t="n"/>
      <c r="W499" s="80" t="n"/>
      <c r="X499" s="80" t="n"/>
      <c r="Y499" s="80" t="n"/>
      <c r="Z499" s="80" t="n"/>
      <c r="AA499" s="80" t="n"/>
      <c r="AB499" s="80" t="n"/>
      <c r="AC499" s="80" t="n"/>
      <c r="AD499" s="80" t="n"/>
      <c r="AE499" s="80" t="n"/>
      <c r="AF499" s="80" t="n"/>
      <c r="AG499" s="80" t="n"/>
      <c r="AH499" s="80" t="n"/>
      <c r="AI499" s="80" t="n"/>
      <c r="AJ499" s="80" t="n"/>
      <c r="AK499" s="80" t="n"/>
      <c r="AL499" s="80" t="n"/>
      <c r="AM499" s="80" t="n"/>
      <c r="AN499" s="80" t="n"/>
      <c r="AO499" s="80" t="n"/>
      <c r="AP499" s="80" t="n"/>
      <c r="AQ499" s="80" t="n"/>
      <c r="AR499" s="80" t="n"/>
    </row>
    <row r="500">
      <c r="D500" s="80" t="n"/>
      <c r="E500" s="80" t="n"/>
      <c r="F500" s="80" t="n"/>
      <c r="G500" s="80" t="n"/>
      <c r="H500" s="80" t="n"/>
      <c r="I500" s="80" t="n"/>
      <c r="J500" s="80" t="n"/>
      <c r="K500" s="80" t="n"/>
      <c r="L500" s="80" t="n"/>
      <c r="M500" s="80" t="n"/>
      <c r="N500" s="80" t="n"/>
      <c r="O500" s="80" t="n"/>
      <c r="P500" s="80" t="n"/>
      <c r="Q500" s="80" t="n"/>
      <c r="R500" s="80" t="n"/>
      <c r="S500" s="80" t="n"/>
      <c r="T500" s="80" t="n"/>
      <c r="U500" s="80" t="n"/>
      <c r="V500" s="80" t="n"/>
      <c r="W500" s="80" t="n"/>
      <c r="X500" s="80" t="n"/>
      <c r="Y500" s="80" t="n"/>
      <c r="Z500" s="80" t="n"/>
      <c r="AA500" s="80" t="n"/>
      <c r="AB500" s="80" t="n"/>
      <c r="AC500" s="80" t="n"/>
      <c r="AD500" s="80" t="n"/>
      <c r="AE500" s="80" t="n"/>
      <c r="AF500" s="80" t="n"/>
      <c r="AG500" s="80" t="n"/>
      <c r="AH500" s="80" t="n"/>
      <c r="AI500" s="80" t="n"/>
      <c r="AJ500" s="80" t="n"/>
      <c r="AK500" s="80" t="n"/>
      <c r="AL500" s="80" t="n"/>
      <c r="AM500" s="80" t="n"/>
      <c r="AN500" s="80" t="n"/>
      <c r="AO500" s="80" t="n"/>
      <c r="AP500" s="80" t="n"/>
      <c r="AQ500" s="80" t="n"/>
      <c r="AR500" s="80" t="n"/>
    </row>
    <row r="501">
      <c r="D501" s="80" t="n"/>
      <c r="E501" s="80" t="n"/>
      <c r="F501" s="80" t="n"/>
      <c r="G501" s="80" t="n"/>
      <c r="H501" s="80" t="n"/>
      <c r="I501" s="80" t="n"/>
      <c r="J501" s="80" t="n"/>
      <c r="K501" s="80" t="n"/>
      <c r="L501" s="80" t="n"/>
      <c r="M501" s="80" t="n"/>
      <c r="N501" s="80" t="n"/>
      <c r="O501" s="80" t="n"/>
      <c r="P501" s="80" t="n"/>
      <c r="Q501" s="80" t="n"/>
      <c r="R501" s="80" t="n"/>
      <c r="S501" s="80" t="n"/>
      <c r="T501" s="80" t="n"/>
      <c r="U501" s="80" t="n"/>
      <c r="V501" s="80" t="n"/>
      <c r="W501" s="80" t="n"/>
      <c r="X501" s="80" t="n"/>
      <c r="Y501" s="80" t="n"/>
      <c r="Z501" s="80" t="n"/>
      <c r="AA501" s="80" t="n"/>
      <c r="AB501" s="80" t="n"/>
      <c r="AC501" s="80" t="n"/>
      <c r="AD501" s="80" t="n"/>
      <c r="AE501" s="80" t="n"/>
      <c r="AF501" s="80" t="n"/>
      <c r="AG501" s="80" t="n"/>
      <c r="AH501" s="80" t="n"/>
      <c r="AI501" s="80" t="n"/>
      <c r="AJ501" s="80" t="n"/>
      <c r="AK501" s="80" t="n"/>
      <c r="AL501" s="80" t="n"/>
      <c r="AM501" s="80" t="n"/>
      <c r="AN501" s="80" t="n"/>
      <c r="AO501" s="80" t="n"/>
      <c r="AP501" s="80" t="n"/>
      <c r="AQ501" s="80" t="n"/>
      <c r="AR501" s="80" t="n"/>
    </row>
    <row r="502">
      <c r="D502" s="80" t="n"/>
      <c r="E502" s="80" t="n"/>
      <c r="F502" s="80" t="n"/>
      <c r="G502" s="80" t="n"/>
      <c r="H502" s="80" t="n"/>
      <c r="I502" s="80" t="n"/>
      <c r="J502" s="80" t="n"/>
      <c r="K502" s="80" t="n"/>
      <c r="L502" s="80" t="n"/>
      <c r="M502" s="80" t="n"/>
      <c r="N502" s="80" t="n"/>
      <c r="O502" s="80" t="n"/>
      <c r="P502" s="80" t="n"/>
      <c r="Q502" s="80" t="n"/>
      <c r="R502" s="80" t="n"/>
      <c r="S502" s="80" t="n"/>
      <c r="T502" s="80" t="n"/>
      <c r="U502" s="80" t="n"/>
      <c r="V502" s="80" t="n"/>
      <c r="W502" s="80" t="n"/>
      <c r="X502" s="80" t="n"/>
      <c r="Y502" s="80" t="n"/>
      <c r="Z502" s="80" t="n"/>
      <c r="AA502" s="80" t="n"/>
      <c r="AB502" s="80" t="n"/>
      <c r="AC502" s="80" t="n"/>
      <c r="AD502" s="80" t="n"/>
      <c r="AE502" s="80" t="n"/>
      <c r="AF502" s="80" t="n"/>
      <c r="AG502" s="80" t="n"/>
      <c r="AH502" s="80" t="n"/>
      <c r="AI502" s="80" t="n"/>
      <c r="AJ502" s="80" t="n"/>
      <c r="AK502" s="80" t="n"/>
      <c r="AL502" s="80" t="n"/>
      <c r="AM502" s="80" t="n"/>
      <c r="AN502" s="80" t="n"/>
      <c r="AO502" s="80" t="n"/>
      <c r="AP502" s="80" t="n"/>
      <c r="AQ502" s="80" t="n"/>
      <c r="AR502" s="80" t="n"/>
    </row>
    <row r="504">
      <c r="A504" s="6">
        <f>IF(HSI!$C$40="","",HSI!$C$40)</f>
        <v/>
      </c>
      <c r="B504" s="41">
        <f>IF($A504="",0,COUNT($E505:$AR505))</f>
        <v/>
      </c>
      <c r="C504" s="81">
        <f>IF($B504=0,0,MAX($E505:$AR505))</f>
        <v/>
      </c>
      <c r="D504" s="82">
        <f>BDS($A504,'Field Check'!$C$7,"headers=y","startcol=1","endcol=7","dir=h","DVD_START_DT",Summary!$C$18,"DVD_END_DT",Summary!$D$18)</f>
        <v/>
      </c>
      <c r="E504" s="83" t="n"/>
      <c r="F504" s="83" t="n"/>
      <c r="G504" s="83" t="n"/>
      <c r="H504" s="83" t="n"/>
      <c r="I504" s="83" t="n"/>
      <c r="J504" s="83" t="n"/>
      <c r="K504" s="83" t="n"/>
      <c r="L504" s="83" t="n"/>
      <c r="M504" s="83" t="n"/>
      <c r="N504" s="83" t="n"/>
      <c r="O504" s="83" t="n"/>
      <c r="P504" s="83" t="n"/>
      <c r="Q504" s="83" t="n"/>
      <c r="R504" s="83" t="n"/>
      <c r="S504" s="83" t="n"/>
      <c r="T504" s="83" t="n"/>
      <c r="U504" s="83" t="n"/>
      <c r="V504" s="83" t="n"/>
      <c r="W504" s="83" t="n"/>
      <c r="X504" s="83" t="n"/>
      <c r="Y504" s="83" t="n"/>
      <c r="Z504" s="83" t="n"/>
      <c r="AA504" s="83" t="n"/>
      <c r="AB504" s="83" t="n"/>
      <c r="AC504" s="83" t="n"/>
      <c r="AD504" s="83" t="n"/>
      <c r="AE504" s="83" t="n"/>
      <c r="AF504" s="83" t="n"/>
      <c r="AG504" s="83" t="n"/>
      <c r="AH504" s="83" t="n"/>
      <c r="AI504" s="83" t="n"/>
      <c r="AJ504" s="83" t="n"/>
      <c r="AK504" s="83" t="n"/>
      <c r="AL504" s="83" t="n"/>
      <c r="AM504" s="83" t="n"/>
      <c r="AN504" s="83" t="n"/>
      <c r="AO504" s="83" t="n"/>
      <c r="AP504" s="83" t="n"/>
      <c r="AQ504" s="83" t="n"/>
      <c r="AR504" s="83" t="n"/>
    </row>
    <row r="505">
      <c r="D505" s="83" t="n"/>
      <c r="E505" s="83" t="n"/>
      <c r="F505" s="83" t="n"/>
      <c r="G505" s="83" t="n"/>
      <c r="H505" s="83" t="n"/>
      <c r="I505" s="83" t="n"/>
      <c r="J505" s="83" t="n"/>
      <c r="K505" s="83" t="n"/>
      <c r="L505" s="83" t="n"/>
      <c r="M505" s="83" t="n"/>
      <c r="N505" s="83" t="n"/>
      <c r="O505" s="83" t="n"/>
      <c r="P505" s="83" t="n"/>
      <c r="Q505" s="83" t="n"/>
      <c r="R505" s="83" t="n"/>
      <c r="S505" s="83" t="n"/>
      <c r="T505" s="83" t="n"/>
      <c r="U505" s="83" t="n"/>
      <c r="V505" s="83" t="n"/>
      <c r="W505" s="83" t="n"/>
      <c r="X505" s="83" t="n"/>
      <c r="Y505" s="83" t="n"/>
      <c r="Z505" s="83" t="n"/>
      <c r="AA505" s="83" t="n"/>
      <c r="AB505" s="83" t="n"/>
      <c r="AC505" s="83" t="n"/>
      <c r="AD505" s="83" t="n"/>
      <c r="AE505" s="83" t="n"/>
      <c r="AF505" s="83" t="n"/>
      <c r="AG505" s="83" t="n"/>
      <c r="AH505" s="83" t="n"/>
      <c r="AI505" s="83" t="n"/>
      <c r="AJ505" s="83" t="n"/>
      <c r="AK505" s="83" t="n"/>
      <c r="AL505" s="83" t="n"/>
      <c r="AM505" s="83" t="n"/>
      <c r="AN505" s="83" t="n"/>
      <c r="AO505" s="83" t="n"/>
      <c r="AP505" s="83" t="n"/>
      <c r="AQ505" s="83" t="n"/>
      <c r="AR505" s="83" t="n"/>
    </row>
    <row r="506">
      <c r="D506" s="84" t="n"/>
      <c r="E506" s="84" t="n"/>
      <c r="F506" s="84" t="n"/>
      <c r="G506" s="84" t="n"/>
      <c r="H506" s="84" t="n"/>
      <c r="I506" s="84" t="n"/>
      <c r="J506" s="84" t="n"/>
      <c r="K506" s="84" t="n"/>
      <c r="L506" s="84" t="n"/>
      <c r="M506" s="84" t="n"/>
      <c r="N506" s="84" t="n"/>
      <c r="O506" s="84" t="n"/>
      <c r="P506" s="84" t="n"/>
      <c r="Q506" s="84" t="n"/>
      <c r="R506" s="84" t="n"/>
      <c r="S506" s="84" t="n"/>
      <c r="T506" s="84" t="n"/>
      <c r="U506" s="84" t="n"/>
      <c r="V506" s="84" t="n"/>
      <c r="W506" s="84" t="n"/>
      <c r="X506" s="84" t="n"/>
      <c r="Y506" s="84" t="n"/>
      <c r="Z506" s="84" t="n"/>
      <c r="AA506" s="84" t="n"/>
      <c r="AB506" s="84" t="n"/>
      <c r="AC506" s="84" t="n"/>
      <c r="AD506" s="84" t="n"/>
      <c r="AE506" s="84" t="n"/>
      <c r="AF506" s="84" t="n"/>
      <c r="AG506" s="84" t="n"/>
      <c r="AH506" s="84" t="n"/>
      <c r="AI506" s="84" t="n"/>
      <c r="AJ506" s="84" t="n"/>
      <c r="AK506" s="84" t="n"/>
      <c r="AL506" s="84" t="n"/>
      <c r="AM506" s="84" t="n"/>
      <c r="AN506" s="84" t="n"/>
      <c r="AO506" s="84" t="n"/>
      <c r="AP506" s="84" t="n"/>
      <c r="AQ506" s="84" t="n"/>
      <c r="AR506" s="84" t="n"/>
    </row>
    <row r="507">
      <c r="D507" s="80" t="n"/>
      <c r="E507" s="80" t="n"/>
      <c r="F507" s="80" t="n"/>
      <c r="G507" s="80" t="n"/>
      <c r="H507" s="80" t="n"/>
      <c r="I507" s="80" t="n"/>
      <c r="J507" s="80" t="n"/>
      <c r="K507" s="80" t="n"/>
      <c r="L507" s="80" t="n"/>
      <c r="M507" s="80" t="n"/>
      <c r="N507" s="80" t="n"/>
      <c r="O507" s="80" t="n"/>
      <c r="P507" s="80" t="n"/>
      <c r="Q507" s="80" t="n"/>
      <c r="R507" s="80" t="n"/>
      <c r="S507" s="80" t="n"/>
      <c r="T507" s="80" t="n"/>
      <c r="U507" s="80" t="n"/>
      <c r="V507" s="80" t="n"/>
      <c r="W507" s="80" t="n"/>
      <c r="X507" s="80" t="n"/>
      <c r="Y507" s="80" t="n"/>
      <c r="Z507" s="80" t="n"/>
      <c r="AA507" s="80" t="n"/>
      <c r="AB507" s="80" t="n"/>
      <c r="AC507" s="80" t="n"/>
      <c r="AD507" s="80" t="n"/>
      <c r="AE507" s="80" t="n"/>
      <c r="AF507" s="80" t="n"/>
      <c r="AG507" s="80" t="n"/>
      <c r="AH507" s="80" t="n"/>
      <c r="AI507" s="80" t="n"/>
      <c r="AJ507" s="80" t="n"/>
      <c r="AK507" s="80" t="n"/>
      <c r="AL507" s="80" t="n"/>
      <c r="AM507" s="80" t="n"/>
      <c r="AN507" s="80" t="n"/>
      <c r="AO507" s="80" t="n"/>
      <c r="AP507" s="80" t="n"/>
      <c r="AQ507" s="80" t="n"/>
      <c r="AR507" s="80" t="n"/>
    </row>
    <row r="508">
      <c r="D508" s="80" t="n"/>
      <c r="E508" s="80" t="n"/>
      <c r="F508" s="80" t="n"/>
      <c r="G508" s="80" t="n"/>
      <c r="H508" s="80" t="n"/>
      <c r="I508" s="80" t="n"/>
      <c r="J508" s="80" t="n"/>
      <c r="K508" s="80" t="n"/>
      <c r="L508" s="80" t="n"/>
      <c r="M508" s="80" t="n"/>
      <c r="N508" s="80" t="n"/>
      <c r="O508" s="80" t="n"/>
      <c r="P508" s="80" t="n"/>
      <c r="Q508" s="80" t="n"/>
      <c r="R508" s="80" t="n"/>
      <c r="S508" s="80" t="n"/>
      <c r="T508" s="80" t="n"/>
      <c r="U508" s="80" t="n"/>
      <c r="V508" s="80" t="n"/>
      <c r="W508" s="80" t="n"/>
      <c r="X508" s="80" t="n"/>
      <c r="Y508" s="80" t="n"/>
      <c r="Z508" s="80" t="n"/>
      <c r="AA508" s="80" t="n"/>
      <c r="AB508" s="80" t="n"/>
      <c r="AC508" s="80" t="n"/>
      <c r="AD508" s="80" t="n"/>
      <c r="AE508" s="80" t="n"/>
      <c r="AF508" s="80" t="n"/>
      <c r="AG508" s="80" t="n"/>
      <c r="AH508" s="80" t="n"/>
      <c r="AI508" s="80" t="n"/>
      <c r="AJ508" s="80" t="n"/>
      <c r="AK508" s="80" t="n"/>
      <c r="AL508" s="80" t="n"/>
      <c r="AM508" s="80" t="n"/>
      <c r="AN508" s="80" t="n"/>
      <c r="AO508" s="80" t="n"/>
      <c r="AP508" s="80" t="n"/>
      <c r="AQ508" s="80" t="n"/>
      <c r="AR508" s="80" t="n"/>
    </row>
    <row r="509">
      <c r="D509" s="80" t="n"/>
      <c r="E509" s="80" t="n"/>
      <c r="F509" s="80" t="n"/>
      <c r="G509" s="80" t="n"/>
      <c r="H509" s="80" t="n"/>
      <c r="I509" s="80" t="n"/>
      <c r="J509" s="80" t="n"/>
      <c r="K509" s="80" t="n"/>
      <c r="L509" s="80" t="n"/>
      <c r="M509" s="80" t="n"/>
      <c r="N509" s="80" t="n"/>
      <c r="O509" s="80" t="n"/>
      <c r="P509" s="80" t="n"/>
      <c r="Q509" s="80" t="n"/>
      <c r="R509" s="80" t="n"/>
      <c r="S509" s="80" t="n"/>
      <c r="T509" s="80" t="n"/>
      <c r="U509" s="80" t="n"/>
      <c r="V509" s="80" t="n"/>
      <c r="W509" s="80" t="n"/>
      <c r="X509" s="80" t="n"/>
      <c r="Y509" s="80" t="n"/>
      <c r="Z509" s="80" t="n"/>
      <c r="AA509" s="80" t="n"/>
      <c r="AB509" s="80" t="n"/>
      <c r="AC509" s="80" t="n"/>
      <c r="AD509" s="80" t="n"/>
      <c r="AE509" s="80" t="n"/>
      <c r="AF509" s="80" t="n"/>
      <c r="AG509" s="80" t="n"/>
      <c r="AH509" s="80" t="n"/>
      <c r="AI509" s="80" t="n"/>
      <c r="AJ509" s="80" t="n"/>
      <c r="AK509" s="80" t="n"/>
      <c r="AL509" s="80" t="n"/>
      <c r="AM509" s="80" t="n"/>
      <c r="AN509" s="80" t="n"/>
      <c r="AO509" s="80" t="n"/>
      <c r="AP509" s="80" t="n"/>
      <c r="AQ509" s="80" t="n"/>
      <c r="AR509" s="80" t="n"/>
    </row>
    <row r="510">
      <c r="D510" s="80" t="n"/>
      <c r="E510" s="80" t="n"/>
      <c r="F510" s="80" t="n"/>
      <c r="G510" s="80" t="n"/>
      <c r="H510" s="80" t="n"/>
      <c r="I510" s="80" t="n"/>
      <c r="J510" s="80" t="n"/>
      <c r="K510" s="80" t="n"/>
      <c r="L510" s="80" t="n"/>
      <c r="M510" s="80" t="n"/>
      <c r="N510" s="80" t="n"/>
      <c r="O510" s="80" t="n"/>
      <c r="P510" s="80" t="n"/>
      <c r="Q510" s="80" t="n"/>
      <c r="R510" s="80" t="n"/>
      <c r="S510" s="80" t="n"/>
      <c r="T510" s="80" t="n"/>
      <c r="U510" s="80" t="n"/>
      <c r="V510" s="80" t="n"/>
      <c r="W510" s="80" t="n"/>
      <c r="X510" s="80" t="n"/>
      <c r="Y510" s="80" t="n"/>
      <c r="Z510" s="80" t="n"/>
      <c r="AA510" s="80" t="n"/>
      <c r="AB510" s="80" t="n"/>
      <c r="AC510" s="80" t="n"/>
      <c r="AD510" s="80" t="n"/>
      <c r="AE510" s="80" t="n"/>
      <c r="AF510" s="80" t="n"/>
      <c r="AG510" s="80" t="n"/>
      <c r="AH510" s="80" t="n"/>
      <c r="AI510" s="80" t="n"/>
      <c r="AJ510" s="80" t="n"/>
      <c r="AK510" s="80" t="n"/>
      <c r="AL510" s="80" t="n"/>
      <c r="AM510" s="80" t="n"/>
      <c r="AN510" s="80" t="n"/>
      <c r="AO510" s="80" t="n"/>
      <c r="AP510" s="80" t="n"/>
      <c r="AQ510" s="80" t="n"/>
      <c r="AR510" s="80" t="n"/>
    </row>
    <row r="511">
      <c r="A511" s="2">
        <f>IF($A504="","","   projections")</f>
        <v/>
      </c>
      <c r="B511" s="41">
        <f>IF($A504="",0,COUNT($E512:$AR512))</f>
        <v/>
      </c>
      <c r="C511" s="81">
        <f>IF($B511=0,0,MAX($E512:$AR512))</f>
        <v/>
      </c>
      <c r="D511" s="82">
        <f>BDS($A504,'Field Check'!$C$6,"headers=y","startcol=1","endcol=7","dir=h")</f>
        <v/>
      </c>
      <c r="E511" s="83" t="n"/>
      <c r="F511" s="83" t="n"/>
      <c r="G511" s="83" t="n"/>
      <c r="H511" s="83" t="n"/>
      <c r="I511" s="83" t="n"/>
      <c r="J511" s="83" t="n"/>
      <c r="K511" s="83" t="n"/>
      <c r="L511" s="83" t="n"/>
      <c r="M511" s="83" t="n"/>
      <c r="N511" s="83" t="n"/>
      <c r="O511" s="83" t="n"/>
      <c r="P511" s="83" t="n"/>
      <c r="Q511" s="83" t="n"/>
      <c r="R511" s="83" t="n"/>
      <c r="S511" s="83" t="n"/>
      <c r="T511" s="83" t="n"/>
      <c r="U511" s="83" t="n"/>
      <c r="V511" s="83" t="n"/>
      <c r="W511" s="83" t="n"/>
      <c r="X511" s="83" t="n"/>
      <c r="Y511" s="83" t="n"/>
      <c r="Z511" s="83" t="n"/>
      <c r="AA511" s="83" t="n"/>
      <c r="AB511" s="83" t="n"/>
      <c r="AC511" s="83" t="n"/>
      <c r="AD511" s="83" t="n"/>
      <c r="AE511" s="83" t="n"/>
      <c r="AF511" s="83" t="n"/>
      <c r="AG511" s="83" t="n"/>
      <c r="AH511" s="83" t="n"/>
      <c r="AI511" s="83" t="n"/>
      <c r="AJ511" s="83" t="n"/>
      <c r="AK511" s="83" t="n"/>
      <c r="AL511" s="83" t="n"/>
      <c r="AM511" s="83" t="n"/>
      <c r="AN511" s="83" t="n"/>
      <c r="AO511" s="83" t="n"/>
      <c r="AP511" s="83" t="n"/>
      <c r="AQ511" s="83" t="n"/>
      <c r="AR511" s="83" t="n"/>
    </row>
    <row r="512">
      <c r="D512" s="83" t="n"/>
      <c r="E512" s="83" t="n"/>
      <c r="F512" s="83" t="n"/>
      <c r="G512" s="83" t="n"/>
      <c r="H512" s="83" t="n"/>
      <c r="I512" s="83" t="n"/>
      <c r="J512" s="83" t="n"/>
      <c r="K512" s="83" t="n"/>
      <c r="L512" s="83" t="n"/>
      <c r="M512" s="83" t="n"/>
      <c r="N512" s="83" t="n"/>
      <c r="O512" s="83" t="n"/>
      <c r="P512" s="83" t="n"/>
      <c r="Q512" s="83" t="n"/>
      <c r="R512" s="83" t="n"/>
      <c r="S512" s="83" t="n"/>
      <c r="T512" s="83" t="n"/>
      <c r="U512" s="83" t="n"/>
      <c r="V512" s="83" t="n"/>
      <c r="W512" s="83" t="n"/>
      <c r="X512" s="83" t="n"/>
      <c r="Y512" s="83" t="n"/>
      <c r="Z512" s="83" t="n"/>
      <c r="AA512" s="83" t="n"/>
      <c r="AB512" s="83" t="n"/>
      <c r="AC512" s="83" t="n"/>
      <c r="AD512" s="83" t="n"/>
      <c r="AE512" s="83" t="n"/>
      <c r="AF512" s="83" t="n"/>
      <c r="AG512" s="83" t="n"/>
      <c r="AH512" s="83" t="n"/>
      <c r="AI512" s="83" t="n"/>
      <c r="AJ512" s="83" t="n"/>
      <c r="AK512" s="83" t="n"/>
      <c r="AL512" s="83" t="n"/>
      <c r="AM512" s="83" t="n"/>
      <c r="AN512" s="83" t="n"/>
      <c r="AO512" s="83" t="n"/>
      <c r="AP512" s="83" t="n"/>
      <c r="AQ512" s="83" t="n"/>
      <c r="AR512" s="83" t="n"/>
    </row>
    <row r="513">
      <c r="D513" s="84" t="n"/>
      <c r="E513" s="84" t="n"/>
      <c r="F513" s="84" t="n"/>
      <c r="G513" s="84" t="n"/>
      <c r="H513" s="84" t="n"/>
      <c r="I513" s="84" t="n"/>
      <c r="J513" s="84" t="n"/>
      <c r="K513" s="84" t="n"/>
      <c r="L513" s="84" t="n"/>
      <c r="M513" s="84" t="n"/>
      <c r="N513" s="84" t="n"/>
      <c r="O513" s="84" t="n"/>
      <c r="P513" s="84" t="n"/>
      <c r="Q513" s="84" t="n"/>
      <c r="R513" s="84" t="n"/>
      <c r="S513" s="84" t="n"/>
      <c r="T513" s="84" t="n"/>
      <c r="U513" s="84" t="n"/>
      <c r="V513" s="84" t="n"/>
      <c r="W513" s="84" t="n"/>
      <c r="X513" s="84" t="n"/>
      <c r="Y513" s="84" t="n"/>
      <c r="Z513" s="84" t="n"/>
      <c r="AA513" s="84" t="n"/>
      <c r="AB513" s="84" t="n"/>
      <c r="AC513" s="84" t="n"/>
      <c r="AD513" s="84" t="n"/>
      <c r="AE513" s="84" t="n"/>
      <c r="AF513" s="84" t="n"/>
      <c r="AG513" s="84" t="n"/>
      <c r="AH513" s="84" t="n"/>
      <c r="AI513" s="84" t="n"/>
      <c r="AJ513" s="84" t="n"/>
      <c r="AK513" s="84" t="n"/>
      <c r="AL513" s="84" t="n"/>
      <c r="AM513" s="84" t="n"/>
      <c r="AN513" s="84" t="n"/>
      <c r="AO513" s="84" t="n"/>
      <c r="AP513" s="84" t="n"/>
      <c r="AQ513" s="84" t="n"/>
      <c r="AR513" s="84" t="n"/>
    </row>
    <row r="514">
      <c r="D514" s="80" t="n"/>
      <c r="E514" s="80" t="n"/>
      <c r="F514" s="80" t="n"/>
      <c r="G514" s="80" t="n"/>
      <c r="H514" s="80" t="n"/>
      <c r="I514" s="80" t="n"/>
      <c r="J514" s="80" t="n"/>
      <c r="K514" s="80" t="n"/>
      <c r="L514" s="80" t="n"/>
      <c r="M514" s="80" t="n"/>
      <c r="N514" s="80" t="n"/>
      <c r="O514" s="80" t="n"/>
      <c r="P514" s="80" t="n"/>
      <c r="Q514" s="80" t="n"/>
      <c r="R514" s="80" t="n"/>
      <c r="S514" s="80" t="n"/>
      <c r="T514" s="80" t="n"/>
      <c r="U514" s="80" t="n"/>
      <c r="V514" s="80" t="n"/>
      <c r="W514" s="80" t="n"/>
      <c r="X514" s="80" t="n"/>
      <c r="Y514" s="80" t="n"/>
      <c r="Z514" s="80" t="n"/>
      <c r="AA514" s="80" t="n"/>
      <c r="AB514" s="80" t="n"/>
      <c r="AC514" s="80" t="n"/>
      <c r="AD514" s="80" t="n"/>
      <c r="AE514" s="80" t="n"/>
      <c r="AF514" s="80" t="n"/>
      <c r="AG514" s="80" t="n"/>
      <c r="AH514" s="80" t="n"/>
      <c r="AI514" s="80" t="n"/>
      <c r="AJ514" s="80" t="n"/>
      <c r="AK514" s="80" t="n"/>
      <c r="AL514" s="80" t="n"/>
      <c r="AM514" s="80" t="n"/>
      <c r="AN514" s="80" t="n"/>
      <c r="AO514" s="80" t="n"/>
      <c r="AP514" s="80" t="n"/>
      <c r="AQ514" s="80" t="n"/>
      <c r="AR514" s="80" t="n"/>
    </row>
    <row r="515">
      <c r="D515" s="80" t="n"/>
      <c r="E515" s="80" t="n"/>
      <c r="F515" s="80" t="n"/>
      <c r="G515" s="80" t="n"/>
      <c r="H515" s="80" t="n"/>
      <c r="I515" s="80" t="n"/>
      <c r="J515" s="80" t="n"/>
      <c r="K515" s="80" t="n"/>
      <c r="L515" s="80" t="n"/>
      <c r="M515" s="80" t="n"/>
      <c r="N515" s="80" t="n"/>
      <c r="O515" s="80" t="n"/>
      <c r="P515" s="80" t="n"/>
      <c r="Q515" s="80" t="n"/>
      <c r="R515" s="80" t="n"/>
      <c r="S515" s="80" t="n"/>
      <c r="T515" s="80" t="n"/>
      <c r="U515" s="80" t="n"/>
      <c r="V515" s="80" t="n"/>
      <c r="W515" s="80" t="n"/>
      <c r="X515" s="80" t="n"/>
      <c r="Y515" s="80" t="n"/>
      <c r="Z515" s="80" t="n"/>
      <c r="AA515" s="80" t="n"/>
      <c r="AB515" s="80" t="n"/>
      <c r="AC515" s="80" t="n"/>
      <c r="AD515" s="80" t="n"/>
      <c r="AE515" s="80" t="n"/>
      <c r="AF515" s="80" t="n"/>
      <c r="AG515" s="80" t="n"/>
      <c r="AH515" s="80" t="n"/>
      <c r="AI515" s="80" t="n"/>
      <c r="AJ515" s="80" t="n"/>
      <c r="AK515" s="80" t="n"/>
      <c r="AL515" s="80" t="n"/>
      <c r="AM515" s="80" t="n"/>
      <c r="AN515" s="80" t="n"/>
      <c r="AO515" s="80" t="n"/>
      <c r="AP515" s="80" t="n"/>
      <c r="AQ515" s="80" t="n"/>
      <c r="AR515" s="80" t="n"/>
    </row>
    <row r="516">
      <c r="D516" s="80" t="n"/>
      <c r="E516" s="80" t="n"/>
      <c r="F516" s="80" t="n"/>
      <c r="G516" s="80" t="n"/>
      <c r="H516" s="80" t="n"/>
      <c r="I516" s="80" t="n"/>
      <c r="J516" s="80" t="n"/>
      <c r="K516" s="80" t="n"/>
      <c r="L516" s="80" t="n"/>
      <c r="M516" s="80" t="n"/>
      <c r="N516" s="80" t="n"/>
      <c r="O516" s="80" t="n"/>
      <c r="P516" s="80" t="n"/>
      <c r="Q516" s="80" t="n"/>
      <c r="R516" s="80" t="n"/>
      <c r="S516" s="80" t="n"/>
      <c r="T516" s="80" t="n"/>
      <c r="U516" s="80" t="n"/>
      <c r="V516" s="80" t="n"/>
      <c r="W516" s="80" t="n"/>
      <c r="X516" s="80" t="n"/>
      <c r="Y516" s="80" t="n"/>
      <c r="Z516" s="80" t="n"/>
      <c r="AA516" s="80" t="n"/>
      <c r="AB516" s="80" t="n"/>
      <c r="AC516" s="80" t="n"/>
      <c r="AD516" s="80" t="n"/>
      <c r="AE516" s="80" t="n"/>
      <c r="AF516" s="80" t="n"/>
      <c r="AG516" s="80" t="n"/>
      <c r="AH516" s="80" t="n"/>
      <c r="AI516" s="80" t="n"/>
      <c r="AJ516" s="80" t="n"/>
      <c r="AK516" s="80" t="n"/>
      <c r="AL516" s="80" t="n"/>
      <c r="AM516" s="80" t="n"/>
      <c r="AN516" s="80" t="n"/>
      <c r="AO516" s="80" t="n"/>
      <c r="AP516" s="80" t="n"/>
      <c r="AQ516" s="80" t="n"/>
      <c r="AR516" s="80" t="n"/>
    </row>
    <row r="517">
      <c r="D517" s="80" t="n"/>
      <c r="E517" s="80" t="n"/>
      <c r="F517" s="80" t="n"/>
      <c r="G517" s="80" t="n"/>
      <c r="H517" s="80" t="n"/>
      <c r="I517" s="80" t="n"/>
      <c r="J517" s="80" t="n"/>
      <c r="K517" s="80" t="n"/>
      <c r="L517" s="80" t="n"/>
      <c r="M517" s="80" t="n"/>
      <c r="N517" s="80" t="n"/>
      <c r="O517" s="80" t="n"/>
      <c r="P517" s="80" t="n"/>
      <c r="Q517" s="80" t="n"/>
      <c r="R517" s="80" t="n"/>
      <c r="S517" s="80" t="n"/>
      <c r="T517" s="80" t="n"/>
      <c r="U517" s="80" t="n"/>
      <c r="V517" s="80" t="n"/>
      <c r="W517" s="80" t="n"/>
      <c r="X517" s="80" t="n"/>
      <c r="Y517" s="80" t="n"/>
      <c r="Z517" s="80" t="n"/>
      <c r="AA517" s="80" t="n"/>
      <c r="AB517" s="80" t="n"/>
      <c r="AC517" s="80" t="n"/>
      <c r="AD517" s="80" t="n"/>
      <c r="AE517" s="80" t="n"/>
      <c r="AF517" s="80" t="n"/>
      <c r="AG517" s="80" t="n"/>
      <c r="AH517" s="80" t="n"/>
      <c r="AI517" s="80" t="n"/>
      <c r="AJ517" s="80" t="n"/>
      <c r="AK517" s="80" t="n"/>
      <c r="AL517" s="80" t="n"/>
      <c r="AM517" s="80" t="n"/>
      <c r="AN517" s="80" t="n"/>
      <c r="AO517" s="80" t="n"/>
      <c r="AP517" s="80" t="n"/>
      <c r="AQ517" s="80" t="n"/>
      <c r="AR517" s="80" t="n"/>
    </row>
    <row r="519">
      <c r="A519" s="6">
        <f>IF(HSI!$C$41="","",HSI!$C$41)</f>
        <v/>
      </c>
      <c r="B519" s="41">
        <f>IF($A519="",0,COUNT($E520:$AR520))</f>
        <v/>
      </c>
      <c r="C519" s="81">
        <f>IF($B519=0,0,MAX($E520:$AR520))</f>
        <v/>
      </c>
      <c r="D519" s="82">
        <f>BDS($A519,'Field Check'!$C$7,"headers=y","startcol=1","endcol=7","dir=h","DVD_START_DT",Summary!$C$18,"DVD_END_DT",Summary!$D$18)</f>
        <v/>
      </c>
      <c r="E519" s="83" t="n"/>
      <c r="F519" s="83" t="n"/>
      <c r="G519" s="83" t="n"/>
      <c r="H519" s="83" t="n"/>
      <c r="I519" s="83" t="n"/>
      <c r="J519" s="83" t="n"/>
      <c r="K519" s="83" t="n"/>
      <c r="L519" s="83" t="n"/>
      <c r="M519" s="83" t="n"/>
      <c r="N519" s="83" t="n"/>
      <c r="O519" s="83" t="n"/>
      <c r="P519" s="83" t="n"/>
      <c r="Q519" s="83" t="n"/>
      <c r="R519" s="83" t="n"/>
      <c r="S519" s="83" t="n"/>
      <c r="T519" s="83" t="n"/>
      <c r="U519" s="83" t="n"/>
      <c r="V519" s="83" t="n"/>
      <c r="W519" s="83" t="n"/>
      <c r="X519" s="83" t="n"/>
      <c r="Y519" s="83" t="n"/>
      <c r="Z519" s="83" t="n"/>
      <c r="AA519" s="83" t="n"/>
      <c r="AB519" s="83" t="n"/>
      <c r="AC519" s="83" t="n"/>
      <c r="AD519" s="83" t="n"/>
      <c r="AE519" s="83" t="n"/>
      <c r="AF519" s="83" t="n"/>
      <c r="AG519" s="83" t="n"/>
      <c r="AH519" s="83" t="n"/>
      <c r="AI519" s="83" t="n"/>
      <c r="AJ519" s="83" t="n"/>
      <c r="AK519" s="83" t="n"/>
      <c r="AL519" s="83" t="n"/>
      <c r="AM519" s="83" t="n"/>
      <c r="AN519" s="83" t="n"/>
      <c r="AO519" s="83" t="n"/>
      <c r="AP519" s="83" t="n"/>
      <c r="AQ519" s="83" t="n"/>
      <c r="AR519" s="83" t="n"/>
    </row>
    <row r="520">
      <c r="D520" s="83" t="n"/>
      <c r="E520" s="83" t="n"/>
      <c r="F520" s="83" t="n"/>
      <c r="G520" s="83" t="n"/>
      <c r="H520" s="83" t="n"/>
      <c r="I520" s="83" t="n"/>
      <c r="J520" s="83" t="n"/>
      <c r="K520" s="83" t="n"/>
      <c r="L520" s="83" t="n"/>
      <c r="M520" s="83" t="n"/>
      <c r="N520" s="83" t="n"/>
      <c r="O520" s="83" t="n"/>
      <c r="P520" s="83" t="n"/>
      <c r="Q520" s="83" t="n"/>
      <c r="R520" s="83" t="n"/>
      <c r="S520" s="83" t="n"/>
      <c r="T520" s="83" t="n"/>
      <c r="U520" s="83" t="n"/>
      <c r="V520" s="83" t="n"/>
      <c r="W520" s="83" t="n"/>
      <c r="X520" s="83" t="n"/>
      <c r="Y520" s="83" t="n"/>
      <c r="Z520" s="83" t="n"/>
      <c r="AA520" s="83" t="n"/>
      <c r="AB520" s="83" t="n"/>
      <c r="AC520" s="83" t="n"/>
      <c r="AD520" s="83" t="n"/>
      <c r="AE520" s="83" t="n"/>
      <c r="AF520" s="83" t="n"/>
      <c r="AG520" s="83" t="n"/>
      <c r="AH520" s="83" t="n"/>
      <c r="AI520" s="83" t="n"/>
      <c r="AJ520" s="83" t="n"/>
      <c r="AK520" s="83" t="n"/>
      <c r="AL520" s="83" t="n"/>
      <c r="AM520" s="83" t="n"/>
      <c r="AN520" s="83" t="n"/>
      <c r="AO520" s="83" t="n"/>
      <c r="AP520" s="83" t="n"/>
      <c r="AQ520" s="83" t="n"/>
      <c r="AR520" s="83" t="n"/>
    </row>
    <row r="521">
      <c r="D521" s="84" t="n"/>
      <c r="E521" s="84" t="n"/>
      <c r="F521" s="84" t="n"/>
      <c r="G521" s="84" t="n"/>
      <c r="H521" s="84" t="n"/>
      <c r="I521" s="84" t="n"/>
      <c r="J521" s="84" t="n"/>
      <c r="K521" s="84" t="n"/>
      <c r="L521" s="84" t="n"/>
      <c r="M521" s="84" t="n"/>
      <c r="N521" s="84" t="n"/>
      <c r="O521" s="84" t="n"/>
      <c r="P521" s="84" t="n"/>
      <c r="Q521" s="84" t="n"/>
      <c r="R521" s="84" t="n"/>
      <c r="S521" s="84" t="n"/>
      <c r="T521" s="84" t="n"/>
      <c r="U521" s="84" t="n"/>
      <c r="V521" s="84" t="n"/>
      <c r="W521" s="84" t="n"/>
      <c r="X521" s="84" t="n"/>
      <c r="Y521" s="84" t="n"/>
      <c r="Z521" s="84" t="n"/>
      <c r="AA521" s="84" t="n"/>
      <c r="AB521" s="84" t="n"/>
      <c r="AC521" s="84" t="n"/>
      <c r="AD521" s="84" t="n"/>
      <c r="AE521" s="84" t="n"/>
      <c r="AF521" s="84" t="n"/>
      <c r="AG521" s="84" t="n"/>
      <c r="AH521" s="84" t="n"/>
      <c r="AI521" s="84" t="n"/>
      <c r="AJ521" s="84" t="n"/>
      <c r="AK521" s="84" t="n"/>
      <c r="AL521" s="84" t="n"/>
      <c r="AM521" s="84" t="n"/>
      <c r="AN521" s="84" t="n"/>
      <c r="AO521" s="84" t="n"/>
      <c r="AP521" s="84" t="n"/>
      <c r="AQ521" s="84" t="n"/>
      <c r="AR521" s="84" t="n"/>
    </row>
    <row r="522">
      <c r="D522" s="80" t="n"/>
      <c r="E522" s="80" t="n"/>
      <c r="F522" s="80" t="n"/>
      <c r="G522" s="80" t="n"/>
      <c r="H522" s="80" t="n"/>
      <c r="I522" s="80" t="n"/>
      <c r="J522" s="80" t="n"/>
      <c r="K522" s="80" t="n"/>
      <c r="L522" s="80" t="n"/>
      <c r="M522" s="80" t="n"/>
      <c r="N522" s="80" t="n"/>
      <c r="O522" s="80" t="n"/>
      <c r="P522" s="80" t="n"/>
      <c r="Q522" s="80" t="n"/>
      <c r="R522" s="80" t="n"/>
      <c r="S522" s="80" t="n"/>
      <c r="T522" s="80" t="n"/>
      <c r="U522" s="80" t="n"/>
      <c r="V522" s="80" t="n"/>
      <c r="W522" s="80" t="n"/>
      <c r="X522" s="80" t="n"/>
      <c r="Y522" s="80" t="n"/>
      <c r="Z522" s="80" t="n"/>
      <c r="AA522" s="80" t="n"/>
      <c r="AB522" s="80" t="n"/>
      <c r="AC522" s="80" t="n"/>
      <c r="AD522" s="80" t="n"/>
      <c r="AE522" s="80" t="n"/>
      <c r="AF522" s="80" t="n"/>
      <c r="AG522" s="80" t="n"/>
      <c r="AH522" s="80" t="n"/>
      <c r="AI522" s="80" t="n"/>
      <c r="AJ522" s="80" t="n"/>
      <c r="AK522" s="80" t="n"/>
      <c r="AL522" s="80" t="n"/>
      <c r="AM522" s="80" t="n"/>
      <c r="AN522" s="80" t="n"/>
      <c r="AO522" s="80" t="n"/>
      <c r="AP522" s="80" t="n"/>
      <c r="AQ522" s="80" t="n"/>
      <c r="AR522" s="80" t="n"/>
    </row>
    <row r="523">
      <c r="D523" s="80" t="n"/>
      <c r="E523" s="80" t="n"/>
      <c r="F523" s="80" t="n"/>
      <c r="G523" s="80" t="n"/>
      <c r="H523" s="80" t="n"/>
      <c r="I523" s="80" t="n"/>
      <c r="J523" s="80" t="n"/>
      <c r="K523" s="80" t="n"/>
      <c r="L523" s="80" t="n"/>
      <c r="M523" s="80" t="n"/>
      <c r="N523" s="80" t="n"/>
      <c r="O523" s="80" t="n"/>
      <c r="P523" s="80" t="n"/>
      <c r="Q523" s="80" t="n"/>
      <c r="R523" s="80" t="n"/>
      <c r="S523" s="80" t="n"/>
      <c r="T523" s="80" t="n"/>
      <c r="U523" s="80" t="n"/>
      <c r="V523" s="80" t="n"/>
      <c r="W523" s="80" t="n"/>
      <c r="X523" s="80" t="n"/>
      <c r="Y523" s="80" t="n"/>
      <c r="Z523" s="80" t="n"/>
      <c r="AA523" s="80" t="n"/>
      <c r="AB523" s="80" t="n"/>
      <c r="AC523" s="80" t="n"/>
      <c r="AD523" s="80" t="n"/>
      <c r="AE523" s="80" t="n"/>
      <c r="AF523" s="80" t="n"/>
      <c r="AG523" s="80" t="n"/>
      <c r="AH523" s="80" t="n"/>
      <c r="AI523" s="80" t="n"/>
      <c r="AJ523" s="80" t="n"/>
      <c r="AK523" s="80" t="n"/>
      <c r="AL523" s="80" t="n"/>
      <c r="AM523" s="80" t="n"/>
      <c r="AN523" s="80" t="n"/>
      <c r="AO523" s="80" t="n"/>
      <c r="AP523" s="80" t="n"/>
      <c r="AQ523" s="80" t="n"/>
      <c r="AR523" s="80" t="n"/>
    </row>
    <row r="524">
      <c r="D524" s="80" t="n"/>
      <c r="E524" s="80" t="n"/>
      <c r="F524" s="80" t="n"/>
      <c r="G524" s="80" t="n"/>
      <c r="H524" s="80" t="n"/>
      <c r="I524" s="80" t="n"/>
      <c r="J524" s="80" t="n"/>
      <c r="K524" s="80" t="n"/>
      <c r="L524" s="80" t="n"/>
      <c r="M524" s="80" t="n"/>
      <c r="N524" s="80" t="n"/>
      <c r="O524" s="80" t="n"/>
      <c r="P524" s="80" t="n"/>
      <c r="Q524" s="80" t="n"/>
      <c r="R524" s="80" t="n"/>
      <c r="S524" s="80" t="n"/>
      <c r="T524" s="80" t="n"/>
      <c r="U524" s="80" t="n"/>
      <c r="V524" s="80" t="n"/>
      <c r="W524" s="80" t="n"/>
      <c r="X524" s="80" t="n"/>
      <c r="Y524" s="80" t="n"/>
      <c r="Z524" s="80" t="n"/>
      <c r="AA524" s="80" t="n"/>
      <c r="AB524" s="80" t="n"/>
      <c r="AC524" s="80" t="n"/>
      <c r="AD524" s="80" t="n"/>
      <c r="AE524" s="80" t="n"/>
      <c r="AF524" s="80" t="n"/>
      <c r="AG524" s="80" t="n"/>
      <c r="AH524" s="80" t="n"/>
      <c r="AI524" s="80" t="n"/>
      <c r="AJ524" s="80" t="n"/>
      <c r="AK524" s="80" t="n"/>
      <c r="AL524" s="80" t="n"/>
      <c r="AM524" s="80" t="n"/>
      <c r="AN524" s="80" t="n"/>
      <c r="AO524" s="80" t="n"/>
      <c r="AP524" s="80" t="n"/>
      <c r="AQ524" s="80" t="n"/>
      <c r="AR524" s="80" t="n"/>
    </row>
    <row r="525">
      <c r="D525" s="80" t="n"/>
      <c r="E525" s="80" t="n"/>
      <c r="F525" s="80" t="n"/>
      <c r="G525" s="80" t="n"/>
      <c r="H525" s="80" t="n"/>
      <c r="I525" s="80" t="n"/>
      <c r="J525" s="80" t="n"/>
      <c r="K525" s="80" t="n"/>
      <c r="L525" s="80" t="n"/>
      <c r="M525" s="80" t="n"/>
      <c r="N525" s="80" t="n"/>
      <c r="O525" s="80" t="n"/>
      <c r="P525" s="80" t="n"/>
      <c r="Q525" s="80" t="n"/>
      <c r="R525" s="80" t="n"/>
      <c r="S525" s="80" t="n"/>
      <c r="T525" s="80" t="n"/>
      <c r="U525" s="80" t="n"/>
      <c r="V525" s="80" t="n"/>
      <c r="W525" s="80" t="n"/>
      <c r="X525" s="80" t="n"/>
      <c r="Y525" s="80" t="n"/>
      <c r="Z525" s="80" t="n"/>
      <c r="AA525" s="80" t="n"/>
      <c r="AB525" s="80" t="n"/>
      <c r="AC525" s="80" t="n"/>
      <c r="AD525" s="80" t="n"/>
      <c r="AE525" s="80" t="n"/>
      <c r="AF525" s="80" t="n"/>
      <c r="AG525" s="80" t="n"/>
      <c r="AH525" s="80" t="n"/>
      <c r="AI525" s="80" t="n"/>
      <c r="AJ525" s="80" t="n"/>
      <c r="AK525" s="80" t="n"/>
      <c r="AL525" s="80" t="n"/>
      <c r="AM525" s="80" t="n"/>
      <c r="AN525" s="80" t="n"/>
      <c r="AO525" s="80" t="n"/>
      <c r="AP525" s="80" t="n"/>
      <c r="AQ525" s="80" t="n"/>
      <c r="AR525" s="80" t="n"/>
    </row>
    <row r="526">
      <c r="A526" s="2">
        <f>IF($A519="","","   projections")</f>
        <v/>
      </c>
      <c r="B526" s="41">
        <f>IF($A519="",0,COUNT($E527:$AR527))</f>
        <v/>
      </c>
      <c r="C526" s="81">
        <f>IF($B526=0,0,MAX($E527:$AR527))</f>
        <v/>
      </c>
      <c r="D526" s="82">
        <f>BDS($A519,'Field Check'!$C$6,"headers=y","startcol=1","endcol=7","dir=h")</f>
        <v/>
      </c>
      <c r="E526" s="83" t="n"/>
      <c r="F526" s="83" t="n"/>
      <c r="G526" s="83" t="n"/>
      <c r="H526" s="83" t="n"/>
      <c r="I526" s="83" t="n"/>
      <c r="J526" s="83" t="n"/>
      <c r="K526" s="83" t="n"/>
      <c r="L526" s="83" t="n"/>
      <c r="M526" s="83" t="n"/>
      <c r="N526" s="83" t="n"/>
      <c r="O526" s="83" t="n"/>
      <c r="P526" s="83" t="n"/>
      <c r="Q526" s="83" t="n"/>
      <c r="R526" s="83" t="n"/>
      <c r="S526" s="83" t="n"/>
      <c r="T526" s="83" t="n"/>
      <c r="U526" s="83" t="n"/>
      <c r="V526" s="83" t="n"/>
      <c r="W526" s="83" t="n"/>
      <c r="X526" s="83" t="n"/>
      <c r="Y526" s="83" t="n"/>
      <c r="Z526" s="83" t="n"/>
      <c r="AA526" s="83" t="n"/>
      <c r="AB526" s="83" t="n"/>
      <c r="AC526" s="83" t="n"/>
      <c r="AD526" s="83" t="n"/>
      <c r="AE526" s="83" t="n"/>
      <c r="AF526" s="83" t="n"/>
      <c r="AG526" s="83" t="n"/>
      <c r="AH526" s="83" t="n"/>
      <c r="AI526" s="83" t="n"/>
      <c r="AJ526" s="83" t="n"/>
      <c r="AK526" s="83" t="n"/>
      <c r="AL526" s="83" t="n"/>
      <c r="AM526" s="83" t="n"/>
      <c r="AN526" s="83" t="n"/>
      <c r="AO526" s="83" t="n"/>
      <c r="AP526" s="83" t="n"/>
      <c r="AQ526" s="83" t="n"/>
      <c r="AR526" s="83" t="n"/>
    </row>
    <row r="527">
      <c r="D527" s="83" t="n"/>
      <c r="E527" s="83" t="n"/>
      <c r="F527" s="83" t="n"/>
      <c r="G527" s="83" t="n"/>
      <c r="H527" s="83" t="n"/>
      <c r="I527" s="83" t="n"/>
      <c r="J527" s="83" t="n"/>
      <c r="K527" s="83" t="n"/>
      <c r="L527" s="83" t="n"/>
      <c r="M527" s="83" t="n"/>
      <c r="N527" s="83" t="n"/>
      <c r="O527" s="83" t="n"/>
      <c r="P527" s="83" t="n"/>
      <c r="Q527" s="83" t="n"/>
      <c r="R527" s="83" t="n"/>
      <c r="S527" s="83" t="n"/>
      <c r="T527" s="83" t="n"/>
      <c r="U527" s="83" t="n"/>
      <c r="V527" s="83" t="n"/>
      <c r="W527" s="83" t="n"/>
      <c r="X527" s="83" t="n"/>
      <c r="Y527" s="83" t="n"/>
      <c r="Z527" s="83" t="n"/>
      <c r="AA527" s="83" t="n"/>
      <c r="AB527" s="83" t="n"/>
      <c r="AC527" s="83" t="n"/>
      <c r="AD527" s="83" t="n"/>
      <c r="AE527" s="83" t="n"/>
      <c r="AF527" s="83" t="n"/>
      <c r="AG527" s="83" t="n"/>
      <c r="AH527" s="83" t="n"/>
      <c r="AI527" s="83" t="n"/>
      <c r="AJ527" s="83" t="n"/>
      <c r="AK527" s="83" t="n"/>
      <c r="AL527" s="83" t="n"/>
      <c r="AM527" s="83" t="n"/>
      <c r="AN527" s="83" t="n"/>
      <c r="AO527" s="83" t="n"/>
      <c r="AP527" s="83" t="n"/>
      <c r="AQ527" s="83" t="n"/>
      <c r="AR527" s="83" t="n"/>
    </row>
    <row r="528">
      <c r="D528" s="84" t="n"/>
      <c r="E528" s="84" t="n"/>
      <c r="F528" s="84" t="n"/>
      <c r="G528" s="84" t="n"/>
      <c r="H528" s="84" t="n"/>
      <c r="I528" s="84" t="n"/>
      <c r="J528" s="84" t="n"/>
      <c r="K528" s="84" t="n"/>
      <c r="L528" s="84" t="n"/>
      <c r="M528" s="84" t="n"/>
      <c r="N528" s="84" t="n"/>
      <c r="O528" s="84" t="n"/>
      <c r="P528" s="84" t="n"/>
      <c r="Q528" s="84" t="n"/>
      <c r="R528" s="84" t="n"/>
      <c r="S528" s="84" t="n"/>
      <c r="T528" s="84" t="n"/>
      <c r="U528" s="84" t="n"/>
      <c r="V528" s="84" t="n"/>
      <c r="W528" s="84" t="n"/>
      <c r="X528" s="84" t="n"/>
      <c r="Y528" s="84" t="n"/>
      <c r="Z528" s="84" t="n"/>
      <c r="AA528" s="84" t="n"/>
      <c r="AB528" s="84" t="n"/>
      <c r="AC528" s="84" t="n"/>
      <c r="AD528" s="84" t="n"/>
      <c r="AE528" s="84" t="n"/>
      <c r="AF528" s="84" t="n"/>
      <c r="AG528" s="84" t="n"/>
      <c r="AH528" s="84" t="n"/>
      <c r="AI528" s="84" t="n"/>
      <c r="AJ528" s="84" t="n"/>
      <c r="AK528" s="84" t="n"/>
      <c r="AL528" s="84" t="n"/>
      <c r="AM528" s="84" t="n"/>
      <c r="AN528" s="84" t="n"/>
      <c r="AO528" s="84" t="n"/>
      <c r="AP528" s="84" t="n"/>
      <c r="AQ528" s="84" t="n"/>
      <c r="AR528" s="84" t="n"/>
    </row>
    <row r="529">
      <c r="D529" s="80" t="n"/>
      <c r="E529" s="80" t="n"/>
      <c r="F529" s="80" t="n"/>
      <c r="G529" s="80" t="n"/>
      <c r="H529" s="80" t="n"/>
      <c r="I529" s="80" t="n"/>
      <c r="J529" s="80" t="n"/>
      <c r="K529" s="80" t="n"/>
      <c r="L529" s="80" t="n"/>
      <c r="M529" s="80" t="n"/>
      <c r="N529" s="80" t="n"/>
      <c r="O529" s="80" t="n"/>
      <c r="P529" s="80" t="n"/>
      <c r="Q529" s="80" t="n"/>
      <c r="R529" s="80" t="n"/>
      <c r="S529" s="80" t="n"/>
      <c r="T529" s="80" t="n"/>
      <c r="U529" s="80" t="n"/>
      <c r="V529" s="80" t="n"/>
      <c r="W529" s="80" t="n"/>
      <c r="X529" s="80" t="n"/>
      <c r="Y529" s="80" t="n"/>
      <c r="Z529" s="80" t="n"/>
      <c r="AA529" s="80" t="n"/>
      <c r="AB529" s="80" t="n"/>
      <c r="AC529" s="80" t="n"/>
      <c r="AD529" s="80" t="n"/>
      <c r="AE529" s="80" t="n"/>
      <c r="AF529" s="80" t="n"/>
      <c r="AG529" s="80" t="n"/>
      <c r="AH529" s="80" t="n"/>
      <c r="AI529" s="80" t="n"/>
      <c r="AJ529" s="80" t="n"/>
      <c r="AK529" s="80" t="n"/>
      <c r="AL529" s="80" t="n"/>
      <c r="AM529" s="80" t="n"/>
      <c r="AN529" s="80" t="n"/>
      <c r="AO529" s="80" t="n"/>
      <c r="AP529" s="80" t="n"/>
      <c r="AQ529" s="80" t="n"/>
      <c r="AR529" s="80" t="n"/>
    </row>
    <row r="530">
      <c r="D530" s="80" t="n"/>
      <c r="E530" s="80" t="n"/>
      <c r="F530" s="80" t="n"/>
      <c r="G530" s="80" t="n"/>
      <c r="H530" s="80" t="n"/>
      <c r="I530" s="80" t="n"/>
      <c r="J530" s="80" t="n"/>
      <c r="K530" s="80" t="n"/>
      <c r="L530" s="80" t="n"/>
      <c r="M530" s="80" t="n"/>
      <c r="N530" s="80" t="n"/>
      <c r="O530" s="80" t="n"/>
      <c r="P530" s="80" t="n"/>
      <c r="Q530" s="80" t="n"/>
      <c r="R530" s="80" t="n"/>
      <c r="S530" s="80" t="n"/>
      <c r="T530" s="80" t="n"/>
      <c r="U530" s="80" t="n"/>
      <c r="V530" s="80" t="n"/>
      <c r="W530" s="80" t="n"/>
      <c r="X530" s="80" t="n"/>
      <c r="Y530" s="80" t="n"/>
      <c r="Z530" s="80" t="n"/>
      <c r="AA530" s="80" t="n"/>
      <c r="AB530" s="80" t="n"/>
      <c r="AC530" s="80" t="n"/>
      <c r="AD530" s="80" t="n"/>
      <c r="AE530" s="80" t="n"/>
      <c r="AF530" s="80" t="n"/>
      <c r="AG530" s="80" t="n"/>
      <c r="AH530" s="80" t="n"/>
      <c r="AI530" s="80" t="n"/>
      <c r="AJ530" s="80" t="n"/>
      <c r="AK530" s="80" t="n"/>
      <c r="AL530" s="80" t="n"/>
      <c r="AM530" s="80" t="n"/>
      <c r="AN530" s="80" t="n"/>
      <c r="AO530" s="80" t="n"/>
      <c r="AP530" s="80" t="n"/>
      <c r="AQ530" s="80" t="n"/>
      <c r="AR530" s="80" t="n"/>
    </row>
    <row r="531">
      <c r="D531" s="80" t="n"/>
      <c r="E531" s="80" t="n"/>
      <c r="F531" s="80" t="n"/>
      <c r="G531" s="80" t="n"/>
      <c r="H531" s="80" t="n"/>
      <c r="I531" s="80" t="n"/>
      <c r="J531" s="80" t="n"/>
      <c r="K531" s="80" t="n"/>
      <c r="L531" s="80" t="n"/>
      <c r="M531" s="80" t="n"/>
      <c r="N531" s="80" t="n"/>
      <c r="O531" s="80" t="n"/>
      <c r="P531" s="80" t="n"/>
      <c r="Q531" s="80" t="n"/>
      <c r="R531" s="80" t="n"/>
      <c r="S531" s="80" t="n"/>
      <c r="T531" s="80" t="n"/>
      <c r="U531" s="80" t="n"/>
      <c r="V531" s="80" t="n"/>
      <c r="W531" s="80" t="n"/>
      <c r="X531" s="80" t="n"/>
      <c r="Y531" s="80" t="n"/>
      <c r="Z531" s="80" t="n"/>
      <c r="AA531" s="80" t="n"/>
      <c r="AB531" s="80" t="n"/>
      <c r="AC531" s="80" t="n"/>
      <c r="AD531" s="80" t="n"/>
      <c r="AE531" s="80" t="n"/>
      <c r="AF531" s="80" t="n"/>
      <c r="AG531" s="80" t="n"/>
      <c r="AH531" s="80" t="n"/>
      <c r="AI531" s="80" t="n"/>
      <c r="AJ531" s="80" t="n"/>
      <c r="AK531" s="80" t="n"/>
      <c r="AL531" s="80" t="n"/>
      <c r="AM531" s="80" t="n"/>
      <c r="AN531" s="80" t="n"/>
      <c r="AO531" s="80" t="n"/>
      <c r="AP531" s="80" t="n"/>
      <c r="AQ531" s="80" t="n"/>
      <c r="AR531" s="80" t="n"/>
    </row>
    <row r="532">
      <c r="D532" s="80" t="n"/>
      <c r="E532" s="80" t="n"/>
      <c r="F532" s="80" t="n"/>
      <c r="G532" s="80" t="n"/>
      <c r="H532" s="80" t="n"/>
      <c r="I532" s="80" t="n"/>
      <c r="J532" s="80" t="n"/>
      <c r="K532" s="80" t="n"/>
      <c r="L532" s="80" t="n"/>
      <c r="M532" s="80" t="n"/>
      <c r="N532" s="80" t="n"/>
      <c r="O532" s="80" t="n"/>
      <c r="P532" s="80" t="n"/>
      <c r="Q532" s="80" t="n"/>
      <c r="R532" s="80" t="n"/>
      <c r="S532" s="80" t="n"/>
      <c r="T532" s="80" t="n"/>
      <c r="U532" s="80" t="n"/>
      <c r="V532" s="80" t="n"/>
      <c r="W532" s="80" t="n"/>
      <c r="X532" s="80" t="n"/>
      <c r="Y532" s="80" t="n"/>
      <c r="Z532" s="80" t="n"/>
      <c r="AA532" s="80" t="n"/>
      <c r="AB532" s="80" t="n"/>
      <c r="AC532" s="80" t="n"/>
      <c r="AD532" s="80" t="n"/>
      <c r="AE532" s="80" t="n"/>
      <c r="AF532" s="80" t="n"/>
      <c r="AG532" s="80" t="n"/>
      <c r="AH532" s="80" t="n"/>
      <c r="AI532" s="80" t="n"/>
      <c r="AJ532" s="80" t="n"/>
      <c r="AK532" s="80" t="n"/>
      <c r="AL532" s="80" t="n"/>
      <c r="AM532" s="80" t="n"/>
      <c r="AN532" s="80" t="n"/>
      <c r="AO532" s="80" t="n"/>
      <c r="AP532" s="80" t="n"/>
      <c r="AQ532" s="80" t="n"/>
      <c r="AR532" s="80" t="n"/>
    </row>
    <row r="534">
      <c r="A534" s="6">
        <f>IF(HSI!$C$42="","",HSI!$C$42)</f>
        <v/>
      </c>
      <c r="B534" s="41">
        <f>IF($A534="",0,COUNT($E535:$AR535))</f>
        <v/>
      </c>
      <c r="C534" s="81">
        <f>IF($B534=0,0,MAX($E535:$AR535))</f>
        <v/>
      </c>
      <c r="D534" s="82">
        <f>BDS($A534,'Field Check'!$C$7,"headers=y","startcol=1","endcol=7","dir=h","DVD_START_DT",Summary!$C$18,"DVD_END_DT",Summary!$D$18)</f>
        <v/>
      </c>
      <c r="E534" s="83" t="n"/>
      <c r="F534" s="83" t="n"/>
      <c r="G534" s="83" t="n"/>
      <c r="H534" s="83" t="n"/>
      <c r="I534" s="83" t="n"/>
      <c r="J534" s="83" t="n"/>
      <c r="K534" s="83" t="n"/>
      <c r="L534" s="83" t="n"/>
      <c r="M534" s="83" t="n"/>
      <c r="N534" s="83" t="n"/>
      <c r="O534" s="83" t="n"/>
      <c r="P534" s="83" t="n"/>
      <c r="Q534" s="83" t="n"/>
      <c r="R534" s="83" t="n"/>
      <c r="S534" s="83" t="n"/>
      <c r="T534" s="83" t="n"/>
      <c r="U534" s="83" t="n"/>
      <c r="V534" s="83" t="n"/>
      <c r="W534" s="83" t="n"/>
      <c r="X534" s="83" t="n"/>
      <c r="Y534" s="83" t="n"/>
      <c r="Z534" s="83" t="n"/>
      <c r="AA534" s="83" t="n"/>
      <c r="AB534" s="83" t="n"/>
      <c r="AC534" s="83" t="n"/>
      <c r="AD534" s="83" t="n"/>
      <c r="AE534" s="83" t="n"/>
      <c r="AF534" s="83" t="n"/>
      <c r="AG534" s="83" t="n"/>
      <c r="AH534" s="83" t="n"/>
      <c r="AI534" s="83" t="n"/>
      <c r="AJ534" s="83" t="n"/>
      <c r="AK534" s="83" t="n"/>
      <c r="AL534" s="83" t="n"/>
      <c r="AM534" s="83" t="n"/>
      <c r="AN534" s="83" t="n"/>
      <c r="AO534" s="83" t="n"/>
      <c r="AP534" s="83" t="n"/>
      <c r="AQ534" s="83" t="n"/>
      <c r="AR534" s="83" t="n"/>
    </row>
    <row r="535">
      <c r="D535" s="83" t="n"/>
      <c r="E535" s="83" t="n"/>
      <c r="F535" s="83" t="n"/>
      <c r="G535" s="83" t="n"/>
      <c r="H535" s="83" t="n"/>
      <c r="I535" s="83" t="n"/>
      <c r="J535" s="83" t="n"/>
      <c r="K535" s="83" t="n"/>
      <c r="L535" s="83" t="n"/>
      <c r="M535" s="83" t="n"/>
      <c r="N535" s="83" t="n"/>
      <c r="O535" s="83" t="n"/>
      <c r="P535" s="83" t="n"/>
      <c r="Q535" s="83" t="n"/>
      <c r="R535" s="83" t="n"/>
      <c r="S535" s="83" t="n"/>
      <c r="T535" s="83" t="n"/>
      <c r="U535" s="83" t="n"/>
      <c r="V535" s="83" t="n"/>
      <c r="W535" s="83" t="n"/>
      <c r="X535" s="83" t="n"/>
      <c r="Y535" s="83" t="n"/>
      <c r="Z535" s="83" t="n"/>
      <c r="AA535" s="83" t="n"/>
      <c r="AB535" s="83" t="n"/>
      <c r="AC535" s="83" t="n"/>
      <c r="AD535" s="83" t="n"/>
      <c r="AE535" s="83" t="n"/>
      <c r="AF535" s="83" t="n"/>
      <c r="AG535" s="83" t="n"/>
      <c r="AH535" s="83" t="n"/>
      <c r="AI535" s="83" t="n"/>
      <c r="AJ535" s="83" t="n"/>
      <c r="AK535" s="83" t="n"/>
      <c r="AL535" s="83" t="n"/>
      <c r="AM535" s="83" t="n"/>
      <c r="AN535" s="83" t="n"/>
      <c r="AO535" s="83" t="n"/>
      <c r="AP535" s="83" t="n"/>
      <c r="AQ535" s="83" t="n"/>
      <c r="AR535" s="83" t="n"/>
    </row>
    <row r="536">
      <c r="D536" s="84" t="n"/>
      <c r="E536" s="84" t="n"/>
      <c r="F536" s="84" t="n"/>
      <c r="G536" s="84" t="n"/>
      <c r="H536" s="84" t="n"/>
      <c r="I536" s="84" t="n"/>
      <c r="J536" s="84" t="n"/>
      <c r="K536" s="84" t="n"/>
      <c r="L536" s="84" t="n"/>
      <c r="M536" s="84" t="n"/>
      <c r="N536" s="84" t="n"/>
      <c r="O536" s="84" t="n"/>
      <c r="P536" s="84" t="n"/>
      <c r="Q536" s="84" t="n"/>
      <c r="R536" s="84" t="n"/>
      <c r="S536" s="84" t="n"/>
      <c r="T536" s="84" t="n"/>
      <c r="U536" s="84" t="n"/>
      <c r="V536" s="84" t="n"/>
      <c r="W536" s="84" t="n"/>
      <c r="X536" s="84" t="n"/>
      <c r="Y536" s="84" t="n"/>
      <c r="Z536" s="84" t="n"/>
      <c r="AA536" s="84" t="n"/>
      <c r="AB536" s="84" t="n"/>
      <c r="AC536" s="84" t="n"/>
      <c r="AD536" s="84" t="n"/>
      <c r="AE536" s="84" t="n"/>
      <c r="AF536" s="84" t="n"/>
      <c r="AG536" s="84" t="n"/>
      <c r="AH536" s="84" t="n"/>
      <c r="AI536" s="84" t="n"/>
      <c r="AJ536" s="84" t="n"/>
      <c r="AK536" s="84" t="n"/>
      <c r="AL536" s="84" t="n"/>
      <c r="AM536" s="84" t="n"/>
      <c r="AN536" s="84" t="n"/>
      <c r="AO536" s="84" t="n"/>
      <c r="AP536" s="84" t="n"/>
      <c r="AQ536" s="84" t="n"/>
      <c r="AR536" s="84" t="n"/>
    </row>
    <row r="537">
      <c r="D537" s="80" t="n"/>
      <c r="E537" s="80" t="n"/>
      <c r="F537" s="80" t="n"/>
      <c r="G537" s="80" t="n"/>
      <c r="H537" s="80" t="n"/>
      <c r="I537" s="80" t="n"/>
      <c r="J537" s="80" t="n"/>
      <c r="K537" s="80" t="n"/>
      <c r="L537" s="80" t="n"/>
      <c r="M537" s="80" t="n"/>
      <c r="N537" s="80" t="n"/>
      <c r="O537" s="80" t="n"/>
      <c r="P537" s="80" t="n"/>
      <c r="Q537" s="80" t="n"/>
      <c r="R537" s="80" t="n"/>
      <c r="S537" s="80" t="n"/>
      <c r="T537" s="80" t="n"/>
      <c r="U537" s="80" t="n"/>
      <c r="V537" s="80" t="n"/>
      <c r="W537" s="80" t="n"/>
      <c r="X537" s="80" t="n"/>
      <c r="Y537" s="80" t="n"/>
      <c r="Z537" s="80" t="n"/>
      <c r="AA537" s="80" t="n"/>
      <c r="AB537" s="80" t="n"/>
      <c r="AC537" s="80" t="n"/>
      <c r="AD537" s="80" t="n"/>
      <c r="AE537" s="80" t="n"/>
      <c r="AF537" s="80" t="n"/>
      <c r="AG537" s="80" t="n"/>
      <c r="AH537" s="80" t="n"/>
      <c r="AI537" s="80" t="n"/>
      <c r="AJ537" s="80" t="n"/>
      <c r="AK537" s="80" t="n"/>
      <c r="AL537" s="80" t="n"/>
      <c r="AM537" s="80" t="n"/>
      <c r="AN537" s="80" t="n"/>
      <c r="AO537" s="80" t="n"/>
      <c r="AP537" s="80" t="n"/>
      <c r="AQ537" s="80" t="n"/>
      <c r="AR537" s="80" t="n"/>
    </row>
    <row r="538">
      <c r="D538" s="80" t="n"/>
      <c r="E538" s="80" t="n"/>
      <c r="F538" s="80" t="n"/>
      <c r="G538" s="80" t="n"/>
      <c r="H538" s="80" t="n"/>
      <c r="I538" s="80" t="n"/>
      <c r="J538" s="80" t="n"/>
      <c r="K538" s="80" t="n"/>
      <c r="L538" s="80" t="n"/>
      <c r="M538" s="80" t="n"/>
      <c r="N538" s="80" t="n"/>
      <c r="O538" s="80" t="n"/>
      <c r="P538" s="80" t="n"/>
      <c r="Q538" s="80" t="n"/>
      <c r="R538" s="80" t="n"/>
      <c r="S538" s="80" t="n"/>
      <c r="T538" s="80" t="n"/>
      <c r="U538" s="80" t="n"/>
      <c r="V538" s="80" t="n"/>
      <c r="W538" s="80" t="n"/>
      <c r="X538" s="80" t="n"/>
      <c r="Y538" s="80" t="n"/>
      <c r="Z538" s="80" t="n"/>
      <c r="AA538" s="80" t="n"/>
      <c r="AB538" s="80" t="n"/>
      <c r="AC538" s="80" t="n"/>
      <c r="AD538" s="80" t="n"/>
      <c r="AE538" s="80" t="n"/>
      <c r="AF538" s="80" t="n"/>
      <c r="AG538" s="80" t="n"/>
      <c r="AH538" s="80" t="n"/>
      <c r="AI538" s="80" t="n"/>
      <c r="AJ538" s="80" t="n"/>
      <c r="AK538" s="80" t="n"/>
      <c r="AL538" s="80" t="n"/>
      <c r="AM538" s="80" t="n"/>
      <c r="AN538" s="80" t="n"/>
      <c r="AO538" s="80" t="n"/>
      <c r="AP538" s="80" t="n"/>
      <c r="AQ538" s="80" t="n"/>
      <c r="AR538" s="80" t="n"/>
    </row>
    <row r="539">
      <c r="D539" s="80" t="n"/>
      <c r="E539" s="80" t="n"/>
      <c r="F539" s="80" t="n"/>
      <c r="G539" s="80" t="n"/>
      <c r="H539" s="80" t="n"/>
      <c r="I539" s="80" t="n"/>
      <c r="J539" s="80" t="n"/>
      <c r="K539" s="80" t="n"/>
      <c r="L539" s="80" t="n"/>
      <c r="M539" s="80" t="n"/>
      <c r="N539" s="80" t="n"/>
      <c r="O539" s="80" t="n"/>
      <c r="P539" s="80" t="n"/>
      <c r="Q539" s="80" t="n"/>
      <c r="R539" s="80" t="n"/>
      <c r="S539" s="80" t="n"/>
      <c r="T539" s="80" t="n"/>
      <c r="U539" s="80" t="n"/>
      <c r="V539" s="80" t="n"/>
      <c r="W539" s="80" t="n"/>
      <c r="X539" s="80" t="n"/>
      <c r="Y539" s="80" t="n"/>
      <c r="Z539" s="80" t="n"/>
      <c r="AA539" s="80" t="n"/>
      <c r="AB539" s="80" t="n"/>
      <c r="AC539" s="80" t="n"/>
      <c r="AD539" s="80" t="n"/>
      <c r="AE539" s="80" t="n"/>
      <c r="AF539" s="80" t="n"/>
      <c r="AG539" s="80" t="n"/>
      <c r="AH539" s="80" t="n"/>
      <c r="AI539" s="80" t="n"/>
      <c r="AJ539" s="80" t="n"/>
      <c r="AK539" s="80" t="n"/>
      <c r="AL539" s="80" t="n"/>
      <c r="AM539" s="80" t="n"/>
      <c r="AN539" s="80" t="n"/>
      <c r="AO539" s="80" t="n"/>
      <c r="AP539" s="80" t="n"/>
      <c r="AQ539" s="80" t="n"/>
      <c r="AR539" s="80" t="n"/>
    </row>
    <row r="540">
      <c r="D540" s="80" t="n"/>
      <c r="E540" s="80" t="n"/>
      <c r="F540" s="80" t="n"/>
      <c r="G540" s="80" t="n"/>
      <c r="H540" s="80" t="n"/>
      <c r="I540" s="80" t="n"/>
      <c r="J540" s="80" t="n"/>
      <c r="K540" s="80" t="n"/>
      <c r="L540" s="80" t="n"/>
      <c r="M540" s="80" t="n"/>
      <c r="N540" s="80" t="n"/>
      <c r="O540" s="80" t="n"/>
      <c r="P540" s="80" t="n"/>
      <c r="Q540" s="80" t="n"/>
      <c r="R540" s="80" t="n"/>
      <c r="S540" s="80" t="n"/>
      <c r="T540" s="80" t="n"/>
      <c r="U540" s="80" t="n"/>
      <c r="V540" s="80" t="n"/>
      <c r="W540" s="80" t="n"/>
      <c r="X540" s="80" t="n"/>
      <c r="Y540" s="80" t="n"/>
      <c r="Z540" s="80" t="n"/>
      <c r="AA540" s="80" t="n"/>
      <c r="AB540" s="80" t="n"/>
      <c r="AC540" s="80" t="n"/>
      <c r="AD540" s="80" t="n"/>
      <c r="AE540" s="80" t="n"/>
      <c r="AF540" s="80" t="n"/>
      <c r="AG540" s="80" t="n"/>
      <c r="AH540" s="80" t="n"/>
      <c r="AI540" s="80" t="n"/>
      <c r="AJ540" s="80" t="n"/>
      <c r="AK540" s="80" t="n"/>
      <c r="AL540" s="80" t="n"/>
      <c r="AM540" s="80" t="n"/>
      <c r="AN540" s="80" t="n"/>
      <c r="AO540" s="80" t="n"/>
      <c r="AP540" s="80" t="n"/>
      <c r="AQ540" s="80" t="n"/>
      <c r="AR540" s="80" t="n"/>
    </row>
    <row r="541">
      <c r="A541" s="2">
        <f>IF($A534="","","   projections")</f>
        <v/>
      </c>
      <c r="B541" s="41">
        <f>IF($A534="",0,COUNT($E542:$AR542))</f>
        <v/>
      </c>
      <c r="C541" s="81">
        <f>IF($B541=0,0,MAX($E542:$AR542))</f>
        <v/>
      </c>
      <c r="D541" s="82">
        <f>BDS($A534,'Field Check'!$C$6,"headers=y","startcol=1","endcol=7","dir=h")</f>
        <v/>
      </c>
      <c r="E541" s="83" t="n"/>
      <c r="F541" s="83" t="n"/>
      <c r="G541" s="83" t="n"/>
      <c r="H541" s="83" t="n"/>
      <c r="I541" s="83" t="n"/>
      <c r="J541" s="83" t="n"/>
      <c r="K541" s="83" t="n"/>
      <c r="L541" s="83" t="n"/>
      <c r="M541" s="83" t="n"/>
      <c r="N541" s="83" t="n"/>
      <c r="O541" s="83" t="n"/>
      <c r="P541" s="83" t="n"/>
      <c r="Q541" s="83" t="n"/>
      <c r="R541" s="83" t="n"/>
      <c r="S541" s="83" t="n"/>
      <c r="T541" s="83" t="n"/>
      <c r="U541" s="83" t="n"/>
      <c r="V541" s="83" t="n"/>
      <c r="W541" s="83" t="n"/>
      <c r="X541" s="83" t="n"/>
      <c r="Y541" s="83" t="n"/>
      <c r="Z541" s="83" t="n"/>
      <c r="AA541" s="83" t="n"/>
      <c r="AB541" s="83" t="n"/>
      <c r="AC541" s="83" t="n"/>
      <c r="AD541" s="83" t="n"/>
      <c r="AE541" s="83" t="n"/>
      <c r="AF541" s="83" t="n"/>
      <c r="AG541" s="83" t="n"/>
      <c r="AH541" s="83" t="n"/>
      <c r="AI541" s="83" t="n"/>
      <c r="AJ541" s="83" t="n"/>
      <c r="AK541" s="83" t="n"/>
      <c r="AL541" s="83" t="n"/>
      <c r="AM541" s="83" t="n"/>
      <c r="AN541" s="83" t="n"/>
      <c r="AO541" s="83" t="n"/>
      <c r="AP541" s="83" t="n"/>
      <c r="AQ541" s="83" t="n"/>
      <c r="AR541" s="83" t="n"/>
    </row>
    <row r="542">
      <c r="D542" s="83" t="n"/>
      <c r="E542" s="83" t="n"/>
      <c r="F542" s="83" t="n"/>
      <c r="G542" s="83" t="n"/>
      <c r="H542" s="83" t="n"/>
      <c r="I542" s="83" t="n"/>
      <c r="J542" s="83" t="n"/>
      <c r="K542" s="83" t="n"/>
      <c r="L542" s="83" t="n"/>
      <c r="M542" s="83" t="n"/>
      <c r="N542" s="83" t="n"/>
      <c r="O542" s="83" t="n"/>
      <c r="P542" s="83" t="n"/>
      <c r="Q542" s="83" t="n"/>
      <c r="R542" s="83" t="n"/>
      <c r="S542" s="83" t="n"/>
      <c r="T542" s="83" t="n"/>
      <c r="U542" s="83" t="n"/>
      <c r="V542" s="83" t="n"/>
      <c r="W542" s="83" t="n"/>
      <c r="X542" s="83" t="n"/>
      <c r="Y542" s="83" t="n"/>
      <c r="Z542" s="83" t="n"/>
      <c r="AA542" s="83" t="n"/>
      <c r="AB542" s="83" t="n"/>
      <c r="AC542" s="83" t="n"/>
      <c r="AD542" s="83" t="n"/>
      <c r="AE542" s="83" t="n"/>
      <c r="AF542" s="83" t="n"/>
      <c r="AG542" s="83" t="n"/>
      <c r="AH542" s="83" t="n"/>
      <c r="AI542" s="83" t="n"/>
      <c r="AJ542" s="83" t="n"/>
      <c r="AK542" s="83" t="n"/>
      <c r="AL542" s="83" t="n"/>
      <c r="AM542" s="83" t="n"/>
      <c r="AN542" s="83" t="n"/>
      <c r="AO542" s="83" t="n"/>
      <c r="AP542" s="83" t="n"/>
      <c r="AQ542" s="83" t="n"/>
      <c r="AR542" s="83" t="n"/>
    </row>
    <row r="543">
      <c r="D543" s="84" t="n"/>
      <c r="E543" s="84" t="n"/>
      <c r="F543" s="84" t="n"/>
      <c r="G543" s="84" t="n"/>
      <c r="H543" s="84" t="n"/>
      <c r="I543" s="84" t="n"/>
      <c r="J543" s="84" t="n"/>
      <c r="K543" s="84" t="n"/>
      <c r="L543" s="84" t="n"/>
      <c r="M543" s="84" t="n"/>
      <c r="N543" s="84" t="n"/>
      <c r="O543" s="84" t="n"/>
      <c r="P543" s="84" t="n"/>
      <c r="Q543" s="84" t="n"/>
      <c r="R543" s="84" t="n"/>
      <c r="S543" s="84" t="n"/>
      <c r="T543" s="84" t="n"/>
      <c r="U543" s="84" t="n"/>
      <c r="V543" s="84" t="n"/>
      <c r="W543" s="84" t="n"/>
      <c r="X543" s="84" t="n"/>
      <c r="Y543" s="84" t="n"/>
      <c r="Z543" s="84" t="n"/>
      <c r="AA543" s="84" t="n"/>
      <c r="AB543" s="84" t="n"/>
      <c r="AC543" s="84" t="n"/>
      <c r="AD543" s="84" t="n"/>
      <c r="AE543" s="84" t="n"/>
      <c r="AF543" s="84" t="n"/>
      <c r="AG543" s="84" t="n"/>
      <c r="AH543" s="84" t="n"/>
      <c r="AI543" s="84" t="n"/>
      <c r="AJ543" s="84" t="n"/>
      <c r="AK543" s="84" t="n"/>
      <c r="AL543" s="84" t="n"/>
      <c r="AM543" s="84" t="n"/>
      <c r="AN543" s="84" t="n"/>
      <c r="AO543" s="84" t="n"/>
      <c r="AP543" s="84" t="n"/>
      <c r="AQ543" s="84" t="n"/>
      <c r="AR543" s="84" t="n"/>
    </row>
    <row r="544">
      <c r="D544" s="80" t="n"/>
      <c r="E544" s="80" t="n"/>
      <c r="F544" s="80" t="n"/>
      <c r="G544" s="80" t="n"/>
      <c r="H544" s="80" t="n"/>
      <c r="I544" s="80" t="n"/>
      <c r="J544" s="80" t="n"/>
      <c r="K544" s="80" t="n"/>
      <c r="L544" s="80" t="n"/>
      <c r="M544" s="80" t="n"/>
      <c r="N544" s="80" t="n"/>
      <c r="O544" s="80" t="n"/>
      <c r="P544" s="80" t="n"/>
      <c r="Q544" s="80" t="n"/>
      <c r="R544" s="80" t="n"/>
      <c r="S544" s="80" t="n"/>
      <c r="T544" s="80" t="n"/>
      <c r="U544" s="80" t="n"/>
      <c r="V544" s="80" t="n"/>
      <c r="W544" s="80" t="n"/>
      <c r="X544" s="80" t="n"/>
      <c r="Y544" s="80" t="n"/>
      <c r="Z544" s="80" t="n"/>
      <c r="AA544" s="80" t="n"/>
      <c r="AB544" s="80" t="n"/>
      <c r="AC544" s="80" t="n"/>
      <c r="AD544" s="80" t="n"/>
      <c r="AE544" s="80" t="n"/>
      <c r="AF544" s="80" t="n"/>
      <c r="AG544" s="80" t="n"/>
      <c r="AH544" s="80" t="n"/>
      <c r="AI544" s="80" t="n"/>
      <c r="AJ544" s="80" t="n"/>
      <c r="AK544" s="80" t="n"/>
      <c r="AL544" s="80" t="n"/>
      <c r="AM544" s="80" t="n"/>
      <c r="AN544" s="80" t="n"/>
      <c r="AO544" s="80" t="n"/>
      <c r="AP544" s="80" t="n"/>
      <c r="AQ544" s="80" t="n"/>
      <c r="AR544" s="80" t="n"/>
    </row>
    <row r="545">
      <c r="D545" s="80" t="n"/>
      <c r="E545" s="80" t="n"/>
      <c r="F545" s="80" t="n"/>
      <c r="G545" s="80" t="n"/>
      <c r="H545" s="80" t="n"/>
      <c r="I545" s="80" t="n"/>
      <c r="J545" s="80" t="n"/>
      <c r="K545" s="80" t="n"/>
      <c r="L545" s="80" t="n"/>
      <c r="M545" s="80" t="n"/>
      <c r="N545" s="80" t="n"/>
      <c r="O545" s="80" t="n"/>
      <c r="P545" s="80" t="n"/>
      <c r="Q545" s="80" t="n"/>
      <c r="R545" s="80" t="n"/>
      <c r="S545" s="80" t="n"/>
      <c r="T545" s="80" t="n"/>
      <c r="U545" s="80" t="n"/>
      <c r="V545" s="80" t="n"/>
      <c r="W545" s="80" t="n"/>
      <c r="X545" s="80" t="n"/>
      <c r="Y545" s="80" t="n"/>
      <c r="Z545" s="80" t="n"/>
      <c r="AA545" s="80" t="n"/>
      <c r="AB545" s="80" t="n"/>
      <c r="AC545" s="80" t="n"/>
      <c r="AD545" s="80" t="n"/>
      <c r="AE545" s="80" t="n"/>
      <c r="AF545" s="80" t="n"/>
      <c r="AG545" s="80" t="n"/>
      <c r="AH545" s="80" t="n"/>
      <c r="AI545" s="80" t="n"/>
      <c r="AJ545" s="80" t="n"/>
      <c r="AK545" s="80" t="n"/>
      <c r="AL545" s="80" t="n"/>
      <c r="AM545" s="80" t="n"/>
      <c r="AN545" s="80" t="n"/>
      <c r="AO545" s="80" t="n"/>
      <c r="AP545" s="80" t="n"/>
      <c r="AQ545" s="80" t="n"/>
      <c r="AR545" s="80" t="n"/>
    </row>
    <row r="546">
      <c r="D546" s="80" t="n"/>
      <c r="E546" s="80" t="n"/>
      <c r="F546" s="80" t="n"/>
      <c r="G546" s="80" t="n"/>
      <c r="H546" s="80" t="n"/>
      <c r="I546" s="80" t="n"/>
      <c r="J546" s="80" t="n"/>
      <c r="K546" s="80" t="n"/>
      <c r="L546" s="80" t="n"/>
      <c r="M546" s="80" t="n"/>
      <c r="N546" s="80" t="n"/>
      <c r="O546" s="80" t="n"/>
      <c r="P546" s="80" t="n"/>
      <c r="Q546" s="80" t="n"/>
      <c r="R546" s="80" t="n"/>
      <c r="S546" s="80" t="n"/>
      <c r="T546" s="80" t="n"/>
      <c r="U546" s="80" t="n"/>
      <c r="V546" s="80" t="n"/>
      <c r="W546" s="80" t="n"/>
      <c r="X546" s="80" t="n"/>
      <c r="Y546" s="80" t="n"/>
      <c r="Z546" s="80" t="n"/>
      <c r="AA546" s="80" t="n"/>
      <c r="AB546" s="80" t="n"/>
      <c r="AC546" s="80" t="n"/>
      <c r="AD546" s="80" t="n"/>
      <c r="AE546" s="80" t="n"/>
      <c r="AF546" s="80" t="n"/>
      <c r="AG546" s="80" t="n"/>
      <c r="AH546" s="80" t="n"/>
      <c r="AI546" s="80" t="n"/>
      <c r="AJ546" s="80" t="n"/>
      <c r="AK546" s="80" t="n"/>
      <c r="AL546" s="80" t="n"/>
      <c r="AM546" s="80" t="n"/>
      <c r="AN546" s="80" t="n"/>
      <c r="AO546" s="80" t="n"/>
      <c r="AP546" s="80" t="n"/>
      <c r="AQ546" s="80" t="n"/>
      <c r="AR546" s="80" t="n"/>
    </row>
    <row r="547">
      <c r="D547" s="80" t="n"/>
      <c r="E547" s="80" t="n"/>
      <c r="F547" s="80" t="n"/>
      <c r="G547" s="80" t="n"/>
      <c r="H547" s="80" t="n"/>
      <c r="I547" s="80" t="n"/>
      <c r="J547" s="80" t="n"/>
      <c r="K547" s="80" t="n"/>
      <c r="L547" s="80" t="n"/>
      <c r="M547" s="80" t="n"/>
      <c r="N547" s="80" t="n"/>
      <c r="O547" s="80" t="n"/>
      <c r="P547" s="80" t="n"/>
      <c r="Q547" s="80" t="n"/>
      <c r="R547" s="80" t="n"/>
      <c r="S547" s="80" t="n"/>
      <c r="T547" s="80" t="n"/>
      <c r="U547" s="80" t="n"/>
      <c r="V547" s="80" t="n"/>
      <c r="W547" s="80" t="n"/>
      <c r="X547" s="80" t="n"/>
      <c r="Y547" s="80" t="n"/>
      <c r="Z547" s="80" t="n"/>
      <c r="AA547" s="80" t="n"/>
      <c r="AB547" s="80" t="n"/>
      <c r="AC547" s="80" t="n"/>
      <c r="AD547" s="80" t="n"/>
      <c r="AE547" s="80" t="n"/>
      <c r="AF547" s="80" t="n"/>
      <c r="AG547" s="80" t="n"/>
      <c r="AH547" s="80" t="n"/>
      <c r="AI547" s="80" t="n"/>
      <c r="AJ547" s="80" t="n"/>
      <c r="AK547" s="80" t="n"/>
      <c r="AL547" s="80" t="n"/>
      <c r="AM547" s="80" t="n"/>
      <c r="AN547" s="80" t="n"/>
      <c r="AO547" s="80" t="n"/>
      <c r="AP547" s="80" t="n"/>
      <c r="AQ547" s="80" t="n"/>
      <c r="AR547" s="80" t="n"/>
    </row>
    <row r="549">
      <c r="A549" s="6">
        <f>IF(HSI!$C$43="","",HSI!$C$43)</f>
        <v/>
      </c>
      <c r="B549" s="41">
        <f>IF($A549="",0,COUNT($E550:$AR550))</f>
        <v/>
      </c>
      <c r="C549" s="81">
        <f>IF($B549=0,0,MAX($E550:$AR550))</f>
        <v/>
      </c>
      <c r="D549" s="82">
        <f>BDS($A549,'Field Check'!$C$7,"headers=y","startcol=1","endcol=7","dir=h","DVD_START_DT",Summary!$C$18,"DVD_END_DT",Summary!$D$18)</f>
        <v/>
      </c>
      <c r="E549" s="83" t="n"/>
      <c r="F549" s="83" t="n"/>
      <c r="G549" s="83" t="n"/>
      <c r="H549" s="83" t="n"/>
      <c r="I549" s="83" t="n"/>
      <c r="J549" s="83" t="n"/>
      <c r="K549" s="83" t="n"/>
      <c r="L549" s="83" t="n"/>
      <c r="M549" s="83" t="n"/>
      <c r="N549" s="83" t="n"/>
      <c r="O549" s="83" t="n"/>
      <c r="P549" s="83" t="n"/>
      <c r="Q549" s="83" t="n"/>
      <c r="R549" s="83" t="n"/>
      <c r="S549" s="83" t="n"/>
      <c r="T549" s="83" t="n"/>
      <c r="U549" s="83" t="n"/>
      <c r="V549" s="83" t="n"/>
      <c r="W549" s="83" t="n"/>
      <c r="X549" s="83" t="n"/>
      <c r="Y549" s="83" t="n"/>
      <c r="Z549" s="83" t="n"/>
      <c r="AA549" s="83" t="n"/>
      <c r="AB549" s="83" t="n"/>
      <c r="AC549" s="83" t="n"/>
      <c r="AD549" s="83" t="n"/>
      <c r="AE549" s="83" t="n"/>
      <c r="AF549" s="83" t="n"/>
      <c r="AG549" s="83" t="n"/>
      <c r="AH549" s="83" t="n"/>
      <c r="AI549" s="83" t="n"/>
      <c r="AJ549" s="83" t="n"/>
      <c r="AK549" s="83" t="n"/>
      <c r="AL549" s="83" t="n"/>
      <c r="AM549" s="83" t="n"/>
      <c r="AN549" s="83" t="n"/>
      <c r="AO549" s="83" t="n"/>
      <c r="AP549" s="83" t="n"/>
      <c r="AQ549" s="83" t="n"/>
      <c r="AR549" s="83" t="n"/>
    </row>
    <row r="550">
      <c r="D550" s="83" t="n"/>
      <c r="E550" s="83" t="n"/>
      <c r="F550" s="83" t="n"/>
      <c r="G550" s="83" t="n"/>
      <c r="H550" s="83" t="n"/>
      <c r="I550" s="83" t="n"/>
      <c r="J550" s="83" t="n"/>
      <c r="K550" s="83" t="n"/>
      <c r="L550" s="83" t="n"/>
      <c r="M550" s="83" t="n"/>
      <c r="N550" s="83" t="n"/>
      <c r="O550" s="83" t="n"/>
      <c r="P550" s="83" t="n"/>
      <c r="Q550" s="83" t="n"/>
      <c r="R550" s="83" t="n"/>
      <c r="S550" s="83" t="n"/>
      <c r="T550" s="83" t="n"/>
      <c r="U550" s="83" t="n"/>
      <c r="V550" s="83" t="n"/>
      <c r="W550" s="83" t="n"/>
      <c r="X550" s="83" t="n"/>
      <c r="Y550" s="83" t="n"/>
      <c r="Z550" s="83" t="n"/>
      <c r="AA550" s="83" t="n"/>
      <c r="AB550" s="83" t="n"/>
      <c r="AC550" s="83" t="n"/>
      <c r="AD550" s="83" t="n"/>
      <c r="AE550" s="83" t="n"/>
      <c r="AF550" s="83" t="n"/>
      <c r="AG550" s="83" t="n"/>
      <c r="AH550" s="83" t="n"/>
      <c r="AI550" s="83" t="n"/>
      <c r="AJ550" s="83" t="n"/>
      <c r="AK550" s="83" t="n"/>
      <c r="AL550" s="83" t="n"/>
      <c r="AM550" s="83" t="n"/>
      <c r="AN550" s="83" t="n"/>
      <c r="AO550" s="83" t="n"/>
      <c r="AP550" s="83" t="n"/>
      <c r="AQ550" s="83" t="n"/>
      <c r="AR550" s="83" t="n"/>
    </row>
    <row r="551">
      <c r="D551" s="84" t="n"/>
      <c r="E551" s="84" t="n"/>
      <c r="F551" s="84" t="n"/>
      <c r="G551" s="84" t="n"/>
      <c r="H551" s="84" t="n"/>
      <c r="I551" s="84" t="n"/>
      <c r="J551" s="84" t="n"/>
      <c r="K551" s="84" t="n"/>
      <c r="L551" s="84" t="n"/>
      <c r="M551" s="84" t="n"/>
      <c r="N551" s="84" t="n"/>
      <c r="O551" s="84" t="n"/>
      <c r="P551" s="84" t="n"/>
      <c r="Q551" s="84" t="n"/>
      <c r="R551" s="84" t="n"/>
      <c r="S551" s="84" t="n"/>
      <c r="T551" s="84" t="n"/>
      <c r="U551" s="84" t="n"/>
      <c r="V551" s="84" t="n"/>
      <c r="W551" s="84" t="n"/>
      <c r="X551" s="84" t="n"/>
      <c r="Y551" s="84" t="n"/>
      <c r="Z551" s="84" t="n"/>
      <c r="AA551" s="84" t="n"/>
      <c r="AB551" s="84" t="n"/>
      <c r="AC551" s="84" t="n"/>
      <c r="AD551" s="84" t="n"/>
      <c r="AE551" s="84" t="n"/>
      <c r="AF551" s="84" t="n"/>
      <c r="AG551" s="84" t="n"/>
      <c r="AH551" s="84" t="n"/>
      <c r="AI551" s="84" t="n"/>
      <c r="AJ551" s="84" t="n"/>
      <c r="AK551" s="84" t="n"/>
      <c r="AL551" s="84" t="n"/>
      <c r="AM551" s="84" t="n"/>
      <c r="AN551" s="84" t="n"/>
      <c r="AO551" s="84" t="n"/>
      <c r="AP551" s="84" t="n"/>
      <c r="AQ551" s="84" t="n"/>
      <c r="AR551" s="84" t="n"/>
    </row>
    <row r="552">
      <c r="D552" s="80" t="n"/>
      <c r="E552" s="80" t="n"/>
      <c r="F552" s="80" t="n"/>
      <c r="G552" s="80" t="n"/>
      <c r="H552" s="80" t="n"/>
      <c r="I552" s="80" t="n"/>
      <c r="J552" s="80" t="n"/>
      <c r="K552" s="80" t="n"/>
      <c r="L552" s="80" t="n"/>
      <c r="M552" s="80" t="n"/>
      <c r="N552" s="80" t="n"/>
      <c r="O552" s="80" t="n"/>
      <c r="P552" s="80" t="n"/>
      <c r="Q552" s="80" t="n"/>
      <c r="R552" s="80" t="n"/>
      <c r="S552" s="80" t="n"/>
      <c r="T552" s="80" t="n"/>
      <c r="U552" s="80" t="n"/>
      <c r="V552" s="80" t="n"/>
      <c r="W552" s="80" t="n"/>
      <c r="X552" s="80" t="n"/>
      <c r="Y552" s="80" t="n"/>
      <c r="Z552" s="80" t="n"/>
      <c r="AA552" s="80" t="n"/>
      <c r="AB552" s="80" t="n"/>
      <c r="AC552" s="80" t="n"/>
      <c r="AD552" s="80" t="n"/>
      <c r="AE552" s="80" t="n"/>
      <c r="AF552" s="80" t="n"/>
      <c r="AG552" s="80" t="n"/>
      <c r="AH552" s="80" t="n"/>
      <c r="AI552" s="80" t="n"/>
      <c r="AJ552" s="80" t="n"/>
      <c r="AK552" s="80" t="n"/>
      <c r="AL552" s="80" t="n"/>
      <c r="AM552" s="80" t="n"/>
      <c r="AN552" s="80" t="n"/>
      <c r="AO552" s="80" t="n"/>
      <c r="AP552" s="80" t="n"/>
      <c r="AQ552" s="80" t="n"/>
      <c r="AR552" s="80" t="n"/>
    </row>
    <row r="553">
      <c r="D553" s="80" t="n"/>
      <c r="E553" s="80" t="n"/>
      <c r="F553" s="80" t="n"/>
      <c r="G553" s="80" t="n"/>
      <c r="H553" s="80" t="n"/>
      <c r="I553" s="80" t="n"/>
      <c r="J553" s="80" t="n"/>
      <c r="K553" s="80" t="n"/>
      <c r="L553" s="80" t="n"/>
      <c r="M553" s="80" t="n"/>
      <c r="N553" s="80" t="n"/>
      <c r="O553" s="80" t="n"/>
      <c r="P553" s="80" t="n"/>
      <c r="Q553" s="80" t="n"/>
      <c r="R553" s="80" t="n"/>
      <c r="S553" s="80" t="n"/>
      <c r="T553" s="80" t="n"/>
      <c r="U553" s="80" t="n"/>
      <c r="V553" s="80" t="n"/>
      <c r="W553" s="80" t="n"/>
      <c r="X553" s="80" t="n"/>
      <c r="Y553" s="80" t="n"/>
      <c r="Z553" s="80" t="n"/>
      <c r="AA553" s="80" t="n"/>
      <c r="AB553" s="80" t="n"/>
      <c r="AC553" s="80" t="n"/>
      <c r="AD553" s="80" t="n"/>
      <c r="AE553" s="80" t="n"/>
      <c r="AF553" s="80" t="n"/>
      <c r="AG553" s="80" t="n"/>
      <c r="AH553" s="80" t="n"/>
      <c r="AI553" s="80" t="n"/>
      <c r="AJ553" s="80" t="n"/>
      <c r="AK553" s="80" t="n"/>
      <c r="AL553" s="80" t="n"/>
      <c r="AM553" s="80" t="n"/>
      <c r="AN553" s="80" t="n"/>
      <c r="AO553" s="80" t="n"/>
      <c r="AP553" s="80" t="n"/>
      <c r="AQ553" s="80" t="n"/>
      <c r="AR553" s="80" t="n"/>
    </row>
    <row r="554">
      <c r="D554" s="80" t="n"/>
      <c r="E554" s="80" t="n"/>
      <c r="F554" s="80" t="n"/>
      <c r="G554" s="80" t="n"/>
      <c r="H554" s="80" t="n"/>
      <c r="I554" s="80" t="n"/>
      <c r="J554" s="80" t="n"/>
      <c r="K554" s="80" t="n"/>
      <c r="L554" s="80" t="n"/>
      <c r="M554" s="80" t="n"/>
      <c r="N554" s="80" t="n"/>
      <c r="O554" s="80" t="n"/>
      <c r="P554" s="80" t="n"/>
      <c r="Q554" s="80" t="n"/>
      <c r="R554" s="80" t="n"/>
      <c r="S554" s="80" t="n"/>
      <c r="T554" s="80" t="n"/>
      <c r="U554" s="80" t="n"/>
      <c r="V554" s="80" t="n"/>
      <c r="W554" s="80" t="n"/>
      <c r="X554" s="80" t="n"/>
      <c r="Y554" s="80" t="n"/>
      <c r="Z554" s="80" t="n"/>
      <c r="AA554" s="80" t="n"/>
      <c r="AB554" s="80" t="n"/>
      <c r="AC554" s="80" t="n"/>
      <c r="AD554" s="80" t="n"/>
      <c r="AE554" s="80" t="n"/>
      <c r="AF554" s="80" t="n"/>
      <c r="AG554" s="80" t="n"/>
      <c r="AH554" s="80" t="n"/>
      <c r="AI554" s="80" t="n"/>
      <c r="AJ554" s="80" t="n"/>
      <c r="AK554" s="80" t="n"/>
      <c r="AL554" s="80" t="n"/>
      <c r="AM554" s="80" t="n"/>
      <c r="AN554" s="80" t="n"/>
      <c r="AO554" s="80" t="n"/>
      <c r="AP554" s="80" t="n"/>
      <c r="AQ554" s="80" t="n"/>
      <c r="AR554" s="80" t="n"/>
    </row>
    <row r="555">
      <c r="D555" s="80" t="n"/>
      <c r="E555" s="80" t="n"/>
      <c r="F555" s="80" t="n"/>
      <c r="G555" s="80" t="n"/>
      <c r="H555" s="80" t="n"/>
      <c r="I555" s="80" t="n"/>
      <c r="J555" s="80" t="n"/>
      <c r="K555" s="80" t="n"/>
      <c r="L555" s="80" t="n"/>
      <c r="M555" s="80" t="n"/>
      <c r="N555" s="80" t="n"/>
      <c r="O555" s="80" t="n"/>
      <c r="P555" s="80" t="n"/>
      <c r="Q555" s="80" t="n"/>
      <c r="R555" s="80" t="n"/>
      <c r="S555" s="80" t="n"/>
      <c r="T555" s="80" t="n"/>
      <c r="U555" s="80" t="n"/>
      <c r="V555" s="80" t="n"/>
      <c r="W555" s="80" t="n"/>
      <c r="X555" s="80" t="n"/>
      <c r="Y555" s="80" t="n"/>
      <c r="Z555" s="80" t="n"/>
      <c r="AA555" s="80" t="n"/>
      <c r="AB555" s="80" t="n"/>
      <c r="AC555" s="80" t="n"/>
      <c r="AD555" s="80" t="n"/>
      <c r="AE555" s="80" t="n"/>
      <c r="AF555" s="80" t="n"/>
      <c r="AG555" s="80" t="n"/>
      <c r="AH555" s="80" t="n"/>
      <c r="AI555" s="80" t="n"/>
      <c r="AJ555" s="80" t="n"/>
      <c r="AK555" s="80" t="n"/>
      <c r="AL555" s="80" t="n"/>
      <c r="AM555" s="80" t="n"/>
      <c r="AN555" s="80" t="n"/>
      <c r="AO555" s="80" t="n"/>
      <c r="AP555" s="80" t="n"/>
      <c r="AQ555" s="80" t="n"/>
      <c r="AR555" s="80" t="n"/>
    </row>
    <row r="556">
      <c r="A556" s="2">
        <f>IF($A549="","","   projections")</f>
        <v/>
      </c>
      <c r="B556" s="41">
        <f>IF($A549="",0,COUNT($E557:$AR557))</f>
        <v/>
      </c>
      <c r="C556" s="81">
        <f>IF($B556=0,0,MAX($E557:$AR557))</f>
        <v/>
      </c>
      <c r="D556" s="82">
        <f>BDS($A549,'Field Check'!$C$6,"headers=y","startcol=1","endcol=7","dir=h")</f>
        <v/>
      </c>
      <c r="E556" s="83" t="n"/>
      <c r="F556" s="83" t="n"/>
      <c r="G556" s="83" t="n"/>
      <c r="H556" s="83" t="n"/>
      <c r="I556" s="83" t="n"/>
      <c r="J556" s="83" t="n"/>
      <c r="K556" s="83" t="n"/>
      <c r="L556" s="83" t="n"/>
      <c r="M556" s="83" t="n"/>
      <c r="N556" s="83" t="n"/>
      <c r="O556" s="83" t="n"/>
      <c r="P556" s="83" t="n"/>
      <c r="Q556" s="83" t="n"/>
      <c r="R556" s="83" t="n"/>
      <c r="S556" s="83" t="n"/>
      <c r="T556" s="83" t="n"/>
      <c r="U556" s="83" t="n"/>
      <c r="V556" s="83" t="n"/>
      <c r="W556" s="83" t="n"/>
      <c r="X556" s="83" t="n"/>
      <c r="Y556" s="83" t="n"/>
      <c r="Z556" s="83" t="n"/>
      <c r="AA556" s="83" t="n"/>
      <c r="AB556" s="83" t="n"/>
      <c r="AC556" s="83" t="n"/>
      <c r="AD556" s="83" t="n"/>
      <c r="AE556" s="83" t="n"/>
      <c r="AF556" s="83" t="n"/>
      <c r="AG556" s="83" t="n"/>
      <c r="AH556" s="83" t="n"/>
      <c r="AI556" s="83" t="n"/>
      <c r="AJ556" s="83" t="n"/>
      <c r="AK556" s="83" t="n"/>
      <c r="AL556" s="83" t="n"/>
      <c r="AM556" s="83" t="n"/>
      <c r="AN556" s="83" t="n"/>
      <c r="AO556" s="83" t="n"/>
      <c r="AP556" s="83" t="n"/>
      <c r="AQ556" s="83" t="n"/>
      <c r="AR556" s="83" t="n"/>
    </row>
    <row r="557">
      <c r="D557" s="83" t="n"/>
      <c r="E557" s="83" t="n"/>
      <c r="F557" s="83" t="n"/>
      <c r="G557" s="83" t="n"/>
      <c r="H557" s="83" t="n"/>
      <c r="I557" s="83" t="n"/>
      <c r="J557" s="83" t="n"/>
      <c r="K557" s="83" t="n"/>
      <c r="L557" s="83" t="n"/>
      <c r="M557" s="83" t="n"/>
      <c r="N557" s="83" t="n"/>
      <c r="O557" s="83" t="n"/>
      <c r="P557" s="83" t="n"/>
      <c r="Q557" s="83" t="n"/>
      <c r="R557" s="83" t="n"/>
      <c r="S557" s="83" t="n"/>
      <c r="T557" s="83" t="n"/>
      <c r="U557" s="83" t="n"/>
      <c r="V557" s="83" t="n"/>
      <c r="W557" s="83" t="n"/>
      <c r="X557" s="83" t="n"/>
      <c r="Y557" s="83" t="n"/>
      <c r="Z557" s="83" t="n"/>
      <c r="AA557" s="83" t="n"/>
      <c r="AB557" s="83" t="n"/>
      <c r="AC557" s="83" t="n"/>
      <c r="AD557" s="83" t="n"/>
      <c r="AE557" s="83" t="n"/>
      <c r="AF557" s="83" t="n"/>
      <c r="AG557" s="83" t="n"/>
      <c r="AH557" s="83" t="n"/>
      <c r="AI557" s="83" t="n"/>
      <c r="AJ557" s="83" t="n"/>
      <c r="AK557" s="83" t="n"/>
      <c r="AL557" s="83" t="n"/>
      <c r="AM557" s="83" t="n"/>
      <c r="AN557" s="83" t="n"/>
      <c r="AO557" s="83" t="n"/>
      <c r="AP557" s="83" t="n"/>
      <c r="AQ557" s="83" t="n"/>
      <c r="AR557" s="83" t="n"/>
    </row>
    <row r="558">
      <c r="D558" s="84" t="n"/>
      <c r="E558" s="84" t="n"/>
      <c r="F558" s="84" t="n"/>
      <c r="G558" s="84" t="n"/>
      <c r="H558" s="84" t="n"/>
      <c r="I558" s="84" t="n"/>
      <c r="J558" s="84" t="n"/>
      <c r="K558" s="84" t="n"/>
      <c r="L558" s="84" t="n"/>
      <c r="M558" s="84" t="n"/>
      <c r="N558" s="84" t="n"/>
      <c r="O558" s="84" t="n"/>
      <c r="P558" s="84" t="n"/>
      <c r="Q558" s="84" t="n"/>
      <c r="R558" s="84" t="n"/>
      <c r="S558" s="84" t="n"/>
      <c r="T558" s="84" t="n"/>
      <c r="U558" s="84" t="n"/>
      <c r="V558" s="84" t="n"/>
      <c r="W558" s="84" t="n"/>
      <c r="X558" s="84" t="n"/>
      <c r="Y558" s="84" t="n"/>
      <c r="Z558" s="84" t="n"/>
      <c r="AA558" s="84" t="n"/>
      <c r="AB558" s="84" t="n"/>
      <c r="AC558" s="84" t="n"/>
      <c r="AD558" s="84" t="n"/>
      <c r="AE558" s="84" t="n"/>
      <c r="AF558" s="84" t="n"/>
      <c r="AG558" s="84" t="n"/>
      <c r="AH558" s="84" t="n"/>
      <c r="AI558" s="84" t="n"/>
      <c r="AJ558" s="84" t="n"/>
      <c r="AK558" s="84" t="n"/>
      <c r="AL558" s="84" t="n"/>
      <c r="AM558" s="84" t="n"/>
      <c r="AN558" s="84" t="n"/>
      <c r="AO558" s="84" t="n"/>
      <c r="AP558" s="84" t="n"/>
      <c r="AQ558" s="84" t="n"/>
      <c r="AR558" s="84" t="n"/>
    </row>
    <row r="559">
      <c r="D559" s="80" t="n"/>
      <c r="E559" s="80" t="n"/>
      <c r="F559" s="80" t="n"/>
      <c r="G559" s="80" t="n"/>
      <c r="H559" s="80" t="n"/>
      <c r="I559" s="80" t="n"/>
      <c r="J559" s="80" t="n"/>
      <c r="K559" s="80" t="n"/>
      <c r="L559" s="80" t="n"/>
      <c r="M559" s="80" t="n"/>
      <c r="N559" s="80" t="n"/>
      <c r="O559" s="80" t="n"/>
      <c r="P559" s="80" t="n"/>
      <c r="Q559" s="80" t="n"/>
      <c r="R559" s="80" t="n"/>
      <c r="S559" s="80" t="n"/>
      <c r="T559" s="80" t="n"/>
      <c r="U559" s="80" t="n"/>
      <c r="V559" s="80" t="n"/>
      <c r="W559" s="80" t="n"/>
      <c r="X559" s="80" t="n"/>
      <c r="Y559" s="80" t="n"/>
      <c r="Z559" s="80" t="n"/>
      <c r="AA559" s="80" t="n"/>
      <c r="AB559" s="80" t="n"/>
      <c r="AC559" s="80" t="n"/>
      <c r="AD559" s="80" t="n"/>
      <c r="AE559" s="80" t="n"/>
      <c r="AF559" s="80" t="n"/>
      <c r="AG559" s="80" t="n"/>
      <c r="AH559" s="80" t="n"/>
      <c r="AI559" s="80" t="n"/>
      <c r="AJ559" s="80" t="n"/>
      <c r="AK559" s="80" t="n"/>
      <c r="AL559" s="80" t="n"/>
      <c r="AM559" s="80" t="n"/>
      <c r="AN559" s="80" t="n"/>
      <c r="AO559" s="80" t="n"/>
      <c r="AP559" s="80" t="n"/>
      <c r="AQ559" s="80" t="n"/>
      <c r="AR559" s="80" t="n"/>
    </row>
    <row r="560">
      <c r="D560" s="80" t="n"/>
      <c r="E560" s="80" t="n"/>
      <c r="F560" s="80" t="n"/>
      <c r="G560" s="80" t="n"/>
      <c r="H560" s="80" t="n"/>
      <c r="I560" s="80" t="n"/>
      <c r="J560" s="80" t="n"/>
      <c r="K560" s="80" t="n"/>
      <c r="L560" s="80" t="n"/>
      <c r="M560" s="80" t="n"/>
      <c r="N560" s="80" t="n"/>
      <c r="O560" s="80" t="n"/>
      <c r="P560" s="80" t="n"/>
      <c r="Q560" s="80" t="n"/>
      <c r="R560" s="80" t="n"/>
      <c r="S560" s="80" t="n"/>
      <c r="T560" s="80" t="n"/>
      <c r="U560" s="80" t="n"/>
      <c r="V560" s="80" t="n"/>
      <c r="W560" s="80" t="n"/>
      <c r="X560" s="80" t="n"/>
      <c r="Y560" s="80" t="n"/>
      <c r="Z560" s="80" t="n"/>
      <c r="AA560" s="80" t="n"/>
      <c r="AB560" s="80" t="n"/>
      <c r="AC560" s="80" t="n"/>
      <c r="AD560" s="80" t="n"/>
      <c r="AE560" s="80" t="n"/>
      <c r="AF560" s="80" t="n"/>
      <c r="AG560" s="80" t="n"/>
      <c r="AH560" s="80" t="n"/>
      <c r="AI560" s="80" t="n"/>
      <c r="AJ560" s="80" t="n"/>
      <c r="AK560" s="80" t="n"/>
      <c r="AL560" s="80" t="n"/>
      <c r="AM560" s="80" t="n"/>
      <c r="AN560" s="80" t="n"/>
      <c r="AO560" s="80" t="n"/>
      <c r="AP560" s="80" t="n"/>
      <c r="AQ560" s="80" t="n"/>
      <c r="AR560" s="80" t="n"/>
    </row>
    <row r="561">
      <c r="D561" s="80" t="n"/>
      <c r="E561" s="80" t="n"/>
      <c r="F561" s="80" t="n"/>
      <c r="G561" s="80" t="n"/>
      <c r="H561" s="80" t="n"/>
      <c r="I561" s="80" t="n"/>
      <c r="J561" s="80" t="n"/>
      <c r="K561" s="80" t="n"/>
      <c r="L561" s="80" t="n"/>
      <c r="M561" s="80" t="n"/>
      <c r="N561" s="80" t="n"/>
      <c r="O561" s="80" t="n"/>
      <c r="P561" s="80" t="n"/>
      <c r="Q561" s="80" t="n"/>
      <c r="R561" s="80" t="n"/>
      <c r="S561" s="80" t="n"/>
      <c r="T561" s="80" t="n"/>
      <c r="U561" s="80" t="n"/>
      <c r="V561" s="80" t="n"/>
      <c r="W561" s="80" t="n"/>
      <c r="X561" s="80" t="n"/>
      <c r="Y561" s="80" t="n"/>
      <c r="Z561" s="80" t="n"/>
      <c r="AA561" s="80" t="n"/>
      <c r="AB561" s="80" t="n"/>
      <c r="AC561" s="80" t="n"/>
      <c r="AD561" s="80" t="n"/>
      <c r="AE561" s="80" t="n"/>
      <c r="AF561" s="80" t="n"/>
      <c r="AG561" s="80" t="n"/>
      <c r="AH561" s="80" t="n"/>
      <c r="AI561" s="80" t="n"/>
      <c r="AJ561" s="80" t="n"/>
      <c r="AK561" s="80" t="n"/>
      <c r="AL561" s="80" t="n"/>
      <c r="AM561" s="80" t="n"/>
      <c r="AN561" s="80" t="n"/>
      <c r="AO561" s="80" t="n"/>
      <c r="AP561" s="80" t="n"/>
      <c r="AQ561" s="80" t="n"/>
      <c r="AR561" s="80" t="n"/>
    </row>
    <row r="562">
      <c r="D562" s="80" t="n"/>
      <c r="E562" s="80" t="n"/>
      <c r="F562" s="80" t="n"/>
      <c r="G562" s="80" t="n"/>
      <c r="H562" s="80" t="n"/>
      <c r="I562" s="80" t="n"/>
      <c r="J562" s="80" t="n"/>
      <c r="K562" s="80" t="n"/>
      <c r="L562" s="80" t="n"/>
      <c r="M562" s="80" t="n"/>
      <c r="N562" s="80" t="n"/>
      <c r="O562" s="80" t="n"/>
      <c r="P562" s="80" t="n"/>
      <c r="Q562" s="80" t="n"/>
      <c r="R562" s="80" t="n"/>
      <c r="S562" s="80" t="n"/>
      <c r="T562" s="80" t="n"/>
      <c r="U562" s="80" t="n"/>
      <c r="V562" s="80" t="n"/>
      <c r="W562" s="80" t="n"/>
      <c r="X562" s="80" t="n"/>
      <c r="Y562" s="80" t="n"/>
      <c r="Z562" s="80" t="n"/>
      <c r="AA562" s="80" t="n"/>
      <c r="AB562" s="80" t="n"/>
      <c r="AC562" s="80" t="n"/>
      <c r="AD562" s="80" t="n"/>
      <c r="AE562" s="80" t="n"/>
      <c r="AF562" s="80" t="n"/>
      <c r="AG562" s="80" t="n"/>
      <c r="AH562" s="80" t="n"/>
      <c r="AI562" s="80" t="n"/>
      <c r="AJ562" s="80" t="n"/>
      <c r="AK562" s="80" t="n"/>
      <c r="AL562" s="80" t="n"/>
      <c r="AM562" s="80" t="n"/>
      <c r="AN562" s="80" t="n"/>
      <c r="AO562" s="80" t="n"/>
      <c r="AP562" s="80" t="n"/>
      <c r="AQ562" s="80" t="n"/>
      <c r="AR562" s="80" t="n"/>
    </row>
    <row r="564">
      <c r="A564" s="6">
        <f>IF(HSI!$C$44="","",HSI!$C$44)</f>
        <v/>
      </c>
      <c r="B564" s="41">
        <f>IF($A564="",0,COUNT($E565:$AR565))</f>
        <v/>
      </c>
      <c r="C564" s="81">
        <f>IF($B564=0,0,MAX($E565:$AR565))</f>
        <v/>
      </c>
      <c r="D564" s="82">
        <f>BDS($A564,'Field Check'!$C$7,"headers=y","startcol=1","endcol=7","dir=h","DVD_START_DT",Summary!$C$18,"DVD_END_DT",Summary!$D$18)</f>
        <v/>
      </c>
      <c r="E564" s="83" t="n"/>
      <c r="F564" s="83" t="n"/>
      <c r="G564" s="83" t="n"/>
      <c r="H564" s="83" t="n"/>
      <c r="I564" s="83" t="n"/>
      <c r="J564" s="83" t="n"/>
      <c r="K564" s="83" t="n"/>
      <c r="L564" s="83" t="n"/>
      <c r="M564" s="83" t="n"/>
      <c r="N564" s="83" t="n"/>
      <c r="O564" s="83" t="n"/>
      <c r="P564" s="83" t="n"/>
      <c r="Q564" s="83" t="n"/>
      <c r="R564" s="83" t="n"/>
      <c r="S564" s="83" t="n"/>
      <c r="T564" s="83" t="n"/>
      <c r="U564" s="83" t="n"/>
      <c r="V564" s="83" t="n"/>
      <c r="W564" s="83" t="n"/>
      <c r="X564" s="83" t="n"/>
      <c r="Y564" s="83" t="n"/>
      <c r="Z564" s="83" t="n"/>
      <c r="AA564" s="83" t="n"/>
      <c r="AB564" s="83" t="n"/>
      <c r="AC564" s="83" t="n"/>
      <c r="AD564" s="83" t="n"/>
      <c r="AE564" s="83" t="n"/>
      <c r="AF564" s="83" t="n"/>
      <c r="AG564" s="83" t="n"/>
      <c r="AH564" s="83" t="n"/>
      <c r="AI564" s="83" t="n"/>
      <c r="AJ564" s="83" t="n"/>
      <c r="AK564" s="83" t="n"/>
      <c r="AL564" s="83" t="n"/>
      <c r="AM564" s="83" t="n"/>
      <c r="AN564" s="83" t="n"/>
      <c r="AO564" s="83" t="n"/>
      <c r="AP564" s="83" t="n"/>
      <c r="AQ564" s="83" t="n"/>
      <c r="AR564" s="83" t="n"/>
    </row>
    <row r="565">
      <c r="D565" s="83" t="n"/>
      <c r="E565" s="83" t="n"/>
      <c r="F565" s="83" t="n"/>
      <c r="G565" s="83" t="n"/>
      <c r="H565" s="83" t="n"/>
      <c r="I565" s="83" t="n"/>
      <c r="J565" s="83" t="n"/>
      <c r="K565" s="83" t="n"/>
      <c r="L565" s="83" t="n"/>
      <c r="M565" s="83" t="n"/>
      <c r="N565" s="83" t="n"/>
      <c r="O565" s="83" t="n"/>
      <c r="P565" s="83" t="n"/>
      <c r="Q565" s="83" t="n"/>
      <c r="R565" s="83" t="n"/>
      <c r="S565" s="83" t="n"/>
      <c r="T565" s="83" t="n"/>
      <c r="U565" s="83" t="n"/>
      <c r="V565" s="83" t="n"/>
      <c r="W565" s="83" t="n"/>
      <c r="X565" s="83" t="n"/>
      <c r="Y565" s="83" t="n"/>
      <c r="Z565" s="83" t="n"/>
      <c r="AA565" s="83" t="n"/>
      <c r="AB565" s="83" t="n"/>
      <c r="AC565" s="83" t="n"/>
      <c r="AD565" s="83" t="n"/>
      <c r="AE565" s="83" t="n"/>
      <c r="AF565" s="83" t="n"/>
      <c r="AG565" s="83" t="n"/>
      <c r="AH565" s="83" t="n"/>
      <c r="AI565" s="83" t="n"/>
      <c r="AJ565" s="83" t="n"/>
      <c r="AK565" s="83" t="n"/>
      <c r="AL565" s="83" t="n"/>
      <c r="AM565" s="83" t="n"/>
      <c r="AN565" s="83" t="n"/>
      <c r="AO565" s="83" t="n"/>
      <c r="AP565" s="83" t="n"/>
      <c r="AQ565" s="83" t="n"/>
      <c r="AR565" s="83" t="n"/>
    </row>
    <row r="566">
      <c r="D566" s="84" t="n"/>
      <c r="E566" s="84" t="n"/>
      <c r="F566" s="84" t="n"/>
      <c r="G566" s="84" t="n"/>
      <c r="H566" s="84" t="n"/>
      <c r="I566" s="84" t="n"/>
      <c r="J566" s="84" t="n"/>
      <c r="K566" s="84" t="n"/>
      <c r="L566" s="84" t="n"/>
      <c r="M566" s="84" t="n"/>
      <c r="N566" s="84" t="n"/>
      <c r="O566" s="84" t="n"/>
      <c r="P566" s="84" t="n"/>
      <c r="Q566" s="84" t="n"/>
      <c r="R566" s="84" t="n"/>
      <c r="S566" s="84" t="n"/>
      <c r="T566" s="84" t="n"/>
      <c r="U566" s="84" t="n"/>
      <c r="V566" s="84" t="n"/>
      <c r="W566" s="84" t="n"/>
      <c r="X566" s="84" t="n"/>
      <c r="Y566" s="84" t="n"/>
      <c r="Z566" s="84" t="n"/>
      <c r="AA566" s="84" t="n"/>
      <c r="AB566" s="84" t="n"/>
      <c r="AC566" s="84" t="n"/>
      <c r="AD566" s="84" t="n"/>
      <c r="AE566" s="84" t="n"/>
      <c r="AF566" s="84" t="n"/>
      <c r="AG566" s="84" t="n"/>
      <c r="AH566" s="84" t="n"/>
      <c r="AI566" s="84" t="n"/>
      <c r="AJ566" s="84" t="n"/>
      <c r="AK566" s="84" t="n"/>
      <c r="AL566" s="84" t="n"/>
      <c r="AM566" s="84" t="n"/>
      <c r="AN566" s="84" t="n"/>
      <c r="AO566" s="84" t="n"/>
      <c r="AP566" s="84" t="n"/>
      <c r="AQ566" s="84" t="n"/>
      <c r="AR566" s="84" t="n"/>
    </row>
    <row r="567">
      <c r="D567" s="80" t="n"/>
      <c r="E567" s="80" t="n"/>
      <c r="F567" s="80" t="n"/>
      <c r="G567" s="80" t="n"/>
      <c r="H567" s="80" t="n"/>
      <c r="I567" s="80" t="n"/>
      <c r="J567" s="80" t="n"/>
      <c r="K567" s="80" t="n"/>
      <c r="L567" s="80" t="n"/>
      <c r="M567" s="80" t="n"/>
      <c r="N567" s="80" t="n"/>
      <c r="O567" s="80" t="n"/>
      <c r="P567" s="80" t="n"/>
      <c r="Q567" s="80" t="n"/>
      <c r="R567" s="80" t="n"/>
      <c r="S567" s="80" t="n"/>
      <c r="T567" s="80" t="n"/>
      <c r="U567" s="80" t="n"/>
      <c r="V567" s="80" t="n"/>
      <c r="W567" s="80" t="n"/>
      <c r="X567" s="80" t="n"/>
      <c r="Y567" s="80" t="n"/>
      <c r="Z567" s="80" t="n"/>
      <c r="AA567" s="80" t="n"/>
      <c r="AB567" s="80" t="n"/>
      <c r="AC567" s="80" t="n"/>
      <c r="AD567" s="80" t="n"/>
      <c r="AE567" s="80" t="n"/>
      <c r="AF567" s="80" t="n"/>
      <c r="AG567" s="80" t="n"/>
      <c r="AH567" s="80" t="n"/>
      <c r="AI567" s="80" t="n"/>
      <c r="AJ567" s="80" t="n"/>
      <c r="AK567" s="80" t="n"/>
      <c r="AL567" s="80" t="n"/>
      <c r="AM567" s="80" t="n"/>
      <c r="AN567" s="80" t="n"/>
      <c r="AO567" s="80" t="n"/>
      <c r="AP567" s="80" t="n"/>
      <c r="AQ567" s="80" t="n"/>
      <c r="AR567" s="80" t="n"/>
    </row>
    <row r="568">
      <c r="D568" s="80" t="n"/>
      <c r="E568" s="80" t="n"/>
      <c r="F568" s="80" t="n"/>
      <c r="G568" s="80" t="n"/>
      <c r="H568" s="80" t="n"/>
      <c r="I568" s="80" t="n"/>
      <c r="J568" s="80" t="n"/>
      <c r="K568" s="80" t="n"/>
      <c r="L568" s="80" t="n"/>
      <c r="M568" s="80" t="n"/>
      <c r="N568" s="80" t="n"/>
      <c r="O568" s="80" t="n"/>
      <c r="P568" s="80" t="n"/>
      <c r="Q568" s="80" t="n"/>
      <c r="R568" s="80" t="n"/>
      <c r="S568" s="80" t="n"/>
      <c r="T568" s="80" t="n"/>
      <c r="U568" s="80" t="n"/>
      <c r="V568" s="80" t="n"/>
      <c r="W568" s="80" t="n"/>
      <c r="X568" s="80" t="n"/>
      <c r="Y568" s="80" t="n"/>
      <c r="Z568" s="80" t="n"/>
      <c r="AA568" s="80" t="n"/>
      <c r="AB568" s="80" t="n"/>
      <c r="AC568" s="80" t="n"/>
      <c r="AD568" s="80" t="n"/>
      <c r="AE568" s="80" t="n"/>
      <c r="AF568" s="80" t="n"/>
      <c r="AG568" s="80" t="n"/>
      <c r="AH568" s="80" t="n"/>
      <c r="AI568" s="80" t="n"/>
      <c r="AJ568" s="80" t="n"/>
      <c r="AK568" s="80" t="n"/>
      <c r="AL568" s="80" t="n"/>
      <c r="AM568" s="80" t="n"/>
      <c r="AN568" s="80" t="n"/>
      <c r="AO568" s="80" t="n"/>
      <c r="AP568" s="80" t="n"/>
      <c r="AQ568" s="80" t="n"/>
      <c r="AR568" s="80" t="n"/>
    </row>
    <row r="569">
      <c r="D569" s="80" t="n"/>
      <c r="E569" s="80" t="n"/>
      <c r="F569" s="80" t="n"/>
      <c r="G569" s="80" t="n"/>
      <c r="H569" s="80" t="n"/>
      <c r="I569" s="80" t="n"/>
      <c r="J569" s="80" t="n"/>
      <c r="K569" s="80" t="n"/>
      <c r="L569" s="80" t="n"/>
      <c r="M569" s="80" t="n"/>
      <c r="N569" s="80" t="n"/>
      <c r="O569" s="80" t="n"/>
      <c r="P569" s="80" t="n"/>
      <c r="Q569" s="80" t="n"/>
      <c r="R569" s="80" t="n"/>
      <c r="S569" s="80" t="n"/>
      <c r="T569" s="80" t="n"/>
      <c r="U569" s="80" t="n"/>
      <c r="V569" s="80" t="n"/>
      <c r="W569" s="80" t="n"/>
      <c r="X569" s="80" t="n"/>
      <c r="Y569" s="80" t="n"/>
      <c r="Z569" s="80" t="n"/>
      <c r="AA569" s="80" t="n"/>
      <c r="AB569" s="80" t="n"/>
      <c r="AC569" s="80" t="n"/>
      <c r="AD569" s="80" t="n"/>
      <c r="AE569" s="80" t="n"/>
      <c r="AF569" s="80" t="n"/>
      <c r="AG569" s="80" t="n"/>
      <c r="AH569" s="80" t="n"/>
      <c r="AI569" s="80" t="n"/>
      <c r="AJ569" s="80" t="n"/>
      <c r="AK569" s="80" t="n"/>
      <c r="AL569" s="80" t="n"/>
      <c r="AM569" s="80" t="n"/>
      <c r="AN569" s="80" t="n"/>
      <c r="AO569" s="80" t="n"/>
      <c r="AP569" s="80" t="n"/>
      <c r="AQ569" s="80" t="n"/>
      <c r="AR569" s="80" t="n"/>
    </row>
    <row r="570">
      <c r="D570" s="80" t="n"/>
      <c r="E570" s="80" t="n"/>
      <c r="F570" s="80" t="n"/>
      <c r="G570" s="80" t="n"/>
      <c r="H570" s="80" t="n"/>
      <c r="I570" s="80" t="n"/>
      <c r="J570" s="80" t="n"/>
      <c r="K570" s="80" t="n"/>
      <c r="L570" s="80" t="n"/>
      <c r="M570" s="80" t="n"/>
      <c r="N570" s="80" t="n"/>
      <c r="O570" s="80" t="n"/>
      <c r="P570" s="80" t="n"/>
      <c r="Q570" s="80" t="n"/>
      <c r="R570" s="80" t="n"/>
      <c r="S570" s="80" t="n"/>
      <c r="T570" s="80" t="n"/>
      <c r="U570" s="80" t="n"/>
      <c r="V570" s="80" t="n"/>
      <c r="W570" s="80" t="n"/>
      <c r="X570" s="80" t="n"/>
      <c r="Y570" s="80" t="n"/>
      <c r="Z570" s="80" t="n"/>
      <c r="AA570" s="80" t="n"/>
      <c r="AB570" s="80" t="n"/>
      <c r="AC570" s="80" t="n"/>
      <c r="AD570" s="80" t="n"/>
      <c r="AE570" s="80" t="n"/>
      <c r="AF570" s="80" t="n"/>
      <c r="AG570" s="80" t="n"/>
      <c r="AH570" s="80" t="n"/>
      <c r="AI570" s="80" t="n"/>
      <c r="AJ570" s="80" t="n"/>
      <c r="AK570" s="80" t="n"/>
      <c r="AL570" s="80" t="n"/>
      <c r="AM570" s="80" t="n"/>
      <c r="AN570" s="80" t="n"/>
      <c r="AO570" s="80" t="n"/>
      <c r="AP570" s="80" t="n"/>
      <c r="AQ570" s="80" t="n"/>
      <c r="AR570" s="80" t="n"/>
    </row>
    <row r="571">
      <c r="A571" s="2">
        <f>IF($A564="","","   projections")</f>
        <v/>
      </c>
      <c r="B571" s="41">
        <f>IF($A564="",0,COUNT($E572:$AR572))</f>
        <v/>
      </c>
      <c r="C571" s="81">
        <f>IF($B571=0,0,MAX($E572:$AR572))</f>
        <v/>
      </c>
      <c r="D571" s="82">
        <f>BDS($A564,'Field Check'!$C$6,"headers=y","startcol=1","endcol=7","dir=h")</f>
        <v/>
      </c>
      <c r="E571" s="83" t="n"/>
      <c r="F571" s="83" t="n"/>
      <c r="G571" s="83" t="n"/>
      <c r="H571" s="83" t="n"/>
      <c r="I571" s="83" t="n"/>
      <c r="J571" s="83" t="n"/>
      <c r="K571" s="83" t="n"/>
      <c r="L571" s="83" t="n"/>
      <c r="M571" s="83" t="n"/>
      <c r="N571" s="83" t="n"/>
      <c r="O571" s="83" t="n"/>
      <c r="P571" s="83" t="n"/>
      <c r="Q571" s="83" t="n"/>
      <c r="R571" s="83" t="n"/>
      <c r="S571" s="83" t="n"/>
      <c r="T571" s="83" t="n"/>
      <c r="U571" s="83" t="n"/>
      <c r="V571" s="83" t="n"/>
      <c r="W571" s="83" t="n"/>
      <c r="X571" s="83" t="n"/>
      <c r="Y571" s="83" t="n"/>
      <c r="Z571" s="83" t="n"/>
      <c r="AA571" s="83" t="n"/>
      <c r="AB571" s="83" t="n"/>
      <c r="AC571" s="83" t="n"/>
      <c r="AD571" s="83" t="n"/>
      <c r="AE571" s="83" t="n"/>
      <c r="AF571" s="83" t="n"/>
      <c r="AG571" s="83" t="n"/>
      <c r="AH571" s="83" t="n"/>
      <c r="AI571" s="83" t="n"/>
      <c r="AJ571" s="83" t="n"/>
      <c r="AK571" s="83" t="n"/>
      <c r="AL571" s="83" t="n"/>
      <c r="AM571" s="83" t="n"/>
      <c r="AN571" s="83" t="n"/>
      <c r="AO571" s="83" t="n"/>
      <c r="AP571" s="83" t="n"/>
      <c r="AQ571" s="83" t="n"/>
      <c r="AR571" s="83" t="n"/>
    </row>
    <row r="572">
      <c r="D572" s="83" t="n"/>
      <c r="E572" s="83" t="n"/>
      <c r="F572" s="83" t="n"/>
      <c r="G572" s="83" t="n"/>
      <c r="H572" s="83" t="n"/>
      <c r="I572" s="83" t="n"/>
      <c r="J572" s="83" t="n"/>
      <c r="K572" s="83" t="n"/>
      <c r="L572" s="83" t="n"/>
      <c r="M572" s="83" t="n"/>
      <c r="N572" s="83" t="n"/>
      <c r="O572" s="83" t="n"/>
      <c r="P572" s="83" t="n"/>
      <c r="Q572" s="83" t="n"/>
      <c r="R572" s="83" t="n"/>
      <c r="S572" s="83" t="n"/>
      <c r="T572" s="83" t="n"/>
      <c r="U572" s="83" t="n"/>
      <c r="V572" s="83" t="n"/>
      <c r="W572" s="83" t="n"/>
      <c r="X572" s="83" t="n"/>
      <c r="Y572" s="83" t="n"/>
      <c r="Z572" s="83" t="n"/>
      <c r="AA572" s="83" t="n"/>
      <c r="AB572" s="83" t="n"/>
      <c r="AC572" s="83" t="n"/>
      <c r="AD572" s="83" t="n"/>
      <c r="AE572" s="83" t="n"/>
      <c r="AF572" s="83" t="n"/>
      <c r="AG572" s="83" t="n"/>
      <c r="AH572" s="83" t="n"/>
      <c r="AI572" s="83" t="n"/>
      <c r="AJ572" s="83" t="n"/>
      <c r="AK572" s="83" t="n"/>
      <c r="AL572" s="83" t="n"/>
      <c r="AM572" s="83" t="n"/>
      <c r="AN572" s="83" t="n"/>
      <c r="AO572" s="83" t="n"/>
      <c r="AP572" s="83" t="n"/>
      <c r="AQ572" s="83" t="n"/>
      <c r="AR572" s="83" t="n"/>
    </row>
    <row r="573">
      <c r="D573" s="84" t="n"/>
      <c r="E573" s="84" t="n"/>
      <c r="F573" s="84" t="n"/>
      <c r="G573" s="84" t="n"/>
      <c r="H573" s="84" t="n"/>
      <c r="I573" s="84" t="n"/>
      <c r="J573" s="84" t="n"/>
      <c r="K573" s="84" t="n"/>
      <c r="L573" s="84" t="n"/>
      <c r="M573" s="84" t="n"/>
      <c r="N573" s="84" t="n"/>
      <c r="O573" s="84" t="n"/>
      <c r="P573" s="84" t="n"/>
      <c r="Q573" s="84" t="n"/>
      <c r="R573" s="84" t="n"/>
      <c r="S573" s="84" t="n"/>
      <c r="T573" s="84" t="n"/>
      <c r="U573" s="84" t="n"/>
      <c r="V573" s="84" t="n"/>
      <c r="W573" s="84" t="n"/>
      <c r="X573" s="84" t="n"/>
      <c r="Y573" s="84" t="n"/>
      <c r="Z573" s="84" t="n"/>
      <c r="AA573" s="84" t="n"/>
      <c r="AB573" s="84" t="n"/>
      <c r="AC573" s="84" t="n"/>
      <c r="AD573" s="84" t="n"/>
      <c r="AE573" s="84" t="n"/>
      <c r="AF573" s="84" t="n"/>
      <c r="AG573" s="84" t="n"/>
      <c r="AH573" s="84" t="n"/>
      <c r="AI573" s="84" t="n"/>
      <c r="AJ573" s="84" t="n"/>
      <c r="AK573" s="84" t="n"/>
      <c r="AL573" s="84" t="n"/>
      <c r="AM573" s="84" t="n"/>
      <c r="AN573" s="84" t="n"/>
      <c r="AO573" s="84" t="n"/>
      <c r="AP573" s="84" t="n"/>
      <c r="AQ573" s="84" t="n"/>
      <c r="AR573" s="84" t="n"/>
    </row>
    <row r="574">
      <c r="D574" s="80" t="n"/>
      <c r="E574" s="80" t="n"/>
      <c r="F574" s="80" t="n"/>
      <c r="G574" s="80" t="n"/>
      <c r="H574" s="80" t="n"/>
      <c r="I574" s="80" t="n"/>
      <c r="J574" s="80" t="n"/>
      <c r="K574" s="80" t="n"/>
      <c r="L574" s="80" t="n"/>
      <c r="M574" s="80" t="n"/>
      <c r="N574" s="80" t="n"/>
      <c r="O574" s="80" t="n"/>
      <c r="P574" s="80" t="n"/>
      <c r="Q574" s="80" t="n"/>
      <c r="R574" s="80" t="n"/>
      <c r="S574" s="80" t="n"/>
      <c r="T574" s="80" t="n"/>
      <c r="U574" s="80" t="n"/>
      <c r="V574" s="80" t="n"/>
      <c r="W574" s="80" t="n"/>
      <c r="X574" s="80" t="n"/>
      <c r="Y574" s="80" t="n"/>
      <c r="Z574" s="80" t="n"/>
      <c r="AA574" s="80" t="n"/>
      <c r="AB574" s="80" t="n"/>
      <c r="AC574" s="80" t="n"/>
      <c r="AD574" s="80" t="n"/>
      <c r="AE574" s="80" t="n"/>
      <c r="AF574" s="80" t="n"/>
      <c r="AG574" s="80" t="n"/>
      <c r="AH574" s="80" t="n"/>
      <c r="AI574" s="80" t="n"/>
      <c r="AJ574" s="80" t="n"/>
      <c r="AK574" s="80" t="n"/>
      <c r="AL574" s="80" t="n"/>
      <c r="AM574" s="80" t="n"/>
      <c r="AN574" s="80" t="n"/>
      <c r="AO574" s="80" t="n"/>
      <c r="AP574" s="80" t="n"/>
      <c r="AQ574" s="80" t="n"/>
      <c r="AR574" s="80" t="n"/>
    </row>
    <row r="575">
      <c r="D575" s="80" t="n"/>
      <c r="E575" s="80" t="n"/>
      <c r="F575" s="80" t="n"/>
      <c r="G575" s="80" t="n"/>
      <c r="H575" s="80" t="n"/>
      <c r="I575" s="80" t="n"/>
      <c r="J575" s="80" t="n"/>
      <c r="K575" s="80" t="n"/>
      <c r="L575" s="80" t="n"/>
      <c r="M575" s="80" t="n"/>
      <c r="N575" s="80" t="n"/>
      <c r="O575" s="80" t="n"/>
      <c r="P575" s="80" t="n"/>
      <c r="Q575" s="80" t="n"/>
      <c r="R575" s="80" t="n"/>
      <c r="S575" s="80" t="n"/>
      <c r="T575" s="80" t="n"/>
      <c r="U575" s="80" t="n"/>
      <c r="V575" s="80" t="n"/>
      <c r="W575" s="80" t="n"/>
      <c r="X575" s="80" t="n"/>
      <c r="Y575" s="80" t="n"/>
      <c r="Z575" s="80" t="n"/>
      <c r="AA575" s="80" t="n"/>
      <c r="AB575" s="80" t="n"/>
      <c r="AC575" s="80" t="n"/>
      <c r="AD575" s="80" t="n"/>
      <c r="AE575" s="80" t="n"/>
      <c r="AF575" s="80" t="n"/>
      <c r="AG575" s="80" t="n"/>
      <c r="AH575" s="80" t="n"/>
      <c r="AI575" s="80" t="n"/>
      <c r="AJ575" s="80" t="n"/>
      <c r="AK575" s="80" t="n"/>
      <c r="AL575" s="80" t="n"/>
      <c r="AM575" s="80" t="n"/>
      <c r="AN575" s="80" t="n"/>
      <c r="AO575" s="80" t="n"/>
      <c r="AP575" s="80" t="n"/>
      <c r="AQ575" s="80" t="n"/>
      <c r="AR575" s="80" t="n"/>
    </row>
    <row r="576">
      <c r="D576" s="80" t="n"/>
      <c r="E576" s="80" t="n"/>
      <c r="F576" s="80" t="n"/>
      <c r="G576" s="80" t="n"/>
      <c r="H576" s="80" t="n"/>
      <c r="I576" s="80" t="n"/>
      <c r="J576" s="80" t="n"/>
      <c r="K576" s="80" t="n"/>
      <c r="L576" s="80" t="n"/>
      <c r="M576" s="80" t="n"/>
      <c r="N576" s="80" t="n"/>
      <c r="O576" s="80" t="n"/>
      <c r="P576" s="80" t="n"/>
      <c r="Q576" s="80" t="n"/>
      <c r="R576" s="80" t="n"/>
      <c r="S576" s="80" t="n"/>
      <c r="T576" s="80" t="n"/>
      <c r="U576" s="80" t="n"/>
      <c r="V576" s="80" t="n"/>
      <c r="W576" s="80" t="n"/>
      <c r="X576" s="80" t="n"/>
      <c r="Y576" s="80" t="n"/>
      <c r="Z576" s="80" t="n"/>
      <c r="AA576" s="80" t="n"/>
      <c r="AB576" s="80" t="n"/>
      <c r="AC576" s="80" t="n"/>
      <c r="AD576" s="80" t="n"/>
      <c r="AE576" s="80" t="n"/>
      <c r="AF576" s="80" t="n"/>
      <c r="AG576" s="80" t="n"/>
      <c r="AH576" s="80" t="n"/>
      <c r="AI576" s="80" t="n"/>
      <c r="AJ576" s="80" t="n"/>
      <c r="AK576" s="80" t="n"/>
      <c r="AL576" s="80" t="n"/>
      <c r="AM576" s="80" t="n"/>
      <c r="AN576" s="80" t="n"/>
      <c r="AO576" s="80" t="n"/>
      <c r="AP576" s="80" t="n"/>
      <c r="AQ576" s="80" t="n"/>
      <c r="AR576" s="80" t="n"/>
    </row>
    <row r="577">
      <c r="D577" s="80" t="n"/>
      <c r="E577" s="80" t="n"/>
      <c r="F577" s="80" t="n"/>
      <c r="G577" s="80" t="n"/>
      <c r="H577" s="80" t="n"/>
      <c r="I577" s="80" t="n"/>
      <c r="J577" s="80" t="n"/>
      <c r="K577" s="80" t="n"/>
      <c r="L577" s="80" t="n"/>
      <c r="M577" s="80" t="n"/>
      <c r="N577" s="80" t="n"/>
      <c r="O577" s="80" t="n"/>
      <c r="P577" s="80" t="n"/>
      <c r="Q577" s="80" t="n"/>
      <c r="R577" s="80" t="n"/>
      <c r="S577" s="80" t="n"/>
      <c r="T577" s="80" t="n"/>
      <c r="U577" s="80" t="n"/>
      <c r="V577" s="80" t="n"/>
      <c r="W577" s="80" t="n"/>
      <c r="X577" s="80" t="n"/>
      <c r="Y577" s="80" t="n"/>
      <c r="Z577" s="80" t="n"/>
      <c r="AA577" s="80" t="n"/>
      <c r="AB577" s="80" t="n"/>
      <c r="AC577" s="80" t="n"/>
      <c r="AD577" s="80" t="n"/>
      <c r="AE577" s="80" t="n"/>
      <c r="AF577" s="80" t="n"/>
      <c r="AG577" s="80" t="n"/>
      <c r="AH577" s="80" t="n"/>
      <c r="AI577" s="80" t="n"/>
      <c r="AJ577" s="80" t="n"/>
      <c r="AK577" s="80" t="n"/>
      <c r="AL577" s="80" t="n"/>
      <c r="AM577" s="80" t="n"/>
      <c r="AN577" s="80" t="n"/>
      <c r="AO577" s="80" t="n"/>
      <c r="AP577" s="80" t="n"/>
      <c r="AQ577" s="80" t="n"/>
      <c r="AR577" s="80" t="n"/>
    </row>
    <row r="579">
      <c r="A579" s="6">
        <f>IF(HSI!$C$45="","",HSI!$C$45)</f>
        <v/>
      </c>
      <c r="B579" s="41">
        <f>IF($A579="",0,COUNT($E580:$AR580))</f>
        <v/>
      </c>
      <c r="C579" s="81">
        <f>IF($B579=0,0,MAX($E580:$AR580))</f>
        <v/>
      </c>
      <c r="D579" s="82">
        <f>BDS($A579,'Field Check'!$C$7,"headers=y","startcol=1","endcol=7","dir=h","DVD_START_DT",Summary!$C$18,"DVD_END_DT",Summary!$D$18)</f>
        <v/>
      </c>
      <c r="E579" s="83" t="n"/>
      <c r="F579" s="83" t="n"/>
      <c r="G579" s="83" t="n"/>
      <c r="H579" s="83" t="n"/>
      <c r="I579" s="83" t="n"/>
      <c r="J579" s="83" t="n"/>
      <c r="K579" s="83" t="n"/>
      <c r="L579" s="83" t="n"/>
      <c r="M579" s="83" t="n"/>
      <c r="N579" s="83" t="n"/>
      <c r="O579" s="83" t="n"/>
      <c r="P579" s="83" t="n"/>
      <c r="Q579" s="83" t="n"/>
      <c r="R579" s="83" t="n"/>
      <c r="S579" s="83" t="n"/>
      <c r="T579" s="83" t="n"/>
      <c r="U579" s="83" t="n"/>
      <c r="V579" s="83" t="n"/>
      <c r="W579" s="83" t="n"/>
      <c r="X579" s="83" t="n"/>
      <c r="Y579" s="83" t="n"/>
      <c r="Z579" s="83" t="n"/>
      <c r="AA579" s="83" t="n"/>
      <c r="AB579" s="83" t="n"/>
      <c r="AC579" s="83" t="n"/>
      <c r="AD579" s="83" t="n"/>
      <c r="AE579" s="83" t="n"/>
      <c r="AF579" s="83" t="n"/>
      <c r="AG579" s="83" t="n"/>
      <c r="AH579" s="83" t="n"/>
      <c r="AI579" s="83" t="n"/>
      <c r="AJ579" s="83" t="n"/>
      <c r="AK579" s="83" t="n"/>
      <c r="AL579" s="83" t="n"/>
      <c r="AM579" s="83" t="n"/>
      <c r="AN579" s="83" t="n"/>
      <c r="AO579" s="83" t="n"/>
      <c r="AP579" s="83" t="n"/>
      <c r="AQ579" s="83" t="n"/>
      <c r="AR579" s="83" t="n"/>
    </row>
    <row r="580">
      <c r="D580" s="83" t="n"/>
      <c r="E580" s="83" t="n"/>
      <c r="F580" s="83" t="n"/>
      <c r="G580" s="83" t="n"/>
      <c r="H580" s="83" t="n"/>
      <c r="I580" s="83" t="n"/>
      <c r="J580" s="83" t="n"/>
      <c r="K580" s="83" t="n"/>
      <c r="L580" s="83" t="n"/>
      <c r="M580" s="83" t="n"/>
      <c r="N580" s="83" t="n"/>
      <c r="O580" s="83" t="n"/>
      <c r="P580" s="83" t="n"/>
      <c r="Q580" s="83" t="n"/>
      <c r="R580" s="83" t="n"/>
      <c r="S580" s="83" t="n"/>
      <c r="T580" s="83" t="n"/>
      <c r="U580" s="83" t="n"/>
      <c r="V580" s="83" t="n"/>
      <c r="W580" s="83" t="n"/>
      <c r="X580" s="83" t="n"/>
      <c r="Y580" s="83" t="n"/>
      <c r="Z580" s="83" t="n"/>
      <c r="AA580" s="83" t="n"/>
      <c r="AB580" s="83" t="n"/>
      <c r="AC580" s="83" t="n"/>
      <c r="AD580" s="83" t="n"/>
      <c r="AE580" s="83" t="n"/>
      <c r="AF580" s="83" t="n"/>
      <c r="AG580" s="83" t="n"/>
      <c r="AH580" s="83" t="n"/>
      <c r="AI580" s="83" t="n"/>
      <c r="AJ580" s="83" t="n"/>
      <c r="AK580" s="83" t="n"/>
      <c r="AL580" s="83" t="n"/>
      <c r="AM580" s="83" t="n"/>
      <c r="AN580" s="83" t="n"/>
      <c r="AO580" s="83" t="n"/>
      <c r="AP580" s="83" t="n"/>
      <c r="AQ580" s="83" t="n"/>
      <c r="AR580" s="83" t="n"/>
    </row>
    <row r="581">
      <c r="D581" s="84" t="n"/>
      <c r="E581" s="84" t="n"/>
      <c r="F581" s="84" t="n"/>
      <c r="G581" s="84" t="n"/>
      <c r="H581" s="84" t="n"/>
      <c r="I581" s="84" t="n"/>
      <c r="J581" s="84" t="n"/>
      <c r="K581" s="84" t="n"/>
      <c r="L581" s="84" t="n"/>
      <c r="M581" s="84" t="n"/>
      <c r="N581" s="84" t="n"/>
      <c r="O581" s="84" t="n"/>
      <c r="P581" s="84" t="n"/>
      <c r="Q581" s="84" t="n"/>
      <c r="R581" s="84" t="n"/>
      <c r="S581" s="84" t="n"/>
      <c r="T581" s="84" t="n"/>
      <c r="U581" s="84" t="n"/>
      <c r="V581" s="84" t="n"/>
      <c r="W581" s="84" t="n"/>
      <c r="X581" s="84" t="n"/>
      <c r="Y581" s="84" t="n"/>
      <c r="Z581" s="84" t="n"/>
      <c r="AA581" s="84" t="n"/>
      <c r="AB581" s="84" t="n"/>
      <c r="AC581" s="84" t="n"/>
      <c r="AD581" s="84" t="n"/>
      <c r="AE581" s="84" t="n"/>
      <c r="AF581" s="84" t="n"/>
      <c r="AG581" s="84" t="n"/>
      <c r="AH581" s="84" t="n"/>
      <c r="AI581" s="84" t="n"/>
      <c r="AJ581" s="84" t="n"/>
      <c r="AK581" s="84" t="n"/>
      <c r="AL581" s="84" t="n"/>
      <c r="AM581" s="84" t="n"/>
      <c r="AN581" s="84" t="n"/>
      <c r="AO581" s="84" t="n"/>
      <c r="AP581" s="84" t="n"/>
      <c r="AQ581" s="84" t="n"/>
      <c r="AR581" s="84" t="n"/>
    </row>
    <row r="582">
      <c r="D582" s="80" t="n"/>
      <c r="E582" s="80" t="n"/>
      <c r="F582" s="80" t="n"/>
      <c r="G582" s="80" t="n"/>
      <c r="H582" s="80" t="n"/>
      <c r="I582" s="80" t="n"/>
      <c r="J582" s="80" t="n"/>
      <c r="K582" s="80" t="n"/>
      <c r="L582" s="80" t="n"/>
      <c r="M582" s="80" t="n"/>
      <c r="N582" s="80" t="n"/>
      <c r="O582" s="80" t="n"/>
      <c r="P582" s="80" t="n"/>
      <c r="Q582" s="80" t="n"/>
      <c r="R582" s="80" t="n"/>
      <c r="S582" s="80" t="n"/>
      <c r="T582" s="80" t="n"/>
      <c r="U582" s="80" t="n"/>
      <c r="V582" s="80" t="n"/>
      <c r="W582" s="80" t="n"/>
      <c r="X582" s="80" t="n"/>
      <c r="Y582" s="80" t="n"/>
      <c r="Z582" s="80" t="n"/>
      <c r="AA582" s="80" t="n"/>
      <c r="AB582" s="80" t="n"/>
      <c r="AC582" s="80" t="n"/>
      <c r="AD582" s="80" t="n"/>
      <c r="AE582" s="80" t="n"/>
      <c r="AF582" s="80" t="n"/>
      <c r="AG582" s="80" t="n"/>
      <c r="AH582" s="80" t="n"/>
      <c r="AI582" s="80" t="n"/>
      <c r="AJ582" s="80" t="n"/>
      <c r="AK582" s="80" t="n"/>
      <c r="AL582" s="80" t="n"/>
      <c r="AM582" s="80" t="n"/>
      <c r="AN582" s="80" t="n"/>
      <c r="AO582" s="80" t="n"/>
      <c r="AP582" s="80" t="n"/>
      <c r="AQ582" s="80" t="n"/>
      <c r="AR582" s="80" t="n"/>
    </row>
    <row r="583">
      <c r="D583" s="80" t="n"/>
      <c r="E583" s="80" t="n"/>
      <c r="F583" s="80" t="n"/>
      <c r="G583" s="80" t="n"/>
      <c r="H583" s="80" t="n"/>
      <c r="I583" s="80" t="n"/>
      <c r="J583" s="80" t="n"/>
      <c r="K583" s="80" t="n"/>
      <c r="L583" s="80" t="n"/>
      <c r="M583" s="80" t="n"/>
      <c r="N583" s="80" t="n"/>
      <c r="O583" s="80" t="n"/>
      <c r="P583" s="80" t="n"/>
      <c r="Q583" s="80" t="n"/>
      <c r="R583" s="80" t="n"/>
      <c r="S583" s="80" t="n"/>
      <c r="T583" s="80" t="n"/>
      <c r="U583" s="80" t="n"/>
      <c r="V583" s="80" t="n"/>
      <c r="W583" s="80" t="n"/>
      <c r="X583" s="80" t="n"/>
      <c r="Y583" s="80" t="n"/>
      <c r="Z583" s="80" t="n"/>
      <c r="AA583" s="80" t="n"/>
      <c r="AB583" s="80" t="n"/>
      <c r="AC583" s="80" t="n"/>
      <c r="AD583" s="80" t="n"/>
      <c r="AE583" s="80" t="n"/>
      <c r="AF583" s="80" t="n"/>
      <c r="AG583" s="80" t="n"/>
      <c r="AH583" s="80" t="n"/>
      <c r="AI583" s="80" t="n"/>
      <c r="AJ583" s="80" t="n"/>
      <c r="AK583" s="80" t="n"/>
      <c r="AL583" s="80" t="n"/>
      <c r="AM583" s="80" t="n"/>
      <c r="AN583" s="80" t="n"/>
      <c r="AO583" s="80" t="n"/>
      <c r="AP583" s="80" t="n"/>
      <c r="AQ583" s="80" t="n"/>
      <c r="AR583" s="80" t="n"/>
    </row>
    <row r="584">
      <c r="D584" s="80" t="n"/>
      <c r="E584" s="80" t="n"/>
      <c r="F584" s="80" t="n"/>
      <c r="G584" s="80" t="n"/>
      <c r="H584" s="80" t="n"/>
      <c r="I584" s="80" t="n"/>
      <c r="J584" s="80" t="n"/>
      <c r="K584" s="80" t="n"/>
      <c r="L584" s="80" t="n"/>
      <c r="M584" s="80" t="n"/>
      <c r="N584" s="80" t="n"/>
      <c r="O584" s="80" t="n"/>
      <c r="P584" s="80" t="n"/>
      <c r="Q584" s="80" t="n"/>
      <c r="R584" s="80" t="n"/>
      <c r="S584" s="80" t="n"/>
      <c r="T584" s="80" t="n"/>
      <c r="U584" s="80" t="n"/>
      <c r="V584" s="80" t="n"/>
      <c r="W584" s="80" t="n"/>
      <c r="X584" s="80" t="n"/>
      <c r="Y584" s="80" t="n"/>
      <c r="Z584" s="80" t="n"/>
      <c r="AA584" s="80" t="n"/>
      <c r="AB584" s="80" t="n"/>
      <c r="AC584" s="80" t="n"/>
      <c r="AD584" s="80" t="n"/>
      <c r="AE584" s="80" t="n"/>
      <c r="AF584" s="80" t="n"/>
      <c r="AG584" s="80" t="n"/>
      <c r="AH584" s="80" t="n"/>
      <c r="AI584" s="80" t="n"/>
      <c r="AJ584" s="80" t="n"/>
      <c r="AK584" s="80" t="n"/>
      <c r="AL584" s="80" t="n"/>
      <c r="AM584" s="80" t="n"/>
      <c r="AN584" s="80" t="n"/>
      <c r="AO584" s="80" t="n"/>
      <c r="AP584" s="80" t="n"/>
      <c r="AQ584" s="80" t="n"/>
      <c r="AR584" s="80" t="n"/>
    </row>
    <row r="585">
      <c r="D585" s="80" t="n"/>
      <c r="E585" s="80" t="n"/>
      <c r="F585" s="80" t="n"/>
      <c r="G585" s="80" t="n"/>
      <c r="H585" s="80" t="n"/>
      <c r="I585" s="80" t="n"/>
      <c r="J585" s="80" t="n"/>
      <c r="K585" s="80" t="n"/>
      <c r="L585" s="80" t="n"/>
      <c r="M585" s="80" t="n"/>
      <c r="N585" s="80" t="n"/>
      <c r="O585" s="80" t="n"/>
      <c r="P585" s="80" t="n"/>
      <c r="Q585" s="80" t="n"/>
      <c r="R585" s="80" t="n"/>
      <c r="S585" s="80" t="n"/>
      <c r="T585" s="80" t="n"/>
      <c r="U585" s="80" t="n"/>
      <c r="V585" s="80" t="n"/>
      <c r="W585" s="80" t="n"/>
      <c r="X585" s="80" t="n"/>
      <c r="Y585" s="80" t="n"/>
      <c r="Z585" s="80" t="n"/>
      <c r="AA585" s="80" t="n"/>
      <c r="AB585" s="80" t="n"/>
      <c r="AC585" s="80" t="n"/>
      <c r="AD585" s="80" t="n"/>
      <c r="AE585" s="80" t="n"/>
      <c r="AF585" s="80" t="n"/>
      <c r="AG585" s="80" t="n"/>
      <c r="AH585" s="80" t="n"/>
      <c r="AI585" s="80" t="n"/>
      <c r="AJ585" s="80" t="n"/>
      <c r="AK585" s="80" t="n"/>
      <c r="AL585" s="80" t="n"/>
      <c r="AM585" s="80" t="n"/>
      <c r="AN585" s="80" t="n"/>
      <c r="AO585" s="80" t="n"/>
      <c r="AP585" s="80" t="n"/>
      <c r="AQ585" s="80" t="n"/>
      <c r="AR585" s="80" t="n"/>
    </row>
    <row r="586">
      <c r="A586" s="2">
        <f>IF($A579="","","   projections")</f>
        <v/>
      </c>
      <c r="B586" s="41">
        <f>IF($A579="",0,COUNT($E587:$AR587))</f>
        <v/>
      </c>
      <c r="C586" s="81">
        <f>IF($B586=0,0,MAX($E587:$AR587))</f>
        <v/>
      </c>
      <c r="D586" s="82">
        <f>BDS($A579,'Field Check'!$C$6,"headers=y","startcol=1","endcol=7","dir=h")</f>
        <v/>
      </c>
      <c r="E586" s="83" t="n"/>
      <c r="F586" s="83" t="n"/>
      <c r="G586" s="83" t="n"/>
      <c r="H586" s="83" t="n"/>
      <c r="I586" s="83" t="n"/>
      <c r="J586" s="83" t="n"/>
      <c r="K586" s="83" t="n"/>
      <c r="L586" s="83" t="n"/>
      <c r="M586" s="83" t="n"/>
      <c r="N586" s="83" t="n"/>
      <c r="O586" s="83" t="n"/>
      <c r="P586" s="83" t="n"/>
      <c r="Q586" s="83" t="n"/>
      <c r="R586" s="83" t="n"/>
      <c r="S586" s="83" t="n"/>
      <c r="T586" s="83" t="n"/>
      <c r="U586" s="83" t="n"/>
      <c r="V586" s="83" t="n"/>
      <c r="W586" s="83" t="n"/>
      <c r="X586" s="83" t="n"/>
      <c r="Y586" s="83" t="n"/>
      <c r="Z586" s="83" t="n"/>
      <c r="AA586" s="83" t="n"/>
      <c r="AB586" s="83" t="n"/>
      <c r="AC586" s="83" t="n"/>
      <c r="AD586" s="83" t="n"/>
      <c r="AE586" s="83" t="n"/>
      <c r="AF586" s="83" t="n"/>
      <c r="AG586" s="83" t="n"/>
      <c r="AH586" s="83" t="n"/>
      <c r="AI586" s="83" t="n"/>
      <c r="AJ586" s="83" t="n"/>
      <c r="AK586" s="83" t="n"/>
      <c r="AL586" s="83" t="n"/>
      <c r="AM586" s="83" t="n"/>
      <c r="AN586" s="83" t="n"/>
      <c r="AO586" s="83" t="n"/>
      <c r="AP586" s="83" t="n"/>
      <c r="AQ586" s="83" t="n"/>
      <c r="AR586" s="83" t="n"/>
    </row>
    <row r="587">
      <c r="D587" s="83" t="n"/>
      <c r="E587" s="83" t="n"/>
      <c r="F587" s="83" t="n"/>
      <c r="G587" s="83" t="n"/>
      <c r="H587" s="83" t="n"/>
      <c r="I587" s="83" t="n"/>
      <c r="J587" s="83" t="n"/>
      <c r="K587" s="83" t="n"/>
      <c r="L587" s="83" t="n"/>
      <c r="M587" s="83" t="n"/>
      <c r="N587" s="83" t="n"/>
      <c r="O587" s="83" t="n"/>
      <c r="P587" s="83" t="n"/>
      <c r="Q587" s="83" t="n"/>
      <c r="R587" s="83" t="n"/>
      <c r="S587" s="83" t="n"/>
      <c r="T587" s="83" t="n"/>
      <c r="U587" s="83" t="n"/>
      <c r="V587" s="83" t="n"/>
      <c r="W587" s="83" t="n"/>
      <c r="X587" s="83" t="n"/>
      <c r="Y587" s="83" t="n"/>
      <c r="Z587" s="83" t="n"/>
      <c r="AA587" s="83" t="n"/>
      <c r="AB587" s="83" t="n"/>
      <c r="AC587" s="83" t="n"/>
      <c r="AD587" s="83" t="n"/>
      <c r="AE587" s="83" t="n"/>
      <c r="AF587" s="83" t="n"/>
      <c r="AG587" s="83" t="n"/>
      <c r="AH587" s="83" t="n"/>
      <c r="AI587" s="83" t="n"/>
      <c r="AJ587" s="83" t="n"/>
      <c r="AK587" s="83" t="n"/>
      <c r="AL587" s="83" t="n"/>
      <c r="AM587" s="83" t="n"/>
      <c r="AN587" s="83" t="n"/>
      <c r="AO587" s="83" t="n"/>
      <c r="AP587" s="83" t="n"/>
      <c r="AQ587" s="83" t="n"/>
      <c r="AR587" s="83" t="n"/>
    </row>
    <row r="588">
      <c r="D588" s="84" t="n"/>
      <c r="E588" s="84" t="n"/>
      <c r="F588" s="84" t="n"/>
      <c r="G588" s="84" t="n"/>
      <c r="H588" s="84" t="n"/>
      <c r="I588" s="84" t="n"/>
      <c r="J588" s="84" t="n"/>
      <c r="K588" s="84" t="n"/>
      <c r="L588" s="84" t="n"/>
      <c r="M588" s="84" t="n"/>
      <c r="N588" s="84" t="n"/>
      <c r="O588" s="84" t="n"/>
      <c r="P588" s="84" t="n"/>
      <c r="Q588" s="84" t="n"/>
      <c r="R588" s="84" t="n"/>
      <c r="S588" s="84" t="n"/>
      <c r="T588" s="84" t="n"/>
      <c r="U588" s="84" t="n"/>
      <c r="V588" s="84" t="n"/>
      <c r="W588" s="84" t="n"/>
      <c r="X588" s="84" t="n"/>
      <c r="Y588" s="84" t="n"/>
      <c r="Z588" s="84" t="n"/>
      <c r="AA588" s="84" t="n"/>
      <c r="AB588" s="84" t="n"/>
      <c r="AC588" s="84" t="n"/>
      <c r="AD588" s="84" t="n"/>
      <c r="AE588" s="84" t="n"/>
      <c r="AF588" s="84" t="n"/>
      <c r="AG588" s="84" t="n"/>
      <c r="AH588" s="84" t="n"/>
      <c r="AI588" s="84" t="n"/>
      <c r="AJ588" s="84" t="n"/>
      <c r="AK588" s="84" t="n"/>
      <c r="AL588" s="84" t="n"/>
      <c r="AM588" s="84" t="n"/>
      <c r="AN588" s="84" t="n"/>
      <c r="AO588" s="84" t="n"/>
      <c r="AP588" s="84" t="n"/>
      <c r="AQ588" s="84" t="n"/>
      <c r="AR588" s="84" t="n"/>
    </row>
    <row r="589">
      <c r="D589" s="80" t="n"/>
      <c r="E589" s="80" t="n"/>
      <c r="F589" s="80" t="n"/>
      <c r="G589" s="80" t="n"/>
      <c r="H589" s="80" t="n"/>
      <c r="I589" s="80" t="n"/>
      <c r="J589" s="80" t="n"/>
      <c r="K589" s="80" t="n"/>
      <c r="L589" s="80" t="n"/>
      <c r="M589" s="80" t="n"/>
      <c r="N589" s="80" t="n"/>
      <c r="O589" s="80" t="n"/>
      <c r="P589" s="80" t="n"/>
      <c r="Q589" s="80" t="n"/>
      <c r="R589" s="80" t="n"/>
      <c r="S589" s="80" t="n"/>
      <c r="T589" s="80" t="n"/>
      <c r="U589" s="80" t="n"/>
      <c r="V589" s="80" t="n"/>
      <c r="W589" s="80" t="n"/>
      <c r="X589" s="80" t="n"/>
      <c r="Y589" s="80" t="n"/>
      <c r="Z589" s="80" t="n"/>
      <c r="AA589" s="80" t="n"/>
      <c r="AB589" s="80" t="n"/>
      <c r="AC589" s="80" t="n"/>
      <c r="AD589" s="80" t="n"/>
      <c r="AE589" s="80" t="n"/>
      <c r="AF589" s="80" t="n"/>
      <c r="AG589" s="80" t="n"/>
      <c r="AH589" s="80" t="n"/>
      <c r="AI589" s="80" t="n"/>
      <c r="AJ589" s="80" t="n"/>
      <c r="AK589" s="80" t="n"/>
      <c r="AL589" s="80" t="n"/>
      <c r="AM589" s="80" t="n"/>
      <c r="AN589" s="80" t="n"/>
      <c r="AO589" s="80" t="n"/>
      <c r="AP589" s="80" t="n"/>
      <c r="AQ589" s="80" t="n"/>
      <c r="AR589" s="80" t="n"/>
    </row>
    <row r="590">
      <c r="D590" s="80" t="n"/>
      <c r="E590" s="80" t="n"/>
      <c r="F590" s="80" t="n"/>
      <c r="G590" s="80" t="n"/>
      <c r="H590" s="80" t="n"/>
      <c r="I590" s="80" t="n"/>
      <c r="J590" s="80" t="n"/>
      <c r="K590" s="80" t="n"/>
      <c r="L590" s="80" t="n"/>
      <c r="M590" s="80" t="n"/>
      <c r="N590" s="80" t="n"/>
      <c r="O590" s="80" t="n"/>
      <c r="P590" s="80" t="n"/>
      <c r="Q590" s="80" t="n"/>
      <c r="R590" s="80" t="n"/>
      <c r="S590" s="80" t="n"/>
      <c r="T590" s="80" t="n"/>
      <c r="U590" s="80" t="n"/>
      <c r="V590" s="80" t="n"/>
      <c r="W590" s="80" t="n"/>
      <c r="X590" s="80" t="n"/>
      <c r="Y590" s="80" t="n"/>
      <c r="Z590" s="80" t="n"/>
      <c r="AA590" s="80" t="n"/>
      <c r="AB590" s="80" t="n"/>
      <c r="AC590" s="80" t="n"/>
      <c r="AD590" s="80" t="n"/>
      <c r="AE590" s="80" t="n"/>
      <c r="AF590" s="80" t="n"/>
      <c r="AG590" s="80" t="n"/>
      <c r="AH590" s="80" t="n"/>
      <c r="AI590" s="80" t="n"/>
      <c r="AJ590" s="80" t="n"/>
      <c r="AK590" s="80" t="n"/>
      <c r="AL590" s="80" t="n"/>
      <c r="AM590" s="80" t="n"/>
      <c r="AN590" s="80" t="n"/>
      <c r="AO590" s="80" t="n"/>
      <c r="AP590" s="80" t="n"/>
      <c r="AQ590" s="80" t="n"/>
      <c r="AR590" s="80" t="n"/>
    </row>
    <row r="591">
      <c r="D591" s="80" t="n"/>
      <c r="E591" s="80" t="n"/>
      <c r="F591" s="80" t="n"/>
      <c r="G591" s="80" t="n"/>
      <c r="H591" s="80" t="n"/>
      <c r="I591" s="80" t="n"/>
      <c r="J591" s="80" t="n"/>
      <c r="K591" s="80" t="n"/>
      <c r="L591" s="80" t="n"/>
      <c r="M591" s="80" t="n"/>
      <c r="N591" s="80" t="n"/>
      <c r="O591" s="80" t="n"/>
      <c r="P591" s="80" t="n"/>
      <c r="Q591" s="80" t="n"/>
      <c r="R591" s="80" t="n"/>
      <c r="S591" s="80" t="n"/>
      <c r="T591" s="80" t="n"/>
      <c r="U591" s="80" t="n"/>
      <c r="V591" s="80" t="n"/>
      <c r="W591" s="80" t="n"/>
      <c r="X591" s="80" t="n"/>
      <c r="Y591" s="80" t="n"/>
      <c r="Z591" s="80" t="n"/>
      <c r="AA591" s="80" t="n"/>
      <c r="AB591" s="80" t="n"/>
      <c r="AC591" s="80" t="n"/>
      <c r="AD591" s="80" t="n"/>
      <c r="AE591" s="80" t="n"/>
      <c r="AF591" s="80" t="n"/>
      <c r="AG591" s="80" t="n"/>
      <c r="AH591" s="80" t="n"/>
      <c r="AI591" s="80" t="n"/>
      <c r="AJ591" s="80" t="n"/>
      <c r="AK591" s="80" t="n"/>
      <c r="AL591" s="80" t="n"/>
      <c r="AM591" s="80" t="n"/>
      <c r="AN591" s="80" t="n"/>
      <c r="AO591" s="80" t="n"/>
      <c r="AP591" s="80" t="n"/>
      <c r="AQ591" s="80" t="n"/>
      <c r="AR591" s="80" t="n"/>
    </row>
    <row r="592">
      <c r="D592" s="80" t="n"/>
      <c r="E592" s="80" t="n"/>
      <c r="F592" s="80" t="n"/>
      <c r="G592" s="80" t="n"/>
      <c r="H592" s="80" t="n"/>
      <c r="I592" s="80" t="n"/>
      <c r="J592" s="80" t="n"/>
      <c r="K592" s="80" t="n"/>
      <c r="L592" s="80" t="n"/>
      <c r="M592" s="80" t="n"/>
      <c r="N592" s="80" t="n"/>
      <c r="O592" s="80" t="n"/>
      <c r="P592" s="80" t="n"/>
      <c r="Q592" s="80" t="n"/>
      <c r="R592" s="80" t="n"/>
      <c r="S592" s="80" t="n"/>
      <c r="T592" s="80" t="n"/>
      <c r="U592" s="80" t="n"/>
      <c r="V592" s="80" t="n"/>
      <c r="W592" s="80" t="n"/>
      <c r="X592" s="80" t="n"/>
      <c r="Y592" s="80" t="n"/>
      <c r="Z592" s="80" t="n"/>
      <c r="AA592" s="80" t="n"/>
      <c r="AB592" s="80" t="n"/>
      <c r="AC592" s="80" t="n"/>
      <c r="AD592" s="80" t="n"/>
      <c r="AE592" s="80" t="n"/>
      <c r="AF592" s="80" t="n"/>
      <c r="AG592" s="80" t="n"/>
      <c r="AH592" s="80" t="n"/>
      <c r="AI592" s="80" t="n"/>
      <c r="AJ592" s="80" t="n"/>
      <c r="AK592" s="80" t="n"/>
      <c r="AL592" s="80" t="n"/>
      <c r="AM592" s="80" t="n"/>
      <c r="AN592" s="80" t="n"/>
      <c r="AO592" s="80" t="n"/>
      <c r="AP592" s="80" t="n"/>
      <c r="AQ592" s="80" t="n"/>
      <c r="AR592" s="80" t="n"/>
    </row>
    <row r="594">
      <c r="A594" s="6">
        <f>IF(HSI!$C$46="","",HSI!$C$46)</f>
        <v/>
      </c>
      <c r="B594" s="41">
        <f>IF($A594="",0,COUNT($E595:$AR595))</f>
        <v/>
      </c>
      <c r="C594" s="81">
        <f>IF($B594=0,0,MAX($E595:$AR595))</f>
        <v/>
      </c>
      <c r="D594" s="82">
        <f>BDS($A594,'Field Check'!$C$7,"headers=y","startcol=1","endcol=7","dir=h","DVD_START_DT",Summary!$C$18,"DVD_END_DT",Summary!$D$18)</f>
        <v/>
      </c>
      <c r="E594" s="83" t="n"/>
      <c r="F594" s="83" t="n"/>
      <c r="G594" s="83" t="n"/>
      <c r="H594" s="83" t="n"/>
      <c r="I594" s="83" t="n"/>
      <c r="J594" s="83" t="n"/>
      <c r="K594" s="83" t="n"/>
      <c r="L594" s="83" t="n"/>
      <c r="M594" s="83" t="n"/>
      <c r="N594" s="83" t="n"/>
      <c r="O594" s="83" t="n"/>
      <c r="P594" s="83" t="n"/>
      <c r="Q594" s="83" t="n"/>
      <c r="R594" s="83" t="n"/>
      <c r="S594" s="83" t="n"/>
      <c r="T594" s="83" t="n"/>
      <c r="U594" s="83" t="n"/>
      <c r="V594" s="83" t="n"/>
      <c r="W594" s="83" t="n"/>
      <c r="X594" s="83" t="n"/>
      <c r="Y594" s="83" t="n"/>
      <c r="Z594" s="83" t="n"/>
      <c r="AA594" s="83" t="n"/>
      <c r="AB594" s="83" t="n"/>
      <c r="AC594" s="83" t="n"/>
      <c r="AD594" s="83" t="n"/>
      <c r="AE594" s="83" t="n"/>
      <c r="AF594" s="83" t="n"/>
      <c r="AG594" s="83" t="n"/>
      <c r="AH594" s="83" t="n"/>
      <c r="AI594" s="83" t="n"/>
      <c r="AJ594" s="83" t="n"/>
      <c r="AK594" s="83" t="n"/>
      <c r="AL594" s="83" t="n"/>
      <c r="AM594" s="83" t="n"/>
      <c r="AN594" s="83" t="n"/>
      <c r="AO594" s="83" t="n"/>
      <c r="AP594" s="83" t="n"/>
      <c r="AQ594" s="83" t="n"/>
      <c r="AR594" s="83" t="n"/>
    </row>
    <row r="595">
      <c r="D595" s="83" t="n"/>
      <c r="E595" s="83" t="n"/>
      <c r="F595" s="83" t="n"/>
      <c r="G595" s="83" t="n"/>
      <c r="H595" s="83" t="n"/>
      <c r="I595" s="83" t="n"/>
      <c r="J595" s="83" t="n"/>
      <c r="K595" s="83" t="n"/>
      <c r="L595" s="83" t="n"/>
      <c r="M595" s="83" t="n"/>
      <c r="N595" s="83" t="n"/>
      <c r="O595" s="83" t="n"/>
      <c r="P595" s="83" t="n"/>
      <c r="Q595" s="83" t="n"/>
      <c r="R595" s="83" t="n"/>
      <c r="S595" s="83" t="n"/>
      <c r="T595" s="83" t="n"/>
      <c r="U595" s="83" t="n"/>
      <c r="V595" s="83" t="n"/>
      <c r="W595" s="83" t="n"/>
      <c r="X595" s="83" t="n"/>
      <c r="Y595" s="83" t="n"/>
      <c r="Z595" s="83" t="n"/>
      <c r="AA595" s="83" t="n"/>
      <c r="AB595" s="83" t="n"/>
      <c r="AC595" s="83" t="n"/>
      <c r="AD595" s="83" t="n"/>
      <c r="AE595" s="83" t="n"/>
      <c r="AF595" s="83" t="n"/>
      <c r="AG595" s="83" t="n"/>
      <c r="AH595" s="83" t="n"/>
      <c r="AI595" s="83" t="n"/>
      <c r="AJ595" s="83" t="n"/>
      <c r="AK595" s="83" t="n"/>
      <c r="AL595" s="83" t="n"/>
      <c r="AM595" s="83" t="n"/>
      <c r="AN595" s="83" t="n"/>
      <c r="AO595" s="83" t="n"/>
      <c r="AP595" s="83" t="n"/>
      <c r="AQ595" s="83" t="n"/>
      <c r="AR595" s="83" t="n"/>
    </row>
    <row r="596">
      <c r="D596" s="84" t="n"/>
      <c r="E596" s="84" t="n"/>
      <c r="F596" s="84" t="n"/>
      <c r="G596" s="84" t="n"/>
      <c r="H596" s="84" t="n"/>
      <c r="I596" s="84" t="n"/>
      <c r="J596" s="84" t="n"/>
      <c r="K596" s="84" t="n"/>
      <c r="L596" s="84" t="n"/>
      <c r="M596" s="84" t="n"/>
      <c r="N596" s="84" t="n"/>
      <c r="O596" s="84" t="n"/>
      <c r="P596" s="84" t="n"/>
      <c r="Q596" s="84" t="n"/>
      <c r="R596" s="84" t="n"/>
      <c r="S596" s="84" t="n"/>
      <c r="T596" s="84" t="n"/>
      <c r="U596" s="84" t="n"/>
      <c r="V596" s="84" t="n"/>
      <c r="W596" s="84" t="n"/>
      <c r="X596" s="84" t="n"/>
      <c r="Y596" s="84" t="n"/>
      <c r="Z596" s="84" t="n"/>
      <c r="AA596" s="84" t="n"/>
      <c r="AB596" s="84" t="n"/>
      <c r="AC596" s="84" t="n"/>
      <c r="AD596" s="84" t="n"/>
      <c r="AE596" s="84" t="n"/>
      <c r="AF596" s="84" t="n"/>
      <c r="AG596" s="84" t="n"/>
      <c r="AH596" s="84" t="n"/>
      <c r="AI596" s="84" t="n"/>
      <c r="AJ596" s="84" t="n"/>
      <c r="AK596" s="84" t="n"/>
      <c r="AL596" s="84" t="n"/>
      <c r="AM596" s="84" t="n"/>
      <c r="AN596" s="84" t="n"/>
      <c r="AO596" s="84" t="n"/>
      <c r="AP596" s="84" t="n"/>
      <c r="AQ596" s="84" t="n"/>
      <c r="AR596" s="84" t="n"/>
    </row>
    <row r="597">
      <c r="D597" s="80" t="n"/>
      <c r="E597" s="80" t="n"/>
      <c r="F597" s="80" t="n"/>
      <c r="G597" s="80" t="n"/>
      <c r="H597" s="80" t="n"/>
      <c r="I597" s="80" t="n"/>
      <c r="J597" s="80" t="n"/>
      <c r="K597" s="80" t="n"/>
      <c r="L597" s="80" t="n"/>
      <c r="M597" s="80" t="n"/>
      <c r="N597" s="80" t="n"/>
      <c r="O597" s="80" t="n"/>
      <c r="P597" s="80" t="n"/>
      <c r="Q597" s="80" t="n"/>
      <c r="R597" s="80" t="n"/>
      <c r="S597" s="80" t="n"/>
      <c r="T597" s="80" t="n"/>
      <c r="U597" s="80" t="n"/>
      <c r="V597" s="80" t="n"/>
      <c r="W597" s="80" t="n"/>
      <c r="X597" s="80" t="n"/>
      <c r="Y597" s="80" t="n"/>
      <c r="Z597" s="80" t="n"/>
      <c r="AA597" s="80" t="n"/>
      <c r="AB597" s="80" t="n"/>
      <c r="AC597" s="80" t="n"/>
      <c r="AD597" s="80" t="n"/>
      <c r="AE597" s="80" t="n"/>
      <c r="AF597" s="80" t="n"/>
      <c r="AG597" s="80" t="n"/>
      <c r="AH597" s="80" t="n"/>
      <c r="AI597" s="80" t="n"/>
      <c r="AJ597" s="80" t="n"/>
      <c r="AK597" s="80" t="n"/>
      <c r="AL597" s="80" t="n"/>
      <c r="AM597" s="80" t="n"/>
      <c r="AN597" s="80" t="n"/>
      <c r="AO597" s="80" t="n"/>
      <c r="AP597" s="80" t="n"/>
      <c r="AQ597" s="80" t="n"/>
      <c r="AR597" s="80" t="n"/>
    </row>
    <row r="598">
      <c r="D598" s="80" t="n"/>
      <c r="E598" s="80" t="n"/>
      <c r="F598" s="80" t="n"/>
      <c r="G598" s="80" t="n"/>
      <c r="H598" s="80" t="n"/>
      <c r="I598" s="80" t="n"/>
      <c r="J598" s="80" t="n"/>
      <c r="K598" s="80" t="n"/>
      <c r="L598" s="80" t="n"/>
      <c r="M598" s="80" t="n"/>
      <c r="N598" s="80" t="n"/>
      <c r="O598" s="80" t="n"/>
      <c r="P598" s="80" t="n"/>
      <c r="Q598" s="80" t="n"/>
      <c r="R598" s="80" t="n"/>
      <c r="S598" s="80" t="n"/>
      <c r="T598" s="80" t="n"/>
      <c r="U598" s="80" t="n"/>
      <c r="V598" s="80" t="n"/>
      <c r="W598" s="80" t="n"/>
      <c r="X598" s="80" t="n"/>
      <c r="Y598" s="80" t="n"/>
      <c r="Z598" s="80" t="n"/>
      <c r="AA598" s="80" t="n"/>
      <c r="AB598" s="80" t="n"/>
      <c r="AC598" s="80" t="n"/>
      <c r="AD598" s="80" t="n"/>
      <c r="AE598" s="80" t="n"/>
      <c r="AF598" s="80" t="n"/>
      <c r="AG598" s="80" t="n"/>
      <c r="AH598" s="80" t="n"/>
      <c r="AI598" s="80" t="n"/>
      <c r="AJ598" s="80" t="n"/>
      <c r="AK598" s="80" t="n"/>
      <c r="AL598" s="80" t="n"/>
      <c r="AM598" s="80" t="n"/>
      <c r="AN598" s="80" t="n"/>
      <c r="AO598" s="80" t="n"/>
      <c r="AP598" s="80" t="n"/>
      <c r="AQ598" s="80" t="n"/>
      <c r="AR598" s="80" t="n"/>
    </row>
    <row r="599">
      <c r="D599" s="80" t="n"/>
      <c r="E599" s="80" t="n"/>
      <c r="F599" s="80" t="n"/>
      <c r="G599" s="80" t="n"/>
      <c r="H599" s="80" t="n"/>
      <c r="I599" s="80" t="n"/>
      <c r="J599" s="80" t="n"/>
      <c r="K599" s="80" t="n"/>
      <c r="L599" s="80" t="n"/>
      <c r="M599" s="80" t="n"/>
      <c r="N599" s="80" t="n"/>
      <c r="O599" s="80" t="n"/>
      <c r="P599" s="80" t="n"/>
      <c r="Q599" s="80" t="n"/>
      <c r="R599" s="80" t="n"/>
      <c r="S599" s="80" t="n"/>
      <c r="T599" s="80" t="n"/>
      <c r="U599" s="80" t="n"/>
      <c r="V599" s="80" t="n"/>
      <c r="W599" s="80" t="n"/>
      <c r="X599" s="80" t="n"/>
      <c r="Y599" s="80" t="n"/>
      <c r="Z599" s="80" t="n"/>
      <c r="AA599" s="80" t="n"/>
      <c r="AB599" s="80" t="n"/>
      <c r="AC599" s="80" t="n"/>
      <c r="AD599" s="80" t="n"/>
      <c r="AE599" s="80" t="n"/>
      <c r="AF599" s="80" t="n"/>
      <c r="AG599" s="80" t="n"/>
      <c r="AH599" s="80" t="n"/>
      <c r="AI599" s="80" t="n"/>
      <c r="AJ599" s="80" t="n"/>
      <c r="AK599" s="80" t="n"/>
      <c r="AL599" s="80" t="n"/>
      <c r="AM599" s="80" t="n"/>
      <c r="AN599" s="80" t="n"/>
      <c r="AO599" s="80" t="n"/>
      <c r="AP599" s="80" t="n"/>
      <c r="AQ599" s="80" t="n"/>
      <c r="AR599" s="80" t="n"/>
    </row>
    <row r="600">
      <c r="D600" s="80" t="n"/>
      <c r="E600" s="80" t="n"/>
      <c r="F600" s="80" t="n"/>
      <c r="G600" s="80" t="n"/>
      <c r="H600" s="80" t="n"/>
      <c r="I600" s="80" t="n"/>
      <c r="J600" s="80" t="n"/>
      <c r="K600" s="80" t="n"/>
      <c r="L600" s="80" t="n"/>
      <c r="M600" s="80" t="n"/>
      <c r="N600" s="80" t="n"/>
      <c r="O600" s="80" t="n"/>
      <c r="P600" s="80" t="n"/>
      <c r="Q600" s="80" t="n"/>
      <c r="R600" s="80" t="n"/>
      <c r="S600" s="80" t="n"/>
      <c r="T600" s="80" t="n"/>
      <c r="U600" s="80" t="n"/>
      <c r="V600" s="80" t="n"/>
      <c r="W600" s="80" t="n"/>
      <c r="X600" s="80" t="n"/>
      <c r="Y600" s="80" t="n"/>
      <c r="Z600" s="80" t="n"/>
      <c r="AA600" s="80" t="n"/>
      <c r="AB600" s="80" t="n"/>
      <c r="AC600" s="80" t="n"/>
      <c r="AD600" s="80" t="n"/>
      <c r="AE600" s="80" t="n"/>
      <c r="AF600" s="80" t="n"/>
      <c r="AG600" s="80" t="n"/>
      <c r="AH600" s="80" t="n"/>
      <c r="AI600" s="80" t="n"/>
      <c r="AJ600" s="80" t="n"/>
      <c r="AK600" s="80" t="n"/>
      <c r="AL600" s="80" t="n"/>
      <c r="AM600" s="80" t="n"/>
      <c r="AN600" s="80" t="n"/>
      <c r="AO600" s="80" t="n"/>
      <c r="AP600" s="80" t="n"/>
      <c r="AQ600" s="80" t="n"/>
      <c r="AR600" s="80" t="n"/>
    </row>
    <row r="601">
      <c r="A601" s="2">
        <f>IF($A594="","","   projections")</f>
        <v/>
      </c>
      <c r="B601" s="41">
        <f>IF($A594="",0,COUNT($E602:$AR602))</f>
        <v/>
      </c>
      <c r="C601" s="81">
        <f>IF($B601=0,0,MAX($E602:$AR602))</f>
        <v/>
      </c>
      <c r="D601" s="82">
        <f>BDS($A594,'Field Check'!$C$6,"headers=y","startcol=1","endcol=7","dir=h")</f>
        <v/>
      </c>
      <c r="E601" s="83" t="n"/>
      <c r="F601" s="83" t="n"/>
      <c r="G601" s="83" t="n"/>
      <c r="H601" s="83" t="n"/>
      <c r="I601" s="83" t="n"/>
      <c r="J601" s="83" t="n"/>
      <c r="K601" s="83" t="n"/>
      <c r="L601" s="83" t="n"/>
      <c r="M601" s="83" t="n"/>
      <c r="N601" s="83" t="n"/>
      <c r="O601" s="83" t="n"/>
      <c r="P601" s="83" t="n"/>
      <c r="Q601" s="83" t="n"/>
      <c r="R601" s="83" t="n"/>
      <c r="S601" s="83" t="n"/>
      <c r="T601" s="83" t="n"/>
      <c r="U601" s="83" t="n"/>
      <c r="V601" s="83" t="n"/>
      <c r="W601" s="83" t="n"/>
      <c r="X601" s="83" t="n"/>
      <c r="Y601" s="83" t="n"/>
      <c r="Z601" s="83" t="n"/>
      <c r="AA601" s="83" t="n"/>
      <c r="AB601" s="83" t="n"/>
      <c r="AC601" s="83" t="n"/>
      <c r="AD601" s="83" t="n"/>
      <c r="AE601" s="83" t="n"/>
      <c r="AF601" s="83" t="n"/>
      <c r="AG601" s="83" t="n"/>
      <c r="AH601" s="83" t="n"/>
      <c r="AI601" s="83" t="n"/>
      <c r="AJ601" s="83" t="n"/>
      <c r="AK601" s="83" t="n"/>
      <c r="AL601" s="83" t="n"/>
      <c r="AM601" s="83" t="n"/>
      <c r="AN601" s="83" t="n"/>
      <c r="AO601" s="83" t="n"/>
      <c r="AP601" s="83" t="n"/>
      <c r="AQ601" s="83" t="n"/>
      <c r="AR601" s="83" t="n"/>
    </row>
    <row r="602">
      <c r="D602" s="83" t="n"/>
      <c r="E602" s="83" t="n"/>
      <c r="F602" s="83" t="n"/>
      <c r="G602" s="83" t="n"/>
      <c r="H602" s="83" t="n"/>
      <c r="I602" s="83" t="n"/>
      <c r="J602" s="83" t="n"/>
      <c r="K602" s="83" t="n"/>
      <c r="L602" s="83" t="n"/>
      <c r="M602" s="83" t="n"/>
      <c r="N602" s="83" t="n"/>
      <c r="O602" s="83" t="n"/>
      <c r="P602" s="83" t="n"/>
      <c r="Q602" s="83" t="n"/>
      <c r="R602" s="83" t="n"/>
      <c r="S602" s="83" t="n"/>
      <c r="T602" s="83" t="n"/>
      <c r="U602" s="83" t="n"/>
      <c r="V602" s="83" t="n"/>
      <c r="W602" s="83" t="n"/>
      <c r="X602" s="83" t="n"/>
      <c r="Y602" s="83" t="n"/>
      <c r="Z602" s="83" t="n"/>
      <c r="AA602" s="83" t="n"/>
      <c r="AB602" s="83" t="n"/>
      <c r="AC602" s="83" t="n"/>
      <c r="AD602" s="83" t="n"/>
      <c r="AE602" s="83" t="n"/>
      <c r="AF602" s="83" t="n"/>
      <c r="AG602" s="83" t="n"/>
      <c r="AH602" s="83" t="n"/>
      <c r="AI602" s="83" t="n"/>
      <c r="AJ602" s="83" t="n"/>
      <c r="AK602" s="83" t="n"/>
      <c r="AL602" s="83" t="n"/>
      <c r="AM602" s="83" t="n"/>
      <c r="AN602" s="83" t="n"/>
      <c r="AO602" s="83" t="n"/>
      <c r="AP602" s="83" t="n"/>
      <c r="AQ602" s="83" t="n"/>
      <c r="AR602" s="83" t="n"/>
    </row>
    <row r="603">
      <c r="D603" s="84" t="n"/>
      <c r="E603" s="84" t="n"/>
      <c r="F603" s="84" t="n"/>
      <c r="G603" s="84" t="n"/>
      <c r="H603" s="84" t="n"/>
      <c r="I603" s="84" t="n"/>
      <c r="J603" s="84" t="n"/>
      <c r="K603" s="84" t="n"/>
      <c r="L603" s="84" t="n"/>
      <c r="M603" s="84" t="n"/>
      <c r="N603" s="84" t="n"/>
      <c r="O603" s="84" t="n"/>
      <c r="P603" s="84" t="n"/>
      <c r="Q603" s="84" t="n"/>
      <c r="R603" s="84" t="n"/>
      <c r="S603" s="84" t="n"/>
      <c r="T603" s="84" t="n"/>
      <c r="U603" s="84" t="n"/>
      <c r="V603" s="84" t="n"/>
      <c r="W603" s="84" t="n"/>
      <c r="X603" s="84" t="n"/>
      <c r="Y603" s="84" t="n"/>
      <c r="Z603" s="84" t="n"/>
      <c r="AA603" s="84" t="n"/>
      <c r="AB603" s="84" t="n"/>
      <c r="AC603" s="84" t="n"/>
      <c r="AD603" s="84" t="n"/>
      <c r="AE603" s="84" t="n"/>
      <c r="AF603" s="84" t="n"/>
      <c r="AG603" s="84" t="n"/>
      <c r="AH603" s="84" t="n"/>
      <c r="AI603" s="84" t="n"/>
      <c r="AJ603" s="84" t="n"/>
      <c r="AK603" s="84" t="n"/>
      <c r="AL603" s="84" t="n"/>
      <c r="AM603" s="84" t="n"/>
      <c r="AN603" s="84" t="n"/>
      <c r="AO603" s="84" t="n"/>
      <c r="AP603" s="84" t="n"/>
      <c r="AQ603" s="84" t="n"/>
      <c r="AR603" s="84" t="n"/>
    </row>
    <row r="604">
      <c r="D604" s="80" t="n"/>
      <c r="E604" s="80" t="n"/>
      <c r="F604" s="80" t="n"/>
      <c r="G604" s="80" t="n"/>
      <c r="H604" s="80" t="n"/>
      <c r="I604" s="80" t="n"/>
      <c r="J604" s="80" t="n"/>
      <c r="K604" s="80" t="n"/>
      <c r="L604" s="80" t="n"/>
      <c r="M604" s="80" t="n"/>
      <c r="N604" s="80" t="n"/>
      <c r="O604" s="80" t="n"/>
      <c r="P604" s="80" t="n"/>
      <c r="Q604" s="80" t="n"/>
      <c r="R604" s="80" t="n"/>
      <c r="S604" s="80" t="n"/>
      <c r="T604" s="80" t="n"/>
      <c r="U604" s="80" t="n"/>
      <c r="V604" s="80" t="n"/>
      <c r="W604" s="80" t="n"/>
      <c r="X604" s="80" t="n"/>
      <c r="Y604" s="80" t="n"/>
      <c r="Z604" s="80" t="n"/>
      <c r="AA604" s="80" t="n"/>
      <c r="AB604" s="80" t="n"/>
      <c r="AC604" s="80" t="n"/>
      <c r="AD604" s="80" t="n"/>
      <c r="AE604" s="80" t="n"/>
      <c r="AF604" s="80" t="n"/>
      <c r="AG604" s="80" t="n"/>
      <c r="AH604" s="80" t="n"/>
      <c r="AI604" s="80" t="n"/>
      <c r="AJ604" s="80" t="n"/>
      <c r="AK604" s="80" t="n"/>
      <c r="AL604" s="80" t="n"/>
      <c r="AM604" s="80" t="n"/>
      <c r="AN604" s="80" t="n"/>
      <c r="AO604" s="80" t="n"/>
      <c r="AP604" s="80" t="n"/>
      <c r="AQ604" s="80" t="n"/>
      <c r="AR604" s="80" t="n"/>
    </row>
    <row r="605">
      <c r="D605" s="80" t="n"/>
      <c r="E605" s="80" t="n"/>
      <c r="F605" s="80" t="n"/>
      <c r="G605" s="80" t="n"/>
      <c r="H605" s="80" t="n"/>
      <c r="I605" s="80" t="n"/>
      <c r="J605" s="80" t="n"/>
      <c r="K605" s="80" t="n"/>
      <c r="L605" s="80" t="n"/>
      <c r="M605" s="80" t="n"/>
      <c r="N605" s="80" t="n"/>
      <c r="O605" s="80" t="n"/>
      <c r="P605" s="80" t="n"/>
      <c r="Q605" s="80" t="n"/>
      <c r="R605" s="80" t="n"/>
      <c r="S605" s="80" t="n"/>
      <c r="T605" s="80" t="n"/>
      <c r="U605" s="80" t="n"/>
      <c r="V605" s="80" t="n"/>
      <c r="W605" s="80" t="n"/>
      <c r="X605" s="80" t="n"/>
      <c r="Y605" s="80" t="n"/>
      <c r="Z605" s="80" t="n"/>
      <c r="AA605" s="80" t="n"/>
      <c r="AB605" s="80" t="n"/>
      <c r="AC605" s="80" t="n"/>
      <c r="AD605" s="80" t="n"/>
      <c r="AE605" s="80" t="n"/>
      <c r="AF605" s="80" t="n"/>
      <c r="AG605" s="80" t="n"/>
      <c r="AH605" s="80" t="n"/>
      <c r="AI605" s="80" t="n"/>
      <c r="AJ605" s="80" t="n"/>
      <c r="AK605" s="80" t="n"/>
      <c r="AL605" s="80" t="n"/>
      <c r="AM605" s="80" t="n"/>
      <c r="AN605" s="80" t="n"/>
      <c r="AO605" s="80" t="n"/>
      <c r="AP605" s="80" t="n"/>
      <c r="AQ605" s="80" t="n"/>
      <c r="AR605" s="80" t="n"/>
    </row>
    <row r="606">
      <c r="D606" s="80" t="n"/>
      <c r="E606" s="80" t="n"/>
      <c r="F606" s="80" t="n"/>
      <c r="G606" s="80" t="n"/>
      <c r="H606" s="80" t="n"/>
      <c r="I606" s="80" t="n"/>
      <c r="J606" s="80" t="n"/>
      <c r="K606" s="80" t="n"/>
      <c r="L606" s="80" t="n"/>
      <c r="M606" s="80" t="n"/>
      <c r="N606" s="80" t="n"/>
      <c r="O606" s="80" t="n"/>
      <c r="P606" s="80" t="n"/>
      <c r="Q606" s="80" t="n"/>
      <c r="R606" s="80" t="n"/>
      <c r="S606" s="80" t="n"/>
      <c r="T606" s="80" t="n"/>
      <c r="U606" s="80" t="n"/>
      <c r="V606" s="80" t="n"/>
      <c r="W606" s="80" t="n"/>
      <c r="X606" s="80" t="n"/>
      <c r="Y606" s="80" t="n"/>
      <c r="Z606" s="80" t="n"/>
      <c r="AA606" s="80" t="n"/>
      <c r="AB606" s="80" t="n"/>
      <c r="AC606" s="80" t="n"/>
      <c r="AD606" s="80" t="n"/>
      <c r="AE606" s="80" t="n"/>
      <c r="AF606" s="80" t="n"/>
      <c r="AG606" s="80" t="n"/>
      <c r="AH606" s="80" t="n"/>
      <c r="AI606" s="80" t="n"/>
      <c r="AJ606" s="80" t="n"/>
      <c r="AK606" s="80" t="n"/>
      <c r="AL606" s="80" t="n"/>
      <c r="AM606" s="80" t="n"/>
      <c r="AN606" s="80" t="n"/>
      <c r="AO606" s="80" t="n"/>
      <c r="AP606" s="80" t="n"/>
      <c r="AQ606" s="80" t="n"/>
      <c r="AR606" s="80" t="n"/>
    </row>
    <row r="607">
      <c r="D607" s="80" t="n"/>
      <c r="E607" s="80" t="n"/>
      <c r="F607" s="80" t="n"/>
      <c r="G607" s="80" t="n"/>
      <c r="H607" s="80" t="n"/>
      <c r="I607" s="80" t="n"/>
      <c r="J607" s="80" t="n"/>
      <c r="K607" s="80" t="n"/>
      <c r="L607" s="80" t="n"/>
      <c r="M607" s="80" t="n"/>
      <c r="N607" s="80" t="n"/>
      <c r="O607" s="80" t="n"/>
      <c r="P607" s="80" t="n"/>
      <c r="Q607" s="80" t="n"/>
      <c r="R607" s="80" t="n"/>
      <c r="S607" s="80" t="n"/>
      <c r="T607" s="80" t="n"/>
      <c r="U607" s="80" t="n"/>
      <c r="V607" s="80" t="n"/>
      <c r="W607" s="80" t="n"/>
      <c r="X607" s="80" t="n"/>
      <c r="Y607" s="80" t="n"/>
      <c r="Z607" s="80" t="n"/>
      <c r="AA607" s="80" t="n"/>
      <c r="AB607" s="80" t="n"/>
      <c r="AC607" s="80" t="n"/>
      <c r="AD607" s="80" t="n"/>
      <c r="AE607" s="80" t="n"/>
      <c r="AF607" s="80" t="n"/>
      <c r="AG607" s="80" t="n"/>
      <c r="AH607" s="80" t="n"/>
      <c r="AI607" s="80" t="n"/>
      <c r="AJ607" s="80" t="n"/>
      <c r="AK607" s="80" t="n"/>
      <c r="AL607" s="80" t="n"/>
      <c r="AM607" s="80" t="n"/>
      <c r="AN607" s="80" t="n"/>
      <c r="AO607" s="80" t="n"/>
      <c r="AP607" s="80" t="n"/>
      <c r="AQ607" s="80" t="n"/>
      <c r="AR607" s="80" t="n"/>
    </row>
    <row r="609">
      <c r="A609" s="6">
        <f>IF(HSI!$C$47="","",HSI!$C$47)</f>
        <v/>
      </c>
      <c r="B609" s="41">
        <f>IF($A609="",0,COUNT($E610:$AR610))</f>
        <v/>
      </c>
      <c r="C609" s="81">
        <f>IF($B609=0,0,MAX($E610:$AR610))</f>
        <v/>
      </c>
      <c r="D609" s="82">
        <f>BDS($A609,'Field Check'!$C$7,"headers=y","startcol=1","endcol=7","dir=h","DVD_START_DT",Summary!$C$18,"DVD_END_DT",Summary!$D$18)</f>
        <v/>
      </c>
      <c r="E609" s="83" t="n"/>
      <c r="F609" s="83" t="n"/>
      <c r="G609" s="83" t="n"/>
      <c r="H609" s="83" t="n"/>
      <c r="I609" s="83" t="n"/>
      <c r="J609" s="83" t="n"/>
      <c r="K609" s="83" t="n"/>
      <c r="L609" s="83" t="n"/>
      <c r="M609" s="83" t="n"/>
      <c r="N609" s="83" t="n"/>
      <c r="O609" s="83" t="n"/>
      <c r="P609" s="83" t="n"/>
      <c r="Q609" s="83" t="n"/>
      <c r="R609" s="83" t="n"/>
      <c r="S609" s="83" t="n"/>
      <c r="T609" s="83" t="n"/>
      <c r="U609" s="83" t="n"/>
      <c r="V609" s="83" t="n"/>
      <c r="W609" s="83" t="n"/>
      <c r="X609" s="83" t="n"/>
      <c r="Y609" s="83" t="n"/>
      <c r="Z609" s="83" t="n"/>
      <c r="AA609" s="83" t="n"/>
      <c r="AB609" s="83" t="n"/>
      <c r="AC609" s="83" t="n"/>
      <c r="AD609" s="83" t="n"/>
      <c r="AE609" s="83" t="n"/>
      <c r="AF609" s="83" t="n"/>
      <c r="AG609" s="83" t="n"/>
      <c r="AH609" s="83" t="n"/>
      <c r="AI609" s="83" t="n"/>
      <c r="AJ609" s="83" t="n"/>
      <c r="AK609" s="83" t="n"/>
      <c r="AL609" s="83" t="n"/>
      <c r="AM609" s="83" t="n"/>
      <c r="AN609" s="83" t="n"/>
      <c r="AO609" s="83" t="n"/>
      <c r="AP609" s="83" t="n"/>
      <c r="AQ609" s="83" t="n"/>
      <c r="AR609" s="83" t="n"/>
    </row>
    <row r="610">
      <c r="D610" s="83" t="n"/>
      <c r="E610" s="83" t="n"/>
      <c r="F610" s="83" t="n"/>
      <c r="G610" s="83" t="n"/>
      <c r="H610" s="83" t="n"/>
      <c r="I610" s="83" t="n"/>
      <c r="J610" s="83" t="n"/>
      <c r="K610" s="83" t="n"/>
      <c r="L610" s="83" t="n"/>
      <c r="M610" s="83" t="n"/>
      <c r="N610" s="83" t="n"/>
      <c r="O610" s="83" t="n"/>
      <c r="P610" s="83" t="n"/>
      <c r="Q610" s="83" t="n"/>
      <c r="R610" s="83" t="n"/>
      <c r="S610" s="83" t="n"/>
      <c r="T610" s="83" t="n"/>
      <c r="U610" s="83" t="n"/>
      <c r="V610" s="83" t="n"/>
      <c r="W610" s="83" t="n"/>
      <c r="X610" s="83" t="n"/>
      <c r="Y610" s="83" t="n"/>
      <c r="Z610" s="83" t="n"/>
      <c r="AA610" s="83" t="n"/>
      <c r="AB610" s="83" t="n"/>
      <c r="AC610" s="83" t="n"/>
      <c r="AD610" s="83" t="n"/>
      <c r="AE610" s="83" t="n"/>
      <c r="AF610" s="83" t="n"/>
      <c r="AG610" s="83" t="n"/>
      <c r="AH610" s="83" t="n"/>
      <c r="AI610" s="83" t="n"/>
      <c r="AJ610" s="83" t="n"/>
      <c r="AK610" s="83" t="n"/>
      <c r="AL610" s="83" t="n"/>
      <c r="AM610" s="83" t="n"/>
      <c r="AN610" s="83" t="n"/>
      <c r="AO610" s="83" t="n"/>
      <c r="AP610" s="83" t="n"/>
      <c r="AQ610" s="83" t="n"/>
      <c r="AR610" s="83" t="n"/>
    </row>
    <row r="611">
      <c r="D611" s="84" t="n"/>
      <c r="E611" s="84" t="n"/>
      <c r="F611" s="84" t="n"/>
      <c r="G611" s="84" t="n"/>
      <c r="H611" s="84" t="n"/>
      <c r="I611" s="84" t="n"/>
      <c r="J611" s="84" t="n"/>
      <c r="K611" s="84" t="n"/>
      <c r="L611" s="84" t="n"/>
      <c r="M611" s="84" t="n"/>
      <c r="N611" s="84" t="n"/>
      <c r="O611" s="84" t="n"/>
      <c r="P611" s="84" t="n"/>
      <c r="Q611" s="84" t="n"/>
      <c r="R611" s="84" t="n"/>
      <c r="S611" s="84" t="n"/>
      <c r="T611" s="84" t="n"/>
      <c r="U611" s="84" t="n"/>
      <c r="V611" s="84" t="n"/>
      <c r="W611" s="84" t="n"/>
      <c r="X611" s="84" t="n"/>
      <c r="Y611" s="84" t="n"/>
      <c r="Z611" s="84" t="n"/>
      <c r="AA611" s="84" t="n"/>
      <c r="AB611" s="84" t="n"/>
      <c r="AC611" s="84" t="n"/>
      <c r="AD611" s="84" t="n"/>
      <c r="AE611" s="84" t="n"/>
      <c r="AF611" s="84" t="n"/>
      <c r="AG611" s="84" t="n"/>
      <c r="AH611" s="84" t="n"/>
      <c r="AI611" s="84" t="n"/>
      <c r="AJ611" s="84" t="n"/>
      <c r="AK611" s="84" t="n"/>
      <c r="AL611" s="84" t="n"/>
      <c r="AM611" s="84" t="n"/>
      <c r="AN611" s="84" t="n"/>
      <c r="AO611" s="84" t="n"/>
      <c r="AP611" s="84" t="n"/>
      <c r="AQ611" s="84" t="n"/>
      <c r="AR611" s="84" t="n"/>
    </row>
    <row r="612">
      <c r="D612" s="80" t="n"/>
      <c r="E612" s="80" t="n"/>
      <c r="F612" s="80" t="n"/>
      <c r="G612" s="80" t="n"/>
      <c r="H612" s="80" t="n"/>
      <c r="I612" s="80" t="n"/>
      <c r="J612" s="80" t="n"/>
      <c r="K612" s="80" t="n"/>
      <c r="L612" s="80" t="n"/>
      <c r="M612" s="80" t="n"/>
      <c r="N612" s="80" t="n"/>
      <c r="O612" s="80" t="n"/>
      <c r="P612" s="80" t="n"/>
      <c r="Q612" s="80" t="n"/>
      <c r="R612" s="80" t="n"/>
      <c r="S612" s="80" t="n"/>
      <c r="T612" s="80" t="n"/>
      <c r="U612" s="80" t="n"/>
      <c r="V612" s="80" t="n"/>
      <c r="W612" s="80" t="n"/>
      <c r="X612" s="80" t="n"/>
      <c r="Y612" s="80" t="n"/>
      <c r="Z612" s="80" t="n"/>
      <c r="AA612" s="80" t="n"/>
      <c r="AB612" s="80" t="n"/>
      <c r="AC612" s="80" t="n"/>
      <c r="AD612" s="80" t="n"/>
      <c r="AE612" s="80" t="n"/>
      <c r="AF612" s="80" t="n"/>
      <c r="AG612" s="80" t="n"/>
      <c r="AH612" s="80" t="n"/>
      <c r="AI612" s="80" t="n"/>
      <c r="AJ612" s="80" t="n"/>
      <c r="AK612" s="80" t="n"/>
      <c r="AL612" s="80" t="n"/>
      <c r="AM612" s="80" t="n"/>
      <c r="AN612" s="80" t="n"/>
      <c r="AO612" s="80" t="n"/>
      <c r="AP612" s="80" t="n"/>
      <c r="AQ612" s="80" t="n"/>
      <c r="AR612" s="80" t="n"/>
    </row>
    <row r="613">
      <c r="D613" s="80" t="n"/>
      <c r="E613" s="80" t="n"/>
      <c r="F613" s="80" t="n"/>
      <c r="G613" s="80" t="n"/>
      <c r="H613" s="80" t="n"/>
      <c r="I613" s="80" t="n"/>
      <c r="J613" s="80" t="n"/>
      <c r="K613" s="80" t="n"/>
      <c r="L613" s="80" t="n"/>
      <c r="M613" s="80" t="n"/>
      <c r="N613" s="80" t="n"/>
      <c r="O613" s="80" t="n"/>
      <c r="P613" s="80" t="n"/>
      <c r="Q613" s="80" t="n"/>
      <c r="R613" s="80" t="n"/>
      <c r="S613" s="80" t="n"/>
      <c r="T613" s="80" t="n"/>
      <c r="U613" s="80" t="n"/>
      <c r="V613" s="80" t="n"/>
      <c r="W613" s="80" t="n"/>
      <c r="X613" s="80" t="n"/>
      <c r="Y613" s="80" t="n"/>
      <c r="Z613" s="80" t="n"/>
      <c r="AA613" s="80" t="n"/>
      <c r="AB613" s="80" t="n"/>
      <c r="AC613" s="80" t="n"/>
      <c r="AD613" s="80" t="n"/>
      <c r="AE613" s="80" t="n"/>
      <c r="AF613" s="80" t="n"/>
      <c r="AG613" s="80" t="n"/>
      <c r="AH613" s="80" t="n"/>
      <c r="AI613" s="80" t="n"/>
      <c r="AJ613" s="80" t="n"/>
      <c r="AK613" s="80" t="n"/>
      <c r="AL613" s="80" t="n"/>
      <c r="AM613" s="80" t="n"/>
      <c r="AN613" s="80" t="n"/>
      <c r="AO613" s="80" t="n"/>
      <c r="AP613" s="80" t="n"/>
      <c r="AQ613" s="80" t="n"/>
      <c r="AR613" s="80" t="n"/>
    </row>
    <row r="614">
      <c r="D614" s="80" t="n"/>
      <c r="E614" s="80" t="n"/>
      <c r="F614" s="80" t="n"/>
      <c r="G614" s="80" t="n"/>
      <c r="H614" s="80" t="n"/>
      <c r="I614" s="80" t="n"/>
      <c r="J614" s="80" t="n"/>
      <c r="K614" s="80" t="n"/>
      <c r="L614" s="80" t="n"/>
      <c r="M614" s="80" t="n"/>
      <c r="N614" s="80" t="n"/>
      <c r="O614" s="80" t="n"/>
      <c r="P614" s="80" t="n"/>
      <c r="Q614" s="80" t="n"/>
      <c r="R614" s="80" t="n"/>
      <c r="S614" s="80" t="n"/>
      <c r="T614" s="80" t="n"/>
      <c r="U614" s="80" t="n"/>
      <c r="V614" s="80" t="n"/>
      <c r="W614" s="80" t="n"/>
      <c r="X614" s="80" t="n"/>
      <c r="Y614" s="80" t="n"/>
      <c r="Z614" s="80" t="n"/>
      <c r="AA614" s="80" t="n"/>
      <c r="AB614" s="80" t="n"/>
      <c r="AC614" s="80" t="n"/>
      <c r="AD614" s="80" t="n"/>
      <c r="AE614" s="80" t="n"/>
      <c r="AF614" s="80" t="n"/>
      <c r="AG614" s="80" t="n"/>
      <c r="AH614" s="80" t="n"/>
      <c r="AI614" s="80" t="n"/>
      <c r="AJ614" s="80" t="n"/>
      <c r="AK614" s="80" t="n"/>
      <c r="AL614" s="80" t="n"/>
      <c r="AM614" s="80" t="n"/>
      <c r="AN614" s="80" t="n"/>
      <c r="AO614" s="80" t="n"/>
      <c r="AP614" s="80" t="n"/>
      <c r="AQ614" s="80" t="n"/>
      <c r="AR614" s="80" t="n"/>
    </row>
    <row r="615">
      <c r="D615" s="80" t="n"/>
      <c r="E615" s="80" t="n"/>
      <c r="F615" s="80" t="n"/>
      <c r="G615" s="80" t="n"/>
      <c r="H615" s="80" t="n"/>
      <c r="I615" s="80" t="n"/>
      <c r="J615" s="80" t="n"/>
      <c r="K615" s="80" t="n"/>
      <c r="L615" s="80" t="n"/>
      <c r="M615" s="80" t="n"/>
      <c r="N615" s="80" t="n"/>
      <c r="O615" s="80" t="n"/>
      <c r="P615" s="80" t="n"/>
      <c r="Q615" s="80" t="n"/>
      <c r="R615" s="80" t="n"/>
      <c r="S615" s="80" t="n"/>
      <c r="T615" s="80" t="n"/>
      <c r="U615" s="80" t="n"/>
      <c r="V615" s="80" t="n"/>
      <c r="W615" s="80" t="n"/>
      <c r="X615" s="80" t="n"/>
      <c r="Y615" s="80" t="n"/>
      <c r="Z615" s="80" t="n"/>
      <c r="AA615" s="80" t="n"/>
      <c r="AB615" s="80" t="n"/>
      <c r="AC615" s="80" t="n"/>
      <c r="AD615" s="80" t="n"/>
      <c r="AE615" s="80" t="n"/>
      <c r="AF615" s="80" t="n"/>
      <c r="AG615" s="80" t="n"/>
      <c r="AH615" s="80" t="n"/>
      <c r="AI615" s="80" t="n"/>
      <c r="AJ615" s="80" t="n"/>
      <c r="AK615" s="80" t="n"/>
      <c r="AL615" s="80" t="n"/>
      <c r="AM615" s="80" t="n"/>
      <c r="AN615" s="80" t="n"/>
      <c r="AO615" s="80" t="n"/>
      <c r="AP615" s="80" t="n"/>
      <c r="AQ615" s="80" t="n"/>
      <c r="AR615" s="80" t="n"/>
    </row>
    <row r="616">
      <c r="A616" s="2">
        <f>IF($A609="","","   projections")</f>
        <v/>
      </c>
      <c r="B616" s="41">
        <f>IF($A609="",0,COUNT($E617:$AR617))</f>
        <v/>
      </c>
      <c r="C616" s="81">
        <f>IF($B616=0,0,MAX($E617:$AR617))</f>
        <v/>
      </c>
      <c r="D616" s="82">
        <f>BDS($A609,'Field Check'!$C$6,"headers=y","startcol=1","endcol=7","dir=h")</f>
        <v/>
      </c>
      <c r="E616" s="83" t="n"/>
      <c r="F616" s="83" t="n"/>
      <c r="G616" s="83" t="n"/>
      <c r="H616" s="83" t="n"/>
      <c r="I616" s="83" t="n"/>
      <c r="J616" s="83" t="n"/>
      <c r="K616" s="83" t="n"/>
      <c r="L616" s="83" t="n"/>
      <c r="M616" s="83" t="n"/>
      <c r="N616" s="83" t="n"/>
      <c r="O616" s="83" t="n"/>
      <c r="P616" s="83" t="n"/>
      <c r="Q616" s="83" t="n"/>
      <c r="R616" s="83" t="n"/>
      <c r="S616" s="83" t="n"/>
      <c r="T616" s="83" t="n"/>
      <c r="U616" s="83" t="n"/>
      <c r="V616" s="83" t="n"/>
      <c r="W616" s="83" t="n"/>
      <c r="X616" s="83" t="n"/>
      <c r="Y616" s="83" t="n"/>
      <c r="Z616" s="83" t="n"/>
      <c r="AA616" s="83" t="n"/>
      <c r="AB616" s="83" t="n"/>
      <c r="AC616" s="83" t="n"/>
      <c r="AD616" s="83" t="n"/>
      <c r="AE616" s="83" t="n"/>
      <c r="AF616" s="83" t="n"/>
      <c r="AG616" s="83" t="n"/>
      <c r="AH616" s="83" t="n"/>
      <c r="AI616" s="83" t="n"/>
      <c r="AJ616" s="83" t="n"/>
      <c r="AK616" s="83" t="n"/>
      <c r="AL616" s="83" t="n"/>
      <c r="AM616" s="83" t="n"/>
      <c r="AN616" s="83" t="n"/>
      <c r="AO616" s="83" t="n"/>
      <c r="AP616" s="83" t="n"/>
      <c r="AQ616" s="83" t="n"/>
      <c r="AR616" s="83" t="n"/>
    </row>
    <row r="617">
      <c r="D617" s="83" t="n"/>
      <c r="E617" s="83" t="n"/>
      <c r="F617" s="83" t="n"/>
      <c r="G617" s="83" t="n"/>
      <c r="H617" s="83" t="n"/>
      <c r="I617" s="83" t="n"/>
      <c r="J617" s="83" t="n"/>
      <c r="K617" s="83" t="n"/>
      <c r="L617" s="83" t="n"/>
      <c r="M617" s="83" t="n"/>
      <c r="N617" s="83" t="n"/>
      <c r="O617" s="83" t="n"/>
      <c r="P617" s="83" t="n"/>
      <c r="Q617" s="83" t="n"/>
      <c r="R617" s="83" t="n"/>
      <c r="S617" s="83" t="n"/>
      <c r="T617" s="83" t="n"/>
      <c r="U617" s="83" t="n"/>
      <c r="V617" s="83" t="n"/>
      <c r="W617" s="83" t="n"/>
      <c r="X617" s="83" t="n"/>
      <c r="Y617" s="83" t="n"/>
      <c r="Z617" s="83" t="n"/>
      <c r="AA617" s="83" t="n"/>
      <c r="AB617" s="83" t="n"/>
      <c r="AC617" s="83" t="n"/>
      <c r="AD617" s="83" t="n"/>
      <c r="AE617" s="83" t="n"/>
      <c r="AF617" s="83" t="n"/>
      <c r="AG617" s="83" t="n"/>
      <c r="AH617" s="83" t="n"/>
      <c r="AI617" s="83" t="n"/>
      <c r="AJ617" s="83" t="n"/>
      <c r="AK617" s="83" t="n"/>
      <c r="AL617" s="83" t="n"/>
      <c r="AM617" s="83" t="n"/>
      <c r="AN617" s="83" t="n"/>
      <c r="AO617" s="83" t="n"/>
      <c r="AP617" s="83" t="n"/>
      <c r="AQ617" s="83" t="n"/>
      <c r="AR617" s="83" t="n"/>
    </row>
    <row r="618">
      <c r="D618" s="84" t="n"/>
      <c r="E618" s="84" t="n"/>
      <c r="F618" s="84" t="n"/>
      <c r="G618" s="84" t="n"/>
      <c r="H618" s="84" t="n"/>
      <c r="I618" s="84" t="n"/>
      <c r="J618" s="84" t="n"/>
      <c r="K618" s="84" t="n"/>
      <c r="L618" s="84" t="n"/>
      <c r="M618" s="84" t="n"/>
      <c r="N618" s="84" t="n"/>
      <c r="O618" s="84" t="n"/>
      <c r="P618" s="84" t="n"/>
      <c r="Q618" s="84" t="n"/>
      <c r="R618" s="84" t="n"/>
      <c r="S618" s="84" t="n"/>
      <c r="T618" s="84" t="n"/>
      <c r="U618" s="84" t="n"/>
      <c r="V618" s="84" t="n"/>
      <c r="W618" s="84" t="n"/>
      <c r="X618" s="84" t="n"/>
      <c r="Y618" s="84" t="n"/>
      <c r="Z618" s="84" t="n"/>
      <c r="AA618" s="84" t="n"/>
      <c r="AB618" s="84" t="n"/>
      <c r="AC618" s="84" t="n"/>
      <c r="AD618" s="84" t="n"/>
      <c r="AE618" s="84" t="n"/>
      <c r="AF618" s="84" t="n"/>
      <c r="AG618" s="84" t="n"/>
      <c r="AH618" s="84" t="n"/>
      <c r="AI618" s="84" t="n"/>
      <c r="AJ618" s="84" t="n"/>
      <c r="AK618" s="84" t="n"/>
      <c r="AL618" s="84" t="n"/>
      <c r="AM618" s="84" t="n"/>
      <c r="AN618" s="84" t="n"/>
      <c r="AO618" s="84" t="n"/>
      <c r="AP618" s="84" t="n"/>
      <c r="AQ618" s="84" t="n"/>
      <c r="AR618" s="84" t="n"/>
    </row>
    <row r="619">
      <c r="D619" s="80" t="n"/>
      <c r="E619" s="80" t="n"/>
      <c r="F619" s="80" t="n"/>
      <c r="G619" s="80" t="n"/>
      <c r="H619" s="80" t="n"/>
      <c r="I619" s="80" t="n"/>
      <c r="J619" s="80" t="n"/>
      <c r="K619" s="80" t="n"/>
      <c r="L619" s="80" t="n"/>
      <c r="M619" s="80" t="n"/>
      <c r="N619" s="80" t="n"/>
      <c r="O619" s="80" t="n"/>
      <c r="P619" s="80" t="n"/>
      <c r="Q619" s="80" t="n"/>
      <c r="R619" s="80" t="n"/>
      <c r="S619" s="80" t="n"/>
      <c r="T619" s="80" t="n"/>
      <c r="U619" s="80" t="n"/>
      <c r="V619" s="80" t="n"/>
      <c r="W619" s="80" t="n"/>
      <c r="X619" s="80" t="n"/>
      <c r="Y619" s="80" t="n"/>
      <c r="Z619" s="80" t="n"/>
      <c r="AA619" s="80" t="n"/>
      <c r="AB619" s="80" t="n"/>
      <c r="AC619" s="80" t="n"/>
      <c r="AD619" s="80" t="n"/>
      <c r="AE619" s="80" t="n"/>
      <c r="AF619" s="80" t="n"/>
      <c r="AG619" s="80" t="n"/>
      <c r="AH619" s="80" t="n"/>
      <c r="AI619" s="80" t="n"/>
      <c r="AJ619" s="80" t="n"/>
      <c r="AK619" s="80" t="n"/>
      <c r="AL619" s="80" t="n"/>
      <c r="AM619" s="80" t="n"/>
      <c r="AN619" s="80" t="n"/>
      <c r="AO619" s="80" t="n"/>
      <c r="AP619" s="80" t="n"/>
      <c r="AQ619" s="80" t="n"/>
      <c r="AR619" s="80" t="n"/>
    </row>
    <row r="620">
      <c r="D620" s="80" t="n"/>
      <c r="E620" s="80" t="n"/>
      <c r="F620" s="80" t="n"/>
      <c r="G620" s="80" t="n"/>
      <c r="H620" s="80" t="n"/>
      <c r="I620" s="80" t="n"/>
      <c r="J620" s="80" t="n"/>
      <c r="K620" s="80" t="n"/>
      <c r="L620" s="80" t="n"/>
      <c r="M620" s="80" t="n"/>
      <c r="N620" s="80" t="n"/>
      <c r="O620" s="80" t="n"/>
      <c r="P620" s="80" t="n"/>
      <c r="Q620" s="80" t="n"/>
      <c r="R620" s="80" t="n"/>
      <c r="S620" s="80" t="n"/>
      <c r="T620" s="80" t="n"/>
      <c r="U620" s="80" t="n"/>
      <c r="V620" s="80" t="n"/>
      <c r="W620" s="80" t="n"/>
      <c r="X620" s="80" t="n"/>
      <c r="Y620" s="80" t="n"/>
      <c r="Z620" s="80" t="n"/>
      <c r="AA620" s="80" t="n"/>
      <c r="AB620" s="80" t="n"/>
      <c r="AC620" s="80" t="n"/>
      <c r="AD620" s="80" t="n"/>
      <c r="AE620" s="80" t="n"/>
      <c r="AF620" s="80" t="n"/>
      <c r="AG620" s="80" t="n"/>
      <c r="AH620" s="80" t="n"/>
      <c r="AI620" s="80" t="n"/>
      <c r="AJ620" s="80" t="n"/>
      <c r="AK620" s="80" t="n"/>
      <c r="AL620" s="80" t="n"/>
      <c r="AM620" s="80" t="n"/>
      <c r="AN620" s="80" t="n"/>
      <c r="AO620" s="80" t="n"/>
      <c r="AP620" s="80" t="n"/>
      <c r="AQ620" s="80" t="n"/>
      <c r="AR620" s="80" t="n"/>
    </row>
    <row r="621">
      <c r="D621" s="80" t="n"/>
      <c r="E621" s="80" t="n"/>
      <c r="F621" s="80" t="n"/>
      <c r="G621" s="80" t="n"/>
      <c r="H621" s="80" t="n"/>
      <c r="I621" s="80" t="n"/>
      <c r="J621" s="80" t="n"/>
      <c r="K621" s="80" t="n"/>
      <c r="L621" s="80" t="n"/>
      <c r="M621" s="80" t="n"/>
      <c r="N621" s="80" t="n"/>
      <c r="O621" s="80" t="n"/>
      <c r="P621" s="80" t="n"/>
      <c r="Q621" s="80" t="n"/>
      <c r="R621" s="80" t="n"/>
      <c r="S621" s="80" t="n"/>
      <c r="T621" s="80" t="n"/>
      <c r="U621" s="80" t="n"/>
      <c r="V621" s="80" t="n"/>
      <c r="W621" s="80" t="n"/>
      <c r="X621" s="80" t="n"/>
      <c r="Y621" s="80" t="n"/>
      <c r="Z621" s="80" t="n"/>
      <c r="AA621" s="80" t="n"/>
      <c r="AB621" s="80" t="n"/>
      <c r="AC621" s="80" t="n"/>
      <c r="AD621" s="80" t="n"/>
      <c r="AE621" s="80" t="n"/>
      <c r="AF621" s="80" t="n"/>
      <c r="AG621" s="80" t="n"/>
      <c r="AH621" s="80" t="n"/>
      <c r="AI621" s="80" t="n"/>
      <c r="AJ621" s="80" t="n"/>
      <c r="AK621" s="80" t="n"/>
      <c r="AL621" s="80" t="n"/>
      <c r="AM621" s="80" t="n"/>
      <c r="AN621" s="80" t="n"/>
      <c r="AO621" s="80" t="n"/>
      <c r="AP621" s="80" t="n"/>
      <c r="AQ621" s="80" t="n"/>
      <c r="AR621" s="80" t="n"/>
    </row>
    <row r="622">
      <c r="D622" s="80" t="n"/>
      <c r="E622" s="80" t="n"/>
      <c r="F622" s="80" t="n"/>
      <c r="G622" s="80" t="n"/>
      <c r="H622" s="80" t="n"/>
      <c r="I622" s="80" t="n"/>
      <c r="J622" s="80" t="n"/>
      <c r="K622" s="80" t="n"/>
      <c r="L622" s="80" t="n"/>
      <c r="M622" s="80" t="n"/>
      <c r="N622" s="80" t="n"/>
      <c r="O622" s="80" t="n"/>
      <c r="P622" s="80" t="n"/>
      <c r="Q622" s="80" t="n"/>
      <c r="R622" s="80" t="n"/>
      <c r="S622" s="80" t="n"/>
      <c r="T622" s="80" t="n"/>
      <c r="U622" s="80" t="n"/>
      <c r="V622" s="80" t="n"/>
      <c r="W622" s="80" t="n"/>
      <c r="X622" s="80" t="n"/>
      <c r="Y622" s="80" t="n"/>
      <c r="Z622" s="80" t="n"/>
      <c r="AA622" s="80" t="n"/>
      <c r="AB622" s="80" t="n"/>
      <c r="AC622" s="80" t="n"/>
      <c r="AD622" s="80" t="n"/>
      <c r="AE622" s="80" t="n"/>
      <c r="AF622" s="80" t="n"/>
      <c r="AG622" s="80" t="n"/>
      <c r="AH622" s="80" t="n"/>
      <c r="AI622" s="80" t="n"/>
      <c r="AJ622" s="80" t="n"/>
      <c r="AK622" s="80" t="n"/>
      <c r="AL622" s="80" t="n"/>
      <c r="AM622" s="80" t="n"/>
      <c r="AN622" s="80" t="n"/>
      <c r="AO622" s="80" t="n"/>
      <c r="AP622" s="80" t="n"/>
      <c r="AQ622" s="80" t="n"/>
      <c r="AR622" s="80" t="n"/>
    </row>
    <row r="624">
      <c r="A624" s="6">
        <f>IF(HSI!$C$48="","",HSI!$C$48)</f>
        <v/>
      </c>
      <c r="B624" s="41">
        <f>IF($A624="",0,COUNT($E625:$AR625))</f>
        <v/>
      </c>
      <c r="C624" s="81">
        <f>IF($B624=0,0,MAX($E625:$AR625))</f>
        <v/>
      </c>
      <c r="D624" s="82">
        <f>BDS($A624,'Field Check'!$C$7,"headers=y","startcol=1","endcol=7","dir=h","DVD_START_DT",Summary!$C$18,"DVD_END_DT",Summary!$D$18)</f>
        <v/>
      </c>
      <c r="E624" s="83" t="n"/>
      <c r="F624" s="83" t="n"/>
      <c r="G624" s="83" t="n"/>
      <c r="H624" s="83" t="n"/>
      <c r="I624" s="83" t="n"/>
      <c r="J624" s="83" t="n"/>
      <c r="K624" s="83" t="n"/>
      <c r="L624" s="83" t="n"/>
      <c r="M624" s="83" t="n"/>
      <c r="N624" s="83" t="n"/>
      <c r="O624" s="83" t="n"/>
      <c r="P624" s="83" t="n"/>
      <c r="Q624" s="83" t="n"/>
      <c r="R624" s="83" t="n"/>
      <c r="S624" s="83" t="n"/>
      <c r="T624" s="83" t="n"/>
      <c r="U624" s="83" t="n"/>
      <c r="V624" s="83" t="n"/>
      <c r="W624" s="83" t="n"/>
      <c r="X624" s="83" t="n"/>
      <c r="Y624" s="83" t="n"/>
      <c r="Z624" s="83" t="n"/>
      <c r="AA624" s="83" t="n"/>
      <c r="AB624" s="83" t="n"/>
      <c r="AC624" s="83" t="n"/>
      <c r="AD624" s="83" t="n"/>
      <c r="AE624" s="83" t="n"/>
      <c r="AF624" s="83" t="n"/>
      <c r="AG624" s="83" t="n"/>
      <c r="AH624" s="83" t="n"/>
      <c r="AI624" s="83" t="n"/>
      <c r="AJ624" s="83" t="n"/>
      <c r="AK624" s="83" t="n"/>
      <c r="AL624" s="83" t="n"/>
      <c r="AM624" s="83" t="n"/>
      <c r="AN624" s="83" t="n"/>
      <c r="AO624" s="83" t="n"/>
      <c r="AP624" s="83" t="n"/>
      <c r="AQ624" s="83" t="n"/>
      <c r="AR624" s="83" t="n"/>
    </row>
    <row r="625">
      <c r="D625" s="83" t="n"/>
      <c r="E625" s="83" t="n"/>
      <c r="F625" s="83" t="n"/>
      <c r="G625" s="83" t="n"/>
      <c r="H625" s="83" t="n"/>
      <c r="I625" s="83" t="n"/>
      <c r="J625" s="83" t="n"/>
      <c r="K625" s="83" t="n"/>
      <c r="L625" s="83" t="n"/>
      <c r="M625" s="83" t="n"/>
      <c r="N625" s="83" t="n"/>
      <c r="O625" s="83" t="n"/>
      <c r="P625" s="83" t="n"/>
      <c r="Q625" s="83" t="n"/>
      <c r="R625" s="83" t="n"/>
      <c r="S625" s="83" t="n"/>
      <c r="T625" s="83" t="n"/>
      <c r="U625" s="83" t="n"/>
      <c r="V625" s="83" t="n"/>
      <c r="W625" s="83" t="n"/>
      <c r="X625" s="83" t="n"/>
      <c r="Y625" s="83" t="n"/>
      <c r="Z625" s="83" t="n"/>
      <c r="AA625" s="83" t="n"/>
      <c r="AB625" s="83" t="n"/>
      <c r="AC625" s="83" t="n"/>
      <c r="AD625" s="83" t="n"/>
      <c r="AE625" s="83" t="n"/>
      <c r="AF625" s="83" t="n"/>
      <c r="AG625" s="83" t="n"/>
      <c r="AH625" s="83" t="n"/>
      <c r="AI625" s="83" t="n"/>
      <c r="AJ625" s="83" t="n"/>
      <c r="AK625" s="83" t="n"/>
      <c r="AL625" s="83" t="n"/>
      <c r="AM625" s="83" t="n"/>
      <c r="AN625" s="83" t="n"/>
      <c r="AO625" s="83" t="n"/>
      <c r="AP625" s="83" t="n"/>
      <c r="AQ625" s="83" t="n"/>
      <c r="AR625" s="83" t="n"/>
    </row>
    <row r="626">
      <c r="D626" s="84" t="n"/>
      <c r="E626" s="84" t="n"/>
      <c r="F626" s="84" t="n"/>
      <c r="G626" s="84" t="n"/>
      <c r="H626" s="84" t="n"/>
      <c r="I626" s="84" t="n"/>
      <c r="J626" s="84" t="n"/>
      <c r="K626" s="84" t="n"/>
      <c r="L626" s="84" t="n"/>
      <c r="M626" s="84" t="n"/>
      <c r="N626" s="84" t="n"/>
      <c r="O626" s="84" t="n"/>
      <c r="P626" s="84" t="n"/>
      <c r="Q626" s="84" t="n"/>
      <c r="R626" s="84" t="n"/>
      <c r="S626" s="84" t="n"/>
      <c r="T626" s="84" t="n"/>
      <c r="U626" s="84" t="n"/>
      <c r="V626" s="84" t="n"/>
      <c r="W626" s="84" t="n"/>
      <c r="X626" s="84" t="n"/>
      <c r="Y626" s="84" t="n"/>
      <c r="Z626" s="84" t="n"/>
      <c r="AA626" s="84" t="n"/>
      <c r="AB626" s="84" t="n"/>
      <c r="AC626" s="84" t="n"/>
      <c r="AD626" s="84" t="n"/>
      <c r="AE626" s="84" t="n"/>
      <c r="AF626" s="84" t="n"/>
      <c r="AG626" s="84" t="n"/>
      <c r="AH626" s="84" t="n"/>
      <c r="AI626" s="84" t="n"/>
      <c r="AJ626" s="84" t="n"/>
      <c r="AK626" s="84" t="n"/>
      <c r="AL626" s="84" t="n"/>
      <c r="AM626" s="84" t="n"/>
      <c r="AN626" s="84" t="n"/>
      <c r="AO626" s="84" t="n"/>
      <c r="AP626" s="84" t="n"/>
      <c r="AQ626" s="84" t="n"/>
      <c r="AR626" s="84" t="n"/>
    </row>
    <row r="627">
      <c r="D627" s="80" t="n"/>
      <c r="E627" s="80" t="n"/>
      <c r="F627" s="80" t="n"/>
      <c r="G627" s="80" t="n"/>
      <c r="H627" s="80" t="n"/>
      <c r="I627" s="80" t="n"/>
      <c r="J627" s="80" t="n"/>
      <c r="K627" s="80" t="n"/>
      <c r="L627" s="80" t="n"/>
      <c r="M627" s="80" t="n"/>
      <c r="N627" s="80" t="n"/>
      <c r="O627" s="80" t="n"/>
      <c r="P627" s="80" t="n"/>
      <c r="Q627" s="80" t="n"/>
      <c r="R627" s="80" t="n"/>
      <c r="S627" s="80" t="n"/>
      <c r="T627" s="80" t="n"/>
      <c r="U627" s="80" t="n"/>
      <c r="V627" s="80" t="n"/>
      <c r="W627" s="80" t="n"/>
      <c r="X627" s="80" t="n"/>
      <c r="Y627" s="80" t="n"/>
      <c r="Z627" s="80" t="n"/>
      <c r="AA627" s="80" t="n"/>
      <c r="AB627" s="80" t="n"/>
      <c r="AC627" s="80" t="n"/>
      <c r="AD627" s="80" t="n"/>
      <c r="AE627" s="80" t="n"/>
      <c r="AF627" s="80" t="n"/>
      <c r="AG627" s="80" t="n"/>
      <c r="AH627" s="80" t="n"/>
      <c r="AI627" s="80" t="n"/>
      <c r="AJ627" s="80" t="n"/>
      <c r="AK627" s="80" t="n"/>
      <c r="AL627" s="80" t="n"/>
      <c r="AM627" s="80" t="n"/>
      <c r="AN627" s="80" t="n"/>
      <c r="AO627" s="80" t="n"/>
      <c r="AP627" s="80" t="n"/>
      <c r="AQ627" s="80" t="n"/>
      <c r="AR627" s="80" t="n"/>
    </row>
    <row r="628">
      <c r="D628" s="80" t="n"/>
      <c r="E628" s="80" t="n"/>
      <c r="F628" s="80" t="n"/>
      <c r="G628" s="80" t="n"/>
      <c r="H628" s="80" t="n"/>
      <c r="I628" s="80" t="n"/>
      <c r="J628" s="80" t="n"/>
      <c r="K628" s="80" t="n"/>
      <c r="L628" s="80" t="n"/>
      <c r="M628" s="80" t="n"/>
      <c r="N628" s="80" t="n"/>
      <c r="O628" s="80" t="n"/>
      <c r="P628" s="80" t="n"/>
      <c r="Q628" s="80" t="n"/>
      <c r="R628" s="80" t="n"/>
      <c r="S628" s="80" t="n"/>
      <c r="T628" s="80" t="n"/>
      <c r="U628" s="80" t="n"/>
      <c r="V628" s="80" t="n"/>
      <c r="W628" s="80" t="n"/>
      <c r="X628" s="80" t="n"/>
      <c r="Y628" s="80" t="n"/>
      <c r="Z628" s="80" t="n"/>
      <c r="AA628" s="80" t="n"/>
      <c r="AB628" s="80" t="n"/>
      <c r="AC628" s="80" t="n"/>
      <c r="AD628" s="80" t="n"/>
      <c r="AE628" s="80" t="n"/>
      <c r="AF628" s="80" t="n"/>
      <c r="AG628" s="80" t="n"/>
      <c r="AH628" s="80" t="n"/>
      <c r="AI628" s="80" t="n"/>
      <c r="AJ628" s="80" t="n"/>
      <c r="AK628" s="80" t="n"/>
      <c r="AL628" s="80" t="n"/>
      <c r="AM628" s="80" t="n"/>
      <c r="AN628" s="80" t="n"/>
      <c r="AO628" s="80" t="n"/>
      <c r="AP628" s="80" t="n"/>
      <c r="AQ628" s="80" t="n"/>
      <c r="AR628" s="80" t="n"/>
    </row>
    <row r="629">
      <c r="D629" s="80" t="n"/>
      <c r="E629" s="80" t="n"/>
      <c r="F629" s="80" t="n"/>
      <c r="G629" s="80" t="n"/>
      <c r="H629" s="80" t="n"/>
      <c r="I629" s="80" t="n"/>
      <c r="J629" s="80" t="n"/>
      <c r="K629" s="80" t="n"/>
      <c r="L629" s="80" t="n"/>
      <c r="M629" s="80" t="n"/>
      <c r="N629" s="80" t="n"/>
      <c r="O629" s="80" t="n"/>
      <c r="P629" s="80" t="n"/>
      <c r="Q629" s="80" t="n"/>
      <c r="R629" s="80" t="n"/>
      <c r="S629" s="80" t="n"/>
      <c r="T629" s="80" t="n"/>
      <c r="U629" s="80" t="n"/>
      <c r="V629" s="80" t="n"/>
      <c r="W629" s="80" t="n"/>
      <c r="X629" s="80" t="n"/>
      <c r="Y629" s="80" t="n"/>
      <c r="Z629" s="80" t="n"/>
      <c r="AA629" s="80" t="n"/>
      <c r="AB629" s="80" t="n"/>
      <c r="AC629" s="80" t="n"/>
      <c r="AD629" s="80" t="n"/>
      <c r="AE629" s="80" t="n"/>
      <c r="AF629" s="80" t="n"/>
      <c r="AG629" s="80" t="n"/>
      <c r="AH629" s="80" t="n"/>
      <c r="AI629" s="80" t="n"/>
      <c r="AJ629" s="80" t="n"/>
      <c r="AK629" s="80" t="n"/>
      <c r="AL629" s="80" t="n"/>
      <c r="AM629" s="80" t="n"/>
      <c r="AN629" s="80" t="n"/>
      <c r="AO629" s="80" t="n"/>
      <c r="AP629" s="80" t="n"/>
      <c r="AQ629" s="80" t="n"/>
      <c r="AR629" s="80" t="n"/>
    </row>
    <row r="630">
      <c r="D630" s="80" t="n"/>
      <c r="E630" s="80" t="n"/>
      <c r="F630" s="80" t="n"/>
      <c r="G630" s="80" t="n"/>
      <c r="H630" s="80" t="n"/>
      <c r="I630" s="80" t="n"/>
      <c r="J630" s="80" t="n"/>
      <c r="K630" s="80" t="n"/>
      <c r="L630" s="80" t="n"/>
      <c r="M630" s="80" t="n"/>
      <c r="N630" s="80" t="n"/>
      <c r="O630" s="80" t="n"/>
      <c r="P630" s="80" t="n"/>
      <c r="Q630" s="80" t="n"/>
      <c r="R630" s="80" t="n"/>
      <c r="S630" s="80" t="n"/>
      <c r="T630" s="80" t="n"/>
      <c r="U630" s="80" t="n"/>
      <c r="V630" s="80" t="n"/>
      <c r="W630" s="80" t="n"/>
      <c r="X630" s="80" t="n"/>
      <c r="Y630" s="80" t="n"/>
      <c r="Z630" s="80" t="n"/>
      <c r="AA630" s="80" t="n"/>
      <c r="AB630" s="80" t="n"/>
      <c r="AC630" s="80" t="n"/>
      <c r="AD630" s="80" t="n"/>
      <c r="AE630" s="80" t="n"/>
      <c r="AF630" s="80" t="n"/>
      <c r="AG630" s="80" t="n"/>
      <c r="AH630" s="80" t="n"/>
      <c r="AI630" s="80" t="n"/>
      <c r="AJ630" s="80" t="n"/>
      <c r="AK630" s="80" t="n"/>
      <c r="AL630" s="80" t="n"/>
      <c r="AM630" s="80" t="n"/>
      <c r="AN630" s="80" t="n"/>
      <c r="AO630" s="80" t="n"/>
      <c r="AP630" s="80" t="n"/>
      <c r="AQ630" s="80" t="n"/>
      <c r="AR630" s="80" t="n"/>
    </row>
    <row r="631">
      <c r="A631" s="2">
        <f>IF($A624="","","   projections")</f>
        <v/>
      </c>
      <c r="B631" s="41">
        <f>IF($A624="",0,COUNT($E632:$AR632))</f>
        <v/>
      </c>
      <c r="C631" s="81">
        <f>IF($B631=0,0,MAX($E632:$AR632))</f>
        <v/>
      </c>
      <c r="D631" s="82">
        <f>BDS($A624,'Field Check'!$C$6,"headers=y","startcol=1","endcol=7","dir=h")</f>
        <v/>
      </c>
      <c r="E631" s="83" t="n"/>
      <c r="F631" s="83" t="n"/>
      <c r="G631" s="83" t="n"/>
      <c r="H631" s="83" t="n"/>
      <c r="I631" s="83" t="n"/>
      <c r="J631" s="83" t="n"/>
      <c r="K631" s="83" t="n"/>
      <c r="L631" s="83" t="n"/>
      <c r="M631" s="83" t="n"/>
      <c r="N631" s="83" t="n"/>
      <c r="O631" s="83" t="n"/>
      <c r="P631" s="83" t="n"/>
      <c r="Q631" s="83" t="n"/>
      <c r="R631" s="83" t="n"/>
      <c r="S631" s="83" t="n"/>
      <c r="T631" s="83" t="n"/>
      <c r="U631" s="83" t="n"/>
      <c r="V631" s="83" t="n"/>
      <c r="W631" s="83" t="n"/>
      <c r="X631" s="83" t="n"/>
      <c r="Y631" s="83" t="n"/>
      <c r="Z631" s="83" t="n"/>
      <c r="AA631" s="83" t="n"/>
      <c r="AB631" s="83" t="n"/>
      <c r="AC631" s="83" t="n"/>
      <c r="AD631" s="83" t="n"/>
      <c r="AE631" s="83" t="n"/>
      <c r="AF631" s="83" t="n"/>
      <c r="AG631" s="83" t="n"/>
      <c r="AH631" s="83" t="n"/>
      <c r="AI631" s="83" t="n"/>
      <c r="AJ631" s="83" t="n"/>
      <c r="AK631" s="83" t="n"/>
      <c r="AL631" s="83" t="n"/>
      <c r="AM631" s="83" t="n"/>
      <c r="AN631" s="83" t="n"/>
      <c r="AO631" s="83" t="n"/>
      <c r="AP631" s="83" t="n"/>
      <c r="AQ631" s="83" t="n"/>
      <c r="AR631" s="83" t="n"/>
    </row>
    <row r="632">
      <c r="D632" s="83" t="n"/>
      <c r="E632" s="83" t="n"/>
      <c r="F632" s="83" t="n"/>
      <c r="G632" s="83" t="n"/>
      <c r="H632" s="83" t="n"/>
      <c r="I632" s="83" t="n"/>
      <c r="J632" s="83" t="n"/>
      <c r="K632" s="83" t="n"/>
      <c r="L632" s="83" t="n"/>
      <c r="M632" s="83" t="n"/>
      <c r="N632" s="83" t="n"/>
      <c r="O632" s="83" t="n"/>
      <c r="P632" s="83" t="n"/>
      <c r="Q632" s="83" t="n"/>
      <c r="R632" s="83" t="n"/>
      <c r="S632" s="83" t="n"/>
      <c r="T632" s="83" t="n"/>
      <c r="U632" s="83" t="n"/>
      <c r="V632" s="83" t="n"/>
      <c r="W632" s="83" t="n"/>
      <c r="X632" s="83" t="n"/>
      <c r="Y632" s="83" t="n"/>
      <c r="Z632" s="83" t="n"/>
      <c r="AA632" s="83" t="n"/>
      <c r="AB632" s="83" t="n"/>
      <c r="AC632" s="83" t="n"/>
      <c r="AD632" s="83" t="n"/>
      <c r="AE632" s="83" t="n"/>
      <c r="AF632" s="83" t="n"/>
      <c r="AG632" s="83" t="n"/>
      <c r="AH632" s="83" t="n"/>
      <c r="AI632" s="83" t="n"/>
      <c r="AJ632" s="83" t="n"/>
      <c r="AK632" s="83" t="n"/>
      <c r="AL632" s="83" t="n"/>
      <c r="AM632" s="83" t="n"/>
      <c r="AN632" s="83" t="n"/>
      <c r="AO632" s="83" t="n"/>
      <c r="AP632" s="83" t="n"/>
      <c r="AQ632" s="83" t="n"/>
      <c r="AR632" s="83" t="n"/>
    </row>
    <row r="633">
      <c r="D633" s="84" t="n"/>
      <c r="E633" s="84" t="n"/>
      <c r="F633" s="84" t="n"/>
      <c r="G633" s="84" t="n"/>
      <c r="H633" s="84" t="n"/>
      <c r="I633" s="84" t="n"/>
      <c r="J633" s="84" t="n"/>
      <c r="K633" s="84" t="n"/>
      <c r="L633" s="84" t="n"/>
      <c r="M633" s="84" t="n"/>
      <c r="N633" s="84" t="n"/>
      <c r="O633" s="84" t="n"/>
      <c r="P633" s="84" t="n"/>
      <c r="Q633" s="84" t="n"/>
      <c r="R633" s="84" t="n"/>
      <c r="S633" s="84" t="n"/>
      <c r="T633" s="84" t="n"/>
      <c r="U633" s="84" t="n"/>
      <c r="V633" s="84" t="n"/>
      <c r="W633" s="84" t="n"/>
      <c r="X633" s="84" t="n"/>
      <c r="Y633" s="84" t="n"/>
      <c r="Z633" s="84" t="n"/>
      <c r="AA633" s="84" t="n"/>
      <c r="AB633" s="84" t="n"/>
      <c r="AC633" s="84" t="n"/>
      <c r="AD633" s="84" t="n"/>
      <c r="AE633" s="84" t="n"/>
      <c r="AF633" s="84" t="n"/>
      <c r="AG633" s="84" t="n"/>
      <c r="AH633" s="84" t="n"/>
      <c r="AI633" s="84" t="n"/>
      <c r="AJ633" s="84" t="n"/>
      <c r="AK633" s="84" t="n"/>
      <c r="AL633" s="84" t="n"/>
      <c r="AM633" s="84" t="n"/>
      <c r="AN633" s="84" t="n"/>
      <c r="AO633" s="84" t="n"/>
      <c r="AP633" s="84" t="n"/>
      <c r="AQ633" s="84" t="n"/>
      <c r="AR633" s="84" t="n"/>
    </row>
    <row r="634">
      <c r="D634" s="80" t="n"/>
      <c r="E634" s="80" t="n"/>
      <c r="F634" s="80" t="n"/>
      <c r="G634" s="80" t="n"/>
      <c r="H634" s="80" t="n"/>
      <c r="I634" s="80" t="n"/>
      <c r="J634" s="80" t="n"/>
      <c r="K634" s="80" t="n"/>
      <c r="L634" s="80" t="n"/>
      <c r="M634" s="80" t="n"/>
      <c r="N634" s="80" t="n"/>
      <c r="O634" s="80" t="n"/>
      <c r="P634" s="80" t="n"/>
      <c r="Q634" s="80" t="n"/>
      <c r="R634" s="80" t="n"/>
      <c r="S634" s="80" t="n"/>
      <c r="T634" s="80" t="n"/>
      <c r="U634" s="80" t="n"/>
      <c r="V634" s="80" t="n"/>
      <c r="W634" s="80" t="n"/>
      <c r="X634" s="80" t="n"/>
      <c r="Y634" s="80" t="n"/>
      <c r="Z634" s="80" t="n"/>
      <c r="AA634" s="80" t="n"/>
      <c r="AB634" s="80" t="n"/>
      <c r="AC634" s="80" t="n"/>
      <c r="AD634" s="80" t="n"/>
      <c r="AE634" s="80" t="n"/>
      <c r="AF634" s="80" t="n"/>
      <c r="AG634" s="80" t="n"/>
      <c r="AH634" s="80" t="n"/>
      <c r="AI634" s="80" t="n"/>
      <c r="AJ634" s="80" t="n"/>
      <c r="AK634" s="80" t="n"/>
      <c r="AL634" s="80" t="n"/>
      <c r="AM634" s="80" t="n"/>
      <c r="AN634" s="80" t="n"/>
      <c r="AO634" s="80" t="n"/>
      <c r="AP634" s="80" t="n"/>
      <c r="AQ634" s="80" t="n"/>
      <c r="AR634" s="80" t="n"/>
    </row>
    <row r="635">
      <c r="D635" s="80" t="n"/>
      <c r="E635" s="80" t="n"/>
      <c r="F635" s="80" t="n"/>
      <c r="G635" s="80" t="n"/>
      <c r="H635" s="80" t="n"/>
      <c r="I635" s="80" t="n"/>
      <c r="J635" s="80" t="n"/>
      <c r="K635" s="80" t="n"/>
      <c r="L635" s="80" t="n"/>
      <c r="M635" s="80" t="n"/>
      <c r="N635" s="80" t="n"/>
      <c r="O635" s="80" t="n"/>
      <c r="P635" s="80" t="n"/>
      <c r="Q635" s="80" t="n"/>
      <c r="R635" s="80" t="n"/>
      <c r="S635" s="80" t="n"/>
      <c r="T635" s="80" t="n"/>
      <c r="U635" s="80" t="n"/>
      <c r="V635" s="80" t="n"/>
      <c r="W635" s="80" t="n"/>
      <c r="X635" s="80" t="n"/>
      <c r="Y635" s="80" t="n"/>
      <c r="Z635" s="80" t="n"/>
      <c r="AA635" s="80" t="n"/>
      <c r="AB635" s="80" t="n"/>
      <c r="AC635" s="80" t="n"/>
      <c r="AD635" s="80" t="n"/>
      <c r="AE635" s="80" t="n"/>
      <c r="AF635" s="80" t="n"/>
      <c r="AG635" s="80" t="n"/>
      <c r="AH635" s="80" t="n"/>
      <c r="AI635" s="80" t="n"/>
      <c r="AJ635" s="80" t="n"/>
      <c r="AK635" s="80" t="n"/>
      <c r="AL635" s="80" t="n"/>
      <c r="AM635" s="80" t="n"/>
      <c r="AN635" s="80" t="n"/>
      <c r="AO635" s="80" t="n"/>
      <c r="AP635" s="80" t="n"/>
      <c r="AQ635" s="80" t="n"/>
      <c r="AR635" s="80" t="n"/>
    </row>
    <row r="636">
      <c r="D636" s="80" t="n"/>
      <c r="E636" s="80" t="n"/>
      <c r="F636" s="80" t="n"/>
      <c r="G636" s="80" t="n"/>
      <c r="H636" s="80" t="n"/>
      <c r="I636" s="80" t="n"/>
      <c r="J636" s="80" t="n"/>
      <c r="K636" s="80" t="n"/>
      <c r="L636" s="80" t="n"/>
      <c r="M636" s="80" t="n"/>
      <c r="N636" s="80" t="n"/>
      <c r="O636" s="80" t="n"/>
      <c r="P636" s="80" t="n"/>
      <c r="Q636" s="80" t="n"/>
      <c r="R636" s="80" t="n"/>
      <c r="S636" s="80" t="n"/>
      <c r="T636" s="80" t="n"/>
      <c r="U636" s="80" t="n"/>
      <c r="V636" s="80" t="n"/>
      <c r="W636" s="80" t="n"/>
      <c r="X636" s="80" t="n"/>
      <c r="Y636" s="80" t="n"/>
      <c r="Z636" s="80" t="n"/>
      <c r="AA636" s="80" t="n"/>
      <c r="AB636" s="80" t="n"/>
      <c r="AC636" s="80" t="n"/>
      <c r="AD636" s="80" t="n"/>
      <c r="AE636" s="80" t="n"/>
      <c r="AF636" s="80" t="n"/>
      <c r="AG636" s="80" t="n"/>
      <c r="AH636" s="80" t="n"/>
      <c r="AI636" s="80" t="n"/>
      <c r="AJ636" s="80" t="n"/>
      <c r="AK636" s="80" t="n"/>
      <c r="AL636" s="80" t="n"/>
      <c r="AM636" s="80" t="n"/>
      <c r="AN636" s="80" t="n"/>
      <c r="AO636" s="80" t="n"/>
      <c r="AP636" s="80" t="n"/>
      <c r="AQ636" s="80" t="n"/>
      <c r="AR636" s="80" t="n"/>
    </row>
    <row r="637">
      <c r="D637" s="80" t="n"/>
      <c r="E637" s="80" t="n"/>
      <c r="F637" s="80" t="n"/>
      <c r="G637" s="80" t="n"/>
      <c r="H637" s="80" t="n"/>
      <c r="I637" s="80" t="n"/>
      <c r="J637" s="80" t="n"/>
      <c r="K637" s="80" t="n"/>
      <c r="L637" s="80" t="n"/>
      <c r="M637" s="80" t="n"/>
      <c r="N637" s="80" t="n"/>
      <c r="O637" s="80" t="n"/>
      <c r="P637" s="80" t="n"/>
      <c r="Q637" s="80" t="n"/>
      <c r="R637" s="80" t="n"/>
      <c r="S637" s="80" t="n"/>
      <c r="T637" s="80" t="n"/>
      <c r="U637" s="80" t="n"/>
      <c r="V637" s="80" t="n"/>
      <c r="W637" s="80" t="n"/>
      <c r="X637" s="80" t="n"/>
      <c r="Y637" s="80" t="n"/>
      <c r="Z637" s="80" t="n"/>
      <c r="AA637" s="80" t="n"/>
      <c r="AB637" s="80" t="n"/>
      <c r="AC637" s="80" t="n"/>
      <c r="AD637" s="80" t="n"/>
      <c r="AE637" s="80" t="n"/>
      <c r="AF637" s="80" t="n"/>
      <c r="AG637" s="80" t="n"/>
      <c r="AH637" s="80" t="n"/>
      <c r="AI637" s="80" t="n"/>
      <c r="AJ637" s="80" t="n"/>
      <c r="AK637" s="80" t="n"/>
      <c r="AL637" s="80" t="n"/>
      <c r="AM637" s="80" t="n"/>
      <c r="AN637" s="80" t="n"/>
      <c r="AO637" s="80" t="n"/>
      <c r="AP637" s="80" t="n"/>
      <c r="AQ637" s="80" t="n"/>
      <c r="AR637" s="80" t="n"/>
    </row>
    <row r="639">
      <c r="A639" s="6">
        <f>IF(HSI!$C$49="","",HSI!$C$49)</f>
        <v/>
      </c>
      <c r="B639" s="41">
        <f>IF($A639="",0,COUNT($E640:$AR640))</f>
        <v/>
      </c>
      <c r="C639" s="81">
        <f>IF($B639=0,0,MAX($E640:$AR640))</f>
        <v/>
      </c>
      <c r="D639" s="82">
        <f>BDS($A639,'Field Check'!$C$7,"headers=y","startcol=1","endcol=7","dir=h","DVD_START_DT",Summary!$C$18,"DVD_END_DT",Summary!$D$18)</f>
        <v/>
      </c>
      <c r="E639" s="83" t="n"/>
      <c r="F639" s="83" t="n"/>
      <c r="G639" s="83" t="n"/>
      <c r="H639" s="83" t="n"/>
      <c r="I639" s="83" t="n"/>
      <c r="J639" s="83" t="n"/>
      <c r="K639" s="83" t="n"/>
      <c r="L639" s="83" t="n"/>
      <c r="M639" s="83" t="n"/>
      <c r="N639" s="83" t="n"/>
      <c r="O639" s="83" t="n"/>
      <c r="P639" s="83" t="n"/>
      <c r="Q639" s="83" t="n"/>
      <c r="R639" s="83" t="n"/>
      <c r="S639" s="83" t="n"/>
      <c r="T639" s="83" t="n"/>
      <c r="U639" s="83" t="n"/>
      <c r="V639" s="83" t="n"/>
      <c r="W639" s="83" t="n"/>
      <c r="X639" s="83" t="n"/>
      <c r="Y639" s="83" t="n"/>
      <c r="Z639" s="83" t="n"/>
      <c r="AA639" s="83" t="n"/>
      <c r="AB639" s="83" t="n"/>
      <c r="AC639" s="83" t="n"/>
      <c r="AD639" s="83" t="n"/>
      <c r="AE639" s="83" t="n"/>
      <c r="AF639" s="83" t="n"/>
      <c r="AG639" s="83" t="n"/>
      <c r="AH639" s="83" t="n"/>
      <c r="AI639" s="83" t="n"/>
      <c r="AJ639" s="83" t="n"/>
      <c r="AK639" s="83" t="n"/>
      <c r="AL639" s="83" t="n"/>
      <c r="AM639" s="83" t="n"/>
      <c r="AN639" s="83" t="n"/>
      <c r="AO639" s="83" t="n"/>
      <c r="AP639" s="83" t="n"/>
      <c r="AQ639" s="83" t="n"/>
      <c r="AR639" s="83" t="n"/>
    </row>
    <row r="640">
      <c r="D640" s="83" t="n"/>
      <c r="E640" s="83" t="n"/>
      <c r="F640" s="83" t="n"/>
      <c r="G640" s="83" t="n"/>
      <c r="H640" s="83" t="n"/>
      <c r="I640" s="83" t="n"/>
      <c r="J640" s="83" t="n"/>
      <c r="K640" s="83" t="n"/>
      <c r="L640" s="83" t="n"/>
      <c r="M640" s="83" t="n"/>
      <c r="N640" s="83" t="n"/>
      <c r="O640" s="83" t="n"/>
      <c r="P640" s="83" t="n"/>
      <c r="Q640" s="83" t="n"/>
      <c r="R640" s="83" t="n"/>
      <c r="S640" s="83" t="n"/>
      <c r="T640" s="83" t="n"/>
      <c r="U640" s="83" t="n"/>
      <c r="V640" s="83" t="n"/>
      <c r="W640" s="83" t="n"/>
      <c r="X640" s="83" t="n"/>
      <c r="Y640" s="83" t="n"/>
      <c r="Z640" s="83" t="n"/>
      <c r="AA640" s="83" t="n"/>
      <c r="AB640" s="83" t="n"/>
      <c r="AC640" s="83" t="n"/>
      <c r="AD640" s="83" t="n"/>
      <c r="AE640" s="83" t="n"/>
      <c r="AF640" s="83" t="n"/>
      <c r="AG640" s="83" t="n"/>
      <c r="AH640" s="83" t="n"/>
      <c r="AI640" s="83" t="n"/>
      <c r="AJ640" s="83" t="n"/>
      <c r="AK640" s="83" t="n"/>
      <c r="AL640" s="83" t="n"/>
      <c r="AM640" s="83" t="n"/>
      <c r="AN640" s="83" t="n"/>
      <c r="AO640" s="83" t="n"/>
      <c r="AP640" s="83" t="n"/>
      <c r="AQ640" s="83" t="n"/>
      <c r="AR640" s="83" t="n"/>
    </row>
    <row r="641">
      <c r="D641" s="84" t="n"/>
      <c r="E641" s="84" t="n"/>
      <c r="F641" s="84" t="n"/>
      <c r="G641" s="84" t="n"/>
      <c r="H641" s="84" t="n"/>
      <c r="I641" s="84" t="n"/>
      <c r="J641" s="84" t="n"/>
      <c r="K641" s="84" t="n"/>
      <c r="L641" s="84" t="n"/>
      <c r="M641" s="84" t="n"/>
      <c r="N641" s="84" t="n"/>
      <c r="O641" s="84" t="n"/>
      <c r="P641" s="84" t="n"/>
      <c r="Q641" s="84" t="n"/>
      <c r="R641" s="84" t="n"/>
      <c r="S641" s="84" t="n"/>
      <c r="T641" s="84" t="n"/>
      <c r="U641" s="84" t="n"/>
      <c r="V641" s="84" t="n"/>
      <c r="W641" s="84" t="n"/>
      <c r="X641" s="84" t="n"/>
      <c r="Y641" s="84" t="n"/>
      <c r="Z641" s="84" t="n"/>
      <c r="AA641" s="84" t="n"/>
      <c r="AB641" s="84" t="n"/>
      <c r="AC641" s="84" t="n"/>
      <c r="AD641" s="84" t="n"/>
      <c r="AE641" s="84" t="n"/>
      <c r="AF641" s="84" t="n"/>
      <c r="AG641" s="84" t="n"/>
      <c r="AH641" s="84" t="n"/>
      <c r="AI641" s="84" t="n"/>
      <c r="AJ641" s="84" t="n"/>
      <c r="AK641" s="84" t="n"/>
      <c r="AL641" s="84" t="n"/>
      <c r="AM641" s="84" t="n"/>
      <c r="AN641" s="84" t="n"/>
      <c r="AO641" s="84" t="n"/>
      <c r="AP641" s="84" t="n"/>
      <c r="AQ641" s="84" t="n"/>
      <c r="AR641" s="84" t="n"/>
    </row>
    <row r="642">
      <c r="D642" s="80" t="n"/>
      <c r="E642" s="80" t="n"/>
      <c r="F642" s="80" t="n"/>
      <c r="G642" s="80" t="n"/>
      <c r="H642" s="80" t="n"/>
      <c r="I642" s="80" t="n"/>
      <c r="J642" s="80" t="n"/>
      <c r="K642" s="80" t="n"/>
      <c r="L642" s="80" t="n"/>
      <c r="M642" s="80" t="n"/>
      <c r="N642" s="80" t="n"/>
      <c r="O642" s="80" t="n"/>
      <c r="P642" s="80" t="n"/>
      <c r="Q642" s="80" t="n"/>
      <c r="R642" s="80" t="n"/>
      <c r="S642" s="80" t="n"/>
      <c r="T642" s="80" t="n"/>
      <c r="U642" s="80" t="n"/>
      <c r="V642" s="80" t="n"/>
      <c r="W642" s="80" t="n"/>
      <c r="X642" s="80" t="n"/>
      <c r="Y642" s="80" t="n"/>
      <c r="Z642" s="80" t="n"/>
      <c r="AA642" s="80" t="n"/>
      <c r="AB642" s="80" t="n"/>
      <c r="AC642" s="80" t="n"/>
      <c r="AD642" s="80" t="n"/>
      <c r="AE642" s="80" t="n"/>
      <c r="AF642" s="80" t="n"/>
      <c r="AG642" s="80" t="n"/>
      <c r="AH642" s="80" t="n"/>
      <c r="AI642" s="80" t="n"/>
      <c r="AJ642" s="80" t="n"/>
      <c r="AK642" s="80" t="n"/>
      <c r="AL642" s="80" t="n"/>
      <c r="AM642" s="80" t="n"/>
      <c r="AN642" s="80" t="n"/>
      <c r="AO642" s="80" t="n"/>
      <c r="AP642" s="80" t="n"/>
      <c r="AQ642" s="80" t="n"/>
      <c r="AR642" s="80" t="n"/>
    </row>
    <row r="643">
      <c r="D643" s="80" t="n"/>
      <c r="E643" s="80" t="n"/>
      <c r="F643" s="80" t="n"/>
      <c r="G643" s="80" t="n"/>
      <c r="H643" s="80" t="n"/>
      <c r="I643" s="80" t="n"/>
      <c r="J643" s="80" t="n"/>
      <c r="K643" s="80" t="n"/>
      <c r="L643" s="80" t="n"/>
      <c r="M643" s="80" t="n"/>
      <c r="N643" s="80" t="n"/>
      <c r="O643" s="80" t="n"/>
      <c r="P643" s="80" t="n"/>
      <c r="Q643" s="80" t="n"/>
      <c r="R643" s="80" t="n"/>
      <c r="S643" s="80" t="n"/>
      <c r="T643" s="80" t="n"/>
      <c r="U643" s="80" t="n"/>
      <c r="V643" s="80" t="n"/>
      <c r="W643" s="80" t="n"/>
      <c r="X643" s="80" t="n"/>
      <c r="Y643" s="80" t="n"/>
      <c r="Z643" s="80" t="n"/>
      <c r="AA643" s="80" t="n"/>
      <c r="AB643" s="80" t="n"/>
      <c r="AC643" s="80" t="n"/>
      <c r="AD643" s="80" t="n"/>
      <c r="AE643" s="80" t="n"/>
      <c r="AF643" s="80" t="n"/>
      <c r="AG643" s="80" t="n"/>
      <c r="AH643" s="80" t="n"/>
      <c r="AI643" s="80" t="n"/>
      <c r="AJ643" s="80" t="n"/>
      <c r="AK643" s="80" t="n"/>
      <c r="AL643" s="80" t="n"/>
      <c r="AM643" s="80" t="n"/>
      <c r="AN643" s="80" t="n"/>
      <c r="AO643" s="80" t="n"/>
      <c r="AP643" s="80" t="n"/>
      <c r="AQ643" s="80" t="n"/>
      <c r="AR643" s="80" t="n"/>
    </row>
    <row r="644">
      <c r="D644" s="80" t="n"/>
      <c r="E644" s="80" t="n"/>
      <c r="F644" s="80" t="n"/>
      <c r="G644" s="80" t="n"/>
      <c r="H644" s="80" t="n"/>
      <c r="I644" s="80" t="n"/>
      <c r="J644" s="80" t="n"/>
      <c r="K644" s="80" t="n"/>
      <c r="L644" s="80" t="n"/>
      <c r="M644" s="80" t="n"/>
      <c r="N644" s="80" t="n"/>
      <c r="O644" s="80" t="n"/>
      <c r="P644" s="80" t="n"/>
      <c r="Q644" s="80" t="n"/>
      <c r="R644" s="80" t="n"/>
      <c r="S644" s="80" t="n"/>
      <c r="T644" s="80" t="n"/>
      <c r="U644" s="80" t="n"/>
      <c r="V644" s="80" t="n"/>
      <c r="W644" s="80" t="n"/>
      <c r="X644" s="80" t="n"/>
      <c r="Y644" s="80" t="n"/>
      <c r="Z644" s="80" t="n"/>
      <c r="AA644" s="80" t="n"/>
      <c r="AB644" s="80" t="n"/>
      <c r="AC644" s="80" t="n"/>
      <c r="AD644" s="80" t="n"/>
      <c r="AE644" s="80" t="n"/>
      <c r="AF644" s="80" t="n"/>
      <c r="AG644" s="80" t="n"/>
      <c r="AH644" s="80" t="n"/>
      <c r="AI644" s="80" t="n"/>
      <c r="AJ644" s="80" t="n"/>
      <c r="AK644" s="80" t="n"/>
      <c r="AL644" s="80" t="n"/>
      <c r="AM644" s="80" t="n"/>
      <c r="AN644" s="80" t="n"/>
      <c r="AO644" s="80" t="n"/>
      <c r="AP644" s="80" t="n"/>
      <c r="AQ644" s="80" t="n"/>
      <c r="AR644" s="80" t="n"/>
    </row>
    <row r="645">
      <c r="D645" s="80" t="n"/>
      <c r="E645" s="80" t="n"/>
      <c r="F645" s="80" t="n"/>
      <c r="G645" s="80" t="n"/>
      <c r="H645" s="80" t="n"/>
      <c r="I645" s="80" t="n"/>
      <c r="J645" s="80" t="n"/>
      <c r="K645" s="80" t="n"/>
      <c r="L645" s="80" t="n"/>
      <c r="M645" s="80" t="n"/>
      <c r="N645" s="80" t="n"/>
      <c r="O645" s="80" t="n"/>
      <c r="P645" s="80" t="n"/>
      <c r="Q645" s="80" t="n"/>
      <c r="R645" s="80" t="n"/>
      <c r="S645" s="80" t="n"/>
      <c r="T645" s="80" t="n"/>
      <c r="U645" s="80" t="n"/>
      <c r="V645" s="80" t="n"/>
      <c r="W645" s="80" t="n"/>
      <c r="X645" s="80" t="n"/>
      <c r="Y645" s="80" t="n"/>
      <c r="Z645" s="80" t="n"/>
      <c r="AA645" s="80" t="n"/>
      <c r="AB645" s="80" t="n"/>
      <c r="AC645" s="80" t="n"/>
      <c r="AD645" s="80" t="n"/>
      <c r="AE645" s="80" t="n"/>
      <c r="AF645" s="80" t="n"/>
      <c r="AG645" s="80" t="n"/>
      <c r="AH645" s="80" t="n"/>
      <c r="AI645" s="80" t="n"/>
      <c r="AJ645" s="80" t="n"/>
      <c r="AK645" s="80" t="n"/>
      <c r="AL645" s="80" t="n"/>
      <c r="AM645" s="80" t="n"/>
      <c r="AN645" s="80" t="n"/>
      <c r="AO645" s="80" t="n"/>
      <c r="AP645" s="80" t="n"/>
      <c r="AQ645" s="80" t="n"/>
      <c r="AR645" s="80" t="n"/>
    </row>
    <row r="646">
      <c r="A646" s="2">
        <f>IF($A639="","","   projections")</f>
        <v/>
      </c>
      <c r="B646" s="41">
        <f>IF($A639="",0,COUNT($E647:$AR647))</f>
        <v/>
      </c>
      <c r="C646" s="81">
        <f>IF($B646=0,0,MAX($E647:$AR647))</f>
        <v/>
      </c>
      <c r="D646" s="82">
        <f>BDS($A639,'Field Check'!$C$6,"headers=y","startcol=1","endcol=7","dir=h")</f>
        <v/>
      </c>
      <c r="E646" s="83" t="n"/>
      <c r="F646" s="83" t="n"/>
      <c r="G646" s="83" t="n"/>
      <c r="H646" s="83" t="n"/>
      <c r="I646" s="83" t="n"/>
      <c r="J646" s="83" t="n"/>
      <c r="K646" s="83" t="n"/>
      <c r="L646" s="83" t="n"/>
      <c r="M646" s="83" t="n"/>
      <c r="N646" s="83" t="n"/>
      <c r="O646" s="83" t="n"/>
      <c r="P646" s="83" t="n"/>
      <c r="Q646" s="83" t="n"/>
      <c r="R646" s="83" t="n"/>
      <c r="S646" s="83" t="n"/>
      <c r="T646" s="83" t="n"/>
      <c r="U646" s="83" t="n"/>
      <c r="V646" s="83" t="n"/>
      <c r="W646" s="83" t="n"/>
      <c r="X646" s="83" t="n"/>
      <c r="Y646" s="83" t="n"/>
      <c r="Z646" s="83" t="n"/>
      <c r="AA646" s="83" t="n"/>
      <c r="AB646" s="83" t="n"/>
      <c r="AC646" s="83" t="n"/>
      <c r="AD646" s="83" t="n"/>
      <c r="AE646" s="83" t="n"/>
      <c r="AF646" s="83" t="n"/>
      <c r="AG646" s="83" t="n"/>
      <c r="AH646" s="83" t="n"/>
      <c r="AI646" s="83" t="n"/>
      <c r="AJ646" s="83" t="n"/>
      <c r="AK646" s="83" t="n"/>
      <c r="AL646" s="83" t="n"/>
      <c r="AM646" s="83" t="n"/>
      <c r="AN646" s="83" t="n"/>
      <c r="AO646" s="83" t="n"/>
      <c r="AP646" s="83" t="n"/>
      <c r="AQ646" s="83" t="n"/>
      <c r="AR646" s="83" t="n"/>
    </row>
    <row r="647">
      <c r="D647" s="83" t="n"/>
      <c r="E647" s="83" t="n"/>
      <c r="F647" s="83" t="n"/>
      <c r="G647" s="83" t="n"/>
      <c r="H647" s="83" t="n"/>
      <c r="I647" s="83" t="n"/>
      <c r="J647" s="83" t="n"/>
      <c r="K647" s="83" t="n"/>
      <c r="L647" s="83" t="n"/>
      <c r="M647" s="83" t="n"/>
      <c r="N647" s="83" t="n"/>
      <c r="O647" s="83" t="n"/>
      <c r="P647" s="83" t="n"/>
      <c r="Q647" s="83" t="n"/>
      <c r="R647" s="83" t="n"/>
      <c r="S647" s="83" t="n"/>
      <c r="T647" s="83" t="n"/>
      <c r="U647" s="83" t="n"/>
      <c r="V647" s="83" t="n"/>
      <c r="W647" s="83" t="n"/>
      <c r="X647" s="83" t="n"/>
      <c r="Y647" s="83" t="n"/>
      <c r="Z647" s="83" t="n"/>
      <c r="AA647" s="83" t="n"/>
      <c r="AB647" s="83" t="n"/>
      <c r="AC647" s="83" t="n"/>
      <c r="AD647" s="83" t="n"/>
      <c r="AE647" s="83" t="n"/>
      <c r="AF647" s="83" t="n"/>
      <c r="AG647" s="83" t="n"/>
      <c r="AH647" s="83" t="n"/>
      <c r="AI647" s="83" t="n"/>
      <c r="AJ647" s="83" t="n"/>
      <c r="AK647" s="83" t="n"/>
      <c r="AL647" s="83" t="n"/>
      <c r="AM647" s="83" t="n"/>
      <c r="AN647" s="83" t="n"/>
      <c r="AO647" s="83" t="n"/>
      <c r="AP647" s="83" t="n"/>
      <c r="AQ647" s="83" t="n"/>
      <c r="AR647" s="83" t="n"/>
    </row>
    <row r="648">
      <c r="D648" s="84" t="n"/>
      <c r="E648" s="84" t="n"/>
      <c r="F648" s="84" t="n"/>
      <c r="G648" s="84" t="n"/>
      <c r="H648" s="84" t="n"/>
      <c r="I648" s="84" t="n"/>
      <c r="J648" s="84" t="n"/>
      <c r="K648" s="84" t="n"/>
      <c r="L648" s="84" t="n"/>
      <c r="M648" s="84" t="n"/>
      <c r="N648" s="84" t="n"/>
      <c r="O648" s="84" t="n"/>
      <c r="P648" s="84" t="n"/>
      <c r="Q648" s="84" t="n"/>
      <c r="R648" s="84" t="n"/>
      <c r="S648" s="84" t="n"/>
      <c r="T648" s="84" t="n"/>
      <c r="U648" s="84" t="n"/>
      <c r="V648" s="84" t="n"/>
      <c r="W648" s="84" t="n"/>
      <c r="X648" s="84" t="n"/>
      <c r="Y648" s="84" t="n"/>
      <c r="Z648" s="84" t="n"/>
      <c r="AA648" s="84" t="n"/>
      <c r="AB648" s="84" t="n"/>
      <c r="AC648" s="84" t="n"/>
      <c r="AD648" s="84" t="n"/>
      <c r="AE648" s="84" t="n"/>
      <c r="AF648" s="84" t="n"/>
      <c r="AG648" s="84" t="n"/>
      <c r="AH648" s="84" t="n"/>
      <c r="AI648" s="84" t="n"/>
      <c r="AJ648" s="84" t="n"/>
      <c r="AK648" s="84" t="n"/>
      <c r="AL648" s="84" t="n"/>
      <c r="AM648" s="84" t="n"/>
      <c r="AN648" s="84" t="n"/>
      <c r="AO648" s="84" t="n"/>
      <c r="AP648" s="84" t="n"/>
      <c r="AQ648" s="84" t="n"/>
      <c r="AR648" s="84" t="n"/>
    </row>
    <row r="649">
      <c r="D649" s="80" t="n"/>
      <c r="E649" s="80" t="n"/>
      <c r="F649" s="80" t="n"/>
      <c r="G649" s="80" t="n"/>
      <c r="H649" s="80" t="n"/>
      <c r="I649" s="80" t="n"/>
      <c r="J649" s="80" t="n"/>
      <c r="K649" s="80" t="n"/>
      <c r="L649" s="80" t="n"/>
      <c r="M649" s="80" t="n"/>
      <c r="N649" s="80" t="n"/>
      <c r="O649" s="80" t="n"/>
      <c r="P649" s="80" t="n"/>
      <c r="Q649" s="80" t="n"/>
      <c r="R649" s="80" t="n"/>
      <c r="S649" s="80" t="n"/>
      <c r="T649" s="80" t="n"/>
      <c r="U649" s="80" t="n"/>
      <c r="V649" s="80" t="n"/>
      <c r="W649" s="80" t="n"/>
      <c r="X649" s="80" t="n"/>
      <c r="Y649" s="80" t="n"/>
      <c r="Z649" s="80" t="n"/>
      <c r="AA649" s="80" t="n"/>
      <c r="AB649" s="80" t="n"/>
      <c r="AC649" s="80" t="n"/>
      <c r="AD649" s="80" t="n"/>
      <c r="AE649" s="80" t="n"/>
      <c r="AF649" s="80" t="n"/>
      <c r="AG649" s="80" t="n"/>
      <c r="AH649" s="80" t="n"/>
      <c r="AI649" s="80" t="n"/>
      <c r="AJ649" s="80" t="n"/>
      <c r="AK649" s="80" t="n"/>
      <c r="AL649" s="80" t="n"/>
      <c r="AM649" s="80" t="n"/>
      <c r="AN649" s="80" t="n"/>
      <c r="AO649" s="80" t="n"/>
      <c r="AP649" s="80" t="n"/>
      <c r="AQ649" s="80" t="n"/>
      <c r="AR649" s="80" t="n"/>
    </row>
    <row r="650">
      <c r="D650" s="80" t="n"/>
      <c r="E650" s="80" t="n"/>
      <c r="F650" s="80" t="n"/>
      <c r="G650" s="80" t="n"/>
      <c r="H650" s="80" t="n"/>
      <c r="I650" s="80" t="n"/>
      <c r="J650" s="80" t="n"/>
      <c r="K650" s="80" t="n"/>
      <c r="L650" s="80" t="n"/>
      <c r="M650" s="80" t="n"/>
      <c r="N650" s="80" t="n"/>
      <c r="O650" s="80" t="n"/>
      <c r="P650" s="80" t="n"/>
      <c r="Q650" s="80" t="n"/>
      <c r="R650" s="80" t="n"/>
      <c r="S650" s="80" t="n"/>
      <c r="T650" s="80" t="n"/>
      <c r="U650" s="80" t="n"/>
      <c r="V650" s="80" t="n"/>
      <c r="W650" s="80" t="n"/>
      <c r="X650" s="80" t="n"/>
      <c r="Y650" s="80" t="n"/>
      <c r="Z650" s="80" t="n"/>
      <c r="AA650" s="80" t="n"/>
      <c r="AB650" s="80" t="n"/>
      <c r="AC650" s="80" t="n"/>
      <c r="AD650" s="80" t="n"/>
      <c r="AE650" s="80" t="n"/>
      <c r="AF650" s="80" t="n"/>
      <c r="AG650" s="80" t="n"/>
      <c r="AH650" s="80" t="n"/>
      <c r="AI650" s="80" t="n"/>
      <c r="AJ650" s="80" t="n"/>
      <c r="AK650" s="80" t="n"/>
      <c r="AL650" s="80" t="n"/>
      <c r="AM650" s="80" t="n"/>
      <c r="AN650" s="80" t="n"/>
      <c r="AO650" s="80" t="n"/>
      <c r="AP650" s="80" t="n"/>
      <c r="AQ650" s="80" t="n"/>
      <c r="AR650" s="80" t="n"/>
    </row>
    <row r="651">
      <c r="D651" s="80" t="n"/>
      <c r="E651" s="80" t="n"/>
      <c r="F651" s="80" t="n"/>
      <c r="G651" s="80" t="n"/>
      <c r="H651" s="80" t="n"/>
      <c r="I651" s="80" t="n"/>
      <c r="J651" s="80" t="n"/>
      <c r="K651" s="80" t="n"/>
      <c r="L651" s="80" t="n"/>
      <c r="M651" s="80" t="n"/>
      <c r="N651" s="80" t="n"/>
      <c r="O651" s="80" t="n"/>
      <c r="P651" s="80" t="n"/>
      <c r="Q651" s="80" t="n"/>
      <c r="R651" s="80" t="n"/>
      <c r="S651" s="80" t="n"/>
      <c r="T651" s="80" t="n"/>
      <c r="U651" s="80" t="n"/>
      <c r="V651" s="80" t="n"/>
      <c r="W651" s="80" t="n"/>
      <c r="X651" s="80" t="n"/>
      <c r="Y651" s="80" t="n"/>
      <c r="Z651" s="80" t="n"/>
      <c r="AA651" s="80" t="n"/>
      <c r="AB651" s="80" t="n"/>
      <c r="AC651" s="80" t="n"/>
      <c r="AD651" s="80" t="n"/>
      <c r="AE651" s="80" t="n"/>
      <c r="AF651" s="80" t="n"/>
      <c r="AG651" s="80" t="n"/>
      <c r="AH651" s="80" t="n"/>
      <c r="AI651" s="80" t="n"/>
      <c r="AJ651" s="80" t="n"/>
      <c r="AK651" s="80" t="n"/>
      <c r="AL651" s="80" t="n"/>
      <c r="AM651" s="80" t="n"/>
      <c r="AN651" s="80" t="n"/>
      <c r="AO651" s="80" t="n"/>
      <c r="AP651" s="80" t="n"/>
      <c r="AQ651" s="80" t="n"/>
      <c r="AR651" s="80" t="n"/>
    </row>
    <row r="652">
      <c r="D652" s="80" t="n"/>
      <c r="E652" s="80" t="n"/>
      <c r="F652" s="80" t="n"/>
      <c r="G652" s="80" t="n"/>
      <c r="H652" s="80" t="n"/>
      <c r="I652" s="80" t="n"/>
      <c r="J652" s="80" t="n"/>
      <c r="K652" s="80" t="n"/>
      <c r="L652" s="80" t="n"/>
      <c r="M652" s="80" t="n"/>
      <c r="N652" s="80" t="n"/>
      <c r="O652" s="80" t="n"/>
      <c r="P652" s="80" t="n"/>
      <c r="Q652" s="80" t="n"/>
      <c r="R652" s="80" t="n"/>
      <c r="S652" s="80" t="n"/>
      <c r="T652" s="80" t="n"/>
      <c r="U652" s="80" t="n"/>
      <c r="V652" s="80" t="n"/>
      <c r="W652" s="80" t="n"/>
      <c r="X652" s="80" t="n"/>
      <c r="Y652" s="80" t="n"/>
      <c r="Z652" s="80" t="n"/>
      <c r="AA652" s="80" t="n"/>
      <c r="AB652" s="80" t="n"/>
      <c r="AC652" s="80" t="n"/>
      <c r="AD652" s="80" t="n"/>
      <c r="AE652" s="80" t="n"/>
      <c r="AF652" s="80" t="n"/>
      <c r="AG652" s="80" t="n"/>
      <c r="AH652" s="80" t="n"/>
      <c r="AI652" s="80" t="n"/>
      <c r="AJ652" s="80" t="n"/>
      <c r="AK652" s="80" t="n"/>
      <c r="AL652" s="80" t="n"/>
      <c r="AM652" s="80" t="n"/>
      <c r="AN652" s="80" t="n"/>
      <c r="AO652" s="80" t="n"/>
      <c r="AP652" s="80" t="n"/>
      <c r="AQ652" s="80" t="n"/>
      <c r="AR652" s="80" t="n"/>
    </row>
    <row r="654">
      <c r="A654" s="6">
        <f>IF(HSI!$C$50="","",HSI!$C$50)</f>
        <v/>
      </c>
      <c r="B654" s="41">
        <f>IF($A654="",0,COUNT($E655:$AR655))</f>
        <v/>
      </c>
      <c r="C654" s="81">
        <f>IF($B654=0,0,MAX($E655:$AR655))</f>
        <v/>
      </c>
      <c r="D654" s="82">
        <f>BDS($A654,'Field Check'!$C$7,"headers=y","startcol=1","endcol=7","dir=h","DVD_START_DT",Summary!$C$18,"DVD_END_DT",Summary!$D$18)</f>
        <v/>
      </c>
      <c r="E654" s="83" t="n"/>
      <c r="F654" s="83" t="n"/>
      <c r="G654" s="83" t="n"/>
      <c r="H654" s="83" t="n"/>
      <c r="I654" s="83" t="n"/>
      <c r="J654" s="83" t="n"/>
      <c r="K654" s="83" t="n"/>
      <c r="L654" s="83" t="n"/>
      <c r="M654" s="83" t="n"/>
      <c r="N654" s="83" t="n"/>
      <c r="O654" s="83" t="n"/>
      <c r="P654" s="83" t="n"/>
      <c r="Q654" s="83" t="n"/>
      <c r="R654" s="83" t="n"/>
      <c r="S654" s="83" t="n"/>
      <c r="T654" s="83" t="n"/>
      <c r="U654" s="83" t="n"/>
      <c r="V654" s="83" t="n"/>
      <c r="W654" s="83" t="n"/>
      <c r="X654" s="83" t="n"/>
      <c r="Y654" s="83" t="n"/>
      <c r="Z654" s="83" t="n"/>
      <c r="AA654" s="83" t="n"/>
      <c r="AB654" s="83" t="n"/>
      <c r="AC654" s="83" t="n"/>
      <c r="AD654" s="83" t="n"/>
      <c r="AE654" s="83" t="n"/>
      <c r="AF654" s="83" t="n"/>
      <c r="AG654" s="83" t="n"/>
      <c r="AH654" s="83" t="n"/>
      <c r="AI654" s="83" t="n"/>
      <c r="AJ654" s="83" t="n"/>
      <c r="AK654" s="83" t="n"/>
      <c r="AL654" s="83" t="n"/>
      <c r="AM654" s="83" t="n"/>
      <c r="AN654" s="83" t="n"/>
      <c r="AO654" s="83" t="n"/>
      <c r="AP654" s="83" t="n"/>
      <c r="AQ654" s="83" t="n"/>
      <c r="AR654" s="83" t="n"/>
    </row>
    <row r="655">
      <c r="D655" s="83" t="n"/>
      <c r="E655" s="83" t="n"/>
      <c r="F655" s="83" t="n"/>
      <c r="G655" s="83" t="n"/>
      <c r="H655" s="83" t="n"/>
      <c r="I655" s="83" t="n"/>
      <c r="J655" s="83" t="n"/>
      <c r="K655" s="83" t="n"/>
      <c r="L655" s="83" t="n"/>
      <c r="M655" s="83" t="n"/>
      <c r="N655" s="83" t="n"/>
      <c r="O655" s="83" t="n"/>
      <c r="P655" s="83" t="n"/>
      <c r="Q655" s="83" t="n"/>
      <c r="R655" s="83" t="n"/>
      <c r="S655" s="83" t="n"/>
      <c r="T655" s="83" t="n"/>
      <c r="U655" s="83" t="n"/>
      <c r="V655" s="83" t="n"/>
      <c r="W655" s="83" t="n"/>
      <c r="X655" s="83" t="n"/>
      <c r="Y655" s="83" t="n"/>
      <c r="Z655" s="83" t="n"/>
      <c r="AA655" s="83" t="n"/>
      <c r="AB655" s="83" t="n"/>
      <c r="AC655" s="83" t="n"/>
      <c r="AD655" s="83" t="n"/>
      <c r="AE655" s="83" t="n"/>
      <c r="AF655" s="83" t="n"/>
      <c r="AG655" s="83" t="n"/>
      <c r="AH655" s="83" t="n"/>
      <c r="AI655" s="83" t="n"/>
      <c r="AJ655" s="83" t="n"/>
      <c r="AK655" s="83" t="n"/>
      <c r="AL655" s="83" t="n"/>
      <c r="AM655" s="83" t="n"/>
      <c r="AN655" s="83" t="n"/>
      <c r="AO655" s="83" t="n"/>
      <c r="AP655" s="83" t="n"/>
      <c r="AQ655" s="83" t="n"/>
      <c r="AR655" s="83" t="n"/>
    </row>
    <row r="656">
      <c r="D656" s="84" t="n"/>
      <c r="E656" s="84" t="n"/>
      <c r="F656" s="84" t="n"/>
      <c r="G656" s="84" t="n"/>
      <c r="H656" s="84" t="n"/>
      <c r="I656" s="84" t="n"/>
      <c r="J656" s="84" t="n"/>
      <c r="K656" s="84" t="n"/>
      <c r="L656" s="84" t="n"/>
      <c r="M656" s="84" t="n"/>
      <c r="N656" s="84" t="n"/>
      <c r="O656" s="84" t="n"/>
      <c r="P656" s="84" t="n"/>
      <c r="Q656" s="84" t="n"/>
      <c r="R656" s="84" t="n"/>
      <c r="S656" s="84" t="n"/>
      <c r="T656" s="84" t="n"/>
      <c r="U656" s="84" t="n"/>
      <c r="V656" s="84" t="n"/>
      <c r="W656" s="84" t="n"/>
      <c r="X656" s="84" t="n"/>
      <c r="Y656" s="84" t="n"/>
      <c r="Z656" s="84" t="n"/>
      <c r="AA656" s="84" t="n"/>
      <c r="AB656" s="84" t="n"/>
      <c r="AC656" s="84" t="n"/>
      <c r="AD656" s="84" t="n"/>
      <c r="AE656" s="84" t="n"/>
      <c r="AF656" s="84" t="n"/>
      <c r="AG656" s="84" t="n"/>
      <c r="AH656" s="84" t="n"/>
      <c r="AI656" s="84" t="n"/>
      <c r="AJ656" s="84" t="n"/>
      <c r="AK656" s="84" t="n"/>
      <c r="AL656" s="84" t="n"/>
      <c r="AM656" s="84" t="n"/>
      <c r="AN656" s="84" t="n"/>
      <c r="AO656" s="84" t="n"/>
      <c r="AP656" s="84" t="n"/>
      <c r="AQ656" s="84" t="n"/>
      <c r="AR656" s="84" t="n"/>
    </row>
    <row r="657">
      <c r="D657" s="80" t="n"/>
      <c r="E657" s="80" t="n"/>
      <c r="F657" s="80" t="n"/>
      <c r="G657" s="80" t="n"/>
      <c r="H657" s="80" t="n"/>
      <c r="I657" s="80" t="n"/>
      <c r="J657" s="80" t="n"/>
      <c r="K657" s="80" t="n"/>
      <c r="L657" s="80" t="n"/>
      <c r="M657" s="80" t="n"/>
      <c r="N657" s="80" t="n"/>
      <c r="O657" s="80" t="n"/>
      <c r="P657" s="80" t="n"/>
      <c r="Q657" s="80" t="n"/>
      <c r="R657" s="80" t="n"/>
      <c r="S657" s="80" t="n"/>
      <c r="T657" s="80" t="n"/>
      <c r="U657" s="80" t="n"/>
      <c r="V657" s="80" t="n"/>
      <c r="W657" s="80" t="n"/>
      <c r="X657" s="80" t="n"/>
      <c r="Y657" s="80" t="n"/>
      <c r="Z657" s="80" t="n"/>
      <c r="AA657" s="80" t="n"/>
      <c r="AB657" s="80" t="n"/>
      <c r="AC657" s="80" t="n"/>
      <c r="AD657" s="80" t="n"/>
      <c r="AE657" s="80" t="n"/>
      <c r="AF657" s="80" t="n"/>
      <c r="AG657" s="80" t="n"/>
      <c r="AH657" s="80" t="n"/>
      <c r="AI657" s="80" t="n"/>
      <c r="AJ657" s="80" t="n"/>
      <c r="AK657" s="80" t="n"/>
      <c r="AL657" s="80" t="n"/>
      <c r="AM657" s="80" t="n"/>
      <c r="AN657" s="80" t="n"/>
      <c r="AO657" s="80" t="n"/>
      <c r="AP657" s="80" t="n"/>
      <c r="AQ657" s="80" t="n"/>
      <c r="AR657" s="80" t="n"/>
    </row>
    <row r="658">
      <c r="D658" s="80" t="n"/>
      <c r="E658" s="80" t="n"/>
      <c r="F658" s="80" t="n"/>
      <c r="G658" s="80" t="n"/>
      <c r="H658" s="80" t="n"/>
      <c r="I658" s="80" t="n"/>
      <c r="J658" s="80" t="n"/>
      <c r="K658" s="80" t="n"/>
      <c r="L658" s="80" t="n"/>
      <c r="M658" s="80" t="n"/>
      <c r="N658" s="80" t="n"/>
      <c r="O658" s="80" t="n"/>
      <c r="P658" s="80" t="n"/>
      <c r="Q658" s="80" t="n"/>
      <c r="R658" s="80" t="n"/>
      <c r="S658" s="80" t="n"/>
      <c r="T658" s="80" t="n"/>
      <c r="U658" s="80" t="n"/>
      <c r="V658" s="80" t="n"/>
      <c r="W658" s="80" t="n"/>
      <c r="X658" s="80" t="n"/>
      <c r="Y658" s="80" t="n"/>
      <c r="Z658" s="80" t="n"/>
      <c r="AA658" s="80" t="n"/>
      <c r="AB658" s="80" t="n"/>
      <c r="AC658" s="80" t="n"/>
      <c r="AD658" s="80" t="n"/>
      <c r="AE658" s="80" t="n"/>
      <c r="AF658" s="80" t="n"/>
      <c r="AG658" s="80" t="n"/>
      <c r="AH658" s="80" t="n"/>
      <c r="AI658" s="80" t="n"/>
      <c r="AJ658" s="80" t="n"/>
      <c r="AK658" s="80" t="n"/>
      <c r="AL658" s="80" t="n"/>
      <c r="AM658" s="80" t="n"/>
      <c r="AN658" s="80" t="n"/>
      <c r="AO658" s="80" t="n"/>
      <c r="AP658" s="80" t="n"/>
      <c r="AQ658" s="80" t="n"/>
      <c r="AR658" s="80" t="n"/>
    </row>
    <row r="659">
      <c r="D659" s="80" t="n"/>
      <c r="E659" s="80" t="n"/>
      <c r="F659" s="80" t="n"/>
      <c r="G659" s="80" t="n"/>
      <c r="H659" s="80" t="n"/>
      <c r="I659" s="80" t="n"/>
      <c r="J659" s="80" t="n"/>
      <c r="K659" s="80" t="n"/>
      <c r="L659" s="80" t="n"/>
      <c r="M659" s="80" t="n"/>
      <c r="N659" s="80" t="n"/>
      <c r="O659" s="80" t="n"/>
      <c r="P659" s="80" t="n"/>
      <c r="Q659" s="80" t="n"/>
      <c r="R659" s="80" t="n"/>
      <c r="S659" s="80" t="n"/>
      <c r="T659" s="80" t="n"/>
      <c r="U659" s="80" t="n"/>
      <c r="V659" s="80" t="n"/>
      <c r="W659" s="80" t="n"/>
      <c r="X659" s="80" t="n"/>
      <c r="Y659" s="80" t="n"/>
      <c r="Z659" s="80" t="n"/>
      <c r="AA659" s="80" t="n"/>
      <c r="AB659" s="80" t="n"/>
      <c r="AC659" s="80" t="n"/>
      <c r="AD659" s="80" t="n"/>
      <c r="AE659" s="80" t="n"/>
      <c r="AF659" s="80" t="n"/>
      <c r="AG659" s="80" t="n"/>
      <c r="AH659" s="80" t="n"/>
      <c r="AI659" s="80" t="n"/>
      <c r="AJ659" s="80" t="n"/>
      <c r="AK659" s="80" t="n"/>
      <c r="AL659" s="80" t="n"/>
      <c r="AM659" s="80" t="n"/>
      <c r="AN659" s="80" t="n"/>
      <c r="AO659" s="80" t="n"/>
      <c r="AP659" s="80" t="n"/>
      <c r="AQ659" s="80" t="n"/>
      <c r="AR659" s="80" t="n"/>
    </row>
    <row r="660">
      <c r="D660" s="80" t="n"/>
      <c r="E660" s="80" t="n"/>
      <c r="F660" s="80" t="n"/>
      <c r="G660" s="80" t="n"/>
      <c r="H660" s="80" t="n"/>
      <c r="I660" s="80" t="n"/>
      <c r="J660" s="80" t="n"/>
      <c r="K660" s="80" t="n"/>
      <c r="L660" s="80" t="n"/>
      <c r="M660" s="80" t="n"/>
      <c r="N660" s="80" t="n"/>
      <c r="O660" s="80" t="n"/>
      <c r="P660" s="80" t="n"/>
      <c r="Q660" s="80" t="n"/>
      <c r="R660" s="80" t="n"/>
      <c r="S660" s="80" t="n"/>
      <c r="T660" s="80" t="n"/>
      <c r="U660" s="80" t="n"/>
      <c r="V660" s="80" t="n"/>
      <c r="W660" s="80" t="n"/>
      <c r="X660" s="80" t="n"/>
      <c r="Y660" s="80" t="n"/>
      <c r="Z660" s="80" t="n"/>
      <c r="AA660" s="80" t="n"/>
      <c r="AB660" s="80" t="n"/>
      <c r="AC660" s="80" t="n"/>
      <c r="AD660" s="80" t="n"/>
      <c r="AE660" s="80" t="n"/>
      <c r="AF660" s="80" t="n"/>
      <c r="AG660" s="80" t="n"/>
      <c r="AH660" s="80" t="n"/>
      <c r="AI660" s="80" t="n"/>
      <c r="AJ660" s="80" t="n"/>
      <c r="AK660" s="80" t="n"/>
      <c r="AL660" s="80" t="n"/>
      <c r="AM660" s="80" t="n"/>
      <c r="AN660" s="80" t="n"/>
      <c r="AO660" s="80" t="n"/>
      <c r="AP660" s="80" t="n"/>
      <c r="AQ660" s="80" t="n"/>
      <c r="AR660" s="80" t="n"/>
    </row>
    <row r="661">
      <c r="A661" s="2">
        <f>IF($A654="","","   projections")</f>
        <v/>
      </c>
      <c r="B661" s="41">
        <f>IF($A654="",0,COUNT($E662:$AR662))</f>
        <v/>
      </c>
      <c r="C661" s="81">
        <f>IF($B661=0,0,MAX($E662:$AR662))</f>
        <v/>
      </c>
      <c r="D661" s="82">
        <f>BDS($A654,'Field Check'!$C$6,"headers=y","startcol=1","endcol=7","dir=h")</f>
        <v/>
      </c>
      <c r="E661" s="83" t="n"/>
      <c r="F661" s="83" t="n"/>
      <c r="G661" s="83" t="n"/>
      <c r="H661" s="83" t="n"/>
      <c r="I661" s="83" t="n"/>
      <c r="J661" s="83" t="n"/>
      <c r="K661" s="83" t="n"/>
      <c r="L661" s="83" t="n"/>
      <c r="M661" s="83" t="n"/>
      <c r="N661" s="83" t="n"/>
      <c r="O661" s="83" t="n"/>
      <c r="P661" s="83" t="n"/>
      <c r="Q661" s="83" t="n"/>
      <c r="R661" s="83" t="n"/>
      <c r="S661" s="83" t="n"/>
      <c r="T661" s="83" t="n"/>
      <c r="U661" s="83" t="n"/>
      <c r="V661" s="83" t="n"/>
      <c r="W661" s="83" t="n"/>
      <c r="X661" s="83" t="n"/>
      <c r="Y661" s="83" t="n"/>
      <c r="Z661" s="83" t="n"/>
      <c r="AA661" s="83" t="n"/>
      <c r="AB661" s="83" t="n"/>
      <c r="AC661" s="83" t="n"/>
      <c r="AD661" s="83" t="n"/>
      <c r="AE661" s="83" t="n"/>
      <c r="AF661" s="83" t="n"/>
      <c r="AG661" s="83" t="n"/>
      <c r="AH661" s="83" t="n"/>
      <c r="AI661" s="83" t="n"/>
      <c r="AJ661" s="83" t="n"/>
      <c r="AK661" s="83" t="n"/>
      <c r="AL661" s="83" t="n"/>
      <c r="AM661" s="83" t="n"/>
      <c r="AN661" s="83" t="n"/>
      <c r="AO661" s="83" t="n"/>
      <c r="AP661" s="83" t="n"/>
      <c r="AQ661" s="83" t="n"/>
      <c r="AR661" s="83" t="n"/>
    </row>
    <row r="662">
      <c r="D662" s="83" t="n"/>
      <c r="E662" s="83" t="n"/>
      <c r="F662" s="83" t="n"/>
      <c r="G662" s="83" t="n"/>
      <c r="H662" s="83" t="n"/>
      <c r="I662" s="83" t="n"/>
      <c r="J662" s="83" t="n"/>
      <c r="K662" s="83" t="n"/>
      <c r="L662" s="83" t="n"/>
      <c r="M662" s="83" t="n"/>
      <c r="N662" s="83" t="n"/>
      <c r="O662" s="83" t="n"/>
      <c r="P662" s="83" t="n"/>
      <c r="Q662" s="83" t="n"/>
      <c r="R662" s="83" t="n"/>
      <c r="S662" s="83" t="n"/>
      <c r="T662" s="83" t="n"/>
      <c r="U662" s="83" t="n"/>
      <c r="V662" s="83" t="n"/>
      <c r="W662" s="83" t="n"/>
      <c r="X662" s="83" t="n"/>
      <c r="Y662" s="83" t="n"/>
      <c r="Z662" s="83" t="n"/>
      <c r="AA662" s="83" t="n"/>
      <c r="AB662" s="83" t="n"/>
      <c r="AC662" s="83" t="n"/>
      <c r="AD662" s="83" t="n"/>
      <c r="AE662" s="83" t="n"/>
      <c r="AF662" s="83" t="n"/>
      <c r="AG662" s="83" t="n"/>
      <c r="AH662" s="83" t="n"/>
      <c r="AI662" s="83" t="n"/>
      <c r="AJ662" s="83" t="n"/>
      <c r="AK662" s="83" t="n"/>
      <c r="AL662" s="83" t="n"/>
      <c r="AM662" s="83" t="n"/>
      <c r="AN662" s="83" t="n"/>
      <c r="AO662" s="83" t="n"/>
      <c r="AP662" s="83" t="n"/>
      <c r="AQ662" s="83" t="n"/>
      <c r="AR662" s="83" t="n"/>
    </row>
    <row r="663">
      <c r="D663" s="84" t="n"/>
      <c r="E663" s="84" t="n"/>
      <c r="F663" s="84" t="n"/>
      <c r="G663" s="84" t="n"/>
      <c r="H663" s="84" t="n"/>
      <c r="I663" s="84" t="n"/>
      <c r="J663" s="84" t="n"/>
      <c r="K663" s="84" t="n"/>
      <c r="L663" s="84" t="n"/>
      <c r="M663" s="84" t="n"/>
      <c r="N663" s="84" t="n"/>
      <c r="O663" s="84" t="n"/>
      <c r="P663" s="84" t="n"/>
      <c r="Q663" s="84" t="n"/>
      <c r="R663" s="84" t="n"/>
      <c r="S663" s="84" t="n"/>
      <c r="T663" s="84" t="n"/>
      <c r="U663" s="84" t="n"/>
      <c r="V663" s="84" t="n"/>
      <c r="W663" s="84" t="n"/>
      <c r="X663" s="84" t="n"/>
      <c r="Y663" s="84" t="n"/>
      <c r="Z663" s="84" t="n"/>
      <c r="AA663" s="84" t="n"/>
      <c r="AB663" s="84" t="n"/>
      <c r="AC663" s="84" t="n"/>
      <c r="AD663" s="84" t="n"/>
      <c r="AE663" s="84" t="n"/>
      <c r="AF663" s="84" t="n"/>
      <c r="AG663" s="84" t="n"/>
      <c r="AH663" s="84" t="n"/>
      <c r="AI663" s="84" t="n"/>
      <c r="AJ663" s="84" t="n"/>
      <c r="AK663" s="84" t="n"/>
      <c r="AL663" s="84" t="n"/>
      <c r="AM663" s="84" t="n"/>
      <c r="AN663" s="84" t="n"/>
      <c r="AO663" s="84" t="n"/>
      <c r="AP663" s="84" t="n"/>
      <c r="AQ663" s="84" t="n"/>
      <c r="AR663" s="84" t="n"/>
    </row>
    <row r="664">
      <c r="D664" s="80" t="n"/>
      <c r="E664" s="80" t="n"/>
      <c r="F664" s="80" t="n"/>
      <c r="G664" s="80" t="n"/>
      <c r="H664" s="80" t="n"/>
      <c r="I664" s="80" t="n"/>
      <c r="J664" s="80" t="n"/>
      <c r="K664" s="80" t="n"/>
      <c r="L664" s="80" t="n"/>
      <c r="M664" s="80" t="n"/>
      <c r="N664" s="80" t="n"/>
      <c r="O664" s="80" t="n"/>
      <c r="P664" s="80" t="n"/>
      <c r="Q664" s="80" t="n"/>
      <c r="R664" s="80" t="n"/>
      <c r="S664" s="80" t="n"/>
      <c r="T664" s="80" t="n"/>
      <c r="U664" s="80" t="n"/>
      <c r="V664" s="80" t="n"/>
      <c r="W664" s="80" t="n"/>
      <c r="X664" s="80" t="n"/>
      <c r="Y664" s="80" t="n"/>
      <c r="Z664" s="80" t="n"/>
      <c r="AA664" s="80" t="n"/>
      <c r="AB664" s="80" t="n"/>
      <c r="AC664" s="80" t="n"/>
      <c r="AD664" s="80" t="n"/>
      <c r="AE664" s="80" t="n"/>
      <c r="AF664" s="80" t="n"/>
      <c r="AG664" s="80" t="n"/>
      <c r="AH664" s="80" t="n"/>
      <c r="AI664" s="80" t="n"/>
      <c r="AJ664" s="80" t="n"/>
      <c r="AK664" s="80" t="n"/>
      <c r="AL664" s="80" t="n"/>
      <c r="AM664" s="80" t="n"/>
      <c r="AN664" s="80" t="n"/>
      <c r="AO664" s="80" t="n"/>
      <c r="AP664" s="80" t="n"/>
      <c r="AQ664" s="80" t="n"/>
      <c r="AR664" s="80" t="n"/>
    </row>
    <row r="665">
      <c r="D665" s="80" t="n"/>
      <c r="E665" s="80" t="n"/>
      <c r="F665" s="80" t="n"/>
      <c r="G665" s="80" t="n"/>
      <c r="H665" s="80" t="n"/>
      <c r="I665" s="80" t="n"/>
      <c r="J665" s="80" t="n"/>
      <c r="K665" s="80" t="n"/>
      <c r="L665" s="80" t="n"/>
      <c r="M665" s="80" t="n"/>
      <c r="N665" s="80" t="n"/>
      <c r="O665" s="80" t="n"/>
      <c r="P665" s="80" t="n"/>
      <c r="Q665" s="80" t="n"/>
      <c r="R665" s="80" t="n"/>
      <c r="S665" s="80" t="n"/>
      <c r="T665" s="80" t="n"/>
      <c r="U665" s="80" t="n"/>
      <c r="V665" s="80" t="n"/>
      <c r="W665" s="80" t="n"/>
      <c r="X665" s="80" t="n"/>
      <c r="Y665" s="80" t="n"/>
      <c r="Z665" s="80" t="n"/>
      <c r="AA665" s="80" t="n"/>
      <c r="AB665" s="80" t="n"/>
      <c r="AC665" s="80" t="n"/>
      <c r="AD665" s="80" t="n"/>
      <c r="AE665" s="80" t="n"/>
      <c r="AF665" s="80" t="n"/>
      <c r="AG665" s="80" t="n"/>
      <c r="AH665" s="80" t="n"/>
      <c r="AI665" s="80" t="n"/>
      <c r="AJ665" s="80" t="n"/>
      <c r="AK665" s="80" t="n"/>
      <c r="AL665" s="80" t="n"/>
      <c r="AM665" s="80" t="n"/>
      <c r="AN665" s="80" t="n"/>
      <c r="AO665" s="80" t="n"/>
      <c r="AP665" s="80" t="n"/>
      <c r="AQ665" s="80" t="n"/>
      <c r="AR665" s="80" t="n"/>
    </row>
    <row r="666">
      <c r="D666" s="80" t="n"/>
      <c r="E666" s="80" t="n"/>
      <c r="F666" s="80" t="n"/>
      <c r="G666" s="80" t="n"/>
      <c r="H666" s="80" t="n"/>
      <c r="I666" s="80" t="n"/>
      <c r="J666" s="80" t="n"/>
      <c r="K666" s="80" t="n"/>
      <c r="L666" s="80" t="n"/>
      <c r="M666" s="80" t="n"/>
      <c r="N666" s="80" t="n"/>
      <c r="O666" s="80" t="n"/>
      <c r="P666" s="80" t="n"/>
      <c r="Q666" s="80" t="n"/>
      <c r="R666" s="80" t="n"/>
      <c r="S666" s="80" t="n"/>
      <c r="T666" s="80" t="n"/>
      <c r="U666" s="80" t="n"/>
      <c r="V666" s="80" t="n"/>
      <c r="W666" s="80" t="n"/>
      <c r="X666" s="80" t="n"/>
      <c r="Y666" s="80" t="n"/>
      <c r="Z666" s="80" t="n"/>
      <c r="AA666" s="80" t="n"/>
      <c r="AB666" s="80" t="n"/>
      <c r="AC666" s="80" t="n"/>
      <c r="AD666" s="80" t="n"/>
      <c r="AE666" s="80" t="n"/>
      <c r="AF666" s="80" t="n"/>
      <c r="AG666" s="80" t="n"/>
      <c r="AH666" s="80" t="n"/>
      <c r="AI666" s="80" t="n"/>
      <c r="AJ666" s="80" t="n"/>
      <c r="AK666" s="80" t="n"/>
      <c r="AL666" s="80" t="n"/>
      <c r="AM666" s="80" t="n"/>
      <c r="AN666" s="80" t="n"/>
      <c r="AO666" s="80" t="n"/>
      <c r="AP666" s="80" t="n"/>
      <c r="AQ666" s="80" t="n"/>
      <c r="AR666" s="80" t="n"/>
    </row>
    <row r="667">
      <c r="D667" s="80" t="n"/>
      <c r="E667" s="80" t="n"/>
      <c r="F667" s="80" t="n"/>
      <c r="G667" s="80" t="n"/>
      <c r="H667" s="80" t="n"/>
      <c r="I667" s="80" t="n"/>
      <c r="J667" s="80" t="n"/>
      <c r="K667" s="80" t="n"/>
      <c r="L667" s="80" t="n"/>
      <c r="M667" s="80" t="n"/>
      <c r="N667" s="80" t="n"/>
      <c r="O667" s="80" t="n"/>
      <c r="P667" s="80" t="n"/>
      <c r="Q667" s="80" t="n"/>
      <c r="R667" s="80" t="n"/>
      <c r="S667" s="80" t="n"/>
      <c r="T667" s="80" t="n"/>
      <c r="U667" s="80" t="n"/>
      <c r="V667" s="80" t="n"/>
      <c r="W667" s="80" t="n"/>
      <c r="X667" s="80" t="n"/>
      <c r="Y667" s="80" t="n"/>
      <c r="Z667" s="80" t="n"/>
      <c r="AA667" s="80" t="n"/>
      <c r="AB667" s="80" t="n"/>
      <c r="AC667" s="80" t="n"/>
      <c r="AD667" s="80" t="n"/>
      <c r="AE667" s="80" t="n"/>
      <c r="AF667" s="80" t="n"/>
      <c r="AG667" s="80" t="n"/>
      <c r="AH667" s="80" t="n"/>
      <c r="AI667" s="80" t="n"/>
      <c r="AJ667" s="80" t="n"/>
      <c r="AK667" s="80" t="n"/>
      <c r="AL667" s="80" t="n"/>
      <c r="AM667" s="80" t="n"/>
      <c r="AN667" s="80" t="n"/>
      <c r="AO667" s="80" t="n"/>
      <c r="AP667" s="80" t="n"/>
      <c r="AQ667" s="80" t="n"/>
      <c r="AR667" s="80" t="n"/>
    </row>
    <row r="669">
      <c r="A669" s="6">
        <f>IF(HSI!$C$51="","",HSI!$C$51)</f>
        <v/>
      </c>
      <c r="B669" s="41">
        <f>IF($A669="",0,COUNT($E670:$AR670))</f>
        <v/>
      </c>
      <c r="C669" s="81">
        <f>IF($B669=0,0,MAX($E670:$AR670))</f>
        <v/>
      </c>
      <c r="D669" s="82">
        <f>BDS($A669,'Field Check'!$C$7,"headers=y","startcol=1","endcol=7","dir=h","DVD_START_DT",Summary!$C$18,"DVD_END_DT",Summary!$D$18)</f>
        <v/>
      </c>
      <c r="E669" s="83" t="n"/>
      <c r="F669" s="83" t="n"/>
      <c r="G669" s="83" t="n"/>
      <c r="H669" s="83" t="n"/>
      <c r="I669" s="83" t="n"/>
      <c r="J669" s="83" t="n"/>
      <c r="K669" s="83" t="n"/>
      <c r="L669" s="83" t="n"/>
      <c r="M669" s="83" t="n"/>
      <c r="N669" s="83" t="n"/>
      <c r="O669" s="83" t="n"/>
      <c r="P669" s="83" t="n"/>
      <c r="Q669" s="83" t="n"/>
      <c r="R669" s="83" t="n"/>
      <c r="S669" s="83" t="n"/>
      <c r="T669" s="83" t="n"/>
      <c r="U669" s="83" t="n"/>
      <c r="V669" s="83" t="n"/>
      <c r="W669" s="83" t="n"/>
      <c r="X669" s="83" t="n"/>
      <c r="Y669" s="83" t="n"/>
      <c r="Z669" s="83" t="n"/>
      <c r="AA669" s="83" t="n"/>
      <c r="AB669" s="83" t="n"/>
      <c r="AC669" s="83" t="n"/>
      <c r="AD669" s="83" t="n"/>
      <c r="AE669" s="83" t="n"/>
      <c r="AF669" s="83" t="n"/>
      <c r="AG669" s="83" t="n"/>
      <c r="AH669" s="83" t="n"/>
      <c r="AI669" s="83" t="n"/>
      <c r="AJ669" s="83" t="n"/>
      <c r="AK669" s="83" t="n"/>
      <c r="AL669" s="83" t="n"/>
      <c r="AM669" s="83" t="n"/>
      <c r="AN669" s="83" t="n"/>
      <c r="AO669" s="83" t="n"/>
      <c r="AP669" s="83" t="n"/>
      <c r="AQ669" s="83" t="n"/>
      <c r="AR669" s="83" t="n"/>
    </row>
    <row r="670">
      <c r="D670" s="83" t="n"/>
      <c r="E670" s="83" t="n"/>
      <c r="F670" s="83" t="n"/>
      <c r="G670" s="83" t="n"/>
      <c r="H670" s="83" t="n"/>
      <c r="I670" s="83" t="n"/>
      <c r="J670" s="83" t="n"/>
      <c r="K670" s="83" t="n"/>
      <c r="L670" s="83" t="n"/>
      <c r="M670" s="83" t="n"/>
      <c r="N670" s="83" t="n"/>
      <c r="O670" s="83" t="n"/>
      <c r="P670" s="83" t="n"/>
      <c r="Q670" s="83" t="n"/>
      <c r="R670" s="83" t="n"/>
      <c r="S670" s="83" t="n"/>
      <c r="T670" s="83" t="n"/>
      <c r="U670" s="83" t="n"/>
      <c r="V670" s="83" t="n"/>
      <c r="W670" s="83" t="n"/>
      <c r="X670" s="83" t="n"/>
      <c r="Y670" s="83" t="n"/>
      <c r="Z670" s="83" t="n"/>
      <c r="AA670" s="83" t="n"/>
      <c r="AB670" s="83" t="n"/>
      <c r="AC670" s="83" t="n"/>
      <c r="AD670" s="83" t="n"/>
      <c r="AE670" s="83" t="n"/>
      <c r="AF670" s="83" t="n"/>
      <c r="AG670" s="83" t="n"/>
      <c r="AH670" s="83" t="n"/>
      <c r="AI670" s="83" t="n"/>
      <c r="AJ670" s="83" t="n"/>
      <c r="AK670" s="83" t="n"/>
      <c r="AL670" s="83" t="n"/>
      <c r="AM670" s="83" t="n"/>
      <c r="AN670" s="83" t="n"/>
      <c r="AO670" s="83" t="n"/>
      <c r="AP670" s="83" t="n"/>
      <c r="AQ670" s="83" t="n"/>
      <c r="AR670" s="83" t="n"/>
    </row>
    <row r="671">
      <c r="D671" s="84" t="n"/>
      <c r="E671" s="84" t="n"/>
      <c r="F671" s="84" t="n"/>
      <c r="G671" s="84" t="n"/>
      <c r="H671" s="84" t="n"/>
      <c r="I671" s="84" t="n"/>
      <c r="J671" s="84" t="n"/>
      <c r="K671" s="84" t="n"/>
      <c r="L671" s="84" t="n"/>
      <c r="M671" s="84" t="n"/>
      <c r="N671" s="84" t="n"/>
      <c r="O671" s="84" t="n"/>
      <c r="P671" s="84" t="n"/>
      <c r="Q671" s="84" t="n"/>
      <c r="R671" s="84" t="n"/>
      <c r="S671" s="84" t="n"/>
      <c r="T671" s="84" t="n"/>
      <c r="U671" s="84" t="n"/>
      <c r="V671" s="84" t="n"/>
      <c r="W671" s="84" t="n"/>
      <c r="X671" s="84" t="n"/>
      <c r="Y671" s="84" t="n"/>
      <c r="Z671" s="84" t="n"/>
      <c r="AA671" s="84" t="n"/>
      <c r="AB671" s="84" t="n"/>
      <c r="AC671" s="84" t="n"/>
      <c r="AD671" s="84" t="n"/>
      <c r="AE671" s="84" t="n"/>
      <c r="AF671" s="84" t="n"/>
      <c r="AG671" s="84" t="n"/>
      <c r="AH671" s="84" t="n"/>
      <c r="AI671" s="84" t="n"/>
      <c r="AJ671" s="84" t="n"/>
      <c r="AK671" s="84" t="n"/>
      <c r="AL671" s="84" t="n"/>
      <c r="AM671" s="84" t="n"/>
      <c r="AN671" s="84" t="n"/>
      <c r="AO671" s="84" t="n"/>
      <c r="AP671" s="84" t="n"/>
      <c r="AQ671" s="84" t="n"/>
      <c r="AR671" s="84" t="n"/>
    </row>
    <row r="672">
      <c r="D672" s="80" t="n"/>
      <c r="E672" s="80" t="n"/>
      <c r="F672" s="80" t="n"/>
      <c r="G672" s="80" t="n"/>
      <c r="H672" s="80" t="n"/>
      <c r="I672" s="80" t="n"/>
      <c r="J672" s="80" t="n"/>
      <c r="K672" s="80" t="n"/>
      <c r="L672" s="80" t="n"/>
      <c r="M672" s="80" t="n"/>
      <c r="N672" s="80" t="n"/>
      <c r="O672" s="80" t="n"/>
      <c r="P672" s="80" t="n"/>
      <c r="Q672" s="80" t="n"/>
      <c r="R672" s="80" t="n"/>
      <c r="S672" s="80" t="n"/>
      <c r="T672" s="80" t="n"/>
      <c r="U672" s="80" t="n"/>
      <c r="V672" s="80" t="n"/>
      <c r="W672" s="80" t="n"/>
      <c r="X672" s="80" t="n"/>
      <c r="Y672" s="80" t="n"/>
      <c r="Z672" s="80" t="n"/>
      <c r="AA672" s="80" t="n"/>
      <c r="AB672" s="80" t="n"/>
      <c r="AC672" s="80" t="n"/>
      <c r="AD672" s="80" t="n"/>
      <c r="AE672" s="80" t="n"/>
      <c r="AF672" s="80" t="n"/>
      <c r="AG672" s="80" t="n"/>
      <c r="AH672" s="80" t="n"/>
      <c r="AI672" s="80" t="n"/>
      <c r="AJ672" s="80" t="n"/>
      <c r="AK672" s="80" t="n"/>
      <c r="AL672" s="80" t="n"/>
      <c r="AM672" s="80" t="n"/>
      <c r="AN672" s="80" t="n"/>
      <c r="AO672" s="80" t="n"/>
      <c r="AP672" s="80" t="n"/>
      <c r="AQ672" s="80" t="n"/>
      <c r="AR672" s="80" t="n"/>
    </row>
    <row r="673">
      <c r="D673" s="80" t="n"/>
      <c r="E673" s="80" t="n"/>
      <c r="F673" s="80" t="n"/>
      <c r="G673" s="80" t="n"/>
      <c r="H673" s="80" t="n"/>
      <c r="I673" s="80" t="n"/>
      <c r="J673" s="80" t="n"/>
      <c r="K673" s="80" t="n"/>
      <c r="L673" s="80" t="n"/>
      <c r="M673" s="80" t="n"/>
      <c r="N673" s="80" t="n"/>
      <c r="O673" s="80" t="n"/>
      <c r="P673" s="80" t="n"/>
      <c r="Q673" s="80" t="n"/>
      <c r="R673" s="80" t="n"/>
      <c r="S673" s="80" t="n"/>
      <c r="T673" s="80" t="n"/>
      <c r="U673" s="80" t="n"/>
      <c r="V673" s="80" t="n"/>
      <c r="W673" s="80" t="n"/>
      <c r="X673" s="80" t="n"/>
      <c r="Y673" s="80" t="n"/>
      <c r="Z673" s="80" t="n"/>
      <c r="AA673" s="80" t="n"/>
      <c r="AB673" s="80" t="n"/>
      <c r="AC673" s="80" t="n"/>
      <c r="AD673" s="80" t="n"/>
      <c r="AE673" s="80" t="n"/>
      <c r="AF673" s="80" t="n"/>
      <c r="AG673" s="80" t="n"/>
      <c r="AH673" s="80" t="n"/>
      <c r="AI673" s="80" t="n"/>
      <c r="AJ673" s="80" t="n"/>
      <c r="AK673" s="80" t="n"/>
      <c r="AL673" s="80" t="n"/>
      <c r="AM673" s="80" t="n"/>
      <c r="AN673" s="80" t="n"/>
      <c r="AO673" s="80" t="n"/>
      <c r="AP673" s="80" t="n"/>
      <c r="AQ673" s="80" t="n"/>
      <c r="AR673" s="80" t="n"/>
    </row>
    <row r="674">
      <c r="D674" s="80" t="n"/>
      <c r="E674" s="80" t="n"/>
      <c r="F674" s="80" t="n"/>
      <c r="G674" s="80" t="n"/>
      <c r="H674" s="80" t="n"/>
      <c r="I674" s="80" t="n"/>
      <c r="J674" s="80" t="n"/>
      <c r="K674" s="80" t="n"/>
      <c r="L674" s="80" t="n"/>
      <c r="M674" s="80" t="n"/>
      <c r="N674" s="80" t="n"/>
      <c r="O674" s="80" t="n"/>
      <c r="P674" s="80" t="n"/>
      <c r="Q674" s="80" t="n"/>
      <c r="R674" s="80" t="n"/>
      <c r="S674" s="80" t="n"/>
      <c r="T674" s="80" t="n"/>
      <c r="U674" s="80" t="n"/>
      <c r="V674" s="80" t="n"/>
      <c r="W674" s="80" t="n"/>
      <c r="X674" s="80" t="n"/>
      <c r="Y674" s="80" t="n"/>
      <c r="Z674" s="80" t="n"/>
      <c r="AA674" s="80" t="n"/>
      <c r="AB674" s="80" t="n"/>
      <c r="AC674" s="80" t="n"/>
      <c r="AD674" s="80" t="n"/>
      <c r="AE674" s="80" t="n"/>
      <c r="AF674" s="80" t="n"/>
      <c r="AG674" s="80" t="n"/>
      <c r="AH674" s="80" t="n"/>
      <c r="AI674" s="80" t="n"/>
      <c r="AJ674" s="80" t="n"/>
      <c r="AK674" s="80" t="n"/>
      <c r="AL674" s="80" t="n"/>
      <c r="AM674" s="80" t="n"/>
      <c r="AN674" s="80" t="n"/>
      <c r="AO674" s="80" t="n"/>
      <c r="AP674" s="80" t="n"/>
      <c r="AQ674" s="80" t="n"/>
      <c r="AR674" s="80" t="n"/>
    </row>
    <row r="675">
      <c r="D675" s="80" t="n"/>
      <c r="E675" s="80" t="n"/>
      <c r="F675" s="80" t="n"/>
      <c r="G675" s="80" t="n"/>
      <c r="H675" s="80" t="n"/>
      <c r="I675" s="80" t="n"/>
      <c r="J675" s="80" t="n"/>
      <c r="K675" s="80" t="n"/>
      <c r="L675" s="80" t="n"/>
      <c r="M675" s="80" t="n"/>
      <c r="N675" s="80" t="n"/>
      <c r="O675" s="80" t="n"/>
      <c r="P675" s="80" t="n"/>
      <c r="Q675" s="80" t="n"/>
      <c r="R675" s="80" t="n"/>
      <c r="S675" s="80" t="n"/>
      <c r="T675" s="80" t="n"/>
      <c r="U675" s="80" t="n"/>
      <c r="V675" s="80" t="n"/>
      <c r="W675" s="80" t="n"/>
      <c r="X675" s="80" t="n"/>
      <c r="Y675" s="80" t="n"/>
      <c r="Z675" s="80" t="n"/>
      <c r="AA675" s="80" t="n"/>
      <c r="AB675" s="80" t="n"/>
      <c r="AC675" s="80" t="n"/>
      <c r="AD675" s="80" t="n"/>
      <c r="AE675" s="80" t="n"/>
      <c r="AF675" s="80" t="n"/>
      <c r="AG675" s="80" t="n"/>
      <c r="AH675" s="80" t="n"/>
      <c r="AI675" s="80" t="n"/>
      <c r="AJ675" s="80" t="n"/>
      <c r="AK675" s="80" t="n"/>
      <c r="AL675" s="80" t="n"/>
      <c r="AM675" s="80" t="n"/>
      <c r="AN675" s="80" t="n"/>
      <c r="AO675" s="80" t="n"/>
      <c r="AP675" s="80" t="n"/>
      <c r="AQ675" s="80" t="n"/>
      <c r="AR675" s="80" t="n"/>
    </row>
    <row r="676">
      <c r="A676" s="2">
        <f>IF($A669="","","   projections")</f>
        <v/>
      </c>
      <c r="B676" s="41">
        <f>IF($A669="",0,COUNT($E677:$AR677))</f>
        <v/>
      </c>
      <c r="C676" s="81">
        <f>IF($B676=0,0,MAX($E677:$AR677))</f>
        <v/>
      </c>
      <c r="D676" s="82">
        <f>BDS($A669,'Field Check'!$C$6,"headers=y","startcol=1","endcol=7","dir=h")</f>
        <v/>
      </c>
      <c r="E676" s="83" t="n"/>
      <c r="F676" s="83" t="n"/>
      <c r="G676" s="83" t="n"/>
      <c r="H676" s="83" t="n"/>
      <c r="I676" s="83" t="n"/>
      <c r="J676" s="83" t="n"/>
      <c r="K676" s="83" t="n"/>
      <c r="L676" s="83" t="n"/>
      <c r="M676" s="83" t="n"/>
      <c r="N676" s="83" t="n"/>
      <c r="O676" s="83" t="n"/>
      <c r="P676" s="83" t="n"/>
      <c r="Q676" s="83" t="n"/>
      <c r="R676" s="83" t="n"/>
      <c r="S676" s="83" t="n"/>
      <c r="T676" s="83" t="n"/>
      <c r="U676" s="83" t="n"/>
      <c r="V676" s="83" t="n"/>
      <c r="W676" s="83" t="n"/>
      <c r="X676" s="83" t="n"/>
      <c r="Y676" s="83" t="n"/>
      <c r="Z676" s="83" t="n"/>
      <c r="AA676" s="83" t="n"/>
      <c r="AB676" s="83" t="n"/>
      <c r="AC676" s="83" t="n"/>
      <c r="AD676" s="83" t="n"/>
      <c r="AE676" s="83" t="n"/>
      <c r="AF676" s="83" t="n"/>
      <c r="AG676" s="83" t="n"/>
      <c r="AH676" s="83" t="n"/>
      <c r="AI676" s="83" t="n"/>
      <c r="AJ676" s="83" t="n"/>
      <c r="AK676" s="83" t="n"/>
      <c r="AL676" s="83" t="n"/>
      <c r="AM676" s="83" t="n"/>
      <c r="AN676" s="83" t="n"/>
      <c r="AO676" s="83" t="n"/>
      <c r="AP676" s="83" t="n"/>
      <c r="AQ676" s="83" t="n"/>
      <c r="AR676" s="83" t="n"/>
    </row>
    <row r="677">
      <c r="D677" s="83" t="n"/>
      <c r="E677" s="83" t="n"/>
      <c r="F677" s="83" t="n"/>
      <c r="G677" s="83" t="n"/>
      <c r="H677" s="83" t="n"/>
      <c r="I677" s="83" t="n"/>
      <c r="J677" s="83" t="n"/>
      <c r="K677" s="83" t="n"/>
      <c r="L677" s="83" t="n"/>
      <c r="M677" s="83" t="n"/>
      <c r="N677" s="83" t="n"/>
      <c r="O677" s="83" t="n"/>
      <c r="P677" s="83" t="n"/>
      <c r="Q677" s="83" t="n"/>
      <c r="R677" s="83" t="n"/>
      <c r="S677" s="83" t="n"/>
      <c r="T677" s="83" t="n"/>
      <c r="U677" s="83" t="n"/>
      <c r="V677" s="83" t="n"/>
      <c r="W677" s="83" t="n"/>
      <c r="X677" s="83" t="n"/>
      <c r="Y677" s="83" t="n"/>
      <c r="Z677" s="83" t="n"/>
      <c r="AA677" s="83" t="n"/>
      <c r="AB677" s="83" t="n"/>
      <c r="AC677" s="83" t="n"/>
      <c r="AD677" s="83" t="n"/>
      <c r="AE677" s="83" t="n"/>
      <c r="AF677" s="83" t="n"/>
      <c r="AG677" s="83" t="n"/>
      <c r="AH677" s="83" t="n"/>
      <c r="AI677" s="83" t="n"/>
      <c r="AJ677" s="83" t="n"/>
      <c r="AK677" s="83" t="n"/>
      <c r="AL677" s="83" t="n"/>
      <c r="AM677" s="83" t="n"/>
      <c r="AN677" s="83" t="n"/>
      <c r="AO677" s="83" t="n"/>
      <c r="AP677" s="83" t="n"/>
      <c r="AQ677" s="83" t="n"/>
      <c r="AR677" s="83" t="n"/>
    </row>
    <row r="678">
      <c r="D678" s="84" t="n"/>
      <c r="E678" s="84" t="n"/>
      <c r="F678" s="84" t="n"/>
      <c r="G678" s="84" t="n"/>
      <c r="H678" s="84" t="n"/>
      <c r="I678" s="84" t="n"/>
      <c r="J678" s="84" t="n"/>
      <c r="K678" s="84" t="n"/>
      <c r="L678" s="84" t="n"/>
      <c r="M678" s="84" t="n"/>
      <c r="N678" s="84" t="n"/>
      <c r="O678" s="84" t="n"/>
      <c r="P678" s="84" t="n"/>
      <c r="Q678" s="84" t="n"/>
      <c r="R678" s="84" t="n"/>
      <c r="S678" s="84" t="n"/>
      <c r="T678" s="84" t="n"/>
      <c r="U678" s="84" t="n"/>
      <c r="V678" s="84" t="n"/>
      <c r="W678" s="84" t="n"/>
      <c r="X678" s="84" t="n"/>
      <c r="Y678" s="84" t="n"/>
      <c r="Z678" s="84" t="n"/>
      <c r="AA678" s="84" t="n"/>
      <c r="AB678" s="84" t="n"/>
      <c r="AC678" s="84" t="n"/>
      <c r="AD678" s="84" t="n"/>
      <c r="AE678" s="84" t="n"/>
      <c r="AF678" s="84" t="n"/>
      <c r="AG678" s="84" t="n"/>
      <c r="AH678" s="84" t="n"/>
      <c r="AI678" s="84" t="n"/>
      <c r="AJ678" s="84" t="n"/>
      <c r="AK678" s="84" t="n"/>
      <c r="AL678" s="84" t="n"/>
      <c r="AM678" s="84" t="n"/>
      <c r="AN678" s="84" t="n"/>
      <c r="AO678" s="84" t="n"/>
      <c r="AP678" s="84" t="n"/>
      <c r="AQ678" s="84" t="n"/>
      <c r="AR678" s="84" t="n"/>
    </row>
    <row r="679">
      <c r="D679" s="80" t="n"/>
      <c r="E679" s="80" t="n"/>
      <c r="F679" s="80" t="n"/>
      <c r="G679" s="80" t="n"/>
      <c r="H679" s="80" t="n"/>
      <c r="I679" s="80" t="n"/>
      <c r="J679" s="80" t="n"/>
      <c r="K679" s="80" t="n"/>
      <c r="L679" s="80" t="n"/>
      <c r="M679" s="80" t="n"/>
      <c r="N679" s="80" t="n"/>
      <c r="O679" s="80" t="n"/>
      <c r="P679" s="80" t="n"/>
      <c r="Q679" s="80" t="n"/>
      <c r="R679" s="80" t="n"/>
      <c r="S679" s="80" t="n"/>
      <c r="T679" s="80" t="n"/>
      <c r="U679" s="80" t="n"/>
      <c r="V679" s="80" t="n"/>
      <c r="W679" s="80" t="n"/>
      <c r="X679" s="80" t="n"/>
      <c r="Y679" s="80" t="n"/>
      <c r="Z679" s="80" t="n"/>
      <c r="AA679" s="80" t="n"/>
      <c r="AB679" s="80" t="n"/>
      <c r="AC679" s="80" t="n"/>
      <c r="AD679" s="80" t="n"/>
      <c r="AE679" s="80" t="n"/>
      <c r="AF679" s="80" t="n"/>
      <c r="AG679" s="80" t="n"/>
      <c r="AH679" s="80" t="n"/>
      <c r="AI679" s="80" t="n"/>
      <c r="AJ679" s="80" t="n"/>
      <c r="AK679" s="80" t="n"/>
      <c r="AL679" s="80" t="n"/>
      <c r="AM679" s="80" t="n"/>
      <c r="AN679" s="80" t="n"/>
      <c r="AO679" s="80" t="n"/>
      <c r="AP679" s="80" t="n"/>
      <c r="AQ679" s="80" t="n"/>
      <c r="AR679" s="80" t="n"/>
    </row>
    <row r="680">
      <c r="D680" s="80" t="n"/>
      <c r="E680" s="80" t="n"/>
      <c r="F680" s="80" t="n"/>
      <c r="G680" s="80" t="n"/>
      <c r="H680" s="80" t="n"/>
      <c r="I680" s="80" t="n"/>
      <c r="J680" s="80" t="n"/>
      <c r="K680" s="80" t="n"/>
      <c r="L680" s="80" t="n"/>
      <c r="M680" s="80" t="n"/>
      <c r="N680" s="80" t="n"/>
      <c r="O680" s="80" t="n"/>
      <c r="P680" s="80" t="n"/>
      <c r="Q680" s="80" t="n"/>
      <c r="R680" s="80" t="n"/>
      <c r="S680" s="80" t="n"/>
      <c r="T680" s="80" t="n"/>
      <c r="U680" s="80" t="n"/>
      <c r="V680" s="80" t="n"/>
      <c r="W680" s="80" t="n"/>
      <c r="X680" s="80" t="n"/>
      <c r="Y680" s="80" t="n"/>
      <c r="Z680" s="80" t="n"/>
      <c r="AA680" s="80" t="n"/>
      <c r="AB680" s="80" t="n"/>
      <c r="AC680" s="80" t="n"/>
      <c r="AD680" s="80" t="n"/>
      <c r="AE680" s="80" t="n"/>
      <c r="AF680" s="80" t="n"/>
      <c r="AG680" s="80" t="n"/>
      <c r="AH680" s="80" t="n"/>
      <c r="AI680" s="80" t="n"/>
      <c r="AJ680" s="80" t="n"/>
      <c r="AK680" s="80" t="n"/>
      <c r="AL680" s="80" t="n"/>
      <c r="AM680" s="80" t="n"/>
      <c r="AN680" s="80" t="n"/>
      <c r="AO680" s="80" t="n"/>
      <c r="AP680" s="80" t="n"/>
      <c r="AQ680" s="80" t="n"/>
      <c r="AR680" s="80" t="n"/>
    </row>
    <row r="681">
      <c r="D681" s="80" t="n"/>
      <c r="E681" s="80" t="n"/>
      <c r="F681" s="80" t="n"/>
      <c r="G681" s="80" t="n"/>
      <c r="H681" s="80" t="n"/>
      <c r="I681" s="80" t="n"/>
      <c r="J681" s="80" t="n"/>
      <c r="K681" s="80" t="n"/>
      <c r="L681" s="80" t="n"/>
      <c r="M681" s="80" t="n"/>
      <c r="N681" s="80" t="n"/>
      <c r="O681" s="80" t="n"/>
      <c r="P681" s="80" t="n"/>
      <c r="Q681" s="80" t="n"/>
      <c r="R681" s="80" t="n"/>
      <c r="S681" s="80" t="n"/>
      <c r="T681" s="80" t="n"/>
      <c r="U681" s="80" t="n"/>
      <c r="V681" s="80" t="n"/>
      <c r="W681" s="80" t="n"/>
      <c r="X681" s="80" t="n"/>
      <c r="Y681" s="80" t="n"/>
      <c r="Z681" s="80" t="n"/>
      <c r="AA681" s="80" t="n"/>
      <c r="AB681" s="80" t="n"/>
      <c r="AC681" s="80" t="n"/>
      <c r="AD681" s="80" t="n"/>
      <c r="AE681" s="80" t="n"/>
      <c r="AF681" s="80" t="n"/>
      <c r="AG681" s="80" t="n"/>
      <c r="AH681" s="80" t="n"/>
      <c r="AI681" s="80" t="n"/>
      <c r="AJ681" s="80" t="n"/>
      <c r="AK681" s="80" t="n"/>
      <c r="AL681" s="80" t="n"/>
      <c r="AM681" s="80" t="n"/>
      <c r="AN681" s="80" t="n"/>
      <c r="AO681" s="80" t="n"/>
      <c r="AP681" s="80" t="n"/>
      <c r="AQ681" s="80" t="n"/>
      <c r="AR681" s="80" t="n"/>
    </row>
    <row r="682">
      <c r="D682" s="80" t="n"/>
      <c r="E682" s="80" t="n"/>
      <c r="F682" s="80" t="n"/>
      <c r="G682" s="80" t="n"/>
      <c r="H682" s="80" t="n"/>
      <c r="I682" s="80" t="n"/>
      <c r="J682" s="80" t="n"/>
      <c r="K682" s="80" t="n"/>
      <c r="L682" s="80" t="n"/>
      <c r="M682" s="80" t="n"/>
      <c r="N682" s="80" t="n"/>
      <c r="O682" s="80" t="n"/>
      <c r="P682" s="80" t="n"/>
      <c r="Q682" s="80" t="n"/>
      <c r="R682" s="80" t="n"/>
      <c r="S682" s="80" t="n"/>
      <c r="T682" s="80" t="n"/>
      <c r="U682" s="80" t="n"/>
      <c r="V682" s="80" t="n"/>
      <c r="W682" s="80" t="n"/>
      <c r="X682" s="80" t="n"/>
      <c r="Y682" s="80" t="n"/>
      <c r="Z682" s="80" t="n"/>
      <c r="AA682" s="80" t="n"/>
      <c r="AB682" s="80" t="n"/>
      <c r="AC682" s="80" t="n"/>
      <c r="AD682" s="80" t="n"/>
      <c r="AE682" s="80" t="n"/>
      <c r="AF682" s="80" t="n"/>
      <c r="AG682" s="80" t="n"/>
      <c r="AH682" s="80" t="n"/>
      <c r="AI682" s="80" t="n"/>
      <c r="AJ682" s="80" t="n"/>
      <c r="AK682" s="80" t="n"/>
      <c r="AL682" s="80" t="n"/>
      <c r="AM682" s="80" t="n"/>
      <c r="AN682" s="80" t="n"/>
      <c r="AO682" s="80" t="n"/>
      <c r="AP682" s="80" t="n"/>
      <c r="AQ682" s="80" t="n"/>
      <c r="AR682" s="80" t="n"/>
    </row>
    <row r="684">
      <c r="A684" s="6">
        <f>IF(HSI!$C$52="","",HSI!$C$52)</f>
        <v/>
      </c>
      <c r="B684" s="41">
        <f>IF($A684="",0,COUNT($E685:$AR685))</f>
        <v/>
      </c>
      <c r="C684" s="81">
        <f>IF($B684=0,0,MAX($E685:$AR685))</f>
        <v/>
      </c>
      <c r="D684" s="82">
        <f>BDS($A684,'Field Check'!$C$7,"headers=y","startcol=1","endcol=7","dir=h","DVD_START_DT",Summary!$C$18,"DVD_END_DT",Summary!$D$18)</f>
        <v/>
      </c>
      <c r="E684" s="83" t="n"/>
      <c r="F684" s="83" t="n"/>
      <c r="G684" s="83" t="n"/>
      <c r="H684" s="83" t="n"/>
      <c r="I684" s="83" t="n"/>
      <c r="J684" s="83" t="n"/>
      <c r="K684" s="83" t="n"/>
      <c r="L684" s="83" t="n"/>
      <c r="M684" s="83" t="n"/>
      <c r="N684" s="83" t="n"/>
      <c r="O684" s="83" t="n"/>
      <c r="P684" s="83" t="n"/>
      <c r="Q684" s="83" t="n"/>
      <c r="R684" s="83" t="n"/>
      <c r="S684" s="83" t="n"/>
      <c r="T684" s="83" t="n"/>
      <c r="U684" s="83" t="n"/>
      <c r="V684" s="83" t="n"/>
      <c r="W684" s="83" t="n"/>
      <c r="X684" s="83" t="n"/>
      <c r="Y684" s="83" t="n"/>
      <c r="Z684" s="83" t="n"/>
      <c r="AA684" s="83" t="n"/>
      <c r="AB684" s="83" t="n"/>
      <c r="AC684" s="83" t="n"/>
      <c r="AD684" s="83" t="n"/>
      <c r="AE684" s="83" t="n"/>
      <c r="AF684" s="83" t="n"/>
      <c r="AG684" s="83" t="n"/>
      <c r="AH684" s="83" t="n"/>
      <c r="AI684" s="83" t="n"/>
      <c r="AJ684" s="83" t="n"/>
      <c r="AK684" s="83" t="n"/>
      <c r="AL684" s="83" t="n"/>
      <c r="AM684" s="83" t="n"/>
      <c r="AN684" s="83" t="n"/>
      <c r="AO684" s="83" t="n"/>
      <c r="AP684" s="83" t="n"/>
      <c r="AQ684" s="83" t="n"/>
      <c r="AR684" s="83" t="n"/>
    </row>
    <row r="685">
      <c r="D685" s="83" t="n"/>
      <c r="E685" s="83" t="n"/>
      <c r="F685" s="83" t="n"/>
      <c r="G685" s="83" t="n"/>
      <c r="H685" s="83" t="n"/>
      <c r="I685" s="83" t="n"/>
      <c r="J685" s="83" t="n"/>
      <c r="K685" s="83" t="n"/>
      <c r="L685" s="83" t="n"/>
      <c r="M685" s="83" t="n"/>
      <c r="N685" s="83" t="n"/>
      <c r="O685" s="83" t="n"/>
      <c r="P685" s="83" t="n"/>
      <c r="Q685" s="83" t="n"/>
      <c r="R685" s="83" t="n"/>
      <c r="S685" s="83" t="n"/>
      <c r="T685" s="83" t="n"/>
      <c r="U685" s="83" t="n"/>
      <c r="V685" s="83" t="n"/>
      <c r="W685" s="83" t="n"/>
      <c r="X685" s="83" t="n"/>
      <c r="Y685" s="83" t="n"/>
      <c r="Z685" s="83" t="n"/>
      <c r="AA685" s="83" t="n"/>
      <c r="AB685" s="83" t="n"/>
      <c r="AC685" s="83" t="n"/>
      <c r="AD685" s="83" t="n"/>
      <c r="AE685" s="83" t="n"/>
      <c r="AF685" s="83" t="n"/>
      <c r="AG685" s="83" t="n"/>
      <c r="AH685" s="83" t="n"/>
      <c r="AI685" s="83" t="n"/>
      <c r="AJ685" s="83" t="n"/>
      <c r="AK685" s="83" t="n"/>
      <c r="AL685" s="83" t="n"/>
      <c r="AM685" s="83" t="n"/>
      <c r="AN685" s="83" t="n"/>
      <c r="AO685" s="83" t="n"/>
      <c r="AP685" s="83" t="n"/>
      <c r="AQ685" s="83" t="n"/>
      <c r="AR685" s="83" t="n"/>
    </row>
    <row r="686">
      <c r="D686" s="84" t="n"/>
      <c r="E686" s="84" t="n"/>
      <c r="F686" s="84" t="n"/>
      <c r="G686" s="84" t="n"/>
      <c r="H686" s="84" t="n"/>
      <c r="I686" s="84" t="n"/>
      <c r="J686" s="84" t="n"/>
      <c r="K686" s="84" t="n"/>
      <c r="L686" s="84" t="n"/>
      <c r="M686" s="84" t="n"/>
      <c r="N686" s="84" t="n"/>
      <c r="O686" s="84" t="n"/>
      <c r="P686" s="84" t="n"/>
      <c r="Q686" s="84" t="n"/>
      <c r="R686" s="84" t="n"/>
      <c r="S686" s="84" t="n"/>
      <c r="T686" s="84" t="n"/>
      <c r="U686" s="84" t="n"/>
      <c r="V686" s="84" t="n"/>
      <c r="W686" s="84" t="n"/>
      <c r="X686" s="84" t="n"/>
      <c r="Y686" s="84" t="n"/>
      <c r="Z686" s="84" t="n"/>
      <c r="AA686" s="84" t="n"/>
      <c r="AB686" s="84" t="n"/>
      <c r="AC686" s="84" t="n"/>
      <c r="AD686" s="84" t="n"/>
      <c r="AE686" s="84" t="n"/>
      <c r="AF686" s="84" t="n"/>
      <c r="AG686" s="84" t="n"/>
      <c r="AH686" s="84" t="n"/>
      <c r="AI686" s="84" t="n"/>
      <c r="AJ686" s="84" t="n"/>
      <c r="AK686" s="84" t="n"/>
      <c r="AL686" s="84" t="n"/>
      <c r="AM686" s="84" t="n"/>
      <c r="AN686" s="84" t="n"/>
      <c r="AO686" s="84" t="n"/>
      <c r="AP686" s="84" t="n"/>
      <c r="AQ686" s="84" t="n"/>
      <c r="AR686" s="84" t="n"/>
    </row>
    <row r="687">
      <c r="D687" s="80" t="n"/>
      <c r="E687" s="80" t="n"/>
      <c r="F687" s="80" t="n"/>
      <c r="G687" s="80" t="n"/>
      <c r="H687" s="80" t="n"/>
      <c r="I687" s="80" t="n"/>
      <c r="J687" s="80" t="n"/>
      <c r="K687" s="80" t="n"/>
      <c r="L687" s="80" t="n"/>
      <c r="M687" s="80" t="n"/>
      <c r="N687" s="80" t="n"/>
      <c r="O687" s="80" t="n"/>
      <c r="P687" s="80" t="n"/>
      <c r="Q687" s="80" t="n"/>
      <c r="R687" s="80" t="n"/>
      <c r="S687" s="80" t="n"/>
      <c r="T687" s="80" t="n"/>
      <c r="U687" s="80" t="n"/>
      <c r="V687" s="80" t="n"/>
      <c r="W687" s="80" t="n"/>
      <c r="X687" s="80" t="n"/>
      <c r="Y687" s="80" t="n"/>
      <c r="Z687" s="80" t="n"/>
      <c r="AA687" s="80" t="n"/>
      <c r="AB687" s="80" t="n"/>
      <c r="AC687" s="80" t="n"/>
      <c r="AD687" s="80" t="n"/>
      <c r="AE687" s="80" t="n"/>
      <c r="AF687" s="80" t="n"/>
      <c r="AG687" s="80" t="n"/>
      <c r="AH687" s="80" t="n"/>
      <c r="AI687" s="80" t="n"/>
      <c r="AJ687" s="80" t="n"/>
      <c r="AK687" s="80" t="n"/>
      <c r="AL687" s="80" t="n"/>
      <c r="AM687" s="80" t="n"/>
      <c r="AN687" s="80" t="n"/>
      <c r="AO687" s="80" t="n"/>
      <c r="AP687" s="80" t="n"/>
      <c r="AQ687" s="80" t="n"/>
      <c r="AR687" s="80" t="n"/>
    </row>
    <row r="688">
      <c r="D688" s="80" t="n"/>
      <c r="E688" s="80" t="n"/>
      <c r="F688" s="80" t="n"/>
      <c r="G688" s="80" t="n"/>
      <c r="H688" s="80" t="n"/>
      <c r="I688" s="80" t="n"/>
      <c r="J688" s="80" t="n"/>
      <c r="K688" s="80" t="n"/>
      <c r="L688" s="80" t="n"/>
      <c r="M688" s="80" t="n"/>
      <c r="N688" s="80" t="n"/>
      <c r="O688" s="80" t="n"/>
      <c r="P688" s="80" t="n"/>
      <c r="Q688" s="80" t="n"/>
      <c r="R688" s="80" t="n"/>
      <c r="S688" s="80" t="n"/>
      <c r="T688" s="80" t="n"/>
      <c r="U688" s="80" t="n"/>
      <c r="V688" s="80" t="n"/>
      <c r="W688" s="80" t="n"/>
      <c r="X688" s="80" t="n"/>
      <c r="Y688" s="80" t="n"/>
      <c r="Z688" s="80" t="n"/>
      <c r="AA688" s="80" t="n"/>
      <c r="AB688" s="80" t="n"/>
      <c r="AC688" s="80" t="n"/>
      <c r="AD688" s="80" t="n"/>
      <c r="AE688" s="80" t="n"/>
      <c r="AF688" s="80" t="n"/>
      <c r="AG688" s="80" t="n"/>
      <c r="AH688" s="80" t="n"/>
      <c r="AI688" s="80" t="n"/>
      <c r="AJ688" s="80" t="n"/>
      <c r="AK688" s="80" t="n"/>
      <c r="AL688" s="80" t="n"/>
      <c r="AM688" s="80" t="n"/>
      <c r="AN688" s="80" t="n"/>
      <c r="AO688" s="80" t="n"/>
      <c r="AP688" s="80" t="n"/>
      <c r="AQ688" s="80" t="n"/>
      <c r="AR688" s="80" t="n"/>
    </row>
    <row r="689">
      <c r="D689" s="80" t="n"/>
      <c r="E689" s="80" t="n"/>
      <c r="F689" s="80" t="n"/>
      <c r="G689" s="80" t="n"/>
      <c r="H689" s="80" t="n"/>
      <c r="I689" s="80" t="n"/>
      <c r="J689" s="80" t="n"/>
      <c r="K689" s="80" t="n"/>
      <c r="L689" s="80" t="n"/>
      <c r="M689" s="80" t="n"/>
      <c r="N689" s="80" t="n"/>
      <c r="O689" s="80" t="n"/>
      <c r="P689" s="80" t="n"/>
      <c r="Q689" s="80" t="n"/>
      <c r="R689" s="80" t="n"/>
      <c r="S689" s="80" t="n"/>
      <c r="T689" s="80" t="n"/>
      <c r="U689" s="80" t="n"/>
      <c r="V689" s="80" t="n"/>
      <c r="W689" s="80" t="n"/>
      <c r="X689" s="80" t="n"/>
      <c r="Y689" s="80" t="n"/>
      <c r="Z689" s="80" t="n"/>
      <c r="AA689" s="80" t="n"/>
      <c r="AB689" s="80" t="n"/>
      <c r="AC689" s="80" t="n"/>
      <c r="AD689" s="80" t="n"/>
      <c r="AE689" s="80" t="n"/>
      <c r="AF689" s="80" t="n"/>
      <c r="AG689" s="80" t="n"/>
      <c r="AH689" s="80" t="n"/>
      <c r="AI689" s="80" t="n"/>
      <c r="AJ689" s="80" t="n"/>
      <c r="AK689" s="80" t="n"/>
      <c r="AL689" s="80" t="n"/>
      <c r="AM689" s="80" t="n"/>
      <c r="AN689" s="80" t="n"/>
      <c r="AO689" s="80" t="n"/>
      <c r="AP689" s="80" t="n"/>
      <c r="AQ689" s="80" t="n"/>
      <c r="AR689" s="80" t="n"/>
    </row>
    <row r="690">
      <c r="D690" s="80" t="n"/>
      <c r="E690" s="80" t="n"/>
      <c r="F690" s="80" t="n"/>
      <c r="G690" s="80" t="n"/>
      <c r="H690" s="80" t="n"/>
      <c r="I690" s="80" t="n"/>
      <c r="J690" s="80" t="n"/>
      <c r="K690" s="80" t="n"/>
      <c r="L690" s="80" t="n"/>
      <c r="M690" s="80" t="n"/>
      <c r="N690" s="80" t="n"/>
      <c r="O690" s="80" t="n"/>
      <c r="P690" s="80" t="n"/>
      <c r="Q690" s="80" t="n"/>
      <c r="R690" s="80" t="n"/>
      <c r="S690" s="80" t="n"/>
      <c r="T690" s="80" t="n"/>
      <c r="U690" s="80" t="n"/>
      <c r="V690" s="80" t="n"/>
      <c r="W690" s="80" t="n"/>
      <c r="X690" s="80" t="n"/>
      <c r="Y690" s="80" t="n"/>
      <c r="Z690" s="80" t="n"/>
      <c r="AA690" s="80" t="n"/>
      <c r="AB690" s="80" t="n"/>
      <c r="AC690" s="80" t="n"/>
      <c r="AD690" s="80" t="n"/>
      <c r="AE690" s="80" t="n"/>
      <c r="AF690" s="80" t="n"/>
      <c r="AG690" s="80" t="n"/>
      <c r="AH690" s="80" t="n"/>
      <c r="AI690" s="80" t="n"/>
      <c r="AJ690" s="80" t="n"/>
      <c r="AK690" s="80" t="n"/>
      <c r="AL690" s="80" t="n"/>
      <c r="AM690" s="80" t="n"/>
      <c r="AN690" s="80" t="n"/>
      <c r="AO690" s="80" t="n"/>
      <c r="AP690" s="80" t="n"/>
      <c r="AQ690" s="80" t="n"/>
      <c r="AR690" s="80" t="n"/>
    </row>
    <row r="691">
      <c r="A691" s="2">
        <f>IF($A684="","","   projections")</f>
        <v/>
      </c>
      <c r="B691" s="41">
        <f>IF($A684="",0,COUNT($E692:$AR692))</f>
        <v/>
      </c>
      <c r="C691" s="81">
        <f>IF($B691=0,0,MAX($E692:$AR692))</f>
        <v/>
      </c>
      <c r="D691" s="82">
        <f>BDS($A684,'Field Check'!$C$6,"headers=y","startcol=1","endcol=7","dir=h")</f>
        <v/>
      </c>
      <c r="E691" s="83" t="n"/>
      <c r="F691" s="83" t="n"/>
      <c r="G691" s="83" t="n"/>
      <c r="H691" s="83" t="n"/>
      <c r="I691" s="83" t="n"/>
      <c r="J691" s="83" t="n"/>
      <c r="K691" s="83" t="n"/>
      <c r="L691" s="83" t="n"/>
      <c r="M691" s="83" t="n"/>
      <c r="N691" s="83" t="n"/>
      <c r="O691" s="83" t="n"/>
      <c r="P691" s="83" t="n"/>
      <c r="Q691" s="83" t="n"/>
      <c r="R691" s="83" t="n"/>
      <c r="S691" s="83" t="n"/>
      <c r="T691" s="83" t="n"/>
      <c r="U691" s="83" t="n"/>
      <c r="V691" s="83" t="n"/>
      <c r="W691" s="83" t="n"/>
      <c r="X691" s="83" t="n"/>
      <c r="Y691" s="83" t="n"/>
      <c r="Z691" s="83" t="n"/>
      <c r="AA691" s="83" t="n"/>
      <c r="AB691" s="83" t="n"/>
      <c r="AC691" s="83" t="n"/>
      <c r="AD691" s="83" t="n"/>
      <c r="AE691" s="83" t="n"/>
      <c r="AF691" s="83" t="n"/>
      <c r="AG691" s="83" t="n"/>
      <c r="AH691" s="83" t="n"/>
      <c r="AI691" s="83" t="n"/>
      <c r="AJ691" s="83" t="n"/>
      <c r="AK691" s="83" t="n"/>
      <c r="AL691" s="83" t="n"/>
      <c r="AM691" s="83" t="n"/>
      <c r="AN691" s="83" t="n"/>
      <c r="AO691" s="83" t="n"/>
      <c r="AP691" s="83" t="n"/>
      <c r="AQ691" s="83" t="n"/>
      <c r="AR691" s="83" t="n"/>
    </row>
    <row r="692">
      <c r="D692" s="83" t="n"/>
      <c r="E692" s="83" t="n"/>
      <c r="F692" s="83" t="n"/>
      <c r="G692" s="83" t="n"/>
      <c r="H692" s="83" t="n"/>
      <c r="I692" s="83" t="n"/>
      <c r="J692" s="83" t="n"/>
      <c r="K692" s="83" t="n"/>
      <c r="L692" s="83" t="n"/>
      <c r="M692" s="83" t="n"/>
      <c r="N692" s="83" t="n"/>
      <c r="O692" s="83" t="n"/>
      <c r="P692" s="83" t="n"/>
      <c r="Q692" s="83" t="n"/>
      <c r="R692" s="83" t="n"/>
      <c r="S692" s="83" t="n"/>
      <c r="T692" s="83" t="n"/>
      <c r="U692" s="83" t="n"/>
      <c r="V692" s="83" t="n"/>
      <c r="W692" s="83" t="n"/>
      <c r="X692" s="83" t="n"/>
      <c r="Y692" s="83" t="n"/>
      <c r="Z692" s="83" t="n"/>
      <c r="AA692" s="83" t="n"/>
      <c r="AB692" s="83" t="n"/>
      <c r="AC692" s="83" t="n"/>
      <c r="AD692" s="83" t="n"/>
      <c r="AE692" s="83" t="n"/>
      <c r="AF692" s="83" t="n"/>
      <c r="AG692" s="83" t="n"/>
      <c r="AH692" s="83" t="n"/>
      <c r="AI692" s="83" t="n"/>
      <c r="AJ692" s="83" t="n"/>
      <c r="AK692" s="83" t="n"/>
      <c r="AL692" s="83" t="n"/>
      <c r="AM692" s="83" t="n"/>
      <c r="AN692" s="83" t="n"/>
      <c r="AO692" s="83" t="n"/>
      <c r="AP692" s="83" t="n"/>
      <c r="AQ692" s="83" t="n"/>
      <c r="AR692" s="83" t="n"/>
    </row>
    <row r="693">
      <c r="D693" s="84" t="n"/>
      <c r="E693" s="84" t="n"/>
      <c r="F693" s="84" t="n"/>
      <c r="G693" s="84" t="n"/>
      <c r="H693" s="84" t="n"/>
      <c r="I693" s="84" t="n"/>
      <c r="J693" s="84" t="n"/>
      <c r="K693" s="84" t="n"/>
      <c r="L693" s="84" t="n"/>
      <c r="M693" s="84" t="n"/>
      <c r="N693" s="84" t="n"/>
      <c r="O693" s="84" t="n"/>
      <c r="P693" s="84" t="n"/>
      <c r="Q693" s="84" t="n"/>
      <c r="R693" s="84" t="n"/>
      <c r="S693" s="84" t="n"/>
      <c r="T693" s="84" t="n"/>
      <c r="U693" s="84" t="n"/>
      <c r="V693" s="84" t="n"/>
      <c r="W693" s="84" t="n"/>
      <c r="X693" s="84" t="n"/>
      <c r="Y693" s="84" t="n"/>
      <c r="Z693" s="84" t="n"/>
      <c r="AA693" s="84" t="n"/>
      <c r="AB693" s="84" t="n"/>
      <c r="AC693" s="84" t="n"/>
      <c r="AD693" s="84" t="n"/>
      <c r="AE693" s="84" t="n"/>
      <c r="AF693" s="84" t="n"/>
      <c r="AG693" s="84" t="n"/>
      <c r="AH693" s="84" t="n"/>
      <c r="AI693" s="84" t="n"/>
      <c r="AJ693" s="84" t="n"/>
      <c r="AK693" s="84" t="n"/>
      <c r="AL693" s="84" t="n"/>
      <c r="AM693" s="84" t="n"/>
      <c r="AN693" s="84" t="n"/>
      <c r="AO693" s="84" t="n"/>
      <c r="AP693" s="84" t="n"/>
      <c r="AQ693" s="84" t="n"/>
      <c r="AR693" s="84" t="n"/>
    </row>
    <row r="694">
      <c r="D694" s="80" t="n"/>
      <c r="E694" s="80" t="n"/>
      <c r="F694" s="80" t="n"/>
      <c r="G694" s="80" t="n"/>
      <c r="H694" s="80" t="n"/>
      <c r="I694" s="80" t="n"/>
      <c r="J694" s="80" t="n"/>
      <c r="K694" s="80" t="n"/>
      <c r="L694" s="80" t="n"/>
      <c r="M694" s="80" t="n"/>
      <c r="N694" s="80" t="n"/>
      <c r="O694" s="80" t="n"/>
      <c r="P694" s="80" t="n"/>
      <c r="Q694" s="80" t="n"/>
      <c r="R694" s="80" t="n"/>
      <c r="S694" s="80" t="n"/>
      <c r="T694" s="80" t="n"/>
      <c r="U694" s="80" t="n"/>
      <c r="V694" s="80" t="n"/>
      <c r="W694" s="80" t="n"/>
      <c r="X694" s="80" t="n"/>
      <c r="Y694" s="80" t="n"/>
      <c r="Z694" s="80" t="n"/>
      <c r="AA694" s="80" t="n"/>
      <c r="AB694" s="80" t="n"/>
      <c r="AC694" s="80" t="n"/>
      <c r="AD694" s="80" t="n"/>
      <c r="AE694" s="80" t="n"/>
      <c r="AF694" s="80" t="n"/>
      <c r="AG694" s="80" t="n"/>
      <c r="AH694" s="80" t="n"/>
      <c r="AI694" s="80" t="n"/>
      <c r="AJ694" s="80" t="n"/>
      <c r="AK694" s="80" t="n"/>
      <c r="AL694" s="80" t="n"/>
      <c r="AM694" s="80" t="n"/>
      <c r="AN694" s="80" t="n"/>
      <c r="AO694" s="80" t="n"/>
      <c r="AP694" s="80" t="n"/>
      <c r="AQ694" s="80" t="n"/>
      <c r="AR694" s="80" t="n"/>
    </row>
    <row r="695">
      <c r="D695" s="80" t="n"/>
      <c r="E695" s="80" t="n"/>
      <c r="F695" s="80" t="n"/>
      <c r="G695" s="80" t="n"/>
      <c r="H695" s="80" t="n"/>
      <c r="I695" s="80" t="n"/>
      <c r="J695" s="80" t="n"/>
      <c r="K695" s="80" t="n"/>
      <c r="L695" s="80" t="n"/>
      <c r="M695" s="80" t="n"/>
      <c r="N695" s="80" t="n"/>
      <c r="O695" s="80" t="n"/>
      <c r="P695" s="80" t="n"/>
      <c r="Q695" s="80" t="n"/>
      <c r="R695" s="80" t="n"/>
      <c r="S695" s="80" t="n"/>
      <c r="T695" s="80" t="n"/>
      <c r="U695" s="80" t="n"/>
      <c r="V695" s="80" t="n"/>
      <c r="W695" s="80" t="n"/>
      <c r="X695" s="80" t="n"/>
      <c r="Y695" s="80" t="n"/>
      <c r="Z695" s="80" t="n"/>
      <c r="AA695" s="80" t="n"/>
      <c r="AB695" s="80" t="n"/>
      <c r="AC695" s="80" t="n"/>
      <c r="AD695" s="80" t="n"/>
      <c r="AE695" s="80" t="n"/>
      <c r="AF695" s="80" t="n"/>
      <c r="AG695" s="80" t="n"/>
      <c r="AH695" s="80" t="n"/>
      <c r="AI695" s="80" t="n"/>
      <c r="AJ695" s="80" t="n"/>
      <c r="AK695" s="80" t="n"/>
      <c r="AL695" s="80" t="n"/>
      <c r="AM695" s="80" t="n"/>
      <c r="AN695" s="80" t="n"/>
      <c r="AO695" s="80" t="n"/>
      <c r="AP695" s="80" t="n"/>
      <c r="AQ695" s="80" t="n"/>
      <c r="AR695" s="80" t="n"/>
    </row>
    <row r="696">
      <c r="D696" s="80" t="n"/>
      <c r="E696" s="80" t="n"/>
      <c r="F696" s="80" t="n"/>
      <c r="G696" s="80" t="n"/>
      <c r="H696" s="80" t="n"/>
      <c r="I696" s="80" t="n"/>
      <c r="J696" s="80" t="n"/>
      <c r="K696" s="80" t="n"/>
      <c r="L696" s="80" t="n"/>
      <c r="M696" s="80" t="n"/>
      <c r="N696" s="80" t="n"/>
      <c r="O696" s="80" t="n"/>
      <c r="P696" s="80" t="n"/>
      <c r="Q696" s="80" t="n"/>
      <c r="R696" s="80" t="n"/>
      <c r="S696" s="80" t="n"/>
      <c r="T696" s="80" t="n"/>
      <c r="U696" s="80" t="n"/>
      <c r="V696" s="80" t="n"/>
      <c r="W696" s="80" t="n"/>
      <c r="X696" s="80" t="n"/>
      <c r="Y696" s="80" t="n"/>
      <c r="Z696" s="80" t="n"/>
      <c r="AA696" s="80" t="n"/>
      <c r="AB696" s="80" t="n"/>
      <c r="AC696" s="80" t="n"/>
      <c r="AD696" s="80" t="n"/>
      <c r="AE696" s="80" t="n"/>
      <c r="AF696" s="80" t="n"/>
      <c r="AG696" s="80" t="n"/>
      <c r="AH696" s="80" t="n"/>
      <c r="AI696" s="80" t="n"/>
      <c r="AJ696" s="80" t="n"/>
      <c r="AK696" s="80" t="n"/>
      <c r="AL696" s="80" t="n"/>
      <c r="AM696" s="80" t="n"/>
      <c r="AN696" s="80" t="n"/>
      <c r="AO696" s="80" t="n"/>
      <c r="AP696" s="80" t="n"/>
      <c r="AQ696" s="80" t="n"/>
      <c r="AR696" s="80" t="n"/>
    </row>
    <row r="697">
      <c r="D697" s="80" t="n"/>
      <c r="E697" s="80" t="n"/>
      <c r="F697" s="80" t="n"/>
      <c r="G697" s="80" t="n"/>
      <c r="H697" s="80" t="n"/>
      <c r="I697" s="80" t="n"/>
      <c r="J697" s="80" t="n"/>
      <c r="K697" s="80" t="n"/>
      <c r="L697" s="80" t="n"/>
      <c r="M697" s="80" t="n"/>
      <c r="N697" s="80" t="n"/>
      <c r="O697" s="80" t="n"/>
      <c r="P697" s="80" t="n"/>
      <c r="Q697" s="80" t="n"/>
      <c r="R697" s="80" t="n"/>
      <c r="S697" s="80" t="n"/>
      <c r="T697" s="80" t="n"/>
      <c r="U697" s="80" t="n"/>
      <c r="V697" s="80" t="n"/>
      <c r="W697" s="80" t="n"/>
      <c r="X697" s="80" t="n"/>
      <c r="Y697" s="80" t="n"/>
      <c r="Z697" s="80" t="n"/>
      <c r="AA697" s="80" t="n"/>
      <c r="AB697" s="80" t="n"/>
      <c r="AC697" s="80" t="n"/>
      <c r="AD697" s="80" t="n"/>
      <c r="AE697" s="80" t="n"/>
      <c r="AF697" s="80" t="n"/>
      <c r="AG697" s="80" t="n"/>
      <c r="AH697" s="80" t="n"/>
      <c r="AI697" s="80" t="n"/>
      <c r="AJ697" s="80" t="n"/>
      <c r="AK697" s="80" t="n"/>
      <c r="AL697" s="80" t="n"/>
      <c r="AM697" s="80" t="n"/>
      <c r="AN697" s="80" t="n"/>
      <c r="AO697" s="80" t="n"/>
      <c r="AP697" s="80" t="n"/>
      <c r="AQ697" s="80" t="n"/>
      <c r="AR697" s="80" t="n"/>
    </row>
    <row r="699">
      <c r="A699" s="6">
        <f>IF(HSI!$C$53="","",HSI!$C$53)</f>
        <v/>
      </c>
      <c r="B699" s="41">
        <f>IF($A699="",0,COUNT($E700:$AR700))</f>
        <v/>
      </c>
      <c r="C699" s="81">
        <f>IF($B699=0,0,MAX($E700:$AR700))</f>
        <v/>
      </c>
      <c r="D699" s="82">
        <f>BDS($A699,'Field Check'!$C$7,"headers=y","startcol=1","endcol=7","dir=h","DVD_START_DT",Summary!$C$18,"DVD_END_DT",Summary!$D$18)</f>
        <v/>
      </c>
      <c r="E699" s="83" t="n"/>
      <c r="F699" s="83" t="n"/>
      <c r="G699" s="83" t="n"/>
      <c r="H699" s="83" t="n"/>
      <c r="I699" s="83" t="n"/>
      <c r="J699" s="83" t="n"/>
      <c r="K699" s="83" t="n"/>
      <c r="L699" s="83" t="n"/>
      <c r="M699" s="83" t="n"/>
      <c r="N699" s="83" t="n"/>
      <c r="O699" s="83" t="n"/>
      <c r="P699" s="83" t="n"/>
      <c r="Q699" s="83" t="n"/>
      <c r="R699" s="83" t="n"/>
      <c r="S699" s="83" t="n"/>
      <c r="T699" s="83" t="n"/>
      <c r="U699" s="83" t="n"/>
      <c r="V699" s="83" t="n"/>
      <c r="W699" s="83" t="n"/>
      <c r="X699" s="83" t="n"/>
      <c r="Y699" s="83" t="n"/>
      <c r="Z699" s="83" t="n"/>
      <c r="AA699" s="83" t="n"/>
      <c r="AB699" s="83" t="n"/>
      <c r="AC699" s="83" t="n"/>
      <c r="AD699" s="83" t="n"/>
      <c r="AE699" s="83" t="n"/>
      <c r="AF699" s="83" t="n"/>
      <c r="AG699" s="83" t="n"/>
      <c r="AH699" s="83" t="n"/>
      <c r="AI699" s="83" t="n"/>
      <c r="AJ699" s="83" t="n"/>
      <c r="AK699" s="83" t="n"/>
      <c r="AL699" s="83" t="n"/>
      <c r="AM699" s="83" t="n"/>
      <c r="AN699" s="83" t="n"/>
      <c r="AO699" s="83" t="n"/>
      <c r="AP699" s="83" t="n"/>
      <c r="AQ699" s="83" t="n"/>
      <c r="AR699" s="83" t="n"/>
    </row>
    <row r="700">
      <c r="D700" s="83" t="n"/>
      <c r="E700" s="83" t="n"/>
      <c r="F700" s="83" t="n"/>
      <c r="G700" s="83" t="n"/>
      <c r="H700" s="83" t="n"/>
      <c r="I700" s="83" t="n"/>
      <c r="J700" s="83" t="n"/>
      <c r="K700" s="83" t="n"/>
      <c r="L700" s="83" t="n"/>
      <c r="M700" s="83" t="n"/>
      <c r="N700" s="83" t="n"/>
      <c r="O700" s="83" t="n"/>
      <c r="P700" s="83" t="n"/>
      <c r="Q700" s="83" t="n"/>
      <c r="R700" s="83" t="n"/>
      <c r="S700" s="83" t="n"/>
      <c r="T700" s="83" t="n"/>
      <c r="U700" s="83" t="n"/>
      <c r="V700" s="83" t="n"/>
      <c r="W700" s="83" t="n"/>
      <c r="X700" s="83" t="n"/>
      <c r="Y700" s="83" t="n"/>
      <c r="Z700" s="83" t="n"/>
      <c r="AA700" s="83" t="n"/>
      <c r="AB700" s="83" t="n"/>
      <c r="AC700" s="83" t="n"/>
      <c r="AD700" s="83" t="n"/>
      <c r="AE700" s="83" t="n"/>
      <c r="AF700" s="83" t="n"/>
      <c r="AG700" s="83" t="n"/>
      <c r="AH700" s="83" t="n"/>
      <c r="AI700" s="83" t="n"/>
      <c r="AJ700" s="83" t="n"/>
      <c r="AK700" s="83" t="n"/>
      <c r="AL700" s="83" t="n"/>
      <c r="AM700" s="83" t="n"/>
      <c r="AN700" s="83" t="n"/>
      <c r="AO700" s="83" t="n"/>
      <c r="AP700" s="83" t="n"/>
      <c r="AQ700" s="83" t="n"/>
      <c r="AR700" s="83" t="n"/>
    </row>
    <row r="701">
      <c r="D701" s="84" t="n"/>
      <c r="E701" s="84" t="n"/>
      <c r="F701" s="84" t="n"/>
      <c r="G701" s="84" t="n"/>
      <c r="H701" s="84" t="n"/>
      <c r="I701" s="84" t="n"/>
      <c r="J701" s="84" t="n"/>
      <c r="K701" s="84" t="n"/>
      <c r="L701" s="84" t="n"/>
      <c r="M701" s="84" t="n"/>
      <c r="N701" s="84" t="n"/>
      <c r="O701" s="84" t="n"/>
      <c r="P701" s="84" t="n"/>
      <c r="Q701" s="84" t="n"/>
      <c r="R701" s="84" t="n"/>
      <c r="S701" s="84" t="n"/>
      <c r="T701" s="84" t="n"/>
      <c r="U701" s="84" t="n"/>
      <c r="V701" s="84" t="n"/>
      <c r="W701" s="84" t="n"/>
      <c r="X701" s="84" t="n"/>
      <c r="Y701" s="84" t="n"/>
      <c r="Z701" s="84" t="n"/>
      <c r="AA701" s="84" t="n"/>
      <c r="AB701" s="84" t="n"/>
      <c r="AC701" s="84" t="n"/>
      <c r="AD701" s="84" t="n"/>
      <c r="AE701" s="84" t="n"/>
      <c r="AF701" s="84" t="n"/>
      <c r="AG701" s="84" t="n"/>
      <c r="AH701" s="84" t="n"/>
      <c r="AI701" s="84" t="n"/>
      <c r="AJ701" s="84" t="n"/>
      <c r="AK701" s="84" t="n"/>
      <c r="AL701" s="84" t="n"/>
      <c r="AM701" s="84" t="n"/>
      <c r="AN701" s="84" t="n"/>
      <c r="AO701" s="84" t="n"/>
      <c r="AP701" s="84" t="n"/>
      <c r="AQ701" s="84" t="n"/>
      <c r="AR701" s="84" t="n"/>
    </row>
    <row r="702">
      <c r="D702" s="80" t="n"/>
      <c r="E702" s="80" t="n"/>
      <c r="F702" s="80" t="n"/>
      <c r="G702" s="80" t="n"/>
      <c r="H702" s="80" t="n"/>
      <c r="I702" s="80" t="n"/>
      <c r="J702" s="80" t="n"/>
      <c r="K702" s="80" t="n"/>
      <c r="L702" s="80" t="n"/>
      <c r="M702" s="80" t="n"/>
      <c r="N702" s="80" t="n"/>
      <c r="O702" s="80" t="n"/>
      <c r="P702" s="80" t="n"/>
      <c r="Q702" s="80" t="n"/>
      <c r="R702" s="80" t="n"/>
      <c r="S702" s="80" t="n"/>
      <c r="T702" s="80" t="n"/>
      <c r="U702" s="80" t="n"/>
      <c r="V702" s="80" t="n"/>
      <c r="W702" s="80" t="n"/>
      <c r="X702" s="80" t="n"/>
      <c r="Y702" s="80" t="n"/>
      <c r="Z702" s="80" t="n"/>
      <c r="AA702" s="80" t="n"/>
      <c r="AB702" s="80" t="n"/>
      <c r="AC702" s="80" t="n"/>
      <c r="AD702" s="80" t="n"/>
      <c r="AE702" s="80" t="n"/>
      <c r="AF702" s="80" t="n"/>
      <c r="AG702" s="80" t="n"/>
      <c r="AH702" s="80" t="n"/>
      <c r="AI702" s="80" t="n"/>
      <c r="AJ702" s="80" t="n"/>
      <c r="AK702" s="80" t="n"/>
      <c r="AL702" s="80" t="n"/>
      <c r="AM702" s="80" t="n"/>
      <c r="AN702" s="80" t="n"/>
      <c r="AO702" s="80" t="n"/>
      <c r="AP702" s="80" t="n"/>
      <c r="AQ702" s="80" t="n"/>
      <c r="AR702" s="80" t="n"/>
    </row>
    <row r="703">
      <c r="D703" s="80" t="n"/>
      <c r="E703" s="80" t="n"/>
      <c r="F703" s="80" t="n"/>
      <c r="G703" s="80" t="n"/>
      <c r="H703" s="80" t="n"/>
      <c r="I703" s="80" t="n"/>
      <c r="J703" s="80" t="n"/>
      <c r="K703" s="80" t="n"/>
      <c r="L703" s="80" t="n"/>
      <c r="M703" s="80" t="n"/>
      <c r="N703" s="80" t="n"/>
      <c r="O703" s="80" t="n"/>
      <c r="P703" s="80" t="n"/>
      <c r="Q703" s="80" t="n"/>
      <c r="R703" s="80" t="n"/>
      <c r="S703" s="80" t="n"/>
      <c r="T703" s="80" t="n"/>
      <c r="U703" s="80" t="n"/>
      <c r="V703" s="80" t="n"/>
      <c r="W703" s="80" t="n"/>
      <c r="X703" s="80" t="n"/>
      <c r="Y703" s="80" t="n"/>
      <c r="Z703" s="80" t="n"/>
      <c r="AA703" s="80" t="n"/>
      <c r="AB703" s="80" t="n"/>
      <c r="AC703" s="80" t="n"/>
      <c r="AD703" s="80" t="n"/>
      <c r="AE703" s="80" t="n"/>
      <c r="AF703" s="80" t="n"/>
      <c r="AG703" s="80" t="n"/>
      <c r="AH703" s="80" t="n"/>
      <c r="AI703" s="80" t="n"/>
      <c r="AJ703" s="80" t="n"/>
      <c r="AK703" s="80" t="n"/>
      <c r="AL703" s="80" t="n"/>
      <c r="AM703" s="80" t="n"/>
      <c r="AN703" s="80" t="n"/>
      <c r="AO703" s="80" t="n"/>
      <c r="AP703" s="80" t="n"/>
      <c r="AQ703" s="80" t="n"/>
      <c r="AR703" s="80" t="n"/>
    </row>
    <row r="704">
      <c r="D704" s="80" t="n"/>
      <c r="E704" s="80" t="n"/>
      <c r="F704" s="80" t="n"/>
      <c r="G704" s="80" t="n"/>
      <c r="H704" s="80" t="n"/>
      <c r="I704" s="80" t="n"/>
      <c r="J704" s="80" t="n"/>
      <c r="K704" s="80" t="n"/>
      <c r="L704" s="80" t="n"/>
      <c r="M704" s="80" t="n"/>
      <c r="N704" s="80" t="n"/>
      <c r="O704" s="80" t="n"/>
      <c r="P704" s="80" t="n"/>
      <c r="Q704" s="80" t="n"/>
      <c r="R704" s="80" t="n"/>
      <c r="S704" s="80" t="n"/>
      <c r="T704" s="80" t="n"/>
      <c r="U704" s="80" t="n"/>
      <c r="V704" s="80" t="n"/>
      <c r="W704" s="80" t="n"/>
      <c r="X704" s="80" t="n"/>
      <c r="Y704" s="80" t="n"/>
      <c r="Z704" s="80" t="n"/>
      <c r="AA704" s="80" t="n"/>
      <c r="AB704" s="80" t="n"/>
      <c r="AC704" s="80" t="n"/>
      <c r="AD704" s="80" t="n"/>
      <c r="AE704" s="80" t="n"/>
      <c r="AF704" s="80" t="n"/>
      <c r="AG704" s="80" t="n"/>
      <c r="AH704" s="80" t="n"/>
      <c r="AI704" s="80" t="n"/>
      <c r="AJ704" s="80" t="n"/>
      <c r="AK704" s="80" t="n"/>
      <c r="AL704" s="80" t="n"/>
      <c r="AM704" s="80" t="n"/>
      <c r="AN704" s="80" t="n"/>
      <c r="AO704" s="80" t="n"/>
      <c r="AP704" s="80" t="n"/>
      <c r="AQ704" s="80" t="n"/>
      <c r="AR704" s="80" t="n"/>
    </row>
    <row r="705">
      <c r="D705" s="80" t="n"/>
      <c r="E705" s="80" t="n"/>
      <c r="F705" s="80" t="n"/>
      <c r="G705" s="80" t="n"/>
      <c r="H705" s="80" t="n"/>
      <c r="I705" s="80" t="n"/>
      <c r="J705" s="80" t="n"/>
      <c r="K705" s="80" t="n"/>
      <c r="L705" s="80" t="n"/>
      <c r="M705" s="80" t="n"/>
      <c r="N705" s="80" t="n"/>
      <c r="O705" s="80" t="n"/>
      <c r="P705" s="80" t="n"/>
      <c r="Q705" s="80" t="n"/>
      <c r="R705" s="80" t="n"/>
      <c r="S705" s="80" t="n"/>
      <c r="T705" s="80" t="n"/>
      <c r="U705" s="80" t="n"/>
      <c r="V705" s="80" t="n"/>
      <c r="W705" s="80" t="n"/>
      <c r="X705" s="80" t="n"/>
      <c r="Y705" s="80" t="n"/>
      <c r="Z705" s="80" t="n"/>
      <c r="AA705" s="80" t="n"/>
      <c r="AB705" s="80" t="n"/>
      <c r="AC705" s="80" t="n"/>
      <c r="AD705" s="80" t="n"/>
      <c r="AE705" s="80" t="n"/>
      <c r="AF705" s="80" t="n"/>
      <c r="AG705" s="80" t="n"/>
      <c r="AH705" s="80" t="n"/>
      <c r="AI705" s="80" t="n"/>
      <c r="AJ705" s="80" t="n"/>
      <c r="AK705" s="80" t="n"/>
      <c r="AL705" s="80" t="n"/>
      <c r="AM705" s="80" t="n"/>
      <c r="AN705" s="80" t="n"/>
      <c r="AO705" s="80" t="n"/>
      <c r="AP705" s="80" t="n"/>
      <c r="AQ705" s="80" t="n"/>
      <c r="AR705" s="80" t="n"/>
    </row>
    <row r="706">
      <c r="A706" s="2">
        <f>IF($A699="","","   projections")</f>
        <v/>
      </c>
      <c r="B706" s="41">
        <f>IF($A699="",0,COUNT($E707:$AR707))</f>
        <v/>
      </c>
      <c r="C706" s="81">
        <f>IF($B706=0,0,MAX($E707:$AR707))</f>
        <v/>
      </c>
      <c r="D706" s="82">
        <f>BDS($A699,'Field Check'!$C$6,"headers=y","startcol=1","endcol=7","dir=h")</f>
        <v/>
      </c>
      <c r="E706" s="83" t="n"/>
      <c r="F706" s="83" t="n"/>
      <c r="G706" s="83" t="n"/>
      <c r="H706" s="83" t="n"/>
      <c r="I706" s="83" t="n"/>
      <c r="J706" s="83" t="n"/>
      <c r="K706" s="83" t="n"/>
      <c r="L706" s="83" t="n"/>
      <c r="M706" s="83" t="n"/>
      <c r="N706" s="83" t="n"/>
      <c r="O706" s="83" t="n"/>
      <c r="P706" s="83" t="n"/>
      <c r="Q706" s="83" t="n"/>
      <c r="R706" s="83" t="n"/>
      <c r="S706" s="83" t="n"/>
      <c r="T706" s="83" t="n"/>
      <c r="U706" s="83" t="n"/>
      <c r="V706" s="83" t="n"/>
      <c r="W706" s="83" t="n"/>
      <c r="X706" s="83" t="n"/>
      <c r="Y706" s="83" t="n"/>
      <c r="Z706" s="83" t="n"/>
      <c r="AA706" s="83" t="n"/>
      <c r="AB706" s="83" t="n"/>
      <c r="AC706" s="83" t="n"/>
      <c r="AD706" s="83" t="n"/>
      <c r="AE706" s="83" t="n"/>
      <c r="AF706" s="83" t="n"/>
      <c r="AG706" s="83" t="n"/>
      <c r="AH706" s="83" t="n"/>
      <c r="AI706" s="83" t="n"/>
      <c r="AJ706" s="83" t="n"/>
      <c r="AK706" s="83" t="n"/>
      <c r="AL706" s="83" t="n"/>
      <c r="AM706" s="83" t="n"/>
      <c r="AN706" s="83" t="n"/>
      <c r="AO706" s="83" t="n"/>
      <c r="AP706" s="83" t="n"/>
      <c r="AQ706" s="83" t="n"/>
      <c r="AR706" s="83" t="n"/>
    </row>
    <row r="707">
      <c r="D707" s="83" t="n"/>
      <c r="E707" s="83" t="n"/>
      <c r="F707" s="83" t="n"/>
      <c r="G707" s="83" t="n"/>
      <c r="H707" s="83" t="n"/>
      <c r="I707" s="83" t="n"/>
      <c r="J707" s="83" t="n"/>
      <c r="K707" s="83" t="n"/>
      <c r="L707" s="83" t="n"/>
      <c r="M707" s="83" t="n"/>
      <c r="N707" s="83" t="n"/>
      <c r="O707" s="83" t="n"/>
      <c r="P707" s="83" t="n"/>
      <c r="Q707" s="83" t="n"/>
      <c r="R707" s="83" t="n"/>
      <c r="S707" s="83" t="n"/>
      <c r="T707" s="83" t="n"/>
      <c r="U707" s="83" t="n"/>
      <c r="V707" s="83" t="n"/>
      <c r="W707" s="83" t="n"/>
      <c r="X707" s="83" t="n"/>
      <c r="Y707" s="83" t="n"/>
      <c r="Z707" s="83" t="n"/>
      <c r="AA707" s="83" t="n"/>
      <c r="AB707" s="83" t="n"/>
      <c r="AC707" s="83" t="n"/>
      <c r="AD707" s="83" t="n"/>
      <c r="AE707" s="83" t="n"/>
      <c r="AF707" s="83" t="n"/>
      <c r="AG707" s="83" t="n"/>
      <c r="AH707" s="83" t="n"/>
      <c r="AI707" s="83" t="n"/>
      <c r="AJ707" s="83" t="n"/>
      <c r="AK707" s="83" t="n"/>
      <c r="AL707" s="83" t="n"/>
      <c r="AM707" s="83" t="n"/>
      <c r="AN707" s="83" t="n"/>
      <c r="AO707" s="83" t="n"/>
      <c r="AP707" s="83" t="n"/>
      <c r="AQ707" s="83" t="n"/>
      <c r="AR707" s="83" t="n"/>
    </row>
    <row r="708">
      <c r="D708" s="84" t="n"/>
      <c r="E708" s="84" t="n"/>
      <c r="F708" s="84" t="n"/>
      <c r="G708" s="84" t="n"/>
      <c r="H708" s="84" t="n"/>
      <c r="I708" s="84" t="n"/>
      <c r="J708" s="84" t="n"/>
      <c r="K708" s="84" t="n"/>
      <c r="L708" s="84" t="n"/>
      <c r="M708" s="84" t="n"/>
      <c r="N708" s="84" t="n"/>
      <c r="O708" s="84" t="n"/>
      <c r="P708" s="84" t="n"/>
      <c r="Q708" s="84" t="n"/>
      <c r="R708" s="84" t="n"/>
      <c r="S708" s="84" t="n"/>
      <c r="T708" s="84" t="n"/>
      <c r="U708" s="84" t="n"/>
      <c r="V708" s="84" t="n"/>
      <c r="W708" s="84" t="n"/>
      <c r="X708" s="84" t="n"/>
      <c r="Y708" s="84" t="n"/>
      <c r="Z708" s="84" t="n"/>
      <c r="AA708" s="84" t="n"/>
      <c r="AB708" s="84" t="n"/>
      <c r="AC708" s="84" t="n"/>
      <c r="AD708" s="84" t="n"/>
      <c r="AE708" s="84" t="n"/>
      <c r="AF708" s="84" t="n"/>
      <c r="AG708" s="84" t="n"/>
      <c r="AH708" s="84" t="n"/>
      <c r="AI708" s="84" t="n"/>
      <c r="AJ708" s="84" t="n"/>
      <c r="AK708" s="84" t="n"/>
      <c r="AL708" s="84" t="n"/>
      <c r="AM708" s="84" t="n"/>
      <c r="AN708" s="84" t="n"/>
      <c r="AO708" s="84" t="n"/>
      <c r="AP708" s="84" t="n"/>
      <c r="AQ708" s="84" t="n"/>
      <c r="AR708" s="84" t="n"/>
    </row>
    <row r="709">
      <c r="D709" s="80" t="n"/>
      <c r="E709" s="80" t="n"/>
      <c r="F709" s="80" t="n"/>
      <c r="G709" s="80" t="n"/>
      <c r="H709" s="80" t="n"/>
      <c r="I709" s="80" t="n"/>
      <c r="J709" s="80" t="n"/>
      <c r="K709" s="80" t="n"/>
      <c r="L709" s="80" t="n"/>
      <c r="M709" s="80" t="n"/>
      <c r="N709" s="80" t="n"/>
      <c r="O709" s="80" t="n"/>
      <c r="P709" s="80" t="n"/>
      <c r="Q709" s="80" t="n"/>
      <c r="R709" s="80" t="n"/>
      <c r="S709" s="80" t="n"/>
      <c r="T709" s="80" t="n"/>
      <c r="U709" s="80" t="n"/>
      <c r="V709" s="80" t="n"/>
      <c r="W709" s="80" t="n"/>
      <c r="X709" s="80" t="n"/>
      <c r="Y709" s="80" t="n"/>
      <c r="Z709" s="80" t="n"/>
      <c r="AA709" s="80" t="n"/>
      <c r="AB709" s="80" t="n"/>
      <c r="AC709" s="80" t="n"/>
      <c r="AD709" s="80" t="n"/>
      <c r="AE709" s="80" t="n"/>
      <c r="AF709" s="80" t="n"/>
      <c r="AG709" s="80" t="n"/>
      <c r="AH709" s="80" t="n"/>
      <c r="AI709" s="80" t="n"/>
      <c r="AJ709" s="80" t="n"/>
      <c r="AK709" s="80" t="n"/>
      <c r="AL709" s="80" t="n"/>
      <c r="AM709" s="80" t="n"/>
      <c r="AN709" s="80" t="n"/>
      <c r="AO709" s="80" t="n"/>
      <c r="AP709" s="80" t="n"/>
      <c r="AQ709" s="80" t="n"/>
      <c r="AR709" s="80" t="n"/>
    </row>
    <row r="710">
      <c r="D710" s="80" t="n"/>
      <c r="E710" s="80" t="n"/>
      <c r="F710" s="80" t="n"/>
      <c r="G710" s="80" t="n"/>
      <c r="H710" s="80" t="n"/>
      <c r="I710" s="80" t="n"/>
      <c r="J710" s="80" t="n"/>
      <c r="K710" s="80" t="n"/>
      <c r="L710" s="80" t="n"/>
      <c r="M710" s="80" t="n"/>
      <c r="N710" s="80" t="n"/>
      <c r="O710" s="80" t="n"/>
      <c r="P710" s="80" t="n"/>
      <c r="Q710" s="80" t="n"/>
      <c r="R710" s="80" t="n"/>
      <c r="S710" s="80" t="n"/>
      <c r="T710" s="80" t="n"/>
      <c r="U710" s="80" t="n"/>
      <c r="V710" s="80" t="n"/>
      <c r="W710" s="80" t="n"/>
      <c r="X710" s="80" t="n"/>
      <c r="Y710" s="80" t="n"/>
      <c r="Z710" s="80" t="n"/>
      <c r="AA710" s="80" t="n"/>
      <c r="AB710" s="80" t="n"/>
      <c r="AC710" s="80" t="n"/>
      <c r="AD710" s="80" t="n"/>
      <c r="AE710" s="80" t="n"/>
      <c r="AF710" s="80" t="n"/>
      <c r="AG710" s="80" t="n"/>
      <c r="AH710" s="80" t="n"/>
      <c r="AI710" s="80" t="n"/>
      <c r="AJ710" s="80" t="n"/>
      <c r="AK710" s="80" t="n"/>
      <c r="AL710" s="80" t="n"/>
      <c r="AM710" s="80" t="n"/>
      <c r="AN710" s="80" t="n"/>
      <c r="AO710" s="80" t="n"/>
      <c r="AP710" s="80" t="n"/>
      <c r="AQ710" s="80" t="n"/>
      <c r="AR710" s="80" t="n"/>
    </row>
    <row r="711">
      <c r="D711" s="80" t="n"/>
      <c r="E711" s="80" t="n"/>
      <c r="F711" s="80" t="n"/>
      <c r="G711" s="80" t="n"/>
      <c r="H711" s="80" t="n"/>
      <c r="I711" s="80" t="n"/>
      <c r="J711" s="80" t="n"/>
      <c r="K711" s="80" t="n"/>
      <c r="L711" s="80" t="n"/>
      <c r="M711" s="80" t="n"/>
      <c r="N711" s="80" t="n"/>
      <c r="O711" s="80" t="n"/>
      <c r="P711" s="80" t="n"/>
      <c r="Q711" s="80" t="n"/>
      <c r="R711" s="80" t="n"/>
      <c r="S711" s="80" t="n"/>
      <c r="T711" s="80" t="n"/>
      <c r="U711" s="80" t="n"/>
      <c r="V711" s="80" t="n"/>
      <c r="W711" s="80" t="n"/>
      <c r="X711" s="80" t="n"/>
      <c r="Y711" s="80" t="n"/>
      <c r="Z711" s="80" t="n"/>
      <c r="AA711" s="80" t="n"/>
      <c r="AB711" s="80" t="n"/>
      <c r="AC711" s="80" t="n"/>
      <c r="AD711" s="80" t="n"/>
      <c r="AE711" s="80" t="n"/>
      <c r="AF711" s="80" t="n"/>
      <c r="AG711" s="80" t="n"/>
      <c r="AH711" s="80" t="n"/>
      <c r="AI711" s="80" t="n"/>
      <c r="AJ711" s="80" t="n"/>
      <c r="AK711" s="80" t="n"/>
      <c r="AL711" s="80" t="n"/>
      <c r="AM711" s="80" t="n"/>
      <c r="AN711" s="80" t="n"/>
      <c r="AO711" s="80" t="n"/>
      <c r="AP711" s="80" t="n"/>
      <c r="AQ711" s="80" t="n"/>
      <c r="AR711" s="80" t="n"/>
    </row>
    <row r="712">
      <c r="D712" s="80" t="n"/>
      <c r="E712" s="80" t="n"/>
      <c r="F712" s="80" t="n"/>
      <c r="G712" s="80" t="n"/>
      <c r="H712" s="80" t="n"/>
      <c r="I712" s="80" t="n"/>
      <c r="J712" s="80" t="n"/>
      <c r="K712" s="80" t="n"/>
      <c r="L712" s="80" t="n"/>
      <c r="M712" s="80" t="n"/>
      <c r="N712" s="80" t="n"/>
      <c r="O712" s="80" t="n"/>
      <c r="P712" s="80" t="n"/>
      <c r="Q712" s="80" t="n"/>
      <c r="R712" s="80" t="n"/>
      <c r="S712" s="80" t="n"/>
      <c r="T712" s="80" t="n"/>
      <c r="U712" s="80" t="n"/>
      <c r="V712" s="80" t="n"/>
      <c r="W712" s="80" t="n"/>
      <c r="X712" s="80" t="n"/>
      <c r="Y712" s="80" t="n"/>
      <c r="Z712" s="80" t="n"/>
      <c r="AA712" s="80" t="n"/>
      <c r="AB712" s="80" t="n"/>
      <c r="AC712" s="80" t="n"/>
      <c r="AD712" s="80" t="n"/>
      <c r="AE712" s="80" t="n"/>
      <c r="AF712" s="80" t="n"/>
      <c r="AG712" s="80" t="n"/>
      <c r="AH712" s="80" t="n"/>
      <c r="AI712" s="80" t="n"/>
      <c r="AJ712" s="80" t="n"/>
      <c r="AK712" s="80" t="n"/>
      <c r="AL712" s="80" t="n"/>
      <c r="AM712" s="80" t="n"/>
      <c r="AN712" s="80" t="n"/>
      <c r="AO712" s="80" t="n"/>
      <c r="AP712" s="80" t="n"/>
      <c r="AQ712" s="80" t="n"/>
      <c r="AR712" s="80" t="n"/>
    </row>
    <row r="714">
      <c r="A714" s="6">
        <f>IF(HSI!$C$54="","",HSI!$C$54)</f>
        <v/>
      </c>
      <c r="B714" s="41">
        <f>IF($A714="",0,COUNT($E715:$AR715))</f>
        <v/>
      </c>
      <c r="C714" s="81">
        <f>IF($B714=0,0,MAX($E715:$AR715))</f>
        <v/>
      </c>
      <c r="D714" s="82">
        <f>BDS($A714,'Field Check'!$C$7,"headers=y","startcol=1","endcol=7","dir=h","DVD_START_DT",Summary!$C$18,"DVD_END_DT",Summary!$D$18)</f>
        <v/>
      </c>
      <c r="E714" s="83" t="n"/>
      <c r="F714" s="83" t="n"/>
      <c r="G714" s="83" t="n"/>
      <c r="H714" s="83" t="n"/>
      <c r="I714" s="83" t="n"/>
      <c r="J714" s="83" t="n"/>
      <c r="K714" s="83" t="n"/>
      <c r="L714" s="83" t="n"/>
      <c r="M714" s="83" t="n"/>
      <c r="N714" s="83" t="n"/>
      <c r="O714" s="83" t="n"/>
      <c r="P714" s="83" t="n"/>
      <c r="Q714" s="83" t="n"/>
      <c r="R714" s="83" t="n"/>
      <c r="S714" s="83" t="n"/>
      <c r="T714" s="83" t="n"/>
      <c r="U714" s="83" t="n"/>
      <c r="V714" s="83" t="n"/>
      <c r="W714" s="83" t="n"/>
      <c r="X714" s="83" t="n"/>
      <c r="Y714" s="83" t="n"/>
      <c r="Z714" s="83" t="n"/>
      <c r="AA714" s="83" t="n"/>
      <c r="AB714" s="83" t="n"/>
      <c r="AC714" s="83" t="n"/>
      <c r="AD714" s="83" t="n"/>
      <c r="AE714" s="83" t="n"/>
      <c r="AF714" s="83" t="n"/>
      <c r="AG714" s="83" t="n"/>
      <c r="AH714" s="83" t="n"/>
      <c r="AI714" s="83" t="n"/>
      <c r="AJ714" s="83" t="n"/>
      <c r="AK714" s="83" t="n"/>
      <c r="AL714" s="83" t="n"/>
      <c r="AM714" s="83" t="n"/>
      <c r="AN714" s="83" t="n"/>
      <c r="AO714" s="83" t="n"/>
      <c r="AP714" s="83" t="n"/>
      <c r="AQ714" s="83" t="n"/>
      <c r="AR714" s="83" t="n"/>
    </row>
    <row r="715">
      <c r="D715" s="83" t="n"/>
      <c r="E715" s="83" t="n"/>
      <c r="F715" s="83" t="n"/>
      <c r="G715" s="83" t="n"/>
      <c r="H715" s="83" t="n"/>
      <c r="I715" s="83" t="n"/>
      <c r="J715" s="83" t="n"/>
      <c r="K715" s="83" t="n"/>
      <c r="L715" s="83" t="n"/>
      <c r="M715" s="83" t="n"/>
      <c r="N715" s="83" t="n"/>
      <c r="O715" s="83" t="n"/>
      <c r="P715" s="83" t="n"/>
      <c r="Q715" s="83" t="n"/>
      <c r="R715" s="83" t="n"/>
      <c r="S715" s="83" t="n"/>
      <c r="T715" s="83" t="n"/>
      <c r="U715" s="83" t="n"/>
      <c r="V715" s="83" t="n"/>
      <c r="W715" s="83" t="n"/>
      <c r="X715" s="83" t="n"/>
      <c r="Y715" s="83" t="n"/>
      <c r="Z715" s="83" t="n"/>
      <c r="AA715" s="83" t="n"/>
      <c r="AB715" s="83" t="n"/>
      <c r="AC715" s="83" t="n"/>
      <c r="AD715" s="83" t="n"/>
      <c r="AE715" s="83" t="n"/>
      <c r="AF715" s="83" t="n"/>
      <c r="AG715" s="83" t="n"/>
      <c r="AH715" s="83" t="n"/>
      <c r="AI715" s="83" t="n"/>
      <c r="AJ715" s="83" t="n"/>
      <c r="AK715" s="83" t="n"/>
      <c r="AL715" s="83" t="n"/>
      <c r="AM715" s="83" t="n"/>
      <c r="AN715" s="83" t="n"/>
      <c r="AO715" s="83" t="n"/>
      <c r="AP715" s="83" t="n"/>
      <c r="AQ715" s="83" t="n"/>
      <c r="AR715" s="83" t="n"/>
    </row>
    <row r="716">
      <c r="D716" s="84" t="n"/>
      <c r="E716" s="84" t="n"/>
      <c r="F716" s="84" t="n"/>
      <c r="G716" s="84" t="n"/>
      <c r="H716" s="84" t="n"/>
      <c r="I716" s="84" t="n"/>
      <c r="J716" s="84" t="n"/>
      <c r="K716" s="84" t="n"/>
      <c r="L716" s="84" t="n"/>
      <c r="M716" s="84" t="n"/>
      <c r="N716" s="84" t="n"/>
      <c r="O716" s="84" t="n"/>
      <c r="P716" s="84" t="n"/>
      <c r="Q716" s="84" t="n"/>
      <c r="R716" s="84" t="n"/>
      <c r="S716" s="84" t="n"/>
      <c r="T716" s="84" t="n"/>
      <c r="U716" s="84" t="n"/>
      <c r="V716" s="84" t="n"/>
      <c r="W716" s="84" t="n"/>
      <c r="X716" s="84" t="n"/>
      <c r="Y716" s="84" t="n"/>
      <c r="Z716" s="84" t="n"/>
      <c r="AA716" s="84" t="n"/>
      <c r="AB716" s="84" t="n"/>
      <c r="AC716" s="84" t="n"/>
      <c r="AD716" s="84" t="n"/>
      <c r="AE716" s="84" t="n"/>
      <c r="AF716" s="84" t="n"/>
      <c r="AG716" s="84" t="n"/>
      <c r="AH716" s="84" t="n"/>
      <c r="AI716" s="84" t="n"/>
      <c r="AJ716" s="84" t="n"/>
      <c r="AK716" s="84" t="n"/>
      <c r="AL716" s="84" t="n"/>
      <c r="AM716" s="84" t="n"/>
      <c r="AN716" s="84" t="n"/>
      <c r="AO716" s="84" t="n"/>
      <c r="AP716" s="84" t="n"/>
      <c r="AQ716" s="84" t="n"/>
      <c r="AR716" s="84" t="n"/>
    </row>
    <row r="717">
      <c r="D717" s="80" t="n"/>
      <c r="E717" s="80" t="n"/>
      <c r="F717" s="80" t="n"/>
      <c r="G717" s="80" t="n"/>
      <c r="H717" s="80" t="n"/>
      <c r="I717" s="80" t="n"/>
      <c r="J717" s="80" t="n"/>
      <c r="K717" s="80" t="n"/>
      <c r="L717" s="80" t="n"/>
      <c r="M717" s="80" t="n"/>
      <c r="N717" s="80" t="n"/>
      <c r="O717" s="80" t="n"/>
      <c r="P717" s="80" t="n"/>
      <c r="Q717" s="80" t="n"/>
      <c r="R717" s="80" t="n"/>
      <c r="S717" s="80" t="n"/>
      <c r="T717" s="80" t="n"/>
      <c r="U717" s="80" t="n"/>
      <c r="V717" s="80" t="n"/>
      <c r="W717" s="80" t="n"/>
      <c r="X717" s="80" t="n"/>
      <c r="Y717" s="80" t="n"/>
      <c r="Z717" s="80" t="n"/>
      <c r="AA717" s="80" t="n"/>
      <c r="AB717" s="80" t="n"/>
      <c r="AC717" s="80" t="n"/>
      <c r="AD717" s="80" t="n"/>
      <c r="AE717" s="80" t="n"/>
      <c r="AF717" s="80" t="n"/>
      <c r="AG717" s="80" t="n"/>
      <c r="AH717" s="80" t="n"/>
      <c r="AI717" s="80" t="n"/>
      <c r="AJ717" s="80" t="n"/>
      <c r="AK717" s="80" t="n"/>
      <c r="AL717" s="80" t="n"/>
      <c r="AM717" s="80" t="n"/>
      <c r="AN717" s="80" t="n"/>
      <c r="AO717" s="80" t="n"/>
      <c r="AP717" s="80" t="n"/>
      <c r="AQ717" s="80" t="n"/>
      <c r="AR717" s="80" t="n"/>
    </row>
    <row r="718">
      <c r="D718" s="80" t="n"/>
      <c r="E718" s="80" t="n"/>
      <c r="F718" s="80" t="n"/>
      <c r="G718" s="80" t="n"/>
      <c r="H718" s="80" t="n"/>
      <c r="I718" s="80" t="n"/>
      <c r="J718" s="80" t="n"/>
      <c r="K718" s="80" t="n"/>
      <c r="L718" s="80" t="n"/>
      <c r="M718" s="80" t="n"/>
      <c r="N718" s="80" t="n"/>
      <c r="O718" s="80" t="n"/>
      <c r="P718" s="80" t="n"/>
      <c r="Q718" s="80" t="n"/>
      <c r="R718" s="80" t="n"/>
      <c r="S718" s="80" t="n"/>
      <c r="T718" s="80" t="n"/>
      <c r="U718" s="80" t="n"/>
      <c r="V718" s="80" t="n"/>
      <c r="W718" s="80" t="n"/>
      <c r="X718" s="80" t="n"/>
      <c r="Y718" s="80" t="n"/>
      <c r="Z718" s="80" t="n"/>
      <c r="AA718" s="80" t="n"/>
      <c r="AB718" s="80" t="n"/>
      <c r="AC718" s="80" t="n"/>
      <c r="AD718" s="80" t="n"/>
      <c r="AE718" s="80" t="n"/>
      <c r="AF718" s="80" t="n"/>
      <c r="AG718" s="80" t="n"/>
      <c r="AH718" s="80" t="n"/>
      <c r="AI718" s="80" t="n"/>
      <c r="AJ718" s="80" t="n"/>
      <c r="AK718" s="80" t="n"/>
      <c r="AL718" s="80" t="n"/>
      <c r="AM718" s="80" t="n"/>
      <c r="AN718" s="80" t="n"/>
      <c r="AO718" s="80" t="n"/>
      <c r="AP718" s="80" t="n"/>
      <c r="AQ718" s="80" t="n"/>
      <c r="AR718" s="80" t="n"/>
    </row>
    <row r="719">
      <c r="D719" s="80" t="n"/>
      <c r="E719" s="80" t="n"/>
      <c r="F719" s="80" t="n"/>
      <c r="G719" s="80" t="n"/>
      <c r="H719" s="80" t="n"/>
      <c r="I719" s="80" t="n"/>
      <c r="J719" s="80" t="n"/>
      <c r="K719" s="80" t="n"/>
      <c r="L719" s="80" t="n"/>
      <c r="M719" s="80" t="n"/>
      <c r="N719" s="80" t="n"/>
      <c r="O719" s="80" t="n"/>
      <c r="P719" s="80" t="n"/>
      <c r="Q719" s="80" t="n"/>
      <c r="R719" s="80" t="n"/>
      <c r="S719" s="80" t="n"/>
      <c r="T719" s="80" t="n"/>
      <c r="U719" s="80" t="n"/>
      <c r="V719" s="80" t="n"/>
      <c r="W719" s="80" t="n"/>
      <c r="X719" s="80" t="n"/>
      <c r="Y719" s="80" t="n"/>
      <c r="Z719" s="80" t="n"/>
      <c r="AA719" s="80" t="n"/>
      <c r="AB719" s="80" t="n"/>
      <c r="AC719" s="80" t="n"/>
      <c r="AD719" s="80" t="n"/>
      <c r="AE719" s="80" t="n"/>
      <c r="AF719" s="80" t="n"/>
      <c r="AG719" s="80" t="n"/>
      <c r="AH719" s="80" t="n"/>
      <c r="AI719" s="80" t="n"/>
      <c r="AJ719" s="80" t="n"/>
      <c r="AK719" s="80" t="n"/>
      <c r="AL719" s="80" t="n"/>
      <c r="AM719" s="80" t="n"/>
      <c r="AN719" s="80" t="n"/>
      <c r="AO719" s="80" t="n"/>
      <c r="AP719" s="80" t="n"/>
      <c r="AQ719" s="80" t="n"/>
      <c r="AR719" s="80" t="n"/>
    </row>
    <row r="720">
      <c r="D720" s="80" t="n"/>
      <c r="E720" s="80" t="n"/>
      <c r="F720" s="80" t="n"/>
      <c r="G720" s="80" t="n"/>
      <c r="H720" s="80" t="n"/>
      <c r="I720" s="80" t="n"/>
      <c r="J720" s="80" t="n"/>
      <c r="K720" s="80" t="n"/>
      <c r="L720" s="80" t="n"/>
      <c r="M720" s="80" t="n"/>
      <c r="N720" s="80" t="n"/>
      <c r="O720" s="80" t="n"/>
      <c r="P720" s="80" t="n"/>
      <c r="Q720" s="80" t="n"/>
      <c r="R720" s="80" t="n"/>
      <c r="S720" s="80" t="n"/>
      <c r="T720" s="80" t="n"/>
      <c r="U720" s="80" t="n"/>
      <c r="V720" s="80" t="n"/>
      <c r="W720" s="80" t="n"/>
      <c r="X720" s="80" t="n"/>
      <c r="Y720" s="80" t="n"/>
      <c r="Z720" s="80" t="n"/>
      <c r="AA720" s="80" t="n"/>
      <c r="AB720" s="80" t="n"/>
      <c r="AC720" s="80" t="n"/>
      <c r="AD720" s="80" t="n"/>
      <c r="AE720" s="80" t="n"/>
      <c r="AF720" s="80" t="n"/>
      <c r="AG720" s="80" t="n"/>
      <c r="AH720" s="80" t="n"/>
      <c r="AI720" s="80" t="n"/>
      <c r="AJ720" s="80" t="n"/>
      <c r="AK720" s="80" t="n"/>
      <c r="AL720" s="80" t="n"/>
      <c r="AM720" s="80" t="n"/>
      <c r="AN720" s="80" t="n"/>
      <c r="AO720" s="80" t="n"/>
      <c r="AP720" s="80" t="n"/>
      <c r="AQ720" s="80" t="n"/>
      <c r="AR720" s="80" t="n"/>
    </row>
    <row r="721">
      <c r="A721" s="2">
        <f>IF($A714="","","   projections")</f>
        <v/>
      </c>
      <c r="B721" s="41">
        <f>IF($A714="",0,COUNT($E722:$AR722))</f>
        <v/>
      </c>
      <c r="C721" s="81">
        <f>IF($B721=0,0,MAX($E722:$AR722))</f>
        <v/>
      </c>
      <c r="D721" s="82">
        <f>BDS($A714,'Field Check'!$C$6,"headers=y","startcol=1","endcol=7","dir=h")</f>
        <v/>
      </c>
      <c r="E721" s="83" t="n"/>
      <c r="F721" s="83" t="n"/>
      <c r="G721" s="83" t="n"/>
      <c r="H721" s="83" t="n"/>
      <c r="I721" s="83" t="n"/>
      <c r="J721" s="83" t="n"/>
      <c r="K721" s="83" t="n"/>
      <c r="L721" s="83" t="n"/>
      <c r="M721" s="83" t="n"/>
      <c r="N721" s="83" t="n"/>
      <c r="O721" s="83" t="n"/>
      <c r="P721" s="83" t="n"/>
      <c r="Q721" s="83" t="n"/>
      <c r="R721" s="83" t="n"/>
      <c r="S721" s="83" t="n"/>
      <c r="T721" s="83" t="n"/>
      <c r="U721" s="83" t="n"/>
      <c r="V721" s="83" t="n"/>
      <c r="W721" s="83" t="n"/>
      <c r="X721" s="83" t="n"/>
      <c r="Y721" s="83" t="n"/>
      <c r="Z721" s="83" t="n"/>
      <c r="AA721" s="83" t="n"/>
      <c r="AB721" s="83" t="n"/>
      <c r="AC721" s="83" t="n"/>
      <c r="AD721" s="83" t="n"/>
      <c r="AE721" s="83" t="n"/>
      <c r="AF721" s="83" t="n"/>
      <c r="AG721" s="83" t="n"/>
      <c r="AH721" s="83" t="n"/>
      <c r="AI721" s="83" t="n"/>
      <c r="AJ721" s="83" t="n"/>
      <c r="AK721" s="83" t="n"/>
      <c r="AL721" s="83" t="n"/>
      <c r="AM721" s="83" t="n"/>
      <c r="AN721" s="83" t="n"/>
      <c r="AO721" s="83" t="n"/>
      <c r="AP721" s="83" t="n"/>
      <c r="AQ721" s="83" t="n"/>
      <c r="AR721" s="83" t="n"/>
    </row>
    <row r="722">
      <c r="D722" s="83" t="n"/>
      <c r="E722" s="83" t="n"/>
      <c r="F722" s="83" t="n"/>
      <c r="G722" s="83" t="n"/>
      <c r="H722" s="83" t="n"/>
      <c r="I722" s="83" t="n"/>
      <c r="J722" s="83" t="n"/>
      <c r="K722" s="83" t="n"/>
      <c r="L722" s="83" t="n"/>
      <c r="M722" s="83" t="n"/>
      <c r="N722" s="83" t="n"/>
      <c r="O722" s="83" t="n"/>
      <c r="P722" s="83" t="n"/>
      <c r="Q722" s="83" t="n"/>
      <c r="R722" s="83" t="n"/>
      <c r="S722" s="83" t="n"/>
      <c r="T722" s="83" t="n"/>
      <c r="U722" s="83" t="n"/>
      <c r="V722" s="83" t="n"/>
      <c r="W722" s="83" t="n"/>
      <c r="X722" s="83" t="n"/>
      <c r="Y722" s="83" t="n"/>
      <c r="Z722" s="83" t="n"/>
      <c r="AA722" s="83" t="n"/>
      <c r="AB722" s="83" t="n"/>
      <c r="AC722" s="83" t="n"/>
      <c r="AD722" s="83" t="n"/>
      <c r="AE722" s="83" t="n"/>
      <c r="AF722" s="83" t="n"/>
      <c r="AG722" s="83" t="n"/>
      <c r="AH722" s="83" t="n"/>
      <c r="AI722" s="83" t="n"/>
      <c r="AJ722" s="83" t="n"/>
      <c r="AK722" s="83" t="n"/>
      <c r="AL722" s="83" t="n"/>
      <c r="AM722" s="83" t="n"/>
      <c r="AN722" s="83" t="n"/>
      <c r="AO722" s="83" t="n"/>
      <c r="AP722" s="83" t="n"/>
      <c r="AQ722" s="83" t="n"/>
      <c r="AR722" s="83" t="n"/>
    </row>
    <row r="723">
      <c r="D723" s="84" t="n"/>
      <c r="E723" s="84" t="n"/>
      <c r="F723" s="84" t="n"/>
      <c r="G723" s="84" t="n"/>
      <c r="H723" s="84" t="n"/>
      <c r="I723" s="84" t="n"/>
      <c r="J723" s="84" t="n"/>
      <c r="K723" s="84" t="n"/>
      <c r="L723" s="84" t="n"/>
      <c r="M723" s="84" t="n"/>
      <c r="N723" s="84" t="n"/>
      <c r="O723" s="84" t="n"/>
      <c r="P723" s="84" t="n"/>
      <c r="Q723" s="84" t="n"/>
      <c r="R723" s="84" t="n"/>
      <c r="S723" s="84" t="n"/>
      <c r="T723" s="84" t="n"/>
      <c r="U723" s="84" t="n"/>
      <c r="V723" s="84" t="n"/>
      <c r="W723" s="84" t="n"/>
      <c r="X723" s="84" t="n"/>
      <c r="Y723" s="84" t="n"/>
      <c r="Z723" s="84" t="n"/>
      <c r="AA723" s="84" t="n"/>
      <c r="AB723" s="84" t="n"/>
      <c r="AC723" s="84" t="n"/>
      <c r="AD723" s="84" t="n"/>
      <c r="AE723" s="84" t="n"/>
      <c r="AF723" s="84" t="n"/>
      <c r="AG723" s="84" t="n"/>
      <c r="AH723" s="84" t="n"/>
      <c r="AI723" s="84" t="n"/>
      <c r="AJ723" s="84" t="n"/>
      <c r="AK723" s="84" t="n"/>
      <c r="AL723" s="84" t="n"/>
      <c r="AM723" s="84" t="n"/>
      <c r="AN723" s="84" t="n"/>
      <c r="AO723" s="84" t="n"/>
      <c r="AP723" s="84" t="n"/>
      <c r="AQ723" s="84" t="n"/>
      <c r="AR723" s="84" t="n"/>
    </row>
    <row r="724">
      <c r="D724" s="80" t="n"/>
      <c r="E724" s="80" t="n"/>
      <c r="F724" s="80" t="n"/>
      <c r="G724" s="80" t="n"/>
      <c r="H724" s="80" t="n"/>
      <c r="I724" s="80" t="n"/>
      <c r="J724" s="80" t="n"/>
      <c r="K724" s="80" t="n"/>
      <c r="L724" s="80" t="n"/>
      <c r="M724" s="80" t="n"/>
      <c r="N724" s="80" t="n"/>
      <c r="O724" s="80" t="n"/>
      <c r="P724" s="80" t="n"/>
      <c r="Q724" s="80" t="n"/>
      <c r="R724" s="80" t="n"/>
      <c r="S724" s="80" t="n"/>
      <c r="T724" s="80" t="n"/>
      <c r="U724" s="80" t="n"/>
      <c r="V724" s="80" t="n"/>
      <c r="W724" s="80" t="n"/>
      <c r="X724" s="80" t="n"/>
      <c r="Y724" s="80" t="n"/>
      <c r="Z724" s="80" t="n"/>
      <c r="AA724" s="80" t="n"/>
      <c r="AB724" s="80" t="n"/>
      <c r="AC724" s="80" t="n"/>
      <c r="AD724" s="80" t="n"/>
      <c r="AE724" s="80" t="n"/>
      <c r="AF724" s="80" t="n"/>
      <c r="AG724" s="80" t="n"/>
      <c r="AH724" s="80" t="n"/>
      <c r="AI724" s="80" t="n"/>
      <c r="AJ724" s="80" t="n"/>
      <c r="AK724" s="80" t="n"/>
      <c r="AL724" s="80" t="n"/>
      <c r="AM724" s="80" t="n"/>
      <c r="AN724" s="80" t="n"/>
      <c r="AO724" s="80" t="n"/>
      <c r="AP724" s="80" t="n"/>
      <c r="AQ724" s="80" t="n"/>
      <c r="AR724" s="80" t="n"/>
    </row>
    <row r="725">
      <c r="D725" s="80" t="n"/>
      <c r="E725" s="80" t="n"/>
      <c r="F725" s="80" t="n"/>
      <c r="G725" s="80" t="n"/>
      <c r="H725" s="80" t="n"/>
      <c r="I725" s="80" t="n"/>
      <c r="J725" s="80" t="n"/>
      <c r="K725" s="80" t="n"/>
      <c r="L725" s="80" t="n"/>
      <c r="M725" s="80" t="n"/>
      <c r="N725" s="80" t="n"/>
      <c r="O725" s="80" t="n"/>
      <c r="P725" s="80" t="n"/>
      <c r="Q725" s="80" t="n"/>
      <c r="R725" s="80" t="n"/>
      <c r="S725" s="80" t="n"/>
      <c r="T725" s="80" t="n"/>
      <c r="U725" s="80" t="n"/>
      <c r="V725" s="80" t="n"/>
      <c r="W725" s="80" t="n"/>
      <c r="X725" s="80" t="n"/>
      <c r="Y725" s="80" t="n"/>
      <c r="Z725" s="80" t="n"/>
      <c r="AA725" s="80" t="n"/>
      <c r="AB725" s="80" t="n"/>
      <c r="AC725" s="80" t="n"/>
      <c r="AD725" s="80" t="n"/>
      <c r="AE725" s="80" t="n"/>
      <c r="AF725" s="80" t="n"/>
      <c r="AG725" s="80" t="n"/>
      <c r="AH725" s="80" t="n"/>
      <c r="AI725" s="80" t="n"/>
      <c r="AJ725" s="80" t="n"/>
      <c r="AK725" s="80" t="n"/>
      <c r="AL725" s="80" t="n"/>
      <c r="AM725" s="80" t="n"/>
      <c r="AN725" s="80" t="n"/>
      <c r="AO725" s="80" t="n"/>
      <c r="AP725" s="80" t="n"/>
      <c r="AQ725" s="80" t="n"/>
      <c r="AR725" s="80" t="n"/>
    </row>
    <row r="726">
      <c r="D726" s="80" t="n"/>
      <c r="E726" s="80" t="n"/>
      <c r="F726" s="80" t="n"/>
      <c r="G726" s="80" t="n"/>
      <c r="H726" s="80" t="n"/>
      <c r="I726" s="80" t="n"/>
      <c r="J726" s="80" t="n"/>
      <c r="K726" s="80" t="n"/>
      <c r="L726" s="80" t="n"/>
      <c r="M726" s="80" t="n"/>
      <c r="N726" s="80" t="n"/>
      <c r="O726" s="80" t="n"/>
      <c r="P726" s="80" t="n"/>
      <c r="Q726" s="80" t="n"/>
      <c r="R726" s="80" t="n"/>
      <c r="S726" s="80" t="n"/>
      <c r="T726" s="80" t="n"/>
      <c r="U726" s="80" t="n"/>
      <c r="V726" s="80" t="n"/>
      <c r="W726" s="80" t="n"/>
      <c r="X726" s="80" t="n"/>
      <c r="Y726" s="80" t="n"/>
      <c r="Z726" s="80" t="n"/>
      <c r="AA726" s="80" t="n"/>
      <c r="AB726" s="80" t="n"/>
      <c r="AC726" s="80" t="n"/>
      <c r="AD726" s="80" t="n"/>
      <c r="AE726" s="80" t="n"/>
      <c r="AF726" s="80" t="n"/>
      <c r="AG726" s="80" t="n"/>
      <c r="AH726" s="80" t="n"/>
      <c r="AI726" s="80" t="n"/>
      <c r="AJ726" s="80" t="n"/>
      <c r="AK726" s="80" t="n"/>
      <c r="AL726" s="80" t="n"/>
      <c r="AM726" s="80" t="n"/>
      <c r="AN726" s="80" t="n"/>
      <c r="AO726" s="80" t="n"/>
      <c r="AP726" s="80" t="n"/>
      <c r="AQ726" s="80" t="n"/>
      <c r="AR726" s="80" t="n"/>
    </row>
    <row r="727">
      <c r="D727" s="80" t="n"/>
      <c r="E727" s="80" t="n"/>
      <c r="F727" s="80" t="n"/>
      <c r="G727" s="80" t="n"/>
      <c r="H727" s="80" t="n"/>
      <c r="I727" s="80" t="n"/>
      <c r="J727" s="80" t="n"/>
      <c r="K727" s="80" t="n"/>
      <c r="L727" s="80" t="n"/>
      <c r="M727" s="80" t="n"/>
      <c r="N727" s="80" t="n"/>
      <c r="O727" s="80" t="n"/>
      <c r="P727" s="80" t="n"/>
      <c r="Q727" s="80" t="n"/>
      <c r="R727" s="80" t="n"/>
      <c r="S727" s="80" t="n"/>
      <c r="T727" s="80" t="n"/>
      <c r="U727" s="80" t="n"/>
      <c r="V727" s="80" t="n"/>
      <c r="W727" s="80" t="n"/>
      <c r="X727" s="80" t="n"/>
      <c r="Y727" s="80" t="n"/>
      <c r="Z727" s="80" t="n"/>
      <c r="AA727" s="80" t="n"/>
      <c r="AB727" s="80" t="n"/>
      <c r="AC727" s="80" t="n"/>
      <c r="AD727" s="80" t="n"/>
      <c r="AE727" s="80" t="n"/>
      <c r="AF727" s="80" t="n"/>
      <c r="AG727" s="80" t="n"/>
      <c r="AH727" s="80" t="n"/>
      <c r="AI727" s="80" t="n"/>
      <c r="AJ727" s="80" t="n"/>
      <c r="AK727" s="80" t="n"/>
      <c r="AL727" s="80" t="n"/>
      <c r="AM727" s="80" t="n"/>
      <c r="AN727" s="80" t="n"/>
      <c r="AO727" s="80" t="n"/>
      <c r="AP727" s="80" t="n"/>
      <c r="AQ727" s="80" t="n"/>
      <c r="AR727" s="80" t="n"/>
    </row>
    <row r="729">
      <c r="A729" s="6">
        <f>IF(HSI!$C$55="","",HSI!$C$55)</f>
        <v/>
      </c>
      <c r="B729" s="41">
        <f>IF($A729="",0,COUNT($E730:$AR730))</f>
        <v/>
      </c>
      <c r="C729" s="81">
        <f>IF($B729=0,0,MAX($E730:$AR730))</f>
        <v/>
      </c>
      <c r="D729" s="82">
        <f>BDS($A729,'Field Check'!$C$7,"headers=y","startcol=1","endcol=7","dir=h","DVD_START_DT",Summary!$C$18,"DVD_END_DT",Summary!$D$18)</f>
        <v/>
      </c>
      <c r="E729" s="83" t="n"/>
      <c r="F729" s="83" t="n"/>
      <c r="G729" s="83" t="n"/>
      <c r="H729" s="83" t="n"/>
      <c r="I729" s="83" t="n"/>
      <c r="J729" s="83" t="n"/>
      <c r="K729" s="83" t="n"/>
      <c r="L729" s="83" t="n"/>
      <c r="M729" s="83" t="n"/>
      <c r="N729" s="83" t="n"/>
      <c r="O729" s="83" t="n"/>
      <c r="P729" s="83" t="n"/>
      <c r="Q729" s="83" t="n"/>
      <c r="R729" s="83" t="n"/>
      <c r="S729" s="83" t="n"/>
      <c r="T729" s="83" t="n"/>
      <c r="U729" s="83" t="n"/>
      <c r="V729" s="83" t="n"/>
      <c r="W729" s="83" t="n"/>
      <c r="X729" s="83" t="n"/>
      <c r="Y729" s="83" t="n"/>
      <c r="Z729" s="83" t="n"/>
      <c r="AA729" s="83" t="n"/>
      <c r="AB729" s="83" t="n"/>
      <c r="AC729" s="83" t="n"/>
      <c r="AD729" s="83" t="n"/>
      <c r="AE729" s="83" t="n"/>
      <c r="AF729" s="83" t="n"/>
      <c r="AG729" s="83" t="n"/>
      <c r="AH729" s="83" t="n"/>
      <c r="AI729" s="83" t="n"/>
      <c r="AJ729" s="83" t="n"/>
      <c r="AK729" s="83" t="n"/>
      <c r="AL729" s="83" t="n"/>
      <c r="AM729" s="83" t="n"/>
      <c r="AN729" s="83" t="n"/>
      <c r="AO729" s="83" t="n"/>
      <c r="AP729" s="83" t="n"/>
      <c r="AQ729" s="83" t="n"/>
      <c r="AR729" s="83" t="n"/>
    </row>
    <row r="730">
      <c r="D730" s="83" t="n"/>
      <c r="E730" s="83" t="n"/>
      <c r="F730" s="83" t="n"/>
      <c r="G730" s="83" t="n"/>
      <c r="H730" s="83" t="n"/>
      <c r="I730" s="83" t="n"/>
      <c r="J730" s="83" t="n"/>
      <c r="K730" s="83" t="n"/>
      <c r="L730" s="83" t="n"/>
      <c r="M730" s="83" t="n"/>
      <c r="N730" s="83" t="n"/>
      <c r="O730" s="83" t="n"/>
      <c r="P730" s="83" t="n"/>
      <c r="Q730" s="83" t="n"/>
      <c r="R730" s="83" t="n"/>
      <c r="S730" s="83" t="n"/>
      <c r="T730" s="83" t="n"/>
      <c r="U730" s="83" t="n"/>
      <c r="V730" s="83" t="n"/>
      <c r="W730" s="83" t="n"/>
      <c r="X730" s="83" t="n"/>
      <c r="Y730" s="83" t="n"/>
      <c r="Z730" s="83" t="n"/>
      <c r="AA730" s="83" t="n"/>
      <c r="AB730" s="83" t="n"/>
      <c r="AC730" s="83" t="n"/>
      <c r="AD730" s="83" t="n"/>
      <c r="AE730" s="83" t="n"/>
      <c r="AF730" s="83" t="n"/>
      <c r="AG730" s="83" t="n"/>
      <c r="AH730" s="83" t="n"/>
      <c r="AI730" s="83" t="n"/>
      <c r="AJ730" s="83" t="n"/>
      <c r="AK730" s="83" t="n"/>
      <c r="AL730" s="83" t="n"/>
      <c r="AM730" s="83" t="n"/>
      <c r="AN730" s="83" t="n"/>
      <c r="AO730" s="83" t="n"/>
      <c r="AP730" s="83" t="n"/>
      <c r="AQ730" s="83" t="n"/>
      <c r="AR730" s="83" t="n"/>
    </row>
    <row r="731">
      <c r="D731" s="84" t="n"/>
      <c r="E731" s="84" t="n"/>
      <c r="F731" s="84" t="n"/>
      <c r="G731" s="84" t="n"/>
      <c r="H731" s="84" t="n"/>
      <c r="I731" s="84" t="n"/>
      <c r="J731" s="84" t="n"/>
      <c r="K731" s="84" t="n"/>
      <c r="L731" s="84" t="n"/>
      <c r="M731" s="84" t="n"/>
      <c r="N731" s="84" t="n"/>
      <c r="O731" s="84" t="n"/>
      <c r="P731" s="84" t="n"/>
      <c r="Q731" s="84" t="n"/>
      <c r="R731" s="84" t="n"/>
      <c r="S731" s="84" t="n"/>
      <c r="T731" s="84" t="n"/>
      <c r="U731" s="84" t="n"/>
      <c r="V731" s="84" t="n"/>
      <c r="W731" s="84" t="n"/>
      <c r="X731" s="84" t="n"/>
      <c r="Y731" s="84" t="n"/>
      <c r="Z731" s="84" t="n"/>
      <c r="AA731" s="84" t="n"/>
      <c r="AB731" s="84" t="n"/>
      <c r="AC731" s="84" t="n"/>
      <c r="AD731" s="84" t="n"/>
      <c r="AE731" s="84" t="n"/>
      <c r="AF731" s="84" t="n"/>
      <c r="AG731" s="84" t="n"/>
      <c r="AH731" s="84" t="n"/>
      <c r="AI731" s="84" t="n"/>
      <c r="AJ731" s="84" t="n"/>
      <c r="AK731" s="84" t="n"/>
      <c r="AL731" s="84" t="n"/>
      <c r="AM731" s="84" t="n"/>
      <c r="AN731" s="84" t="n"/>
      <c r="AO731" s="84" t="n"/>
      <c r="AP731" s="84" t="n"/>
      <c r="AQ731" s="84" t="n"/>
      <c r="AR731" s="84" t="n"/>
    </row>
    <row r="732">
      <c r="D732" s="80" t="n"/>
      <c r="E732" s="80" t="n"/>
      <c r="F732" s="80" t="n"/>
      <c r="G732" s="80" t="n"/>
      <c r="H732" s="80" t="n"/>
      <c r="I732" s="80" t="n"/>
      <c r="J732" s="80" t="n"/>
      <c r="K732" s="80" t="n"/>
      <c r="L732" s="80" t="n"/>
      <c r="M732" s="80" t="n"/>
      <c r="N732" s="80" t="n"/>
      <c r="O732" s="80" t="n"/>
      <c r="P732" s="80" t="n"/>
      <c r="Q732" s="80" t="n"/>
      <c r="R732" s="80" t="n"/>
      <c r="S732" s="80" t="n"/>
      <c r="T732" s="80" t="n"/>
      <c r="U732" s="80" t="n"/>
      <c r="V732" s="80" t="n"/>
      <c r="W732" s="80" t="n"/>
      <c r="X732" s="80" t="n"/>
      <c r="Y732" s="80" t="n"/>
      <c r="Z732" s="80" t="n"/>
      <c r="AA732" s="80" t="n"/>
      <c r="AB732" s="80" t="n"/>
      <c r="AC732" s="80" t="n"/>
      <c r="AD732" s="80" t="n"/>
      <c r="AE732" s="80" t="n"/>
      <c r="AF732" s="80" t="n"/>
      <c r="AG732" s="80" t="n"/>
      <c r="AH732" s="80" t="n"/>
      <c r="AI732" s="80" t="n"/>
      <c r="AJ732" s="80" t="n"/>
      <c r="AK732" s="80" t="n"/>
      <c r="AL732" s="80" t="n"/>
      <c r="AM732" s="80" t="n"/>
      <c r="AN732" s="80" t="n"/>
      <c r="AO732" s="80" t="n"/>
      <c r="AP732" s="80" t="n"/>
      <c r="AQ732" s="80" t="n"/>
      <c r="AR732" s="80" t="n"/>
    </row>
    <row r="733">
      <c r="D733" s="80" t="n"/>
      <c r="E733" s="80" t="n"/>
      <c r="F733" s="80" t="n"/>
      <c r="G733" s="80" t="n"/>
      <c r="H733" s="80" t="n"/>
      <c r="I733" s="80" t="n"/>
      <c r="J733" s="80" t="n"/>
      <c r="K733" s="80" t="n"/>
      <c r="L733" s="80" t="n"/>
      <c r="M733" s="80" t="n"/>
      <c r="N733" s="80" t="n"/>
      <c r="O733" s="80" t="n"/>
      <c r="P733" s="80" t="n"/>
      <c r="Q733" s="80" t="n"/>
      <c r="R733" s="80" t="n"/>
      <c r="S733" s="80" t="n"/>
      <c r="T733" s="80" t="n"/>
      <c r="U733" s="80" t="n"/>
      <c r="V733" s="80" t="n"/>
      <c r="W733" s="80" t="n"/>
      <c r="X733" s="80" t="n"/>
      <c r="Y733" s="80" t="n"/>
      <c r="Z733" s="80" t="n"/>
      <c r="AA733" s="80" t="n"/>
      <c r="AB733" s="80" t="n"/>
      <c r="AC733" s="80" t="n"/>
      <c r="AD733" s="80" t="n"/>
      <c r="AE733" s="80" t="n"/>
      <c r="AF733" s="80" t="n"/>
      <c r="AG733" s="80" t="n"/>
      <c r="AH733" s="80" t="n"/>
      <c r="AI733" s="80" t="n"/>
      <c r="AJ733" s="80" t="n"/>
      <c r="AK733" s="80" t="n"/>
      <c r="AL733" s="80" t="n"/>
      <c r="AM733" s="80" t="n"/>
      <c r="AN733" s="80" t="n"/>
      <c r="AO733" s="80" t="n"/>
      <c r="AP733" s="80" t="n"/>
      <c r="AQ733" s="80" t="n"/>
      <c r="AR733" s="80" t="n"/>
    </row>
    <row r="734">
      <c r="D734" s="80" t="n"/>
      <c r="E734" s="80" t="n"/>
      <c r="F734" s="80" t="n"/>
      <c r="G734" s="80" t="n"/>
      <c r="H734" s="80" t="n"/>
      <c r="I734" s="80" t="n"/>
      <c r="J734" s="80" t="n"/>
      <c r="K734" s="80" t="n"/>
      <c r="L734" s="80" t="n"/>
      <c r="M734" s="80" t="n"/>
      <c r="N734" s="80" t="n"/>
      <c r="O734" s="80" t="n"/>
      <c r="P734" s="80" t="n"/>
      <c r="Q734" s="80" t="n"/>
      <c r="R734" s="80" t="n"/>
      <c r="S734" s="80" t="n"/>
      <c r="T734" s="80" t="n"/>
      <c r="U734" s="80" t="n"/>
      <c r="V734" s="80" t="n"/>
      <c r="W734" s="80" t="n"/>
      <c r="X734" s="80" t="n"/>
      <c r="Y734" s="80" t="n"/>
      <c r="Z734" s="80" t="n"/>
      <c r="AA734" s="80" t="n"/>
      <c r="AB734" s="80" t="n"/>
      <c r="AC734" s="80" t="n"/>
      <c r="AD734" s="80" t="n"/>
      <c r="AE734" s="80" t="n"/>
      <c r="AF734" s="80" t="n"/>
      <c r="AG734" s="80" t="n"/>
      <c r="AH734" s="80" t="n"/>
      <c r="AI734" s="80" t="n"/>
      <c r="AJ734" s="80" t="n"/>
      <c r="AK734" s="80" t="n"/>
      <c r="AL734" s="80" t="n"/>
      <c r="AM734" s="80" t="n"/>
      <c r="AN734" s="80" t="n"/>
      <c r="AO734" s="80" t="n"/>
      <c r="AP734" s="80" t="n"/>
      <c r="AQ734" s="80" t="n"/>
      <c r="AR734" s="80" t="n"/>
    </row>
    <row r="735">
      <c r="D735" s="80" t="n"/>
      <c r="E735" s="80" t="n"/>
      <c r="F735" s="80" t="n"/>
      <c r="G735" s="80" t="n"/>
      <c r="H735" s="80" t="n"/>
      <c r="I735" s="80" t="n"/>
      <c r="J735" s="80" t="n"/>
      <c r="K735" s="80" t="n"/>
      <c r="L735" s="80" t="n"/>
      <c r="M735" s="80" t="n"/>
      <c r="N735" s="80" t="n"/>
      <c r="O735" s="80" t="n"/>
      <c r="P735" s="80" t="n"/>
      <c r="Q735" s="80" t="n"/>
      <c r="R735" s="80" t="n"/>
      <c r="S735" s="80" t="n"/>
      <c r="T735" s="80" t="n"/>
      <c r="U735" s="80" t="n"/>
      <c r="V735" s="80" t="n"/>
      <c r="W735" s="80" t="n"/>
      <c r="X735" s="80" t="n"/>
      <c r="Y735" s="80" t="n"/>
      <c r="Z735" s="80" t="n"/>
      <c r="AA735" s="80" t="n"/>
      <c r="AB735" s="80" t="n"/>
      <c r="AC735" s="80" t="n"/>
      <c r="AD735" s="80" t="n"/>
      <c r="AE735" s="80" t="n"/>
      <c r="AF735" s="80" t="n"/>
      <c r="AG735" s="80" t="n"/>
      <c r="AH735" s="80" t="n"/>
      <c r="AI735" s="80" t="n"/>
      <c r="AJ735" s="80" t="n"/>
      <c r="AK735" s="80" t="n"/>
      <c r="AL735" s="80" t="n"/>
      <c r="AM735" s="80" t="n"/>
      <c r="AN735" s="80" t="n"/>
      <c r="AO735" s="80" t="n"/>
      <c r="AP735" s="80" t="n"/>
      <c r="AQ735" s="80" t="n"/>
      <c r="AR735" s="80" t="n"/>
    </row>
    <row r="736">
      <c r="A736" s="2">
        <f>IF($A729="","","   projections")</f>
        <v/>
      </c>
      <c r="B736" s="41">
        <f>IF($A729="",0,COUNT($E737:$AR737))</f>
        <v/>
      </c>
      <c r="C736" s="81">
        <f>IF($B736=0,0,MAX($E737:$AR737))</f>
        <v/>
      </c>
      <c r="D736" s="82">
        <f>BDS($A729,'Field Check'!$C$6,"headers=y","startcol=1","endcol=7","dir=h")</f>
        <v/>
      </c>
      <c r="E736" s="83" t="n"/>
      <c r="F736" s="83" t="n"/>
      <c r="G736" s="83" t="n"/>
      <c r="H736" s="83" t="n"/>
      <c r="I736" s="83" t="n"/>
      <c r="J736" s="83" t="n"/>
      <c r="K736" s="83" t="n"/>
      <c r="L736" s="83" t="n"/>
      <c r="M736" s="83" t="n"/>
      <c r="N736" s="83" t="n"/>
      <c r="O736" s="83" t="n"/>
      <c r="P736" s="83" t="n"/>
      <c r="Q736" s="83" t="n"/>
      <c r="R736" s="83" t="n"/>
      <c r="S736" s="83" t="n"/>
      <c r="T736" s="83" t="n"/>
      <c r="U736" s="83" t="n"/>
      <c r="V736" s="83" t="n"/>
      <c r="W736" s="83" t="n"/>
      <c r="X736" s="83" t="n"/>
      <c r="Y736" s="83" t="n"/>
      <c r="Z736" s="83" t="n"/>
      <c r="AA736" s="83" t="n"/>
      <c r="AB736" s="83" t="n"/>
      <c r="AC736" s="83" t="n"/>
      <c r="AD736" s="83" t="n"/>
      <c r="AE736" s="83" t="n"/>
      <c r="AF736" s="83" t="n"/>
      <c r="AG736" s="83" t="n"/>
      <c r="AH736" s="83" t="n"/>
      <c r="AI736" s="83" t="n"/>
      <c r="AJ736" s="83" t="n"/>
      <c r="AK736" s="83" t="n"/>
      <c r="AL736" s="83" t="n"/>
      <c r="AM736" s="83" t="n"/>
      <c r="AN736" s="83" t="n"/>
      <c r="AO736" s="83" t="n"/>
      <c r="AP736" s="83" t="n"/>
      <c r="AQ736" s="83" t="n"/>
      <c r="AR736" s="83" t="n"/>
    </row>
    <row r="737">
      <c r="D737" s="83" t="n"/>
      <c r="E737" s="83" t="n"/>
      <c r="F737" s="83" t="n"/>
      <c r="G737" s="83" t="n"/>
      <c r="H737" s="83" t="n"/>
      <c r="I737" s="83" t="n"/>
      <c r="J737" s="83" t="n"/>
      <c r="K737" s="83" t="n"/>
      <c r="L737" s="83" t="n"/>
      <c r="M737" s="83" t="n"/>
      <c r="N737" s="83" t="n"/>
      <c r="O737" s="83" t="n"/>
      <c r="P737" s="83" t="n"/>
      <c r="Q737" s="83" t="n"/>
      <c r="R737" s="83" t="n"/>
      <c r="S737" s="83" t="n"/>
      <c r="T737" s="83" t="n"/>
      <c r="U737" s="83" t="n"/>
      <c r="V737" s="83" t="n"/>
      <c r="W737" s="83" t="n"/>
      <c r="X737" s="83" t="n"/>
      <c r="Y737" s="83" t="n"/>
      <c r="Z737" s="83" t="n"/>
      <c r="AA737" s="83" t="n"/>
      <c r="AB737" s="83" t="n"/>
      <c r="AC737" s="83" t="n"/>
      <c r="AD737" s="83" t="n"/>
      <c r="AE737" s="83" t="n"/>
      <c r="AF737" s="83" t="n"/>
      <c r="AG737" s="83" t="n"/>
      <c r="AH737" s="83" t="n"/>
      <c r="AI737" s="83" t="n"/>
      <c r="AJ737" s="83" t="n"/>
      <c r="AK737" s="83" t="n"/>
      <c r="AL737" s="83" t="n"/>
      <c r="AM737" s="83" t="n"/>
      <c r="AN737" s="83" t="n"/>
      <c r="AO737" s="83" t="n"/>
      <c r="AP737" s="83" t="n"/>
      <c r="AQ737" s="83" t="n"/>
      <c r="AR737" s="83" t="n"/>
    </row>
    <row r="738">
      <c r="D738" s="84" t="n"/>
      <c r="E738" s="84" t="n"/>
      <c r="F738" s="84" t="n"/>
      <c r="G738" s="84" t="n"/>
      <c r="H738" s="84" t="n"/>
      <c r="I738" s="84" t="n"/>
      <c r="J738" s="84" t="n"/>
      <c r="K738" s="84" t="n"/>
      <c r="L738" s="84" t="n"/>
      <c r="M738" s="84" t="n"/>
      <c r="N738" s="84" t="n"/>
      <c r="O738" s="84" t="n"/>
      <c r="P738" s="84" t="n"/>
      <c r="Q738" s="84" t="n"/>
      <c r="R738" s="84" t="n"/>
      <c r="S738" s="84" t="n"/>
      <c r="T738" s="84" t="n"/>
      <c r="U738" s="84" t="n"/>
      <c r="V738" s="84" t="n"/>
      <c r="W738" s="84" t="n"/>
      <c r="X738" s="84" t="n"/>
      <c r="Y738" s="84" t="n"/>
      <c r="Z738" s="84" t="n"/>
      <c r="AA738" s="84" t="n"/>
      <c r="AB738" s="84" t="n"/>
      <c r="AC738" s="84" t="n"/>
      <c r="AD738" s="84" t="n"/>
      <c r="AE738" s="84" t="n"/>
      <c r="AF738" s="84" t="n"/>
      <c r="AG738" s="84" t="n"/>
      <c r="AH738" s="84" t="n"/>
      <c r="AI738" s="84" t="n"/>
      <c r="AJ738" s="84" t="n"/>
      <c r="AK738" s="84" t="n"/>
      <c r="AL738" s="84" t="n"/>
      <c r="AM738" s="84" t="n"/>
      <c r="AN738" s="84" t="n"/>
      <c r="AO738" s="84" t="n"/>
      <c r="AP738" s="84" t="n"/>
      <c r="AQ738" s="84" t="n"/>
      <c r="AR738" s="84" t="n"/>
    </row>
    <row r="739">
      <c r="D739" s="80" t="n"/>
      <c r="E739" s="80" t="n"/>
      <c r="F739" s="80" t="n"/>
      <c r="G739" s="80" t="n"/>
      <c r="H739" s="80" t="n"/>
      <c r="I739" s="80" t="n"/>
      <c r="J739" s="80" t="n"/>
      <c r="K739" s="80" t="n"/>
      <c r="L739" s="80" t="n"/>
      <c r="M739" s="80" t="n"/>
      <c r="N739" s="80" t="n"/>
      <c r="O739" s="80" t="n"/>
      <c r="P739" s="80" t="n"/>
      <c r="Q739" s="80" t="n"/>
      <c r="R739" s="80" t="n"/>
      <c r="S739" s="80" t="n"/>
      <c r="T739" s="80" t="n"/>
      <c r="U739" s="80" t="n"/>
      <c r="V739" s="80" t="n"/>
      <c r="W739" s="80" t="n"/>
      <c r="X739" s="80" t="n"/>
      <c r="Y739" s="80" t="n"/>
      <c r="Z739" s="80" t="n"/>
      <c r="AA739" s="80" t="n"/>
      <c r="AB739" s="80" t="n"/>
      <c r="AC739" s="80" t="n"/>
      <c r="AD739" s="80" t="n"/>
      <c r="AE739" s="80" t="n"/>
      <c r="AF739" s="80" t="n"/>
      <c r="AG739" s="80" t="n"/>
      <c r="AH739" s="80" t="n"/>
      <c r="AI739" s="80" t="n"/>
      <c r="AJ739" s="80" t="n"/>
      <c r="AK739" s="80" t="n"/>
      <c r="AL739" s="80" t="n"/>
      <c r="AM739" s="80" t="n"/>
      <c r="AN739" s="80" t="n"/>
      <c r="AO739" s="80" t="n"/>
      <c r="AP739" s="80" t="n"/>
      <c r="AQ739" s="80" t="n"/>
      <c r="AR739" s="80" t="n"/>
    </row>
    <row r="740">
      <c r="D740" s="80" t="n"/>
      <c r="E740" s="80" t="n"/>
      <c r="F740" s="80" t="n"/>
      <c r="G740" s="80" t="n"/>
      <c r="H740" s="80" t="n"/>
      <c r="I740" s="80" t="n"/>
      <c r="J740" s="80" t="n"/>
      <c r="K740" s="80" t="n"/>
      <c r="L740" s="80" t="n"/>
      <c r="M740" s="80" t="n"/>
      <c r="N740" s="80" t="n"/>
      <c r="O740" s="80" t="n"/>
      <c r="P740" s="80" t="n"/>
      <c r="Q740" s="80" t="n"/>
      <c r="R740" s="80" t="n"/>
      <c r="S740" s="80" t="n"/>
      <c r="T740" s="80" t="n"/>
      <c r="U740" s="80" t="n"/>
      <c r="V740" s="80" t="n"/>
      <c r="W740" s="80" t="n"/>
      <c r="X740" s="80" t="n"/>
      <c r="Y740" s="80" t="n"/>
      <c r="Z740" s="80" t="n"/>
      <c r="AA740" s="80" t="n"/>
      <c r="AB740" s="80" t="n"/>
      <c r="AC740" s="80" t="n"/>
      <c r="AD740" s="80" t="n"/>
      <c r="AE740" s="80" t="n"/>
      <c r="AF740" s="80" t="n"/>
      <c r="AG740" s="80" t="n"/>
      <c r="AH740" s="80" t="n"/>
      <c r="AI740" s="80" t="n"/>
      <c r="AJ740" s="80" t="n"/>
      <c r="AK740" s="80" t="n"/>
      <c r="AL740" s="80" t="n"/>
      <c r="AM740" s="80" t="n"/>
      <c r="AN740" s="80" t="n"/>
      <c r="AO740" s="80" t="n"/>
      <c r="AP740" s="80" t="n"/>
      <c r="AQ740" s="80" t="n"/>
      <c r="AR740" s="80" t="n"/>
    </row>
    <row r="741">
      <c r="D741" s="80" t="n"/>
      <c r="E741" s="80" t="n"/>
      <c r="F741" s="80" t="n"/>
      <c r="G741" s="80" t="n"/>
      <c r="H741" s="80" t="n"/>
      <c r="I741" s="80" t="n"/>
      <c r="J741" s="80" t="n"/>
      <c r="K741" s="80" t="n"/>
      <c r="L741" s="80" t="n"/>
      <c r="M741" s="80" t="n"/>
      <c r="N741" s="80" t="n"/>
      <c r="O741" s="80" t="n"/>
      <c r="P741" s="80" t="n"/>
      <c r="Q741" s="80" t="n"/>
      <c r="R741" s="80" t="n"/>
      <c r="S741" s="80" t="n"/>
      <c r="T741" s="80" t="n"/>
      <c r="U741" s="80" t="n"/>
      <c r="V741" s="80" t="n"/>
      <c r="W741" s="80" t="n"/>
      <c r="X741" s="80" t="n"/>
      <c r="Y741" s="80" t="n"/>
      <c r="Z741" s="80" t="n"/>
      <c r="AA741" s="80" t="n"/>
      <c r="AB741" s="80" t="n"/>
      <c r="AC741" s="80" t="n"/>
      <c r="AD741" s="80" t="n"/>
      <c r="AE741" s="80" t="n"/>
      <c r="AF741" s="80" t="n"/>
      <c r="AG741" s="80" t="n"/>
      <c r="AH741" s="80" t="n"/>
      <c r="AI741" s="80" t="n"/>
      <c r="AJ741" s="80" t="n"/>
      <c r="AK741" s="80" t="n"/>
      <c r="AL741" s="80" t="n"/>
      <c r="AM741" s="80" t="n"/>
      <c r="AN741" s="80" t="n"/>
      <c r="AO741" s="80" t="n"/>
      <c r="AP741" s="80" t="n"/>
      <c r="AQ741" s="80" t="n"/>
      <c r="AR741" s="80" t="n"/>
    </row>
    <row r="742">
      <c r="D742" s="80" t="n"/>
      <c r="E742" s="80" t="n"/>
      <c r="F742" s="80" t="n"/>
      <c r="G742" s="80" t="n"/>
      <c r="H742" s="80" t="n"/>
      <c r="I742" s="80" t="n"/>
      <c r="J742" s="80" t="n"/>
      <c r="K742" s="80" t="n"/>
      <c r="L742" s="80" t="n"/>
      <c r="M742" s="80" t="n"/>
      <c r="N742" s="80" t="n"/>
      <c r="O742" s="80" t="n"/>
      <c r="P742" s="80" t="n"/>
      <c r="Q742" s="80" t="n"/>
      <c r="R742" s="80" t="n"/>
      <c r="S742" s="80" t="n"/>
      <c r="T742" s="80" t="n"/>
      <c r="U742" s="80" t="n"/>
      <c r="V742" s="80" t="n"/>
      <c r="W742" s="80" t="n"/>
      <c r="X742" s="80" t="n"/>
      <c r="Y742" s="80" t="n"/>
      <c r="Z742" s="80" t="n"/>
      <c r="AA742" s="80" t="n"/>
      <c r="AB742" s="80" t="n"/>
      <c r="AC742" s="80" t="n"/>
      <c r="AD742" s="80" t="n"/>
      <c r="AE742" s="80" t="n"/>
      <c r="AF742" s="80" t="n"/>
      <c r="AG742" s="80" t="n"/>
      <c r="AH742" s="80" t="n"/>
      <c r="AI742" s="80" t="n"/>
      <c r="AJ742" s="80" t="n"/>
      <c r="AK742" s="80" t="n"/>
      <c r="AL742" s="80" t="n"/>
      <c r="AM742" s="80" t="n"/>
      <c r="AN742" s="80" t="n"/>
      <c r="AO742" s="80" t="n"/>
      <c r="AP742" s="80" t="n"/>
      <c r="AQ742" s="80" t="n"/>
      <c r="AR742" s="80" t="n"/>
    </row>
    <row r="744">
      <c r="A744" s="6">
        <f>IF(HSI!$C$56="","",HSI!$C$56)</f>
        <v/>
      </c>
      <c r="B744" s="41">
        <f>IF($A744="",0,COUNT($E745:$AR745))</f>
        <v/>
      </c>
      <c r="C744" s="81">
        <f>IF($B744=0,0,MAX($E745:$AR745))</f>
        <v/>
      </c>
      <c r="D744" s="82">
        <f>BDS($A744,'Field Check'!$C$7,"headers=y","startcol=1","endcol=7","dir=h","DVD_START_DT",Summary!$C$18,"DVD_END_DT",Summary!$D$18)</f>
        <v/>
      </c>
      <c r="E744" s="83" t="n"/>
      <c r="F744" s="83" t="n"/>
      <c r="G744" s="83" t="n"/>
      <c r="H744" s="83" t="n"/>
      <c r="I744" s="83" t="n"/>
      <c r="J744" s="83" t="n"/>
      <c r="K744" s="83" t="n"/>
      <c r="L744" s="83" t="n"/>
      <c r="M744" s="83" t="n"/>
      <c r="N744" s="83" t="n"/>
      <c r="O744" s="83" t="n"/>
      <c r="P744" s="83" t="n"/>
      <c r="Q744" s="83" t="n"/>
      <c r="R744" s="83" t="n"/>
      <c r="S744" s="83" t="n"/>
      <c r="T744" s="83" t="n"/>
      <c r="U744" s="83" t="n"/>
      <c r="V744" s="83" t="n"/>
      <c r="W744" s="83" t="n"/>
      <c r="X744" s="83" t="n"/>
      <c r="Y744" s="83" t="n"/>
      <c r="Z744" s="83" t="n"/>
      <c r="AA744" s="83" t="n"/>
      <c r="AB744" s="83" t="n"/>
      <c r="AC744" s="83" t="n"/>
      <c r="AD744" s="83" t="n"/>
      <c r="AE744" s="83" t="n"/>
      <c r="AF744" s="83" t="n"/>
      <c r="AG744" s="83" t="n"/>
      <c r="AH744" s="83" t="n"/>
      <c r="AI744" s="83" t="n"/>
      <c r="AJ744" s="83" t="n"/>
      <c r="AK744" s="83" t="n"/>
      <c r="AL744" s="83" t="n"/>
      <c r="AM744" s="83" t="n"/>
      <c r="AN744" s="83" t="n"/>
      <c r="AO744" s="83" t="n"/>
      <c r="AP744" s="83" t="n"/>
      <c r="AQ744" s="83" t="n"/>
      <c r="AR744" s="83" t="n"/>
    </row>
    <row r="745">
      <c r="D745" s="83" t="n"/>
      <c r="E745" s="83" t="n"/>
      <c r="F745" s="83" t="n"/>
      <c r="G745" s="83" t="n"/>
      <c r="H745" s="83" t="n"/>
      <c r="I745" s="83" t="n"/>
      <c r="J745" s="83" t="n"/>
      <c r="K745" s="83" t="n"/>
      <c r="L745" s="83" t="n"/>
      <c r="M745" s="83" t="n"/>
      <c r="N745" s="83" t="n"/>
      <c r="O745" s="83" t="n"/>
      <c r="P745" s="83" t="n"/>
      <c r="Q745" s="83" t="n"/>
      <c r="R745" s="83" t="n"/>
      <c r="S745" s="83" t="n"/>
      <c r="T745" s="83" t="n"/>
      <c r="U745" s="83" t="n"/>
      <c r="V745" s="83" t="n"/>
      <c r="W745" s="83" t="n"/>
      <c r="X745" s="83" t="n"/>
      <c r="Y745" s="83" t="n"/>
      <c r="Z745" s="83" t="n"/>
      <c r="AA745" s="83" t="n"/>
      <c r="AB745" s="83" t="n"/>
      <c r="AC745" s="83" t="n"/>
      <c r="AD745" s="83" t="n"/>
      <c r="AE745" s="83" t="n"/>
      <c r="AF745" s="83" t="n"/>
      <c r="AG745" s="83" t="n"/>
      <c r="AH745" s="83" t="n"/>
      <c r="AI745" s="83" t="n"/>
      <c r="AJ745" s="83" t="n"/>
      <c r="AK745" s="83" t="n"/>
      <c r="AL745" s="83" t="n"/>
      <c r="AM745" s="83" t="n"/>
      <c r="AN745" s="83" t="n"/>
      <c r="AO745" s="83" t="n"/>
      <c r="AP745" s="83" t="n"/>
      <c r="AQ745" s="83" t="n"/>
      <c r="AR745" s="83" t="n"/>
    </row>
    <row r="746">
      <c r="D746" s="84" t="n"/>
      <c r="E746" s="84" t="n"/>
      <c r="F746" s="84" t="n"/>
      <c r="G746" s="84" t="n"/>
      <c r="H746" s="84" t="n"/>
      <c r="I746" s="84" t="n"/>
      <c r="J746" s="84" t="n"/>
      <c r="K746" s="84" t="n"/>
      <c r="L746" s="84" t="n"/>
      <c r="M746" s="84" t="n"/>
      <c r="N746" s="84" t="n"/>
      <c r="O746" s="84" t="n"/>
      <c r="P746" s="84" t="n"/>
      <c r="Q746" s="84" t="n"/>
      <c r="R746" s="84" t="n"/>
      <c r="S746" s="84" t="n"/>
      <c r="T746" s="84" t="n"/>
      <c r="U746" s="84" t="n"/>
      <c r="V746" s="84" t="n"/>
      <c r="W746" s="84" t="n"/>
      <c r="X746" s="84" t="n"/>
      <c r="Y746" s="84" t="n"/>
      <c r="Z746" s="84" t="n"/>
      <c r="AA746" s="84" t="n"/>
      <c r="AB746" s="84" t="n"/>
      <c r="AC746" s="84" t="n"/>
      <c r="AD746" s="84" t="n"/>
      <c r="AE746" s="84" t="n"/>
      <c r="AF746" s="84" t="n"/>
      <c r="AG746" s="84" t="n"/>
      <c r="AH746" s="84" t="n"/>
      <c r="AI746" s="84" t="n"/>
      <c r="AJ746" s="84" t="n"/>
      <c r="AK746" s="84" t="n"/>
      <c r="AL746" s="84" t="n"/>
      <c r="AM746" s="84" t="n"/>
      <c r="AN746" s="84" t="n"/>
      <c r="AO746" s="84" t="n"/>
      <c r="AP746" s="84" t="n"/>
      <c r="AQ746" s="84" t="n"/>
      <c r="AR746" s="84" t="n"/>
    </row>
    <row r="747">
      <c r="D747" s="80" t="n"/>
      <c r="E747" s="80" t="n"/>
      <c r="F747" s="80" t="n"/>
      <c r="G747" s="80" t="n"/>
      <c r="H747" s="80" t="n"/>
      <c r="I747" s="80" t="n"/>
      <c r="J747" s="80" t="n"/>
      <c r="K747" s="80" t="n"/>
      <c r="L747" s="80" t="n"/>
      <c r="M747" s="80" t="n"/>
      <c r="N747" s="80" t="n"/>
      <c r="O747" s="80" t="n"/>
      <c r="P747" s="80" t="n"/>
      <c r="Q747" s="80" t="n"/>
      <c r="R747" s="80" t="n"/>
      <c r="S747" s="80" t="n"/>
      <c r="T747" s="80" t="n"/>
      <c r="U747" s="80" t="n"/>
      <c r="V747" s="80" t="n"/>
      <c r="W747" s="80" t="n"/>
      <c r="X747" s="80" t="n"/>
      <c r="Y747" s="80" t="n"/>
      <c r="Z747" s="80" t="n"/>
      <c r="AA747" s="80" t="n"/>
      <c r="AB747" s="80" t="n"/>
      <c r="AC747" s="80" t="n"/>
      <c r="AD747" s="80" t="n"/>
      <c r="AE747" s="80" t="n"/>
      <c r="AF747" s="80" t="n"/>
      <c r="AG747" s="80" t="n"/>
      <c r="AH747" s="80" t="n"/>
      <c r="AI747" s="80" t="n"/>
      <c r="AJ747" s="80" t="n"/>
      <c r="AK747" s="80" t="n"/>
      <c r="AL747" s="80" t="n"/>
      <c r="AM747" s="80" t="n"/>
      <c r="AN747" s="80" t="n"/>
      <c r="AO747" s="80" t="n"/>
      <c r="AP747" s="80" t="n"/>
      <c r="AQ747" s="80" t="n"/>
      <c r="AR747" s="80" t="n"/>
    </row>
    <row r="748">
      <c r="D748" s="80" t="n"/>
      <c r="E748" s="80" t="n"/>
      <c r="F748" s="80" t="n"/>
      <c r="G748" s="80" t="n"/>
      <c r="H748" s="80" t="n"/>
      <c r="I748" s="80" t="n"/>
      <c r="J748" s="80" t="n"/>
      <c r="K748" s="80" t="n"/>
      <c r="L748" s="80" t="n"/>
      <c r="M748" s="80" t="n"/>
      <c r="N748" s="80" t="n"/>
      <c r="O748" s="80" t="n"/>
      <c r="P748" s="80" t="n"/>
      <c r="Q748" s="80" t="n"/>
      <c r="R748" s="80" t="n"/>
      <c r="S748" s="80" t="n"/>
      <c r="T748" s="80" t="n"/>
      <c r="U748" s="80" t="n"/>
      <c r="V748" s="80" t="n"/>
      <c r="W748" s="80" t="n"/>
      <c r="X748" s="80" t="n"/>
      <c r="Y748" s="80" t="n"/>
      <c r="Z748" s="80" t="n"/>
      <c r="AA748" s="80" t="n"/>
      <c r="AB748" s="80" t="n"/>
      <c r="AC748" s="80" t="n"/>
      <c r="AD748" s="80" t="n"/>
      <c r="AE748" s="80" t="n"/>
      <c r="AF748" s="80" t="n"/>
      <c r="AG748" s="80" t="n"/>
      <c r="AH748" s="80" t="n"/>
      <c r="AI748" s="80" t="n"/>
      <c r="AJ748" s="80" t="n"/>
      <c r="AK748" s="80" t="n"/>
      <c r="AL748" s="80" t="n"/>
      <c r="AM748" s="80" t="n"/>
      <c r="AN748" s="80" t="n"/>
      <c r="AO748" s="80" t="n"/>
      <c r="AP748" s="80" t="n"/>
      <c r="AQ748" s="80" t="n"/>
      <c r="AR748" s="80" t="n"/>
    </row>
    <row r="749">
      <c r="D749" s="80" t="n"/>
      <c r="E749" s="80" t="n"/>
      <c r="F749" s="80" t="n"/>
      <c r="G749" s="80" t="n"/>
      <c r="H749" s="80" t="n"/>
      <c r="I749" s="80" t="n"/>
      <c r="J749" s="80" t="n"/>
      <c r="K749" s="80" t="n"/>
      <c r="L749" s="80" t="n"/>
      <c r="M749" s="80" t="n"/>
      <c r="N749" s="80" t="n"/>
      <c r="O749" s="80" t="n"/>
      <c r="P749" s="80" t="n"/>
      <c r="Q749" s="80" t="n"/>
      <c r="R749" s="80" t="n"/>
      <c r="S749" s="80" t="n"/>
      <c r="T749" s="80" t="n"/>
      <c r="U749" s="80" t="n"/>
      <c r="V749" s="80" t="n"/>
      <c r="W749" s="80" t="n"/>
      <c r="X749" s="80" t="n"/>
      <c r="Y749" s="80" t="n"/>
      <c r="Z749" s="80" t="n"/>
      <c r="AA749" s="80" t="n"/>
      <c r="AB749" s="80" t="n"/>
      <c r="AC749" s="80" t="n"/>
      <c r="AD749" s="80" t="n"/>
      <c r="AE749" s="80" t="n"/>
      <c r="AF749" s="80" t="n"/>
      <c r="AG749" s="80" t="n"/>
      <c r="AH749" s="80" t="n"/>
      <c r="AI749" s="80" t="n"/>
      <c r="AJ749" s="80" t="n"/>
      <c r="AK749" s="80" t="n"/>
      <c r="AL749" s="80" t="n"/>
      <c r="AM749" s="80" t="n"/>
      <c r="AN749" s="80" t="n"/>
      <c r="AO749" s="80" t="n"/>
      <c r="AP749" s="80" t="n"/>
      <c r="AQ749" s="80" t="n"/>
      <c r="AR749" s="80" t="n"/>
    </row>
    <row r="750">
      <c r="D750" s="80" t="n"/>
      <c r="E750" s="80" t="n"/>
      <c r="F750" s="80" t="n"/>
      <c r="G750" s="80" t="n"/>
      <c r="H750" s="80" t="n"/>
      <c r="I750" s="80" t="n"/>
      <c r="J750" s="80" t="n"/>
      <c r="K750" s="80" t="n"/>
      <c r="L750" s="80" t="n"/>
      <c r="M750" s="80" t="n"/>
      <c r="N750" s="80" t="n"/>
      <c r="O750" s="80" t="n"/>
      <c r="P750" s="80" t="n"/>
      <c r="Q750" s="80" t="n"/>
      <c r="R750" s="80" t="n"/>
      <c r="S750" s="80" t="n"/>
      <c r="T750" s="80" t="n"/>
      <c r="U750" s="80" t="n"/>
      <c r="V750" s="80" t="n"/>
      <c r="W750" s="80" t="n"/>
      <c r="X750" s="80" t="n"/>
      <c r="Y750" s="80" t="n"/>
      <c r="Z750" s="80" t="n"/>
      <c r="AA750" s="80" t="n"/>
      <c r="AB750" s="80" t="n"/>
      <c r="AC750" s="80" t="n"/>
      <c r="AD750" s="80" t="n"/>
      <c r="AE750" s="80" t="n"/>
      <c r="AF750" s="80" t="n"/>
      <c r="AG750" s="80" t="n"/>
      <c r="AH750" s="80" t="n"/>
      <c r="AI750" s="80" t="n"/>
      <c r="AJ750" s="80" t="n"/>
      <c r="AK750" s="80" t="n"/>
      <c r="AL750" s="80" t="n"/>
      <c r="AM750" s="80" t="n"/>
      <c r="AN750" s="80" t="n"/>
      <c r="AO750" s="80" t="n"/>
      <c r="AP750" s="80" t="n"/>
      <c r="AQ750" s="80" t="n"/>
      <c r="AR750" s="80" t="n"/>
    </row>
    <row r="751">
      <c r="A751" s="2">
        <f>IF($A744="","","   projections")</f>
        <v/>
      </c>
      <c r="B751" s="41">
        <f>IF($A744="",0,COUNT($E752:$AR752))</f>
        <v/>
      </c>
      <c r="C751" s="81">
        <f>IF($B751=0,0,MAX($E752:$AR752))</f>
        <v/>
      </c>
      <c r="D751" s="82">
        <f>BDS($A744,'Field Check'!$C$6,"headers=y","startcol=1","endcol=7","dir=h")</f>
        <v/>
      </c>
      <c r="E751" s="83" t="n"/>
      <c r="F751" s="83" t="n"/>
      <c r="G751" s="83" t="n"/>
      <c r="H751" s="83" t="n"/>
      <c r="I751" s="83" t="n"/>
      <c r="J751" s="83" t="n"/>
      <c r="K751" s="83" t="n"/>
      <c r="L751" s="83" t="n"/>
      <c r="M751" s="83" t="n"/>
      <c r="N751" s="83" t="n"/>
      <c r="O751" s="83" t="n"/>
      <c r="P751" s="83" t="n"/>
      <c r="Q751" s="83" t="n"/>
      <c r="R751" s="83" t="n"/>
      <c r="S751" s="83" t="n"/>
      <c r="T751" s="83" t="n"/>
      <c r="U751" s="83" t="n"/>
      <c r="V751" s="83" t="n"/>
      <c r="W751" s="83" t="n"/>
      <c r="X751" s="83" t="n"/>
      <c r="Y751" s="83" t="n"/>
      <c r="Z751" s="83" t="n"/>
      <c r="AA751" s="83" t="n"/>
      <c r="AB751" s="83" t="n"/>
      <c r="AC751" s="83" t="n"/>
      <c r="AD751" s="83" t="n"/>
      <c r="AE751" s="83" t="n"/>
      <c r="AF751" s="83" t="n"/>
      <c r="AG751" s="83" t="n"/>
      <c r="AH751" s="83" t="n"/>
      <c r="AI751" s="83" t="n"/>
      <c r="AJ751" s="83" t="n"/>
      <c r="AK751" s="83" t="n"/>
      <c r="AL751" s="83" t="n"/>
      <c r="AM751" s="83" t="n"/>
      <c r="AN751" s="83" t="n"/>
      <c r="AO751" s="83" t="n"/>
      <c r="AP751" s="83" t="n"/>
      <c r="AQ751" s="83" t="n"/>
      <c r="AR751" s="83" t="n"/>
    </row>
    <row r="752">
      <c r="D752" s="83" t="n"/>
      <c r="E752" s="83" t="n"/>
      <c r="F752" s="83" t="n"/>
      <c r="G752" s="83" t="n"/>
      <c r="H752" s="83" t="n"/>
      <c r="I752" s="83" t="n"/>
      <c r="J752" s="83" t="n"/>
      <c r="K752" s="83" t="n"/>
      <c r="L752" s="83" t="n"/>
      <c r="M752" s="83" t="n"/>
      <c r="N752" s="83" t="n"/>
      <c r="O752" s="83" t="n"/>
      <c r="P752" s="83" t="n"/>
      <c r="Q752" s="83" t="n"/>
      <c r="R752" s="83" t="n"/>
      <c r="S752" s="83" t="n"/>
      <c r="T752" s="83" t="n"/>
      <c r="U752" s="83" t="n"/>
      <c r="V752" s="83" t="n"/>
      <c r="W752" s="83" t="n"/>
      <c r="X752" s="83" t="n"/>
      <c r="Y752" s="83" t="n"/>
      <c r="Z752" s="83" t="n"/>
      <c r="AA752" s="83" t="n"/>
      <c r="AB752" s="83" t="n"/>
      <c r="AC752" s="83" t="n"/>
      <c r="AD752" s="83" t="n"/>
      <c r="AE752" s="83" t="n"/>
      <c r="AF752" s="83" t="n"/>
      <c r="AG752" s="83" t="n"/>
      <c r="AH752" s="83" t="n"/>
      <c r="AI752" s="83" t="n"/>
      <c r="AJ752" s="83" t="n"/>
      <c r="AK752" s="83" t="n"/>
      <c r="AL752" s="83" t="n"/>
      <c r="AM752" s="83" t="n"/>
      <c r="AN752" s="83" t="n"/>
      <c r="AO752" s="83" t="n"/>
      <c r="AP752" s="83" t="n"/>
      <c r="AQ752" s="83" t="n"/>
      <c r="AR752" s="83" t="n"/>
    </row>
    <row r="753">
      <c r="D753" s="84" t="n"/>
      <c r="E753" s="84" t="n"/>
      <c r="F753" s="84" t="n"/>
      <c r="G753" s="84" t="n"/>
      <c r="H753" s="84" t="n"/>
      <c r="I753" s="84" t="n"/>
      <c r="J753" s="84" t="n"/>
      <c r="K753" s="84" t="n"/>
      <c r="L753" s="84" t="n"/>
      <c r="M753" s="84" t="n"/>
      <c r="N753" s="84" t="n"/>
      <c r="O753" s="84" t="n"/>
      <c r="P753" s="84" t="n"/>
      <c r="Q753" s="84" t="n"/>
      <c r="R753" s="84" t="n"/>
      <c r="S753" s="84" t="n"/>
      <c r="T753" s="84" t="n"/>
      <c r="U753" s="84" t="n"/>
      <c r="V753" s="84" t="n"/>
      <c r="W753" s="84" t="n"/>
      <c r="X753" s="84" t="n"/>
      <c r="Y753" s="84" t="n"/>
      <c r="Z753" s="84" t="n"/>
      <c r="AA753" s="84" t="n"/>
      <c r="AB753" s="84" t="n"/>
      <c r="AC753" s="84" t="n"/>
      <c r="AD753" s="84" t="n"/>
      <c r="AE753" s="84" t="n"/>
      <c r="AF753" s="84" t="n"/>
      <c r="AG753" s="84" t="n"/>
      <c r="AH753" s="84" t="n"/>
      <c r="AI753" s="84" t="n"/>
      <c r="AJ753" s="84" t="n"/>
      <c r="AK753" s="84" t="n"/>
      <c r="AL753" s="84" t="n"/>
      <c r="AM753" s="84" t="n"/>
      <c r="AN753" s="84" t="n"/>
      <c r="AO753" s="84" t="n"/>
      <c r="AP753" s="84" t="n"/>
      <c r="AQ753" s="84" t="n"/>
      <c r="AR753" s="84" t="n"/>
    </row>
    <row r="754">
      <c r="D754" s="80" t="n"/>
      <c r="E754" s="80" t="n"/>
      <c r="F754" s="80" t="n"/>
      <c r="G754" s="80" t="n"/>
      <c r="H754" s="80" t="n"/>
      <c r="I754" s="80" t="n"/>
      <c r="J754" s="80" t="n"/>
      <c r="K754" s="80" t="n"/>
      <c r="L754" s="80" t="n"/>
      <c r="M754" s="80" t="n"/>
      <c r="N754" s="80" t="n"/>
      <c r="O754" s="80" t="n"/>
      <c r="P754" s="80" t="n"/>
      <c r="Q754" s="80" t="n"/>
      <c r="R754" s="80" t="n"/>
      <c r="S754" s="80" t="n"/>
      <c r="T754" s="80" t="n"/>
      <c r="U754" s="80" t="n"/>
      <c r="V754" s="80" t="n"/>
      <c r="W754" s="80" t="n"/>
      <c r="X754" s="80" t="n"/>
      <c r="Y754" s="80" t="n"/>
      <c r="Z754" s="80" t="n"/>
      <c r="AA754" s="80" t="n"/>
      <c r="AB754" s="80" t="n"/>
      <c r="AC754" s="80" t="n"/>
      <c r="AD754" s="80" t="n"/>
      <c r="AE754" s="80" t="n"/>
      <c r="AF754" s="80" t="n"/>
      <c r="AG754" s="80" t="n"/>
      <c r="AH754" s="80" t="n"/>
      <c r="AI754" s="80" t="n"/>
      <c r="AJ754" s="80" t="n"/>
      <c r="AK754" s="80" t="n"/>
      <c r="AL754" s="80" t="n"/>
      <c r="AM754" s="80" t="n"/>
      <c r="AN754" s="80" t="n"/>
      <c r="AO754" s="80" t="n"/>
      <c r="AP754" s="80" t="n"/>
      <c r="AQ754" s="80" t="n"/>
      <c r="AR754" s="80" t="n"/>
    </row>
    <row r="755">
      <c r="D755" s="80" t="n"/>
      <c r="E755" s="80" t="n"/>
      <c r="F755" s="80" t="n"/>
      <c r="G755" s="80" t="n"/>
      <c r="H755" s="80" t="n"/>
      <c r="I755" s="80" t="n"/>
      <c r="J755" s="80" t="n"/>
      <c r="K755" s="80" t="n"/>
      <c r="L755" s="80" t="n"/>
      <c r="M755" s="80" t="n"/>
      <c r="N755" s="80" t="n"/>
      <c r="O755" s="80" t="n"/>
      <c r="P755" s="80" t="n"/>
      <c r="Q755" s="80" t="n"/>
      <c r="R755" s="80" t="n"/>
      <c r="S755" s="80" t="n"/>
      <c r="T755" s="80" t="n"/>
      <c r="U755" s="80" t="n"/>
      <c r="V755" s="80" t="n"/>
      <c r="W755" s="80" t="n"/>
      <c r="X755" s="80" t="n"/>
      <c r="Y755" s="80" t="n"/>
      <c r="Z755" s="80" t="n"/>
      <c r="AA755" s="80" t="n"/>
      <c r="AB755" s="80" t="n"/>
      <c r="AC755" s="80" t="n"/>
      <c r="AD755" s="80" t="n"/>
      <c r="AE755" s="80" t="n"/>
      <c r="AF755" s="80" t="n"/>
      <c r="AG755" s="80" t="n"/>
      <c r="AH755" s="80" t="n"/>
      <c r="AI755" s="80" t="n"/>
      <c r="AJ755" s="80" t="n"/>
      <c r="AK755" s="80" t="n"/>
      <c r="AL755" s="80" t="n"/>
      <c r="AM755" s="80" t="n"/>
      <c r="AN755" s="80" t="n"/>
      <c r="AO755" s="80" t="n"/>
      <c r="AP755" s="80" t="n"/>
      <c r="AQ755" s="80" t="n"/>
      <c r="AR755" s="80" t="n"/>
    </row>
    <row r="756">
      <c r="D756" s="80" t="n"/>
      <c r="E756" s="80" t="n"/>
      <c r="F756" s="80" t="n"/>
      <c r="G756" s="80" t="n"/>
      <c r="H756" s="80" t="n"/>
      <c r="I756" s="80" t="n"/>
      <c r="J756" s="80" t="n"/>
      <c r="K756" s="80" t="n"/>
      <c r="L756" s="80" t="n"/>
      <c r="M756" s="80" t="n"/>
      <c r="N756" s="80" t="n"/>
      <c r="O756" s="80" t="n"/>
      <c r="P756" s="80" t="n"/>
      <c r="Q756" s="80" t="n"/>
      <c r="R756" s="80" t="n"/>
      <c r="S756" s="80" t="n"/>
      <c r="T756" s="80" t="n"/>
      <c r="U756" s="80" t="n"/>
      <c r="V756" s="80" t="n"/>
      <c r="W756" s="80" t="n"/>
      <c r="X756" s="80" t="n"/>
      <c r="Y756" s="80" t="n"/>
      <c r="Z756" s="80" t="n"/>
      <c r="AA756" s="80" t="n"/>
      <c r="AB756" s="80" t="n"/>
      <c r="AC756" s="80" t="n"/>
      <c r="AD756" s="80" t="n"/>
      <c r="AE756" s="80" t="n"/>
      <c r="AF756" s="80" t="n"/>
      <c r="AG756" s="80" t="n"/>
      <c r="AH756" s="80" t="n"/>
      <c r="AI756" s="80" t="n"/>
      <c r="AJ756" s="80" t="n"/>
      <c r="AK756" s="80" t="n"/>
      <c r="AL756" s="80" t="n"/>
      <c r="AM756" s="80" t="n"/>
      <c r="AN756" s="80" t="n"/>
      <c r="AO756" s="80" t="n"/>
      <c r="AP756" s="80" t="n"/>
      <c r="AQ756" s="80" t="n"/>
      <c r="AR756" s="80" t="n"/>
    </row>
    <row r="757">
      <c r="D757" s="80" t="n"/>
      <c r="E757" s="80" t="n"/>
      <c r="F757" s="80" t="n"/>
      <c r="G757" s="80" t="n"/>
      <c r="H757" s="80" t="n"/>
      <c r="I757" s="80" t="n"/>
      <c r="J757" s="80" t="n"/>
      <c r="K757" s="80" t="n"/>
      <c r="L757" s="80" t="n"/>
      <c r="M757" s="80" t="n"/>
      <c r="N757" s="80" t="n"/>
      <c r="O757" s="80" t="n"/>
      <c r="P757" s="80" t="n"/>
      <c r="Q757" s="80" t="n"/>
      <c r="R757" s="80" t="n"/>
      <c r="S757" s="80" t="n"/>
      <c r="T757" s="80" t="n"/>
      <c r="U757" s="80" t="n"/>
      <c r="V757" s="80" t="n"/>
      <c r="W757" s="80" t="n"/>
      <c r="X757" s="80" t="n"/>
      <c r="Y757" s="80" t="n"/>
      <c r="Z757" s="80" t="n"/>
      <c r="AA757" s="80" t="n"/>
      <c r="AB757" s="80" t="n"/>
      <c r="AC757" s="80" t="n"/>
      <c r="AD757" s="80" t="n"/>
      <c r="AE757" s="80" t="n"/>
      <c r="AF757" s="80" t="n"/>
      <c r="AG757" s="80" t="n"/>
      <c r="AH757" s="80" t="n"/>
      <c r="AI757" s="80" t="n"/>
      <c r="AJ757" s="80" t="n"/>
      <c r="AK757" s="80" t="n"/>
      <c r="AL757" s="80" t="n"/>
      <c r="AM757" s="80" t="n"/>
      <c r="AN757" s="80" t="n"/>
      <c r="AO757" s="80" t="n"/>
      <c r="AP757" s="80" t="n"/>
      <c r="AQ757" s="80" t="n"/>
      <c r="AR757" s="80" t="n"/>
    </row>
    <row r="759">
      <c r="A759" s="6">
        <f>IF(HSI!$C$57="","",HSI!$C$57)</f>
        <v/>
      </c>
      <c r="B759" s="41">
        <f>IF($A759="",0,COUNT($E760:$AR760))</f>
        <v/>
      </c>
      <c r="C759" s="81">
        <f>IF($B759=0,0,MAX($E760:$AR760))</f>
        <v/>
      </c>
      <c r="D759" s="82">
        <f>BDS($A759,'Field Check'!$C$7,"headers=y","startcol=1","endcol=7","dir=h","DVD_START_DT",Summary!$C$18,"DVD_END_DT",Summary!$D$18)</f>
        <v/>
      </c>
      <c r="E759" s="83" t="n"/>
      <c r="F759" s="83" t="n"/>
      <c r="G759" s="83" t="n"/>
      <c r="H759" s="83" t="n"/>
      <c r="I759" s="83" t="n"/>
      <c r="J759" s="83" t="n"/>
      <c r="K759" s="83" t="n"/>
      <c r="L759" s="83" t="n"/>
      <c r="M759" s="83" t="n"/>
      <c r="N759" s="83" t="n"/>
      <c r="O759" s="83" t="n"/>
      <c r="P759" s="83" t="n"/>
      <c r="Q759" s="83" t="n"/>
      <c r="R759" s="83" t="n"/>
      <c r="S759" s="83" t="n"/>
      <c r="T759" s="83" t="n"/>
      <c r="U759" s="83" t="n"/>
      <c r="V759" s="83" t="n"/>
      <c r="W759" s="83" t="n"/>
      <c r="X759" s="83" t="n"/>
      <c r="Y759" s="83" t="n"/>
      <c r="Z759" s="83" t="n"/>
      <c r="AA759" s="83" t="n"/>
      <c r="AB759" s="83" t="n"/>
      <c r="AC759" s="83" t="n"/>
      <c r="AD759" s="83" t="n"/>
      <c r="AE759" s="83" t="n"/>
      <c r="AF759" s="83" t="n"/>
      <c r="AG759" s="83" t="n"/>
      <c r="AH759" s="83" t="n"/>
      <c r="AI759" s="83" t="n"/>
      <c r="AJ759" s="83" t="n"/>
      <c r="AK759" s="83" t="n"/>
      <c r="AL759" s="83" t="n"/>
      <c r="AM759" s="83" t="n"/>
      <c r="AN759" s="83" t="n"/>
      <c r="AO759" s="83" t="n"/>
      <c r="AP759" s="83" t="n"/>
      <c r="AQ759" s="83" t="n"/>
      <c r="AR759" s="83" t="n"/>
    </row>
    <row r="760">
      <c r="D760" s="83" t="n"/>
      <c r="E760" s="83" t="n"/>
      <c r="F760" s="83" t="n"/>
      <c r="G760" s="83" t="n"/>
      <c r="H760" s="83" t="n"/>
      <c r="I760" s="83" t="n"/>
      <c r="J760" s="83" t="n"/>
      <c r="K760" s="83" t="n"/>
      <c r="L760" s="83" t="n"/>
      <c r="M760" s="83" t="n"/>
      <c r="N760" s="83" t="n"/>
      <c r="O760" s="83" t="n"/>
      <c r="P760" s="83" t="n"/>
      <c r="Q760" s="83" t="n"/>
      <c r="R760" s="83" t="n"/>
      <c r="S760" s="83" t="n"/>
      <c r="T760" s="83" t="n"/>
      <c r="U760" s="83" t="n"/>
      <c r="V760" s="83" t="n"/>
      <c r="W760" s="83" t="n"/>
      <c r="X760" s="83" t="n"/>
      <c r="Y760" s="83" t="n"/>
      <c r="Z760" s="83" t="n"/>
      <c r="AA760" s="83" t="n"/>
      <c r="AB760" s="83" t="n"/>
      <c r="AC760" s="83" t="n"/>
      <c r="AD760" s="83" t="n"/>
      <c r="AE760" s="83" t="n"/>
      <c r="AF760" s="83" t="n"/>
      <c r="AG760" s="83" t="n"/>
      <c r="AH760" s="83" t="n"/>
      <c r="AI760" s="83" t="n"/>
      <c r="AJ760" s="83" t="n"/>
      <c r="AK760" s="83" t="n"/>
      <c r="AL760" s="83" t="n"/>
      <c r="AM760" s="83" t="n"/>
      <c r="AN760" s="83" t="n"/>
      <c r="AO760" s="83" t="n"/>
      <c r="AP760" s="83" t="n"/>
      <c r="AQ760" s="83" t="n"/>
      <c r="AR760" s="83" t="n"/>
    </row>
    <row r="761">
      <c r="D761" s="84" t="n"/>
      <c r="E761" s="84" t="n"/>
      <c r="F761" s="84" t="n"/>
      <c r="G761" s="84" t="n"/>
      <c r="H761" s="84" t="n"/>
      <c r="I761" s="84" t="n"/>
      <c r="J761" s="84" t="n"/>
      <c r="K761" s="84" t="n"/>
      <c r="L761" s="84" t="n"/>
      <c r="M761" s="84" t="n"/>
      <c r="N761" s="84" t="n"/>
      <c r="O761" s="84" t="n"/>
      <c r="P761" s="84" t="n"/>
      <c r="Q761" s="84" t="n"/>
      <c r="R761" s="84" t="n"/>
      <c r="S761" s="84" t="n"/>
      <c r="T761" s="84" t="n"/>
      <c r="U761" s="84" t="n"/>
      <c r="V761" s="84" t="n"/>
      <c r="W761" s="84" t="n"/>
      <c r="X761" s="84" t="n"/>
      <c r="Y761" s="84" t="n"/>
      <c r="Z761" s="84" t="n"/>
      <c r="AA761" s="84" t="n"/>
      <c r="AB761" s="84" t="n"/>
      <c r="AC761" s="84" t="n"/>
      <c r="AD761" s="84" t="n"/>
      <c r="AE761" s="84" t="n"/>
      <c r="AF761" s="84" t="n"/>
      <c r="AG761" s="84" t="n"/>
      <c r="AH761" s="84" t="n"/>
      <c r="AI761" s="84" t="n"/>
      <c r="AJ761" s="84" t="n"/>
      <c r="AK761" s="84" t="n"/>
      <c r="AL761" s="84" t="n"/>
      <c r="AM761" s="84" t="n"/>
      <c r="AN761" s="84" t="n"/>
      <c r="AO761" s="84" t="n"/>
      <c r="AP761" s="84" t="n"/>
      <c r="AQ761" s="84" t="n"/>
      <c r="AR761" s="84" t="n"/>
    </row>
    <row r="762">
      <c r="D762" s="80" t="n"/>
      <c r="E762" s="80" t="n"/>
      <c r="F762" s="80" t="n"/>
      <c r="G762" s="80" t="n"/>
      <c r="H762" s="80" t="n"/>
      <c r="I762" s="80" t="n"/>
      <c r="J762" s="80" t="n"/>
      <c r="K762" s="80" t="n"/>
      <c r="L762" s="80" t="n"/>
      <c r="M762" s="80" t="n"/>
      <c r="N762" s="80" t="n"/>
      <c r="O762" s="80" t="n"/>
      <c r="P762" s="80" t="n"/>
      <c r="Q762" s="80" t="n"/>
      <c r="R762" s="80" t="n"/>
      <c r="S762" s="80" t="n"/>
      <c r="T762" s="80" t="n"/>
      <c r="U762" s="80" t="n"/>
      <c r="V762" s="80" t="n"/>
      <c r="W762" s="80" t="n"/>
      <c r="X762" s="80" t="n"/>
      <c r="Y762" s="80" t="n"/>
      <c r="Z762" s="80" t="n"/>
      <c r="AA762" s="80" t="n"/>
      <c r="AB762" s="80" t="n"/>
      <c r="AC762" s="80" t="n"/>
      <c r="AD762" s="80" t="n"/>
      <c r="AE762" s="80" t="n"/>
      <c r="AF762" s="80" t="n"/>
      <c r="AG762" s="80" t="n"/>
      <c r="AH762" s="80" t="n"/>
      <c r="AI762" s="80" t="n"/>
      <c r="AJ762" s="80" t="n"/>
      <c r="AK762" s="80" t="n"/>
      <c r="AL762" s="80" t="n"/>
      <c r="AM762" s="80" t="n"/>
      <c r="AN762" s="80" t="n"/>
      <c r="AO762" s="80" t="n"/>
      <c r="AP762" s="80" t="n"/>
      <c r="AQ762" s="80" t="n"/>
      <c r="AR762" s="80" t="n"/>
    </row>
    <row r="763">
      <c r="D763" s="80" t="n"/>
      <c r="E763" s="80" t="n"/>
      <c r="F763" s="80" t="n"/>
      <c r="G763" s="80" t="n"/>
      <c r="H763" s="80" t="n"/>
      <c r="I763" s="80" t="n"/>
      <c r="J763" s="80" t="n"/>
      <c r="K763" s="80" t="n"/>
      <c r="L763" s="80" t="n"/>
      <c r="M763" s="80" t="n"/>
      <c r="N763" s="80" t="n"/>
      <c r="O763" s="80" t="n"/>
      <c r="P763" s="80" t="n"/>
      <c r="Q763" s="80" t="n"/>
      <c r="R763" s="80" t="n"/>
      <c r="S763" s="80" t="n"/>
      <c r="T763" s="80" t="n"/>
      <c r="U763" s="80" t="n"/>
      <c r="V763" s="80" t="n"/>
      <c r="W763" s="80" t="n"/>
      <c r="X763" s="80" t="n"/>
      <c r="Y763" s="80" t="n"/>
      <c r="Z763" s="80" t="n"/>
      <c r="AA763" s="80" t="n"/>
      <c r="AB763" s="80" t="n"/>
      <c r="AC763" s="80" t="n"/>
      <c r="AD763" s="80" t="n"/>
      <c r="AE763" s="80" t="n"/>
      <c r="AF763" s="80" t="n"/>
      <c r="AG763" s="80" t="n"/>
      <c r="AH763" s="80" t="n"/>
      <c r="AI763" s="80" t="n"/>
      <c r="AJ763" s="80" t="n"/>
      <c r="AK763" s="80" t="n"/>
      <c r="AL763" s="80" t="n"/>
      <c r="AM763" s="80" t="n"/>
      <c r="AN763" s="80" t="n"/>
      <c r="AO763" s="80" t="n"/>
      <c r="AP763" s="80" t="n"/>
      <c r="AQ763" s="80" t="n"/>
      <c r="AR763" s="80" t="n"/>
    </row>
    <row r="764">
      <c r="D764" s="80" t="n"/>
      <c r="E764" s="80" t="n"/>
      <c r="F764" s="80" t="n"/>
      <c r="G764" s="80" t="n"/>
      <c r="H764" s="80" t="n"/>
      <c r="I764" s="80" t="n"/>
      <c r="J764" s="80" t="n"/>
      <c r="K764" s="80" t="n"/>
      <c r="L764" s="80" t="n"/>
      <c r="M764" s="80" t="n"/>
      <c r="N764" s="80" t="n"/>
      <c r="O764" s="80" t="n"/>
      <c r="P764" s="80" t="n"/>
      <c r="Q764" s="80" t="n"/>
      <c r="R764" s="80" t="n"/>
      <c r="S764" s="80" t="n"/>
      <c r="T764" s="80" t="n"/>
      <c r="U764" s="80" t="n"/>
      <c r="V764" s="80" t="n"/>
      <c r="W764" s="80" t="n"/>
      <c r="X764" s="80" t="n"/>
      <c r="Y764" s="80" t="n"/>
      <c r="Z764" s="80" t="n"/>
      <c r="AA764" s="80" t="n"/>
      <c r="AB764" s="80" t="n"/>
      <c r="AC764" s="80" t="n"/>
      <c r="AD764" s="80" t="n"/>
      <c r="AE764" s="80" t="n"/>
      <c r="AF764" s="80" t="n"/>
      <c r="AG764" s="80" t="n"/>
      <c r="AH764" s="80" t="n"/>
      <c r="AI764" s="80" t="n"/>
      <c r="AJ764" s="80" t="n"/>
      <c r="AK764" s="80" t="n"/>
      <c r="AL764" s="80" t="n"/>
      <c r="AM764" s="80" t="n"/>
      <c r="AN764" s="80" t="n"/>
      <c r="AO764" s="80" t="n"/>
      <c r="AP764" s="80" t="n"/>
      <c r="AQ764" s="80" t="n"/>
      <c r="AR764" s="80" t="n"/>
    </row>
    <row r="765">
      <c r="D765" s="80" t="n"/>
      <c r="E765" s="80" t="n"/>
      <c r="F765" s="80" t="n"/>
      <c r="G765" s="80" t="n"/>
      <c r="H765" s="80" t="n"/>
      <c r="I765" s="80" t="n"/>
      <c r="J765" s="80" t="n"/>
      <c r="K765" s="80" t="n"/>
      <c r="L765" s="80" t="n"/>
      <c r="M765" s="80" t="n"/>
      <c r="N765" s="80" t="n"/>
      <c r="O765" s="80" t="n"/>
      <c r="P765" s="80" t="n"/>
      <c r="Q765" s="80" t="n"/>
      <c r="R765" s="80" t="n"/>
      <c r="S765" s="80" t="n"/>
      <c r="T765" s="80" t="n"/>
      <c r="U765" s="80" t="n"/>
      <c r="V765" s="80" t="n"/>
      <c r="W765" s="80" t="n"/>
      <c r="X765" s="80" t="n"/>
      <c r="Y765" s="80" t="n"/>
      <c r="Z765" s="80" t="n"/>
      <c r="AA765" s="80" t="n"/>
      <c r="AB765" s="80" t="n"/>
      <c r="AC765" s="80" t="n"/>
      <c r="AD765" s="80" t="n"/>
      <c r="AE765" s="80" t="n"/>
      <c r="AF765" s="80" t="n"/>
      <c r="AG765" s="80" t="n"/>
      <c r="AH765" s="80" t="n"/>
      <c r="AI765" s="80" t="n"/>
      <c r="AJ765" s="80" t="n"/>
      <c r="AK765" s="80" t="n"/>
      <c r="AL765" s="80" t="n"/>
      <c r="AM765" s="80" t="n"/>
      <c r="AN765" s="80" t="n"/>
      <c r="AO765" s="80" t="n"/>
      <c r="AP765" s="80" t="n"/>
      <c r="AQ765" s="80" t="n"/>
      <c r="AR765" s="80" t="n"/>
    </row>
    <row r="766">
      <c r="A766" s="2">
        <f>IF($A759="","","   projections")</f>
        <v/>
      </c>
      <c r="B766" s="41">
        <f>IF($A759="",0,COUNT($E767:$AR767))</f>
        <v/>
      </c>
      <c r="C766" s="81">
        <f>IF($B766=0,0,MAX($E767:$AR767))</f>
        <v/>
      </c>
      <c r="D766" s="82">
        <f>BDS($A759,'Field Check'!$C$6,"headers=y","startcol=1","endcol=7","dir=h")</f>
        <v/>
      </c>
      <c r="E766" s="83" t="n"/>
      <c r="F766" s="83" t="n"/>
      <c r="G766" s="83" t="n"/>
      <c r="H766" s="83" t="n"/>
      <c r="I766" s="83" t="n"/>
      <c r="J766" s="83" t="n"/>
      <c r="K766" s="83" t="n"/>
      <c r="L766" s="83" t="n"/>
      <c r="M766" s="83" t="n"/>
      <c r="N766" s="83" t="n"/>
      <c r="O766" s="83" t="n"/>
      <c r="P766" s="83" t="n"/>
      <c r="Q766" s="83" t="n"/>
      <c r="R766" s="83" t="n"/>
      <c r="S766" s="83" t="n"/>
      <c r="T766" s="83" t="n"/>
      <c r="U766" s="83" t="n"/>
      <c r="V766" s="83" t="n"/>
      <c r="W766" s="83" t="n"/>
      <c r="X766" s="83" t="n"/>
      <c r="Y766" s="83" t="n"/>
      <c r="Z766" s="83" t="n"/>
      <c r="AA766" s="83" t="n"/>
      <c r="AB766" s="83" t="n"/>
      <c r="AC766" s="83" t="n"/>
      <c r="AD766" s="83" t="n"/>
      <c r="AE766" s="83" t="n"/>
      <c r="AF766" s="83" t="n"/>
      <c r="AG766" s="83" t="n"/>
      <c r="AH766" s="83" t="n"/>
      <c r="AI766" s="83" t="n"/>
      <c r="AJ766" s="83" t="n"/>
      <c r="AK766" s="83" t="n"/>
      <c r="AL766" s="83" t="n"/>
      <c r="AM766" s="83" t="n"/>
      <c r="AN766" s="83" t="n"/>
      <c r="AO766" s="83" t="n"/>
      <c r="AP766" s="83" t="n"/>
      <c r="AQ766" s="83" t="n"/>
      <c r="AR766" s="83" t="n"/>
    </row>
    <row r="767">
      <c r="D767" s="83" t="n"/>
      <c r="E767" s="83" t="n"/>
      <c r="F767" s="83" t="n"/>
      <c r="G767" s="83" t="n"/>
      <c r="H767" s="83" t="n"/>
      <c r="I767" s="83" t="n"/>
      <c r="J767" s="83" t="n"/>
      <c r="K767" s="83" t="n"/>
      <c r="L767" s="83" t="n"/>
      <c r="M767" s="83" t="n"/>
      <c r="N767" s="83" t="n"/>
      <c r="O767" s="83" t="n"/>
      <c r="P767" s="83" t="n"/>
      <c r="Q767" s="83" t="n"/>
      <c r="R767" s="83" t="n"/>
      <c r="S767" s="83" t="n"/>
      <c r="T767" s="83" t="n"/>
      <c r="U767" s="83" t="n"/>
      <c r="V767" s="83" t="n"/>
      <c r="W767" s="83" t="n"/>
      <c r="X767" s="83" t="n"/>
      <c r="Y767" s="83" t="n"/>
      <c r="Z767" s="83" t="n"/>
      <c r="AA767" s="83" t="n"/>
      <c r="AB767" s="83" t="n"/>
      <c r="AC767" s="83" t="n"/>
      <c r="AD767" s="83" t="n"/>
      <c r="AE767" s="83" t="n"/>
      <c r="AF767" s="83" t="n"/>
      <c r="AG767" s="83" t="n"/>
      <c r="AH767" s="83" t="n"/>
      <c r="AI767" s="83" t="n"/>
      <c r="AJ767" s="83" t="n"/>
      <c r="AK767" s="83" t="n"/>
      <c r="AL767" s="83" t="n"/>
      <c r="AM767" s="83" t="n"/>
      <c r="AN767" s="83" t="n"/>
      <c r="AO767" s="83" t="n"/>
      <c r="AP767" s="83" t="n"/>
      <c r="AQ767" s="83" t="n"/>
      <c r="AR767" s="83" t="n"/>
    </row>
    <row r="768">
      <c r="D768" s="84" t="n"/>
      <c r="E768" s="84" t="n"/>
      <c r="F768" s="84" t="n"/>
      <c r="G768" s="84" t="n"/>
      <c r="H768" s="84" t="n"/>
      <c r="I768" s="84" t="n"/>
      <c r="J768" s="84" t="n"/>
      <c r="K768" s="84" t="n"/>
      <c r="L768" s="84" t="n"/>
      <c r="M768" s="84" t="n"/>
      <c r="N768" s="84" t="n"/>
      <c r="O768" s="84" t="n"/>
      <c r="P768" s="84" t="n"/>
      <c r="Q768" s="84" t="n"/>
      <c r="R768" s="84" t="n"/>
      <c r="S768" s="84" t="n"/>
      <c r="T768" s="84" t="n"/>
      <c r="U768" s="84" t="n"/>
      <c r="V768" s="84" t="n"/>
      <c r="W768" s="84" t="n"/>
      <c r="X768" s="84" t="n"/>
      <c r="Y768" s="84" t="n"/>
      <c r="Z768" s="84" t="n"/>
      <c r="AA768" s="84" t="n"/>
      <c r="AB768" s="84" t="n"/>
      <c r="AC768" s="84" t="n"/>
      <c r="AD768" s="84" t="n"/>
      <c r="AE768" s="84" t="n"/>
      <c r="AF768" s="84" t="n"/>
      <c r="AG768" s="84" t="n"/>
      <c r="AH768" s="84" t="n"/>
      <c r="AI768" s="84" t="n"/>
      <c r="AJ768" s="84" t="n"/>
      <c r="AK768" s="84" t="n"/>
      <c r="AL768" s="84" t="n"/>
      <c r="AM768" s="84" t="n"/>
      <c r="AN768" s="84" t="n"/>
      <c r="AO768" s="84" t="n"/>
      <c r="AP768" s="84" t="n"/>
      <c r="AQ768" s="84" t="n"/>
      <c r="AR768" s="84" t="n"/>
    </row>
    <row r="769">
      <c r="D769" s="80" t="n"/>
      <c r="E769" s="80" t="n"/>
      <c r="F769" s="80" t="n"/>
      <c r="G769" s="80" t="n"/>
      <c r="H769" s="80" t="n"/>
      <c r="I769" s="80" t="n"/>
      <c r="J769" s="80" t="n"/>
      <c r="K769" s="80" t="n"/>
      <c r="L769" s="80" t="n"/>
      <c r="M769" s="80" t="n"/>
      <c r="N769" s="80" t="n"/>
      <c r="O769" s="80" t="n"/>
      <c r="P769" s="80" t="n"/>
      <c r="Q769" s="80" t="n"/>
      <c r="R769" s="80" t="n"/>
      <c r="S769" s="80" t="n"/>
      <c r="T769" s="80" t="n"/>
      <c r="U769" s="80" t="n"/>
      <c r="V769" s="80" t="n"/>
      <c r="W769" s="80" t="n"/>
      <c r="X769" s="80" t="n"/>
      <c r="Y769" s="80" t="n"/>
      <c r="Z769" s="80" t="n"/>
      <c r="AA769" s="80" t="n"/>
      <c r="AB769" s="80" t="n"/>
      <c r="AC769" s="80" t="n"/>
      <c r="AD769" s="80" t="n"/>
      <c r="AE769" s="80" t="n"/>
      <c r="AF769" s="80" t="n"/>
      <c r="AG769" s="80" t="n"/>
      <c r="AH769" s="80" t="n"/>
      <c r="AI769" s="80" t="n"/>
      <c r="AJ769" s="80" t="n"/>
      <c r="AK769" s="80" t="n"/>
      <c r="AL769" s="80" t="n"/>
      <c r="AM769" s="80" t="n"/>
      <c r="AN769" s="80" t="n"/>
      <c r="AO769" s="80" t="n"/>
      <c r="AP769" s="80" t="n"/>
      <c r="AQ769" s="80" t="n"/>
      <c r="AR769" s="80" t="n"/>
    </row>
    <row r="770">
      <c r="D770" s="80" t="n"/>
      <c r="E770" s="80" t="n"/>
      <c r="F770" s="80" t="n"/>
      <c r="G770" s="80" t="n"/>
      <c r="H770" s="80" t="n"/>
      <c r="I770" s="80" t="n"/>
      <c r="J770" s="80" t="n"/>
      <c r="K770" s="80" t="n"/>
      <c r="L770" s="80" t="n"/>
      <c r="M770" s="80" t="n"/>
      <c r="N770" s="80" t="n"/>
      <c r="O770" s="80" t="n"/>
      <c r="P770" s="80" t="n"/>
      <c r="Q770" s="80" t="n"/>
      <c r="R770" s="80" t="n"/>
      <c r="S770" s="80" t="n"/>
      <c r="T770" s="80" t="n"/>
      <c r="U770" s="80" t="n"/>
      <c r="V770" s="80" t="n"/>
      <c r="W770" s="80" t="n"/>
      <c r="X770" s="80" t="n"/>
      <c r="Y770" s="80" t="n"/>
      <c r="Z770" s="80" t="n"/>
      <c r="AA770" s="80" t="n"/>
      <c r="AB770" s="80" t="n"/>
      <c r="AC770" s="80" t="n"/>
      <c r="AD770" s="80" t="n"/>
      <c r="AE770" s="80" t="n"/>
      <c r="AF770" s="80" t="n"/>
      <c r="AG770" s="80" t="n"/>
      <c r="AH770" s="80" t="n"/>
      <c r="AI770" s="80" t="n"/>
      <c r="AJ770" s="80" t="n"/>
      <c r="AK770" s="80" t="n"/>
      <c r="AL770" s="80" t="n"/>
      <c r="AM770" s="80" t="n"/>
      <c r="AN770" s="80" t="n"/>
      <c r="AO770" s="80" t="n"/>
      <c r="AP770" s="80" t="n"/>
      <c r="AQ770" s="80" t="n"/>
      <c r="AR770" s="80" t="n"/>
    </row>
    <row r="771">
      <c r="D771" s="80" t="n"/>
      <c r="E771" s="80" t="n"/>
      <c r="F771" s="80" t="n"/>
      <c r="G771" s="80" t="n"/>
      <c r="H771" s="80" t="n"/>
      <c r="I771" s="80" t="n"/>
      <c r="J771" s="80" t="n"/>
      <c r="K771" s="80" t="n"/>
      <c r="L771" s="80" t="n"/>
      <c r="M771" s="80" t="n"/>
      <c r="N771" s="80" t="n"/>
      <c r="O771" s="80" t="n"/>
      <c r="P771" s="80" t="n"/>
      <c r="Q771" s="80" t="n"/>
      <c r="R771" s="80" t="n"/>
      <c r="S771" s="80" t="n"/>
      <c r="T771" s="80" t="n"/>
      <c r="U771" s="80" t="n"/>
      <c r="V771" s="80" t="n"/>
      <c r="W771" s="80" t="n"/>
      <c r="X771" s="80" t="n"/>
      <c r="Y771" s="80" t="n"/>
      <c r="Z771" s="80" t="n"/>
      <c r="AA771" s="80" t="n"/>
      <c r="AB771" s="80" t="n"/>
      <c r="AC771" s="80" t="n"/>
      <c r="AD771" s="80" t="n"/>
      <c r="AE771" s="80" t="n"/>
      <c r="AF771" s="80" t="n"/>
      <c r="AG771" s="80" t="n"/>
      <c r="AH771" s="80" t="n"/>
      <c r="AI771" s="80" t="n"/>
      <c r="AJ771" s="80" t="n"/>
      <c r="AK771" s="80" t="n"/>
      <c r="AL771" s="80" t="n"/>
      <c r="AM771" s="80" t="n"/>
      <c r="AN771" s="80" t="n"/>
      <c r="AO771" s="80" t="n"/>
      <c r="AP771" s="80" t="n"/>
      <c r="AQ771" s="80" t="n"/>
      <c r="AR771" s="80" t="n"/>
    </row>
    <row r="772">
      <c r="D772" s="80" t="n"/>
      <c r="E772" s="80" t="n"/>
      <c r="F772" s="80" t="n"/>
      <c r="G772" s="80" t="n"/>
      <c r="H772" s="80" t="n"/>
      <c r="I772" s="80" t="n"/>
      <c r="J772" s="80" t="n"/>
      <c r="K772" s="80" t="n"/>
      <c r="L772" s="80" t="n"/>
      <c r="M772" s="80" t="n"/>
      <c r="N772" s="80" t="n"/>
      <c r="O772" s="80" t="n"/>
      <c r="P772" s="80" t="n"/>
      <c r="Q772" s="80" t="n"/>
      <c r="R772" s="80" t="n"/>
      <c r="S772" s="80" t="n"/>
      <c r="T772" s="80" t="n"/>
      <c r="U772" s="80" t="n"/>
      <c r="V772" s="80" t="n"/>
      <c r="W772" s="80" t="n"/>
      <c r="X772" s="80" t="n"/>
      <c r="Y772" s="80" t="n"/>
      <c r="Z772" s="80" t="n"/>
      <c r="AA772" s="80" t="n"/>
      <c r="AB772" s="80" t="n"/>
      <c r="AC772" s="80" t="n"/>
      <c r="AD772" s="80" t="n"/>
      <c r="AE772" s="80" t="n"/>
      <c r="AF772" s="80" t="n"/>
      <c r="AG772" s="80" t="n"/>
      <c r="AH772" s="80" t="n"/>
      <c r="AI772" s="80" t="n"/>
      <c r="AJ772" s="80" t="n"/>
      <c r="AK772" s="80" t="n"/>
      <c r="AL772" s="80" t="n"/>
      <c r="AM772" s="80" t="n"/>
      <c r="AN772" s="80" t="n"/>
      <c r="AO772" s="80" t="n"/>
      <c r="AP772" s="80" t="n"/>
      <c r="AQ772" s="80" t="n"/>
      <c r="AR772" s="80" t="n"/>
    </row>
    <row r="774">
      <c r="A774" s="6">
        <f>IF(HSI!$C$58="","",HSI!$C$58)</f>
        <v/>
      </c>
      <c r="B774" s="41">
        <f>IF($A774="",0,COUNT($E775:$AR775))</f>
        <v/>
      </c>
      <c r="C774" s="81">
        <f>IF($B774=0,0,MAX($E775:$AR775))</f>
        <v/>
      </c>
      <c r="D774" s="82">
        <f>BDS($A774,'Field Check'!$C$7,"headers=y","startcol=1","endcol=7","dir=h","DVD_START_DT",Summary!$C$18,"DVD_END_DT",Summary!$D$18)</f>
        <v/>
      </c>
      <c r="E774" s="83" t="n"/>
      <c r="F774" s="83" t="n"/>
      <c r="G774" s="83" t="n"/>
      <c r="H774" s="83" t="n"/>
      <c r="I774" s="83" t="n"/>
      <c r="J774" s="83" t="n"/>
      <c r="K774" s="83" t="n"/>
      <c r="L774" s="83" t="n"/>
      <c r="M774" s="83" t="n"/>
      <c r="N774" s="83" t="n"/>
      <c r="O774" s="83" t="n"/>
      <c r="P774" s="83" t="n"/>
      <c r="Q774" s="83" t="n"/>
      <c r="R774" s="83" t="n"/>
      <c r="S774" s="83" t="n"/>
      <c r="T774" s="83" t="n"/>
      <c r="U774" s="83" t="n"/>
      <c r="V774" s="83" t="n"/>
      <c r="W774" s="83" t="n"/>
      <c r="X774" s="83" t="n"/>
      <c r="Y774" s="83" t="n"/>
      <c r="Z774" s="83" t="n"/>
      <c r="AA774" s="83" t="n"/>
      <c r="AB774" s="83" t="n"/>
      <c r="AC774" s="83" t="n"/>
      <c r="AD774" s="83" t="n"/>
      <c r="AE774" s="83" t="n"/>
      <c r="AF774" s="83" t="n"/>
      <c r="AG774" s="83" t="n"/>
      <c r="AH774" s="83" t="n"/>
      <c r="AI774" s="83" t="n"/>
      <c r="AJ774" s="83" t="n"/>
      <c r="AK774" s="83" t="n"/>
      <c r="AL774" s="83" t="n"/>
      <c r="AM774" s="83" t="n"/>
      <c r="AN774" s="83" t="n"/>
      <c r="AO774" s="83" t="n"/>
      <c r="AP774" s="83" t="n"/>
      <c r="AQ774" s="83" t="n"/>
      <c r="AR774" s="83" t="n"/>
    </row>
    <row r="775">
      <c r="D775" s="83" t="n"/>
      <c r="E775" s="83" t="n"/>
      <c r="F775" s="83" t="n"/>
      <c r="G775" s="83" t="n"/>
      <c r="H775" s="83" t="n"/>
      <c r="I775" s="83" t="n"/>
      <c r="J775" s="83" t="n"/>
      <c r="K775" s="83" t="n"/>
      <c r="L775" s="83" t="n"/>
      <c r="M775" s="83" t="n"/>
      <c r="N775" s="83" t="n"/>
      <c r="O775" s="83" t="n"/>
      <c r="P775" s="83" t="n"/>
      <c r="Q775" s="83" t="n"/>
      <c r="R775" s="83" t="n"/>
      <c r="S775" s="83" t="n"/>
      <c r="T775" s="83" t="n"/>
      <c r="U775" s="83" t="n"/>
      <c r="V775" s="83" t="n"/>
      <c r="W775" s="83" t="n"/>
      <c r="X775" s="83" t="n"/>
      <c r="Y775" s="83" t="n"/>
      <c r="Z775" s="83" t="n"/>
      <c r="AA775" s="83" t="n"/>
      <c r="AB775" s="83" t="n"/>
      <c r="AC775" s="83" t="n"/>
      <c r="AD775" s="83" t="n"/>
      <c r="AE775" s="83" t="n"/>
      <c r="AF775" s="83" t="n"/>
      <c r="AG775" s="83" t="n"/>
      <c r="AH775" s="83" t="n"/>
      <c r="AI775" s="83" t="n"/>
      <c r="AJ775" s="83" t="n"/>
      <c r="AK775" s="83" t="n"/>
      <c r="AL775" s="83" t="n"/>
      <c r="AM775" s="83" t="n"/>
      <c r="AN775" s="83" t="n"/>
      <c r="AO775" s="83" t="n"/>
      <c r="AP775" s="83" t="n"/>
      <c r="AQ775" s="83" t="n"/>
      <c r="AR775" s="83" t="n"/>
    </row>
    <row r="776">
      <c r="D776" s="84" t="n"/>
      <c r="E776" s="84" t="n"/>
      <c r="F776" s="84" t="n"/>
      <c r="G776" s="84" t="n"/>
      <c r="H776" s="84" t="n"/>
      <c r="I776" s="84" t="n"/>
      <c r="J776" s="84" t="n"/>
      <c r="K776" s="84" t="n"/>
      <c r="L776" s="84" t="n"/>
      <c r="M776" s="84" t="n"/>
      <c r="N776" s="84" t="n"/>
      <c r="O776" s="84" t="n"/>
      <c r="P776" s="84" t="n"/>
      <c r="Q776" s="84" t="n"/>
      <c r="R776" s="84" t="n"/>
      <c r="S776" s="84" t="n"/>
      <c r="T776" s="84" t="n"/>
      <c r="U776" s="84" t="n"/>
      <c r="V776" s="84" t="n"/>
      <c r="W776" s="84" t="n"/>
      <c r="X776" s="84" t="n"/>
      <c r="Y776" s="84" t="n"/>
      <c r="Z776" s="84" t="n"/>
      <c r="AA776" s="84" t="n"/>
      <c r="AB776" s="84" t="n"/>
      <c r="AC776" s="84" t="n"/>
      <c r="AD776" s="84" t="n"/>
      <c r="AE776" s="84" t="n"/>
      <c r="AF776" s="84" t="n"/>
      <c r="AG776" s="84" t="n"/>
      <c r="AH776" s="84" t="n"/>
      <c r="AI776" s="84" t="n"/>
      <c r="AJ776" s="84" t="n"/>
      <c r="AK776" s="84" t="n"/>
      <c r="AL776" s="84" t="n"/>
      <c r="AM776" s="84" t="n"/>
      <c r="AN776" s="84" t="n"/>
      <c r="AO776" s="84" t="n"/>
      <c r="AP776" s="84" t="n"/>
      <c r="AQ776" s="84" t="n"/>
      <c r="AR776" s="84" t="n"/>
    </row>
    <row r="777">
      <c r="D777" s="80" t="n"/>
      <c r="E777" s="80" t="n"/>
      <c r="F777" s="80" t="n"/>
      <c r="G777" s="80" t="n"/>
      <c r="H777" s="80" t="n"/>
      <c r="I777" s="80" t="n"/>
      <c r="J777" s="80" t="n"/>
      <c r="K777" s="80" t="n"/>
      <c r="L777" s="80" t="n"/>
      <c r="M777" s="80" t="n"/>
      <c r="N777" s="80" t="n"/>
      <c r="O777" s="80" t="n"/>
      <c r="P777" s="80" t="n"/>
      <c r="Q777" s="80" t="n"/>
      <c r="R777" s="80" t="n"/>
      <c r="S777" s="80" t="n"/>
      <c r="T777" s="80" t="n"/>
      <c r="U777" s="80" t="n"/>
      <c r="V777" s="80" t="n"/>
      <c r="W777" s="80" t="n"/>
      <c r="X777" s="80" t="n"/>
      <c r="Y777" s="80" t="n"/>
      <c r="Z777" s="80" t="n"/>
      <c r="AA777" s="80" t="n"/>
      <c r="AB777" s="80" t="n"/>
      <c r="AC777" s="80" t="n"/>
      <c r="AD777" s="80" t="n"/>
      <c r="AE777" s="80" t="n"/>
      <c r="AF777" s="80" t="n"/>
      <c r="AG777" s="80" t="n"/>
      <c r="AH777" s="80" t="n"/>
      <c r="AI777" s="80" t="n"/>
      <c r="AJ777" s="80" t="n"/>
      <c r="AK777" s="80" t="n"/>
      <c r="AL777" s="80" t="n"/>
      <c r="AM777" s="80" t="n"/>
      <c r="AN777" s="80" t="n"/>
      <c r="AO777" s="80" t="n"/>
      <c r="AP777" s="80" t="n"/>
      <c r="AQ777" s="80" t="n"/>
      <c r="AR777" s="80" t="n"/>
    </row>
    <row r="778">
      <c r="D778" s="80" t="n"/>
      <c r="E778" s="80" t="n"/>
      <c r="F778" s="80" t="n"/>
      <c r="G778" s="80" t="n"/>
      <c r="H778" s="80" t="n"/>
      <c r="I778" s="80" t="n"/>
      <c r="J778" s="80" t="n"/>
      <c r="K778" s="80" t="n"/>
      <c r="L778" s="80" t="n"/>
      <c r="M778" s="80" t="n"/>
      <c r="N778" s="80" t="n"/>
      <c r="O778" s="80" t="n"/>
      <c r="P778" s="80" t="n"/>
      <c r="Q778" s="80" t="n"/>
      <c r="R778" s="80" t="n"/>
      <c r="S778" s="80" t="n"/>
      <c r="T778" s="80" t="n"/>
      <c r="U778" s="80" t="n"/>
      <c r="V778" s="80" t="n"/>
      <c r="W778" s="80" t="n"/>
      <c r="X778" s="80" t="n"/>
      <c r="Y778" s="80" t="n"/>
      <c r="Z778" s="80" t="n"/>
      <c r="AA778" s="80" t="n"/>
      <c r="AB778" s="80" t="n"/>
      <c r="AC778" s="80" t="n"/>
      <c r="AD778" s="80" t="n"/>
      <c r="AE778" s="80" t="n"/>
      <c r="AF778" s="80" t="n"/>
      <c r="AG778" s="80" t="n"/>
      <c r="AH778" s="80" t="n"/>
      <c r="AI778" s="80" t="n"/>
      <c r="AJ778" s="80" t="n"/>
      <c r="AK778" s="80" t="n"/>
      <c r="AL778" s="80" t="n"/>
      <c r="AM778" s="80" t="n"/>
      <c r="AN778" s="80" t="n"/>
      <c r="AO778" s="80" t="n"/>
      <c r="AP778" s="80" t="n"/>
      <c r="AQ778" s="80" t="n"/>
      <c r="AR778" s="80" t="n"/>
    </row>
    <row r="779">
      <c r="D779" s="80" t="n"/>
      <c r="E779" s="80" t="n"/>
      <c r="F779" s="80" t="n"/>
      <c r="G779" s="80" t="n"/>
      <c r="H779" s="80" t="n"/>
      <c r="I779" s="80" t="n"/>
      <c r="J779" s="80" t="n"/>
      <c r="K779" s="80" t="n"/>
      <c r="L779" s="80" t="n"/>
      <c r="M779" s="80" t="n"/>
      <c r="N779" s="80" t="n"/>
      <c r="O779" s="80" t="n"/>
      <c r="P779" s="80" t="n"/>
      <c r="Q779" s="80" t="n"/>
      <c r="R779" s="80" t="n"/>
      <c r="S779" s="80" t="n"/>
      <c r="T779" s="80" t="n"/>
      <c r="U779" s="80" t="n"/>
      <c r="V779" s="80" t="n"/>
      <c r="W779" s="80" t="n"/>
      <c r="X779" s="80" t="n"/>
      <c r="Y779" s="80" t="n"/>
      <c r="Z779" s="80" t="n"/>
      <c r="AA779" s="80" t="n"/>
      <c r="AB779" s="80" t="n"/>
      <c r="AC779" s="80" t="n"/>
      <c r="AD779" s="80" t="n"/>
      <c r="AE779" s="80" t="n"/>
      <c r="AF779" s="80" t="n"/>
      <c r="AG779" s="80" t="n"/>
      <c r="AH779" s="80" t="n"/>
      <c r="AI779" s="80" t="n"/>
      <c r="AJ779" s="80" t="n"/>
      <c r="AK779" s="80" t="n"/>
      <c r="AL779" s="80" t="n"/>
      <c r="AM779" s="80" t="n"/>
      <c r="AN779" s="80" t="n"/>
      <c r="AO779" s="80" t="n"/>
      <c r="AP779" s="80" t="n"/>
      <c r="AQ779" s="80" t="n"/>
      <c r="AR779" s="80" t="n"/>
    </row>
    <row r="780">
      <c r="D780" s="80" t="n"/>
      <c r="E780" s="80" t="n"/>
      <c r="F780" s="80" t="n"/>
      <c r="G780" s="80" t="n"/>
      <c r="H780" s="80" t="n"/>
      <c r="I780" s="80" t="n"/>
      <c r="J780" s="80" t="n"/>
      <c r="K780" s="80" t="n"/>
      <c r="L780" s="80" t="n"/>
      <c r="M780" s="80" t="n"/>
      <c r="N780" s="80" t="n"/>
      <c r="O780" s="80" t="n"/>
      <c r="P780" s="80" t="n"/>
      <c r="Q780" s="80" t="n"/>
      <c r="R780" s="80" t="n"/>
      <c r="S780" s="80" t="n"/>
      <c r="T780" s="80" t="n"/>
      <c r="U780" s="80" t="n"/>
      <c r="V780" s="80" t="n"/>
      <c r="W780" s="80" t="n"/>
      <c r="X780" s="80" t="n"/>
      <c r="Y780" s="80" t="n"/>
      <c r="Z780" s="80" t="n"/>
      <c r="AA780" s="80" t="n"/>
      <c r="AB780" s="80" t="n"/>
      <c r="AC780" s="80" t="n"/>
      <c r="AD780" s="80" t="n"/>
      <c r="AE780" s="80" t="n"/>
      <c r="AF780" s="80" t="n"/>
      <c r="AG780" s="80" t="n"/>
      <c r="AH780" s="80" t="n"/>
      <c r="AI780" s="80" t="n"/>
      <c r="AJ780" s="80" t="n"/>
      <c r="AK780" s="80" t="n"/>
      <c r="AL780" s="80" t="n"/>
      <c r="AM780" s="80" t="n"/>
      <c r="AN780" s="80" t="n"/>
      <c r="AO780" s="80" t="n"/>
      <c r="AP780" s="80" t="n"/>
      <c r="AQ780" s="80" t="n"/>
      <c r="AR780" s="80" t="n"/>
    </row>
    <row r="781">
      <c r="A781" s="2">
        <f>IF($A774="","","   projections")</f>
        <v/>
      </c>
      <c r="B781" s="41">
        <f>IF($A774="",0,COUNT($E782:$AR782))</f>
        <v/>
      </c>
      <c r="C781" s="81">
        <f>IF($B781=0,0,MAX($E782:$AR782))</f>
        <v/>
      </c>
      <c r="D781" s="82">
        <f>BDS($A774,'Field Check'!$C$6,"headers=y","startcol=1","endcol=7","dir=h")</f>
        <v/>
      </c>
      <c r="E781" s="83" t="n"/>
      <c r="F781" s="83" t="n"/>
      <c r="G781" s="83" t="n"/>
      <c r="H781" s="83" t="n"/>
      <c r="I781" s="83" t="n"/>
      <c r="J781" s="83" t="n"/>
      <c r="K781" s="83" t="n"/>
      <c r="L781" s="83" t="n"/>
      <c r="M781" s="83" t="n"/>
      <c r="N781" s="83" t="n"/>
      <c r="O781" s="83" t="n"/>
      <c r="P781" s="83" t="n"/>
      <c r="Q781" s="83" t="n"/>
      <c r="R781" s="83" t="n"/>
      <c r="S781" s="83" t="n"/>
      <c r="T781" s="83" t="n"/>
      <c r="U781" s="83" t="n"/>
      <c r="V781" s="83" t="n"/>
      <c r="W781" s="83" t="n"/>
      <c r="X781" s="83" t="n"/>
      <c r="Y781" s="83" t="n"/>
      <c r="Z781" s="83" t="n"/>
      <c r="AA781" s="83" t="n"/>
      <c r="AB781" s="83" t="n"/>
      <c r="AC781" s="83" t="n"/>
      <c r="AD781" s="83" t="n"/>
      <c r="AE781" s="83" t="n"/>
      <c r="AF781" s="83" t="n"/>
      <c r="AG781" s="83" t="n"/>
      <c r="AH781" s="83" t="n"/>
      <c r="AI781" s="83" t="n"/>
      <c r="AJ781" s="83" t="n"/>
      <c r="AK781" s="83" t="n"/>
      <c r="AL781" s="83" t="n"/>
      <c r="AM781" s="83" t="n"/>
      <c r="AN781" s="83" t="n"/>
      <c r="AO781" s="83" t="n"/>
      <c r="AP781" s="83" t="n"/>
      <c r="AQ781" s="83" t="n"/>
      <c r="AR781" s="83" t="n"/>
    </row>
    <row r="782">
      <c r="D782" s="83" t="n"/>
      <c r="E782" s="83" t="n"/>
      <c r="F782" s="83" t="n"/>
      <c r="G782" s="83" t="n"/>
      <c r="H782" s="83" t="n"/>
      <c r="I782" s="83" t="n"/>
      <c r="J782" s="83" t="n"/>
      <c r="K782" s="83" t="n"/>
      <c r="L782" s="83" t="n"/>
      <c r="M782" s="83" t="n"/>
      <c r="N782" s="83" t="n"/>
      <c r="O782" s="83" t="n"/>
      <c r="P782" s="83" t="n"/>
      <c r="Q782" s="83" t="n"/>
      <c r="R782" s="83" t="n"/>
      <c r="S782" s="83" t="n"/>
      <c r="T782" s="83" t="n"/>
      <c r="U782" s="83" t="n"/>
      <c r="V782" s="83" t="n"/>
      <c r="W782" s="83" t="n"/>
      <c r="X782" s="83" t="n"/>
      <c r="Y782" s="83" t="n"/>
      <c r="Z782" s="83" t="n"/>
      <c r="AA782" s="83" t="n"/>
      <c r="AB782" s="83" t="n"/>
      <c r="AC782" s="83" t="n"/>
      <c r="AD782" s="83" t="n"/>
      <c r="AE782" s="83" t="n"/>
      <c r="AF782" s="83" t="n"/>
      <c r="AG782" s="83" t="n"/>
      <c r="AH782" s="83" t="n"/>
      <c r="AI782" s="83" t="n"/>
      <c r="AJ782" s="83" t="n"/>
      <c r="AK782" s="83" t="n"/>
      <c r="AL782" s="83" t="n"/>
      <c r="AM782" s="83" t="n"/>
      <c r="AN782" s="83" t="n"/>
      <c r="AO782" s="83" t="n"/>
      <c r="AP782" s="83" t="n"/>
      <c r="AQ782" s="83" t="n"/>
      <c r="AR782" s="83" t="n"/>
    </row>
    <row r="783">
      <c r="D783" s="84" t="n"/>
      <c r="E783" s="84" t="n"/>
      <c r="F783" s="84" t="n"/>
      <c r="G783" s="84" t="n"/>
      <c r="H783" s="84" t="n"/>
      <c r="I783" s="84" t="n"/>
      <c r="J783" s="84" t="n"/>
      <c r="K783" s="84" t="n"/>
      <c r="L783" s="84" t="n"/>
      <c r="M783" s="84" t="n"/>
      <c r="N783" s="84" t="n"/>
      <c r="O783" s="84" t="n"/>
      <c r="P783" s="84" t="n"/>
      <c r="Q783" s="84" t="n"/>
      <c r="R783" s="84" t="n"/>
      <c r="S783" s="84" t="n"/>
      <c r="T783" s="84" t="n"/>
      <c r="U783" s="84" t="n"/>
      <c r="V783" s="84" t="n"/>
      <c r="W783" s="84" t="n"/>
      <c r="X783" s="84" t="n"/>
      <c r="Y783" s="84" t="n"/>
      <c r="Z783" s="84" t="n"/>
      <c r="AA783" s="84" t="n"/>
      <c r="AB783" s="84" t="n"/>
      <c r="AC783" s="84" t="n"/>
      <c r="AD783" s="84" t="n"/>
      <c r="AE783" s="84" t="n"/>
      <c r="AF783" s="84" t="n"/>
      <c r="AG783" s="84" t="n"/>
      <c r="AH783" s="84" t="n"/>
      <c r="AI783" s="84" t="n"/>
      <c r="AJ783" s="84" t="n"/>
      <c r="AK783" s="84" t="n"/>
      <c r="AL783" s="84" t="n"/>
      <c r="AM783" s="84" t="n"/>
      <c r="AN783" s="84" t="n"/>
      <c r="AO783" s="84" t="n"/>
      <c r="AP783" s="84" t="n"/>
      <c r="AQ783" s="84" t="n"/>
      <c r="AR783" s="84" t="n"/>
    </row>
    <row r="784">
      <c r="D784" s="80" t="n"/>
      <c r="E784" s="80" t="n"/>
      <c r="F784" s="80" t="n"/>
      <c r="G784" s="80" t="n"/>
      <c r="H784" s="80" t="n"/>
      <c r="I784" s="80" t="n"/>
      <c r="J784" s="80" t="n"/>
      <c r="K784" s="80" t="n"/>
      <c r="L784" s="80" t="n"/>
      <c r="M784" s="80" t="n"/>
      <c r="N784" s="80" t="n"/>
      <c r="O784" s="80" t="n"/>
      <c r="P784" s="80" t="n"/>
      <c r="Q784" s="80" t="n"/>
      <c r="R784" s="80" t="n"/>
      <c r="S784" s="80" t="n"/>
      <c r="T784" s="80" t="n"/>
      <c r="U784" s="80" t="n"/>
      <c r="V784" s="80" t="n"/>
      <c r="W784" s="80" t="n"/>
      <c r="X784" s="80" t="n"/>
      <c r="Y784" s="80" t="n"/>
      <c r="Z784" s="80" t="n"/>
      <c r="AA784" s="80" t="n"/>
      <c r="AB784" s="80" t="n"/>
      <c r="AC784" s="80" t="n"/>
      <c r="AD784" s="80" t="n"/>
      <c r="AE784" s="80" t="n"/>
      <c r="AF784" s="80" t="n"/>
      <c r="AG784" s="80" t="n"/>
      <c r="AH784" s="80" t="n"/>
      <c r="AI784" s="80" t="n"/>
      <c r="AJ784" s="80" t="n"/>
      <c r="AK784" s="80" t="n"/>
      <c r="AL784" s="80" t="n"/>
      <c r="AM784" s="80" t="n"/>
      <c r="AN784" s="80" t="n"/>
      <c r="AO784" s="80" t="n"/>
      <c r="AP784" s="80" t="n"/>
      <c r="AQ784" s="80" t="n"/>
      <c r="AR784" s="80" t="n"/>
    </row>
    <row r="785">
      <c r="D785" s="80" t="n"/>
      <c r="E785" s="80" t="n"/>
      <c r="F785" s="80" t="n"/>
      <c r="G785" s="80" t="n"/>
      <c r="H785" s="80" t="n"/>
      <c r="I785" s="80" t="n"/>
      <c r="J785" s="80" t="n"/>
      <c r="K785" s="80" t="n"/>
      <c r="L785" s="80" t="n"/>
      <c r="M785" s="80" t="n"/>
      <c r="N785" s="80" t="n"/>
      <c r="O785" s="80" t="n"/>
      <c r="P785" s="80" t="n"/>
      <c r="Q785" s="80" t="n"/>
      <c r="R785" s="80" t="n"/>
      <c r="S785" s="80" t="n"/>
      <c r="T785" s="80" t="n"/>
      <c r="U785" s="80" t="n"/>
      <c r="V785" s="80" t="n"/>
      <c r="W785" s="80" t="n"/>
      <c r="X785" s="80" t="n"/>
      <c r="Y785" s="80" t="n"/>
      <c r="Z785" s="80" t="n"/>
      <c r="AA785" s="80" t="n"/>
      <c r="AB785" s="80" t="n"/>
      <c r="AC785" s="80" t="n"/>
      <c r="AD785" s="80" t="n"/>
      <c r="AE785" s="80" t="n"/>
      <c r="AF785" s="80" t="n"/>
      <c r="AG785" s="80" t="n"/>
      <c r="AH785" s="80" t="n"/>
      <c r="AI785" s="80" t="n"/>
      <c r="AJ785" s="80" t="n"/>
      <c r="AK785" s="80" t="n"/>
      <c r="AL785" s="80" t="n"/>
      <c r="AM785" s="80" t="n"/>
      <c r="AN785" s="80" t="n"/>
      <c r="AO785" s="80" t="n"/>
      <c r="AP785" s="80" t="n"/>
      <c r="AQ785" s="80" t="n"/>
      <c r="AR785" s="80" t="n"/>
    </row>
    <row r="786">
      <c r="D786" s="80" t="n"/>
      <c r="E786" s="80" t="n"/>
      <c r="F786" s="80" t="n"/>
      <c r="G786" s="80" t="n"/>
      <c r="H786" s="80" t="n"/>
      <c r="I786" s="80" t="n"/>
      <c r="J786" s="80" t="n"/>
      <c r="K786" s="80" t="n"/>
      <c r="L786" s="80" t="n"/>
      <c r="M786" s="80" t="n"/>
      <c r="N786" s="80" t="n"/>
      <c r="O786" s="80" t="n"/>
      <c r="P786" s="80" t="n"/>
      <c r="Q786" s="80" t="n"/>
      <c r="R786" s="80" t="n"/>
      <c r="S786" s="80" t="n"/>
      <c r="T786" s="80" t="n"/>
      <c r="U786" s="80" t="n"/>
      <c r="V786" s="80" t="n"/>
      <c r="W786" s="80" t="n"/>
      <c r="X786" s="80" t="n"/>
      <c r="Y786" s="80" t="n"/>
      <c r="Z786" s="80" t="n"/>
      <c r="AA786" s="80" t="n"/>
      <c r="AB786" s="80" t="n"/>
      <c r="AC786" s="80" t="n"/>
      <c r="AD786" s="80" t="n"/>
      <c r="AE786" s="80" t="n"/>
      <c r="AF786" s="80" t="n"/>
      <c r="AG786" s="80" t="n"/>
      <c r="AH786" s="80" t="n"/>
      <c r="AI786" s="80" t="n"/>
      <c r="AJ786" s="80" t="n"/>
      <c r="AK786" s="80" t="n"/>
      <c r="AL786" s="80" t="n"/>
      <c r="AM786" s="80" t="n"/>
      <c r="AN786" s="80" t="n"/>
      <c r="AO786" s="80" t="n"/>
      <c r="AP786" s="80" t="n"/>
      <c r="AQ786" s="80" t="n"/>
      <c r="AR786" s="80" t="n"/>
    </row>
    <row r="787">
      <c r="D787" s="80" t="n"/>
      <c r="E787" s="80" t="n"/>
      <c r="F787" s="80" t="n"/>
      <c r="G787" s="80" t="n"/>
      <c r="H787" s="80" t="n"/>
      <c r="I787" s="80" t="n"/>
      <c r="J787" s="80" t="n"/>
      <c r="K787" s="80" t="n"/>
      <c r="L787" s="80" t="n"/>
      <c r="M787" s="80" t="n"/>
      <c r="N787" s="80" t="n"/>
      <c r="O787" s="80" t="n"/>
      <c r="P787" s="80" t="n"/>
      <c r="Q787" s="80" t="n"/>
      <c r="R787" s="80" t="n"/>
      <c r="S787" s="80" t="n"/>
      <c r="T787" s="80" t="n"/>
      <c r="U787" s="80" t="n"/>
      <c r="V787" s="80" t="n"/>
      <c r="W787" s="80" t="n"/>
      <c r="X787" s="80" t="n"/>
      <c r="Y787" s="80" t="n"/>
      <c r="Z787" s="80" t="n"/>
      <c r="AA787" s="80" t="n"/>
      <c r="AB787" s="80" t="n"/>
      <c r="AC787" s="80" t="n"/>
      <c r="AD787" s="80" t="n"/>
      <c r="AE787" s="80" t="n"/>
      <c r="AF787" s="80" t="n"/>
      <c r="AG787" s="80" t="n"/>
      <c r="AH787" s="80" t="n"/>
      <c r="AI787" s="80" t="n"/>
      <c r="AJ787" s="80" t="n"/>
      <c r="AK787" s="80" t="n"/>
      <c r="AL787" s="80" t="n"/>
      <c r="AM787" s="80" t="n"/>
      <c r="AN787" s="80" t="n"/>
      <c r="AO787" s="80" t="n"/>
      <c r="AP787" s="80" t="n"/>
      <c r="AQ787" s="80" t="n"/>
      <c r="AR787" s="80" t="n"/>
    </row>
    <row r="789">
      <c r="A789" s="6">
        <f>IF(HSI!$C$59="","",HSI!$C$59)</f>
        <v/>
      </c>
      <c r="B789" s="41">
        <f>IF($A789="",0,COUNT($E790:$AR790))</f>
        <v/>
      </c>
      <c r="C789" s="81">
        <f>IF($B789=0,0,MAX($E790:$AR790))</f>
        <v/>
      </c>
      <c r="D789" s="82">
        <f>BDS($A789,'Field Check'!$C$7,"headers=y","startcol=1","endcol=7","dir=h","DVD_START_DT",Summary!$C$18,"DVD_END_DT",Summary!$D$18)</f>
        <v/>
      </c>
      <c r="E789" s="83" t="n"/>
      <c r="F789" s="83" t="n"/>
      <c r="G789" s="83" t="n"/>
      <c r="H789" s="83" t="n"/>
      <c r="I789" s="83" t="n"/>
      <c r="J789" s="83" t="n"/>
      <c r="K789" s="83" t="n"/>
      <c r="L789" s="83" t="n"/>
      <c r="M789" s="83" t="n"/>
      <c r="N789" s="83" t="n"/>
      <c r="O789" s="83" t="n"/>
      <c r="P789" s="83" t="n"/>
      <c r="Q789" s="83" t="n"/>
      <c r="R789" s="83" t="n"/>
      <c r="S789" s="83" t="n"/>
      <c r="T789" s="83" t="n"/>
      <c r="U789" s="83" t="n"/>
      <c r="V789" s="83" t="n"/>
      <c r="W789" s="83" t="n"/>
      <c r="X789" s="83" t="n"/>
      <c r="Y789" s="83" t="n"/>
      <c r="Z789" s="83" t="n"/>
      <c r="AA789" s="83" t="n"/>
      <c r="AB789" s="83" t="n"/>
      <c r="AC789" s="83" t="n"/>
      <c r="AD789" s="83" t="n"/>
      <c r="AE789" s="83" t="n"/>
      <c r="AF789" s="83" t="n"/>
      <c r="AG789" s="83" t="n"/>
      <c r="AH789" s="83" t="n"/>
      <c r="AI789" s="83" t="n"/>
      <c r="AJ789" s="83" t="n"/>
      <c r="AK789" s="83" t="n"/>
      <c r="AL789" s="83" t="n"/>
      <c r="AM789" s="83" t="n"/>
      <c r="AN789" s="83" t="n"/>
      <c r="AO789" s="83" t="n"/>
      <c r="AP789" s="83" t="n"/>
      <c r="AQ789" s="83" t="n"/>
      <c r="AR789" s="83" t="n"/>
    </row>
    <row r="790">
      <c r="D790" s="83" t="n"/>
      <c r="E790" s="83" t="n"/>
      <c r="F790" s="83" t="n"/>
      <c r="G790" s="83" t="n"/>
      <c r="H790" s="83" t="n"/>
      <c r="I790" s="83" t="n"/>
      <c r="J790" s="83" t="n"/>
      <c r="K790" s="83" t="n"/>
      <c r="L790" s="83" t="n"/>
      <c r="M790" s="83" t="n"/>
      <c r="N790" s="83" t="n"/>
      <c r="O790" s="83" t="n"/>
      <c r="P790" s="83" t="n"/>
      <c r="Q790" s="83" t="n"/>
      <c r="R790" s="83" t="n"/>
      <c r="S790" s="83" t="n"/>
      <c r="T790" s="83" t="n"/>
      <c r="U790" s="83" t="n"/>
      <c r="V790" s="83" t="n"/>
      <c r="W790" s="83" t="n"/>
      <c r="X790" s="83" t="n"/>
      <c r="Y790" s="83" t="n"/>
      <c r="Z790" s="83" t="n"/>
      <c r="AA790" s="83" t="n"/>
      <c r="AB790" s="83" t="n"/>
      <c r="AC790" s="83" t="n"/>
      <c r="AD790" s="83" t="n"/>
      <c r="AE790" s="83" t="n"/>
      <c r="AF790" s="83" t="n"/>
      <c r="AG790" s="83" t="n"/>
      <c r="AH790" s="83" t="n"/>
      <c r="AI790" s="83" t="n"/>
      <c r="AJ790" s="83" t="n"/>
      <c r="AK790" s="83" t="n"/>
      <c r="AL790" s="83" t="n"/>
      <c r="AM790" s="83" t="n"/>
      <c r="AN790" s="83" t="n"/>
      <c r="AO790" s="83" t="n"/>
      <c r="AP790" s="83" t="n"/>
      <c r="AQ790" s="83" t="n"/>
      <c r="AR790" s="83" t="n"/>
    </row>
    <row r="791">
      <c r="D791" s="84" t="n"/>
      <c r="E791" s="84" t="n"/>
      <c r="F791" s="84" t="n"/>
      <c r="G791" s="84" t="n"/>
      <c r="H791" s="84" t="n"/>
      <c r="I791" s="84" t="n"/>
      <c r="J791" s="84" t="n"/>
      <c r="K791" s="84" t="n"/>
      <c r="L791" s="84" t="n"/>
      <c r="M791" s="84" t="n"/>
      <c r="N791" s="84" t="n"/>
      <c r="O791" s="84" t="n"/>
      <c r="P791" s="84" t="n"/>
      <c r="Q791" s="84" t="n"/>
      <c r="R791" s="84" t="n"/>
      <c r="S791" s="84" t="n"/>
      <c r="T791" s="84" t="n"/>
      <c r="U791" s="84" t="n"/>
      <c r="V791" s="84" t="n"/>
      <c r="W791" s="84" t="n"/>
      <c r="X791" s="84" t="n"/>
      <c r="Y791" s="84" t="n"/>
      <c r="Z791" s="84" t="n"/>
      <c r="AA791" s="84" t="n"/>
      <c r="AB791" s="84" t="n"/>
      <c r="AC791" s="84" t="n"/>
      <c r="AD791" s="84" t="n"/>
      <c r="AE791" s="84" t="n"/>
      <c r="AF791" s="84" t="n"/>
      <c r="AG791" s="84" t="n"/>
      <c r="AH791" s="84" t="n"/>
      <c r="AI791" s="84" t="n"/>
      <c r="AJ791" s="84" t="n"/>
      <c r="AK791" s="84" t="n"/>
      <c r="AL791" s="84" t="n"/>
      <c r="AM791" s="84" t="n"/>
      <c r="AN791" s="84" t="n"/>
      <c r="AO791" s="84" t="n"/>
      <c r="AP791" s="84" t="n"/>
      <c r="AQ791" s="84" t="n"/>
      <c r="AR791" s="84" t="n"/>
    </row>
    <row r="792">
      <c r="D792" s="80" t="n"/>
      <c r="E792" s="80" t="n"/>
      <c r="F792" s="80" t="n"/>
      <c r="G792" s="80" t="n"/>
      <c r="H792" s="80" t="n"/>
      <c r="I792" s="80" t="n"/>
      <c r="J792" s="80" t="n"/>
      <c r="K792" s="80" t="n"/>
      <c r="L792" s="80" t="n"/>
      <c r="M792" s="80" t="n"/>
      <c r="N792" s="80" t="n"/>
      <c r="O792" s="80" t="n"/>
      <c r="P792" s="80" t="n"/>
      <c r="Q792" s="80" t="n"/>
      <c r="R792" s="80" t="n"/>
      <c r="S792" s="80" t="n"/>
      <c r="T792" s="80" t="n"/>
      <c r="U792" s="80" t="n"/>
      <c r="V792" s="80" t="n"/>
      <c r="W792" s="80" t="n"/>
      <c r="X792" s="80" t="n"/>
      <c r="Y792" s="80" t="n"/>
      <c r="Z792" s="80" t="n"/>
      <c r="AA792" s="80" t="n"/>
      <c r="AB792" s="80" t="n"/>
      <c r="AC792" s="80" t="n"/>
      <c r="AD792" s="80" t="n"/>
      <c r="AE792" s="80" t="n"/>
      <c r="AF792" s="80" t="n"/>
      <c r="AG792" s="80" t="n"/>
      <c r="AH792" s="80" t="n"/>
      <c r="AI792" s="80" t="n"/>
      <c r="AJ792" s="80" t="n"/>
      <c r="AK792" s="80" t="n"/>
      <c r="AL792" s="80" t="n"/>
      <c r="AM792" s="80" t="n"/>
      <c r="AN792" s="80" t="n"/>
      <c r="AO792" s="80" t="n"/>
      <c r="AP792" s="80" t="n"/>
      <c r="AQ792" s="80" t="n"/>
      <c r="AR792" s="80" t="n"/>
    </row>
    <row r="793">
      <c r="D793" s="80" t="n"/>
      <c r="E793" s="80" t="n"/>
      <c r="F793" s="80" t="n"/>
      <c r="G793" s="80" t="n"/>
      <c r="H793" s="80" t="n"/>
      <c r="I793" s="80" t="n"/>
      <c r="J793" s="80" t="n"/>
      <c r="K793" s="80" t="n"/>
      <c r="L793" s="80" t="n"/>
      <c r="M793" s="80" t="n"/>
      <c r="N793" s="80" t="n"/>
      <c r="O793" s="80" t="n"/>
      <c r="P793" s="80" t="n"/>
      <c r="Q793" s="80" t="n"/>
      <c r="R793" s="80" t="n"/>
      <c r="S793" s="80" t="n"/>
      <c r="T793" s="80" t="n"/>
      <c r="U793" s="80" t="n"/>
      <c r="V793" s="80" t="n"/>
      <c r="W793" s="80" t="n"/>
      <c r="X793" s="80" t="n"/>
      <c r="Y793" s="80" t="n"/>
      <c r="Z793" s="80" t="n"/>
      <c r="AA793" s="80" t="n"/>
      <c r="AB793" s="80" t="n"/>
      <c r="AC793" s="80" t="n"/>
      <c r="AD793" s="80" t="n"/>
      <c r="AE793" s="80" t="n"/>
      <c r="AF793" s="80" t="n"/>
      <c r="AG793" s="80" t="n"/>
      <c r="AH793" s="80" t="n"/>
      <c r="AI793" s="80" t="n"/>
      <c r="AJ793" s="80" t="n"/>
      <c r="AK793" s="80" t="n"/>
      <c r="AL793" s="80" t="n"/>
      <c r="AM793" s="80" t="n"/>
      <c r="AN793" s="80" t="n"/>
      <c r="AO793" s="80" t="n"/>
      <c r="AP793" s="80" t="n"/>
      <c r="AQ793" s="80" t="n"/>
      <c r="AR793" s="80" t="n"/>
    </row>
    <row r="794">
      <c r="D794" s="80" t="n"/>
      <c r="E794" s="80" t="n"/>
      <c r="F794" s="80" t="n"/>
      <c r="G794" s="80" t="n"/>
      <c r="H794" s="80" t="n"/>
      <c r="I794" s="80" t="n"/>
      <c r="J794" s="80" t="n"/>
      <c r="K794" s="80" t="n"/>
      <c r="L794" s="80" t="n"/>
      <c r="M794" s="80" t="n"/>
      <c r="N794" s="80" t="n"/>
      <c r="O794" s="80" t="n"/>
      <c r="P794" s="80" t="n"/>
      <c r="Q794" s="80" t="n"/>
      <c r="R794" s="80" t="n"/>
      <c r="S794" s="80" t="n"/>
      <c r="T794" s="80" t="n"/>
      <c r="U794" s="80" t="n"/>
      <c r="V794" s="80" t="n"/>
      <c r="W794" s="80" t="n"/>
      <c r="X794" s="80" t="n"/>
      <c r="Y794" s="80" t="n"/>
      <c r="Z794" s="80" t="n"/>
      <c r="AA794" s="80" t="n"/>
      <c r="AB794" s="80" t="n"/>
      <c r="AC794" s="80" t="n"/>
      <c r="AD794" s="80" t="n"/>
      <c r="AE794" s="80" t="n"/>
      <c r="AF794" s="80" t="n"/>
      <c r="AG794" s="80" t="n"/>
      <c r="AH794" s="80" t="n"/>
      <c r="AI794" s="80" t="n"/>
      <c r="AJ794" s="80" t="n"/>
      <c r="AK794" s="80" t="n"/>
      <c r="AL794" s="80" t="n"/>
      <c r="AM794" s="80" t="n"/>
      <c r="AN794" s="80" t="n"/>
      <c r="AO794" s="80" t="n"/>
      <c r="AP794" s="80" t="n"/>
      <c r="AQ794" s="80" t="n"/>
      <c r="AR794" s="80" t="n"/>
    </row>
    <row r="795">
      <c r="D795" s="80" t="n"/>
      <c r="E795" s="80" t="n"/>
      <c r="F795" s="80" t="n"/>
      <c r="G795" s="80" t="n"/>
      <c r="H795" s="80" t="n"/>
      <c r="I795" s="80" t="n"/>
      <c r="J795" s="80" t="n"/>
      <c r="K795" s="80" t="n"/>
      <c r="L795" s="80" t="n"/>
      <c r="M795" s="80" t="n"/>
      <c r="N795" s="80" t="n"/>
      <c r="O795" s="80" t="n"/>
      <c r="P795" s="80" t="n"/>
      <c r="Q795" s="80" t="n"/>
      <c r="R795" s="80" t="n"/>
      <c r="S795" s="80" t="n"/>
      <c r="T795" s="80" t="n"/>
      <c r="U795" s="80" t="n"/>
      <c r="V795" s="80" t="n"/>
      <c r="W795" s="80" t="n"/>
      <c r="X795" s="80" t="n"/>
      <c r="Y795" s="80" t="n"/>
      <c r="Z795" s="80" t="n"/>
      <c r="AA795" s="80" t="n"/>
      <c r="AB795" s="80" t="n"/>
      <c r="AC795" s="80" t="n"/>
      <c r="AD795" s="80" t="n"/>
      <c r="AE795" s="80" t="n"/>
      <c r="AF795" s="80" t="n"/>
      <c r="AG795" s="80" t="n"/>
      <c r="AH795" s="80" t="n"/>
      <c r="AI795" s="80" t="n"/>
      <c r="AJ795" s="80" t="n"/>
      <c r="AK795" s="80" t="n"/>
      <c r="AL795" s="80" t="n"/>
      <c r="AM795" s="80" t="n"/>
      <c r="AN795" s="80" t="n"/>
      <c r="AO795" s="80" t="n"/>
      <c r="AP795" s="80" t="n"/>
      <c r="AQ795" s="80" t="n"/>
      <c r="AR795" s="80" t="n"/>
    </row>
    <row r="796">
      <c r="A796" s="2">
        <f>IF($A789="","","   projections")</f>
        <v/>
      </c>
      <c r="B796" s="41">
        <f>IF($A789="",0,COUNT($E797:$AR797))</f>
        <v/>
      </c>
      <c r="C796" s="81">
        <f>IF($B796=0,0,MAX($E797:$AR797))</f>
        <v/>
      </c>
      <c r="D796" s="82">
        <f>BDS($A789,'Field Check'!$C$6,"headers=y","startcol=1","endcol=7","dir=h")</f>
        <v/>
      </c>
      <c r="E796" s="83" t="n"/>
      <c r="F796" s="83" t="n"/>
      <c r="G796" s="83" t="n"/>
      <c r="H796" s="83" t="n"/>
      <c r="I796" s="83" t="n"/>
      <c r="J796" s="83" t="n"/>
      <c r="K796" s="83" t="n"/>
      <c r="L796" s="83" t="n"/>
      <c r="M796" s="83" t="n"/>
      <c r="N796" s="83" t="n"/>
      <c r="O796" s="83" t="n"/>
      <c r="P796" s="83" t="n"/>
      <c r="Q796" s="83" t="n"/>
      <c r="R796" s="83" t="n"/>
      <c r="S796" s="83" t="n"/>
      <c r="T796" s="83" t="n"/>
      <c r="U796" s="83" t="n"/>
      <c r="V796" s="83" t="n"/>
      <c r="W796" s="83" t="n"/>
      <c r="X796" s="83" t="n"/>
      <c r="Y796" s="83" t="n"/>
      <c r="Z796" s="83" t="n"/>
      <c r="AA796" s="83" t="n"/>
      <c r="AB796" s="83" t="n"/>
      <c r="AC796" s="83" t="n"/>
      <c r="AD796" s="83" t="n"/>
      <c r="AE796" s="83" t="n"/>
      <c r="AF796" s="83" t="n"/>
      <c r="AG796" s="83" t="n"/>
      <c r="AH796" s="83" t="n"/>
      <c r="AI796" s="83" t="n"/>
      <c r="AJ796" s="83" t="n"/>
      <c r="AK796" s="83" t="n"/>
      <c r="AL796" s="83" t="n"/>
      <c r="AM796" s="83" t="n"/>
      <c r="AN796" s="83" t="n"/>
      <c r="AO796" s="83" t="n"/>
      <c r="AP796" s="83" t="n"/>
      <c r="AQ796" s="83" t="n"/>
      <c r="AR796" s="83" t="n"/>
    </row>
    <row r="797">
      <c r="D797" s="83" t="n"/>
      <c r="E797" s="83" t="n"/>
      <c r="F797" s="83" t="n"/>
      <c r="G797" s="83" t="n"/>
      <c r="H797" s="83" t="n"/>
      <c r="I797" s="83" t="n"/>
      <c r="J797" s="83" t="n"/>
      <c r="K797" s="83" t="n"/>
      <c r="L797" s="83" t="n"/>
      <c r="M797" s="83" t="n"/>
      <c r="N797" s="83" t="n"/>
      <c r="O797" s="83" t="n"/>
      <c r="P797" s="83" t="n"/>
      <c r="Q797" s="83" t="n"/>
      <c r="R797" s="83" t="n"/>
      <c r="S797" s="83" t="n"/>
      <c r="T797" s="83" t="n"/>
      <c r="U797" s="83" t="n"/>
      <c r="V797" s="83" t="n"/>
      <c r="W797" s="83" t="n"/>
      <c r="X797" s="83" t="n"/>
      <c r="Y797" s="83" t="n"/>
      <c r="Z797" s="83" t="n"/>
      <c r="AA797" s="83" t="n"/>
      <c r="AB797" s="83" t="n"/>
      <c r="AC797" s="83" t="n"/>
      <c r="AD797" s="83" t="n"/>
      <c r="AE797" s="83" t="n"/>
      <c r="AF797" s="83" t="n"/>
      <c r="AG797" s="83" t="n"/>
      <c r="AH797" s="83" t="n"/>
      <c r="AI797" s="83" t="n"/>
      <c r="AJ797" s="83" t="n"/>
      <c r="AK797" s="83" t="n"/>
      <c r="AL797" s="83" t="n"/>
      <c r="AM797" s="83" t="n"/>
      <c r="AN797" s="83" t="n"/>
      <c r="AO797" s="83" t="n"/>
      <c r="AP797" s="83" t="n"/>
      <c r="AQ797" s="83" t="n"/>
      <c r="AR797" s="83" t="n"/>
    </row>
    <row r="798">
      <c r="D798" s="84" t="n"/>
      <c r="E798" s="84" t="n"/>
      <c r="F798" s="84" t="n"/>
      <c r="G798" s="84" t="n"/>
      <c r="H798" s="84" t="n"/>
      <c r="I798" s="84" t="n"/>
      <c r="J798" s="84" t="n"/>
      <c r="K798" s="84" t="n"/>
      <c r="L798" s="84" t="n"/>
      <c r="M798" s="84" t="n"/>
      <c r="N798" s="84" t="n"/>
      <c r="O798" s="84" t="n"/>
      <c r="P798" s="84" t="n"/>
      <c r="Q798" s="84" t="n"/>
      <c r="R798" s="84" t="n"/>
      <c r="S798" s="84" t="n"/>
      <c r="T798" s="84" t="n"/>
      <c r="U798" s="84" t="n"/>
      <c r="V798" s="84" t="n"/>
      <c r="W798" s="84" t="n"/>
      <c r="X798" s="84" t="n"/>
      <c r="Y798" s="84" t="n"/>
      <c r="Z798" s="84" t="n"/>
      <c r="AA798" s="84" t="n"/>
      <c r="AB798" s="84" t="n"/>
      <c r="AC798" s="84" t="n"/>
      <c r="AD798" s="84" t="n"/>
      <c r="AE798" s="84" t="n"/>
      <c r="AF798" s="84" t="n"/>
      <c r="AG798" s="84" t="n"/>
      <c r="AH798" s="84" t="n"/>
      <c r="AI798" s="84" t="n"/>
      <c r="AJ798" s="84" t="n"/>
      <c r="AK798" s="84" t="n"/>
      <c r="AL798" s="84" t="n"/>
      <c r="AM798" s="84" t="n"/>
      <c r="AN798" s="84" t="n"/>
      <c r="AO798" s="84" t="n"/>
      <c r="AP798" s="84" t="n"/>
      <c r="AQ798" s="84" t="n"/>
      <c r="AR798" s="84" t="n"/>
    </row>
    <row r="799">
      <c r="D799" s="80" t="n"/>
      <c r="E799" s="80" t="n"/>
      <c r="F799" s="80" t="n"/>
      <c r="G799" s="80" t="n"/>
      <c r="H799" s="80" t="n"/>
      <c r="I799" s="80" t="n"/>
      <c r="J799" s="80" t="n"/>
      <c r="K799" s="80" t="n"/>
      <c r="L799" s="80" t="n"/>
      <c r="M799" s="80" t="n"/>
      <c r="N799" s="80" t="n"/>
      <c r="O799" s="80" t="n"/>
      <c r="P799" s="80" t="n"/>
      <c r="Q799" s="80" t="n"/>
      <c r="R799" s="80" t="n"/>
      <c r="S799" s="80" t="n"/>
      <c r="T799" s="80" t="n"/>
      <c r="U799" s="80" t="n"/>
      <c r="V799" s="80" t="n"/>
      <c r="W799" s="80" t="n"/>
      <c r="X799" s="80" t="n"/>
      <c r="Y799" s="80" t="n"/>
      <c r="Z799" s="80" t="n"/>
      <c r="AA799" s="80" t="n"/>
      <c r="AB799" s="80" t="n"/>
      <c r="AC799" s="80" t="n"/>
      <c r="AD799" s="80" t="n"/>
      <c r="AE799" s="80" t="n"/>
      <c r="AF799" s="80" t="n"/>
      <c r="AG799" s="80" t="n"/>
      <c r="AH799" s="80" t="n"/>
      <c r="AI799" s="80" t="n"/>
      <c r="AJ799" s="80" t="n"/>
      <c r="AK799" s="80" t="n"/>
      <c r="AL799" s="80" t="n"/>
      <c r="AM799" s="80" t="n"/>
      <c r="AN799" s="80" t="n"/>
      <c r="AO799" s="80" t="n"/>
      <c r="AP799" s="80" t="n"/>
      <c r="AQ799" s="80" t="n"/>
      <c r="AR799" s="80" t="n"/>
    </row>
    <row r="800">
      <c r="D800" s="80" t="n"/>
      <c r="E800" s="80" t="n"/>
      <c r="F800" s="80" t="n"/>
      <c r="G800" s="80" t="n"/>
      <c r="H800" s="80" t="n"/>
      <c r="I800" s="80" t="n"/>
      <c r="J800" s="80" t="n"/>
      <c r="K800" s="80" t="n"/>
      <c r="L800" s="80" t="n"/>
      <c r="M800" s="80" t="n"/>
      <c r="N800" s="80" t="n"/>
      <c r="O800" s="80" t="n"/>
      <c r="P800" s="80" t="n"/>
      <c r="Q800" s="80" t="n"/>
      <c r="R800" s="80" t="n"/>
      <c r="S800" s="80" t="n"/>
      <c r="T800" s="80" t="n"/>
      <c r="U800" s="80" t="n"/>
      <c r="V800" s="80" t="n"/>
      <c r="W800" s="80" t="n"/>
      <c r="X800" s="80" t="n"/>
      <c r="Y800" s="80" t="n"/>
      <c r="Z800" s="80" t="n"/>
      <c r="AA800" s="80" t="n"/>
      <c r="AB800" s="80" t="n"/>
      <c r="AC800" s="80" t="n"/>
      <c r="AD800" s="80" t="n"/>
      <c r="AE800" s="80" t="n"/>
      <c r="AF800" s="80" t="n"/>
      <c r="AG800" s="80" t="n"/>
      <c r="AH800" s="80" t="n"/>
      <c r="AI800" s="80" t="n"/>
      <c r="AJ800" s="80" t="n"/>
      <c r="AK800" s="80" t="n"/>
      <c r="AL800" s="80" t="n"/>
      <c r="AM800" s="80" t="n"/>
      <c r="AN800" s="80" t="n"/>
      <c r="AO800" s="80" t="n"/>
      <c r="AP800" s="80" t="n"/>
      <c r="AQ800" s="80" t="n"/>
      <c r="AR800" s="80" t="n"/>
    </row>
    <row r="801">
      <c r="D801" s="80" t="n"/>
      <c r="E801" s="80" t="n"/>
      <c r="F801" s="80" t="n"/>
      <c r="G801" s="80" t="n"/>
      <c r="H801" s="80" t="n"/>
      <c r="I801" s="80" t="n"/>
      <c r="J801" s="80" t="n"/>
      <c r="K801" s="80" t="n"/>
      <c r="L801" s="80" t="n"/>
      <c r="M801" s="80" t="n"/>
      <c r="N801" s="80" t="n"/>
      <c r="O801" s="80" t="n"/>
      <c r="P801" s="80" t="n"/>
      <c r="Q801" s="80" t="n"/>
      <c r="R801" s="80" t="n"/>
      <c r="S801" s="80" t="n"/>
      <c r="T801" s="80" t="n"/>
      <c r="U801" s="80" t="n"/>
      <c r="V801" s="80" t="n"/>
      <c r="W801" s="80" t="n"/>
      <c r="X801" s="80" t="n"/>
      <c r="Y801" s="80" t="n"/>
      <c r="Z801" s="80" t="n"/>
      <c r="AA801" s="80" t="n"/>
      <c r="AB801" s="80" t="n"/>
      <c r="AC801" s="80" t="n"/>
      <c r="AD801" s="80" t="n"/>
      <c r="AE801" s="80" t="n"/>
      <c r="AF801" s="80" t="n"/>
      <c r="AG801" s="80" t="n"/>
      <c r="AH801" s="80" t="n"/>
      <c r="AI801" s="80" t="n"/>
      <c r="AJ801" s="80" t="n"/>
      <c r="AK801" s="80" t="n"/>
      <c r="AL801" s="80" t="n"/>
      <c r="AM801" s="80" t="n"/>
      <c r="AN801" s="80" t="n"/>
      <c r="AO801" s="80" t="n"/>
      <c r="AP801" s="80" t="n"/>
      <c r="AQ801" s="80" t="n"/>
      <c r="AR801" s="80" t="n"/>
    </row>
    <row r="802">
      <c r="D802" s="80" t="n"/>
      <c r="E802" s="80" t="n"/>
      <c r="F802" s="80" t="n"/>
      <c r="G802" s="80" t="n"/>
      <c r="H802" s="80" t="n"/>
      <c r="I802" s="80" t="n"/>
      <c r="J802" s="80" t="n"/>
      <c r="K802" s="80" t="n"/>
      <c r="L802" s="80" t="n"/>
      <c r="M802" s="80" t="n"/>
      <c r="N802" s="80" t="n"/>
      <c r="O802" s="80" t="n"/>
      <c r="P802" s="80" t="n"/>
      <c r="Q802" s="80" t="n"/>
      <c r="R802" s="80" t="n"/>
      <c r="S802" s="80" t="n"/>
      <c r="T802" s="80" t="n"/>
      <c r="U802" s="80" t="n"/>
      <c r="V802" s="80" t="n"/>
      <c r="W802" s="80" t="n"/>
      <c r="X802" s="80" t="n"/>
      <c r="Y802" s="80" t="n"/>
      <c r="Z802" s="80" t="n"/>
      <c r="AA802" s="80" t="n"/>
      <c r="AB802" s="80" t="n"/>
      <c r="AC802" s="80" t="n"/>
      <c r="AD802" s="80" t="n"/>
      <c r="AE802" s="80" t="n"/>
      <c r="AF802" s="80" t="n"/>
      <c r="AG802" s="80" t="n"/>
      <c r="AH802" s="80" t="n"/>
      <c r="AI802" s="80" t="n"/>
      <c r="AJ802" s="80" t="n"/>
      <c r="AK802" s="80" t="n"/>
      <c r="AL802" s="80" t="n"/>
      <c r="AM802" s="80" t="n"/>
      <c r="AN802" s="80" t="n"/>
      <c r="AO802" s="80" t="n"/>
      <c r="AP802" s="80" t="n"/>
      <c r="AQ802" s="80" t="n"/>
      <c r="AR802" s="80" t="n"/>
    </row>
    <row r="804">
      <c r="A804" s="6">
        <f>IF(HSI!$C$60="","",HSI!$C$60)</f>
        <v/>
      </c>
      <c r="B804" s="41">
        <f>IF($A804="",0,COUNT($E805:$AR805))</f>
        <v/>
      </c>
      <c r="C804" s="81">
        <f>IF($B804=0,0,MAX($E805:$AR805))</f>
        <v/>
      </c>
      <c r="D804" s="82">
        <f>BDS($A804,'Field Check'!$C$7,"headers=y","startcol=1","endcol=7","dir=h","DVD_START_DT",Summary!$C$18,"DVD_END_DT",Summary!$D$18)</f>
        <v/>
      </c>
      <c r="E804" s="83" t="n"/>
      <c r="F804" s="83" t="n"/>
      <c r="G804" s="83" t="n"/>
      <c r="H804" s="83" t="n"/>
      <c r="I804" s="83" t="n"/>
      <c r="J804" s="83" t="n"/>
      <c r="K804" s="83" t="n"/>
      <c r="L804" s="83" t="n"/>
      <c r="M804" s="83" t="n"/>
      <c r="N804" s="83" t="n"/>
      <c r="O804" s="83" t="n"/>
      <c r="P804" s="83" t="n"/>
      <c r="Q804" s="83" t="n"/>
      <c r="R804" s="83" t="n"/>
      <c r="S804" s="83" t="n"/>
      <c r="T804" s="83" t="n"/>
      <c r="U804" s="83" t="n"/>
      <c r="V804" s="83" t="n"/>
      <c r="W804" s="83" t="n"/>
      <c r="X804" s="83" t="n"/>
      <c r="Y804" s="83" t="n"/>
      <c r="Z804" s="83" t="n"/>
      <c r="AA804" s="83" t="n"/>
      <c r="AB804" s="83" t="n"/>
      <c r="AC804" s="83" t="n"/>
      <c r="AD804" s="83" t="n"/>
      <c r="AE804" s="83" t="n"/>
      <c r="AF804" s="83" t="n"/>
      <c r="AG804" s="83" t="n"/>
      <c r="AH804" s="83" t="n"/>
      <c r="AI804" s="83" t="n"/>
      <c r="AJ804" s="83" t="n"/>
      <c r="AK804" s="83" t="n"/>
      <c r="AL804" s="83" t="n"/>
      <c r="AM804" s="83" t="n"/>
      <c r="AN804" s="83" t="n"/>
      <c r="AO804" s="83" t="n"/>
      <c r="AP804" s="83" t="n"/>
      <c r="AQ804" s="83" t="n"/>
      <c r="AR804" s="83" t="n"/>
    </row>
    <row r="805">
      <c r="D805" s="83" t="n"/>
      <c r="E805" s="83" t="n"/>
      <c r="F805" s="83" t="n"/>
      <c r="G805" s="83" t="n"/>
      <c r="H805" s="83" t="n"/>
      <c r="I805" s="83" t="n"/>
      <c r="J805" s="83" t="n"/>
      <c r="K805" s="83" t="n"/>
      <c r="L805" s="83" t="n"/>
      <c r="M805" s="83" t="n"/>
      <c r="N805" s="83" t="n"/>
      <c r="O805" s="83" t="n"/>
      <c r="P805" s="83" t="n"/>
      <c r="Q805" s="83" t="n"/>
      <c r="R805" s="83" t="n"/>
      <c r="S805" s="83" t="n"/>
      <c r="T805" s="83" t="n"/>
      <c r="U805" s="83" t="n"/>
      <c r="V805" s="83" t="n"/>
      <c r="W805" s="83" t="n"/>
      <c r="X805" s="83" t="n"/>
      <c r="Y805" s="83" t="n"/>
      <c r="Z805" s="83" t="n"/>
      <c r="AA805" s="83" t="n"/>
      <c r="AB805" s="83" t="n"/>
      <c r="AC805" s="83" t="n"/>
      <c r="AD805" s="83" t="n"/>
      <c r="AE805" s="83" t="n"/>
      <c r="AF805" s="83" t="n"/>
      <c r="AG805" s="83" t="n"/>
      <c r="AH805" s="83" t="n"/>
      <c r="AI805" s="83" t="n"/>
      <c r="AJ805" s="83" t="n"/>
      <c r="AK805" s="83" t="n"/>
      <c r="AL805" s="83" t="n"/>
      <c r="AM805" s="83" t="n"/>
      <c r="AN805" s="83" t="n"/>
      <c r="AO805" s="83" t="n"/>
      <c r="AP805" s="83" t="n"/>
      <c r="AQ805" s="83" t="n"/>
      <c r="AR805" s="83" t="n"/>
    </row>
    <row r="806">
      <c r="D806" s="84" t="n"/>
      <c r="E806" s="84" t="n"/>
      <c r="F806" s="84" t="n"/>
      <c r="G806" s="84" t="n"/>
      <c r="H806" s="84" t="n"/>
      <c r="I806" s="84" t="n"/>
      <c r="J806" s="84" t="n"/>
      <c r="K806" s="84" t="n"/>
      <c r="L806" s="84" t="n"/>
      <c r="M806" s="84" t="n"/>
      <c r="N806" s="84" t="n"/>
      <c r="O806" s="84" t="n"/>
      <c r="P806" s="84" t="n"/>
      <c r="Q806" s="84" t="n"/>
      <c r="R806" s="84" t="n"/>
      <c r="S806" s="84" t="n"/>
      <c r="T806" s="84" t="n"/>
      <c r="U806" s="84" t="n"/>
      <c r="V806" s="84" t="n"/>
      <c r="W806" s="84" t="n"/>
      <c r="X806" s="84" t="n"/>
      <c r="Y806" s="84" t="n"/>
      <c r="Z806" s="84" t="n"/>
      <c r="AA806" s="84" t="n"/>
      <c r="AB806" s="84" t="n"/>
      <c r="AC806" s="84" t="n"/>
      <c r="AD806" s="84" t="n"/>
      <c r="AE806" s="84" t="n"/>
      <c r="AF806" s="84" t="n"/>
      <c r="AG806" s="84" t="n"/>
      <c r="AH806" s="84" t="n"/>
      <c r="AI806" s="84" t="n"/>
      <c r="AJ806" s="84" t="n"/>
      <c r="AK806" s="84" t="n"/>
      <c r="AL806" s="84" t="n"/>
      <c r="AM806" s="84" t="n"/>
      <c r="AN806" s="84" t="n"/>
      <c r="AO806" s="84" t="n"/>
      <c r="AP806" s="84" t="n"/>
      <c r="AQ806" s="84" t="n"/>
      <c r="AR806" s="84" t="n"/>
    </row>
    <row r="807">
      <c r="D807" s="80" t="n"/>
      <c r="E807" s="80" t="n"/>
      <c r="F807" s="80" t="n"/>
      <c r="G807" s="80" t="n"/>
      <c r="H807" s="80" t="n"/>
      <c r="I807" s="80" t="n"/>
      <c r="J807" s="80" t="n"/>
      <c r="K807" s="80" t="n"/>
      <c r="L807" s="80" t="n"/>
      <c r="M807" s="80" t="n"/>
      <c r="N807" s="80" t="n"/>
      <c r="O807" s="80" t="n"/>
      <c r="P807" s="80" t="n"/>
      <c r="Q807" s="80" t="n"/>
      <c r="R807" s="80" t="n"/>
      <c r="S807" s="80" t="n"/>
      <c r="T807" s="80" t="n"/>
      <c r="U807" s="80" t="n"/>
      <c r="V807" s="80" t="n"/>
      <c r="W807" s="80" t="n"/>
      <c r="X807" s="80" t="n"/>
      <c r="Y807" s="80" t="n"/>
      <c r="Z807" s="80" t="n"/>
      <c r="AA807" s="80" t="n"/>
      <c r="AB807" s="80" t="n"/>
      <c r="AC807" s="80" t="n"/>
      <c r="AD807" s="80" t="n"/>
      <c r="AE807" s="80" t="n"/>
      <c r="AF807" s="80" t="n"/>
      <c r="AG807" s="80" t="n"/>
      <c r="AH807" s="80" t="n"/>
      <c r="AI807" s="80" t="n"/>
      <c r="AJ807" s="80" t="n"/>
      <c r="AK807" s="80" t="n"/>
      <c r="AL807" s="80" t="n"/>
      <c r="AM807" s="80" t="n"/>
      <c r="AN807" s="80" t="n"/>
      <c r="AO807" s="80" t="n"/>
      <c r="AP807" s="80" t="n"/>
      <c r="AQ807" s="80" t="n"/>
      <c r="AR807" s="80" t="n"/>
    </row>
    <row r="808">
      <c r="D808" s="80" t="n"/>
      <c r="E808" s="80" t="n"/>
      <c r="F808" s="80" t="n"/>
      <c r="G808" s="80" t="n"/>
      <c r="H808" s="80" t="n"/>
      <c r="I808" s="80" t="n"/>
      <c r="J808" s="80" t="n"/>
      <c r="K808" s="80" t="n"/>
      <c r="L808" s="80" t="n"/>
      <c r="M808" s="80" t="n"/>
      <c r="N808" s="80" t="n"/>
      <c r="O808" s="80" t="n"/>
      <c r="P808" s="80" t="n"/>
      <c r="Q808" s="80" t="n"/>
      <c r="R808" s="80" t="n"/>
      <c r="S808" s="80" t="n"/>
      <c r="T808" s="80" t="n"/>
      <c r="U808" s="80" t="n"/>
      <c r="V808" s="80" t="n"/>
      <c r="W808" s="80" t="n"/>
      <c r="X808" s="80" t="n"/>
      <c r="Y808" s="80" t="n"/>
      <c r="Z808" s="80" t="n"/>
      <c r="AA808" s="80" t="n"/>
      <c r="AB808" s="80" t="n"/>
      <c r="AC808" s="80" t="n"/>
      <c r="AD808" s="80" t="n"/>
      <c r="AE808" s="80" t="n"/>
      <c r="AF808" s="80" t="n"/>
      <c r="AG808" s="80" t="n"/>
      <c r="AH808" s="80" t="n"/>
      <c r="AI808" s="80" t="n"/>
      <c r="AJ808" s="80" t="n"/>
      <c r="AK808" s="80" t="n"/>
      <c r="AL808" s="80" t="n"/>
      <c r="AM808" s="80" t="n"/>
      <c r="AN808" s="80" t="n"/>
      <c r="AO808" s="80" t="n"/>
      <c r="AP808" s="80" t="n"/>
      <c r="AQ808" s="80" t="n"/>
      <c r="AR808" s="80" t="n"/>
    </row>
    <row r="809">
      <c r="D809" s="80" t="n"/>
      <c r="E809" s="80" t="n"/>
      <c r="F809" s="80" t="n"/>
      <c r="G809" s="80" t="n"/>
      <c r="H809" s="80" t="n"/>
      <c r="I809" s="80" t="n"/>
      <c r="J809" s="80" t="n"/>
      <c r="K809" s="80" t="n"/>
      <c r="L809" s="80" t="n"/>
      <c r="M809" s="80" t="n"/>
      <c r="N809" s="80" t="n"/>
      <c r="O809" s="80" t="n"/>
      <c r="P809" s="80" t="n"/>
      <c r="Q809" s="80" t="n"/>
      <c r="R809" s="80" t="n"/>
      <c r="S809" s="80" t="n"/>
      <c r="T809" s="80" t="n"/>
      <c r="U809" s="80" t="n"/>
      <c r="V809" s="80" t="n"/>
      <c r="W809" s="80" t="n"/>
      <c r="X809" s="80" t="n"/>
      <c r="Y809" s="80" t="n"/>
      <c r="Z809" s="80" t="n"/>
      <c r="AA809" s="80" t="n"/>
      <c r="AB809" s="80" t="n"/>
      <c r="AC809" s="80" t="n"/>
      <c r="AD809" s="80" t="n"/>
      <c r="AE809" s="80" t="n"/>
      <c r="AF809" s="80" t="n"/>
      <c r="AG809" s="80" t="n"/>
      <c r="AH809" s="80" t="n"/>
      <c r="AI809" s="80" t="n"/>
      <c r="AJ809" s="80" t="n"/>
      <c r="AK809" s="80" t="n"/>
      <c r="AL809" s="80" t="n"/>
      <c r="AM809" s="80" t="n"/>
      <c r="AN809" s="80" t="n"/>
      <c r="AO809" s="80" t="n"/>
      <c r="AP809" s="80" t="n"/>
      <c r="AQ809" s="80" t="n"/>
      <c r="AR809" s="80" t="n"/>
    </row>
    <row r="810">
      <c r="D810" s="80" t="n"/>
      <c r="E810" s="80" t="n"/>
      <c r="F810" s="80" t="n"/>
      <c r="G810" s="80" t="n"/>
      <c r="H810" s="80" t="n"/>
      <c r="I810" s="80" t="n"/>
      <c r="J810" s="80" t="n"/>
      <c r="K810" s="80" t="n"/>
      <c r="L810" s="80" t="n"/>
      <c r="M810" s="80" t="n"/>
      <c r="N810" s="80" t="n"/>
      <c r="O810" s="80" t="n"/>
      <c r="P810" s="80" t="n"/>
      <c r="Q810" s="80" t="n"/>
      <c r="R810" s="80" t="n"/>
      <c r="S810" s="80" t="n"/>
      <c r="T810" s="80" t="n"/>
      <c r="U810" s="80" t="n"/>
      <c r="V810" s="80" t="n"/>
      <c r="W810" s="80" t="n"/>
      <c r="X810" s="80" t="n"/>
      <c r="Y810" s="80" t="n"/>
      <c r="Z810" s="80" t="n"/>
      <c r="AA810" s="80" t="n"/>
      <c r="AB810" s="80" t="n"/>
      <c r="AC810" s="80" t="n"/>
      <c r="AD810" s="80" t="n"/>
      <c r="AE810" s="80" t="n"/>
      <c r="AF810" s="80" t="n"/>
      <c r="AG810" s="80" t="n"/>
      <c r="AH810" s="80" t="n"/>
      <c r="AI810" s="80" t="n"/>
      <c r="AJ810" s="80" t="n"/>
      <c r="AK810" s="80" t="n"/>
      <c r="AL810" s="80" t="n"/>
      <c r="AM810" s="80" t="n"/>
      <c r="AN810" s="80" t="n"/>
      <c r="AO810" s="80" t="n"/>
      <c r="AP810" s="80" t="n"/>
      <c r="AQ810" s="80" t="n"/>
      <c r="AR810" s="80" t="n"/>
    </row>
    <row r="811">
      <c r="A811" s="2">
        <f>IF($A804="","","   projections")</f>
        <v/>
      </c>
      <c r="B811" s="41">
        <f>IF($A804="",0,COUNT($E812:$AR812))</f>
        <v/>
      </c>
      <c r="C811" s="81">
        <f>IF($B811=0,0,MAX($E812:$AR812))</f>
        <v/>
      </c>
      <c r="D811" s="82">
        <f>BDS($A804,'Field Check'!$C$6,"headers=y","startcol=1","endcol=7","dir=h")</f>
        <v/>
      </c>
      <c r="E811" s="83" t="n"/>
      <c r="F811" s="83" t="n"/>
      <c r="G811" s="83" t="n"/>
      <c r="H811" s="83" t="n"/>
      <c r="I811" s="83" t="n"/>
      <c r="J811" s="83" t="n"/>
      <c r="K811" s="83" t="n"/>
      <c r="L811" s="83" t="n"/>
      <c r="M811" s="83" t="n"/>
      <c r="N811" s="83" t="n"/>
      <c r="O811" s="83" t="n"/>
      <c r="P811" s="83" t="n"/>
      <c r="Q811" s="83" t="n"/>
      <c r="R811" s="83" t="n"/>
      <c r="S811" s="83" t="n"/>
      <c r="T811" s="83" t="n"/>
      <c r="U811" s="83" t="n"/>
      <c r="V811" s="83" t="n"/>
      <c r="W811" s="83" t="n"/>
      <c r="X811" s="83" t="n"/>
      <c r="Y811" s="83" t="n"/>
      <c r="Z811" s="83" t="n"/>
      <c r="AA811" s="83" t="n"/>
      <c r="AB811" s="83" t="n"/>
      <c r="AC811" s="83" t="n"/>
      <c r="AD811" s="83" t="n"/>
      <c r="AE811" s="83" t="n"/>
      <c r="AF811" s="83" t="n"/>
      <c r="AG811" s="83" t="n"/>
      <c r="AH811" s="83" t="n"/>
      <c r="AI811" s="83" t="n"/>
      <c r="AJ811" s="83" t="n"/>
      <c r="AK811" s="83" t="n"/>
      <c r="AL811" s="83" t="n"/>
      <c r="AM811" s="83" t="n"/>
      <c r="AN811" s="83" t="n"/>
      <c r="AO811" s="83" t="n"/>
      <c r="AP811" s="83" t="n"/>
      <c r="AQ811" s="83" t="n"/>
      <c r="AR811" s="83" t="n"/>
    </row>
    <row r="812">
      <c r="D812" s="83" t="n"/>
      <c r="E812" s="83" t="n"/>
      <c r="F812" s="83" t="n"/>
      <c r="G812" s="83" t="n"/>
      <c r="H812" s="83" t="n"/>
      <c r="I812" s="83" t="n"/>
      <c r="J812" s="83" t="n"/>
      <c r="K812" s="83" t="n"/>
      <c r="L812" s="83" t="n"/>
      <c r="M812" s="83" t="n"/>
      <c r="N812" s="83" t="n"/>
      <c r="O812" s="83" t="n"/>
      <c r="P812" s="83" t="n"/>
      <c r="Q812" s="83" t="n"/>
      <c r="R812" s="83" t="n"/>
      <c r="S812" s="83" t="n"/>
      <c r="T812" s="83" t="n"/>
      <c r="U812" s="83" t="n"/>
      <c r="V812" s="83" t="n"/>
      <c r="W812" s="83" t="n"/>
      <c r="X812" s="83" t="n"/>
      <c r="Y812" s="83" t="n"/>
      <c r="Z812" s="83" t="n"/>
      <c r="AA812" s="83" t="n"/>
      <c r="AB812" s="83" t="n"/>
      <c r="AC812" s="83" t="n"/>
      <c r="AD812" s="83" t="n"/>
      <c r="AE812" s="83" t="n"/>
      <c r="AF812" s="83" t="n"/>
      <c r="AG812" s="83" t="n"/>
      <c r="AH812" s="83" t="n"/>
      <c r="AI812" s="83" t="n"/>
      <c r="AJ812" s="83" t="n"/>
      <c r="AK812" s="83" t="n"/>
      <c r="AL812" s="83" t="n"/>
      <c r="AM812" s="83" t="n"/>
      <c r="AN812" s="83" t="n"/>
      <c r="AO812" s="83" t="n"/>
      <c r="AP812" s="83" t="n"/>
      <c r="AQ812" s="83" t="n"/>
      <c r="AR812" s="83" t="n"/>
    </row>
    <row r="813">
      <c r="D813" s="84" t="n"/>
      <c r="E813" s="84" t="n"/>
      <c r="F813" s="84" t="n"/>
      <c r="G813" s="84" t="n"/>
      <c r="H813" s="84" t="n"/>
      <c r="I813" s="84" t="n"/>
      <c r="J813" s="84" t="n"/>
      <c r="K813" s="84" t="n"/>
      <c r="L813" s="84" t="n"/>
      <c r="M813" s="84" t="n"/>
      <c r="N813" s="84" t="n"/>
      <c r="O813" s="84" t="n"/>
      <c r="P813" s="84" t="n"/>
      <c r="Q813" s="84" t="n"/>
      <c r="R813" s="84" t="n"/>
      <c r="S813" s="84" t="n"/>
      <c r="T813" s="84" t="n"/>
      <c r="U813" s="84" t="n"/>
      <c r="V813" s="84" t="n"/>
      <c r="W813" s="84" t="n"/>
      <c r="X813" s="84" t="n"/>
      <c r="Y813" s="84" t="n"/>
      <c r="Z813" s="84" t="n"/>
      <c r="AA813" s="84" t="n"/>
      <c r="AB813" s="84" t="n"/>
      <c r="AC813" s="84" t="n"/>
      <c r="AD813" s="84" t="n"/>
      <c r="AE813" s="84" t="n"/>
      <c r="AF813" s="84" t="n"/>
      <c r="AG813" s="84" t="n"/>
      <c r="AH813" s="84" t="n"/>
      <c r="AI813" s="84" t="n"/>
      <c r="AJ813" s="84" t="n"/>
      <c r="AK813" s="84" t="n"/>
      <c r="AL813" s="84" t="n"/>
      <c r="AM813" s="84" t="n"/>
      <c r="AN813" s="84" t="n"/>
      <c r="AO813" s="84" t="n"/>
      <c r="AP813" s="84" t="n"/>
      <c r="AQ813" s="84" t="n"/>
      <c r="AR813" s="84" t="n"/>
    </row>
    <row r="814">
      <c r="D814" s="80" t="n"/>
      <c r="E814" s="80" t="n"/>
      <c r="F814" s="80" t="n"/>
      <c r="G814" s="80" t="n"/>
      <c r="H814" s="80" t="n"/>
      <c r="I814" s="80" t="n"/>
      <c r="J814" s="80" t="n"/>
      <c r="K814" s="80" t="n"/>
      <c r="L814" s="80" t="n"/>
      <c r="M814" s="80" t="n"/>
      <c r="N814" s="80" t="n"/>
      <c r="O814" s="80" t="n"/>
      <c r="P814" s="80" t="n"/>
      <c r="Q814" s="80" t="n"/>
      <c r="R814" s="80" t="n"/>
      <c r="S814" s="80" t="n"/>
      <c r="T814" s="80" t="n"/>
      <c r="U814" s="80" t="n"/>
      <c r="V814" s="80" t="n"/>
      <c r="W814" s="80" t="n"/>
      <c r="X814" s="80" t="n"/>
      <c r="Y814" s="80" t="n"/>
      <c r="Z814" s="80" t="n"/>
      <c r="AA814" s="80" t="n"/>
      <c r="AB814" s="80" t="n"/>
      <c r="AC814" s="80" t="n"/>
      <c r="AD814" s="80" t="n"/>
      <c r="AE814" s="80" t="n"/>
      <c r="AF814" s="80" t="n"/>
      <c r="AG814" s="80" t="n"/>
      <c r="AH814" s="80" t="n"/>
      <c r="AI814" s="80" t="n"/>
      <c r="AJ814" s="80" t="n"/>
      <c r="AK814" s="80" t="n"/>
      <c r="AL814" s="80" t="n"/>
      <c r="AM814" s="80" t="n"/>
      <c r="AN814" s="80" t="n"/>
      <c r="AO814" s="80" t="n"/>
      <c r="AP814" s="80" t="n"/>
      <c r="AQ814" s="80" t="n"/>
      <c r="AR814" s="80" t="n"/>
    </row>
    <row r="815">
      <c r="D815" s="80" t="n"/>
      <c r="E815" s="80" t="n"/>
      <c r="F815" s="80" t="n"/>
      <c r="G815" s="80" t="n"/>
      <c r="H815" s="80" t="n"/>
      <c r="I815" s="80" t="n"/>
      <c r="J815" s="80" t="n"/>
      <c r="K815" s="80" t="n"/>
      <c r="L815" s="80" t="n"/>
      <c r="M815" s="80" t="n"/>
      <c r="N815" s="80" t="n"/>
      <c r="O815" s="80" t="n"/>
      <c r="P815" s="80" t="n"/>
      <c r="Q815" s="80" t="n"/>
      <c r="R815" s="80" t="n"/>
      <c r="S815" s="80" t="n"/>
      <c r="T815" s="80" t="n"/>
      <c r="U815" s="80" t="n"/>
      <c r="V815" s="80" t="n"/>
      <c r="W815" s="80" t="n"/>
      <c r="X815" s="80" t="n"/>
      <c r="Y815" s="80" t="n"/>
      <c r="Z815" s="80" t="n"/>
      <c r="AA815" s="80" t="n"/>
      <c r="AB815" s="80" t="n"/>
      <c r="AC815" s="80" t="n"/>
      <c r="AD815" s="80" t="n"/>
      <c r="AE815" s="80" t="n"/>
      <c r="AF815" s="80" t="n"/>
      <c r="AG815" s="80" t="n"/>
      <c r="AH815" s="80" t="n"/>
      <c r="AI815" s="80" t="n"/>
      <c r="AJ815" s="80" t="n"/>
      <c r="AK815" s="80" t="n"/>
      <c r="AL815" s="80" t="n"/>
      <c r="AM815" s="80" t="n"/>
      <c r="AN815" s="80" t="n"/>
      <c r="AO815" s="80" t="n"/>
      <c r="AP815" s="80" t="n"/>
      <c r="AQ815" s="80" t="n"/>
      <c r="AR815" s="80" t="n"/>
    </row>
    <row r="816">
      <c r="D816" s="80" t="n"/>
      <c r="E816" s="80" t="n"/>
      <c r="F816" s="80" t="n"/>
      <c r="G816" s="80" t="n"/>
      <c r="H816" s="80" t="n"/>
      <c r="I816" s="80" t="n"/>
      <c r="J816" s="80" t="n"/>
      <c r="K816" s="80" t="n"/>
      <c r="L816" s="80" t="n"/>
      <c r="M816" s="80" t="n"/>
      <c r="N816" s="80" t="n"/>
      <c r="O816" s="80" t="n"/>
      <c r="P816" s="80" t="n"/>
      <c r="Q816" s="80" t="n"/>
      <c r="R816" s="80" t="n"/>
      <c r="S816" s="80" t="n"/>
      <c r="T816" s="80" t="n"/>
      <c r="U816" s="80" t="n"/>
      <c r="V816" s="80" t="n"/>
      <c r="W816" s="80" t="n"/>
      <c r="X816" s="80" t="n"/>
      <c r="Y816" s="80" t="n"/>
      <c r="Z816" s="80" t="n"/>
      <c r="AA816" s="80" t="n"/>
      <c r="AB816" s="80" t="n"/>
      <c r="AC816" s="80" t="n"/>
      <c r="AD816" s="80" t="n"/>
      <c r="AE816" s="80" t="n"/>
      <c r="AF816" s="80" t="n"/>
      <c r="AG816" s="80" t="n"/>
      <c r="AH816" s="80" t="n"/>
      <c r="AI816" s="80" t="n"/>
      <c r="AJ816" s="80" t="n"/>
      <c r="AK816" s="80" t="n"/>
      <c r="AL816" s="80" t="n"/>
      <c r="AM816" s="80" t="n"/>
      <c r="AN816" s="80" t="n"/>
      <c r="AO816" s="80" t="n"/>
      <c r="AP816" s="80" t="n"/>
      <c r="AQ816" s="80" t="n"/>
      <c r="AR816" s="80" t="n"/>
    </row>
    <row r="817">
      <c r="D817" s="80" t="n"/>
      <c r="E817" s="80" t="n"/>
      <c r="F817" s="80" t="n"/>
      <c r="G817" s="80" t="n"/>
      <c r="H817" s="80" t="n"/>
      <c r="I817" s="80" t="n"/>
      <c r="J817" s="80" t="n"/>
      <c r="K817" s="80" t="n"/>
      <c r="L817" s="80" t="n"/>
      <c r="M817" s="80" t="n"/>
      <c r="N817" s="80" t="n"/>
      <c r="O817" s="80" t="n"/>
      <c r="P817" s="80" t="n"/>
      <c r="Q817" s="80" t="n"/>
      <c r="R817" s="80" t="n"/>
      <c r="S817" s="80" t="n"/>
      <c r="T817" s="80" t="n"/>
      <c r="U817" s="80" t="n"/>
      <c r="V817" s="80" t="n"/>
      <c r="W817" s="80" t="n"/>
      <c r="X817" s="80" t="n"/>
      <c r="Y817" s="80" t="n"/>
      <c r="Z817" s="80" t="n"/>
      <c r="AA817" s="80" t="n"/>
      <c r="AB817" s="80" t="n"/>
      <c r="AC817" s="80" t="n"/>
      <c r="AD817" s="80" t="n"/>
      <c r="AE817" s="80" t="n"/>
      <c r="AF817" s="80" t="n"/>
      <c r="AG817" s="80" t="n"/>
      <c r="AH817" s="80" t="n"/>
      <c r="AI817" s="80" t="n"/>
      <c r="AJ817" s="80" t="n"/>
      <c r="AK817" s="80" t="n"/>
      <c r="AL817" s="80" t="n"/>
      <c r="AM817" s="80" t="n"/>
      <c r="AN817" s="80" t="n"/>
      <c r="AO817" s="80" t="n"/>
      <c r="AP817" s="80" t="n"/>
      <c r="AQ817" s="80" t="n"/>
      <c r="AR817" s="80" t="n"/>
    </row>
    <row r="819">
      <c r="A819" s="6">
        <f>IF(HSI!$C$61="","",HSI!$C$61)</f>
        <v/>
      </c>
      <c r="B819" s="41">
        <f>IF($A819="",0,COUNT($E820:$AR820))</f>
        <v/>
      </c>
      <c r="C819" s="81">
        <f>IF($B819=0,0,MAX($E820:$AR820))</f>
        <v/>
      </c>
      <c r="D819" s="82">
        <f>BDS($A819,'Field Check'!$C$7,"headers=y","startcol=1","endcol=7","dir=h","DVD_START_DT",Summary!$C$18,"DVD_END_DT",Summary!$D$18)</f>
        <v/>
      </c>
      <c r="E819" s="83" t="n"/>
      <c r="F819" s="83" t="n"/>
      <c r="G819" s="83" t="n"/>
      <c r="H819" s="83" t="n"/>
      <c r="I819" s="83" t="n"/>
      <c r="J819" s="83" t="n"/>
      <c r="K819" s="83" t="n"/>
      <c r="L819" s="83" t="n"/>
      <c r="M819" s="83" t="n"/>
      <c r="N819" s="83" t="n"/>
      <c r="O819" s="83" t="n"/>
      <c r="P819" s="83" t="n"/>
      <c r="Q819" s="83" t="n"/>
      <c r="R819" s="83" t="n"/>
      <c r="S819" s="83" t="n"/>
      <c r="T819" s="83" t="n"/>
      <c r="U819" s="83" t="n"/>
      <c r="V819" s="83" t="n"/>
      <c r="W819" s="83" t="n"/>
      <c r="X819" s="83" t="n"/>
      <c r="Y819" s="83" t="n"/>
      <c r="Z819" s="83" t="n"/>
      <c r="AA819" s="83" t="n"/>
      <c r="AB819" s="83" t="n"/>
      <c r="AC819" s="83" t="n"/>
      <c r="AD819" s="83" t="n"/>
      <c r="AE819" s="83" t="n"/>
      <c r="AF819" s="83" t="n"/>
      <c r="AG819" s="83" t="n"/>
      <c r="AH819" s="83" t="n"/>
      <c r="AI819" s="83" t="n"/>
      <c r="AJ819" s="83" t="n"/>
      <c r="AK819" s="83" t="n"/>
      <c r="AL819" s="83" t="n"/>
      <c r="AM819" s="83" t="n"/>
      <c r="AN819" s="83" t="n"/>
      <c r="AO819" s="83" t="n"/>
      <c r="AP819" s="83" t="n"/>
      <c r="AQ819" s="83" t="n"/>
      <c r="AR819" s="83" t="n"/>
    </row>
    <row r="820">
      <c r="D820" s="83" t="n"/>
      <c r="E820" s="83" t="n"/>
      <c r="F820" s="83" t="n"/>
      <c r="G820" s="83" t="n"/>
      <c r="H820" s="83" t="n"/>
      <c r="I820" s="83" t="n"/>
      <c r="J820" s="83" t="n"/>
      <c r="K820" s="83" t="n"/>
      <c r="L820" s="83" t="n"/>
      <c r="M820" s="83" t="n"/>
      <c r="N820" s="83" t="n"/>
      <c r="O820" s="83" t="n"/>
      <c r="P820" s="83" t="n"/>
      <c r="Q820" s="83" t="n"/>
      <c r="R820" s="83" t="n"/>
      <c r="S820" s="83" t="n"/>
      <c r="T820" s="83" t="n"/>
      <c r="U820" s="83" t="n"/>
      <c r="V820" s="83" t="n"/>
      <c r="W820" s="83" t="n"/>
      <c r="X820" s="83" t="n"/>
      <c r="Y820" s="83" t="n"/>
      <c r="Z820" s="83" t="n"/>
      <c r="AA820" s="83" t="n"/>
      <c r="AB820" s="83" t="n"/>
      <c r="AC820" s="83" t="n"/>
      <c r="AD820" s="83" t="n"/>
      <c r="AE820" s="83" t="n"/>
      <c r="AF820" s="83" t="n"/>
      <c r="AG820" s="83" t="n"/>
      <c r="AH820" s="83" t="n"/>
      <c r="AI820" s="83" t="n"/>
      <c r="AJ820" s="83" t="n"/>
      <c r="AK820" s="83" t="n"/>
      <c r="AL820" s="83" t="n"/>
      <c r="AM820" s="83" t="n"/>
      <c r="AN820" s="83" t="n"/>
      <c r="AO820" s="83" t="n"/>
      <c r="AP820" s="83" t="n"/>
      <c r="AQ820" s="83" t="n"/>
      <c r="AR820" s="83" t="n"/>
    </row>
    <row r="821">
      <c r="D821" s="84" t="n"/>
      <c r="E821" s="84" t="n"/>
      <c r="F821" s="84" t="n"/>
      <c r="G821" s="84" t="n"/>
      <c r="H821" s="84" t="n"/>
      <c r="I821" s="84" t="n"/>
      <c r="J821" s="84" t="n"/>
      <c r="K821" s="84" t="n"/>
      <c r="L821" s="84" t="n"/>
      <c r="M821" s="84" t="n"/>
      <c r="N821" s="84" t="n"/>
      <c r="O821" s="84" t="n"/>
      <c r="P821" s="84" t="n"/>
      <c r="Q821" s="84" t="n"/>
      <c r="R821" s="84" t="n"/>
      <c r="S821" s="84" t="n"/>
      <c r="T821" s="84" t="n"/>
      <c r="U821" s="84" t="n"/>
      <c r="V821" s="84" t="n"/>
      <c r="W821" s="84" t="n"/>
      <c r="X821" s="84" t="n"/>
      <c r="Y821" s="84" t="n"/>
      <c r="Z821" s="84" t="n"/>
      <c r="AA821" s="84" t="n"/>
      <c r="AB821" s="84" t="n"/>
      <c r="AC821" s="84" t="n"/>
      <c r="AD821" s="84" t="n"/>
      <c r="AE821" s="84" t="n"/>
      <c r="AF821" s="84" t="n"/>
      <c r="AG821" s="84" t="n"/>
      <c r="AH821" s="84" t="n"/>
      <c r="AI821" s="84" t="n"/>
      <c r="AJ821" s="84" t="n"/>
      <c r="AK821" s="84" t="n"/>
      <c r="AL821" s="84" t="n"/>
      <c r="AM821" s="84" t="n"/>
      <c r="AN821" s="84" t="n"/>
      <c r="AO821" s="84" t="n"/>
      <c r="AP821" s="84" t="n"/>
      <c r="AQ821" s="84" t="n"/>
      <c r="AR821" s="84" t="n"/>
    </row>
    <row r="822">
      <c r="D822" s="80" t="n"/>
      <c r="E822" s="80" t="n"/>
      <c r="F822" s="80" t="n"/>
      <c r="G822" s="80" t="n"/>
      <c r="H822" s="80" t="n"/>
      <c r="I822" s="80" t="n"/>
      <c r="J822" s="80" t="n"/>
      <c r="K822" s="80" t="n"/>
      <c r="L822" s="80" t="n"/>
      <c r="M822" s="80" t="n"/>
      <c r="N822" s="80" t="n"/>
      <c r="O822" s="80" t="n"/>
      <c r="P822" s="80" t="n"/>
      <c r="Q822" s="80" t="n"/>
      <c r="R822" s="80" t="n"/>
      <c r="S822" s="80" t="n"/>
      <c r="T822" s="80" t="n"/>
      <c r="U822" s="80" t="n"/>
      <c r="V822" s="80" t="n"/>
      <c r="W822" s="80" t="n"/>
      <c r="X822" s="80" t="n"/>
      <c r="Y822" s="80" t="n"/>
      <c r="Z822" s="80" t="n"/>
      <c r="AA822" s="80" t="n"/>
      <c r="AB822" s="80" t="n"/>
      <c r="AC822" s="80" t="n"/>
      <c r="AD822" s="80" t="n"/>
      <c r="AE822" s="80" t="n"/>
      <c r="AF822" s="80" t="n"/>
      <c r="AG822" s="80" t="n"/>
      <c r="AH822" s="80" t="n"/>
      <c r="AI822" s="80" t="n"/>
      <c r="AJ822" s="80" t="n"/>
      <c r="AK822" s="80" t="n"/>
      <c r="AL822" s="80" t="n"/>
      <c r="AM822" s="80" t="n"/>
      <c r="AN822" s="80" t="n"/>
      <c r="AO822" s="80" t="n"/>
      <c r="AP822" s="80" t="n"/>
      <c r="AQ822" s="80" t="n"/>
      <c r="AR822" s="80" t="n"/>
    </row>
    <row r="823">
      <c r="D823" s="80" t="n"/>
      <c r="E823" s="80" t="n"/>
      <c r="F823" s="80" t="n"/>
      <c r="G823" s="80" t="n"/>
      <c r="H823" s="80" t="n"/>
      <c r="I823" s="80" t="n"/>
      <c r="J823" s="80" t="n"/>
      <c r="K823" s="80" t="n"/>
      <c r="L823" s="80" t="n"/>
      <c r="M823" s="80" t="n"/>
      <c r="N823" s="80" t="n"/>
      <c r="O823" s="80" t="n"/>
      <c r="P823" s="80" t="n"/>
      <c r="Q823" s="80" t="n"/>
      <c r="R823" s="80" t="n"/>
      <c r="S823" s="80" t="n"/>
      <c r="T823" s="80" t="n"/>
      <c r="U823" s="80" t="n"/>
      <c r="V823" s="80" t="n"/>
      <c r="W823" s="80" t="n"/>
      <c r="X823" s="80" t="n"/>
      <c r="Y823" s="80" t="n"/>
      <c r="Z823" s="80" t="n"/>
      <c r="AA823" s="80" t="n"/>
      <c r="AB823" s="80" t="n"/>
      <c r="AC823" s="80" t="n"/>
      <c r="AD823" s="80" t="n"/>
      <c r="AE823" s="80" t="n"/>
      <c r="AF823" s="80" t="n"/>
      <c r="AG823" s="80" t="n"/>
      <c r="AH823" s="80" t="n"/>
      <c r="AI823" s="80" t="n"/>
      <c r="AJ823" s="80" t="n"/>
      <c r="AK823" s="80" t="n"/>
      <c r="AL823" s="80" t="n"/>
      <c r="AM823" s="80" t="n"/>
      <c r="AN823" s="80" t="n"/>
      <c r="AO823" s="80" t="n"/>
      <c r="AP823" s="80" t="n"/>
      <c r="AQ823" s="80" t="n"/>
      <c r="AR823" s="80" t="n"/>
    </row>
    <row r="824">
      <c r="D824" s="80" t="n"/>
      <c r="E824" s="80" t="n"/>
      <c r="F824" s="80" t="n"/>
      <c r="G824" s="80" t="n"/>
      <c r="H824" s="80" t="n"/>
      <c r="I824" s="80" t="n"/>
      <c r="J824" s="80" t="n"/>
      <c r="K824" s="80" t="n"/>
      <c r="L824" s="80" t="n"/>
      <c r="M824" s="80" t="n"/>
      <c r="N824" s="80" t="n"/>
      <c r="O824" s="80" t="n"/>
      <c r="P824" s="80" t="n"/>
      <c r="Q824" s="80" t="n"/>
      <c r="R824" s="80" t="n"/>
      <c r="S824" s="80" t="n"/>
      <c r="T824" s="80" t="n"/>
      <c r="U824" s="80" t="n"/>
      <c r="V824" s="80" t="n"/>
      <c r="W824" s="80" t="n"/>
      <c r="X824" s="80" t="n"/>
      <c r="Y824" s="80" t="n"/>
      <c r="Z824" s="80" t="n"/>
      <c r="AA824" s="80" t="n"/>
      <c r="AB824" s="80" t="n"/>
      <c r="AC824" s="80" t="n"/>
      <c r="AD824" s="80" t="n"/>
      <c r="AE824" s="80" t="n"/>
      <c r="AF824" s="80" t="n"/>
      <c r="AG824" s="80" t="n"/>
      <c r="AH824" s="80" t="n"/>
      <c r="AI824" s="80" t="n"/>
      <c r="AJ824" s="80" t="n"/>
      <c r="AK824" s="80" t="n"/>
      <c r="AL824" s="80" t="n"/>
      <c r="AM824" s="80" t="n"/>
      <c r="AN824" s="80" t="n"/>
      <c r="AO824" s="80" t="n"/>
      <c r="AP824" s="80" t="n"/>
      <c r="AQ824" s="80" t="n"/>
      <c r="AR824" s="80" t="n"/>
    </row>
    <row r="825">
      <c r="D825" s="80" t="n"/>
      <c r="E825" s="80" t="n"/>
      <c r="F825" s="80" t="n"/>
      <c r="G825" s="80" t="n"/>
      <c r="H825" s="80" t="n"/>
      <c r="I825" s="80" t="n"/>
      <c r="J825" s="80" t="n"/>
      <c r="K825" s="80" t="n"/>
      <c r="L825" s="80" t="n"/>
      <c r="M825" s="80" t="n"/>
      <c r="N825" s="80" t="n"/>
      <c r="O825" s="80" t="n"/>
      <c r="P825" s="80" t="n"/>
      <c r="Q825" s="80" t="n"/>
      <c r="R825" s="80" t="n"/>
      <c r="S825" s="80" t="n"/>
      <c r="T825" s="80" t="n"/>
      <c r="U825" s="80" t="n"/>
      <c r="V825" s="80" t="n"/>
      <c r="W825" s="80" t="n"/>
      <c r="X825" s="80" t="n"/>
      <c r="Y825" s="80" t="n"/>
      <c r="Z825" s="80" t="n"/>
      <c r="AA825" s="80" t="n"/>
      <c r="AB825" s="80" t="n"/>
      <c r="AC825" s="80" t="n"/>
      <c r="AD825" s="80" t="n"/>
      <c r="AE825" s="80" t="n"/>
      <c r="AF825" s="80" t="n"/>
      <c r="AG825" s="80" t="n"/>
      <c r="AH825" s="80" t="n"/>
      <c r="AI825" s="80" t="n"/>
      <c r="AJ825" s="80" t="n"/>
      <c r="AK825" s="80" t="n"/>
      <c r="AL825" s="80" t="n"/>
      <c r="AM825" s="80" t="n"/>
      <c r="AN825" s="80" t="n"/>
      <c r="AO825" s="80" t="n"/>
      <c r="AP825" s="80" t="n"/>
      <c r="AQ825" s="80" t="n"/>
      <c r="AR825" s="80" t="n"/>
    </row>
    <row r="826">
      <c r="A826" s="2">
        <f>IF($A819="","","   projections")</f>
        <v/>
      </c>
      <c r="B826" s="41">
        <f>IF($A819="",0,COUNT($E827:$AR827))</f>
        <v/>
      </c>
      <c r="C826" s="81">
        <f>IF($B826=0,0,MAX($E827:$AR827))</f>
        <v/>
      </c>
      <c r="D826" s="82">
        <f>BDS($A819,'Field Check'!$C$6,"headers=y","startcol=1","endcol=7","dir=h")</f>
        <v/>
      </c>
      <c r="E826" s="83" t="n"/>
      <c r="F826" s="83" t="n"/>
      <c r="G826" s="83" t="n"/>
      <c r="H826" s="83" t="n"/>
      <c r="I826" s="83" t="n"/>
      <c r="J826" s="83" t="n"/>
      <c r="K826" s="83" t="n"/>
      <c r="L826" s="83" t="n"/>
      <c r="M826" s="83" t="n"/>
      <c r="N826" s="83" t="n"/>
      <c r="O826" s="83" t="n"/>
      <c r="P826" s="83" t="n"/>
      <c r="Q826" s="83" t="n"/>
      <c r="R826" s="83" t="n"/>
      <c r="S826" s="83" t="n"/>
      <c r="T826" s="83" t="n"/>
      <c r="U826" s="83" t="n"/>
      <c r="V826" s="83" t="n"/>
      <c r="W826" s="83" t="n"/>
      <c r="X826" s="83" t="n"/>
      <c r="Y826" s="83" t="n"/>
      <c r="Z826" s="83" t="n"/>
      <c r="AA826" s="83" t="n"/>
      <c r="AB826" s="83" t="n"/>
      <c r="AC826" s="83" t="n"/>
      <c r="AD826" s="83" t="n"/>
      <c r="AE826" s="83" t="n"/>
      <c r="AF826" s="83" t="n"/>
      <c r="AG826" s="83" t="n"/>
      <c r="AH826" s="83" t="n"/>
      <c r="AI826" s="83" t="n"/>
      <c r="AJ826" s="83" t="n"/>
      <c r="AK826" s="83" t="n"/>
      <c r="AL826" s="83" t="n"/>
      <c r="AM826" s="83" t="n"/>
      <c r="AN826" s="83" t="n"/>
      <c r="AO826" s="83" t="n"/>
      <c r="AP826" s="83" t="n"/>
      <c r="AQ826" s="83" t="n"/>
      <c r="AR826" s="83" t="n"/>
    </row>
    <row r="827">
      <c r="D827" s="83" t="n"/>
      <c r="E827" s="83" t="n"/>
      <c r="F827" s="83" t="n"/>
      <c r="G827" s="83" t="n"/>
      <c r="H827" s="83" t="n"/>
      <c r="I827" s="83" t="n"/>
      <c r="J827" s="83" t="n"/>
      <c r="K827" s="83" t="n"/>
      <c r="L827" s="83" t="n"/>
      <c r="M827" s="83" t="n"/>
      <c r="N827" s="83" t="n"/>
      <c r="O827" s="83" t="n"/>
      <c r="P827" s="83" t="n"/>
      <c r="Q827" s="83" t="n"/>
      <c r="R827" s="83" t="n"/>
      <c r="S827" s="83" t="n"/>
      <c r="T827" s="83" t="n"/>
      <c r="U827" s="83" t="n"/>
      <c r="V827" s="83" t="n"/>
      <c r="W827" s="83" t="n"/>
      <c r="X827" s="83" t="n"/>
      <c r="Y827" s="83" t="n"/>
      <c r="Z827" s="83" t="n"/>
      <c r="AA827" s="83" t="n"/>
      <c r="AB827" s="83" t="n"/>
      <c r="AC827" s="83" t="n"/>
      <c r="AD827" s="83" t="n"/>
      <c r="AE827" s="83" t="n"/>
      <c r="AF827" s="83" t="n"/>
      <c r="AG827" s="83" t="n"/>
      <c r="AH827" s="83" t="n"/>
      <c r="AI827" s="83" t="n"/>
      <c r="AJ827" s="83" t="n"/>
      <c r="AK827" s="83" t="n"/>
      <c r="AL827" s="83" t="n"/>
      <c r="AM827" s="83" t="n"/>
      <c r="AN827" s="83" t="n"/>
      <c r="AO827" s="83" t="n"/>
      <c r="AP827" s="83" t="n"/>
      <c r="AQ827" s="83" t="n"/>
      <c r="AR827" s="83" t="n"/>
    </row>
    <row r="828">
      <c r="D828" s="84" t="n"/>
      <c r="E828" s="84" t="n"/>
      <c r="F828" s="84" t="n"/>
      <c r="G828" s="84" t="n"/>
      <c r="H828" s="84" t="n"/>
      <c r="I828" s="84" t="n"/>
      <c r="J828" s="84" t="n"/>
      <c r="K828" s="84" t="n"/>
      <c r="L828" s="84" t="n"/>
      <c r="M828" s="84" t="n"/>
      <c r="N828" s="84" t="n"/>
      <c r="O828" s="84" t="n"/>
      <c r="P828" s="84" t="n"/>
      <c r="Q828" s="84" t="n"/>
      <c r="R828" s="84" t="n"/>
      <c r="S828" s="84" t="n"/>
      <c r="T828" s="84" t="n"/>
      <c r="U828" s="84" t="n"/>
      <c r="V828" s="84" t="n"/>
      <c r="W828" s="84" t="n"/>
      <c r="X828" s="84" t="n"/>
      <c r="Y828" s="84" t="n"/>
      <c r="Z828" s="84" t="n"/>
      <c r="AA828" s="84" t="n"/>
      <c r="AB828" s="84" t="n"/>
      <c r="AC828" s="84" t="n"/>
      <c r="AD828" s="84" t="n"/>
      <c r="AE828" s="84" t="n"/>
      <c r="AF828" s="84" t="n"/>
      <c r="AG828" s="84" t="n"/>
      <c r="AH828" s="84" t="n"/>
      <c r="AI828" s="84" t="n"/>
      <c r="AJ828" s="84" t="n"/>
      <c r="AK828" s="84" t="n"/>
      <c r="AL828" s="84" t="n"/>
      <c r="AM828" s="84" t="n"/>
      <c r="AN828" s="84" t="n"/>
      <c r="AO828" s="84" t="n"/>
      <c r="AP828" s="84" t="n"/>
      <c r="AQ828" s="84" t="n"/>
      <c r="AR828" s="84" t="n"/>
    </row>
    <row r="829">
      <c r="D829" s="80" t="n"/>
      <c r="E829" s="80" t="n"/>
      <c r="F829" s="80" t="n"/>
      <c r="G829" s="80" t="n"/>
      <c r="H829" s="80" t="n"/>
      <c r="I829" s="80" t="n"/>
      <c r="J829" s="80" t="n"/>
      <c r="K829" s="80" t="n"/>
      <c r="L829" s="80" t="n"/>
      <c r="M829" s="80" t="n"/>
      <c r="N829" s="80" t="n"/>
      <c r="O829" s="80" t="n"/>
      <c r="P829" s="80" t="n"/>
      <c r="Q829" s="80" t="n"/>
      <c r="R829" s="80" t="n"/>
      <c r="S829" s="80" t="n"/>
      <c r="T829" s="80" t="n"/>
      <c r="U829" s="80" t="n"/>
      <c r="V829" s="80" t="n"/>
      <c r="W829" s="80" t="n"/>
      <c r="X829" s="80" t="n"/>
      <c r="Y829" s="80" t="n"/>
      <c r="Z829" s="80" t="n"/>
      <c r="AA829" s="80" t="n"/>
      <c r="AB829" s="80" t="n"/>
      <c r="AC829" s="80" t="n"/>
      <c r="AD829" s="80" t="n"/>
      <c r="AE829" s="80" t="n"/>
      <c r="AF829" s="80" t="n"/>
      <c r="AG829" s="80" t="n"/>
      <c r="AH829" s="80" t="n"/>
      <c r="AI829" s="80" t="n"/>
      <c r="AJ829" s="80" t="n"/>
      <c r="AK829" s="80" t="n"/>
      <c r="AL829" s="80" t="n"/>
      <c r="AM829" s="80" t="n"/>
      <c r="AN829" s="80" t="n"/>
      <c r="AO829" s="80" t="n"/>
      <c r="AP829" s="80" t="n"/>
      <c r="AQ829" s="80" t="n"/>
      <c r="AR829" s="80" t="n"/>
    </row>
    <row r="830">
      <c r="D830" s="80" t="n"/>
      <c r="E830" s="80" t="n"/>
      <c r="F830" s="80" t="n"/>
      <c r="G830" s="80" t="n"/>
      <c r="H830" s="80" t="n"/>
      <c r="I830" s="80" t="n"/>
      <c r="J830" s="80" t="n"/>
      <c r="K830" s="80" t="n"/>
      <c r="L830" s="80" t="n"/>
      <c r="M830" s="80" t="n"/>
      <c r="N830" s="80" t="n"/>
      <c r="O830" s="80" t="n"/>
      <c r="P830" s="80" t="n"/>
      <c r="Q830" s="80" t="n"/>
      <c r="R830" s="80" t="n"/>
      <c r="S830" s="80" t="n"/>
      <c r="T830" s="80" t="n"/>
      <c r="U830" s="80" t="n"/>
      <c r="V830" s="80" t="n"/>
      <c r="W830" s="80" t="n"/>
      <c r="X830" s="80" t="n"/>
      <c r="Y830" s="80" t="n"/>
      <c r="Z830" s="80" t="n"/>
      <c r="AA830" s="80" t="n"/>
      <c r="AB830" s="80" t="n"/>
      <c r="AC830" s="80" t="n"/>
      <c r="AD830" s="80" t="n"/>
      <c r="AE830" s="80" t="n"/>
      <c r="AF830" s="80" t="n"/>
      <c r="AG830" s="80" t="n"/>
      <c r="AH830" s="80" t="n"/>
      <c r="AI830" s="80" t="n"/>
      <c r="AJ830" s="80" t="n"/>
      <c r="AK830" s="80" t="n"/>
      <c r="AL830" s="80" t="n"/>
      <c r="AM830" s="80" t="n"/>
      <c r="AN830" s="80" t="n"/>
      <c r="AO830" s="80" t="n"/>
      <c r="AP830" s="80" t="n"/>
      <c r="AQ830" s="80" t="n"/>
      <c r="AR830" s="80" t="n"/>
    </row>
    <row r="831">
      <c r="D831" s="80" t="n"/>
      <c r="E831" s="80" t="n"/>
      <c r="F831" s="80" t="n"/>
      <c r="G831" s="80" t="n"/>
      <c r="H831" s="80" t="n"/>
      <c r="I831" s="80" t="n"/>
      <c r="J831" s="80" t="n"/>
      <c r="K831" s="80" t="n"/>
      <c r="L831" s="80" t="n"/>
      <c r="M831" s="80" t="n"/>
      <c r="N831" s="80" t="n"/>
      <c r="O831" s="80" t="n"/>
      <c r="P831" s="80" t="n"/>
      <c r="Q831" s="80" t="n"/>
      <c r="R831" s="80" t="n"/>
      <c r="S831" s="80" t="n"/>
      <c r="T831" s="80" t="n"/>
      <c r="U831" s="80" t="n"/>
      <c r="V831" s="80" t="n"/>
      <c r="W831" s="80" t="n"/>
      <c r="X831" s="80" t="n"/>
      <c r="Y831" s="80" t="n"/>
      <c r="Z831" s="80" t="n"/>
      <c r="AA831" s="80" t="n"/>
      <c r="AB831" s="80" t="n"/>
      <c r="AC831" s="80" t="n"/>
      <c r="AD831" s="80" t="n"/>
      <c r="AE831" s="80" t="n"/>
      <c r="AF831" s="80" t="n"/>
      <c r="AG831" s="80" t="n"/>
      <c r="AH831" s="80" t="n"/>
      <c r="AI831" s="80" t="n"/>
      <c r="AJ831" s="80" t="n"/>
      <c r="AK831" s="80" t="n"/>
      <c r="AL831" s="80" t="n"/>
      <c r="AM831" s="80" t="n"/>
      <c r="AN831" s="80" t="n"/>
      <c r="AO831" s="80" t="n"/>
      <c r="AP831" s="80" t="n"/>
      <c r="AQ831" s="80" t="n"/>
      <c r="AR831" s="80" t="n"/>
    </row>
    <row r="832">
      <c r="D832" s="80" t="n"/>
      <c r="E832" s="80" t="n"/>
      <c r="F832" s="80" t="n"/>
      <c r="G832" s="80" t="n"/>
      <c r="H832" s="80" t="n"/>
      <c r="I832" s="80" t="n"/>
      <c r="J832" s="80" t="n"/>
      <c r="K832" s="80" t="n"/>
      <c r="L832" s="80" t="n"/>
      <c r="M832" s="80" t="n"/>
      <c r="N832" s="80" t="n"/>
      <c r="O832" s="80" t="n"/>
      <c r="P832" s="80" t="n"/>
      <c r="Q832" s="80" t="n"/>
      <c r="R832" s="80" t="n"/>
      <c r="S832" s="80" t="n"/>
      <c r="T832" s="80" t="n"/>
      <c r="U832" s="80" t="n"/>
      <c r="V832" s="80" t="n"/>
      <c r="W832" s="80" t="n"/>
      <c r="X832" s="80" t="n"/>
      <c r="Y832" s="80" t="n"/>
      <c r="Z832" s="80" t="n"/>
      <c r="AA832" s="80" t="n"/>
      <c r="AB832" s="80" t="n"/>
      <c r="AC832" s="80" t="n"/>
      <c r="AD832" s="80" t="n"/>
      <c r="AE832" s="80" t="n"/>
      <c r="AF832" s="80" t="n"/>
      <c r="AG832" s="80" t="n"/>
      <c r="AH832" s="80" t="n"/>
      <c r="AI832" s="80" t="n"/>
      <c r="AJ832" s="80" t="n"/>
      <c r="AK832" s="80" t="n"/>
      <c r="AL832" s="80" t="n"/>
      <c r="AM832" s="80" t="n"/>
      <c r="AN832" s="80" t="n"/>
      <c r="AO832" s="80" t="n"/>
      <c r="AP832" s="80" t="n"/>
      <c r="AQ832" s="80" t="n"/>
      <c r="AR832" s="80" t="n"/>
    </row>
    <row r="834">
      <c r="A834" s="6">
        <f>IF(HSI!$C$62="","",HSI!$C$62)</f>
        <v/>
      </c>
      <c r="B834" s="41">
        <f>IF($A834="",0,COUNT($E835:$AR835))</f>
        <v/>
      </c>
      <c r="C834" s="81">
        <f>IF($B834=0,0,MAX($E835:$AR835))</f>
        <v/>
      </c>
      <c r="D834" s="82">
        <f>BDS($A834,'Field Check'!$C$7,"headers=y","startcol=1","endcol=7","dir=h","DVD_START_DT",Summary!$C$18,"DVD_END_DT",Summary!$D$18)</f>
        <v/>
      </c>
      <c r="E834" s="83" t="n"/>
      <c r="F834" s="83" t="n"/>
      <c r="G834" s="83" t="n"/>
      <c r="H834" s="83" t="n"/>
      <c r="I834" s="83" t="n"/>
      <c r="J834" s="83" t="n"/>
      <c r="K834" s="83" t="n"/>
      <c r="L834" s="83" t="n"/>
      <c r="M834" s="83" t="n"/>
      <c r="N834" s="83" t="n"/>
      <c r="O834" s="83" t="n"/>
      <c r="P834" s="83" t="n"/>
      <c r="Q834" s="83" t="n"/>
      <c r="R834" s="83" t="n"/>
      <c r="S834" s="83" t="n"/>
      <c r="T834" s="83" t="n"/>
      <c r="U834" s="83" t="n"/>
      <c r="V834" s="83" t="n"/>
      <c r="W834" s="83" t="n"/>
      <c r="X834" s="83" t="n"/>
      <c r="Y834" s="83" t="n"/>
      <c r="Z834" s="83" t="n"/>
      <c r="AA834" s="83" t="n"/>
      <c r="AB834" s="83" t="n"/>
      <c r="AC834" s="83" t="n"/>
      <c r="AD834" s="83" t="n"/>
      <c r="AE834" s="83" t="n"/>
      <c r="AF834" s="83" t="n"/>
      <c r="AG834" s="83" t="n"/>
      <c r="AH834" s="83" t="n"/>
      <c r="AI834" s="83" t="n"/>
      <c r="AJ834" s="83" t="n"/>
      <c r="AK834" s="83" t="n"/>
      <c r="AL834" s="83" t="n"/>
      <c r="AM834" s="83" t="n"/>
      <c r="AN834" s="83" t="n"/>
      <c r="AO834" s="83" t="n"/>
      <c r="AP834" s="83" t="n"/>
      <c r="AQ834" s="83" t="n"/>
      <c r="AR834" s="83" t="n"/>
    </row>
    <row r="835">
      <c r="D835" s="83" t="n"/>
      <c r="E835" s="83" t="n"/>
      <c r="F835" s="83" t="n"/>
      <c r="G835" s="83" t="n"/>
      <c r="H835" s="83" t="n"/>
      <c r="I835" s="83" t="n"/>
      <c r="J835" s="83" t="n"/>
      <c r="K835" s="83" t="n"/>
      <c r="L835" s="83" t="n"/>
      <c r="M835" s="83" t="n"/>
      <c r="N835" s="83" t="n"/>
      <c r="O835" s="83" t="n"/>
      <c r="P835" s="83" t="n"/>
      <c r="Q835" s="83" t="n"/>
      <c r="R835" s="83" t="n"/>
      <c r="S835" s="83" t="n"/>
      <c r="T835" s="83" t="n"/>
      <c r="U835" s="83" t="n"/>
      <c r="V835" s="83" t="n"/>
      <c r="W835" s="83" t="n"/>
      <c r="X835" s="83" t="n"/>
      <c r="Y835" s="83" t="n"/>
      <c r="Z835" s="83" t="n"/>
      <c r="AA835" s="83" t="n"/>
      <c r="AB835" s="83" t="n"/>
      <c r="AC835" s="83" t="n"/>
      <c r="AD835" s="83" t="n"/>
      <c r="AE835" s="83" t="n"/>
      <c r="AF835" s="83" t="n"/>
      <c r="AG835" s="83" t="n"/>
      <c r="AH835" s="83" t="n"/>
      <c r="AI835" s="83" t="n"/>
      <c r="AJ835" s="83" t="n"/>
      <c r="AK835" s="83" t="n"/>
      <c r="AL835" s="83" t="n"/>
      <c r="AM835" s="83" t="n"/>
      <c r="AN835" s="83" t="n"/>
      <c r="AO835" s="83" t="n"/>
      <c r="AP835" s="83" t="n"/>
      <c r="AQ835" s="83" t="n"/>
      <c r="AR835" s="83" t="n"/>
    </row>
    <row r="836">
      <c r="D836" s="84" t="n"/>
      <c r="E836" s="84" t="n"/>
      <c r="F836" s="84" t="n"/>
      <c r="G836" s="84" t="n"/>
      <c r="H836" s="84" t="n"/>
      <c r="I836" s="84" t="n"/>
      <c r="J836" s="84" t="n"/>
      <c r="K836" s="84" t="n"/>
      <c r="L836" s="84" t="n"/>
      <c r="M836" s="84" t="n"/>
      <c r="N836" s="84" t="n"/>
      <c r="O836" s="84" t="n"/>
      <c r="P836" s="84" t="n"/>
      <c r="Q836" s="84" t="n"/>
      <c r="R836" s="84" t="n"/>
      <c r="S836" s="84" t="n"/>
      <c r="T836" s="84" t="n"/>
      <c r="U836" s="84" t="n"/>
      <c r="V836" s="84" t="n"/>
      <c r="W836" s="84" t="n"/>
      <c r="X836" s="84" t="n"/>
      <c r="Y836" s="84" t="n"/>
      <c r="Z836" s="84" t="n"/>
      <c r="AA836" s="84" t="n"/>
      <c r="AB836" s="84" t="n"/>
      <c r="AC836" s="84" t="n"/>
      <c r="AD836" s="84" t="n"/>
      <c r="AE836" s="84" t="n"/>
      <c r="AF836" s="84" t="n"/>
      <c r="AG836" s="84" t="n"/>
      <c r="AH836" s="84" t="n"/>
      <c r="AI836" s="84" t="n"/>
      <c r="AJ836" s="84" t="n"/>
      <c r="AK836" s="84" t="n"/>
      <c r="AL836" s="84" t="n"/>
      <c r="AM836" s="84" t="n"/>
      <c r="AN836" s="84" t="n"/>
      <c r="AO836" s="84" t="n"/>
      <c r="AP836" s="84" t="n"/>
      <c r="AQ836" s="84" t="n"/>
      <c r="AR836" s="84" t="n"/>
    </row>
    <row r="837">
      <c r="D837" s="80" t="n"/>
      <c r="E837" s="80" t="n"/>
      <c r="F837" s="80" t="n"/>
      <c r="G837" s="80" t="n"/>
      <c r="H837" s="80" t="n"/>
      <c r="I837" s="80" t="n"/>
      <c r="J837" s="80" t="n"/>
      <c r="K837" s="80" t="n"/>
      <c r="L837" s="80" t="n"/>
      <c r="M837" s="80" t="n"/>
      <c r="N837" s="80" t="n"/>
      <c r="O837" s="80" t="n"/>
      <c r="P837" s="80" t="n"/>
      <c r="Q837" s="80" t="n"/>
      <c r="R837" s="80" t="n"/>
      <c r="S837" s="80" t="n"/>
      <c r="T837" s="80" t="n"/>
      <c r="U837" s="80" t="n"/>
      <c r="V837" s="80" t="n"/>
      <c r="W837" s="80" t="n"/>
      <c r="X837" s="80" t="n"/>
      <c r="Y837" s="80" t="n"/>
      <c r="Z837" s="80" t="n"/>
      <c r="AA837" s="80" t="n"/>
      <c r="AB837" s="80" t="n"/>
      <c r="AC837" s="80" t="n"/>
      <c r="AD837" s="80" t="n"/>
      <c r="AE837" s="80" t="n"/>
      <c r="AF837" s="80" t="n"/>
      <c r="AG837" s="80" t="n"/>
      <c r="AH837" s="80" t="n"/>
      <c r="AI837" s="80" t="n"/>
      <c r="AJ837" s="80" t="n"/>
      <c r="AK837" s="80" t="n"/>
      <c r="AL837" s="80" t="n"/>
      <c r="AM837" s="80" t="n"/>
      <c r="AN837" s="80" t="n"/>
      <c r="AO837" s="80" t="n"/>
      <c r="AP837" s="80" t="n"/>
      <c r="AQ837" s="80" t="n"/>
      <c r="AR837" s="80" t="n"/>
    </row>
    <row r="838">
      <c r="D838" s="80" t="n"/>
      <c r="E838" s="80" t="n"/>
      <c r="F838" s="80" t="n"/>
      <c r="G838" s="80" t="n"/>
      <c r="H838" s="80" t="n"/>
      <c r="I838" s="80" t="n"/>
      <c r="J838" s="80" t="n"/>
      <c r="K838" s="80" t="n"/>
      <c r="L838" s="80" t="n"/>
      <c r="M838" s="80" t="n"/>
      <c r="N838" s="80" t="n"/>
      <c r="O838" s="80" t="n"/>
      <c r="P838" s="80" t="n"/>
      <c r="Q838" s="80" t="n"/>
      <c r="R838" s="80" t="n"/>
      <c r="S838" s="80" t="n"/>
      <c r="T838" s="80" t="n"/>
      <c r="U838" s="80" t="n"/>
      <c r="V838" s="80" t="n"/>
      <c r="W838" s="80" t="n"/>
      <c r="X838" s="80" t="n"/>
      <c r="Y838" s="80" t="n"/>
      <c r="Z838" s="80" t="n"/>
      <c r="AA838" s="80" t="n"/>
      <c r="AB838" s="80" t="n"/>
      <c r="AC838" s="80" t="n"/>
      <c r="AD838" s="80" t="n"/>
      <c r="AE838" s="80" t="n"/>
      <c r="AF838" s="80" t="n"/>
      <c r="AG838" s="80" t="n"/>
      <c r="AH838" s="80" t="n"/>
      <c r="AI838" s="80" t="n"/>
      <c r="AJ838" s="80" t="n"/>
      <c r="AK838" s="80" t="n"/>
      <c r="AL838" s="80" t="n"/>
      <c r="AM838" s="80" t="n"/>
      <c r="AN838" s="80" t="n"/>
      <c r="AO838" s="80" t="n"/>
      <c r="AP838" s="80" t="n"/>
      <c r="AQ838" s="80" t="n"/>
      <c r="AR838" s="80" t="n"/>
    </row>
    <row r="839">
      <c r="D839" s="80" t="n"/>
      <c r="E839" s="80" t="n"/>
      <c r="F839" s="80" t="n"/>
      <c r="G839" s="80" t="n"/>
      <c r="H839" s="80" t="n"/>
      <c r="I839" s="80" t="n"/>
      <c r="J839" s="80" t="n"/>
      <c r="K839" s="80" t="n"/>
      <c r="L839" s="80" t="n"/>
      <c r="M839" s="80" t="n"/>
      <c r="N839" s="80" t="n"/>
      <c r="O839" s="80" t="n"/>
      <c r="P839" s="80" t="n"/>
      <c r="Q839" s="80" t="n"/>
      <c r="R839" s="80" t="n"/>
      <c r="S839" s="80" t="n"/>
      <c r="T839" s="80" t="n"/>
      <c r="U839" s="80" t="n"/>
      <c r="V839" s="80" t="n"/>
      <c r="W839" s="80" t="n"/>
      <c r="X839" s="80" t="n"/>
      <c r="Y839" s="80" t="n"/>
      <c r="Z839" s="80" t="n"/>
      <c r="AA839" s="80" t="n"/>
      <c r="AB839" s="80" t="n"/>
      <c r="AC839" s="80" t="n"/>
      <c r="AD839" s="80" t="n"/>
      <c r="AE839" s="80" t="n"/>
      <c r="AF839" s="80" t="n"/>
      <c r="AG839" s="80" t="n"/>
      <c r="AH839" s="80" t="n"/>
      <c r="AI839" s="80" t="n"/>
      <c r="AJ839" s="80" t="n"/>
      <c r="AK839" s="80" t="n"/>
      <c r="AL839" s="80" t="n"/>
      <c r="AM839" s="80" t="n"/>
      <c r="AN839" s="80" t="n"/>
      <c r="AO839" s="80" t="n"/>
      <c r="AP839" s="80" t="n"/>
      <c r="AQ839" s="80" t="n"/>
      <c r="AR839" s="80" t="n"/>
    </row>
    <row r="840">
      <c r="D840" s="80" t="n"/>
      <c r="E840" s="80" t="n"/>
      <c r="F840" s="80" t="n"/>
      <c r="G840" s="80" t="n"/>
      <c r="H840" s="80" t="n"/>
      <c r="I840" s="80" t="n"/>
      <c r="J840" s="80" t="n"/>
      <c r="K840" s="80" t="n"/>
      <c r="L840" s="80" t="n"/>
      <c r="M840" s="80" t="n"/>
      <c r="N840" s="80" t="n"/>
      <c r="O840" s="80" t="n"/>
      <c r="P840" s="80" t="n"/>
      <c r="Q840" s="80" t="n"/>
      <c r="R840" s="80" t="n"/>
      <c r="S840" s="80" t="n"/>
      <c r="T840" s="80" t="n"/>
      <c r="U840" s="80" t="n"/>
      <c r="V840" s="80" t="n"/>
      <c r="W840" s="80" t="n"/>
      <c r="X840" s="80" t="n"/>
      <c r="Y840" s="80" t="n"/>
      <c r="Z840" s="80" t="n"/>
      <c r="AA840" s="80" t="n"/>
      <c r="AB840" s="80" t="n"/>
      <c r="AC840" s="80" t="n"/>
      <c r="AD840" s="80" t="n"/>
      <c r="AE840" s="80" t="n"/>
      <c r="AF840" s="80" t="n"/>
      <c r="AG840" s="80" t="n"/>
      <c r="AH840" s="80" t="n"/>
      <c r="AI840" s="80" t="n"/>
      <c r="AJ840" s="80" t="n"/>
      <c r="AK840" s="80" t="n"/>
      <c r="AL840" s="80" t="n"/>
      <c r="AM840" s="80" t="n"/>
      <c r="AN840" s="80" t="n"/>
      <c r="AO840" s="80" t="n"/>
      <c r="AP840" s="80" t="n"/>
      <c r="AQ840" s="80" t="n"/>
      <c r="AR840" s="80" t="n"/>
    </row>
    <row r="841">
      <c r="A841" s="2">
        <f>IF($A834="","","   projections")</f>
        <v/>
      </c>
      <c r="B841" s="41">
        <f>IF($A834="",0,COUNT($E842:$AR842))</f>
        <v/>
      </c>
      <c r="C841" s="81">
        <f>IF($B841=0,0,MAX($E842:$AR842))</f>
        <v/>
      </c>
      <c r="D841" s="82">
        <f>BDS($A834,'Field Check'!$C$6,"headers=y","startcol=1","endcol=7","dir=h")</f>
        <v/>
      </c>
      <c r="E841" s="83" t="n"/>
      <c r="F841" s="83" t="n"/>
      <c r="G841" s="83" t="n"/>
      <c r="H841" s="83" t="n"/>
      <c r="I841" s="83" t="n"/>
      <c r="J841" s="83" t="n"/>
      <c r="K841" s="83" t="n"/>
      <c r="L841" s="83" t="n"/>
      <c r="M841" s="83" t="n"/>
      <c r="N841" s="83" t="n"/>
      <c r="O841" s="83" t="n"/>
      <c r="P841" s="83" t="n"/>
      <c r="Q841" s="83" t="n"/>
      <c r="R841" s="83" t="n"/>
      <c r="S841" s="83" t="n"/>
      <c r="T841" s="83" t="n"/>
      <c r="U841" s="83" t="n"/>
      <c r="V841" s="83" t="n"/>
      <c r="W841" s="83" t="n"/>
      <c r="X841" s="83" t="n"/>
      <c r="Y841" s="83" t="n"/>
      <c r="Z841" s="83" t="n"/>
      <c r="AA841" s="83" t="n"/>
      <c r="AB841" s="83" t="n"/>
      <c r="AC841" s="83" t="n"/>
      <c r="AD841" s="83" t="n"/>
      <c r="AE841" s="83" t="n"/>
      <c r="AF841" s="83" t="n"/>
      <c r="AG841" s="83" t="n"/>
      <c r="AH841" s="83" t="n"/>
      <c r="AI841" s="83" t="n"/>
      <c r="AJ841" s="83" t="n"/>
      <c r="AK841" s="83" t="n"/>
      <c r="AL841" s="83" t="n"/>
      <c r="AM841" s="83" t="n"/>
      <c r="AN841" s="83" t="n"/>
      <c r="AO841" s="83" t="n"/>
      <c r="AP841" s="83" t="n"/>
      <c r="AQ841" s="83" t="n"/>
      <c r="AR841" s="83" t="n"/>
    </row>
    <row r="842">
      <c r="D842" s="83" t="n"/>
      <c r="E842" s="83" t="n"/>
      <c r="F842" s="83" t="n"/>
      <c r="G842" s="83" t="n"/>
      <c r="H842" s="83" t="n"/>
      <c r="I842" s="83" t="n"/>
      <c r="J842" s="83" t="n"/>
      <c r="K842" s="83" t="n"/>
      <c r="L842" s="83" t="n"/>
      <c r="M842" s="83" t="n"/>
      <c r="N842" s="83" t="n"/>
      <c r="O842" s="83" t="n"/>
      <c r="P842" s="83" t="n"/>
      <c r="Q842" s="83" t="n"/>
      <c r="R842" s="83" t="n"/>
      <c r="S842" s="83" t="n"/>
      <c r="T842" s="83" t="n"/>
      <c r="U842" s="83" t="n"/>
      <c r="V842" s="83" t="n"/>
      <c r="W842" s="83" t="n"/>
      <c r="X842" s="83" t="n"/>
      <c r="Y842" s="83" t="n"/>
      <c r="Z842" s="83" t="n"/>
      <c r="AA842" s="83" t="n"/>
      <c r="AB842" s="83" t="n"/>
      <c r="AC842" s="83" t="n"/>
      <c r="AD842" s="83" t="n"/>
      <c r="AE842" s="83" t="n"/>
      <c r="AF842" s="83" t="n"/>
      <c r="AG842" s="83" t="n"/>
      <c r="AH842" s="83" t="n"/>
      <c r="AI842" s="83" t="n"/>
      <c r="AJ842" s="83" t="n"/>
      <c r="AK842" s="83" t="n"/>
      <c r="AL842" s="83" t="n"/>
      <c r="AM842" s="83" t="n"/>
      <c r="AN842" s="83" t="n"/>
      <c r="AO842" s="83" t="n"/>
      <c r="AP842" s="83" t="n"/>
      <c r="AQ842" s="83" t="n"/>
      <c r="AR842" s="83" t="n"/>
    </row>
    <row r="843">
      <c r="D843" s="84" t="n"/>
      <c r="E843" s="84" t="n"/>
      <c r="F843" s="84" t="n"/>
      <c r="G843" s="84" t="n"/>
      <c r="H843" s="84" t="n"/>
      <c r="I843" s="84" t="n"/>
      <c r="J843" s="84" t="n"/>
      <c r="K843" s="84" t="n"/>
      <c r="L843" s="84" t="n"/>
      <c r="M843" s="84" t="n"/>
      <c r="N843" s="84" t="n"/>
      <c r="O843" s="84" t="n"/>
      <c r="P843" s="84" t="n"/>
      <c r="Q843" s="84" t="n"/>
      <c r="R843" s="84" t="n"/>
      <c r="S843" s="84" t="n"/>
      <c r="T843" s="84" t="n"/>
      <c r="U843" s="84" t="n"/>
      <c r="V843" s="84" t="n"/>
      <c r="W843" s="84" t="n"/>
      <c r="X843" s="84" t="n"/>
      <c r="Y843" s="84" t="n"/>
      <c r="Z843" s="84" t="n"/>
      <c r="AA843" s="84" t="n"/>
      <c r="AB843" s="84" t="n"/>
      <c r="AC843" s="84" t="n"/>
      <c r="AD843" s="84" t="n"/>
      <c r="AE843" s="84" t="n"/>
      <c r="AF843" s="84" t="n"/>
      <c r="AG843" s="84" t="n"/>
      <c r="AH843" s="84" t="n"/>
      <c r="AI843" s="84" t="n"/>
      <c r="AJ843" s="84" t="n"/>
      <c r="AK843" s="84" t="n"/>
      <c r="AL843" s="84" t="n"/>
      <c r="AM843" s="84" t="n"/>
      <c r="AN843" s="84" t="n"/>
      <c r="AO843" s="84" t="n"/>
      <c r="AP843" s="84" t="n"/>
      <c r="AQ843" s="84" t="n"/>
      <c r="AR843" s="84" t="n"/>
    </row>
    <row r="844">
      <c r="D844" s="80" t="n"/>
      <c r="E844" s="80" t="n"/>
      <c r="F844" s="80" t="n"/>
      <c r="G844" s="80" t="n"/>
      <c r="H844" s="80" t="n"/>
      <c r="I844" s="80" t="n"/>
      <c r="J844" s="80" t="n"/>
      <c r="K844" s="80" t="n"/>
      <c r="L844" s="80" t="n"/>
      <c r="M844" s="80" t="n"/>
      <c r="N844" s="80" t="n"/>
      <c r="O844" s="80" t="n"/>
      <c r="P844" s="80" t="n"/>
      <c r="Q844" s="80" t="n"/>
      <c r="R844" s="80" t="n"/>
      <c r="S844" s="80" t="n"/>
      <c r="T844" s="80" t="n"/>
      <c r="U844" s="80" t="n"/>
      <c r="V844" s="80" t="n"/>
      <c r="W844" s="80" t="n"/>
      <c r="X844" s="80" t="n"/>
      <c r="Y844" s="80" t="n"/>
      <c r="Z844" s="80" t="n"/>
      <c r="AA844" s="80" t="n"/>
      <c r="AB844" s="80" t="n"/>
      <c r="AC844" s="80" t="n"/>
      <c r="AD844" s="80" t="n"/>
      <c r="AE844" s="80" t="n"/>
      <c r="AF844" s="80" t="n"/>
      <c r="AG844" s="80" t="n"/>
      <c r="AH844" s="80" t="n"/>
      <c r="AI844" s="80" t="n"/>
      <c r="AJ844" s="80" t="n"/>
      <c r="AK844" s="80" t="n"/>
      <c r="AL844" s="80" t="n"/>
      <c r="AM844" s="80" t="n"/>
      <c r="AN844" s="80" t="n"/>
      <c r="AO844" s="80" t="n"/>
      <c r="AP844" s="80" t="n"/>
      <c r="AQ844" s="80" t="n"/>
      <c r="AR844" s="80" t="n"/>
    </row>
    <row r="845">
      <c r="D845" s="80" t="n"/>
      <c r="E845" s="80" t="n"/>
      <c r="F845" s="80" t="n"/>
      <c r="G845" s="80" t="n"/>
      <c r="H845" s="80" t="n"/>
      <c r="I845" s="80" t="n"/>
      <c r="J845" s="80" t="n"/>
      <c r="K845" s="80" t="n"/>
      <c r="L845" s="80" t="n"/>
      <c r="M845" s="80" t="n"/>
      <c r="N845" s="80" t="n"/>
      <c r="O845" s="80" t="n"/>
      <c r="P845" s="80" t="n"/>
      <c r="Q845" s="80" t="n"/>
      <c r="R845" s="80" t="n"/>
      <c r="S845" s="80" t="n"/>
      <c r="T845" s="80" t="n"/>
      <c r="U845" s="80" t="n"/>
      <c r="V845" s="80" t="n"/>
      <c r="W845" s="80" t="n"/>
      <c r="X845" s="80" t="n"/>
      <c r="Y845" s="80" t="n"/>
      <c r="Z845" s="80" t="n"/>
      <c r="AA845" s="80" t="n"/>
      <c r="AB845" s="80" t="n"/>
      <c r="AC845" s="80" t="n"/>
      <c r="AD845" s="80" t="n"/>
      <c r="AE845" s="80" t="n"/>
      <c r="AF845" s="80" t="n"/>
      <c r="AG845" s="80" t="n"/>
      <c r="AH845" s="80" t="n"/>
      <c r="AI845" s="80" t="n"/>
      <c r="AJ845" s="80" t="n"/>
      <c r="AK845" s="80" t="n"/>
      <c r="AL845" s="80" t="n"/>
      <c r="AM845" s="80" t="n"/>
      <c r="AN845" s="80" t="n"/>
      <c r="AO845" s="80" t="n"/>
      <c r="AP845" s="80" t="n"/>
      <c r="AQ845" s="80" t="n"/>
      <c r="AR845" s="80" t="n"/>
    </row>
    <row r="846">
      <c r="D846" s="80" t="n"/>
      <c r="E846" s="80" t="n"/>
      <c r="F846" s="80" t="n"/>
      <c r="G846" s="80" t="n"/>
      <c r="H846" s="80" t="n"/>
      <c r="I846" s="80" t="n"/>
      <c r="J846" s="80" t="n"/>
      <c r="K846" s="80" t="n"/>
      <c r="L846" s="80" t="n"/>
      <c r="M846" s="80" t="n"/>
      <c r="N846" s="80" t="n"/>
      <c r="O846" s="80" t="n"/>
      <c r="P846" s="80" t="n"/>
      <c r="Q846" s="80" t="n"/>
      <c r="R846" s="80" t="n"/>
      <c r="S846" s="80" t="n"/>
      <c r="T846" s="80" t="n"/>
      <c r="U846" s="80" t="n"/>
      <c r="V846" s="80" t="n"/>
      <c r="W846" s="80" t="n"/>
      <c r="X846" s="80" t="n"/>
      <c r="Y846" s="80" t="n"/>
      <c r="Z846" s="80" t="n"/>
      <c r="AA846" s="80" t="n"/>
      <c r="AB846" s="80" t="n"/>
      <c r="AC846" s="80" t="n"/>
      <c r="AD846" s="80" t="n"/>
      <c r="AE846" s="80" t="n"/>
      <c r="AF846" s="80" t="n"/>
      <c r="AG846" s="80" t="n"/>
      <c r="AH846" s="80" t="n"/>
      <c r="AI846" s="80" t="n"/>
      <c r="AJ846" s="80" t="n"/>
      <c r="AK846" s="80" t="n"/>
      <c r="AL846" s="80" t="n"/>
      <c r="AM846" s="80" t="n"/>
      <c r="AN846" s="80" t="n"/>
      <c r="AO846" s="80" t="n"/>
      <c r="AP846" s="80" t="n"/>
      <c r="AQ846" s="80" t="n"/>
      <c r="AR846" s="80" t="n"/>
    </row>
    <row r="847">
      <c r="D847" s="80" t="n"/>
      <c r="E847" s="80" t="n"/>
      <c r="F847" s="80" t="n"/>
      <c r="G847" s="80" t="n"/>
      <c r="H847" s="80" t="n"/>
      <c r="I847" s="80" t="n"/>
      <c r="J847" s="80" t="n"/>
      <c r="K847" s="80" t="n"/>
      <c r="L847" s="80" t="n"/>
      <c r="M847" s="80" t="n"/>
      <c r="N847" s="80" t="n"/>
      <c r="O847" s="80" t="n"/>
      <c r="P847" s="80" t="n"/>
      <c r="Q847" s="80" t="n"/>
      <c r="R847" s="80" t="n"/>
      <c r="S847" s="80" t="n"/>
      <c r="T847" s="80" t="n"/>
      <c r="U847" s="80" t="n"/>
      <c r="V847" s="80" t="n"/>
      <c r="W847" s="80" t="n"/>
      <c r="X847" s="80" t="n"/>
      <c r="Y847" s="80" t="n"/>
      <c r="Z847" s="80" t="n"/>
      <c r="AA847" s="80" t="n"/>
      <c r="AB847" s="80" t="n"/>
      <c r="AC847" s="80" t="n"/>
      <c r="AD847" s="80" t="n"/>
      <c r="AE847" s="80" t="n"/>
      <c r="AF847" s="80" t="n"/>
      <c r="AG847" s="80" t="n"/>
      <c r="AH847" s="80" t="n"/>
      <c r="AI847" s="80" t="n"/>
      <c r="AJ847" s="80" t="n"/>
      <c r="AK847" s="80" t="n"/>
      <c r="AL847" s="80" t="n"/>
      <c r="AM847" s="80" t="n"/>
      <c r="AN847" s="80" t="n"/>
      <c r="AO847" s="80" t="n"/>
      <c r="AP847" s="80" t="n"/>
      <c r="AQ847" s="80" t="n"/>
      <c r="AR847" s="80" t="n"/>
    </row>
    <row r="849">
      <c r="A849" s="6">
        <f>IF(HSI!$C$63="","",HSI!$C$63)</f>
        <v/>
      </c>
      <c r="B849" s="41">
        <f>IF($A849="",0,COUNT($E850:$AR850))</f>
        <v/>
      </c>
      <c r="C849" s="81">
        <f>IF($B849=0,0,MAX($E850:$AR850))</f>
        <v/>
      </c>
      <c r="D849" s="82">
        <f>BDS($A849,'Field Check'!$C$7,"headers=y","startcol=1","endcol=7","dir=h","DVD_START_DT",Summary!$C$18,"DVD_END_DT",Summary!$D$18)</f>
        <v/>
      </c>
      <c r="E849" s="83" t="n"/>
      <c r="F849" s="83" t="n"/>
      <c r="G849" s="83" t="n"/>
      <c r="H849" s="83" t="n"/>
      <c r="I849" s="83" t="n"/>
      <c r="J849" s="83" t="n"/>
      <c r="K849" s="83" t="n"/>
      <c r="L849" s="83" t="n"/>
      <c r="M849" s="83" t="n"/>
      <c r="N849" s="83" t="n"/>
      <c r="O849" s="83" t="n"/>
      <c r="P849" s="83" t="n"/>
      <c r="Q849" s="83" t="n"/>
      <c r="R849" s="83" t="n"/>
      <c r="S849" s="83" t="n"/>
      <c r="T849" s="83" t="n"/>
      <c r="U849" s="83" t="n"/>
      <c r="V849" s="83" t="n"/>
      <c r="W849" s="83" t="n"/>
      <c r="X849" s="83" t="n"/>
      <c r="Y849" s="83" t="n"/>
      <c r="Z849" s="83" t="n"/>
      <c r="AA849" s="83" t="n"/>
      <c r="AB849" s="83" t="n"/>
      <c r="AC849" s="83" t="n"/>
      <c r="AD849" s="83" t="n"/>
      <c r="AE849" s="83" t="n"/>
      <c r="AF849" s="83" t="n"/>
      <c r="AG849" s="83" t="n"/>
      <c r="AH849" s="83" t="n"/>
      <c r="AI849" s="83" t="n"/>
      <c r="AJ849" s="83" t="n"/>
      <c r="AK849" s="83" t="n"/>
      <c r="AL849" s="83" t="n"/>
      <c r="AM849" s="83" t="n"/>
      <c r="AN849" s="83" t="n"/>
      <c r="AO849" s="83" t="n"/>
      <c r="AP849" s="83" t="n"/>
      <c r="AQ849" s="83" t="n"/>
      <c r="AR849" s="83" t="n"/>
    </row>
    <row r="850">
      <c r="D850" s="83" t="n"/>
      <c r="E850" s="83" t="n"/>
      <c r="F850" s="83" t="n"/>
      <c r="G850" s="83" t="n"/>
      <c r="H850" s="83" t="n"/>
      <c r="I850" s="83" t="n"/>
      <c r="J850" s="83" t="n"/>
      <c r="K850" s="83" t="n"/>
      <c r="L850" s="83" t="n"/>
      <c r="M850" s="83" t="n"/>
      <c r="N850" s="83" t="n"/>
      <c r="O850" s="83" t="n"/>
      <c r="P850" s="83" t="n"/>
      <c r="Q850" s="83" t="n"/>
      <c r="R850" s="83" t="n"/>
      <c r="S850" s="83" t="n"/>
      <c r="T850" s="83" t="n"/>
      <c r="U850" s="83" t="n"/>
      <c r="V850" s="83" t="n"/>
      <c r="W850" s="83" t="n"/>
      <c r="X850" s="83" t="n"/>
      <c r="Y850" s="83" t="n"/>
      <c r="Z850" s="83" t="n"/>
      <c r="AA850" s="83" t="n"/>
      <c r="AB850" s="83" t="n"/>
      <c r="AC850" s="83" t="n"/>
      <c r="AD850" s="83" t="n"/>
      <c r="AE850" s="83" t="n"/>
      <c r="AF850" s="83" t="n"/>
      <c r="AG850" s="83" t="n"/>
      <c r="AH850" s="83" t="n"/>
      <c r="AI850" s="83" t="n"/>
      <c r="AJ850" s="83" t="n"/>
      <c r="AK850" s="83" t="n"/>
      <c r="AL850" s="83" t="n"/>
      <c r="AM850" s="83" t="n"/>
      <c r="AN850" s="83" t="n"/>
      <c r="AO850" s="83" t="n"/>
      <c r="AP850" s="83" t="n"/>
      <c r="AQ850" s="83" t="n"/>
      <c r="AR850" s="83" t="n"/>
    </row>
    <row r="851">
      <c r="D851" s="84" t="n"/>
      <c r="E851" s="84" t="n"/>
      <c r="F851" s="84" t="n"/>
      <c r="G851" s="84" t="n"/>
      <c r="H851" s="84" t="n"/>
      <c r="I851" s="84" t="n"/>
      <c r="J851" s="84" t="n"/>
      <c r="K851" s="84" t="n"/>
      <c r="L851" s="84" t="n"/>
      <c r="M851" s="84" t="n"/>
      <c r="N851" s="84" t="n"/>
      <c r="O851" s="84" t="n"/>
      <c r="P851" s="84" t="n"/>
      <c r="Q851" s="84" t="n"/>
      <c r="R851" s="84" t="n"/>
      <c r="S851" s="84" t="n"/>
      <c r="T851" s="84" t="n"/>
      <c r="U851" s="84" t="n"/>
      <c r="V851" s="84" t="n"/>
      <c r="W851" s="84" t="n"/>
      <c r="X851" s="84" t="n"/>
      <c r="Y851" s="84" t="n"/>
      <c r="Z851" s="84" t="n"/>
      <c r="AA851" s="84" t="n"/>
      <c r="AB851" s="84" t="n"/>
      <c r="AC851" s="84" t="n"/>
      <c r="AD851" s="84" t="n"/>
      <c r="AE851" s="84" t="n"/>
      <c r="AF851" s="84" t="n"/>
      <c r="AG851" s="84" t="n"/>
      <c r="AH851" s="84" t="n"/>
      <c r="AI851" s="84" t="n"/>
      <c r="AJ851" s="84" t="n"/>
      <c r="AK851" s="84" t="n"/>
      <c r="AL851" s="84" t="n"/>
      <c r="AM851" s="84" t="n"/>
      <c r="AN851" s="84" t="n"/>
      <c r="AO851" s="84" t="n"/>
      <c r="AP851" s="84" t="n"/>
      <c r="AQ851" s="84" t="n"/>
      <c r="AR851" s="84" t="n"/>
    </row>
    <row r="852">
      <c r="D852" s="80" t="n"/>
      <c r="E852" s="80" t="n"/>
      <c r="F852" s="80" t="n"/>
      <c r="G852" s="80" t="n"/>
      <c r="H852" s="80" t="n"/>
      <c r="I852" s="80" t="n"/>
      <c r="J852" s="80" t="n"/>
      <c r="K852" s="80" t="n"/>
      <c r="L852" s="80" t="n"/>
      <c r="M852" s="80" t="n"/>
      <c r="N852" s="80" t="n"/>
      <c r="O852" s="80" t="n"/>
      <c r="P852" s="80" t="n"/>
      <c r="Q852" s="80" t="n"/>
      <c r="R852" s="80" t="n"/>
      <c r="S852" s="80" t="n"/>
      <c r="T852" s="80" t="n"/>
      <c r="U852" s="80" t="n"/>
      <c r="V852" s="80" t="n"/>
      <c r="W852" s="80" t="n"/>
      <c r="X852" s="80" t="n"/>
      <c r="Y852" s="80" t="n"/>
      <c r="Z852" s="80" t="n"/>
      <c r="AA852" s="80" t="n"/>
      <c r="AB852" s="80" t="n"/>
      <c r="AC852" s="80" t="n"/>
      <c r="AD852" s="80" t="n"/>
      <c r="AE852" s="80" t="n"/>
      <c r="AF852" s="80" t="n"/>
      <c r="AG852" s="80" t="n"/>
      <c r="AH852" s="80" t="n"/>
      <c r="AI852" s="80" t="n"/>
      <c r="AJ852" s="80" t="n"/>
      <c r="AK852" s="80" t="n"/>
      <c r="AL852" s="80" t="n"/>
      <c r="AM852" s="80" t="n"/>
      <c r="AN852" s="80" t="n"/>
      <c r="AO852" s="80" t="n"/>
      <c r="AP852" s="80" t="n"/>
      <c r="AQ852" s="80" t="n"/>
      <c r="AR852" s="80" t="n"/>
    </row>
    <row r="853">
      <c r="D853" s="80" t="n"/>
      <c r="E853" s="80" t="n"/>
      <c r="F853" s="80" t="n"/>
      <c r="G853" s="80" t="n"/>
      <c r="H853" s="80" t="n"/>
      <c r="I853" s="80" t="n"/>
      <c r="J853" s="80" t="n"/>
      <c r="K853" s="80" t="n"/>
      <c r="L853" s="80" t="n"/>
      <c r="M853" s="80" t="n"/>
      <c r="N853" s="80" t="n"/>
      <c r="O853" s="80" t="n"/>
      <c r="P853" s="80" t="n"/>
      <c r="Q853" s="80" t="n"/>
      <c r="R853" s="80" t="n"/>
      <c r="S853" s="80" t="n"/>
      <c r="T853" s="80" t="n"/>
      <c r="U853" s="80" t="n"/>
      <c r="V853" s="80" t="n"/>
      <c r="W853" s="80" t="n"/>
      <c r="X853" s="80" t="n"/>
      <c r="Y853" s="80" t="n"/>
      <c r="Z853" s="80" t="n"/>
      <c r="AA853" s="80" t="n"/>
      <c r="AB853" s="80" t="n"/>
      <c r="AC853" s="80" t="n"/>
      <c r="AD853" s="80" t="n"/>
      <c r="AE853" s="80" t="n"/>
      <c r="AF853" s="80" t="n"/>
      <c r="AG853" s="80" t="n"/>
      <c r="AH853" s="80" t="n"/>
      <c r="AI853" s="80" t="n"/>
      <c r="AJ853" s="80" t="n"/>
      <c r="AK853" s="80" t="n"/>
      <c r="AL853" s="80" t="n"/>
      <c r="AM853" s="80" t="n"/>
      <c r="AN853" s="80" t="n"/>
      <c r="AO853" s="80" t="n"/>
      <c r="AP853" s="80" t="n"/>
      <c r="AQ853" s="80" t="n"/>
      <c r="AR853" s="80" t="n"/>
    </row>
    <row r="854">
      <c r="D854" s="80" t="n"/>
      <c r="E854" s="80" t="n"/>
      <c r="F854" s="80" t="n"/>
      <c r="G854" s="80" t="n"/>
      <c r="H854" s="80" t="n"/>
      <c r="I854" s="80" t="n"/>
      <c r="J854" s="80" t="n"/>
      <c r="K854" s="80" t="n"/>
      <c r="L854" s="80" t="n"/>
      <c r="M854" s="80" t="n"/>
      <c r="N854" s="80" t="n"/>
      <c r="O854" s="80" t="n"/>
      <c r="P854" s="80" t="n"/>
      <c r="Q854" s="80" t="n"/>
      <c r="R854" s="80" t="n"/>
      <c r="S854" s="80" t="n"/>
      <c r="T854" s="80" t="n"/>
      <c r="U854" s="80" t="n"/>
      <c r="V854" s="80" t="n"/>
      <c r="W854" s="80" t="n"/>
      <c r="X854" s="80" t="n"/>
      <c r="Y854" s="80" t="n"/>
      <c r="Z854" s="80" t="n"/>
      <c r="AA854" s="80" t="n"/>
      <c r="AB854" s="80" t="n"/>
      <c r="AC854" s="80" t="n"/>
      <c r="AD854" s="80" t="n"/>
      <c r="AE854" s="80" t="n"/>
      <c r="AF854" s="80" t="n"/>
      <c r="AG854" s="80" t="n"/>
      <c r="AH854" s="80" t="n"/>
      <c r="AI854" s="80" t="n"/>
      <c r="AJ854" s="80" t="n"/>
      <c r="AK854" s="80" t="n"/>
      <c r="AL854" s="80" t="n"/>
      <c r="AM854" s="80" t="n"/>
      <c r="AN854" s="80" t="n"/>
      <c r="AO854" s="80" t="n"/>
      <c r="AP854" s="80" t="n"/>
      <c r="AQ854" s="80" t="n"/>
      <c r="AR854" s="80" t="n"/>
    </row>
    <row r="855">
      <c r="D855" s="80" t="n"/>
      <c r="E855" s="80" t="n"/>
      <c r="F855" s="80" t="n"/>
      <c r="G855" s="80" t="n"/>
      <c r="H855" s="80" t="n"/>
      <c r="I855" s="80" t="n"/>
      <c r="J855" s="80" t="n"/>
      <c r="K855" s="80" t="n"/>
      <c r="L855" s="80" t="n"/>
      <c r="M855" s="80" t="n"/>
      <c r="N855" s="80" t="n"/>
      <c r="O855" s="80" t="n"/>
      <c r="P855" s="80" t="n"/>
      <c r="Q855" s="80" t="n"/>
      <c r="R855" s="80" t="n"/>
      <c r="S855" s="80" t="n"/>
      <c r="T855" s="80" t="n"/>
      <c r="U855" s="80" t="n"/>
      <c r="V855" s="80" t="n"/>
      <c r="W855" s="80" t="n"/>
      <c r="X855" s="80" t="n"/>
      <c r="Y855" s="80" t="n"/>
      <c r="Z855" s="80" t="n"/>
      <c r="AA855" s="80" t="n"/>
      <c r="AB855" s="80" t="n"/>
      <c r="AC855" s="80" t="n"/>
      <c r="AD855" s="80" t="n"/>
      <c r="AE855" s="80" t="n"/>
      <c r="AF855" s="80" t="n"/>
      <c r="AG855" s="80" t="n"/>
      <c r="AH855" s="80" t="n"/>
      <c r="AI855" s="80" t="n"/>
      <c r="AJ855" s="80" t="n"/>
      <c r="AK855" s="80" t="n"/>
      <c r="AL855" s="80" t="n"/>
      <c r="AM855" s="80" t="n"/>
      <c r="AN855" s="80" t="n"/>
      <c r="AO855" s="80" t="n"/>
      <c r="AP855" s="80" t="n"/>
      <c r="AQ855" s="80" t="n"/>
      <c r="AR855" s="80" t="n"/>
    </row>
    <row r="856">
      <c r="A856" s="2">
        <f>IF($A849="","","   projections")</f>
        <v/>
      </c>
      <c r="B856" s="41">
        <f>IF($A849="",0,COUNT($E857:$AR857))</f>
        <v/>
      </c>
      <c r="C856" s="81">
        <f>IF($B856=0,0,MAX($E857:$AR857))</f>
        <v/>
      </c>
      <c r="D856" s="82">
        <f>BDS($A849,'Field Check'!$C$6,"headers=y","startcol=1","endcol=7","dir=h")</f>
        <v/>
      </c>
      <c r="E856" s="83" t="n"/>
      <c r="F856" s="83" t="n"/>
      <c r="G856" s="83" t="n"/>
      <c r="H856" s="83" t="n"/>
      <c r="I856" s="83" t="n"/>
      <c r="J856" s="83" t="n"/>
      <c r="K856" s="83" t="n"/>
      <c r="L856" s="83" t="n"/>
      <c r="M856" s="83" t="n"/>
      <c r="N856" s="83" t="n"/>
      <c r="O856" s="83" t="n"/>
      <c r="P856" s="83" t="n"/>
      <c r="Q856" s="83" t="n"/>
      <c r="R856" s="83" t="n"/>
      <c r="S856" s="83" t="n"/>
      <c r="T856" s="83" t="n"/>
      <c r="U856" s="83" t="n"/>
      <c r="V856" s="83" t="n"/>
      <c r="W856" s="83" t="n"/>
      <c r="X856" s="83" t="n"/>
      <c r="Y856" s="83" t="n"/>
      <c r="Z856" s="83" t="n"/>
      <c r="AA856" s="83" t="n"/>
      <c r="AB856" s="83" t="n"/>
      <c r="AC856" s="83" t="n"/>
      <c r="AD856" s="83" t="n"/>
      <c r="AE856" s="83" t="n"/>
      <c r="AF856" s="83" t="n"/>
      <c r="AG856" s="83" t="n"/>
      <c r="AH856" s="83" t="n"/>
      <c r="AI856" s="83" t="n"/>
      <c r="AJ856" s="83" t="n"/>
      <c r="AK856" s="83" t="n"/>
      <c r="AL856" s="83" t="n"/>
      <c r="AM856" s="83" t="n"/>
      <c r="AN856" s="83" t="n"/>
      <c r="AO856" s="83" t="n"/>
      <c r="AP856" s="83" t="n"/>
      <c r="AQ856" s="83" t="n"/>
      <c r="AR856" s="83" t="n"/>
    </row>
    <row r="857">
      <c r="D857" s="83" t="n"/>
      <c r="E857" s="83" t="n"/>
      <c r="F857" s="83" t="n"/>
      <c r="G857" s="83" t="n"/>
      <c r="H857" s="83" t="n"/>
      <c r="I857" s="83" t="n"/>
      <c r="J857" s="83" t="n"/>
      <c r="K857" s="83" t="n"/>
      <c r="L857" s="83" t="n"/>
      <c r="M857" s="83" t="n"/>
      <c r="N857" s="83" t="n"/>
      <c r="O857" s="83" t="n"/>
      <c r="P857" s="83" t="n"/>
      <c r="Q857" s="83" t="n"/>
      <c r="R857" s="83" t="n"/>
      <c r="S857" s="83" t="n"/>
      <c r="T857" s="83" t="n"/>
      <c r="U857" s="83" t="n"/>
      <c r="V857" s="83" t="n"/>
      <c r="W857" s="83" t="n"/>
      <c r="X857" s="83" t="n"/>
      <c r="Y857" s="83" t="n"/>
      <c r="Z857" s="83" t="n"/>
      <c r="AA857" s="83" t="n"/>
      <c r="AB857" s="83" t="n"/>
      <c r="AC857" s="83" t="n"/>
      <c r="AD857" s="83" t="n"/>
      <c r="AE857" s="83" t="n"/>
      <c r="AF857" s="83" t="n"/>
      <c r="AG857" s="83" t="n"/>
      <c r="AH857" s="83" t="n"/>
      <c r="AI857" s="83" t="n"/>
      <c r="AJ857" s="83" t="n"/>
      <c r="AK857" s="83" t="n"/>
      <c r="AL857" s="83" t="n"/>
      <c r="AM857" s="83" t="n"/>
      <c r="AN857" s="83" t="n"/>
      <c r="AO857" s="83" t="n"/>
      <c r="AP857" s="83" t="n"/>
      <c r="AQ857" s="83" t="n"/>
      <c r="AR857" s="83" t="n"/>
    </row>
    <row r="858">
      <c r="D858" s="84" t="n"/>
      <c r="E858" s="84" t="n"/>
      <c r="F858" s="84" t="n"/>
      <c r="G858" s="84" t="n"/>
      <c r="H858" s="84" t="n"/>
      <c r="I858" s="84" t="n"/>
      <c r="J858" s="84" t="n"/>
      <c r="K858" s="84" t="n"/>
      <c r="L858" s="84" t="n"/>
      <c r="M858" s="84" t="n"/>
      <c r="N858" s="84" t="n"/>
      <c r="O858" s="84" t="n"/>
      <c r="P858" s="84" t="n"/>
      <c r="Q858" s="84" t="n"/>
      <c r="R858" s="84" t="n"/>
      <c r="S858" s="84" t="n"/>
      <c r="T858" s="84" t="n"/>
      <c r="U858" s="84" t="n"/>
      <c r="V858" s="84" t="n"/>
      <c r="W858" s="84" t="n"/>
      <c r="X858" s="84" t="n"/>
      <c r="Y858" s="84" t="n"/>
      <c r="Z858" s="84" t="n"/>
      <c r="AA858" s="84" t="n"/>
      <c r="AB858" s="84" t="n"/>
      <c r="AC858" s="84" t="n"/>
      <c r="AD858" s="84" t="n"/>
      <c r="AE858" s="84" t="n"/>
      <c r="AF858" s="84" t="n"/>
      <c r="AG858" s="84" t="n"/>
      <c r="AH858" s="84" t="n"/>
      <c r="AI858" s="84" t="n"/>
      <c r="AJ858" s="84" t="n"/>
      <c r="AK858" s="84" t="n"/>
      <c r="AL858" s="84" t="n"/>
      <c r="AM858" s="84" t="n"/>
      <c r="AN858" s="84" t="n"/>
      <c r="AO858" s="84" t="n"/>
      <c r="AP858" s="84" t="n"/>
      <c r="AQ858" s="84" t="n"/>
      <c r="AR858" s="84" t="n"/>
    </row>
    <row r="859">
      <c r="D859" s="80" t="n"/>
      <c r="E859" s="80" t="n"/>
      <c r="F859" s="80" t="n"/>
      <c r="G859" s="80" t="n"/>
      <c r="H859" s="80" t="n"/>
      <c r="I859" s="80" t="n"/>
      <c r="J859" s="80" t="n"/>
      <c r="K859" s="80" t="n"/>
      <c r="L859" s="80" t="n"/>
      <c r="M859" s="80" t="n"/>
      <c r="N859" s="80" t="n"/>
      <c r="O859" s="80" t="n"/>
      <c r="P859" s="80" t="n"/>
      <c r="Q859" s="80" t="n"/>
      <c r="R859" s="80" t="n"/>
      <c r="S859" s="80" t="n"/>
      <c r="T859" s="80" t="n"/>
      <c r="U859" s="80" t="n"/>
      <c r="V859" s="80" t="n"/>
      <c r="W859" s="80" t="n"/>
      <c r="X859" s="80" t="n"/>
      <c r="Y859" s="80" t="n"/>
      <c r="Z859" s="80" t="n"/>
      <c r="AA859" s="80" t="n"/>
      <c r="AB859" s="80" t="n"/>
      <c r="AC859" s="80" t="n"/>
      <c r="AD859" s="80" t="n"/>
      <c r="AE859" s="80" t="n"/>
      <c r="AF859" s="80" t="n"/>
      <c r="AG859" s="80" t="n"/>
      <c r="AH859" s="80" t="n"/>
      <c r="AI859" s="80" t="n"/>
      <c r="AJ859" s="80" t="n"/>
      <c r="AK859" s="80" t="n"/>
      <c r="AL859" s="80" t="n"/>
      <c r="AM859" s="80" t="n"/>
      <c r="AN859" s="80" t="n"/>
      <c r="AO859" s="80" t="n"/>
      <c r="AP859" s="80" t="n"/>
      <c r="AQ859" s="80" t="n"/>
      <c r="AR859" s="80" t="n"/>
    </row>
    <row r="860">
      <c r="D860" s="80" t="n"/>
      <c r="E860" s="80" t="n"/>
      <c r="F860" s="80" t="n"/>
      <c r="G860" s="80" t="n"/>
      <c r="H860" s="80" t="n"/>
      <c r="I860" s="80" t="n"/>
      <c r="J860" s="80" t="n"/>
      <c r="K860" s="80" t="n"/>
      <c r="L860" s="80" t="n"/>
      <c r="M860" s="80" t="n"/>
      <c r="N860" s="80" t="n"/>
      <c r="O860" s="80" t="n"/>
      <c r="P860" s="80" t="n"/>
      <c r="Q860" s="80" t="n"/>
      <c r="R860" s="80" t="n"/>
      <c r="S860" s="80" t="n"/>
      <c r="T860" s="80" t="n"/>
      <c r="U860" s="80" t="n"/>
      <c r="V860" s="80" t="n"/>
      <c r="W860" s="80" t="n"/>
      <c r="X860" s="80" t="n"/>
      <c r="Y860" s="80" t="n"/>
      <c r="Z860" s="80" t="n"/>
      <c r="AA860" s="80" t="n"/>
      <c r="AB860" s="80" t="n"/>
      <c r="AC860" s="80" t="n"/>
      <c r="AD860" s="80" t="n"/>
      <c r="AE860" s="80" t="n"/>
      <c r="AF860" s="80" t="n"/>
      <c r="AG860" s="80" t="n"/>
      <c r="AH860" s="80" t="n"/>
      <c r="AI860" s="80" t="n"/>
      <c r="AJ860" s="80" t="n"/>
      <c r="AK860" s="80" t="n"/>
      <c r="AL860" s="80" t="n"/>
      <c r="AM860" s="80" t="n"/>
      <c r="AN860" s="80" t="n"/>
      <c r="AO860" s="80" t="n"/>
      <c r="AP860" s="80" t="n"/>
      <c r="AQ860" s="80" t="n"/>
      <c r="AR860" s="80" t="n"/>
    </row>
    <row r="861">
      <c r="D861" s="80" t="n"/>
      <c r="E861" s="80" t="n"/>
      <c r="F861" s="80" t="n"/>
      <c r="G861" s="80" t="n"/>
      <c r="H861" s="80" t="n"/>
      <c r="I861" s="80" t="n"/>
      <c r="J861" s="80" t="n"/>
      <c r="K861" s="80" t="n"/>
      <c r="L861" s="80" t="n"/>
      <c r="M861" s="80" t="n"/>
      <c r="N861" s="80" t="n"/>
      <c r="O861" s="80" t="n"/>
      <c r="P861" s="80" t="n"/>
      <c r="Q861" s="80" t="n"/>
      <c r="R861" s="80" t="n"/>
      <c r="S861" s="80" t="n"/>
      <c r="T861" s="80" t="n"/>
      <c r="U861" s="80" t="n"/>
      <c r="V861" s="80" t="n"/>
      <c r="W861" s="80" t="n"/>
      <c r="X861" s="80" t="n"/>
      <c r="Y861" s="80" t="n"/>
      <c r="Z861" s="80" t="n"/>
      <c r="AA861" s="80" t="n"/>
      <c r="AB861" s="80" t="n"/>
      <c r="AC861" s="80" t="n"/>
      <c r="AD861" s="80" t="n"/>
      <c r="AE861" s="80" t="n"/>
      <c r="AF861" s="80" t="n"/>
      <c r="AG861" s="80" t="n"/>
      <c r="AH861" s="80" t="n"/>
      <c r="AI861" s="80" t="n"/>
      <c r="AJ861" s="80" t="n"/>
      <c r="AK861" s="80" t="n"/>
      <c r="AL861" s="80" t="n"/>
      <c r="AM861" s="80" t="n"/>
      <c r="AN861" s="80" t="n"/>
      <c r="AO861" s="80" t="n"/>
      <c r="AP861" s="80" t="n"/>
      <c r="AQ861" s="80" t="n"/>
      <c r="AR861" s="80" t="n"/>
    </row>
    <row r="862">
      <c r="D862" s="80" t="n"/>
      <c r="E862" s="80" t="n"/>
      <c r="F862" s="80" t="n"/>
      <c r="G862" s="80" t="n"/>
      <c r="H862" s="80" t="n"/>
      <c r="I862" s="80" t="n"/>
      <c r="J862" s="80" t="n"/>
      <c r="K862" s="80" t="n"/>
      <c r="L862" s="80" t="n"/>
      <c r="M862" s="80" t="n"/>
      <c r="N862" s="80" t="n"/>
      <c r="O862" s="80" t="n"/>
      <c r="P862" s="80" t="n"/>
      <c r="Q862" s="80" t="n"/>
      <c r="R862" s="80" t="n"/>
      <c r="S862" s="80" t="n"/>
      <c r="T862" s="80" t="n"/>
      <c r="U862" s="80" t="n"/>
      <c r="V862" s="80" t="n"/>
      <c r="W862" s="80" t="n"/>
      <c r="X862" s="80" t="n"/>
      <c r="Y862" s="80" t="n"/>
      <c r="Z862" s="80" t="n"/>
      <c r="AA862" s="80" t="n"/>
      <c r="AB862" s="80" t="n"/>
      <c r="AC862" s="80" t="n"/>
      <c r="AD862" s="80" t="n"/>
      <c r="AE862" s="80" t="n"/>
      <c r="AF862" s="80" t="n"/>
      <c r="AG862" s="80" t="n"/>
      <c r="AH862" s="80" t="n"/>
      <c r="AI862" s="80" t="n"/>
      <c r="AJ862" s="80" t="n"/>
      <c r="AK862" s="80" t="n"/>
      <c r="AL862" s="80" t="n"/>
      <c r="AM862" s="80" t="n"/>
      <c r="AN862" s="80" t="n"/>
      <c r="AO862" s="80" t="n"/>
      <c r="AP862" s="80" t="n"/>
      <c r="AQ862" s="80" t="n"/>
      <c r="AR862" s="80" t="n"/>
    </row>
    <row r="864">
      <c r="A864" s="6">
        <f>IF(HSI!$C$64="","",HSI!$C$64)</f>
        <v/>
      </c>
      <c r="B864" s="41">
        <f>IF($A864="",0,COUNT($E865:$AR865))</f>
        <v/>
      </c>
      <c r="C864" s="81">
        <f>IF($B864=0,0,MAX($E865:$AR865))</f>
        <v/>
      </c>
      <c r="D864" s="82">
        <f>BDS($A864,'Field Check'!$C$7,"headers=y","startcol=1","endcol=7","dir=h","DVD_START_DT",Summary!$C$18,"DVD_END_DT",Summary!$D$18)</f>
        <v/>
      </c>
      <c r="E864" s="83" t="n"/>
      <c r="F864" s="83" t="n"/>
      <c r="G864" s="83" t="n"/>
      <c r="H864" s="83" t="n"/>
      <c r="I864" s="83" t="n"/>
      <c r="J864" s="83" t="n"/>
      <c r="K864" s="83" t="n"/>
      <c r="L864" s="83" t="n"/>
      <c r="M864" s="83" t="n"/>
      <c r="N864" s="83" t="n"/>
      <c r="O864" s="83" t="n"/>
      <c r="P864" s="83" t="n"/>
      <c r="Q864" s="83" t="n"/>
      <c r="R864" s="83" t="n"/>
      <c r="S864" s="83" t="n"/>
      <c r="T864" s="83" t="n"/>
      <c r="U864" s="83" t="n"/>
      <c r="V864" s="83" t="n"/>
      <c r="W864" s="83" t="n"/>
      <c r="X864" s="83" t="n"/>
      <c r="Y864" s="83" t="n"/>
      <c r="Z864" s="83" t="n"/>
      <c r="AA864" s="83" t="n"/>
      <c r="AB864" s="83" t="n"/>
      <c r="AC864" s="83" t="n"/>
      <c r="AD864" s="83" t="n"/>
      <c r="AE864" s="83" t="n"/>
      <c r="AF864" s="83" t="n"/>
      <c r="AG864" s="83" t="n"/>
      <c r="AH864" s="83" t="n"/>
      <c r="AI864" s="83" t="n"/>
      <c r="AJ864" s="83" t="n"/>
      <c r="AK864" s="83" t="n"/>
      <c r="AL864" s="83" t="n"/>
      <c r="AM864" s="83" t="n"/>
      <c r="AN864" s="83" t="n"/>
      <c r="AO864" s="83" t="n"/>
      <c r="AP864" s="83" t="n"/>
      <c r="AQ864" s="83" t="n"/>
      <c r="AR864" s="83" t="n"/>
    </row>
    <row r="865">
      <c r="D865" s="83" t="n"/>
      <c r="E865" s="83" t="n"/>
      <c r="F865" s="83" t="n"/>
      <c r="G865" s="83" t="n"/>
      <c r="H865" s="83" t="n"/>
      <c r="I865" s="83" t="n"/>
      <c r="J865" s="83" t="n"/>
      <c r="K865" s="83" t="n"/>
      <c r="L865" s="83" t="n"/>
      <c r="M865" s="83" t="n"/>
      <c r="N865" s="83" t="n"/>
      <c r="O865" s="83" t="n"/>
      <c r="P865" s="83" t="n"/>
      <c r="Q865" s="83" t="n"/>
      <c r="R865" s="83" t="n"/>
      <c r="S865" s="83" t="n"/>
      <c r="T865" s="83" t="n"/>
      <c r="U865" s="83" t="n"/>
      <c r="V865" s="83" t="n"/>
      <c r="W865" s="83" t="n"/>
      <c r="X865" s="83" t="n"/>
      <c r="Y865" s="83" t="n"/>
      <c r="Z865" s="83" t="n"/>
      <c r="AA865" s="83" t="n"/>
      <c r="AB865" s="83" t="n"/>
      <c r="AC865" s="83" t="n"/>
      <c r="AD865" s="83" t="n"/>
      <c r="AE865" s="83" t="n"/>
      <c r="AF865" s="83" t="n"/>
      <c r="AG865" s="83" t="n"/>
      <c r="AH865" s="83" t="n"/>
      <c r="AI865" s="83" t="n"/>
      <c r="AJ865" s="83" t="n"/>
      <c r="AK865" s="83" t="n"/>
      <c r="AL865" s="83" t="n"/>
      <c r="AM865" s="83" t="n"/>
      <c r="AN865" s="83" t="n"/>
      <c r="AO865" s="83" t="n"/>
      <c r="AP865" s="83" t="n"/>
      <c r="AQ865" s="83" t="n"/>
      <c r="AR865" s="83" t="n"/>
    </row>
    <row r="866">
      <c r="D866" s="84" t="n"/>
      <c r="E866" s="84" t="n"/>
      <c r="F866" s="84" t="n"/>
      <c r="G866" s="84" t="n"/>
      <c r="H866" s="84" t="n"/>
      <c r="I866" s="84" t="n"/>
      <c r="J866" s="84" t="n"/>
      <c r="K866" s="84" t="n"/>
      <c r="L866" s="84" t="n"/>
      <c r="M866" s="84" t="n"/>
      <c r="N866" s="84" t="n"/>
      <c r="O866" s="84" t="n"/>
      <c r="P866" s="84" t="n"/>
      <c r="Q866" s="84" t="n"/>
      <c r="R866" s="84" t="n"/>
      <c r="S866" s="84" t="n"/>
      <c r="T866" s="84" t="n"/>
      <c r="U866" s="84" t="n"/>
      <c r="V866" s="84" t="n"/>
      <c r="W866" s="84" t="n"/>
      <c r="X866" s="84" t="n"/>
      <c r="Y866" s="84" t="n"/>
      <c r="Z866" s="84" t="n"/>
      <c r="AA866" s="84" t="n"/>
      <c r="AB866" s="84" t="n"/>
      <c r="AC866" s="84" t="n"/>
      <c r="AD866" s="84" t="n"/>
      <c r="AE866" s="84" t="n"/>
      <c r="AF866" s="84" t="n"/>
      <c r="AG866" s="84" t="n"/>
      <c r="AH866" s="84" t="n"/>
      <c r="AI866" s="84" t="n"/>
      <c r="AJ866" s="84" t="n"/>
      <c r="AK866" s="84" t="n"/>
      <c r="AL866" s="84" t="n"/>
      <c r="AM866" s="84" t="n"/>
      <c r="AN866" s="84" t="n"/>
      <c r="AO866" s="84" t="n"/>
      <c r="AP866" s="84" t="n"/>
      <c r="AQ866" s="84" t="n"/>
      <c r="AR866" s="84" t="n"/>
    </row>
    <row r="867">
      <c r="D867" s="80" t="n"/>
      <c r="E867" s="80" t="n"/>
      <c r="F867" s="80" t="n"/>
      <c r="G867" s="80" t="n"/>
      <c r="H867" s="80" t="n"/>
      <c r="I867" s="80" t="n"/>
      <c r="J867" s="80" t="n"/>
      <c r="K867" s="80" t="n"/>
      <c r="L867" s="80" t="n"/>
      <c r="M867" s="80" t="n"/>
      <c r="N867" s="80" t="n"/>
      <c r="O867" s="80" t="n"/>
      <c r="P867" s="80" t="n"/>
      <c r="Q867" s="80" t="n"/>
      <c r="R867" s="80" t="n"/>
      <c r="S867" s="80" t="n"/>
      <c r="T867" s="80" t="n"/>
      <c r="U867" s="80" t="n"/>
      <c r="V867" s="80" t="n"/>
      <c r="W867" s="80" t="n"/>
      <c r="X867" s="80" t="n"/>
      <c r="Y867" s="80" t="n"/>
      <c r="Z867" s="80" t="n"/>
      <c r="AA867" s="80" t="n"/>
      <c r="AB867" s="80" t="n"/>
      <c r="AC867" s="80" t="n"/>
      <c r="AD867" s="80" t="n"/>
      <c r="AE867" s="80" t="n"/>
      <c r="AF867" s="80" t="n"/>
      <c r="AG867" s="80" t="n"/>
      <c r="AH867" s="80" t="n"/>
      <c r="AI867" s="80" t="n"/>
      <c r="AJ867" s="80" t="n"/>
      <c r="AK867" s="80" t="n"/>
      <c r="AL867" s="80" t="n"/>
      <c r="AM867" s="80" t="n"/>
      <c r="AN867" s="80" t="n"/>
      <c r="AO867" s="80" t="n"/>
      <c r="AP867" s="80" t="n"/>
      <c r="AQ867" s="80" t="n"/>
      <c r="AR867" s="80" t="n"/>
    </row>
    <row r="868">
      <c r="D868" s="80" t="n"/>
      <c r="E868" s="80" t="n"/>
      <c r="F868" s="80" t="n"/>
      <c r="G868" s="80" t="n"/>
      <c r="H868" s="80" t="n"/>
      <c r="I868" s="80" t="n"/>
      <c r="J868" s="80" t="n"/>
      <c r="K868" s="80" t="n"/>
      <c r="L868" s="80" t="n"/>
      <c r="M868" s="80" t="n"/>
      <c r="N868" s="80" t="n"/>
      <c r="O868" s="80" t="n"/>
      <c r="P868" s="80" t="n"/>
      <c r="Q868" s="80" t="n"/>
      <c r="R868" s="80" t="n"/>
      <c r="S868" s="80" t="n"/>
      <c r="T868" s="80" t="n"/>
      <c r="U868" s="80" t="n"/>
      <c r="V868" s="80" t="n"/>
      <c r="W868" s="80" t="n"/>
      <c r="X868" s="80" t="n"/>
      <c r="Y868" s="80" t="n"/>
      <c r="Z868" s="80" t="n"/>
      <c r="AA868" s="80" t="n"/>
      <c r="AB868" s="80" t="n"/>
      <c r="AC868" s="80" t="n"/>
      <c r="AD868" s="80" t="n"/>
      <c r="AE868" s="80" t="n"/>
      <c r="AF868" s="80" t="n"/>
      <c r="AG868" s="80" t="n"/>
      <c r="AH868" s="80" t="n"/>
      <c r="AI868" s="80" t="n"/>
      <c r="AJ868" s="80" t="n"/>
      <c r="AK868" s="80" t="n"/>
      <c r="AL868" s="80" t="n"/>
      <c r="AM868" s="80" t="n"/>
      <c r="AN868" s="80" t="n"/>
      <c r="AO868" s="80" t="n"/>
      <c r="AP868" s="80" t="n"/>
      <c r="AQ868" s="80" t="n"/>
      <c r="AR868" s="80" t="n"/>
    </row>
    <row r="869">
      <c r="D869" s="80" t="n"/>
      <c r="E869" s="80" t="n"/>
      <c r="F869" s="80" t="n"/>
      <c r="G869" s="80" t="n"/>
      <c r="H869" s="80" t="n"/>
      <c r="I869" s="80" t="n"/>
      <c r="J869" s="80" t="n"/>
      <c r="K869" s="80" t="n"/>
      <c r="L869" s="80" t="n"/>
      <c r="M869" s="80" t="n"/>
      <c r="N869" s="80" t="n"/>
      <c r="O869" s="80" t="n"/>
      <c r="P869" s="80" t="n"/>
      <c r="Q869" s="80" t="n"/>
      <c r="R869" s="80" t="n"/>
      <c r="S869" s="80" t="n"/>
      <c r="T869" s="80" t="n"/>
      <c r="U869" s="80" t="n"/>
      <c r="V869" s="80" t="n"/>
      <c r="W869" s="80" t="n"/>
      <c r="X869" s="80" t="n"/>
      <c r="Y869" s="80" t="n"/>
      <c r="Z869" s="80" t="n"/>
      <c r="AA869" s="80" t="n"/>
      <c r="AB869" s="80" t="n"/>
      <c r="AC869" s="80" t="n"/>
      <c r="AD869" s="80" t="n"/>
      <c r="AE869" s="80" t="n"/>
      <c r="AF869" s="80" t="n"/>
      <c r="AG869" s="80" t="n"/>
      <c r="AH869" s="80" t="n"/>
      <c r="AI869" s="80" t="n"/>
      <c r="AJ869" s="80" t="n"/>
      <c r="AK869" s="80" t="n"/>
      <c r="AL869" s="80" t="n"/>
      <c r="AM869" s="80" t="n"/>
      <c r="AN869" s="80" t="n"/>
      <c r="AO869" s="80" t="n"/>
      <c r="AP869" s="80" t="n"/>
      <c r="AQ869" s="80" t="n"/>
      <c r="AR869" s="80" t="n"/>
    </row>
    <row r="870">
      <c r="D870" s="80" t="n"/>
      <c r="E870" s="80" t="n"/>
      <c r="F870" s="80" t="n"/>
      <c r="G870" s="80" t="n"/>
      <c r="H870" s="80" t="n"/>
      <c r="I870" s="80" t="n"/>
      <c r="J870" s="80" t="n"/>
      <c r="K870" s="80" t="n"/>
      <c r="L870" s="80" t="n"/>
      <c r="M870" s="80" t="n"/>
      <c r="N870" s="80" t="n"/>
      <c r="O870" s="80" t="n"/>
      <c r="P870" s="80" t="n"/>
      <c r="Q870" s="80" t="n"/>
      <c r="R870" s="80" t="n"/>
      <c r="S870" s="80" t="n"/>
      <c r="T870" s="80" t="n"/>
      <c r="U870" s="80" t="n"/>
      <c r="V870" s="80" t="n"/>
      <c r="W870" s="80" t="n"/>
      <c r="X870" s="80" t="n"/>
      <c r="Y870" s="80" t="n"/>
      <c r="Z870" s="80" t="n"/>
      <c r="AA870" s="80" t="n"/>
      <c r="AB870" s="80" t="n"/>
      <c r="AC870" s="80" t="n"/>
      <c r="AD870" s="80" t="n"/>
      <c r="AE870" s="80" t="n"/>
      <c r="AF870" s="80" t="n"/>
      <c r="AG870" s="80" t="n"/>
      <c r="AH870" s="80" t="n"/>
      <c r="AI870" s="80" t="n"/>
      <c r="AJ870" s="80" t="n"/>
      <c r="AK870" s="80" t="n"/>
      <c r="AL870" s="80" t="n"/>
      <c r="AM870" s="80" t="n"/>
      <c r="AN870" s="80" t="n"/>
      <c r="AO870" s="80" t="n"/>
      <c r="AP870" s="80" t="n"/>
      <c r="AQ870" s="80" t="n"/>
      <c r="AR870" s="80" t="n"/>
    </row>
    <row r="871">
      <c r="A871" s="2">
        <f>IF($A864="","","   projections")</f>
        <v/>
      </c>
      <c r="B871" s="41">
        <f>IF($A864="",0,COUNT($E872:$AR872))</f>
        <v/>
      </c>
      <c r="C871" s="81">
        <f>IF($B871=0,0,MAX($E872:$AR872))</f>
        <v/>
      </c>
      <c r="D871" s="82">
        <f>BDS($A864,'Field Check'!$C$6,"headers=y","startcol=1","endcol=7","dir=h")</f>
        <v/>
      </c>
      <c r="E871" s="83" t="n"/>
      <c r="F871" s="83" t="n"/>
      <c r="G871" s="83" t="n"/>
      <c r="H871" s="83" t="n"/>
      <c r="I871" s="83" t="n"/>
      <c r="J871" s="83" t="n"/>
      <c r="K871" s="83" t="n"/>
      <c r="L871" s="83" t="n"/>
      <c r="M871" s="83" t="n"/>
      <c r="N871" s="83" t="n"/>
      <c r="O871" s="83" t="n"/>
      <c r="P871" s="83" t="n"/>
      <c r="Q871" s="83" t="n"/>
      <c r="R871" s="83" t="n"/>
      <c r="S871" s="83" t="n"/>
      <c r="T871" s="83" t="n"/>
      <c r="U871" s="83" t="n"/>
      <c r="V871" s="83" t="n"/>
      <c r="W871" s="83" t="n"/>
      <c r="X871" s="83" t="n"/>
      <c r="Y871" s="83" t="n"/>
      <c r="Z871" s="83" t="n"/>
      <c r="AA871" s="83" t="n"/>
      <c r="AB871" s="83" t="n"/>
      <c r="AC871" s="83" t="n"/>
      <c r="AD871" s="83" t="n"/>
      <c r="AE871" s="83" t="n"/>
      <c r="AF871" s="83" t="n"/>
      <c r="AG871" s="83" t="n"/>
      <c r="AH871" s="83" t="n"/>
      <c r="AI871" s="83" t="n"/>
      <c r="AJ871" s="83" t="n"/>
      <c r="AK871" s="83" t="n"/>
      <c r="AL871" s="83" t="n"/>
      <c r="AM871" s="83" t="n"/>
      <c r="AN871" s="83" t="n"/>
      <c r="AO871" s="83" t="n"/>
      <c r="AP871" s="83" t="n"/>
      <c r="AQ871" s="83" t="n"/>
      <c r="AR871" s="83" t="n"/>
    </row>
    <row r="872">
      <c r="D872" s="83" t="n"/>
      <c r="E872" s="83" t="n"/>
      <c r="F872" s="83" t="n"/>
      <c r="G872" s="83" t="n"/>
      <c r="H872" s="83" t="n"/>
      <c r="I872" s="83" t="n"/>
      <c r="J872" s="83" t="n"/>
      <c r="K872" s="83" t="n"/>
      <c r="L872" s="83" t="n"/>
      <c r="M872" s="83" t="n"/>
      <c r="N872" s="83" t="n"/>
      <c r="O872" s="83" t="n"/>
      <c r="P872" s="83" t="n"/>
      <c r="Q872" s="83" t="n"/>
      <c r="R872" s="83" t="n"/>
      <c r="S872" s="83" t="n"/>
      <c r="T872" s="83" t="n"/>
      <c r="U872" s="83" t="n"/>
      <c r="V872" s="83" t="n"/>
      <c r="W872" s="83" t="n"/>
      <c r="X872" s="83" t="n"/>
      <c r="Y872" s="83" t="n"/>
      <c r="Z872" s="83" t="n"/>
      <c r="AA872" s="83" t="n"/>
      <c r="AB872" s="83" t="n"/>
      <c r="AC872" s="83" t="n"/>
      <c r="AD872" s="83" t="n"/>
      <c r="AE872" s="83" t="n"/>
      <c r="AF872" s="83" t="n"/>
      <c r="AG872" s="83" t="n"/>
      <c r="AH872" s="83" t="n"/>
      <c r="AI872" s="83" t="n"/>
      <c r="AJ872" s="83" t="n"/>
      <c r="AK872" s="83" t="n"/>
      <c r="AL872" s="83" t="n"/>
      <c r="AM872" s="83" t="n"/>
      <c r="AN872" s="83" t="n"/>
      <c r="AO872" s="83" t="n"/>
      <c r="AP872" s="83" t="n"/>
      <c r="AQ872" s="83" t="n"/>
      <c r="AR872" s="83" t="n"/>
    </row>
    <row r="873">
      <c r="D873" s="84" t="n"/>
      <c r="E873" s="84" t="n"/>
      <c r="F873" s="84" t="n"/>
      <c r="G873" s="84" t="n"/>
      <c r="H873" s="84" t="n"/>
      <c r="I873" s="84" t="n"/>
      <c r="J873" s="84" t="n"/>
      <c r="K873" s="84" t="n"/>
      <c r="L873" s="84" t="n"/>
      <c r="M873" s="84" t="n"/>
      <c r="N873" s="84" t="n"/>
      <c r="O873" s="84" t="n"/>
      <c r="P873" s="84" t="n"/>
      <c r="Q873" s="84" t="n"/>
      <c r="R873" s="84" t="n"/>
      <c r="S873" s="84" t="n"/>
      <c r="T873" s="84" t="n"/>
      <c r="U873" s="84" t="n"/>
      <c r="V873" s="84" t="n"/>
      <c r="W873" s="84" t="n"/>
      <c r="X873" s="84" t="n"/>
      <c r="Y873" s="84" t="n"/>
      <c r="Z873" s="84" t="n"/>
      <c r="AA873" s="84" t="n"/>
      <c r="AB873" s="84" t="n"/>
      <c r="AC873" s="84" t="n"/>
      <c r="AD873" s="84" t="n"/>
      <c r="AE873" s="84" t="n"/>
      <c r="AF873" s="84" t="n"/>
      <c r="AG873" s="84" t="n"/>
      <c r="AH873" s="84" t="n"/>
      <c r="AI873" s="84" t="n"/>
      <c r="AJ873" s="84" t="n"/>
      <c r="AK873" s="84" t="n"/>
      <c r="AL873" s="84" t="n"/>
      <c r="AM873" s="84" t="n"/>
      <c r="AN873" s="84" t="n"/>
      <c r="AO873" s="84" t="n"/>
      <c r="AP873" s="84" t="n"/>
      <c r="AQ873" s="84" t="n"/>
      <c r="AR873" s="84" t="n"/>
    </row>
    <row r="874">
      <c r="D874" s="80" t="n"/>
      <c r="E874" s="80" t="n"/>
      <c r="F874" s="80" t="n"/>
      <c r="G874" s="80" t="n"/>
      <c r="H874" s="80" t="n"/>
      <c r="I874" s="80" t="n"/>
      <c r="J874" s="80" t="n"/>
      <c r="K874" s="80" t="n"/>
      <c r="L874" s="80" t="n"/>
      <c r="M874" s="80" t="n"/>
      <c r="N874" s="80" t="n"/>
      <c r="O874" s="80" t="n"/>
      <c r="P874" s="80" t="n"/>
      <c r="Q874" s="80" t="n"/>
      <c r="R874" s="80" t="n"/>
      <c r="S874" s="80" t="n"/>
      <c r="T874" s="80" t="n"/>
      <c r="U874" s="80" t="n"/>
      <c r="V874" s="80" t="n"/>
      <c r="W874" s="80" t="n"/>
      <c r="X874" s="80" t="n"/>
      <c r="Y874" s="80" t="n"/>
      <c r="Z874" s="80" t="n"/>
      <c r="AA874" s="80" t="n"/>
      <c r="AB874" s="80" t="n"/>
      <c r="AC874" s="80" t="n"/>
      <c r="AD874" s="80" t="n"/>
      <c r="AE874" s="80" t="n"/>
      <c r="AF874" s="80" t="n"/>
      <c r="AG874" s="80" t="n"/>
      <c r="AH874" s="80" t="n"/>
      <c r="AI874" s="80" t="n"/>
      <c r="AJ874" s="80" t="n"/>
      <c r="AK874" s="80" t="n"/>
      <c r="AL874" s="80" t="n"/>
      <c r="AM874" s="80" t="n"/>
      <c r="AN874" s="80" t="n"/>
      <c r="AO874" s="80" t="n"/>
      <c r="AP874" s="80" t="n"/>
      <c r="AQ874" s="80" t="n"/>
      <c r="AR874" s="80" t="n"/>
    </row>
    <row r="875">
      <c r="D875" s="80" t="n"/>
      <c r="E875" s="80" t="n"/>
      <c r="F875" s="80" t="n"/>
      <c r="G875" s="80" t="n"/>
      <c r="H875" s="80" t="n"/>
      <c r="I875" s="80" t="n"/>
      <c r="J875" s="80" t="n"/>
      <c r="K875" s="80" t="n"/>
      <c r="L875" s="80" t="n"/>
      <c r="M875" s="80" t="n"/>
      <c r="N875" s="80" t="n"/>
      <c r="O875" s="80" t="n"/>
      <c r="P875" s="80" t="n"/>
      <c r="Q875" s="80" t="n"/>
      <c r="R875" s="80" t="n"/>
      <c r="S875" s="80" t="n"/>
      <c r="T875" s="80" t="n"/>
      <c r="U875" s="80" t="n"/>
      <c r="V875" s="80" t="n"/>
      <c r="W875" s="80" t="n"/>
      <c r="X875" s="80" t="n"/>
      <c r="Y875" s="80" t="n"/>
      <c r="Z875" s="80" t="n"/>
      <c r="AA875" s="80" t="n"/>
      <c r="AB875" s="80" t="n"/>
      <c r="AC875" s="80" t="n"/>
      <c r="AD875" s="80" t="n"/>
      <c r="AE875" s="80" t="n"/>
      <c r="AF875" s="80" t="n"/>
      <c r="AG875" s="80" t="n"/>
      <c r="AH875" s="80" t="n"/>
      <c r="AI875" s="80" t="n"/>
      <c r="AJ875" s="80" t="n"/>
      <c r="AK875" s="80" t="n"/>
      <c r="AL875" s="80" t="n"/>
      <c r="AM875" s="80" t="n"/>
      <c r="AN875" s="80" t="n"/>
      <c r="AO875" s="80" t="n"/>
      <c r="AP875" s="80" t="n"/>
      <c r="AQ875" s="80" t="n"/>
      <c r="AR875" s="80" t="n"/>
    </row>
    <row r="876">
      <c r="D876" s="80" t="n"/>
      <c r="E876" s="80" t="n"/>
      <c r="F876" s="80" t="n"/>
      <c r="G876" s="80" t="n"/>
      <c r="H876" s="80" t="n"/>
      <c r="I876" s="80" t="n"/>
      <c r="J876" s="80" t="n"/>
      <c r="K876" s="80" t="n"/>
      <c r="L876" s="80" t="n"/>
      <c r="M876" s="80" t="n"/>
      <c r="N876" s="80" t="n"/>
      <c r="O876" s="80" t="n"/>
      <c r="P876" s="80" t="n"/>
      <c r="Q876" s="80" t="n"/>
      <c r="R876" s="80" t="n"/>
      <c r="S876" s="80" t="n"/>
      <c r="T876" s="80" t="n"/>
      <c r="U876" s="80" t="n"/>
      <c r="V876" s="80" t="n"/>
      <c r="W876" s="80" t="n"/>
      <c r="X876" s="80" t="n"/>
      <c r="Y876" s="80" t="n"/>
      <c r="Z876" s="80" t="n"/>
      <c r="AA876" s="80" t="n"/>
      <c r="AB876" s="80" t="n"/>
      <c r="AC876" s="80" t="n"/>
      <c r="AD876" s="80" t="n"/>
      <c r="AE876" s="80" t="n"/>
      <c r="AF876" s="80" t="n"/>
      <c r="AG876" s="80" t="n"/>
      <c r="AH876" s="80" t="n"/>
      <c r="AI876" s="80" t="n"/>
      <c r="AJ876" s="80" t="n"/>
      <c r="AK876" s="80" t="n"/>
      <c r="AL876" s="80" t="n"/>
      <c r="AM876" s="80" t="n"/>
      <c r="AN876" s="80" t="n"/>
      <c r="AO876" s="80" t="n"/>
      <c r="AP876" s="80" t="n"/>
      <c r="AQ876" s="80" t="n"/>
      <c r="AR876" s="80" t="n"/>
    </row>
    <row r="877">
      <c r="D877" s="80" t="n"/>
      <c r="E877" s="80" t="n"/>
      <c r="F877" s="80" t="n"/>
      <c r="G877" s="80" t="n"/>
      <c r="H877" s="80" t="n"/>
      <c r="I877" s="80" t="n"/>
      <c r="J877" s="80" t="n"/>
      <c r="K877" s="80" t="n"/>
      <c r="L877" s="80" t="n"/>
      <c r="M877" s="80" t="n"/>
      <c r="N877" s="80" t="n"/>
      <c r="O877" s="80" t="n"/>
      <c r="P877" s="80" t="n"/>
      <c r="Q877" s="80" t="n"/>
      <c r="R877" s="80" t="n"/>
      <c r="S877" s="80" t="n"/>
      <c r="T877" s="80" t="n"/>
      <c r="U877" s="80" t="n"/>
      <c r="V877" s="80" t="n"/>
      <c r="W877" s="80" t="n"/>
      <c r="X877" s="80" t="n"/>
      <c r="Y877" s="80" t="n"/>
      <c r="Z877" s="80" t="n"/>
      <c r="AA877" s="80" t="n"/>
      <c r="AB877" s="80" t="n"/>
      <c r="AC877" s="80" t="n"/>
      <c r="AD877" s="80" t="n"/>
      <c r="AE877" s="80" t="n"/>
      <c r="AF877" s="80" t="n"/>
      <c r="AG877" s="80" t="n"/>
      <c r="AH877" s="80" t="n"/>
      <c r="AI877" s="80" t="n"/>
      <c r="AJ877" s="80" t="n"/>
      <c r="AK877" s="80" t="n"/>
      <c r="AL877" s="80" t="n"/>
      <c r="AM877" s="80" t="n"/>
      <c r="AN877" s="80" t="n"/>
      <c r="AO877" s="80" t="n"/>
      <c r="AP877" s="80" t="n"/>
      <c r="AQ877" s="80" t="n"/>
      <c r="AR877" s="80" t="n"/>
    </row>
    <row r="879">
      <c r="A879" s="6">
        <f>IF(HSI!$C$65="","",HSI!$C$65)</f>
        <v/>
      </c>
      <c r="B879" s="41">
        <f>IF($A879="",0,COUNT($E880:$AR880))</f>
        <v/>
      </c>
      <c r="C879" s="81">
        <f>IF($B879=0,0,MAX($E880:$AR880))</f>
        <v/>
      </c>
      <c r="D879" s="82">
        <f>BDS($A879,'Field Check'!$C$7,"headers=y","startcol=1","endcol=7","dir=h","DVD_START_DT",Summary!$C$18,"DVD_END_DT",Summary!$D$18)</f>
        <v/>
      </c>
      <c r="E879" s="83" t="n"/>
      <c r="F879" s="83" t="n"/>
      <c r="G879" s="83" t="n"/>
      <c r="H879" s="83" t="n"/>
      <c r="I879" s="83" t="n"/>
      <c r="J879" s="83" t="n"/>
      <c r="K879" s="83" t="n"/>
      <c r="L879" s="83" t="n"/>
      <c r="M879" s="83" t="n"/>
      <c r="N879" s="83" t="n"/>
      <c r="O879" s="83" t="n"/>
      <c r="P879" s="83" t="n"/>
      <c r="Q879" s="83" t="n"/>
      <c r="R879" s="83" t="n"/>
      <c r="S879" s="83" t="n"/>
      <c r="T879" s="83" t="n"/>
      <c r="U879" s="83" t="n"/>
      <c r="V879" s="83" t="n"/>
      <c r="W879" s="83" t="n"/>
      <c r="X879" s="83" t="n"/>
      <c r="Y879" s="83" t="n"/>
      <c r="Z879" s="83" t="n"/>
      <c r="AA879" s="83" t="n"/>
      <c r="AB879" s="83" t="n"/>
      <c r="AC879" s="83" t="n"/>
      <c r="AD879" s="83" t="n"/>
      <c r="AE879" s="83" t="n"/>
      <c r="AF879" s="83" t="n"/>
      <c r="AG879" s="83" t="n"/>
      <c r="AH879" s="83" t="n"/>
      <c r="AI879" s="83" t="n"/>
      <c r="AJ879" s="83" t="n"/>
      <c r="AK879" s="83" t="n"/>
      <c r="AL879" s="83" t="n"/>
      <c r="AM879" s="83" t="n"/>
      <c r="AN879" s="83" t="n"/>
      <c r="AO879" s="83" t="n"/>
      <c r="AP879" s="83" t="n"/>
      <c r="AQ879" s="83" t="n"/>
      <c r="AR879" s="83" t="n"/>
    </row>
    <row r="880">
      <c r="D880" s="83" t="n"/>
      <c r="E880" s="83" t="n"/>
      <c r="F880" s="83" t="n"/>
      <c r="G880" s="83" t="n"/>
      <c r="H880" s="83" t="n"/>
      <c r="I880" s="83" t="n"/>
      <c r="J880" s="83" t="n"/>
      <c r="K880" s="83" t="n"/>
      <c r="L880" s="83" t="n"/>
      <c r="M880" s="83" t="n"/>
      <c r="N880" s="83" t="n"/>
      <c r="O880" s="83" t="n"/>
      <c r="P880" s="83" t="n"/>
      <c r="Q880" s="83" t="n"/>
      <c r="R880" s="83" t="n"/>
      <c r="S880" s="83" t="n"/>
      <c r="T880" s="83" t="n"/>
      <c r="U880" s="83" t="n"/>
      <c r="V880" s="83" t="n"/>
      <c r="W880" s="83" t="n"/>
      <c r="X880" s="83" t="n"/>
      <c r="Y880" s="83" t="n"/>
      <c r="Z880" s="83" t="n"/>
      <c r="AA880" s="83" t="n"/>
      <c r="AB880" s="83" t="n"/>
      <c r="AC880" s="83" t="n"/>
      <c r="AD880" s="83" t="n"/>
      <c r="AE880" s="83" t="n"/>
      <c r="AF880" s="83" t="n"/>
      <c r="AG880" s="83" t="n"/>
      <c r="AH880" s="83" t="n"/>
      <c r="AI880" s="83" t="n"/>
      <c r="AJ880" s="83" t="n"/>
      <c r="AK880" s="83" t="n"/>
      <c r="AL880" s="83" t="n"/>
      <c r="AM880" s="83" t="n"/>
      <c r="AN880" s="83" t="n"/>
      <c r="AO880" s="83" t="n"/>
      <c r="AP880" s="83" t="n"/>
      <c r="AQ880" s="83" t="n"/>
      <c r="AR880" s="83" t="n"/>
    </row>
    <row r="881">
      <c r="D881" s="84" t="n"/>
      <c r="E881" s="84" t="n"/>
      <c r="F881" s="84" t="n"/>
      <c r="G881" s="84" t="n"/>
      <c r="H881" s="84" t="n"/>
      <c r="I881" s="84" t="n"/>
      <c r="J881" s="84" t="n"/>
      <c r="K881" s="84" t="n"/>
      <c r="L881" s="84" t="n"/>
      <c r="M881" s="84" t="n"/>
      <c r="N881" s="84" t="n"/>
      <c r="O881" s="84" t="n"/>
      <c r="P881" s="84" t="n"/>
      <c r="Q881" s="84" t="n"/>
      <c r="R881" s="84" t="n"/>
      <c r="S881" s="84" t="n"/>
      <c r="T881" s="84" t="n"/>
      <c r="U881" s="84" t="n"/>
      <c r="V881" s="84" t="n"/>
      <c r="W881" s="84" t="n"/>
      <c r="X881" s="84" t="n"/>
      <c r="Y881" s="84" t="n"/>
      <c r="Z881" s="84" t="n"/>
      <c r="AA881" s="84" t="n"/>
      <c r="AB881" s="84" t="n"/>
      <c r="AC881" s="84" t="n"/>
      <c r="AD881" s="84" t="n"/>
      <c r="AE881" s="84" t="n"/>
      <c r="AF881" s="84" t="n"/>
      <c r="AG881" s="84" t="n"/>
      <c r="AH881" s="84" t="n"/>
      <c r="AI881" s="84" t="n"/>
      <c r="AJ881" s="84" t="n"/>
      <c r="AK881" s="84" t="n"/>
      <c r="AL881" s="84" t="n"/>
      <c r="AM881" s="84" t="n"/>
      <c r="AN881" s="84" t="n"/>
      <c r="AO881" s="84" t="n"/>
      <c r="AP881" s="84" t="n"/>
      <c r="AQ881" s="84" t="n"/>
      <c r="AR881" s="84" t="n"/>
    </row>
    <row r="882">
      <c r="D882" s="80" t="n"/>
      <c r="E882" s="80" t="n"/>
      <c r="F882" s="80" t="n"/>
      <c r="G882" s="80" t="n"/>
      <c r="H882" s="80" t="n"/>
      <c r="I882" s="80" t="n"/>
      <c r="J882" s="80" t="n"/>
      <c r="K882" s="80" t="n"/>
      <c r="L882" s="80" t="n"/>
      <c r="M882" s="80" t="n"/>
      <c r="N882" s="80" t="n"/>
      <c r="O882" s="80" t="n"/>
      <c r="P882" s="80" t="n"/>
      <c r="Q882" s="80" t="n"/>
      <c r="R882" s="80" t="n"/>
      <c r="S882" s="80" t="n"/>
      <c r="T882" s="80" t="n"/>
      <c r="U882" s="80" t="n"/>
      <c r="V882" s="80" t="n"/>
      <c r="W882" s="80" t="n"/>
      <c r="X882" s="80" t="n"/>
      <c r="Y882" s="80" t="n"/>
      <c r="Z882" s="80" t="n"/>
      <c r="AA882" s="80" t="n"/>
      <c r="AB882" s="80" t="n"/>
      <c r="AC882" s="80" t="n"/>
      <c r="AD882" s="80" t="n"/>
      <c r="AE882" s="80" t="n"/>
      <c r="AF882" s="80" t="n"/>
      <c r="AG882" s="80" t="n"/>
      <c r="AH882" s="80" t="n"/>
      <c r="AI882" s="80" t="n"/>
      <c r="AJ882" s="80" t="n"/>
      <c r="AK882" s="80" t="n"/>
      <c r="AL882" s="80" t="n"/>
      <c r="AM882" s="80" t="n"/>
      <c r="AN882" s="80" t="n"/>
      <c r="AO882" s="80" t="n"/>
      <c r="AP882" s="80" t="n"/>
      <c r="AQ882" s="80" t="n"/>
      <c r="AR882" s="80" t="n"/>
    </row>
    <row r="883">
      <c r="D883" s="80" t="n"/>
      <c r="E883" s="80" t="n"/>
      <c r="F883" s="80" t="n"/>
      <c r="G883" s="80" t="n"/>
      <c r="H883" s="80" t="n"/>
      <c r="I883" s="80" t="n"/>
      <c r="J883" s="80" t="n"/>
      <c r="K883" s="80" t="n"/>
      <c r="L883" s="80" t="n"/>
      <c r="M883" s="80" t="n"/>
      <c r="N883" s="80" t="n"/>
      <c r="O883" s="80" t="n"/>
      <c r="P883" s="80" t="n"/>
      <c r="Q883" s="80" t="n"/>
      <c r="R883" s="80" t="n"/>
      <c r="S883" s="80" t="n"/>
      <c r="T883" s="80" t="n"/>
      <c r="U883" s="80" t="n"/>
      <c r="V883" s="80" t="n"/>
      <c r="W883" s="80" t="n"/>
      <c r="X883" s="80" t="n"/>
      <c r="Y883" s="80" t="n"/>
      <c r="Z883" s="80" t="n"/>
      <c r="AA883" s="80" t="n"/>
      <c r="AB883" s="80" t="n"/>
      <c r="AC883" s="80" t="n"/>
      <c r="AD883" s="80" t="n"/>
      <c r="AE883" s="80" t="n"/>
      <c r="AF883" s="80" t="n"/>
      <c r="AG883" s="80" t="n"/>
      <c r="AH883" s="80" t="n"/>
      <c r="AI883" s="80" t="n"/>
      <c r="AJ883" s="80" t="n"/>
      <c r="AK883" s="80" t="n"/>
      <c r="AL883" s="80" t="n"/>
      <c r="AM883" s="80" t="n"/>
      <c r="AN883" s="80" t="n"/>
      <c r="AO883" s="80" t="n"/>
      <c r="AP883" s="80" t="n"/>
      <c r="AQ883" s="80" t="n"/>
      <c r="AR883" s="80" t="n"/>
    </row>
    <row r="884">
      <c r="D884" s="80" t="n"/>
      <c r="E884" s="80" t="n"/>
      <c r="F884" s="80" t="n"/>
      <c r="G884" s="80" t="n"/>
      <c r="H884" s="80" t="n"/>
      <c r="I884" s="80" t="n"/>
      <c r="J884" s="80" t="n"/>
      <c r="K884" s="80" t="n"/>
      <c r="L884" s="80" t="n"/>
      <c r="M884" s="80" t="n"/>
      <c r="N884" s="80" t="n"/>
      <c r="O884" s="80" t="n"/>
      <c r="P884" s="80" t="n"/>
      <c r="Q884" s="80" t="n"/>
      <c r="R884" s="80" t="n"/>
      <c r="S884" s="80" t="n"/>
      <c r="T884" s="80" t="n"/>
      <c r="U884" s="80" t="n"/>
      <c r="V884" s="80" t="n"/>
      <c r="W884" s="80" t="n"/>
      <c r="X884" s="80" t="n"/>
      <c r="Y884" s="80" t="n"/>
      <c r="Z884" s="80" t="n"/>
      <c r="AA884" s="80" t="n"/>
      <c r="AB884" s="80" t="n"/>
      <c r="AC884" s="80" t="n"/>
      <c r="AD884" s="80" t="n"/>
      <c r="AE884" s="80" t="n"/>
      <c r="AF884" s="80" t="n"/>
      <c r="AG884" s="80" t="n"/>
      <c r="AH884" s="80" t="n"/>
      <c r="AI884" s="80" t="n"/>
      <c r="AJ884" s="80" t="n"/>
      <c r="AK884" s="80" t="n"/>
      <c r="AL884" s="80" t="n"/>
      <c r="AM884" s="80" t="n"/>
      <c r="AN884" s="80" t="n"/>
      <c r="AO884" s="80" t="n"/>
      <c r="AP884" s="80" t="n"/>
      <c r="AQ884" s="80" t="n"/>
      <c r="AR884" s="80" t="n"/>
    </row>
    <row r="885">
      <c r="D885" s="80" t="n"/>
      <c r="E885" s="80" t="n"/>
      <c r="F885" s="80" t="n"/>
      <c r="G885" s="80" t="n"/>
      <c r="H885" s="80" t="n"/>
      <c r="I885" s="80" t="n"/>
      <c r="J885" s="80" t="n"/>
      <c r="K885" s="80" t="n"/>
      <c r="L885" s="80" t="n"/>
      <c r="M885" s="80" t="n"/>
      <c r="N885" s="80" t="n"/>
      <c r="O885" s="80" t="n"/>
      <c r="P885" s="80" t="n"/>
      <c r="Q885" s="80" t="n"/>
      <c r="R885" s="80" t="n"/>
      <c r="S885" s="80" t="n"/>
      <c r="T885" s="80" t="n"/>
      <c r="U885" s="80" t="n"/>
      <c r="V885" s="80" t="n"/>
      <c r="W885" s="80" t="n"/>
      <c r="X885" s="80" t="n"/>
      <c r="Y885" s="80" t="n"/>
      <c r="Z885" s="80" t="n"/>
      <c r="AA885" s="80" t="n"/>
      <c r="AB885" s="80" t="n"/>
      <c r="AC885" s="80" t="n"/>
      <c r="AD885" s="80" t="n"/>
      <c r="AE885" s="80" t="n"/>
      <c r="AF885" s="80" t="n"/>
      <c r="AG885" s="80" t="n"/>
      <c r="AH885" s="80" t="n"/>
      <c r="AI885" s="80" t="n"/>
      <c r="AJ885" s="80" t="n"/>
      <c r="AK885" s="80" t="n"/>
      <c r="AL885" s="80" t="n"/>
      <c r="AM885" s="80" t="n"/>
      <c r="AN885" s="80" t="n"/>
      <c r="AO885" s="80" t="n"/>
      <c r="AP885" s="80" t="n"/>
      <c r="AQ885" s="80" t="n"/>
      <c r="AR885" s="80" t="n"/>
    </row>
    <row r="886">
      <c r="A886" s="2">
        <f>IF($A879="","","   projections")</f>
        <v/>
      </c>
      <c r="B886" s="41">
        <f>IF($A879="",0,COUNT($E887:$AR887))</f>
        <v/>
      </c>
      <c r="C886" s="81">
        <f>IF($B886=0,0,MAX($E887:$AR887))</f>
        <v/>
      </c>
      <c r="D886" s="82">
        <f>BDS($A879,'Field Check'!$C$6,"headers=y","startcol=1","endcol=7","dir=h")</f>
        <v/>
      </c>
      <c r="E886" s="83" t="n"/>
      <c r="F886" s="83" t="n"/>
      <c r="G886" s="83" t="n"/>
      <c r="H886" s="83" t="n"/>
      <c r="I886" s="83" t="n"/>
      <c r="J886" s="83" t="n"/>
      <c r="K886" s="83" t="n"/>
      <c r="L886" s="83" t="n"/>
      <c r="M886" s="83" t="n"/>
      <c r="N886" s="83" t="n"/>
      <c r="O886" s="83" t="n"/>
      <c r="P886" s="83" t="n"/>
      <c r="Q886" s="83" t="n"/>
      <c r="R886" s="83" t="n"/>
      <c r="S886" s="83" t="n"/>
      <c r="T886" s="83" t="n"/>
      <c r="U886" s="83" t="n"/>
      <c r="V886" s="83" t="n"/>
      <c r="W886" s="83" t="n"/>
      <c r="X886" s="83" t="n"/>
      <c r="Y886" s="83" t="n"/>
      <c r="Z886" s="83" t="n"/>
      <c r="AA886" s="83" t="n"/>
      <c r="AB886" s="83" t="n"/>
      <c r="AC886" s="83" t="n"/>
      <c r="AD886" s="83" t="n"/>
      <c r="AE886" s="83" t="n"/>
      <c r="AF886" s="83" t="n"/>
      <c r="AG886" s="83" t="n"/>
      <c r="AH886" s="83" t="n"/>
      <c r="AI886" s="83" t="n"/>
      <c r="AJ886" s="83" t="n"/>
      <c r="AK886" s="83" t="n"/>
      <c r="AL886" s="83" t="n"/>
      <c r="AM886" s="83" t="n"/>
      <c r="AN886" s="83" t="n"/>
      <c r="AO886" s="83" t="n"/>
      <c r="AP886" s="83" t="n"/>
      <c r="AQ886" s="83" t="n"/>
      <c r="AR886" s="83" t="n"/>
    </row>
    <row r="887">
      <c r="D887" s="83" t="n"/>
      <c r="E887" s="83" t="n"/>
      <c r="F887" s="83" t="n"/>
      <c r="G887" s="83" t="n"/>
      <c r="H887" s="83" t="n"/>
      <c r="I887" s="83" t="n"/>
      <c r="J887" s="83" t="n"/>
      <c r="K887" s="83" t="n"/>
      <c r="L887" s="83" t="n"/>
      <c r="M887" s="83" t="n"/>
      <c r="N887" s="83" t="n"/>
      <c r="O887" s="83" t="n"/>
      <c r="P887" s="83" t="n"/>
      <c r="Q887" s="83" t="n"/>
      <c r="R887" s="83" t="n"/>
      <c r="S887" s="83" t="n"/>
      <c r="T887" s="83" t="n"/>
      <c r="U887" s="83" t="n"/>
      <c r="V887" s="83" t="n"/>
      <c r="W887" s="83" t="n"/>
      <c r="X887" s="83" t="n"/>
      <c r="Y887" s="83" t="n"/>
      <c r="Z887" s="83" t="n"/>
      <c r="AA887" s="83" t="n"/>
      <c r="AB887" s="83" t="n"/>
      <c r="AC887" s="83" t="n"/>
      <c r="AD887" s="83" t="n"/>
      <c r="AE887" s="83" t="n"/>
      <c r="AF887" s="83" t="n"/>
      <c r="AG887" s="83" t="n"/>
      <c r="AH887" s="83" t="n"/>
      <c r="AI887" s="83" t="n"/>
      <c r="AJ887" s="83" t="n"/>
      <c r="AK887" s="83" t="n"/>
      <c r="AL887" s="83" t="n"/>
      <c r="AM887" s="83" t="n"/>
      <c r="AN887" s="83" t="n"/>
      <c r="AO887" s="83" t="n"/>
      <c r="AP887" s="83" t="n"/>
      <c r="AQ887" s="83" t="n"/>
      <c r="AR887" s="83" t="n"/>
    </row>
    <row r="888">
      <c r="D888" s="84" t="n"/>
      <c r="E888" s="84" t="n"/>
      <c r="F888" s="84" t="n"/>
      <c r="G888" s="84" t="n"/>
      <c r="H888" s="84" t="n"/>
      <c r="I888" s="84" t="n"/>
      <c r="J888" s="84" t="n"/>
      <c r="K888" s="84" t="n"/>
      <c r="L888" s="84" t="n"/>
      <c r="M888" s="84" t="n"/>
      <c r="N888" s="84" t="n"/>
      <c r="O888" s="84" t="n"/>
      <c r="P888" s="84" t="n"/>
      <c r="Q888" s="84" t="n"/>
      <c r="R888" s="84" t="n"/>
      <c r="S888" s="84" t="n"/>
      <c r="T888" s="84" t="n"/>
      <c r="U888" s="84" t="n"/>
      <c r="V888" s="84" t="n"/>
      <c r="W888" s="84" t="n"/>
      <c r="X888" s="84" t="n"/>
      <c r="Y888" s="84" t="n"/>
      <c r="Z888" s="84" t="n"/>
      <c r="AA888" s="84" t="n"/>
      <c r="AB888" s="84" t="n"/>
      <c r="AC888" s="84" t="n"/>
      <c r="AD888" s="84" t="n"/>
      <c r="AE888" s="84" t="n"/>
      <c r="AF888" s="84" t="n"/>
      <c r="AG888" s="84" t="n"/>
      <c r="AH888" s="84" t="n"/>
      <c r="AI888" s="84" t="n"/>
      <c r="AJ888" s="84" t="n"/>
      <c r="AK888" s="84" t="n"/>
      <c r="AL888" s="84" t="n"/>
      <c r="AM888" s="84" t="n"/>
      <c r="AN888" s="84" t="n"/>
      <c r="AO888" s="84" t="n"/>
      <c r="AP888" s="84" t="n"/>
      <c r="AQ888" s="84" t="n"/>
      <c r="AR888" s="84" t="n"/>
    </row>
    <row r="889">
      <c r="D889" s="80" t="n"/>
      <c r="E889" s="80" t="n"/>
      <c r="F889" s="80" t="n"/>
      <c r="G889" s="80" t="n"/>
      <c r="H889" s="80" t="n"/>
      <c r="I889" s="80" t="n"/>
      <c r="J889" s="80" t="n"/>
      <c r="K889" s="80" t="n"/>
      <c r="L889" s="80" t="n"/>
      <c r="M889" s="80" t="n"/>
      <c r="N889" s="80" t="n"/>
      <c r="O889" s="80" t="n"/>
      <c r="P889" s="80" t="n"/>
      <c r="Q889" s="80" t="n"/>
      <c r="R889" s="80" t="n"/>
      <c r="S889" s="80" t="n"/>
      <c r="T889" s="80" t="n"/>
      <c r="U889" s="80" t="n"/>
      <c r="V889" s="80" t="n"/>
      <c r="W889" s="80" t="n"/>
      <c r="X889" s="80" t="n"/>
      <c r="Y889" s="80" t="n"/>
      <c r="Z889" s="80" t="n"/>
      <c r="AA889" s="80" t="n"/>
      <c r="AB889" s="80" t="n"/>
      <c r="AC889" s="80" t="n"/>
      <c r="AD889" s="80" t="n"/>
      <c r="AE889" s="80" t="n"/>
      <c r="AF889" s="80" t="n"/>
      <c r="AG889" s="80" t="n"/>
      <c r="AH889" s="80" t="n"/>
      <c r="AI889" s="80" t="n"/>
      <c r="AJ889" s="80" t="n"/>
      <c r="AK889" s="80" t="n"/>
      <c r="AL889" s="80" t="n"/>
      <c r="AM889" s="80" t="n"/>
      <c r="AN889" s="80" t="n"/>
      <c r="AO889" s="80" t="n"/>
      <c r="AP889" s="80" t="n"/>
      <c r="AQ889" s="80" t="n"/>
      <c r="AR889" s="80" t="n"/>
    </row>
    <row r="890">
      <c r="D890" s="80" t="n"/>
      <c r="E890" s="80" t="n"/>
      <c r="F890" s="80" t="n"/>
      <c r="G890" s="80" t="n"/>
      <c r="H890" s="80" t="n"/>
      <c r="I890" s="80" t="n"/>
      <c r="J890" s="80" t="n"/>
      <c r="K890" s="80" t="n"/>
      <c r="L890" s="80" t="n"/>
      <c r="M890" s="80" t="n"/>
      <c r="N890" s="80" t="n"/>
      <c r="O890" s="80" t="n"/>
      <c r="P890" s="80" t="n"/>
      <c r="Q890" s="80" t="n"/>
      <c r="R890" s="80" t="n"/>
      <c r="S890" s="80" t="n"/>
      <c r="T890" s="80" t="n"/>
      <c r="U890" s="80" t="n"/>
      <c r="V890" s="80" t="n"/>
      <c r="W890" s="80" t="n"/>
      <c r="X890" s="80" t="n"/>
      <c r="Y890" s="80" t="n"/>
      <c r="Z890" s="80" t="n"/>
      <c r="AA890" s="80" t="n"/>
      <c r="AB890" s="80" t="n"/>
      <c r="AC890" s="80" t="n"/>
      <c r="AD890" s="80" t="n"/>
      <c r="AE890" s="80" t="n"/>
      <c r="AF890" s="80" t="n"/>
      <c r="AG890" s="80" t="n"/>
      <c r="AH890" s="80" t="n"/>
      <c r="AI890" s="80" t="n"/>
      <c r="AJ890" s="80" t="n"/>
      <c r="AK890" s="80" t="n"/>
      <c r="AL890" s="80" t="n"/>
      <c r="AM890" s="80" t="n"/>
      <c r="AN890" s="80" t="n"/>
      <c r="AO890" s="80" t="n"/>
      <c r="AP890" s="80" t="n"/>
      <c r="AQ890" s="80" t="n"/>
      <c r="AR890" s="80" t="n"/>
    </row>
    <row r="891">
      <c r="D891" s="80" t="n"/>
      <c r="E891" s="80" t="n"/>
      <c r="F891" s="80" t="n"/>
      <c r="G891" s="80" t="n"/>
      <c r="H891" s="80" t="n"/>
      <c r="I891" s="80" t="n"/>
      <c r="J891" s="80" t="n"/>
      <c r="K891" s="80" t="n"/>
      <c r="L891" s="80" t="n"/>
      <c r="M891" s="80" t="n"/>
      <c r="N891" s="80" t="n"/>
      <c r="O891" s="80" t="n"/>
      <c r="P891" s="80" t="n"/>
      <c r="Q891" s="80" t="n"/>
      <c r="R891" s="80" t="n"/>
      <c r="S891" s="80" t="n"/>
      <c r="T891" s="80" t="n"/>
      <c r="U891" s="80" t="n"/>
      <c r="V891" s="80" t="n"/>
      <c r="W891" s="80" t="n"/>
      <c r="X891" s="80" t="n"/>
      <c r="Y891" s="80" t="n"/>
      <c r="Z891" s="80" t="n"/>
      <c r="AA891" s="80" t="n"/>
      <c r="AB891" s="80" t="n"/>
      <c r="AC891" s="80" t="n"/>
      <c r="AD891" s="80" t="n"/>
      <c r="AE891" s="80" t="n"/>
      <c r="AF891" s="80" t="n"/>
      <c r="AG891" s="80" t="n"/>
      <c r="AH891" s="80" t="n"/>
      <c r="AI891" s="80" t="n"/>
      <c r="AJ891" s="80" t="n"/>
      <c r="AK891" s="80" t="n"/>
      <c r="AL891" s="80" t="n"/>
      <c r="AM891" s="80" t="n"/>
      <c r="AN891" s="80" t="n"/>
      <c r="AO891" s="80" t="n"/>
      <c r="AP891" s="80" t="n"/>
      <c r="AQ891" s="80" t="n"/>
      <c r="AR891" s="80" t="n"/>
    </row>
    <row r="892">
      <c r="D892" s="80" t="n"/>
      <c r="E892" s="80" t="n"/>
      <c r="F892" s="80" t="n"/>
      <c r="G892" s="80" t="n"/>
      <c r="H892" s="80" t="n"/>
      <c r="I892" s="80" t="n"/>
      <c r="J892" s="80" t="n"/>
      <c r="K892" s="80" t="n"/>
      <c r="L892" s="80" t="n"/>
      <c r="M892" s="80" t="n"/>
      <c r="N892" s="80" t="n"/>
      <c r="O892" s="80" t="n"/>
      <c r="P892" s="80" t="n"/>
      <c r="Q892" s="80" t="n"/>
      <c r="R892" s="80" t="n"/>
      <c r="S892" s="80" t="n"/>
      <c r="T892" s="80" t="n"/>
      <c r="U892" s="80" t="n"/>
      <c r="V892" s="80" t="n"/>
      <c r="W892" s="80" t="n"/>
      <c r="X892" s="80" t="n"/>
      <c r="Y892" s="80" t="n"/>
      <c r="Z892" s="80" t="n"/>
      <c r="AA892" s="80" t="n"/>
      <c r="AB892" s="80" t="n"/>
      <c r="AC892" s="80" t="n"/>
      <c r="AD892" s="80" t="n"/>
      <c r="AE892" s="80" t="n"/>
      <c r="AF892" s="80" t="n"/>
      <c r="AG892" s="80" t="n"/>
      <c r="AH892" s="80" t="n"/>
      <c r="AI892" s="80" t="n"/>
      <c r="AJ892" s="80" t="n"/>
      <c r="AK892" s="80" t="n"/>
      <c r="AL892" s="80" t="n"/>
      <c r="AM892" s="80" t="n"/>
      <c r="AN892" s="80" t="n"/>
      <c r="AO892" s="80" t="n"/>
      <c r="AP892" s="80" t="n"/>
      <c r="AQ892" s="80" t="n"/>
      <c r="AR892" s="80" t="n"/>
    </row>
    <row r="894">
      <c r="A894" s="6">
        <f>IF(HSI!$C$66="","",HSI!$C$66)</f>
        <v/>
      </c>
      <c r="B894" s="41">
        <f>IF($A894="",0,COUNT($E895:$AR895))</f>
        <v/>
      </c>
      <c r="C894" s="81">
        <f>IF($B894=0,0,MAX($E895:$AR895))</f>
        <v/>
      </c>
      <c r="D894" s="82">
        <f>BDS($A894,'Field Check'!$C$7,"headers=y","startcol=1","endcol=7","dir=h","DVD_START_DT",Summary!$C$18,"DVD_END_DT",Summary!$D$18)</f>
        <v/>
      </c>
      <c r="E894" s="83" t="n"/>
      <c r="F894" s="83" t="n"/>
      <c r="G894" s="83" t="n"/>
      <c r="H894" s="83" t="n"/>
      <c r="I894" s="83" t="n"/>
      <c r="J894" s="83" t="n"/>
      <c r="K894" s="83" t="n"/>
      <c r="L894" s="83" t="n"/>
      <c r="M894" s="83" t="n"/>
      <c r="N894" s="83" t="n"/>
      <c r="O894" s="83" t="n"/>
      <c r="P894" s="83" t="n"/>
      <c r="Q894" s="83" t="n"/>
      <c r="R894" s="83" t="n"/>
      <c r="S894" s="83" t="n"/>
      <c r="T894" s="83" t="n"/>
      <c r="U894" s="83" t="n"/>
      <c r="V894" s="83" t="n"/>
      <c r="W894" s="83" t="n"/>
      <c r="X894" s="83" t="n"/>
      <c r="Y894" s="83" t="n"/>
      <c r="Z894" s="83" t="n"/>
      <c r="AA894" s="83" t="n"/>
      <c r="AB894" s="83" t="n"/>
      <c r="AC894" s="83" t="n"/>
      <c r="AD894" s="83" t="n"/>
      <c r="AE894" s="83" t="n"/>
      <c r="AF894" s="83" t="n"/>
      <c r="AG894" s="83" t="n"/>
      <c r="AH894" s="83" t="n"/>
      <c r="AI894" s="83" t="n"/>
      <c r="AJ894" s="83" t="n"/>
      <c r="AK894" s="83" t="n"/>
      <c r="AL894" s="83" t="n"/>
      <c r="AM894" s="83" t="n"/>
      <c r="AN894" s="83" t="n"/>
      <c r="AO894" s="83" t="n"/>
      <c r="AP894" s="83" t="n"/>
      <c r="AQ894" s="83" t="n"/>
      <c r="AR894" s="83" t="n"/>
    </row>
    <row r="895">
      <c r="D895" s="83" t="n"/>
      <c r="E895" s="83" t="n"/>
      <c r="F895" s="83" t="n"/>
      <c r="G895" s="83" t="n"/>
      <c r="H895" s="83" t="n"/>
      <c r="I895" s="83" t="n"/>
      <c r="J895" s="83" t="n"/>
      <c r="K895" s="83" t="n"/>
      <c r="L895" s="83" t="n"/>
      <c r="M895" s="83" t="n"/>
      <c r="N895" s="83" t="n"/>
      <c r="O895" s="83" t="n"/>
      <c r="P895" s="83" t="n"/>
      <c r="Q895" s="83" t="n"/>
      <c r="R895" s="83" t="n"/>
      <c r="S895" s="83" t="n"/>
      <c r="T895" s="83" t="n"/>
      <c r="U895" s="83" t="n"/>
      <c r="V895" s="83" t="n"/>
      <c r="W895" s="83" t="n"/>
      <c r="X895" s="83" t="n"/>
      <c r="Y895" s="83" t="n"/>
      <c r="Z895" s="83" t="n"/>
      <c r="AA895" s="83" t="n"/>
      <c r="AB895" s="83" t="n"/>
      <c r="AC895" s="83" t="n"/>
      <c r="AD895" s="83" t="n"/>
      <c r="AE895" s="83" t="n"/>
      <c r="AF895" s="83" t="n"/>
      <c r="AG895" s="83" t="n"/>
      <c r="AH895" s="83" t="n"/>
      <c r="AI895" s="83" t="n"/>
      <c r="AJ895" s="83" t="n"/>
      <c r="AK895" s="83" t="n"/>
      <c r="AL895" s="83" t="n"/>
      <c r="AM895" s="83" t="n"/>
      <c r="AN895" s="83" t="n"/>
      <c r="AO895" s="83" t="n"/>
      <c r="AP895" s="83" t="n"/>
      <c r="AQ895" s="83" t="n"/>
      <c r="AR895" s="83" t="n"/>
    </row>
    <row r="896">
      <c r="D896" s="84" t="n"/>
      <c r="E896" s="84" t="n"/>
      <c r="F896" s="84" t="n"/>
      <c r="G896" s="84" t="n"/>
      <c r="H896" s="84" t="n"/>
      <c r="I896" s="84" t="n"/>
      <c r="J896" s="84" t="n"/>
      <c r="K896" s="84" t="n"/>
      <c r="L896" s="84" t="n"/>
      <c r="M896" s="84" t="n"/>
      <c r="N896" s="84" t="n"/>
      <c r="O896" s="84" t="n"/>
      <c r="P896" s="84" t="n"/>
      <c r="Q896" s="84" t="n"/>
      <c r="R896" s="84" t="n"/>
      <c r="S896" s="84" t="n"/>
      <c r="T896" s="84" t="n"/>
      <c r="U896" s="84" t="n"/>
      <c r="V896" s="84" t="n"/>
      <c r="W896" s="84" t="n"/>
      <c r="X896" s="84" t="n"/>
      <c r="Y896" s="84" t="n"/>
      <c r="Z896" s="84" t="n"/>
      <c r="AA896" s="84" t="n"/>
      <c r="AB896" s="84" t="n"/>
      <c r="AC896" s="84" t="n"/>
      <c r="AD896" s="84" t="n"/>
      <c r="AE896" s="84" t="n"/>
      <c r="AF896" s="84" t="n"/>
      <c r="AG896" s="84" t="n"/>
      <c r="AH896" s="84" t="n"/>
      <c r="AI896" s="84" t="n"/>
      <c r="AJ896" s="84" t="n"/>
      <c r="AK896" s="84" t="n"/>
      <c r="AL896" s="84" t="n"/>
      <c r="AM896" s="84" t="n"/>
      <c r="AN896" s="84" t="n"/>
      <c r="AO896" s="84" t="n"/>
      <c r="AP896" s="84" t="n"/>
      <c r="AQ896" s="84" t="n"/>
      <c r="AR896" s="84" t="n"/>
    </row>
    <row r="897">
      <c r="D897" s="80" t="n"/>
      <c r="E897" s="80" t="n"/>
      <c r="F897" s="80" t="n"/>
      <c r="G897" s="80" t="n"/>
      <c r="H897" s="80" t="n"/>
      <c r="I897" s="80" t="n"/>
      <c r="J897" s="80" t="n"/>
      <c r="K897" s="80" t="n"/>
      <c r="L897" s="80" t="n"/>
      <c r="M897" s="80" t="n"/>
      <c r="N897" s="80" t="n"/>
      <c r="O897" s="80" t="n"/>
      <c r="P897" s="80" t="n"/>
      <c r="Q897" s="80" t="n"/>
      <c r="R897" s="80" t="n"/>
      <c r="S897" s="80" t="n"/>
      <c r="T897" s="80" t="n"/>
      <c r="U897" s="80" t="n"/>
      <c r="V897" s="80" t="n"/>
      <c r="W897" s="80" t="n"/>
      <c r="X897" s="80" t="n"/>
      <c r="Y897" s="80" t="n"/>
      <c r="Z897" s="80" t="n"/>
      <c r="AA897" s="80" t="n"/>
      <c r="AB897" s="80" t="n"/>
      <c r="AC897" s="80" t="n"/>
      <c r="AD897" s="80" t="n"/>
      <c r="AE897" s="80" t="n"/>
      <c r="AF897" s="80" t="n"/>
      <c r="AG897" s="80" t="n"/>
      <c r="AH897" s="80" t="n"/>
      <c r="AI897" s="80" t="n"/>
      <c r="AJ897" s="80" t="n"/>
      <c r="AK897" s="80" t="n"/>
      <c r="AL897" s="80" t="n"/>
      <c r="AM897" s="80" t="n"/>
      <c r="AN897" s="80" t="n"/>
      <c r="AO897" s="80" t="n"/>
      <c r="AP897" s="80" t="n"/>
      <c r="AQ897" s="80" t="n"/>
      <c r="AR897" s="80" t="n"/>
    </row>
    <row r="898">
      <c r="D898" s="80" t="n"/>
      <c r="E898" s="80" t="n"/>
      <c r="F898" s="80" t="n"/>
      <c r="G898" s="80" t="n"/>
      <c r="H898" s="80" t="n"/>
      <c r="I898" s="80" t="n"/>
      <c r="J898" s="80" t="n"/>
      <c r="K898" s="80" t="n"/>
      <c r="L898" s="80" t="n"/>
      <c r="M898" s="80" t="n"/>
      <c r="N898" s="80" t="n"/>
      <c r="O898" s="80" t="n"/>
      <c r="P898" s="80" t="n"/>
      <c r="Q898" s="80" t="n"/>
      <c r="R898" s="80" t="n"/>
      <c r="S898" s="80" t="n"/>
      <c r="T898" s="80" t="n"/>
      <c r="U898" s="80" t="n"/>
      <c r="V898" s="80" t="n"/>
      <c r="W898" s="80" t="n"/>
      <c r="X898" s="80" t="n"/>
      <c r="Y898" s="80" t="n"/>
      <c r="Z898" s="80" t="n"/>
      <c r="AA898" s="80" t="n"/>
      <c r="AB898" s="80" t="n"/>
      <c r="AC898" s="80" t="n"/>
      <c r="AD898" s="80" t="n"/>
      <c r="AE898" s="80" t="n"/>
      <c r="AF898" s="80" t="n"/>
      <c r="AG898" s="80" t="n"/>
      <c r="AH898" s="80" t="n"/>
      <c r="AI898" s="80" t="n"/>
      <c r="AJ898" s="80" t="n"/>
      <c r="AK898" s="80" t="n"/>
      <c r="AL898" s="80" t="n"/>
      <c r="AM898" s="80" t="n"/>
      <c r="AN898" s="80" t="n"/>
      <c r="AO898" s="80" t="n"/>
      <c r="AP898" s="80" t="n"/>
      <c r="AQ898" s="80" t="n"/>
      <c r="AR898" s="80" t="n"/>
    </row>
    <row r="899">
      <c r="D899" s="80" t="n"/>
      <c r="E899" s="80" t="n"/>
      <c r="F899" s="80" t="n"/>
      <c r="G899" s="80" t="n"/>
      <c r="H899" s="80" t="n"/>
      <c r="I899" s="80" t="n"/>
      <c r="J899" s="80" t="n"/>
      <c r="K899" s="80" t="n"/>
      <c r="L899" s="80" t="n"/>
      <c r="M899" s="80" t="n"/>
      <c r="N899" s="80" t="n"/>
      <c r="O899" s="80" t="n"/>
      <c r="P899" s="80" t="n"/>
      <c r="Q899" s="80" t="n"/>
      <c r="R899" s="80" t="n"/>
      <c r="S899" s="80" t="n"/>
      <c r="T899" s="80" t="n"/>
      <c r="U899" s="80" t="n"/>
      <c r="V899" s="80" t="n"/>
      <c r="W899" s="80" t="n"/>
      <c r="X899" s="80" t="n"/>
      <c r="Y899" s="80" t="n"/>
      <c r="Z899" s="80" t="n"/>
      <c r="AA899" s="80" t="n"/>
      <c r="AB899" s="80" t="n"/>
      <c r="AC899" s="80" t="n"/>
      <c r="AD899" s="80" t="n"/>
      <c r="AE899" s="80" t="n"/>
      <c r="AF899" s="80" t="n"/>
      <c r="AG899" s="80" t="n"/>
      <c r="AH899" s="80" t="n"/>
      <c r="AI899" s="80" t="n"/>
      <c r="AJ899" s="80" t="n"/>
      <c r="AK899" s="80" t="n"/>
      <c r="AL899" s="80" t="n"/>
      <c r="AM899" s="80" t="n"/>
      <c r="AN899" s="80" t="n"/>
      <c r="AO899" s="80" t="n"/>
      <c r="AP899" s="80" t="n"/>
      <c r="AQ899" s="80" t="n"/>
      <c r="AR899" s="80" t="n"/>
    </row>
    <row r="900">
      <c r="D900" s="80" t="n"/>
      <c r="E900" s="80" t="n"/>
      <c r="F900" s="80" t="n"/>
      <c r="G900" s="80" t="n"/>
      <c r="H900" s="80" t="n"/>
      <c r="I900" s="80" t="n"/>
      <c r="J900" s="80" t="n"/>
      <c r="K900" s="80" t="n"/>
      <c r="L900" s="80" t="n"/>
      <c r="M900" s="80" t="n"/>
      <c r="N900" s="80" t="n"/>
      <c r="O900" s="80" t="n"/>
      <c r="P900" s="80" t="n"/>
      <c r="Q900" s="80" t="n"/>
      <c r="R900" s="80" t="n"/>
      <c r="S900" s="80" t="n"/>
      <c r="T900" s="80" t="n"/>
      <c r="U900" s="80" t="n"/>
      <c r="V900" s="80" t="n"/>
      <c r="W900" s="80" t="n"/>
      <c r="X900" s="80" t="n"/>
      <c r="Y900" s="80" t="n"/>
      <c r="Z900" s="80" t="n"/>
      <c r="AA900" s="80" t="n"/>
      <c r="AB900" s="80" t="n"/>
      <c r="AC900" s="80" t="n"/>
      <c r="AD900" s="80" t="n"/>
      <c r="AE900" s="80" t="n"/>
      <c r="AF900" s="80" t="n"/>
      <c r="AG900" s="80" t="n"/>
      <c r="AH900" s="80" t="n"/>
      <c r="AI900" s="80" t="n"/>
      <c r="AJ900" s="80" t="n"/>
      <c r="AK900" s="80" t="n"/>
      <c r="AL900" s="80" t="n"/>
      <c r="AM900" s="80" t="n"/>
      <c r="AN900" s="80" t="n"/>
      <c r="AO900" s="80" t="n"/>
      <c r="AP900" s="80" t="n"/>
      <c r="AQ900" s="80" t="n"/>
      <c r="AR900" s="80" t="n"/>
    </row>
    <row r="901">
      <c r="A901" s="2">
        <f>IF($A894="","","   projections")</f>
        <v/>
      </c>
      <c r="B901" s="41">
        <f>IF($A894="",0,COUNT($E902:$AR902))</f>
        <v/>
      </c>
      <c r="C901" s="81">
        <f>IF($B901=0,0,MAX($E902:$AR902))</f>
        <v/>
      </c>
      <c r="D901" s="82">
        <f>BDS($A894,'Field Check'!$C$6,"headers=y","startcol=1","endcol=7","dir=h")</f>
        <v/>
      </c>
      <c r="E901" s="83" t="n"/>
      <c r="F901" s="83" t="n"/>
      <c r="G901" s="83" t="n"/>
      <c r="H901" s="83" t="n"/>
      <c r="I901" s="83" t="n"/>
      <c r="J901" s="83" t="n"/>
      <c r="K901" s="83" t="n"/>
      <c r="L901" s="83" t="n"/>
      <c r="M901" s="83" t="n"/>
      <c r="N901" s="83" t="n"/>
      <c r="O901" s="83" t="n"/>
      <c r="P901" s="83" t="n"/>
      <c r="Q901" s="83" t="n"/>
      <c r="R901" s="83" t="n"/>
      <c r="S901" s="83" t="n"/>
      <c r="T901" s="83" t="n"/>
      <c r="U901" s="83" t="n"/>
      <c r="V901" s="83" t="n"/>
      <c r="W901" s="83" t="n"/>
      <c r="X901" s="83" t="n"/>
      <c r="Y901" s="83" t="n"/>
      <c r="Z901" s="83" t="n"/>
      <c r="AA901" s="83" t="n"/>
      <c r="AB901" s="83" t="n"/>
      <c r="AC901" s="83" t="n"/>
      <c r="AD901" s="83" t="n"/>
      <c r="AE901" s="83" t="n"/>
      <c r="AF901" s="83" t="n"/>
      <c r="AG901" s="83" t="n"/>
      <c r="AH901" s="83" t="n"/>
      <c r="AI901" s="83" t="n"/>
      <c r="AJ901" s="83" t="n"/>
      <c r="AK901" s="83" t="n"/>
      <c r="AL901" s="83" t="n"/>
      <c r="AM901" s="83" t="n"/>
      <c r="AN901" s="83" t="n"/>
      <c r="AO901" s="83" t="n"/>
      <c r="AP901" s="83" t="n"/>
      <c r="AQ901" s="83" t="n"/>
      <c r="AR901" s="83" t="n"/>
    </row>
    <row r="902">
      <c r="D902" s="83" t="n"/>
      <c r="E902" s="83" t="n"/>
      <c r="F902" s="83" t="n"/>
      <c r="G902" s="83" t="n"/>
      <c r="H902" s="83" t="n"/>
      <c r="I902" s="83" t="n"/>
      <c r="J902" s="83" t="n"/>
      <c r="K902" s="83" t="n"/>
      <c r="L902" s="83" t="n"/>
      <c r="M902" s="83" t="n"/>
      <c r="N902" s="83" t="n"/>
      <c r="O902" s="83" t="n"/>
      <c r="P902" s="83" t="n"/>
      <c r="Q902" s="83" t="n"/>
      <c r="R902" s="83" t="n"/>
      <c r="S902" s="83" t="n"/>
      <c r="T902" s="83" t="n"/>
      <c r="U902" s="83" t="n"/>
      <c r="V902" s="83" t="n"/>
      <c r="W902" s="83" t="n"/>
      <c r="X902" s="83" t="n"/>
      <c r="Y902" s="83" t="n"/>
      <c r="Z902" s="83" t="n"/>
      <c r="AA902" s="83" t="n"/>
      <c r="AB902" s="83" t="n"/>
      <c r="AC902" s="83" t="n"/>
      <c r="AD902" s="83" t="n"/>
      <c r="AE902" s="83" t="n"/>
      <c r="AF902" s="83" t="n"/>
      <c r="AG902" s="83" t="n"/>
      <c r="AH902" s="83" t="n"/>
      <c r="AI902" s="83" t="n"/>
      <c r="AJ902" s="83" t="n"/>
      <c r="AK902" s="83" t="n"/>
      <c r="AL902" s="83" t="n"/>
      <c r="AM902" s="83" t="n"/>
      <c r="AN902" s="83" t="n"/>
      <c r="AO902" s="83" t="n"/>
      <c r="AP902" s="83" t="n"/>
      <c r="AQ902" s="83" t="n"/>
      <c r="AR902" s="83" t="n"/>
    </row>
    <row r="903">
      <c r="D903" s="84" t="n"/>
      <c r="E903" s="84" t="n"/>
      <c r="F903" s="84" t="n"/>
      <c r="G903" s="84" t="n"/>
      <c r="H903" s="84" t="n"/>
      <c r="I903" s="84" t="n"/>
      <c r="J903" s="84" t="n"/>
      <c r="K903" s="84" t="n"/>
      <c r="L903" s="84" t="n"/>
      <c r="M903" s="84" t="n"/>
      <c r="N903" s="84" t="n"/>
      <c r="O903" s="84" t="n"/>
      <c r="P903" s="84" t="n"/>
      <c r="Q903" s="84" t="n"/>
      <c r="R903" s="84" t="n"/>
      <c r="S903" s="84" t="n"/>
      <c r="T903" s="84" t="n"/>
      <c r="U903" s="84" t="n"/>
      <c r="V903" s="84" t="n"/>
      <c r="W903" s="84" t="n"/>
      <c r="X903" s="84" t="n"/>
      <c r="Y903" s="84" t="n"/>
      <c r="Z903" s="84" t="n"/>
      <c r="AA903" s="84" t="n"/>
      <c r="AB903" s="84" t="n"/>
      <c r="AC903" s="84" t="n"/>
      <c r="AD903" s="84" t="n"/>
      <c r="AE903" s="84" t="n"/>
      <c r="AF903" s="84" t="n"/>
      <c r="AG903" s="84" t="n"/>
      <c r="AH903" s="84" t="n"/>
      <c r="AI903" s="84" t="n"/>
      <c r="AJ903" s="84" t="n"/>
      <c r="AK903" s="84" t="n"/>
      <c r="AL903" s="84" t="n"/>
      <c r="AM903" s="84" t="n"/>
      <c r="AN903" s="84" t="n"/>
      <c r="AO903" s="84" t="n"/>
      <c r="AP903" s="84" t="n"/>
      <c r="AQ903" s="84" t="n"/>
      <c r="AR903" s="84" t="n"/>
    </row>
    <row r="904">
      <c r="D904" s="80" t="n"/>
      <c r="E904" s="80" t="n"/>
      <c r="F904" s="80" t="n"/>
      <c r="G904" s="80" t="n"/>
      <c r="H904" s="80" t="n"/>
      <c r="I904" s="80" t="n"/>
      <c r="J904" s="80" t="n"/>
      <c r="K904" s="80" t="n"/>
      <c r="L904" s="80" t="n"/>
      <c r="M904" s="80" t="n"/>
      <c r="N904" s="80" t="n"/>
      <c r="O904" s="80" t="n"/>
      <c r="P904" s="80" t="n"/>
      <c r="Q904" s="80" t="n"/>
      <c r="R904" s="80" t="n"/>
      <c r="S904" s="80" t="n"/>
      <c r="T904" s="80" t="n"/>
      <c r="U904" s="80" t="n"/>
      <c r="V904" s="80" t="n"/>
      <c r="W904" s="80" t="n"/>
      <c r="X904" s="80" t="n"/>
      <c r="Y904" s="80" t="n"/>
      <c r="Z904" s="80" t="n"/>
      <c r="AA904" s="80" t="n"/>
      <c r="AB904" s="80" t="n"/>
      <c r="AC904" s="80" t="n"/>
      <c r="AD904" s="80" t="n"/>
      <c r="AE904" s="80" t="n"/>
      <c r="AF904" s="80" t="n"/>
      <c r="AG904" s="80" t="n"/>
      <c r="AH904" s="80" t="n"/>
      <c r="AI904" s="80" t="n"/>
      <c r="AJ904" s="80" t="n"/>
      <c r="AK904" s="80" t="n"/>
      <c r="AL904" s="80" t="n"/>
      <c r="AM904" s="80" t="n"/>
      <c r="AN904" s="80" t="n"/>
      <c r="AO904" s="80" t="n"/>
      <c r="AP904" s="80" t="n"/>
      <c r="AQ904" s="80" t="n"/>
      <c r="AR904" s="80" t="n"/>
    </row>
    <row r="905">
      <c r="D905" s="80" t="n"/>
      <c r="E905" s="80" t="n"/>
      <c r="F905" s="80" t="n"/>
      <c r="G905" s="80" t="n"/>
      <c r="H905" s="80" t="n"/>
      <c r="I905" s="80" t="n"/>
      <c r="J905" s="80" t="n"/>
      <c r="K905" s="80" t="n"/>
      <c r="L905" s="80" t="n"/>
      <c r="M905" s="80" t="n"/>
      <c r="N905" s="80" t="n"/>
      <c r="O905" s="80" t="n"/>
      <c r="P905" s="80" t="n"/>
      <c r="Q905" s="80" t="n"/>
      <c r="R905" s="80" t="n"/>
      <c r="S905" s="80" t="n"/>
      <c r="T905" s="80" t="n"/>
      <c r="U905" s="80" t="n"/>
      <c r="V905" s="80" t="n"/>
      <c r="W905" s="80" t="n"/>
      <c r="X905" s="80" t="n"/>
      <c r="Y905" s="80" t="n"/>
      <c r="Z905" s="80" t="n"/>
      <c r="AA905" s="80" t="n"/>
      <c r="AB905" s="80" t="n"/>
      <c r="AC905" s="80" t="n"/>
      <c r="AD905" s="80" t="n"/>
      <c r="AE905" s="80" t="n"/>
      <c r="AF905" s="80" t="n"/>
      <c r="AG905" s="80" t="n"/>
      <c r="AH905" s="80" t="n"/>
      <c r="AI905" s="80" t="n"/>
      <c r="AJ905" s="80" t="n"/>
      <c r="AK905" s="80" t="n"/>
      <c r="AL905" s="80" t="n"/>
      <c r="AM905" s="80" t="n"/>
      <c r="AN905" s="80" t="n"/>
      <c r="AO905" s="80" t="n"/>
      <c r="AP905" s="80" t="n"/>
      <c r="AQ905" s="80" t="n"/>
      <c r="AR905" s="80" t="n"/>
    </row>
    <row r="906">
      <c r="D906" s="80" t="n"/>
      <c r="E906" s="80" t="n"/>
      <c r="F906" s="80" t="n"/>
      <c r="G906" s="80" t="n"/>
      <c r="H906" s="80" t="n"/>
      <c r="I906" s="80" t="n"/>
      <c r="J906" s="80" t="n"/>
      <c r="K906" s="80" t="n"/>
      <c r="L906" s="80" t="n"/>
      <c r="M906" s="80" t="n"/>
      <c r="N906" s="80" t="n"/>
      <c r="O906" s="80" t="n"/>
      <c r="P906" s="80" t="n"/>
      <c r="Q906" s="80" t="n"/>
      <c r="R906" s="80" t="n"/>
      <c r="S906" s="80" t="n"/>
      <c r="T906" s="80" t="n"/>
      <c r="U906" s="80" t="n"/>
      <c r="V906" s="80" t="n"/>
      <c r="W906" s="80" t="n"/>
      <c r="X906" s="80" t="n"/>
      <c r="Y906" s="80" t="n"/>
      <c r="Z906" s="80" t="n"/>
      <c r="AA906" s="80" t="n"/>
      <c r="AB906" s="80" t="n"/>
      <c r="AC906" s="80" t="n"/>
      <c r="AD906" s="80" t="n"/>
      <c r="AE906" s="80" t="n"/>
      <c r="AF906" s="80" t="n"/>
      <c r="AG906" s="80" t="n"/>
      <c r="AH906" s="80" t="n"/>
      <c r="AI906" s="80" t="n"/>
      <c r="AJ906" s="80" t="n"/>
      <c r="AK906" s="80" t="n"/>
      <c r="AL906" s="80" t="n"/>
      <c r="AM906" s="80" t="n"/>
      <c r="AN906" s="80" t="n"/>
      <c r="AO906" s="80" t="n"/>
      <c r="AP906" s="80" t="n"/>
      <c r="AQ906" s="80" t="n"/>
      <c r="AR906" s="80" t="n"/>
    </row>
    <row r="907">
      <c r="D907" s="80" t="n"/>
      <c r="E907" s="80" t="n"/>
      <c r="F907" s="80" t="n"/>
      <c r="G907" s="80" t="n"/>
      <c r="H907" s="80" t="n"/>
      <c r="I907" s="80" t="n"/>
      <c r="J907" s="80" t="n"/>
      <c r="K907" s="80" t="n"/>
      <c r="L907" s="80" t="n"/>
      <c r="M907" s="80" t="n"/>
      <c r="N907" s="80" t="n"/>
      <c r="O907" s="80" t="n"/>
      <c r="P907" s="80" t="n"/>
      <c r="Q907" s="80" t="n"/>
      <c r="R907" s="80" t="n"/>
      <c r="S907" s="80" t="n"/>
      <c r="T907" s="80" t="n"/>
      <c r="U907" s="80" t="n"/>
      <c r="V907" s="80" t="n"/>
      <c r="W907" s="80" t="n"/>
      <c r="X907" s="80" t="n"/>
      <c r="Y907" s="80" t="n"/>
      <c r="Z907" s="80" t="n"/>
      <c r="AA907" s="80" t="n"/>
      <c r="AB907" s="80" t="n"/>
      <c r="AC907" s="80" t="n"/>
      <c r="AD907" s="80" t="n"/>
      <c r="AE907" s="80" t="n"/>
      <c r="AF907" s="80" t="n"/>
      <c r="AG907" s="80" t="n"/>
      <c r="AH907" s="80" t="n"/>
      <c r="AI907" s="80" t="n"/>
      <c r="AJ907" s="80" t="n"/>
      <c r="AK907" s="80" t="n"/>
      <c r="AL907" s="80" t="n"/>
      <c r="AM907" s="80" t="n"/>
      <c r="AN907" s="80" t="n"/>
      <c r="AO907" s="80" t="n"/>
      <c r="AP907" s="80" t="n"/>
      <c r="AQ907" s="80" t="n"/>
      <c r="AR907" s="80" t="n"/>
    </row>
    <row r="909">
      <c r="A909" s="6">
        <f>IF(HSI!$C$67="","",HSI!$C$67)</f>
        <v/>
      </c>
      <c r="B909" s="41">
        <f>IF($A909="",0,COUNT($E910:$AR910))</f>
        <v/>
      </c>
      <c r="C909" s="81">
        <f>IF($B909=0,0,MAX($E910:$AR910))</f>
        <v/>
      </c>
      <c r="D909" s="82">
        <f>BDS($A909,'Field Check'!$C$7,"headers=y","startcol=1","endcol=7","dir=h","DVD_START_DT",Summary!$C$18,"DVD_END_DT",Summary!$D$18)</f>
        <v/>
      </c>
      <c r="E909" s="83" t="n"/>
      <c r="F909" s="83" t="n"/>
      <c r="G909" s="83" t="n"/>
      <c r="H909" s="83" t="n"/>
      <c r="I909" s="83" t="n"/>
      <c r="J909" s="83" t="n"/>
      <c r="K909" s="83" t="n"/>
      <c r="L909" s="83" t="n"/>
      <c r="M909" s="83" t="n"/>
      <c r="N909" s="83" t="n"/>
      <c r="O909" s="83" t="n"/>
      <c r="P909" s="83" t="n"/>
      <c r="Q909" s="83" t="n"/>
      <c r="R909" s="83" t="n"/>
      <c r="S909" s="83" t="n"/>
      <c r="T909" s="83" t="n"/>
      <c r="U909" s="83" t="n"/>
      <c r="V909" s="83" t="n"/>
      <c r="W909" s="83" t="n"/>
      <c r="X909" s="83" t="n"/>
      <c r="Y909" s="83" t="n"/>
      <c r="Z909" s="83" t="n"/>
      <c r="AA909" s="83" t="n"/>
      <c r="AB909" s="83" t="n"/>
      <c r="AC909" s="83" t="n"/>
      <c r="AD909" s="83" t="n"/>
      <c r="AE909" s="83" t="n"/>
      <c r="AF909" s="83" t="n"/>
      <c r="AG909" s="83" t="n"/>
      <c r="AH909" s="83" t="n"/>
      <c r="AI909" s="83" t="n"/>
      <c r="AJ909" s="83" t="n"/>
      <c r="AK909" s="83" t="n"/>
      <c r="AL909" s="83" t="n"/>
      <c r="AM909" s="83" t="n"/>
      <c r="AN909" s="83" t="n"/>
      <c r="AO909" s="83" t="n"/>
      <c r="AP909" s="83" t="n"/>
      <c r="AQ909" s="83" t="n"/>
      <c r="AR909" s="83" t="n"/>
    </row>
    <row r="910">
      <c r="D910" s="83" t="n"/>
      <c r="E910" s="83" t="n"/>
      <c r="F910" s="83" t="n"/>
      <c r="G910" s="83" t="n"/>
      <c r="H910" s="83" t="n"/>
      <c r="I910" s="83" t="n"/>
      <c r="J910" s="83" t="n"/>
      <c r="K910" s="83" t="n"/>
      <c r="L910" s="83" t="n"/>
      <c r="M910" s="83" t="n"/>
      <c r="N910" s="83" t="n"/>
      <c r="O910" s="83" t="n"/>
      <c r="P910" s="83" t="n"/>
      <c r="Q910" s="83" t="n"/>
      <c r="R910" s="83" t="n"/>
      <c r="S910" s="83" t="n"/>
      <c r="T910" s="83" t="n"/>
      <c r="U910" s="83" t="n"/>
      <c r="V910" s="83" t="n"/>
      <c r="W910" s="83" t="n"/>
      <c r="X910" s="83" t="n"/>
      <c r="Y910" s="83" t="n"/>
      <c r="Z910" s="83" t="n"/>
      <c r="AA910" s="83" t="n"/>
      <c r="AB910" s="83" t="n"/>
      <c r="AC910" s="83" t="n"/>
      <c r="AD910" s="83" t="n"/>
      <c r="AE910" s="83" t="n"/>
      <c r="AF910" s="83" t="n"/>
      <c r="AG910" s="83" t="n"/>
      <c r="AH910" s="83" t="n"/>
      <c r="AI910" s="83" t="n"/>
      <c r="AJ910" s="83" t="n"/>
      <c r="AK910" s="83" t="n"/>
      <c r="AL910" s="83" t="n"/>
      <c r="AM910" s="83" t="n"/>
      <c r="AN910" s="83" t="n"/>
      <c r="AO910" s="83" t="n"/>
      <c r="AP910" s="83" t="n"/>
      <c r="AQ910" s="83" t="n"/>
      <c r="AR910" s="83" t="n"/>
    </row>
    <row r="911">
      <c r="D911" s="84" t="n"/>
      <c r="E911" s="84" t="n"/>
      <c r="F911" s="84" t="n"/>
      <c r="G911" s="84" t="n"/>
      <c r="H911" s="84" t="n"/>
      <c r="I911" s="84" t="n"/>
      <c r="J911" s="84" t="n"/>
      <c r="K911" s="84" t="n"/>
      <c r="L911" s="84" t="n"/>
      <c r="M911" s="84" t="n"/>
      <c r="N911" s="84" t="n"/>
      <c r="O911" s="84" t="n"/>
      <c r="P911" s="84" t="n"/>
      <c r="Q911" s="84" t="n"/>
      <c r="R911" s="84" t="n"/>
      <c r="S911" s="84" t="n"/>
      <c r="T911" s="84" t="n"/>
      <c r="U911" s="84" t="n"/>
      <c r="V911" s="84" t="n"/>
      <c r="W911" s="84" t="n"/>
      <c r="X911" s="84" t="n"/>
      <c r="Y911" s="84" t="n"/>
      <c r="Z911" s="84" t="n"/>
      <c r="AA911" s="84" t="n"/>
      <c r="AB911" s="84" t="n"/>
      <c r="AC911" s="84" t="n"/>
      <c r="AD911" s="84" t="n"/>
      <c r="AE911" s="84" t="n"/>
      <c r="AF911" s="84" t="n"/>
      <c r="AG911" s="84" t="n"/>
      <c r="AH911" s="84" t="n"/>
      <c r="AI911" s="84" t="n"/>
      <c r="AJ911" s="84" t="n"/>
      <c r="AK911" s="84" t="n"/>
      <c r="AL911" s="84" t="n"/>
      <c r="AM911" s="84" t="n"/>
      <c r="AN911" s="84" t="n"/>
      <c r="AO911" s="84" t="n"/>
      <c r="AP911" s="84" t="n"/>
      <c r="AQ911" s="84" t="n"/>
      <c r="AR911" s="84" t="n"/>
    </row>
    <row r="912">
      <c r="D912" s="80" t="n"/>
      <c r="E912" s="80" t="n"/>
      <c r="F912" s="80" t="n"/>
      <c r="G912" s="80" t="n"/>
      <c r="H912" s="80" t="n"/>
      <c r="I912" s="80" t="n"/>
      <c r="J912" s="80" t="n"/>
      <c r="K912" s="80" t="n"/>
      <c r="L912" s="80" t="n"/>
      <c r="M912" s="80" t="n"/>
      <c r="N912" s="80" t="n"/>
      <c r="O912" s="80" t="n"/>
      <c r="P912" s="80" t="n"/>
      <c r="Q912" s="80" t="n"/>
      <c r="R912" s="80" t="n"/>
      <c r="S912" s="80" t="n"/>
      <c r="T912" s="80" t="n"/>
      <c r="U912" s="80" t="n"/>
      <c r="V912" s="80" t="n"/>
      <c r="W912" s="80" t="n"/>
      <c r="X912" s="80" t="n"/>
      <c r="Y912" s="80" t="n"/>
      <c r="Z912" s="80" t="n"/>
      <c r="AA912" s="80" t="n"/>
      <c r="AB912" s="80" t="n"/>
      <c r="AC912" s="80" t="n"/>
      <c r="AD912" s="80" t="n"/>
      <c r="AE912" s="80" t="n"/>
      <c r="AF912" s="80" t="n"/>
      <c r="AG912" s="80" t="n"/>
      <c r="AH912" s="80" t="n"/>
      <c r="AI912" s="80" t="n"/>
      <c r="AJ912" s="80" t="n"/>
      <c r="AK912" s="80" t="n"/>
      <c r="AL912" s="80" t="n"/>
      <c r="AM912" s="80" t="n"/>
      <c r="AN912" s="80" t="n"/>
      <c r="AO912" s="80" t="n"/>
      <c r="AP912" s="80" t="n"/>
      <c r="AQ912" s="80" t="n"/>
      <c r="AR912" s="80" t="n"/>
    </row>
    <row r="913">
      <c r="D913" s="80" t="n"/>
      <c r="E913" s="80" t="n"/>
      <c r="F913" s="80" t="n"/>
      <c r="G913" s="80" t="n"/>
      <c r="H913" s="80" t="n"/>
      <c r="I913" s="80" t="n"/>
      <c r="J913" s="80" t="n"/>
      <c r="K913" s="80" t="n"/>
      <c r="L913" s="80" t="n"/>
      <c r="M913" s="80" t="n"/>
      <c r="N913" s="80" t="n"/>
      <c r="O913" s="80" t="n"/>
      <c r="P913" s="80" t="n"/>
      <c r="Q913" s="80" t="n"/>
      <c r="R913" s="80" t="n"/>
      <c r="S913" s="80" t="n"/>
      <c r="T913" s="80" t="n"/>
      <c r="U913" s="80" t="n"/>
      <c r="V913" s="80" t="n"/>
      <c r="W913" s="80" t="n"/>
      <c r="X913" s="80" t="n"/>
      <c r="Y913" s="80" t="n"/>
      <c r="Z913" s="80" t="n"/>
      <c r="AA913" s="80" t="n"/>
      <c r="AB913" s="80" t="n"/>
      <c r="AC913" s="80" t="n"/>
      <c r="AD913" s="80" t="n"/>
      <c r="AE913" s="80" t="n"/>
      <c r="AF913" s="80" t="n"/>
      <c r="AG913" s="80" t="n"/>
      <c r="AH913" s="80" t="n"/>
      <c r="AI913" s="80" t="n"/>
      <c r="AJ913" s="80" t="n"/>
      <c r="AK913" s="80" t="n"/>
      <c r="AL913" s="80" t="n"/>
      <c r="AM913" s="80" t="n"/>
      <c r="AN913" s="80" t="n"/>
      <c r="AO913" s="80" t="n"/>
      <c r="AP913" s="80" t="n"/>
      <c r="AQ913" s="80" t="n"/>
      <c r="AR913" s="80" t="n"/>
    </row>
    <row r="914">
      <c r="D914" s="80" t="n"/>
      <c r="E914" s="80" t="n"/>
      <c r="F914" s="80" t="n"/>
      <c r="G914" s="80" t="n"/>
      <c r="H914" s="80" t="n"/>
      <c r="I914" s="80" t="n"/>
      <c r="J914" s="80" t="n"/>
      <c r="K914" s="80" t="n"/>
      <c r="L914" s="80" t="n"/>
      <c r="M914" s="80" t="n"/>
      <c r="N914" s="80" t="n"/>
      <c r="O914" s="80" t="n"/>
      <c r="P914" s="80" t="n"/>
      <c r="Q914" s="80" t="n"/>
      <c r="R914" s="80" t="n"/>
      <c r="S914" s="80" t="n"/>
      <c r="T914" s="80" t="n"/>
      <c r="U914" s="80" t="n"/>
      <c r="V914" s="80" t="n"/>
      <c r="W914" s="80" t="n"/>
      <c r="X914" s="80" t="n"/>
      <c r="Y914" s="80" t="n"/>
      <c r="Z914" s="80" t="n"/>
      <c r="AA914" s="80" t="n"/>
      <c r="AB914" s="80" t="n"/>
      <c r="AC914" s="80" t="n"/>
      <c r="AD914" s="80" t="n"/>
      <c r="AE914" s="80" t="n"/>
      <c r="AF914" s="80" t="n"/>
      <c r="AG914" s="80" t="n"/>
      <c r="AH914" s="80" t="n"/>
      <c r="AI914" s="80" t="n"/>
      <c r="AJ914" s="80" t="n"/>
      <c r="AK914" s="80" t="n"/>
      <c r="AL914" s="80" t="n"/>
      <c r="AM914" s="80" t="n"/>
      <c r="AN914" s="80" t="n"/>
      <c r="AO914" s="80" t="n"/>
      <c r="AP914" s="80" t="n"/>
      <c r="AQ914" s="80" t="n"/>
      <c r="AR914" s="80" t="n"/>
    </row>
    <row r="915">
      <c r="D915" s="80" t="n"/>
      <c r="E915" s="80" t="n"/>
      <c r="F915" s="80" t="n"/>
      <c r="G915" s="80" t="n"/>
      <c r="H915" s="80" t="n"/>
      <c r="I915" s="80" t="n"/>
      <c r="J915" s="80" t="n"/>
      <c r="K915" s="80" t="n"/>
      <c r="L915" s="80" t="n"/>
      <c r="M915" s="80" t="n"/>
      <c r="N915" s="80" t="n"/>
      <c r="O915" s="80" t="n"/>
      <c r="P915" s="80" t="n"/>
      <c r="Q915" s="80" t="n"/>
      <c r="R915" s="80" t="n"/>
      <c r="S915" s="80" t="n"/>
      <c r="T915" s="80" t="n"/>
      <c r="U915" s="80" t="n"/>
      <c r="V915" s="80" t="n"/>
      <c r="W915" s="80" t="n"/>
      <c r="X915" s="80" t="n"/>
      <c r="Y915" s="80" t="n"/>
      <c r="Z915" s="80" t="n"/>
      <c r="AA915" s="80" t="n"/>
      <c r="AB915" s="80" t="n"/>
      <c r="AC915" s="80" t="n"/>
      <c r="AD915" s="80" t="n"/>
      <c r="AE915" s="80" t="n"/>
      <c r="AF915" s="80" t="n"/>
      <c r="AG915" s="80" t="n"/>
      <c r="AH915" s="80" t="n"/>
      <c r="AI915" s="80" t="n"/>
      <c r="AJ915" s="80" t="n"/>
      <c r="AK915" s="80" t="n"/>
      <c r="AL915" s="80" t="n"/>
      <c r="AM915" s="80" t="n"/>
      <c r="AN915" s="80" t="n"/>
      <c r="AO915" s="80" t="n"/>
      <c r="AP915" s="80" t="n"/>
      <c r="AQ915" s="80" t="n"/>
      <c r="AR915" s="80" t="n"/>
    </row>
    <row r="916">
      <c r="A916" s="2">
        <f>IF($A909="","","   projections")</f>
        <v/>
      </c>
      <c r="B916" s="41">
        <f>IF($A909="",0,COUNT($E917:$AR917))</f>
        <v/>
      </c>
      <c r="C916" s="81">
        <f>IF($B916=0,0,MAX($E917:$AR917))</f>
        <v/>
      </c>
      <c r="D916" s="82">
        <f>BDS($A909,'Field Check'!$C$6,"headers=y","startcol=1","endcol=7","dir=h")</f>
        <v/>
      </c>
      <c r="E916" s="83" t="n"/>
      <c r="F916" s="83" t="n"/>
      <c r="G916" s="83" t="n"/>
      <c r="H916" s="83" t="n"/>
      <c r="I916" s="83" t="n"/>
      <c r="J916" s="83" t="n"/>
      <c r="K916" s="83" t="n"/>
      <c r="L916" s="83" t="n"/>
      <c r="M916" s="83" t="n"/>
      <c r="N916" s="83" t="n"/>
      <c r="O916" s="83" t="n"/>
      <c r="P916" s="83" t="n"/>
      <c r="Q916" s="83" t="n"/>
      <c r="R916" s="83" t="n"/>
      <c r="S916" s="83" t="n"/>
      <c r="T916" s="83" t="n"/>
      <c r="U916" s="83" t="n"/>
      <c r="V916" s="83" t="n"/>
      <c r="W916" s="83" t="n"/>
      <c r="X916" s="83" t="n"/>
      <c r="Y916" s="83" t="n"/>
      <c r="Z916" s="83" t="n"/>
      <c r="AA916" s="83" t="n"/>
      <c r="AB916" s="83" t="n"/>
      <c r="AC916" s="83" t="n"/>
      <c r="AD916" s="83" t="n"/>
      <c r="AE916" s="83" t="n"/>
      <c r="AF916" s="83" t="n"/>
      <c r="AG916" s="83" t="n"/>
      <c r="AH916" s="83" t="n"/>
      <c r="AI916" s="83" t="n"/>
      <c r="AJ916" s="83" t="n"/>
      <c r="AK916" s="83" t="n"/>
      <c r="AL916" s="83" t="n"/>
      <c r="AM916" s="83" t="n"/>
      <c r="AN916" s="83" t="n"/>
      <c r="AO916" s="83" t="n"/>
      <c r="AP916" s="83" t="n"/>
      <c r="AQ916" s="83" t="n"/>
      <c r="AR916" s="83" t="n"/>
    </row>
    <row r="917">
      <c r="D917" s="83" t="n"/>
      <c r="E917" s="83" t="n"/>
      <c r="F917" s="83" t="n"/>
      <c r="G917" s="83" t="n"/>
      <c r="H917" s="83" t="n"/>
      <c r="I917" s="83" t="n"/>
      <c r="J917" s="83" t="n"/>
      <c r="K917" s="83" t="n"/>
      <c r="L917" s="83" t="n"/>
      <c r="M917" s="83" t="n"/>
      <c r="N917" s="83" t="n"/>
      <c r="O917" s="83" t="n"/>
      <c r="P917" s="83" t="n"/>
      <c r="Q917" s="83" t="n"/>
      <c r="R917" s="83" t="n"/>
      <c r="S917" s="83" t="n"/>
      <c r="T917" s="83" t="n"/>
      <c r="U917" s="83" t="n"/>
      <c r="V917" s="83" t="n"/>
      <c r="W917" s="83" t="n"/>
      <c r="X917" s="83" t="n"/>
      <c r="Y917" s="83" t="n"/>
      <c r="Z917" s="83" t="n"/>
      <c r="AA917" s="83" t="n"/>
      <c r="AB917" s="83" t="n"/>
      <c r="AC917" s="83" t="n"/>
      <c r="AD917" s="83" t="n"/>
      <c r="AE917" s="83" t="n"/>
      <c r="AF917" s="83" t="n"/>
      <c r="AG917" s="83" t="n"/>
      <c r="AH917" s="83" t="n"/>
      <c r="AI917" s="83" t="n"/>
      <c r="AJ917" s="83" t="n"/>
      <c r="AK917" s="83" t="n"/>
      <c r="AL917" s="83" t="n"/>
      <c r="AM917" s="83" t="n"/>
      <c r="AN917" s="83" t="n"/>
      <c r="AO917" s="83" t="n"/>
      <c r="AP917" s="83" t="n"/>
      <c r="AQ917" s="83" t="n"/>
      <c r="AR917" s="83" t="n"/>
    </row>
    <row r="918">
      <c r="D918" s="84" t="n"/>
      <c r="E918" s="84" t="n"/>
      <c r="F918" s="84" t="n"/>
      <c r="G918" s="84" t="n"/>
      <c r="H918" s="84" t="n"/>
      <c r="I918" s="84" t="n"/>
      <c r="J918" s="84" t="n"/>
      <c r="K918" s="84" t="n"/>
      <c r="L918" s="84" t="n"/>
      <c r="M918" s="84" t="n"/>
      <c r="N918" s="84" t="n"/>
      <c r="O918" s="84" t="n"/>
      <c r="P918" s="84" t="n"/>
      <c r="Q918" s="84" t="n"/>
      <c r="R918" s="84" t="n"/>
      <c r="S918" s="84" t="n"/>
      <c r="T918" s="84" t="n"/>
      <c r="U918" s="84" t="n"/>
      <c r="V918" s="84" t="n"/>
      <c r="W918" s="84" t="n"/>
      <c r="X918" s="84" t="n"/>
      <c r="Y918" s="84" t="n"/>
      <c r="Z918" s="84" t="n"/>
      <c r="AA918" s="84" t="n"/>
      <c r="AB918" s="84" t="n"/>
      <c r="AC918" s="84" t="n"/>
      <c r="AD918" s="84" t="n"/>
      <c r="AE918" s="84" t="n"/>
      <c r="AF918" s="84" t="n"/>
      <c r="AG918" s="84" t="n"/>
      <c r="AH918" s="84" t="n"/>
      <c r="AI918" s="84" t="n"/>
      <c r="AJ918" s="84" t="n"/>
      <c r="AK918" s="84" t="n"/>
      <c r="AL918" s="84" t="n"/>
      <c r="AM918" s="84" t="n"/>
      <c r="AN918" s="84" t="n"/>
      <c r="AO918" s="84" t="n"/>
      <c r="AP918" s="84" t="n"/>
      <c r="AQ918" s="84" t="n"/>
      <c r="AR918" s="84" t="n"/>
    </row>
    <row r="919">
      <c r="D919" s="80" t="n"/>
      <c r="E919" s="80" t="n"/>
      <c r="F919" s="80" t="n"/>
      <c r="G919" s="80" t="n"/>
      <c r="H919" s="80" t="n"/>
      <c r="I919" s="80" t="n"/>
      <c r="J919" s="80" t="n"/>
      <c r="K919" s="80" t="n"/>
      <c r="L919" s="80" t="n"/>
      <c r="M919" s="80" t="n"/>
      <c r="N919" s="80" t="n"/>
      <c r="O919" s="80" t="n"/>
      <c r="P919" s="80" t="n"/>
      <c r="Q919" s="80" t="n"/>
      <c r="R919" s="80" t="n"/>
      <c r="S919" s="80" t="n"/>
      <c r="T919" s="80" t="n"/>
      <c r="U919" s="80" t="n"/>
      <c r="V919" s="80" t="n"/>
      <c r="W919" s="80" t="n"/>
      <c r="X919" s="80" t="n"/>
      <c r="Y919" s="80" t="n"/>
      <c r="Z919" s="80" t="n"/>
      <c r="AA919" s="80" t="n"/>
      <c r="AB919" s="80" t="n"/>
      <c r="AC919" s="80" t="n"/>
      <c r="AD919" s="80" t="n"/>
      <c r="AE919" s="80" t="n"/>
      <c r="AF919" s="80" t="n"/>
      <c r="AG919" s="80" t="n"/>
      <c r="AH919" s="80" t="n"/>
      <c r="AI919" s="80" t="n"/>
      <c r="AJ919" s="80" t="n"/>
      <c r="AK919" s="80" t="n"/>
      <c r="AL919" s="80" t="n"/>
      <c r="AM919" s="80" t="n"/>
      <c r="AN919" s="80" t="n"/>
      <c r="AO919" s="80" t="n"/>
      <c r="AP919" s="80" t="n"/>
      <c r="AQ919" s="80" t="n"/>
      <c r="AR919" s="80" t="n"/>
    </row>
    <row r="920">
      <c r="D920" s="80" t="n"/>
      <c r="E920" s="80" t="n"/>
      <c r="F920" s="80" t="n"/>
      <c r="G920" s="80" t="n"/>
      <c r="H920" s="80" t="n"/>
      <c r="I920" s="80" t="n"/>
      <c r="J920" s="80" t="n"/>
      <c r="K920" s="80" t="n"/>
      <c r="L920" s="80" t="n"/>
      <c r="M920" s="80" t="n"/>
      <c r="N920" s="80" t="n"/>
      <c r="O920" s="80" t="n"/>
      <c r="P920" s="80" t="n"/>
      <c r="Q920" s="80" t="n"/>
      <c r="R920" s="80" t="n"/>
      <c r="S920" s="80" t="n"/>
      <c r="T920" s="80" t="n"/>
      <c r="U920" s="80" t="n"/>
      <c r="V920" s="80" t="n"/>
      <c r="W920" s="80" t="n"/>
      <c r="X920" s="80" t="n"/>
      <c r="Y920" s="80" t="n"/>
      <c r="Z920" s="80" t="n"/>
      <c r="AA920" s="80" t="n"/>
      <c r="AB920" s="80" t="n"/>
      <c r="AC920" s="80" t="n"/>
      <c r="AD920" s="80" t="n"/>
      <c r="AE920" s="80" t="n"/>
      <c r="AF920" s="80" t="n"/>
      <c r="AG920" s="80" t="n"/>
      <c r="AH920" s="80" t="n"/>
      <c r="AI920" s="80" t="n"/>
      <c r="AJ920" s="80" t="n"/>
      <c r="AK920" s="80" t="n"/>
      <c r="AL920" s="80" t="n"/>
      <c r="AM920" s="80" t="n"/>
      <c r="AN920" s="80" t="n"/>
      <c r="AO920" s="80" t="n"/>
      <c r="AP920" s="80" t="n"/>
      <c r="AQ920" s="80" t="n"/>
      <c r="AR920" s="80" t="n"/>
    </row>
    <row r="921">
      <c r="D921" s="80" t="n"/>
      <c r="E921" s="80" t="n"/>
      <c r="F921" s="80" t="n"/>
      <c r="G921" s="80" t="n"/>
      <c r="H921" s="80" t="n"/>
      <c r="I921" s="80" t="n"/>
      <c r="J921" s="80" t="n"/>
      <c r="K921" s="80" t="n"/>
      <c r="L921" s="80" t="n"/>
      <c r="M921" s="80" t="n"/>
      <c r="N921" s="80" t="n"/>
      <c r="O921" s="80" t="n"/>
      <c r="P921" s="80" t="n"/>
      <c r="Q921" s="80" t="n"/>
      <c r="R921" s="80" t="n"/>
      <c r="S921" s="80" t="n"/>
      <c r="T921" s="80" t="n"/>
      <c r="U921" s="80" t="n"/>
      <c r="V921" s="80" t="n"/>
      <c r="W921" s="80" t="n"/>
      <c r="X921" s="80" t="n"/>
      <c r="Y921" s="80" t="n"/>
      <c r="Z921" s="80" t="n"/>
      <c r="AA921" s="80" t="n"/>
      <c r="AB921" s="80" t="n"/>
      <c r="AC921" s="80" t="n"/>
      <c r="AD921" s="80" t="n"/>
      <c r="AE921" s="80" t="n"/>
      <c r="AF921" s="80" t="n"/>
      <c r="AG921" s="80" t="n"/>
      <c r="AH921" s="80" t="n"/>
      <c r="AI921" s="80" t="n"/>
      <c r="AJ921" s="80" t="n"/>
      <c r="AK921" s="80" t="n"/>
      <c r="AL921" s="80" t="n"/>
      <c r="AM921" s="80" t="n"/>
      <c r="AN921" s="80" t="n"/>
      <c r="AO921" s="80" t="n"/>
      <c r="AP921" s="80" t="n"/>
      <c r="AQ921" s="80" t="n"/>
      <c r="AR921" s="80" t="n"/>
    </row>
    <row r="922">
      <c r="D922" s="80" t="n"/>
      <c r="E922" s="80" t="n"/>
      <c r="F922" s="80" t="n"/>
      <c r="G922" s="80" t="n"/>
      <c r="H922" s="80" t="n"/>
      <c r="I922" s="80" t="n"/>
      <c r="J922" s="80" t="n"/>
      <c r="K922" s="80" t="n"/>
      <c r="L922" s="80" t="n"/>
      <c r="M922" s="80" t="n"/>
      <c r="N922" s="80" t="n"/>
      <c r="O922" s="80" t="n"/>
      <c r="P922" s="80" t="n"/>
      <c r="Q922" s="80" t="n"/>
      <c r="R922" s="80" t="n"/>
      <c r="S922" s="80" t="n"/>
      <c r="T922" s="80" t="n"/>
      <c r="U922" s="80" t="n"/>
      <c r="V922" s="80" t="n"/>
      <c r="W922" s="80" t="n"/>
      <c r="X922" s="80" t="n"/>
      <c r="Y922" s="80" t="n"/>
      <c r="Z922" s="80" t="n"/>
      <c r="AA922" s="80" t="n"/>
      <c r="AB922" s="80" t="n"/>
      <c r="AC922" s="80" t="n"/>
      <c r="AD922" s="80" t="n"/>
      <c r="AE922" s="80" t="n"/>
      <c r="AF922" s="80" t="n"/>
      <c r="AG922" s="80" t="n"/>
      <c r="AH922" s="80" t="n"/>
      <c r="AI922" s="80" t="n"/>
      <c r="AJ922" s="80" t="n"/>
      <c r="AK922" s="80" t="n"/>
      <c r="AL922" s="80" t="n"/>
      <c r="AM922" s="80" t="n"/>
      <c r="AN922" s="80" t="n"/>
      <c r="AO922" s="80" t="n"/>
      <c r="AP922" s="80" t="n"/>
      <c r="AQ922" s="80" t="n"/>
      <c r="AR922" s="80" t="n"/>
    </row>
    <row r="924">
      <c r="A924" s="6">
        <f>IF(HSI!$C$68="","",HSI!$C$68)</f>
        <v/>
      </c>
      <c r="B924" s="41">
        <f>IF($A924="",0,COUNT($E925:$AR925))</f>
        <v/>
      </c>
      <c r="C924" s="81">
        <f>IF($B924=0,0,MAX($E925:$AR925))</f>
        <v/>
      </c>
      <c r="D924" s="82">
        <f>BDS($A924,'Field Check'!$C$7,"headers=y","startcol=1","endcol=7","dir=h","DVD_START_DT",Summary!$C$18,"DVD_END_DT",Summary!$D$18)</f>
        <v/>
      </c>
      <c r="E924" s="83" t="n"/>
      <c r="F924" s="83" t="n"/>
      <c r="G924" s="83" t="n"/>
      <c r="H924" s="83" t="n"/>
      <c r="I924" s="83" t="n"/>
      <c r="J924" s="83" t="n"/>
      <c r="K924" s="83" t="n"/>
      <c r="L924" s="83" t="n"/>
      <c r="M924" s="83" t="n"/>
      <c r="N924" s="83" t="n"/>
      <c r="O924" s="83" t="n"/>
      <c r="P924" s="83" t="n"/>
      <c r="Q924" s="83" t="n"/>
      <c r="R924" s="83" t="n"/>
      <c r="S924" s="83" t="n"/>
      <c r="T924" s="83" t="n"/>
      <c r="U924" s="83" t="n"/>
      <c r="V924" s="83" t="n"/>
      <c r="W924" s="83" t="n"/>
      <c r="X924" s="83" t="n"/>
      <c r="Y924" s="83" t="n"/>
      <c r="Z924" s="83" t="n"/>
      <c r="AA924" s="83" t="n"/>
      <c r="AB924" s="83" t="n"/>
      <c r="AC924" s="83" t="n"/>
      <c r="AD924" s="83" t="n"/>
      <c r="AE924" s="83" t="n"/>
      <c r="AF924" s="83" t="n"/>
      <c r="AG924" s="83" t="n"/>
      <c r="AH924" s="83" t="n"/>
      <c r="AI924" s="83" t="n"/>
      <c r="AJ924" s="83" t="n"/>
      <c r="AK924" s="83" t="n"/>
      <c r="AL924" s="83" t="n"/>
      <c r="AM924" s="83" t="n"/>
      <c r="AN924" s="83" t="n"/>
      <c r="AO924" s="83" t="n"/>
      <c r="AP924" s="83" t="n"/>
      <c r="AQ924" s="83" t="n"/>
      <c r="AR924" s="83" t="n"/>
    </row>
    <row r="925">
      <c r="D925" s="83" t="n"/>
      <c r="E925" s="83" t="n"/>
      <c r="F925" s="83" t="n"/>
      <c r="G925" s="83" t="n"/>
      <c r="H925" s="83" t="n"/>
      <c r="I925" s="83" t="n"/>
      <c r="J925" s="83" t="n"/>
      <c r="K925" s="83" t="n"/>
      <c r="L925" s="83" t="n"/>
      <c r="M925" s="83" t="n"/>
      <c r="N925" s="83" t="n"/>
      <c r="O925" s="83" t="n"/>
      <c r="P925" s="83" t="n"/>
      <c r="Q925" s="83" t="n"/>
      <c r="R925" s="83" t="n"/>
      <c r="S925" s="83" t="n"/>
      <c r="T925" s="83" t="n"/>
      <c r="U925" s="83" t="n"/>
      <c r="V925" s="83" t="n"/>
      <c r="W925" s="83" t="n"/>
      <c r="X925" s="83" t="n"/>
      <c r="Y925" s="83" t="n"/>
      <c r="Z925" s="83" t="n"/>
      <c r="AA925" s="83" t="n"/>
      <c r="AB925" s="83" t="n"/>
      <c r="AC925" s="83" t="n"/>
      <c r="AD925" s="83" t="n"/>
      <c r="AE925" s="83" t="n"/>
      <c r="AF925" s="83" t="n"/>
      <c r="AG925" s="83" t="n"/>
      <c r="AH925" s="83" t="n"/>
      <c r="AI925" s="83" t="n"/>
      <c r="AJ925" s="83" t="n"/>
      <c r="AK925" s="83" t="n"/>
      <c r="AL925" s="83" t="n"/>
      <c r="AM925" s="83" t="n"/>
      <c r="AN925" s="83" t="n"/>
      <c r="AO925" s="83" t="n"/>
      <c r="AP925" s="83" t="n"/>
      <c r="AQ925" s="83" t="n"/>
      <c r="AR925" s="83" t="n"/>
    </row>
    <row r="926">
      <c r="D926" s="84" t="n"/>
      <c r="E926" s="84" t="n"/>
      <c r="F926" s="84" t="n"/>
      <c r="G926" s="84" t="n"/>
      <c r="H926" s="84" t="n"/>
      <c r="I926" s="84" t="n"/>
      <c r="J926" s="84" t="n"/>
      <c r="K926" s="84" t="n"/>
      <c r="L926" s="84" t="n"/>
      <c r="M926" s="84" t="n"/>
      <c r="N926" s="84" t="n"/>
      <c r="O926" s="84" t="n"/>
      <c r="P926" s="84" t="n"/>
      <c r="Q926" s="84" t="n"/>
      <c r="R926" s="84" t="n"/>
      <c r="S926" s="84" t="n"/>
      <c r="T926" s="84" t="n"/>
      <c r="U926" s="84" t="n"/>
      <c r="V926" s="84" t="n"/>
      <c r="W926" s="84" t="n"/>
      <c r="X926" s="84" t="n"/>
      <c r="Y926" s="84" t="n"/>
      <c r="Z926" s="84" t="n"/>
      <c r="AA926" s="84" t="n"/>
      <c r="AB926" s="84" t="n"/>
      <c r="AC926" s="84" t="n"/>
      <c r="AD926" s="84" t="n"/>
      <c r="AE926" s="84" t="n"/>
      <c r="AF926" s="84" t="n"/>
      <c r="AG926" s="84" t="n"/>
      <c r="AH926" s="84" t="n"/>
      <c r="AI926" s="84" t="n"/>
      <c r="AJ926" s="84" t="n"/>
      <c r="AK926" s="84" t="n"/>
      <c r="AL926" s="84" t="n"/>
      <c r="AM926" s="84" t="n"/>
      <c r="AN926" s="84" t="n"/>
      <c r="AO926" s="84" t="n"/>
      <c r="AP926" s="84" t="n"/>
      <c r="AQ926" s="84" t="n"/>
      <c r="AR926" s="84" t="n"/>
    </row>
    <row r="927">
      <c r="D927" s="80" t="n"/>
      <c r="E927" s="80" t="n"/>
      <c r="F927" s="80" t="n"/>
      <c r="G927" s="80" t="n"/>
      <c r="H927" s="80" t="n"/>
      <c r="I927" s="80" t="n"/>
      <c r="J927" s="80" t="n"/>
      <c r="K927" s="80" t="n"/>
      <c r="L927" s="80" t="n"/>
      <c r="M927" s="80" t="n"/>
      <c r="N927" s="80" t="n"/>
      <c r="O927" s="80" t="n"/>
      <c r="P927" s="80" t="n"/>
      <c r="Q927" s="80" t="n"/>
      <c r="R927" s="80" t="n"/>
      <c r="S927" s="80" t="n"/>
      <c r="T927" s="80" t="n"/>
      <c r="U927" s="80" t="n"/>
      <c r="V927" s="80" t="n"/>
      <c r="W927" s="80" t="n"/>
      <c r="X927" s="80" t="n"/>
      <c r="Y927" s="80" t="n"/>
      <c r="Z927" s="80" t="n"/>
      <c r="AA927" s="80" t="n"/>
      <c r="AB927" s="80" t="n"/>
      <c r="AC927" s="80" t="n"/>
      <c r="AD927" s="80" t="n"/>
      <c r="AE927" s="80" t="n"/>
      <c r="AF927" s="80" t="n"/>
      <c r="AG927" s="80" t="n"/>
      <c r="AH927" s="80" t="n"/>
      <c r="AI927" s="80" t="n"/>
      <c r="AJ927" s="80" t="n"/>
      <c r="AK927" s="80" t="n"/>
      <c r="AL927" s="80" t="n"/>
      <c r="AM927" s="80" t="n"/>
      <c r="AN927" s="80" t="n"/>
      <c r="AO927" s="80" t="n"/>
      <c r="AP927" s="80" t="n"/>
      <c r="AQ927" s="80" t="n"/>
      <c r="AR927" s="80" t="n"/>
    </row>
    <row r="928">
      <c r="D928" s="80" t="n"/>
      <c r="E928" s="80" t="n"/>
      <c r="F928" s="80" t="n"/>
      <c r="G928" s="80" t="n"/>
      <c r="H928" s="80" t="n"/>
      <c r="I928" s="80" t="n"/>
      <c r="J928" s="80" t="n"/>
      <c r="K928" s="80" t="n"/>
      <c r="L928" s="80" t="n"/>
      <c r="M928" s="80" t="n"/>
      <c r="N928" s="80" t="n"/>
      <c r="O928" s="80" t="n"/>
      <c r="P928" s="80" t="n"/>
      <c r="Q928" s="80" t="n"/>
      <c r="R928" s="80" t="n"/>
      <c r="S928" s="80" t="n"/>
      <c r="T928" s="80" t="n"/>
      <c r="U928" s="80" t="n"/>
      <c r="V928" s="80" t="n"/>
      <c r="W928" s="80" t="n"/>
      <c r="X928" s="80" t="n"/>
      <c r="Y928" s="80" t="n"/>
      <c r="Z928" s="80" t="n"/>
      <c r="AA928" s="80" t="n"/>
      <c r="AB928" s="80" t="n"/>
      <c r="AC928" s="80" t="n"/>
      <c r="AD928" s="80" t="n"/>
      <c r="AE928" s="80" t="n"/>
      <c r="AF928" s="80" t="n"/>
      <c r="AG928" s="80" t="n"/>
      <c r="AH928" s="80" t="n"/>
      <c r="AI928" s="80" t="n"/>
      <c r="AJ928" s="80" t="n"/>
      <c r="AK928" s="80" t="n"/>
      <c r="AL928" s="80" t="n"/>
      <c r="AM928" s="80" t="n"/>
      <c r="AN928" s="80" t="n"/>
      <c r="AO928" s="80" t="n"/>
      <c r="AP928" s="80" t="n"/>
      <c r="AQ928" s="80" t="n"/>
      <c r="AR928" s="80" t="n"/>
    </row>
    <row r="929">
      <c r="D929" s="80" t="n"/>
      <c r="E929" s="80" t="n"/>
      <c r="F929" s="80" t="n"/>
      <c r="G929" s="80" t="n"/>
      <c r="H929" s="80" t="n"/>
      <c r="I929" s="80" t="n"/>
      <c r="J929" s="80" t="n"/>
      <c r="K929" s="80" t="n"/>
      <c r="L929" s="80" t="n"/>
      <c r="M929" s="80" t="n"/>
      <c r="N929" s="80" t="n"/>
      <c r="O929" s="80" t="n"/>
      <c r="P929" s="80" t="n"/>
      <c r="Q929" s="80" t="n"/>
      <c r="R929" s="80" t="n"/>
      <c r="S929" s="80" t="n"/>
      <c r="T929" s="80" t="n"/>
      <c r="U929" s="80" t="n"/>
      <c r="V929" s="80" t="n"/>
      <c r="W929" s="80" t="n"/>
      <c r="X929" s="80" t="n"/>
      <c r="Y929" s="80" t="n"/>
      <c r="Z929" s="80" t="n"/>
      <c r="AA929" s="80" t="n"/>
      <c r="AB929" s="80" t="n"/>
      <c r="AC929" s="80" t="n"/>
      <c r="AD929" s="80" t="n"/>
      <c r="AE929" s="80" t="n"/>
      <c r="AF929" s="80" t="n"/>
      <c r="AG929" s="80" t="n"/>
      <c r="AH929" s="80" t="n"/>
      <c r="AI929" s="80" t="n"/>
      <c r="AJ929" s="80" t="n"/>
      <c r="AK929" s="80" t="n"/>
      <c r="AL929" s="80" t="n"/>
      <c r="AM929" s="80" t="n"/>
      <c r="AN929" s="80" t="n"/>
      <c r="AO929" s="80" t="n"/>
      <c r="AP929" s="80" t="n"/>
      <c r="AQ929" s="80" t="n"/>
      <c r="AR929" s="80" t="n"/>
    </row>
    <row r="930">
      <c r="D930" s="80" t="n"/>
      <c r="E930" s="80" t="n"/>
      <c r="F930" s="80" t="n"/>
      <c r="G930" s="80" t="n"/>
      <c r="H930" s="80" t="n"/>
      <c r="I930" s="80" t="n"/>
      <c r="J930" s="80" t="n"/>
      <c r="K930" s="80" t="n"/>
      <c r="L930" s="80" t="n"/>
      <c r="M930" s="80" t="n"/>
      <c r="N930" s="80" t="n"/>
      <c r="O930" s="80" t="n"/>
      <c r="P930" s="80" t="n"/>
      <c r="Q930" s="80" t="n"/>
      <c r="R930" s="80" t="n"/>
      <c r="S930" s="80" t="n"/>
      <c r="T930" s="80" t="n"/>
      <c r="U930" s="80" t="n"/>
      <c r="V930" s="80" t="n"/>
      <c r="W930" s="80" t="n"/>
      <c r="X930" s="80" t="n"/>
      <c r="Y930" s="80" t="n"/>
      <c r="Z930" s="80" t="n"/>
      <c r="AA930" s="80" t="n"/>
      <c r="AB930" s="80" t="n"/>
      <c r="AC930" s="80" t="n"/>
      <c r="AD930" s="80" t="n"/>
      <c r="AE930" s="80" t="n"/>
      <c r="AF930" s="80" t="n"/>
      <c r="AG930" s="80" t="n"/>
      <c r="AH930" s="80" t="n"/>
      <c r="AI930" s="80" t="n"/>
      <c r="AJ930" s="80" t="n"/>
      <c r="AK930" s="80" t="n"/>
      <c r="AL930" s="80" t="n"/>
      <c r="AM930" s="80" t="n"/>
      <c r="AN930" s="80" t="n"/>
      <c r="AO930" s="80" t="n"/>
      <c r="AP930" s="80" t="n"/>
      <c r="AQ930" s="80" t="n"/>
      <c r="AR930" s="80" t="n"/>
    </row>
    <row r="931">
      <c r="A931" s="2">
        <f>IF($A924="","","   projections")</f>
        <v/>
      </c>
      <c r="B931" s="41">
        <f>IF($A924="",0,COUNT($E932:$AR932))</f>
        <v/>
      </c>
      <c r="C931" s="81">
        <f>IF($B931=0,0,MAX($E932:$AR932))</f>
        <v/>
      </c>
      <c r="D931" s="82">
        <f>BDS($A924,'Field Check'!$C$6,"headers=y","startcol=1","endcol=7","dir=h")</f>
        <v/>
      </c>
      <c r="E931" s="83" t="n"/>
      <c r="F931" s="83" t="n"/>
      <c r="G931" s="83" t="n"/>
      <c r="H931" s="83" t="n"/>
      <c r="I931" s="83" t="n"/>
      <c r="J931" s="83" t="n"/>
      <c r="K931" s="83" t="n"/>
      <c r="L931" s="83" t="n"/>
      <c r="M931" s="83" t="n"/>
      <c r="N931" s="83" t="n"/>
      <c r="O931" s="83" t="n"/>
      <c r="P931" s="83" t="n"/>
      <c r="Q931" s="83" t="n"/>
      <c r="R931" s="83" t="n"/>
      <c r="S931" s="83" t="n"/>
      <c r="T931" s="83" t="n"/>
      <c r="U931" s="83" t="n"/>
      <c r="V931" s="83" t="n"/>
      <c r="W931" s="83" t="n"/>
      <c r="X931" s="83" t="n"/>
      <c r="Y931" s="83" t="n"/>
      <c r="Z931" s="83" t="n"/>
      <c r="AA931" s="83" t="n"/>
      <c r="AB931" s="83" t="n"/>
      <c r="AC931" s="83" t="n"/>
      <c r="AD931" s="83" t="n"/>
      <c r="AE931" s="83" t="n"/>
      <c r="AF931" s="83" t="n"/>
      <c r="AG931" s="83" t="n"/>
      <c r="AH931" s="83" t="n"/>
      <c r="AI931" s="83" t="n"/>
      <c r="AJ931" s="83" t="n"/>
      <c r="AK931" s="83" t="n"/>
      <c r="AL931" s="83" t="n"/>
      <c r="AM931" s="83" t="n"/>
      <c r="AN931" s="83" t="n"/>
      <c r="AO931" s="83" t="n"/>
      <c r="AP931" s="83" t="n"/>
      <c r="AQ931" s="83" t="n"/>
      <c r="AR931" s="83" t="n"/>
    </row>
    <row r="932">
      <c r="D932" s="83" t="n"/>
      <c r="E932" s="83" t="n"/>
      <c r="F932" s="83" t="n"/>
      <c r="G932" s="83" t="n"/>
      <c r="H932" s="83" t="n"/>
      <c r="I932" s="83" t="n"/>
      <c r="J932" s="83" t="n"/>
      <c r="K932" s="83" t="n"/>
      <c r="L932" s="83" t="n"/>
      <c r="M932" s="83" t="n"/>
      <c r="N932" s="83" t="n"/>
      <c r="O932" s="83" t="n"/>
      <c r="P932" s="83" t="n"/>
      <c r="Q932" s="83" t="n"/>
      <c r="R932" s="83" t="n"/>
      <c r="S932" s="83" t="n"/>
      <c r="T932" s="83" t="n"/>
      <c r="U932" s="83" t="n"/>
      <c r="V932" s="83" t="n"/>
      <c r="W932" s="83" t="n"/>
      <c r="X932" s="83" t="n"/>
      <c r="Y932" s="83" t="n"/>
      <c r="Z932" s="83" t="n"/>
      <c r="AA932" s="83" t="n"/>
      <c r="AB932" s="83" t="n"/>
      <c r="AC932" s="83" t="n"/>
      <c r="AD932" s="83" t="n"/>
      <c r="AE932" s="83" t="n"/>
      <c r="AF932" s="83" t="n"/>
      <c r="AG932" s="83" t="n"/>
      <c r="AH932" s="83" t="n"/>
      <c r="AI932" s="83" t="n"/>
      <c r="AJ932" s="83" t="n"/>
      <c r="AK932" s="83" t="n"/>
      <c r="AL932" s="83" t="n"/>
      <c r="AM932" s="83" t="n"/>
      <c r="AN932" s="83" t="n"/>
      <c r="AO932" s="83" t="n"/>
      <c r="AP932" s="83" t="n"/>
      <c r="AQ932" s="83" t="n"/>
      <c r="AR932" s="83" t="n"/>
    </row>
    <row r="933">
      <c r="D933" s="84" t="n"/>
      <c r="E933" s="84" t="n"/>
      <c r="F933" s="84" t="n"/>
      <c r="G933" s="84" t="n"/>
      <c r="H933" s="84" t="n"/>
      <c r="I933" s="84" t="n"/>
      <c r="J933" s="84" t="n"/>
      <c r="K933" s="84" t="n"/>
      <c r="L933" s="84" t="n"/>
      <c r="M933" s="84" t="n"/>
      <c r="N933" s="84" t="n"/>
      <c r="O933" s="84" t="n"/>
      <c r="P933" s="84" t="n"/>
      <c r="Q933" s="84" t="n"/>
      <c r="R933" s="84" t="n"/>
      <c r="S933" s="84" t="n"/>
      <c r="T933" s="84" t="n"/>
      <c r="U933" s="84" t="n"/>
      <c r="V933" s="84" t="n"/>
      <c r="W933" s="84" t="n"/>
      <c r="X933" s="84" t="n"/>
      <c r="Y933" s="84" t="n"/>
      <c r="Z933" s="84" t="n"/>
      <c r="AA933" s="84" t="n"/>
      <c r="AB933" s="84" t="n"/>
      <c r="AC933" s="84" t="n"/>
      <c r="AD933" s="84" t="n"/>
      <c r="AE933" s="84" t="n"/>
      <c r="AF933" s="84" t="n"/>
      <c r="AG933" s="84" t="n"/>
      <c r="AH933" s="84" t="n"/>
      <c r="AI933" s="84" t="n"/>
      <c r="AJ933" s="84" t="n"/>
      <c r="AK933" s="84" t="n"/>
      <c r="AL933" s="84" t="n"/>
      <c r="AM933" s="84" t="n"/>
      <c r="AN933" s="84" t="n"/>
      <c r="AO933" s="84" t="n"/>
      <c r="AP933" s="84" t="n"/>
      <c r="AQ933" s="84" t="n"/>
      <c r="AR933" s="84" t="n"/>
    </row>
    <row r="934">
      <c r="D934" s="80" t="n"/>
      <c r="E934" s="80" t="n"/>
      <c r="F934" s="80" t="n"/>
      <c r="G934" s="80" t="n"/>
      <c r="H934" s="80" t="n"/>
      <c r="I934" s="80" t="n"/>
      <c r="J934" s="80" t="n"/>
      <c r="K934" s="80" t="n"/>
      <c r="L934" s="80" t="n"/>
      <c r="M934" s="80" t="n"/>
      <c r="N934" s="80" t="n"/>
      <c r="O934" s="80" t="n"/>
      <c r="P934" s="80" t="n"/>
      <c r="Q934" s="80" t="n"/>
      <c r="R934" s="80" t="n"/>
      <c r="S934" s="80" t="n"/>
      <c r="T934" s="80" t="n"/>
      <c r="U934" s="80" t="n"/>
      <c r="V934" s="80" t="n"/>
      <c r="W934" s="80" t="n"/>
      <c r="X934" s="80" t="n"/>
      <c r="Y934" s="80" t="n"/>
      <c r="Z934" s="80" t="n"/>
      <c r="AA934" s="80" t="n"/>
      <c r="AB934" s="80" t="n"/>
      <c r="AC934" s="80" t="n"/>
      <c r="AD934" s="80" t="n"/>
      <c r="AE934" s="80" t="n"/>
      <c r="AF934" s="80" t="n"/>
      <c r="AG934" s="80" t="n"/>
      <c r="AH934" s="80" t="n"/>
      <c r="AI934" s="80" t="n"/>
      <c r="AJ934" s="80" t="n"/>
      <c r="AK934" s="80" t="n"/>
      <c r="AL934" s="80" t="n"/>
      <c r="AM934" s="80" t="n"/>
      <c r="AN934" s="80" t="n"/>
      <c r="AO934" s="80" t="n"/>
      <c r="AP934" s="80" t="n"/>
      <c r="AQ934" s="80" t="n"/>
      <c r="AR934" s="80" t="n"/>
    </row>
    <row r="935">
      <c r="D935" s="80" t="n"/>
      <c r="E935" s="80" t="n"/>
      <c r="F935" s="80" t="n"/>
      <c r="G935" s="80" t="n"/>
      <c r="H935" s="80" t="n"/>
      <c r="I935" s="80" t="n"/>
      <c r="J935" s="80" t="n"/>
      <c r="K935" s="80" t="n"/>
      <c r="L935" s="80" t="n"/>
      <c r="M935" s="80" t="n"/>
      <c r="N935" s="80" t="n"/>
      <c r="O935" s="80" t="n"/>
      <c r="P935" s="80" t="n"/>
      <c r="Q935" s="80" t="n"/>
      <c r="R935" s="80" t="n"/>
      <c r="S935" s="80" t="n"/>
      <c r="T935" s="80" t="n"/>
      <c r="U935" s="80" t="n"/>
      <c r="V935" s="80" t="n"/>
      <c r="W935" s="80" t="n"/>
      <c r="X935" s="80" t="n"/>
      <c r="Y935" s="80" t="n"/>
      <c r="Z935" s="80" t="n"/>
      <c r="AA935" s="80" t="n"/>
      <c r="AB935" s="80" t="n"/>
      <c r="AC935" s="80" t="n"/>
      <c r="AD935" s="80" t="n"/>
      <c r="AE935" s="80" t="n"/>
      <c r="AF935" s="80" t="n"/>
      <c r="AG935" s="80" t="n"/>
      <c r="AH935" s="80" t="n"/>
      <c r="AI935" s="80" t="n"/>
      <c r="AJ935" s="80" t="n"/>
      <c r="AK935" s="80" t="n"/>
      <c r="AL935" s="80" t="n"/>
      <c r="AM935" s="80" t="n"/>
      <c r="AN935" s="80" t="n"/>
      <c r="AO935" s="80" t="n"/>
      <c r="AP935" s="80" t="n"/>
      <c r="AQ935" s="80" t="n"/>
      <c r="AR935" s="80" t="n"/>
    </row>
    <row r="936">
      <c r="D936" s="80" t="n"/>
      <c r="E936" s="80" t="n"/>
      <c r="F936" s="80" t="n"/>
      <c r="G936" s="80" t="n"/>
      <c r="H936" s="80" t="n"/>
      <c r="I936" s="80" t="n"/>
      <c r="J936" s="80" t="n"/>
      <c r="K936" s="80" t="n"/>
      <c r="L936" s="80" t="n"/>
      <c r="M936" s="80" t="n"/>
      <c r="N936" s="80" t="n"/>
      <c r="O936" s="80" t="n"/>
      <c r="P936" s="80" t="n"/>
      <c r="Q936" s="80" t="n"/>
      <c r="R936" s="80" t="n"/>
      <c r="S936" s="80" t="n"/>
      <c r="T936" s="80" t="n"/>
      <c r="U936" s="80" t="n"/>
      <c r="V936" s="80" t="n"/>
      <c r="W936" s="80" t="n"/>
      <c r="X936" s="80" t="n"/>
      <c r="Y936" s="80" t="n"/>
      <c r="Z936" s="80" t="n"/>
      <c r="AA936" s="80" t="n"/>
      <c r="AB936" s="80" t="n"/>
      <c r="AC936" s="80" t="n"/>
      <c r="AD936" s="80" t="n"/>
      <c r="AE936" s="80" t="n"/>
      <c r="AF936" s="80" t="n"/>
      <c r="AG936" s="80" t="n"/>
      <c r="AH936" s="80" t="n"/>
      <c r="AI936" s="80" t="n"/>
      <c r="AJ936" s="80" t="n"/>
      <c r="AK936" s="80" t="n"/>
      <c r="AL936" s="80" t="n"/>
      <c r="AM936" s="80" t="n"/>
      <c r="AN936" s="80" t="n"/>
      <c r="AO936" s="80" t="n"/>
      <c r="AP936" s="80" t="n"/>
      <c r="AQ936" s="80" t="n"/>
      <c r="AR936" s="80" t="n"/>
    </row>
    <row r="937">
      <c r="D937" s="80" t="n"/>
      <c r="E937" s="80" t="n"/>
      <c r="F937" s="80" t="n"/>
      <c r="G937" s="80" t="n"/>
      <c r="H937" s="80" t="n"/>
      <c r="I937" s="80" t="n"/>
      <c r="J937" s="80" t="n"/>
      <c r="K937" s="80" t="n"/>
      <c r="L937" s="80" t="n"/>
      <c r="M937" s="80" t="n"/>
      <c r="N937" s="80" t="n"/>
      <c r="O937" s="80" t="n"/>
      <c r="P937" s="80" t="n"/>
      <c r="Q937" s="80" t="n"/>
      <c r="R937" s="80" t="n"/>
      <c r="S937" s="80" t="n"/>
      <c r="T937" s="80" t="n"/>
      <c r="U937" s="80" t="n"/>
      <c r="V937" s="80" t="n"/>
      <c r="W937" s="80" t="n"/>
      <c r="X937" s="80" t="n"/>
      <c r="Y937" s="80" t="n"/>
      <c r="Z937" s="80" t="n"/>
      <c r="AA937" s="80" t="n"/>
      <c r="AB937" s="80" t="n"/>
      <c r="AC937" s="80" t="n"/>
      <c r="AD937" s="80" t="n"/>
      <c r="AE937" s="80" t="n"/>
      <c r="AF937" s="80" t="n"/>
      <c r="AG937" s="80" t="n"/>
      <c r="AH937" s="80" t="n"/>
      <c r="AI937" s="80" t="n"/>
      <c r="AJ937" s="80" t="n"/>
      <c r="AK937" s="80" t="n"/>
      <c r="AL937" s="80" t="n"/>
      <c r="AM937" s="80" t="n"/>
      <c r="AN937" s="80" t="n"/>
      <c r="AO937" s="80" t="n"/>
      <c r="AP937" s="80" t="n"/>
      <c r="AQ937" s="80" t="n"/>
      <c r="AR937" s="80" t="n"/>
    </row>
    <row r="939">
      <c r="A939" s="6">
        <f>IF(HSI!$C$69="","",HSI!$C$69)</f>
        <v/>
      </c>
      <c r="B939" s="41">
        <f>IF($A939="",0,COUNT($E940:$AR940))</f>
        <v/>
      </c>
      <c r="C939" s="81">
        <f>IF($B939=0,0,MAX($E940:$AR940))</f>
        <v/>
      </c>
      <c r="D939" s="82">
        <f>BDS($A939,'Field Check'!$C$7,"headers=y","startcol=1","endcol=7","dir=h","DVD_START_DT",Summary!$C$18,"DVD_END_DT",Summary!$D$18)</f>
        <v/>
      </c>
      <c r="E939" s="83" t="n"/>
      <c r="F939" s="83" t="n"/>
      <c r="G939" s="83" t="n"/>
      <c r="H939" s="83" t="n"/>
      <c r="I939" s="83" t="n"/>
      <c r="J939" s="83" t="n"/>
      <c r="K939" s="83" t="n"/>
      <c r="L939" s="83" t="n"/>
      <c r="M939" s="83" t="n"/>
      <c r="N939" s="83" t="n"/>
      <c r="O939" s="83" t="n"/>
      <c r="P939" s="83" t="n"/>
      <c r="Q939" s="83" t="n"/>
      <c r="R939" s="83" t="n"/>
      <c r="S939" s="83" t="n"/>
      <c r="T939" s="83" t="n"/>
      <c r="U939" s="83" t="n"/>
      <c r="V939" s="83" t="n"/>
      <c r="W939" s="83" t="n"/>
      <c r="X939" s="83" t="n"/>
      <c r="Y939" s="83" t="n"/>
      <c r="Z939" s="83" t="n"/>
      <c r="AA939" s="83" t="n"/>
      <c r="AB939" s="83" t="n"/>
      <c r="AC939" s="83" t="n"/>
      <c r="AD939" s="83" t="n"/>
      <c r="AE939" s="83" t="n"/>
      <c r="AF939" s="83" t="n"/>
      <c r="AG939" s="83" t="n"/>
      <c r="AH939" s="83" t="n"/>
      <c r="AI939" s="83" t="n"/>
      <c r="AJ939" s="83" t="n"/>
      <c r="AK939" s="83" t="n"/>
      <c r="AL939" s="83" t="n"/>
      <c r="AM939" s="83" t="n"/>
      <c r="AN939" s="83" t="n"/>
      <c r="AO939" s="83" t="n"/>
      <c r="AP939" s="83" t="n"/>
      <c r="AQ939" s="83" t="n"/>
      <c r="AR939" s="83" t="n"/>
    </row>
    <row r="940">
      <c r="D940" s="83" t="n"/>
      <c r="E940" s="83" t="n"/>
      <c r="F940" s="83" t="n"/>
      <c r="G940" s="83" t="n"/>
      <c r="H940" s="83" t="n"/>
      <c r="I940" s="83" t="n"/>
      <c r="J940" s="83" t="n"/>
      <c r="K940" s="83" t="n"/>
      <c r="L940" s="83" t="n"/>
      <c r="M940" s="83" t="n"/>
      <c r="N940" s="83" t="n"/>
      <c r="O940" s="83" t="n"/>
      <c r="P940" s="83" t="n"/>
      <c r="Q940" s="83" t="n"/>
      <c r="R940" s="83" t="n"/>
      <c r="S940" s="83" t="n"/>
      <c r="T940" s="83" t="n"/>
      <c r="U940" s="83" t="n"/>
      <c r="V940" s="83" t="n"/>
      <c r="W940" s="83" t="n"/>
      <c r="X940" s="83" t="n"/>
      <c r="Y940" s="83" t="n"/>
      <c r="Z940" s="83" t="n"/>
      <c r="AA940" s="83" t="n"/>
      <c r="AB940" s="83" t="n"/>
      <c r="AC940" s="83" t="n"/>
      <c r="AD940" s="83" t="n"/>
      <c r="AE940" s="83" t="n"/>
      <c r="AF940" s="83" t="n"/>
      <c r="AG940" s="83" t="n"/>
      <c r="AH940" s="83" t="n"/>
      <c r="AI940" s="83" t="n"/>
      <c r="AJ940" s="83" t="n"/>
      <c r="AK940" s="83" t="n"/>
      <c r="AL940" s="83" t="n"/>
      <c r="AM940" s="83" t="n"/>
      <c r="AN940" s="83" t="n"/>
      <c r="AO940" s="83" t="n"/>
      <c r="AP940" s="83" t="n"/>
      <c r="AQ940" s="83" t="n"/>
      <c r="AR940" s="83" t="n"/>
    </row>
    <row r="941">
      <c r="D941" s="84" t="n"/>
      <c r="E941" s="84" t="n"/>
      <c r="F941" s="84" t="n"/>
      <c r="G941" s="84" t="n"/>
      <c r="H941" s="84" t="n"/>
      <c r="I941" s="84" t="n"/>
      <c r="J941" s="84" t="n"/>
      <c r="K941" s="84" t="n"/>
      <c r="L941" s="84" t="n"/>
      <c r="M941" s="84" t="n"/>
      <c r="N941" s="84" t="n"/>
      <c r="O941" s="84" t="n"/>
      <c r="P941" s="84" t="n"/>
      <c r="Q941" s="84" t="n"/>
      <c r="R941" s="84" t="n"/>
      <c r="S941" s="84" t="n"/>
      <c r="T941" s="84" t="n"/>
      <c r="U941" s="84" t="n"/>
      <c r="V941" s="84" t="n"/>
      <c r="W941" s="84" t="n"/>
      <c r="X941" s="84" t="n"/>
      <c r="Y941" s="84" t="n"/>
      <c r="Z941" s="84" t="n"/>
      <c r="AA941" s="84" t="n"/>
      <c r="AB941" s="84" t="n"/>
      <c r="AC941" s="84" t="n"/>
      <c r="AD941" s="84" t="n"/>
      <c r="AE941" s="84" t="n"/>
      <c r="AF941" s="84" t="n"/>
      <c r="AG941" s="84" t="n"/>
      <c r="AH941" s="84" t="n"/>
      <c r="AI941" s="84" t="n"/>
      <c r="AJ941" s="84" t="n"/>
      <c r="AK941" s="84" t="n"/>
      <c r="AL941" s="84" t="n"/>
      <c r="AM941" s="84" t="n"/>
      <c r="AN941" s="84" t="n"/>
      <c r="AO941" s="84" t="n"/>
      <c r="AP941" s="84" t="n"/>
      <c r="AQ941" s="84" t="n"/>
      <c r="AR941" s="84" t="n"/>
    </row>
    <row r="942">
      <c r="D942" s="80" t="n"/>
      <c r="E942" s="80" t="n"/>
      <c r="F942" s="80" t="n"/>
      <c r="G942" s="80" t="n"/>
      <c r="H942" s="80" t="n"/>
      <c r="I942" s="80" t="n"/>
      <c r="J942" s="80" t="n"/>
      <c r="K942" s="80" t="n"/>
      <c r="L942" s="80" t="n"/>
      <c r="M942" s="80" t="n"/>
      <c r="N942" s="80" t="n"/>
      <c r="O942" s="80" t="n"/>
      <c r="P942" s="80" t="n"/>
      <c r="Q942" s="80" t="n"/>
      <c r="R942" s="80" t="n"/>
      <c r="S942" s="80" t="n"/>
      <c r="T942" s="80" t="n"/>
      <c r="U942" s="80" t="n"/>
      <c r="V942" s="80" t="n"/>
      <c r="W942" s="80" t="n"/>
      <c r="X942" s="80" t="n"/>
      <c r="Y942" s="80" t="n"/>
      <c r="Z942" s="80" t="n"/>
      <c r="AA942" s="80" t="n"/>
      <c r="AB942" s="80" t="n"/>
      <c r="AC942" s="80" t="n"/>
      <c r="AD942" s="80" t="n"/>
      <c r="AE942" s="80" t="n"/>
      <c r="AF942" s="80" t="n"/>
      <c r="AG942" s="80" t="n"/>
      <c r="AH942" s="80" t="n"/>
      <c r="AI942" s="80" t="n"/>
      <c r="AJ942" s="80" t="n"/>
      <c r="AK942" s="80" t="n"/>
      <c r="AL942" s="80" t="n"/>
      <c r="AM942" s="80" t="n"/>
      <c r="AN942" s="80" t="n"/>
      <c r="AO942" s="80" t="n"/>
      <c r="AP942" s="80" t="n"/>
      <c r="AQ942" s="80" t="n"/>
      <c r="AR942" s="80" t="n"/>
    </row>
    <row r="943">
      <c r="D943" s="80" t="n"/>
      <c r="E943" s="80" t="n"/>
      <c r="F943" s="80" t="n"/>
      <c r="G943" s="80" t="n"/>
      <c r="H943" s="80" t="n"/>
      <c r="I943" s="80" t="n"/>
      <c r="J943" s="80" t="n"/>
      <c r="K943" s="80" t="n"/>
      <c r="L943" s="80" t="n"/>
      <c r="M943" s="80" t="n"/>
      <c r="N943" s="80" t="n"/>
      <c r="O943" s="80" t="n"/>
      <c r="P943" s="80" t="n"/>
      <c r="Q943" s="80" t="n"/>
      <c r="R943" s="80" t="n"/>
      <c r="S943" s="80" t="n"/>
      <c r="T943" s="80" t="n"/>
      <c r="U943" s="80" t="n"/>
      <c r="V943" s="80" t="n"/>
      <c r="W943" s="80" t="n"/>
      <c r="X943" s="80" t="n"/>
      <c r="Y943" s="80" t="n"/>
      <c r="Z943" s="80" t="n"/>
      <c r="AA943" s="80" t="n"/>
      <c r="AB943" s="80" t="n"/>
      <c r="AC943" s="80" t="n"/>
      <c r="AD943" s="80" t="n"/>
      <c r="AE943" s="80" t="n"/>
      <c r="AF943" s="80" t="n"/>
      <c r="AG943" s="80" t="n"/>
      <c r="AH943" s="80" t="n"/>
      <c r="AI943" s="80" t="n"/>
      <c r="AJ943" s="80" t="n"/>
      <c r="AK943" s="80" t="n"/>
      <c r="AL943" s="80" t="n"/>
      <c r="AM943" s="80" t="n"/>
      <c r="AN943" s="80" t="n"/>
      <c r="AO943" s="80" t="n"/>
      <c r="AP943" s="80" t="n"/>
      <c r="AQ943" s="80" t="n"/>
      <c r="AR943" s="80" t="n"/>
    </row>
    <row r="944">
      <c r="D944" s="80" t="n"/>
      <c r="E944" s="80" t="n"/>
      <c r="F944" s="80" t="n"/>
      <c r="G944" s="80" t="n"/>
      <c r="H944" s="80" t="n"/>
      <c r="I944" s="80" t="n"/>
      <c r="J944" s="80" t="n"/>
      <c r="K944" s="80" t="n"/>
      <c r="L944" s="80" t="n"/>
      <c r="M944" s="80" t="n"/>
      <c r="N944" s="80" t="n"/>
      <c r="O944" s="80" t="n"/>
      <c r="P944" s="80" t="n"/>
      <c r="Q944" s="80" t="n"/>
      <c r="R944" s="80" t="n"/>
      <c r="S944" s="80" t="n"/>
      <c r="T944" s="80" t="n"/>
      <c r="U944" s="80" t="n"/>
      <c r="V944" s="80" t="n"/>
      <c r="W944" s="80" t="n"/>
      <c r="X944" s="80" t="n"/>
      <c r="Y944" s="80" t="n"/>
      <c r="Z944" s="80" t="n"/>
      <c r="AA944" s="80" t="n"/>
      <c r="AB944" s="80" t="n"/>
      <c r="AC944" s="80" t="n"/>
      <c r="AD944" s="80" t="n"/>
      <c r="AE944" s="80" t="n"/>
      <c r="AF944" s="80" t="n"/>
      <c r="AG944" s="80" t="n"/>
      <c r="AH944" s="80" t="n"/>
      <c r="AI944" s="80" t="n"/>
      <c r="AJ944" s="80" t="n"/>
      <c r="AK944" s="80" t="n"/>
      <c r="AL944" s="80" t="n"/>
      <c r="AM944" s="80" t="n"/>
      <c r="AN944" s="80" t="n"/>
      <c r="AO944" s="80" t="n"/>
      <c r="AP944" s="80" t="n"/>
      <c r="AQ944" s="80" t="n"/>
      <c r="AR944" s="80" t="n"/>
    </row>
    <row r="945">
      <c r="D945" s="80" t="n"/>
      <c r="E945" s="80" t="n"/>
      <c r="F945" s="80" t="n"/>
      <c r="G945" s="80" t="n"/>
      <c r="H945" s="80" t="n"/>
      <c r="I945" s="80" t="n"/>
      <c r="J945" s="80" t="n"/>
      <c r="K945" s="80" t="n"/>
      <c r="L945" s="80" t="n"/>
      <c r="M945" s="80" t="n"/>
      <c r="N945" s="80" t="n"/>
      <c r="O945" s="80" t="n"/>
      <c r="P945" s="80" t="n"/>
      <c r="Q945" s="80" t="n"/>
      <c r="R945" s="80" t="n"/>
      <c r="S945" s="80" t="n"/>
      <c r="T945" s="80" t="n"/>
      <c r="U945" s="80" t="n"/>
      <c r="V945" s="80" t="n"/>
      <c r="W945" s="80" t="n"/>
      <c r="X945" s="80" t="n"/>
      <c r="Y945" s="80" t="n"/>
      <c r="Z945" s="80" t="n"/>
      <c r="AA945" s="80" t="n"/>
      <c r="AB945" s="80" t="n"/>
      <c r="AC945" s="80" t="n"/>
      <c r="AD945" s="80" t="n"/>
      <c r="AE945" s="80" t="n"/>
      <c r="AF945" s="80" t="n"/>
      <c r="AG945" s="80" t="n"/>
      <c r="AH945" s="80" t="n"/>
      <c r="AI945" s="80" t="n"/>
      <c r="AJ945" s="80" t="n"/>
      <c r="AK945" s="80" t="n"/>
      <c r="AL945" s="80" t="n"/>
      <c r="AM945" s="80" t="n"/>
      <c r="AN945" s="80" t="n"/>
      <c r="AO945" s="80" t="n"/>
      <c r="AP945" s="80" t="n"/>
      <c r="AQ945" s="80" t="n"/>
      <c r="AR945" s="80" t="n"/>
    </row>
    <row r="946">
      <c r="A946" s="2">
        <f>IF($A939="","","   projections")</f>
        <v/>
      </c>
      <c r="B946" s="41">
        <f>IF($A939="",0,COUNT($E947:$AR947))</f>
        <v/>
      </c>
      <c r="C946" s="81">
        <f>IF($B946=0,0,MAX($E947:$AR947))</f>
        <v/>
      </c>
      <c r="D946" s="82">
        <f>BDS($A939,'Field Check'!$C$6,"headers=y","startcol=1","endcol=7","dir=h")</f>
        <v/>
      </c>
      <c r="E946" s="83" t="n"/>
      <c r="F946" s="83" t="n"/>
      <c r="G946" s="83" t="n"/>
      <c r="H946" s="83" t="n"/>
      <c r="I946" s="83" t="n"/>
      <c r="J946" s="83" t="n"/>
      <c r="K946" s="83" t="n"/>
      <c r="L946" s="83" t="n"/>
      <c r="M946" s="83" t="n"/>
      <c r="N946" s="83" t="n"/>
      <c r="O946" s="83" t="n"/>
      <c r="P946" s="83" t="n"/>
      <c r="Q946" s="83" t="n"/>
      <c r="R946" s="83" t="n"/>
      <c r="S946" s="83" t="n"/>
      <c r="T946" s="83" t="n"/>
      <c r="U946" s="83" t="n"/>
      <c r="V946" s="83" t="n"/>
      <c r="W946" s="83" t="n"/>
      <c r="X946" s="83" t="n"/>
      <c r="Y946" s="83" t="n"/>
      <c r="Z946" s="83" t="n"/>
      <c r="AA946" s="83" t="n"/>
      <c r="AB946" s="83" t="n"/>
      <c r="AC946" s="83" t="n"/>
      <c r="AD946" s="83" t="n"/>
      <c r="AE946" s="83" t="n"/>
      <c r="AF946" s="83" t="n"/>
      <c r="AG946" s="83" t="n"/>
      <c r="AH946" s="83" t="n"/>
      <c r="AI946" s="83" t="n"/>
      <c r="AJ946" s="83" t="n"/>
      <c r="AK946" s="83" t="n"/>
      <c r="AL946" s="83" t="n"/>
      <c r="AM946" s="83" t="n"/>
      <c r="AN946" s="83" t="n"/>
      <c r="AO946" s="83" t="n"/>
      <c r="AP946" s="83" t="n"/>
      <c r="AQ946" s="83" t="n"/>
      <c r="AR946" s="83" t="n"/>
    </row>
    <row r="947">
      <c r="D947" s="83" t="n"/>
      <c r="E947" s="83" t="n"/>
      <c r="F947" s="83" t="n"/>
      <c r="G947" s="83" t="n"/>
      <c r="H947" s="83" t="n"/>
      <c r="I947" s="83" t="n"/>
      <c r="J947" s="83" t="n"/>
      <c r="K947" s="83" t="n"/>
      <c r="L947" s="83" t="n"/>
      <c r="M947" s="83" t="n"/>
      <c r="N947" s="83" t="n"/>
      <c r="O947" s="83" t="n"/>
      <c r="P947" s="83" t="n"/>
      <c r="Q947" s="83" t="n"/>
      <c r="R947" s="83" t="n"/>
      <c r="S947" s="83" t="n"/>
      <c r="T947" s="83" t="n"/>
      <c r="U947" s="83" t="n"/>
      <c r="V947" s="83" t="n"/>
      <c r="W947" s="83" t="n"/>
      <c r="X947" s="83" t="n"/>
      <c r="Y947" s="83" t="n"/>
      <c r="Z947" s="83" t="n"/>
      <c r="AA947" s="83" t="n"/>
      <c r="AB947" s="83" t="n"/>
      <c r="AC947" s="83" t="n"/>
      <c r="AD947" s="83" t="n"/>
      <c r="AE947" s="83" t="n"/>
      <c r="AF947" s="83" t="n"/>
      <c r="AG947" s="83" t="n"/>
      <c r="AH947" s="83" t="n"/>
      <c r="AI947" s="83" t="n"/>
      <c r="AJ947" s="83" t="n"/>
      <c r="AK947" s="83" t="n"/>
      <c r="AL947" s="83" t="n"/>
      <c r="AM947" s="83" t="n"/>
      <c r="AN947" s="83" t="n"/>
      <c r="AO947" s="83" t="n"/>
      <c r="AP947" s="83" t="n"/>
      <c r="AQ947" s="83" t="n"/>
      <c r="AR947" s="83" t="n"/>
    </row>
    <row r="948">
      <c r="D948" s="84" t="n"/>
      <c r="E948" s="84" t="n"/>
      <c r="F948" s="84" t="n"/>
      <c r="G948" s="84" t="n"/>
      <c r="H948" s="84" t="n"/>
      <c r="I948" s="84" t="n"/>
      <c r="J948" s="84" t="n"/>
      <c r="K948" s="84" t="n"/>
      <c r="L948" s="84" t="n"/>
      <c r="M948" s="84" t="n"/>
      <c r="N948" s="84" t="n"/>
      <c r="O948" s="84" t="n"/>
      <c r="P948" s="84" t="n"/>
      <c r="Q948" s="84" t="n"/>
      <c r="R948" s="84" t="n"/>
      <c r="S948" s="84" t="n"/>
      <c r="T948" s="84" t="n"/>
      <c r="U948" s="84" t="n"/>
      <c r="V948" s="84" t="n"/>
      <c r="W948" s="84" t="n"/>
      <c r="X948" s="84" t="n"/>
      <c r="Y948" s="84" t="n"/>
      <c r="Z948" s="84" t="n"/>
      <c r="AA948" s="84" t="n"/>
      <c r="AB948" s="84" t="n"/>
      <c r="AC948" s="84" t="n"/>
      <c r="AD948" s="84" t="n"/>
      <c r="AE948" s="84" t="n"/>
      <c r="AF948" s="84" t="n"/>
      <c r="AG948" s="84" t="n"/>
      <c r="AH948" s="84" t="n"/>
      <c r="AI948" s="84" t="n"/>
      <c r="AJ948" s="84" t="n"/>
      <c r="AK948" s="84" t="n"/>
      <c r="AL948" s="84" t="n"/>
      <c r="AM948" s="84" t="n"/>
      <c r="AN948" s="84" t="n"/>
      <c r="AO948" s="84" t="n"/>
      <c r="AP948" s="84" t="n"/>
      <c r="AQ948" s="84" t="n"/>
      <c r="AR948" s="84" t="n"/>
    </row>
    <row r="949">
      <c r="D949" s="80" t="n"/>
      <c r="E949" s="80" t="n"/>
      <c r="F949" s="80" t="n"/>
      <c r="G949" s="80" t="n"/>
      <c r="H949" s="80" t="n"/>
      <c r="I949" s="80" t="n"/>
      <c r="J949" s="80" t="n"/>
      <c r="K949" s="80" t="n"/>
      <c r="L949" s="80" t="n"/>
      <c r="M949" s="80" t="n"/>
      <c r="N949" s="80" t="n"/>
      <c r="O949" s="80" t="n"/>
      <c r="P949" s="80" t="n"/>
      <c r="Q949" s="80" t="n"/>
      <c r="R949" s="80" t="n"/>
      <c r="S949" s="80" t="n"/>
      <c r="T949" s="80" t="n"/>
      <c r="U949" s="80" t="n"/>
      <c r="V949" s="80" t="n"/>
      <c r="W949" s="80" t="n"/>
      <c r="X949" s="80" t="n"/>
      <c r="Y949" s="80" t="n"/>
      <c r="Z949" s="80" t="n"/>
      <c r="AA949" s="80" t="n"/>
      <c r="AB949" s="80" t="n"/>
      <c r="AC949" s="80" t="n"/>
      <c r="AD949" s="80" t="n"/>
      <c r="AE949" s="80" t="n"/>
      <c r="AF949" s="80" t="n"/>
      <c r="AG949" s="80" t="n"/>
      <c r="AH949" s="80" t="n"/>
      <c r="AI949" s="80" t="n"/>
      <c r="AJ949" s="80" t="n"/>
      <c r="AK949" s="80" t="n"/>
      <c r="AL949" s="80" t="n"/>
      <c r="AM949" s="80" t="n"/>
      <c r="AN949" s="80" t="n"/>
      <c r="AO949" s="80" t="n"/>
      <c r="AP949" s="80" t="n"/>
      <c r="AQ949" s="80" t="n"/>
      <c r="AR949" s="80" t="n"/>
    </row>
    <row r="950">
      <c r="D950" s="80" t="n"/>
      <c r="E950" s="80" t="n"/>
      <c r="F950" s="80" t="n"/>
      <c r="G950" s="80" t="n"/>
      <c r="H950" s="80" t="n"/>
      <c r="I950" s="80" t="n"/>
      <c r="J950" s="80" t="n"/>
      <c r="K950" s="80" t="n"/>
      <c r="L950" s="80" t="n"/>
      <c r="M950" s="80" t="n"/>
      <c r="N950" s="80" t="n"/>
      <c r="O950" s="80" t="n"/>
      <c r="P950" s="80" t="n"/>
      <c r="Q950" s="80" t="n"/>
      <c r="R950" s="80" t="n"/>
      <c r="S950" s="80" t="n"/>
      <c r="T950" s="80" t="n"/>
      <c r="U950" s="80" t="n"/>
      <c r="V950" s="80" t="n"/>
      <c r="W950" s="80" t="n"/>
      <c r="X950" s="80" t="n"/>
      <c r="Y950" s="80" t="n"/>
      <c r="Z950" s="80" t="n"/>
      <c r="AA950" s="80" t="n"/>
      <c r="AB950" s="80" t="n"/>
      <c r="AC950" s="80" t="n"/>
      <c r="AD950" s="80" t="n"/>
      <c r="AE950" s="80" t="n"/>
      <c r="AF950" s="80" t="n"/>
      <c r="AG950" s="80" t="n"/>
      <c r="AH950" s="80" t="n"/>
      <c r="AI950" s="80" t="n"/>
      <c r="AJ950" s="80" t="n"/>
      <c r="AK950" s="80" t="n"/>
      <c r="AL950" s="80" t="n"/>
      <c r="AM950" s="80" t="n"/>
      <c r="AN950" s="80" t="n"/>
      <c r="AO950" s="80" t="n"/>
      <c r="AP950" s="80" t="n"/>
      <c r="AQ950" s="80" t="n"/>
      <c r="AR950" s="80" t="n"/>
    </row>
    <row r="951">
      <c r="D951" s="80" t="n"/>
      <c r="E951" s="80" t="n"/>
      <c r="F951" s="80" t="n"/>
      <c r="G951" s="80" t="n"/>
      <c r="H951" s="80" t="n"/>
      <c r="I951" s="80" t="n"/>
      <c r="J951" s="80" t="n"/>
      <c r="K951" s="80" t="n"/>
      <c r="L951" s="80" t="n"/>
      <c r="M951" s="80" t="n"/>
      <c r="N951" s="80" t="n"/>
      <c r="O951" s="80" t="n"/>
      <c r="P951" s="80" t="n"/>
      <c r="Q951" s="80" t="n"/>
      <c r="R951" s="80" t="n"/>
      <c r="S951" s="80" t="n"/>
      <c r="T951" s="80" t="n"/>
      <c r="U951" s="80" t="n"/>
      <c r="V951" s="80" t="n"/>
      <c r="W951" s="80" t="n"/>
      <c r="X951" s="80" t="n"/>
      <c r="Y951" s="80" t="n"/>
      <c r="Z951" s="80" t="n"/>
      <c r="AA951" s="80" t="n"/>
      <c r="AB951" s="80" t="n"/>
      <c r="AC951" s="80" t="n"/>
      <c r="AD951" s="80" t="n"/>
      <c r="AE951" s="80" t="n"/>
      <c r="AF951" s="80" t="n"/>
      <c r="AG951" s="80" t="n"/>
      <c r="AH951" s="80" t="n"/>
      <c r="AI951" s="80" t="n"/>
      <c r="AJ951" s="80" t="n"/>
      <c r="AK951" s="80" t="n"/>
      <c r="AL951" s="80" t="n"/>
      <c r="AM951" s="80" t="n"/>
      <c r="AN951" s="80" t="n"/>
      <c r="AO951" s="80" t="n"/>
      <c r="AP951" s="80" t="n"/>
      <c r="AQ951" s="80" t="n"/>
      <c r="AR951" s="80" t="n"/>
    </row>
    <row r="952">
      <c r="D952" s="80" t="n"/>
      <c r="E952" s="80" t="n"/>
      <c r="F952" s="80" t="n"/>
      <c r="G952" s="80" t="n"/>
      <c r="H952" s="80" t="n"/>
      <c r="I952" s="80" t="n"/>
      <c r="J952" s="80" t="n"/>
      <c r="K952" s="80" t="n"/>
      <c r="L952" s="80" t="n"/>
      <c r="M952" s="80" t="n"/>
      <c r="N952" s="80" t="n"/>
      <c r="O952" s="80" t="n"/>
      <c r="P952" s="80" t="n"/>
      <c r="Q952" s="80" t="n"/>
      <c r="R952" s="80" t="n"/>
      <c r="S952" s="80" t="n"/>
      <c r="T952" s="80" t="n"/>
      <c r="U952" s="80" t="n"/>
      <c r="V952" s="80" t="n"/>
      <c r="W952" s="80" t="n"/>
      <c r="X952" s="80" t="n"/>
      <c r="Y952" s="80" t="n"/>
      <c r="Z952" s="80" t="n"/>
      <c r="AA952" s="80" t="n"/>
      <c r="AB952" s="80" t="n"/>
      <c r="AC952" s="80" t="n"/>
      <c r="AD952" s="80" t="n"/>
      <c r="AE952" s="80" t="n"/>
      <c r="AF952" s="80" t="n"/>
      <c r="AG952" s="80" t="n"/>
      <c r="AH952" s="80" t="n"/>
      <c r="AI952" s="80" t="n"/>
      <c r="AJ952" s="80" t="n"/>
      <c r="AK952" s="80" t="n"/>
      <c r="AL952" s="80" t="n"/>
      <c r="AM952" s="80" t="n"/>
      <c r="AN952" s="80" t="n"/>
      <c r="AO952" s="80" t="n"/>
      <c r="AP952" s="80" t="n"/>
      <c r="AQ952" s="80" t="n"/>
      <c r="AR952" s="80" t="n"/>
    </row>
    <row r="954">
      <c r="A954" s="6">
        <f>IF(HSI!$C$70="","",HSI!$C$70)</f>
        <v/>
      </c>
      <c r="B954" s="41">
        <f>IF($A954="",0,COUNT($E955:$AR955))</f>
        <v/>
      </c>
      <c r="C954" s="81">
        <f>IF($B954=0,0,MAX($E955:$AR955))</f>
        <v/>
      </c>
      <c r="D954" s="82">
        <f>BDS($A954,'Field Check'!$C$7,"headers=y","startcol=1","endcol=7","dir=h","DVD_START_DT",Summary!$C$18,"DVD_END_DT",Summary!$D$18)</f>
        <v/>
      </c>
      <c r="E954" s="83" t="n"/>
      <c r="F954" s="83" t="n"/>
      <c r="G954" s="83" t="n"/>
      <c r="H954" s="83" t="n"/>
      <c r="I954" s="83" t="n"/>
      <c r="J954" s="83" t="n"/>
      <c r="K954" s="83" t="n"/>
      <c r="L954" s="83" t="n"/>
      <c r="M954" s="83" t="n"/>
      <c r="N954" s="83" t="n"/>
      <c r="O954" s="83" t="n"/>
      <c r="P954" s="83" t="n"/>
      <c r="Q954" s="83" t="n"/>
      <c r="R954" s="83" t="n"/>
      <c r="S954" s="83" t="n"/>
      <c r="T954" s="83" t="n"/>
      <c r="U954" s="83" t="n"/>
      <c r="V954" s="83" t="n"/>
      <c r="W954" s="83" t="n"/>
      <c r="X954" s="83" t="n"/>
      <c r="Y954" s="83" t="n"/>
      <c r="Z954" s="83" t="n"/>
      <c r="AA954" s="83" t="n"/>
      <c r="AB954" s="83" t="n"/>
      <c r="AC954" s="83" t="n"/>
      <c r="AD954" s="83" t="n"/>
      <c r="AE954" s="83" t="n"/>
      <c r="AF954" s="83" t="n"/>
      <c r="AG954" s="83" t="n"/>
      <c r="AH954" s="83" t="n"/>
      <c r="AI954" s="83" t="n"/>
      <c r="AJ954" s="83" t="n"/>
      <c r="AK954" s="83" t="n"/>
      <c r="AL954" s="83" t="n"/>
      <c r="AM954" s="83" t="n"/>
      <c r="AN954" s="83" t="n"/>
      <c r="AO954" s="83" t="n"/>
      <c r="AP954" s="83" t="n"/>
      <c r="AQ954" s="83" t="n"/>
      <c r="AR954" s="83" t="n"/>
    </row>
    <row r="955">
      <c r="D955" s="83" t="n"/>
      <c r="E955" s="83" t="n"/>
      <c r="F955" s="83" t="n"/>
      <c r="G955" s="83" t="n"/>
      <c r="H955" s="83" t="n"/>
      <c r="I955" s="83" t="n"/>
      <c r="J955" s="83" t="n"/>
      <c r="K955" s="83" t="n"/>
      <c r="L955" s="83" t="n"/>
      <c r="M955" s="83" t="n"/>
      <c r="N955" s="83" t="n"/>
      <c r="O955" s="83" t="n"/>
      <c r="P955" s="83" t="n"/>
      <c r="Q955" s="83" t="n"/>
      <c r="R955" s="83" t="n"/>
      <c r="S955" s="83" t="n"/>
      <c r="T955" s="83" t="n"/>
      <c r="U955" s="83" t="n"/>
      <c r="V955" s="83" t="n"/>
      <c r="W955" s="83" t="n"/>
      <c r="X955" s="83" t="n"/>
      <c r="Y955" s="83" t="n"/>
      <c r="Z955" s="83" t="n"/>
      <c r="AA955" s="83" t="n"/>
      <c r="AB955" s="83" t="n"/>
      <c r="AC955" s="83" t="n"/>
      <c r="AD955" s="83" t="n"/>
      <c r="AE955" s="83" t="n"/>
      <c r="AF955" s="83" t="n"/>
      <c r="AG955" s="83" t="n"/>
      <c r="AH955" s="83" t="n"/>
      <c r="AI955" s="83" t="n"/>
      <c r="AJ955" s="83" t="n"/>
      <c r="AK955" s="83" t="n"/>
      <c r="AL955" s="83" t="n"/>
      <c r="AM955" s="83" t="n"/>
      <c r="AN955" s="83" t="n"/>
      <c r="AO955" s="83" t="n"/>
      <c r="AP955" s="83" t="n"/>
      <c r="AQ955" s="83" t="n"/>
      <c r="AR955" s="83" t="n"/>
    </row>
    <row r="956">
      <c r="D956" s="84" t="n"/>
      <c r="E956" s="84" t="n"/>
      <c r="F956" s="84" t="n"/>
      <c r="G956" s="84" t="n"/>
      <c r="H956" s="84" t="n"/>
      <c r="I956" s="84" t="n"/>
      <c r="J956" s="84" t="n"/>
      <c r="K956" s="84" t="n"/>
      <c r="L956" s="84" t="n"/>
      <c r="M956" s="84" t="n"/>
      <c r="N956" s="84" t="n"/>
      <c r="O956" s="84" t="n"/>
      <c r="P956" s="84" t="n"/>
      <c r="Q956" s="84" t="n"/>
      <c r="R956" s="84" t="n"/>
      <c r="S956" s="84" t="n"/>
      <c r="T956" s="84" t="n"/>
      <c r="U956" s="84" t="n"/>
      <c r="V956" s="84" t="n"/>
      <c r="W956" s="84" t="n"/>
      <c r="X956" s="84" t="n"/>
      <c r="Y956" s="84" t="n"/>
      <c r="Z956" s="84" t="n"/>
      <c r="AA956" s="84" t="n"/>
      <c r="AB956" s="84" t="n"/>
      <c r="AC956" s="84" t="n"/>
      <c r="AD956" s="84" t="n"/>
      <c r="AE956" s="84" t="n"/>
      <c r="AF956" s="84" t="n"/>
      <c r="AG956" s="84" t="n"/>
      <c r="AH956" s="84" t="n"/>
      <c r="AI956" s="84" t="n"/>
      <c r="AJ956" s="84" t="n"/>
      <c r="AK956" s="84" t="n"/>
      <c r="AL956" s="84" t="n"/>
      <c r="AM956" s="84" t="n"/>
      <c r="AN956" s="84" t="n"/>
      <c r="AO956" s="84" t="n"/>
      <c r="AP956" s="84" t="n"/>
      <c r="AQ956" s="84" t="n"/>
      <c r="AR956" s="84" t="n"/>
    </row>
    <row r="957">
      <c r="D957" s="80" t="n"/>
      <c r="E957" s="80" t="n"/>
      <c r="F957" s="80" t="n"/>
      <c r="G957" s="80" t="n"/>
      <c r="H957" s="80" t="n"/>
      <c r="I957" s="80" t="n"/>
      <c r="J957" s="80" t="n"/>
      <c r="K957" s="80" t="n"/>
      <c r="L957" s="80" t="n"/>
      <c r="M957" s="80" t="n"/>
      <c r="N957" s="80" t="n"/>
      <c r="O957" s="80" t="n"/>
      <c r="P957" s="80" t="n"/>
      <c r="Q957" s="80" t="n"/>
      <c r="R957" s="80" t="n"/>
      <c r="S957" s="80" t="n"/>
      <c r="T957" s="80" t="n"/>
      <c r="U957" s="80" t="n"/>
      <c r="V957" s="80" t="n"/>
      <c r="W957" s="80" t="n"/>
      <c r="X957" s="80" t="n"/>
      <c r="Y957" s="80" t="n"/>
      <c r="Z957" s="80" t="n"/>
      <c r="AA957" s="80" t="n"/>
      <c r="AB957" s="80" t="n"/>
      <c r="AC957" s="80" t="n"/>
      <c r="AD957" s="80" t="n"/>
      <c r="AE957" s="80" t="n"/>
      <c r="AF957" s="80" t="n"/>
      <c r="AG957" s="80" t="n"/>
      <c r="AH957" s="80" t="n"/>
      <c r="AI957" s="80" t="n"/>
      <c r="AJ957" s="80" t="n"/>
      <c r="AK957" s="80" t="n"/>
      <c r="AL957" s="80" t="n"/>
      <c r="AM957" s="80" t="n"/>
      <c r="AN957" s="80" t="n"/>
      <c r="AO957" s="80" t="n"/>
      <c r="AP957" s="80" t="n"/>
      <c r="AQ957" s="80" t="n"/>
      <c r="AR957" s="80" t="n"/>
    </row>
    <row r="958">
      <c r="D958" s="80" t="n"/>
      <c r="E958" s="80" t="n"/>
      <c r="F958" s="80" t="n"/>
      <c r="G958" s="80" t="n"/>
      <c r="H958" s="80" t="n"/>
      <c r="I958" s="80" t="n"/>
      <c r="J958" s="80" t="n"/>
      <c r="K958" s="80" t="n"/>
      <c r="L958" s="80" t="n"/>
      <c r="M958" s="80" t="n"/>
      <c r="N958" s="80" t="n"/>
      <c r="O958" s="80" t="n"/>
      <c r="P958" s="80" t="n"/>
      <c r="Q958" s="80" t="n"/>
      <c r="R958" s="80" t="n"/>
      <c r="S958" s="80" t="n"/>
      <c r="T958" s="80" t="n"/>
      <c r="U958" s="80" t="n"/>
      <c r="V958" s="80" t="n"/>
      <c r="W958" s="80" t="n"/>
      <c r="X958" s="80" t="n"/>
      <c r="Y958" s="80" t="n"/>
      <c r="Z958" s="80" t="n"/>
      <c r="AA958" s="80" t="n"/>
      <c r="AB958" s="80" t="n"/>
      <c r="AC958" s="80" t="n"/>
      <c r="AD958" s="80" t="n"/>
      <c r="AE958" s="80" t="n"/>
      <c r="AF958" s="80" t="n"/>
      <c r="AG958" s="80" t="n"/>
      <c r="AH958" s="80" t="n"/>
      <c r="AI958" s="80" t="n"/>
      <c r="AJ958" s="80" t="n"/>
      <c r="AK958" s="80" t="n"/>
      <c r="AL958" s="80" t="n"/>
      <c r="AM958" s="80" t="n"/>
      <c r="AN958" s="80" t="n"/>
      <c r="AO958" s="80" t="n"/>
      <c r="AP958" s="80" t="n"/>
      <c r="AQ958" s="80" t="n"/>
      <c r="AR958" s="80" t="n"/>
    </row>
    <row r="959">
      <c r="D959" s="80" t="n"/>
      <c r="E959" s="80" t="n"/>
      <c r="F959" s="80" t="n"/>
      <c r="G959" s="80" t="n"/>
      <c r="H959" s="80" t="n"/>
      <c r="I959" s="80" t="n"/>
      <c r="J959" s="80" t="n"/>
      <c r="K959" s="80" t="n"/>
      <c r="L959" s="80" t="n"/>
      <c r="M959" s="80" t="n"/>
      <c r="N959" s="80" t="n"/>
      <c r="O959" s="80" t="n"/>
      <c r="P959" s="80" t="n"/>
      <c r="Q959" s="80" t="n"/>
      <c r="R959" s="80" t="n"/>
      <c r="S959" s="80" t="n"/>
      <c r="T959" s="80" t="n"/>
      <c r="U959" s="80" t="n"/>
      <c r="V959" s="80" t="n"/>
      <c r="W959" s="80" t="n"/>
      <c r="X959" s="80" t="n"/>
      <c r="Y959" s="80" t="n"/>
      <c r="Z959" s="80" t="n"/>
      <c r="AA959" s="80" t="n"/>
      <c r="AB959" s="80" t="n"/>
      <c r="AC959" s="80" t="n"/>
      <c r="AD959" s="80" t="n"/>
      <c r="AE959" s="80" t="n"/>
      <c r="AF959" s="80" t="n"/>
      <c r="AG959" s="80" t="n"/>
      <c r="AH959" s="80" t="n"/>
      <c r="AI959" s="80" t="n"/>
      <c r="AJ959" s="80" t="n"/>
      <c r="AK959" s="80" t="n"/>
      <c r="AL959" s="80" t="n"/>
      <c r="AM959" s="80" t="n"/>
      <c r="AN959" s="80" t="n"/>
      <c r="AO959" s="80" t="n"/>
      <c r="AP959" s="80" t="n"/>
      <c r="AQ959" s="80" t="n"/>
      <c r="AR959" s="80" t="n"/>
    </row>
    <row r="960">
      <c r="D960" s="80" t="n"/>
      <c r="E960" s="80" t="n"/>
      <c r="F960" s="80" t="n"/>
      <c r="G960" s="80" t="n"/>
      <c r="H960" s="80" t="n"/>
      <c r="I960" s="80" t="n"/>
      <c r="J960" s="80" t="n"/>
      <c r="K960" s="80" t="n"/>
      <c r="L960" s="80" t="n"/>
      <c r="M960" s="80" t="n"/>
      <c r="N960" s="80" t="n"/>
      <c r="O960" s="80" t="n"/>
      <c r="P960" s="80" t="n"/>
      <c r="Q960" s="80" t="n"/>
      <c r="R960" s="80" t="n"/>
      <c r="S960" s="80" t="n"/>
      <c r="T960" s="80" t="n"/>
      <c r="U960" s="80" t="n"/>
      <c r="V960" s="80" t="n"/>
      <c r="W960" s="80" t="n"/>
      <c r="X960" s="80" t="n"/>
      <c r="Y960" s="80" t="n"/>
      <c r="Z960" s="80" t="n"/>
      <c r="AA960" s="80" t="n"/>
      <c r="AB960" s="80" t="n"/>
      <c r="AC960" s="80" t="n"/>
      <c r="AD960" s="80" t="n"/>
      <c r="AE960" s="80" t="n"/>
      <c r="AF960" s="80" t="n"/>
      <c r="AG960" s="80" t="n"/>
      <c r="AH960" s="80" t="n"/>
      <c r="AI960" s="80" t="n"/>
      <c r="AJ960" s="80" t="n"/>
      <c r="AK960" s="80" t="n"/>
      <c r="AL960" s="80" t="n"/>
      <c r="AM960" s="80" t="n"/>
      <c r="AN960" s="80" t="n"/>
      <c r="AO960" s="80" t="n"/>
      <c r="AP960" s="80" t="n"/>
      <c r="AQ960" s="80" t="n"/>
      <c r="AR960" s="80" t="n"/>
    </row>
    <row r="961">
      <c r="A961" s="2">
        <f>IF($A954="","","   projections")</f>
        <v/>
      </c>
      <c r="B961" s="41">
        <f>IF($A954="",0,COUNT($E962:$AR962))</f>
        <v/>
      </c>
      <c r="C961" s="81">
        <f>IF($B961=0,0,MAX($E962:$AR962))</f>
        <v/>
      </c>
      <c r="D961" s="82">
        <f>BDS($A954,'Field Check'!$C$6,"headers=y","startcol=1","endcol=7","dir=h")</f>
        <v/>
      </c>
      <c r="E961" s="83" t="n"/>
      <c r="F961" s="83" t="n"/>
      <c r="G961" s="83" t="n"/>
      <c r="H961" s="83" t="n"/>
      <c r="I961" s="83" t="n"/>
      <c r="J961" s="83" t="n"/>
      <c r="K961" s="83" t="n"/>
      <c r="L961" s="83" t="n"/>
      <c r="M961" s="83" t="n"/>
      <c r="N961" s="83" t="n"/>
      <c r="O961" s="83" t="n"/>
      <c r="P961" s="83" t="n"/>
      <c r="Q961" s="83" t="n"/>
      <c r="R961" s="83" t="n"/>
      <c r="S961" s="83" t="n"/>
      <c r="T961" s="83" t="n"/>
      <c r="U961" s="83" t="n"/>
      <c r="V961" s="83" t="n"/>
      <c r="W961" s="83" t="n"/>
      <c r="X961" s="83" t="n"/>
      <c r="Y961" s="83" t="n"/>
      <c r="Z961" s="83" t="n"/>
      <c r="AA961" s="83" t="n"/>
      <c r="AB961" s="83" t="n"/>
      <c r="AC961" s="83" t="n"/>
      <c r="AD961" s="83" t="n"/>
      <c r="AE961" s="83" t="n"/>
      <c r="AF961" s="83" t="n"/>
      <c r="AG961" s="83" t="n"/>
      <c r="AH961" s="83" t="n"/>
      <c r="AI961" s="83" t="n"/>
      <c r="AJ961" s="83" t="n"/>
      <c r="AK961" s="83" t="n"/>
      <c r="AL961" s="83" t="n"/>
      <c r="AM961" s="83" t="n"/>
      <c r="AN961" s="83" t="n"/>
      <c r="AO961" s="83" t="n"/>
      <c r="AP961" s="83" t="n"/>
      <c r="AQ961" s="83" t="n"/>
      <c r="AR961" s="83" t="n"/>
    </row>
    <row r="962">
      <c r="D962" s="83" t="n"/>
      <c r="E962" s="83" t="n"/>
      <c r="F962" s="83" t="n"/>
      <c r="G962" s="83" t="n"/>
      <c r="H962" s="83" t="n"/>
      <c r="I962" s="83" t="n"/>
      <c r="J962" s="83" t="n"/>
      <c r="K962" s="83" t="n"/>
      <c r="L962" s="83" t="n"/>
      <c r="M962" s="83" t="n"/>
      <c r="N962" s="83" t="n"/>
      <c r="O962" s="83" t="n"/>
      <c r="P962" s="83" t="n"/>
      <c r="Q962" s="83" t="n"/>
      <c r="R962" s="83" t="n"/>
      <c r="S962" s="83" t="n"/>
      <c r="T962" s="83" t="n"/>
      <c r="U962" s="83" t="n"/>
      <c r="V962" s="83" t="n"/>
      <c r="W962" s="83" t="n"/>
      <c r="X962" s="83" t="n"/>
      <c r="Y962" s="83" t="n"/>
      <c r="Z962" s="83" t="n"/>
      <c r="AA962" s="83" t="n"/>
      <c r="AB962" s="83" t="n"/>
      <c r="AC962" s="83" t="n"/>
      <c r="AD962" s="83" t="n"/>
      <c r="AE962" s="83" t="n"/>
      <c r="AF962" s="83" t="n"/>
      <c r="AG962" s="83" t="n"/>
      <c r="AH962" s="83" t="n"/>
      <c r="AI962" s="83" t="n"/>
      <c r="AJ962" s="83" t="n"/>
      <c r="AK962" s="83" t="n"/>
      <c r="AL962" s="83" t="n"/>
      <c r="AM962" s="83" t="n"/>
      <c r="AN962" s="83" t="n"/>
      <c r="AO962" s="83" t="n"/>
      <c r="AP962" s="83" t="n"/>
      <c r="AQ962" s="83" t="n"/>
      <c r="AR962" s="83" t="n"/>
    </row>
    <row r="963">
      <c r="D963" s="84" t="n"/>
      <c r="E963" s="84" t="n"/>
      <c r="F963" s="84" t="n"/>
      <c r="G963" s="84" t="n"/>
      <c r="H963" s="84" t="n"/>
      <c r="I963" s="84" t="n"/>
      <c r="J963" s="84" t="n"/>
      <c r="K963" s="84" t="n"/>
      <c r="L963" s="84" t="n"/>
      <c r="M963" s="84" t="n"/>
      <c r="N963" s="84" t="n"/>
      <c r="O963" s="84" t="n"/>
      <c r="P963" s="84" t="n"/>
      <c r="Q963" s="84" t="n"/>
      <c r="R963" s="84" t="n"/>
      <c r="S963" s="84" t="n"/>
      <c r="T963" s="84" t="n"/>
      <c r="U963" s="84" t="n"/>
      <c r="V963" s="84" t="n"/>
      <c r="W963" s="84" t="n"/>
      <c r="X963" s="84" t="n"/>
      <c r="Y963" s="84" t="n"/>
      <c r="Z963" s="84" t="n"/>
      <c r="AA963" s="84" t="n"/>
      <c r="AB963" s="84" t="n"/>
      <c r="AC963" s="84" t="n"/>
      <c r="AD963" s="84" t="n"/>
      <c r="AE963" s="84" t="n"/>
      <c r="AF963" s="84" t="n"/>
      <c r="AG963" s="84" t="n"/>
      <c r="AH963" s="84" t="n"/>
      <c r="AI963" s="84" t="n"/>
      <c r="AJ963" s="84" t="n"/>
      <c r="AK963" s="84" t="n"/>
      <c r="AL963" s="84" t="n"/>
      <c r="AM963" s="84" t="n"/>
      <c r="AN963" s="84" t="n"/>
      <c r="AO963" s="84" t="n"/>
      <c r="AP963" s="84" t="n"/>
      <c r="AQ963" s="84" t="n"/>
      <c r="AR963" s="84" t="n"/>
    </row>
    <row r="964">
      <c r="D964" s="80" t="n"/>
      <c r="E964" s="80" t="n"/>
      <c r="F964" s="80" t="n"/>
      <c r="G964" s="80" t="n"/>
      <c r="H964" s="80" t="n"/>
      <c r="I964" s="80" t="n"/>
      <c r="J964" s="80" t="n"/>
      <c r="K964" s="80" t="n"/>
      <c r="L964" s="80" t="n"/>
      <c r="M964" s="80" t="n"/>
      <c r="N964" s="80" t="n"/>
      <c r="O964" s="80" t="n"/>
      <c r="P964" s="80" t="n"/>
      <c r="Q964" s="80" t="n"/>
      <c r="R964" s="80" t="n"/>
      <c r="S964" s="80" t="n"/>
      <c r="T964" s="80" t="n"/>
      <c r="U964" s="80" t="n"/>
      <c r="V964" s="80" t="n"/>
      <c r="W964" s="80" t="n"/>
      <c r="X964" s="80" t="n"/>
      <c r="Y964" s="80" t="n"/>
      <c r="Z964" s="80" t="n"/>
      <c r="AA964" s="80" t="n"/>
      <c r="AB964" s="80" t="n"/>
      <c r="AC964" s="80" t="n"/>
      <c r="AD964" s="80" t="n"/>
      <c r="AE964" s="80" t="n"/>
      <c r="AF964" s="80" t="n"/>
      <c r="AG964" s="80" t="n"/>
      <c r="AH964" s="80" t="n"/>
      <c r="AI964" s="80" t="n"/>
      <c r="AJ964" s="80" t="n"/>
      <c r="AK964" s="80" t="n"/>
      <c r="AL964" s="80" t="n"/>
      <c r="AM964" s="80" t="n"/>
      <c r="AN964" s="80" t="n"/>
      <c r="AO964" s="80" t="n"/>
      <c r="AP964" s="80" t="n"/>
      <c r="AQ964" s="80" t="n"/>
      <c r="AR964" s="80" t="n"/>
    </row>
    <row r="965">
      <c r="D965" s="80" t="n"/>
      <c r="E965" s="80" t="n"/>
      <c r="F965" s="80" t="n"/>
      <c r="G965" s="80" t="n"/>
      <c r="H965" s="80" t="n"/>
      <c r="I965" s="80" t="n"/>
      <c r="J965" s="80" t="n"/>
      <c r="K965" s="80" t="n"/>
      <c r="L965" s="80" t="n"/>
      <c r="M965" s="80" t="n"/>
      <c r="N965" s="80" t="n"/>
      <c r="O965" s="80" t="n"/>
      <c r="P965" s="80" t="n"/>
      <c r="Q965" s="80" t="n"/>
      <c r="R965" s="80" t="n"/>
      <c r="S965" s="80" t="n"/>
      <c r="T965" s="80" t="n"/>
      <c r="U965" s="80" t="n"/>
      <c r="V965" s="80" t="n"/>
      <c r="W965" s="80" t="n"/>
      <c r="X965" s="80" t="n"/>
      <c r="Y965" s="80" t="n"/>
      <c r="Z965" s="80" t="n"/>
      <c r="AA965" s="80" t="n"/>
      <c r="AB965" s="80" t="n"/>
      <c r="AC965" s="80" t="n"/>
      <c r="AD965" s="80" t="n"/>
      <c r="AE965" s="80" t="n"/>
      <c r="AF965" s="80" t="n"/>
      <c r="AG965" s="80" t="n"/>
      <c r="AH965" s="80" t="n"/>
      <c r="AI965" s="80" t="n"/>
      <c r="AJ965" s="80" t="n"/>
      <c r="AK965" s="80" t="n"/>
      <c r="AL965" s="80" t="n"/>
      <c r="AM965" s="80" t="n"/>
      <c r="AN965" s="80" t="n"/>
      <c r="AO965" s="80" t="n"/>
      <c r="AP965" s="80" t="n"/>
      <c r="AQ965" s="80" t="n"/>
      <c r="AR965" s="80" t="n"/>
    </row>
    <row r="966">
      <c r="D966" s="80" t="n"/>
      <c r="E966" s="80" t="n"/>
      <c r="F966" s="80" t="n"/>
      <c r="G966" s="80" t="n"/>
      <c r="H966" s="80" t="n"/>
      <c r="I966" s="80" t="n"/>
      <c r="J966" s="80" t="n"/>
      <c r="K966" s="80" t="n"/>
      <c r="L966" s="80" t="n"/>
      <c r="M966" s="80" t="n"/>
      <c r="N966" s="80" t="n"/>
      <c r="O966" s="80" t="n"/>
      <c r="P966" s="80" t="n"/>
      <c r="Q966" s="80" t="n"/>
      <c r="R966" s="80" t="n"/>
      <c r="S966" s="80" t="n"/>
      <c r="T966" s="80" t="n"/>
      <c r="U966" s="80" t="n"/>
      <c r="V966" s="80" t="n"/>
      <c r="W966" s="80" t="n"/>
      <c r="X966" s="80" t="n"/>
      <c r="Y966" s="80" t="n"/>
      <c r="Z966" s="80" t="n"/>
      <c r="AA966" s="80" t="n"/>
      <c r="AB966" s="80" t="n"/>
      <c r="AC966" s="80" t="n"/>
      <c r="AD966" s="80" t="n"/>
      <c r="AE966" s="80" t="n"/>
      <c r="AF966" s="80" t="n"/>
      <c r="AG966" s="80" t="n"/>
      <c r="AH966" s="80" t="n"/>
      <c r="AI966" s="80" t="n"/>
      <c r="AJ966" s="80" t="n"/>
      <c r="AK966" s="80" t="n"/>
      <c r="AL966" s="80" t="n"/>
      <c r="AM966" s="80" t="n"/>
      <c r="AN966" s="80" t="n"/>
      <c r="AO966" s="80" t="n"/>
      <c r="AP966" s="80" t="n"/>
      <c r="AQ966" s="80" t="n"/>
      <c r="AR966" s="80" t="n"/>
    </row>
    <row r="967">
      <c r="D967" s="80" t="n"/>
      <c r="E967" s="80" t="n"/>
      <c r="F967" s="80" t="n"/>
      <c r="G967" s="80" t="n"/>
      <c r="H967" s="80" t="n"/>
      <c r="I967" s="80" t="n"/>
      <c r="J967" s="80" t="n"/>
      <c r="K967" s="80" t="n"/>
      <c r="L967" s="80" t="n"/>
      <c r="M967" s="80" t="n"/>
      <c r="N967" s="80" t="n"/>
      <c r="O967" s="80" t="n"/>
      <c r="P967" s="80" t="n"/>
      <c r="Q967" s="80" t="n"/>
      <c r="R967" s="80" t="n"/>
      <c r="S967" s="80" t="n"/>
      <c r="T967" s="80" t="n"/>
      <c r="U967" s="80" t="n"/>
      <c r="V967" s="80" t="n"/>
      <c r="W967" s="80" t="n"/>
      <c r="X967" s="80" t="n"/>
      <c r="Y967" s="80" t="n"/>
      <c r="Z967" s="80" t="n"/>
      <c r="AA967" s="80" t="n"/>
      <c r="AB967" s="80" t="n"/>
      <c r="AC967" s="80" t="n"/>
      <c r="AD967" s="80" t="n"/>
      <c r="AE967" s="80" t="n"/>
      <c r="AF967" s="80" t="n"/>
      <c r="AG967" s="80" t="n"/>
      <c r="AH967" s="80" t="n"/>
      <c r="AI967" s="80" t="n"/>
      <c r="AJ967" s="80" t="n"/>
      <c r="AK967" s="80" t="n"/>
      <c r="AL967" s="80" t="n"/>
      <c r="AM967" s="80" t="n"/>
      <c r="AN967" s="80" t="n"/>
      <c r="AO967" s="80" t="n"/>
      <c r="AP967" s="80" t="n"/>
      <c r="AQ967" s="80" t="n"/>
      <c r="AR967" s="80" t="n"/>
    </row>
    <row r="969">
      <c r="A969" s="6">
        <f>IF(HSI!$C$71="","",HSI!$C$71)</f>
        <v/>
      </c>
      <c r="B969" s="41">
        <f>IF($A969="",0,COUNT($E970:$AR970))</f>
        <v/>
      </c>
      <c r="C969" s="81">
        <f>IF($B969=0,0,MAX($E970:$AR970))</f>
        <v/>
      </c>
      <c r="D969" s="82">
        <f>BDS($A969,'Field Check'!$C$7,"headers=y","startcol=1","endcol=7","dir=h","DVD_START_DT",Summary!$C$18,"DVD_END_DT",Summary!$D$18)</f>
        <v/>
      </c>
      <c r="E969" s="83" t="n"/>
      <c r="F969" s="83" t="n"/>
      <c r="G969" s="83" t="n"/>
      <c r="H969" s="83" t="n"/>
      <c r="I969" s="83" t="n"/>
      <c r="J969" s="83" t="n"/>
      <c r="K969" s="83" t="n"/>
      <c r="L969" s="83" t="n"/>
      <c r="M969" s="83" t="n"/>
      <c r="N969" s="83" t="n"/>
      <c r="O969" s="83" t="n"/>
      <c r="P969" s="83" t="n"/>
      <c r="Q969" s="83" t="n"/>
      <c r="R969" s="83" t="n"/>
      <c r="S969" s="83" t="n"/>
      <c r="T969" s="83" t="n"/>
      <c r="U969" s="83" t="n"/>
      <c r="V969" s="83" t="n"/>
      <c r="W969" s="83" t="n"/>
      <c r="X969" s="83" t="n"/>
      <c r="Y969" s="83" t="n"/>
      <c r="Z969" s="83" t="n"/>
      <c r="AA969" s="83" t="n"/>
      <c r="AB969" s="83" t="n"/>
      <c r="AC969" s="83" t="n"/>
      <c r="AD969" s="83" t="n"/>
      <c r="AE969" s="83" t="n"/>
      <c r="AF969" s="83" t="n"/>
      <c r="AG969" s="83" t="n"/>
      <c r="AH969" s="83" t="n"/>
      <c r="AI969" s="83" t="n"/>
      <c r="AJ969" s="83" t="n"/>
      <c r="AK969" s="83" t="n"/>
      <c r="AL969" s="83" t="n"/>
      <c r="AM969" s="83" t="n"/>
      <c r="AN969" s="83" t="n"/>
      <c r="AO969" s="83" t="n"/>
      <c r="AP969" s="83" t="n"/>
      <c r="AQ969" s="83" t="n"/>
      <c r="AR969" s="83" t="n"/>
    </row>
    <row r="970">
      <c r="D970" s="83" t="n"/>
      <c r="E970" s="83" t="n"/>
      <c r="F970" s="83" t="n"/>
      <c r="G970" s="83" t="n"/>
      <c r="H970" s="83" t="n"/>
      <c r="I970" s="83" t="n"/>
      <c r="J970" s="83" t="n"/>
      <c r="K970" s="83" t="n"/>
      <c r="L970" s="83" t="n"/>
      <c r="M970" s="83" t="n"/>
      <c r="N970" s="83" t="n"/>
      <c r="O970" s="83" t="n"/>
      <c r="P970" s="83" t="n"/>
      <c r="Q970" s="83" t="n"/>
      <c r="R970" s="83" t="n"/>
      <c r="S970" s="83" t="n"/>
      <c r="T970" s="83" t="n"/>
      <c r="U970" s="83" t="n"/>
      <c r="V970" s="83" t="n"/>
      <c r="W970" s="83" t="n"/>
      <c r="X970" s="83" t="n"/>
      <c r="Y970" s="83" t="n"/>
      <c r="Z970" s="83" t="n"/>
      <c r="AA970" s="83" t="n"/>
      <c r="AB970" s="83" t="n"/>
      <c r="AC970" s="83" t="n"/>
      <c r="AD970" s="83" t="n"/>
      <c r="AE970" s="83" t="n"/>
      <c r="AF970" s="83" t="n"/>
      <c r="AG970" s="83" t="n"/>
      <c r="AH970" s="83" t="n"/>
      <c r="AI970" s="83" t="n"/>
      <c r="AJ970" s="83" t="n"/>
      <c r="AK970" s="83" t="n"/>
      <c r="AL970" s="83" t="n"/>
      <c r="AM970" s="83" t="n"/>
      <c r="AN970" s="83" t="n"/>
      <c r="AO970" s="83" t="n"/>
      <c r="AP970" s="83" t="n"/>
      <c r="AQ970" s="83" t="n"/>
      <c r="AR970" s="83" t="n"/>
    </row>
    <row r="971">
      <c r="D971" s="84" t="n"/>
      <c r="E971" s="84" t="n"/>
      <c r="F971" s="84" t="n"/>
      <c r="G971" s="84" t="n"/>
      <c r="H971" s="84" t="n"/>
      <c r="I971" s="84" t="n"/>
      <c r="J971" s="84" t="n"/>
      <c r="K971" s="84" t="n"/>
      <c r="L971" s="84" t="n"/>
      <c r="M971" s="84" t="n"/>
      <c r="N971" s="84" t="n"/>
      <c r="O971" s="84" t="n"/>
      <c r="P971" s="84" t="n"/>
      <c r="Q971" s="84" t="n"/>
      <c r="R971" s="84" t="n"/>
      <c r="S971" s="84" t="n"/>
      <c r="T971" s="84" t="n"/>
      <c r="U971" s="84" t="n"/>
      <c r="V971" s="84" t="n"/>
      <c r="W971" s="84" t="n"/>
      <c r="X971" s="84" t="n"/>
      <c r="Y971" s="84" t="n"/>
      <c r="Z971" s="84" t="n"/>
      <c r="AA971" s="84" t="n"/>
      <c r="AB971" s="84" t="n"/>
      <c r="AC971" s="84" t="n"/>
      <c r="AD971" s="84" t="n"/>
      <c r="AE971" s="84" t="n"/>
      <c r="AF971" s="84" t="n"/>
      <c r="AG971" s="84" t="n"/>
      <c r="AH971" s="84" t="n"/>
      <c r="AI971" s="84" t="n"/>
      <c r="AJ971" s="84" t="n"/>
      <c r="AK971" s="84" t="n"/>
      <c r="AL971" s="84" t="n"/>
      <c r="AM971" s="84" t="n"/>
      <c r="AN971" s="84" t="n"/>
      <c r="AO971" s="84" t="n"/>
      <c r="AP971" s="84" t="n"/>
      <c r="AQ971" s="84" t="n"/>
      <c r="AR971" s="84" t="n"/>
    </row>
    <row r="972">
      <c r="D972" s="80" t="n"/>
      <c r="E972" s="80" t="n"/>
      <c r="F972" s="80" t="n"/>
      <c r="G972" s="80" t="n"/>
      <c r="H972" s="80" t="n"/>
      <c r="I972" s="80" t="n"/>
      <c r="J972" s="80" t="n"/>
      <c r="K972" s="80" t="n"/>
      <c r="L972" s="80" t="n"/>
      <c r="M972" s="80" t="n"/>
      <c r="N972" s="80" t="n"/>
      <c r="O972" s="80" t="n"/>
      <c r="P972" s="80" t="n"/>
      <c r="Q972" s="80" t="n"/>
      <c r="R972" s="80" t="n"/>
      <c r="S972" s="80" t="n"/>
      <c r="T972" s="80" t="n"/>
      <c r="U972" s="80" t="n"/>
      <c r="V972" s="80" t="n"/>
      <c r="W972" s="80" t="n"/>
      <c r="X972" s="80" t="n"/>
      <c r="Y972" s="80" t="n"/>
      <c r="Z972" s="80" t="n"/>
      <c r="AA972" s="80" t="n"/>
      <c r="AB972" s="80" t="n"/>
      <c r="AC972" s="80" t="n"/>
      <c r="AD972" s="80" t="n"/>
      <c r="AE972" s="80" t="n"/>
      <c r="AF972" s="80" t="n"/>
      <c r="AG972" s="80" t="n"/>
      <c r="AH972" s="80" t="n"/>
      <c r="AI972" s="80" t="n"/>
      <c r="AJ972" s="80" t="n"/>
      <c r="AK972" s="80" t="n"/>
      <c r="AL972" s="80" t="n"/>
      <c r="AM972" s="80" t="n"/>
      <c r="AN972" s="80" t="n"/>
      <c r="AO972" s="80" t="n"/>
      <c r="AP972" s="80" t="n"/>
      <c r="AQ972" s="80" t="n"/>
      <c r="AR972" s="80" t="n"/>
    </row>
    <row r="973">
      <c r="D973" s="80" t="n"/>
      <c r="E973" s="80" t="n"/>
      <c r="F973" s="80" t="n"/>
      <c r="G973" s="80" t="n"/>
      <c r="H973" s="80" t="n"/>
      <c r="I973" s="80" t="n"/>
      <c r="J973" s="80" t="n"/>
      <c r="K973" s="80" t="n"/>
      <c r="L973" s="80" t="n"/>
      <c r="M973" s="80" t="n"/>
      <c r="N973" s="80" t="n"/>
      <c r="O973" s="80" t="n"/>
      <c r="P973" s="80" t="n"/>
      <c r="Q973" s="80" t="n"/>
      <c r="R973" s="80" t="n"/>
      <c r="S973" s="80" t="n"/>
      <c r="T973" s="80" t="n"/>
      <c r="U973" s="80" t="n"/>
      <c r="V973" s="80" t="n"/>
      <c r="W973" s="80" t="n"/>
      <c r="X973" s="80" t="n"/>
      <c r="Y973" s="80" t="n"/>
      <c r="Z973" s="80" t="n"/>
      <c r="AA973" s="80" t="n"/>
      <c r="AB973" s="80" t="n"/>
      <c r="AC973" s="80" t="n"/>
      <c r="AD973" s="80" t="n"/>
      <c r="AE973" s="80" t="n"/>
      <c r="AF973" s="80" t="n"/>
      <c r="AG973" s="80" t="n"/>
      <c r="AH973" s="80" t="n"/>
      <c r="AI973" s="80" t="n"/>
      <c r="AJ973" s="80" t="n"/>
      <c r="AK973" s="80" t="n"/>
      <c r="AL973" s="80" t="n"/>
      <c r="AM973" s="80" t="n"/>
      <c r="AN973" s="80" t="n"/>
      <c r="AO973" s="80" t="n"/>
      <c r="AP973" s="80" t="n"/>
      <c r="AQ973" s="80" t="n"/>
      <c r="AR973" s="80" t="n"/>
    </row>
    <row r="974">
      <c r="D974" s="80" t="n"/>
      <c r="E974" s="80" t="n"/>
      <c r="F974" s="80" t="n"/>
      <c r="G974" s="80" t="n"/>
      <c r="H974" s="80" t="n"/>
      <c r="I974" s="80" t="n"/>
      <c r="J974" s="80" t="n"/>
      <c r="K974" s="80" t="n"/>
      <c r="L974" s="80" t="n"/>
      <c r="M974" s="80" t="n"/>
      <c r="N974" s="80" t="n"/>
      <c r="O974" s="80" t="n"/>
      <c r="P974" s="80" t="n"/>
      <c r="Q974" s="80" t="n"/>
      <c r="R974" s="80" t="n"/>
      <c r="S974" s="80" t="n"/>
      <c r="T974" s="80" t="n"/>
      <c r="U974" s="80" t="n"/>
      <c r="V974" s="80" t="n"/>
      <c r="W974" s="80" t="n"/>
      <c r="X974" s="80" t="n"/>
      <c r="Y974" s="80" t="n"/>
      <c r="Z974" s="80" t="n"/>
      <c r="AA974" s="80" t="n"/>
      <c r="AB974" s="80" t="n"/>
      <c r="AC974" s="80" t="n"/>
      <c r="AD974" s="80" t="n"/>
      <c r="AE974" s="80" t="n"/>
      <c r="AF974" s="80" t="n"/>
      <c r="AG974" s="80" t="n"/>
      <c r="AH974" s="80" t="n"/>
      <c r="AI974" s="80" t="n"/>
      <c r="AJ974" s="80" t="n"/>
      <c r="AK974" s="80" t="n"/>
      <c r="AL974" s="80" t="n"/>
      <c r="AM974" s="80" t="n"/>
      <c r="AN974" s="80" t="n"/>
      <c r="AO974" s="80" t="n"/>
      <c r="AP974" s="80" t="n"/>
      <c r="AQ974" s="80" t="n"/>
      <c r="AR974" s="80" t="n"/>
    </row>
    <row r="975">
      <c r="D975" s="80" t="n"/>
      <c r="E975" s="80" t="n"/>
      <c r="F975" s="80" t="n"/>
      <c r="G975" s="80" t="n"/>
      <c r="H975" s="80" t="n"/>
      <c r="I975" s="80" t="n"/>
      <c r="J975" s="80" t="n"/>
      <c r="K975" s="80" t="n"/>
      <c r="L975" s="80" t="n"/>
      <c r="M975" s="80" t="n"/>
      <c r="N975" s="80" t="n"/>
      <c r="O975" s="80" t="n"/>
      <c r="P975" s="80" t="n"/>
      <c r="Q975" s="80" t="n"/>
      <c r="R975" s="80" t="n"/>
      <c r="S975" s="80" t="n"/>
      <c r="T975" s="80" t="n"/>
      <c r="U975" s="80" t="n"/>
      <c r="V975" s="80" t="n"/>
      <c r="W975" s="80" t="n"/>
      <c r="X975" s="80" t="n"/>
      <c r="Y975" s="80" t="n"/>
      <c r="Z975" s="80" t="n"/>
      <c r="AA975" s="80" t="n"/>
      <c r="AB975" s="80" t="n"/>
      <c r="AC975" s="80" t="n"/>
      <c r="AD975" s="80" t="n"/>
      <c r="AE975" s="80" t="n"/>
      <c r="AF975" s="80" t="n"/>
      <c r="AG975" s="80" t="n"/>
      <c r="AH975" s="80" t="n"/>
      <c r="AI975" s="80" t="n"/>
      <c r="AJ975" s="80" t="n"/>
      <c r="AK975" s="80" t="n"/>
      <c r="AL975" s="80" t="n"/>
      <c r="AM975" s="80" t="n"/>
      <c r="AN975" s="80" t="n"/>
      <c r="AO975" s="80" t="n"/>
      <c r="AP975" s="80" t="n"/>
      <c r="AQ975" s="80" t="n"/>
      <c r="AR975" s="80" t="n"/>
    </row>
    <row r="976">
      <c r="A976" s="2">
        <f>IF($A969="","","   projections")</f>
        <v/>
      </c>
      <c r="B976" s="41">
        <f>IF($A969="",0,COUNT($E977:$AR977))</f>
        <v/>
      </c>
      <c r="C976" s="81">
        <f>IF($B976=0,0,MAX($E977:$AR977))</f>
        <v/>
      </c>
      <c r="D976" s="82">
        <f>BDS($A969,'Field Check'!$C$6,"headers=y","startcol=1","endcol=7","dir=h")</f>
        <v/>
      </c>
      <c r="E976" s="83" t="n"/>
      <c r="F976" s="83" t="n"/>
      <c r="G976" s="83" t="n"/>
      <c r="H976" s="83" t="n"/>
      <c r="I976" s="83" t="n"/>
      <c r="J976" s="83" t="n"/>
      <c r="K976" s="83" t="n"/>
      <c r="L976" s="83" t="n"/>
      <c r="M976" s="83" t="n"/>
      <c r="N976" s="83" t="n"/>
      <c r="O976" s="83" t="n"/>
      <c r="P976" s="83" t="n"/>
      <c r="Q976" s="83" t="n"/>
      <c r="R976" s="83" t="n"/>
      <c r="S976" s="83" t="n"/>
      <c r="T976" s="83" t="n"/>
      <c r="U976" s="83" t="n"/>
      <c r="V976" s="83" t="n"/>
      <c r="W976" s="83" t="n"/>
      <c r="X976" s="83" t="n"/>
      <c r="Y976" s="83" t="n"/>
      <c r="Z976" s="83" t="n"/>
      <c r="AA976" s="83" t="n"/>
      <c r="AB976" s="83" t="n"/>
      <c r="AC976" s="83" t="n"/>
      <c r="AD976" s="83" t="n"/>
      <c r="AE976" s="83" t="n"/>
      <c r="AF976" s="83" t="n"/>
      <c r="AG976" s="83" t="n"/>
      <c r="AH976" s="83" t="n"/>
      <c r="AI976" s="83" t="n"/>
      <c r="AJ976" s="83" t="n"/>
      <c r="AK976" s="83" t="n"/>
      <c r="AL976" s="83" t="n"/>
      <c r="AM976" s="83" t="n"/>
      <c r="AN976" s="83" t="n"/>
      <c r="AO976" s="83" t="n"/>
      <c r="AP976" s="83" t="n"/>
      <c r="AQ976" s="83" t="n"/>
      <c r="AR976" s="83" t="n"/>
    </row>
    <row r="977">
      <c r="D977" s="83" t="n"/>
      <c r="E977" s="83" t="n"/>
      <c r="F977" s="83" t="n"/>
      <c r="G977" s="83" t="n"/>
      <c r="H977" s="83" t="n"/>
      <c r="I977" s="83" t="n"/>
      <c r="J977" s="83" t="n"/>
      <c r="K977" s="83" t="n"/>
      <c r="L977" s="83" t="n"/>
      <c r="M977" s="83" t="n"/>
      <c r="N977" s="83" t="n"/>
      <c r="O977" s="83" t="n"/>
      <c r="P977" s="83" t="n"/>
      <c r="Q977" s="83" t="n"/>
      <c r="R977" s="83" t="n"/>
      <c r="S977" s="83" t="n"/>
      <c r="T977" s="83" t="n"/>
      <c r="U977" s="83" t="n"/>
      <c r="V977" s="83" t="n"/>
      <c r="W977" s="83" t="n"/>
      <c r="X977" s="83" t="n"/>
      <c r="Y977" s="83" t="n"/>
      <c r="Z977" s="83" t="n"/>
      <c r="AA977" s="83" t="n"/>
      <c r="AB977" s="83" t="n"/>
      <c r="AC977" s="83" t="n"/>
      <c r="AD977" s="83" t="n"/>
      <c r="AE977" s="83" t="n"/>
      <c r="AF977" s="83" t="n"/>
      <c r="AG977" s="83" t="n"/>
      <c r="AH977" s="83" t="n"/>
      <c r="AI977" s="83" t="n"/>
      <c r="AJ977" s="83" t="n"/>
      <c r="AK977" s="83" t="n"/>
      <c r="AL977" s="83" t="n"/>
      <c r="AM977" s="83" t="n"/>
      <c r="AN977" s="83" t="n"/>
      <c r="AO977" s="83" t="n"/>
      <c r="AP977" s="83" t="n"/>
      <c r="AQ977" s="83" t="n"/>
      <c r="AR977" s="83" t="n"/>
    </row>
    <row r="978">
      <c r="D978" s="84" t="n"/>
      <c r="E978" s="84" t="n"/>
      <c r="F978" s="84" t="n"/>
      <c r="G978" s="84" t="n"/>
      <c r="H978" s="84" t="n"/>
      <c r="I978" s="84" t="n"/>
      <c r="J978" s="84" t="n"/>
      <c r="K978" s="84" t="n"/>
      <c r="L978" s="84" t="n"/>
      <c r="M978" s="84" t="n"/>
      <c r="N978" s="84" t="n"/>
      <c r="O978" s="84" t="n"/>
      <c r="P978" s="84" t="n"/>
      <c r="Q978" s="84" t="n"/>
      <c r="R978" s="84" t="n"/>
      <c r="S978" s="84" t="n"/>
      <c r="T978" s="84" t="n"/>
      <c r="U978" s="84" t="n"/>
      <c r="V978" s="84" t="n"/>
      <c r="W978" s="84" t="n"/>
      <c r="X978" s="84" t="n"/>
      <c r="Y978" s="84" t="n"/>
      <c r="Z978" s="84" t="n"/>
      <c r="AA978" s="84" t="n"/>
      <c r="AB978" s="84" t="n"/>
      <c r="AC978" s="84" t="n"/>
      <c r="AD978" s="84" t="n"/>
      <c r="AE978" s="84" t="n"/>
      <c r="AF978" s="84" t="n"/>
      <c r="AG978" s="84" t="n"/>
      <c r="AH978" s="84" t="n"/>
      <c r="AI978" s="84" t="n"/>
      <c r="AJ978" s="84" t="n"/>
      <c r="AK978" s="84" t="n"/>
      <c r="AL978" s="84" t="n"/>
      <c r="AM978" s="84" t="n"/>
      <c r="AN978" s="84" t="n"/>
      <c r="AO978" s="84" t="n"/>
      <c r="AP978" s="84" t="n"/>
      <c r="AQ978" s="84" t="n"/>
      <c r="AR978" s="84" t="n"/>
    </row>
    <row r="979">
      <c r="D979" s="80" t="n"/>
      <c r="E979" s="80" t="n"/>
      <c r="F979" s="80" t="n"/>
      <c r="G979" s="80" t="n"/>
      <c r="H979" s="80" t="n"/>
      <c r="I979" s="80" t="n"/>
      <c r="J979" s="80" t="n"/>
      <c r="K979" s="80" t="n"/>
      <c r="L979" s="80" t="n"/>
      <c r="M979" s="80" t="n"/>
      <c r="N979" s="80" t="n"/>
      <c r="O979" s="80" t="n"/>
      <c r="P979" s="80" t="n"/>
      <c r="Q979" s="80" t="n"/>
      <c r="R979" s="80" t="n"/>
      <c r="S979" s="80" t="n"/>
      <c r="T979" s="80" t="n"/>
      <c r="U979" s="80" t="n"/>
      <c r="V979" s="80" t="n"/>
      <c r="W979" s="80" t="n"/>
      <c r="X979" s="80" t="n"/>
      <c r="Y979" s="80" t="n"/>
      <c r="Z979" s="80" t="n"/>
      <c r="AA979" s="80" t="n"/>
      <c r="AB979" s="80" t="n"/>
      <c r="AC979" s="80" t="n"/>
      <c r="AD979" s="80" t="n"/>
      <c r="AE979" s="80" t="n"/>
      <c r="AF979" s="80" t="n"/>
      <c r="AG979" s="80" t="n"/>
      <c r="AH979" s="80" t="n"/>
      <c r="AI979" s="80" t="n"/>
      <c r="AJ979" s="80" t="n"/>
      <c r="AK979" s="80" t="n"/>
      <c r="AL979" s="80" t="n"/>
      <c r="AM979" s="80" t="n"/>
      <c r="AN979" s="80" t="n"/>
      <c r="AO979" s="80" t="n"/>
      <c r="AP979" s="80" t="n"/>
      <c r="AQ979" s="80" t="n"/>
      <c r="AR979" s="80" t="n"/>
    </row>
    <row r="980">
      <c r="D980" s="80" t="n"/>
      <c r="E980" s="80" t="n"/>
      <c r="F980" s="80" t="n"/>
      <c r="G980" s="80" t="n"/>
      <c r="H980" s="80" t="n"/>
      <c r="I980" s="80" t="n"/>
      <c r="J980" s="80" t="n"/>
      <c r="K980" s="80" t="n"/>
      <c r="L980" s="80" t="n"/>
      <c r="M980" s="80" t="n"/>
      <c r="N980" s="80" t="n"/>
      <c r="O980" s="80" t="n"/>
      <c r="P980" s="80" t="n"/>
      <c r="Q980" s="80" t="n"/>
      <c r="R980" s="80" t="n"/>
      <c r="S980" s="80" t="n"/>
      <c r="T980" s="80" t="n"/>
      <c r="U980" s="80" t="n"/>
      <c r="V980" s="80" t="n"/>
      <c r="W980" s="80" t="n"/>
      <c r="X980" s="80" t="n"/>
      <c r="Y980" s="80" t="n"/>
      <c r="Z980" s="80" t="n"/>
      <c r="AA980" s="80" t="n"/>
      <c r="AB980" s="80" t="n"/>
      <c r="AC980" s="80" t="n"/>
      <c r="AD980" s="80" t="n"/>
      <c r="AE980" s="80" t="n"/>
      <c r="AF980" s="80" t="n"/>
      <c r="AG980" s="80" t="n"/>
      <c r="AH980" s="80" t="n"/>
      <c r="AI980" s="80" t="n"/>
      <c r="AJ980" s="80" t="n"/>
      <c r="AK980" s="80" t="n"/>
      <c r="AL980" s="80" t="n"/>
      <c r="AM980" s="80" t="n"/>
      <c r="AN980" s="80" t="n"/>
      <c r="AO980" s="80" t="n"/>
      <c r="AP980" s="80" t="n"/>
      <c r="AQ980" s="80" t="n"/>
      <c r="AR980" s="80" t="n"/>
    </row>
    <row r="981">
      <c r="D981" s="80" t="n"/>
      <c r="E981" s="80" t="n"/>
      <c r="F981" s="80" t="n"/>
      <c r="G981" s="80" t="n"/>
      <c r="H981" s="80" t="n"/>
      <c r="I981" s="80" t="n"/>
      <c r="J981" s="80" t="n"/>
      <c r="K981" s="80" t="n"/>
      <c r="L981" s="80" t="n"/>
      <c r="M981" s="80" t="n"/>
      <c r="N981" s="80" t="n"/>
      <c r="O981" s="80" t="n"/>
      <c r="P981" s="80" t="n"/>
      <c r="Q981" s="80" t="n"/>
      <c r="R981" s="80" t="n"/>
      <c r="S981" s="80" t="n"/>
      <c r="T981" s="80" t="n"/>
      <c r="U981" s="80" t="n"/>
      <c r="V981" s="80" t="n"/>
      <c r="W981" s="80" t="n"/>
      <c r="X981" s="80" t="n"/>
      <c r="Y981" s="80" t="n"/>
      <c r="Z981" s="80" t="n"/>
      <c r="AA981" s="80" t="n"/>
      <c r="AB981" s="80" t="n"/>
      <c r="AC981" s="80" t="n"/>
      <c r="AD981" s="80" t="n"/>
      <c r="AE981" s="80" t="n"/>
      <c r="AF981" s="80" t="n"/>
      <c r="AG981" s="80" t="n"/>
      <c r="AH981" s="80" t="n"/>
      <c r="AI981" s="80" t="n"/>
      <c r="AJ981" s="80" t="n"/>
      <c r="AK981" s="80" t="n"/>
      <c r="AL981" s="80" t="n"/>
      <c r="AM981" s="80" t="n"/>
      <c r="AN981" s="80" t="n"/>
      <c r="AO981" s="80" t="n"/>
      <c r="AP981" s="80" t="n"/>
      <c r="AQ981" s="80" t="n"/>
      <c r="AR981" s="80" t="n"/>
    </row>
    <row r="982">
      <c r="D982" s="80" t="n"/>
      <c r="E982" s="80" t="n"/>
      <c r="F982" s="80" t="n"/>
      <c r="G982" s="80" t="n"/>
      <c r="H982" s="80" t="n"/>
      <c r="I982" s="80" t="n"/>
      <c r="J982" s="80" t="n"/>
      <c r="K982" s="80" t="n"/>
      <c r="L982" s="80" t="n"/>
      <c r="M982" s="80" t="n"/>
      <c r="N982" s="80" t="n"/>
      <c r="O982" s="80" t="n"/>
      <c r="P982" s="80" t="n"/>
      <c r="Q982" s="80" t="n"/>
      <c r="R982" s="80" t="n"/>
      <c r="S982" s="80" t="n"/>
      <c r="T982" s="80" t="n"/>
      <c r="U982" s="80" t="n"/>
      <c r="V982" s="80" t="n"/>
      <c r="W982" s="80" t="n"/>
      <c r="X982" s="80" t="n"/>
      <c r="Y982" s="80" t="n"/>
      <c r="Z982" s="80" t="n"/>
      <c r="AA982" s="80" t="n"/>
      <c r="AB982" s="80" t="n"/>
      <c r="AC982" s="80" t="n"/>
      <c r="AD982" s="80" t="n"/>
      <c r="AE982" s="80" t="n"/>
      <c r="AF982" s="80" t="n"/>
      <c r="AG982" s="80" t="n"/>
      <c r="AH982" s="80" t="n"/>
      <c r="AI982" s="80" t="n"/>
      <c r="AJ982" s="80" t="n"/>
      <c r="AK982" s="80" t="n"/>
      <c r="AL982" s="80" t="n"/>
      <c r="AM982" s="80" t="n"/>
      <c r="AN982" s="80" t="n"/>
      <c r="AO982" s="80" t="n"/>
      <c r="AP982" s="80" t="n"/>
      <c r="AQ982" s="80" t="n"/>
      <c r="AR982" s="80" t="n"/>
    </row>
    <row r="984">
      <c r="A984" s="6">
        <f>IF(HSI!$C$72="","",HSI!$C$72)</f>
        <v/>
      </c>
      <c r="B984" s="41">
        <f>IF($A984="",0,COUNT($E985:$AR985))</f>
        <v/>
      </c>
      <c r="C984" s="81">
        <f>IF($B984=0,0,MAX($E985:$AR985))</f>
        <v/>
      </c>
      <c r="D984" s="82">
        <f>BDS($A984,'Field Check'!$C$7,"headers=y","startcol=1","endcol=7","dir=h","DVD_START_DT",Summary!$C$18,"DVD_END_DT",Summary!$D$18)</f>
        <v/>
      </c>
      <c r="E984" s="83" t="n"/>
      <c r="F984" s="83" t="n"/>
      <c r="G984" s="83" t="n"/>
      <c r="H984" s="83" t="n"/>
      <c r="I984" s="83" t="n"/>
      <c r="J984" s="83" t="n"/>
      <c r="K984" s="83" t="n"/>
      <c r="L984" s="83" t="n"/>
      <c r="M984" s="83" t="n"/>
      <c r="N984" s="83" t="n"/>
      <c r="O984" s="83" t="n"/>
      <c r="P984" s="83" t="n"/>
      <c r="Q984" s="83" t="n"/>
      <c r="R984" s="83" t="n"/>
      <c r="S984" s="83" t="n"/>
      <c r="T984" s="83" t="n"/>
      <c r="U984" s="83" t="n"/>
      <c r="V984" s="83" t="n"/>
      <c r="W984" s="83" t="n"/>
      <c r="X984" s="83" t="n"/>
      <c r="Y984" s="83" t="n"/>
      <c r="Z984" s="83" t="n"/>
      <c r="AA984" s="83" t="n"/>
      <c r="AB984" s="83" t="n"/>
      <c r="AC984" s="83" t="n"/>
      <c r="AD984" s="83" t="n"/>
      <c r="AE984" s="83" t="n"/>
      <c r="AF984" s="83" t="n"/>
      <c r="AG984" s="83" t="n"/>
      <c r="AH984" s="83" t="n"/>
      <c r="AI984" s="83" t="n"/>
      <c r="AJ984" s="83" t="n"/>
      <c r="AK984" s="83" t="n"/>
      <c r="AL984" s="83" t="n"/>
      <c r="AM984" s="83" t="n"/>
      <c r="AN984" s="83" t="n"/>
      <c r="AO984" s="83" t="n"/>
      <c r="AP984" s="83" t="n"/>
      <c r="AQ984" s="83" t="n"/>
      <c r="AR984" s="83" t="n"/>
    </row>
    <row r="985">
      <c r="D985" s="83" t="n"/>
      <c r="E985" s="83" t="n"/>
      <c r="F985" s="83" t="n"/>
      <c r="G985" s="83" t="n"/>
      <c r="H985" s="83" t="n"/>
      <c r="I985" s="83" t="n"/>
      <c r="J985" s="83" t="n"/>
      <c r="K985" s="83" t="n"/>
      <c r="L985" s="83" t="n"/>
      <c r="M985" s="83" t="n"/>
      <c r="N985" s="83" t="n"/>
      <c r="O985" s="83" t="n"/>
      <c r="P985" s="83" t="n"/>
      <c r="Q985" s="83" t="n"/>
      <c r="R985" s="83" t="n"/>
      <c r="S985" s="83" t="n"/>
      <c r="T985" s="83" t="n"/>
      <c r="U985" s="83" t="n"/>
      <c r="V985" s="83" t="n"/>
      <c r="W985" s="83" t="n"/>
      <c r="X985" s="83" t="n"/>
      <c r="Y985" s="83" t="n"/>
      <c r="Z985" s="83" t="n"/>
      <c r="AA985" s="83" t="n"/>
      <c r="AB985" s="83" t="n"/>
      <c r="AC985" s="83" t="n"/>
      <c r="AD985" s="83" t="n"/>
      <c r="AE985" s="83" t="n"/>
      <c r="AF985" s="83" t="n"/>
      <c r="AG985" s="83" t="n"/>
      <c r="AH985" s="83" t="n"/>
      <c r="AI985" s="83" t="n"/>
      <c r="AJ985" s="83" t="n"/>
      <c r="AK985" s="83" t="n"/>
      <c r="AL985" s="83" t="n"/>
      <c r="AM985" s="83" t="n"/>
      <c r="AN985" s="83" t="n"/>
      <c r="AO985" s="83" t="n"/>
      <c r="AP985" s="83" t="n"/>
      <c r="AQ985" s="83" t="n"/>
      <c r="AR985" s="83" t="n"/>
    </row>
    <row r="986">
      <c r="D986" s="84" t="n"/>
      <c r="E986" s="84" t="n"/>
      <c r="F986" s="84" t="n"/>
      <c r="G986" s="84" t="n"/>
      <c r="H986" s="84" t="n"/>
      <c r="I986" s="84" t="n"/>
      <c r="J986" s="84" t="n"/>
      <c r="K986" s="84" t="n"/>
      <c r="L986" s="84" t="n"/>
      <c r="M986" s="84" t="n"/>
      <c r="N986" s="84" t="n"/>
      <c r="O986" s="84" t="n"/>
      <c r="P986" s="84" t="n"/>
      <c r="Q986" s="84" t="n"/>
      <c r="R986" s="84" t="n"/>
      <c r="S986" s="84" t="n"/>
      <c r="T986" s="84" t="n"/>
      <c r="U986" s="84" t="n"/>
      <c r="V986" s="84" t="n"/>
      <c r="W986" s="84" t="n"/>
      <c r="X986" s="84" t="n"/>
      <c r="Y986" s="84" t="n"/>
      <c r="Z986" s="84" t="n"/>
      <c r="AA986" s="84" t="n"/>
      <c r="AB986" s="84" t="n"/>
      <c r="AC986" s="84" t="n"/>
      <c r="AD986" s="84" t="n"/>
      <c r="AE986" s="84" t="n"/>
      <c r="AF986" s="84" t="n"/>
      <c r="AG986" s="84" t="n"/>
      <c r="AH986" s="84" t="n"/>
      <c r="AI986" s="84" t="n"/>
      <c r="AJ986" s="84" t="n"/>
      <c r="AK986" s="84" t="n"/>
      <c r="AL986" s="84" t="n"/>
      <c r="AM986" s="84" t="n"/>
      <c r="AN986" s="84" t="n"/>
      <c r="AO986" s="84" t="n"/>
      <c r="AP986" s="84" t="n"/>
      <c r="AQ986" s="84" t="n"/>
      <c r="AR986" s="84" t="n"/>
    </row>
    <row r="987">
      <c r="D987" s="80" t="n"/>
      <c r="E987" s="80" t="n"/>
      <c r="F987" s="80" t="n"/>
      <c r="G987" s="80" t="n"/>
      <c r="H987" s="80" t="n"/>
      <c r="I987" s="80" t="n"/>
      <c r="J987" s="80" t="n"/>
      <c r="K987" s="80" t="n"/>
      <c r="L987" s="80" t="n"/>
      <c r="M987" s="80" t="n"/>
      <c r="N987" s="80" t="n"/>
      <c r="O987" s="80" t="n"/>
      <c r="P987" s="80" t="n"/>
      <c r="Q987" s="80" t="n"/>
      <c r="R987" s="80" t="n"/>
      <c r="S987" s="80" t="n"/>
      <c r="T987" s="80" t="n"/>
      <c r="U987" s="80" t="n"/>
      <c r="V987" s="80" t="n"/>
      <c r="W987" s="80" t="n"/>
      <c r="X987" s="80" t="n"/>
      <c r="Y987" s="80" t="n"/>
      <c r="Z987" s="80" t="n"/>
      <c r="AA987" s="80" t="n"/>
      <c r="AB987" s="80" t="n"/>
      <c r="AC987" s="80" t="n"/>
      <c r="AD987" s="80" t="n"/>
      <c r="AE987" s="80" t="n"/>
      <c r="AF987" s="80" t="n"/>
      <c r="AG987" s="80" t="n"/>
      <c r="AH987" s="80" t="n"/>
      <c r="AI987" s="80" t="n"/>
      <c r="AJ987" s="80" t="n"/>
      <c r="AK987" s="80" t="n"/>
      <c r="AL987" s="80" t="n"/>
      <c r="AM987" s="80" t="n"/>
      <c r="AN987" s="80" t="n"/>
      <c r="AO987" s="80" t="n"/>
      <c r="AP987" s="80" t="n"/>
      <c r="AQ987" s="80" t="n"/>
      <c r="AR987" s="80" t="n"/>
    </row>
    <row r="988">
      <c r="D988" s="80" t="n"/>
      <c r="E988" s="80" t="n"/>
      <c r="F988" s="80" t="n"/>
      <c r="G988" s="80" t="n"/>
      <c r="H988" s="80" t="n"/>
      <c r="I988" s="80" t="n"/>
      <c r="J988" s="80" t="n"/>
      <c r="K988" s="80" t="n"/>
      <c r="L988" s="80" t="n"/>
      <c r="M988" s="80" t="n"/>
      <c r="N988" s="80" t="n"/>
      <c r="O988" s="80" t="n"/>
      <c r="P988" s="80" t="n"/>
      <c r="Q988" s="80" t="n"/>
      <c r="R988" s="80" t="n"/>
      <c r="S988" s="80" t="n"/>
      <c r="T988" s="80" t="n"/>
      <c r="U988" s="80" t="n"/>
      <c r="V988" s="80" t="n"/>
      <c r="W988" s="80" t="n"/>
      <c r="X988" s="80" t="n"/>
      <c r="Y988" s="80" t="n"/>
      <c r="Z988" s="80" t="n"/>
      <c r="AA988" s="80" t="n"/>
      <c r="AB988" s="80" t="n"/>
      <c r="AC988" s="80" t="n"/>
      <c r="AD988" s="80" t="n"/>
      <c r="AE988" s="80" t="n"/>
      <c r="AF988" s="80" t="n"/>
      <c r="AG988" s="80" t="n"/>
      <c r="AH988" s="80" t="n"/>
      <c r="AI988" s="80" t="n"/>
      <c r="AJ988" s="80" t="n"/>
      <c r="AK988" s="80" t="n"/>
      <c r="AL988" s="80" t="n"/>
      <c r="AM988" s="80" t="n"/>
      <c r="AN988" s="80" t="n"/>
      <c r="AO988" s="80" t="n"/>
      <c r="AP988" s="80" t="n"/>
      <c r="AQ988" s="80" t="n"/>
      <c r="AR988" s="80" t="n"/>
    </row>
    <row r="989">
      <c r="D989" s="80" t="n"/>
      <c r="E989" s="80" t="n"/>
      <c r="F989" s="80" t="n"/>
      <c r="G989" s="80" t="n"/>
      <c r="H989" s="80" t="n"/>
      <c r="I989" s="80" t="n"/>
      <c r="J989" s="80" t="n"/>
      <c r="K989" s="80" t="n"/>
      <c r="L989" s="80" t="n"/>
      <c r="M989" s="80" t="n"/>
      <c r="N989" s="80" t="n"/>
      <c r="O989" s="80" t="n"/>
      <c r="P989" s="80" t="n"/>
      <c r="Q989" s="80" t="n"/>
      <c r="R989" s="80" t="n"/>
      <c r="S989" s="80" t="n"/>
      <c r="T989" s="80" t="n"/>
      <c r="U989" s="80" t="n"/>
      <c r="V989" s="80" t="n"/>
      <c r="W989" s="80" t="n"/>
      <c r="X989" s="80" t="n"/>
      <c r="Y989" s="80" t="n"/>
      <c r="Z989" s="80" t="n"/>
      <c r="AA989" s="80" t="n"/>
      <c r="AB989" s="80" t="n"/>
      <c r="AC989" s="80" t="n"/>
      <c r="AD989" s="80" t="n"/>
      <c r="AE989" s="80" t="n"/>
      <c r="AF989" s="80" t="n"/>
      <c r="AG989" s="80" t="n"/>
      <c r="AH989" s="80" t="n"/>
      <c r="AI989" s="80" t="n"/>
      <c r="AJ989" s="80" t="n"/>
      <c r="AK989" s="80" t="n"/>
      <c r="AL989" s="80" t="n"/>
      <c r="AM989" s="80" t="n"/>
      <c r="AN989" s="80" t="n"/>
      <c r="AO989" s="80" t="n"/>
      <c r="AP989" s="80" t="n"/>
      <c r="AQ989" s="80" t="n"/>
      <c r="AR989" s="80" t="n"/>
    </row>
    <row r="990">
      <c r="D990" s="80" t="n"/>
      <c r="E990" s="80" t="n"/>
      <c r="F990" s="80" t="n"/>
      <c r="G990" s="80" t="n"/>
      <c r="H990" s="80" t="n"/>
      <c r="I990" s="80" t="n"/>
      <c r="J990" s="80" t="n"/>
      <c r="K990" s="80" t="n"/>
      <c r="L990" s="80" t="n"/>
      <c r="M990" s="80" t="n"/>
      <c r="N990" s="80" t="n"/>
      <c r="O990" s="80" t="n"/>
      <c r="P990" s="80" t="n"/>
      <c r="Q990" s="80" t="n"/>
      <c r="R990" s="80" t="n"/>
      <c r="S990" s="80" t="n"/>
      <c r="T990" s="80" t="n"/>
      <c r="U990" s="80" t="n"/>
      <c r="V990" s="80" t="n"/>
      <c r="W990" s="80" t="n"/>
      <c r="X990" s="80" t="n"/>
      <c r="Y990" s="80" t="n"/>
      <c r="Z990" s="80" t="n"/>
      <c r="AA990" s="80" t="n"/>
      <c r="AB990" s="80" t="n"/>
      <c r="AC990" s="80" t="n"/>
      <c r="AD990" s="80" t="n"/>
      <c r="AE990" s="80" t="n"/>
      <c r="AF990" s="80" t="n"/>
      <c r="AG990" s="80" t="n"/>
      <c r="AH990" s="80" t="n"/>
      <c r="AI990" s="80" t="n"/>
      <c r="AJ990" s="80" t="n"/>
      <c r="AK990" s="80" t="n"/>
      <c r="AL990" s="80" t="n"/>
      <c r="AM990" s="80" t="n"/>
      <c r="AN990" s="80" t="n"/>
      <c r="AO990" s="80" t="n"/>
      <c r="AP990" s="80" t="n"/>
      <c r="AQ990" s="80" t="n"/>
      <c r="AR990" s="80" t="n"/>
    </row>
    <row r="991">
      <c r="A991" s="2">
        <f>IF($A984="","","   projections")</f>
        <v/>
      </c>
      <c r="B991" s="41">
        <f>IF($A984="",0,COUNT($E992:$AR992))</f>
        <v/>
      </c>
      <c r="C991" s="81">
        <f>IF($B991=0,0,MAX($E992:$AR992))</f>
        <v/>
      </c>
      <c r="D991" s="82">
        <f>BDS($A984,'Field Check'!$C$6,"headers=y","startcol=1","endcol=7","dir=h")</f>
        <v/>
      </c>
      <c r="E991" s="83" t="n"/>
      <c r="F991" s="83" t="n"/>
      <c r="G991" s="83" t="n"/>
      <c r="H991" s="83" t="n"/>
      <c r="I991" s="83" t="n"/>
      <c r="J991" s="83" t="n"/>
      <c r="K991" s="83" t="n"/>
      <c r="L991" s="83" t="n"/>
      <c r="M991" s="83" t="n"/>
      <c r="N991" s="83" t="n"/>
      <c r="O991" s="83" t="n"/>
      <c r="P991" s="83" t="n"/>
      <c r="Q991" s="83" t="n"/>
      <c r="R991" s="83" t="n"/>
      <c r="S991" s="83" t="n"/>
      <c r="T991" s="83" t="n"/>
      <c r="U991" s="83" t="n"/>
      <c r="V991" s="83" t="n"/>
      <c r="W991" s="83" t="n"/>
      <c r="X991" s="83" t="n"/>
      <c r="Y991" s="83" t="n"/>
      <c r="Z991" s="83" t="n"/>
      <c r="AA991" s="83" t="n"/>
      <c r="AB991" s="83" t="n"/>
      <c r="AC991" s="83" t="n"/>
      <c r="AD991" s="83" t="n"/>
      <c r="AE991" s="83" t="n"/>
      <c r="AF991" s="83" t="n"/>
      <c r="AG991" s="83" t="n"/>
      <c r="AH991" s="83" t="n"/>
      <c r="AI991" s="83" t="n"/>
      <c r="AJ991" s="83" t="n"/>
      <c r="AK991" s="83" t="n"/>
      <c r="AL991" s="83" t="n"/>
      <c r="AM991" s="83" t="n"/>
      <c r="AN991" s="83" t="n"/>
      <c r="AO991" s="83" t="n"/>
      <c r="AP991" s="83" t="n"/>
      <c r="AQ991" s="83" t="n"/>
      <c r="AR991" s="83" t="n"/>
    </row>
    <row r="992">
      <c r="D992" s="83" t="n"/>
      <c r="E992" s="83" t="n"/>
      <c r="F992" s="83" t="n"/>
      <c r="G992" s="83" t="n"/>
      <c r="H992" s="83" t="n"/>
      <c r="I992" s="83" t="n"/>
      <c r="J992" s="83" t="n"/>
      <c r="K992" s="83" t="n"/>
      <c r="L992" s="83" t="n"/>
      <c r="M992" s="83" t="n"/>
      <c r="N992" s="83" t="n"/>
      <c r="O992" s="83" t="n"/>
      <c r="P992" s="83" t="n"/>
      <c r="Q992" s="83" t="n"/>
      <c r="R992" s="83" t="n"/>
      <c r="S992" s="83" t="n"/>
      <c r="T992" s="83" t="n"/>
      <c r="U992" s="83" t="n"/>
      <c r="V992" s="83" t="n"/>
      <c r="W992" s="83" t="n"/>
      <c r="X992" s="83" t="n"/>
      <c r="Y992" s="83" t="n"/>
      <c r="Z992" s="83" t="n"/>
      <c r="AA992" s="83" t="n"/>
      <c r="AB992" s="83" t="n"/>
      <c r="AC992" s="83" t="n"/>
      <c r="AD992" s="83" t="n"/>
      <c r="AE992" s="83" t="n"/>
      <c r="AF992" s="83" t="n"/>
      <c r="AG992" s="83" t="n"/>
      <c r="AH992" s="83" t="n"/>
      <c r="AI992" s="83" t="n"/>
      <c r="AJ992" s="83" t="n"/>
      <c r="AK992" s="83" t="n"/>
      <c r="AL992" s="83" t="n"/>
      <c r="AM992" s="83" t="n"/>
      <c r="AN992" s="83" t="n"/>
      <c r="AO992" s="83" t="n"/>
      <c r="AP992" s="83" t="n"/>
      <c r="AQ992" s="83" t="n"/>
      <c r="AR992" s="83" t="n"/>
    </row>
    <row r="993">
      <c r="D993" s="84" t="n"/>
      <c r="E993" s="84" t="n"/>
      <c r="F993" s="84" t="n"/>
      <c r="G993" s="84" t="n"/>
      <c r="H993" s="84" t="n"/>
      <c r="I993" s="84" t="n"/>
      <c r="J993" s="84" t="n"/>
      <c r="K993" s="84" t="n"/>
      <c r="L993" s="84" t="n"/>
      <c r="M993" s="84" t="n"/>
      <c r="N993" s="84" t="n"/>
      <c r="O993" s="84" t="n"/>
      <c r="P993" s="84" t="n"/>
      <c r="Q993" s="84" t="n"/>
      <c r="R993" s="84" t="n"/>
      <c r="S993" s="84" t="n"/>
      <c r="T993" s="84" t="n"/>
      <c r="U993" s="84" t="n"/>
      <c r="V993" s="84" t="n"/>
      <c r="W993" s="84" t="n"/>
      <c r="X993" s="84" t="n"/>
      <c r="Y993" s="84" t="n"/>
      <c r="Z993" s="84" t="n"/>
      <c r="AA993" s="84" t="n"/>
      <c r="AB993" s="84" t="n"/>
      <c r="AC993" s="84" t="n"/>
      <c r="AD993" s="84" t="n"/>
      <c r="AE993" s="84" t="n"/>
      <c r="AF993" s="84" t="n"/>
      <c r="AG993" s="84" t="n"/>
      <c r="AH993" s="84" t="n"/>
      <c r="AI993" s="84" t="n"/>
      <c r="AJ993" s="84" t="n"/>
      <c r="AK993" s="84" t="n"/>
      <c r="AL993" s="84" t="n"/>
      <c r="AM993" s="84" t="n"/>
      <c r="AN993" s="84" t="n"/>
      <c r="AO993" s="84" t="n"/>
      <c r="AP993" s="84" t="n"/>
      <c r="AQ993" s="84" t="n"/>
      <c r="AR993" s="84" t="n"/>
    </row>
    <row r="994">
      <c r="D994" s="80" t="n"/>
      <c r="E994" s="80" t="n"/>
      <c r="F994" s="80" t="n"/>
      <c r="G994" s="80" t="n"/>
      <c r="H994" s="80" t="n"/>
      <c r="I994" s="80" t="n"/>
      <c r="J994" s="80" t="n"/>
      <c r="K994" s="80" t="n"/>
      <c r="L994" s="80" t="n"/>
      <c r="M994" s="80" t="n"/>
      <c r="N994" s="80" t="n"/>
      <c r="O994" s="80" t="n"/>
      <c r="P994" s="80" t="n"/>
      <c r="Q994" s="80" t="n"/>
      <c r="R994" s="80" t="n"/>
      <c r="S994" s="80" t="n"/>
      <c r="T994" s="80" t="n"/>
      <c r="U994" s="80" t="n"/>
      <c r="V994" s="80" t="n"/>
      <c r="W994" s="80" t="n"/>
      <c r="X994" s="80" t="n"/>
      <c r="Y994" s="80" t="n"/>
      <c r="Z994" s="80" t="n"/>
      <c r="AA994" s="80" t="n"/>
      <c r="AB994" s="80" t="n"/>
      <c r="AC994" s="80" t="n"/>
      <c r="AD994" s="80" t="n"/>
      <c r="AE994" s="80" t="n"/>
      <c r="AF994" s="80" t="n"/>
      <c r="AG994" s="80" t="n"/>
      <c r="AH994" s="80" t="n"/>
      <c r="AI994" s="80" t="n"/>
      <c r="AJ994" s="80" t="n"/>
      <c r="AK994" s="80" t="n"/>
      <c r="AL994" s="80" t="n"/>
      <c r="AM994" s="80" t="n"/>
      <c r="AN994" s="80" t="n"/>
      <c r="AO994" s="80" t="n"/>
      <c r="AP994" s="80" t="n"/>
      <c r="AQ994" s="80" t="n"/>
      <c r="AR994" s="80" t="n"/>
    </row>
    <row r="995">
      <c r="D995" s="80" t="n"/>
      <c r="E995" s="80" t="n"/>
      <c r="F995" s="80" t="n"/>
      <c r="G995" s="80" t="n"/>
      <c r="H995" s="80" t="n"/>
      <c r="I995" s="80" t="n"/>
      <c r="J995" s="80" t="n"/>
      <c r="K995" s="80" t="n"/>
      <c r="L995" s="80" t="n"/>
      <c r="M995" s="80" t="n"/>
      <c r="N995" s="80" t="n"/>
      <c r="O995" s="80" t="n"/>
      <c r="P995" s="80" t="n"/>
      <c r="Q995" s="80" t="n"/>
      <c r="R995" s="80" t="n"/>
      <c r="S995" s="80" t="n"/>
      <c r="T995" s="80" t="n"/>
      <c r="U995" s="80" t="n"/>
      <c r="V995" s="80" t="n"/>
      <c r="W995" s="80" t="n"/>
      <c r="X995" s="80" t="n"/>
      <c r="Y995" s="80" t="n"/>
      <c r="Z995" s="80" t="n"/>
      <c r="AA995" s="80" t="n"/>
      <c r="AB995" s="80" t="n"/>
      <c r="AC995" s="80" t="n"/>
      <c r="AD995" s="80" t="n"/>
      <c r="AE995" s="80" t="n"/>
      <c r="AF995" s="80" t="n"/>
      <c r="AG995" s="80" t="n"/>
      <c r="AH995" s="80" t="n"/>
      <c r="AI995" s="80" t="n"/>
      <c r="AJ995" s="80" t="n"/>
      <c r="AK995" s="80" t="n"/>
      <c r="AL995" s="80" t="n"/>
      <c r="AM995" s="80" t="n"/>
      <c r="AN995" s="80" t="n"/>
      <c r="AO995" s="80" t="n"/>
      <c r="AP995" s="80" t="n"/>
      <c r="AQ995" s="80" t="n"/>
      <c r="AR995" s="80" t="n"/>
    </row>
    <row r="996">
      <c r="D996" s="80" t="n"/>
      <c r="E996" s="80" t="n"/>
      <c r="F996" s="80" t="n"/>
      <c r="G996" s="80" t="n"/>
      <c r="H996" s="80" t="n"/>
      <c r="I996" s="80" t="n"/>
      <c r="J996" s="80" t="n"/>
      <c r="K996" s="80" t="n"/>
      <c r="L996" s="80" t="n"/>
      <c r="M996" s="80" t="n"/>
      <c r="N996" s="80" t="n"/>
      <c r="O996" s="80" t="n"/>
      <c r="P996" s="80" t="n"/>
      <c r="Q996" s="80" t="n"/>
      <c r="R996" s="80" t="n"/>
      <c r="S996" s="80" t="n"/>
      <c r="T996" s="80" t="n"/>
      <c r="U996" s="80" t="n"/>
      <c r="V996" s="80" t="n"/>
      <c r="W996" s="80" t="n"/>
      <c r="X996" s="80" t="n"/>
      <c r="Y996" s="80" t="n"/>
      <c r="Z996" s="80" t="n"/>
      <c r="AA996" s="80" t="n"/>
      <c r="AB996" s="80" t="n"/>
      <c r="AC996" s="80" t="n"/>
      <c r="AD996" s="80" t="n"/>
      <c r="AE996" s="80" t="n"/>
      <c r="AF996" s="80" t="n"/>
      <c r="AG996" s="80" t="n"/>
      <c r="AH996" s="80" t="n"/>
      <c r="AI996" s="80" t="n"/>
      <c r="AJ996" s="80" t="n"/>
      <c r="AK996" s="80" t="n"/>
      <c r="AL996" s="80" t="n"/>
      <c r="AM996" s="80" t="n"/>
      <c r="AN996" s="80" t="n"/>
      <c r="AO996" s="80" t="n"/>
      <c r="AP996" s="80" t="n"/>
      <c r="AQ996" s="80" t="n"/>
      <c r="AR996" s="80" t="n"/>
    </row>
    <row r="997">
      <c r="D997" s="80" t="n"/>
      <c r="E997" s="80" t="n"/>
      <c r="F997" s="80" t="n"/>
      <c r="G997" s="80" t="n"/>
      <c r="H997" s="80" t="n"/>
      <c r="I997" s="80" t="n"/>
      <c r="J997" s="80" t="n"/>
      <c r="K997" s="80" t="n"/>
      <c r="L997" s="80" t="n"/>
      <c r="M997" s="80" t="n"/>
      <c r="N997" s="80" t="n"/>
      <c r="O997" s="80" t="n"/>
      <c r="P997" s="80" t="n"/>
      <c r="Q997" s="80" t="n"/>
      <c r="R997" s="80" t="n"/>
      <c r="S997" s="80" t="n"/>
      <c r="T997" s="80" t="n"/>
      <c r="U997" s="80" t="n"/>
      <c r="V997" s="80" t="n"/>
      <c r="W997" s="80" t="n"/>
      <c r="X997" s="80" t="n"/>
      <c r="Y997" s="80" t="n"/>
      <c r="Z997" s="80" t="n"/>
      <c r="AA997" s="80" t="n"/>
      <c r="AB997" s="80" t="n"/>
      <c r="AC997" s="80" t="n"/>
      <c r="AD997" s="80" t="n"/>
      <c r="AE997" s="80" t="n"/>
      <c r="AF997" s="80" t="n"/>
      <c r="AG997" s="80" t="n"/>
      <c r="AH997" s="80" t="n"/>
      <c r="AI997" s="80" t="n"/>
      <c r="AJ997" s="80" t="n"/>
      <c r="AK997" s="80" t="n"/>
      <c r="AL997" s="80" t="n"/>
      <c r="AM997" s="80" t="n"/>
      <c r="AN997" s="80" t="n"/>
      <c r="AO997" s="80" t="n"/>
      <c r="AP997" s="80" t="n"/>
      <c r="AQ997" s="80" t="n"/>
      <c r="AR997" s="80" t="n"/>
    </row>
    <row r="999">
      <c r="A999" s="6">
        <f>IF(HSI!$C$73="","",HSI!$C$73)</f>
        <v/>
      </c>
      <c r="B999" s="41">
        <f>IF($A999="",0,COUNT($E1000:$AR1000))</f>
        <v/>
      </c>
      <c r="C999" s="81">
        <f>IF($B999=0,0,MAX($E1000:$AR1000))</f>
        <v/>
      </c>
      <c r="D999" s="82">
        <f>BDS($A999,'Field Check'!$C$7,"headers=y","startcol=1","endcol=7","dir=h","DVD_START_DT",Summary!$C$18,"DVD_END_DT",Summary!$D$18)</f>
        <v/>
      </c>
      <c r="E999" s="83" t="n"/>
      <c r="F999" s="83" t="n"/>
      <c r="G999" s="83" t="n"/>
      <c r="H999" s="83" t="n"/>
      <c r="I999" s="83" t="n"/>
      <c r="J999" s="83" t="n"/>
      <c r="K999" s="83" t="n"/>
      <c r="L999" s="83" t="n"/>
      <c r="M999" s="83" t="n"/>
      <c r="N999" s="83" t="n"/>
      <c r="O999" s="83" t="n"/>
      <c r="P999" s="83" t="n"/>
      <c r="Q999" s="83" t="n"/>
      <c r="R999" s="83" t="n"/>
      <c r="S999" s="83" t="n"/>
      <c r="T999" s="83" t="n"/>
      <c r="U999" s="83" t="n"/>
      <c r="V999" s="83" t="n"/>
      <c r="W999" s="83" t="n"/>
      <c r="X999" s="83" t="n"/>
      <c r="Y999" s="83" t="n"/>
      <c r="Z999" s="83" t="n"/>
      <c r="AA999" s="83" t="n"/>
      <c r="AB999" s="83" t="n"/>
      <c r="AC999" s="83" t="n"/>
      <c r="AD999" s="83" t="n"/>
      <c r="AE999" s="83" t="n"/>
      <c r="AF999" s="83" t="n"/>
      <c r="AG999" s="83" t="n"/>
      <c r="AH999" s="83" t="n"/>
      <c r="AI999" s="83" t="n"/>
      <c r="AJ999" s="83" t="n"/>
      <c r="AK999" s="83" t="n"/>
      <c r="AL999" s="83" t="n"/>
      <c r="AM999" s="83" t="n"/>
      <c r="AN999" s="83" t="n"/>
      <c r="AO999" s="83" t="n"/>
      <c r="AP999" s="83" t="n"/>
      <c r="AQ999" s="83" t="n"/>
      <c r="AR999" s="83" t="n"/>
    </row>
    <row r="1000">
      <c r="D1000" s="83" t="n"/>
      <c r="E1000" s="83" t="n"/>
      <c r="F1000" s="83" t="n"/>
      <c r="G1000" s="83" t="n"/>
      <c r="H1000" s="83" t="n"/>
      <c r="I1000" s="83" t="n"/>
      <c r="J1000" s="83" t="n"/>
      <c r="K1000" s="83" t="n"/>
      <c r="L1000" s="83" t="n"/>
      <c r="M1000" s="83" t="n"/>
      <c r="N1000" s="83" t="n"/>
      <c r="O1000" s="83" t="n"/>
      <c r="P1000" s="83" t="n"/>
      <c r="Q1000" s="83" t="n"/>
      <c r="R1000" s="83" t="n"/>
      <c r="S1000" s="83" t="n"/>
      <c r="T1000" s="83" t="n"/>
      <c r="U1000" s="83" t="n"/>
      <c r="V1000" s="83" t="n"/>
      <c r="W1000" s="83" t="n"/>
      <c r="X1000" s="83" t="n"/>
      <c r="Y1000" s="83" t="n"/>
      <c r="Z1000" s="83" t="n"/>
      <c r="AA1000" s="83" t="n"/>
      <c r="AB1000" s="83" t="n"/>
      <c r="AC1000" s="83" t="n"/>
      <c r="AD1000" s="83" t="n"/>
      <c r="AE1000" s="83" t="n"/>
      <c r="AF1000" s="83" t="n"/>
      <c r="AG1000" s="83" t="n"/>
      <c r="AH1000" s="83" t="n"/>
      <c r="AI1000" s="83" t="n"/>
      <c r="AJ1000" s="83" t="n"/>
      <c r="AK1000" s="83" t="n"/>
      <c r="AL1000" s="83" t="n"/>
      <c r="AM1000" s="83" t="n"/>
      <c r="AN1000" s="83" t="n"/>
      <c r="AO1000" s="83" t="n"/>
      <c r="AP1000" s="83" t="n"/>
      <c r="AQ1000" s="83" t="n"/>
      <c r="AR1000" s="83" t="n"/>
    </row>
    <row r="1001">
      <c r="D1001" s="84" t="n"/>
      <c r="E1001" s="84" t="n"/>
      <c r="F1001" s="84" t="n"/>
      <c r="G1001" s="84" t="n"/>
      <c r="H1001" s="84" t="n"/>
      <c r="I1001" s="84" t="n"/>
      <c r="J1001" s="84" t="n"/>
      <c r="K1001" s="84" t="n"/>
      <c r="L1001" s="84" t="n"/>
      <c r="M1001" s="84" t="n"/>
      <c r="N1001" s="84" t="n"/>
      <c r="O1001" s="84" t="n"/>
      <c r="P1001" s="84" t="n"/>
      <c r="Q1001" s="84" t="n"/>
      <c r="R1001" s="84" t="n"/>
      <c r="S1001" s="84" t="n"/>
      <c r="T1001" s="84" t="n"/>
      <c r="U1001" s="84" t="n"/>
      <c r="V1001" s="84" t="n"/>
      <c r="W1001" s="84" t="n"/>
      <c r="X1001" s="84" t="n"/>
      <c r="Y1001" s="84" t="n"/>
      <c r="Z1001" s="84" t="n"/>
      <c r="AA1001" s="84" t="n"/>
      <c r="AB1001" s="84" t="n"/>
      <c r="AC1001" s="84" t="n"/>
      <c r="AD1001" s="84" t="n"/>
      <c r="AE1001" s="84" t="n"/>
      <c r="AF1001" s="84" t="n"/>
      <c r="AG1001" s="84" t="n"/>
      <c r="AH1001" s="84" t="n"/>
      <c r="AI1001" s="84" t="n"/>
      <c r="AJ1001" s="84" t="n"/>
      <c r="AK1001" s="84" t="n"/>
      <c r="AL1001" s="84" t="n"/>
      <c r="AM1001" s="84" t="n"/>
      <c r="AN1001" s="84" t="n"/>
      <c r="AO1001" s="84" t="n"/>
      <c r="AP1001" s="84" t="n"/>
      <c r="AQ1001" s="84" t="n"/>
      <c r="AR1001" s="84" t="n"/>
    </row>
    <row r="1002">
      <c r="D1002" s="80" t="n"/>
      <c r="E1002" s="80" t="n"/>
      <c r="F1002" s="80" t="n"/>
      <c r="G1002" s="80" t="n"/>
      <c r="H1002" s="80" t="n"/>
      <c r="I1002" s="80" t="n"/>
      <c r="J1002" s="80" t="n"/>
      <c r="K1002" s="80" t="n"/>
      <c r="L1002" s="80" t="n"/>
      <c r="M1002" s="80" t="n"/>
      <c r="N1002" s="80" t="n"/>
      <c r="O1002" s="80" t="n"/>
      <c r="P1002" s="80" t="n"/>
      <c r="Q1002" s="80" t="n"/>
      <c r="R1002" s="80" t="n"/>
      <c r="S1002" s="80" t="n"/>
      <c r="T1002" s="80" t="n"/>
      <c r="U1002" s="80" t="n"/>
      <c r="V1002" s="80" t="n"/>
      <c r="W1002" s="80" t="n"/>
      <c r="X1002" s="80" t="n"/>
      <c r="Y1002" s="80" t="n"/>
      <c r="Z1002" s="80" t="n"/>
      <c r="AA1002" s="80" t="n"/>
      <c r="AB1002" s="80" t="n"/>
      <c r="AC1002" s="80" t="n"/>
      <c r="AD1002" s="80" t="n"/>
      <c r="AE1002" s="80" t="n"/>
      <c r="AF1002" s="80" t="n"/>
      <c r="AG1002" s="80" t="n"/>
      <c r="AH1002" s="80" t="n"/>
      <c r="AI1002" s="80" t="n"/>
      <c r="AJ1002" s="80" t="n"/>
      <c r="AK1002" s="80" t="n"/>
      <c r="AL1002" s="80" t="n"/>
      <c r="AM1002" s="80" t="n"/>
      <c r="AN1002" s="80" t="n"/>
      <c r="AO1002" s="80" t="n"/>
      <c r="AP1002" s="80" t="n"/>
      <c r="AQ1002" s="80" t="n"/>
      <c r="AR1002" s="80" t="n"/>
    </row>
    <row r="1003">
      <c r="D1003" s="80" t="n"/>
      <c r="E1003" s="80" t="n"/>
      <c r="F1003" s="80" t="n"/>
      <c r="G1003" s="80" t="n"/>
      <c r="H1003" s="80" t="n"/>
      <c r="I1003" s="80" t="n"/>
      <c r="J1003" s="80" t="n"/>
      <c r="K1003" s="80" t="n"/>
      <c r="L1003" s="80" t="n"/>
      <c r="M1003" s="80" t="n"/>
      <c r="N1003" s="80" t="n"/>
      <c r="O1003" s="80" t="n"/>
      <c r="P1003" s="80" t="n"/>
      <c r="Q1003" s="80" t="n"/>
      <c r="R1003" s="80" t="n"/>
      <c r="S1003" s="80" t="n"/>
      <c r="T1003" s="80" t="n"/>
      <c r="U1003" s="80" t="n"/>
      <c r="V1003" s="80" t="n"/>
      <c r="W1003" s="80" t="n"/>
      <c r="X1003" s="80" t="n"/>
      <c r="Y1003" s="80" t="n"/>
      <c r="Z1003" s="80" t="n"/>
      <c r="AA1003" s="80" t="n"/>
      <c r="AB1003" s="80" t="n"/>
      <c r="AC1003" s="80" t="n"/>
      <c r="AD1003" s="80" t="n"/>
      <c r="AE1003" s="80" t="n"/>
      <c r="AF1003" s="80" t="n"/>
      <c r="AG1003" s="80" t="n"/>
      <c r="AH1003" s="80" t="n"/>
      <c r="AI1003" s="80" t="n"/>
      <c r="AJ1003" s="80" t="n"/>
      <c r="AK1003" s="80" t="n"/>
      <c r="AL1003" s="80" t="n"/>
      <c r="AM1003" s="80" t="n"/>
      <c r="AN1003" s="80" t="n"/>
      <c r="AO1003" s="80" t="n"/>
      <c r="AP1003" s="80" t="n"/>
      <c r="AQ1003" s="80" t="n"/>
      <c r="AR1003" s="80" t="n"/>
    </row>
    <row r="1004">
      <c r="D1004" s="80" t="n"/>
      <c r="E1004" s="80" t="n"/>
      <c r="F1004" s="80" t="n"/>
      <c r="G1004" s="80" t="n"/>
      <c r="H1004" s="80" t="n"/>
      <c r="I1004" s="80" t="n"/>
      <c r="J1004" s="80" t="n"/>
      <c r="K1004" s="80" t="n"/>
      <c r="L1004" s="80" t="n"/>
      <c r="M1004" s="80" t="n"/>
      <c r="N1004" s="80" t="n"/>
      <c r="O1004" s="80" t="n"/>
      <c r="P1004" s="80" t="n"/>
      <c r="Q1004" s="80" t="n"/>
      <c r="R1004" s="80" t="n"/>
      <c r="S1004" s="80" t="n"/>
      <c r="T1004" s="80" t="n"/>
      <c r="U1004" s="80" t="n"/>
      <c r="V1004" s="80" t="n"/>
      <c r="W1004" s="80" t="n"/>
      <c r="X1004" s="80" t="n"/>
      <c r="Y1004" s="80" t="n"/>
      <c r="Z1004" s="80" t="n"/>
      <c r="AA1004" s="80" t="n"/>
      <c r="AB1004" s="80" t="n"/>
      <c r="AC1004" s="80" t="n"/>
      <c r="AD1004" s="80" t="n"/>
      <c r="AE1004" s="80" t="n"/>
      <c r="AF1004" s="80" t="n"/>
      <c r="AG1004" s="80" t="n"/>
      <c r="AH1004" s="80" t="n"/>
      <c r="AI1004" s="80" t="n"/>
      <c r="AJ1004" s="80" t="n"/>
      <c r="AK1004" s="80" t="n"/>
      <c r="AL1004" s="80" t="n"/>
      <c r="AM1004" s="80" t="n"/>
      <c r="AN1004" s="80" t="n"/>
      <c r="AO1004" s="80" t="n"/>
      <c r="AP1004" s="80" t="n"/>
      <c r="AQ1004" s="80" t="n"/>
      <c r="AR1004" s="80" t="n"/>
    </row>
    <row r="1005">
      <c r="D1005" s="80" t="n"/>
      <c r="E1005" s="80" t="n"/>
      <c r="F1005" s="80" t="n"/>
      <c r="G1005" s="80" t="n"/>
      <c r="H1005" s="80" t="n"/>
      <c r="I1005" s="80" t="n"/>
      <c r="J1005" s="80" t="n"/>
      <c r="K1005" s="80" t="n"/>
      <c r="L1005" s="80" t="n"/>
      <c r="M1005" s="80" t="n"/>
      <c r="N1005" s="80" t="n"/>
      <c r="O1005" s="80" t="n"/>
      <c r="P1005" s="80" t="n"/>
      <c r="Q1005" s="80" t="n"/>
      <c r="R1005" s="80" t="n"/>
      <c r="S1005" s="80" t="n"/>
      <c r="T1005" s="80" t="n"/>
      <c r="U1005" s="80" t="n"/>
      <c r="V1005" s="80" t="n"/>
      <c r="W1005" s="80" t="n"/>
      <c r="X1005" s="80" t="n"/>
      <c r="Y1005" s="80" t="n"/>
      <c r="Z1005" s="80" t="n"/>
      <c r="AA1005" s="80" t="n"/>
      <c r="AB1005" s="80" t="n"/>
      <c r="AC1005" s="80" t="n"/>
      <c r="AD1005" s="80" t="n"/>
      <c r="AE1005" s="80" t="n"/>
      <c r="AF1005" s="80" t="n"/>
      <c r="AG1005" s="80" t="n"/>
      <c r="AH1005" s="80" t="n"/>
      <c r="AI1005" s="80" t="n"/>
      <c r="AJ1005" s="80" t="n"/>
      <c r="AK1005" s="80" t="n"/>
      <c r="AL1005" s="80" t="n"/>
      <c r="AM1005" s="80" t="n"/>
      <c r="AN1005" s="80" t="n"/>
      <c r="AO1005" s="80" t="n"/>
      <c r="AP1005" s="80" t="n"/>
      <c r="AQ1005" s="80" t="n"/>
      <c r="AR1005" s="80" t="n"/>
    </row>
    <row r="1006">
      <c r="A1006" s="2">
        <f>IF($A999="","","   projections")</f>
        <v/>
      </c>
      <c r="B1006" s="41">
        <f>IF($A999="",0,COUNT($E1007:$AR1007))</f>
        <v/>
      </c>
      <c r="C1006" s="81">
        <f>IF($B1006=0,0,MAX($E1007:$AR1007))</f>
        <v/>
      </c>
      <c r="D1006" s="82">
        <f>BDS($A999,'Field Check'!$C$6,"headers=y","startcol=1","endcol=7","dir=h")</f>
        <v/>
      </c>
      <c r="E1006" s="83" t="n"/>
      <c r="F1006" s="83" t="n"/>
      <c r="G1006" s="83" t="n"/>
      <c r="H1006" s="83" t="n"/>
      <c r="I1006" s="83" t="n"/>
      <c r="J1006" s="83" t="n"/>
      <c r="K1006" s="83" t="n"/>
      <c r="L1006" s="83" t="n"/>
      <c r="M1006" s="83" t="n"/>
      <c r="N1006" s="83" t="n"/>
      <c r="O1006" s="83" t="n"/>
      <c r="P1006" s="83" t="n"/>
      <c r="Q1006" s="83" t="n"/>
      <c r="R1006" s="83" t="n"/>
      <c r="S1006" s="83" t="n"/>
      <c r="T1006" s="83" t="n"/>
      <c r="U1006" s="83" t="n"/>
      <c r="V1006" s="83" t="n"/>
      <c r="W1006" s="83" t="n"/>
      <c r="X1006" s="83" t="n"/>
      <c r="Y1006" s="83" t="n"/>
      <c r="Z1006" s="83" t="n"/>
      <c r="AA1006" s="83" t="n"/>
      <c r="AB1006" s="83" t="n"/>
      <c r="AC1006" s="83" t="n"/>
      <c r="AD1006" s="83" t="n"/>
      <c r="AE1006" s="83" t="n"/>
      <c r="AF1006" s="83" t="n"/>
      <c r="AG1006" s="83" t="n"/>
      <c r="AH1006" s="83" t="n"/>
      <c r="AI1006" s="83" t="n"/>
      <c r="AJ1006" s="83" t="n"/>
      <c r="AK1006" s="83" t="n"/>
      <c r="AL1006" s="83" t="n"/>
      <c r="AM1006" s="83" t="n"/>
      <c r="AN1006" s="83" t="n"/>
      <c r="AO1006" s="83" t="n"/>
      <c r="AP1006" s="83" t="n"/>
      <c r="AQ1006" s="83" t="n"/>
      <c r="AR1006" s="83" t="n"/>
    </row>
    <row r="1007">
      <c r="D1007" s="83" t="n"/>
      <c r="E1007" s="83" t="n"/>
      <c r="F1007" s="83" t="n"/>
      <c r="G1007" s="83" t="n"/>
      <c r="H1007" s="83" t="n"/>
      <c r="I1007" s="83" t="n"/>
      <c r="J1007" s="83" t="n"/>
      <c r="K1007" s="83" t="n"/>
      <c r="L1007" s="83" t="n"/>
      <c r="M1007" s="83" t="n"/>
      <c r="N1007" s="83" t="n"/>
      <c r="O1007" s="83" t="n"/>
      <c r="P1007" s="83" t="n"/>
      <c r="Q1007" s="83" t="n"/>
      <c r="R1007" s="83" t="n"/>
      <c r="S1007" s="83" t="n"/>
      <c r="T1007" s="83" t="n"/>
      <c r="U1007" s="83" t="n"/>
      <c r="V1007" s="83" t="n"/>
      <c r="W1007" s="83" t="n"/>
      <c r="X1007" s="83" t="n"/>
      <c r="Y1007" s="83" t="n"/>
      <c r="Z1007" s="83" t="n"/>
      <c r="AA1007" s="83" t="n"/>
      <c r="AB1007" s="83" t="n"/>
      <c r="AC1007" s="83" t="n"/>
      <c r="AD1007" s="83" t="n"/>
      <c r="AE1007" s="83" t="n"/>
      <c r="AF1007" s="83" t="n"/>
      <c r="AG1007" s="83" t="n"/>
      <c r="AH1007" s="83" t="n"/>
      <c r="AI1007" s="83" t="n"/>
      <c r="AJ1007" s="83" t="n"/>
      <c r="AK1007" s="83" t="n"/>
      <c r="AL1007" s="83" t="n"/>
      <c r="AM1007" s="83" t="n"/>
      <c r="AN1007" s="83" t="n"/>
      <c r="AO1007" s="83" t="n"/>
      <c r="AP1007" s="83" t="n"/>
      <c r="AQ1007" s="83" t="n"/>
      <c r="AR1007" s="83" t="n"/>
    </row>
    <row r="1008">
      <c r="D1008" s="84" t="n"/>
      <c r="E1008" s="84" t="n"/>
      <c r="F1008" s="84" t="n"/>
      <c r="G1008" s="84" t="n"/>
      <c r="H1008" s="84" t="n"/>
      <c r="I1008" s="84" t="n"/>
      <c r="J1008" s="84" t="n"/>
      <c r="K1008" s="84" t="n"/>
      <c r="L1008" s="84" t="n"/>
      <c r="M1008" s="84" t="n"/>
      <c r="N1008" s="84" t="n"/>
      <c r="O1008" s="84" t="n"/>
      <c r="P1008" s="84" t="n"/>
      <c r="Q1008" s="84" t="n"/>
      <c r="R1008" s="84" t="n"/>
      <c r="S1008" s="84" t="n"/>
      <c r="T1008" s="84" t="n"/>
      <c r="U1008" s="84" t="n"/>
      <c r="V1008" s="84" t="n"/>
      <c r="W1008" s="84" t="n"/>
      <c r="X1008" s="84" t="n"/>
      <c r="Y1008" s="84" t="n"/>
      <c r="Z1008" s="84" t="n"/>
      <c r="AA1008" s="84" t="n"/>
      <c r="AB1008" s="84" t="n"/>
      <c r="AC1008" s="84" t="n"/>
      <c r="AD1008" s="84" t="n"/>
      <c r="AE1008" s="84" t="n"/>
      <c r="AF1008" s="84" t="n"/>
      <c r="AG1008" s="84" t="n"/>
      <c r="AH1008" s="84" t="n"/>
      <c r="AI1008" s="84" t="n"/>
      <c r="AJ1008" s="84" t="n"/>
      <c r="AK1008" s="84" t="n"/>
      <c r="AL1008" s="84" t="n"/>
      <c r="AM1008" s="84" t="n"/>
      <c r="AN1008" s="84" t="n"/>
      <c r="AO1008" s="84" t="n"/>
      <c r="AP1008" s="84" t="n"/>
      <c r="AQ1008" s="84" t="n"/>
      <c r="AR1008" s="84" t="n"/>
    </row>
    <row r="1009">
      <c r="D1009" s="80" t="n"/>
      <c r="E1009" s="80" t="n"/>
      <c r="F1009" s="80" t="n"/>
      <c r="G1009" s="80" t="n"/>
      <c r="H1009" s="80" t="n"/>
      <c r="I1009" s="80" t="n"/>
      <c r="J1009" s="80" t="n"/>
      <c r="K1009" s="80" t="n"/>
      <c r="L1009" s="80" t="n"/>
      <c r="M1009" s="80" t="n"/>
      <c r="N1009" s="80" t="n"/>
      <c r="O1009" s="80" t="n"/>
      <c r="P1009" s="80" t="n"/>
      <c r="Q1009" s="80" t="n"/>
      <c r="R1009" s="80" t="n"/>
      <c r="S1009" s="80" t="n"/>
      <c r="T1009" s="80" t="n"/>
      <c r="U1009" s="80" t="n"/>
      <c r="V1009" s="80" t="n"/>
      <c r="W1009" s="80" t="n"/>
      <c r="X1009" s="80" t="n"/>
      <c r="Y1009" s="80" t="n"/>
      <c r="Z1009" s="80" t="n"/>
      <c r="AA1009" s="80" t="n"/>
      <c r="AB1009" s="80" t="n"/>
      <c r="AC1009" s="80" t="n"/>
      <c r="AD1009" s="80" t="n"/>
      <c r="AE1009" s="80" t="n"/>
      <c r="AF1009" s="80" t="n"/>
      <c r="AG1009" s="80" t="n"/>
      <c r="AH1009" s="80" t="n"/>
      <c r="AI1009" s="80" t="n"/>
      <c r="AJ1009" s="80" t="n"/>
      <c r="AK1009" s="80" t="n"/>
      <c r="AL1009" s="80" t="n"/>
      <c r="AM1009" s="80" t="n"/>
      <c r="AN1009" s="80" t="n"/>
      <c r="AO1009" s="80" t="n"/>
      <c r="AP1009" s="80" t="n"/>
      <c r="AQ1009" s="80" t="n"/>
      <c r="AR1009" s="80" t="n"/>
    </row>
    <row r="1010">
      <c r="D1010" s="80" t="n"/>
      <c r="E1010" s="80" t="n"/>
      <c r="F1010" s="80" t="n"/>
      <c r="G1010" s="80" t="n"/>
      <c r="H1010" s="80" t="n"/>
      <c r="I1010" s="80" t="n"/>
      <c r="J1010" s="80" t="n"/>
      <c r="K1010" s="80" t="n"/>
      <c r="L1010" s="80" t="n"/>
      <c r="M1010" s="80" t="n"/>
      <c r="N1010" s="80" t="n"/>
      <c r="O1010" s="80" t="n"/>
      <c r="P1010" s="80" t="n"/>
      <c r="Q1010" s="80" t="n"/>
      <c r="R1010" s="80" t="n"/>
      <c r="S1010" s="80" t="n"/>
      <c r="T1010" s="80" t="n"/>
      <c r="U1010" s="80" t="n"/>
      <c r="V1010" s="80" t="n"/>
      <c r="W1010" s="80" t="n"/>
      <c r="X1010" s="80" t="n"/>
      <c r="Y1010" s="80" t="n"/>
      <c r="Z1010" s="80" t="n"/>
      <c r="AA1010" s="80" t="n"/>
      <c r="AB1010" s="80" t="n"/>
      <c r="AC1010" s="80" t="n"/>
      <c r="AD1010" s="80" t="n"/>
      <c r="AE1010" s="80" t="n"/>
      <c r="AF1010" s="80" t="n"/>
      <c r="AG1010" s="80" t="n"/>
      <c r="AH1010" s="80" t="n"/>
      <c r="AI1010" s="80" t="n"/>
      <c r="AJ1010" s="80" t="n"/>
      <c r="AK1010" s="80" t="n"/>
      <c r="AL1010" s="80" t="n"/>
      <c r="AM1010" s="80" t="n"/>
      <c r="AN1010" s="80" t="n"/>
      <c r="AO1010" s="80" t="n"/>
      <c r="AP1010" s="80" t="n"/>
      <c r="AQ1010" s="80" t="n"/>
      <c r="AR1010" s="80" t="n"/>
    </row>
    <row r="1011">
      <c r="D1011" s="80" t="n"/>
      <c r="E1011" s="80" t="n"/>
      <c r="F1011" s="80" t="n"/>
      <c r="G1011" s="80" t="n"/>
      <c r="H1011" s="80" t="n"/>
      <c r="I1011" s="80" t="n"/>
      <c r="J1011" s="80" t="n"/>
      <c r="K1011" s="80" t="n"/>
      <c r="L1011" s="80" t="n"/>
      <c r="M1011" s="80" t="n"/>
      <c r="N1011" s="80" t="n"/>
      <c r="O1011" s="80" t="n"/>
      <c r="P1011" s="80" t="n"/>
      <c r="Q1011" s="80" t="n"/>
      <c r="R1011" s="80" t="n"/>
      <c r="S1011" s="80" t="n"/>
      <c r="T1011" s="80" t="n"/>
      <c r="U1011" s="80" t="n"/>
      <c r="V1011" s="80" t="n"/>
      <c r="W1011" s="80" t="n"/>
      <c r="X1011" s="80" t="n"/>
      <c r="Y1011" s="80" t="n"/>
      <c r="Z1011" s="80" t="n"/>
      <c r="AA1011" s="80" t="n"/>
      <c r="AB1011" s="80" t="n"/>
      <c r="AC1011" s="80" t="n"/>
      <c r="AD1011" s="80" t="n"/>
      <c r="AE1011" s="80" t="n"/>
      <c r="AF1011" s="80" t="n"/>
      <c r="AG1011" s="80" t="n"/>
      <c r="AH1011" s="80" t="n"/>
      <c r="AI1011" s="80" t="n"/>
      <c r="AJ1011" s="80" t="n"/>
      <c r="AK1011" s="80" t="n"/>
      <c r="AL1011" s="80" t="n"/>
      <c r="AM1011" s="80" t="n"/>
      <c r="AN1011" s="80" t="n"/>
      <c r="AO1011" s="80" t="n"/>
      <c r="AP1011" s="80" t="n"/>
      <c r="AQ1011" s="80" t="n"/>
      <c r="AR1011" s="80" t="n"/>
    </row>
    <row r="1012">
      <c r="D1012" s="80" t="n"/>
      <c r="E1012" s="80" t="n"/>
      <c r="F1012" s="80" t="n"/>
      <c r="G1012" s="80" t="n"/>
      <c r="H1012" s="80" t="n"/>
      <c r="I1012" s="80" t="n"/>
      <c r="J1012" s="80" t="n"/>
      <c r="K1012" s="80" t="n"/>
      <c r="L1012" s="80" t="n"/>
      <c r="M1012" s="80" t="n"/>
      <c r="N1012" s="80" t="n"/>
      <c r="O1012" s="80" t="n"/>
      <c r="P1012" s="80" t="n"/>
      <c r="Q1012" s="80" t="n"/>
      <c r="R1012" s="80" t="n"/>
      <c r="S1012" s="80" t="n"/>
      <c r="T1012" s="80" t="n"/>
      <c r="U1012" s="80" t="n"/>
      <c r="V1012" s="80" t="n"/>
      <c r="W1012" s="80" t="n"/>
      <c r="X1012" s="80" t="n"/>
      <c r="Y1012" s="80" t="n"/>
      <c r="Z1012" s="80" t="n"/>
      <c r="AA1012" s="80" t="n"/>
      <c r="AB1012" s="80" t="n"/>
      <c r="AC1012" s="80" t="n"/>
      <c r="AD1012" s="80" t="n"/>
      <c r="AE1012" s="80" t="n"/>
      <c r="AF1012" s="80" t="n"/>
      <c r="AG1012" s="80" t="n"/>
      <c r="AH1012" s="80" t="n"/>
      <c r="AI1012" s="80" t="n"/>
      <c r="AJ1012" s="80" t="n"/>
      <c r="AK1012" s="80" t="n"/>
      <c r="AL1012" s="80" t="n"/>
      <c r="AM1012" s="80" t="n"/>
      <c r="AN1012" s="80" t="n"/>
      <c r="AO1012" s="80" t="n"/>
      <c r="AP1012" s="80" t="n"/>
      <c r="AQ1012" s="80" t="n"/>
      <c r="AR1012" s="80" t="n"/>
    </row>
    <row r="1014">
      <c r="A1014" s="6">
        <f>IF(HSI!$C$74="","",HSI!$C$74)</f>
        <v/>
      </c>
      <c r="B1014" s="41">
        <f>IF($A1014="",0,COUNT($E1015:$AR1015))</f>
        <v/>
      </c>
      <c r="C1014" s="81">
        <f>IF($B1014=0,0,MAX($E1015:$AR1015))</f>
        <v/>
      </c>
      <c r="D1014" s="82">
        <f>BDS($A1014,'Field Check'!$C$7,"headers=y","startcol=1","endcol=7","dir=h","DVD_START_DT",Summary!$C$18,"DVD_END_DT",Summary!$D$18)</f>
        <v/>
      </c>
      <c r="E1014" s="83" t="n"/>
      <c r="F1014" s="83" t="n"/>
      <c r="G1014" s="83" t="n"/>
      <c r="H1014" s="83" t="n"/>
      <c r="I1014" s="83" t="n"/>
      <c r="J1014" s="83" t="n"/>
      <c r="K1014" s="83" t="n"/>
      <c r="L1014" s="83" t="n"/>
      <c r="M1014" s="83" t="n"/>
      <c r="N1014" s="83" t="n"/>
      <c r="O1014" s="83" t="n"/>
      <c r="P1014" s="83" t="n"/>
      <c r="Q1014" s="83" t="n"/>
      <c r="R1014" s="83" t="n"/>
      <c r="S1014" s="83" t="n"/>
      <c r="T1014" s="83" t="n"/>
      <c r="U1014" s="83" t="n"/>
      <c r="V1014" s="83" t="n"/>
      <c r="W1014" s="83" t="n"/>
      <c r="X1014" s="83" t="n"/>
      <c r="Y1014" s="83" t="n"/>
      <c r="Z1014" s="83" t="n"/>
      <c r="AA1014" s="83" t="n"/>
      <c r="AB1014" s="83" t="n"/>
      <c r="AC1014" s="83" t="n"/>
      <c r="AD1014" s="83" t="n"/>
      <c r="AE1014" s="83" t="n"/>
      <c r="AF1014" s="83" t="n"/>
      <c r="AG1014" s="83" t="n"/>
      <c r="AH1014" s="83" t="n"/>
      <c r="AI1014" s="83" t="n"/>
      <c r="AJ1014" s="83" t="n"/>
      <c r="AK1014" s="83" t="n"/>
      <c r="AL1014" s="83" t="n"/>
      <c r="AM1014" s="83" t="n"/>
      <c r="AN1014" s="83" t="n"/>
      <c r="AO1014" s="83" t="n"/>
      <c r="AP1014" s="83" t="n"/>
      <c r="AQ1014" s="83" t="n"/>
      <c r="AR1014" s="83" t="n"/>
    </row>
    <row r="1015">
      <c r="D1015" s="83" t="n"/>
      <c r="E1015" s="83" t="n"/>
      <c r="F1015" s="83" t="n"/>
      <c r="G1015" s="83" t="n"/>
      <c r="H1015" s="83" t="n"/>
      <c r="I1015" s="83" t="n"/>
      <c r="J1015" s="83" t="n"/>
      <c r="K1015" s="83" t="n"/>
      <c r="L1015" s="83" t="n"/>
      <c r="M1015" s="83" t="n"/>
      <c r="N1015" s="83" t="n"/>
      <c r="O1015" s="83" t="n"/>
      <c r="P1015" s="83" t="n"/>
      <c r="Q1015" s="83" t="n"/>
      <c r="R1015" s="83" t="n"/>
      <c r="S1015" s="83" t="n"/>
      <c r="T1015" s="83" t="n"/>
      <c r="U1015" s="83" t="n"/>
      <c r="V1015" s="83" t="n"/>
      <c r="W1015" s="83" t="n"/>
      <c r="X1015" s="83" t="n"/>
      <c r="Y1015" s="83" t="n"/>
      <c r="Z1015" s="83" t="n"/>
      <c r="AA1015" s="83" t="n"/>
      <c r="AB1015" s="83" t="n"/>
      <c r="AC1015" s="83" t="n"/>
      <c r="AD1015" s="83" t="n"/>
      <c r="AE1015" s="83" t="n"/>
      <c r="AF1015" s="83" t="n"/>
      <c r="AG1015" s="83" t="n"/>
      <c r="AH1015" s="83" t="n"/>
      <c r="AI1015" s="83" t="n"/>
      <c r="AJ1015" s="83" t="n"/>
      <c r="AK1015" s="83" t="n"/>
      <c r="AL1015" s="83" t="n"/>
      <c r="AM1015" s="83" t="n"/>
      <c r="AN1015" s="83" t="n"/>
      <c r="AO1015" s="83" t="n"/>
      <c r="AP1015" s="83" t="n"/>
      <c r="AQ1015" s="83" t="n"/>
      <c r="AR1015" s="83" t="n"/>
    </row>
    <row r="1016">
      <c r="D1016" s="84" t="n"/>
      <c r="E1016" s="84" t="n"/>
      <c r="F1016" s="84" t="n"/>
      <c r="G1016" s="84" t="n"/>
      <c r="H1016" s="84" t="n"/>
      <c r="I1016" s="84" t="n"/>
      <c r="J1016" s="84" t="n"/>
      <c r="K1016" s="84" t="n"/>
      <c r="L1016" s="84" t="n"/>
      <c r="M1016" s="84" t="n"/>
      <c r="N1016" s="84" t="n"/>
      <c r="O1016" s="84" t="n"/>
      <c r="P1016" s="84" t="n"/>
      <c r="Q1016" s="84" t="n"/>
      <c r="R1016" s="84" t="n"/>
      <c r="S1016" s="84" t="n"/>
      <c r="T1016" s="84" t="n"/>
      <c r="U1016" s="84" t="n"/>
      <c r="V1016" s="84" t="n"/>
      <c r="W1016" s="84" t="n"/>
      <c r="X1016" s="84" t="n"/>
      <c r="Y1016" s="84" t="n"/>
      <c r="Z1016" s="84" t="n"/>
      <c r="AA1016" s="84" t="n"/>
      <c r="AB1016" s="84" t="n"/>
      <c r="AC1016" s="84" t="n"/>
      <c r="AD1016" s="84" t="n"/>
      <c r="AE1016" s="84" t="n"/>
      <c r="AF1016" s="84" t="n"/>
      <c r="AG1016" s="84" t="n"/>
      <c r="AH1016" s="84" t="n"/>
      <c r="AI1016" s="84" t="n"/>
      <c r="AJ1016" s="84" t="n"/>
      <c r="AK1016" s="84" t="n"/>
      <c r="AL1016" s="84" t="n"/>
      <c r="AM1016" s="84" t="n"/>
      <c r="AN1016" s="84" t="n"/>
      <c r="AO1016" s="84" t="n"/>
      <c r="AP1016" s="84" t="n"/>
      <c r="AQ1016" s="84" t="n"/>
      <c r="AR1016" s="84" t="n"/>
    </row>
    <row r="1017">
      <c r="D1017" s="80" t="n"/>
      <c r="E1017" s="80" t="n"/>
      <c r="F1017" s="80" t="n"/>
      <c r="G1017" s="80" t="n"/>
      <c r="H1017" s="80" t="n"/>
      <c r="I1017" s="80" t="n"/>
      <c r="J1017" s="80" t="n"/>
      <c r="K1017" s="80" t="n"/>
      <c r="L1017" s="80" t="n"/>
      <c r="M1017" s="80" t="n"/>
      <c r="N1017" s="80" t="n"/>
      <c r="O1017" s="80" t="n"/>
      <c r="P1017" s="80" t="n"/>
      <c r="Q1017" s="80" t="n"/>
      <c r="R1017" s="80" t="n"/>
      <c r="S1017" s="80" t="n"/>
      <c r="T1017" s="80" t="n"/>
      <c r="U1017" s="80" t="n"/>
      <c r="V1017" s="80" t="n"/>
      <c r="W1017" s="80" t="n"/>
      <c r="X1017" s="80" t="n"/>
      <c r="Y1017" s="80" t="n"/>
      <c r="Z1017" s="80" t="n"/>
      <c r="AA1017" s="80" t="n"/>
      <c r="AB1017" s="80" t="n"/>
      <c r="AC1017" s="80" t="n"/>
      <c r="AD1017" s="80" t="n"/>
      <c r="AE1017" s="80" t="n"/>
      <c r="AF1017" s="80" t="n"/>
      <c r="AG1017" s="80" t="n"/>
      <c r="AH1017" s="80" t="n"/>
      <c r="AI1017" s="80" t="n"/>
      <c r="AJ1017" s="80" t="n"/>
      <c r="AK1017" s="80" t="n"/>
      <c r="AL1017" s="80" t="n"/>
      <c r="AM1017" s="80" t="n"/>
      <c r="AN1017" s="80" t="n"/>
      <c r="AO1017" s="80" t="n"/>
      <c r="AP1017" s="80" t="n"/>
      <c r="AQ1017" s="80" t="n"/>
      <c r="AR1017" s="80" t="n"/>
    </row>
    <row r="1018">
      <c r="D1018" s="80" t="n"/>
      <c r="E1018" s="80" t="n"/>
      <c r="F1018" s="80" t="n"/>
      <c r="G1018" s="80" t="n"/>
      <c r="H1018" s="80" t="n"/>
      <c r="I1018" s="80" t="n"/>
      <c r="J1018" s="80" t="n"/>
      <c r="K1018" s="80" t="n"/>
      <c r="L1018" s="80" t="n"/>
      <c r="M1018" s="80" t="n"/>
      <c r="N1018" s="80" t="n"/>
      <c r="O1018" s="80" t="n"/>
      <c r="P1018" s="80" t="n"/>
      <c r="Q1018" s="80" t="n"/>
      <c r="R1018" s="80" t="n"/>
      <c r="S1018" s="80" t="n"/>
      <c r="T1018" s="80" t="n"/>
      <c r="U1018" s="80" t="n"/>
      <c r="V1018" s="80" t="n"/>
      <c r="W1018" s="80" t="n"/>
      <c r="X1018" s="80" t="n"/>
      <c r="Y1018" s="80" t="n"/>
      <c r="Z1018" s="80" t="n"/>
      <c r="AA1018" s="80" t="n"/>
      <c r="AB1018" s="80" t="n"/>
      <c r="AC1018" s="80" t="n"/>
      <c r="AD1018" s="80" t="n"/>
      <c r="AE1018" s="80" t="n"/>
      <c r="AF1018" s="80" t="n"/>
      <c r="AG1018" s="80" t="n"/>
      <c r="AH1018" s="80" t="n"/>
      <c r="AI1018" s="80" t="n"/>
      <c r="AJ1018" s="80" t="n"/>
      <c r="AK1018" s="80" t="n"/>
      <c r="AL1018" s="80" t="n"/>
      <c r="AM1018" s="80" t="n"/>
      <c r="AN1018" s="80" t="n"/>
      <c r="AO1018" s="80" t="n"/>
      <c r="AP1018" s="80" t="n"/>
      <c r="AQ1018" s="80" t="n"/>
      <c r="AR1018" s="80" t="n"/>
    </row>
    <row r="1019">
      <c r="D1019" s="80" t="n"/>
      <c r="E1019" s="80" t="n"/>
      <c r="F1019" s="80" t="n"/>
      <c r="G1019" s="80" t="n"/>
      <c r="H1019" s="80" t="n"/>
      <c r="I1019" s="80" t="n"/>
      <c r="J1019" s="80" t="n"/>
      <c r="K1019" s="80" t="n"/>
      <c r="L1019" s="80" t="n"/>
      <c r="M1019" s="80" t="n"/>
      <c r="N1019" s="80" t="n"/>
      <c r="O1019" s="80" t="n"/>
      <c r="P1019" s="80" t="n"/>
      <c r="Q1019" s="80" t="n"/>
      <c r="R1019" s="80" t="n"/>
      <c r="S1019" s="80" t="n"/>
      <c r="T1019" s="80" t="n"/>
      <c r="U1019" s="80" t="n"/>
      <c r="V1019" s="80" t="n"/>
      <c r="W1019" s="80" t="n"/>
      <c r="X1019" s="80" t="n"/>
      <c r="Y1019" s="80" t="n"/>
      <c r="Z1019" s="80" t="n"/>
      <c r="AA1019" s="80" t="n"/>
      <c r="AB1019" s="80" t="n"/>
      <c r="AC1019" s="80" t="n"/>
      <c r="AD1019" s="80" t="n"/>
      <c r="AE1019" s="80" t="n"/>
      <c r="AF1019" s="80" t="n"/>
      <c r="AG1019" s="80" t="n"/>
      <c r="AH1019" s="80" t="n"/>
      <c r="AI1019" s="80" t="n"/>
      <c r="AJ1019" s="80" t="n"/>
      <c r="AK1019" s="80" t="n"/>
      <c r="AL1019" s="80" t="n"/>
      <c r="AM1019" s="80" t="n"/>
      <c r="AN1019" s="80" t="n"/>
      <c r="AO1019" s="80" t="n"/>
      <c r="AP1019" s="80" t="n"/>
      <c r="AQ1019" s="80" t="n"/>
      <c r="AR1019" s="80" t="n"/>
    </row>
    <row r="1020">
      <c r="D1020" s="80" t="n"/>
      <c r="E1020" s="80" t="n"/>
      <c r="F1020" s="80" t="n"/>
      <c r="G1020" s="80" t="n"/>
      <c r="H1020" s="80" t="n"/>
      <c r="I1020" s="80" t="n"/>
      <c r="J1020" s="80" t="n"/>
      <c r="K1020" s="80" t="n"/>
      <c r="L1020" s="80" t="n"/>
      <c r="M1020" s="80" t="n"/>
      <c r="N1020" s="80" t="n"/>
      <c r="O1020" s="80" t="n"/>
      <c r="P1020" s="80" t="n"/>
      <c r="Q1020" s="80" t="n"/>
      <c r="R1020" s="80" t="n"/>
      <c r="S1020" s="80" t="n"/>
      <c r="T1020" s="80" t="n"/>
      <c r="U1020" s="80" t="n"/>
      <c r="V1020" s="80" t="n"/>
      <c r="W1020" s="80" t="n"/>
      <c r="X1020" s="80" t="n"/>
      <c r="Y1020" s="80" t="n"/>
      <c r="Z1020" s="80" t="n"/>
      <c r="AA1020" s="80" t="n"/>
      <c r="AB1020" s="80" t="n"/>
      <c r="AC1020" s="80" t="n"/>
      <c r="AD1020" s="80" t="n"/>
      <c r="AE1020" s="80" t="n"/>
      <c r="AF1020" s="80" t="n"/>
      <c r="AG1020" s="80" t="n"/>
      <c r="AH1020" s="80" t="n"/>
      <c r="AI1020" s="80" t="n"/>
      <c r="AJ1020" s="80" t="n"/>
      <c r="AK1020" s="80" t="n"/>
      <c r="AL1020" s="80" t="n"/>
      <c r="AM1020" s="80" t="n"/>
      <c r="AN1020" s="80" t="n"/>
      <c r="AO1020" s="80" t="n"/>
      <c r="AP1020" s="80" t="n"/>
      <c r="AQ1020" s="80" t="n"/>
      <c r="AR1020" s="80" t="n"/>
    </row>
    <row r="1021">
      <c r="A1021" s="2">
        <f>IF($A1014="","","   projections")</f>
        <v/>
      </c>
      <c r="B1021" s="41">
        <f>IF($A1014="",0,COUNT($E1022:$AR1022))</f>
        <v/>
      </c>
      <c r="C1021" s="81">
        <f>IF($B1021=0,0,MAX($E1022:$AR1022))</f>
        <v/>
      </c>
      <c r="D1021" s="82">
        <f>BDS($A1014,'Field Check'!$C$6,"headers=y","startcol=1","endcol=7","dir=h")</f>
        <v/>
      </c>
      <c r="E1021" s="83" t="n"/>
      <c r="F1021" s="83" t="n"/>
      <c r="G1021" s="83" t="n"/>
      <c r="H1021" s="83" t="n"/>
      <c r="I1021" s="83" t="n"/>
      <c r="J1021" s="83" t="n"/>
      <c r="K1021" s="83" t="n"/>
      <c r="L1021" s="83" t="n"/>
      <c r="M1021" s="83" t="n"/>
      <c r="N1021" s="83" t="n"/>
      <c r="O1021" s="83" t="n"/>
      <c r="P1021" s="83" t="n"/>
      <c r="Q1021" s="83" t="n"/>
      <c r="R1021" s="83" t="n"/>
      <c r="S1021" s="83" t="n"/>
      <c r="T1021" s="83" t="n"/>
      <c r="U1021" s="83" t="n"/>
      <c r="V1021" s="83" t="n"/>
      <c r="W1021" s="83" t="n"/>
      <c r="X1021" s="83" t="n"/>
      <c r="Y1021" s="83" t="n"/>
      <c r="Z1021" s="83" t="n"/>
      <c r="AA1021" s="83" t="n"/>
      <c r="AB1021" s="83" t="n"/>
      <c r="AC1021" s="83" t="n"/>
      <c r="AD1021" s="83" t="n"/>
      <c r="AE1021" s="83" t="n"/>
      <c r="AF1021" s="83" t="n"/>
      <c r="AG1021" s="83" t="n"/>
      <c r="AH1021" s="83" t="n"/>
      <c r="AI1021" s="83" t="n"/>
      <c r="AJ1021" s="83" t="n"/>
      <c r="AK1021" s="83" t="n"/>
      <c r="AL1021" s="83" t="n"/>
      <c r="AM1021" s="83" t="n"/>
      <c r="AN1021" s="83" t="n"/>
      <c r="AO1021" s="83" t="n"/>
      <c r="AP1021" s="83" t="n"/>
      <c r="AQ1021" s="83" t="n"/>
      <c r="AR1021" s="83" t="n"/>
    </row>
    <row r="1022">
      <c r="D1022" s="83" t="n"/>
      <c r="E1022" s="83" t="n"/>
      <c r="F1022" s="83" t="n"/>
      <c r="G1022" s="83" t="n"/>
      <c r="H1022" s="83" t="n"/>
      <c r="I1022" s="83" t="n"/>
      <c r="J1022" s="83" t="n"/>
      <c r="K1022" s="83" t="n"/>
      <c r="L1022" s="83" t="n"/>
      <c r="M1022" s="83" t="n"/>
      <c r="N1022" s="83" t="n"/>
      <c r="O1022" s="83" t="n"/>
      <c r="P1022" s="83" t="n"/>
      <c r="Q1022" s="83" t="n"/>
      <c r="R1022" s="83" t="n"/>
      <c r="S1022" s="83" t="n"/>
      <c r="T1022" s="83" t="n"/>
      <c r="U1022" s="83" t="n"/>
      <c r="V1022" s="83" t="n"/>
      <c r="W1022" s="83" t="n"/>
      <c r="X1022" s="83" t="n"/>
      <c r="Y1022" s="83" t="n"/>
      <c r="Z1022" s="83" t="n"/>
      <c r="AA1022" s="83" t="n"/>
      <c r="AB1022" s="83" t="n"/>
      <c r="AC1022" s="83" t="n"/>
      <c r="AD1022" s="83" t="n"/>
      <c r="AE1022" s="83" t="n"/>
      <c r="AF1022" s="83" t="n"/>
      <c r="AG1022" s="83" t="n"/>
      <c r="AH1022" s="83" t="n"/>
      <c r="AI1022" s="83" t="n"/>
      <c r="AJ1022" s="83" t="n"/>
      <c r="AK1022" s="83" t="n"/>
      <c r="AL1022" s="83" t="n"/>
      <c r="AM1022" s="83" t="n"/>
      <c r="AN1022" s="83" t="n"/>
      <c r="AO1022" s="83" t="n"/>
      <c r="AP1022" s="83" t="n"/>
      <c r="AQ1022" s="83" t="n"/>
      <c r="AR1022" s="83" t="n"/>
    </row>
    <row r="1023">
      <c r="D1023" s="84" t="n"/>
      <c r="E1023" s="84" t="n"/>
      <c r="F1023" s="84" t="n"/>
      <c r="G1023" s="84" t="n"/>
      <c r="H1023" s="84" t="n"/>
      <c r="I1023" s="84" t="n"/>
      <c r="J1023" s="84" t="n"/>
      <c r="K1023" s="84" t="n"/>
      <c r="L1023" s="84" t="n"/>
      <c r="M1023" s="84" t="n"/>
      <c r="N1023" s="84" t="n"/>
      <c r="O1023" s="84" t="n"/>
      <c r="P1023" s="84" t="n"/>
      <c r="Q1023" s="84" t="n"/>
      <c r="R1023" s="84" t="n"/>
      <c r="S1023" s="84" t="n"/>
      <c r="T1023" s="84" t="n"/>
      <c r="U1023" s="84" t="n"/>
      <c r="V1023" s="84" t="n"/>
      <c r="W1023" s="84" t="n"/>
      <c r="X1023" s="84" t="n"/>
      <c r="Y1023" s="84" t="n"/>
      <c r="Z1023" s="84" t="n"/>
      <c r="AA1023" s="84" t="n"/>
      <c r="AB1023" s="84" t="n"/>
      <c r="AC1023" s="84" t="n"/>
      <c r="AD1023" s="84" t="n"/>
      <c r="AE1023" s="84" t="n"/>
      <c r="AF1023" s="84" t="n"/>
      <c r="AG1023" s="84" t="n"/>
      <c r="AH1023" s="84" t="n"/>
      <c r="AI1023" s="84" t="n"/>
      <c r="AJ1023" s="84" t="n"/>
      <c r="AK1023" s="84" t="n"/>
      <c r="AL1023" s="84" t="n"/>
      <c r="AM1023" s="84" t="n"/>
      <c r="AN1023" s="84" t="n"/>
      <c r="AO1023" s="84" t="n"/>
      <c r="AP1023" s="84" t="n"/>
      <c r="AQ1023" s="84" t="n"/>
      <c r="AR1023" s="84" t="n"/>
    </row>
    <row r="1024">
      <c r="D1024" s="80" t="n"/>
      <c r="E1024" s="80" t="n"/>
      <c r="F1024" s="80" t="n"/>
      <c r="G1024" s="80" t="n"/>
      <c r="H1024" s="80" t="n"/>
      <c r="I1024" s="80" t="n"/>
      <c r="J1024" s="80" t="n"/>
      <c r="K1024" s="80" t="n"/>
      <c r="L1024" s="80" t="n"/>
      <c r="M1024" s="80" t="n"/>
      <c r="N1024" s="80" t="n"/>
      <c r="O1024" s="80" t="n"/>
      <c r="P1024" s="80" t="n"/>
      <c r="Q1024" s="80" t="n"/>
      <c r="R1024" s="80" t="n"/>
      <c r="S1024" s="80" t="n"/>
      <c r="T1024" s="80" t="n"/>
      <c r="U1024" s="80" t="n"/>
      <c r="V1024" s="80" t="n"/>
      <c r="W1024" s="80" t="n"/>
      <c r="X1024" s="80" t="n"/>
      <c r="Y1024" s="80" t="n"/>
      <c r="Z1024" s="80" t="n"/>
      <c r="AA1024" s="80" t="n"/>
      <c r="AB1024" s="80" t="n"/>
      <c r="AC1024" s="80" t="n"/>
      <c r="AD1024" s="80" t="n"/>
      <c r="AE1024" s="80" t="n"/>
      <c r="AF1024" s="80" t="n"/>
      <c r="AG1024" s="80" t="n"/>
      <c r="AH1024" s="80" t="n"/>
      <c r="AI1024" s="80" t="n"/>
      <c r="AJ1024" s="80" t="n"/>
      <c r="AK1024" s="80" t="n"/>
      <c r="AL1024" s="80" t="n"/>
      <c r="AM1024" s="80" t="n"/>
      <c r="AN1024" s="80" t="n"/>
      <c r="AO1024" s="80" t="n"/>
      <c r="AP1024" s="80" t="n"/>
      <c r="AQ1024" s="80" t="n"/>
      <c r="AR1024" s="80" t="n"/>
    </row>
    <row r="1025">
      <c r="D1025" s="80" t="n"/>
      <c r="E1025" s="80" t="n"/>
      <c r="F1025" s="80" t="n"/>
      <c r="G1025" s="80" t="n"/>
      <c r="H1025" s="80" t="n"/>
      <c r="I1025" s="80" t="n"/>
      <c r="J1025" s="80" t="n"/>
      <c r="K1025" s="80" t="n"/>
      <c r="L1025" s="80" t="n"/>
      <c r="M1025" s="80" t="n"/>
      <c r="N1025" s="80" t="n"/>
      <c r="O1025" s="80" t="n"/>
      <c r="P1025" s="80" t="n"/>
      <c r="Q1025" s="80" t="n"/>
      <c r="R1025" s="80" t="n"/>
      <c r="S1025" s="80" t="n"/>
      <c r="T1025" s="80" t="n"/>
      <c r="U1025" s="80" t="n"/>
      <c r="V1025" s="80" t="n"/>
      <c r="W1025" s="80" t="n"/>
      <c r="X1025" s="80" t="n"/>
      <c r="Y1025" s="80" t="n"/>
      <c r="Z1025" s="80" t="n"/>
      <c r="AA1025" s="80" t="n"/>
      <c r="AB1025" s="80" t="n"/>
      <c r="AC1025" s="80" t="n"/>
      <c r="AD1025" s="80" t="n"/>
      <c r="AE1025" s="80" t="n"/>
      <c r="AF1025" s="80" t="n"/>
      <c r="AG1025" s="80" t="n"/>
      <c r="AH1025" s="80" t="n"/>
      <c r="AI1025" s="80" t="n"/>
      <c r="AJ1025" s="80" t="n"/>
      <c r="AK1025" s="80" t="n"/>
      <c r="AL1025" s="80" t="n"/>
      <c r="AM1025" s="80" t="n"/>
      <c r="AN1025" s="80" t="n"/>
      <c r="AO1025" s="80" t="n"/>
      <c r="AP1025" s="80" t="n"/>
      <c r="AQ1025" s="80" t="n"/>
      <c r="AR1025" s="80" t="n"/>
    </row>
    <row r="1026">
      <c r="D1026" s="80" t="n"/>
      <c r="E1026" s="80" t="n"/>
      <c r="F1026" s="80" t="n"/>
      <c r="G1026" s="80" t="n"/>
      <c r="H1026" s="80" t="n"/>
      <c r="I1026" s="80" t="n"/>
      <c r="J1026" s="80" t="n"/>
      <c r="K1026" s="80" t="n"/>
      <c r="L1026" s="80" t="n"/>
      <c r="M1026" s="80" t="n"/>
      <c r="N1026" s="80" t="n"/>
      <c r="O1026" s="80" t="n"/>
      <c r="P1026" s="80" t="n"/>
      <c r="Q1026" s="80" t="n"/>
      <c r="R1026" s="80" t="n"/>
      <c r="S1026" s="80" t="n"/>
      <c r="T1026" s="80" t="n"/>
      <c r="U1026" s="80" t="n"/>
      <c r="V1026" s="80" t="n"/>
      <c r="W1026" s="80" t="n"/>
      <c r="X1026" s="80" t="n"/>
      <c r="Y1026" s="80" t="n"/>
      <c r="Z1026" s="80" t="n"/>
      <c r="AA1026" s="80" t="n"/>
      <c r="AB1026" s="80" t="n"/>
      <c r="AC1026" s="80" t="n"/>
      <c r="AD1026" s="80" t="n"/>
      <c r="AE1026" s="80" t="n"/>
      <c r="AF1026" s="80" t="n"/>
      <c r="AG1026" s="80" t="n"/>
      <c r="AH1026" s="80" t="n"/>
      <c r="AI1026" s="80" t="n"/>
      <c r="AJ1026" s="80" t="n"/>
      <c r="AK1026" s="80" t="n"/>
      <c r="AL1026" s="80" t="n"/>
      <c r="AM1026" s="80" t="n"/>
      <c r="AN1026" s="80" t="n"/>
      <c r="AO1026" s="80" t="n"/>
      <c r="AP1026" s="80" t="n"/>
      <c r="AQ1026" s="80" t="n"/>
      <c r="AR1026" s="80" t="n"/>
    </row>
    <row r="1027">
      <c r="D1027" s="80" t="n"/>
      <c r="E1027" s="80" t="n"/>
      <c r="F1027" s="80" t="n"/>
      <c r="G1027" s="80" t="n"/>
      <c r="H1027" s="80" t="n"/>
      <c r="I1027" s="80" t="n"/>
      <c r="J1027" s="80" t="n"/>
      <c r="K1027" s="80" t="n"/>
      <c r="L1027" s="80" t="n"/>
      <c r="M1027" s="80" t="n"/>
      <c r="N1027" s="80" t="n"/>
      <c r="O1027" s="80" t="n"/>
      <c r="P1027" s="80" t="n"/>
      <c r="Q1027" s="80" t="n"/>
      <c r="R1027" s="80" t="n"/>
      <c r="S1027" s="80" t="n"/>
      <c r="T1027" s="80" t="n"/>
      <c r="U1027" s="80" t="n"/>
      <c r="V1027" s="80" t="n"/>
      <c r="W1027" s="80" t="n"/>
      <c r="X1027" s="80" t="n"/>
      <c r="Y1027" s="80" t="n"/>
      <c r="Z1027" s="80" t="n"/>
      <c r="AA1027" s="80" t="n"/>
      <c r="AB1027" s="80" t="n"/>
      <c r="AC1027" s="80" t="n"/>
      <c r="AD1027" s="80" t="n"/>
      <c r="AE1027" s="80" t="n"/>
      <c r="AF1027" s="80" t="n"/>
      <c r="AG1027" s="80" t="n"/>
      <c r="AH1027" s="80" t="n"/>
      <c r="AI1027" s="80" t="n"/>
      <c r="AJ1027" s="80" t="n"/>
      <c r="AK1027" s="80" t="n"/>
      <c r="AL1027" s="80" t="n"/>
      <c r="AM1027" s="80" t="n"/>
      <c r="AN1027" s="80" t="n"/>
      <c r="AO1027" s="80" t="n"/>
      <c r="AP1027" s="80" t="n"/>
      <c r="AQ1027" s="80" t="n"/>
      <c r="AR1027" s="80" t="n"/>
    </row>
    <row r="1029">
      <c r="A1029" s="6">
        <f>IF(HSI!$C$75="","",HSI!$C$75)</f>
        <v/>
      </c>
      <c r="B1029" s="41">
        <f>IF($A1029="",0,COUNT($E1030:$AR1030))</f>
        <v/>
      </c>
      <c r="C1029" s="81">
        <f>IF($B1029=0,0,MAX($E1030:$AR1030))</f>
        <v/>
      </c>
      <c r="D1029" s="82">
        <f>BDS($A1029,'Field Check'!$C$7,"headers=y","startcol=1","endcol=7","dir=h","DVD_START_DT",Summary!$C$18,"DVD_END_DT",Summary!$D$18)</f>
        <v/>
      </c>
      <c r="E1029" s="83" t="n"/>
      <c r="F1029" s="83" t="n"/>
      <c r="G1029" s="83" t="n"/>
      <c r="H1029" s="83" t="n"/>
      <c r="I1029" s="83" t="n"/>
      <c r="J1029" s="83" t="n"/>
      <c r="K1029" s="83" t="n"/>
      <c r="L1029" s="83" t="n"/>
      <c r="M1029" s="83" t="n"/>
      <c r="N1029" s="83" t="n"/>
      <c r="O1029" s="83" t="n"/>
      <c r="P1029" s="83" t="n"/>
      <c r="Q1029" s="83" t="n"/>
      <c r="R1029" s="83" t="n"/>
      <c r="S1029" s="83" t="n"/>
      <c r="T1029" s="83" t="n"/>
      <c r="U1029" s="83" t="n"/>
      <c r="V1029" s="83" t="n"/>
      <c r="W1029" s="83" t="n"/>
      <c r="X1029" s="83" t="n"/>
      <c r="Y1029" s="83" t="n"/>
      <c r="Z1029" s="83" t="n"/>
      <c r="AA1029" s="83" t="n"/>
      <c r="AB1029" s="83" t="n"/>
      <c r="AC1029" s="83" t="n"/>
      <c r="AD1029" s="83" t="n"/>
      <c r="AE1029" s="83" t="n"/>
      <c r="AF1029" s="83" t="n"/>
      <c r="AG1029" s="83" t="n"/>
      <c r="AH1029" s="83" t="n"/>
      <c r="AI1029" s="83" t="n"/>
      <c r="AJ1029" s="83" t="n"/>
      <c r="AK1029" s="83" t="n"/>
      <c r="AL1029" s="83" t="n"/>
      <c r="AM1029" s="83" t="n"/>
      <c r="AN1029" s="83" t="n"/>
      <c r="AO1029" s="83" t="n"/>
      <c r="AP1029" s="83" t="n"/>
      <c r="AQ1029" s="83" t="n"/>
      <c r="AR1029" s="83" t="n"/>
    </row>
    <row r="1030">
      <c r="D1030" s="83" t="n"/>
      <c r="E1030" s="83" t="n"/>
      <c r="F1030" s="83" t="n"/>
      <c r="G1030" s="83" t="n"/>
      <c r="H1030" s="83" t="n"/>
      <c r="I1030" s="83" t="n"/>
      <c r="J1030" s="83" t="n"/>
      <c r="K1030" s="83" t="n"/>
      <c r="L1030" s="83" t="n"/>
      <c r="M1030" s="83" t="n"/>
      <c r="N1030" s="83" t="n"/>
      <c r="O1030" s="83" t="n"/>
      <c r="P1030" s="83" t="n"/>
      <c r="Q1030" s="83" t="n"/>
      <c r="R1030" s="83" t="n"/>
      <c r="S1030" s="83" t="n"/>
      <c r="T1030" s="83" t="n"/>
      <c r="U1030" s="83" t="n"/>
      <c r="V1030" s="83" t="n"/>
      <c r="W1030" s="83" t="n"/>
      <c r="X1030" s="83" t="n"/>
      <c r="Y1030" s="83" t="n"/>
      <c r="Z1030" s="83" t="n"/>
      <c r="AA1030" s="83" t="n"/>
      <c r="AB1030" s="83" t="n"/>
      <c r="AC1030" s="83" t="n"/>
      <c r="AD1030" s="83" t="n"/>
      <c r="AE1030" s="83" t="n"/>
      <c r="AF1030" s="83" t="n"/>
      <c r="AG1030" s="83" t="n"/>
      <c r="AH1030" s="83" t="n"/>
      <c r="AI1030" s="83" t="n"/>
      <c r="AJ1030" s="83" t="n"/>
      <c r="AK1030" s="83" t="n"/>
      <c r="AL1030" s="83" t="n"/>
      <c r="AM1030" s="83" t="n"/>
      <c r="AN1030" s="83" t="n"/>
      <c r="AO1030" s="83" t="n"/>
      <c r="AP1030" s="83" t="n"/>
      <c r="AQ1030" s="83" t="n"/>
      <c r="AR1030" s="83" t="n"/>
    </row>
    <row r="1031">
      <c r="D1031" s="84" t="n"/>
      <c r="E1031" s="84" t="n"/>
      <c r="F1031" s="84" t="n"/>
      <c r="G1031" s="84" t="n"/>
      <c r="H1031" s="84" t="n"/>
      <c r="I1031" s="84" t="n"/>
      <c r="J1031" s="84" t="n"/>
      <c r="K1031" s="84" t="n"/>
      <c r="L1031" s="84" t="n"/>
      <c r="M1031" s="84" t="n"/>
      <c r="N1031" s="84" t="n"/>
      <c r="O1031" s="84" t="n"/>
      <c r="P1031" s="84" t="n"/>
      <c r="Q1031" s="84" t="n"/>
      <c r="R1031" s="84" t="n"/>
      <c r="S1031" s="84" t="n"/>
      <c r="T1031" s="84" t="n"/>
      <c r="U1031" s="84" t="n"/>
      <c r="V1031" s="84" t="n"/>
      <c r="W1031" s="84" t="n"/>
      <c r="X1031" s="84" t="n"/>
      <c r="Y1031" s="84" t="n"/>
      <c r="Z1031" s="84" t="n"/>
      <c r="AA1031" s="84" t="n"/>
      <c r="AB1031" s="84" t="n"/>
      <c r="AC1031" s="84" t="n"/>
      <c r="AD1031" s="84" t="n"/>
      <c r="AE1031" s="84" t="n"/>
      <c r="AF1031" s="84" t="n"/>
      <c r="AG1031" s="84" t="n"/>
      <c r="AH1031" s="84" t="n"/>
      <c r="AI1031" s="84" t="n"/>
      <c r="AJ1031" s="84" t="n"/>
      <c r="AK1031" s="84" t="n"/>
      <c r="AL1031" s="84" t="n"/>
      <c r="AM1031" s="84" t="n"/>
      <c r="AN1031" s="84" t="n"/>
      <c r="AO1031" s="84" t="n"/>
      <c r="AP1031" s="84" t="n"/>
      <c r="AQ1031" s="84" t="n"/>
      <c r="AR1031" s="84" t="n"/>
    </row>
    <row r="1032">
      <c r="D1032" s="80" t="n"/>
      <c r="E1032" s="80" t="n"/>
      <c r="F1032" s="80" t="n"/>
      <c r="G1032" s="80" t="n"/>
      <c r="H1032" s="80" t="n"/>
      <c r="I1032" s="80" t="n"/>
      <c r="J1032" s="80" t="n"/>
      <c r="K1032" s="80" t="n"/>
      <c r="L1032" s="80" t="n"/>
      <c r="M1032" s="80" t="n"/>
      <c r="N1032" s="80" t="n"/>
      <c r="O1032" s="80" t="n"/>
      <c r="P1032" s="80" t="n"/>
      <c r="Q1032" s="80" t="n"/>
      <c r="R1032" s="80" t="n"/>
      <c r="S1032" s="80" t="n"/>
      <c r="T1032" s="80" t="n"/>
      <c r="U1032" s="80" t="n"/>
      <c r="V1032" s="80" t="n"/>
      <c r="W1032" s="80" t="n"/>
      <c r="X1032" s="80" t="n"/>
      <c r="Y1032" s="80" t="n"/>
      <c r="Z1032" s="80" t="n"/>
      <c r="AA1032" s="80" t="n"/>
      <c r="AB1032" s="80" t="n"/>
      <c r="AC1032" s="80" t="n"/>
      <c r="AD1032" s="80" t="n"/>
      <c r="AE1032" s="80" t="n"/>
      <c r="AF1032" s="80" t="n"/>
      <c r="AG1032" s="80" t="n"/>
      <c r="AH1032" s="80" t="n"/>
      <c r="AI1032" s="80" t="n"/>
      <c r="AJ1032" s="80" t="n"/>
      <c r="AK1032" s="80" t="n"/>
      <c r="AL1032" s="80" t="n"/>
      <c r="AM1032" s="80" t="n"/>
      <c r="AN1032" s="80" t="n"/>
      <c r="AO1032" s="80" t="n"/>
      <c r="AP1032" s="80" t="n"/>
      <c r="AQ1032" s="80" t="n"/>
      <c r="AR1032" s="80" t="n"/>
    </row>
    <row r="1033">
      <c r="D1033" s="80" t="n"/>
      <c r="E1033" s="80" t="n"/>
      <c r="F1033" s="80" t="n"/>
      <c r="G1033" s="80" t="n"/>
      <c r="H1033" s="80" t="n"/>
      <c r="I1033" s="80" t="n"/>
      <c r="J1033" s="80" t="n"/>
      <c r="K1033" s="80" t="n"/>
      <c r="L1033" s="80" t="n"/>
      <c r="M1033" s="80" t="n"/>
      <c r="N1033" s="80" t="n"/>
      <c r="O1033" s="80" t="n"/>
      <c r="P1033" s="80" t="n"/>
      <c r="Q1033" s="80" t="n"/>
      <c r="R1033" s="80" t="n"/>
      <c r="S1033" s="80" t="n"/>
      <c r="T1033" s="80" t="n"/>
      <c r="U1033" s="80" t="n"/>
      <c r="V1033" s="80" t="n"/>
      <c r="W1033" s="80" t="n"/>
      <c r="X1033" s="80" t="n"/>
      <c r="Y1033" s="80" t="n"/>
      <c r="Z1033" s="80" t="n"/>
      <c r="AA1033" s="80" t="n"/>
      <c r="AB1033" s="80" t="n"/>
      <c r="AC1033" s="80" t="n"/>
      <c r="AD1033" s="80" t="n"/>
      <c r="AE1033" s="80" t="n"/>
      <c r="AF1033" s="80" t="n"/>
      <c r="AG1033" s="80" t="n"/>
      <c r="AH1033" s="80" t="n"/>
      <c r="AI1033" s="80" t="n"/>
      <c r="AJ1033" s="80" t="n"/>
      <c r="AK1033" s="80" t="n"/>
      <c r="AL1033" s="80" t="n"/>
      <c r="AM1033" s="80" t="n"/>
      <c r="AN1033" s="80" t="n"/>
      <c r="AO1033" s="80" t="n"/>
      <c r="AP1033" s="80" t="n"/>
      <c r="AQ1033" s="80" t="n"/>
      <c r="AR1033" s="80" t="n"/>
    </row>
    <row r="1034">
      <c r="D1034" s="80" t="n"/>
      <c r="E1034" s="80" t="n"/>
      <c r="F1034" s="80" t="n"/>
      <c r="G1034" s="80" t="n"/>
      <c r="H1034" s="80" t="n"/>
      <c r="I1034" s="80" t="n"/>
      <c r="J1034" s="80" t="n"/>
      <c r="K1034" s="80" t="n"/>
      <c r="L1034" s="80" t="n"/>
      <c r="M1034" s="80" t="n"/>
      <c r="N1034" s="80" t="n"/>
      <c r="O1034" s="80" t="n"/>
      <c r="P1034" s="80" t="n"/>
      <c r="Q1034" s="80" t="n"/>
      <c r="R1034" s="80" t="n"/>
      <c r="S1034" s="80" t="n"/>
      <c r="T1034" s="80" t="n"/>
      <c r="U1034" s="80" t="n"/>
      <c r="V1034" s="80" t="n"/>
      <c r="W1034" s="80" t="n"/>
      <c r="X1034" s="80" t="n"/>
      <c r="Y1034" s="80" t="n"/>
      <c r="Z1034" s="80" t="n"/>
      <c r="AA1034" s="80" t="n"/>
      <c r="AB1034" s="80" t="n"/>
      <c r="AC1034" s="80" t="n"/>
      <c r="AD1034" s="80" t="n"/>
      <c r="AE1034" s="80" t="n"/>
      <c r="AF1034" s="80" t="n"/>
      <c r="AG1034" s="80" t="n"/>
      <c r="AH1034" s="80" t="n"/>
      <c r="AI1034" s="80" t="n"/>
      <c r="AJ1034" s="80" t="n"/>
      <c r="AK1034" s="80" t="n"/>
      <c r="AL1034" s="80" t="n"/>
      <c r="AM1034" s="80" t="n"/>
      <c r="AN1034" s="80" t="n"/>
      <c r="AO1034" s="80" t="n"/>
      <c r="AP1034" s="80" t="n"/>
      <c r="AQ1034" s="80" t="n"/>
      <c r="AR1034" s="80" t="n"/>
    </row>
    <row r="1035">
      <c r="D1035" s="80" t="n"/>
      <c r="E1035" s="80" t="n"/>
      <c r="F1035" s="80" t="n"/>
      <c r="G1035" s="80" t="n"/>
      <c r="H1035" s="80" t="n"/>
      <c r="I1035" s="80" t="n"/>
      <c r="J1035" s="80" t="n"/>
      <c r="K1035" s="80" t="n"/>
      <c r="L1035" s="80" t="n"/>
      <c r="M1035" s="80" t="n"/>
      <c r="N1035" s="80" t="n"/>
      <c r="O1035" s="80" t="n"/>
      <c r="P1035" s="80" t="n"/>
      <c r="Q1035" s="80" t="n"/>
      <c r="R1035" s="80" t="n"/>
      <c r="S1035" s="80" t="n"/>
      <c r="T1035" s="80" t="n"/>
      <c r="U1035" s="80" t="n"/>
      <c r="V1035" s="80" t="n"/>
      <c r="W1035" s="80" t="n"/>
      <c r="X1035" s="80" t="n"/>
      <c r="Y1035" s="80" t="n"/>
      <c r="Z1035" s="80" t="n"/>
      <c r="AA1035" s="80" t="n"/>
      <c r="AB1035" s="80" t="n"/>
      <c r="AC1035" s="80" t="n"/>
      <c r="AD1035" s="80" t="n"/>
      <c r="AE1035" s="80" t="n"/>
      <c r="AF1035" s="80" t="n"/>
      <c r="AG1035" s="80" t="n"/>
      <c r="AH1035" s="80" t="n"/>
      <c r="AI1035" s="80" t="n"/>
      <c r="AJ1035" s="80" t="n"/>
      <c r="AK1035" s="80" t="n"/>
      <c r="AL1035" s="80" t="n"/>
      <c r="AM1035" s="80" t="n"/>
      <c r="AN1035" s="80" t="n"/>
      <c r="AO1035" s="80" t="n"/>
      <c r="AP1035" s="80" t="n"/>
      <c r="AQ1035" s="80" t="n"/>
      <c r="AR1035" s="80" t="n"/>
    </row>
    <row r="1036">
      <c r="A1036" s="2">
        <f>IF($A1029="","","   projections")</f>
        <v/>
      </c>
      <c r="B1036" s="41">
        <f>IF($A1029="",0,COUNT($E1037:$AR1037))</f>
        <v/>
      </c>
      <c r="C1036" s="81">
        <f>IF($B1036=0,0,MAX($E1037:$AR1037))</f>
        <v/>
      </c>
      <c r="D1036" s="82">
        <f>BDS($A1029,'Field Check'!$C$6,"headers=y","startcol=1","endcol=7","dir=h")</f>
        <v/>
      </c>
      <c r="E1036" s="83" t="n"/>
      <c r="F1036" s="83" t="n"/>
      <c r="G1036" s="83" t="n"/>
      <c r="H1036" s="83" t="n"/>
      <c r="I1036" s="83" t="n"/>
      <c r="J1036" s="83" t="n"/>
      <c r="K1036" s="83" t="n"/>
      <c r="L1036" s="83" t="n"/>
      <c r="M1036" s="83" t="n"/>
      <c r="N1036" s="83" t="n"/>
      <c r="O1036" s="83" t="n"/>
      <c r="P1036" s="83" t="n"/>
      <c r="Q1036" s="83" t="n"/>
      <c r="R1036" s="83" t="n"/>
      <c r="S1036" s="83" t="n"/>
      <c r="T1036" s="83" t="n"/>
      <c r="U1036" s="83" t="n"/>
      <c r="V1036" s="83" t="n"/>
      <c r="W1036" s="83" t="n"/>
      <c r="X1036" s="83" t="n"/>
      <c r="Y1036" s="83" t="n"/>
      <c r="Z1036" s="83" t="n"/>
      <c r="AA1036" s="83" t="n"/>
      <c r="AB1036" s="83" t="n"/>
      <c r="AC1036" s="83" t="n"/>
      <c r="AD1036" s="83" t="n"/>
      <c r="AE1036" s="83" t="n"/>
      <c r="AF1036" s="83" t="n"/>
      <c r="AG1036" s="83" t="n"/>
      <c r="AH1036" s="83" t="n"/>
      <c r="AI1036" s="83" t="n"/>
      <c r="AJ1036" s="83" t="n"/>
      <c r="AK1036" s="83" t="n"/>
      <c r="AL1036" s="83" t="n"/>
      <c r="AM1036" s="83" t="n"/>
      <c r="AN1036" s="83" t="n"/>
      <c r="AO1036" s="83" t="n"/>
      <c r="AP1036" s="83" t="n"/>
      <c r="AQ1036" s="83" t="n"/>
      <c r="AR1036" s="83" t="n"/>
    </row>
    <row r="1037">
      <c r="D1037" s="83" t="n"/>
      <c r="E1037" s="83" t="n"/>
      <c r="F1037" s="83" t="n"/>
      <c r="G1037" s="83" t="n"/>
      <c r="H1037" s="83" t="n"/>
      <c r="I1037" s="83" t="n"/>
      <c r="J1037" s="83" t="n"/>
      <c r="K1037" s="83" t="n"/>
      <c r="L1037" s="83" t="n"/>
      <c r="M1037" s="83" t="n"/>
      <c r="N1037" s="83" t="n"/>
      <c r="O1037" s="83" t="n"/>
      <c r="P1037" s="83" t="n"/>
      <c r="Q1037" s="83" t="n"/>
      <c r="R1037" s="83" t="n"/>
      <c r="S1037" s="83" t="n"/>
      <c r="T1037" s="83" t="n"/>
      <c r="U1037" s="83" t="n"/>
      <c r="V1037" s="83" t="n"/>
      <c r="W1037" s="83" t="n"/>
      <c r="X1037" s="83" t="n"/>
      <c r="Y1037" s="83" t="n"/>
      <c r="Z1037" s="83" t="n"/>
      <c r="AA1037" s="83" t="n"/>
      <c r="AB1037" s="83" t="n"/>
      <c r="AC1037" s="83" t="n"/>
      <c r="AD1037" s="83" t="n"/>
      <c r="AE1037" s="83" t="n"/>
      <c r="AF1037" s="83" t="n"/>
      <c r="AG1037" s="83" t="n"/>
      <c r="AH1037" s="83" t="n"/>
      <c r="AI1037" s="83" t="n"/>
      <c r="AJ1037" s="83" t="n"/>
      <c r="AK1037" s="83" t="n"/>
      <c r="AL1037" s="83" t="n"/>
      <c r="AM1037" s="83" t="n"/>
      <c r="AN1037" s="83" t="n"/>
      <c r="AO1037" s="83" t="n"/>
      <c r="AP1037" s="83" t="n"/>
      <c r="AQ1037" s="83" t="n"/>
      <c r="AR1037" s="83" t="n"/>
    </row>
    <row r="1038">
      <c r="D1038" s="84" t="n"/>
      <c r="E1038" s="84" t="n"/>
      <c r="F1038" s="84" t="n"/>
      <c r="G1038" s="84" t="n"/>
      <c r="H1038" s="84" t="n"/>
      <c r="I1038" s="84" t="n"/>
      <c r="J1038" s="84" t="n"/>
      <c r="K1038" s="84" t="n"/>
      <c r="L1038" s="84" t="n"/>
      <c r="M1038" s="84" t="n"/>
      <c r="N1038" s="84" t="n"/>
      <c r="O1038" s="84" t="n"/>
      <c r="P1038" s="84" t="n"/>
      <c r="Q1038" s="84" t="n"/>
      <c r="R1038" s="84" t="n"/>
      <c r="S1038" s="84" t="n"/>
      <c r="T1038" s="84" t="n"/>
      <c r="U1038" s="84" t="n"/>
      <c r="V1038" s="84" t="n"/>
      <c r="W1038" s="84" t="n"/>
      <c r="X1038" s="84" t="n"/>
      <c r="Y1038" s="84" t="n"/>
      <c r="Z1038" s="84" t="n"/>
      <c r="AA1038" s="84" t="n"/>
      <c r="AB1038" s="84" t="n"/>
      <c r="AC1038" s="84" t="n"/>
      <c r="AD1038" s="84" t="n"/>
      <c r="AE1038" s="84" t="n"/>
      <c r="AF1038" s="84" t="n"/>
      <c r="AG1038" s="84" t="n"/>
      <c r="AH1038" s="84" t="n"/>
      <c r="AI1038" s="84" t="n"/>
      <c r="AJ1038" s="84" t="n"/>
      <c r="AK1038" s="84" t="n"/>
      <c r="AL1038" s="84" t="n"/>
      <c r="AM1038" s="84" t="n"/>
      <c r="AN1038" s="84" t="n"/>
      <c r="AO1038" s="84" t="n"/>
      <c r="AP1038" s="84" t="n"/>
      <c r="AQ1038" s="84" t="n"/>
      <c r="AR1038" s="84" t="n"/>
    </row>
    <row r="1039">
      <c r="D1039" s="80" t="n"/>
      <c r="E1039" s="80" t="n"/>
      <c r="F1039" s="80" t="n"/>
      <c r="G1039" s="80" t="n"/>
      <c r="H1039" s="80" t="n"/>
      <c r="I1039" s="80" t="n"/>
      <c r="J1039" s="80" t="n"/>
      <c r="K1039" s="80" t="n"/>
      <c r="L1039" s="80" t="n"/>
      <c r="M1039" s="80" t="n"/>
      <c r="N1039" s="80" t="n"/>
      <c r="O1039" s="80" t="n"/>
      <c r="P1039" s="80" t="n"/>
      <c r="Q1039" s="80" t="n"/>
      <c r="R1039" s="80" t="n"/>
      <c r="S1039" s="80" t="n"/>
      <c r="T1039" s="80" t="n"/>
      <c r="U1039" s="80" t="n"/>
      <c r="V1039" s="80" t="n"/>
      <c r="W1039" s="80" t="n"/>
      <c r="X1039" s="80" t="n"/>
      <c r="Y1039" s="80" t="n"/>
      <c r="Z1039" s="80" t="n"/>
      <c r="AA1039" s="80" t="n"/>
      <c r="AB1039" s="80" t="n"/>
      <c r="AC1039" s="80" t="n"/>
      <c r="AD1039" s="80" t="n"/>
      <c r="AE1039" s="80" t="n"/>
      <c r="AF1039" s="80" t="n"/>
      <c r="AG1039" s="80" t="n"/>
      <c r="AH1039" s="80" t="n"/>
      <c r="AI1039" s="80" t="n"/>
      <c r="AJ1039" s="80" t="n"/>
      <c r="AK1039" s="80" t="n"/>
      <c r="AL1039" s="80" t="n"/>
      <c r="AM1039" s="80" t="n"/>
      <c r="AN1039" s="80" t="n"/>
      <c r="AO1039" s="80" t="n"/>
      <c r="AP1039" s="80" t="n"/>
      <c r="AQ1039" s="80" t="n"/>
      <c r="AR1039" s="80" t="n"/>
    </row>
    <row r="1040">
      <c r="D1040" s="80" t="n"/>
      <c r="E1040" s="80" t="n"/>
      <c r="F1040" s="80" t="n"/>
      <c r="G1040" s="80" t="n"/>
      <c r="H1040" s="80" t="n"/>
      <c r="I1040" s="80" t="n"/>
      <c r="J1040" s="80" t="n"/>
      <c r="K1040" s="80" t="n"/>
      <c r="L1040" s="80" t="n"/>
      <c r="M1040" s="80" t="n"/>
      <c r="N1040" s="80" t="n"/>
      <c r="O1040" s="80" t="n"/>
      <c r="P1040" s="80" t="n"/>
      <c r="Q1040" s="80" t="n"/>
      <c r="R1040" s="80" t="n"/>
      <c r="S1040" s="80" t="n"/>
      <c r="T1040" s="80" t="n"/>
      <c r="U1040" s="80" t="n"/>
      <c r="V1040" s="80" t="n"/>
      <c r="W1040" s="80" t="n"/>
      <c r="X1040" s="80" t="n"/>
      <c r="Y1040" s="80" t="n"/>
      <c r="Z1040" s="80" t="n"/>
      <c r="AA1040" s="80" t="n"/>
      <c r="AB1040" s="80" t="n"/>
      <c r="AC1040" s="80" t="n"/>
      <c r="AD1040" s="80" t="n"/>
      <c r="AE1040" s="80" t="n"/>
      <c r="AF1040" s="80" t="n"/>
      <c r="AG1040" s="80" t="n"/>
      <c r="AH1040" s="80" t="n"/>
      <c r="AI1040" s="80" t="n"/>
      <c r="AJ1040" s="80" t="n"/>
      <c r="AK1040" s="80" t="n"/>
      <c r="AL1040" s="80" t="n"/>
      <c r="AM1040" s="80" t="n"/>
      <c r="AN1040" s="80" t="n"/>
      <c r="AO1040" s="80" t="n"/>
      <c r="AP1040" s="80" t="n"/>
      <c r="AQ1040" s="80" t="n"/>
      <c r="AR1040" s="80" t="n"/>
    </row>
    <row r="1041">
      <c r="D1041" s="80" t="n"/>
      <c r="E1041" s="80" t="n"/>
      <c r="F1041" s="80" t="n"/>
      <c r="G1041" s="80" t="n"/>
      <c r="H1041" s="80" t="n"/>
      <c r="I1041" s="80" t="n"/>
      <c r="J1041" s="80" t="n"/>
      <c r="K1041" s="80" t="n"/>
      <c r="L1041" s="80" t="n"/>
      <c r="M1041" s="80" t="n"/>
      <c r="N1041" s="80" t="n"/>
      <c r="O1041" s="80" t="n"/>
      <c r="P1041" s="80" t="n"/>
      <c r="Q1041" s="80" t="n"/>
      <c r="R1041" s="80" t="n"/>
      <c r="S1041" s="80" t="n"/>
      <c r="T1041" s="80" t="n"/>
      <c r="U1041" s="80" t="n"/>
      <c r="V1041" s="80" t="n"/>
      <c r="W1041" s="80" t="n"/>
      <c r="X1041" s="80" t="n"/>
      <c r="Y1041" s="80" t="n"/>
      <c r="Z1041" s="80" t="n"/>
      <c r="AA1041" s="80" t="n"/>
      <c r="AB1041" s="80" t="n"/>
      <c r="AC1041" s="80" t="n"/>
      <c r="AD1041" s="80" t="n"/>
      <c r="AE1041" s="80" t="n"/>
      <c r="AF1041" s="80" t="n"/>
      <c r="AG1041" s="80" t="n"/>
      <c r="AH1041" s="80" t="n"/>
      <c r="AI1041" s="80" t="n"/>
      <c r="AJ1041" s="80" t="n"/>
      <c r="AK1041" s="80" t="n"/>
      <c r="AL1041" s="80" t="n"/>
      <c r="AM1041" s="80" t="n"/>
      <c r="AN1041" s="80" t="n"/>
      <c r="AO1041" s="80" t="n"/>
      <c r="AP1041" s="80" t="n"/>
      <c r="AQ1041" s="80" t="n"/>
      <c r="AR1041" s="80" t="n"/>
    </row>
    <row r="1042">
      <c r="D1042" s="80" t="n"/>
      <c r="E1042" s="80" t="n"/>
      <c r="F1042" s="80" t="n"/>
      <c r="G1042" s="80" t="n"/>
      <c r="H1042" s="80" t="n"/>
      <c r="I1042" s="80" t="n"/>
      <c r="J1042" s="80" t="n"/>
      <c r="K1042" s="80" t="n"/>
      <c r="L1042" s="80" t="n"/>
      <c r="M1042" s="80" t="n"/>
      <c r="N1042" s="80" t="n"/>
      <c r="O1042" s="80" t="n"/>
      <c r="P1042" s="80" t="n"/>
      <c r="Q1042" s="80" t="n"/>
      <c r="R1042" s="80" t="n"/>
      <c r="S1042" s="80" t="n"/>
      <c r="T1042" s="80" t="n"/>
      <c r="U1042" s="80" t="n"/>
      <c r="V1042" s="80" t="n"/>
      <c r="W1042" s="80" t="n"/>
      <c r="X1042" s="80" t="n"/>
      <c r="Y1042" s="80" t="n"/>
      <c r="Z1042" s="80" t="n"/>
      <c r="AA1042" s="80" t="n"/>
      <c r="AB1042" s="80" t="n"/>
      <c r="AC1042" s="80" t="n"/>
      <c r="AD1042" s="80" t="n"/>
      <c r="AE1042" s="80" t="n"/>
      <c r="AF1042" s="80" t="n"/>
      <c r="AG1042" s="80" t="n"/>
      <c r="AH1042" s="80" t="n"/>
      <c r="AI1042" s="80" t="n"/>
      <c r="AJ1042" s="80" t="n"/>
      <c r="AK1042" s="80" t="n"/>
      <c r="AL1042" s="80" t="n"/>
      <c r="AM1042" s="80" t="n"/>
      <c r="AN1042" s="80" t="n"/>
      <c r="AO1042" s="80" t="n"/>
      <c r="AP1042" s="80" t="n"/>
      <c r="AQ1042" s="80" t="n"/>
      <c r="AR1042" s="80" t="n"/>
    </row>
    <row r="1044">
      <c r="A1044" s="6">
        <f>IF(HSI!$C$76="","",HSI!$C$76)</f>
        <v/>
      </c>
      <c r="B1044" s="41">
        <f>IF($A1044="",0,COUNT($E1045:$AR1045))</f>
        <v/>
      </c>
      <c r="C1044" s="81">
        <f>IF($B1044=0,0,MAX($E1045:$AR1045))</f>
        <v/>
      </c>
      <c r="D1044" s="82">
        <f>BDS($A1044,'Field Check'!$C$7,"headers=y","startcol=1","endcol=7","dir=h","DVD_START_DT",Summary!$C$18,"DVD_END_DT",Summary!$D$18)</f>
        <v/>
      </c>
      <c r="E1044" s="83" t="n"/>
      <c r="F1044" s="83" t="n"/>
      <c r="G1044" s="83" t="n"/>
      <c r="H1044" s="83" t="n"/>
      <c r="I1044" s="83" t="n"/>
      <c r="J1044" s="83" t="n"/>
      <c r="K1044" s="83" t="n"/>
      <c r="L1044" s="83" t="n"/>
      <c r="M1044" s="83" t="n"/>
      <c r="N1044" s="83" t="n"/>
      <c r="O1044" s="83" t="n"/>
      <c r="P1044" s="83" t="n"/>
      <c r="Q1044" s="83" t="n"/>
      <c r="R1044" s="83" t="n"/>
      <c r="S1044" s="83" t="n"/>
      <c r="T1044" s="83" t="n"/>
      <c r="U1044" s="83" t="n"/>
      <c r="V1044" s="83" t="n"/>
      <c r="W1044" s="83" t="n"/>
      <c r="X1044" s="83" t="n"/>
      <c r="Y1044" s="83" t="n"/>
      <c r="Z1044" s="83" t="n"/>
      <c r="AA1044" s="83" t="n"/>
      <c r="AB1044" s="83" t="n"/>
      <c r="AC1044" s="83" t="n"/>
      <c r="AD1044" s="83" t="n"/>
      <c r="AE1044" s="83" t="n"/>
      <c r="AF1044" s="83" t="n"/>
      <c r="AG1044" s="83" t="n"/>
      <c r="AH1044" s="83" t="n"/>
      <c r="AI1044" s="83" t="n"/>
      <c r="AJ1044" s="83" t="n"/>
      <c r="AK1044" s="83" t="n"/>
      <c r="AL1044" s="83" t="n"/>
      <c r="AM1044" s="83" t="n"/>
      <c r="AN1044" s="83" t="n"/>
      <c r="AO1044" s="83" t="n"/>
      <c r="AP1044" s="83" t="n"/>
      <c r="AQ1044" s="83" t="n"/>
      <c r="AR1044" s="83" t="n"/>
    </row>
    <row r="1045">
      <c r="D1045" s="83" t="n"/>
      <c r="E1045" s="83" t="n"/>
      <c r="F1045" s="83" t="n"/>
      <c r="G1045" s="83" t="n"/>
      <c r="H1045" s="83" t="n"/>
      <c r="I1045" s="83" t="n"/>
      <c r="J1045" s="83" t="n"/>
      <c r="K1045" s="83" t="n"/>
      <c r="L1045" s="83" t="n"/>
      <c r="M1045" s="83" t="n"/>
      <c r="N1045" s="83" t="n"/>
      <c r="O1045" s="83" t="n"/>
      <c r="P1045" s="83" t="n"/>
      <c r="Q1045" s="83" t="n"/>
      <c r="R1045" s="83" t="n"/>
      <c r="S1045" s="83" t="n"/>
      <c r="T1045" s="83" t="n"/>
      <c r="U1045" s="83" t="n"/>
      <c r="V1045" s="83" t="n"/>
      <c r="W1045" s="83" t="n"/>
      <c r="X1045" s="83" t="n"/>
      <c r="Y1045" s="83" t="n"/>
      <c r="Z1045" s="83" t="n"/>
      <c r="AA1045" s="83" t="n"/>
      <c r="AB1045" s="83" t="n"/>
      <c r="AC1045" s="83" t="n"/>
      <c r="AD1045" s="83" t="n"/>
      <c r="AE1045" s="83" t="n"/>
      <c r="AF1045" s="83" t="n"/>
      <c r="AG1045" s="83" t="n"/>
      <c r="AH1045" s="83" t="n"/>
      <c r="AI1045" s="83" t="n"/>
      <c r="AJ1045" s="83" t="n"/>
      <c r="AK1045" s="83" t="n"/>
      <c r="AL1045" s="83" t="n"/>
      <c r="AM1045" s="83" t="n"/>
      <c r="AN1045" s="83" t="n"/>
      <c r="AO1045" s="83" t="n"/>
      <c r="AP1045" s="83" t="n"/>
      <c r="AQ1045" s="83" t="n"/>
      <c r="AR1045" s="83" t="n"/>
    </row>
    <row r="1046">
      <c r="D1046" s="84" t="n"/>
      <c r="E1046" s="84" t="n"/>
      <c r="F1046" s="84" t="n"/>
      <c r="G1046" s="84" t="n"/>
      <c r="H1046" s="84" t="n"/>
      <c r="I1046" s="84" t="n"/>
      <c r="J1046" s="84" t="n"/>
      <c r="K1046" s="84" t="n"/>
      <c r="L1046" s="84" t="n"/>
      <c r="M1046" s="84" t="n"/>
      <c r="N1046" s="84" t="n"/>
      <c r="O1046" s="84" t="n"/>
      <c r="P1046" s="84" t="n"/>
      <c r="Q1046" s="84" t="n"/>
      <c r="R1046" s="84" t="n"/>
      <c r="S1046" s="84" t="n"/>
      <c r="T1046" s="84" t="n"/>
      <c r="U1046" s="84" t="n"/>
      <c r="V1046" s="84" t="n"/>
      <c r="W1046" s="84" t="n"/>
      <c r="X1046" s="84" t="n"/>
      <c r="Y1046" s="84" t="n"/>
      <c r="Z1046" s="84" t="n"/>
      <c r="AA1046" s="84" t="n"/>
      <c r="AB1046" s="84" t="n"/>
      <c r="AC1046" s="84" t="n"/>
      <c r="AD1046" s="84" t="n"/>
      <c r="AE1046" s="84" t="n"/>
      <c r="AF1046" s="84" t="n"/>
      <c r="AG1046" s="84" t="n"/>
      <c r="AH1046" s="84" t="n"/>
      <c r="AI1046" s="84" t="n"/>
      <c r="AJ1046" s="84" t="n"/>
      <c r="AK1046" s="84" t="n"/>
      <c r="AL1046" s="84" t="n"/>
      <c r="AM1046" s="84" t="n"/>
      <c r="AN1046" s="84" t="n"/>
      <c r="AO1046" s="84" t="n"/>
      <c r="AP1046" s="84" t="n"/>
      <c r="AQ1046" s="84" t="n"/>
      <c r="AR1046" s="84" t="n"/>
    </row>
    <row r="1047">
      <c r="D1047" s="80" t="n"/>
      <c r="E1047" s="80" t="n"/>
      <c r="F1047" s="80" t="n"/>
      <c r="G1047" s="80" t="n"/>
      <c r="H1047" s="80" t="n"/>
      <c r="I1047" s="80" t="n"/>
      <c r="J1047" s="80" t="n"/>
      <c r="K1047" s="80" t="n"/>
      <c r="L1047" s="80" t="n"/>
      <c r="M1047" s="80" t="n"/>
      <c r="N1047" s="80" t="n"/>
      <c r="O1047" s="80" t="n"/>
      <c r="P1047" s="80" t="n"/>
      <c r="Q1047" s="80" t="n"/>
      <c r="R1047" s="80" t="n"/>
      <c r="S1047" s="80" t="n"/>
      <c r="T1047" s="80" t="n"/>
      <c r="U1047" s="80" t="n"/>
      <c r="V1047" s="80" t="n"/>
      <c r="W1047" s="80" t="n"/>
      <c r="X1047" s="80" t="n"/>
      <c r="Y1047" s="80" t="n"/>
      <c r="Z1047" s="80" t="n"/>
      <c r="AA1047" s="80" t="n"/>
      <c r="AB1047" s="80" t="n"/>
      <c r="AC1047" s="80" t="n"/>
      <c r="AD1047" s="80" t="n"/>
      <c r="AE1047" s="80" t="n"/>
      <c r="AF1047" s="80" t="n"/>
      <c r="AG1047" s="80" t="n"/>
      <c r="AH1047" s="80" t="n"/>
      <c r="AI1047" s="80" t="n"/>
      <c r="AJ1047" s="80" t="n"/>
      <c r="AK1047" s="80" t="n"/>
      <c r="AL1047" s="80" t="n"/>
      <c r="AM1047" s="80" t="n"/>
      <c r="AN1047" s="80" t="n"/>
      <c r="AO1047" s="80" t="n"/>
      <c r="AP1047" s="80" t="n"/>
      <c r="AQ1047" s="80" t="n"/>
      <c r="AR1047" s="80" t="n"/>
    </row>
    <row r="1048">
      <c r="D1048" s="80" t="n"/>
      <c r="E1048" s="80" t="n"/>
      <c r="F1048" s="80" t="n"/>
      <c r="G1048" s="80" t="n"/>
      <c r="H1048" s="80" t="n"/>
      <c r="I1048" s="80" t="n"/>
      <c r="J1048" s="80" t="n"/>
      <c r="K1048" s="80" t="n"/>
      <c r="L1048" s="80" t="n"/>
      <c r="M1048" s="80" t="n"/>
      <c r="N1048" s="80" t="n"/>
      <c r="O1048" s="80" t="n"/>
      <c r="P1048" s="80" t="n"/>
      <c r="Q1048" s="80" t="n"/>
      <c r="R1048" s="80" t="n"/>
      <c r="S1048" s="80" t="n"/>
      <c r="T1048" s="80" t="n"/>
      <c r="U1048" s="80" t="n"/>
      <c r="V1048" s="80" t="n"/>
      <c r="W1048" s="80" t="n"/>
      <c r="X1048" s="80" t="n"/>
      <c r="Y1048" s="80" t="n"/>
      <c r="Z1048" s="80" t="n"/>
      <c r="AA1048" s="80" t="n"/>
      <c r="AB1048" s="80" t="n"/>
      <c r="AC1048" s="80" t="n"/>
      <c r="AD1048" s="80" t="n"/>
      <c r="AE1048" s="80" t="n"/>
      <c r="AF1048" s="80" t="n"/>
      <c r="AG1048" s="80" t="n"/>
      <c r="AH1048" s="80" t="n"/>
      <c r="AI1048" s="80" t="n"/>
      <c r="AJ1048" s="80" t="n"/>
      <c r="AK1048" s="80" t="n"/>
      <c r="AL1048" s="80" t="n"/>
      <c r="AM1048" s="80" t="n"/>
      <c r="AN1048" s="80" t="n"/>
      <c r="AO1048" s="80" t="n"/>
      <c r="AP1048" s="80" t="n"/>
      <c r="AQ1048" s="80" t="n"/>
      <c r="AR1048" s="80" t="n"/>
    </row>
    <row r="1049">
      <c r="D1049" s="80" t="n"/>
      <c r="E1049" s="80" t="n"/>
      <c r="F1049" s="80" t="n"/>
      <c r="G1049" s="80" t="n"/>
      <c r="H1049" s="80" t="n"/>
      <c r="I1049" s="80" t="n"/>
      <c r="J1049" s="80" t="n"/>
      <c r="K1049" s="80" t="n"/>
      <c r="L1049" s="80" t="n"/>
      <c r="M1049" s="80" t="n"/>
      <c r="N1049" s="80" t="n"/>
      <c r="O1049" s="80" t="n"/>
      <c r="P1049" s="80" t="n"/>
      <c r="Q1049" s="80" t="n"/>
      <c r="R1049" s="80" t="n"/>
      <c r="S1049" s="80" t="n"/>
      <c r="T1049" s="80" t="n"/>
      <c r="U1049" s="80" t="n"/>
      <c r="V1049" s="80" t="n"/>
      <c r="W1049" s="80" t="n"/>
      <c r="X1049" s="80" t="n"/>
      <c r="Y1049" s="80" t="n"/>
      <c r="Z1049" s="80" t="n"/>
      <c r="AA1049" s="80" t="n"/>
      <c r="AB1049" s="80" t="n"/>
      <c r="AC1049" s="80" t="n"/>
      <c r="AD1049" s="80" t="n"/>
      <c r="AE1049" s="80" t="n"/>
      <c r="AF1049" s="80" t="n"/>
      <c r="AG1049" s="80" t="n"/>
      <c r="AH1049" s="80" t="n"/>
      <c r="AI1049" s="80" t="n"/>
      <c r="AJ1049" s="80" t="n"/>
      <c r="AK1049" s="80" t="n"/>
      <c r="AL1049" s="80" t="n"/>
      <c r="AM1049" s="80" t="n"/>
      <c r="AN1049" s="80" t="n"/>
      <c r="AO1049" s="80" t="n"/>
      <c r="AP1049" s="80" t="n"/>
      <c r="AQ1049" s="80" t="n"/>
      <c r="AR1049" s="80" t="n"/>
    </row>
    <row r="1050">
      <c r="D1050" s="80" t="n"/>
      <c r="E1050" s="80" t="n"/>
      <c r="F1050" s="80" t="n"/>
      <c r="G1050" s="80" t="n"/>
      <c r="H1050" s="80" t="n"/>
      <c r="I1050" s="80" t="n"/>
      <c r="J1050" s="80" t="n"/>
      <c r="K1050" s="80" t="n"/>
      <c r="L1050" s="80" t="n"/>
      <c r="M1050" s="80" t="n"/>
      <c r="N1050" s="80" t="n"/>
      <c r="O1050" s="80" t="n"/>
      <c r="P1050" s="80" t="n"/>
      <c r="Q1050" s="80" t="n"/>
      <c r="R1050" s="80" t="n"/>
      <c r="S1050" s="80" t="n"/>
      <c r="T1050" s="80" t="n"/>
      <c r="U1050" s="80" t="n"/>
      <c r="V1050" s="80" t="n"/>
      <c r="W1050" s="80" t="n"/>
      <c r="X1050" s="80" t="n"/>
      <c r="Y1050" s="80" t="n"/>
      <c r="Z1050" s="80" t="n"/>
      <c r="AA1050" s="80" t="n"/>
      <c r="AB1050" s="80" t="n"/>
      <c r="AC1050" s="80" t="n"/>
      <c r="AD1050" s="80" t="n"/>
      <c r="AE1050" s="80" t="n"/>
      <c r="AF1050" s="80" t="n"/>
      <c r="AG1050" s="80" t="n"/>
      <c r="AH1050" s="80" t="n"/>
      <c r="AI1050" s="80" t="n"/>
      <c r="AJ1050" s="80" t="n"/>
      <c r="AK1050" s="80" t="n"/>
      <c r="AL1050" s="80" t="n"/>
      <c r="AM1050" s="80" t="n"/>
      <c r="AN1050" s="80" t="n"/>
      <c r="AO1050" s="80" t="n"/>
      <c r="AP1050" s="80" t="n"/>
      <c r="AQ1050" s="80" t="n"/>
      <c r="AR1050" s="80" t="n"/>
    </row>
    <row r="1051">
      <c r="A1051" s="2">
        <f>IF($A1044="","","   projections")</f>
        <v/>
      </c>
      <c r="B1051" s="41">
        <f>IF($A1044="",0,COUNT($E1052:$AR1052))</f>
        <v/>
      </c>
      <c r="C1051" s="81">
        <f>IF($B1051=0,0,MAX($E1052:$AR1052))</f>
        <v/>
      </c>
      <c r="D1051" s="82">
        <f>BDS($A1044,'Field Check'!$C$6,"headers=y","startcol=1","endcol=7","dir=h")</f>
        <v/>
      </c>
      <c r="E1051" s="83" t="n"/>
      <c r="F1051" s="83" t="n"/>
      <c r="G1051" s="83" t="n"/>
      <c r="H1051" s="83" t="n"/>
      <c r="I1051" s="83" t="n"/>
      <c r="J1051" s="83" t="n"/>
      <c r="K1051" s="83" t="n"/>
      <c r="L1051" s="83" t="n"/>
      <c r="M1051" s="83" t="n"/>
      <c r="N1051" s="83" t="n"/>
      <c r="O1051" s="83" t="n"/>
      <c r="P1051" s="83" t="n"/>
      <c r="Q1051" s="83" t="n"/>
      <c r="R1051" s="83" t="n"/>
      <c r="S1051" s="83" t="n"/>
      <c r="T1051" s="83" t="n"/>
      <c r="U1051" s="83" t="n"/>
      <c r="V1051" s="83" t="n"/>
      <c r="W1051" s="83" t="n"/>
      <c r="X1051" s="83" t="n"/>
      <c r="Y1051" s="83" t="n"/>
      <c r="Z1051" s="83" t="n"/>
      <c r="AA1051" s="83" t="n"/>
      <c r="AB1051" s="83" t="n"/>
      <c r="AC1051" s="83" t="n"/>
      <c r="AD1051" s="83" t="n"/>
      <c r="AE1051" s="83" t="n"/>
      <c r="AF1051" s="83" t="n"/>
      <c r="AG1051" s="83" t="n"/>
      <c r="AH1051" s="83" t="n"/>
      <c r="AI1051" s="83" t="n"/>
      <c r="AJ1051" s="83" t="n"/>
      <c r="AK1051" s="83" t="n"/>
      <c r="AL1051" s="83" t="n"/>
      <c r="AM1051" s="83" t="n"/>
      <c r="AN1051" s="83" t="n"/>
      <c r="AO1051" s="83" t="n"/>
      <c r="AP1051" s="83" t="n"/>
      <c r="AQ1051" s="83" t="n"/>
      <c r="AR1051" s="83" t="n"/>
    </row>
    <row r="1052">
      <c r="D1052" s="83" t="n"/>
      <c r="E1052" s="83" t="n"/>
      <c r="F1052" s="83" t="n"/>
      <c r="G1052" s="83" t="n"/>
      <c r="H1052" s="83" t="n"/>
      <c r="I1052" s="83" t="n"/>
      <c r="J1052" s="83" t="n"/>
      <c r="K1052" s="83" t="n"/>
      <c r="L1052" s="83" t="n"/>
      <c r="M1052" s="83" t="n"/>
      <c r="N1052" s="83" t="n"/>
      <c r="O1052" s="83" t="n"/>
      <c r="P1052" s="83" t="n"/>
      <c r="Q1052" s="83" t="n"/>
      <c r="R1052" s="83" t="n"/>
      <c r="S1052" s="83" t="n"/>
      <c r="T1052" s="83" t="n"/>
      <c r="U1052" s="83" t="n"/>
      <c r="V1052" s="83" t="n"/>
      <c r="W1052" s="83" t="n"/>
      <c r="X1052" s="83" t="n"/>
      <c r="Y1052" s="83" t="n"/>
      <c r="Z1052" s="83" t="n"/>
      <c r="AA1052" s="83" t="n"/>
      <c r="AB1052" s="83" t="n"/>
      <c r="AC1052" s="83" t="n"/>
      <c r="AD1052" s="83" t="n"/>
      <c r="AE1052" s="83" t="n"/>
      <c r="AF1052" s="83" t="n"/>
      <c r="AG1052" s="83" t="n"/>
      <c r="AH1052" s="83" t="n"/>
      <c r="AI1052" s="83" t="n"/>
      <c r="AJ1052" s="83" t="n"/>
      <c r="AK1052" s="83" t="n"/>
      <c r="AL1052" s="83" t="n"/>
      <c r="AM1052" s="83" t="n"/>
      <c r="AN1052" s="83" t="n"/>
      <c r="AO1052" s="83" t="n"/>
      <c r="AP1052" s="83" t="n"/>
      <c r="AQ1052" s="83" t="n"/>
      <c r="AR1052" s="83" t="n"/>
    </row>
    <row r="1053">
      <c r="D1053" s="84" t="n"/>
      <c r="E1053" s="84" t="n"/>
      <c r="F1053" s="84" t="n"/>
      <c r="G1053" s="84" t="n"/>
      <c r="H1053" s="84" t="n"/>
      <c r="I1053" s="84" t="n"/>
      <c r="J1053" s="84" t="n"/>
      <c r="K1053" s="84" t="n"/>
      <c r="L1053" s="84" t="n"/>
      <c r="M1053" s="84" t="n"/>
      <c r="N1053" s="84" t="n"/>
      <c r="O1053" s="84" t="n"/>
      <c r="P1053" s="84" t="n"/>
      <c r="Q1053" s="84" t="n"/>
      <c r="R1053" s="84" t="n"/>
      <c r="S1053" s="84" t="n"/>
      <c r="T1053" s="84" t="n"/>
      <c r="U1053" s="84" t="n"/>
      <c r="V1053" s="84" t="n"/>
      <c r="W1053" s="84" t="n"/>
      <c r="X1053" s="84" t="n"/>
      <c r="Y1053" s="84" t="n"/>
      <c r="Z1053" s="84" t="n"/>
      <c r="AA1053" s="84" t="n"/>
      <c r="AB1053" s="84" t="n"/>
      <c r="AC1053" s="84" t="n"/>
      <c r="AD1053" s="84" t="n"/>
      <c r="AE1053" s="84" t="n"/>
      <c r="AF1053" s="84" t="n"/>
      <c r="AG1053" s="84" t="n"/>
      <c r="AH1053" s="84" t="n"/>
      <c r="AI1053" s="84" t="n"/>
      <c r="AJ1053" s="84" t="n"/>
      <c r="AK1053" s="84" t="n"/>
      <c r="AL1053" s="84" t="n"/>
      <c r="AM1053" s="84" t="n"/>
      <c r="AN1053" s="84" t="n"/>
      <c r="AO1053" s="84" t="n"/>
      <c r="AP1053" s="84" t="n"/>
      <c r="AQ1053" s="84" t="n"/>
      <c r="AR1053" s="84" t="n"/>
    </row>
    <row r="1054">
      <c r="D1054" s="80" t="n"/>
      <c r="E1054" s="80" t="n"/>
      <c r="F1054" s="80" t="n"/>
      <c r="G1054" s="80" t="n"/>
      <c r="H1054" s="80" t="n"/>
      <c r="I1054" s="80" t="n"/>
      <c r="J1054" s="80" t="n"/>
      <c r="K1054" s="80" t="n"/>
      <c r="L1054" s="80" t="n"/>
      <c r="M1054" s="80" t="n"/>
      <c r="N1054" s="80" t="n"/>
      <c r="O1054" s="80" t="n"/>
      <c r="P1054" s="80" t="n"/>
      <c r="Q1054" s="80" t="n"/>
      <c r="R1054" s="80" t="n"/>
      <c r="S1054" s="80" t="n"/>
      <c r="T1054" s="80" t="n"/>
      <c r="U1054" s="80" t="n"/>
      <c r="V1054" s="80" t="n"/>
      <c r="W1054" s="80" t="n"/>
      <c r="X1054" s="80" t="n"/>
      <c r="Y1054" s="80" t="n"/>
      <c r="Z1054" s="80" t="n"/>
      <c r="AA1054" s="80" t="n"/>
      <c r="AB1054" s="80" t="n"/>
      <c r="AC1054" s="80" t="n"/>
      <c r="AD1054" s="80" t="n"/>
      <c r="AE1054" s="80" t="n"/>
      <c r="AF1054" s="80" t="n"/>
      <c r="AG1054" s="80" t="n"/>
      <c r="AH1054" s="80" t="n"/>
      <c r="AI1054" s="80" t="n"/>
      <c r="AJ1054" s="80" t="n"/>
      <c r="AK1054" s="80" t="n"/>
      <c r="AL1054" s="80" t="n"/>
      <c r="AM1054" s="80" t="n"/>
      <c r="AN1054" s="80" t="n"/>
      <c r="AO1054" s="80" t="n"/>
      <c r="AP1054" s="80" t="n"/>
      <c r="AQ1054" s="80" t="n"/>
      <c r="AR1054" s="80" t="n"/>
    </row>
    <row r="1055">
      <c r="D1055" s="80" t="n"/>
      <c r="E1055" s="80" t="n"/>
      <c r="F1055" s="80" t="n"/>
      <c r="G1055" s="80" t="n"/>
      <c r="H1055" s="80" t="n"/>
      <c r="I1055" s="80" t="n"/>
      <c r="J1055" s="80" t="n"/>
      <c r="K1055" s="80" t="n"/>
      <c r="L1055" s="80" t="n"/>
      <c r="M1055" s="80" t="n"/>
      <c r="N1055" s="80" t="n"/>
      <c r="O1055" s="80" t="n"/>
      <c r="P1055" s="80" t="n"/>
      <c r="Q1055" s="80" t="n"/>
      <c r="R1055" s="80" t="n"/>
      <c r="S1055" s="80" t="n"/>
      <c r="T1055" s="80" t="n"/>
      <c r="U1055" s="80" t="n"/>
      <c r="V1055" s="80" t="n"/>
      <c r="W1055" s="80" t="n"/>
      <c r="X1055" s="80" t="n"/>
      <c r="Y1055" s="80" t="n"/>
      <c r="Z1055" s="80" t="n"/>
      <c r="AA1055" s="80" t="n"/>
      <c r="AB1055" s="80" t="n"/>
      <c r="AC1055" s="80" t="n"/>
      <c r="AD1055" s="80" t="n"/>
      <c r="AE1055" s="80" t="n"/>
      <c r="AF1055" s="80" t="n"/>
      <c r="AG1055" s="80" t="n"/>
      <c r="AH1055" s="80" t="n"/>
      <c r="AI1055" s="80" t="n"/>
      <c r="AJ1055" s="80" t="n"/>
      <c r="AK1055" s="80" t="n"/>
      <c r="AL1055" s="80" t="n"/>
      <c r="AM1055" s="80" t="n"/>
      <c r="AN1055" s="80" t="n"/>
      <c r="AO1055" s="80" t="n"/>
      <c r="AP1055" s="80" t="n"/>
      <c r="AQ1055" s="80" t="n"/>
      <c r="AR1055" s="80" t="n"/>
    </row>
    <row r="1056">
      <c r="D1056" s="80" t="n"/>
      <c r="E1056" s="80" t="n"/>
      <c r="F1056" s="80" t="n"/>
      <c r="G1056" s="80" t="n"/>
      <c r="H1056" s="80" t="n"/>
      <c r="I1056" s="80" t="n"/>
      <c r="J1056" s="80" t="n"/>
      <c r="K1056" s="80" t="n"/>
      <c r="L1056" s="80" t="n"/>
      <c r="M1056" s="80" t="n"/>
      <c r="N1056" s="80" t="n"/>
      <c r="O1056" s="80" t="n"/>
      <c r="P1056" s="80" t="n"/>
      <c r="Q1056" s="80" t="n"/>
      <c r="R1056" s="80" t="n"/>
      <c r="S1056" s="80" t="n"/>
      <c r="T1056" s="80" t="n"/>
      <c r="U1056" s="80" t="n"/>
      <c r="V1056" s="80" t="n"/>
      <c r="W1056" s="80" t="n"/>
      <c r="X1056" s="80" t="n"/>
      <c r="Y1056" s="80" t="n"/>
      <c r="Z1056" s="80" t="n"/>
      <c r="AA1056" s="80" t="n"/>
      <c r="AB1056" s="80" t="n"/>
      <c r="AC1056" s="80" t="n"/>
      <c r="AD1056" s="80" t="n"/>
      <c r="AE1056" s="80" t="n"/>
      <c r="AF1056" s="80" t="n"/>
      <c r="AG1056" s="80" t="n"/>
      <c r="AH1056" s="80" t="n"/>
      <c r="AI1056" s="80" t="n"/>
      <c r="AJ1056" s="80" t="n"/>
      <c r="AK1056" s="80" t="n"/>
      <c r="AL1056" s="80" t="n"/>
      <c r="AM1056" s="80" t="n"/>
      <c r="AN1056" s="80" t="n"/>
      <c r="AO1056" s="80" t="n"/>
      <c r="AP1056" s="80" t="n"/>
      <c r="AQ1056" s="80" t="n"/>
      <c r="AR1056" s="80" t="n"/>
    </row>
    <row r="1057">
      <c r="D1057" s="80" t="n"/>
      <c r="E1057" s="80" t="n"/>
      <c r="F1057" s="80" t="n"/>
      <c r="G1057" s="80" t="n"/>
      <c r="H1057" s="80" t="n"/>
      <c r="I1057" s="80" t="n"/>
      <c r="J1057" s="80" t="n"/>
      <c r="K1057" s="80" t="n"/>
      <c r="L1057" s="80" t="n"/>
      <c r="M1057" s="80" t="n"/>
      <c r="N1057" s="80" t="n"/>
      <c r="O1057" s="80" t="n"/>
      <c r="P1057" s="80" t="n"/>
      <c r="Q1057" s="80" t="n"/>
      <c r="R1057" s="80" t="n"/>
      <c r="S1057" s="80" t="n"/>
      <c r="T1057" s="80" t="n"/>
      <c r="U1057" s="80" t="n"/>
      <c r="V1057" s="80" t="n"/>
      <c r="W1057" s="80" t="n"/>
      <c r="X1057" s="80" t="n"/>
      <c r="Y1057" s="80" t="n"/>
      <c r="Z1057" s="80" t="n"/>
      <c r="AA1057" s="80" t="n"/>
      <c r="AB1057" s="80" t="n"/>
      <c r="AC1057" s="80" t="n"/>
      <c r="AD1057" s="80" t="n"/>
      <c r="AE1057" s="80" t="n"/>
      <c r="AF1057" s="80" t="n"/>
      <c r="AG1057" s="80" t="n"/>
      <c r="AH1057" s="80" t="n"/>
      <c r="AI1057" s="80" t="n"/>
      <c r="AJ1057" s="80" t="n"/>
      <c r="AK1057" s="80" t="n"/>
      <c r="AL1057" s="80" t="n"/>
      <c r="AM1057" s="80" t="n"/>
      <c r="AN1057" s="80" t="n"/>
      <c r="AO1057" s="80" t="n"/>
      <c r="AP1057" s="80" t="n"/>
      <c r="AQ1057" s="80" t="n"/>
      <c r="AR1057" s="80" t="n"/>
    </row>
    <row r="1059">
      <c r="A1059" s="6">
        <f>IF(HSI!$C$77="","",HSI!$C$77)</f>
        <v/>
      </c>
      <c r="B1059" s="41">
        <f>IF($A1059="",0,COUNT($E1060:$AR1060))</f>
        <v/>
      </c>
      <c r="C1059" s="81">
        <f>IF($B1059=0,0,MAX($E1060:$AR1060))</f>
        <v/>
      </c>
      <c r="D1059" s="82">
        <f>BDS($A1059,'Field Check'!$C$7,"headers=y","startcol=1","endcol=7","dir=h","DVD_START_DT",Summary!$C$18,"DVD_END_DT",Summary!$D$18)</f>
        <v/>
      </c>
      <c r="E1059" s="83" t="n"/>
      <c r="F1059" s="83" t="n"/>
      <c r="G1059" s="83" t="n"/>
      <c r="H1059" s="83" t="n"/>
      <c r="I1059" s="83" t="n"/>
      <c r="J1059" s="83" t="n"/>
      <c r="K1059" s="83" t="n"/>
      <c r="L1059" s="83" t="n"/>
      <c r="M1059" s="83" t="n"/>
      <c r="N1059" s="83" t="n"/>
      <c r="O1059" s="83" t="n"/>
      <c r="P1059" s="83" t="n"/>
      <c r="Q1059" s="83" t="n"/>
      <c r="R1059" s="83" t="n"/>
      <c r="S1059" s="83" t="n"/>
      <c r="T1059" s="83" t="n"/>
      <c r="U1059" s="83" t="n"/>
      <c r="V1059" s="83" t="n"/>
      <c r="W1059" s="83" t="n"/>
      <c r="X1059" s="83" t="n"/>
      <c r="Y1059" s="83" t="n"/>
      <c r="Z1059" s="83" t="n"/>
      <c r="AA1059" s="83" t="n"/>
      <c r="AB1059" s="83" t="n"/>
      <c r="AC1059" s="83" t="n"/>
      <c r="AD1059" s="83" t="n"/>
      <c r="AE1059" s="83" t="n"/>
      <c r="AF1059" s="83" t="n"/>
      <c r="AG1059" s="83" t="n"/>
      <c r="AH1059" s="83" t="n"/>
      <c r="AI1059" s="83" t="n"/>
      <c r="AJ1059" s="83" t="n"/>
      <c r="AK1059" s="83" t="n"/>
      <c r="AL1059" s="83" t="n"/>
      <c r="AM1059" s="83" t="n"/>
      <c r="AN1059" s="83" t="n"/>
      <c r="AO1059" s="83" t="n"/>
      <c r="AP1059" s="83" t="n"/>
      <c r="AQ1059" s="83" t="n"/>
      <c r="AR1059" s="83" t="n"/>
    </row>
    <row r="1060">
      <c r="D1060" s="83" t="n"/>
      <c r="E1060" s="83" t="n"/>
      <c r="F1060" s="83" t="n"/>
      <c r="G1060" s="83" t="n"/>
      <c r="H1060" s="83" t="n"/>
      <c r="I1060" s="83" t="n"/>
      <c r="J1060" s="83" t="n"/>
      <c r="K1060" s="83" t="n"/>
      <c r="L1060" s="83" t="n"/>
      <c r="M1060" s="83" t="n"/>
      <c r="N1060" s="83" t="n"/>
      <c r="O1060" s="83" t="n"/>
      <c r="P1060" s="83" t="n"/>
      <c r="Q1060" s="83" t="n"/>
      <c r="R1060" s="83" t="n"/>
      <c r="S1060" s="83" t="n"/>
      <c r="T1060" s="83" t="n"/>
      <c r="U1060" s="83" t="n"/>
      <c r="V1060" s="83" t="n"/>
      <c r="W1060" s="83" t="n"/>
      <c r="X1060" s="83" t="n"/>
      <c r="Y1060" s="83" t="n"/>
      <c r="Z1060" s="83" t="n"/>
      <c r="AA1060" s="83" t="n"/>
      <c r="AB1060" s="83" t="n"/>
      <c r="AC1060" s="83" t="n"/>
      <c r="AD1060" s="83" t="n"/>
      <c r="AE1060" s="83" t="n"/>
      <c r="AF1060" s="83" t="n"/>
      <c r="AG1060" s="83" t="n"/>
      <c r="AH1060" s="83" t="n"/>
      <c r="AI1060" s="83" t="n"/>
      <c r="AJ1060" s="83" t="n"/>
      <c r="AK1060" s="83" t="n"/>
      <c r="AL1060" s="83" t="n"/>
      <c r="AM1060" s="83" t="n"/>
      <c r="AN1060" s="83" t="n"/>
      <c r="AO1060" s="83" t="n"/>
      <c r="AP1060" s="83" t="n"/>
      <c r="AQ1060" s="83" t="n"/>
      <c r="AR1060" s="83" t="n"/>
    </row>
    <row r="1061">
      <c r="D1061" s="84" t="n"/>
      <c r="E1061" s="84" t="n"/>
      <c r="F1061" s="84" t="n"/>
      <c r="G1061" s="84" t="n"/>
      <c r="H1061" s="84" t="n"/>
      <c r="I1061" s="84" t="n"/>
      <c r="J1061" s="84" t="n"/>
      <c r="K1061" s="84" t="n"/>
      <c r="L1061" s="84" t="n"/>
      <c r="M1061" s="84" t="n"/>
      <c r="N1061" s="84" t="n"/>
      <c r="O1061" s="84" t="n"/>
      <c r="P1061" s="84" t="n"/>
      <c r="Q1061" s="84" t="n"/>
      <c r="R1061" s="84" t="n"/>
      <c r="S1061" s="84" t="n"/>
      <c r="T1061" s="84" t="n"/>
      <c r="U1061" s="84" t="n"/>
      <c r="V1061" s="84" t="n"/>
      <c r="W1061" s="84" t="n"/>
      <c r="X1061" s="84" t="n"/>
      <c r="Y1061" s="84" t="n"/>
      <c r="Z1061" s="84" t="n"/>
      <c r="AA1061" s="84" t="n"/>
      <c r="AB1061" s="84" t="n"/>
      <c r="AC1061" s="84" t="n"/>
      <c r="AD1061" s="84" t="n"/>
      <c r="AE1061" s="84" t="n"/>
      <c r="AF1061" s="84" t="n"/>
      <c r="AG1061" s="84" t="n"/>
      <c r="AH1061" s="84" t="n"/>
      <c r="AI1061" s="84" t="n"/>
      <c r="AJ1061" s="84" t="n"/>
      <c r="AK1061" s="84" t="n"/>
      <c r="AL1061" s="84" t="n"/>
      <c r="AM1061" s="84" t="n"/>
      <c r="AN1061" s="84" t="n"/>
      <c r="AO1061" s="84" t="n"/>
      <c r="AP1061" s="84" t="n"/>
      <c r="AQ1061" s="84" t="n"/>
      <c r="AR1061" s="84" t="n"/>
    </row>
    <row r="1062">
      <c r="D1062" s="80" t="n"/>
      <c r="E1062" s="80" t="n"/>
      <c r="F1062" s="80" t="n"/>
      <c r="G1062" s="80" t="n"/>
      <c r="H1062" s="80" t="n"/>
      <c r="I1062" s="80" t="n"/>
      <c r="J1062" s="80" t="n"/>
      <c r="K1062" s="80" t="n"/>
      <c r="L1062" s="80" t="n"/>
      <c r="M1062" s="80" t="n"/>
      <c r="N1062" s="80" t="n"/>
      <c r="O1062" s="80" t="n"/>
      <c r="P1062" s="80" t="n"/>
      <c r="Q1062" s="80" t="n"/>
      <c r="R1062" s="80" t="n"/>
      <c r="S1062" s="80" t="n"/>
      <c r="T1062" s="80" t="n"/>
      <c r="U1062" s="80" t="n"/>
      <c r="V1062" s="80" t="n"/>
      <c r="W1062" s="80" t="n"/>
      <c r="X1062" s="80" t="n"/>
      <c r="Y1062" s="80" t="n"/>
      <c r="Z1062" s="80" t="n"/>
      <c r="AA1062" s="80" t="n"/>
      <c r="AB1062" s="80" t="n"/>
      <c r="AC1062" s="80" t="n"/>
      <c r="AD1062" s="80" t="n"/>
      <c r="AE1062" s="80" t="n"/>
      <c r="AF1062" s="80" t="n"/>
      <c r="AG1062" s="80" t="n"/>
      <c r="AH1062" s="80" t="n"/>
      <c r="AI1062" s="80" t="n"/>
      <c r="AJ1062" s="80" t="n"/>
      <c r="AK1062" s="80" t="n"/>
      <c r="AL1062" s="80" t="n"/>
      <c r="AM1062" s="80" t="n"/>
      <c r="AN1062" s="80" t="n"/>
      <c r="AO1062" s="80" t="n"/>
      <c r="AP1062" s="80" t="n"/>
      <c r="AQ1062" s="80" t="n"/>
      <c r="AR1062" s="80" t="n"/>
    </row>
    <row r="1063">
      <c r="D1063" s="80" t="n"/>
      <c r="E1063" s="80" t="n"/>
      <c r="F1063" s="80" t="n"/>
      <c r="G1063" s="80" t="n"/>
      <c r="H1063" s="80" t="n"/>
      <c r="I1063" s="80" t="n"/>
      <c r="J1063" s="80" t="n"/>
      <c r="K1063" s="80" t="n"/>
      <c r="L1063" s="80" t="n"/>
      <c r="M1063" s="80" t="n"/>
      <c r="N1063" s="80" t="n"/>
      <c r="O1063" s="80" t="n"/>
      <c r="P1063" s="80" t="n"/>
      <c r="Q1063" s="80" t="n"/>
      <c r="R1063" s="80" t="n"/>
      <c r="S1063" s="80" t="n"/>
      <c r="T1063" s="80" t="n"/>
      <c r="U1063" s="80" t="n"/>
      <c r="V1063" s="80" t="n"/>
      <c r="W1063" s="80" t="n"/>
      <c r="X1063" s="80" t="n"/>
      <c r="Y1063" s="80" t="n"/>
      <c r="Z1063" s="80" t="n"/>
      <c r="AA1063" s="80" t="n"/>
      <c r="AB1063" s="80" t="n"/>
      <c r="AC1063" s="80" t="n"/>
      <c r="AD1063" s="80" t="n"/>
      <c r="AE1063" s="80" t="n"/>
      <c r="AF1063" s="80" t="n"/>
      <c r="AG1063" s="80" t="n"/>
      <c r="AH1063" s="80" t="n"/>
      <c r="AI1063" s="80" t="n"/>
      <c r="AJ1063" s="80" t="n"/>
      <c r="AK1063" s="80" t="n"/>
      <c r="AL1063" s="80" t="n"/>
      <c r="AM1063" s="80" t="n"/>
      <c r="AN1063" s="80" t="n"/>
      <c r="AO1063" s="80" t="n"/>
      <c r="AP1063" s="80" t="n"/>
      <c r="AQ1063" s="80" t="n"/>
      <c r="AR1063" s="80" t="n"/>
    </row>
    <row r="1064">
      <c r="D1064" s="80" t="n"/>
      <c r="E1064" s="80" t="n"/>
      <c r="F1064" s="80" t="n"/>
      <c r="G1064" s="80" t="n"/>
      <c r="H1064" s="80" t="n"/>
      <c r="I1064" s="80" t="n"/>
      <c r="J1064" s="80" t="n"/>
      <c r="K1064" s="80" t="n"/>
      <c r="L1064" s="80" t="n"/>
      <c r="M1064" s="80" t="n"/>
      <c r="N1064" s="80" t="n"/>
      <c r="O1064" s="80" t="n"/>
      <c r="P1064" s="80" t="n"/>
      <c r="Q1064" s="80" t="n"/>
      <c r="R1064" s="80" t="n"/>
      <c r="S1064" s="80" t="n"/>
      <c r="T1064" s="80" t="n"/>
      <c r="U1064" s="80" t="n"/>
      <c r="V1064" s="80" t="n"/>
      <c r="W1064" s="80" t="n"/>
      <c r="X1064" s="80" t="n"/>
      <c r="Y1064" s="80" t="n"/>
      <c r="Z1064" s="80" t="n"/>
      <c r="AA1064" s="80" t="n"/>
      <c r="AB1064" s="80" t="n"/>
      <c r="AC1064" s="80" t="n"/>
      <c r="AD1064" s="80" t="n"/>
      <c r="AE1064" s="80" t="n"/>
      <c r="AF1064" s="80" t="n"/>
      <c r="AG1064" s="80" t="n"/>
      <c r="AH1064" s="80" t="n"/>
      <c r="AI1064" s="80" t="n"/>
      <c r="AJ1064" s="80" t="n"/>
      <c r="AK1064" s="80" t="n"/>
      <c r="AL1064" s="80" t="n"/>
      <c r="AM1064" s="80" t="n"/>
      <c r="AN1064" s="80" t="n"/>
      <c r="AO1064" s="80" t="n"/>
      <c r="AP1064" s="80" t="n"/>
      <c r="AQ1064" s="80" t="n"/>
      <c r="AR1064" s="80" t="n"/>
    </row>
    <row r="1065">
      <c r="D1065" s="80" t="n"/>
      <c r="E1065" s="80" t="n"/>
      <c r="F1065" s="80" t="n"/>
      <c r="G1065" s="80" t="n"/>
      <c r="H1065" s="80" t="n"/>
      <c r="I1065" s="80" t="n"/>
      <c r="J1065" s="80" t="n"/>
      <c r="K1065" s="80" t="n"/>
      <c r="L1065" s="80" t="n"/>
      <c r="M1065" s="80" t="n"/>
      <c r="N1065" s="80" t="n"/>
      <c r="O1065" s="80" t="n"/>
      <c r="P1065" s="80" t="n"/>
      <c r="Q1065" s="80" t="n"/>
      <c r="R1065" s="80" t="n"/>
      <c r="S1065" s="80" t="n"/>
      <c r="T1065" s="80" t="n"/>
      <c r="U1065" s="80" t="n"/>
      <c r="V1065" s="80" t="n"/>
      <c r="W1065" s="80" t="n"/>
      <c r="X1065" s="80" t="n"/>
      <c r="Y1065" s="80" t="n"/>
      <c r="Z1065" s="80" t="n"/>
      <c r="AA1065" s="80" t="n"/>
      <c r="AB1065" s="80" t="n"/>
      <c r="AC1065" s="80" t="n"/>
      <c r="AD1065" s="80" t="n"/>
      <c r="AE1065" s="80" t="n"/>
      <c r="AF1065" s="80" t="n"/>
      <c r="AG1065" s="80" t="n"/>
      <c r="AH1065" s="80" t="n"/>
      <c r="AI1065" s="80" t="n"/>
      <c r="AJ1065" s="80" t="n"/>
      <c r="AK1065" s="80" t="n"/>
      <c r="AL1065" s="80" t="n"/>
      <c r="AM1065" s="80" t="n"/>
      <c r="AN1065" s="80" t="n"/>
      <c r="AO1065" s="80" t="n"/>
      <c r="AP1065" s="80" t="n"/>
      <c r="AQ1065" s="80" t="n"/>
      <c r="AR1065" s="80" t="n"/>
    </row>
    <row r="1066">
      <c r="A1066" s="2">
        <f>IF($A1059="","","   projections")</f>
        <v/>
      </c>
      <c r="B1066" s="41">
        <f>IF($A1059="",0,COUNT($E1067:$AR1067))</f>
        <v/>
      </c>
      <c r="C1066" s="81">
        <f>IF($B1066=0,0,MAX($E1067:$AR1067))</f>
        <v/>
      </c>
      <c r="D1066" s="82">
        <f>BDS($A1059,'Field Check'!$C$6,"headers=y","startcol=1","endcol=7","dir=h")</f>
        <v/>
      </c>
      <c r="E1066" s="83" t="n"/>
      <c r="F1066" s="83" t="n"/>
      <c r="G1066" s="83" t="n"/>
      <c r="H1066" s="83" t="n"/>
      <c r="I1066" s="83" t="n"/>
      <c r="J1066" s="83" t="n"/>
      <c r="K1066" s="83" t="n"/>
      <c r="L1066" s="83" t="n"/>
      <c r="M1066" s="83" t="n"/>
      <c r="N1066" s="83" t="n"/>
      <c r="O1066" s="83" t="n"/>
      <c r="P1066" s="83" t="n"/>
      <c r="Q1066" s="83" t="n"/>
      <c r="R1066" s="83" t="n"/>
      <c r="S1066" s="83" t="n"/>
      <c r="T1066" s="83" t="n"/>
      <c r="U1066" s="83" t="n"/>
      <c r="V1066" s="83" t="n"/>
      <c r="W1066" s="83" t="n"/>
      <c r="X1066" s="83" t="n"/>
      <c r="Y1066" s="83" t="n"/>
      <c r="Z1066" s="83" t="n"/>
      <c r="AA1066" s="83" t="n"/>
      <c r="AB1066" s="83" t="n"/>
      <c r="AC1066" s="83" t="n"/>
      <c r="AD1066" s="83" t="n"/>
      <c r="AE1066" s="83" t="n"/>
      <c r="AF1066" s="83" t="n"/>
      <c r="AG1066" s="83" t="n"/>
      <c r="AH1066" s="83" t="n"/>
      <c r="AI1066" s="83" t="n"/>
      <c r="AJ1066" s="83" t="n"/>
      <c r="AK1066" s="83" t="n"/>
      <c r="AL1066" s="83" t="n"/>
      <c r="AM1066" s="83" t="n"/>
      <c r="AN1066" s="83" t="n"/>
      <c r="AO1066" s="83" t="n"/>
      <c r="AP1066" s="83" t="n"/>
      <c r="AQ1066" s="83" t="n"/>
      <c r="AR1066" s="83" t="n"/>
    </row>
    <row r="1067">
      <c r="D1067" s="83" t="n"/>
      <c r="E1067" s="83" t="n"/>
      <c r="F1067" s="83" t="n"/>
      <c r="G1067" s="83" t="n"/>
      <c r="H1067" s="83" t="n"/>
      <c r="I1067" s="83" t="n"/>
      <c r="J1067" s="83" t="n"/>
      <c r="K1067" s="83" t="n"/>
      <c r="L1067" s="83" t="n"/>
      <c r="M1067" s="83" t="n"/>
      <c r="N1067" s="83" t="n"/>
      <c r="O1067" s="83" t="n"/>
      <c r="P1067" s="83" t="n"/>
      <c r="Q1067" s="83" t="n"/>
      <c r="R1067" s="83" t="n"/>
      <c r="S1067" s="83" t="n"/>
      <c r="T1067" s="83" t="n"/>
      <c r="U1067" s="83" t="n"/>
      <c r="V1067" s="83" t="n"/>
      <c r="W1067" s="83" t="n"/>
      <c r="X1067" s="83" t="n"/>
      <c r="Y1067" s="83" t="n"/>
      <c r="Z1067" s="83" t="n"/>
      <c r="AA1067" s="83" t="n"/>
      <c r="AB1067" s="83" t="n"/>
      <c r="AC1067" s="83" t="n"/>
      <c r="AD1067" s="83" t="n"/>
      <c r="AE1067" s="83" t="n"/>
      <c r="AF1067" s="83" t="n"/>
      <c r="AG1067" s="83" t="n"/>
      <c r="AH1067" s="83" t="n"/>
      <c r="AI1067" s="83" t="n"/>
      <c r="AJ1067" s="83" t="n"/>
      <c r="AK1067" s="83" t="n"/>
      <c r="AL1067" s="83" t="n"/>
      <c r="AM1067" s="83" t="n"/>
      <c r="AN1067" s="83" t="n"/>
      <c r="AO1067" s="83" t="n"/>
      <c r="AP1067" s="83" t="n"/>
      <c r="AQ1067" s="83" t="n"/>
      <c r="AR1067" s="83" t="n"/>
    </row>
    <row r="1068">
      <c r="D1068" s="84" t="n"/>
      <c r="E1068" s="84" t="n"/>
      <c r="F1068" s="84" t="n"/>
      <c r="G1068" s="84" t="n"/>
      <c r="H1068" s="84" t="n"/>
      <c r="I1068" s="84" t="n"/>
      <c r="J1068" s="84" t="n"/>
      <c r="K1068" s="84" t="n"/>
      <c r="L1068" s="84" t="n"/>
      <c r="M1068" s="84" t="n"/>
      <c r="N1068" s="84" t="n"/>
      <c r="O1068" s="84" t="n"/>
      <c r="P1068" s="84" t="n"/>
      <c r="Q1068" s="84" t="n"/>
      <c r="R1068" s="84" t="n"/>
      <c r="S1068" s="84" t="n"/>
      <c r="T1068" s="84" t="n"/>
      <c r="U1068" s="84" t="n"/>
      <c r="V1068" s="84" t="n"/>
      <c r="W1068" s="84" t="n"/>
      <c r="X1068" s="84" t="n"/>
      <c r="Y1068" s="84" t="n"/>
      <c r="Z1068" s="84" t="n"/>
      <c r="AA1068" s="84" t="n"/>
      <c r="AB1068" s="84" t="n"/>
      <c r="AC1068" s="84" t="n"/>
      <c r="AD1068" s="84" t="n"/>
      <c r="AE1068" s="84" t="n"/>
      <c r="AF1068" s="84" t="n"/>
      <c r="AG1068" s="84" t="n"/>
      <c r="AH1068" s="84" t="n"/>
      <c r="AI1068" s="84" t="n"/>
      <c r="AJ1068" s="84" t="n"/>
      <c r="AK1068" s="84" t="n"/>
      <c r="AL1068" s="84" t="n"/>
      <c r="AM1068" s="84" t="n"/>
      <c r="AN1068" s="84" t="n"/>
      <c r="AO1068" s="84" t="n"/>
      <c r="AP1068" s="84" t="n"/>
      <c r="AQ1068" s="84" t="n"/>
      <c r="AR1068" s="84" t="n"/>
    </row>
    <row r="1069">
      <c r="D1069" s="80" t="n"/>
      <c r="E1069" s="80" t="n"/>
      <c r="F1069" s="80" t="n"/>
      <c r="G1069" s="80" t="n"/>
      <c r="H1069" s="80" t="n"/>
      <c r="I1069" s="80" t="n"/>
      <c r="J1069" s="80" t="n"/>
      <c r="K1069" s="80" t="n"/>
      <c r="L1069" s="80" t="n"/>
      <c r="M1069" s="80" t="n"/>
      <c r="N1069" s="80" t="n"/>
      <c r="O1069" s="80" t="n"/>
      <c r="P1069" s="80" t="n"/>
      <c r="Q1069" s="80" t="n"/>
      <c r="R1069" s="80" t="n"/>
      <c r="S1069" s="80" t="n"/>
      <c r="T1069" s="80" t="n"/>
      <c r="U1069" s="80" t="n"/>
      <c r="V1069" s="80" t="n"/>
      <c r="W1069" s="80" t="n"/>
      <c r="X1069" s="80" t="n"/>
      <c r="Y1069" s="80" t="n"/>
      <c r="Z1069" s="80" t="n"/>
      <c r="AA1069" s="80" t="n"/>
      <c r="AB1069" s="80" t="n"/>
      <c r="AC1069" s="80" t="n"/>
      <c r="AD1069" s="80" t="n"/>
      <c r="AE1069" s="80" t="n"/>
      <c r="AF1069" s="80" t="n"/>
      <c r="AG1069" s="80" t="n"/>
      <c r="AH1069" s="80" t="n"/>
      <c r="AI1069" s="80" t="n"/>
      <c r="AJ1069" s="80" t="n"/>
      <c r="AK1069" s="80" t="n"/>
      <c r="AL1069" s="80" t="n"/>
      <c r="AM1069" s="80" t="n"/>
      <c r="AN1069" s="80" t="n"/>
      <c r="AO1069" s="80" t="n"/>
      <c r="AP1069" s="80" t="n"/>
      <c r="AQ1069" s="80" t="n"/>
      <c r="AR1069" s="80" t="n"/>
    </row>
    <row r="1070">
      <c r="D1070" s="80" t="n"/>
      <c r="E1070" s="80" t="n"/>
      <c r="F1070" s="80" t="n"/>
      <c r="G1070" s="80" t="n"/>
      <c r="H1070" s="80" t="n"/>
      <c r="I1070" s="80" t="n"/>
      <c r="J1070" s="80" t="n"/>
      <c r="K1070" s="80" t="n"/>
      <c r="L1070" s="80" t="n"/>
      <c r="M1070" s="80" t="n"/>
      <c r="N1070" s="80" t="n"/>
      <c r="O1070" s="80" t="n"/>
      <c r="P1070" s="80" t="n"/>
      <c r="Q1070" s="80" t="n"/>
      <c r="R1070" s="80" t="n"/>
      <c r="S1070" s="80" t="n"/>
      <c r="T1070" s="80" t="n"/>
      <c r="U1070" s="80" t="n"/>
      <c r="V1070" s="80" t="n"/>
      <c r="W1070" s="80" t="n"/>
      <c r="X1070" s="80" t="n"/>
      <c r="Y1070" s="80" t="n"/>
      <c r="Z1070" s="80" t="n"/>
      <c r="AA1070" s="80" t="n"/>
      <c r="AB1070" s="80" t="n"/>
      <c r="AC1070" s="80" t="n"/>
      <c r="AD1070" s="80" t="n"/>
      <c r="AE1070" s="80" t="n"/>
      <c r="AF1070" s="80" t="n"/>
      <c r="AG1070" s="80" t="n"/>
      <c r="AH1070" s="80" t="n"/>
      <c r="AI1070" s="80" t="n"/>
      <c r="AJ1070" s="80" t="n"/>
      <c r="AK1070" s="80" t="n"/>
      <c r="AL1070" s="80" t="n"/>
      <c r="AM1070" s="80" t="n"/>
      <c r="AN1070" s="80" t="n"/>
      <c r="AO1070" s="80" t="n"/>
      <c r="AP1070" s="80" t="n"/>
      <c r="AQ1070" s="80" t="n"/>
      <c r="AR1070" s="80" t="n"/>
    </row>
    <row r="1071">
      <c r="D1071" s="80" t="n"/>
      <c r="E1071" s="80" t="n"/>
      <c r="F1071" s="80" t="n"/>
      <c r="G1071" s="80" t="n"/>
      <c r="H1071" s="80" t="n"/>
      <c r="I1071" s="80" t="n"/>
      <c r="J1071" s="80" t="n"/>
      <c r="K1071" s="80" t="n"/>
      <c r="L1071" s="80" t="n"/>
      <c r="M1071" s="80" t="n"/>
      <c r="N1071" s="80" t="n"/>
      <c r="O1071" s="80" t="n"/>
      <c r="P1071" s="80" t="n"/>
      <c r="Q1071" s="80" t="n"/>
      <c r="R1071" s="80" t="n"/>
      <c r="S1071" s="80" t="n"/>
      <c r="T1071" s="80" t="n"/>
      <c r="U1071" s="80" t="n"/>
      <c r="V1071" s="80" t="n"/>
      <c r="W1071" s="80" t="n"/>
      <c r="X1071" s="80" t="n"/>
      <c r="Y1071" s="80" t="n"/>
      <c r="Z1071" s="80" t="n"/>
      <c r="AA1071" s="80" t="n"/>
      <c r="AB1071" s="80" t="n"/>
      <c r="AC1071" s="80" t="n"/>
      <c r="AD1071" s="80" t="n"/>
      <c r="AE1071" s="80" t="n"/>
      <c r="AF1071" s="80" t="n"/>
      <c r="AG1071" s="80" t="n"/>
      <c r="AH1071" s="80" t="n"/>
      <c r="AI1071" s="80" t="n"/>
      <c r="AJ1071" s="80" t="n"/>
      <c r="AK1071" s="80" t="n"/>
      <c r="AL1071" s="80" t="n"/>
      <c r="AM1071" s="80" t="n"/>
      <c r="AN1071" s="80" t="n"/>
      <c r="AO1071" s="80" t="n"/>
      <c r="AP1071" s="80" t="n"/>
      <c r="AQ1071" s="80" t="n"/>
      <c r="AR1071" s="80" t="n"/>
    </row>
    <row r="1072">
      <c r="D1072" s="80" t="n"/>
      <c r="E1072" s="80" t="n"/>
      <c r="F1072" s="80" t="n"/>
      <c r="G1072" s="80" t="n"/>
      <c r="H1072" s="80" t="n"/>
      <c r="I1072" s="80" t="n"/>
      <c r="J1072" s="80" t="n"/>
      <c r="K1072" s="80" t="n"/>
      <c r="L1072" s="80" t="n"/>
      <c r="M1072" s="80" t="n"/>
      <c r="N1072" s="80" t="n"/>
      <c r="O1072" s="80" t="n"/>
      <c r="P1072" s="80" t="n"/>
      <c r="Q1072" s="80" t="n"/>
      <c r="R1072" s="80" t="n"/>
      <c r="S1072" s="80" t="n"/>
      <c r="T1072" s="80" t="n"/>
      <c r="U1072" s="80" t="n"/>
      <c r="V1072" s="80" t="n"/>
      <c r="W1072" s="80" t="n"/>
      <c r="X1072" s="80" t="n"/>
      <c r="Y1072" s="80" t="n"/>
      <c r="Z1072" s="80" t="n"/>
      <c r="AA1072" s="80" t="n"/>
      <c r="AB1072" s="80" t="n"/>
      <c r="AC1072" s="80" t="n"/>
      <c r="AD1072" s="80" t="n"/>
      <c r="AE1072" s="80" t="n"/>
      <c r="AF1072" s="80" t="n"/>
      <c r="AG1072" s="80" t="n"/>
      <c r="AH1072" s="80" t="n"/>
      <c r="AI1072" s="80" t="n"/>
      <c r="AJ1072" s="80" t="n"/>
      <c r="AK1072" s="80" t="n"/>
      <c r="AL1072" s="80" t="n"/>
      <c r="AM1072" s="80" t="n"/>
      <c r="AN1072" s="80" t="n"/>
      <c r="AO1072" s="80" t="n"/>
      <c r="AP1072" s="80" t="n"/>
      <c r="AQ1072" s="80" t="n"/>
      <c r="AR1072" s="80" t="n"/>
    </row>
    <row r="1074">
      <c r="A1074" s="6">
        <f>IF(HSI!$C$78="","",HSI!$C$78)</f>
        <v/>
      </c>
      <c r="B1074" s="41">
        <f>IF($A1074="",0,COUNT($E1075:$AR1075))</f>
        <v/>
      </c>
      <c r="C1074" s="81">
        <f>IF($B1074=0,0,MAX($E1075:$AR1075))</f>
        <v/>
      </c>
      <c r="D1074" s="82">
        <f>BDS($A1074,'Field Check'!$C$7,"headers=y","startcol=1","endcol=7","dir=h","DVD_START_DT",Summary!$C$18,"DVD_END_DT",Summary!$D$18)</f>
        <v/>
      </c>
      <c r="E1074" s="83" t="n"/>
      <c r="F1074" s="83" t="n"/>
      <c r="G1074" s="83" t="n"/>
      <c r="H1074" s="83" t="n"/>
      <c r="I1074" s="83" t="n"/>
      <c r="J1074" s="83" t="n"/>
      <c r="K1074" s="83" t="n"/>
      <c r="L1074" s="83" t="n"/>
      <c r="M1074" s="83" t="n"/>
      <c r="N1074" s="83" t="n"/>
      <c r="O1074" s="83" t="n"/>
      <c r="P1074" s="83" t="n"/>
      <c r="Q1074" s="83" t="n"/>
      <c r="R1074" s="83" t="n"/>
      <c r="S1074" s="83" t="n"/>
      <c r="T1074" s="83" t="n"/>
      <c r="U1074" s="83" t="n"/>
      <c r="V1074" s="83" t="n"/>
      <c r="W1074" s="83" t="n"/>
      <c r="X1074" s="83" t="n"/>
      <c r="Y1074" s="83" t="n"/>
      <c r="Z1074" s="83" t="n"/>
      <c r="AA1074" s="83" t="n"/>
      <c r="AB1074" s="83" t="n"/>
      <c r="AC1074" s="83" t="n"/>
      <c r="AD1074" s="83" t="n"/>
      <c r="AE1074" s="83" t="n"/>
      <c r="AF1074" s="83" t="n"/>
      <c r="AG1074" s="83" t="n"/>
      <c r="AH1074" s="83" t="n"/>
      <c r="AI1074" s="83" t="n"/>
      <c r="AJ1074" s="83" t="n"/>
      <c r="AK1074" s="83" t="n"/>
      <c r="AL1074" s="83" t="n"/>
      <c r="AM1074" s="83" t="n"/>
      <c r="AN1074" s="83" t="n"/>
      <c r="AO1074" s="83" t="n"/>
      <c r="AP1074" s="83" t="n"/>
      <c r="AQ1074" s="83" t="n"/>
      <c r="AR1074" s="83" t="n"/>
    </row>
    <row r="1075">
      <c r="D1075" s="83" t="n"/>
      <c r="E1075" s="83" t="n"/>
      <c r="F1075" s="83" t="n"/>
      <c r="G1075" s="83" t="n"/>
      <c r="H1075" s="83" t="n"/>
      <c r="I1075" s="83" t="n"/>
      <c r="J1075" s="83" t="n"/>
      <c r="K1075" s="83" t="n"/>
      <c r="L1075" s="83" t="n"/>
      <c r="M1075" s="83" t="n"/>
      <c r="N1075" s="83" t="n"/>
      <c r="O1075" s="83" t="n"/>
      <c r="P1075" s="83" t="n"/>
      <c r="Q1075" s="83" t="n"/>
      <c r="R1075" s="83" t="n"/>
      <c r="S1075" s="83" t="n"/>
      <c r="T1075" s="83" t="n"/>
      <c r="U1075" s="83" t="n"/>
      <c r="V1075" s="83" t="n"/>
      <c r="W1075" s="83" t="n"/>
      <c r="X1075" s="83" t="n"/>
      <c r="Y1075" s="83" t="n"/>
      <c r="Z1075" s="83" t="n"/>
      <c r="AA1075" s="83" t="n"/>
      <c r="AB1075" s="83" t="n"/>
      <c r="AC1075" s="83" t="n"/>
      <c r="AD1075" s="83" t="n"/>
      <c r="AE1075" s="83" t="n"/>
      <c r="AF1075" s="83" t="n"/>
      <c r="AG1075" s="83" t="n"/>
      <c r="AH1075" s="83" t="n"/>
      <c r="AI1075" s="83" t="n"/>
      <c r="AJ1075" s="83" t="n"/>
      <c r="AK1075" s="83" t="n"/>
      <c r="AL1075" s="83" t="n"/>
      <c r="AM1075" s="83" t="n"/>
      <c r="AN1075" s="83" t="n"/>
      <c r="AO1075" s="83" t="n"/>
      <c r="AP1075" s="83" t="n"/>
      <c r="AQ1075" s="83" t="n"/>
      <c r="AR1075" s="83" t="n"/>
    </row>
    <row r="1076">
      <c r="D1076" s="84" t="n"/>
      <c r="E1076" s="84" t="n"/>
      <c r="F1076" s="84" t="n"/>
      <c r="G1076" s="84" t="n"/>
      <c r="H1076" s="84" t="n"/>
      <c r="I1076" s="84" t="n"/>
      <c r="J1076" s="84" t="n"/>
      <c r="K1076" s="84" t="n"/>
      <c r="L1076" s="84" t="n"/>
      <c r="M1076" s="84" t="n"/>
      <c r="N1076" s="84" t="n"/>
      <c r="O1076" s="84" t="n"/>
      <c r="P1076" s="84" t="n"/>
      <c r="Q1076" s="84" t="n"/>
      <c r="R1076" s="84" t="n"/>
      <c r="S1076" s="84" t="n"/>
      <c r="T1076" s="84" t="n"/>
      <c r="U1076" s="84" t="n"/>
      <c r="V1076" s="84" t="n"/>
      <c r="W1076" s="84" t="n"/>
      <c r="X1076" s="84" t="n"/>
      <c r="Y1076" s="84" t="n"/>
      <c r="Z1076" s="84" t="n"/>
      <c r="AA1076" s="84" t="n"/>
      <c r="AB1076" s="84" t="n"/>
      <c r="AC1076" s="84" t="n"/>
      <c r="AD1076" s="84" t="n"/>
      <c r="AE1076" s="84" t="n"/>
      <c r="AF1076" s="84" t="n"/>
      <c r="AG1076" s="84" t="n"/>
      <c r="AH1076" s="84" t="n"/>
      <c r="AI1076" s="84" t="n"/>
      <c r="AJ1076" s="84" t="n"/>
      <c r="AK1076" s="84" t="n"/>
      <c r="AL1076" s="84" t="n"/>
      <c r="AM1076" s="84" t="n"/>
      <c r="AN1076" s="84" t="n"/>
      <c r="AO1076" s="84" t="n"/>
      <c r="AP1076" s="84" t="n"/>
      <c r="AQ1076" s="84" t="n"/>
      <c r="AR1076" s="84" t="n"/>
    </row>
    <row r="1077">
      <c r="D1077" s="80" t="n"/>
      <c r="E1077" s="80" t="n"/>
      <c r="F1077" s="80" t="n"/>
      <c r="G1077" s="80" t="n"/>
      <c r="H1077" s="80" t="n"/>
      <c r="I1077" s="80" t="n"/>
      <c r="J1077" s="80" t="n"/>
      <c r="K1077" s="80" t="n"/>
      <c r="L1077" s="80" t="n"/>
      <c r="M1077" s="80" t="n"/>
      <c r="N1077" s="80" t="n"/>
      <c r="O1077" s="80" t="n"/>
      <c r="P1077" s="80" t="n"/>
      <c r="Q1077" s="80" t="n"/>
      <c r="R1077" s="80" t="n"/>
      <c r="S1077" s="80" t="n"/>
      <c r="T1077" s="80" t="n"/>
      <c r="U1077" s="80" t="n"/>
      <c r="V1077" s="80" t="n"/>
      <c r="W1077" s="80" t="n"/>
      <c r="X1077" s="80" t="n"/>
      <c r="Y1077" s="80" t="n"/>
      <c r="Z1077" s="80" t="n"/>
      <c r="AA1077" s="80" t="n"/>
      <c r="AB1077" s="80" t="n"/>
      <c r="AC1077" s="80" t="n"/>
      <c r="AD1077" s="80" t="n"/>
      <c r="AE1077" s="80" t="n"/>
      <c r="AF1077" s="80" t="n"/>
      <c r="AG1077" s="80" t="n"/>
      <c r="AH1077" s="80" t="n"/>
      <c r="AI1077" s="80" t="n"/>
      <c r="AJ1077" s="80" t="n"/>
      <c r="AK1077" s="80" t="n"/>
      <c r="AL1077" s="80" t="n"/>
      <c r="AM1077" s="80" t="n"/>
      <c r="AN1077" s="80" t="n"/>
      <c r="AO1077" s="80" t="n"/>
      <c r="AP1077" s="80" t="n"/>
      <c r="AQ1077" s="80" t="n"/>
      <c r="AR1077" s="80" t="n"/>
    </row>
    <row r="1078">
      <c r="D1078" s="80" t="n"/>
      <c r="E1078" s="80" t="n"/>
      <c r="F1078" s="80" t="n"/>
      <c r="G1078" s="80" t="n"/>
      <c r="H1078" s="80" t="n"/>
      <c r="I1078" s="80" t="n"/>
      <c r="J1078" s="80" t="n"/>
      <c r="K1078" s="80" t="n"/>
      <c r="L1078" s="80" t="n"/>
      <c r="M1078" s="80" t="n"/>
      <c r="N1078" s="80" t="n"/>
      <c r="O1078" s="80" t="n"/>
      <c r="P1078" s="80" t="n"/>
      <c r="Q1078" s="80" t="n"/>
      <c r="R1078" s="80" t="n"/>
      <c r="S1078" s="80" t="n"/>
      <c r="T1078" s="80" t="n"/>
      <c r="U1078" s="80" t="n"/>
      <c r="V1078" s="80" t="n"/>
      <c r="W1078" s="80" t="n"/>
      <c r="X1078" s="80" t="n"/>
      <c r="Y1078" s="80" t="n"/>
      <c r="Z1078" s="80" t="n"/>
      <c r="AA1078" s="80" t="n"/>
      <c r="AB1078" s="80" t="n"/>
      <c r="AC1078" s="80" t="n"/>
      <c r="AD1078" s="80" t="n"/>
      <c r="AE1078" s="80" t="n"/>
      <c r="AF1078" s="80" t="n"/>
      <c r="AG1078" s="80" t="n"/>
      <c r="AH1078" s="80" t="n"/>
      <c r="AI1078" s="80" t="n"/>
      <c r="AJ1078" s="80" t="n"/>
      <c r="AK1078" s="80" t="n"/>
      <c r="AL1078" s="80" t="n"/>
      <c r="AM1078" s="80" t="n"/>
      <c r="AN1078" s="80" t="n"/>
      <c r="AO1078" s="80" t="n"/>
      <c r="AP1078" s="80" t="n"/>
      <c r="AQ1078" s="80" t="n"/>
      <c r="AR1078" s="80" t="n"/>
    </row>
    <row r="1079">
      <c r="D1079" s="80" t="n"/>
      <c r="E1079" s="80" t="n"/>
      <c r="F1079" s="80" t="n"/>
      <c r="G1079" s="80" t="n"/>
      <c r="H1079" s="80" t="n"/>
      <c r="I1079" s="80" t="n"/>
      <c r="J1079" s="80" t="n"/>
      <c r="K1079" s="80" t="n"/>
      <c r="L1079" s="80" t="n"/>
      <c r="M1079" s="80" t="n"/>
      <c r="N1079" s="80" t="n"/>
      <c r="O1079" s="80" t="n"/>
      <c r="P1079" s="80" t="n"/>
      <c r="Q1079" s="80" t="n"/>
      <c r="R1079" s="80" t="n"/>
      <c r="S1079" s="80" t="n"/>
      <c r="T1079" s="80" t="n"/>
      <c r="U1079" s="80" t="n"/>
      <c r="V1079" s="80" t="n"/>
      <c r="W1079" s="80" t="n"/>
      <c r="X1079" s="80" t="n"/>
      <c r="Y1079" s="80" t="n"/>
      <c r="Z1079" s="80" t="n"/>
      <c r="AA1079" s="80" t="n"/>
      <c r="AB1079" s="80" t="n"/>
      <c r="AC1079" s="80" t="n"/>
      <c r="AD1079" s="80" t="n"/>
      <c r="AE1079" s="80" t="n"/>
      <c r="AF1079" s="80" t="n"/>
      <c r="AG1079" s="80" t="n"/>
      <c r="AH1079" s="80" t="n"/>
      <c r="AI1079" s="80" t="n"/>
      <c r="AJ1079" s="80" t="n"/>
      <c r="AK1079" s="80" t="n"/>
      <c r="AL1079" s="80" t="n"/>
      <c r="AM1079" s="80" t="n"/>
      <c r="AN1079" s="80" t="n"/>
      <c r="AO1079" s="80" t="n"/>
      <c r="AP1079" s="80" t="n"/>
      <c r="AQ1079" s="80" t="n"/>
      <c r="AR1079" s="80" t="n"/>
    </row>
    <row r="1080">
      <c r="D1080" s="80" t="n"/>
      <c r="E1080" s="80" t="n"/>
      <c r="F1080" s="80" t="n"/>
      <c r="G1080" s="80" t="n"/>
      <c r="H1080" s="80" t="n"/>
      <c r="I1080" s="80" t="n"/>
      <c r="J1080" s="80" t="n"/>
      <c r="K1080" s="80" t="n"/>
      <c r="L1080" s="80" t="n"/>
      <c r="M1080" s="80" t="n"/>
      <c r="N1080" s="80" t="n"/>
      <c r="O1080" s="80" t="n"/>
      <c r="P1080" s="80" t="n"/>
      <c r="Q1080" s="80" t="n"/>
      <c r="R1080" s="80" t="n"/>
      <c r="S1080" s="80" t="n"/>
      <c r="T1080" s="80" t="n"/>
      <c r="U1080" s="80" t="n"/>
      <c r="V1080" s="80" t="n"/>
      <c r="W1080" s="80" t="n"/>
      <c r="X1080" s="80" t="n"/>
      <c r="Y1080" s="80" t="n"/>
      <c r="Z1080" s="80" t="n"/>
      <c r="AA1080" s="80" t="n"/>
      <c r="AB1080" s="80" t="n"/>
      <c r="AC1080" s="80" t="n"/>
      <c r="AD1080" s="80" t="n"/>
      <c r="AE1080" s="80" t="n"/>
      <c r="AF1080" s="80" t="n"/>
      <c r="AG1080" s="80" t="n"/>
      <c r="AH1080" s="80" t="n"/>
      <c r="AI1080" s="80" t="n"/>
      <c r="AJ1080" s="80" t="n"/>
      <c r="AK1080" s="80" t="n"/>
      <c r="AL1080" s="80" t="n"/>
      <c r="AM1080" s="80" t="n"/>
      <c r="AN1080" s="80" t="n"/>
      <c r="AO1080" s="80" t="n"/>
      <c r="AP1080" s="80" t="n"/>
      <c r="AQ1080" s="80" t="n"/>
      <c r="AR1080" s="80" t="n"/>
    </row>
    <row r="1081">
      <c r="A1081" s="2">
        <f>IF($A1074="","","   projections")</f>
        <v/>
      </c>
      <c r="B1081" s="41">
        <f>IF($A1074="",0,COUNT($E1082:$AR1082))</f>
        <v/>
      </c>
      <c r="C1081" s="81">
        <f>IF($B1081=0,0,MAX($E1082:$AR1082))</f>
        <v/>
      </c>
      <c r="D1081" s="82">
        <f>BDS($A1074,'Field Check'!$C$6,"headers=y","startcol=1","endcol=7","dir=h")</f>
        <v/>
      </c>
      <c r="E1081" s="83" t="n"/>
      <c r="F1081" s="83" t="n"/>
      <c r="G1081" s="83" t="n"/>
      <c r="H1081" s="83" t="n"/>
      <c r="I1081" s="83" t="n"/>
      <c r="J1081" s="83" t="n"/>
      <c r="K1081" s="83" t="n"/>
      <c r="L1081" s="83" t="n"/>
      <c r="M1081" s="83" t="n"/>
      <c r="N1081" s="83" t="n"/>
      <c r="O1081" s="83" t="n"/>
      <c r="P1081" s="83" t="n"/>
      <c r="Q1081" s="83" t="n"/>
      <c r="R1081" s="83" t="n"/>
      <c r="S1081" s="83" t="n"/>
      <c r="T1081" s="83" t="n"/>
      <c r="U1081" s="83" t="n"/>
      <c r="V1081" s="83" t="n"/>
      <c r="W1081" s="83" t="n"/>
      <c r="X1081" s="83" t="n"/>
      <c r="Y1081" s="83" t="n"/>
      <c r="Z1081" s="83" t="n"/>
      <c r="AA1081" s="83" t="n"/>
      <c r="AB1081" s="83" t="n"/>
      <c r="AC1081" s="83" t="n"/>
      <c r="AD1081" s="83" t="n"/>
      <c r="AE1081" s="83" t="n"/>
      <c r="AF1081" s="83" t="n"/>
      <c r="AG1081" s="83" t="n"/>
      <c r="AH1081" s="83" t="n"/>
      <c r="AI1081" s="83" t="n"/>
      <c r="AJ1081" s="83" t="n"/>
      <c r="AK1081" s="83" t="n"/>
      <c r="AL1081" s="83" t="n"/>
      <c r="AM1081" s="83" t="n"/>
      <c r="AN1081" s="83" t="n"/>
      <c r="AO1081" s="83" t="n"/>
      <c r="AP1081" s="83" t="n"/>
      <c r="AQ1081" s="83" t="n"/>
      <c r="AR1081" s="83" t="n"/>
    </row>
    <row r="1082">
      <c r="D1082" s="83" t="n"/>
      <c r="E1082" s="83" t="n"/>
      <c r="F1082" s="83" t="n"/>
      <c r="G1082" s="83" t="n"/>
      <c r="H1082" s="83" t="n"/>
      <c r="I1082" s="83" t="n"/>
      <c r="J1082" s="83" t="n"/>
      <c r="K1082" s="83" t="n"/>
      <c r="L1082" s="83" t="n"/>
      <c r="M1082" s="83" t="n"/>
      <c r="N1082" s="83" t="n"/>
      <c r="O1082" s="83" t="n"/>
      <c r="P1082" s="83" t="n"/>
      <c r="Q1082" s="83" t="n"/>
      <c r="R1082" s="83" t="n"/>
      <c r="S1082" s="83" t="n"/>
      <c r="T1082" s="83" t="n"/>
      <c r="U1082" s="83" t="n"/>
      <c r="V1082" s="83" t="n"/>
      <c r="W1082" s="83" t="n"/>
      <c r="X1082" s="83" t="n"/>
      <c r="Y1082" s="83" t="n"/>
      <c r="Z1082" s="83" t="n"/>
      <c r="AA1082" s="83" t="n"/>
      <c r="AB1082" s="83" t="n"/>
      <c r="AC1082" s="83" t="n"/>
      <c r="AD1082" s="83" t="n"/>
      <c r="AE1082" s="83" t="n"/>
      <c r="AF1082" s="83" t="n"/>
      <c r="AG1082" s="83" t="n"/>
      <c r="AH1082" s="83" t="n"/>
      <c r="AI1082" s="83" t="n"/>
      <c r="AJ1082" s="83" t="n"/>
      <c r="AK1082" s="83" t="n"/>
      <c r="AL1082" s="83" t="n"/>
      <c r="AM1082" s="83" t="n"/>
      <c r="AN1082" s="83" t="n"/>
      <c r="AO1082" s="83" t="n"/>
      <c r="AP1082" s="83" t="n"/>
      <c r="AQ1082" s="83" t="n"/>
      <c r="AR1082" s="83" t="n"/>
    </row>
    <row r="1083">
      <c r="D1083" s="84" t="n"/>
      <c r="E1083" s="84" t="n"/>
      <c r="F1083" s="84" t="n"/>
      <c r="G1083" s="84" t="n"/>
      <c r="H1083" s="84" t="n"/>
      <c r="I1083" s="84" t="n"/>
      <c r="J1083" s="84" t="n"/>
      <c r="K1083" s="84" t="n"/>
      <c r="L1083" s="84" t="n"/>
      <c r="M1083" s="84" t="n"/>
      <c r="N1083" s="84" t="n"/>
      <c r="O1083" s="84" t="n"/>
      <c r="P1083" s="84" t="n"/>
      <c r="Q1083" s="84" t="n"/>
      <c r="R1083" s="84" t="n"/>
      <c r="S1083" s="84" t="n"/>
      <c r="T1083" s="84" t="n"/>
      <c r="U1083" s="84" t="n"/>
      <c r="V1083" s="84" t="n"/>
      <c r="W1083" s="84" t="n"/>
      <c r="X1083" s="84" t="n"/>
      <c r="Y1083" s="84" t="n"/>
      <c r="Z1083" s="84" t="n"/>
      <c r="AA1083" s="84" t="n"/>
      <c r="AB1083" s="84" t="n"/>
      <c r="AC1083" s="84" t="n"/>
      <c r="AD1083" s="84" t="n"/>
      <c r="AE1083" s="84" t="n"/>
      <c r="AF1083" s="84" t="n"/>
      <c r="AG1083" s="84" t="n"/>
      <c r="AH1083" s="84" t="n"/>
      <c r="AI1083" s="84" t="n"/>
      <c r="AJ1083" s="84" t="n"/>
      <c r="AK1083" s="84" t="n"/>
      <c r="AL1083" s="84" t="n"/>
      <c r="AM1083" s="84" t="n"/>
      <c r="AN1083" s="84" t="n"/>
      <c r="AO1083" s="84" t="n"/>
      <c r="AP1083" s="84" t="n"/>
      <c r="AQ1083" s="84" t="n"/>
      <c r="AR1083" s="84" t="n"/>
    </row>
    <row r="1084">
      <c r="D1084" s="80" t="n"/>
      <c r="E1084" s="80" t="n"/>
      <c r="F1084" s="80" t="n"/>
      <c r="G1084" s="80" t="n"/>
      <c r="H1084" s="80" t="n"/>
      <c r="I1084" s="80" t="n"/>
      <c r="J1084" s="80" t="n"/>
      <c r="K1084" s="80" t="n"/>
      <c r="L1084" s="80" t="n"/>
      <c r="M1084" s="80" t="n"/>
      <c r="N1084" s="80" t="n"/>
      <c r="O1084" s="80" t="n"/>
      <c r="P1084" s="80" t="n"/>
      <c r="Q1084" s="80" t="n"/>
      <c r="R1084" s="80" t="n"/>
      <c r="S1084" s="80" t="n"/>
      <c r="T1084" s="80" t="n"/>
      <c r="U1084" s="80" t="n"/>
      <c r="V1084" s="80" t="n"/>
      <c r="W1084" s="80" t="n"/>
      <c r="X1084" s="80" t="n"/>
      <c r="Y1084" s="80" t="n"/>
      <c r="Z1084" s="80" t="n"/>
      <c r="AA1084" s="80" t="n"/>
      <c r="AB1084" s="80" t="n"/>
      <c r="AC1084" s="80" t="n"/>
      <c r="AD1084" s="80" t="n"/>
      <c r="AE1084" s="80" t="n"/>
      <c r="AF1084" s="80" t="n"/>
      <c r="AG1084" s="80" t="n"/>
      <c r="AH1084" s="80" t="n"/>
      <c r="AI1084" s="80" t="n"/>
      <c r="AJ1084" s="80" t="n"/>
      <c r="AK1084" s="80" t="n"/>
      <c r="AL1084" s="80" t="n"/>
      <c r="AM1084" s="80" t="n"/>
      <c r="AN1084" s="80" t="n"/>
      <c r="AO1084" s="80" t="n"/>
      <c r="AP1084" s="80" t="n"/>
      <c r="AQ1084" s="80" t="n"/>
      <c r="AR1084" s="80" t="n"/>
    </row>
    <row r="1085">
      <c r="D1085" s="80" t="n"/>
      <c r="E1085" s="80" t="n"/>
      <c r="F1085" s="80" t="n"/>
      <c r="G1085" s="80" t="n"/>
      <c r="H1085" s="80" t="n"/>
      <c r="I1085" s="80" t="n"/>
      <c r="J1085" s="80" t="n"/>
      <c r="K1085" s="80" t="n"/>
      <c r="L1085" s="80" t="n"/>
      <c r="M1085" s="80" t="n"/>
      <c r="N1085" s="80" t="n"/>
      <c r="O1085" s="80" t="n"/>
      <c r="P1085" s="80" t="n"/>
      <c r="Q1085" s="80" t="n"/>
      <c r="R1085" s="80" t="n"/>
      <c r="S1085" s="80" t="n"/>
      <c r="T1085" s="80" t="n"/>
      <c r="U1085" s="80" t="n"/>
      <c r="V1085" s="80" t="n"/>
      <c r="W1085" s="80" t="n"/>
      <c r="X1085" s="80" t="n"/>
      <c r="Y1085" s="80" t="n"/>
      <c r="Z1085" s="80" t="n"/>
      <c r="AA1085" s="80" t="n"/>
      <c r="AB1085" s="80" t="n"/>
      <c r="AC1085" s="80" t="n"/>
      <c r="AD1085" s="80" t="n"/>
      <c r="AE1085" s="80" t="n"/>
      <c r="AF1085" s="80" t="n"/>
      <c r="AG1085" s="80" t="n"/>
      <c r="AH1085" s="80" t="n"/>
      <c r="AI1085" s="80" t="n"/>
      <c r="AJ1085" s="80" t="n"/>
      <c r="AK1085" s="80" t="n"/>
      <c r="AL1085" s="80" t="n"/>
      <c r="AM1085" s="80" t="n"/>
      <c r="AN1085" s="80" t="n"/>
      <c r="AO1085" s="80" t="n"/>
      <c r="AP1085" s="80" t="n"/>
      <c r="AQ1085" s="80" t="n"/>
      <c r="AR1085" s="80" t="n"/>
    </row>
    <row r="1086">
      <c r="D1086" s="80" t="n"/>
      <c r="E1086" s="80" t="n"/>
      <c r="F1086" s="80" t="n"/>
      <c r="G1086" s="80" t="n"/>
      <c r="H1086" s="80" t="n"/>
      <c r="I1086" s="80" t="n"/>
      <c r="J1086" s="80" t="n"/>
      <c r="K1086" s="80" t="n"/>
      <c r="L1086" s="80" t="n"/>
      <c r="M1086" s="80" t="n"/>
      <c r="N1086" s="80" t="n"/>
      <c r="O1086" s="80" t="n"/>
      <c r="P1086" s="80" t="n"/>
      <c r="Q1086" s="80" t="n"/>
      <c r="R1086" s="80" t="n"/>
      <c r="S1086" s="80" t="n"/>
      <c r="T1086" s="80" t="n"/>
      <c r="U1086" s="80" t="n"/>
      <c r="V1086" s="80" t="n"/>
      <c r="W1086" s="80" t="n"/>
      <c r="X1086" s="80" t="n"/>
      <c r="Y1086" s="80" t="n"/>
      <c r="Z1086" s="80" t="n"/>
      <c r="AA1086" s="80" t="n"/>
      <c r="AB1086" s="80" t="n"/>
      <c r="AC1086" s="80" t="n"/>
      <c r="AD1086" s="80" t="n"/>
      <c r="AE1086" s="80" t="n"/>
      <c r="AF1086" s="80" t="n"/>
      <c r="AG1086" s="80" t="n"/>
      <c r="AH1086" s="80" t="n"/>
      <c r="AI1086" s="80" t="n"/>
      <c r="AJ1086" s="80" t="n"/>
      <c r="AK1086" s="80" t="n"/>
      <c r="AL1086" s="80" t="n"/>
      <c r="AM1086" s="80" t="n"/>
      <c r="AN1086" s="80" t="n"/>
      <c r="AO1086" s="80" t="n"/>
      <c r="AP1086" s="80" t="n"/>
      <c r="AQ1086" s="80" t="n"/>
      <c r="AR1086" s="80" t="n"/>
    </row>
    <row r="1087">
      <c r="D1087" s="80" t="n"/>
      <c r="E1087" s="80" t="n"/>
      <c r="F1087" s="80" t="n"/>
      <c r="G1087" s="80" t="n"/>
      <c r="H1087" s="80" t="n"/>
      <c r="I1087" s="80" t="n"/>
      <c r="J1087" s="80" t="n"/>
      <c r="K1087" s="80" t="n"/>
      <c r="L1087" s="80" t="n"/>
      <c r="M1087" s="80" t="n"/>
      <c r="N1087" s="80" t="n"/>
      <c r="O1087" s="80" t="n"/>
      <c r="P1087" s="80" t="n"/>
      <c r="Q1087" s="80" t="n"/>
      <c r="R1087" s="80" t="n"/>
      <c r="S1087" s="80" t="n"/>
      <c r="T1087" s="80" t="n"/>
      <c r="U1087" s="80" t="n"/>
      <c r="V1087" s="80" t="n"/>
      <c r="W1087" s="80" t="n"/>
      <c r="X1087" s="80" t="n"/>
      <c r="Y1087" s="80" t="n"/>
      <c r="Z1087" s="80" t="n"/>
      <c r="AA1087" s="80" t="n"/>
      <c r="AB1087" s="80" t="n"/>
      <c r="AC1087" s="80" t="n"/>
      <c r="AD1087" s="80" t="n"/>
      <c r="AE1087" s="80" t="n"/>
      <c r="AF1087" s="80" t="n"/>
      <c r="AG1087" s="80" t="n"/>
      <c r="AH1087" s="80" t="n"/>
      <c r="AI1087" s="80" t="n"/>
      <c r="AJ1087" s="80" t="n"/>
      <c r="AK1087" s="80" t="n"/>
      <c r="AL1087" s="80" t="n"/>
      <c r="AM1087" s="80" t="n"/>
      <c r="AN1087" s="80" t="n"/>
      <c r="AO1087" s="80" t="n"/>
      <c r="AP1087" s="80" t="n"/>
      <c r="AQ1087" s="80" t="n"/>
      <c r="AR1087" s="80" t="n"/>
    </row>
    <row r="1089">
      <c r="A1089" s="6">
        <f>IF(HSI!$C$79="","",HSI!$C$79)</f>
        <v/>
      </c>
      <c r="B1089" s="41">
        <f>IF($A1089="",0,COUNT($E1090:$AR1090))</f>
        <v/>
      </c>
      <c r="C1089" s="81">
        <f>IF($B1089=0,0,MAX($E1090:$AR1090))</f>
        <v/>
      </c>
      <c r="D1089" s="82">
        <f>BDS($A1089,'Field Check'!$C$7,"headers=y","startcol=1","endcol=7","dir=h","DVD_START_DT",Summary!$C$18,"DVD_END_DT",Summary!$D$18)</f>
        <v/>
      </c>
      <c r="E1089" s="83" t="n"/>
      <c r="F1089" s="83" t="n"/>
      <c r="G1089" s="83" t="n"/>
      <c r="H1089" s="83" t="n"/>
      <c r="I1089" s="83" t="n"/>
      <c r="J1089" s="83" t="n"/>
      <c r="K1089" s="83" t="n"/>
      <c r="L1089" s="83" t="n"/>
      <c r="M1089" s="83" t="n"/>
      <c r="N1089" s="83" t="n"/>
      <c r="O1089" s="83" t="n"/>
      <c r="P1089" s="83" t="n"/>
      <c r="Q1089" s="83" t="n"/>
      <c r="R1089" s="83" t="n"/>
      <c r="S1089" s="83" t="n"/>
      <c r="T1089" s="83" t="n"/>
      <c r="U1089" s="83" t="n"/>
      <c r="V1089" s="83" t="n"/>
      <c r="W1089" s="83" t="n"/>
      <c r="X1089" s="83" t="n"/>
      <c r="Y1089" s="83" t="n"/>
      <c r="Z1089" s="83" t="n"/>
      <c r="AA1089" s="83" t="n"/>
      <c r="AB1089" s="83" t="n"/>
      <c r="AC1089" s="83" t="n"/>
      <c r="AD1089" s="83" t="n"/>
      <c r="AE1089" s="83" t="n"/>
      <c r="AF1089" s="83" t="n"/>
      <c r="AG1089" s="83" t="n"/>
      <c r="AH1089" s="83" t="n"/>
      <c r="AI1089" s="83" t="n"/>
      <c r="AJ1089" s="83" t="n"/>
      <c r="AK1089" s="83" t="n"/>
      <c r="AL1089" s="83" t="n"/>
      <c r="AM1089" s="83" t="n"/>
      <c r="AN1089" s="83" t="n"/>
      <c r="AO1089" s="83" t="n"/>
      <c r="AP1089" s="83" t="n"/>
      <c r="AQ1089" s="83" t="n"/>
      <c r="AR1089" s="83" t="n"/>
    </row>
    <row r="1090">
      <c r="D1090" s="83" t="n"/>
      <c r="E1090" s="83" t="n"/>
      <c r="F1090" s="83" t="n"/>
      <c r="G1090" s="83" t="n"/>
      <c r="H1090" s="83" t="n"/>
      <c r="I1090" s="83" t="n"/>
      <c r="J1090" s="83" t="n"/>
      <c r="K1090" s="83" t="n"/>
      <c r="L1090" s="83" t="n"/>
      <c r="M1090" s="83" t="n"/>
      <c r="N1090" s="83" t="n"/>
      <c r="O1090" s="83" t="n"/>
      <c r="P1090" s="83" t="n"/>
      <c r="Q1090" s="83" t="n"/>
      <c r="R1090" s="83" t="n"/>
      <c r="S1090" s="83" t="n"/>
      <c r="T1090" s="83" t="n"/>
      <c r="U1090" s="83" t="n"/>
      <c r="V1090" s="83" t="n"/>
      <c r="W1090" s="83" t="n"/>
      <c r="X1090" s="83" t="n"/>
      <c r="Y1090" s="83" t="n"/>
      <c r="Z1090" s="83" t="n"/>
      <c r="AA1090" s="83" t="n"/>
      <c r="AB1090" s="83" t="n"/>
      <c r="AC1090" s="83" t="n"/>
      <c r="AD1090" s="83" t="n"/>
      <c r="AE1090" s="83" t="n"/>
      <c r="AF1090" s="83" t="n"/>
      <c r="AG1090" s="83" t="n"/>
      <c r="AH1090" s="83" t="n"/>
      <c r="AI1090" s="83" t="n"/>
      <c r="AJ1090" s="83" t="n"/>
      <c r="AK1090" s="83" t="n"/>
      <c r="AL1090" s="83" t="n"/>
      <c r="AM1090" s="83" t="n"/>
      <c r="AN1090" s="83" t="n"/>
      <c r="AO1090" s="83" t="n"/>
      <c r="AP1090" s="83" t="n"/>
      <c r="AQ1090" s="83" t="n"/>
      <c r="AR1090" s="83" t="n"/>
    </row>
    <row r="1091">
      <c r="D1091" s="84" t="n"/>
      <c r="E1091" s="84" t="n"/>
      <c r="F1091" s="84" t="n"/>
      <c r="G1091" s="84" t="n"/>
      <c r="H1091" s="84" t="n"/>
      <c r="I1091" s="84" t="n"/>
      <c r="J1091" s="84" t="n"/>
      <c r="K1091" s="84" t="n"/>
      <c r="L1091" s="84" t="n"/>
      <c r="M1091" s="84" t="n"/>
      <c r="N1091" s="84" t="n"/>
      <c r="O1091" s="84" t="n"/>
      <c r="P1091" s="84" t="n"/>
      <c r="Q1091" s="84" t="n"/>
      <c r="R1091" s="84" t="n"/>
      <c r="S1091" s="84" t="n"/>
      <c r="T1091" s="84" t="n"/>
      <c r="U1091" s="84" t="n"/>
      <c r="V1091" s="84" t="n"/>
      <c r="W1091" s="84" t="n"/>
      <c r="X1091" s="84" t="n"/>
      <c r="Y1091" s="84" t="n"/>
      <c r="Z1091" s="84" t="n"/>
      <c r="AA1091" s="84" t="n"/>
      <c r="AB1091" s="84" t="n"/>
      <c r="AC1091" s="84" t="n"/>
      <c r="AD1091" s="84" t="n"/>
      <c r="AE1091" s="84" t="n"/>
      <c r="AF1091" s="84" t="n"/>
      <c r="AG1091" s="84" t="n"/>
      <c r="AH1091" s="84" t="n"/>
      <c r="AI1091" s="84" t="n"/>
      <c r="AJ1091" s="84" t="n"/>
      <c r="AK1091" s="84" t="n"/>
      <c r="AL1091" s="84" t="n"/>
      <c r="AM1091" s="84" t="n"/>
      <c r="AN1091" s="84" t="n"/>
      <c r="AO1091" s="84" t="n"/>
      <c r="AP1091" s="84" t="n"/>
      <c r="AQ1091" s="84" t="n"/>
      <c r="AR1091" s="84" t="n"/>
    </row>
    <row r="1092">
      <c r="D1092" s="80" t="n"/>
      <c r="E1092" s="80" t="n"/>
      <c r="F1092" s="80" t="n"/>
      <c r="G1092" s="80" t="n"/>
      <c r="H1092" s="80" t="n"/>
      <c r="I1092" s="80" t="n"/>
      <c r="J1092" s="80" t="n"/>
      <c r="K1092" s="80" t="n"/>
      <c r="L1092" s="80" t="n"/>
      <c r="M1092" s="80" t="n"/>
      <c r="N1092" s="80" t="n"/>
      <c r="O1092" s="80" t="n"/>
      <c r="P1092" s="80" t="n"/>
      <c r="Q1092" s="80" t="n"/>
      <c r="R1092" s="80" t="n"/>
      <c r="S1092" s="80" t="n"/>
      <c r="T1092" s="80" t="n"/>
      <c r="U1092" s="80" t="n"/>
      <c r="V1092" s="80" t="n"/>
      <c r="W1092" s="80" t="n"/>
      <c r="X1092" s="80" t="n"/>
      <c r="Y1092" s="80" t="n"/>
      <c r="Z1092" s="80" t="n"/>
      <c r="AA1092" s="80" t="n"/>
      <c r="AB1092" s="80" t="n"/>
      <c r="AC1092" s="80" t="n"/>
      <c r="AD1092" s="80" t="n"/>
      <c r="AE1092" s="80" t="n"/>
      <c r="AF1092" s="80" t="n"/>
      <c r="AG1092" s="80" t="n"/>
      <c r="AH1092" s="80" t="n"/>
      <c r="AI1092" s="80" t="n"/>
      <c r="AJ1092" s="80" t="n"/>
      <c r="AK1092" s="80" t="n"/>
      <c r="AL1092" s="80" t="n"/>
      <c r="AM1092" s="80" t="n"/>
      <c r="AN1092" s="80" t="n"/>
      <c r="AO1092" s="80" t="n"/>
      <c r="AP1092" s="80" t="n"/>
      <c r="AQ1092" s="80" t="n"/>
      <c r="AR1092" s="80" t="n"/>
    </row>
    <row r="1093">
      <c r="D1093" s="80" t="n"/>
      <c r="E1093" s="80" t="n"/>
      <c r="F1093" s="80" t="n"/>
      <c r="G1093" s="80" t="n"/>
      <c r="H1093" s="80" t="n"/>
      <c r="I1093" s="80" t="n"/>
      <c r="J1093" s="80" t="n"/>
      <c r="K1093" s="80" t="n"/>
      <c r="L1093" s="80" t="n"/>
      <c r="M1093" s="80" t="n"/>
      <c r="N1093" s="80" t="n"/>
      <c r="O1093" s="80" t="n"/>
      <c r="P1093" s="80" t="n"/>
      <c r="Q1093" s="80" t="n"/>
      <c r="R1093" s="80" t="n"/>
      <c r="S1093" s="80" t="n"/>
      <c r="T1093" s="80" t="n"/>
      <c r="U1093" s="80" t="n"/>
      <c r="V1093" s="80" t="n"/>
      <c r="W1093" s="80" t="n"/>
      <c r="X1093" s="80" t="n"/>
      <c r="Y1093" s="80" t="n"/>
      <c r="Z1093" s="80" t="n"/>
      <c r="AA1093" s="80" t="n"/>
      <c r="AB1093" s="80" t="n"/>
      <c r="AC1093" s="80" t="n"/>
      <c r="AD1093" s="80" t="n"/>
      <c r="AE1093" s="80" t="n"/>
      <c r="AF1093" s="80" t="n"/>
      <c r="AG1093" s="80" t="n"/>
      <c r="AH1093" s="80" t="n"/>
      <c r="AI1093" s="80" t="n"/>
      <c r="AJ1093" s="80" t="n"/>
      <c r="AK1093" s="80" t="n"/>
      <c r="AL1093" s="80" t="n"/>
      <c r="AM1093" s="80" t="n"/>
      <c r="AN1093" s="80" t="n"/>
      <c r="AO1093" s="80" t="n"/>
      <c r="AP1093" s="80" t="n"/>
      <c r="AQ1093" s="80" t="n"/>
      <c r="AR1093" s="80" t="n"/>
    </row>
    <row r="1094">
      <c r="D1094" s="80" t="n"/>
      <c r="E1094" s="80" t="n"/>
      <c r="F1094" s="80" t="n"/>
      <c r="G1094" s="80" t="n"/>
      <c r="H1094" s="80" t="n"/>
      <c r="I1094" s="80" t="n"/>
      <c r="J1094" s="80" t="n"/>
      <c r="K1094" s="80" t="n"/>
      <c r="L1094" s="80" t="n"/>
      <c r="M1094" s="80" t="n"/>
      <c r="N1094" s="80" t="n"/>
      <c r="O1094" s="80" t="n"/>
      <c r="P1094" s="80" t="n"/>
      <c r="Q1094" s="80" t="n"/>
      <c r="R1094" s="80" t="n"/>
      <c r="S1094" s="80" t="n"/>
      <c r="T1094" s="80" t="n"/>
      <c r="U1094" s="80" t="n"/>
      <c r="V1094" s="80" t="n"/>
      <c r="W1094" s="80" t="n"/>
      <c r="X1094" s="80" t="n"/>
      <c r="Y1094" s="80" t="n"/>
      <c r="Z1094" s="80" t="n"/>
      <c r="AA1094" s="80" t="n"/>
      <c r="AB1094" s="80" t="n"/>
      <c r="AC1094" s="80" t="n"/>
      <c r="AD1094" s="80" t="n"/>
      <c r="AE1094" s="80" t="n"/>
      <c r="AF1094" s="80" t="n"/>
      <c r="AG1094" s="80" t="n"/>
      <c r="AH1094" s="80" t="n"/>
      <c r="AI1094" s="80" t="n"/>
      <c r="AJ1094" s="80" t="n"/>
      <c r="AK1094" s="80" t="n"/>
      <c r="AL1094" s="80" t="n"/>
      <c r="AM1094" s="80" t="n"/>
      <c r="AN1094" s="80" t="n"/>
      <c r="AO1094" s="80" t="n"/>
      <c r="AP1094" s="80" t="n"/>
      <c r="AQ1094" s="80" t="n"/>
      <c r="AR1094" s="80" t="n"/>
    </row>
    <row r="1095">
      <c r="D1095" s="80" t="n"/>
      <c r="E1095" s="80" t="n"/>
      <c r="F1095" s="80" t="n"/>
      <c r="G1095" s="80" t="n"/>
      <c r="H1095" s="80" t="n"/>
      <c r="I1095" s="80" t="n"/>
      <c r="J1095" s="80" t="n"/>
      <c r="K1095" s="80" t="n"/>
      <c r="L1095" s="80" t="n"/>
      <c r="M1095" s="80" t="n"/>
      <c r="N1095" s="80" t="n"/>
      <c r="O1095" s="80" t="n"/>
      <c r="P1095" s="80" t="n"/>
      <c r="Q1095" s="80" t="n"/>
      <c r="R1095" s="80" t="n"/>
      <c r="S1095" s="80" t="n"/>
      <c r="T1095" s="80" t="n"/>
      <c r="U1095" s="80" t="n"/>
      <c r="V1095" s="80" t="n"/>
      <c r="W1095" s="80" t="n"/>
      <c r="X1095" s="80" t="n"/>
      <c r="Y1095" s="80" t="n"/>
      <c r="Z1095" s="80" t="n"/>
      <c r="AA1095" s="80" t="n"/>
      <c r="AB1095" s="80" t="n"/>
      <c r="AC1095" s="80" t="n"/>
      <c r="AD1095" s="80" t="n"/>
      <c r="AE1095" s="80" t="n"/>
      <c r="AF1095" s="80" t="n"/>
      <c r="AG1095" s="80" t="n"/>
      <c r="AH1095" s="80" t="n"/>
      <c r="AI1095" s="80" t="n"/>
      <c r="AJ1095" s="80" t="n"/>
      <c r="AK1095" s="80" t="n"/>
      <c r="AL1095" s="80" t="n"/>
      <c r="AM1095" s="80" t="n"/>
      <c r="AN1095" s="80" t="n"/>
      <c r="AO1095" s="80" t="n"/>
      <c r="AP1095" s="80" t="n"/>
      <c r="AQ1095" s="80" t="n"/>
      <c r="AR1095" s="80" t="n"/>
    </row>
    <row r="1096">
      <c r="A1096" s="2">
        <f>IF($A1089="","","   projections")</f>
        <v/>
      </c>
      <c r="B1096" s="41">
        <f>IF($A1089="",0,COUNT($E1097:$AR1097))</f>
        <v/>
      </c>
      <c r="C1096" s="81">
        <f>IF($B1096=0,0,MAX($E1097:$AR1097))</f>
        <v/>
      </c>
      <c r="D1096" s="82">
        <f>BDS($A1089,'Field Check'!$C$6,"headers=y","startcol=1","endcol=7","dir=h")</f>
        <v/>
      </c>
      <c r="E1096" s="83" t="n"/>
      <c r="F1096" s="83" t="n"/>
      <c r="G1096" s="83" t="n"/>
      <c r="H1096" s="83" t="n"/>
      <c r="I1096" s="83" t="n"/>
      <c r="J1096" s="83" t="n"/>
      <c r="K1096" s="83" t="n"/>
      <c r="L1096" s="83" t="n"/>
      <c r="M1096" s="83" t="n"/>
      <c r="N1096" s="83" t="n"/>
      <c r="O1096" s="83" t="n"/>
      <c r="P1096" s="83" t="n"/>
      <c r="Q1096" s="83" t="n"/>
      <c r="R1096" s="83" t="n"/>
      <c r="S1096" s="83" t="n"/>
      <c r="T1096" s="83" t="n"/>
      <c r="U1096" s="83" t="n"/>
      <c r="V1096" s="83" t="n"/>
      <c r="W1096" s="83" t="n"/>
      <c r="X1096" s="83" t="n"/>
      <c r="Y1096" s="83" t="n"/>
      <c r="Z1096" s="83" t="n"/>
      <c r="AA1096" s="83" t="n"/>
      <c r="AB1096" s="83" t="n"/>
      <c r="AC1096" s="83" t="n"/>
      <c r="AD1096" s="83" t="n"/>
      <c r="AE1096" s="83" t="n"/>
      <c r="AF1096" s="83" t="n"/>
      <c r="AG1096" s="83" t="n"/>
      <c r="AH1096" s="83" t="n"/>
      <c r="AI1096" s="83" t="n"/>
      <c r="AJ1096" s="83" t="n"/>
      <c r="AK1096" s="83" t="n"/>
      <c r="AL1096" s="83" t="n"/>
      <c r="AM1096" s="83" t="n"/>
      <c r="AN1096" s="83" t="n"/>
      <c r="AO1096" s="83" t="n"/>
      <c r="AP1096" s="83" t="n"/>
      <c r="AQ1096" s="83" t="n"/>
      <c r="AR1096" s="83" t="n"/>
    </row>
    <row r="1097">
      <c r="D1097" s="83" t="n"/>
      <c r="E1097" s="83" t="n"/>
      <c r="F1097" s="83" t="n"/>
      <c r="G1097" s="83" t="n"/>
      <c r="H1097" s="83" t="n"/>
      <c r="I1097" s="83" t="n"/>
      <c r="J1097" s="83" t="n"/>
      <c r="K1097" s="83" t="n"/>
      <c r="L1097" s="83" t="n"/>
      <c r="M1097" s="83" t="n"/>
      <c r="N1097" s="83" t="n"/>
      <c r="O1097" s="83" t="n"/>
      <c r="P1097" s="83" t="n"/>
      <c r="Q1097" s="83" t="n"/>
      <c r="R1097" s="83" t="n"/>
      <c r="S1097" s="83" t="n"/>
      <c r="T1097" s="83" t="n"/>
      <c r="U1097" s="83" t="n"/>
      <c r="V1097" s="83" t="n"/>
      <c r="W1097" s="83" t="n"/>
      <c r="X1097" s="83" t="n"/>
      <c r="Y1097" s="83" t="n"/>
      <c r="Z1097" s="83" t="n"/>
      <c r="AA1097" s="83" t="n"/>
      <c r="AB1097" s="83" t="n"/>
      <c r="AC1097" s="83" t="n"/>
      <c r="AD1097" s="83" t="n"/>
      <c r="AE1097" s="83" t="n"/>
      <c r="AF1097" s="83" t="n"/>
      <c r="AG1097" s="83" t="n"/>
      <c r="AH1097" s="83" t="n"/>
      <c r="AI1097" s="83" t="n"/>
      <c r="AJ1097" s="83" t="n"/>
      <c r="AK1097" s="83" t="n"/>
      <c r="AL1097" s="83" t="n"/>
      <c r="AM1097" s="83" t="n"/>
      <c r="AN1097" s="83" t="n"/>
      <c r="AO1097" s="83" t="n"/>
      <c r="AP1097" s="83" t="n"/>
      <c r="AQ1097" s="83" t="n"/>
      <c r="AR1097" s="83" t="n"/>
    </row>
    <row r="1098">
      <c r="D1098" s="84" t="n"/>
      <c r="E1098" s="84" t="n"/>
      <c r="F1098" s="84" t="n"/>
      <c r="G1098" s="84" t="n"/>
      <c r="H1098" s="84" t="n"/>
      <c r="I1098" s="84" t="n"/>
      <c r="J1098" s="84" t="n"/>
      <c r="K1098" s="84" t="n"/>
      <c r="L1098" s="84" t="n"/>
      <c r="M1098" s="84" t="n"/>
      <c r="N1098" s="84" t="n"/>
      <c r="O1098" s="84" t="n"/>
      <c r="P1098" s="84" t="n"/>
      <c r="Q1098" s="84" t="n"/>
      <c r="R1098" s="84" t="n"/>
      <c r="S1098" s="84" t="n"/>
      <c r="T1098" s="84" t="n"/>
      <c r="U1098" s="84" t="n"/>
      <c r="V1098" s="84" t="n"/>
      <c r="W1098" s="84" t="n"/>
      <c r="X1098" s="84" t="n"/>
      <c r="Y1098" s="84" t="n"/>
      <c r="Z1098" s="84" t="n"/>
      <c r="AA1098" s="84" t="n"/>
      <c r="AB1098" s="84" t="n"/>
      <c r="AC1098" s="84" t="n"/>
      <c r="AD1098" s="84" t="n"/>
      <c r="AE1098" s="84" t="n"/>
      <c r="AF1098" s="84" t="n"/>
      <c r="AG1098" s="84" t="n"/>
      <c r="AH1098" s="84" t="n"/>
      <c r="AI1098" s="84" t="n"/>
      <c r="AJ1098" s="84" t="n"/>
      <c r="AK1098" s="84" t="n"/>
      <c r="AL1098" s="84" t="n"/>
      <c r="AM1098" s="84" t="n"/>
      <c r="AN1098" s="84" t="n"/>
      <c r="AO1098" s="84" t="n"/>
      <c r="AP1098" s="84" t="n"/>
      <c r="AQ1098" s="84" t="n"/>
      <c r="AR1098" s="84" t="n"/>
    </row>
    <row r="1099">
      <c r="D1099" s="80" t="n"/>
      <c r="E1099" s="80" t="n"/>
      <c r="F1099" s="80" t="n"/>
      <c r="G1099" s="80" t="n"/>
      <c r="H1099" s="80" t="n"/>
      <c r="I1099" s="80" t="n"/>
      <c r="J1099" s="80" t="n"/>
      <c r="K1099" s="80" t="n"/>
      <c r="L1099" s="80" t="n"/>
      <c r="M1099" s="80" t="n"/>
      <c r="N1099" s="80" t="n"/>
      <c r="O1099" s="80" t="n"/>
      <c r="P1099" s="80" t="n"/>
      <c r="Q1099" s="80" t="n"/>
      <c r="R1099" s="80" t="n"/>
      <c r="S1099" s="80" t="n"/>
      <c r="T1099" s="80" t="n"/>
      <c r="U1099" s="80" t="n"/>
      <c r="V1099" s="80" t="n"/>
      <c r="W1099" s="80" t="n"/>
      <c r="X1099" s="80" t="n"/>
      <c r="Y1099" s="80" t="n"/>
      <c r="Z1099" s="80" t="n"/>
      <c r="AA1099" s="80" t="n"/>
      <c r="AB1099" s="80" t="n"/>
      <c r="AC1099" s="80" t="n"/>
      <c r="AD1099" s="80" t="n"/>
      <c r="AE1099" s="80" t="n"/>
      <c r="AF1099" s="80" t="n"/>
      <c r="AG1099" s="80" t="n"/>
      <c r="AH1099" s="80" t="n"/>
      <c r="AI1099" s="80" t="n"/>
      <c r="AJ1099" s="80" t="n"/>
      <c r="AK1099" s="80" t="n"/>
      <c r="AL1099" s="80" t="n"/>
      <c r="AM1099" s="80" t="n"/>
      <c r="AN1099" s="80" t="n"/>
      <c r="AO1099" s="80" t="n"/>
      <c r="AP1099" s="80" t="n"/>
      <c r="AQ1099" s="80" t="n"/>
      <c r="AR1099" s="80" t="n"/>
    </row>
    <row r="1100">
      <c r="D1100" s="80" t="n"/>
      <c r="E1100" s="80" t="n"/>
      <c r="F1100" s="80" t="n"/>
      <c r="G1100" s="80" t="n"/>
      <c r="H1100" s="80" t="n"/>
      <c r="I1100" s="80" t="n"/>
      <c r="J1100" s="80" t="n"/>
      <c r="K1100" s="80" t="n"/>
      <c r="L1100" s="80" t="n"/>
      <c r="M1100" s="80" t="n"/>
      <c r="N1100" s="80" t="n"/>
      <c r="O1100" s="80" t="n"/>
      <c r="P1100" s="80" t="n"/>
      <c r="Q1100" s="80" t="n"/>
      <c r="R1100" s="80" t="n"/>
      <c r="S1100" s="80" t="n"/>
      <c r="T1100" s="80" t="n"/>
      <c r="U1100" s="80" t="n"/>
      <c r="V1100" s="80" t="n"/>
      <c r="W1100" s="80" t="n"/>
      <c r="X1100" s="80" t="n"/>
      <c r="Y1100" s="80" t="n"/>
      <c r="Z1100" s="80" t="n"/>
      <c r="AA1100" s="80" t="n"/>
      <c r="AB1100" s="80" t="n"/>
      <c r="AC1100" s="80" t="n"/>
      <c r="AD1100" s="80" t="n"/>
      <c r="AE1100" s="80" t="n"/>
      <c r="AF1100" s="80" t="n"/>
      <c r="AG1100" s="80" t="n"/>
      <c r="AH1100" s="80" t="n"/>
      <c r="AI1100" s="80" t="n"/>
      <c r="AJ1100" s="80" t="n"/>
      <c r="AK1100" s="80" t="n"/>
      <c r="AL1100" s="80" t="n"/>
      <c r="AM1100" s="80" t="n"/>
      <c r="AN1100" s="80" t="n"/>
      <c r="AO1100" s="80" t="n"/>
      <c r="AP1100" s="80" t="n"/>
      <c r="AQ1100" s="80" t="n"/>
      <c r="AR1100" s="80" t="n"/>
    </row>
    <row r="1101">
      <c r="D1101" s="80" t="n"/>
      <c r="E1101" s="80" t="n"/>
      <c r="F1101" s="80" t="n"/>
      <c r="G1101" s="80" t="n"/>
      <c r="H1101" s="80" t="n"/>
      <c r="I1101" s="80" t="n"/>
      <c r="J1101" s="80" t="n"/>
      <c r="K1101" s="80" t="n"/>
      <c r="L1101" s="80" t="n"/>
      <c r="M1101" s="80" t="n"/>
      <c r="N1101" s="80" t="n"/>
      <c r="O1101" s="80" t="n"/>
      <c r="P1101" s="80" t="n"/>
      <c r="Q1101" s="80" t="n"/>
      <c r="R1101" s="80" t="n"/>
      <c r="S1101" s="80" t="n"/>
      <c r="T1101" s="80" t="n"/>
      <c r="U1101" s="80" t="n"/>
      <c r="V1101" s="80" t="n"/>
      <c r="W1101" s="80" t="n"/>
      <c r="X1101" s="80" t="n"/>
      <c r="Y1101" s="80" t="n"/>
      <c r="Z1101" s="80" t="n"/>
      <c r="AA1101" s="80" t="n"/>
      <c r="AB1101" s="80" t="n"/>
      <c r="AC1101" s="80" t="n"/>
      <c r="AD1101" s="80" t="n"/>
      <c r="AE1101" s="80" t="n"/>
      <c r="AF1101" s="80" t="n"/>
      <c r="AG1101" s="80" t="n"/>
      <c r="AH1101" s="80" t="n"/>
      <c r="AI1101" s="80" t="n"/>
      <c r="AJ1101" s="80" t="n"/>
      <c r="AK1101" s="80" t="n"/>
      <c r="AL1101" s="80" t="n"/>
      <c r="AM1101" s="80" t="n"/>
      <c r="AN1101" s="80" t="n"/>
      <c r="AO1101" s="80" t="n"/>
      <c r="AP1101" s="80" t="n"/>
      <c r="AQ1101" s="80" t="n"/>
      <c r="AR1101" s="80" t="n"/>
    </row>
    <row r="1102">
      <c r="D1102" s="80" t="n"/>
      <c r="E1102" s="80" t="n"/>
      <c r="F1102" s="80" t="n"/>
      <c r="G1102" s="80" t="n"/>
      <c r="H1102" s="80" t="n"/>
      <c r="I1102" s="80" t="n"/>
      <c r="J1102" s="80" t="n"/>
      <c r="K1102" s="80" t="n"/>
      <c r="L1102" s="80" t="n"/>
      <c r="M1102" s="80" t="n"/>
      <c r="N1102" s="80" t="n"/>
      <c r="O1102" s="80" t="n"/>
      <c r="P1102" s="80" t="n"/>
      <c r="Q1102" s="80" t="n"/>
      <c r="R1102" s="80" t="n"/>
      <c r="S1102" s="80" t="n"/>
      <c r="T1102" s="80" t="n"/>
      <c r="U1102" s="80" t="n"/>
      <c r="V1102" s="80" t="n"/>
      <c r="W1102" s="80" t="n"/>
      <c r="X1102" s="80" t="n"/>
      <c r="Y1102" s="80" t="n"/>
      <c r="Z1102" s="80" t="n"/>
      <c r="AA1102" s="80" t="n"/>
      <c r="AB1102" s="80" t="n"/>
      <c r="AC1102" s="80" t="n"/>
      <c r="AD1102" s="80" t="n"/>
      <c r="AE1102" s="80" t="n"/>
      <c r="AF1102" s="80" t="n"/>
      <c r="AG1102" s="80" t="n"/>
      <c r="AH1102" s="80" t="n"/>
      <c r="AI1102" s="80" t="n"/>
      <c r="AJ1102" s="80" t="n"/>
      <c r="AK1102" s="80" t="n"/>
      <c r="AL1102" s="80" t="n"/>
      <c r="AM1102" s="80" t="n"/>
      <c r="AN1102" s="80" t="n"/>
      <c r="AO1102" s="80" t="n"/>
      <c r="AP1102" s="80" t="n"/>
      <c r="AQ1102" s="80" t="n"/>
      <c r="AR1102" s="80" t="n"/>
    </row>
    <row r="1104">
      <c r="A1104" s="6">
        <f>IF(HSI!$C$80="","",HSI!$C$80)</f>
        <v/>
      </c>
      <c r="B1104" s="41">
        <f>IF($A1104="",0,COUNT($E1105:$AR1105))</f>
        <v/>
      </c>
      <c r="C1104" s="81">
        <f>IF($B1104=0,0,MAX($E1105:$AR1105))</f>
        <v/>
      </c>
      <c r="D1104" s="82">
        <f>BDS($A1104,'Field Check'!$C$7,"headers=y","startcol=1","endcol=7","dir=h","DVD_START_DT",Summary!$C$18,"DVD_END_DT",Summary!$D$18)</f>
        <v/>
      </c>
      <c r="E1104" s="83" t="n"/>
      <c r="F1104" s="83" t="n"/>
      <c r="G1104" s="83" t="n"/>
      <c r="H1104" s="83" t="n"/>
      <c r="I1104" s="83" t="n"/>
      <c r="J1104" s="83" t="n"/>
      <c r="K1104" s="83" t="n"/>
      <c r="L1104" s="83" t="n"/>
      <c r="M1104" s="83" t="n"/>
      <c r="N1104" s="83" t="n"/>
      <c r="O1104" s="83" t="n"/>
      <c r="P1104" s="83" t="n"/>
      <c r="Q1104" s="83" t="n"/>
      <c r="R1104" s="83" t="n"/>
      <c r="S1104" s="83" t="n"/>
      <c r="T1104" s="83" t="n"/>
      <c r="U1104" s="83" t="n"/>
      <c r="V1104" s="83" t="n"/>
      <c r="W1104" s="83" t="n"/>
      <c r="X1104" s="83" t="n"/>
      <c r="Y1104" s="83" t="n"/>
      <c r="Z1104" s="83" t="n"/>
      <c r="AA1104" s="83" t="n"/>
      <c r="AB1104" s="83" t="n"/>
      <c r="AC1104" s="83" t="n"/>
      <c r="AD1104" s="83" t="n"/>
      <c r="AE1104" s="83" t="n"/>
      <c r="AF1104" s="83" t="n"/>
      <c r="AG1104" s="83" t="n"/>
      <c r="AH1104" s="83" t="n"/>
      <c r="AI1104" s="83" t="n"/>
      <c r="AJ1104" s="83" t="n"/>
      <c r="AK1104" s="83" t="n"/>
      <c r="AL1104" s="83" t="n"/>
      <c r="AM1104" s="83" t="n"/>
      <c r="AN1104" s="83" t="n"/>
      <c r="AO1104" s="83" t="n"/>
      <c r="AP1104" s="83" t="n"/>
      <c r="AQ1104" s="83" t="n"/>
      <c r="AR1104" s="83" t="n"/>
    </row>
    <row r="1105">
      <c r="D1105" s="83" t="n"/>
      <c r="E1105" s="83" t="n"/>
      <c r="F1105" s="83" t="n"/>
      <c r="G1105" s="83" t="n"/>
      <c r="H1105" s="83" t="n"/>
      <c r="I1105" s="83" t="n"/>
      <c r="J1105" s="83" t="n"/>
      <c r="K1105" s="83" t="n"/>
      <c r="L1105" s="83" t="n"/>
      <c r="M1105" s="83" t="n"/>
      <c r="N1105" s="83" t="n"/>
      <c r="O1105" s="83" t="n"/>
      <c r="P1105" s="83" t="n"/>
      <c r="Q1105" s="83" t="n"/>
      <c r="R1105" s="83" t="n"/>
      <c r="S1105" s="83" t="n"/>
      <c r="T1105" s="83" t="n"/>
      <c r="U1105" s="83" t="n"/>
      <c r="V1105" s="83" t="n"/>
      <c r="W1105" s="83" t="n"/>
      <c r="X1105" s="83" t="n"/>
      <c r="Y1105" s="83" t="n"/>
      <c r="Z1105" s="83" t="n"/>
      <c r="AA1105" s="83" t="n"/>
      <c r="AB1105" s="83" t="n"/>
      <c r="AC1105" s="83" t="n"/>
      <c r="AD1105" s="83" t="n"/>
      <c r="AE1105" s="83" t="n"/>
      <c r="AF1105" s="83" t="n"/>
      <c r="AG1105" s="83" t="n"/>
      <c r="AH1105" s="83" t="n"/>
      <c r="AI1105" s="83" t="n"/>
      <c r="AJ1105" s="83" t="n"/>
      <c r="AK1105" s="83" t="n"/>
      <c r="AL1105" s="83" t="n"/>
      <c r="AM1105" s="83" t="n"/>
      <c r="AN1105" s="83" t="n"/>
      <c r="AO1105" s="83" t="n"/>
      <c r="AP1105" s="83" t="n"/>
      <c r="AQ1105" s="83" t="n"/>
      <c r="AR1105" s="83" t="n"/>
    </row>
    <row r="1106">
      <c r="D1106" s="84" t="n"/>
      <c r="E1106" s="84" t="n"/>
      <c r="F1106" s="84" t="n"/>
      <c r="G1106" s="84" t="n"/>
      <c r="H1106" s="84" t="n"/>
      <c r="I1106" s="84" t="n"/>
      <c r="J1106" s="84" t="n"/>
      <c r="K1106" s="84" t="n"/>
      <c r="L1106" s="84" t="n"/>
      <c r="M1106" s="84" t="n"/>
      <c r="N1106" s="84" t="n"/>
      <c r="O1106" s="84" t="n"/>
      <c r="P1106" s="84" t="n"/>
      <c r="Q1106" s="84" t="n"/>
      <c r="R1106" s="84" t="n"/>
      <c r="S1106" s="84" t="n"/>
      <c r="T1106" s="84" t="n"/>
      <c r="U1106" s="84" t="n"/>
      <c r="V1106" s="84" t="n"/>
      <c r="W1106" s="84" t="n"/>
      <c r="X1106" s="84" t="n"/>
      <c r="Y1106" s="84" t="n"/>
      <c r="Z1106" s="84" t="n"/>
      <c r="AA1106" s="84" t="n"/>
      <c r="AB1106" s="84" t="n"/>
      <c r="AC1106" s="84" t="n"/>
      <c r="AD1106" s="84" t="n"/>
      <c r="AE1106" s="84" t="n"/>
      <c r="AF1106" s="84" t="n"/>
      <c r="AG1106" s="84" t="n"/>
      <c r="AH1106" s="84" t="n"/>
      <c r="AI1106" s="84" t="n"/>
      <c r="AJ1106" s="84" t="n"/>
      <c r="AK1106" s="84" t="n"/>
      <c r="AL1106" s="84" t="n"/>
      <c r="AM1106" s="84" t="n"/>
      <c r="AN1106" s="84" t="n"/>
      <c r="AO1106" s="84" t="n"/>
      <c r="AP1106" s="84" t="n"/>
      <c r="AQ1106" s="84" t="n"/>
      <c r="AR1106" s="84" t="n"/>
    </row>
    <row r="1107">
      <c r="D1107" s="80" t="n"/>
      <c r="E1107" s="80" t="n"/>
      <c r="F1107" s="80" t="n"/>
      <c r="G1107" s="80" t="n"/>
      <c r="H1107" s="80" t="n"/>
      <c r="I1107" s="80" t="n"/>
      <c r="J1107" s="80" t="n"/>
      <c r="K1107" s="80" t="n"/>
      <c r="L1107" s="80" t="n"/>
      <c r="M1107" s="80" t="n"/>
      <c r="N1107" s="80" t="n"/>
      <c r="O1107" s="80" t="n"/>
      <c r="P1107" s="80" t="n"/>
      <c r="Q1107" s="80" t="n"/>
      <c r="R1107" s="80" t="n"/>
      <c r="S1107" s="80" t="n"/>
      <c r="T1107" s="80" t="n"/>
      <c r="U1107" s="80" t="n"/>
      <c r="V1107" s="80" t="n"/>
      <c r="W1107" s="80" t="n"/>
      <c r="X1107" s="80" t="n"/>
      <c r="Y1107" s="80" t="n"/>
      <c r="Z1107" s="80" t="n"/>
      <c r="AA1107" s="80" t="n"/>
      <c r="AB1107" s="80" t="n"/>
      <c r="AC1107" s="80" t="n"/>
      <c r="AD1107" s="80" t="n"/>
      <c r="AE1107" s="80" t="n"/>
      <c r="AF1107" s="80" t="n"/>
      <c r="AG1107" s="80" t="n"/>
      <c r="AH1107" s="80" t="n"/>
      <c r="AI1107" s="80" t="n"/>
      <c r="AJ1107" s="80" t="n"/>
      <c r="AK1107" s="80" t="n"/>
      <c r="AL1107" s="80" t="n"/>
      <c r="AM1107" s="80" t="n"/>
      <c r="AN1107" s="80" t="n"/>
      <c r="AO1107" s="80" t="n"/>
      <c r="AP1107" s="80" t="n"/>
      <c r="AQ1107" s="80" t="n"/>
      <c r="AR1107" s="80" t="n"/>
    </row>
    <row r="1108">
      <c r="D1108" s="80" t="n"/>
      <c r="E1108" s="80" t="n"/>
      <c r="F1108" s="80" t="n"/>
      <c r="G1108" s="80" t="n"/>
      <c r="H1108" s="80" t="n"/>
      <c r="I1108" s="80" t="n"/>
      <c r="J1108" s="80" t="n"/>
      <c r="K1108" s="80" t="n"/>
      <c r="L1108" s="80" t="n"/>
      <c r="M1108" s="80" t="n"/>
      <c r="N1108" s="80" t="n"/>
      <c r="O1108" s="80" t="n"/>
      <c r="P1108" s="80" t="n"/>
      <c r="Q1108" s="80" t="n"/>
      <c r="R1108" s="80" t="n"/>
      <c r="S1108" s="80" t="n"/>
      <c r="T1108" s="80" t="n"/>
      <c r="U1108" s="80" t="n"/>
      <c r="V1108" s="80" t="n"/>
      <c r="W1108" s="80" t="n"/>
      <c r="X1108" s="80" t="n"/>
      <c r="Y1108" s="80" t="n"/>
      <c r="Z1108" s="80" t="n"/>
      <c r="AA1108" s="80" t="n"/>
      <c r="AB1108" s="80" t="n"/>
      <c r="AC1108" s="80" t="n"/>
      <c r="AD1108" s="80" t="n"/>
      <c r="AE1108" s="80" t="n"/>
      <c r="AF1108" s="80" t="n"/>
      <c r="AG1108" s="80" t="n"/>
      <c r="AH1108" s="80" t="n"/>
      <c r="AI1108" s="80" t="n"/>
      <c r="AJ1108" s="80" t="n"/>
      <c r="AK1108" s="80" t="n"/>
      <c r="AL1108" s="80" t="n"/>
      <c r="AM1108" s="80" t="n"/>
      <c r="AN1108" s="80" t="n"/>
      <c r="AO1108" s="80" t="n"/>
      <c r="AP1108" s="80" t="n"/>
      <c r="AQ1108" s="80" t="n"/>
      <c r="AR1108" s="80" t="n"/>
    </row>
    <row r="1109">
      <c r="D1109" s="80" t="n"/>
      <c r="E1109" s="80" t="n"/>
      <c r="F1109" s="80" t="n"/>
      <c r="G1109" s="80" t="n"/>
      <c r="H1109" s="80" t="n"/>
      <c r="I1109" s="80" t="n"/>
      <c r="J1109" s="80" t="n"/>
      <c r="K1109" s="80" t="n"/>
      <c r="L1109" s="80" t="n"/>
      <c r="M1109" s="80" t="n"/>
      <c r="N1109" s="80" t="n"/>
      <c r="O1109" s="80" t="n"/>
      <c r="P1109" s="80" t="n"/>
      <c r="Q1109" s="80" t="n"/>
      <c r="R1109" s="80" t="n"/>
      <c r="S1109" s="80" t="n"/>
      <c r="T1109" s="80" t="n"/>
      <c r="U1109" s="80" t="n"/>
      <c r="V1109" s="80" t="n"/>
      <c r="W1109" s="80" t="n"/>
      <c r="X1109" s="80" t="n"/>
      <c r="Y1109" s="80" t="n"/>
      <c r="Z1109" s="80" t="n"/>
      <c r="AA1109" s="80" t="n"/>
      <c r="AB1109" s="80" t="n"/>
      <c r="AC1109" s="80" t="n"/>
      <c r="AD1109" s="80" t="n"/>
      <c r="AE1109" s="80" t="n"/>
      <c r="AF1109" s="80" t="n"/>
      <c r="AG1109" s="80" t="n"/>
      <c r="AH1109" s="80" t="n"/>
      <c r="AI1109" s="80" t="n"/>
      <c r="AJ1109" s="80" t="n"/>
      <c r="AK1109" s="80" t="n"/>
      <c r="AL1109" s="80" t="n"/>
      <c r="AM1109" s="80" t="n"/>
      <c r="AN1109" s="80" t="n"/>
      <c r="AO1109" s="80" t="n"/>
      <c r="AP1109" s="80" t="n"/>
      <c r="AQ1109" s="80" t="n"/>
      <c r="AR1109" s="80" t="n"/>
    </row>
    <row r="1110">
      <c r="D1110" s="80" t="n"/>
      <c r="E1110" s="80" t="n"/>
      <c r="F1110" s="80" t="n"/>
      <c r="G1110" s="80" t="n"/>
      <c r="H1110" s="80" t="n"/>
      <c r="I1110" s="80" t="n"/>
      <c r="J1110" s="80" t="n"/>
      <c r="K1110" s="80" t="n"/>
      <c r="L1110" s="80" t="n"/>
      <c r="M1110" s="80" t="n"/>
      <c r="N1110" s="80" t="n"/>
      <c r="O1110" s="80" t="n"/>
      <c r="P1110" s="80" t="n"/>
      <c r="Q1110" s="80" t="n"/>
      <c r="R1110" s="80" t="n"/>
      <c r="S1110" s="80" t="n"/>
      <c r="T1110" s="80" t="n"/>
      <c r="U1110" s="80" t="n"/>
      <c r="V1110" s="80" t="n"/>
      <c r="W1110" s="80" t="n"/>
      <c r="X1110" s="80" t="n"/>
      <c r="Y1110" s="80" t="n"/>
      <c r="Z1110" s="80" t="n"/>
      <c r="AA1110" s="80" t="n"/>
      <c r="AB1110" s="80" t="n"/>
      <c r="AC1110" s="80" t="n"/>
      <c r="AD1110" s="80" t="n"/>
      <c r="AE1110" s="80" t="n"/>
      <c r="AF1110" s="80" t="n"/>
      <c r="AG1110" s="80" t="n"/>
      <c r="AH1110" s="80" t="n"/>
      <c r="AI1110" s="80" t="n"/>
      <c r="AJ1110" s="80" t="n"/>
      <c r="AK1110" s="80" t="n"/>
      <c r="AL1110" s="80" t="n"/>
      <c r="AM1110" s="80" t="n"/>
      <c r="AN1110" s="80" t="n"/>
      <c r="AO1110" s="80" t="n"/>
      <c r="AP1110" s="80" t="n"/>
      <c r="AQ1110" s="80" t="n"/>
      <c r="AR1110" s="80" t="n"/>
    </row>
    <row r="1111">
      <c r="A1111" s="2">
        <f>IF($A1104="","","   projections")</f>
        <v/>
      </c>
      <c r="B1111" s="41">
        <f>IF($A1104="",0,COUNT($E1112:$AR1112))</f>
        <v/>
      </c>
      <c r="C1111" s="81">
        <f>IF($B1111=0,0,MAX($E1112:$AR1112))</f>
        <v/>
      </c>
      <c r="D1111" s="82">
        <f>BDS($A1104,'Field Check'!$C$6,"headers=y","startcol=1","endcol=7","dir=h")</f>
        <v/>
      </c>
      <c r="E1111" s="83" t="n"/>
      <c r="F1111" s="83" t="n"/>
      <c r="G1111" s="83" t="n"/>
      <c r="H1111" s="83" t="n"/>
      <c r="I1111" s="83" t="n"/>
      <c r="J1111" s="83" t="n"/>
      <c r="K1111" s="83" t="n"/>
      <c r="L1111" s="83" t="n"/>
      <c r="M1111" s="83" t="n"/>
      <c r="N1111" s="83" t="n"/>
      <c r="O1111" s="83" t="n"/>
      <c r="P1111" s="83" t="n"/>
      <c r="Q1111" s="83" t="n"/>
      <c r="R1111" s="83" t="n"/>
      <c r="S1111" s="83" t="n"/>
      <c r="T1111" s="83" t="n"/>
      <c r="U1111" s="83" t="n"/>
      <c r="V1111" s="83" t="n"/>
      <c r="W1111" s="83" t="n"/>
      <c r="X1111" s="83" t="n"/>
      <c r="Y1111" s="83" t="n"/>
      <c r="Z1111" s="83" t="n"/>
      <c r="AA1111" s="83" t="n"/>
      <c r="AB1111" s="83" t="n"/>
      <c r="AC1111" s="83" t="n"/>
      <c r="AD1111" s="83" t="n"/>
      <c r="AE1111" s="83" t="n"/>
      <c r="AF1111" s="83" t="n"/>
      <c r="AG1111" s="83" t="n"/>
      <c r="AH1111" s="83" t="n"/>
      <c r="AI1111" s="83" t="n"/>
      <c r="AJ1111" s="83" t="n"/>
      <c r="AK1111" s="83" t="n"/>
      <c r="AL1111" s="83" t="n"/>
      <c r="AM1111" s="83" t="n"/>
      <c r="AN1111" s="83" t="n"/>
      <c r="AO1111" s="83" t="n"/>
      <c r="AP1111" s="83" t="n"/>
      <c r="AQ1111" s="83" t="n"/>
      <c r="AR1111" s="83" t="n"/>
    </row>
    <row r="1112">
      <c r="D1112" s="83" t="n"/>
      <c r="E1112" s="83" t="n"/>
      <c r="F1112" s="83" t="n"/>
      <c r="G1112" s="83" t="n"/>
      <c r="H1112" s="83" t="n"/>
      <c r="I1112" s="83" t="n"/>
      <c r="J1112" s="83" t="n"/>
      <c r="K1112" s="83" t="n"/>
      <c r="L1112" s="83" t="n"/>
      <c r="M1112" s="83" t="n"/>
      <c r="N1112" s="83" t="n"/>
      <c r="O1112" s="83" t="n"/>
      <c r="P1112" s="83" t="n"/>
      <c r="Q1112" s="83" t="n"/>
      <c r="R1112" s="83" t="n"/>
      <c r="S1112" s="83" t="n"/>
      <c r="T1112" s="83" t="n"/>
      <c r="U1112" s="83" t="n"/>
      <c r="V1112" s="83" t="n"/>
      <c r="W1112" s="83" t="n"/>
      <c r="X1112" s="83" t="n"/>
      <c r="Y1112" s="83" t="n"/>
      <c r="Z1112" s="83" t="n"/>
      <c r="AA1112" s="83" t="n"/>
      <c r="AB1112" s="83" t="n"/>
      <c r="AC1112" s="83" t="n"/>
      <c r="AD1112" s="83" t="n"/>
      <c r="AE1112" s="83" t="n"/>
      <c r="AF1112" s="83" t="n"/>
      <c r="AG1112" s="83" t="n"/>
      <c r="AH1112" s="83" t="n"/>
      <c r="AI1112" s="83" t="n"/>
      <c r="AJ1112" s="83" t="n"/>
      <c r="AK1112" s="83" t="n"/>
      <c r="AL1112" s="83" t="n"/>
      <c r="AM1112" s="83" t="n"/>
      <c r="AN1112" s="83" t="n"/>
      <c r="AO1112" s="83" t="n"/>
      <c r="AP1112" s="83" t="n"/>
      <c r="AQ1112" s="83" t="n"/>
      <c r="AR1112" s="83" t="n"/>
    </row>
    <row r="1113">
      <c r="D1113" s="84" t="n"/>
      <c r="E1113" s="84" t="n"/>
      <c r="F1113" s="84" t="n"/>
      <c r="G1113" s="84" t="n"/>
      <c r="H1113" s="84" t="n"/>
      <c r="I1113" s="84" t="n"/>
      <c r="J1113" s="84" t="n"/>
      <c r="K1113" s="84" t="n"/>
      <c r="L1113" s="84" t="n"/>
      <c r="M1113" s="84" t="n"/>
      <c r="N1113" s="84" t="n"/>
      <c r="O1113" s="84" t="n"/>
      <c r="P1113" s="84" t="n"/>
      <c r="Q1113" s="84" t="n"/>
      <c r="R1113" s="84" t="n"/>
      <c r="S1113" s="84" t="n"/>
      <c r="T1113" s="84" t="n"/>
      <c r="U1113" s="84" t="n"/>
      <c r="V1113" s="84" t="n"/>
      <c r="W1113" s="84" t="n"/>
      <c r="X1113" s="84" t="n"/>
      <c r="Y1113" s="84" t="n"/>
      <c r="Z1113" s="84" t="n"/>
      <c r="AA1113" s="84" t="n"/>
      <c r="AB1113" s="84" t="n"/>
      <c r="AC1113" s="84" t="n"/>
      <c r="AD1113" s="84" t="n"/>
      <c r="AE1113" s="84" t="n"/>
      <c r="AF1113" s="84" t="n"/>
      <c r="AG1113" s="84" t="n"/>
      <c r="AH1113" s="84" t="n"/>
      <c r="AI1113" s="84" t="n"/>
      <c r="AJ1113" s="84" t="n"/>
      <c r="AK1113" s="84" t="n"/>
      <c r="AL1113" s="84" t="n"/>
      <c r="AM1113" s="84" t="n"/>
      <c r="AN1113" s="84" t="n"/>
      <c r="AO1113" s="84" t="n"/>
      <c r="AP1113" s="84" t="n"/>
      <c r="AQ1113" s="84" t="n"/>
      <c r="AR1113" s="84" t="n"/>
    </row>
    <row r="1114">
      <c r="D1114" s="80" t="n"/>
      <c r="E1114" s="80" t="n"/>
      <c r="F1114" s="80" t="n"/>
      <c r="G1114" s="80" t="n"/>
      <c r="H1114" s="80" t="n"/>
      <c r="I1114" s="80" t="n"/>
      <c r="J1114" s="80" t="n"/>
      <c r="K1114" s="80" t="n"/>
      <c r="L1114" s="80" t="n"/>
      <c r="M1114" s="80" t="n"/>
      <c r="N1114" s="80" t="n"/>
      <c r="O1114" s="80" t="n"/>
      <c r="P1114" s="80" t="n"/>
      <c r="Q1114" s="80" t="n"/>
      <c r="R1114" s="80" t="n"/>
      <c r="S1114" s="80" t="n"/>
      <c r="T1114" s="80" t="n"/>
      <c r="U1114" s="80" t="n"/>
      <c r="V1114" s="80" t="n"/>
      <c r="W1114" s="80" t="n"/>
      <c r="X1114" s="80" t="n"/>
      <c r="Y1114" s="80" t="n"/>
      <c r="Z1114" s="80" t="n"/>
      <c r="AA1114" s="80" t="n"/>
      <c r="AB1114" s="80" t="n"/>
      <c r="AC1114" s="80" t="n"/>
      <c r="AD1114" s="80" t="n"/>
      <c r="AE1114" s="80" t="n"/>
      <c r="AF1114" s="80" t="n"/>
      <c r="AG1114" s="80" t="n"/>
      <c r="AH1114" s="80" t="n"/>
      <c r="AI1114" s="80" t="n"/>
      <c r="AJ1114" s="80" t="n"/>
      <c r="AK1114" s="80" t="n"/>
      <c r="AL1114" s="80" t="n"/>
      <c r="AM1114" s="80" t="n"/>
      <c r="AN1114" s="80" t="n"/>
      <c r="AO1114" s="80" t="n"/>
      <c r="AP1114" s="80" t="n"/>
      <c r="AQ1114" s="80" t="n"/>
      <c r="AR1114" s="80" t="n"/>
    </row>
    <row r="1115">
      <c r="D1115" s="80" t="n"/>
      <c r="E1115" s="80" t="n"/>
      <c r="F1115" s="80" t="n"/>
      <c r="G1115" s="80" t="n"/>
      <c r="H1115" s="80" t="n"/>
      <c r="I1115" s="80" t="n"/>
      <c r="J1115" s="80" t="n"/>
      <c r="K1115" s="80" t="n"/>
      <c r="L1115" s="80" t="n"/>
      <c r="M1115" s="80" t="n"/>
      <c r="N1115" s="80" t="n"/>
      <c r="O1115" s="80" t="n"/>
      <c r="P1115" s="80" t="n"/>
      <c r="Q1115" s="80" t="n"/>
      <c r="R1115" s="80" t="n"/>
      <c r="S1115" s="80" t="n"/>
      <c r="T1115" s="80" t="n"/>
      <c r="U1115" s="80" t="n"/>
      <c r="V1115" s="80" t="n"/>
      <c r="W1115" s="80" t="n"/>
      <c r="X1115" s="80" t="n"/>
      <c r="Y1115" s="80" t="n"/>
      <c r="Z1115" s="80" t="n"/>
      <c r="AA1115" s="80" t="n"/>
      <c r="AB1115" s="80" t="n"/>
      <c r="AC1115" s="80" t="n"/>
      <c r="AD1115" s="80" t="n"/>
      <c r="AE1115" s="80" t="n"/>
      <c r="AF1115" s="80" t="n"/>
      <c r="AG1115" s="80" t="n"/>
      <c r="AH1115" s="80" t="n"/>
      <c r="AI1115" s="80" t="n"/>
      <c r="AJ1115" s="80" t="n"/>
      <c r="AK1115" s="80" t="n"/>
      <c r="AL1115" s="80" t="n"/>
      <c r="AM1115" s="80" t="n"/>
      <c r="AN1115" s="80" t="n"/>
      <c r="AO1115" s="80" t="n"/>
      <c r="AP1115" s="80" t="n"/>
      <c r="AQ1115" s="80" t="n"/>
      <c r="AR1115" s="80" t="n"/>
    </row>
    <row r="1116">
      <c r="D1116" s="80" t="n"/>
      <c r="E1116" s="80" t="n"/>
      <c r="F1116" s="80" t="n"/>
      <c r="G1116" s="80" t="n"/>
      <c r="H1116" s="80" t="n"/>
      <c r="I1116" s="80" t="n"/>
      <c r="J1116" s="80" t="n"/>
      <c r="K1116" s="80" t="n"/>
      <c r="L1116" s="80" t="n"/>
      <c r="M1116" s="80" t="n"/>
      <c r="N1116" s="80" t="n"/>
      <c r="O1116" s="80" t="n"/>
      <c r="P1116" s="80" t="n"/>
      <c r="Q1116" s="80" t="n"/>
      <c r="R1116" s="80" t="n"/>
      <c r="S1116" s="80" t="n"/>
      <c r="T1116" s="80" t="n"/>
      <c r="U1116" s="80" t="n"/>
      <c r="V1116" s="80" t="n"/>
      <c r="W1116" s="80" t="n"/>
      <c r="X1116" s="80" t="n"/>
      <c r="Y1116" s="80" t="n"/>
      <c r="Z1116" s="80" t="n"/>
      <c r="AA1116" s="80" t="n"/>
      <c r="AB1116" s="80" t="n"/>
      <c r="AC1116" s="80" t="n"/>
      <c r="AD1116" s="80" t="n"/>
      <c r="AE1116" s="80" t="n"/>
      <c r="AF1116" s="80" t="n"/>
      <c r="AG1116" s="80" t="n"/>
      <c r="AH1116" s="80" t="n"/>
      <c r="AI1116" s="80" t="n"/>
      <c r="AJ1116" s="80" t="n"/>
      <c r="AK1116" s="80" t="n"/>
      <c r="AL1116" s="80" t="n"/>
      <c r="AM1116" s="80" t="n"/>
      <c r="AN1116" s="80" t="n"/>
      <c r="AO1116" s="80" t="n"/>
      <c r="AP1116" s="80" t="n"/>
      <c r="AQ1116" s="80" t="n"/>
      <c r="AR1116" s="80" t="n"/>
    </row>
    <row r="1117">
      <c r="D1117" s="80" t="n"/>
      <c r="E1117" s="80" t="n"/>
      <c r="F1117" s="80" t="n"/>
      <c r="G1117" s="80" t="n"/>
      <c r="H1117" s="80" t="n"/>
      <c r="I1117" s="80" t="n"/>
      <c r="J1117" s="80" t="n"/>
      <c r="K1117" s="80" t="n"/>
      <c r="L1117" s="80" t="n"/>
      <c r="M1117" s="80" t="n"/>
      <c r="N1117" s="80" t="n"/>
      <c r="O1117" s="80" t="n"/>
      <c r="P1117" s="80" t="n"/>
      <c r="Q1117" s="80" t="n"/>
      <c r="R1117" s="80" t="n"/>
      <c r="S1117" s="80" t="n"/>
      <c r="T1117" s="80" t="n"/>
      <c r="U1117" s="80" t="n"/>
      <c r="V1117" s="80" t="n"/>
      <c r="W1117" s="80" t="n"/>
      <c r="X1117" s="80" t="n"/>
      <c r="Y1117" s="80" t="n"/>
      <c r="Z1117" s="80" t="n"/>
      <c r="AA1117" s="80" t="n"/>
      <c r="AB1117" s="80" t="n"/>
      <c r="AC1117" s="80" t="n"/>
      <c r="AD1117" s="80" t="n"/>
      <c r="AE1117" s="80" t="n"/>
      <c r="AF1117" s="80" t="n"/>
      <c r="AG1117" s="80" t="n"/>
      <c r="AH1117" s="80" t="n"/>
      <c r="AI1117" s="80" t="n"/>
      <c r="AJ1117" s="80" t="n"/>
      <c r="AK1117" s="80" t="n"/>
      <c r="AL1117" s="80" t="n"/>
      <c r="AM1117" s="80" t="n"/>
      <c r="AN1117" s="80" t="n"/>
      <c r="AO1117" s="80" t="n"/>
      <c r="AP1117" s="80" t="n"/>
      <c r="AQ1117" s="80" t="n"/>
      <c r="AR1117" s="80" t="n"/>
    </row>
    <row r="1119">
      <c r="A1119" s="6">
        <f>IF(HSI!$C$81="","",HSI!$C$81)</f>
        <v/>
      </c>
      <c r="B1119" s="41">
        <f>IF($A1119="",0,COUNT($E1120:$AR1120))</f>
        <v/>
      </c>
      <c r="C1119" s="81">
        <f>IF($B1119=0,0,MAX($E1120:$AR1120))</f>
        <v/>
      </c>
      <c r="D1119" s="82">
        <f>BDS($A1119,'Field Check'!$C$7,"headers=y","startcol=1","endcol=7","dir=h","DVD_START_DT",Summary!$C$18,"DVD_END_DT",Summary!$D$18)</f>
        <v/>
      </c>
      <c r="E1119" s="83" t="n"/>
      <c r="F1119" s="83" t="n"/>
      <c r="G1119" s="83" t="n"/>
      <c r="H1119" s="83" t="n"/>
      <c r="I1119" s="83" t="n"/>
      <c r="J1119" s="83" t="n"/>
      <c r="K1119" s="83" t="n"/>
      <c r="L1119" s="83" t="n"/>
      <c r="M1119" s="83" t="n"/>
      <c r="N1119" s="83" t="n"/>
      <c r="O1119" s="83" t="n"/>
      <c r="P1119" s="83" t="n"/>
      <c r="Q1119" s="83" t="n"/>
      <c r="R1119" s="83" t="n"/>
      <c r="S1119" s="83" t="n"/>
      <c r="T1119" s="83" t="n"/>
      <c r="U1119" s="83" t="n"/>
      <c r="V1119" s="83" t="n"/>
      <c r="W1119" s="83" t="n"/>
      <c r="X1119" s="83" t="n"/>
      <c r="Y1119" s="83" t="n"/>
      <c r="Z1119" s="83" t="n"/>
      <c r="AA1119" s="83" t="n"/>
      <c r="AB1119" s="83" t="n"/>
      <c r="AC1119" s="83" t="n"/>
      <c r="AD1119" s="83" t="n"/>
      <c r="AE1119" s="83" t="n"/>
      <c r="AF1119" s="83" t="n"/>
      <c r="AG1119" s="83" t="n"/>
      <c r="AH1119" s="83" t="n"/>
      <c r="AI1119" s="83" t="n"/>
      <c r="AJ1119" s="83" t="n"/>
      <c r="AK1119" s="83" t="n"/>
      <c r="AL1119" s="83" t="n"/>
      <c r="AM1119" s="83" t="n"/>
      <c r="AN1119" s="83" t="n"/>
      <c r="AO1119" s="83" t="n"/>
      <c r="AP1119" s="83" t="n"/>
      <c r="AQ1119" s="83" t="n"/>
      <c r="AR1119" s="83" t="n"/>
    </row>
    <row r="1120">
      <c r="D1120" s="83" t="n"/>
      <c r="E1120" s="83" t="n"/>
      <c r="F1120" s="83" t="n"/>
      <c r="G1120" s="83" t="n"/>
      <c r="H1120" s="83" t="n"/>
      <c r="I1120" s="83" t="n"/>
      <c r="J1120" s="83" t="n"/>
      <c r="K1120" s="83" t="n"/>
      <c r="L1120" s="83" t="n"/>
      <c r="M1120" s="83" t="n"/>
      <c r="N1120" s="83" t="n"/>
      <c r="O1120" s="83" t="n"/>
      <c r="P1120" s="83" t="n"/>
      <c r="Q1120" s="83" t="n"/>
      <c r="R1120" s="83" t="n"/>
      <c r="S1120" s="83" t="n"/>
      <c r="T1120" s="83" t="n"/>
      <c r="U1120" s="83" t="n"/>
      <c r="V1120" s="83" t="n"/>
      <c r="W1120" s="83" t="n"/>
      <c r="X1120" s="83" t="n"/>
      <c r="Y1120" s="83" t="n"/>
      <c r="Z1120" s="83" t="n"/>
      <c r="AA1120" s="83" t="n"/>
      <c r="AB1120" s="83" t="n"/>
      <c r="AC1120" s="83" t="n"/>
      <c r="AD1120" s="83" t="n"/>
      <c r="AE1120" s="83" t="n"/>
      <c r="AF1120" s="83" t="n"/>
      <c r="AG1120" s="83" t="n"/>
      <c r="AH1120" s="83" t="n"/>
      <c r="AI1120" s="83" t="n"/>
      <c r="AJ1120" s="83" t="n"/>
      <c r="AK1120" s="83" t="n"/>
      <c r="AL1120" s="83" t="n"/>
      <c r="AM1120" s="83" t="n"/>
      <c r="AN1120" s="83" t="n"/>
      <c r="AO1120" s="83" t="n"/>
      <c r="AP1120" s="83" t="n"/>
      <c r="AQ1120" s="83" t="n"/>
      <c r="AR1120" s="83" t="n"/>
    </row>
    <row r="1121">
      <c r="D1121" s="84" t="n"/>
      <c r="E1121" s="84" t="n"/>
      <c r="F1121" s="84" t="n"/>
      <c r="G1121" s="84" t="n"/>
      <c r="H1121" s="84" t="n"/>
      <c r="I1121" s="84" t="n"/>
      <c r="J1121" s="84" t="n"/>
      <c r="K1121" s="84" t="n"/>
      <c r="L1121" s="84" t="n"/>
      <c r="M1121" s="84" t="n"/>
      <c r="N1121" s="84" t="n"/>
      <c r="O1121" s="84" t="n"/>
      <c r="P1121" s="84" t="n"/>
      <c r="Q1121" s="84" t="n"/>
      <c r="R1121" s="84" t="n"/>
      <c r="S1121" s="84" t="n"/>
      <c r="T1121" s="84" t="n"/>
      <c r="U1121" s="84" t="n"/>
      <c r="V1121" s="84" t="n"/>
      <c r="W1121" s="84" t="n"/>
      <c r="X1121" s="84" t="n"/>
      <c r="Y1121" s="84" t="n"/>
      <c r="Z1121" s="84" t="n"/>
      <c r="AA1121" s="84" t="n"/>
      <c r="AB1121" s="84" t="n"/>
      <c r="AC1121" s="84" t="n"/>
      <c r="AD1121" s="84" t="n"/>
      <c r="AE1121" s="84" t="n"/>
      <c r="AF1121" s="84" t="n"/>
      <c r="AG1121" s="84" t="n"/>
      <c r="AH1121" s="84" t="n"/>
      <c r="AI1121" s="84" t="n"/>
      <c r="AJ1121" s="84" t="n"/>
      <c r="AK1121" s="84" t="n"/>
      <c r="AL1121" s="84" t="n"/>
      <c r="AM1121" s="84" t="n"/>
      <c r="AN1121" s="84" t="n"/>
      <c r="AO1121" s="84" t="n"/>
      <c r="AP1121" s="84" t="n"/>
      <c r="AQ1121" s="84" t="n"/>
      <c r="AR1121" s="84" t="n"/>
    </row>
    <row r="1122">
      <c r="D1122" s="80" t="n"/>
      <c r="E1122" s="80" t="n"/>
      <c r="F1122" s="80" t="n"/>
      <c r="G1122" s="80" t="n"/>
      <c r="H1122" s="80" t="n"/>
      <c r="I1122" s="80" t="n"/>
      <c r="J1122" s="80" t="n"/>
      <c r="K1122" s="80" t="n"/>
      <c r="L1122" s="80" t="n"/>
      <c r="M1122" s="80" t="n"/>
      <c r="N1122" s="80" t="n"/>
      <c r="O1122" s="80" t="n"/>
      <c r="P1122" s="80" t="n"/>
      <c r="Q1122" s="80" t="n"/>
      <c r="R1122" s="80" t="n"/>
      <c r="S1122" s="80" t="n"/>
      <c r="T1122" s="80" t="n"/>
      <c r="U1122" s="80" t="n"/>
      <c r="V1122" s="80" t="n"/>
      <c r="W1122" s="80" t="n"/>
      <c r="X1122" s="80" t="n"/>
      <c r="Y1122" s="80" t="n"/>
      <c r="Z1122" s="80" t="n"/>
      <c r="AA1122" s="80" t="n"/>
      <c r="AB1122" s="80" t="n"/>
      <c r="AC1122" s="80" t="n"/>
      <c r="AD1122" s="80" t="n"/>
      <c r="AE1122" s="80" t="n"/>
      <c r="AF1122" s="80" t="n"/>
      <c r="AG1122" s="80" t="n"/>
      <c r="AH1122" s="80" t="n"/>
      <c r="AI1122" s="80" t="n"/>
      <c r="AJ1122" s="80" t="n"/>
      <c r="AK1122" s="80" t="n"/>
      <c r="AL1122" s="80" t="n"/>
      <c r="AM1122" s="80" t="n"/>
      <c r="AN1122" s="80" t="n"/>
      <c r="AO1122" s="80" t="n"/>
      <c r="AP1122" s="80" t="n"/>
      <c r="AQ1122" s="80" t="n"/>
      <c r="AR1122" s="80" t="n"/>
    </row>
    <row r="1123">
      <c r="D1123" s="80" t="n"/>
      <c r="E1123" s="80" t="n"/>
      <c r="F1123" s="80" t="n"/>
      <c r="G1123" s="80" t="n"/>
      <c r="H1123" s="80" t="n"/>
      <c r="I1123" s="80" t="n"/>
      <c r="J1123" s="80" t="n"/>
      <c r="K1123" s="80" t="n"/>
      <c r="L1123" s="80" t="n"/>
      <c r="M1123" s="80" t="n"/>
      <c r="N1123" s="80" t="n"/>
      <c r="O1123" s="80" t="n"/>
      <c r="P1123" s="80" t="n"/>
      <c r="Q1123" s="80" t="n"/>
      <c r="R1123" s="80" t="n"/>
      <c r="S1123" s="80" t="n"/>
      <c r="T1123" s="80" t="n"/>
      <c r="U1123" s="80" t="n"/>
      <c r="V1123" s="80" t="n"/>
      <c r="W1123" s="80" t="n"/>
      <c r="X1123" s="80" t="n"/>
      <c r="Y1123" s="80" t="n"/>
      <c r="Z1123" s="80" t="n"/>
      <c r="AA1123" s="80" t="n"/>
      <c r="AB1123" s="80" t="n"/>
      <c r="AC1123" s="80" t="n"/>
      <c r="AD1123" s="80" t="n"/>
      <c r="AE1123" s="80" t="n"/>
      <c r="AF1123" s="80" t="n"/>
      <c r="AG1123" s="80" t="n"/>
      <c r="AH1123" s="80" t="n"/>
      <c r="AI1123" s="80" t="n"/>
      <c r="AJ1123" s="80" t="n"/>
      <c r="AK1123" s="80" t="n"/>
      <c r="AL1123" s="80" t="n"/>
      <c r="AM1123" s="80" t="n"/>
      <c r="AN1123" s="80" t="n"/>
      <c r="AO1123" s="80" t="n"/>
      <c r="AP1123" s="80" t="n"/>
      <c r="AQ1123" s="80" t="n"/>
      <c r="AR1123" s="80" t="n"/>
    </row>
    <row r="1124">
      <c r="D1124" s="80" t="n"/>
      <c r="E1124" s="80" t="n"/>
      <c r="F1124" s="80" t="n"/>
      <c r="G1124" s="80" t="n"/>
      <c r="H1124" s="80" t="n"/>
      <c r="I1124" s="80" t="n"/>
      <c r="J1124" s="80" t="n"/>
      <c r="K1124" s="80" t="n"/>
      <c r="L1124" s="80" t="n"/>
      <c r="M1124" s="80" t="n"/>
      <c r="N1124" s="80" t="n"/>
      <c r="O1124" s="80" t="n"/>
      <c r="P1124" s="80" t="n"/>
      <c r="Q1124" s="80" t="n"/>
      <c r="R1124" s="80" t="n"/>
      <c r="S1124" s="80" t="n"/>
      <c r="T1124" s="80" t="n"/>
      <c r="U1124" s="80" t="n"/>
      <c r="V1124" s="80" t="n"/>
      <c r="W1124" s="80" t="n"/>
      <c r="X1124" s="80" t="n"/>
      <c r="Y1124" s="80" t="n"/>
      <c r="Z1124" s="80" t="n"/>
      <c r="AA1124" s="80" t="n"/>
      <c r="AB1124" s="80" t="n"/>
      <c r="AC1124" s="80" t="n"/>
      <c r="AD1124" s="80" t="n"/>
      <c r="AE1124" s="80" t="n"/>
      <c r="AF1124" s="80" t="n"/>
      <c r="AG1124" s="80" t="n"/>
      <c r="AH1124" s="80" t="n"/>
      <c r="AI1124" s="80" t="n"/>
      <c r="AJ1124" s="80" t="n"/>
      <c r="AK1124" s="80" t="n"/>
      <c r="AL1124" s="80" t="n"/>
      <c r="AM1124" s="80" t="n"/>
      <c r="AN1124" s="80" t="n"/>
      <c r="AO1124" s="80" t="n"/>
      <c r="AP1124" s="80" t="n"/>
      <c r="AQ1124" s="80" t="n"/>
      <c r="AR1124" s="80" t="n"/>
    </row>
    <row r="1125">
      <c r="D1125" s="80" t="n"/>
      <c r="E1125" s="80" t="n"/>
      <c r="F1125" s="80" t="n"/>
      <c r="G1125" s="80" t="n"/>
      <c r="H1125" s="80" t="n"/>
      <c r="I1125" s="80" t="n"/>
      <c r="J1125" s="80" t="n"/>
      <c r="K1125" s="80" t="n"/>
      <c r="L1125" s="80" t="n"/>
      <c r="M1125" s="80" t="n"/>
      <c r="N1125" s="80" t="n"/>
      <c r="O1125" s="80" t="n"/>
      <c r="P1125" s="80" t="n"/>
      <c r="Q1125" s="80" t="n"/>
      <c r="R1125" s="80" t="n"/>
      <c r="S1125" s="80" t="n"/>
      <c r="T1125" s="80" t="n"/>
      <c r="U1125" s="80" t="n"/>
      <c r="V1125" s="80" t="n"/>
      <c r="W1125" s="80" t="n"/>
      <c r="X1125" s="80" t="n"/>
      <c r="Y1125" s="80" t="n"/>
      <c r="Z1125" s="80" t="n"/>
      <c r="AA1125" s="80" t="n"/>
      <c r="AB1125" s="80" t="n"/>
      <c r="AC1125" s="80" t="n"/>
      <c r="AD1125" s="80" t="n"/>
      <c r="AE1125" s="80" t="n"/>
      <c r="AF1125" s="80" t="n"/>
      <c r="AG1125" s="80" t="n"/>
      <c r="AH1125" s="80" t="n"/>
      <c r="AI1125" s="80" t="n"/>
      <c r="AJ1125" s="80" t="n"/>
      <c r="AK1125" s="80" t="n"/>
      <c r="AL1125" s="80" t="n"/>
      <c r="AM1125" s="80" t="n"/>
      <c r="AN1125" s="80" t="n"/>
      <c r="AO1125" s="80" t="n"/>
      <c r="AP1125" s="80" t="n"/>
      <c r="AQ1125" s="80" t="n"/>
      <c r="AR1125" s="80" t="n"/>
    </row>
    <row r="1126">
      <c r="A1126" s="2">
        <f>IF($A1119="","","   projections")</f>
        <v/>
      </c>
      <c r="B1126" s="41">
        <f>IF($A1119="",0,COUNT($E1127:$AR1127))</f>
        <v/>
      </c>
      <c r="C1126" s="81">
        <f>IF($B1126=0,0,MAX($E1127:$AR1127))</f>
        <v/>
      </c>
      <c r="D1126" s="82">
        <f>BDS($A1119,'Field Check'!$C$6,"headers=y","startcol=1","endcol=7","dir=h")</f>
        <v/>
      </c>
      <c r="E1126" s="83" t="n"/>
      <c r="F1126" s="83" t="n"/>
      <c r="G1126" s="83" t="n"/>
      <c r="H1126" s="83" t="n"/>
      <c r="I1126" s="83" t="n"/>
      <c r="J1126" s="83" t="n"/>
      <c r="K1126" s="83" t="n"/>
      <c r="L1126" s="83" t="n"/>
      <c r="M1126" s="83" t="n"/>
      <c r="N1126" s="83" t="n"/>
      <c r="O1126" s="83" t="n"/>
      <c r="P1126" s="83" t="n"/>
      <c r="Q1126" s="83" t="n"/>
      <c r="R1126" s="83" t="n"/>
      <c r="S1126" s="83" t="n"/>
      <c r="T1126" s="83" t="n"/>
      <c r="U1126" s="83" t="n"/>
      <c r="V1126" s="83" t="n"/>
      <c r="W1126" s="83" t="n"/>
      <c r="X1126" s="83" t="n"/>
      <c r="Y1126" s="83" t="n"/>
      <c r="Z1126" s="83" t="n"/>
      <c r="AA1126" s="83" t="n"/>
      <c r="AB1126" s="83" t="n"/>
      <c r="AC1126" s="83" t="n"/>
      <c r="AD1126" s="83" t="n"/>
      <c r="AE1126" s="83" t="n"/>
      <c r="AF1126" s="83" t="n"/>
      <c r="AG1126" s="83" t="n"/>
      <c r="AH1126" s="83" t="n"/>
      <c r="AI1126" s="83" t="n"/>
      <c r="AJ1126" s="83" t="n"/>
      <c r="AK1126" s="83" t="n"/>
      <c r="AL1126" s="83" t="n"/>
      <c r="AM1126" s="83" t="n"/>
      <c r="AN1126" s="83" t="n"/>
      <c r="AO1126" s="83" t="n"/>
      <c r="AP1126" s="83" t="n"/>
      <c r="AQ1126" s="83" t="n"/>
      <c r="AR1126" s="83" t="n"/>
    </row>
    <row r="1127">
      <c r="D1127" s="83" t="n"/>
      <c r="E1127" s="83" t="n"/>
      <c r="F1127" s="83" t="n"/>
      <c r="G1127" s="83" t="n"/>
      <c r="H1127" s="83" t="n"/>
      <c r="I1127" s="83" t="n"/>
      <c r="J1127" s="83" t="n"/>
      <c r="K1127" s="83" t="n"/>
      <c r="L1127" s="83" t="n"/>
      <c r="M1127" s="83" t="n"/>
      <c r="N1127" s="83" t="n"/>
      <c r="O1127" s="83" t="n"/>
      <c r="P1127" s="83" t="n"/>
      <c r="Q1127" s="83" t="n"/>
      <c r="R1127" s="83" t="n"/>
      <c r="S1127" s="83" t="n"/>
      <c r="T1127" s="83" t="n"/>
      <c r="U1127" s="83" t="n"/>
      <c r="V1127" s="83" t="n"/>
      <c r="W1127" s="83" t="n"/>
      <c r="X1127" s="83" t="n"/>
      <c r="Y1127" s="83" t="n"/>
      <c r="Z1127" s="83" t="n"/>
      <c r="AA1127" s="83" t="n"/>
      <c r="AB1127" s="83" t="n"/>
      <c r="AC1127" s="83" t="n"/>
      <c r="AD1127" s="83" t="n"/>
      <c r="AE1127" s="83" t="n"/>
      <c r="AF1127" s="83" t="n"/>
      <c r="AG1127" s="83" t="n"/>
      <c r="AH1127" s="83" t="n"/>
      <c r="AI1127" s="83" t="n"/>
      <c r="AJ1127" s="83" t="n"/>
      <c r="AK1127" s="83" t="n"/>
      <c r="AL1127" s="83" t="n"/>
      <c r="AM1127" s="83" t="n"/>
      <c r="AN1127" s="83" t="n"/>
      <c r="AO1127" s="83" t="n"/>
      <c r="AP1127" s="83" t="n"/>
      <c r="AQ1127" s="83" t="n"/>
      <c r="AR1127" s="83" t="n"/>
    </row>
    <row r="1128">
      <c r="D1128" s="84" t="n"/>
      <c r="E1128" s="84" t="n"/>
      <c r="F1128" s="84" t="n"/>
      <c r="G1128" s="84" t="n"/>
      <c r="H1128" s="84" t="n"/>
      <c r="I1128" s="84" t="n"/>
      <c r="J1128" s="84" t="n"/>
      <c r="K1128" s="84" t="n"/>
      <c r="L1128" s="84" t="n"/>
      <c r="M1128" s="84" t="n"/>
      <c r="N1128" s="84" t="n"/>
      <c r="O1128" s="84" t="n"/>
      <c r="P1128" s="84" t="n"/>
      <c r="Q1128" s="84" t="n"/>
      <c r="R1128" s="84" t="n"/>
      <c r="S1128" s="84" t="n"/>
      <c r="T1128" s="84" t="n"/>
      <c r="U1128" s="84" t="n"/>
      <c r="V1128" s="84" t="n"/>
      <c r="W1128" s="84" t="n"/>
      <c r="X1128" s="84" t="n"/>
      <c r="Y1128" s="84" t="n"/>
      <c r="Z1128" s="84" t="n"/>
      <c r="AA1128" s="84" t="n"/>
      <c r="AB1128" s="84" t="n"/>
      <c r="AC1128" s="84" t="n"/>
      <c r="AD1128" s="84" t="n"/>
      <c r="AE1128" s="84" t="n"/>
      <c r="AF1128" s="84" t="n"/>
      <c r="AG1128" s="84" t="n"/>
      <c r="AH1128" s="84" t="n"/>
      <c r="AI1128" s="84" t="n"/>
      <c r="AJ1128" s="84" t="n"/>
      <c r="AK1128" s="84" t="n"/>
      <c r="AL1128" s="84" t="n"/>
      <c r="AM1128" s="84" t="n"/>
      <c r="AN1128" s="84" t="n"/>
      <c r="AO1128" s="84" t="n"/>
      <c r="AP1128" s="84" t="n"/>
      <c r="AQ1128" s="84" t="n"/>
      <c r="AR1128" s="84" t="n"/>
    </row>
    <row r="1129">
      <c r="D1129" s="80" t="n"/>
      <c r="E1129" s="80" t="n"/>
      <c r="F1129" s="80" t="n"/>
      <c r="G1129" s="80" t="n"/>
      <c r="H1129" s="80" t="n"/>
      <c r="I1129" s="80" t="n"/>
      <c r="J1129" s="80" t="n"/>
      <c r="K1129" s="80" t="n"/>
      <c r="L1129" s="80" t="n"/>
      <c r="M1129" s="80" t="n"/>
      <c r="N1129" s="80" t="n"/>
      <c r="O1129" s="80" t="n"/>
      <c r="P1129" s="80" t="n"/>
      <c r="Q1129" s="80" t="n"/>
      <c r="R1129" s="80" t="n"/>
      <c r="S1129" s="80" t="n"/>
      <c r="T1129" s="80" t="n"/>
      <c r="U1129" s="80" t="n"/>
      <c r="V1129" s="80" t="n"/>
      <c r="W1129" s="80" t="n"/>
      <c r="X1129" s="80" t="n"/>
      <c r="Y1129" s="80" t="n"/>
      <c r="Z1129" s="80" t="n"/>
      <c r="AA1129" s="80" t="n"/>
      <c r="AB1129" s="80" t="n"/>
      <c r="AC1129" s="80" t="n"/>
      <c r="AD1129" s="80" t="n"/>
      <c r="AE1129" s="80" t="n"/>
      <c r="AF1129" s="80" t="n"/>
      <c r="AG1129" s="80" t="n"/>
      <c r="AH1129" s="80" t="n"/>
      <c r="AI1129" s="80" t="n"/>
      <c r="AJ1129" s="80" t="n"/>
      <c r="AK1129" s="80" t="n"/>
      <c r="AL1129" s="80" t="n"/>
      <c r="AM1129" s="80" t="n"/>
      <c r="AN1129" s="80" t="n"/>
      <c r="AO1129" s="80" t="n"/>
      <c r="AP1129" s="80" t="n"/>
      <c r="AQ1129" s="80" t="n"/>
      <c r="AR1129" s="80" t="n"/>
    </row>
    <row r="1130">
      <c r="D1130" s="80" t="n"/>
      <c r="E1130" s="80" t="n"/>
      <c r="F1130" s="80" t="n"/>
      <c r="G1130" s="80" t="n"/>
      <c r="H1130" s="80" t="n"/>
      <c r="I1130" s="80" t="n"/>
      <c r="J1130" s="80" t="n"/>
      <c r="K1130" s="80" t="n"/>
      <c r="L1130" s="80" t="n"/>
      <c r="M1130" s="80" t="n"/>
      <c r="N1130" s="80" t="n"/>
      <c r="O1130" s="80" t="n"/>
      <c r="P1130" s="80" t="n"/>
      <c r="Q1130" s="80" t="n"/>
      <c r="R1130" s="80" t="n"/>
      <c r="S1130" s="80" t="n"/>
      <c r="T1130" s="80" t="n"/>
      <c r="U1130" s="80" t="n"/>
      <c r="V1130" s="80" t="n"/>
      <c r="W1130" s="80" t="n"/>
      <c r="X1130" s="80" t="n"/>
      <c r="Y1130" s="80" t="n"/>
      <c r="Z1130" s="80" t="n"/>
      <c r="AA1130" s="80" t="n"/>
      <c r="AB1130" s="80" t="n"/>
      <c r="AC1130" s="80" t="n"/>
      <c r="AD1130" s="80" t="n"/>
      <c r="AE1130" s="80" t="n"/>
      <c r="AF1130" s="80" t="n"/>
      <c r="AG1130" s="80" t="n"/>
      <c r="AH1130" s="80" t="n"/>
      <c r="AI1130" s="80" t="n"/>
      <c r="AJ1130" s="80" t="n"/>
      <c r="AK1130" s="80" t="n"/>
      <c r="AL1130" s="80" t="n"/>
      <c r="AM1130" s="80" t="n"/>
      <c r="AN1130" s="80" t="n"/>
      <c r="AO1130" s="80" t="n"/>
      <c r="AP1130" s="80" t="n"/>
      <c r="AQ1130" s="80" t="n"/>
      <c r="AR1130" s="80" t="n"/>
    </row>
    <row r="1131">
      <c r="D1131" s="80" t="n"/>
      <c r="E1131" s="80" t="n"/>
      <c r="F1131" s="80" t="n"/>
      <c r="G1131" s="80" t="n"/>
      <c r="H1131" s="80" t="n"/>
      <c r="I1131" s="80" t="n"/>
      <c r="J1131" s="80" t="n"/>
      <c r="K1131" s="80" t="n"/>
      <c r="L1131" s="80" t="n"/>
      <c r="M1131" s="80" t="n"/>
      <c r="N1131" s="80" t="n"/>
      <c r="O1131" s="80" t="n"/>
      <c r="P1131" s="80" t="n"/>
      <c r="Q1131" s="80" t="n"/>
      <c r="R1131" s="80" t="n"/>
      <c r="S1131" s="80" t="n"/>
      <c r="T1131" s="80" t="n"/>
      <c r="U1131" s="80" t="n"/>
      <c r="V1131" s="80" t="n"/>
      <c r="W1131" s="80" t="n"/>
      <c r="X1131" s="80" t="n"/>
      <c r="Y1131" s="80" t="n"/>
      <c r="Z1131" s="80" t="n"/>
      <c r="AA1131" s="80" t="n"/>
      <c r="AB1131" s="80" t="n"/>
      <c r="AC1131" s="80" t="n"/>
      <c r="AD1131" s="80" t="n"/>
      <c r="AE1131" s="80" t="n"/>
      <c r="AF1131" s="80" t="n"/>
      <c r="AG1131" s="80" t="n"/>
      <c r="AH1131" s="80" t="n"/>
      <c r="AI1131" s="80" t="n"/>
      <c r="AJ1131" s="80" t="n"/>
      <c r="AK1131" s="80" t="n"/>
      <c r="AL1131" s="80" t="n"/>
      <c r="AM1131" s="80" t="n"/>
      <c r="AN1131" s="80" t="n"/>
      <c r="AO1131" s="80" t="n"/>
      <c r="AP1131" s="80" t="n"/>
      <c r="AQ1131" s="80" t="n"/>
      <c r="AR1131" s="80" t="n"/>
    </row>
    <row r="1132">
      <c r="D1132" s="80" t="n"/>
      <c r="E1132" s="80" t="n"/>
      <c r="F1132" s="80" t="n"/>
      <c r="G1132" s="80" t="n"/>
      <c r="H1132" s="80" t="n"/>
      <c r="I1132" s="80" t="n"/>
      <c r="J1132" s="80" t="n"/>
      <c r="K1132" s="80" t="n"/>
      <c r="L1132" s="80" t="n"/>
      <c r="M1132" s="80" t="n"/>
      <c r="N1132" s="80" t="n"/>
      <c r="O1132" s="80" t="n"/>
      <c r="P1132" s="80" t="n"/>
      <c r="Q1132" s="80" t="n"/>
      <c r="R1132" s="80" t="n"/>
      <c r="S1132" s="80" t="n"/>
      <c r="T1132" s="80" t="n"/>
      <c r="U1132" s="80" t="n"/>
      <c r="V1132" s="80" t="n"/>
      <c r="W1132" s="80" t="n"/>
      <c r="X1132" s="80" t="n"/>
      <c r="Y1132" s="80" t="n"/>
      <c r="Z1132" s="80" t="n"/>
      <c r="AA1132" s="80" t="n"/>
      <c r="AB1132" s="80" t="n"/>
      <c r="AC1132" s="80" t="n"/>
      <c r="AD1132" s="80" t="n"/>
      <c r="AE1132" s="80" t="n"/>
      <c r="AF1132" s="80" t="n"/>
      <c r="AG1132" s="80" t="n"/>
      <c r="AH1132" s="80" t="n"/>
      <c r="AI1132" s="80" t="n"/>
      <c r="AJ1132" s="80" t="n"/>
      <c r="AK1132" s="80" t="n"/>
      <c r="AL1132" s="80" t="n"/>
      <c r="AM1132" s="80" t="n"/>
      <c r="AN1132" s="80" t="n"/>
      <c r="AO1132" s="80" t="n"/>
      <c r="AP1132" s="80" t="n"/>
      <c r="AQ1132" s="80" t="n"/>
      <c r="AR1132" s="80" t="n"/>
    </row>
    <row r="1134">
      <c r="A1134" s="6">
        <f>IF(HSI!$C$82="","",HSI!$C$82)</f>
        <v/>
      </c>
      <c r="B1134" s="41">
        <f>IF($A1134="",0,COUNT($E1135:$AR1135))</f>
        <v/>
      </c>
      <c r="C1134" s="81">
        <f>IF($B1134=0,0,MAX($E1135:$AR1135))</f>
        <v/>
      </c>
      <c r="D1134" s="82">
        <f>BDS($A1134,'Field Check'!$C$7,"headers=y","startcol=1","endcol=7","dir=h","DVD_START_DT",Summary!$C$18,"DVD_END_DT",Summary!$D$18)</f>
        <v/>
      </c>
      <c r="E1134" s="83" t="n"/>
      <c r="F1134" s="83" t="n"/>
      <c r="G1134" s="83" t="n"/>
      <c r="H1134" s="83" t="n"/>
      <c r="I1134" s="83" t="n"/>
      <c r="J1134" s="83" t="n"/>
      <c r="K1134" s="83" t="n"/>
      <c r="L1134" s="83" t="n"/>
      <c r="M1134" s="83" t="n"/>
      <c r="N1134" s="83" t="n"/>
      <c r="O1134" s="83" t="n"/>
      <c r="P1134" s="83" t="n"/>
      <c r="Q1134" s="83" t="n"/>
      <c r="R1134" s="83" t="n"/>
      <c r="S1134" s="83" t="n"/>
      <c r="T1134" s="83" t="n"/>
      <c r="U1134" s="83" t="n"/>
      <c r="V1134" s="83" t="n"/>
      <c r="W1134" s="83" t="n"/>
      <c r="X1134" s="83" t="n"/>
      <c r="Y1134" s="83" t="n"/>
      <c r="Z1134" s="83" t="n"/>
      <c r="AA1134" s="83" t="n"/>
      <c r="AB1134" s="83" t="n"/>
      <c r="AC1134" s="83" t="n"/>
      <c r="AD1134" s="83" t="n"/>
      <c r="AE1134" s="83" t="n"/>
      <c r="AF1134" s="83" t="n"/>
      <c r="AG1134" s="83" t="n"/>
      <c r="AH1134" s="83" t="n"/>
      <c r="AI1134" s="83" t="n"/>
      <c r="AJ1134" s="83" t="n"/>
      <c r="AK1134" s="83" t="n"/>
      <c r="AL1134" s="83" t="n"/>
      <c r="AM1134" s="83" t="n"/>
      <c r="AN1134" s="83" t="n"/>
      <c r="AO1134" s="83" t="n"/>
      <c r="AP1134" s="83" t="n"/>
      <c r="AQ1134" s="83" t="n"/>
      <c r="AR1134" s="83" t="n"/>
    </row>
    <row r="1135">
      <c r="D1135" s="83" t="n"/>
      <c r="E1135" s="83" t="n"/>
      <c r="F1135" s="83" t="n"/>
      <c r="G1135" s="83" t="n"/>
      <c r="H1135" s="83" t="n"/>
      <c r="I1135" s="83" t="n"/>
      <c r="J1135" s="83" t="n"/>
      <c r="K1135" s="83" t="n"/>
      <c r="L1135" s="83" t="n"/>
      <c r="M1135" s="83" t="n"/>
      <c r="N1135" s="83" t="n"/>
      <c r="O1135" s="83" t="n"/>
      <c r="P1135" s="83" t="n"/>
      <c r="Q1135" s="83" t="n"/>
      <c r="R1135" s="83" t="n"/>
      <c r="S1135" s="83" t="n"/>
      <c r="T1135" s="83" t="n"/>
      <c r="U1135" s="83" t="n"/>
      <c r="V1135" s="83" t="n"/>
      <c r="W1135" s="83" t="n"/>
      <c r="X1135" s="83" t="n"/>
      <c r="Y1135" s="83" t="n"/>
      <c r="Z1135" s="83" t="n"/>
      <c r="AA1135" s="83" t="n"/>
      <c r="AB1135" s="83" t="n"/>
      <c r="AC1135" s="83" t="n"/>
      <c r="AD1135" s="83" t="n"/>
      <c r="AE1135" s="83" t="n"/>
      <c r="AF1135" s="83" t="n"/>
      <c r="AG1135" s="83" t="n"/>
      <c r="AH1135" s="83" t="n"/>
      <c r="AI1135" s="83" t="n"/>
      <c r="AJ1135" s="83" t="n"/>
      <c r="AK1135" s="83" t="n"/>
      <c r="AL1135" s="83" t="n"/>
      <c r="AM1135" s="83" t="n"/>
      <c r="AN1135" s="83" t="n"/>
      <c r="AO1135" s="83" t="n"/>
      <c r="AP1135" s="83" t="n"/>
      <c r="AQ1135" s="83" t="n"/>
      <c r="AR1135" s="83" t="n"/>
    </row>
    <row r="1136">
      <c r="D1136" s="84" t="n"/>
      <c r="E1136" s="84" t="n"/>
      <c r="F1136" s="84" t="n"/>
      <c r="G1136" s="84" t="n"/>
      <c r="H1136" s="84" t="n"/>
      <c r="I1136" s="84" t="n"/>
      <c r="J1136" s="84" t="n"/>
      <c r="K1136" s="84" t="n"/>
      <c r="L1136" s="84" t="n"/>
      <c r="M1136" s="84" t="n"/>
      <c r="N1136" s="84" t="n"/>
      <c r="O1136" s="84" t="n"/>
      <c r="P1136" s="84" t="n"/>
      <c r="Q1136" s="84" t="n"/>
      <c r="R1136" s="84" t="n"/>
      <c r="S1136" s="84" t="n"/>
      <c r="T1136" s="84" t="n"/>
      <c r="U1136" s="84" t="n"/>
      <c r="V1136" s="84" t="n"/>
      <c r="W1136" s="84" t="n"/>
      <c r="X1136" s="84" t="n"/>
      <c r="Y1136" s="84" t="n"/>
      <c r="Z1136" s="84" t="n"/>
      <c r="AA1136" s="84" t="n"/>
      <c r="AB1136" s="84" t="n"/>
      <c r="AC1136" s="84" t="n"/>
      <c r="AD1136" s="84" t="n"/>
      <c r="AE1136" s="84" t="n"/>
      <c r="AF1136" s="84" t="n"/>
      <c r="AG1136" s="84" t="n"/>
      <c r="AH1136" s="84" t="n"/>
      <c r="AI1136" s="84" t="n"/>
      <c r="AJ1136" s="84" t="n"/>
      <c r="AK1136" s="84" t="n"/>
      <c r="AL1136" s="84" t="n"/>
      <c r="AM1136" s="84" t="n"/>
      <c r="AN1136" s="84" t="n"/>
      <c r="AO1136" s="84" t="n"/>
      <c r="AP1136" s="84" t="n"/>
      <c r="AQ1136" s="84" t="n"/>
      <c r="AR1136" s="84" t="n"/>
    </row>
    <row r="1137">
      <c r="D1137" s="80" t="n"/>
      <c r="E1137" s="80" t="n"/>
      <c r="F1137" s="80" t="n"/>
      <c r="G1137" s="80" t="n"/>
      <c r="H1137" s="80" t="n"/>
      <c r="I1137" s="80" t="n"/>
      <c r="J1137" s="80" t="n"/>
      <c r="K1137" s="80" t="n"/>
      <c r="L1137" s="80" t="n"/>
      <c r="M1137" s="80" t="n"/>
      <c r="N1137" s="80" t="n"/>
      <c r="O1137" s="80" t="n"/>
      <c r="P1137" s="80" t="n"/>
      <c r="Q1137" s="80" t="n"/>
      <c r="R1137" s="80" t="n"/>
      <c r="S1137" s="80" t="n"/>
      <c r="T1137" s="80" t="n"/>
      <c r="U1137" s="80" t="n"/>
      <c r="V1137" s="80" t="n"/>
      <c r="W1137" s="80" t="n"/>
      <c r="X1137" s="80" t="n"/>
      <c r="Y1137" s="80" t="n"/>
      <c r="Z1137" s="80" t="n"/>
      <c r="AA1137" s="80" t="n"/>
      <c r="AB1137" s="80" t="n"/>
      <c r="AC1137" s="80" t="n"/>
      <c r="AD1137" s="80" t="n"/>
      <c r="AE1137" s="80" t="n"/>
      <c r="AF1137" s="80" t="n"/>
      <c r="AG1137" s="80" t="n"/>
      <c r="AH1137" s="80" t="n"/>
      <c r="AI1137" s="80" t="n"/>
      <c r="AJ1137" s="80" t="n"/>
      <c r="AK1137" s="80" t="n"/>
      <c r="AL1137" s="80" t="n"/>
      <c r="AM1137" s="80" t="n"/>
      <c r="AN1137" s="80" t="n"/>
      <c r="AO1137" s="80" t="n"/>
      <c r="AP1137" s="80" t="n"/>
      <c r="AQ1137" s="80" t="n"/>
      <c r="AR1137" s="80" t="n"/>
    </row>
    <row r="1138">
      <c r="D1138" s="80" t="n"/>
      <c r="E1138" s="80" t="n"/>
      <c r="F1138" s="80" t="n"/>
      <c r="G1138" s="80" t="n"/>
      <c r="H1138" s="80" t="n"/>
      <c r="I1138" s="80" t="n"/>
      <c r="J1138" s="80" t="n"/>
      <c r="K1138" s="80" t="n"/>
      <c r="L1138" s="80" t="n"/>
      <c r="M1138" s="80" t="n"/>
      <c r="N1138" s="80" t="n"/>
      <c r="O1138" s="80" t="n"/>
      <c r="P1138" s="80" t="n"/>
      <c r="Q1138" s="80" t="n"/>
      <c r="R1138" s="80" t="n"/>
      <c r="S1138" s="80" t="n"/>
      <c r="T1138" s="80" t="n"/>
      <c r="U1138" s="80" t="n"/>
      <c r="V1138" s="80" t="n"/>
      <c r="W1138" s="80" t="n"/>
      <c r="X1138" s="80" t="n"/>
      <c r="Y1138" s="80" t="n"/>
      <c r="Z1138" s="80" t="n"/>
      <c r="AA1138" s="80" t="n"/>
      <c r="AB1138" s="80" t="n"/>
      <c r="AC1138" s="80" t="n"/>
      <c r="AD1138" s="80" t="n"/>
      <c r="AE1138" s="80" t="n"/>
      <c r="AF1138" s="80" t="n"/>
      <c r="AG1138" s="80" t="n"/>
      <c r="AH1138" s="80" t="n"/>
      <c r="AI1138" s="80" t="n"/>
      <c r="AJ1138" s="80" t="n"/>
      <c r="AK1138" s="80" t="n"/>
      <c r="AL1138" s="80" t="n"/>
      <c r="AM1138" s="80" t="n"/>
      <c r="AN1138" s="80" t="n"/>
      <c r="AO1138" s="80" t="n"/>
      <c r="AP1138" s="80" t="n"/>
      <c r="AQ1138" s="80" t="n"/>
      <c r="AR1138" s="80" t="n"/>
    </row>
    <row r="1139">
      <c r="D1139" s="80" t="n"/>
      <c r="E1139" s="80" t="n"/>
      <c r="F1139" s="80" t="n"/>
      <c r="G1139" s="80" t="n"/>
      <c r="H1139" s="80" t="n"/>
      <c r="I1139" s="80" t="n"/>
      <c r="J1139" s="80" t="n"/>
      <c r="K1139" s="80" t="n"/>
      <c r="L1139" s="80" t="n"/>
      <c r="M1139" s="80" t="n"/>
      <c r="N1139" s="80" t="n"/>
      <c r="O1139" s="80" t="n"/>
      <c r="P1139" s="80" t="n"/>
      <c r="Q1139" s="80" t="n"/>
      <c r="R1139" s="80" t="n"/>
      <c r="S1139" s="80" t="n"/>
      <c r="T1139" s="80" t="n"/>
      <c r="U1139" s="80" t="n"/>
      <c r="V1139" s="80" t="n"/>
      <c r="W1139" s="80" t="n"/>
      <c r="X1139" s="80" t="n"/>
      <c r="Y1139" s="80" t="n"/>
      <c r="Z1139" s="80" t="n"/>
      <c r="AA1139" s="80" t="n"/>
      <c r="AB1139" s="80" t="n"/>
      <c r="AC1139" s="80" t="n"/>
      <c r="AD1139" s="80" t="n"/>
      <c r="AE1139" s="80" t="n"/>
      <c r="AF1139" s="80" t="n"/>
      <c r="AG1139" s="80" t="n"/>
      <c r="AH1139" s="80" t="n"/>
      <c r="AI1139" s="80" t="n"/>
      <c r="AJ1139" s="80" t="n"/>
      <c r="AK1139" s="80" t="n"/>
      <c r="AL1139" s="80" t="n"/>
      <c r="AM1139" s="80" t="n"/>
      <c r="AN1139" s="80" t="n"/>
      <c r="AO1139" s="80" t="n"/>
      <c r="AP1139" s="80" t="n"/>
      <c r="AQ1139" s="80" t="n"/>
      <c r="AR1139" s="80" t="n"/>
    </row>
    <row r="1140">
      <c r="D1140" s="80" t="n"/>
      <c r="E1140" s="80" t="n"/>
      <c r="F1140" s="80" t="n"/>
      <c r="G1140" s="80" t="n"/>
      <c r="H1140" s="80" t="n"/>
      <c r="I1140" s="80" t="n"/>
      <c r="J1140" s="80" t="n"/>
      <c r="K1140" s="80" t="n"/>
      <c r="L1140" s="80" t="n"/>
      <c r="M1140" s="80" t="n"/>
      <c r="N1140" s="80" t="n"/>
      <c r="O1140" s="80" t="n"/>
      <c r="P1140" s="80" t="n"/>
      <c r="Q1140" s="80" t="n"/>
      <c r="R1140" s="80" t="n"/>
      <c r="S1140" s="80" t="n"/>
      <c r="T1140" s="80" t="n"/>
      <c r="U1140" s="80" t="n"/>
      <c r="V1140" s="80" t="n"/>
      <c r="W1140" s="80" t="n"/>
      <c r="X1140" s="80" t="n"/>
      <c r="Y1140" s="80" t="n"/>
      <c r="Z1140" s="80" t="n"/>
      <c r="AA1140" s="80" t="n"/>
      <c r="AB1140" s="80" t="n"/>
      <c r="AC1140" s="80" t="n"/>
      <c r="AD1140" s="80" t="n"/>
      <c r="AE1140" s="80" t="n"/>
      <c r="AF1140" s="80" t="n"/>
      <c r="AG1140" s="80" t="n"/>
      <c r="AH1140" s="80" t="n"/>
      <c r="AI1140" s="80" t="n"/>
      <c r="AJ1140" s="80" t="n"/>
      <c r="AK1140" s="80" t="n"/>
      <c r="AL1140" s="80" t="n"/>
      <c r="AM1140" s="80" t="n"/>
      <c r="AN1140" s="80" t="n"/>
      <c r="AO1140" s="80" t="n"/>
      <c r="AP1140" s="80" t="n"/>
      <c r="AQ1140" s="80" t="n"/>
      <c r="AR1140" s="80" t="n"/>
    </row>
    <row r="1141">
      <c r="A1141" s="2">
        <f>IF($A1134="","","   projections")</f>
        <v/>
      </c>
      <c r="B1141" s="41">
        <f>IF($A1134="",0,COUNT($E1142:$AR1142))</f>
        <v/>
      </c>
      <c r="C1141" s="81">
        <f>IF($B1141=0,0,MAX($E1142:$AR1142))</f>
        <v/>
      </c>
      <c r="D1141" s="82">
        <f>BDS($A1134,'Field Check'!$C$6,"headers=y","startcol=1","endcol=7","dir=h")</f>
        <v/>
      </c>
      <c r="E1141" s="83" t="n"/>
      <c r="F1141" s="83" t="n"/>
      <c r="G1141" s="83" t="n"/>
      <c r="H1141" s="83" t="n"/>
      <c r="I1141" s="83" t="n"/>
      <c r="J1141" s="83" t="n"/>
      <c r="K1141" s="83" t="n"/>
      <c r="L1141" s="83" t="n"/>
      <c r="M1141" s="83" t="n"/>
      <c r="N1141" s="83" t="n"/>
      <c r="O1141" s="83" t="n"/>
      <c r="P1141" s="83" t="n"/>
      <c r="Q1141" s="83" t="n"/>
      <c r="R1141" s="83" t="n"/>
      <c r="S1141" s="83" t="n"/>
      <c r="T1141" s="83" t="n"/>
      <c r="U1141" s="83" t="n"/>
      <c r="V1141" s="83" t="n"/>
      <c r="W1141" s="83" t="n"/>
      <c r="X1141" s="83" t="n"/>
      <c r="Y1141" s="83" t="n"/>
      <c r="Z1141" s="83" t="n"/>
      <c r="AA1141" s="83" t="n"/>
      <c r="AB1141" s="83" t="n"/>
      <c r="AC1141" s="83" t="n"/>
      <c r="AD1141" s="83" t="n"/>
      <c r="AE1141" s="83" t="n"/>
      <c r="AF1141" s="83" t="n"/>
      <c r="AG1141" s="83" t="n"/>
      <c r="AH1141" s="83" t="n"/>
      <c r="AI1141" s="83" t="n"/>
      <c r="AJ1141" s="83" t="n"/>
      <c r="AK1141" s="83" t="n"/>
      <c r="AL1141" s="83" t="n"/>
      <c r="AM1141" s="83" t="n"/>
      <c r="AN1141" s="83" t="n"/>
      <c r="AO1141" s="83" t="n"/>
      <c r="AP1141" s="83" t="n"/>
      <c r="AQ1141" s="83" t="n"/>
      <c r="AR1141" s="83" t="n"/>
    </row>
    <row r="1142">
      <c r="D1142" s="83" t="n"/>
      <c r="E1142" s="83" t="n"/>
      <c r="F1142" s="83" t="n"/>
      <c r="G1142" s="83" t="n"/>
      <c r="H1142" s="83" t="n"/>
      <c r="I1142" s="83" t="n"/>
      <c r="J1142" s="83" t="n"/>
      <c r="K1142" s="83" t="n"/>
      <c r="L1142" s="83" t="n"/>
      <c r="M1142" s="83" t="n"/>
      <c r="N1142" s="83" t="n"/>
      <c r="O1142" s="83" t="n"/>
      <c r="P1142" s="83" t="n"/>
      <c r="Q1142" s="83" t="n"/>
      <c r="R1142" s="83" t="n"/>
      <c r="S1142" s="83" t="n"/>
      <c r="T1142" s="83" t="n"/>
      <c r="U1142" s="83" t="n"/>
      <c r="V1142" s="83" t="n"/>
      <c r="W1142" s="83" t="n"/>
      <c r="X1142" s="83" t="n"/>
      <c r="Y1142" s="83" t="n"/>
      <c r="Z1142" s="83" t="n"/>
      <c r="AA1142" s="83" t="n"/>
      <c r="AB1142" s="83" t="n"/>
      <c r="AC1142" s="83" t="n"/>
      <c r="AD1142" s="83" t="n"/>
      <c r="AE1142" s="83" t="n"/>
      <c r="AF1142" s="83" t="n"/>
      <c r="AG1142" s="83" t="n"/>
      <c r="AH1142" s="83" t="n"/>
      <c r="AI1142" s="83" t="n"/>
      <c r="AJ1142" s="83" t="n"/>
      <c r="AK1142" s="83" t="n"/>
      <c r="AL1142" s="83" t="n"/>
      <c r="AM1142" s="83" t="n"/>
      <c r="AN1142" s="83" t="n"/>
      <c r="AO1142" s="83" t="n"/>
      <c r="AP1142" s="83" t="n"/>
      <c r="AQ1142" s="83" t="n"/>
      <c r="AR1142" s="83" t="n"/>
    </row>
    <row r="1143">
      <c r="D1143" s="84" t="n"/>
      <c r="E1143" s="84" t="n"/>
      <c r="F1143" s="84" t="n"/>
      <c r="G1143" s="84" t="n"/>
      <c r="H1143" s="84" t="n"/>
      <c r="I1143" s="84" t="n"/>
      <c r="J1143" s="84" t="n"/>
      <c r="K1143" s="84" t="n"/>
      <c r="L1143" s="84" t="n"/>
      <c r="M1143" s="84" t="n"/>
      <c r="N1143" s="84" t="n"/>
      <c r="O1143" s="84" t="n"/>
      <c r="P1143" s="84" t="n"/>
      <c r="Q1143" s="84" t="n"/>
      <c r="R1143" s="84" t="n"/>
      <c r="S1143" s="84" t="n"/>
      <c r="T1143" s="84" t="n"/>
      <c r="U1143" s="84" t="n"/>
      <c r="V1143" s="84" t="n"/>
      <c r="W1143" s="84" t="n"/>
      <c r="X1143" s="84" t="n"/>
      <c r="Y1143" s="84" t="n"/>
      <c r="Z1143" s="84" t="n"/>
      <c r="AA1143" s="84" t="n"/>
      <c r="AB1143" s="84" t="n"/>
      <c r="AC1143" s="84" t="n"/>
      <c r="AD1143" s="84" t="n"/>
      <c r="AE1143" s="84" t="n"/>
      <c r="AF1143" s="84" t="n"/>
      <c r="AG1143" s="84" t="n"/>
      <c r="AH1143" s="84" t="n"/>
      <c r="AI1143" s="84" t="n"/>
      <c r="AJ1143" s="84" t="n"/>
      <c r="AK1143" s="84" t="n"/>
      <c r="AL1143" s="84" t="n"/>
      <c r="AM1143" s="84" t="n"/>
      <c r="AN1143" s="84" t="n"/>
      <c r="AO1143" s="84" t="n"/>
      <c r="AP1143" s="84" t="n"/>
      <c r="AQ1143" s="84" t="n"/>
      <c r="AR1143" s="84" t="n"/>
    </row>
    <row r="1144">
      <c r="D1144" s="80" t="n"/>
      <c r="E1144" s="80" t="n"/>
      <c r="F1144" s="80" t="n"/>
      <c r="G1144" s="80" t="n"/>
      <c r="H1144" s="80" t="n"/>
      <c r="I1144" s="80" t="n"/>
      <c r="J1144" s="80" t="n"/>
      <c r="K1144" s="80" t="n"/>
      <c r="L1144" s="80" t="n"/>
      <c r="M1144" s="80" t="n"/>
      <c r="N1144" s="80" t="n"/>
      <c r="O1144" s="80" t="n"/>
      <c r="P1144" s="80" t="n"/>
      <c r="Q1144" s="80" t="n"/>
      <c r="R1144" s="80" t="n"/>
      <c r="S1144" s="80" t="n"/>
      <c r="T1144" s="80" t="n"/>
      <c r="U1144" s="80" t="n"/>
      <c r="V1144" s="80" t="n"/>
      <c r="W1144" s="80" t="n"/>
      <c r="X1144" s="80" t="n"/>
      <c r="Y1144" s="80" t="n"/>
      <c r="Z1144" s="80" t="n"/>
      <c r="AA1144" s="80" t="n"/>
      <c r="AB1144" s="80" t="n"/>
      <c r="AC1144" s="80" t="n"/>
      <c r="AD1144" s="80" t="n"/>
      <c r="AE1144" s="80" t="n"/>
      <c r="AF1144" s="80" t="n"/>
      <c r="AG1144" s="80" t="n"/>
      <c r="AH1144" s="80" t="n"/>
      <c r="AI1144" s="80" t="n"/>
      <c r="AJ1144" s="80" t="n"/>
      <c r="AK1144" s="80" t="n"/>
      <c r="AL1144" s="80" t="n"/>
      <c r="AM1144" s="80" t="n"/>
      <c r="AN1144" s="80" t="n"/>
      <c r="AO1144" s="80" t="n"/>
      <c r="AP1144" s="80" t="n"/>
      <c r="AQ1144" s="80" t="n"/>
      <c r="AR1144" s="80" t="n"/>
    </row>
    <row r="1145">
      <c r="D1145" s="80" t="n"/>
      <c r="E1145" s="80" t="n"/>
      <c r="F1145" s="80" t="n"/>
      <c r="G1145" s="80" t="n"/>
      <c r="H1145" s="80" t="n"/>
      <c r="I1145" s="80" t="n"/>
      <c r="J1145" s="80" t="n"/>
      <c r="K1145" s="80" t="n"/>
      <c r="L1145" s="80" t="n"/>
      <c r="M1145" s="80" t="n"/>
      <c r="N1145" s="80" t="n"/>
      <c r="O1145" s="80" t="n"/>
      <c r="P1145" s="80" t="n"/>
      <c r="Q1145" s="80" t="n"/>
      <c r="R1145" s="80" t="n"/>
      <c r="S1145" s="80" t="n"/>
      <c r="T1145" s="80" t="n"/>
      <c r="U1145" s="80" t="n"/>
      <c r="V1145" s="80" t="n"/>
      <c r="W1145" s="80" t="n"/>
      <c r="X1145" s="80" t="n"/>
      <c r="Y1145" s="80" t="n"/>
      <c r="Z1145" s="80" t="n"/>
      <c r="AA1145" s="80" t="n"/>
      <c r="AB1145" s="80" t="n"/>
      <c r="AC1145" s="80" t="n"/>
      <c r="AD1145" s="80" t="n"/>
      <c r="AE1145" s="80" t="n"/>
      <c r="AF1145" s="80" t="n"/>
      <c r="AG1145" s="80" t="n"/>
      <c r="AH1145" s="80" t="n"/>
      <c r="AI1145" s="80" t="n"/>
      <c r="AJ1145" s="80" t="n"/>
      <c r="AK1145" s="80" t="n"/>
      <c r="AL1145" s="80" t="n"/>
      <c r="AM1145" s="80" t="n"/>
      <c r="AN1145" s="80" t="n"/>
      <c r="AO1145" s="80" t="n"/>
      <c r="AP1145" s="80" t="n"/>
      <c r="AQ1145" s="80" t="n"/>
      <c r="AR1145" s="80" t="n"/>
    </row>
    <row r="1146">
      <c r="D1146" s="80" t="n"/>
      <c r="E1146" s="80" t="n"/>
      <c r="F1146" s="80" t="n"/>
      <c r="G1146" s="80" t="n"/>
      <c r="H1146" s="80" t="n"/>
      <c r="I1146" s="80" t="n"/>
      <c r="J1146" s="80" t="n"/>
      <c r="K1146" s="80" t="n"/>
      <c r="L1146" s="80" t="n"/>
      <c r="M1146" s="80" t="n"/>
      <c r="N1146" s="80" t="n"/>
      <c r="O1146" s="80" t="n"/>
      <c r="P1146" s="80" t="n"/>
      <c r="Q1146" s="80" t="n"/>
      <c r="R1146" s="80" t="n"/>
      <c r="S1146" s="80" t="n"/>
      <c r="T1146" s="80" t="n"/>
      <c r="U1146" s="80" t="n"/>
      <c r="V1146" s="80" t="n"/>
      <c r="W1146" s="80" t="n"/>
      <c r="X1146" s="80" t="n"/>
      <c r="Y1146" s="80" t="n"/>
      <c r="Z1146" s="80" t="n"/>
      <c r="AA1146" s="80" t="n"/>
      <c r="AB1146" s="80" t="n"/>
      <c r="AC1146" s="80" t="n"/>
      <c r="AD1146" s="80" t="n"/>
      <c r="AE1146" s="80" t="n"/>
      <c r="AF1146" s="80" t="n"/>
      <c r="AG1146" s="80" t="n"/>
      <c r="AH1146" s="80" t="n"/>
      <c r="AI1146" s="80" t="n"/>
      <c r="AJ1146" s="80" t="n"/>
      <c r="AK1146" s="80" t="n"/>
      <c r="AL1146" s="80" t="n"/>
      <c r="AM1146" s="80" t="n"/>
      <c r="AN1146" s="80" t="n"/>
      <c r="AO1146" s="80" t="n"/>
      <c r="AP1146" s="80" t="n"/>
      <c r="AQ1146" s="80" t="n"/>
      <c r="AR1146" s="80" t="n"/>
    </row>
    <row r="1147">
      <c r="D1147" s="80" t="n"/>
      <c r="E1147" s="80" t="n"/>
      <c r="F1147" s="80" t="n"/>
      <c r="G1147" s="80" t="n"/>
      <c r="H1147" s="80" t="n"/>
      <c r="I1147" s="80" t="n"/>
      <c r="J1147" s="80" t="n"/>
      <c r="K1147" s="80" t="n"/>
      <c r="L1147" s="80" t="n"/>
      <c r="M1147" s="80" t="n"/>
      <c r="N1147" s="80" t="n"/>
      <c r="O1147" s="80" t="n"/>
      <c r="P1147" s="80" t="n"/>
      <c r="Q1147" s="80" t="n"/>
      <c r="R1147" s="80" t="n"/>
      <c r="S1147" s="80" t="n"/>
      <c r="T1147" s="80" t="n"/>
      <c r="U1147" s="80" t="n"/>
      <c r="V1147" s="80" t="n"/>
      <c r="W1147" s="80" t="n"/>
      <c r="X1147" s="80" t="n"/>
      <c r="Y1147" s="80" t="n"/>
      <c r="Z1147" s="80" t="n"/>
      <c r="AA1147" s="80" t="n"/>
      <c r="AB1147" s="80" t="n"/>
      <c r="AC1147" s="80" t="n"/>
      <c r="AD1147" s="80" t="n"/>
      <c r="AE1147" s="80" t="n"/>
      <c r="AF1147" s="80" t="n"/>
      <c r="AG1147" s="80" t="n"/>
      <c r="AH1147" s="80" t="n"/>
      <c r="AI1147" s="80" t="n"/>
      <c r="AJ1147" s="80" t="n"/>
      <c r="AK1147" s="80" t="n"/>
      <c r="AL1147" s="80" t="n"/>
      <c r="AM1147" s="80" t="n"/>
      <c r="AN1147" s="80" t="n"/>
      <c r="AO1147" s="80" t="n"/>
      <c r="AP1147" s="80" t="n"/>
      <c r="AQ1147" s="80" t="n"/>
      <c r="AR1147" s="80" t="n"/>
    </row>
    <row r="1149">
      <c r="A1149" s="6">
        <f>IF(HSI!$C$83="","",HSI!$C$83)</f>
        <v/>
      </c>
      <c r="B1149" s="41">
        <f>IF($A1149="",0,COUNT($E1150:$AR1150))</f>
        <v/>
      </c>
      <c r="C1149" s="81">
        <f>IF($B1149=0,0,MAX($E1150:$AR1150))</f>
        <v/>
      </c>
      <c r="D1149" s="82">
        <f>BDS($A1149,'Field Check'!$C$7,"headers=y","startcol=1","endcol=7","dir=h","DVD_START_DT",Summary!$C$18,"DVD_END_DT",Summary!$D$18)</f>
        <v/>
      </c>
      <c r="E1149" s="83" t="n"/>
      <c r="F1149" s="83" t="n"/>
      <c r="G1149" s="83" t="n"/>
      <c r="H1149" s="83" t="n"/>
      <c r="I1149" s="83" t="n"/>
      <c r="J1149" s="83" t="n"/>
      <c r="K1149" s="83" t="n"/>
      <c r="L1149" s="83" t="n"/>
      <c r="M1149" s="83" t="n"/>
      <c r="N1149" s="83" t="n"/>
      <c r="O1149" s="83" t="n"/>
      <c r="P1149" s="83" t="n"/>
      <c r="Q1149" s="83" t="n"/>
      <c r="R1149" s="83" t="n"/>
      <c r="S1149" s="83" t="n"/>
      <c r="T1149" s="83" t="n"/>
      <c r="U1149" s="83" t="n"/>
      <c r="V1149" s="83" t="n"/>
      <c r="W1149" s="83" t="n"/>
      <c r="X1149" s="83" t="n"/>
      <c r="Y1149" s="83" t="n"/>
      <c r="Z1149" s="83" t="n"/>
      <c r="AA1149" s="83" t="n"/>
      <c r="AB1149" s="83" t="n"/>
      <c r="AC1149" s="83" t="n"/>
      <c r="AD1149" s="83" t="n"/>
      <c r="AE1149" s="83" t="n"/>
      <c r="AF1149" s="83" t="n"/>
      <c r="AG1149" s="83" t="n"/>
      <c r="AH1149" s="83" t="n"/>
      <c r="AI1149" s="83" t="n"/>
      <c r="AJ1149" s="83" t="n"/>
      <c r="AK1149" s="83" t="n"/>
      <c r="AL1149" s="83" t="n"/>
      <c r="AM1149" s="83" t="n"/>
      <c r="AN1149" s="83" t="n"/>
      <c r="AO1149" s="83" t="n"/>
      <c r="AP1149" s="83" t="n"/>
      <c r="AQ1149" s="83" t="n"/>
      <c r="AR1149" s="83" t="n"/>
    </row>
    <row r="1150">
      <c r="D1150" s="83" t="n"/>
      <c r="E1150" s="83" t="n"/>
      <c r="F1150" s="83" t="n"/>
      <c r="G1150" s="83" t="n"/>
      <c r="H1150" s="83" t="n"/>
      <c r="I1150" s="83" t="n"/>
      <c r="J1150" s="83" t="n"/>
      <c r="K1150" s="83" t="n"/>
      <c r="L1150" s="83" t="n"/>
      <c r="M1150" s="83" t="n"/>
      <c r="N1150" s="83" t="n"/>
      <c r="O1150" s="83" t="n"/>
      <c r="P1150" s="83" t="n"/>
      <c r="Q1150" s="83" t="n"/>
      <c r="R1150" s="83" t="n"/>
      <c r="S1150" s="83" t="n"/>
      <c r="T1150" s="83" t="n"/>
      <c r="U1150" s="83" t="n"/>
      <c r="V1150" s="83" t="n"/>
      <c r="W1150" s="83" t="n"/>
      <c r="X1150" s="83" t="n"/>
      <c r="Y1150" s="83" t="n"/>
      <c r="Z1150" s="83" t="n"/>
      <c r="AA1150" s="83" t="n"/>
      <c r="AB1150" s="83" t="n"/>
      <c r="AC1150" s="83" t="n"/>
      <c r="AD1150" s="83" t="n"/>
      <c r="AE1150" s="83" t="n"/>
      <c r="AF1150" s="83" t="n"/>
      <c r="AG1150" s="83" t="n"/>
      <c r="AH1150" s="83" t="n"/>
      <c r="AI1150" s="83" t="n"/>
      <c r="AJ1150" s="83" t="n"/>
      <c r="AK1150" s="83" t="n"/>
      <c r="AL1150" s="83" t="n"/>
      <c r="AM1150" s="83" t="n"/>
      <c r="AN1150" s="83" t="n"/>
      <c r="AO1150" s="83" t="n"/>
      <c r="AP1150" s="83" t="n"/>
      <c r="AQ1150" s="83" t="n"/>
      <c r="AR1150" s="83" t="n"/>
    </row>
    <row r="1151">
      <c r="D1151" s="84" t="n"/>
      <c r="E1151" s="84" t="n"/>
      <c r="F1151" s="84" t="n"/>
      <c r="G1151" s="84" t="n"/>
      <c r="H1151" s="84" t="n"/>
      <c r="I1151" s="84" t="n"/>
      <c r="J1151" s="84" t="n"/>
      <c r="K1151" s="84" t="n"/>
      <c r="L1151" s="84" t="n"/>
      <c r="M1151" s="84" t="n"/>
      <c r="N1151" s="84" t="n"/>
      <c r="O1151" s="84" t="n"/>
      <c r="P1151" s="84" t="n"/>
      <c r="Q1151" s="84" t="n"/>
      <c r="R1151" s="84" t="n"/>
      <c r="S1151" s="84" t="n"/>
      <c r="T1151" s="84" t="n"/>
      <c r="U1151" s="84" t="n"/>
      <c r="V1151" s="84" t="n"/>
      <c r="W1151" s="84" t="n"/>
      <c r="X1151" s="84" t="n"/>
      <c r="Y1151" s="84" t="n"/>
      <c r="Z1151" s="84" t="n"/>
      <c r="AA1151" s="84" t="n"/>
      <c r="AB1151" s="84" t="n"/>
      <c r="AC1151" s="84" t="n"/>
      <c r="AD1151" s="84" t="n"/>
      <c r="AE1151" s="84" t="n"/>
      <c r="AF1151" s="84" t="n"/>
      <c r="AG1151" s="84" t="n"/>
      <c r="AH1151" s="84" t="n"/>
      <c r="AI1151" s="84" t="n"/>
      <c r="AJ1151" s="84" t="n"/>
      <c r="AK1151" s="84" t="n"/>
      <c r="AL1151" s="84" t="n"/>
      <c r="AM1151" s="84" t="n"/>
      <c r="AN1151" s="84" t="n"/>
      <c r="AO1151" s="84" t="n"/>
      <c r="AP1151" s="84" t="n"/>
      <c r="AQ1151" s="84" t="n"/>
      <c r="AR1151" s="84" t="n"/>
    </row>
    <row r="1152">
      <c r="D1152" s="80" t="n"/>
      <c r="E1152" s="80" t="n"/>
      <c r="F1152" s="80" t="n"/>
      <c r="G1152" s="80" t="n"/>
      <c r="H1152" s="80" t="n"/>
      <c r="I1152" s="80" t="n"/>
      <c r="J1152" s="80" t="n"/>
      <c r="K1152" s="80" t="n"/>
      <c r="L1152" s="80" t="n"/>
      <c r="M1152" s="80" t="n"/>
      <c r="N1152" s="80" t="n"/>
      <c r="O1152" s="80" t="n"/>
      <c r="P1152" s="80" t="n"/>
      <c r="Q1152" s="80" t="n"/>
      <c r="R1152" s="80" t="n"/>
      <c r="S1152" s="80" t="n"/>
      <c r="T1152" s="80" t="n"/>
      <c r="U1152" s="80" t="n"/>
      <c r="V1152" s="80" t="n"/>
      <c r="W1152" s="80" t="n"/>
      <c r="X1152" s="80" t="n"/>
      <c r="Y1152" s="80" t="n"/>
      <c r="Z1152" s="80" t="n"/>
      <c r="AA1152" s="80" t="n"/>
      <c r="AB1152" s="80" t="n"/>
      <c r="AC1152" s="80" t="n"/>
      <c r="AD1152" s="80" t="n"/>
      <c r="AE1152" s="80" t="n"/>
      <c r="AF1152" s="80" t="n"/>
      <c r="AG1152" s="80" t="n"/>
      <c r="AH1152" s="80" t="n"/>
      <c r="AI1152" s="80" t="n"/>
      <c r="AJ1152" s="80" t="n"/>
      <c r="AK1152" s="80" t="n"/>
      <c r="AL1152" s="80" t="n"/>
      <c r="AM1152" s="80" t="n"/>
      <c r="AN1152" s="80" t="n"/>
      <c r="AO1152" s="80" t="n"/>
      <c r="AP1152" s="80" t="n"/>
      <c r="AQ1152" s="80" t="n"/>
      <c r="AR1152" s="80" t="n"/>
    </row>
    <row r="1153">
      <c r="D1153" s="80" t="n"/>
      <c r="E1153" s="80" t="n"/>
      <c r="F1153" s="80" t="n"/>
      <c r="G1153" s="80" t="n"/>
      <c r="H1153" s="80" t="n"/>
      <c r="I1153" s="80" t="n"/>
      <c r="J1153" s="80" t="n"/>
      <c r="K1153" s="80" t="n"/>
      <c r="L1153" s="80" t="n"/>
      <c r="M1153" s="80" t="n"/>
      <c r="N1153" s="80" t="n"/>
      <c r="O1153" s="80" t="n"/>
      <c r="P1153" s="80" t="n"/>
      <c r="Q1153" s="80" t="n"/>
      <c r="R1153" s="80" t="n"/>
      <c r="S1153" s="80" t="n"/>
      <c r="T1153" s="80" t="n"/>
      <c r="U1153" s="80" t="n"/>
      <c r="V1153" s="80" t="n"/>
      <c r="W1153" s="80" t="n"/>
      <c r="X1153" s="80" t="n"/>
      <c r="Y1153" s="80" t="n"/>
      <c r="Z1153" s="80" t="n"/>
      <c r="AA1153" s="80" t="n"/>
      <c r="AB1153" s="80" t="n"/>
      <c r="AC1153" s="80" t="n"/>
      <c r="AD1153" s="80" t="n"/>
      <c r="AE1153" s="80" t="n"/>
      <c r="AF1153" s="80" t="n"/>
      <c r="AG1153" s="80" t="n"/>
      <c r="AH1153" s="80" t="n"/>
      <c r="AI1153" s="80" t="n"/>
      <c r="AJ1153" s="80" t="n"/>
      <c r="AK1153" s="80" t="n"/>
      <c r="AL1153" s="80" t="n"/>
      <c r="AM1153" s="80" t="n"/>
      <c r="AN1153" s="80" t="n"/>
      <c r="AO1153" s="80" t="n"/>
      <c r="AP1153" s="80" t="n"/>
      <c r="AQ1153" s="80" t="n"/>
      <c r="AR1153" s="80" t="n"/>
    </row>
    <row r="1154">
      <c r="D1154" s="80" t="n"/>
      <c r="E1154" s="80" t="n"/>
      <c r="F1154" s="80" t="n"/>
      <c r="G1154" s="80" t="n"/>
      <c r="H1154" s="80" t="n"/>
      <c r="I1154" s="80" t="n"/>
      <c r="J1154" s="80" t="n"/>
      <c r="K1154" s="80" t="n"/>
      <c r="L1154" s="80" t="n"/>
      <c r="M1154" s="80" t="n"/>
      <c r="N1154" s="80" t="n"/>
      <c r="O1154" s="80" t="n"/>
      <c r="P1154" s="80" t="n"/>
      <c r="Q1154" s="80" t="n"/>
      <c r="R1154" s="80" t="n"/>
      <c r="S1154" s="80" t="n"/>
      <c r="T1154" s="80" t="n"/>
      <c r="U1154" s="80" t="n"/>
      <c r="V1154" s="80" t="n"/>
      <c r="W1154" s="80" t="n"/>
      <c r="X1154" s="80" t="n"/>
      <c r="Y1154" s="80" t="n"/>
      <c r="Z1154" s="80" t="n"/>
      <c r="AA1154" s="80" t="n"/>
      <c r="AB1154" s="80" t="n"/>
      <c r="AC1154" s="80" t="n"/>
      <c r="AD1154" s="80" t="n"/>
      <c r="AE1154" s="80" t="n"/>
      <c r="AF1154" s="80" t="n"/>
      <c r="AG1154" s="80" t="n"/>
      <c r="AH1154" s="80" t="n"/>
      <c r="AI1154" s="80" t="n"/>
      <c r="AJ1154" s="80" t="n"/>
      <c r="AK1154" s="80" t="n"/>
      <c r="AL1154" s="80" t="n"/>
      <c r="AM1154" s="80" t="n"/>
      <c r="AN1154" s="80" t="n"/>
      <c r="AO1154" s="80" t="n"/>
      <c r="AP1154" s="80" t="n"/>
      <c r="AQ1154" s="80" t="n"/>
      <c r="AR1154" s="80" t="n"/>
    </row>
    <row r="1155">
      <c r="D1155" s="80" t="n"/>
      <c r="E1155" s="80" t="n"/>
      <c r="F1155" s="80" t="n"/>
      <c r="G1155" s="80" t="n"/>
      <c r="H1155" s="80" t="n"/>
      <c r="I1155" s="80" t="n"/>
      <c r="J1155" s="80" t="n"/>
      <c r="K1155" s="80" t="n"/>
      <c r="L1155" s="80" t="n"/>
      <c r="M1155" s="80" t="n"/>
      <c r="N1155" s="80" t="n"/>
      <c r="O1155" s="80" t="n"/>
      <c r="P1155" s="80" t="n"/>
      <c r="Q1155" s="80" t="n"/>
      <c r="R1155" s="80" t="n"/>
      <c r="S1155" s="80" t="n"/>
      <c r="T1155" s="80" t="n"/>
      <c r="U1155" s="80" t="n"/>
      <c r="V1155" s="80" t="n"/>
      <c r="W1155" s="80" t="n"/>
      <c r="X1155" s="80" t="n"/>
      <c r="Y1155" s="80" t="n"/>
      <c r="Z1155" s="80" t="n"/>
      <c r="AA1155" s="80" t="n"/>
      <c r="AB1155" s="80" t="n"/>
      <c r="AC1155" s="80" t="n"/>
      <c r="AD1155" s="80" t="n"/>
      <c r="AE1155" s="80" t="n"/>
      <c r="AF1155" s="80" t="n"/>
      <c r="AG1155" s="80" t="n"/>
      <c r="AH1155" s="80" t="n"/>
      <c r="AI1155" s="80" t="n"/>
      <c r="AJ1155" s="80" t="n"/>
      <c r="AK1155" s="80" t="n"/>
      <c r="AL1155" s="80" t="n"/>
      <c r="AM1155" s="80" t="n"/>
      <c r="AN1155" s="80" t="n"/>
      <c r="AO1155" s="80" t="n"/>
      <c r="AP1155" s="80" t="n"/>
      <c r="AQ1155" s="80" t="n"/>
      <c r="AR1155" s="80" t="n"/>
    </row>
    <row r="1156">
      <c r="A1156" s="2">
        <f>IF($A1149="","","   projections")</f>
        <v/>
      </c>
      <c r="B1156" s="41">
        <f>IF($A1149="",0,COUNT($E1157:$AR1157))</f>
        <v/>
      </c>
      <c r="C1156" s="81">
        <f>IF($B1156=0,0,MAX($E1157:$AR1157))</f>
        <v/>
      </c>
      <c r="D1156" s="82">
        <f>BDS($A1149,'Field Check'!$C$6,"headers=y","startcol=1","endcol=7","dir=h")</f>
        <v/>
      </c>
      <c r="E1156" s="83" t="n"/>
      <c r="F1156" s="83" t="n"/>
      <c r="G1156" s="83" t="n"/>
      <c r="H1156" s="83" t="n"/>
      <c r="I1156" s="83" t="n"/>
      <c r="J1156" s="83" t="n"/>
      <c r="K1156" s="83" t="n"/>
      <c r="L1156" s="83" t="n"/>
      <c r="M1156" s="83" t="n"/>
      <c r="N1156" s="83" t="n"/>
      <c r="O1156" s="83" t="n"/>
      <c r="P1156" s="83" t="n"/>
      <c r="Q1156" s="83" t="n"/>
      <c r="R1156" s="83" t="n"/>
      <c r="S1156" s="83" t="n"/>
      <c r="T1156" s="83" t="n"/>
      <c r="U1156" s="83" t="n"/>
      <c r="V1156" s="83" t="n"/>
      <c r="W1156" s="83" t="n"/>
      <c r="X1156" s="83" t="n"/>
      <c r="Y1156" s="83" t="n"/>
      <c r="Z1156" s="83" t="n"/>
      <c r="AA1156" s="83" t="n"/>
      <c r="AB1156" s="83" t="n"/>
      <c r="AC1156" s="83" t="n"/>
      <c r="AD1156" s="83" t="n"/>
      <c r="AE1156" s="83" t="n"/>
      <c r="AF1156" s="83" t="n"/>
      <c r="AG1156" s="83" t="n"/>
      <c r="AH1156" s="83" t="n"/>
      <c r="AI1156" s="83" t="n"/>
      <c r="AJ1156" s="83" t="n"/>
      <c r="AK1156" s="83" t="n"/>
      <c r="AL1156" s="83" t="n"/>
      <c r="AM1156" s="83" t="n"/>
      <c r="AN1156" s="83" t="n"/>
      <c r="AO1156" s="83" t="n"/>
      <c r="AP1156" s="83" t="n"/>
      <c r="AQ1156" s="83" t="n"/>
      <c r="AR1156" s="83" t="n"/>
    </row>
    <row r="1157">
      <c r="D1157" s="83" t="n"/>
      <c r="E1157" s="83" t="n"/>
      <c r="F1157" s="83" t="n"/>
      <c r="G1157" s="83" t="n"/>
      <c r="H1157" s="83" t="n"/>
      <c r="I1157" s="83" t="n"/>
      <c r="J1157" s="83" t="n"/>
      <c r="K1157" s="83" t="n"/>
      <c r="L1157" s="83" t="n"/>
      <c r="M1157" s="83" t="n"/>
      <c r="N1157" s="83" t="n"/>
      <c r="O1157" s="83" t="n"/>
      <c r="P1157" s="83" t="n"/>
      <c r="Q1157" s="83" t="n"/>
      <c r="R1157" s="83" t="n"/>
      <c r="S1157" s="83" t="n"/>
      <c r="T1157" s="83" t="n"/>
      <c r="U1157" s="83" t="n"/>
      <c r="V1157" s="83" t="n"/>
      <c r="W1157" s="83" t="n"/>
      <c r="X1157" s="83" t="n"/>
      <c r="Y1157" s="83" t="n"/>
      <c r="Z1157" s="83" t="n"/>
      <c r="AA1157" s="83" t="n"/>
      <c r="AB1157" s="83" t="n"/>
      <c r="AC1157" s="83" t="n"/>
      <c r="AD1157" s="83" t="n"/>
      <c r="AE1157" s="83" t="n"/>
      <c r="AF1157" s="83" t="n"/>
      <c r="AG1157" s="83" t="n"/>
      <c r="AH1157" s="83" t="n"/>
      <c r="AI1157" s="83" t="n"/>
      <c r="AJ1157" s="83" t="n"/>
      <c r="AK1157" s="83" t="n"/>
      <c r="AL1157" s="83" t="n"/>
      <c r="AM1157" s="83" t="n"/>
      <c r="AN1157" s="83" t="n"/>
      <c r="AO1157" s="83" t="n"/>
      <c r="AP1157" s="83" t="n"/>
      <c r="AQ1157" s="83" t="n"/>
      <c r="AR1157" s="83" t="n"/>
    </row>
    <row r="1158">
      <c r="D1158" s="84" t="n"/>
      <c r="E1158" s="84" t="n"/>
      <c r="F1158" s="84" t="n"/>
      <c r="G1158" s="84" t="n"/>
      <c r="H1158" s="84" t="n"/>
      <c r="I1158" s="84" t="n"/>
      <c r="J1158" s="84" t="n"/>
      <c r="K1158" s="84" t="n"/>
      <c r="L1158" s="84" t="n"/>
      <c r="M1158" s="84" t="n"/>
      <c r="N1158" s="84" t="n"/>
      <c r="O1158" s="84" t="n"/>
      <c r="P1158" s="84" t="n"/>
      <c r="Q1158" s="84" t="n"/>
      <c r="R1158" s="84" t="n"/>
      <c r="S1158" s="84" t="n"/>
      <c r="T1158" s="84" t="n"/>
      <c r="U1158" s="84" t="n"/>
      <c r="V1158" s="84" t="n"/>
      <c r="W1158" s="84" t="n"/>
      <c r="X1158" s="84" t="n"/>
      <c r="Y1158" s="84" t="n"/>
      <c r="Z1158" s="84" t="n"/>
      <c r="AA1158" s="84" t="n"/>
      <c r="AB1158" s="84" t="n"/>
      <c r="AC1158" s="84" t="n"/>
      <c r="AD1158" s="84" t="n"/>
      <c r="AE1158" s="84" t="n"/>
      <c r="AF1158" s="84" t="n"/>
      <c r="AG1158" s="84" t="n"/>
      <c r="AH1158" s="84" t="n"/>
      <c r="AI1158" s="84" t="n"/>
      <c r="AJ1158" s="84" t="n"/>
      <c r="AK1158" s="84" t="n"/>
      <c r="AL1158" s="84" t="n"/>
      <c r="AM1158" s="84" t="n"/>
      <c r="AN1158" s="84" t="n"/>
      <c r="AO1158" s="84" t="n"/>
      <c r="AP1158" s="84" t="n"/>
      <c r="AQ1158" s="84" t="n"/>
      <c r="AR1158" s="84" t="n"/>
    </row>
    <row r="1159">
      <c r="D1159" s="80" t="n"/>
      <c r="E1159" s="80" t="n"/>
      <c r="F1159" s="80" t="n"/>
      <c r="G1159" s="80" t="n"/>
      <c r="H1159" s="80" t="n"/>
      <c r="I1159" s="80" t="n"/>
      <c r="J1159" s="80" t="n"/>
      <c r="K1159" s="80" t="n"/>
      <c r="L1159" s="80" t="n"/>
      <c r="M1159" s="80" t="n"/>
      <c r="N1159" s="80" t="n"/>
      <c r="O1159" s="80" t="n"/>
      <c r="P1159" s="80" t="n"/>
      <c r="Q1159" s="80" t="n"/>
      <c r="R1159" s="80" t="n"/>
      <c r="S1159" s="80" t="n"/>
      <c r="T1159" s="80" t="n"/>
      <c r="U1159" s="80" t="n"/>
      <c r="V1159" s="80" t="n"/>
      <c r="W1159" s="80" t="n"/>
      <c r="X1159" s="80" t="n"/>
      <c r="Y1159" s="80" t="n"/>
      <c r="Z1159" s="80" t="n"/>
      <c r="AA1159" s="80" t="n"/>
      <c r="AB1159" s="80" t="n"/>
      <c r="AC1159" s="80" t="n"/>
      <c r="AD1159" s="80" t="n"/>
      <c r="AE1159" s="80" t="n"/>
      <c r="AF1159" s="80" t="n"/>
      <c r="AG1159" s="80" t="n"/>
      <c r="AH1159" s="80" t="n"/>
      <c r="AI1159" s="80" t="n"/>
      <c r="AJ1159" s="80" t="n"/>
      <c r="AK1159" s="80" t="n"/>
      <c r="AL1159" s="80" t="n"/>
      <c r="AM1159" s="80" t="n"/>
      <c r="AN1159" s="80" t="n"/>
      <c r="AO1159" s="80" t="n"/>
      <c r="AP1159" s="80" t="n"/>
      <c r="AQ1159" s="80" t="n"/>
      <c r="AR1159" s="80" t="n"/>
    </row>
    <row r="1160">
      <c r="D1160" s="80" t="n"/>
      <c r="E1160" s="80" t="n"/>
      <c r="F1160" s="80" t="n"/>
      <c r="G1160" s="80" t="n"/>
      <c r="H1160" s="80" t="n"/>
      <c r="I1160" s="80" t="n"/>
      <c r="J1160" s="80" t="n"/>
      <c r="K1160" s="80" t="n"/>
      <c r="L1160" s="80" t="n"/>
      <c r="M1160" s="80" t="n"/>
      <c r="N1160" s="80" t="n"/>
      <c r="O1160" s="80" t="n"/>
      <c r="P1160" s="80" t="n"/>
      <c r="Q1160" s="80" t="n"/>
      <c r="R1160" s="80" t="n"/>
      <c r="S1160" s="80" t="n"/>
      <c r="T1160" s="80" t="n"/>
      <c r="U1160" s="80" t="n"/>
      <c r="V1160" s="80" t="n"/>
      <c r="W1160" s="80" t="n"/>
      <c r="X1160" s="80" t="n"/>
      <c r="Y1160" s="80" t="n"/>
      <c r="Z1160" s="80" t="n"/>
      <c r="AA1160" s="80" t="n"/>
      <c r="AB1160" s="80" t="n"/>
      <c r="AC1160" s="80" t="n"/>
      <c r="AD1160" s="80" t="n"/>
      <c r="AE1160" s="80" t="n"/>
      <c r="AF1160" s="80" t="n"/>
      <c r="AG1160" s="80" t="n"/>
      <c r="AH1160" s="80" t="n"/>
      <c r="AI1160" s="80" t="n"/>
      <c r="AJ1160" s="80" t="n"/>
      <c r="AK1160" s="80" t="n"/>
      <c r="AL1160" s="80" t="n"/>
      <c r="AM1160" s="80" t="n"/>
      <c r="AN1160" s="80" t="n"/>
      <c r="AO1160" s="80" t="n"/>
      <c r="AP1160" s="80" t="n"/>
      <c r="AQ1160" s="80" t="n"/>
      <c r="AR1160" s="80" t="n"/>
    </row>
    <row r="1161">
      <c r="D1161" s="80" t="n"/>
      <c r="E1161" s="80" t="n"/>
      <c r="F1161" s="80" t="n"/>
      <c r="G1161" s="80" t="n"/>
      <c r="H1161" s="80" t="n"/>
      <c r="I1161" s="80" t="n"/>
      <c r="J1161" s="80" t="n"/>
      <c r="K1161" s="80" t="n"/>
      <c r="L1161" s="80" t="n"/>
      <c r="M1161" s="80" t="n"/>
      <c r="N1161" s="80" t="n"/>
      <c r="O1161" s="80" t="n"/>
      <c r="P1161" s="80" t="n"/>
      <c r="Q1161" s="80" t="n"/>
      <c r="R1161" s="80" t="n"/>
      <c r="S1161" s="80" t="n"/>
      <c r="T1161" s="80" t="n"/>
      <c r="U1161" s="80" t="n"/>
      <c r="V1161" s="80" t="n"/>
      <c r="W1161" s="80" t="n"/>
      <c r="X1161" s="80" t="n"/>
      <c r="Y1161" s="80" t="n"/>
      <c r="Z1161" s="80" t="n"/>
      <c r="AA1161" s="80" t="n"/>
      <c r="AB1161" s="80" t="n"/>
      <c r="AC1161" s="80" t="n"/>
      <c r="AD1161" s="80" t="n"/>
      <c r="AE1161" s="80" t="n"/>
      <c r="AF1161" s="80" t="n"/>
      <c r="AG1161" s="80" t="n"/>
      <c r="AH1161" s="80" t="n"/>
      <c r="AI1161" s="80" t="n"/>
      <c r="AJ1161" s="80" t="n"/>
      <c r="AK1161" s="80" t="n"/>
      <c r="AL1161" s="80" t="n"/>
      <c r="AM1161" s="80" t="n"/>
      <c r="AN1161" s="80" t="n"/>
      <c r="AO1161" s="80" t="n"/>
      <c r="AP1161" s="80" t="n"/>
      <c r="AQ1161" s="80" t="n"/>
      <c r="AR1161" s="80" t="n"/>
    </row>
    <row r="1162">
      <c r="D1162" s="80" t="n"/>
      <c r="E1162" s="80" t="n"/>
      <c r="F1162" s="80" t="n"/>
      <c r="G1162" s="80" t="n"/>
      <c r="H1162" s="80" t="n"/>
      <c r="I1162" s="80" t="n"/>
      <c r="J1162" s="80" t="n"/>
      <c r="K1162" s="80" t="n"/>
      <c r="L1162" s="80" t="n"/>
      <c r="M1162" s="80" t="n"/>
      <c r="N1162" s="80" t="n"/>
      <c r="O1162" s="80" t="n"/>
      <c r="P1162" s="80" t="n"/>
      <c r="Q1162" s="80" t="n"/>
      <c r="R1162" s="80" t="n"/>
      <c r="S1162" s="80" t="n"/>
      <c r="T1162" s="80" t="n"/>
      <c r="U1162" s="80" t="n"/>
      <c r="V1162" s="80" t="n"/>
      <c r="W1162" s="80" t="n"/>
      <c r="X1162" s="80" t="n"/>
      <c r="Y1162" s="80" t="n"/>
      <c r="Z1162" s="80" t="n"/>
      <c r="AA1162" s="80" t="n"/>
      <c r="AB1162" s="80" t="n"/>
      <c r="AC1162" s="80" t="n"/>
      <c r="AD1162" s="80" t="n"/>
      <c r="AE1162" s="80" t="n"/>
      <c r="AF1162" s="80" t="n"/>
      <c r="AG1162" s="80" t="n"/>
      <c r="AH1162" s="80" t="n"/>
      <c r="AI1162" s="80" t="n"/>
      <c r="AJ1162" s="80" t="n"/>
      <c r="AK1162" s="80" t="n"/>
      <c r="AL1162" s="80" t="n"/>
      <c r="AM1162" s="80" t="n"/>
      <c r="AN1162" s="80" t="n"/>
      <c r="AO1162" s="80" t="n"/>
      <c r="AP1162" s="80" t="n"/>
      <c r="AQ1162" s="80" t="n"/>
      <c r="AR1162" s="80" t="n"/>
    </row>
    <row r="1164">
      <c r="A1164" s="6">
        <f>IF(HSI!$C$84="","",HSI!$C$84)</f>
        <v/>
      </c>
      <c r="B1164" s="41">
        <f>IF($A1164="",0,COUNT($E1165:$AR1165))</f>
        <v/>
      </c>
      <c r="C1164" s="81">
        <f>IF($B1164=0,0,MAX($E1165:$AR1165))</f>
        <v/>
      </c>
      <c r="D1164" s="82">
        <f>BDS($A1164,'Field Check'!$C$7,"headers=y","startcol=1","endcol=7","dir=h","DVD_START_DT",Summary!$C$18,"DVD_END_DT",Summary!$D$18)</f>
        <v/>
      </c>
      <c r="E1164" s="83" t="n"/>
      <c r="F1164" s="83" t="n"/>
      <c r="G1164" s="83" t="n"/>
      <c r="H1164" s="83" t="n"/>
      <c r="I1164" s="83" t="n"/>
      <c r="J1164" s="83" t="n"/>
      <c r="K1164" s="83" t="n"/>
      <c r="L1164" s="83" t="n"/>
      <c r="M1164" s="83" t="n"/>
      <c r="N1164" s="83" t="n"/>
      <c r="O1164" s="83" t="n"/>
      <c r="P1164" s="83" t="n"/>
      <c r="Q1164" s="83" t="n"/>
      <c r="R1164" s="83" t="n"/>
      <c r="S1164" s="83" t="n"/>
      <c r="T1164" s="83" t="n"/>
      <c r="U1164" s="83" t="n"/>
      <c r="V1164" s="83" t="n"/>
      <c r="W1164" s="83" t="n"/>
      <c r="X1164" s="83" t="n"/>
      <c r="Y1164" s="83" t="n"/>
      <c r="Z1164" s="83" t="n"/>
      <c r="AA1164" s="83" t="n"/>
      <c r="AB1164" s="83" t="n"/>
      <c r="AC1164" s="83" t="n"/>
      <c r="AD1164" s="83" t="n"/>
      <c r="AE1164" s="83" t="n"/>
      <c r="AF1164" s="83" t="n"/>
      <c r="AG1164" s="83" t="n"/>
      <c r="AH1164" s="83" t="n"/>
      <c r="AI1164" s="83" t="n"/>
      <c r="AJ1164" s="83" t="n"/>
      <c r="AK1164" s="83" t="n"/>
      <c r="AL1164" s="83" t="n"/>
      <c r="AM1164" s="83" t="n"/>
      <c r="AN1164" s="83" t="n"/>
      <c r="AO1164" s="83" t="n"/>
      <c r="AP1164" s="83" t="n"/>
      <c r="AQ1164" s="83" t="n"/>
      <c r="AR1164" s="83" t="n"/>
    </row>
    <row r="1165">
      <c r="D1165" s="83" t="n"/>
      <c r="E1165" s="83" t="n"/>
      <c r="F1165" s="83" t="n"/>
      <c r="G1165" s="83" t="n"/>
      <c r="H1165" s="83" t="n"/>
      <c r="I1165" s="83" t="n"/>
      <c r="J1165" s="83" t="n"/>
      <c r="K1165" s="83" t="n"/>
      <c r="L1165" s="83" t="n"/>
      <c r="M1165" s="83" t="n"/>
      <c r="N1165" s="83" t="n"/>
      <c r="O1165" s="83" t="n"/>
      <c r="P1165" s="83" t="n"/>
      <c r="Q1165" s="83" t="n"/>
      <c r="R1165" s="83" t="n"/>
      <c r="S1165" s="83" t="n"/>
      <c r="T1165" s="83" t="n"/>
      <c r="U1165" s="83" t="n"/>
      <c r="V1165" s="83" t="n"/>
      <c r="W1165" s="83" t="n"/>
      <c r="X1165" s="83" t="n"/>
      <c r="Y1165" s="83" t="n"/>
      <c r="Z1165" s="83" t="n"/>
      <c r="AA1165" s="83" t="n"/>
      <c r="AB1165" s="83" t="n"/>
      <c r="AC1165" s="83" t="n"/>
      <c r="AD1165" s="83" t="n"/>
      <c r="AE1165" s="83" t="n"/>
      <c r="AF1165" s="83" t="n"/>
      <c r="AG1165" s="83" t="n"/>
      <c r="AH1165" s="83" t="n"/>
      <c r="AI1165" s="83" t="n"/>
      <c r="AJ1165" s="83" t="n"/>
      <c r="AK1165" s="83" t="n"/>
      <c r="AL1165" s="83" t="n"/>
      <c r="AM1165" s="83" t="n"/>
      <c r="AN1165" s="83" t="n"/>
      <c r="AO1165" s="83" t="n"/>
      <c r="AP1165" s="83" t="n"/>
      <c r="AQ1165" s="83" t="n"/>
      <c r="AR1165" s="83" t="n"/>
    </row>
    <row r="1166">
      <c r="D1166" s="84" t="n"/>
      <c r="E1166" s="84" t="n"/>
      <c r="F1166" s="84" t="n"/>
      <c r="G1166" s="84" t="n"/>
      <c r="H1166" s="84" t="n"/>
      <c r="I1166" s="84" t="n"/>
      <c r="J1166" s="84" t="n"/>
      <c r="K1166" s="84" t="n"/>
      <c r="L1166" s="84" t="n"/>
      <c r="M1166" s="84" t="n"/>
      <c r="N1166" s="84" t="n"/>
      <c r="O1166" s="84" t="n"/>
      <c r="P1166" s="84" t="n"/>
      <c r="Q1166" s="84" t="n"/>
      <c r="R1166" s="84" t="n"/>
      <c r="S1166" s="84" t="n"/>
      <c r="T1166" s="84" t="n"/>
      <c r="U1166" s="84" t="n"/>
      <c r="V1166" s="84" t="n"/>
      <c r="W1166" s="84" t="n"/>
      <c r="X1166" s="84" t="n"/>
      <c r="Y1166" s="84" t="n"/>
      <c r="Z1166" s="84" t="n"/>
      <c r="AA1166" s="84" t="n"/>
      <c r="AB1166" s="84" t="n"/>
      <c r="AC1166" s="84" t="n"/>
      <c r="AD1166" s="84" t="n"/>
      <c r="AE1166" s="84" t="n"/>
      <c r="AF1166" s="84" t="n"/>
      <c r="AG1166" s="84" t="n"/>
      <c r="AH1166" s="84" t="n"/>
      <c r="AI1166" s="84" t="n"/>
      <c r="AJ1166" s="84" t="n"/>
      <c r="AK1166" s="84" t="n"/>
      <c r="AL1166" s="84" t="n"/>
      <c r="AM1166" s="84" t="n"/>
      <c r="AN1166" s="84" t="n"/>
      <c r="AO1166" s="84" t="n"/>
      <c r="AP1166" s="84" t="n"/>
      <c r="AQ1166" s="84" t="n"/>
      <c r="AR1166" s="84" t="n"/>
    </row>
    <row r="1167">
      <c r="D1167" s="80" t="n"/>
      <c r="E1167" s="80" t="n"/>
      <c r="F1167" s="80" t="n"/>
      <c r="G1167" s="80" t="n"/>
      <c r="H1167" s="80" t="n"/>
      <c r="I1167" s="80" t="n"/>
      <c r="J1167" s="80" t="n"/>
      <c r="K1167" s="80" t="n"/>
      <c r="L1167" s="80" t="n"/>
      <c r="M1167" s="80" t="n"/>
      <c r="N1167" s="80" t="n"/>
      <c r="O1167" s="80" t="n"/>
      <c r="P1167" s="80" t="n"/>
      <c r="Q1167" s="80" t="n"/>
      <c r="R1167" s="80" t="n"/>
      <c r="S1167" s="80" t="n"/>
      <c r="T1167" s="80" t="n"/>
      <c r="U1167" s="80" t="n"/>
      <c r="V1167" s="80" t="n"/>
      <c r="W1167" s="80" t="n"/>
      <c r="X1167" s="80" t="n"/>
      <c r="Y1167" s="80" t="n"/>
      <c r="Z1167" s="80" t="n"/>
      <c r="AA1167" s="80" t="n"/>
      <c r="AB1167" s="80" t="n"/>
      <c r="AC1167" s="80" t="n"/>
      <c r="AD1167" s="80" t="n"/>
      <c r="AE1167" s="80" t="n"/>
      <c r="AF1167" s="80" t="n"/>
      <c r="AG1167" s="80" t="n"/>
      <c r="AH1167" s="80" t="n"/>
      <c r="AI1167" s="80" t="n"/>
      <c r="AJ1167" s="80" t="n"/>
      <c r="AK1167" s="80" t="n"/>
      <c r="AL1167" s="80" t="n"/>
      <c r="AM1167" s="80" t="n"/>
      <c r="AN1167" s="80" t="n"/>
      <c r="AO1167" s="80" t="n"/>
      <c r="AP1167" s="80" t="n"/>
      <c r="AQ1167" s="80" t="n"/>
      <c r="AR1167" s="80" t="n"/>
    </row>
    <row r="1168">
      <c r="D1168" s="80" t="n"/>
      <c r="E1168" s="80" t="n"/>
      <c r="F1168" s="80" t="n"/>
      <c r="G1168" s="80" t="n"/>
      <c r="H1168" s="80" t="n"/>
      <c r="I1168" s="80" t="n"/>
      <c r="J1168" s="80" t="n"/>
      <c r="K1168" s="80" t="n"/>
      <c r="L1168" s="80" t="n"/>
      <c r="M1168" s="80" t="n"/>
      <c r="N1168" s="80" t="n"/>
      <c r="O1168" s="80" t="n"/>
      <c r="P1168" s="80" t="n"/>
      <c r="Q1168" s="80" t="n"/>
      <c r="R1168" s="80" t="n"/>
      <c r="S1168" s="80" t="n"/>
      <c r="T1168" s="80" t="n"/>
      <c r="U1168" s="80" t="n"/>
      <c r="V1168" s="80" t="n"/>
      <c r="W1168" s="80" t="n"/>
      <c r="X1168" s="80" t="n"/>
      <c r="Y1168" s="80" t="n"/>
      <c r="Z1168" s="80" t="n"/>
      <c r="AA1168" s="80" t="n"/>
      <c r="AB1168" s="80" t="n"/>
      <c r="AC1168" s="80" t="n"/>
      <c r="AD1168" s="80" t="n"/>
      <c r="AE1168" s="80" t="n"/>
      <c r="AF1168" s="80" t="n"/>
      <c r="AG1168" s="80" t="n"/>
      <c r="AH1168" s="80" t="n"/>
      <c r="AI1168" s="80" t="n"/>
      <c r="AJ1168" s="80" t="n"/>
      <c r="AK1168" s="80" t="n"/>
      <c r="AL1168" s="80" t="n"/>
      <c r="AM1168" s="80" t="n"/>
      <c r="AN1168" s="80" t="n"/>
      <c r="AO1168" s="80" t="n"/>
      <c r="AP1168" s="80" t="n"/>
      <c r="AQ1168" s="80" t="n"/>
      <c r="AR1168" s="80" t="n"/>
    </row>
    <row r="1169">
      <c r="D1169" s="80" t="n"/>
      <c r="E1169" s="80" t="n"/>
      <c r="F1169" s="80" t="n"/>
      <c r="G1169" s="80" t="n"/>
      <c r="H1169" s="80" t="n"/>
      <c r="I1169" s="80" t="n"/>
      <c r="J1169" s="80" t="n"/>
      <c r="K1169" s="80" t="n"/>
      <c r="L1169" s="80" t="n"/>
      <c r="M1169" s="80" t="n"/>
      <c r="N1169" s="80" t="n"/>
      <c r="O1169" s="80" t="n"/>
      <c r="P1169" s="80" t="n"/>
      <c r="Q1169" s="80" t="n"/>
      <c r="R1169" s="80" t="n"/>
      <c r="S1169" s="80" t="n"/>
      <c r="T1169" s="80" t="n"/>
      <c r="U1169" s="80" t="n"/>
      <c r="V1169" s="80" t="n"/>
      <c r="W1169" s="80" t="n"/>
      <c r="X1169" s="80" t="n"/>
      <c r="Y1169" s="80" t="n"/>
      <c r="Z1169" s="80" t="n"/>
      <c r="AA1169" s="80" t="n"/>
      <c r="AB1169" s="80" t="n"/>
      <c r="AC1169" s="80" t="n"/>
      <c r="AD1169" s="80" t="n"/>
      <c r="AE1169" s="80" t="n"/>
      <c r="AF1169" s="80" t="n"/>
      <c r="AG1169" s="80" t="n"/>
      <c r="AH1169" s="80" t="n"/>
      <c r="AI1169" s="80" t="n"/>
      <c r="AJ1169" s="80" t="n"/>
      <c r="AK1169" s="80" t="n"/>
      <c r="AL1169" s="80" t="n"/>
      <c r="AM1169" s="80" t="n"/>
      <c r="AN1169" s="80" t="n"/>
      <c r="AO1169" s="80" t="n"/>
      <c r="AP1169" s="80" t="n"/>
      <c r="AQ1169" s="80" t="n"/>
      <c r="AR1169" s="80" t="n"/>
    </row>
    <row r="1170">
      <c r="D1170" s="80" t="n"/>
      <c r="E1170" s="80" t="n"/>
      <c r="F1170" s="80" t="n"/>
      <c r="G1170" s="80" t="n"/>
      <c r="H1170" s="80" t="n"/>
      <c r="I1170" s="80" t="n"/>
      <c r="J1170" s="80" t="n"/>
      <c r="K1170" s="80" t="n"/>
      <c r="L1170" s="80" t="n"/>
      <c r="M1170" s="80" t="n"/>
      <c r="N1170" s="80" t="n"/>
      <c r="O1170" s="80" t="n"/>
      <c r="P1170" s="80" t="n"/>
      <c r="Q1170" s="80" t="n"/>
      <c r="R1170" s="80" t="n"/>
      <c r="S1170" s="80" t="n"/>
      <c r="T1170" s="80" t="n"/>
      <c r="U1170" s="80" t="n"/>
      <c r="V1170" s="80" t="n"/>
      <c r="W1170" s="80" t="n"/>
      <c r="X1170" s="80" t="n"/>
      <c r="Y1170" s="80" t="n"/>
      <c r="Z1170" s="80" t="n"/>
      <c r="AA1170" s="80" t="n"/>
      <c r="AB1170" s="80" t="n"/>
      <c r="AC1170" s="80" t="n"/>
      <c r="AD1170" s="80" t="n"/>
      <c r="AE1170" s="80" t="n"/>
      <c r="AF1170" s="80" t="n"/>
      <c r="AG1170" s="80" t="n"/>
      <c r="AH1170" s="80" t="n"/>
      <c r="AI1170" s="80" t="n"/>
      <c r="AJ1170" s="80" t="n"/>
      <c r="AK1170" s="80" t="n"/>
      <c r="AL1170" s="80" t="n"/>
      <c r="AM1170" s="80" t="n"/>
      <c r="AN1170" s="80" t="n"/>
      <c r="AO1170" s="80" t="n"/>
      <c r="AP1170" s="80" t="n"/>
      <c r="AQ1170" s="80" t="n"/>
      <c r="AR1170" s="80" t="n"/>
    </row>
    <row r="1171">
      <c r="A1171" s="2">
        <f>IF($A1164="","","   projections")</f>
        <v/>
      </c>
      <c r="B1171" s="41">
        <f>IF($A1164="",0,COUNT($E1172:$AR1172))</f>
        <v/>
      </c>
      <c r="C1171" s="81">
        <f>IF($B1171=0,0,MAX($E1172:$AR1172))</f>
        <v/>
      </c>
      <c r="D1171" s="82">
        <f>BDS($A1164,'Field Check'!$C$6,"headers=y","startcol=1","endcol=7","dir=h")</f>
        <v/>
      </c>
      <c r="E1171" s="83" t="n"/>
      <c r="F1171" s="83" t="n"/>
      <c r="G1171" s="83" t="n"/>
      <c r="H1171" s="83" t="n"/>
      <c r="I1171" s="83" t="n"/>
      <c r="J1171" s="83" t="n"/>
      <c r="K1171" s="83" t="n"/>
      <c r="L1171" s="83" t="n"/>
      <c r="M1171" s="83" t="n"/>
      <c r="N1171" s="83" t="n"/>
      <c r="O1171" s="83" t="n"/>
      <c r="P1171" s="83" t="n"/>
      <c r="Q1171" s="83" t="n"/>
      <c r="R1171" s="83" t="n"/>
      <c r="S1171" s="83" t="n"/>
      <c r="T1171" s="83" t="n"/>
      <c r="U1171" s="83" t="n"/>
      <c r="V1171" s="83" t="n"/>
      <c r="W1171" s="83" t="n"/>
      <c r="X1171" s="83" t="n"/>
      <c r="Y1171" s="83" t="n"/>
      <c r="Z1171" s="83" t="n"/>
      <c r="AA1171" s="83" t="n"/>
      <c r="AB1171" s="83" t="n"/>
      <c r="AC1171" s="83" t="n"/>
      <c r="AD1171" s="83" t="n"/>
      <c r="AE1171" s="83" t="n"/>
      <c r="AF1171" s="83" t="n"/>
      <c r="AG1171" s="83" t="n"/>
      <c r="AH1171" s="83" t="n"/>
      <c r="AI1171" s="83" t="n"/>
      <c r="AJ1171" s="83" t="n"/>
      <c r="AK1171" s="83" t="n"/>
      <c r="AL1171" s="83" t="n"/>
      <c r="AM1171" s="83" t="n"/>
      <c r="AN1171" s="83" t="n"/>
      <c r="AO1171" s="83" t="n"/>
      <c r="AP1171" s="83" t="n"/>
      <c r="AQ1171" s="83" t="n"/>
      <c r="AR1171" s="83" t="n"/>
    </row>
    <row r="1172">
      <c r="D1172" s="83" t="n"/>
      <c r="E1172" s="83" t="n"/>
      <c r="F1172" s="83" t="n"/>
      <c r="G1172" s="83" t="n"/>
      <c r="H1172" s="83" t="n"/>
      <c r="I1172" s="83" t="n"/>
      <c r="J1172" s="83" t="n"/>
      <c r="K1172" s="83" t="n"/>
      <c r="L1172" s="83" t="n"/>
      <c r="M1172" s="83" t="n"/>
      <c r="N1172" s="83" t="n"/>
      <c r="O1172" s="83" t="n"/>
      <c r="P1172" s="83" t="n"/>
      <c r="Q1172" s="83" t="n"/>
      <c r="R1172" s="83" t="n"/>
      <c r="S1172" s="83" t="n"/>
      <c r="T1172" s="83" t="n"/>
      <c r="U1172" s="83" t="n"/>
      <c r="V1172" s="83" t="n"/>
      <c r="W1172" s="83" t="n"/>
      <c r="X1172" s="83" t="n"/>
      <c r="Y1172" s="83" t="n"/>
      <c r="Z1172" s="83" t="n"/>
      <c r="AA1172" s="83" t="n"/>
      <c r="AB1172" s="83" t="n"/>
      <c r="AC1172" s="83" t="n"/>
      <c r="AD1172" s="83" t="n"/>
      <c r="AE1172" s="83" t="n"/>
      <c r="AF1172" s="83" t="n"/>
      <c r="AG1172" s="83" t="n"/>
      <c r="AH1172" s="83" t="n"/>
      <c r="AI1172" s="83" t="n"/>
      <c r="AJ1172" s="83" t="n"/>
      <c r="AK1172" s="83" t="n"/>
      <c r="AL1172" s="83" t="n"/>
      <c r="AM1172" s="83" t="n"/>
      <c r="AN1172" s="83" t="n"/>
      <c r="AO1172" s="83" t="n"/>
      <c r="AP1172" s="83" t="n"/>
      <c r="AQ1172" s="83" t="n"/>
      <c r="AR1172" s="83" t="n"/>
    </row>
    <row r="1173">
      <c r="D1173" s="84" t="n"/>
      <c r="E1173" s="84" t="n"/>
      <c r="F1173" s="84" t="n"/>
      <c r="G1173" s="84" t="n"/>
      <c r="H1173" s="84" t="n"/>
      <c r="I1173" s="84" t="n"/>
      <c r="J1173" s="84" t="n"/>
      <c r="K1173" s="84" t="n"/>
      <c r="L1173" s="84" t="n"/>
      <c r="M1173" s="84" t="n"/>
      <c r="N1173" s="84" t="n"/>
      <c r="O1173" s="84" t="n"/>
      <c r="P1173" s="84" t="n"/>
      <c r="Q1173" s="84" t="n"/>
      <c r="R1173" s="84" t="n"/>
      <c r="S1173" s="84" t="n"/>
      <c r="T1173" s="84" t="n"/>
      <c r="U1173" s="84" t="n"/>
      <c r="V1173" s="84" t="n"/>
      <c r="W1173" s="84" t="n"/>
      <c r="X1173" s="84" t="n"/>
      <c r="Y1173" s="84" t="n"/>
      <c r="Z1173" s="84" t="n"/>
      <c r="AA1173" s="84" t="n"/>
      <c r="AB1173" s="84" t="n"/>
      <c r="AC1173" s="84" t="n"/>
      <c r="AD1173" s="84" t="n"/>
      <c r="AE1173" s="84" t="n"/>
      <c r="AF1173" s="84" t="n"/>
      <c r="AG1173" s="84" t="n"/>
      <c r="AH1173" s="84" t="n"/>
      <c r="AI1173" s="84" t="n"/>
      <c r="AJ1173" s="84" t="n"/>
      <c r="AK1173" s="84" t="n"/>
      <c r="AL1173" s="84" t="n"/>
      <c r="AM1173" s="84" t="n"/>
      <c r="AN1173" s="84" t="n"/>
      <c r="AO1173" s="84" t="n"/>
      <c r="AP1173" s="84" t="n"/>
      <c r="AQ1173" s="84" t="n"/>
      <c r="AR1173" s="84" t="n"/>
    </row>
    <row r="1174">
      <c r="D1174" s="80" t="n"/>
      <c r="E1174" s="80" t="n"/>
      <c r="F1174" s="80" t="n"/>
      <c r="G1174" s="80" t="n"/>
      <c r="H1174" s="80" t="n"/>
      <c r="I1174" s="80" t="n"/>
      <c r="J1174" s="80" t="n"/>
      <c r="K1174" s="80" t="n"/>
      <c r="L1174" s="80" t="n"/>
      <c r="M1174" s="80" t="n"/>
      <c r="N1174" s="80" t="n"/>
      <c r="O1174" s="80" t="n"/>
      <c r="P1174" s="80" t="n"/>
      <c r="Q1174" s="80" t="n"/>
      <c r="R1174" s="80" t="n"/>
      <c r="S1174" s="80" t="n"/>
      <c r="T1174" s="80" t="n"/>
      <c r="U1174" s="80" t="n"/>
      <c r="V1174" s="80" t="n"/>
      <c r="W1174" s="80" t="n"/>
      <c r="X1174" s="80" t="n"/>
      <c r="Y1174" s="80" t="n"/>
      <c r="Z1174" s="80" t="n"/>
      <c r="AA1174" s="80" t="n"/>
      <c r="AB1174" s="80" t="n"/>
      <c r="AC1174" s="80" t="n"/>
      <c r="AD1174" s="80" t="n"/>
      <c r="AE1174" s="80" t="n"/>
      <c r="AF1174" s="80" t="n"/>
      <c r="AG1174" s="80" t="n"/>
      <c r="AH1174" s="80" t="n"/>
      <c r="AI1174" s="80" t="n"/>
      <c r="AJ1174" s="80" t="n"/>
      <c r="AK1174" s="80" t="n"/>
      <c r="AL1174" s="80" t="n"/>
      <c r="AM1174" s="80" t="n"/>
      <c r="AN1174" s="80" t="n"/>
      <c r="AO1174" s="80" t="n"/>
      <c r="AP1174" s="80" t="n"/>
      <c r="AQ1174" s="80" t="n"/>
      <c r="AR1174" s="80" t="n"/>
    </row>
    <row r="1175">
      <c r="D1175" s="80" t="n"/>
      <c r="E1175" s="80" t="n"/>
      <c r="F1175" s="80" t="n"/>
      <c r="G1175" s="80" t="n"/>
      <c r="H1175" s="80" t="n"/>
      <c r="I1175" s="80" t="n"/>
      <c r="J1175" s="80" t="n"/>
      <c r="K1175" s="80" t="n"/>
      <c r="L1175" s="80" t="n"/>
      <c r="M1175" s="80" t="n"/>
      <c r="N1175" s="80" t="n"/>
      <c r="O1175" s="80" t="n"/>
      <c r="P1175" s="80" t="n"/>
      <c r="Q1175" s="80" t="n"/>
      <c r="R1175" s="80" t="n"/>
      <c r="S1175" s="80" t="n"/>
      <c r="T1175" s="80" t="n"/>
      <c r="U1175" s="80" t="n"/>
      <c r="V1175" s="80" t="n"/>
      <c r="W1175" s="80" t="n"/>
      <c r="X1175" s="80" t="n"/>
      <c r="Y1175" s="80" t="n"/>
      <c r="Z1175" s="80" t="n"/>
      <c r="AA1175" s="80" t="n"/>
      <c r="AB1175" s="80" t="n"/>
      <c r="AC1175" s="80" t="n"/>
      <c r="AD1175" s="80" t="n"/>
      <c r="AE1175" s="80" t="n"/>
      <c r="AF1175" s="80" t="n"/>
      <c r="AG1175" s="80" t="n"/>
      <c r="AH1175" s="80" t="n"/>
      <c r="AI1175" s="80" t="n"/>
      <c r="AJ1175" s="80" t="n"/>
      <c r="AK1175" s="80" t="n"/>
      <c r="AL1175" s="80" t="n"/>
      <c r="AM1175" s="80" t="n"/>
      <c r="AN1175" s="80" t="n"/>
      <c r="AO1175" s="80" t="n"/>
      <c r="AP1175" s="80" t="n"/>
      <c r="AQ1175" s="80" t="n"/>
      <c r="AR1175" s="80" t="n"/>
    </row>
    <row r="1176">
      <c r="D1176" s="80" t="n"/>
      <c r="E1176" s="80" t="n"/>
      <c r="F1176" s="80" t="n"/>
      <c r="G1176" s="80" t="n"/>
      <c r="H1176" s="80" t="n"/>
      <c r="I1176" s="80" t="n"/>
      <c r="J1176" s="80" t="n"/>
      <c r="K1176" s="80" t="n"/>
      <c r="L1176" s="80" t="n"/>
      <c r="M1176" s="80" t="n"/>
      <c r="N1176" s="80" t="n"/>
      <c r="O1176" s="80" t="n"/>
      <c r="P1176" s="80" t="n"/>
      <c r="Q1176" s="80" t="n"/>
      <c r="R1176" s="80" t="n"/>
      <c r="S1176" s="80" t="n"/>
      <c r="T1176" s="80" t="n"/>
      <c r="U1176" s="80" t="n"/>
      <c r="V1176" s="80" t="n"/>
      <c r="W1176" s="80" t="n"/>
      <c r="X1176" s="80" t="n"/>
      <c r="Y1176" s="80" t="n"/>
      <c r="Z1176" s="80" t="n"/>
      <c r="AA1176" s="80" t="n"/>
      <c r="AB1176" s="80" t="n"/>
      <c r="AC1176" s="80" t="n"/>
      <c r="AD1176" s="80" t="n"/>
      <c r="AE1176" s="80" t="n"/>
      <c r="AF1176" s="80" t="n"/>
      <c r="AG1176" s="80" t="n"/>
      <c r="AH1176" s="80" t="n"/>
      <c r="AI1176" s="80" t="n"/>
      <c r="AJ1176" s="80" t="n"/>
      <c r="AK1176" s="80" t="n"/>
      <c r="AL1176" s="80" t="n"/>
      <c r="AM1176" s="80" t="n"/>
      <c r="AN1176" s="80" t="n"/>
      <c r="AO1176" s="80" t="n"/>
      <c r="AP1176" s="80" t="n"/>
      <c r="AQ1176" s="80" t="n"/>
      <c r="AR1176" s="80" t="n"/>
    </row>
    <row r="1177">
      <c r="D1177" s="80" t="n"/>
      <c r="E1177" s="80" t="n"/>
      <c r="F1177" s="80" t="n"/>
      <c r="G1177" s="80" t="n"/>
      <c r="H1177" s="80" t="n"/>
      <c r="I1177" s="80" t="n"/>
      <c r="J1177" s="80" t="n"/>
      <c r="K1177" s="80" t="n"/>
      <c r="L1177" s="80" t="n"/>
      <c r="M1177" s="80" t="n"/>
      <c r="N1177" s="80" t="n"/>
      <c r="O1177" s="80" t="n"/>
      <c r="P1177" s="80" t="n"/>
      <c r="Q1177" s="80" t="n"/>
      <c r="R1177" s="80" t="n"/>
      <c r="S1177" s="80" t="n"/>
      <c r="T1177" s="80" t="n"/>
      <c r="U1177" s="80" t="n"/>
      <c r="V1177" s="80" t="n"/>
      <c r="W1177" s="80" t="n"/>
      <c r="X1177" s="80" t="n"/>
      <c r="Y1177" s="80" t="n"/>
      <c r="Z1177" s="80" t="n"/>
      <c r="AA1177" s="80" t="n"/>
      <c r="AB1177" s="80" t="n"/>
      <c r="AC1177" s="80" t="n"/>
      <c r="AD1177" s="80" t="n"/>
      <c r="AE1177" s="80" t="n"/>
      <c r="AF1177" s="80" t="n"/>
      <c r="AG1177" s="80" t="n"/>
      <c r="AH1177" s="80" t="n"/>
      <c r="AI1177" s="80" t="n"/>
      <c r="AJ1177" s="80" t="n"/>
      <c r="AK1177" s="80" t="n"/>
      <c r="AL1177" s="80" t="n"/>
      <c r="AM1177" s="80" t="n"/>
      <c r="AN1177" s="80" t="n"/>
      <c r="AO1177" s="80" t="n"/>
      <c r="AP1177" s="80" t="n"/>
      <c r="AQ1177" s="80" t="n"/>
      <c r="AR1177" s="80" t="n"/>
    </row>
    <row r="1179">
      <c r="A1179" s="6">
        <f>IF(HSI!$C$85="","",HSI!$C$85)</f>
        <v/>
      </c>
      <c r="B1179" s="41">
        <f>IF($A1179="",0,COUNT($E1180:$AR1180))</f>
        <v/>
      </c>
      <c r="C1179" s="81">
        <f>IF($B1179=0,0,MAX($E1180:$AR1180))</f>
        <v/>
      </c>
      <c r="D1179" s="82">
        <f>BDS($A1179,'Field Check'!$C$7,"headers=y","startcol=1","endcol=7","dir=h","DVD_START_DT",Summary!$C$18,"DVD_END_DT",Summary!$D$18)</f>
        <v/>
      </c>
      <c r="E1179" s="83" t="n"/>
      <c r="F1179" s="83" t="n"/>
      <c r="G1179" s="83" t="n"/>
      <c r="H1179" s="83" t="n"/>
      <c r="I1179" s="83" t="n"/>
      <c r="J1179" s="83" t="n"/>
      <c r="K1179" s="83" t="n"/>
      <c r="L1179" s="83" t="n"/>
      <c r="M1179" s="83" t="n"/>
      <c r="N1179" s="83" t="n"/>
      <c r="O1179" s="83" t="n"/>
      <c r="P1179" s="83" t="n"/>
      <c r="Q1179" s="83" t="n"/>
      <c r="R1179" s="83" t="n"/>
      <c r="S1179" s="83" t="n"/>
      <c r="T1179" s="83" t="n"/>
      <c r="U1179" s="83" t="n"/>
      <c r="V1179" s="83" t="n"/>
      <c r="W1179" s="83" t="n"/>
      <c r="X1179" s="83" t="n"/>
      <c r="Y1179" s="83" t="n"/>
      <c r="Z1179" s="83" t="n"/>
      <c r="AA1179" s="83" t="n"/>
      <c r="AB1179" s="83" t="n"/>
      <c r="AC1179" s="83" t="n"/>
      <c r="AD1179" s="83" t="n"/>
      <c r="AE1179" s="83" t="n"/>
      <c r="AF1179" s="83" t="n"/>
      <c r="AG1179" s="83" t="n"/>
      <c r="AH1179" s="83" t="n"/>
      <c r="AI1179" s="83" t="n"/>
      <c r="AJ1179" s="83" t="n"/>
      <c r="AK1179" s="83" t="n"/>
      <c r="AL1179" s="83" t="n"/>
      <c r="AM1179" s="83" t="n"/>
      <c r="AN1179" s="83" t="n"/>
      <c r="AO1179" s="83" t="n"/>
      <c r="AP1179" s="83" t="n"/>
      <c r="AQ1179" s="83" t="n"/>
      <c r="AR1179" s="83" t="n"/>
    </row>
    <row r="1180">
      <c r="D1180" s="83" t="n"/>
      <c r="E1180" s="83" t="n"/>
      <c r="F1180" s="83" t="n"/>
      <c r="G1180" s="83" t="n"/>
      <c r="H1180" s="83" t="n"/>
      <c r="I1180" s="83" t="n"/>
      <c r="J1180" s="83" t="n"/>
      <c r="K1180" s="83" t="n"/>
      <c r="L1180" s="83" t="n"/>
      <c r="M1180" s="83" t="n"/>
      <c r="N1180" s="83" t="n"/>
      <c r="O1180" s="83" t="n"/>
      <c r="P1180" s="83" t="n"/>
      <c r="Q1180" s="83" t="n"/>
      <c r="R1180" s="83" t="n"/>
      <c r="S1180" s="83" t="n"/>
      <c r="T1180" s="83" t="n"/>
      <c r="U1180" s="83" t="n"/>
      <c r="V1180" s="83" t="n"/>
      <c r="W1180" s="83" t="n"/>
      <c r="X1180" s="83" t="n"/>
      <c r="Y1180" s="83" t="n"/>
      <c r="Z1180" s="83" t="n"/>
      <c r="AA1180" s="83" t="n"/>
      <c r="AB1180" s="83" t="n"/>
      <c r="AC1180" s="83" t="n"/>
      <c r="AD1180" s="83" t="n"/>
      <c r="AE1180" s="83" t="n"/>
      <c r="AF1180" s="83" t="n"/>
      <c r="AG1180" s="83" t="n"/>
      <c r="AH1180" s="83" t="n"/>
      <c r="AI1180" s="83" t="n"/>
      <c r="AJ1180" s="83" t="n"/>
      <c r="AK1180" s="83" t="n"/>
      <c r="AL1180" s="83" t="n"/>
      <c r="AM1180" s="83" t="n"/>
      <c r="AN1180" s="83" t="n"/>
      <c r="AO1180" s="83" t="n"/>
      <c r="AP1180" s="83" t="n"/>
      <c r="AQ1180" s="83" t="n"/>
      <c r="AR1180" s="83" t="n"/>
    </row>
    <row r="1181">
      <c r="D1181" s="84" t="n"/>
      <c r="E1181" s="84" t="n"/>
      <c r="F1181" s="84" t="n"/>
      <c r="G1181" s="84" t="n"/>
      <c r="H1181" s="84" t="n"/>
      <c r="I1181" s="84" t="n"/>
      <c r="J1181" s="84" t="n"/>
      <c r="K1181" s="84" t="n"/>
      <c r="L1181" s="84" t="n"/>
      <c r="M1181" s="84" t="n"/>
      <c r="N1181" s="84" t="n"/>
      <c r="O1181" s="84" t="n"/>
      <c r="P1181" s="84" t="n"/>
      <c r="Q1181" s="84" t="n"/>
      <c r="R1181" s="84" t="n"/>
      <c r="S1181" s="84" t="n"/>
      <c r="T1181" s="84" t="n"/>
      <c r="U1181" s="84" t="n"/>
      <c r="V1181" s="84" t="n"/>
      <c r="W1181" s="84" t="n"/>
      <c r="X1181" s="84" t="n"/>
      <c r="Y1181" s="84" t="n"/>
      <c r="Z1181" s="84" t="n"/>
      <c r="AA1181" s="84" t="n"/>
      <c r="AB1181" s="84" t="n"/>
      <c r="AC1181" s="84" t="n"/>
      <c r="AD1181" s="84" t="n"/>
      <c r="AE1181" s="84" t="n"/>
      <c r="AF1181" s="84" t="n"/>
      <c r="AG1181" s="84" t="n"/>
      <c r="AH1181" s="84" t="n"/>
      <c r="AI1181" s="84" t="n"/>
      <c r="AJ1181" s="84" t="n"/>
      <c r="AK1181" s="84" t="n"/>
      <c r="AL1181" s="84" t="n"/>
      <c r="AM1181" s="84" t="n"/>
      <c r="AN1181" s="84" t="n"/>
      <c r="AO1181" s="84" t="n"/>
      <c r="AP1181" s="84" t="n"/>
      <c r="AQ1181" s="84" t="n"/>
      <c r="AR1181" s="84" t="n"/>
    </row>
    <row r="1182">
      <c r="D1182" s="80" t="n"/>
      <c r="E1182" s="80" t="n"/>
      <c r="F1182" s="80" t="n"/>
      <c r="G1182" s="80" t="n"/>
      <c r="H1182" s="80" t="n"/>
      <c r="I1182" s="80" t="n"/>
      <c r="J1182" s="80" t="n"/>
      <c r="K1182" s="80" t="n"/>
      <c r="L1182" s="80" t="n"/>
      <c r="M1182" s="80" t="n"/>
      <c r="N1182" s="80" t="n"/>
      <c r="O1182" s="80" t="n"/>
      <c r="P1182" s="80" t="n"/>
      <c r="Q1182" s="80" t="n"/>
      <c r="R1182" s="80" t="n"/>
      <c r="S1182" s="80" t="n"/>
      <c r="T1182" s="80" t="n"/>
      <c r="U1182" s="80" t="n"/>
      <c r="V1182" s="80" t="n"/>
      <c r="W1182" s="80" t="n"/>
      <c r="X1182" s="80" t="n"/>
      <c r="Y1182" s="80" t="n"/>
      <c r="Z1182" s="80" t="n"/>
      <c r="AA1182" s="80" t="n"/>
      <c r="AB1182" s="80" t="n"/>
      <c r="AC1182" s="80" t="n"/>
      <c r="AD1182" s="80" t="n"/>
      <c r="AE1182" s="80" t="n"/>
      <c r="AF1182" s="80" t="n"/>
      <c r="AG1182" s="80" t="n"/>
      <c r="AH1182" s="80" t="n"/>
      <c r="AI1182" s="80" t="n"/>
      <c r="AJ1182" s="80" t="n"/>
      <c r="AK1182" s="80" t="n"/>
      <c r="AL1182" s="80" t="n"/>
      <c r="AM1182" s="80" t="n"/>
      <c r="AN1182" s="80" t="n"/>
      <c r="AO1182" s="80" t="n"/>
      <c r="AP1182" s="80" t="n"/>
      <c r="AQ1182" s="80" t="n"/>
      <c r="AR1182" s="80" t="n"/>
    </row>
    <row r="1183">
      <c r="D1183" s="80" t="n"/>
      <c r="E1183" s="80" t="n"/>
      <c r="F1183" s="80" t="n"/>
      <c r="G1183" s="80" t="n"/>
      <c r="H1183" s="80" t="n"/>
      <c r="I1183" s="80" t="n"/>
      <c r="J1183" s="80" t="n"/>
      <c r="K1183" s="80" t="n"/>
      <c r="L1183" s="80" t="n"/>
      <c r="M1183" s="80" t="n"/>
      <c r="N1183" s="80" t="n"/>
      <c r="O1183" s="80" t="n"/>
      <c r="P1183" s="80" t="n"/>
      <c r="Q1183" s="80" t="n"/>
      <c r="R1183" s="80" t="n"/>
      <c r="S1183" s="80" t="n"/>
      <c r="T1183" s="80" t="n"/>
      <c r="U1183" s="80" t="n"/>
      <c r="V1183" s="80" t="n"/>
      <c r="W1183" s="80" t="n"/>
      <c r="X1183" s="80" t="n"/>
      <c r="Y1183" s="80" t="n"/>
      <c r="Z1183" s="80" t="n"/>
      <c r="AA1183" s="80" t="n"/>
      <c r="AB1183" s="80" t="n"/>
      <c r="AC1183" s="80" t="n"/>
      <c r="AD1183" s="80" t="n"/>
      <c r="AE1183" s="80" t="n"/>
      <c r="AF1183" s="80" t="n"/>
      <c r="AG1183" s="80" t="n"/>
      <c r="AH1183" s="80" t="n"/>
      <c r="AI1183" s="80" t="n"/>
      <c r="AJ1183" s="80" t="n"/>
      <c r="AK1183" s="80" t="n"/>
      <c r="AL1183" s="80" t="n"/>
      <c r="AM1183" s="80" t="n"/>
      <c r="AN1183" s="80" t="n"/>
      <c r="AO1183" s="80" t="n"/>
      <c r="AP1183" s="80" t="n"/>
      <c r="AQ1183" s="80" t="n"/>
      <c r="AR1183" s="80" t="n"/>
    </row>
    <row r="1184">
      <c r="D1184" s="80" t="n"/>
      <c r="E1184" s="80" t="n"/>
      <c r="F1184" s="80" t="n"/>
      <c r="G1184" s="80" t="n"/>
      <c r="H1184" s="80" t="n"/>
      <c r="I1184" s="80" t="n"/>
      <c r="J1184" s="80" t="n"/>
      <c r="K1184" s="80" t="n"/>
      <c r="L1184" s="80" t="n"/>
      <c r="M1184" s="80" t="n"/>
      <c r="N1184" s="80" t="n"/>
      <c r="O1184" s="80" t="n"/>
      <c r="P1184" s="80" t="n"/>
      <c r="Q1184" s="80" t="n"/>
      <c r="R1184" s="80" t="n"/>
      <c r="S1184" s="80" t="n"/>
      <c r="T1184" s="80" t="n"/>
      <c r="U1184" s="80" t="n"/>
      <c r="V1184" s="80" t="n"/>
      <c r="W1184" s="80" t="n"/>
      <c r="X1184" s="80" t="n"/>
      <c r="Y1184" s="80" t="n"/>
      <c r="Z1184" s="80" t="n"/>
      <c r="AA1184" s="80" t="n"/>
      <c r="AB1184" s="80" t="n"/>
      <c r="AC1184" s="80" t="n"/>
      <c r="AD1184" s="80" t="n"/>
      <c r="AE1184" s="80" t="n"/>
      <c r="AF1184" s="80" t="n"/>
      <c r="AG1184" s="80" t="n"/>
      <c r="AH1184" s="80" t="n"/>
      <c r="AI1184" s="80" t="n"/>
      <c r="AJ1184" s="80" t="n"/>
      <c r="AK1184" s="80" t="n"/>
      <c r="AL1184" s="80" t="n"/>
      <c r="AM1184" s="80" t="n"/>
      <c r="AN1184" s="80" t="n"/>
      <c r="AO1184" s="80" t="n"/>
      <c r="AP1184" s="80" t="n"/>
      <c r="AQ1184" s="80" t="n"/>
      <c r="AR1184" s="80" t="n"/>
    </row>
    <row r="1185">
      <c r="D1185" s="80" t="n"/>
      <c r="E1185" s="80" t="n"/>
      <c r="F1185" s="80" t="n"/>
      <c r="G1185" s="80" t="n"/>
      <c r="H1185" s="80" t="n"/>
      <c r="I1185" s="80" t="n"/>
      <c r="J1185" s="80" t="n"/>
      <c r="K1185" s="80" t="n"/>
      <c r="L1185" s="80" t="n"/>
      <c r="M1185" s="80" t="n"/>
      <c r="N1185" s="80" t="n"/>
      <c r="O1185" s="80" t="n"/>
      <c r="P1185" s="80" t="n"/>
      <c r="Q1185" s="80" t="n"/>
      <c r="R1185" s="80" t="n"/>
      <c r="S1185" s="80" t="n"/>
      <c r="T1185" s="80" t="n"/>
      <c r="U1185" s="80" t="n"/>
      <c r="V1185" s="80" t="n"/>
      <c r="W1185" s="80" t="n"/>
      <c r="X1185" s="80" t="n"/>
      <c r="Y1185" s="80" t="n"/>
      <c r="Z1185" s="80" t="n"/>
      <c r="AA1185" s="80" t="n"/>
      <c r="AB1185" s="80" t="n"/>
      <c r="AC1185" s="80" t="n"/>
      <c r="AD1185" s="80" t="n"/>
      <c r="AE1185" s="80" t="n"/>
      <c r="AF1185" s="80" t="n"/>
      <c r="AG1185" s="80" t="n"/>
      <c r="AH1185" s="80" t="n"/>
      <c r="AI1185" s="80" t="n"/>
      <c r="AJ1185" s="80" t="n"/>
      <c r="AK1185" s="80" t="n"/>
      <c r="AL1185" s="80" t="n"/>
      <c r="AM1185" s="80" t="n"/>
      <c r="AN1185" s="80" t="n"/>
      <c r="AO1185" s="80" t="n"/>
      <c r="AP1185" s="80" t="n"/>
      <c r="AQ1185" s="80" t="n"/>
      <c r="AR1185" s="80" t="n"/>
    </row>
    <row r="1186">
      <c r="A1186" s="2">
        <f>IF($A1179="","","   projections")</f>
        <v/>
      </c>
      <c r="B1186" s="41">
        <f>IF($A1179="",0,COUNT($E1187:$AR1187))</f>
        <v/>
      </c>
      <c r="C1186" s="81">
        <f>IF($B1186=0,0,MAX($E1187:$AR1187))</f>
        <v/>
      </c>
      <c r="D1186" s="82">
        <f>BDS($A1179,'Field Check'!$C$6,"headers=y","startcol=1","endcol=7","dir=h")</f>
        <v/>
      </c>
      <c r="E1186" s="83" t="n"/>
      <c r="F1186" s="83" t="n"/>
      <c r="G1186" s="83" t="n"/>
      <c r="H1186" s="83" t="n"/>
      <c r="I1186" s="83" t="n"/>
      <c r="J1186" s="83" t="n"/>
      <c r="K1186" s="83" t="n"/>
      <c r="L1186" s="83" t="n"/>
      <c r="M1186" s="83" t="n"/>
      <c r="N1186" s="83" t="n"/>
      <c r="O1186" s="83" t="n"/>
      <c r="P1186" s="83" t="n"/>
      <c r="Q1186" s="83" t="n"/>
      <c r="R1186" s="83" t="n"/>
      <c r="S1186" s="83" t="n"/>
      <c r="T1186" s="83" t="n"/>
      <c r="U1186" s="83" t="n"/>
      <c r="V1186" s="83" t="n"/>
      <c r="W1186" s="83" t="n"/>
      <c r="X1186" s="83" t="n"/>
      <c r="Y1186" s="83" t="n"/>
      <c r="Z1186" s="83" t="n"/>
      <c r="AA1186" s="83" t="n"/>
      <c r="AB1186" s="83" t="n"/>
      <c r="AC1186" s="83" t="n"/>
      <c r="AD1186" s="83" t="n"/>
      <c r="AE1186" s="83" t="n"/>
      <c r="AF1186" s="83" t="n"/>
      <c r="AG1186" s="83" t="n"/>
      <c r="AH1186" s="83" t="n"/>
      <c r="AI1186" s="83" t="n"/>
      <c r="AJ1186" s="83" t="n"/>
      <c r="AK1186" s="83" t="n"/>
      <c r="AL1186" s="83" t="n"/>
      <c r="AM1186" s="83" t="n"/>
      <c r="AN1186" s="83" t="n"/>
      <c r="AO1186" s="83" t="n"/>
      <c r="AP1186" s="83" t="n"/>
      <c r="AQ1186" s="83" t="n"/>
      <c r="AR1186" s="83" t="n"/>
    </row>
    <row r="1187">
      <c r="D1187" s="83" t="n"/>
      <c r="E1187" s="83" t="n"/>
      <c r="F1187" s="83" t="n"/>
      <c r="G1187" s="83" t="n"/>
      <c r="H1187" s="83" t="n"/>
      <c r="I1187" s="83" t="n"/>
      <c r="J1187" s="83" t="n"/>
      <c r="K1187" s="83" t="n"/>
      <c r="L1187" s="83" t="n"/>
      <c r="M1187" s="83" t="n"/>
      <c r="N1187" s="83" t="n"/>
      <c r="O1187" s="83" t="n"/>
      <c r="P1187" s="83" t="n"/>
      <c r="Q1187" s="83" t="n"/>
      <c r="R1187" s="83" t="n"/>
      <c r="S1187" s="83" t="n"/>
      <c r="T1187" s="83" t="n"/>
      <c r="U1187" s="83" t="n"/>
      <c r="V1187" s="83" t="n"/>
      <c r="W1187" s="83" t="n"/>
      <c r="X1187" s="83" t="n"/>
      <c r="Y1187" s="83" t="n"/>
      <c r="Z1187" s="83" t="n"/>
      <c r="AA1187" s="83" t="n"/>
      <c r="AB1187" s="83" t="n"/>
      <c r="AC1187" s="83" t="n"/>
      <c r="AD1187" s="83" t="n"/>
      <c r="AE1187" s="83" t="n"/>
      <c r="AF1187" s="83" t="n"/>
      <c r="AG1187" s="83" t="n"/>
      <c r="AH1187" s="83" t="n"/>
      <c r="AI1187" s="83" t="n"/>
      <c r="AJ1187" s="83" t="n"/>
      <c r="AK1187" s="83" t="n"/>
      <c r="AL1187" s="83" t="n"/>
      <c r="AM1187" s="83" t="n"/>
      <c r="AN1187" s="83" t="n"/>
      <c r="AO1187" s="83" t="n"/>
      <c r="AP1187" s="83" t="n"/>
      <c r="AQ1187" s="83" t="n"/>
      <c r="AR1187" s="83" t="n"/>
    </row>
    <row r="1188">
      <c r="D1188" s="84" t="n"/>
      <c r="E1188" s="84" t="n"/>
      <c r="F1188" s="84" t="n"/>
      <c r="G1188" s="84" t="n"/>
      <c r="H1188" s="84" t="n"/>
      <c r="I1188" s="84" t="n"/>
      <c r="J1188" s="84" t="n"/>
      <c r="K1188" s="84" t="n"/>
      <c r="L1188" s="84" t="n"/>
      <c r="M1188" s="84" t="n"/>
      <c r="N1188" s="84" t="n"/>
      <c r="O1188" s="84" t="n"/>
      <c r="P1188" s="84" t="n"/>
      <c r="Q1188" s="84" t="n"/>
      <c r="R1188" s="84" t="n"/>
      <c r="S1188" s="84" t="n"/>
      <c r="T1188" s="84" t="n"/>
      <c r="U1188" s="84" t="n"/>
      <c r="V1188" s="84" t="n"/>
      <c r="W1188" s="84" t="n"/>
      <c r="X1188" s="84" t="n"/>
      <c r="Y1188" s="84" t="n"/>
      <c r="Z1188" s="84" t="n"/>
      <c r="AA1188" s="84" t="n"/>
      <c r="AB1188" s="84" t="n"/>
      <c r="AC1188" s="84" t="n"/>
      <c r="AD1188" s="84" t="n"/>
      <c r="AE1188" s="84" t="n"/>
      <c r="AF1188" s="84" t="n"/>
      <c r="AG1188" s="84" t="n"/>
      <c r="AH1188" s="84" t="n"/>
      <c r="AI1188" s="84" t="n"/>
      <c r="AJ1188" s="84" t="n"/>
      <c r="AK1188" s="84" t="n"/>
      <c r="AL1188" s="84" t="n"/>
      <c r="AM1188" s="84" t="n"/>
      <c r="AN1188" s="84" t="n"/>
      <c r="AO1188" s="84" t="n"/>
      <c r="AP1188" s="84" t="n"/>
      <c r="AQ1188" s="84" t="n"/>
      <c r="AR1188" s="84" t="n"/>
    </row>
    <row r="1189">
      <c r="D1189" s="80" t="n"/>
      <c r="E1189" s="80" t="n"/>
      <c r="F1189" s="80" t="n"/>
      <c r="G1189" s="80" t="n"/>
      <c r="H1189" s="80" t="n"/>
      <c r="I1189" s="80" t="n"/>
      <c r="J1189" s="80" t="n"/>
      <c r="K1189" s="80" t="n"/>
      <c r="L1189" s="80" t="n"/>
      <c r="M1189" s="80" t="n"/>
      <c r="N1189" s="80" t="n"/>
      <c r="O1189" s="80" t="n"/>
      <c r="P1189" s="80" t="n"/>
      <c r="Q1189" s="80" t="n"/>
      <c r="R1189" s="80" t="n"/>
      <c r="S1189" s="80" t="n"/>
      <c r="T1189" s="80" t="n"/>
      <c r="U1189" s="80" t="n"/>
      <c r="V1189" s="80" t="n"/>
      <c r="W1189" s="80" t="n"/>
      <c r="X1189" s="80" t="n"/>
      <c r="Y1189" s="80" t="n"/>
      <c r="Z1189" s="80" t="n"/>
      <c r="AA1189" s="80" t="n"/>
      <c r="AB1189" s="80" t="n"/>
      <c r="AC1189" s="80" t="n"/>
      <c r="AD1189" s="80" t="n"/>
      <c r="AE1189" s="80" t="n"/>
      <c r="AF1189" s="80" t="n"/>
      <c r="AG1189" s="80" t="n"/>
      <c r="AH1189" s="80" t="n"/>
      <c r="AI1189" s="80" t="n"/>
      <c r="AJ1189" s="80" t="n"/>
      <c r="AK1189" s="80" t="n"/>
      <c r="AL1189" s="80" t="n"/>
      <c r="AM1189" s="80" t="n"/>
      <c r="AN1189" s="80" t="n"/>
      <c r="AO1189" s="80" t="n"/>
      <c r="AP1189" s="80" t="n"/>
      <c r="AQ1189" s="80" t="n"/>
      <c r="AR1189" s="80" t="n"/>
    </row>
    <row r="1190">
      <c r="D1190" s="80" t="n"/>
      <c r="E1190" s="80" t="n"/>
      <c r="F1190" s="80" t="n"/>
      <c r="G1190" s="80" t="n"/>
      <c r="H1190" s="80" t="n"/>
      <c r="I1190" s="80" t="n"/>
      <c r="J1190" s="80" t="n"/>
      <c r="K1190" s="80" t="n"/>
      <c r="L1190" s="80" t="n"/>
      <c r="M1190" s="80" t="n"/>
      <c r="N1190" s="80" t="n"/>
      <c r="O1190" s="80" t="n"/>
      <c r="P1190" s="80" t="n"/>
      <c r="Q1190" s="80" t="n"/>
      <c r="R1190" s="80" t="n"/>
      <c r="S1190" s="80" t="n"/>
      <c r="T1190" s="80" t="n"/>
      <c r="U1190" s="80" t="n"/>
      <c r="V1190" s="80" t="n"/>
      <c r="W1190" s="80" t="n"/>
      <c r="X1190" s="80" t="n"/>
      <c r="Y1190" s="80" t="n"/>
      <c r="Z1190" s="80" t="n"/>
      <c r="AA1190" s="80" t="n"/>
      <c r="AB1190" s="80" t="n"/>
      <c r="AC1190" s="80" t="n"/>
      <c r="AD1190" s="80" t="n"/>
      <c r="AE1190" s="80" t="n"/>
      <c r="AF1190" s="80" t="n"/>
      <c r="AG1190" s="80" t="n"/>
      <c r="AH1190" s="80" t="n"/>
      <c r="AI1190" s="80" t="n"/>
      <c r="AJ1190" s="80" t="n"/>
      <c r="AK1190" s="80" t="n"/>
      <c r="AL1190" s="80" t="n"/>
      <c r="AM1190" s="80" t="n"/>
      <c r="AN1190" s="80" t="n"/>
      <c r="AO1190" s="80" t="n"/>
      <c r="AP1190" s="80" t="n"/>
      <c r="AQ1190" s="80" t="n"/>
      <c r="AR1190" s="80" t="n"/>
    </row>
    <row r="1191">
      <c r="D1191" s="80" t="n"/>
      <c r="E1191" s="80" t="n"/>
      <c r="F1191" s="80" t="n"/>
      <c r="G1191" s="80" t="n"/>
      <c r="H1191" s="80" t="n"/>
      <c r="I1191" s="80" t="n"/>
      <c r="J1191" s="80" t="n"/>
      <c r="K1191" s="80" t="n"/>
      <c r="L1191" s="80" t="n"/>
      <c r="M1191" s="80" t="n"/>
      <c r="N1191" s="80" t="n"/>
      <c r="O1191" s="80" t="n"/>
      <c r="P1191" s="80" t="n"/>
      <c r="Q1191" s="80" t="n"/>
      <c r="R1191" s="80" t="n"/>
      <c r="S1191" s="80" t="n"/>
      <c r="T1191" s="80" t="n"/>
      <c r="U1191" s="80" t="n"/>
      <c r="V1191" s="80" t="n"/>
      <c r="W1191" s="80" t="n"/>
      <c r="X1191" s="80" t="n"/>
      <c r="Y1191" s="80" t="n"/>
      <c r="Z1191" s="80" t="n"/>
      <c r="AA1191" s="80" t="n"/>
      <c r="AB1191" s="80" t="n"/>
      <c r="AC1191" s="80" t="n"/>
      <c r="AD1191" s="80" t="n"/>
      <c r="AE1191" s="80" t="n"/>
      <c r="AF1191" s="80" t="n"/>
      <c r="AG1191" s="80" t="n"/>
      <c r="AH1191" s="80" t="n"/>
      <c r="AI1191" s="80" t="n"/>
      <c r="AJ1191" s="80" t="n"/>
      <c r="AK1191" s="80" t="n"/>
      <c r="AL1191" s="80" t="n"/>
      <c r="AM1191" s="80" t="n"/>
      <c r="AN1191" s="80" t="n"/>
      <c r="AO1191" s="80" t="n"/>
      <c r="AP1191" s="80" t="n"/>
      <c r="AQ1191" s="80" t="n"/>
      <c r="AR1191" s="80" t="n"/>
    </row>
    <row r="1192">
      <c r="D1192" s="80" t="n"/>
      <c r="E1192" s="80" t="n"/>
      <c r="F1192" s="80" t="n"/>
      <c r="G1192" s="80" t="n"/>
      <c r="H1192" s="80" t="n"/>
      <c r="I1192" s="80" t="n"/>
      <c r="J1192" s="80" t="n"/>
      <c r="K1192" s="80" t="n"/>
      <c r="L1192" s="80" t="n"/>
      <c r="M1192" s="80" t="n"/>
      <c r="N1192" s="80" t="n"/>
      <c r="O1192" s="80" t="n"/>
      <c r="P1192" s="80" t="n"/>
      <c r="Q1192" s="80" t="n"/>
      <c r="R1192" s="80" t="n"/>
      <c r="S1192" s="80" t="n"/>
      <c r="T1192" s="80" t="n"/>
      <c r="U1192" s="80" t="n"/>
      <c r="V1192" s="80" t="n"/>
      <c r="W1192" s="80" t="n"/>
      <c r="X1192" s="80" t="n"/>
      <c r="Y1192" s="80" t="n"/>
      <c r="Z1192" s="80" t="n"/>
      <c r="AA1192" s="80" t="n"/>
      <c r="AB1192" s="80" t="n"/>
      <c r="AC1192" s="80" t="n"/>
      <c r="AD1192" s="80" t="n"/>
      <c r="AE1192" s="80" t="n"/>
      <c r="AF1192" s="80" t="n"/>
      <c r="AG1192" s="80" t="n"/>
      <c r="AH1192" s="80" t="n"/>
      <c r="AI1192" s="80" t="n"/>
      <c r="AJ1192" s="80" t="n"/>
      <c r="AK1192" s="80" t="n"/>
      <c r="AL1192" s="80" t="n"/>
      <c r="AM1192" s="80" t="n"/>
      <c r="AN1192" s="80" t="n"/>
      <c r="AO1192" s="80" t="n"/>
      <c r="AP1192" s="80" t="n"/>
      <c r="AQ1192" s="80" t="n"/>
      <c r="AR1192" s="80" t="n"/>
    </row>
    <row r="1194">
      <c r="A1194" s="6">
        <f>IF(HSI!$C$86="","",HSI!$C$86)</f>
        <v/>
      </c>
      <c r="B1194" s="41">
        <f>IF($A1194="",0,COUNT($E1195:$AR1195))</f>
        <v/>
      </c>
      <c r="C1194" s="81">
        <f>IF($B1194=0,0,MAX($E1195:$AR1195))</f>
        <v/>
      </c>
      <c r="D1194" s="82">
        <f>BDS($A1194,'Field Check'!$C$7,"headers=y","startcol=1","endcol=7","dir=h","DVD_START_DT",Summary!$C$18,"DVD_END_DT",Summary!$D$18)</f>
        <v/>
      </c>
      <c r="E1194" s="83" t="n"/>
      <c r="F1194" s="83" t="n"/>
      <c r="G1194" s="83" t="n"/>
      <c r="H1194" s="83" t="n"/>
      <c r="I1194" s="83" t="n"/>
      <c r="J1194" s="83" t="n"/>
      <c r="K1194" s="83" t="n"/>
      <c r="L1194" s="83" t="n"/>
      <c r="M1194" s="83" t="n"/>
      <c r="N1194" s="83" t="n"/>
      <c r="O1194" s="83" t="n"/>
      <c r="P1194" s="83" t="n"/>
      <c r="Q1194" s="83" t="n"/>
      <c r="R1194" s="83" t="n"/>
      <c r="S1194" s="83" t="n"/>
      <c r="T1194" s="83" t="n"/>
      <c r="U1194" s="83" t="n"/>
      <c r="V1194" s="83" t="n"/>
      <c r="W1194" s="83" t="n"/>
      <c r="X1194" s="83" t="n"/>
      <c r="Y1194" s="83" t="n"/>
      <c r="Z1194" s="83" t="n"/>
      <c r="AA1194" s="83" t="n"/>
      <c r="AB1194" s="83" t="n"/>
      <c r="AC1194" s="83" t="n"/>
      <c r="AD1194" s="83" t="n"/>
      <c r="AE1194" s="83" t="n"/>
      <c r="AF1194" s="83" t="n"/>
      <c r="AG1194" s="83" t="n"/>
      <c r="AH1194" s="83" t="n"/>
      <c r="AI1194" s="83" t="n"/>
      <c r="AJ1194" s="83" t="n"/>
      <c r="AK1194" s="83" t="n"/>
      <c r="AL1194" s="83" t="n"/>
      <c r="AM1194" s="83" t="n"/>
      <c r="AN1194" s="83" t="n"/>
      <c r="AO1194" s="83" t="n"/>
      <c r="AP1194" s="83" t="n"/>
      <c r="AQ1194" s="83" t="n"/>
      <c r="AR1194" s="83" t="n"/>
    </row>
    <row r="1195">
      <c r="D1195" s="83" t="n"/>
      <c r="E1195" s="83" t="n"/>
      <c r="F1195" s="83" t="n"/>
      <c r="G1195" s="83" t="n"/>
      <c r="H1195" s="83" t="n"/>
      <c r="I1195" s="83" t="n"/>
      <c r="J1195" s="83" t="n"/>
      <c r="K1195" s="83" t="n"/>
      <c r="L1195" s="83" t="n"/>
      <c r="M1195" s="83" t="n"/>
      <c r="N1195" s="83" t="n"/>
      <c r="O1195" s="83" t="n"/>
      <c r="P1195" s="83" t="n"/>
      <c r="Q1195" s="83" t="n"/>
      <c r="R1195" s="83" t="n"/>
      <c r="S1195" s="83" t="n"/>
      <c r="T1195" s="83" t="n"/>
      <c r="U1195" s="83" t="n"/>
      <c r="V1195" s="83" t="n"/>
      <c r="W1195" s="83" t="n"/>
      <c r="X1195" s="83" t="n"/>
      <c r="Y1195" s="83" t="n"/>
      <c r="Z1195" s="83" t="n"/>
      <c r="AA1195" s="83" t="n"/>
      <c r="AB1195" s="83" t="n"/>
      <c r="AC1195" s="83" t="n"/>
      <c r="AD1195" s="83" t="n"/>
      <c r="AE1195" s="83" t="n"/>
      <c r="AF1195" s="83" t="n"/>
      <c r="AG1195" s="83" t="n"/>
      <c r="AH1195" s="83" t="n"/>
      <c r="AI1195" s="83" t="n"/>
      <c r="AJ1195" s="83" t="n"/>
      <c r="AK1195" s="83" t="n"/>
      <c r="AL1195" s="83" t="n"/>
      <c r="AM1195" s="83" t="n"/>
      <c r="AN1195" s="83" t="n"/>
      <c r="AO1195" s="83" t="n"/>
      <c r="AP1195" s="83" t="n"/>
      <c r="AQ1195" s="83" t="n"/>
      <c r="AR1195" s="83" t="n"/>
    </row>
    <row r="1196">
      <c r="D1196" s="84" t="n"/>
      <c r="E1196" s="84" t="n"/>
      <c r="F1196" s="84" t="n"/>
      <c r="G1196" s="84" t="n"/>
      <c r="H1196" s="84" t="n"/>
      <c r="I1196" s="84" t="n"/>
      <c r="J1196" s="84" t="n"/>
      <c r="K1196" s="84" t="n"/>
      <c r="L1196" s="84" t="n"/>
      <c r="M1196" s="84" t="n"/>
      <c r="N1196" s="84" t="n"/>
      <c r="O1196" s="84" t="n"/>
      <c r="P1196" s="84" t="n"/>
      <c r="Q1196" s="84" t="n"/>
      <c r="R1196" s="84" t="n"/>
      <c r="S1196" s="84" t="n"/>
      <c r="T1196" s="84" t="n"/>
      <c r="U1196" s="84" t="n"/>
      <c r="V1196" s="84" t="n"/>
      <c r="W1196" s="84" t="n"/>
      <c r="X1196" s="84" t="n"/>
      <c r="Y1196" s="84" t="n"/>
      <c r="Z1196" s="84" t="n"/>
      <c r="AA1196" s="84" t="n"/>
      <c r="AB1196" s="84" t="n"/>
      <c r="AC1196" s="84" t="n"/>
      <c r="AD1196" s="84" t="n"/>
      <c r="AE1196" s="84" t="n"/>
      <c r="AF1196" s="84" t="n"/>
      <c r="AG1196" s="84" t="n"/>
      <c r="AH1196" s="84" t="n"/>
      <c r="AI1196" s="84" t="n"/>
      <c r="AJ1196" s="84" t="n"/>
      <c r="AK1196" s="84" t="n"/>
      <c r="AL1196" s="84" t="n"/>
      <c r="AM1196" s="84" t="n"/>
      <c r="AN1196" s="84" t="n"/>
      <c r="AO1196" s="84" t="n"/>
      <c r="AP1196" s="84" t="n"/>
      <c r="AQ1196" s="84" t="n"/>
      <c r="AR1196" s="84" t="n"/>
    </row>
    <row r="1197">
      <c r="D1197" s="80" t="n"/>
      <c r="E1197" s="80" t="n"/>
      <c r="F1197" s="80" t="n"/>
      <c r="G1197" s="80" t="n"/>
      <c r="H1197" s="80" t="n"/>
      <c r="I1197" s="80" t="n"/>
      <c r="J1197" s="80" t="n"/>
      <c r="K1197" s="80" t="n"/>
      <c r="L1197" s="80" t="n"/>
      <c r="M1197" s="80" t="n"/>
      <c r="N1197" s="80" t="n"/>
      <c r="O1197" s="80" t="n"/>
      <c r="P1197" s="80" t="n"/>
      <c r="Q1197" s="80" t="n"/>
      <c r="R1197" s="80" t="n"/>
      <c r="S1197" s="80" t="n"/>
      <c r="T1197" s="80" t="n"/>
      <c r="U1197" s="80" t="n"/>
      <c r="V1197" s="80" t="n"/>
      <c r="W1197" s="80" t="n"/>
      <c r="X1197" s="80" t="n"/>
      <c r="Y1197" s="80" t="n"/>
      <c r="Z1197" s="80" t="n"/>
      <c r="AA1197" s="80" t="n"/>
      <c r="AB1197" s="80" t="n"/>
      <c r="AC1197" s="80" t="n"/>
      <c r="AD1197" s="80" t="n"/>
      <c r="AE1197" s="80" t="n"/>
      <c r="AF1197" s="80" t="n"/>
      <c r="AG1197" s="80" t="n"/>
      <c r="AH1197" s="80" t="n"/>
      <c r="AI1197" s="80" t="n"/>
      <c r="AJ1197" s="80" t="n"/>
      <c r="AK1197" s="80" t="n"/>
      <c r="AL1197" s="80" t="n"/>
      <c r="AM1197" s="80" t="n"/>
      <c r="AN1197" s="80" t="n"/>
      <c r="AO1197" s="80" t="n"/>
      <c r="AP1197" s="80" t="n"/>
      <c r="AQ1197" s="80" t="n"/>
      <c r="AR1197" s="80" t="n"/>
    </row>
    <row r="1198">
      <c r="D1198" s="80" t="n"/>
      <c r="E1198" s="80" t="n"/>
      <c r="F1198" s="80" t="n"/>
      <c r="G1198" s="80" t="n"/>
      <c r="H1198" s="80" t="n"/>
      <c r="I1198" s="80" t="n"/>
      <c r="J1198" s="80" t="n"/>
      <c r="K1198" s="80" t="n"/>
      <c r="L1198" s="80" t="n"/>
      <c r="M1198" s="80" t="n"/>
      <c r="N1198" s="80" t="n"/>
      <c r="O1198" s="80" t="n"/>
      <c r="P1198" s="80" t="n"/>
      <c r="Q1198" s="80" t="n"/>
      <c r="R1198" s="80" t="n"/>
      <c r="S1198" s="80" t="n"/>
      <c r="T1198" s="80" t="n"/>
      <c r="U1198" s="80" t="n"/>
      <c r="V1198" s="80" t="n"/>
      <c r="W1198" s="80" t="n"/>
      <c r="X1198" s="80" t="n"/>
      <c r="Y1198" s="80" t="n"/>
      <c r="Z1198" s="80" t="n"/>
      <c r="AA1198" s="80" t="n"/>
      <c r="AB1198" s="80" t="n"/>
      <c r="AC1198" s="80" t="n"/>
      <c r="AD1198" s="80" t="n"/>
      <c r="AE1198" s="80" t="n"/>
      <c r="AF1198" s="80" t="n"/>
      <c r="AG1198" s="80" t="n"/>
      <c r="AH1198" s="80" t="n"/>
      <c r="AI1198" s="80" t="n"/>
      <c r="AJ1198" s="80" t="n"/>
      <c r="AK1198" s="80" t="n"/>
      <c r="AL1198" s="80" t="n"/>
      <c r="AM1198" s="80" t="n"/>
      <c r="AN1198" s="80" t="n"/>
      <c r="AO1198" s="80" t="n"/>
      <c r="AP1198" s="80" t="n"/>
      <c r="AQ1198" s="80" t="n"/>
      <c r="AR1198" s="80" t="n"/>
    </row>
    <row r="1199">
      <c r="D1199" s="80" t="n"/>
      <c r="E1199" s="80" t="n"/>
      <c r="F1199" s="80" t="n"/>
      <c r="G1199" s="80" t="n"/>
      <c r="H1199" s="80" t="n"/>
      <c r="I1199" s="80" t="n"/>
      <c r="J1199" s="80" t="n"/>
      <c r="K1199" s="80" t="n"/>
      <c r="L1199" s="80" t="n"/>
      <c r="M1199" s="80" t="n"/>
      <c r="N1199" s="80" t="n"/>
      <c r="O1199" s="80" t="n"/>
      <c r="P1199" s="80" t="n"/>
      <c r="Q1199" s="80" t="n"/>
      <c r="R1199" s="80" t="n"/>
      <c r="S1199" s="80" t="n"/>
      <c r="T1199" s="80" t="n"/>
      <c r="U1199" s="80" t="n"/>
      <c r="V1199" s="80" t="n"/>
      <c r="W1199" s="80" t="n"/>
      <c r="X1199" s="80" t="n"/>
      <c r="Y1199" s="80" t="n"/>
      <c r="Z1199" s="80" t="n"/>
      <c r="AA1199" s="80" t="n"/>
      <c r="AB1199" s="80" t="n"/>
      <c r="AC1199" s="80" t="n"/>
      <c r="AD1199" s="80" t="n"/>
      <c r="AE1199" s="80" t="n"/>
      <c r="AF1199" s="80" t="n"/>
      <c r="AG1199" s="80" t="n"/>
      <c r="AH1199" s="80" t="n"/>
      <c r="AI1199" s="80" t="n"/>
      <c r="AJ1199" s="80" t="n"/>
      <c r="AK1199" s="80" t="n"/>
      <c r="AL1199" s="80" t="n"/>
      <c r="AM1199" s="80" t="n"/>
      <c r="AN1199" s="80" t="n"/>
      <c r="AO1199" s="80" t="n"/>
      <c r="AP1199" s="80" t="n"/>
      <c r="AQ1199" s="80" t="n"/>
      <c r="AR1199" s="80" t="n"/>
    </row>
    <row r="1200">
      <c r="D1200" s="80" t="n"/>
      <c r="E1200" s="80" t="n"/>
      <c r="F1200" s="80" t="n"/>
      <c r="G1200" s="80" t="n"/>
      <c r="H1200" s="80" t="n"/>
      <c r="I1200" s="80" t="n"/>
      <c r="J1200" s="80" t="n"/>
      <c r="K1200" s="80" t="n"/>
      <c r="L1200" s="80" t="n"/>
      <c r="M1200" s="80" t="n"/>
      <c r="N1200" s="80" t="n"/>
      <c r="O1200" s="80" t="n"/>
      <c r="P1200" s="80" t="n"/>
      <c r="Q1200" s="80" t="n"/>
      <c r="R1200" s="80" t="n"/>
      <c r="S1200" s="80" t="n"/>
      <c r="T1200" s="80" t="n"/>
      <c r="U1200" s="80" t="n"/>
      <c r="V1200" s="80" t="n"/>
      <c r="W1200" s="80" t="n"/>
      <c r="X1200" s="80" t="n"/>
      <c r="Y1200" s="80" t="n"/>
      <c r="Z1200" s="80" t="n"/>
      <c r="AA1200" s="80" t="n"/>
      <c r="AB1200" s="80" t="n"/>
      <c r="AC1200" s="80" t="n"/>
      <c r="AD1200" s="80" t="n"/>
      <c r="AE1200" s="80" t="n"/>
      <c r="AF1200" s="80" t="n"/>
      <c r="AG1200" s="80" t="n"/>
      <c r="AH1200" s="80" t="n"/>
      <c r="AI1200" s="80" t="n"/>
      <c r="AJ1200" s="80" t="n"/>
      <c r="AK1200" s="80" t="n"/>
      <c r="AL1200" s="80" t="n"/>
      <c r="AM1200" s="80" t="n"/>
      <c r="AN1200" s="80" t="n"/>
      <c r="AO1200" s="80" t="n"/>
      <c r="AP1200" s="80" t="n"/>
      <c r="AQ1200" s="80" t="n"/>
      <c r="AR1200" s="80" t="n"/>
    </row>
    <row r="1201">
      <c r="A1201" s="2">
        <f>IF($A1194="","","   projections")</f>
        <v/>
      </c>
      <c r="B1201" s="41">
        <f>IF($A1194="",0,COUNT($E1202:$AR1202))</f>
        <v/>
      </c>
      <c r="C1201" s="81">
        <f>IF($B1201=0,0,MAX($E1202:$AR1202))</f>
        <v/>
      </c>
      <c r="D1201" s="82">
        <f>BDS($A1194,'Field Check'!$C$6,"headers=y","startcol=1","endcol=7","dir=h")</f>
        <v/>
      </c>
      <c r="E1201" s="83" t="n"/>
      <c r="F1201" s="83" t="n"/>
      <c r="G1201" s="83" t="n"/>
      <c r="H1201" s="83" t="n"/>
      <c r="I1201" s="83" t="n"/>
      <c r="J1201" s="83" t="n"/>
      <c r="K1201" s="83" t="n"/>
      <c r="L1201" s="83" t="n"/>
      <c r="M1201" s="83" t="n"/>
      <c r="N1201" s="83" t="n"/>
      <c r="O1201" s="83" t="n"/>
      <c r="P1201" s="83" t="n"/>
      <c r="Q1201" s="83" t="n"/>
      <c r="R1201" s="83" t="n"/>
      <c r="S1201" s="83" t="n"/>
      <c r="T1201" s="83" t="n"/>
      <c r="U1201" s="83" t="n"/>
      <c r="V1201" s="83" t="n"/>
      <c r="W1201" s="83" t="n"/>
      <c r="X1201" s="83" t="n"/>
      <c r="Y1201" s="83" t="n"/>
      <c r="Z1201" s="83" t="n"/>
      <c r="AA1201" s="83" t="n"/>
      <c r="AB1201" s="83" t="n"/>
      <c r="AC1201" s="83" t="n"/>
      <c r="AD1201" s="83" t="n"/>
      <c r="AE1201" s="83" t="n"/>
      <c r="AF1201" s="83" t="n"/>
      <c r="AG1201" s="83" t="n"/>
      <c r="AH1201" s="83" t="n"/>
      <c r="AI1201" s="83" t="n"/>
      <c r="AJ1201" s="83" t="n"/>
      <c r="AK1201" s="83" t="n"/>
      <c r="AL1201" s="83" t="n"/>
      <c r="AM1201" s="83" t="n"/>
      <c r="AN1201" s="83" t="n"/>
      <c r="AO1201" s="83" t="n"/>
      <c r="AP1201" s="83" t="n"/>
      <c r="AQ1201" s="83" t="n"/>
      <c r="AR1201" s="83" t="n"/>
    </row>
    <row r="1202">
      <c r="D1202" s="83" t="n"/>
      <c r="E1202" s="83" t="n"/>
      <c r="F1202" s="83" t="n"/>
      <c r="G1202" s="83" t="n"/>
      <c r="H1202" s="83" t="n"/>
      <c r="I1202" s="83" t="n"/>
      <c r="J1202" s="83" t="n"/>
      <c r="K1202" s="83" t="n"/>
      <c r="L1202" s="83" t="n"/>
      <c r="M1202" s="83" t="n"/>
      <c r="N1202" s="83" t="n"/>
      <c r="O1202" s="83" t="n"/>
      <c r="P1202" s="83" t="n"/>
      <c r="Q1202" s="83" t="n"/>
      <c r="R1202" s="83" t="n"/>
      <c r="S1202" s="83" t="n"/>
      <c r="T1202" s="83" t="n"/>
      <c r="U1202" s="83" t="n"/>
      <c r="V1202" s="83" t="n"/>
      <c r="W1202" s="83" t="n"/>
      <c r="X1202" s="83" t="n"/>
      <c r="Y1202" s="83" t="n"/>
      <c r="Z1202" s="83" t="n"/>
      <c r="AA1202" s="83" t="n"/>
      <c r="AB1202" s="83" t="n"/>
      <c r="AC1202" s="83" t="n"/>
      <c r="AD1202" s="83" t="n"/>
      <c r="AE1202" s="83" t="n"/>
      <c r="AF1202" s="83" t="n"/>
      <c r="AG1202" s="83" t="n"/>
      <c r="AH1202" s="83" t="n"/>
      <c r="AI1202" s="83" t="n"/>
      <c r="AJ1202" s="83" t="n"/>
      <c r="AK1202" s="83" t="n"/>
      <c r="AL1202" s="83" t="n"/>
      <c r="AM1202" s="83" t="n"/>
      <c r="AN1202" s="83" t="n"/>
      <c r="AO1202" s="83" t="n"/>
      <c r="AP1202" s="83" t="n"/>
      <c r="AQ1202" s="83" t="n"/>
      <c r="AR1202" s="83" t="n"/>
    </row>
    <row r="1203">
      <c r="D1203" s="84" t="n"/>
      <c r="E1203" s="84" t="n"/>
      <c r="F1203" s="84" t="n"/>
      <c r="G1203" s="84" t="n"/>
      <c r="H1203" s="84" t="n"/>
      <c r="I1203" s="84" t="n"/>
      <c r="J1203" s="84" t="n"/>
      <c r="K1203" s="84" t="n"/>
      <c r="L1203" s="84" t="n"/>
      <c r="M1203" s="84" t="n"/>
      <c r="N1203" s="84" t="n"/>
      <c r="O1203" s="84" t="n"/>
      <c r="P1203" s="84" t="n"/>
      <c r="Q1203" s="84" t="n"/>
      <c r="R1203" s="84" t="n"/>
      <c r="S1203" s="84" t="n"/>
      <c r="T1203" s="84" t="n"/>
      <c r="U1203" s="84" t="n"/>
      <c r="V1203" s="84" t="n"/>
      <c r="W1203" s="84" t="n"/>
      <c r="X1203" s="84" t="n"/>
      <c r="Y1203" s="84" t="n"/>
      <c r="Z1203" s="84" t="n"/>
      <c r="AA1203" s="84" t="n"/>
      <c r="AB1203" s="84" t="n"/>
      <c r="AC1203" s="84" t="n"/>
      <c r="AD1203" s="84" t="n"/>
      <c r="AE1203" s="84" t="n"/>
      <c r="AF1203" s="84" t="n"/>
      <c r="AG1203" s="84" t="n"/>
      <c r="AH1203" s="84" t="n"/>
      <c r="AI1203" s="84" t="n"/>
      <c r="AJ1203" s="84" t="n"/>
      <c r="AK1203" s="84" t="n"/>
      <c r="AL1203" s="84" t="n"/>
      <c r="AM1203" s="84" t="n"/>
      <c r="AN1203" s="84" t="n"/>
      <c r="AO1203" s="84" t="n"/>
      <c r="AP1203" s="84" t="n"/>
      <c r="AQ1203" s="84" t="n"/>
      <c r="AR1203" s="84" t="n"/>
    </row>
    <row r="1204">
      <c r="D1204" s="80" t="n"/>
      <c r="E1204" s="80" t="n"/>
      <c r="F1204" s="80" t="n"/>
      <c r="G1204" s="80" t="n"/>
      <c r="H1204" s="80" t="n"/>
      <c r="I1204" s="80" t="n"/>
      <c r="J1204" s="80" t="n"/>
      <c r="K1204" s="80" t="n"/>
      <c r="L1204" s="80" t="n"/>
      <c r="M1204" s="80" t="n"/>
      <c r="N1204" s="80" t="n"/>
      <c r="O1204" s="80" t="n"/>
      <c r="P1204" s="80" t="n"/>
      <c r="Q1204" s="80" t="n"/>
      <c r="R1204" s="80" t="n"/>
      <c r="S1204" s="80" t="n"/>
      <c r="T1204" s="80" t="n"/>
      <c r="U1204" s="80" t="n"/>
      <c r="V1204" s="80" t="n"/>
      <c r="W1204" s="80" t="n"/>
      <c r="X1204" s="80" t="n"/>
      <c r="Y1204" s="80" t="n"/>
      <c r="Z1204" s="80" t="n"/>
      <c r="AA1204" s="80" t="n"/>
      <c r="AB1204" s="80" t="n"/>
      <c r="AC1204" s="80" t="n"/>
      <c r="AD1204" s="80" t="n"/>
      <c r="AE1204" s="80" t="n"/>
      <c r="AF1204" s="80" t="n"/>
      <c r="AG1204" s="80" t="n"/>
      <c r="AH1204" s="80" t="n"/>
      <c r="AI1204" s="80" t="n"/>
      <c r="AJ1204" s="80" t="n"/>
      <c r="AK1204" s="80" t="n"/>
      <c r="AL1204" s="80" t="n"/>
      <c r="AM1204" s="80" t="n"/>
      <c r="AN1204" s="80" t="n"/>
      <c r="AO1204" s="80" t="n"/>
      <c r="AP1204" s="80" t="n"/>
      <c r="AQ1204" s="80" t="n"/>
      <c r="AR1204" s="80" t="n"/>
    </row>
    <row r="1205">
      <c r="D1205" s="80" t="n"/>
      <c r="E1205" s="80" t="n"/>
      <c r="F1205" s="80" t="n"/>
      <c r="G1205" s="80" t="n"/>
      <c r="H1205" s="80" t="n"/>
      <c r="I1205" s="80" t="n"/>
      <c r="J1205" s="80" t="n"/>
      <c r="K1205" s="80" t="n"/>
      <c r="L1205" s="80" t="n"/>
      <c r="M1205" s="80" t="n"/>
      <c r="N1205" s="80" t="n"/>
      <c r="O1205" s="80" t="n"/>
      <c r="P1205" s="80" t="n"/>
      <c r="Q1205" s="80" t="n"/>
      <c r="R1205" s="80" t="n"/>
      <c r="S1205" s="80" t="n"/>
      <c r="T1205" s="80" t="n"/>
      <c r="U1205" s="80" t="n"/>
      <c r="V1205" s="80" t="n"/>
      <c r="W1205" s="80" t="n"/>
      <c r="X1205" s="80" t="n"/>
      <c r="Y1205" s="80" t="n"/>
      <c r="Z1205" s="80" t="n"/>
      <c r="AA1205" s="80" t="n"/>
      <c r="AB1205" s="80" t="n"/>
      <c r="AC1205" s="80" t="n"/>
      <c r="AD1205" s="80" t="n"/>
      <c r="AE1205" s="80" t="n"/>
      <c r="AF1205" s="80" t="n"/>
      <c r="AG1205" s="80" t="n"/>
      <c r="AH1205" s="80" t="n"/>
      <c r="AI1205" s="80" t="n"/>
      <c r="AJ1205" s="80" t="n"/>
      <c r="AK1205" s="80" t="n"/>
      <c r="AL1205" s="80" t="n"/>
      <c r="AM1205" s="80" t="n"/>
      <c r="AN1205" s="80" t="n"/>
      <c r="AO1205" s="80" t="n"/>
      <c r="AP1205" s="80" t="n"/>
      <c r="AQ1205" s="80" t="n"/>
      <c r="AR1205" s="80" t="n"/>
    </row>
    <row r="1206">
      <c r="D1206" s="80" t="n"/>
      <c r="E1206" s="80" t="n"/>
      <c r="F1206" s="80" t="n"/>
      <c r="G1206" s="80" t="n"/>
      <c r="H1206" s="80" t="n"/>
      <c r="I1206" s="80" t="n"/>
      <c r="J1206" s="80" t="n"/>
      <c r="K1206" s="80" t="n"/>
      <c r="L1206" s="80" t="n"/>
      <c r="M1206" s="80" t="n"/>
      <c r="N1206" s="80" t="n"/>
      <c r="O1206" s="80" t="n"/>
      <c r="P1206" s="80" t="n"/>
      <c r="Q1206" s="80" t="n"/>
      <c r="R1206" s="80" t="n"/>
      <c r="S1206" s="80" t="n"/>
      <c r="T1206" s="80" t="n"/>
      <c r="U1206" s="80" t="n"/>
      <c r="V1206" s="80" t="n"/>
      <c r="W1206" s="80" t="n"/>
      <c r="X1206" s="80" t="n"/>
      <c r="Y1206" s="80" t="n"/>
      <c r="Z1206" s="80" t="n"/>
      <c r="AA1206" s="80" t="n"/>
      <c r="AB1206" s="80" t="n"/>
      <c r="AC1206" s="80" t="n"/>
      <c r="AD1206" s="80" t="n"/>
      <c r="AE1206" s="80" t="n"/>
      <c r="AF1206" s="80" t="n"/>
      <c r="AG1206" s="80" t="n"/>
      <c r="AH1206" s="80" t="n"/>
      <c r="AI1206" s="80" t="n"/>
      <c r="AJ1206" s="80" t="n"/>
      <c r="AK1206" s="80" t="n"/>
      <c r="AL1206" s="80" t="n"/>
      <c r="AM1206" s="80" t="n"/>
      <c r="AN1206" s="80" t="n"/>
      <c r="AO1206" s="80" t="n"/>
      <c r="AP1206" s="80" t="n"/>
      <c r="AQ1206" s="80" t="n"/>
      <c r="AR1206" s="80" t="n"/>
    </row>
    <row r="1207">
      <c r="D1207" s="80" t="n"/>
      <c r="E1207" s="80" t="n"/>
      <c r="F1207" s="80" t="n"/>
      <c r="G1207" s="80" t="n"/>
      <c r="H1207" s="80" t="n"/>
      <c r="I1207" s="80" t="n"/>
      <c r="J1207" s="80" t="n"/>
      <c r="K1207" s="80" t="n"/>
      <c r="L1207" s="80" t="n"/>
      <c r="M1207" s="80" t="n"/>
      <c r="N1207" s="80" t="n"/>
      <c r="O1207" s="80" t="n"/>
      <c r="P1207" s="80" t="n"/>
      <c r="Q1207" s="80" t="n"/>
      <c r="R1207" s="80" t="n"/>
      <c r="S1207" s="80" t="n"/>
      <c r="T1207" s="80" t="n"/>
      <c r="U1207" s="80" t="n"/>
      <c r="V1207" s="80" t="n"/>
      <c r="W1207" s="80" t="n"/>
      <c r="X1207" s="80" t="n"/>
      <c r="Y1207" s="80" t="n"/>
      <c r="Z1207" s="80" t="n"/>
      <c r="AA1207" s="80" t="n"/>
      <c r="AB1207" s="80" t="n"/>
      <c r="AC1207" s="80" t="n"/>
      <c r="AD1207" s="80" t="n"/>
      <c r="AE1207" s="80" t="n"/>
      <c r="AF1207" s="80" t="n"/>
      <c r="AG1207" s="80" t="n"/>
      <c r="AH1207" s="80" t="n"/>
      <c r="AI1207" s="80" t="n"/>
      <c r="AJ1207" s="80" t="n"/>
      <c r="AK1207" s="80" t="n"/>
      <c r="AL1207" s="80" t="n"/>
      <c r="AM1207" s="80" t="n"/>
      <c r="AN1207" s="80" t="n"/>
      <c r="AO1207" s="80" t="n"/>
      <c r="AP1207" s="80" t="n"/>
      <c r="AQ1207" s="80" t="n"/>
      <c r="AR1207" s="80" t="n"/>
    </row>
    <row r="1209">
      <c r="A1209" s="6">
        <f>IF(HSI!$C$87="","",HSI!$C$87)</f>
        <v/>
      </c>
      <c r="B1209" s="41">
        <f>IF($A1209="",0,COUNT($E1210:$AR1210))</f>
        <v/>
      </c>
      <c r="C1209" s="81">
        <f>IF($B1209=0,0,MAX($E1210:$AR1210))</f>
        <v/>
      </c>
      <c r="D1209" s="82">
        <f>BDS($A1209,'Field Check'!$C$7,"headers=y","startcol=1","endcol=7","dir=h","DVD_START_DT",Summary!$C$18,"DVD_END_DT",Summary!$D$18)</f>
        <v/>
      </c>
      <c r="E1209" s="83" t="n"/>
      <c r="F1209" s="83" t="n"/>
      <c r="G1209" s="83" t="n"/>
      <c r="H1209" s="83" t="n"/>
      <c r="I1209" s="83" t="n"/>
      <c r="J1209" s="83" t="n"/>
      <c r="K1209" s="83" t="n"/>
      <c r="L1209" s="83" t="n"/>
      <c r="M1209" s="83" t="n"/>
      <c r="N1209" s="83" t="n"/>
      <c r="O1209" s="83" t="n"/>
      <c r="P1209" s="83" t="n"/>
      <c r="Q1209" s="83" t="n"/>
      <c r="R1209" s="83" t="n"/>
      <c r="S1209" s="83" t="n"/>
      <c r="T1209" s="83" t="n"/>
      <c r="U1209" s="83" t="n"/>
      <c r="V1209" s="83" t="n"/>
      <c r="W1209" s="83" t="n"/>
      <c r="X1209" s="83" t="n"/>
      <c r="Y1209" s="83" t="n"/>
      <c r="Z1209" s="83" t="n"/>
      <c r="AA1209" s="83" t="n"/>
      <c r="AB1209" s="83" t="n"/>
      <c r="AC1209" s="83" t="n"/>
      <c r="AD1209" s="83" t="n"/>
      <c r="AE1209" s="83" t="n"/>
      <c r="AF1209" s="83" t="n"/>
      <c r="AG1209" s="83" t="n"/>
      <c r="AH1209" s="83" t="n"/>
      <c r="AI1209" s="83" t="n"/>
      <c r="AJ1209" s="83" t="n"/>
      <c r="AK1209" s="83" t="n"/>
      <c r="AL1209" s="83" t="n"/>
      <c r="AM1209" s="83" t="n"/>
      <c r="AN1209" s="83" t="n"/>
      <c r="AO1209" s="83" t="n"/>
      <c r="AP1209" s="83" t="n"/>
      <c r="AQ1209" s="83" t="n"/>
      <c r="AR1209" s="83" t="n"/>
    </row>
    <row r="1210">
      <c r="D1210" s="83" t="n"/>
      <c r="E1210" s="83" t="n"/>
      <c r="F1210" s="83" t="n"/>
      <c r="G1210" s="83" t="n"/>
      <c r="H1210" s="83" t="n"/>
      <c r="I1210" s="83" t="n"/>
      <c r="J1210" s="83" t="n"/>
      <c r="K1210" s="83" t="n"/>
      <c r="L1210" s="83" t="n"/>
      <c r="M1210" s="83" t="n"/>
      <c r="N1210" s="83" t="n"/>
      <c r="O1210" s="83" t="n"/>
      <c r="P1210" s="83" t="n"/>
      <c r="Q1210" s="83" t="n"/>
      <c r="R1210" s="83" t="n"/>
      <c r="S1210" s="83" t="n"/>
      <c r="T1210" s="83" t="n"/>
      <c r="U1210" s="83" t="n"/>
      <c r="V1210" s="83" t="n"/>
      <c r="W1210" s="83" t="n"/>
      <c r="X1210" s="83" t="n"/>
      <c r="Y1210" s="83" t="n"/>
      <c r="Z1210" s="83" t="n"/>
      <c r="AA1210" s="83" t="n"/>
      <c r="AB1210" s="83" t="n"/>
      <c r="AC1210" s="83" t="n"/>
      <c r="AD1210" s="83" t="n"/>
      <c r="AE1210" s="83" t="n"/>
      <c r="AF1210" s="83" t="n"/>
      <c r="AG1210" s="83" t="n"/>
      <c r="AH1210" s="83" t="n"/>
      <c r="AI1210" s="83" t="n"/>
      <c r="AJ1210" s="83" t="n"/>
      <c r="AK1210" s="83" t="n"/>
      <c r="AL1210" s="83" t="n"/>
      <c r="AM1210" s="83" t="n"/>
      <c r="AN1210" s="83" t="n"/>
      <c r="AO1210" s="83" t="n"/>
      <c r="AP1210" s="83" t="n"/>
      <c r="AQ1210" s="83" t="n"/>
      <c r="AR1210" s="83" t="n"/>
    </row>
    <row r="1211">
      <c r="D1211" s="84" t="n"/>
      <c r="E1211" s="84" t="n"/>
      <c r="F1211" s="84" t="n"/>
      <c r="G1211" s="84" t="n"/>
      <c r="H1211" s="84" t="n"/>
      <c r="I1211" s="84" t="n"/>
      <c r="J1211" s="84" t="n"/>
      <c r="K1211" s="84" t="n"/>
      <c r="L1211" s="84" t="n"/>
      <c r="M1211" s="84" t="n"/>
      <c r="N1211" s="84" t="n"/>
      <c r="O1211" s="84" t="n"/>
      <c r="P1211" s="84" t="n"/>
      <c r="Q1211" s="84" t="n"/>
      <c r="R1211" s="84" t="n"/>
      <c r="S1211" s="84" t="n"/>
      <c r="T1211" s="84" t="n"/>
      <c r="U1211" s="84" t="n"/>
      <c r="V1211" s="84" t="n"/>
      <c r="W1211" s="84" t="n"/>
      <c r="X1211" s="84" t="n"/>
      <c r="Y1211" s="84" t="n"/>
      <c r="Z1211" s="84" t="n"/>
      <c r="AA1211" s="84" t="n"/>
      <c r="AB1211" s="84" t="n"/>
      <c r="AC1211" s="84" t="n"/>
      <c r="AD1211" s="84" t="n"/>
      <c r="AE1211" s="84" t="n"/>
      <c r="AF1211" s="84" t="n"/>
      <c r="AG1211" s="84" t="n"/>
      <c r="AH1211" s="84" t="n"/>
      <c r="AI1211" s="84" t="n"/>
      <c r="AJ1211" s="84" t="n"/>
      <c r="AK1211" s="84" t="n"/>
      <c r="AL1211" s="84" t="n"/>
      <c r="AM1211" s="84" t="n"/>
      <c r="AN1211" s="84" t="n"/>
      <c r="AO1211" s="84" t="n"/>
      <c r="AP1211" s="84" t="n"/>
      <c r="AQ1211" s="84" t="n"/>
      <c r="AR1211" s="84" t="n"/>
    </row>
    <row r="1212">
      <c r="D1212" s="80" t="n"/>
      <c r="E1212" s="80" t="n"/>
      <c r="F1212" s="80" t="n"/>
      <c r="G1212" s="80" t="n"/>
      <c r="H1212" s="80" t="n"/>
      <c r="I1212" s="80" t="n"/>
      <c r="J1212" s="80" t="n"/>
      <c r="K1212" s="80" t="n"/>
      <c r="L1212" s="80" t="n"/>
      <c r="M1212" s="80" t="n"/>
      <c r="N1212" s="80" t="n"/>
      <c r="O1212" s="80" t="n"/>
      <c r="P1212" s="80" t="n"/>
      <c r="Q1212" s="80" t="n"/>
      <c r="R1212" s="80" t="n"/>
      <c r="S1212" s="80" t="n"/>
      <c r="T1212" s="80" t="n"/>
      <c r="U1212" s="80" t="n"/>
      <c r="V1212" s="80" t="n"/>
      <c r="W1212" s="80" t="n"/>
      <c r="X1212" s="80" t="n"/>
      <c r="Y1212" s="80" t="n"/>
      <c r="Z1212" s="80" t="n"/>
      <c r="AA1212" s="80" t="n"/>
      <c r="AB1212" s="80" t="n"/>
      <c r="AC1212" s="80" t="n"/>
      <c r="AD1212" s="80" t="n"/>
      <c r="AE1212" s="80" t="n"/>
      <c r="AF1212" s="80" t="n"/>
      <c r="AG1212" s="80" t="n"/>
      <c r="AH1212" s="80" t="n"/>
      <c r="AI1212" s="80" t="n"/>
      <c r="AJ1212" s="80" t="n"/>
      <c r="AK1212" s="80" t="n"/>
      <c r="AL1212" s="80" t="n"/>
      <c r="AM1212" s="80" t="n"/>
      <c r="AN1212" s="80" t="n"/>
      <c r="AO1212" s="80" t="n"/>
      <c r="AP1212" s="80" t="n"/>
      <c r="AQ1212" s="80" t="n"/>
      <c r="AR1212" s="80" t="n"/>
    </row>
    <row r="1213">
      <c r="D1213" s="80" t="n"/>
      <c r="E1213" s="80" t="n"/>
      <c r="F1213" s="80" t="n"/>
      <c r="G1213" s="80" t="n"/>
      <c r="H1213" s="80" t="n"/>
      <c r="I1213" s="80" t="n"/>
      <c r="J1213" s="80" t="n"/>
      <c r="K1213" s="80" t="n"/>
      <c r="L1213" s="80" t="n"/>
      <c r="M1213" s="80" t="n"/>
      <c r="N1213" s="80" t="n"/>
      <c r="O1213" s="80" t="n"/>
      <c r="P1213" s="80" t="n"/>
      <c r="Q1213" s="80" t="n"/>
      <c r="R1213" s="80" t="n"/>
      <c r="S1213" s="80" t="n"/>
      <c r="T1213" s="80" t="n"/>
      <c r="U1213" s="80" t="n"/>
      <c r="V1213" s="80" t="n"/>
      <c r="W1213" s="80" t="n"/>
      <c r="X1213" s="80" t="n"/>
      <c r="Y1213" s="80" t="n"/>
      <c r="Z1213" s="80" t="n"/>
      <c r="AA1213" s="80" t="n"/>
      <c r="AB1213" s="80" t="n"/>
      <c r="AC1213" s="80" t="n"/>
      <c r="AD1213" s="80" t="n"/>
      <c r="AE1213" s="80" t="n"/>
      <c r="AF1213" s="80" t="n"/>
      <c r="AG1213" s="80" t="n"/>
      <c r="AH1213" s="80" t="n"/>
      <c r="AI1213" s="80" t="n"/>
      <c r="AJ1213" s="80" t="n"/>
      <c r="AK1213" s="80" t="n"/>
      <c r="AL1213" s="80" t="n"/>
      <c r="AM1213" s="80" t="n"/>
      <c r="AN1213" s="80" t="n"/>
      <c r="AO1213" s="80" t="n"/>
      <c r="AP1213" s="80" t="n"/>
      <c r="AQ1213" s="80" t="n"/>
      <c r="AR1213" s="80" t="n"/>
    </row>
    <row r="1214">
      <c r="D1214" s="80" t="n"/>
      <c r="E1214" s="80" t="n"/>
      <c r="F1214" s="80" t="n"/>
      <c r="G1214" s="80" t="n"/>
      <c r="H1214" s="80" t="n"/>
      <c r="I1214" s="80" t="n"/>
      <c r="J1214" s="80" t="n"/>
      <c r="K1214" s="80" t="n"/>
      <c r="L1214" s="80" t="n"/>
      <c r="M1214" s="80" t="n"/>
      <c r="N1214" s="80" t="n"/>
      <c r="O1214" s="80" t="n"/>
      <c r="P1214" s="80" t="n"/>
      <c r="Q1214" s="80" t="n"/>
      <c r="R1214" s="80" t="n"/>
      <c r="S1214" s="80" t="n"/>
      <c r="T1214" s="80" t="n"/>
      <c r="U1214" s="80" t="n"/>
      <c r="V1214" s="80" t="n"/>
      <c r="W1214" s="80" t="n"/>
      <c r="X1214" s="80" t="n"/>
      <c r="Y1214" s="80" t="n"/>
      <c r="Z1214" s="80" t="n"/>
      <c r="AA1214" s="80" t="n"/>
      <c r="AB1214" s="80" t="n"/>
      <c r="AC1214" s="80" t="n"/>
      <c r="AD1214" s="80" t="n"/>
      <c r="AE1214" s="80" t="n"/>
      <c r="AF1214" s="80" t="n"/>
      <c r="AG1214" s="80" t="n"/>
      <c r="AH1214" s="80" t="n"/>
      <c r="AI1214" s="80" t="n"/>
      <c r="AJ1214" s="80" t="n"/>
      <c r="AK1214" s="80" t="n"/>
      <c r="AL1214" s="80" t="n"/>
      <c r="AM1214" s="80" t="n"/>
      <c r="AN1214" s="80" t="n"/>
      <c r="AO1214" s="80" t="n"/>
      <c r="AP1214" s="80" t="n"/>
      <c r="AQ1214" s="80" t="n"/>
      <c r="AR1214" s="80" t="n"/>
    </row>
    <row r="1215">
      <c r="D1215" s="80" t="n"/>
      <c r="E1215" s="80" t="n"/>
      <c r="F1215" s="80" t="n"/>
      <c r="G1215" s="80" t="n"/>
      <c r="H1215" s="80" t="n"/>
      <c r="I1215" s="80" t="n"/>
      <c r="J1215" s="80" t="n"/>
      <c r="K1215" s="80" t="n"/>
      <c r="L1215" s="80" t="n"/>
      <c r="M1215" s="80" t="n"/>
      <c r="N1215" s="80" t="n"/>
      <c r="O1215" s="80" t="n"/>
      <c r="P1215" s="80" t="n"/>
      <c r="Q1215" s="80" t="n"/>
      <c r="R1215" s="80" t="n"/>
      <c r="S1215" s="80" t="n"/>
      <c r="T1215" s="80" t="n"/>
      <c r="U1215" s="80" t="n"/>
      <c r="V1215" s="80" t="n"/>
      <c r="W1215" s="80" t="n"/>
      <c r="X1215" s="80" t="n"/>
      <c r="Y1215" s="80" t="n"/>
      <c r="Z1215" s="80" t="n"/>
      <c r="AA1215" s="80" t="n"/>
      <c r="AB1215" s="80" t="n"/>
      <c r="AC1215" s="80" t="n"/>
      <c r="AD1215" s="80" t="n"/>
      <c r="AE1215" s="80" t="n"/>
      <c r="AF1215" s="80" t="n"/>
      <c r="AG1215" s="80" t="n"/>
      <c r="AH1215" s="80" t="n"/>
      <c r="AI1215" s="80" t="n"/>
      <c r="AJ1215" s="80" t="n"/>
      <c r="AK1215" s="80" t="n"/>
      <c r="AL1215" s="80" t="n"/>
      <c r="AM1215" s="80" t="n"/>
      <c r="AN1215" s="80" t="n"/>
      <c r="AO1215" s="80" t="n"/>
      <c r="AP1215" s="80" t="n"/>
      <c r="AQ1215" s="80" t="n"/>
      <c r="AR1215" s="80" t="n"/>
    </row>
    <row r="1216">
      <c r="A1216" s="2">
        <f>IF($A1209="","","   projections")</f>
        <v/>
      </c>
      <c r="B1216" s="41">
        <f>IF($A1209="",0,COUNT($E1217:$AR1217))</f>
        <v/>
      </c>
      <c r="C1216" s="81">
        <f>IF($B1216=0,0,MAX($E1217:$AR1217))</f>
        <v/>
      </c>
      <c r="D1216" s="82">
        <f>BDS($A1209,'Field Check'!$C$6,"headers=y","startcol=1","endcol=7","dir=h")</f>
        <v/>
      </c>
      <c r="E1216" s="83" t="n"/>
      <c r="F1216" s="83" t="n"/>
      <c r="G1216" s="83" t="n"/>
      <c r="H1216" s="83" t="n"/>
      <c r="I1216" s="83" t="n"/>
      <c r="J1216" s="83" t="n"/>
      <c r="K1216" s="83" t="n"/>
      <c r="L1216" s="83" t="n"/>
      <c r="M1216" s="83" t="n"/>
      <c r="N1216" s="83" t="n"/>
      <c r="O1216" s="83" t="n"/>
      <c r="P1216" s="83" t="n"/>
      <c r="Q1216" s="83" t="n"/>
      <c r="R1216" s="83" t="n"/>
      <c r="S1216" s="83" t="n"/>
      <c r="T1216" s="83" t="n"/>
      <c r="U1216" s="83" t="n"/>
      <c r="V1216" s="83" t="n"/>
      <c r="W1216" s="83" t="n"/>
      <c r="X1216" s="83" t="n"/>
      <c r="Y1216" s="83" t="n"/>
      <c r="Z1216" s="83" t="n"/>
      <c r="AA1216" s="83" t="n"/>
      <c r="AB1216" s="83" t="n"/>
      <c r="AC1216" s="83" t="n"/>
      <c r="AD1216" s="83" t="n"/>
      <c r="AE1216" s="83" t="n"/>
      <c r="AF1216" s="83" t="n"/>
      <c r="AG1216" s="83" t="n"/>
      <c r="AH1216" s="83" t="n"/>
      <c r="AI1216" s="83" t="n"/>
      <c r="AJ1216" s="83" t="n"/>
      <c r="AK1216" s="83" t="n"/>
      <c r="AL1216" s="83" t="n"/>
      <c r="AM1216" s="83" t="n"/>
      <c r="AN1216" s="83" t="n"/>
      <c r="AO1216" s="83" t="n"/>
      <c r="AP1216" s="83" t="n"/>
      <c r="AQ1216" s="83" t="n"/>
      <c r="AR1216" s="83" t="n"/>
    </row>
    <row r="1217">
      <c r="D1217" s="83" t="n"/>
      <c r="E1217" s="83" t="n"/>
      <c r="F1217" s="83" t="n"/>
      <c r="G1217" s="83" t="n"/>
      <c r="H1217" s="83" t="n"/>
      <c r="I1217" s="83" t="n"/>
      <c r="J1217" s="83" t="n"/>
      <c r="K1217" s="83" t="n"/>
      <c r="L1217" s="83" t="n"/>
      <c r="M1217" s="83" t="n"/>
      <c r="N1217" s="83" t="n"/>
      <c r="O1217" s="83" t="n"/>
      <c r="P1217" s="83" t="n"/>
      <c r="Q1217" s="83" t="n"/>
      <c r="R1217" s="83" t="n"/>
      <c r="S1217" s="83" t="n"/>
      <c r="T1217" s="83" t="n"/>
      <c r="U1217" s="83" t="n"/>
      <c r="V1217" s="83" t="n"/>
      <c r="W1217" s="83" t="n"/>
      <c r="X1217" s="83" t="n"/>
      <c r="Y1217" s="83" t="n"/>
      <c r="Z1217" s="83" t="n"/>
      <c r="AA1217" s="83" t="n"/>
      <c r="AB1217" s="83" t="n"/>
      <c r="AC1217" s="83" t="n"/>
      <c r="AD1217" s="83" t="n"/>
      <c r="AE1217" s="83" t="n"/>
      <c r="AF1217" s="83" t="n"/>
      <c r="AG1217" s="83" t="n"/>
      <c r="AH1217" s="83" t="n"/>
      <c r="AI1217" s="83" t="n"/>
      <c r="AJ1217" s="83" t="n"/>
      <c r="AK1217" s="83" t="n"/>
      <c r="AL1217" s="83" t="n"/>
      <c r="AM1217" s="83" t="n"/>
      <c r="AN1217" s="83" t="n"/>
      <c r="AO1217" s="83" t="n"/>
      <c r="AP1217" s="83" t="n"/>
      <c r="AQ1217" s="83" t="n"/>
      <c r="AR1217" s="83" t="n"/>
    </row>
    <row r="1218">
      <c r="D1218" s="84" t="n"/>
      <c r="E1218" s="84" t="n"/>
      <c r="F1218" s="84" t="n"/>
      <c r="G1218" s="84" t="n"/>
      <c r="H1218" s="84" t="n"/>
      <c r="I1218" s="84" t="n"/>
      <c r="J1218" s="84" t="n"/>
      <c r="K1218" s="84" t="n"/>
      <c r="L1218" s="84" t="n"/>
      <c r="M1218" s="84" t="n"/>
      <c r="N1218" s="84" t="n"/>
      <c r="O1218" s="84" t="n"/>
      <c r="P1218" s="84" t="n"/>
      <c r="Q1218" s="84" t="n"/>
      <c r="R1218" s="84" t="n"/>
      <c r="S1218" s="84" t="n"/>
      <c r="T1218" s="84" t="n"/>
      <c r="U1218" s="84" t="n"/>
      <c r="V1218" s="84" t="n"/>
      <c r="W1218" s="84" t="n"/>
      <c r="X1218" s="84" t="n"/>
      <c r="Y1218" s="84" t="n"/>
      <c r="Z1218" s="84" t="n"/>
      <c r="AA1218" s="84" t="n"/>
      <c r="AB1218" s="84" t="n"/>
      <c r="AC1218" s="84" t="n"/>
      <c r="AD1218" s="84" t="n"/>
      <c r="AE1218" s="84" t="n"/>
      <c r="AF1218" s="84" t="n"/>
      <c r="AG1218" s="84" t="n"/>
      <c r="AH1218" s="84" t="n"/>
      <c r="AI1218" s="84" t="n"/>
      <c r="AJ1218" s="84" t="n"/>
      <c r="AK1218" s="84" t="n"/>
      <c r="AL1218" s="84" t="n"/>
      <c r="AM1218" s="84" t="n"/>
      <c r="AN1218" s="84" t="n"/>
      <c r="AO1218" s="84" t="n"/>
      <c r="AP1218" s="84" t="n"/>
      <c r="AQ1218" s="84" t="n"/>
      <c r="AR1218" s="84" t="n"/>
    </row>
    <row r="1219">
      <c r="D1219" s="80" t="n"/>
      <c r="E1219" s="80" t="n"/>
      <c r="F1219" s="80" t="n"/>
      <c r="G1219" s="80" t="n"/>
      <c r="H1219" s="80" t="n"/>
      <c r="I1219" s="80" t="n"/>
      <c r="J1219" s="80" t="n"/>
      <c r="K1219" s="80" t="n"/>
      <c r="L1219" s="80" t="n"/>
      <c r="M1219" s="80" t="n"/>
      <c r="N1219" s="80" t="n"/>
      <c r="O1219" s="80" t="n"/>
      <c r="P1219" s="80" t="n"/>
      <c r="Q1219" s="80" t="n"/>
      <c r="R1219" s="80" t="n"/>
      <c r="S1219" s="80" t="n"/>
      <c r="T1219" s="80" t="n"/>
      <c r="U1219" s="80" t="n"/>
      <c r="V1219" s="80" t="n"/>
      <c r="W1219" s="80" t="n"/>
      <c r="X1219" s="80" t="n"/>
      <c r="Y1219" s="80" t="n"/>
      <c r="Z1219" s="80" t="n"/>
      <c r="AA1219" s="80" t="n"/>
      <c r="AB1219" s="80" t="n"/>
      <c r="AC1219" s="80" t="n"/>
      <c r="AD1219" s="80" t="n"/>
      <c r="AE1219" s="80" t="n"/>
      <c r="AF1219" s="80" t="n"/>
      <c r="AG1219" s="80" t="n"/>
      <c r="AH1219" s="80" t="n"/>
      <c r="AI1219" s="80" t="n"/>
      <c r="AJ1219" s="80" t="n"/>
      <c r="AK1219" s="80" t="n"/>
      <c r="AL1219" s="80" t="n"/>
      <c r="AM1219" s="80" t="n"/>
      <c r="AN1219" s="80" t="n"/>
      <c r="AO1219" s="80" t="n"/>
      <c r="AP1219" s="80" t="n"/>
      <c r="AQ1219" s="80" t="n"/>
      <c r="AR1219" s="80" t="n"/>
    </row>
    <row r="1220">
      <c r="D1220" s="80" t="n"/>
      <c r="E1220" s="80" t="n"/>
      <c r="F1220" s="80" t="n"/>
      <c r="G1220" s="80" t="n"/>
      <c r="H1220" s="80" t="n"/>
      <c r="I1220" s="80" t="n"/>
      <c r="J1220" s="80" t="n"/>
      <c r="K1220" s="80" t="n"/>
      <c r="L1220" s="80" t="n"/>
      <c r="M1220" s="80" t="n"/>
      <c r="N1220" s="80" t="n"/>
      <c r="O1220" s="80" t="n"/>
      <c r="P1220" s="80" t="n"/>
      <c r="Q1220" s="80" t="n"/>
      <c r="R1220" s="80" t="n"/>
      <c r="S1220" s="80" t="n"/>
      <c r="T1220" s="80" t="n"/>
      <c r="U1220" s="80" t="n"/>
      <c r="V1220" s="80" t="n"/>
      <c r="W1220" s="80" t="n"/>
      <c r="X1220" s="80" t="n"/>
      <c r="Y1220" s="80" t="n"/>
      <c r="Z1220" s="80" t="n"/>
      <c r="AA1220" s="80" t="n"/>
      <c r="AB1220" s="80" t="n"/>
      <c r="AC1220" s="80" t="n"/>
      <c r="AD1220" s="80" t="n"/>
      <c r="AE1220" s="80" t="n"/>
      <c r="AF1220" s="80" t="n"/>
      <c r="AG1220" s="80" t="n"/>
      <c r="AH1220" s="80" t="n"/>
      <c r="AI1220" s="80" t="n"/>
      <c r="AJ1220" s="80" t="n"/>
      <c r="AK1220" s="80" t="n"/>
      <c r="AL1220" s="80" t="n"/>
      <c r="AM1220" s="80" t="n"/>
      <c r="AN1220" s="80" t="n"/>
      <c r="AO1220" s="80" t="n"/>
      <c r="AP1220" s="80" t="n"/>
      <c r="AQ1220" s="80" t="n"/>
      <c r="AR1220" s="80" t="n"/>
    </row>
    <row r="1221">
      <c r="D1221" s="80" t="n"/>
      <c r="E1221" s="80" t="n"/>
      <c r="F1221" s="80" t="n"/>
      <c r="G1221" s="80" t="n"/>
      <c r="H1221" s="80" t="n"/>
      <c r="I1221" s="80" t="n"/>
      <c r="J1221" s="80" t="n"/>
      <c r="K1221" s="80" t="n"/>
      <c r="L1221" s="80" t="n"/>
      <c r="M1221" s="80" t="n"/>
      <c r="N1221" s="80" t="n"/>
      <c r="O1221" s="80" t="n"/>
      <c r="P1221" s="80" t="n"/>
      <c r="Q1221" s="80" t="n"/>
      <c r="R1221" s="80" t="n"/>
      <c r="S1221" s="80" t="n"/>
      <c r="T1221" s="80" t="n"/>
      <c r="U1221" s="80" t="n"/>
      <c r="V1221" s="80" t="n"/>
      <c r="W1221" s="80" t="n"/>
      <c r="X1221" s="80" t="n"/>
      <c r="Y1221" s="80" t="n"/>
      <c r="Z1221" s="80" t="n"/>
      <c r="AA1221" s="80" t="n"/>
      <c r="AB1221" s="80" t="n"/>
      <c r="AC1221" s="80" t="n"/>
      <c r="AD1221" s="80" t="n"/>
      <c r="AE1221" s="80" t="n"/>
      <c r="AF1221" s="80" t="n"/>
      <c r="AG1221" s="80" t="n"/>
      <c r="AH1221" s="80" t="n"/>
      <c r="AI1221" s="80" t="n"/>
      <c r="AJ1221" s="80" t="n"/>
      <c r="AK1221" s="80" t="n"/>
      <c r="AL1221" s="80" t="n"/>
      <c r="AM1221" s="80" t="n"/>
      <c r="AN1221" s="80" t="n"/>
      <c r="AO1221" s="80" t="n"/>
      <c r="AP1221" s="80" t="n"/>
      <c r="AQ1221" s="80" t="n"/>
      <c r="AR1221" s="80" t="n"/>
    </row>
    <row r="1222">
      <c r="D1222" s="80" t="n"/>
      <c r="E1222" s="80" t="n"/>
      <c r="F1222" s="80" t="n"/>
      <c r="G1222" s="80" t="n"/>
      <c r="H1222" s="80" t="n"/>
      <c r="I1222" s="80" t="n"/>
      <c r="J1222" s="80" t="n"/>
      <c r="K1222" s="80" t="n"/>
      <c r="L1222" s="80" t="n"/>
      <c r="M1222" s="80" t="n"/>
      <c r="N1222" s="80" t="n"/>
      <c r="O1222" s="80" t="n"/>
      <c r="P1222" s="80" t="n"/>
      <c r="Q1222" s="80" t="n"/>
      <c r="R1222" s="80" t="n"/>
      <c r="S1222" s="80" t="n"/>
      <c r="T1222" s="80" t="n"/>
      <c r="U1222" s="80" t="n"/>
      <c r="V1222" s="80" t="n"/>
      <c r="W1222" s="80" t="n"/>
      <c r="X1222" s="80" t="n"/>
      <c r="Y1222" s="80" t="n"/>
      <c r="Z1222" s="80" t="n"/>
      <c r="AA1222" s="80" t="n"/>
      <c r="AB1222" s="80" t="n"/>
      <c r="AC1222" s="80" t="n"/>
      <c r="AD1222" s="80" t="n"/>
      <c r="AE1222" s="80" t="n"/>
      <c r="AF1222" s="80" t="n"/>
      <c r="AG1222" s="80" t="n"/>
      <c r="AH1222" s="80" t="n"/>
      <c r="AI1222" s="80" t="n"/>
      <c r="AJ1222" s="80" t="n"/>
      <c r="AK1222" s="80" t="n"/>
      <c r="AL1222" s="80" t="n"/>
      <c r="AM1222" s="80" t="n"/>
      <c r="AN1222" s="80" t="n"/>
      <c r="AO1222" s="80" t="n"/>
      <c r="AP1222" s="80" t="n"/>
      <c r="AQ1222" s="80" t="n"/>
      <c r="AR1222" s="80" t="n"/>
    </row>
    <row r="1224">
      <c r="A1224" s="6">
        <f>IF(HSI!$C$88="","",HSI!$C$88)</f>
        <v/>
      </c>
      <c r="B1224" s="41">
        <f>IF($A1224="",0,COUNT($E1225:$AR1225))</f>
        <v/>
      </c>
      <c r="C1224" s="81">
        <f>IF($B1224=0,0,MAX($E1225:$AR1225))</f>
        <v/>
      </c>
      <c r="D1224" s="82">
        <f>BDS($A1224,'Field Check'!$C$7,"headers=y","startcol=1","endcol=7","dir=h","DVD_START_DT",Summary!$C$18,"DVD_END_DT",Summary!$D$18)</f>
        <v/>
      </c>
      <c r="E1224" s="83" t="n"/>
      <c r="F1224" s="83" t="n"/>
      <c r="G1224" s="83" t="n"/>
      <c r="H1224" s="83" t="n"/>
      <c r="I1224" s="83" t="n"/>
      <c r="J1224" s="83" t="n"/>
      <c r="K1224" s="83" t="n"/>
      <c r="L1224" s="83" t="n"/>
      <c r="M1224" s="83" t="n"/>
      <c r="N1224" s="83" t="n"/>
      <c r="O1224" s="83" t="n"/>
      <c r="P1224" s="83" t="n"/>
      <c r="Q1224" s="83" t="n"/>
      <c r="R1224" s="83" t="n"/>
      <c r="S1224" s="83" t="n"/>
      <c r="T1224" s="83" t="n"/>
      <c r="U1224" s="83" t="n"/>
      <c r="V1224" s="83" t="n"/>
      <c r="W1224" s="83" t="n"/>
      <c r="X1224" s="83" t="n"/>
      <c r="Y1224" s="83" t="n"/>
      <c r="Z1224" s="83" t="n"/>
      <c r="AA1224" s="83" t="n"/>
      <c r="AB1224" s="83" t="n"/>
      <c r="AC1224" s="83" t="n"/>
      <c r="AD1224" s="83" t="n"/>
      <c r="AE1224" s="83" t="n"/>
      <c r="AF1224" s="83" t="n"/>
      <c r="AG1224" s="83" t="n"/>
      <c r="AH1224" s="83" t="n"/>
      <c r="AI1224" s="83" t="n"/>
      <c r="AJ1224" s="83" t="n"/>
      <c r="AK1224" s="83" t="n"/>
      <c r="AL1224" s="83" t="n"/>
      <c r="AM1224" s="83" t="n"/>
      <c r="AN1224" s="83" t="n"/>
      <c r="AO1224" s="83" t="n"/>
      <c r="AP1224" s="83" t="n"/>
      <c r="AQ1224" s="83" t="n"/>
      <c r="AR1224" s="83" t="n"/>
    </row>
    <row r="1225">
      <c r="D1225" s="83" t="n"/>
      <c r="E1225" s="83" t="n"/>
      <c r="F1225" s="83" t="n"/>
      <c r="G1225" s="83" t="n"/>
      <c r="H1225" s="83" t="n"/>
      <c r="I1225" s="83" t="n"/>
      <c r="J1225" s="83" t="n"/>
      <c r="K1225" s="83" t="n"/>
      <c r="L1225" s="83" t="n"/>
      <c r="M1225" s="83" t="n"/>
      <c r="N1225" s="83" t="n"/>
      <c r="O1225" s="83" t="n"/>
      <c r="P1225" s="83" t="n"/>
      <c r="Q1225" s="83" t="n"/>
      <c r="R1225" s="83" t="n"/>
      <c r="S1225" s="83" t="n"/>
      <c r="T1225" s="83" t="n"/>
      <c r="U1225" s="83" t="n"/>
      <c r="V1225" s="83" t="n"/>
      <c r="W1225" s="83" t="n"/>
      <c r="X1225" s="83" t="n"/>
      <c r="Y1225" s="83" t="n"/>
      <c r="Z1225" s="83" t="n"/>
      <c r="AA1225" s="83" t="n"/>
      <c r="AB1225" s="83" t="n"/>
      <c r="AC1225" s="83" t="n"/>
      <c r="AD1225" s="83" t="n"/>
      <c r="AE1225" s="83" t="n"/>
      <c r="AF1225" s="83" t="n"/>
      <c r="AG1225" s="83" t="n"/>
      <c r="AH1225" s="83" t="n"/>
      <c r="AI1225" s="83" t="n"/>
      <c r="AJ1225" s="83" t="n"/>
      <c r="AK1225" s="83" t="n"/>
      <c r="AL1225" s="83" t="n"/>
      <c r="AM1225" s="83" t="n"/>
      <c r="AN1225" s="83" t="n"/>
      <c r="AO1225" s="83" t="n"/>
      <c r="AP1225" s="83" t="n"/>
      <c r="AQ1225" s="83" t="n"/>
      <c r="AR1225" s="83" t="n"/>
    </row>
    <row r="1226">
      <c r="D1226" s="84" t="n"/>
      <c r="E1226" s="84" t="n"/>
      <c r="F1226" s="84" t="n"/>
      <c r="G1226" s="84" t="n"/>
      <c r="H1226" s="84" t="n"/>
      <c r="I1226" s="84" t="n"/>
      <c r="J1226" s="84" t="n"/>
      <c r="K1226" s="84" t="n"/>
      <c r="L1226" s="84" t="n"/>
      <c r="M1226" s="84" t="n"/>
      <c r="N1226" s="84" t="n"/>
      <c r="O1226" s="84" t="n"/>
      <c r="P1226" s="84" t="n"/>
      <c r="Q1226" s="84" t="n"/>
      <c r="R1226" s="84" t="n"/>
      <c r="S1226" s="84" t="n"/>
      <c r="T1226" s="84" t="n"/>
      <c r="U1226" s="84" t="n"/>
      <c r="V1226" s="84" t="n"/>
      <c r="W1226" s="84" t="n"/>
      <c r="X1226" s="84" t="n"/>
      <c r="Y1226" s="84" t="n"/>
      <c r="Z1226" s="84" t="n"/>
      <c r="AA1226" s="84" t="n"/>
      <c r="AB1226" s="84" t="n"/>
      <c r="AC1226" s="84" t="n"/>
      <c r="AD1226" s="84" t="n"/>
      <c r="AE1226" s="84" t="n"/>
      <c r="AF1226" s="84" t="n"/>
      <c r="AG1226" s="84" t="n"/>
      <c r="AH1226" s="84" t="n"/>
      <c r="AI1226" s="84" t="n"/>
      <c r="AJ1226" s="84" t="n"/>
      <c r="AK1226" s="84" t="n"/>
      <c r="AL1226" s="84" t="n"/>
      <c r="AM1226" s="84" t="n"/>
      <c r="AN1226" s="84" t="n"/>
      <c r="AO1226" s="84" t="n"/>
      <c r="AP1226" s="84" t="n"/>
      <c r="AQ1226" s="84" t="n"/>
      <c r="AR1226" s="84" t="n"/>
    </row>
    <row r="1227">
      <c r="D1227" s="80" t="n"/>
      <c r="E1227" s="80" t="n"/>
      <c r="F1227" s="80" t="n"/>
      <c r="G1227" s="80" t="n"/>
      <c r="H1227" s="80" t="n"/>
      <c r="I1227" s="80" t="n"/>
      <c r="J1227" s="80" t="n"/>
      <c r="K1227" s="80" t="n"/>
      <c r="L1227" s="80" t="n"/>
      <c r="M1227" s="80" t="n"/>
      <c r="N1227" s="80" t="n"/>
      <c r="O1227" s="80" t="n"/>
      <c r="P1227" s="80" t="n"/>
      <c r="Q1227" s="80" t="n"/>
      <c r="R1227" s="80" t="n"/>
      <c r="S1227" s="80" t="n"/>
      <c r="T1227" s="80" t="n"/>
      <c r="U1227" s="80" t="n"/>
      <c r="V1227" s="80" t="n"/>
      <c r="W1227" s="80" t="n"/>
      <c r="X1227" s="80" t="n"/>
      <c r="Y1227" s="80" t="n"/>
      <c r="Z1227" s="80" t="n"/>
      <c r="AA1227" s="80" t="n"/>
      <c r="AB1227" s="80" t="n"/>
      <c r="AC1227" s="80" t="n"/>
      <c r="AD1227" s="80" t="n"/>
      <c r="AE1227" s="80" t="n"/>
      <c r="AF1227" s="80" t="n"/>
      <c r="AG1227" s="80" t="n"/>
      <c r="AH1227" s="80" t="n"/>
      <c r="AI1227" s="80" t="n"/>
      <c r="AJ1227" s="80" t="n"/>
      <c r="AK1227" s="80" t="n"/>
      <c r="AL1227" s="80" t="n"/>
      <c r="AM1227" s="80" t="n"/>
      <c r="AN1227" s="80" t="n"/>
      <c r="AO1227" s="80" t="n"/>
      <c r="AP1227" s="80" t="n"/>
      <c r="AQ1227" s="80" t="n"/>
      <c r="AR1227" s="80" t="n"/>
    </row>
    <row r="1228">
      <c r="D1228" s="80" t="n"/>
      <c r="E1228" s="80" t="n"/>
      <c r="F1228" s="80" t="n"/>
      <c r="G1228" s="80" t="n"/>
      <c r="H1228" s="80" t="n"/>
      <c r="I1228" s="80" t="n"/>
      <c r="J1228" s="80" t="n"/>
      <c r="K1228" s="80" t="n"/>
      <c r="L1228" s="80" t="n"/>
      <c r="M1228" s="80" t="n"/>
      <c r="N1228" s="80" t="n"/>
      <c r="O1228" s="80" t="n"/>
      <c r="P1228" s="80" t="n"/>
      <c r="Q1228" s="80" t="n"/>
      <c r="R1228" s="80" t="n"/>
      <c r="S1228" s="80" t="n"/>
      <c r="T1228" s="80" t="n"/>
      <c r="U1228" s="80" t="n"/>
      <c r="V1228" s="80" t="n"/>
      <c r="W1228" s="80" t="n"/>
      <c r="X1228" s="80" t="n"/>
      <c r="Y1228" s="80" t="n"/>
      <c r="Z1228" s="80" t="n"/>
      <c r="AA1228" s="80" t="n"/>
      <c r="AB1228" s="80" t="n"/>
      <c r="AC1228" s="80" t="n"/>
      <c r="AD1228" s="80" t="n"/>
      <c r="AE1228" s="80" t="n"/>
      <c r="AF1228" s="80" t="n"/>
      <c r="AG1228" s="80" t="n"/>
      <c r="AH1228" s="80" t="n"/>
      <c r="AI1228" s="80" t="n"/>
      <c r="AJ1228" s="80" t="n"/>
      <c r="AK1228" s="80" t="n"/>
      <c r="AL1228" s="80" t="n"/>
      <c r="AM1228" s="80" t="n"/>
      <c r="AN1228" s="80" t="n"/>
      <c r="AO1228" s="80" t="n"/>
      <c r="AP1228" s="80" t="n"/>
      <c r="AQ1228" s="80" t="n"/>
      <c r="AR1228" s="80" t="n"/>
    </row>
    <row r="1229">
      <c r="D1229" s="80" t="n"/>
      <c r="E1229" s="80" t="n"/>
      <c r="F1229" s="80" t="n"/>
      <c r="G1229" s="80" t="n"/>
      <c r="H1229" s="80" t="n"/>
      <c r="I1229" s="80" t="n"/>
      <c r="J1229" s="80" t="n"/>
      <c r="K1229" s="80" t="n"/>
      <c r="L1229" s="80" t="n"/>
      <c r="M1229" s="80" t="n"/>
      <c r="N1229" s="80" t="n"/>
      <c r="O1229" s="80" t="n"/>
      <c r="P1229" s="80" t="n"/>
      <c r="Q1229" s="80" t="n"/>
      <c r="R1229" s="80" t="n"/>
      <c r="S1229" s="80" t="n"/>
      <c r="T1229" s="80" t="n"/>
      <c r="U1229" s="80" t="n"/>
      <c r="V1229" s="80" t="n"/>
      <c r="W1229" s="80" t="n"/>
      <c r="X1229" s="80" t="n"/>
      <c r="Y1229" s="80" t="n"/>
      <c r="Z1229" s="80" t="n"/>
      <c r="AA1229" s="80" t="n"/>
      <c r="AB1229" s="80" t="n"/>
      <c r="AC1229" s="80" t="n"/>
      <c r="AD1229" s="80" t="n"/>
      <c r="AE1229" s="80" t="n"/>
      <c r="AF1229" s="80" t="n"/>
      <c r="AG1229" s="80" t="n"/>
      <c r="AH1229" s="80" t="n"/>
      <c r="AI1229" s="80" t="n"/>
      <c r="AJ1229" s="80" t="n"/>
      <c r="AK1229" s="80" t="n"/>
      <c r="AL1229" s="80" t="n"/>
      <c r="AM1229" s="80" t="n"/>
      <c r="AN1229" s="80" t="n"/>
      <c r="AO1229" s="80" t="n"/>
      <c r="AP1229" s="80" t="n"/>
      <c r="AQ1229" s="80" t="n"/>
      <c r="AR1229" s="80" t="n"/>
    </row>
    <row r="1230">
      <c r="D1230" s="80" t="n"/>
      <c r="E1230" s="80" t="n"/>
      <c r="F1230" s="80" t="n"/>
      <c r="G1230" s="80" t="n"/>
      <c r="H1230" s="80" t="n"/>
      <c r="I1230" s="80" t="n"/>
      <c r="J1230" s="80" t="n"/>
      <c r="K1230" s="80" t="n"/>
      <c r="L1230" s="80" t="n"/>
      <c r="M1230" s="80" t="n"/>
      <c r="N1230" s="80" t="n"/>
      <c r="O1230" s="80" t="n"/>
      <c r="P1230" s="80" t="n"/>
      <c r="Q1230" s="80" t="n"/>
      <c r="R1230" s="80" t="n"/>
      <c r="S1230" s="80" t="n"/>
      <c r="T1230" s="80" t="n"/>
      <c r="U1230" s="80" t="n"/>
      <c r="V1230" s="80" t="n"/>
      <c r="W1230" s="80" t="n"/>
      <c r="X1230" s="80" t="n"/>
      <c r="Y1230" s="80" t="n"/>
      <c r="Z1230" s="80" t="n"/>
      <c r="AA1230" s="80" t="n"/>
      <c r="AB1230" s="80" t="n"/>
      <c r="AC1230" s="80" t="n"/>
      <c r="AD1230" s="80" t="n"/>
      <c r="AE1230" s="80" t="n"/>
      <c r="AF1230" s="80" t="n"/>
      <c r="AG1230" s="80" t="n"/>
      <c r="AH1230" s="80" t="n"/>
      <c r="AI1230" s="80" t="n"/>
      <c r="AJ1230" s="80" t="n"/>
      <c r="AK1230" s="80" t="n"/>
      <c r="AL1230" s="80" t="n"/>
      <c r="AM1230" s="80" t="n"/>
      <c r="AN1230" s="80" t="n"/>
      <c r="AO1230" s="80" t="n"/>
      <c r="AP1230" s="80" t="n"/>
      <c r="AQ1230" s="80" t="n"/>
      <c r="AR1230" s="80" t="n"/>
    </row>
    <row r="1231">
      <c r="A1231" s="2">
        <f>IF($A1224="","","   projections")</f>
        <v/>
      </c>
      <c r="B1231" s="41">
        <f>IF($A1224="",0,COUNT($E1232:$AR1232))</f>
        <v/>
      </c>
      <c r="C1231" s="81">
        <f>IF($B1231=0,0,MAX($E1232:$AR1232))</f>
        <v/>
      </c>
      <c r="D1231" s="82">
        <f>BDS($A1224,'Field Check'!$C$6,"headers=y","startcol=1","endcol=7","dir=h")</f>
        <v/>
      </c>
      <c r="E1231" s="83" t="n"/>
      <c r="F1231" s="83" t="n"/>
      <c r="G1231" s="83" t="n"/>
      <c r="H1231" s="83" t="n"/>
      <c r="I1231" s="83" t="n"/>
      <c r="J1231" s="83" t="n"/>
      <c r="K1231" s="83" t="n"/>
      <c r="L1231" s="83" t="n"/>
      <c r="M1231" s="83" t="n"/>
      <c r="N1231" s="83" t="n"/>
      <c r="O1231" s="83" t="n"/>
      <c r="P1231" s="83" t="n"/>
      <c r="Q1231" s="83" t="n"/>
      <c r="R1231" s="83" t="n"/>
      <c r="S1231" s="83" t="n"/>
      <c r="T1231" s="83" t="n"/>
      <c r="U1231" s="83" t="n"/>
      <c r="V1231" s="83" t="n"/>
      <c r="W1231" s="83" t="n"/>
      <c r="X1231" s="83" t="n"/>
      <c r="Y1231" s="83" t="n"/>
      <c r="Z1231" s="83" t="n"/>
      <c r="AA1231" s="83" t="n"/>
      <c r="AB1231" s="83" t="n"/>
      <c r="AC1231" s="83" t="n"/>
      <c r="AD1231" s="83" t="n"/>
      <c r="AE1231" s="83" t="n"/>
      <c r="AF1231" s="83" t="n"/>
      <c r="AG1231" s="83" t="n"/>
      <c r="AH1231" s="83" t="n"/>
      <c r="AI1231" s="83" t="n"/>
      <c r="AJ1231" s="83" t="n"/>
      <c r="AK1231" s="83" t="n"/>
      <c r="AL1231" s="83" t="n"/>
      <c r="AM1231" s="83" t="n"/>
      <c r="AN1231" s="83" t="n"/>
      <c r="AO1231" s="83" t="n"/>
      <c r="AP1231" s="83" t="n"/>
      <c r="AQ1231" s="83" t="n"/>
      <c r="AR1231" s="83" t="n"/>
    </row>
    <row r="1232">
      <c r="D1232" s="83" t="n"/>
      <c r="E1232" s="83" t="n"/>
      <c r="F1232" s="83" t="n"/>
      <c r="G1232" s="83" t="n"/>
      <c r="H1232" s="83" t="n"/>
      <c r="I1232" s="83" t="n"/>
      <c r="J1232" s="83" t="n"/>
      <c r="K1232" s="83" t="n"/>
      <c r="L1232" s="83" t="n"/>
      <c r="M1232" s="83" t="n"/>
      <c r="N1232" s="83" t="n"/>
      <c r="O1232" s="83" t="n"/>
      <c r="P1232" s="83" t="n"/>
      <c r="Q1232" s="83" t="n"/>
      <c r="R1232" s="83" t="n"/>
      <c r="S1232" s="83" t="n"/>
      <c r="T1232" s="83" t="n"/>
      <c r="U1232" s="83" t="n"/>
      <c r="V1232" s="83" t="n"/>
      <c r="W1232" s="83" t="n"/>
      <c r="X1232" s="83" t="n"/>
      <c r="Y1232" s="83" t="n"/>
      <c r="Z1232" s="83" t="n"/>
      <c r="AA1232" s="83" t="n"/>
      <c r="AB1232" s="83" t="n"/>
      <c r="AC1232" s="83" t="n"/>
      <c r="AD1232" s="83" t="n"/>
      <c r="AE1232" s="83" t="n"/>
      <c r="AF1232" s="83" t="n"/>
      <c r="AG1232" s="83" t="n"/>
      <c r="AH1232" s="83" t="n"/>
      <c r="AI1232" s="83" t="n"/>
      <c r="AJ1232" s="83" t="n"/>
      <c r="AK1232" s="83" t="n"/>
      <c r="AL1232" s="83" t="n"/>
      <c r="AM1232" s="83" t="n"/>
      <c r="AN1232" s="83" t="n"/>
      <c r="AO1232" s="83" t="n"/>
      <c r="AP1232" s="83" t="n"/>
      <c r="AQ1232" s="83" t="n"/>
      <c r="AR1232" s="83" t="n"/>
    </row>
    <row r="1233">
      <c r="D1233" s="84" t="n"/>
      <c r="E1233" s="84" t="n"/>
      <c r="F1233" s="84" t="n"/>
      <c r="G1233" s="84" t="n"/>
      <c r="H1233" s="84" t="n"/>
      <c r="I1233" s="84" t="n"/>
      <c r="J1233" s="84" t="n"/>
      <c r="K1233" s="84" t="n"/>
      <c r="L1233" s="84" t="n"/>
      <c r="M1233" s="84" t="n"/>
      <c r="N1233" s="84" t="n"/>
      <c r="O1233" s="84" t="n"/>
      <c r="P1233" s="84" t="n"/>
      <c r="Q1233" s="84" t="n"/>
      <c r="R1233" s="84" t="n"/>
      <c r="S1233" s="84" t="n"/>
      <c r="T1233" s="84" t="n"/>
      <c r="U1233" s="84" t="n"/>
      <c r="V1233" s="84" t="n"/>
      <c r="W1233" s="84" t="n"/>
      <c r="X1233" s="84" t="n"/>
      <c r="Y1233" s="84" t="n"/>
      <c r="Z1233" s="84" t="n"/>
      <c r="AA1233" s="84" t="n"/>
      <c r="AB1233" s="84" t="n"/>
      <c r="AC1233" s="84" t="n"/>
      <c r="AD1233" s="84" t="n"/>
      <c r="AE1233" s="84" t="n"/>
      <c r="AF1233" s="84" t="n"/>
      <c r="AG1233" s="84" t="n"/>
      <c r="AH1233" s="84" t="n"/>
      <c r="AI1233" s="84" t="n"/>
      <c r="AJ1233" s="84" t="n"/>
      <c r="AK1233" s="84" t="n"/>
      <c r="AL1233" s="84" t="n"/>
      <c r="AM1233" s="84" t="n"/>
      <c r="AN1233" s="84" t="n"/>
      <c r="AO1233" s="84" t="n"/>
      <c r="AP1233" s="84" t="n"/>
      <c r="AQ1233" s="84" t="n"/>
      <c r="AR1233" s="84" t="n"/>
    </row>
    <row r="1234">
      <c r="D1234" s="80" t="n"/>
      <c r="E1234" s="80" t="n"/>
      <c r="F1234" s="80" t="n"/>
      <c r="G1234" s="80" t="n"/>
      <c r="H1234" s="80" t="n"/>
      <c r="I1234" s="80" t="n"/>
      <c r="J1234" s="80" t="n"/>
      <c r="K1234" s="80" t="n"/>
      <c r="L1234" s="80" t="n"/>
      <c r="M1234" s="80" t="n"/>
      <c r="N1234" s="80" t="n"/>
      <c r="O1234" s="80" t="n"/>
      <c r="P1234" s="80" t="n"/>
      <c r="Q1234" s="80" t="n"/>
      <c r="R1234" s="80" t="n"/>
      <c r="S1234" s="80" t="n"/>
      <c r="T1234" s="80" t="n"/>
      <c r="U1234" s="80" t="n"/>
      <c r="V1234" s="80" t="n"/>
      <c r="W1234" s="80" t="n"/>
      <c r="X1234" s="80" t="n"/>
      <c r="Y1234" s="80" t="n"/>
      <c r="Z1234" s="80" t="n"/>
      <c r="AA1234" s="80" t="n"/>
      <c r="AB1234" s="80" t="n"/>
      <c r="AC1234" s="80" t="n"/>
      <c r="AD1234" s="80" t="n"/>
      <c r="AE1234" s="80" t="n"/>
      <c r="AF1234" s="80" t="n"/>
      <c r="AG1234" s="80" t="n"/>
      <c r="AH1234" s="80" t="n"/>
      <c r="AI1234" s="80" t="n"/>
      <c r="AJ1234" s="80" t="n"/>
      <c r="AK1234" s="80" t="n"/>
      <c r="AL1234" s="80" t="n"/>
      <c r="AM1234" s="80" t="n"/>
      <c r="AN1234" s="80" t="n"/>
      <c r="AO1234" s="80" t="n"/>
      <c r="AP1234" s="80" t="n"/>
      <c r="AQ1234" s="80" t="n"/>
      <c r="AR1234" s="80" t="n"/>
    </row>
    <row r="1235">
      <c r="D1235" s="80" t="n"/>
      <c r="E1235" s="80" t="n"/>
      <c r="F1235" s="80" t="n"/>
      <c r="G1235" s="80" t="n"/>
      <c r="H1235" s="80" t="n"/>
      <c r="I1235" s="80" t="n"/>
      <c r="J1235" s="80" t="n"/>
      <c r="K1235" s="80" t="n"/>
      <c r="L1235" s="80" t="n"/>
      <c r="M1235" s="80" t="n"/>
      <c r="N1235" s="80" t="n"/>
      <c r="O1235" s="80" t="n"/>
      <c r="P1235" s="80" t="n"/>
      <c r="Q1235" s="80" t="n"/>
      <c r="R1235" s="80" t="n"/>
      <c r="S1235" s="80" t="n"/>
      <c r="T1235" s="80" t="n"/>
      <c r="U1235" s="80" t="n"/>
      <c r="V1235" s="80" t="n"/>
      <c r="W1235" s="80" t="n"/>
      <c r="X1235" s="80" t="n"/>
      <c r="Y1235" s="80" t="n"/>
      <c r="Z1235" s="80" t="n"/>
      <c r="AA1235" s="80" t="n"/>
      <c r="AB1235" s="80" t="n"/>
      <c r="AC1235" s="80" t="n"/>
      <c r="AD1235" s="80" t="n"/>
      <c r="AE1235" s="80" t="n"/>
      <c r="AF1235" s="80" t="n"/>
      <c r="AG1235" s="80" t="n"/>
      <c r="AH1235" s="80" t="n"/>
      <c r="AI1235" s="80" t="n"/>
      <c r="AJ1235" s="80" t="n"/>
      <c r="AK1235" s="80" t="n"/>
      <c r="AL1235" s="80" t="n"/>
      <c r="AM1235" s="80" t="n"/>
      <c r="AN1235" s="80" t="n"/>
      <c r="AO1235" s="80" t="n"/>
      <c r="AP1235" s="80" t="n"/>
      <c r="AQ1235" s="80" t="n"/>
      <c r="AR1235" s="80" t="n"/>
    </row>
    <row r="1236">
      <c r="D1236" s="80" t="n"/>
      <c r="E1236" s="80" t="n"/>
      <c r="F1236" s="80" t="n"/>
      <c r="G1236" s="80" t="n"/>
      <c r="H1236" s="80" t="n"/>
      <c r="I1236" s="80" t="n"/>
      <c r="J1236" s="80" t="n"/>
      <c r="K1236" s="80" t="n"/>
      <c r="L1236" s="80" t="n"/>
      <c r="M1236" s="80" t="n"/>
      <c r="N1236" s="80" t="n"/>
      <c r="O1236" s="80" t="n"/>
      <c r="P1236" s="80" t="n"/>
      <c r="Q1236" s="80" t="n"/>
      <c r="R1236" s="80" t="n"/>
      <c r="S1236" s="80" t="n"/>
      <c r="T1236" s="80" t="n"/>
      <c r="U1236" s="80" t="n"/>
      <c r="V1236" s="80" t="n"/>
      <c r="W1236" s="80" t="n"/>
      <c r="X1236" s="80" t="n"/>
      <c r="Y1236" s="80" t="n"/>
      <c r="Z1236" s="80" t="n"/>
      <c r="AA1236" s="80" t="n"/>
      <c r="AB1236" s="80" t="n"/>
      <c r="AC1236" s="80" t="n"/>
      <c r="AD1236" s="80" t="n"/>
      <c r="AE1236" s="80" t="n"/>
      <c r="AF1236" s="80" t="n"/>
      <c r="AG1236" s="80" t="n"/>
      <c r="AH1236" s="80" t="n"/>
      <c r="AI1236" s="80" t="n"/>
      <c r="AJ1236" s="80" t="n"/>
      <c r="AK1236" s="80" t="n"/>
      <c r="AL1236" s="80" t="n"/>
      <c r="AM1236" s="80" t="n"/>
      <c r="AN1236" s="80" t="n"/>
      <c r="AO1236" s="80" t="n"/>
      <c r="AP1236" s="80" t="n"/>
      <c r="AQ1236" s="80" t="n"/>
      <c r="AR1236" s="80" t="n"/>
    </row>
    <row r="1237">
      <c r="D1237" s="80" t="n"/>
      <c r="E1237" s="80" t="n"/>
      <c r="F1237" s="80" t="n"/>
      <c r="G1237" s="80" t="n"/>
      <c r="H1237" s="80" t="n"/>
      <c r="I1237" s="80" t="n"/>
      <c r="J1237" s="80" t="n"/>
      <c r="K1237" s="80" t="n"/>
      <c r="L1237" s="80" t="n"/>
      <c r="M1237" s="80" t="n"/>
      <c r="N1237" s="80" t="n"/>
      <c r="O1237" s="80" t="n"/>
      <c r="P1237" s="80" t="n"/>
      <c r="Q1237" s="80" t="n"/>
      <c r="R1237" s="80" t="n"/>
      <c r="S1237" s="80" t="n"/>
      <c r="T1237" s="80" t="n"/>
      <c r="U1237" s="80" t="n"/>
      <c r="V1237" s="80" t="n"/>
      <c r="W1237" s="80" t="n"/>
      <c r="X1237" s="80" t="n"/>
      <c r="Y1237" s="80" t="n"/>
      <c r="Z1237" s="80" t="n"/>
      <c r="AA1237" s="80" t="n"/>
      <c r="AB1237" s="80" t="n"/>
      <c r="AC1237" s="80" t="n"/>
      <c r="AD1237" s="80" t="n"/>
      <c r="AE1237" s="80" t="n"/>
      <c r="AF1237" s="80" t="n"/>
      <c r="AG1237" s="80" t="n"/>
      <c r="AH1237" s="80" t="n"/>
      <c r="AI1237" s="80" t="n"/>
      <c r="AJ1237" s="80" t="n"/>
      <c r="AK1237" s="80" t="n"/>
      <c r="AL1237" s="80" t="n"/>
      <c r="AM1237" s="80" t="n"/>
      <c r="AN1237" s="80" t="n"/>
      <c r="AO1237" s="80" t="n"/>
      <c r="AP1237" s="80" t="n"/>
      <c r="AQ1237" s="80" t="n"/>
      <c r="AR1237" s="80" t="n"/>
    </row>
    <row r="1239">
      <c r="A1239" s="6">
        <f>IF(HSI!$C$89="","",HSI!$C$89)</f>
        <v/>
      </c>
      <c r="B1239" s="41">
        <f>IF($A1239="",0,COUNT($E1240:$AR1240))</f>
        <v/>
      </c>
      <c r="C1239" s="81">
        <f>IF($B1239=0,0,MAX($E1240:$AR1240))</f>
        <v/>
      </c>
      <c r="D1239" s="82">
        <f>BDS($A1239,'Field Check'!$C$7,"headers=y","startcol=1","endcol=7","dir=h","DVD_START_DT",Summary!$C$18,"DVD_END_DT",Summary!$D$18)</f>
        <v/>
      </c>
      <c r="E1239" s="83" t="n"/>
      <c r="F1239" s="83" t="n"/>
      <c r="G1239" s="83" t="n"/>
      <c r="H1239" s="83" t="n"/>
      <c r="I1239" s="83" t="n"/>
      <c r="J1239" s="83" t="n"/>
      <c r="K1239" s="83" t="n"/>
      <c r="L1239" s="83" t="n"/>
      <c r="M1239" s="83" t="n"/>
      <c r="N1239" s="83" t="n"/>
      <c r="O1239" s="83" t="n"/>
      <c r="P1239" s="83" t="n"/>
      <c r="Q1239" s="83" t="n"/>
      <c r="R1239" s="83" t="n"/>
      <c r="S1239" s="83" t="n"/>
      <c r="T1239" s="83" t="n"/>
      <c r="U1239" s="83" t="n"/>
      <c r="V1239" s="83" t="n"/>
      <c r="W1239" s="83" t="n"/>
      <c r="X1239" s="83" t="n"/>
      <c r="Y1239" s="83" t="n"/>
      <c r="Z1239" s="83" t="n"/>
      <c r="AA1239" s="83" t="n"/>
      <c r="AB1239" s="83" t="n"/>
      <c r="AC1239" s="83" t="n"/>
      <c r="AD1239" s="83" t="n"/>
      <c r="AE1239" s="83" t="n"/>
      <c r="AF1239" s="83" t="n"/>
      <c r="AG1239" s="83" t="n"/>
      <c r="AH1239" s="83" t="n"/>
      <c r="AI1239" s="83" t="n"/>
      <c r="AJ1239" s="83" t="n"/>
      <c r="AK1239" s="83" t="n"/>
      <c r="AL1239" s="83" t="n"/>
      <c r="AM1239" s="83" t="n"/>
      <c r="AN1239" s="83" t="n"/>
      <c r="AO1239" s="83" t="n"/>
      <c r="AP1239" s="83" t="n"/>
      <c r="AQ1239" s="83" t="n"/>
      <c r="AR1239" s="83" t="n"/>
    </row>
    <row r="1240">
      <c r="D1240" s="83" t="n"/>
      <c r="E1240" s="83" t="n"/>
      <c r="F1240" s="83" t="n"/>
      <c r="G1240" s="83" t="n"/>
      <c r="H1240" s="83" t="n"/>
      <c r="I1240" s="83" t="n"/>
      <c r="J1240" s="83" t="n"/>
      <c r="K1240" s="83" t="n"/>
      <c r="L1240" s="83" t="n"/>
      <c r="M1240" s="83" t="n"/>
      <c r="N1240" s="83" t="n"/>
      <c r="O1240" s="83" t="n"/>
      <c r="P1240" s="83" t="n"/>
      <c r="Q1240" s="83" t="n"/>
      <c r="R1240" s="83" t="n"/>
      <c r="S1240" s="83" t="n"/>
      <c r="T1240" s="83" t="n"/>
      <c r="U1240" s="83" t="n"/>
      <c r="V1240" s="83" t="n"/>
      <c r="W1240" s="83" t="n"/>
      <c r="X1240" s="83" t="n"/>
      <c r="Y1240" s="83" t="n"/>
      <c r="Z1240" s="83" t="n"/>
      <c r="AA1240" s="83" t="n"/>
      <c r="AB1240" s="83" t="n"/>
      <c r="AC1240" s="83" t="n"/>
      <c r="AD1240" s="83" t="n"/>
      <c r="AE1240" s="83" t="n"/>
      <c r="AF1240" s="83" t="n"/>
      <c r="AG1240" s="83" t="n"/>
      <c r="AH1240" s="83" t="n"/>
      <c r="AI1240" s="83" t="n"/>
      <c r="AJ1240" s="83" t="n"/>
      <c r="AK1240" s="83" t="n"/>
      <c r="AL1240" s="83" t="n"/>
      <c r="AM1240" s="83" t="n"/>
      <c r="AN1240" s="83" t="n"/>
      <c r="AO1240" s="83" t="n"/>
      <c r="AP1240" s="83" t="n"/>
      <c r="AQ1240" s="83" t="n"/>
      <c r="AR1240" s="83" t="n"/>
    </row>
    <row r="1241">
      <c r="D1241" s="84" t="n"/>
      <c r="E1241" s="84" t="n"/>
      <c r="F1241" s="84" t="n"/>
      <c r="G1241" s="84" t="n"/>
      <c r="H1241" s="84" t="n"/>
      <c r="I1241" s="84" t="n"/>
      <c r="J1241" s="84" t="n"/>
      <c r="K1241" s="84" t="n"/>
      <c r="L1241" s="84" t="n"/>
      <c r="M1241" s="84" t="n"/>
      <c r="N1241" s="84" t="n"/>
      <c r="O1241" s="84" t="n"/>
      <c r="P1241" s="84" t="n"/>
      <c r="Q1241" s="84" t="n"/>
      <c r="R1241" s="84" t="n"/>
      <c r="S1241" s="84" t="n"/>
      <c r="T1241" s="84" t="n"/>
      <c r="U1241" s="84" t="n"/>
      <c r="V1241" s="84" t="n"/>
      <c r="W1241" s="84" t="n"/>
      <c r="X1241" s="84" t="n"/>
      <c r="Y1241" s="84" t="n"/>
      <c r="Z1241" s="84" t="n"/>
      <c r="AA1241" s="84" t="n"/>
      <c r="AB1241" s="84" t="n"/>
      <c r="AC1241" s="84" t="n"/>
      <c r="AD1241" s="84" t="n"/>
      <c r="AE1241" s="84" t="n"/>
      <c r="AF1241" s="84" t="n"/>
      <c r="AG1241" s="84" t="n"/>
      <c r="AH1241" s="84" t="n"/>
      <c r="AI1241" s="84" t="n"/>
      <c r="AJ1241" s="84" t="n"/>
      <c r="AK1241" s="84" t="n"/>
      <c r="AL1241" s="84" t="n"/>
      <c r="AM1241" s="84" t="n"/>
      <c r="AN1241" s="84" t="n"/>
      <c r="AO1241" s="84" t="n"/>
      <c r="AP1241" s="84" t="n"/>
      <c r="AQ1241" s="84" t="n"/>
      <c r="AR1241" s="84" t="n"/>
    </row>
    <row r="1242">
      <c r="D1242" s="80" t="n"/>
      <c r="E1242" s="80" t="n"/>
      <c r="F1242" s="80" t="n"/>
      <c r="G1242" s="80" t="n"/>
      <c r="H1242" s="80" t="n"/>
      <c r="I1242" s="80" t="n"/>
      <c r="J1242" s="80" t="n"/>
      <c r="K1242" s="80" t="n"/>
      <c r="L1242" s="80" t="n"/>
      <c r="M1242" s="80" t="n"/>
      <c r="N1242" s="80" t="n"/>
      <c r="O1242" s="80" t="n"/>
      <c r="P1242" s="80" t="n"/>
      <c r="Q1242" s="80" t="n"/>
      <c r="R1242" s="80" t="n"/>
      <c r="S1242" s="80" t="n"/>
      <c r="T1242" s="80" t="n"/>
      <c r="U1242" s="80" t="n"/>
      <c r="V1242" s="80" t="n"/>
      <c r="W1242" s="80" t="n"/>
      <c r="X1242" s="80" t="n"/>
      <c r="Y1242" s="80" t="n"/>
      <c r="Z1242" s="80" t="n"/>
      <c r="AA1242" s="80" t="n"/>
      <c r="AB1242" s="80" t="n"/>
      <c r="AC1242" s="80" t="n"/>
      <c r="AD1242" s="80" t="n"/>
      <c r="AE1242" s="80" t="n"/>
      <c r="AF1242" s="80" t="n"/>
      <c r="AG1242" s="80" t="n"/>
      <c r="AH1242" s="80" t="n"/>
      <c r="AI1242" s="80" t="n"/>
      <c r="AJ1242" s="80" t="n"/>
      <c r="AK1242" s="80" t="n"/>
      <c r="AL1242" s="80" t="n"/>
      <c r="AM1242" s="80" t="n"/>
      <c r="AN1242" s="80" t="n"/>
      <c r="AO1242" s="80" t="n"/>
      <c r="AP1242" s="80" t="n"/>
      <c r="AQ1242" s="80" t="n"/>
      <c r="AR1242" s="80" t="n"/>
    </row>
    <row r="1243">
      <c r="D1243" s="80" t="n"/>
      <c r="E1243" s="80" t="n"/>
      <c r="F1243" s="80" t="n"/>
      <c r="G1243" s="80" t="n"/>
      <c r="H1243" s="80" t="n"/>
      <c r="I1243" s="80" t="n"/>
      <c r="J1243" s="80" t="n"/>
      <c r="K1243" s="80" t="n"/>
      <c r="L1243" s="80" t="n"/>
      <c r="M1243" s="80" t="n"/>
      <c r="N1243" s="80" t="n"/>
      <c r="O1243" s="80" t="n"/>
      <c r="P1243" s="80" t="n"/>
      <c r="Q1243" s="80" t="n"/>
      <c r="R1243" s="80" t="n"/>
      <c r="S1243" s="80" t="n"/>
      <c r="T1243" s="80" t="n"/>
      <c r="U1243" s="80" t="n"/>
      <c r="V1243" s="80" t="n"/>
      <c r="W1243" s="80" t="n"/>
      <c r="X1243" s="80" t="n"/>
      <c r="Y1243" s="80" t="n"/>
      <c r="Z1243" s="80" t="n"/>
      <c r="AA1243" s="80" t="n"/>
      <c r="AB1243" s="80" t="n"/>
      <c r="AC1243" s="80" t="n"/>
      <c r="AD1243" s="80" t="n"/>
      <c r="AE1243" s="80" t="n"/>
      <c r="AF1243" s="80" t="n"/>
      <c r="AG1243" s="80" t="n"/>
      <c r="AH1243" s="80" t="n"/>
      <c r="AI1243" s="80" t="n"/>
      <c r="AJ1243" s="80" t="n"/>
      <c r="AK1243" s="80" t="n"/>
      <c r="AL1243" s="80" t="n"/>
      <c r="AM1243" s="80" t="n"/>
      <c r="AN1243" s="80" t="n"/>
      <c r="AO1243" s="80" t="n"/>
      <c r="AP1243" s="80" t="n"/>
      <c r="AQ1243" s="80" t="n"/>
      <c r="AR1243" s="80" t="n"/>
    </row>
    <row r="1244">
      <c r="D1244" s="80" t="n"/>
      <c r="E1244" s="80" t="n"/>
      <c r="F1244" s="80" t="n"/>
      <c r="G1244" s="80" t="n"/>
      <c r="H1244" s="80" t="n"/>
      <c r="I1244" s="80" t="n"/>
      <c r="J1244" s="80" t="n"/>
      <c r="K1244" s="80" t="n"/>
      <c r="L1244" s="80" t="n"/>
      <c r="M1244" s="80" t="n"/>
      <c r="N1244" s="80" t="n"/>
      <c r="O1244" s="80" t="n"/>
      <c r="P1244" s="80" t="n"/>
      <c r="Q1244" s="80" t="n"/>
      <c r="R1244" s="80" t="n"/>
      <c r="S1244" s="80" t="n"/>
      <c r="T1244" s="80" t="n"/>
      <c r="U1244" s="80" t="n"/>
      <c r="V1244" s="80" t="n"/>
      <c r="W1244" s="80" t="n"/>
      <c r="X1244" s="80" t="n"/>
      <c r="Y1244" s="80" t="n"/>
      <c r="Z1244" s="80" t="n"/>
      <c r="AA1244" s="80" t="n"/>
      <c r="AB1244" s="80" t="n"/>
      <c r="AC1244" s="80" t="n"/>
      <c r="AD1244" s="80" t="n"/>
      <c r="AE1244" s="80" t="n"/>
      <c r="AF1244" s="80" t="n"/>
      <c r="AG1244" s="80" t="n"/>
      <c r="AH1244" s="80" t="n"/>
      <c r="AI1244" s="80" t="n"/>
      <c r="AJ1244" s="80" t="n"/>
      <c r="AK1244" s="80" t="n"/>
      <c r="AL1244" s="80" t="n"/>
      <c r="AM1244" s="80" t="n"/>
      <c r="AN1244" s="80" t="n"/>
      <c r="AO1244" s="80" t="n"/>
      <c r="AP1244" s="80" t="n"/>
      <c r="AQ1244" s="80" t="n"/>
      <c r="AR1244" s="80" t="n"/>
    </row>
    <row r="1245">
      <c r="D1245" s="80" t="n"/>
      <c r="E1245" s="80" t="n"/>
      <c r="F1245" s="80" t="n"/>
      <c r="G1245" s="80" t="n"/>
      <c r="H1245" s="80" t="n"/>
      <c r="I1245" s="80" t="n"/>
      <c r="J1245" s="80" t="n"/>
      <c r="K1245" s="80" t="n"/>
      <c r="L1245" s="80" t="n"/>
      <c r="M1245" s="80" t="n"/>
      <c r="N1245" s="80" t="n"/>
      <c r="O1245" s="80" t="n"/>
      <c r="P1245" s="80" t="n"/>
      <c r="Q1245" s="80" t="n"/>
      <c r="R1245" s="80" t="n"/>
      <c r="S1245" s="80" t="n"/>
      <c r="T1245" s="80" t="n"/>
      <c r="U1245" s="80" t="n"/>
      <c r="V1245" s="80" t="n"/>
      <c r="W1245" s="80" t="n"/>
      <c r="X1245" s="80" t="n"/>
      <c r="Y1245" s="80" t="n"/>
      <c r="Z1245" s="80" t="n"/>
      <c r="AA1245" s="80" t="n"/>
      <c r="AB1245" s="80" t="n"/>
      <c r="AC1245" s="80" t="n"/>
      <c r="AD1245" s="80" t="n"/>
      <c r="AE1245" s="80" t="n"/>
      <c r="AF1245" s="80" t="n"/>
      <c r="AG1245" s="80" t="n"/>
      <c r="AH1245" s="80" t="n"/>
      <c r="AI1245" s="80" t="n"/>
      <c r="AJ1245" s="80" t="n"/>
      <c r="AK1245" s="80" t="n"/>
      <c r="AL1245" s="80" t="n"/>
      <c r="AM1245" s="80" t="n"/>
      <c r="AN1245" s="80" t="n"/>
      <c r="AO1245" s="80" t="n"/>
      <c r="AP1245" s="80" t="n"/>
      <c r="AQ1245" s="80" t="n"/>
      <c r="AR1245" s="80" t="n"/>
    </row>
    <row r="1246">
      <c r="A1246" s="2">
        <f>IF($A1239="","","   projections")</f>
        <v/>
      </c>
      <c r="B1246" s="41">
        <f>IF($A1239="",0,COUNT($E1247:$AR1247))</f>
        <v/>
      </c>
      <c r="C1246" s="81">
        <f>IF($B1246=0,0,MAX($E1247:$AR1247))</f>
        <v/>
      </c>
      <c r="D1246" s="82">
        <f>BDS($A1239,'Field Check'!$C$6,"headers=y","startcol=1","endcol=7","dir=h")</f>
        <v/>
      </c>
      <c r="E1246" s="83" t="n"/>
      <c r="F1246" s="83" t="n"/>
      <c r="G1246" s="83" t="n"/>
      <c r="H1246" s="83" t="n"/>
      <c r="I1246" s="83" t="n"/>
      <c r="J1246" s="83" t="n"/>
      <c r="K1246" s="83" t="n"/>
      <c r="L1246" s="83" t="n"/>
      <c r="M1246" s="83" t="n"/>
      <c r="N1246" s="83" t="n"/>
      <c r="O1246" s="83" t="n"/>
      <c r="P1246" s="83" t="n"/>
      <c r="Q1246" s="83" t="n"/>
      <c r="R1246" s="83" t="n"/>
      <c r="S1246" s="83" t="n"/>
      <c r="T1246" s="83" t="n"/>
      <c r="U1246" s="83" t="n"/>
      <c r="V1246" s="83" t="n"/>
      <c r="W1246" s="83" t="n"/>
      <c r="X1246" s="83" t="n"/>
      <c r="Y1246" s="83" t="n"/>
      <c r="Z1246" s="83" t="n"/>
      <c r="AA1246" s="83" t="n"/>
      <c r="AB1246" s="83" t="n"/>
      <c r="AC1246" s="83" t="n"/>
      <c r="AD1246" s="83" t="n"/>
      <c r="AE1246" s="83" t="n"/>
      <c r="AF1246" s="83" t="n"/>
      <c r="AG1246" s="83" t="n"/>
      <c r="AH1246" s="83" t="n"/>
      <c r="AI1246" s="83" t="n"/>
      <c r="AJ1246" s="83" t="n"/>
      <c r="AK1246" s="83" t="n"/>
      <c r="AL1246" s="83" t="n"/>
      <c r="AM1246" s="83" t="n"/>
      <c r="AN1246" s="83" t="n"/>
      <c r="AO1246" s="83" t="n"/>
      <c r="AP1246" s="83" t="n"/>
      <c r="AQ1246" s="83" t="n"/>
      <c r="AR1246" s="83" t="n"/>
    </row>
    <row r="1247">
      <c r="D1247" s="83" t="n"/>
      <c r="E1247" s="83" t="n"/>
      <c r="F1247" s="83" t="n"/>
      <c r="G1247" s="83" t="n"/>
      <c r="H1247" s="83" t="n"/>
      <c r="I1247" s="83" t="n"/>
      <c r="J1247" s="83" t="n"/>
      <c r="K1247" s="83" t="n"/>
      <c r="L1247" s="83" t="n"/>
      <c r="M1247" s="83" t="n"/>
      <c r="N1247" s="83" t="n"/>
      <c r="O1247" s="83" t="n"/>
      <c r="P1247" s="83" t="n"/>
      <c r="Q1247" s="83" t="n"/>
      <c r="R1247" s="83" t="n"/>
      <c r="S1247" s="83" t="n"/>
      <c r="T1247" s="83" t="n"/>
      <c r="U1247" s="83" t="n"/>
      <c r="V1247" s="83" t="n"/>
      <c r="W1247" s="83" t="n"/>
      <c r="X1247" s="83" t="n"/>
      <c r="Y1247" s="83" t="n"/>
      <c r="Z1247" s="83" t="n"/>
      <c r="AA1247" s="83" t="n"/>
      <c r="AB1247" s="83" t="n"/>
      <c r="AC1247" s="83" t="n"/>
      <c r="AD1247" s="83" t="n"/>
      <c r="AE1247" s="83" t="n"/>
      <c r="AF1247" s="83" t="n"/>
      <c r="AG1247" s="83" t="n"/>
      <c r="AH1247" s="83" t="n"/>
      <c r="AI1247" s="83" t="n"/>
      <c r="AJ1247" s="83" t="n"/>
      <c r="AK1247" s="83" t="n"/>
      <c r="AL1247" s="83" t="n"/>
      <c r="AM1247" s="83" t="n"/>
      <c r="AN1247" s="83" t="n"/>
      <c r="AO1247" s="83" t="n"/>
      <c r="AP1247" s="83" t="n"/>
      <c r="AQ1247" s="83" t="n"/>
      <c r="AR1247" s="83" t="n"/>
    </row>
    <row r="1248">
      <c r="D1248" s="84" t="n"/>
      <c r="E1248" s="84" t="n"/>
      <c r="F1248" s="84" t="n"/>
      <c r="G1248" s="84" t="n"/>
      <c r="H1248" s="84" t="n"/>
      <c r="I1248" s="84" t="n"/>
      <c r="J1248" s="84" t="n"/>
      <c r="K1248" s="84" t="n"/>
      <c r="L1248" s="84" t="n"/>
      <c r="M1248" s="84" t="n"/>
      <c r="N1248" s="84" t="n"/>
      <c r="O1248" s="84" t="n"/>
      <c r="P1248" s="84" t="n"/>
      <c r="Q1248" s="84" t="n"/>
      <c r="R1248" s="84" t="n"/>
      <c r="S1248" s="84" t="n"/>
      <c r="T1248" s="84" t="n"/>
      <c r="U1248" s="84" t="n"/>
      <c r="V1248" s="84" t="n"/>
      <c r="W1248" s="84" t="n"/>
      <c r="X1248" s="84" t="n"/>
      <c r="Y1248" s="84" t="n"/>
      <c r="Z1248" s="84" t="n"/>
      <c r="AA1248" s="84" t="n"/>
      <c r="AB1248" s="84" t="n"/>
      <c r="AC1248" s="84" t="n"/>
      <c r="AD1248" s="84" t="n"/>
      <c r="AE1248" s="84" t="n"/>
      <c r="AF1248" s="84" t="n"/>
      <c r="AG1248" s="84" t="n"/>
      <c r="AH1248" s="84" t="n"/>
      <c r="AI1248" s="84" t="n"/>
      <c r="AJ1248" s="84" t="n"/>
      <c r="AK1248" s="84" t="n"/>
      <c r="AL1248" s="84" t="n"/>
      <c r="AM1248" s="84" t="n"/>
      <c r="AN1248" s="84" t="n"/>
      <c r="AO1248" s="84" t="n"/>
      <c r="AP1248" s="84" t="n"/>
      <c r="AQ1248" s="84" t="n"/>
      <c r="AR1248" s="84" t="n"/>
    </row>
    <row r="1249">
      <c r="D1249" s="80" t="n"/>
      <c r="E1249" s="80" t="n"/>
      <c r="F1249" s="80" t="n"/>
      <c r="G1249" s="80" t="n"/>
      <c r="H1249" s="80" t="n"/>
      <c r="I1249" s="80" t="n"/>
      <c r="J1249" s="80" t="n"/>
      <c r="K1249" s="80" t="n"/>
      <c r="L1249" s="80" t="n"/>
      <c r="M1249" s="80" t="n"/>
      <c r="N1249" s="80" t="n"/>
      <c r="O1249" s="80" t="n"/>
      <c r="P1249" s="80" t="n"/>
      <c r="Q1249" s="80" t="n"/>
      <c r="R1249" s="80" t="n"/>
      <c r="S1249" s="80" t="n"/>
      <c r="T1249" s="80" t="n"/>
      <c r="U1249" s="80" t="n"/>
      <c r="V1249" s="80" t="n"/>
      <c r="W1249" s="80" t="n"/>
      <c r="X1249" s="80" t="n"/>
      <c r="Y1249" s="80" t="n"/>
      <c r="Z1249" s="80" t="n"/>
      <c r="AA1249" s="80" t="n"/>
      <c r="AB1249" s="80" t="n"/>
      <c r="AC1249" s="80" t="n"/>
      <c r="AD1249" s="80" t="n"/>
      <c r="AE1249" s="80" t="n"/>
      <c r="AF1249" s="80" t="n"/>
      <c r="AG1249" s="80" t="n"/>
      <c r="AH1249" s="80" t="n"/>
      <c r="AI1249" s="80" t="n"/>
      <c r="AJ1249" s="80" t="n"/>
      <c r="AK1249" s="80" t="n"/>
      <c r="AL1249" s="80" t="n"/>
      <c r="AM1249" s="80" t="n"/>
      <c r="AN1249" s="80" t="n"/>
      <c r="AO1249" s="80" t="n"/>
      <c r="AP1249" s="80" t="n"/>
      <c r="AQ1249" s="80" t="n"/>
      <c r="AR1249" s="80" t="n"/>
    </row>
    <row r="1250">
      <c r="D1250" s="80" t="n"/>
      <c r="E1250" s="80" t="n"/>
      <c r="F1250" s="80" t="n"/>
      <c r="G1250" s="80" t="n"/>
      <c r="H1250" s="80" t="n"/>
      <c r="I1250" s="80" t="n"/>
      <c r="J1250" s="80" t="n"/>
      <c r="K1250" s="80" t="n"/>
      <c r="L1250" s="80" t="n"/>
      <c r="M1250" s="80" t="n"/>
      <c r="N1250" s="80" t="n"/>
      <c r="O1250" s="80" t="n"/>
      <c r="P1250" s="80" t="n"/>
      <c r="Q1250" s="80" t="n"/>
      <c r="R1250" s="80" t="n"/>
      <c r="S1250" s="80" t="n"/>
      <c r="T1250" s="80" t="n"/>
      <c r="U1250" s="80" t="n"/>
      <c r="V1250" s="80" t="n"/>
      <c r="W1250" s="80" t="n"/>
      <c r="X1250" s="80" t="n"/>
      <c r="Y1250" s="80" t="n"/>
      <c r="Z1250" s="80" t="n"/>
      <c r="AA1250" s="80" t="n"/>
      <c r="AB1250" s="80" t="n"/>
      <c r="AC1250" s="80" t="n"/>
      <c r="AD1250" s="80" t="n"/>
      <c r="AE1250" s="80" t="n"/>
      <c r="AF1250" s="80" t="n"/>
      <c r="AG1250" s="80" t="n"/>
      <c r="AH1250" s="80" t="n"/>
      <c r="AI1250" s="80" t="n"/>
      <c r="AJ1250" s="80" t="n"/>
      <c r="AK1250" s="80" t="n"/>
      <c r="AL1250" s="80" t="n"/>
      <c r="AM1250" s="80" t="n"/>
      <c r="AN1250" s="80" t="n"/>
      <c r="AO1250" s="80" t="n"/>
      <c r="AP1250" s="80" t="n"/>
      <c r="AQ1250" s="80" t="n"/>
      <c r="AR1250" s="80" t="n"/>
    </row>
    <row r="1251">
      <c r="D1251" s="80" t="n"/>
      <c r="E1251" s="80" t="n"/>
      <c r="F1251" s="80" t="n"/>
      <c r="G1251" s="80" t="n"/>
      <c r="H1251" s="80" t="n"/>
      <c r="I1251" s="80" t="n"/>
      <c r="J1251" s="80" t="n"/>
      <c r="K1251" s="80" t="n"/>
      <c r="L1251" s="80" t="n"/>
      <c r="M1251" s="80" t="n"/>
      <c r="N1251" s="80" t="n"/>
      <c r="O1251" s="80" t="n"/>
      <c r="P1251" s="80" t="n"/>
      <c r="Q1251" s="80" t="n"/>
      <c r="R1251" s="80" t="n"/>
      <c r="S1251" s="80" t="n"/>
      <c r="T1251" s="80" t="n"/>
      <c r="U1251" s="80" t="n"/>
      <c r="V1251" s="80" t="n"/>
      <c r="W1251" s="80" t="n"/>
      <c r="X1251" s="80" t="n"/>
      <c r="Y1251" s="80" t="n"/>
      <c r="Z1251" s="80" t="n"/>
      <c r="AA1251" s="80" t="n"/>
      <c r="AB1251" s="80" t="n"/>
      <c r="AC1251" s="80" t="n"/>
      <c r="AD1251" s="80" t="n"/>
      <c r="AE1251" s="80" t="n"/>
      <c r="AF1251" s="80" t="n"/>
      <c r="AG1251" s="80" t="n"/>
      <c r="AH1251" s="80" t="n"/>
      <c r="AI1251" s="80" t="n"/>
      <c r="AJ1251" s="80" t="n"/>
      <c r="AK1251" s="80" t="n"/>
      <c r="AL1251" s="80" t="n"/>
      <c r="AM1251" s="80" t="n"/>
      <c r="AN1251" s="80" t="n"/>
      <c r="AO1251" s="80" t="n"/>
      <c r="AP1251" s="80" t="n"/>
      <c r="AQ1251" s="80" t="n"/>
      <c r="AR1251" s="80" t="n"/>
    </row>
    <row r="1252">
      <c r="D1252" s="80" t="n"/>
      <c r="E1252" s="80" t="n"/>
      <c r="F1252" s="80" t="n"/>
      <c r="G1252" s="80" t="n"/>
      <c r="H1252" s="80" t="n"/>
      <c r="I1252" s="80" t="n"/>
      <c r="J1252" s="80" t="n"/>
      <c r="K1252" s="80" t="n"/>
      <c r="L1252" s="80" t="n"/>
      <c r="M1252" s="80" t="n"/>
      <c r="N1252" s="80" t="n"/>
      <c r="O1252" s="80" t="n"/>
      <c r="P1252" s="80" t="n"/>
      <c r="Q1252" s="80" t="n"/>
      <c r="R1252" s="80" t="n"/>
      <c r="S1252" s="80" t="n"/>
      <c r="T1252" s="80" t="n"/>
      <c r="U1252" s="80" t="n"/>
      <c r="V1252" s="80" t="n"/>
      <c r="W1252" s="80" t="n"/>
      <c r="X1252" s="80" t="n"/>
      <c r="Y1252" s="80" t="n"/>
      <c r="Z1252" s="80" t="n"/>
      <c r="AA1252" s="80" t="n"/>
      <c r="AB1252" s="80" t="n"/>
      <c r="AC1252" s="80" t="n"/>
      <c r="AD1252" s="80" t="n"/>
      <c r="AE1252" s="80" t="n"/>
      <c r="AF1252" s="80" t="n"/>
      <c r="AG1252" s="80" t="n"/>
      <c r="AH1252" s="80" t="n"/>
      <c r="AI1252" s="80" t="n"/>
      <c r="AJ1252" s="80" t="n"/>
      <c r="AK1252" s="80" t="n"/>
      <c r="AL1252" s="80" t="n"/>
      <c r="AM1252" s="80" t="n"/>
      <c r="AN1252" s="80" t="n"/>
      <c r="AO1252" s="80" t="n"/>
      <c r="AP1252" s="80" t="n"/>
      <c r="AQ1252" s="80" t="n"/>
      <c r="AR1252" s="80" t="n"/>
    </row>
    <row r="1254">
      <c r="A1254" s="6">
        <f>IF(HSI!$C$90="","",HSI!$C$90)</f>
        <v/>
      </c>
      <c r="B1254" s="41">
        <f>IF($A1254="",0,COUNT($E1255:$AR1255))</f>
        <v/>
      </c>
      <c r="C1254" s="81">
        <f>IF($B1254=0,0,MAX($E1255:$AR1255))</f>
        <v/>
      </c>
      <c r="D1254" s="82">
        <f>BDS($A1254,'Field Check'!$C$7,"headers=y","startcol=1","endcol=7","dir=h","DVD_START_DT",Summary!$C$18,"DVD_END_DT",Summary!$D$18)</f>
        <v/>
      </c>
      <c r="E1254" s="83" t="n"/>
      <c r="F1254" s="83" t="n"/>
      <c r="G1254" s="83" t="n"/>
      <c r="H1254" s="83" t="n"/>
      <c r="I1254" s="83" t="n"/>
      <c r="J1254" s="83" t="n"/>
      <c r="K1254" s="83" t="n"/>
      <c r="L1254" s="83" t="n"/>
      <c r="M1254" s="83" t="n"/>
      <c r="N1254" s="83" t="n"/>
      <c r="O1254" s="83" t="n"/>
      <c r="P1254" s="83" t="n"/>
      <c r="Q1254" s="83" t="n"/>
      <c r="R1254" s="83" t="n"/>
      <c r="S1254" s="83" t="n"/>
      <c r="T1254" s="83" t="n"/>
      <c r="U1254" s="83" t="n"/>
      <c r="V1254" s="83" t="n"/>
      <c r="W1254" s="83" t="n"/>
      <c r="X1254" s="83" t="n"/>
      <c r="Y1254" s="83" t="n"/>
      <c r="Z1254" s="83" t="n"/>
      <c r="AA1254" s="83" t="n"/>
      <c r="AB1254" s="83" t="n"/>
      <c r="AC1254" s="83" t="n"/>
      <c r="AD1254" s="83" t="n"/>
      <c r="AE1254" s="83" t="n"/>
      <c r="AF1254" s="83" t="n"/>
      <c r="AG1254" s="83" t="n"/>
      <c r="AH1254" s="83" t="n"/>
      <c r="AI1254" s="83" t="n"/>
      <c r="AJ1254" s="83" t="n"/>
      <c r="AK1254" s="83" t="n"/>
      <c r="AL1254" s="83" t="n"/>
      <c r="AM1254" s="83" t="n"/>
      <c r="AN1254" s="83" t="n"/>
      <c r="AO1254" s="83" t="n"/>
      <c r="AP1254" s="83" t="n"/>
      <c r="AQ1254" s="83" t="n"/>
      <c r="AR1254" s="83" t="n"/>
    </row>
    <row r="1255">
      <c r="D1255" s="83" t="n"/>
      <c r="E1255" s="83" t="n"/>
      <c r="F1255" s="83" t="n"/>
      <c r="G1255" s="83" t="n"/>
      <c r="H1255" s="83" t="n"/>
      <c r="I1255" s="83" t="n"/>
      <c r="J1255" s="83" t="n"/>
      <c r="K1255" s="83" t="n"/>
      <c r="L1255" s="83" t="n"/>
      <c r="M1255" s="83" t="n"/>
      <c r="N1255" s="83" t="n"/>
      <c r="O1255" s="83" t="n"/>
      <c r="P1255" s="83" t="n"/>
      <c r="Q1255" s="83" t="n"/>
      <c r="R1255" s="83" t="n"/>
      <c r="S1255" s="83" t="n"/>
      <c r="T1255" s="83" t="n"/>
      <c r="U1255" s="83" t="n"/>
      <c r="V1255" s="83" t="n"/>
      <c r="W1255" s="83" t="n"/>
      <c r="X1255" s="83" t="n"/>
      <c r="Y1255" s="83" t="n"/>
      <c r="Z1255" s="83" t="n"/>
      <c r="AA1255" s="83" t="n"/>
      <c r="AB1255" s="83" t="n"/>
      <c r="AC1255" s="83" t="n"/>
      <c r="AD1255" s="83" t="n"/>
      <c r="AE1255" s="83" t="n"/>
      <c r="AF1255" s="83" t="n"/>
      <c r="AG1255" s="83" t="n"/>
      <c r="AH1255" s="83" t="n"/>
      <c r="AI1255" s="83" t="n"/>
      <c r="AJ1255" s="83" t="n"/>
      <c r="AK1255" s="83" t="n"/>
      <c r="AL1255" s="83" t="n"/>
      <c r="AM1255" s="83" t="n"/>
      <c r="AN1255" s="83" t="n"/>
      <c r="AO1255" s="83" t="n"/>
      <c r="AP1255" s="83" t="n"/>
      <c r="AQ1255" s="83" t="n"/>
      <c r="AR1255" s="83" t="n"/>
    </row>
    <row r="1256">
      <c r="D1256" s="84" t="n"/>
      <c r="E1256" s="84" t="n"/>
      <c r="F1256" s="84" t="n"/>
      <c r="G1256" s="84" t="n"/>
      <c r="H1256" s="84" t="n"/>
      <c r="I1256" s="84" t="n"/>
      <c r="J1256" s="84" t="n"/>
      <c r="K1256" s="84" t="n"/>
      <c r="L1256" s="84" t="n"/>
      <c r="M1256" s="84" t="n"/>
      <c r="N1256" s="84" t="n"/>
      <c r="O1256" s="84" t="n"/>
      <c r="P1256" s="84" t="n"/>
      <c r="Q1256" s="84" t="n"/>
      <c r="R1256" s="84" t="n"/>
      <c r="S1256" s="84" t="n"/>
      <c r="T1256" s="84" t="n"/>
      <c r="U1256" s="84" t="n"/>
      <c r="V1256" s="84" t="n"/>
      <c r="W1256" s="84" t="n"/>
      <c r="X1256" s="84" t="n"/>
      <c r="Y1256" s="84" t="n"/>
      <c r="Z1256" s="84" t="n"/>
      <c r="AA1256" s="84" t="n"/>
      <c r="AB1256" s="84" t="n"/>
      <c r="AC1256" s="84" t="n"/>
      <c r="AD1256" s="84" t="n"/>
      <c r="AE1256" s="84" t="n"/>
      <c r="AF1256" s="84" t="n"/>
      <c r="AG1256" s="84" t="n"/>
      <c r="AH1256" s="84" t="n"/>
      <c r="AI1256" s="84" t="n"/>
      <c r="AJ1256" s="84" t="n"/>
      <c r="AK1256" s="84" t="n"/>
      <c r="AL1256" s="84" t="n"/>
      <c r="AM1256" s="84" t="n"/>
      <c r="AN1256" s="84" t="n"/>
      <c r="AO1256" s="84" t="n"/>
      <c r="AP1256" s="84" t="n"/>
      <c r="AQ1256" s="84" t="n"/>
      <c r="AR1256" s="84" t="n"/>
    </row>
    <row r="1257">
      <c r="D1257" s="80" t="n"/>
      <c r="E1257" s="80" t="n"/>
      <c r="F1257" s="80" t="n"/>
      <c r="G1257" s="80" t="n"/>
      <c r="H1257" s="80" t="n"/>
      <c r="I1257" s="80" t="n"/>
      <c r="J1257" s="80" t="n"/>
      <c r="K1257" s="80" t="n"/>
      <c r="L1257" s="80" t="n"/>
      <c r="M1257" s="80" t="n"/>
      <c r="N1257" s="80" t="n"/>
      <c r="O1257" s="80" t="n"/>
      <c r="P1257" s="80" t="n"/>
      <c r="Q1257" s="80" t="n"/>
      <c r="R1257" s="80" t="n"/>
      <c r="S1257" s="80" t="n"/>
      <c r="T1257" s="80" t="n"/>
      <c r="U1257" s="80" t="n"/>
      <c r="V1257" s="80" t="n"/>
      <c r="W1257" s="80" t="n"/>
      <c r="X1257" s="80" t="n"/>
      <c r="Y1257" s="80" t="n"/>
      <c r="Z1257" s="80" t="n"/>
      <c r="AA1257" s="80" t="n"/>
      <c r="AB1257" s="80" t="n"/>
      <c r="AC1257" s="80" t="n"/>
      <c r="AD1257" s="80" t="n"/>
      <c r="AE1257" s="80" t="n"/>
      <c r="AF1257" s="80" t="n"/>
      <c r="AG1257" s="80" t="n"/>
      <c r="AH1257" s="80" t="n"/>
      <c r="AI1257" s="80" t="n"/>
      <c r="AJ1257" s="80" t="n"/>
      <c r="AK1257" s="80" t="n"/>
      <c r="AL1257" s="80" t="n"/>
      <c r="AM1257" s="80" t="n"/>
      <c r="AN1257" s="80" t="n"/>
      <c r="AO1257" s="80" t="n"/>
      <c r="AP1257" s="80" t="n"/>
      <c r="AQ1257" s="80" t="n"/>
      <c r="AR1257" s="80" t="n"/>
    </row>
    <row r="1258">
      <c r="D1258" s="80" t="n"/>
      <c r="E1258" s="80" t="n"/>
      <c r="F1258" s="80" t="n"/>
      <c r="G1258" s="80" t="n"/>
      <c r="H1258" s="80" t="n"/>
      <c r="I1258" s="80" t="n"/>
      <c r="J1258" s="80" t="n"/>
      <c r="K1258" s="80" t="n"/>
      <c r="L1258" s="80" t="n"/>
      <c r="M1258" s="80" t="n"/>
      <c r="N1258" s="80" t="n"/>
      <c r="O1258" s="80" t="n"/>
      <c r="P1258" s="80" t="n"/>
      <c r="Q1258" s="80" t="n"/>
      <c r="R1258" s="80" t="n"/>
      <c r="S1258" s="80" t="n"/>
      <c r="T1258" s="80" t="n"/>
      <c r="U1258" s="80" t="n"/>
      <c r="V1258" s="80" t="n"/>
      <c r="W1258" s="80" t="n"/>
      <c r="X1258" s="80" t="n"/>
      <c r="Y1258" s="80" t="n"/>
      <c r="Z1258" s="80" t="n"/>
      <c r="AA1258" s="80" t="n"/>
      <c r="AB1258" s="80" t="n"/>
      <c r="AC1258" s="80" t="n"/>
      <c r="AD1258" s="80" t="n"/>
      <c r="AE1258" s="80" t="n"/>
      <c r="AF1258" s="80" t="n"/>
      <c r="AG1258" s="80" t="n"/>
      <c r="AH1258" s="80" t="n"/>
      <c r="AI1258" s="80" t="n"/>
      <c r="AJ1258" s="80" t="n"/>
      <c r="AK1258" s="80" t="n"/>
      <c r="AL1258" s="80" t="n"/>
      <c r="AM1258" s="80" t="n"/>
      <c r="AN1258" s="80" t="n"/>
      <c r="AO1258" s="80" t="n"/>
      <c r="AP1258" s="80" t="n"/>
      <c r="AQ1258" s="80" t="n"/>
      <c r="AR1258" s="80" t="n"/>
    </row>
    <row r="1259">
      <c r="D1259" s="80" t="n"/>
      <c r="E1259" s="80" t="n"/>
      <c r="F1259" s="80" t="n"/>
      <c r="G1259" s="80" t="n"/>
      <c r="H1259" s="80" t="n"/>
      <c r="I1259" s="80" t="n"/>
      <c r="J1259" s="80" t="n"/>
      <c r="K1259" s="80" t="n"/>
      <c r="L1259" s="80" t="n"/>
      <c r="M1259" s="80" t="n"/>
      <c r="N1259" s="80" t="n"/>
      <c r="O1259" s="80" t="n"/>
      <c r="P1259" s="80" t="n"/>
      <c r="Q1259" s="80" t="n"/>
      <c r="R1259" s="80" t="n"/>
      <c r="S1259" s="80" t="n"/>
      <c r="T1259" s="80" t="n"/>
      <c r="U1259" s="80" t="n"/>
      <c r="V1259" s="80" t="n"/>
      <c r="W1259" s="80" t="n"/>
      <c r="X1259" s="80" t="n"/>
      <c r="Y1259" s="80" t="n"/>
      <c r="Z1259" s="80" t="n"/>
      <c r="AA1259" s="80" t="n"/>
      <c r="AB1259" s="80" t="n"/>
      <c r="AC1259" s="80" t="n"/>
      <c r="AD1259" s="80" t="n"/>
      <c r="AE1259" s="80" t="n"/>
      <c r="AF1259" s="80" t="n"/>
      <c r="AG1259" s="80" t="n"/>
      <c r="AH1259" s="80" t="n"/>
      <c r="AI1259" s="80" t="n"/>
      <c r="AJ1259" s="80" t="n"/>
      <c r="AK1259" s="80" t="n"/>
      <c r="AL1259" s="80" t="n"/>
      <c r="AM1259" s="80" t="n"/>
      <c r="AN1259" s="80" t="n"/>
      <c r="AO1259" s="80" t="n"/>
      <c r="AP1259" s="80" t="n"/>
      <c r="AQ1259" s="80" t="n"/>
      <c r="AR1259" s="80" t="n"/>
    </row>
    <row r="1260">
      <c r="D1260" s="80" t="n"/>
      <c r="E1260" s="80" t="n"/>
      <c r="F1260" s="80" t="n"/>
      <c r="G1260" s="80" t="n"/>
      <c r="H1260" s="80" t="n"/>
      <c r="I1260" s="80" t="n"/>
      <c r="J1260" s="80" t="n"/>
      <c r="K1260" s="80" t="n"/>
      <c r="L1260" s="80" t="n"/>
      <c r="M1260" s="80" t="n"/>
      <c r="N1260" s="80" t="n"/>
      <c r="O1260" s="80" t="n"/>
      <c r="P1260" s="80" t="n"/>
      <c r="Q1260" s="80" t="n"/>
      <c r="R1260" s="80" t="n"/>
      <c r="S1260" s="80" t="n"/>
      <c r="T1260" s="80" t="n"/>
      <c r="U1260" s="80" t="n"/>
      <c r="V1260" s="80" t="n"/>
      <c r="W1260" s="80" t="n"/>
      <c r="X1260" s="80" t="n"/>
      <c r="Y1260" s="80" t="n"/>
      <c r="Z1260" s="80" t="n"/>
      <c r="AA1260" s="80" t="n"/>
      <c r="AB1260" s="80" t="n"/>
      <c r="AC1260" s="80" t="n"/>
      <c r="AD1260" s="80" t="n"/>
      <c r="AE1260" s="80" t="n"/>
      <c r="AF1260" s="80" t="n"/>
      <c r="AG1260" s="80" t="n"/>
      <c r="AH1260" s="80" t="n"/>
      <c r="AI1260" s="80" t="n"/>
      <c r="AJ1260" s="80" t="n"/>
      <c r="AK1260" s="80" t="n"/>
      <c r="AL1260" s="80" t="n"/>
      <c r="AM1260" s="80" t="n"/>
      <c r="AN1260" s="80" t="n"/>
      <c r="AO1260" s="80" t="n"/>
      <c r="AP1260" s="80" t="n"/>
      <c r="AQ1260" s="80" t="n"/>
      <c r="AR1260" s="80" t="n"/>
    </row>
    <row r="1261">
      <c r="A1261" s="2">
        <f>IF($A1254="","","   projections")</f>
        <v/>
      </c>
      <c r="B1261" s="41">
        <f>IF($A1254="",0,COUNT($E1262:$AR1262))</f>
        <v/>
      </c>
      <c r="C1261" s="81">
        <f>IF($B1261=0,0,MAX($E1262:$AR1262))</f>
        <v/>
      </c>
      <c r="D1261" s="82">
        <f>BDS($A1254,'Field Check'!$C$6,"headers=y","startcol=1","endcol=7","dir=h")</f>
        <v/>
      </c>
      <c r="E1261" s="83" t="n"/>
      <c r="F1261" s="83" t="n"/>
      <c r="G1261" s="83" t="n"/>
      <c r="H1261" s="83" t="n"/>
      <c r="I1261" s="83" t="n"/>
      <c r="J1261" s="83" t="n"/>
      <c r="K1261" s="83" t="n"/>
      <c r="L1261" s="83" t="n"/>
      <c r="M1261" s="83" t="n"/>
      <c r="N1261" s="83" t="n"/>
      <c r="O1261" s="83" t="n"/>
      <c r="P1261" s="83" t="n"/>
      <c r="Q1261" s="83" t="n"/>
      <c r="R1261" s="83" t="n"/>
      <c r="S1261" s="83" t="n"/>
      <c r="T1261" s="83" t="n"/>
      <c r="U1261" s="83" t="n"/>
      <c r="V1261" s="83" t="n"/>
      <c r="W1261" s="83" t="n"/>
      <c r="X1261" s="83" t="n"/>
      <c r="Y1261" s="83" t="n"/>
      <c r="Z1261" s="83" t="n"/>
      <c r="AA1261" s="83" t="n"/>
      <c r="AB1261" s="83" t="n"/>
      <c r="AC1261" s="83" t="n"/>
      <c r="AD1261" s="83" t="n"/>
      <c r="AE1261" s="83" t="n"/>
      <c r="AF1261" s="83" t="n"/>
      <c r="AG1261" s="83" t="n"/>
      <c r="AH1261" s="83" t="n"/>
      <c r="AI1261" s="83" t="n"/>
      <c r="AJ1261" s="83" t="n"/>
      <c r="AK1261" s="83" t="n"/>
      <c r="AL1261" s="83" t="n"/>
      <c r="AM1261" s="83" t="n"/>
      <c r="AN1261" s="83" t="n"/>
      <c r="AO1261" s="83" t="n"/>
      <c r="AP1261" s="83" t="n"/>
      <c r="AQ1261" s="83" t="n"/>
      <c r="AR1261" s="83" t="n"/>
    </row>
    <row r="1262">
      <c r="D1262" s="83" t="n"/>
      <c r="E1262" s="83" t="n"/>
      <c r="F1262" s="83" t="n"/>
      <c r="G1262" s="83" t="n"/>
      <c r="H1262" s="83" t="n"/>
      <c r="I1262" s="83" t="n"/>
      <c r="J1262" s="83" t="n"/>
      <c r="K1262" s="83" t="n"/>
      <c r="L1262" s="83" t="n"/>
      <c r="M1262" s="83" t="n"/>
      <c r="N1262" s="83" t="n"/>
      <c r="O1262" s="83" t="n"/>
      <c r="P1262" s="83" t="n"/>
      <c r="Q1262" s="83" t="n"/>
      <c r="R1262" s="83" t="n"/>
      <c r="S1262" s="83" t="n"/>
      <c r="T1262" s="83" t="n"/>
      <c r="U1262" s="83" t="n"/>
      <c r="V1262" s="83" t="n"/>
      <c r="W1262" s="83" t="n"/>
      <c r="X1262" s="83" t="n"/>
      <c r="Y1262" s="83" t="n"/>
      <c r="Z1262" s="83" t="n"/>
      <c r="AA1262" s="83" t="n"/>
      <c r="AB1262" s="83" t="n"/>
      <c r="AC1262" s="83" t="n"/>
      <c r="AD1262" s="83" t="n"/>
      <c r="AE1262" s="83" t="n"/>
      <c r="AF1262" s="83" t="n"/>
      <c r="AG1262" s="83" t="n"/>
      <c r="AH1262" s="83" t="n"/>
      <c r="AI1262" s="83" t="n"/>
      <c r="AJ1262" s="83" t="n"/>
      <c r="AK1262" s="83" t="n"/>
      <c r="AL1262" s="83" t="n"/>
      <c r="AM1262" s="83" t="n"/>
      <c r="AN1262" s="83" t="n"/>
      <c r="AO1262" s="83" t="n"/>
      <c r="AP1262" s="83" t="n"/>
      <c r="AQ1262" s="83" t="n"/>
      <c r="AR1262" s="83" t="n"/>
    </row>
    <row r="1263">
      <c r="D1263" s="84" t="n"/>
      <c r="E1263" s="84" t="n"/>
      <c r="F1263" s="84" t="n"/>
      <c r="G1263" s="84" t="n"/>
      <c r="H1263" s="84" t="n"/>
      <c r="I1263" s="84" t="n"/>
      <c r="J1263" s="84" t="n"/>
      <c r="K1263" s="84" t="n"/>
      <c r="L1263" s="84" t="n"/>
      <c r="M1263" s="84" t="n"/>
      <c r="N1263" s="84" t="n"/>
      <c r="O1263" s="84" t="n"/>
      <c r="P1263" s="84" t="n"/>
      <c r="Q1263" s="84" t="n"/>
      <c r="R1263" s="84" t="n"/>
      <c r="S1263" s="84" t="n"/>
      <c r="T1263" s="84" t="n"/>
      <c r="U1263" s="84" t="n"/>
      <c r="V1263" s="84" t="n"/>
      <c r="W1263" s="84" t="n"/>
      <c r="X1263" s="84" t="n"/>
      <c r="Y1263" s="84" t="n"/>
      <c r="Z1263" s="84" t="n"/>
      <c r="AA1263" s="84" t="n"/>
      <c r="AB1263" s="84" t="n"/>
      <c r="AC1263" s="84" t="n"/>
      <c r="AD1263" s="84" t="n"/>
      <c r="AE1263" s="84" t="n"/>
      <c r="AF1263" s="84" t="n"/>
      <c r="AG1263" s="84" t="n"/>
      <c r="AH1263" s="84" t="n"/>
      <c r="AI1263" s="84" t="n"/>
      <c r="AJ1263" s="84" t="n"/>
      <c r="AK1263" s="84" t="n"/>
      <c r="AL1263" s="84" t="n"/>
      <c r="AM1263" s="84" t="n"/>
      <c r="AN1263" s="84" t="n"/>
      <c r="AO1263" s="84" t="n"/>
      <c r="AP1263" s="84" t="n"/>
      <c r="AQ1263" s="84" t="n"/>
      <c r="AR1263" s="84" t="n"/>
    </row>
    <row r="1264">
      <c r="D1264" s="80" t="n"/>
      <c r="E1264" s="80" t="n"/>
      <c r="F1264" s="80" t="n"/>
      <c r="G1264" s="80" t="n"/>
      <c r="H1264" s="80" t="n"/>
      <c r="I1264" s="80" t="n"/>
      <c r="J1264" s="80" t="n"/>
      <c r="K1264" s="80" t="n"/>
      <c r="L1264" s="80" t="n"/>
      <c r="M1264" s="80" t="n"/>
      <c r="N1264" s="80" t="n"/>
      <c r="O1264" s="80" t="n"/>
      <c r="P1264" s="80" t="n"/>
      <c r="Q1264" s="80" t="n"/>
      <c r="R1264" s="80" t="n"/>
      <c r="S1264" s="80" t="n"/>
      <c r="T1264" s="80" t="n"/>
      <c r="U1264" s="80" t="n"/>
      <c r="V1264" s="80" t="n"/>
      <c r="W1264" s="80" t="n"/>
      <c r="X1264" s="80" t="n"/>
      <c r="Y1264" s="80" t="n"/>
      <c r="Z1264" s="80" t="n"/>
      <c r="AA1264" s="80" t="n"/>
      <c r="AB1264" s="80" t="n"/>
      <c r="AC1264" s="80" t="n"/>
      <c r="AD1264" s="80" t="n"/>
      <c r="AE1264" s="80" t="n"/>
      <c r="AF1264" s="80" t="n"/>
      <c r="AG1264" s="80" t="n"/>
      <c r="AH1264" s="80" t="n"/>
      <c r="AI1264" s="80" t="n"/>
      <c r="AJ1264" s="80" t="n"/>
      <c r="AK1264" s="80" t="n"/>
      <c r="AL1264" s="80" t="n"/>
      <c r="AM1264" s="80" t="n"/>
      <c r="AN1264" s="80" t="n"/>
      <c r="AO1264" s="80" t="n"/>
      <c r="AP1264" s="80" t="n"/>
      <c r="AQ1264" s="80" t="n"/>
      <c r="AR1264" s="80" t="n"/>
    </row>
    <row r="1265">
      <c r="D1265" s="80" t="n"/>
      <c r="E1265" s="80" t="n"/>
      <c r="F1265" s="80" t="n"/>
      <c r="G1265" s="80" t="n"/>
      <c r="H1265" s="80" t="n"/>
      <c r="I1265" s="80" t="n"/>
      <c r="J1265" s="80" t="n"/>
      <c r="K1265" s="80" t="n"/>
      <c r="L1265" s="80" t="n"/>
      <c r="M1265" s="80" t="n"/>
      <c r="N1265" s="80" t="n"/>
      <c r="O1265" s="80" t="n"/>
      <c r="P1265" s="80" t="n"/>
      <c r="Q1265" s="80" t="n"/>
      <c r="R1265" s="80" t="n"/>
      <c r="S1265" s="80" t="n"/>
      <c r="T1265" s="80" t="n"/>
      <c r="U1265" s="80" t="n"/>
      <c r="V1265" s="80" t="n"/>
      <c r="W1265" s="80" t="n"/>
      <c r="X1265" s="80" t="n"/>
      <c r="Y1265" s="80" t="n"/>
      <c r="Z1265" s="80" t="n"/>
      <c r="AA1265" s="80" t="n"/>
      <c r="AB1265" s="80" t="n"/>
      <c r="AC1265" s="80" t="n"/>
      <c r="AD1265" s="80" t="n"/>
      <c r="AE1265" s="80" t="n"/>
      <c r="AF1265" s="80" t="n"/>
      <c r="AG1265" s="80" t="n"/>
      <c r="AH1265" s="80" t="n"/>
      <c r="AI1265" s="80" t="n"/>
      <c r="AJ1265" s="80" t="n"/>
      <c r="AK1265" s="80" t="n"/>
      <c r="AL1265" s="80" t="n"/>
      <c r="AM1265" s="80" t="n"/>
      <c r="AN1265" s="80" t="n"/>
      <c r="AO1265" s="80" t="n"/>
      <c r="AP1265" s="80" t="n"/>
      <c r="AQ1265" s="80" t="n"/>
      <c r="AR1265" s="80" t="n"/>
    </row>
    <row r="1266">
      <c r="D1266" s="80" t="n"/>
      <c r="E1266" s="80" t="n"/>
      <c r="F1266" s="80" t="n"/>
      <c r="G1266" s="80" t="n"/>
      <c r="H1266" s="80" t="n"/>
      <c r="I1266" s="80" t="n"/>
      <c r="J1266" s="80" t="n"/>
      <c r="K1266" s="80" t="n"/>
      <c r="L1266" s="80" t="n"/>
      <c r="M1266" s="80" t="n"/>
      <c r="N1266" s="80" t="n"/>
      <c r="O1266" s="80" t="n"/>
      <c r="P1266" s="80" t="n"/>
      <c r="Q1266" s="80" t="n"/>
      <c r="R1266" s="80" t="n"/>
      <c r="S1266" s="80" t="n"/>
      <c r="T1266" s="80" t="n"/>
      <c r="U1266" s="80" t="n"/>
      <c r="V1266" s="80" t="n"/>
      <c r="W1266" s="80" t="n"/>
      <c r="X1266" s="80" t="n"/>
      <c r="Y1266" s="80" t="n"/>
      <c r="Z1266" s="80" t="n"/>
      <c r="AA1266" s="80" t="n"/>
      <c r="AB1266" s="80" t="n"/>
      <c r="AC1266" s="80" t="n"/>
      <c r="AD1266" s="80" t="n"/>
      <c r="AE1266" s="80" t="n"/>
      <c r="AF1266" s="80" t="n"/>
      <c r="AG1266" s="80" t="n"/>
      <c r="AH1266" s="80" t="n"/>
      <c r="AI1266" s="80" t="n"/>
      <c r="AJ1266" s="80" t="n"/>
      <c r="AK1266" s="80" t="n"/>
      <c r="AL1266" s="80" t="n"/>
      <c r="AM1266" s="80" t="n"/>
      <c r="AN1266" s="80" t="n"/>
      <c r="AO1266" s="80" t="n"/>
      <c r="AP1266" s="80" t="n"/>
      <c r="AQ1266" s="80" t="n"/>
      <c r="AR1266" s="80" t="n"/>
    </row>
    <row r="1267">
      <c r="D1267" s="80" t="n"/>
      <c r="E1267" s="80" t="n"/>
      <c r="F1267" s="80" t="n"/>
      <c r="G1267" s="80" t="n"/>
      <c r="H1267" s="80" t="n"/>
      <c r="I1267" s="80" t="n"/>
      <c r="J1267" s="80" t="n"/>
      <c r="K1267" s="80" t="n"/>
      <c r="L1267" s="80" t="n"/>
      <c r="M1267" s="80" t="n"/>
      <c r="N1267" s="80" t="n"/>
      <c r="O1267" s="80" t="n"/>
      <c r="P1267" s="80" t="n"/>
      <c r="Q1267" s="80" t="n"/>
      <c r="R1267" s="80" t="n"/>
      <c r="S1267" s="80" t="n"/>
      <c r="T1267" s="80" t="n"/>
      <c r="U1267" s="80" t="n"/>
      <c r="V1267" s="80" t="n"/>
      <c r="W1267" s="80" t="n"/>
      <c r="X1267" s="80" t="n"/>
      <c r="Y1267" s="80" t="n"/>
      <c r="Z1267" s="80" t="n"/>
      <c r="AA1267" s="80" t="n"/>
      <c r="AB1267" s="80" t="n"/>
      <c r="AC1267" s="80" t="n"/>
      <c r="AD1267" s="80" t="n"/>
      <c r="AE1267" s="80" t="n"/>
      <c r="AF1267" s="80" t="n"/>
      <c r="AG1267" s="80" t="n"/>
      <c r="AH1267" s="80" t="n"/>
      <c r="AI1267" s="80" t="n"/>
      <c r="AJ1267" s="80" t="n"/>
      <c r="AK1267" s="80" t="n"/>
      <c r="AL1267" s="80" t="n"/>
      <c r="AM1267" s="80" t="n"/>
      <c r="AN1267" s="80" t="n"/>
      <c r="AO1267" s="80" t="n"/>
      <c r="AP1267" s="80" t="n"/>
      <c r="AQ1267" s="80" t="n"/>
      <c r="AR1267" s="80" t="n"/>
    </row>
    <row r="1269">
      <c r="A1269" s="6">
        <f>IF(HSI!$C$91="","",HSI!$C$91)</f>
        <v/>
      </c>
      <c r="B1269" s="41">
        <f>IF($A1269="",0,COUNT($E1270:$AR1270))</f>
        <v/>
      </c>
      <c r="C1269" s="81">
        <f>IF($B1269=0,0,MAX($E1270:$AR1270))</f>
        <v/>
      </c>
      <c r="D1269" s="82">
        <f>BDS($A1269,'Field Check'!$C$7,"headers=y","startcol=1","endcol=7","dir=h","DVD_START_DT",Summary!$C$18,"DVD_END_DT",Summary!$D$18)</f>
        <v/>
      </c>
      <c r="E1269" s="83" t="n"/>
      <c r="F1269" s="83" t="n"/>
      <c r="G1269" s="83" t="n"/>
      <c r="H1269" s="83" t="n"/>
      <c r="I1269" s="83" t="n"/>
      <c r="J1269" s="83" t="n"/>
      <c r="K1269" s="83" t="n"/>
      <c r="L1269" s="83" t="n"/>
      <c r="M1269" s="83" t="n"/>
      <c r="N1269" s="83" t="n"/>
      <c r="O1269" s="83" t="n"/>
      <c r="P1269" s="83" t="n"/>
      <c r="Q1269" s="83" t="n"/>
      <c r="R1269" s="83" t="n"/>
      <c r="S1269" s="83" t="n"/>
      <c r="T1269" s="83" t="n"/>
      <c r="U1269" s="83" t="n"/>
      <c r="V1269" s="83" t="n"/>
      <c r="W1269" s="83" t="n"/>
      <c r="X1269" s="83" t="n"/>
      <c r="Y1269" s="83" t="n"/>
      <c r="Z1269" s="83" t="n"/>
      <c r="AA1269" s="83" t="n"/>
      <c r="AB1269" s="83" t="n"/>
      <c r="AC1269" s="83" t="n"/>
      <c r="AD1269" s="83" t="n"/>
      <c r="AE1269" s="83" t="n"/>
      <c r="AF1269" s="83" t="n"/>
      <c r="AG1269" s="83" t="n"/>
      <c r="AH1269" s="83" t="n"/>
      <c r="AI1269" s="83" t="n"/>
      <c r="AJ1269" s="83" t="n"/>
      <c r="AK1269" s="83" t="n"/>
      <c r="AL1269" s="83" t="n"/>
      <c r="AM1269" s="83" t="n"/>
      <c r="AN1269" s="83" t="n"/>
      <c r="AO1269" s="83" t="n"/>
      <c r="AP1269" s="83" t="n"/>
      <c r="AQ1269" s="83" t="n"/>
      <c r="AR1269" s="83" t="n"/>
    </row>
    <row r="1270">
      <c r="D1270" s="83" t="n"/>
      <c r="E1270" s="83" t="n"/>
      <c r="F1270" s="83" t="n"/>
      <c r="G1270" s="83" t="n"/>
      <c r="H1270" s="83" t="n"/>
      <c r="I1270" s="83" t="n"/>
      <c r="J1270" s="83" t="n"/>
      <c r="K1270" s="83" t="n"/>
      <c r="L1270" s="83" t="n"/>
      <c r="M1270" s="83" t="n"/>
      <c r="N1270" s="83" t="n"/>
      <c r="O1270" s="83" t="n"/>
      <c r="P1270" s="83" t="n"/>
      <c r="Q1270" s="83" t="n"/>
      <c r="R1270" s="83" t="n"/>
      <c r="S1270" s="83" t="n"/>
      <c r="T1270" s="83" t="n"/>
      <c r="U1270" s="83" t="n"/>
      <c r="V1270" s="83" t="n"/>
      <c r="W1270" s="83" t="n"/>
      <c r="X1270" s="83" t="n"/>
      <c r="Y1270" s="83" t="n"/>
      <c r="Z1270" s="83" t="n"/>
      <c r="AA1270" s="83" t="n"/>
      <c r="AB1270" s="83" t="n"/>
      <c r="AC1270" s="83" t="n"/>
      <c r="AD1270" s="83" t="n"/>
      <c r="AE1270" s="83" t="n"/>
      <c r="AF1270" s="83" t="n"/>
      <c r="AG1270" s="83" t="n"/>
      <c r="AH1270" s="83" t="n"/>
      <c r="AI1270" s="83" t="n"/>
      <c r="AJ1270" s="83" t="n"/>
      <c r="AK1270" s="83" t="n"/>
      <c r="AL1270" s="83" t="n"/>
      <c r="AM1270" s="83" t="n"/>
      <c r="AN1270" s="83" t="n"/>
      <c r="AO1270" s="83" t="n"/>
      <c r="AP1270" s="83" t="n"/>
      <c r="AQ1270" s="83" t="n"/>
      <c r="AR1270" s="83" t="n"/>
    </row>
    <row r="1271">
      <c r="D1271" s="84" t="n"/>
      <c r="E1271" s="84" t="n"/>
      <c r="F1271" s="84" t="n"/>
      <c r="G1271" s="84" t="n"/>
      <c r="H1271" s="84" t="n"/>
      <c r="I1271" s="84" t="n"/>
      <c r="J1271" s="84" t="n"/>
      <c r="K1271" s="84" t="n"/>
      <c r="L1271" s="84" t="n"/>
      <c r="M1271" s="84" t="n"/>
      <c r="N1271" s="84" t="n"/>
      <c r="O1271" s="84" t="n"/>
      <c r="P1271" s="84" t="n"/>
      <c r="Q1271" s="84" t="n"/>
      <c r="R1271" s="84" t="n"/>
      <c r="S1271" s="84" t="n"/>
      <c r="T1271" s="84" t="n"/>
      <c r="U1271" s="84" t="n"/>
      <c r="V1271" s="84" t="n"/>
      <c r="W1271" s="84" t="n"/>
      <c r="X1271" s="84" t="n"/>
      <c r="Y1271" s="84" t="n"/>
      <c r="Z1271" s="84" t="n"/>
      <c r="AA1271" s="84" t="n"/>
      <c r="AB1271" s="84" t="n"/>
      <c r="AC1271" s="84" t="n"/>
      <c r="AD1271" s="84" t="n"/>
      <c r="AE1271" s="84" t="n"/>
      <c r="AF1271" s="84" t="n"/>
      <c r="AG1271" s="84" t="n"/>
      <c r="AH1271" s="84" t="n"/>
      <c r="AI1271" s="84" t="n"/>
      <c r="AJ1271" s="84" t="n"/>
      <c r="AK1271" s="84" t="n"/>
      <c r="AL1271" s="84" t="n"/>
      <c r="AM1271" s="84" t="n"/>
      <c r="AN1271" s="84" t="n"/>
      <c r="AO1271" s="84" t="n"/>
      <c r="AP1271" s="84" t="n"/>
      <c r="AQ1271" s="84" t="n"/>
      <c r="AR1271" s="84" t="n"/>
    </row>
    <row r="1272">
      <c r="D1272" s="80" t="n"/>
      <c r="E1272" s="80" t="n"/>
      <c r="F1272" s="80" t="n"/>
      <c r="G1272" s="80" t="n"/>
      <c r="H1272" s="80" t="n"/>
      <c r="I1272" s="80" t="n"/>
      <c r="J1272" s="80" t="n"/>
      <c r="K1272" s="80" t="n"/>
      <c r="L1272" s="80" t="n"/>
      <c r="M1272" s="80" t="n"/>
      <c r="N1272" s="80" t="n"/>
      <c r="O1272" s="80" t="n"/>
      <c r="P1272" s="80" t="n"/>
      <c r="Q1272" s="80" t="n"/>
      <c r="R1272" s="80" t="n"/>
      <c r="S1272" s="80" t="n"/>
      <c r="T1272" s="80" t="n"/>
      <c r="U1272" s="80" t="n"/>
      <c r="V1272" s="80" t="n"/>
      <c r="W1272" s="80" t="n"/>
      <c r="X1272" s="80" t="n"/>
      <c r="Y1272" s="80" t="n"/>
      <c r="Z1272" s="80" t="n"/>
      <c r="AA1272" s="80" t="n"/>
      <c r="AB1272" s="80" t="n"/>
      <c r="AC1272" s="80" t="n"/>
      <c r="AD1272" s="80" t="n"/>
      <c r="AE1272" s="80" t="n"/>
      <c r="AF1272" s="80" t="n"/>
      <c r="AG1272" s="80" t="n"/>
      <c r="AH1272" s="80" t="n"/>
      <c r="AI1272" s="80" t="n"/>
      <c r="AJ1272" s="80" t="n"/>
      <c r="AK1272" s="80" t="n"/>
      <c r="AL1272" s="80" t="n"/>
      <c r="AM1272" s="80" t="n"/>
      <c r="AN1272" s="80" t="n"/>
      <c r="AO1272" s="80" t="n"/>
      <c r="AP1272" s="80" t="n"/>
      <c r="AQ1272" s="80" t="n"/>
      <c r="AR1272" s="80" t="n"/>
    </row>
    <row r="1273">
      <c r="D1273" s="80" t="n"/>
      <c r="E1273" s="80" t="n"/>
      <c r="F1273" s="80" t="n"/>
      <c r="G1273" s="80" t="n"/>
      <c r="H1273" s="80" t="n"/>
      <c r="I1273" s="80" t="n"/>
      <c r="J1273" s="80" t="n"/>
      <c r="K1273" s="80" t="n"/>
      <c r="L1273" s="80" t="n"/>
      <c r="M1273" s="80" t="n"/>
      <c r="N1273" s="80" t="n"/>
      <c r="O1273" s="80" t="n"/>
      <c r="P1273" s="80" t="n"/>
      <c r="Q1273" s="80" t="n"/>
      <c r="R1273" s="80" t="n"/>
      <c r="S1273" s="80" t="n"/>
      <c r="T1273" s="80" t="n"/>
      <c r="U1273" s="80" t="n"/>
      <c r="V1273" s="80" t="n"/>
      <c r="W1273" s="80" t="n"/>
      <c r="X1273" s="80" t="n"/>
      <c r="Y1273" s="80" t="n"/>
      <c r="Z1273" s="80" t="n"/>
      <c r="AA1273" s="80" t="n"/>
      <c r="AB1273" s="80" t="n"/>
      <c r="AC1273" s="80" t="n"/>
      <c r="AD1273" s="80" t="n"/>
      <c r="AE1273" s="80" t="n"/>
      <c r="AF1273" s="80" t="n"/>
      <c r="AG1273" s="80" t="n"/>
      <c r="AH1273" s="80" t="n"/>
      <c r="AI1273" s="80" t="n"/>
      <c r="AJ1273" s="80" t="n"/>
      <c r="AK1273" s="80" t="n"/>
      <c r="AL1273" s="80" t="n"/>
      <c r="AM1273" s="80" t="n"/>
      <c r="AN1273" s="80" t="n"/>
      <c r="AO1273" s="80" t="n"/>
      <c r="AP1273" s="80" t="n"/>
      <c r="AQ1273" s="80" t="n"/>
      <c r="AR1273" s="80" t="n"/>
    </row>
    <row r="1274">
      <c r="D1274" s="80" t="n"/>
      <c r="E1274" s="80" t="n"/>
      <c r="F1274" s="80" t="n"/>
      <c r="G1274" s="80" t="n"/>
      <c r="H1274" s="80" t="n"/>
      <c r="I1274" s="80" t="n"/>
      <c r="J1274" s="80" t="n"/>
      <c r="K1274" s="80" t="n"/>
      <c r="L1274" s="80" t="n"/>
      <c r="M1274" s="80" t="n"/>
      <c r="N1274" s="80" t="n"/>
      <c r="O1274" s="80" t="n"/>
      <c r="P1274" s="80" t="n"/>
      <c r="Q1274" s="80" t="n"/>
      <c r="R1274" s="80" t="n"/>
      <c r="S1274" s="80" t="n"/>
      <c r="T1274" s="80" t="n"/>
      <c r="U1274" s="80" t="n"/>
      <c r="V1274" s="80" t="n"/>
      <c r="W1274" s="80" t="n"/>
      <c r="X1274" s="80" t="n"/>
      <c r="Y1274" s="80" t="n"/>
      <c r="Z1274" s="80" t="n"/>
      <c r="AA1274" s="80" t="n"/>
      <c r="AB1274" s="80" t="n"/>
      <c r="AC1274" s="80" t="n"/>
      <c r="AD1274" s="80" t="n"/>
      <c r="AE1274" s="80" t="n"/>
      <c r="AF1274" s="80" t="n"/>
      <c r="AG1274" s="80" t="n"/>
      <c r="AH1274" s="80" t="n"/>
      <c r="AI1274" s="80" t="n"/>
      <c r="AJ1274" s="80" t="n"/>
      <c r="AK1274" s="80" t="n"/>
      <c r="AL1274" s="80" t="n"/>
      <c r="AM1274" s="80" t="n"/>
      <c r="AN1274" s="80" t="n"/>
      <c r="AO1274" s="80" t="n"/>
      <c r="AP1274" s="80" t="n"/>
      <c r="AQ1274" s="80" t="n"/>
      <c r="AR1274" s="80" t="n"/>
    </row>
    <row r="1275">
      <c r="D1275" s="80" t="n"/>
      <c r="E1275" s="80" t="n"/>
      <c r="F1275" s="80" t="n"/>
      <c r="G1275" s="80" t="n"/>
      <c r="H1275" s="80" t="n"/>
      <c r="I1275" s="80" t="n"/>
      <c r="J1275" s="80" t="n"/>
      <c r="K1275" s="80" t="n"/>
      <c r="L1275" s="80" t="n"/>
      <c r="M1275" s="80" t="n"/>
      <c r="N1275" s="80" t="n"/>
      <c r="O1275" s="80" t="n"/>
      <c r="P1275" s="80" t="n"/>
      <c r="Q1275" s="80" t="n"/>
      <c r="R1275" s="80" t="n"/>
      <c r="S1275" s="80" t="n"/>
      <c r="T1275" s="80" t="n"/>
      <c r="U1275" s="80" t="n"/>
      <c r="V1275" s="80" t="n"/>
      <c r="W1275" s="80" t="n"/>
      <c r="X1275" s="80" t="n"/>
      <c r="Y1275" s="80" t="n"/>
      <c r="Z1275" s="80" t="n"/>
      <c r="AA1275" s="80" t="n"/>
      <c r="AB1275" s="80" t="n"/>
      <c r="AC1275" s="80" t="n"/>
      <c r="AD1275" s="80" t="n"/>
      <c r="AE1275" s="80" t="n"/>
      <c r="AF1275" s="80" t="n"/>
      <c r="AG1275" s="80" t="n"/>
      <c r="AH1275" s="80" t="n"/>
      <c r="AI1275" s="80" t="n"/>
      <c r="AJ1275" s="80" t="n"/>
      <c r="AK1275" s="80" t="n"/>
      <c r="AL1275" s="80" t="n"/>
      <c r="AM1275" s="80" t="n"/>
      <c r="AN1275" s="80" t="n"/>
      <c r="AO1275" s="80" t="n"/>
      <c r="AP1275" s="80" t="n"/>
      <c r="AQ1275" s="80" t="n"/>
      <c r="AR1275" s="80" t="n"/>
    </row>
    <row r="1276">
      <c r="A1276" s="2">
        <f>IF($A1269="","","   projections")</f>
        <v/>
      </c>
      <c r="B1276" s="41">
        <f>IF($A1269="",0,COUNT($E1277:$AR1277))</f>
        <v/>
      </c>
      <c r="C1276" s="81">
        <f>IF($B1276=0,0,MAX($E1277:$AR1277))</f>
        <v/>
      </c>
      <c r="D1276" s="82">
        <f>BDS($A1269,'Field Check'!$C$6,"headers=y","startcol=1","endcol=7","dir=h")</f>
        <v/>
      </c>
      <c r="E1276" s="83" t="n"/>
      <c r="F1276" s="83" t="n"/>
      <c r="G1276" s="83" t="n"/>
      <c r="H1276" s="83" t="n"/>
      <c r="I1276" s="83" t="n"/>
      <c r="J1276" s="83" t="n"/>
      <c r="K1276" s="83" t="n"/>
      <c r="L1276" s="83" t="n"/>
      <c r="M1276" s="83" t="n"/>
      <c r="N1276" s="83" t="n"/>
      <c r="O1276" s="83" t="n"/>
      <c r="P1276" s="83" t="n"/>
      <c r="Q1276" s="83" t="n"/>
      <c r="R1276" s="83" t="n"/>
      <c r="S1276" s="83" t="n"/>
      <c r="T1276" s="83" t="n"/>
      <c r="U1276" s="83" t="n"/>
      <c r="V1276" s="83" t="n"/>
      <c r="W1276" s="83" t="n"/>
      <c r="X1276" s="83" t="n"/>
      <c r="Y1276" s="83" t="n"/>
      <c r="Z1276" s="83" t="n"/>
      <c r="AA1276" s="83" t="n"/>
      <c r="AB1276" s="83" t="n"/>
      <c r="AC1276" s="83" t="n"/>
      <c r="AD1276" s="83" t="n"/>
      <c r="AE1276" s="83" t="n"/>
      <c r="AF1276" s="83" t="n"/>
      <c r="AG1276" s="83" t="n"/>
      <c r="AH1276" s="83" t="n"/>
      <c r="AI1276" s="83" t="n"/>
      <c r="AJ1276" s="83" t="n"/>
      <c r="AK1276" s="83" t="n"/>
      <c r="AL1276" s="83" t="n"/>
      <c r="AM1276" s="83" t="n"/>
      <c r="AN1276" s="83" t="n"/>
      <c r="AO1276" s="83" t="n"/>
      <c r="AP1276" s="83" t="n"/>
      <c r="AQ1276" s="83" t="n"/>
      <c r="AR1276" s="83" t="n"/>
    </row>
    <row r="1277">
      <c r="D1277" s="83" t="n"/>
      <c r="E1277" s="83" t="n"/>
      <c r="F1277" s="83" t="n"/>
      <c r="G1277" s="83" t="n"/>
      <c r="H1277" s="83" t="n"/>
      <c r="I1277" s="83" t="n"/>
      <c r="J1277" s="83" t="n"/>
      <c r="K1277" s="83" t="n"/>
      <c r="L1277" s="83" t="n"/>
      <c r="M1277" s="83" t="n"/>
      <c r="N1277" s="83" t="n"/>
      <c r="O1277" s="83" t="n"/>
      <c r="P1277" s="83" t="n"/>
      <c r="Q1277" s="83" t="n"/>
      <c r="R1277" s="83" t="n"/>
      <c r="S1277" s="83" t="n"/>
      <c r="T1277" s="83" t="n"/>
      <c r="U1277" s="83" t="n"/>
      <c r="V1277" s="83" t="n"/>
      <c r="W1277" s="83" t="n"/>
      <c r="X1277" s="83" t="n"/>
      <c r="Y1277" s="83" t="n"/>
      <c r="Z1277" s="83" t="n"/>
      <c r="AA1277" s="83" t="n"/>
      <c r="AB1277" s="83" t="n"/>
      <c r="AC1277" s="83" t="n"/>
      <c r="AD1277" s="83" t="n"/>
      <c r="AE1277" s="83" t="n"/>
      <c r="AF1277" s="83" t="n"/>
      <c r="AG1277" s="83" t="n"/>
      <c r="AH1277" s="83" t="n"/>
      <c r="AI1277" s="83" t="n"/>
      <c r="AJ1277" s="83" t="n"/>
      <c r="AK1277" s="83" t="n"/>
      <c r="AL1277" s="83" t="n"/>
      <c r="AM1277" s="83" t="n"/>
      <c r="AN1277" s="83" t="n"/>
      <c r="AO1277" s="83" t="n"/>
      <c r="AP1277" s="83" t="n"/>
      <c r="AQ1277" s="83" t="n"/>
      <c r="AR1277" s="83" t="n"/>
    </row>
    <row r="1278">
      <c r="D1278" s="84" t="n"/>
      <c r="E1278" s="84" t="n"/>
      <c r="F1278" s="84" t="n"/>
      <c r="G1278" s="84" t="n"/>
      <c r="H1278" s="84" t="n"/>
      <c r="I1278" s="84" t="n"/>
      <c r="J1278" s="84" t="n"/>
      <c r="K1278" s="84" t="n"/>
      <c r="L1278" s="84" t="n"/>
      <c r="M1278" s="84" t="n"/>
      <c r="N1278" s="84" t="n"/>
      <c r="O1278" s="84" t="n"/>
      <c r="P1278" s="84" t="n"/>
      <c r="Q1278" s="84" t="n"/>
      <c r="R1278" s="84" t="n"/>
      <c r="S1278" s="84" t="n"/>
      <c r="T1278" s="84" t="n"/>
      <c r="U1278" s="84" t="n"/>
      <c r="V1278" s="84" t="n"/>
      <c r="W1278" s="84" t="n"/>
      <c r="X1278" s="84" t="n"/>
      <c r="Y1278" s="84" t="n"/>
      <c r="Z1278" s="84" t="n"/>
      <c r="AA1278" s="84" t="n"/>
      <c r="AB1278" s="84" t="n"/>
      <c r="AC1278" s="84" t="n"/>
      <c r="AD1278" s="84" t="n"/>
      <c r="AE1278" s="84" t="n"/>
      <c r="AF1278" s="84" t="n"/>
      <c r="AG1278" s="84" t="n"/>
      <c r="AH1278" s="84" t="n"/>
      <c r="AI1278" s="84" t="n"/>
      <c r="AJ1278" s="84" t="n"/>
      <c r="AK1278" s="84" t="n"/>
      <c r="AL1278" s="84" t="n"/>
      <c r="AM1278" s="84" t="n"/>
      <c r="AN1278" s="84" t="n"/>
      <c r="AO1278" s="84" t="n"/>
      <c r="AP1278" s="84" t="n"/>
      <c r="AQ1278" s="84" t="n"/>
      <c r="AR1278" s="84" t="n"/>
    </row>
    <row r="1279">
      <c r="D1279" s="80" t="n"/>
      <c r="E1279" s="80" t="n"/>
      <c r="F1279" s="80" t="n"/>
      <c r="G1279" s="80" t="n"/>
      <c r="H1279" s="80" t="n"/>
      <c r="I1279" s="80" t="n"/>
      <c r="J1279" s="80" t="n"/>
      <c r="K1279" s="80" t="n"/>
      <c r="L1279" s="80" t="n"/>
      <c r="M1279" s="80" t="n"/>
      <c r="N1279" s="80" t="n"/>
      <c r="O1279" s="80" t="n"/>
      <c r="P1279" s="80" t="n"/>
      <c r="Q1279" s="80" t="n"/>
      <c r="R1279" s="80" t="n"/>
      <c r="S1279" s="80" t="n"/>
      <c r="T1279" s="80" t="n"/>
      <c r="U1279" s="80" t="n"/>
      <c r="V1279" s="80" t="n"/>
      <c r="W1279" s="80" t="n"/>
      <c r="X1279" s="80" t="n"/>
      <c r="Y1279" s="80" t="n"/>
      <c r="Z1279" s="80" t="n"/>
      <c r="AA1279" s="80" t="n"/>
      <c r="AB1279" s="80" t="n"/>
      <c r="AC1279" s="80" t="n"/>
      <c r="AD1279" s="80" t="n"/>
      <c r="AE1279" s="80" t="n"/>
      <c r="AF1279" s="80" t="n"/>
      <c r="AG1279" s="80" t="n"/>
      <c r="AH1279" s="80" t="n"/>
      <c r="AI1279" s="80" t="n"/>
      <c r="AJ1279" s="80" t="n"/>
      <c r="AK1279" s="80" t="n"/>
      <c r="AL1279" s="80" t="n"/>
      <c r="AM1279" s="80" t="n"/>
      <c r="AN1279" s="80" t="n"/>
      <c r="AO1279" s="80" t="n"/>
      <c r="AP1279" s="80" t="n"/>
      <c r="AQ1279" s="80" t="n"/>
      <c r="AR1279" s="80" t="n"/>
    </row>
    <row r="1280">
      <c r="D1280" s="80" t="n"/>
      <c r="E1280" s="80" t="n"/>
      <c r="F1280" s="80" t="n"/>
      <c r="G1280" s="80" t="n"/>
      <c r="H1280" s="80" t="n"/>
      <c r="I1280" s="80" t="n"/>
      <c r="J1280" s="80" t="n"/>
      <c r="K1280" s="80" t="n"/>
      <c r="L1280" s="80" t="n"/>
      <c r="M1280" s="80" t="n"/>
      <c r="N1280" s="80" t="n"/>
      <c r="O1280" s="80" t="n"/>
      <c r="P1280" s="80" t="n"/>
      <c r="Q1280" s="80" t="n"/>
      <c r="R1280" s="80" t="n"/>
      <c r="S1280" s="80" t="n"/>
      <c r="T1280" s="80" t="n"/>
      <c r="U1280" s="80" t="n"/>
      <c r="V1280" s="80" t="n"/>
      <c r="W1280" s="80" t="n"/>
      <c r="X1280" s="80" t="n"/>
      <c r="Y1280" s="80" t="n"/>
      <c r="Z1280" s="80" t="n"/>
      <c r="AA1280" s="80" t="n"/>
      <c r="AB1280" s="80" t="n"/>
      <c r="AC1280" s="80" t="n"/>
      <c r="AD1280" s="80" t="n"/>
      <c r="AE1280" s="80" t="n"/>
      <c r="AF1280" s="80" t="n"/>
      <c r="AG1280" s="80" t="n"/>
      <c r="AH1280" s="80" t="n"/>
      <c r="AI1280" s="80" t="n"/>
      <c r="AJ1280" s="80" t="n"/>
      <c r="AK1280" s="80" t="n"/>
      <c r="AL1280" s="80" t="n"/>
      <c r="AM1280" s="80" t="n"/>
      <c r="AN1280" s="80" t="n"/>
      <c r="AO1280" s="80" t="n"/>
      <c r="AP1280" s="80" t="n"/>
      <c r="AQ1280" s="80" t="n"/>
      <c r="AR1280" s="80" t="n"/>
    </row>
    <row r="1281">
      <c r="D1281" s="80" t="n"/>
      <c r="E1281" s="80" t="n"/>
      <c r="F1281" s="80" t="n"/>
      <c r="G1281" s="80" t="n"/>
      <c r="H1281" s="80" t="n"/>
      <c r="I1281" s="80" t="n"/>
      <c r="J1281" s="80" t="n"/>
      <c r="K1281" s="80" t="n"/>
      <c r="L1281" s="80" t="n"/>
      <c r="M1281" s="80" t="n"/>
      <c r="N1281" s="80" t="n"/>
      <c r="O1281" s="80" t="n"/>
      <c r="P1281" s="80" t="n"/>
      <c r="Q1281" s="80" t="n"/>
      <c r="R1281" s="80" t="n"/>
      <c r="S1281" s="80" t="n"/>
      <c r="T1281" s="80" t="n"/>
      <c r="U1281" s="80" t="n"/>
      <c r="V1281" s="80" t="n"/>
      <c r="W1281" s="80" t="n"/>
      <c r="X1281" s="80" t="n"/>
      <c r="Y1281" s="80" t="n"/>
      <c r="Z1281" s="80" t="n"/>
      <c r="AA1281" s="80" t="n"/>
      <c r="AB1281" s="80" t="n"/>
      <c r="AC1281" s="80" t="n"/>
      <c r="AD1281" s="80" t="n"/>
      <c r="AE1281" s="80" t="n"/>
      <c r="AF1281" s="80" t="n"/>
      <c r="AG1281" s="80" t="n"/>
      <c r="AH1281" s="80" t="n"/>
      <c r="AI1281" s="80" t="n"/>
      <c r="AJ1281" s="80" t="n"/>
      <c r="AK1281" s="80" t="n"/>
      <c r="AL1281" s="80" t="n"/>
      <c r="AM1281" s="80" t="n"/>
      <c r="AN1281" s="80" t="n"/>
      <c r="AO1281" s="80" t="n"/>
      <c r="AP1281" s="80" t="n"/>
      <c r="AQ1281" s="80" t="n"/>
      <c r="AR1281" s="80" t="n"/>
    </row>
    <row r="1282">
      <c r="D1282" s="80" t="n"/>
      <c r="E1282" s="80" t="n"/>
      <c r="F1282" s="80" t="n"/>
      <c r="G1282" s="80" t="n"/>
      <c r="H1282" s="80" t="n"/>
      <c r="I1282" s="80" t="n"/>
      <c r="J1282" s="80" t="n"/>
      <c r="K1282" s="80" t="n"/>
      <c r="L1282" s="80" t="n"/>
      <c r="M1282" s="80" t="n"/>
      <c r="N1282" s="80" t="n"/>
      <c r="O1282" s="80" t="n"/>
      <c r="P1282" s="80" t="n"/>
      <c r="Q1282" s="80" t="n"/>
      <c r="R1282" s="80" t="n"/>
      <c r="S1282" s="80" t="n"/>
      <c r="T1282" s="80" t="n"/>
      <c r="U1282" s="80" t="n"/>
      <c r="V1282" s="80" t="n"/>
      <c r="W1282" s="80" t="n"/>
      <c r="X1282" s="80" t="n"/>
      <c r="Y1282" s="80" t="n"/>
      <c r="Z1282" s="80" t="n"/>
      <c r="AA1282" s="80" t="n"/>
      <c r="AB1282" s="80" t="n"/>
      <c r="AC1282" s="80" t="n"/>
      <c r="AD1282" s="80" t="n"/>
      <c r="AE1282" s="80" t="n"/>
      <c r="AF1282" s="80" t="n"/>
      <c r="AG1282" s="80" t="n"/>
      <c r="AH1282" s="80" t="n"/>
      <c r="AI1282" s="80" t="n"/>
      <c r="AJ1282" s="80" t="n"/>
      <c r="AK1282" s="80" t="n"/>
      <c r="AL1282" s="80" t="n"/>
      <c r="AM1282" s="80" t="n"/>
      <c r="AN1282" s="80" t="n"/>
      <c r="AO1282" s="80" t="n"/>
      <c r="AP1282" s="80" t="n"/>
      <c r="AQ1282" s="80" t="n"/>
      <c r="AR1282" s="80" t="n"/>
    </row>
    <row r="1284">
      <c r="A1284" s="6">
        <f>IF(HSI!$C$92="","",HSI!$C$92)</f>
        <v/>
      </c>
      <c r="B1284" s="41">
        <f>IF($A1284="",0,COUNT($E1285:$AR1285))</f>
        <v/>
      </c>
      <c r="C1284" s="81">
        <f>IF($B1284=0,0,MAX($E1285:$AR1285))</f>
        <v/>
      </c>
      <c r="D1284" s="82">
        <f>BDS($A1284,'Field Check'!$C$7,"headers=y","startcol=1","endcol=7","dir=h","DVD_START_DT",Summary!$C$18,"DVD_END_DT",Summary!$D$18)</f>
        <v/>
      </c>
      <c r="E1284" s="83" t="n"/>
      <c r="F1284" s="83" t="n"/>
      <c r="G1284" s="83" t="n"/>
      <c r="H1284" s="83" t="n"/>
      <c r="I1284" s="83" t="n"/>
      <c r="J1284" s="83" t="n"/>
      <c r="K1284" s="83" t="n"/>
      <c r="L1284" s="83" t="n"/>
      <c r="M1284" s="83" t="n"/>
      <c r="N1284" s="83" t="n"/>
      <c r="O1284" s="83" t="n"/>
      <c r="P1284" s="83" t="n"/>
      <c r="Q1284" s="83" t="n"/>
      <c r="R1284" s="83" t="n"/>
      <c r="S1284" s="83" t="n"/>
      <c r="T1284" s="83" t="n"/>
      <c r="U1284" s="83" t="n"/>
      <c r="V1284" s="83" t="n"/>
      <c r="W1284" s="83" t="n"/>
      <c r="X1284" s="83" t="n"/>
      <c r="Y1284" s="83" t="n"/>
      <c r="Z1284" s="83" t="n"/>
      <c r="AA1284" s="83" t="n"/>
      <c r="AB1284" s="83" t="n"/>
      <c r="AC1284" s="83" t="n"/>
      <c r="AD1284" s="83" t="n"/>
      <c r="AE1284" s="83" t="n"/>
      <c r="AF1284" s="83" t="n"/>
      <c r="AG1284" s="83" t="n"/>
      <c r="AH1284" s="83" t="n"/>
      <c r="AI1284" s="83" t="n"/>
      <c r="AJ1284" s="83" t="n"/>
      <c r="AK1284" s="83" t="n"/>
      <c r="AL1284" s="83" t="n"/>
      <c r="AM1284" s="83" t="n"/>
      <c r="AN1284" s="83" t="n"/>
      <c r="AO1284" s="83" t="n"/>
      <c r="AP1284" s="83" t="n"/>
      <c r="AQ1284" s="83" t="n"/>
      <c r="AR1284" s="83" t="n"/>
    </row>
    <row r="1285">
      <c r="D1285" s="83" t="n"/>
      <c r="E1285" s="83" t="n"/>
      <c r="F1285" s="83" t="n"/>
      <c r="G1285" s="83" t="n"/>
      <c r="H1285" s="83" t="n"/>
      <c r="I1285" s="83" t="n"/>
      <c r="J1285" s="83" t="n"/>
      <c r="K1285" s="83" t="n"/>
      <c r="L1285" s="83" t="n"/>
      <c r="M1285" s="83" t="n"/>
      <c r="N1285" s="83" t="n"/>
      <c r="O1285" s="83" t="n"/>
      <c r="P1285" s="83" t="n"/>
      <c r="Q1285" s="83" t="n"/>
      <c r="R1285" s="83" t="n"/>
      <c r="S1285" s="83" t="n"/>
      <c r="T1285" s="83" t="n"/>
      <c r="U1285" s="83" t="n"/>
      <c r="V1285" s="83" t="n"/>
      <c r="W1285" s="83" t="n"/>
      <c r="X1285" s="83" t="n"/>
      <c r="Y1285" s="83" t="n"/>
      <c r="Z1285" s="83" t="n"/>
      <c r="AA1285" s="83" t="n"/>
      <c r="AB1285" s="83" t="n"/>
      <c r="AC1285" s="83" t="n"/>
      <c r="AD1285" s="83" t="n"/>
      <c r="AE1285" s="83" t="n"/>
      <c r="AF1285" s="83" t="n"/>
      <c r="AG1285" s="83" t="n"/>
      <c r="AH1285" s="83" t="n"/>
      <c r="AI1285" s="83" t="n"/>
      <c r="AJ1285" s="83" t="n"/>
      <c r="AK1285" s="83" t="n"/>
      <c r="AL1285" s="83" t="n"/>
      <c r="AM1285" s="83" t="n"/>
      <c r="AN1285" s="83" t="n"/>
      <c r="AO1285" s="83" t="n"/>
      <c r="AP1285" s="83" t="n"/>
      <c r="AQ1285" s="83" t="n"/>
      <c r="AR1285" s="83" t="n"/>
    </row>
    <row r="1286">
      <c r="D1286" s="84" t="n"/>
      <c r="E1286" s="84" t="n"/>
      <c r="F1286" s="84" t="n"/>
      <c r="G1286" s="84" t="n"/>
      <c r="H1286" s="84" t="n"/>
      <c r="I1286" s="84" t="n"/>
      <c r="J1286" s="84" t="n"/>
      <c r="K1286" s="84" t="n"/>
      <c r="L1286" s="84" t="n"/>
      <c r="M1286" s="84" t="n"/>
      <c r="N1286" s="84" t="n"/>
      <c r="O1286" s="84" t="n"/>
      <c r="P1286" s="84" t="n"/>
      <c r="Q1286" s="84" t="n"/>
      <c r="R1286" s="84" t="n"/>
      <c r="S1286" s="84" t="n"/>
      <c r="T1286" s="84" t="n"/>
      <c r="U1286" s="84" t="n"/>
      <c r="V1286" s="84" t="n"/>
      <c r="W1286" s="84" t="n"/>
      <c r="X1286" s="84" t="n"/>
      <c r="Y1286" s="84" t="n"/>
      <c r="Z1286" s="84" t="n"/>
      <c r="AA1286" s="84" t="n"/>
      <c r="AB1286" s="84" t="n"/>
      <c r="AC1286" s="84" t="n"/>
      <c r="AD1286" s="84" t="n"/>
      <c r="AE1286" s="84" t="n"/>
      <c r="AF1286" s="84" t="n"/>
      <c r="AG1286" s="84" t="n"/>
      <c r="AH1286" s="84" t="n"/>
      <c r="AI1286" s="84" t="n"/>
      <c r="AJ1286" s="84" t="n"/>
      <c r="AK1286" s="84" t="n"/>
      <c r="AL1286" s="84" t="n"/>
      <c r="AM1286" s="84" t="n"/>
      <c r="AN1286" s="84" t="n"/>
      <c r="AO1286" s="84" t="n"/>
      <c r="AP1286" s="84" t="n"/>
      <c r="AQ1286" s="84" t="n"/>
      <c r="AR1286" s="84" t="n"/>
    </row>
    <row r="1287">
      <c r="D1287" s="80" t="n"/>
      <c r="E1287" s="80" t="n"/>
      <c r="F1287" s="80" t="n"/>
      <c r="G1287" s="80" t="n"/>
      <c r="H1287" s="80" t="n"/>
      <c r="I1287" s="80" t="n"/>
      <c r="J1287" s="80" t="n"/>
      <c r="K1287" s="80" t="n"/>
      <c r="L1287" s="80" t="n"/>
      <c r="M1287" s="80" t="n"/>
      <c r="N1287" s="80" t="n"/>
      <c r="O1287" s="80" t="n"/>
      <c r="P1287" s="80" t="n"/>
      <c r="Q1287" s="80" t="n"/>
      <c r="R1287" s="80" t="n"/>
      <c r="S1287" s="80" t="n"/>
      <c r="T1287" s="80" t="n"/>
      <c r="U1287" s="80" t="n"/>
      <c r="V1287" s="80" t="n"/>
      <c r="W1287" s="80" t="n"/>
      <c r="X1287" s="80" t="n"/>
      <c r="Y1287" s="80" t="n"/>
      <c r="Z1287" s="80" t="n"/>
      <c r="AA1287" s="80" t="n"/>
      <c r="AB1287" s="80" t="n"/>
      <c r="AC1287" s="80" t="n"/>
      <c r="AD1287" s="80" t="n"/>
      <c r="AE1287" s="80" t="n"/>
      <c r="AF1287" s="80" t="n"/>
      <c r="AG1287" s="80" t="n"/>
      <c r="AH1287" s="80" t="n"/>
      <c r="AI1287" s="80" t="n"/>
      <c r="AJ1287" s="80" t="n"/>
      <c r="AK1287" s="80" t="n"/>
      <c r="AL1287" s="80" t="n"/>
      <c r="AM1287" s="80" t="n"/>
      <c r="AN1287" s="80" t="n"/>
      <c r="AO1287" s="80" t="n"/>
      <c r="AP1287" s="80" t="n"/>
      <c r="AQ1287" s="80" t="n"/>
      <c r="AR1287" s="80" t="n"/>
    </row>
    <row r="1288">
      <c r="D1288" s="80" t="n"/>
      <c r="E1288" s="80" t="n"/>
      <c r="F1288" s="80" t="n"/>
      <c r="G1288" s="80" t="n"/>
      <c r="H1288" s="80" t="n"/>
      <c r="I1288" s="80" t="n"/>
      <c r="J1288" s="80" t="n"/>
      <c r="K1288" s="80" t="n"/>
      <c r="L1288" s="80" t="n"/>
      <c r="M1288" s="80" t="n"/>
      <c r="N1288" s="80" t="n"/>
      <c r="O1288" s="80" t="n"/>
      <c r="P1288" s="80" t="n"/>
      <c r="Q1288" s="80" t="n"/>
      <c r="R1288" s="80" t="n"/>
      <c r="S1288" s="80" t="n"/>
      <c r="T1288" s="80" t="n"/>
      <c r="U1288" s="80" t="n"/>
      <c r="V1288" s="80" t="n"/>
      <c r="W1288" s="80" t="n"/>
      <c r="X1288" s="80" t="n"/>
      <c r="Y1288" s="80" t="n"/>
      <c r="Z1288" s="80" t="n"/>
      <c r="AA1288" s="80" t="n"/>
      <c r="AB1288" s="80" t="n"/>
      <c r="AC1288" s="80" t="n"/>
      <c r="AD1288" s="80" t="n"/>
      <c r="AE1288" s="80" t="n"/>
      <c r="AF1288" s="80" t="n"/>
      <c r="AG1288" s="80" t="n"/>
      <c r="AH1288" s="80" t="n"/>
      <c r="AI1288" s="80" t="n"/>
      <c r="AJ1288" s="80" t="n"/>
      <c r="AK1288" s="80" t="n"/>
      <c r="AL1288" s="80" t="n"/>
      <c r="AM1288" s="80" t="n"/>
      <c r="AN1288" s="80" t="n"/>
      <c r="AO1288" s="80" t="n"/>
      <c r="AP1288" s="80" t="n"/>
      <c r="AQ1288" s="80" t="n"/>
      <c r="AR1288" s="80" t="n"/>
    </row>
    <row r="1289">
      <c r="D1289" s="80" t="n"/>
      <c r="E1289" s="80" t="n"/>
      <c r="F1289" s="80" t="n"/>
      <c r="G1289" s="80" t="n"/>
      <c r="H1289" s="80" t="n"/>
      <c r="I1289" s="80" t="n"/>
      <c r="J1289" s="80" t="n"/>
      <c r="K1289" s="80" t="n"/>
      <c r="L1289" s="80" t="n"/>
      <c r="M1289" s="80" t="n"/>
      <c r="N1289" s="80" t="n"/>
      <c r="O1289" s="80" t="n"/>
      <c r="P1289" s="80" t="n"/>
      <c r="Q1289" s="80" t="n"/>
      <c r="R1289" s="80" t="n"/>
      <c r="S1289" s="80" t="n"/>
      <c r="T1289" s="80" t="n"/>
      <c r="U1289" s="80" t="n"/>
      <c r="V1289" s="80" t="n"/>
      <c r="W1289" s="80" t="n"/>
      <c r="X1289" s="80" t="n"/>
      <c r="Y1289" s="80" t="n"/>
      <c r="Z1289" s="80" t="n"/>
      <c r="AA1289" s="80" t="n"/>
      <c r="AB1289" s="80" t="n"/>
      <c r="AC1289" s="80" t="n"/>
      <c r="AD1289" s="80" t="n"/>
      <c r="AE1289" s="80" t="n"/>
      <c r="AF1289" s="80" t="n"/>
      <c r="AG1289" s="80" t="n"/>
      <c r="AH1289" s="80" t="n"/>
      <c r="AI1289" s="80" t="n"/>
      <c r="AJ1289" s="80" t="n"/>
      <c r="AK1289" s="80" t="n"/>
      <c r="AL1289" s="80" t="n"/>
      <c r="AM1289" s="80" t="n"/>
      <c r="AN1289" s="80" t="n"/>
      <c r="AO1289" s="80" t="n"/>
      <c r="AP1289" s="80" t="n"/>
      <c r="AQ1289" s="80" t="n"/>
      <c r="AR1289" s="80" t="n"/>
    </row>
    <row r="1290">
      <c r="D1290" s="80" t="n"/>
      <c r="E1290" s="80" t="n"/>
      <c r="F1290" s="80" t="n"/>
      <c r="G1290" s="80" t="n"/>
      <c r="H1290" s="80" t="n"/>
      <c r="I1290" s="80" t="n"/>
      <c r="J1290" s="80" t="n"/>
      <c r="K1290" s="80" t="n"/>
      <c r="L1290" s="80" t="n"/>
      <c r="M1290" s="80" t="n"/>
      <c r="N1290" s="80" t="n"/>
      <c r="O1290" s="80" t="n"/>
      <c r="P1290" s="80" t="n"/>
      <c r="Q1290" s="80" t="n"/>
      <c r="R1290" s="80" t="n"/>
      <c r="S1290" s="80" t="n"/>
      <c r="T1290" s="80" t="n"/>
      <c r="U1290" s="80" t="n"/>
      <c r="V1290" s="80" t="n"/>
      <c r="W1290" s="80" t="n"/>
      <c r="X1290" s="80" t="n"/>
      <c r="Y1290" s="80" t="n"/>
      <c r="Z1290" s="80" t="n"/>
      <c r="AA1290" s="80" t="n"/>
      <c r="AB1290" s="80" t="n"/>
      <c r="AC1290" s="80" t="n"/>
      <c r="AD1290" s="80" t="n"/>
      <c r="AE1290" s="80" t="n"/>
      <c r="AF1290" s="80" t="n"/>
      <c r="AG1290" s="80" t="n"/>
      <c r="AH1290" s="80" t="n"/>
      <c r="AI1290" s="80" t="n"/>
      <c r="AJ1290" s="80" t="n"/>
      <c r="AK1290" s="80" t="n"/>
      <c r="AL1290" s="80" t="n"/>
      <c r="AM1290" s="80" t="n"/>
      <c r="AN1290" s="80" t="n"/>
      <c r="AO1290" s="80" t="n"/>
      <c r="AP1290" s="80" t="n"/>
      <c r="AQ1290" s="80" t="n"/>
      <c r="AR1290" s="80" t="n"/>
    </row>
    <row r="1291">
      <c r="A1291" s="2">
        <f>IF($A1284="","","   projections")</f>
        <v/>
      </c>
      <c r="B1291" s="41">
        <f>IF($A1284="",0,COUNT($E1292:$AR1292))</f>
        <v/>
      </c>
      <c r="C1291" s="81">
        <f>IF($B1291=0,0,MAX($E1292:$AR1292))</f>
        <v/>
      </c>
      <c r="D1291" s="82">
        <f>BDS($A1284,'Field Check'!$C$6,"headers=y","startcol=1","endcol=7","dir=h")</f>
        <v/>
      </c>
      <c r="E1291" s="83" t="n"/>
      <c r="F1291" s="83" t="n"/>
      <c r="G1291" s="83" t="n"/>
      <c r="H1291" s="83" t="n"/>
      <c r="I1291" s="83" t="n"/>
      <c r="J1291" s="83" t="n"/>
      <c r="K1291" s="83" t="n"/>
      <c r="L1291" s="83" t="n"/>
      <c r="M1291" s="83" t="n"/>
      <c r="N1291" s="83" t="n"/>
      <c r="O1291" s="83" t="n"/>
      <c r="P1291" s="83" t="n"/>
      <c r="Q1291" s="83" t="n"/>
      <c r="R1291" s="83" t="n"/>
      <c r="S1291" s="83" t="n"/>
      <c r="T1291" s="83" t="n"/>
      <c r="U1291" s="83" t="n"/>
      <c r="V1291" s="83" t="n"/>
      <c r="W1291" s="83" t="n"/>
      <c r="X1291" s="83" t="n"/>
      <c r="Y1291" s="83" t="n"/>
      <c r="Z1291" s="83" t="n"/>
      <c r="AA1291" s="83" t="n"/>
      <c r="AB1291" s="83" t="n"/>
      <c r="AC1291" s="83" t="n"/>
      <c r="AD1291" s="83" t="n"/>
      <c r="AE1291" s="83" t="n"/>
      <c r="AF1291" s="83" t="n"/>
      <c r="AG1291" s="83" t="n"/>
      <c r="AH1291" s="83" t="n"/>
      <c r="AI1291" s="83" t="n"/>
      <c r="AJ1291" s="83" t="n"/>
      <c r="AK1291" s="83" t="n"/>
      <c r="AL1291" s="83" t="n"/>
      <c r="AM1291" s="83" t="n"/>
      <c r="AN1291" s="83" t="n"/>
      <c r="AO1291" s="83" t="n"/>
      <c r="AP1291" s="83" t="n"/>
      <c r="AQ1291" s="83" t="n"/>
      <c r="AR1291" s="83" t="n"/>
    </row>
    <row r="1292">
      <c r="D1292" s="83" t="n"/>
      <c r="E1292" s="83" t="n"/>
      <c r="F1292" s="83" t="n"/>
      <c r="G1292" s="83" t="n"/>
      <c r="H1292" s="83" t="n"/>
      <c r="I1292" s="83" t="n"/>
      <c r="J1292" s="83" t="n"/>
      <c r="K1292" s="83" t="n"/>
      <c r="L1292" s="83" t="n"/>
      <c r="M1292" s="83" t="n"/>
      <c r="N1292" s="83" t="n"/>
      <c r="O1292" s="83" t="n"/>
      <c r="P1292" s="83" t="n"/>
      <c r="Q1292" s="83" t="n"/>
      <c r="R1292" s="83" t="n"/>
      <c r="S1292" s="83" t="n"/>
      <c r="T1292" s="83" t="n"/>
      <c r="U1292" s="83" t="n"/>
      <c r="V1292" s="83" t="n"/>
      <c r="W1292" s="83" t="n"/>
      <c r="X1292" s="83" t="n"/>
      <c r="Y1292" s="83" t="n"/>
      <c r="Z1292" s="83" t="n"/>
      <c r="AA1292" s="83" t="n"/>
      <c r="AB1292" s="83" t="n"/>
      <c r="AC1292" s="83" t="n"/>
      <c r="AD1292" s="83" t="n"/>
      <c r="AE1292" s="83" t="n"/>
      <c r="AF1292" s="83" t="n"/>
      <c r="AG1292" s="83" t="n"/>
      <c r="AH1292" s="83" t="n"/>
      <c r="AI1292" s="83" t="n"/>
      <c r="AJ1292" s="83" t="n"/>
      <c r="AK1292" s="83" t="n"/>
      <c r="AL1292" s="83" t="n"/>
      <c r="AM1292" s="83" t="n"/>
      <c r="AN1292" s="83" t="n"/>
      <c r="AO1292" s="83" t="n"/>
      <c r="AP1292" s="83" t="n"/>
      <c r="AQ1292" s="83" t="n"/>
      <c r="AR1292" s="83" t="n"/>
    </row>
    <row r="1293">
      <c r="D1293" s="84" t="n"/>
      <c r="E1293" s="84" t="n"/>
      <c r="F1293" s="84" t="n"/>
      <c r="G1293" s="84" t="n"/>
      <c r="H1293" s="84" t="n"/>
      <c r="I1293" s="84" t="n"/>
      <c r="J1293" s="84" t="n"/>
      <c r="K1293" s="84" t="n"/>
      <c r="L1293" s="84" t="n"/>
      <c r="M1293" s="84" t="n"/>
      <c r="N1293" s="84" t="n"/>
      <c r="O1293" s="84" t="n"/>
      <c r="P1293" s="84" t="n"/>
      <c r="Q1293" s="84" t="n"/>
      <c r="R1293" s="84" t="n"/>
      <c r="S1293" s="84" t="n"/>
      <c r="T1293" s="84" t="n"/>
      <c r="U1293" s="84" t="n"/>
      <c r="V1293" s="84" t="n"/>
      <c r="W1293" s="84" t="n"/>
      <c r="X1293" s="84" t="n"/>
      <c r="Y1293" s="84" t="n"/>
      <c r="Z1293" s="84" t="n"/>
      <c r="AA1293" s="84" t="n"/>
      <c r="AB1293" s="84" t="n"/>
      <c r="AC1293" s="84" t="n"/>
      <c r="AD1293" s="84" t="n"/>
      <c r="AE1293" s="84" t="n"/>
      <c r="AF1293" s="84" t="n"/>
      <c r="AG1293" s="84" t="n"/>
      <c r="AH1293" s="84" t="n"/>
      <c r="AI1293" s="84" t="n"/>
      <c r="AJ1293" s="84" t="n"/>
      <c r="AK1293" s="84" t="n"/>
      <c r="AL1293" s="84" t="n"/>
      <c r="AM1293" s="84" t="n"/>
      <c r="AN1293" s="84" t="n"/>
      <c r="AO1293" s="84" t="n"/>
      <c r="AP1293" s="84" t="n"/>
      <c r="AQ1293" s="84" t="n"/>
      <c r="AR1293" s="84" t="n"/>
    </row>
    <row r="1294">
      <c r="D1294" s="80" t="n"/>
      <c r="E1294" s="80" t="n"/>
      <c r="F1294" s="80" t="n"/>
      <c r="G1294" s="80" t="n"/>
      <c r="H1294" s="80" t="n"/>
      <c r="I1294" s="80" t="n"/>
      <c r="J1294" s="80" t="n"/>
      <c r="K1294" s="80" t="n"/>
      <c r="L1294" s="80" t="n"/>
      <c r="M1294" s="80" t="n"/>
      <c r="N1294" s="80" t="n"/>
      <c r="O1294" s="80" t="n"/>
      <c r="P1294" s="80" t="n"/>
      <c r="Q1294" s="80" t="n"/>
      <c r="R1294" s="80" t="n"/>
      <c r="S1294" s="80" t="n"/>
      <c r="T1294" s="80" t="n"/>
      <c r="U1294" s="80" t="n"/>
      <c r="V1294" s="80" t="n"/>
      <c r="W1294" s="80" t="n"/>
      <c r="X1294" s="80" t="n"/>
      <c r="Y1294" s="80" t="n"/>
      <c r="Z1294" s="80" t="n"/>
      <c r="AA1294" s="80" t="n"/>
      <c r="AB1294" s="80" t="n"/>
      <c r="AC1294" s="80" t="n"/>
      <c r="AD1294" s="80" t="n"/>
      <c r="AE1294" s="80" t="n"/>
      <c r="AF1294" s="80" t="n"/>
      <c r="AG1294" s="80" t="n"/>
      <c r="AH1294" s="80" t="n"/>
      <c r="AI1294" s="80" t="n"/>
      <c r="AJ1294" s="80" t="n"/>
      <c r="AK1294" s="80" t="n"/>
      <c r="AL1294" s="80" t="n"/>
      <c r="AM1294" s="80" t="n"/>
      <c r="AN1294" s="80" t="n"/>
      <c r="AO1294" s="80" t="n"/>
      <c r="AP1294" s="80" t="n"/>
      <c r="AQ1294" s="80" t="n"/>
      <c r="AR1294" s="80" t="n"/>
    </row>
    <row r="1295">
      <c r="D1295" s="80" t="n"/>
      <c r="E1295" s="80" t="n"/>
      <c r="F1295" s="80" t="n"/>
      <c r="G1295" s="80" t="n"/>
      <c r="H1295" s="80" t="n"/>
      <c r="I1295" s="80" t="n"/>
      <c r="J1295" s="80" t="n"/>
      <c r="K1295" s="80" t="n"/>
      <c r="L1295" s="80" t="n"/>
      <c r="M1295" s="80" t="n"/>
      <c r="N1295" s="80" t="n"/>
      <c r="O1295" s="80" t="n"/>
      <c r="P1295" s="80" t="n"/>
      <c r="Q1295" s="80" t="n"/>
      <c r="R1295" s="80" t="n"/>
      <c r="S1295" s="80" t="n"/>
      <c r="T1295" s="80" t="n"/>
      <c r="U1295" s="80" t="n"/>
      <c r="V1295" s="80" t="n"/>
      <c r="W1295" s="80" t="n"/>
      <c r="X1295" s="80" t="n"/>
      <c r="Y1295" s="80" t="n"/>
      <c r="Z1295" s="80" t="n"/>
      <c r="AA1295" s="80" t="n"/>
      <c r="AB1295" s="80" t="n"/>
      <c r="AC1295" s="80" t="n"/>
      <c r="AD1295" s="80" t="n"/>
      <c r="AE1295" s="80" t="n"/>
      <c r="AF1295" s="80" t="n"/>
      <c r="AG1295" s="80" t="n"/>
      <c r="AH1295" s="80" t="n"/>
      <c r="AI1295" s="80" t="n"/>
      <c r="AJ1295" s="80" t="n"/>
      <c r="AK1295" s="80" t="n"/>
      <c r="AL1295" s="80" t="n"/>
      <c r="AM1295" s="80" t="n"/>
      <c r="AN1295" s="80" t="n"/>
      <c r="AO1295" s="80" t="n"/>
      <c r="AP1295" s="80" t="n"/>
      <c r="AQ1295" s="80" t="n"/>
      <c r="AR1295" s="80" t="n"/>
    </row>
    <row r="1296">
      <c r="D1296" s="80" t="n"/>
      <c r="E1296" s="80" t="n"/>
      <c r="F1296" s="80" t="n"/>
      <c r="G1296" s="80" t="n"/>
      <c r="H1296" s="80" t="n"/>
      <c r="I1296" s="80" t="n"/>
      <c r="J1296" s="80" t="n"/>
      <c r="K1296" s="80" t="n"/>
      <c r="L1296" s="80" t="n"/>
      <c r="M1296" s="80" t="n"/>
      <c r="N1296" s="80" t="n"/>
      <c r="O1296" s="80" t="n"/>
      <c r="P1296" s="80" t="n"/>
      <c r="Q1296" s="80" t="n"/>
      <c r="R1296" s="80" t="n"/>
      <c r="S1296" s="80" t="n"/>
      <c r="T1296" s="80" t="n"/>
      <c r="U1296" s="80" t="n"/>
      <c r="V1296" s="80" t="n"/>
      <c r="W1296" s="80" t="n"/>
      <c r="X1296" s="80" t="n"/>
      <c r="Y1296" s="80" t="n"/>
      <c r="Z1296" s="80" t="n"/>
      <c r="AA1296" s="80" t="n"/>
      <c r="AB1296" s="80" t="n"/>
      <c r="AC1296" s="80" t="n"/>
      <c r="AD1296" s="80" t="n"/>
      <c r="AE1296" s="80" t="n"/>
      <c r="AF1296" s="80" t="n"/>
      <c r="AG1296" s="80" t="n"/>
      <c r="AH1296" s="80" t="n"/>
      <c r="AI1296" s="80" t="n"/>
      <c r="AJ1296" s="80" t="n"/>
      <c r="AK1296" s="80" t="n"/>
      <c r="AL1296" s="80" t="n"/>
      <c r="AM1296" s="80" t="n"/>
      <c r="AN1296" s="80" t="n"/>
      <c r="AO1296" s="80" t="n"/>
      <c r="AP1296" s="80" t="n"/>
      <c r="AQ1296" s="80" t="n"/>
      <c r="AR1296" s="80" t="n"/>
    </row>
    <row r="1297">
      <c r="D1297" s="80" t="n"/>
      <c r="E1297" s="80" t="n"/>
      <c r="F1297" s="80" t="n"/>
      <c r="G1297" s="80" t="n"/>
      <c r="H1297" s="80" t="n"/>
      <c r="I1297" s="80" t="n"/>
      <c r="J1297" s="80" t="n"/>
      <c r="K1297" s="80" t="n"/>
      <c r="L1297" s="80" t="n"/>
      <c r="M1297" s="80" t="n"/>
      <c r="N1297" s="80" t="n"/>
      <c r="O1297" s="80" t="n"/>
      <c r="P1297" s="80" t="n"/>
      <c r="Q1297" s="80" t="n"/>
      <c r="R1297" s="80" t="n"/>
      <c r="S1297" s="80" t="n"/>
      <c r="T1297" s="80" t="n"/>
      <c r="U1297" s="80" t="n"/>
      <c r="V1297" s="80" t="n"/>
      <c r="W1297" s="80" t="n"/>
      <c r="X1297" s="80" t="n"/>
      <c r="Y1297" s="80" t="n"/>
      <c r="Z1297" s="80" t="n"/>
      <c r="AA1297" s="80" t="n"/>
      <c r="AB1297" s="80" t="n"/>
      <c r="AC1297" s="80" t="n"/>
      <c r="AD1297" s="80" t="n"/>
      <c r="AE1297" s="80" t="n"/>
      <c r="AF1297" s="80" t="n"/>
      <c r="AG1297" s="80" t="n"/>
      <c r="AH1297" s="80" t="n"/>
      <c r="AI1297" s="80" t="n"/>
      <c r="AJ1297" s="80" t="n"/>
      <c r="AK1297" s="80" t="n"/>
      <c r="AL1297" s="80" t="n"/>
      <c r="AM1297" s="80" t="n"/>
      <c r="AN1297" s="80" t="n"/>
      <c r="AO1297" s="80" t="n"/>
      <c r="AP1297" s="80" t="n"/>
      <c r="AQ1297" s="80" t="n"/>
      <c r="AR1297" s="80" t="n"/>
    </row>
    <row r="1299">
      <c r="A1299" s="6">
        <f>IF(HSI!$C$93="","",HSI!$C$93)</f>
        <v/>
      </c>
      <c r="B1299" s="41">
        <f>IF($A1299="",0,COUNT($E1300:$AR1300))</f>
        <v/>
      </c>
      <c r="C1299" s="81">
        <f>IF($B1299=0,0,MAX($E1300:$AR1300))</f>
        <v/>
      </c>
      <c r="D1299" s="82">
        <f>BDS($A1299,'Field Check'!$C$7,"headers=y","startcol=1","endcol=7","dir=h","DVD_START_DT",Summary!$C$18,"DVD_END_DT",Summary!$D$18)</f>
        <v/>
      </c>
      <c r="E1299" s="83" t="n"/>
      <c r="F1299" s="83" t="n"/>
      <c r="G1299" s="83" t="n"/>
      <c r="H1299" s="83" t="n"/>
      <c r="I1299" s="83" t="n"/>
      <c r="J1299" s="83" t="n"/>
      <c r="K1299" s="83" t="n"/>
      <c r="L1299" s="83" t="n"/>
      <c r="M1299" s="83" t="n"/>
      <c r="N1299" s="83" t="n"/>
      <c r="O1299" s="83" t="n"/>
      <c r="P1299" s="83" t="n"/>
      <c r="Q1299" s="83" t="n"/>
      <c r="R1299" s="83" t="n"/>
      <c r="S1299" s="83" t="n"/>
      <c r="T1299" s="83" t="n"/>
      <c r="U1299" s="83" t="n"/>
      <c r="V1299" s="83" t="n"/>
      <c r="W1299" s="83" t="n"/>
      <c r="X1299" s="83" t="n"/>
      <c r="Y1299" s="83" t="n"/>
      <c r="Z1299" s="83" t="n"/>
      <c r="AA1299" s="83" t="n"/>
      <c r="AB1299" s="83" t="n"/>
      <c r="AC1299" s="83" t="n"/>
      <c r="AD1299" s="83" t="n"/>
      <c r="AE1299" s="83" t="n"/>
      <c r="AF1299" s="83" t="n"/>
      <c r="AG1299" s="83" t="n"/>
      <c r="AH1299" s="83" t="n"/>
      <c r="AI1299" s="83" t="n"/>
      <c r="AJ1299" s="83" t="n"/>
      <c r="AK1299" s="83" t="n"/>
      <c r="AL1299" s="83" t="n"/>
      <c r="AM1299" s="83" t="n"/>
      <c r="AN1299" s="83" t="n"/>
      <c r="AO1299" s="83" t="n"/>
      <c r="AP1299" s="83" t="n"/>
      <c r="AQ1299" s="83" t="n"/>
      <c r="AR1299" s="83" t="n"/>
    </row>
    <row r="1300">
      <c r="D1300" s="83" t="n"/>
      <c r="E1300" s="83" t="n"/>
      <c r="F1300" s="83" t="n"/>
      <c r="G1300" s="83" t="n"/>
      <c r="H1300" s="83" t="n"/>
      <c r="I1300" s="83" t="n"/>
      <c r="J1300" s="83" t="n"/>
      <c r="K1300" s="83" t="n"/>
      <c r="L1300" s="83" t="n"/>
      <c r="M1300" s="83" t="n"/>
      <c r="N1300" s="83" t="n"/>
      <c r="O1300" s="83" t="n"/>
      <c r="P1300" s="83" t="n"/>
      <c r="Q1300" s="83" t="n"/>
      <c r="R1300" s="83" t="n"/>
      <c r="S1300" s="83" t="n"/>
      <c r="T1300" s="83" t="n"/>
      <c r="U1300" s="83" t="n"/>
      <c r="V1300" s="83" t="n"/>
      <c r="W1300" s="83" t="n"/>
      <c r="X1300" s="83" t="n"/>
      <c r="Y1300" s="83" t="n"/>
      <c r="Z1300" s="83" t="n"/>
      <c r="AA1300" s="83" t="n"/>
      <c r="AB1300" s="83" t="n"/>
      <c r="AC1300" s="83" t="n"/>
      <c r="AD1300" s="83" t="n"/>
      <c r="AE1300" s="83" t="n"/>
      <c r="AF1300" s="83" t="n"/>
      <c r="AG1300" s="83" t="n"/>
      <c r="AH1300" s="83" t="n"/>
      <c r="AI1300" s="83" t="n"/>
      <c r="AJ1300" s="83" t="n"/>
      <c r="AK1300" s="83" t="n"/>
      <c r="AL1300" s="83" t="n"/>
      <c r="AM1300" s="83" t="n"/>
      <c r="AN1300" s="83" t="n"/>
      <c r="AO1300" s="83" t="n"/>
      <c r="AP1300" s="83" t="n"/>
      <c r="AQ1300" s="83" t="n"/>
      <c r="AR1300" s="83" t="n"/>
    </row>
    <row r="1301">
      <c r="D1301" s="84" t="n"/>
      <c r="E1301" s="84" t="n"/>
      <c r="F1301" s="84" t="n"/>
      <c r="G1301" s="84" t="n"/>
      <c r="H1301" s="84" t="n"/>
      <c r="I1301" s="84" t="n"/>
      <c r="J1301" s="84" t="n"/>
      <c r="K1301" s="84" t="n"/>
      <c r="L1301" s="84" t="n"/>
      <c r="M1301" s="84" t="n"/>
      <c r="N1301" s="84" t="n"/>
      <c r="O1301" s="84" t="n"/>
      <c r="P1301" s="84" t="n"/>
      <c r="Q1301" s="84" t="n"/>
      <c r="R1301" s="84" t="n"/>
      <c r="S1301" s="84" t="n"/>
      <c r="T1301" s="84" t="n"/>
      <c r="U1301" s="84" t="n"/>
      <c r="V1301" s="84" t="n"/>
      <c r="W1301" s="84" t="n"/>
      <c r="X1301" s="84" t="n"/>
      <c r="Y1301" s="84" t="n"/>
      <c r="Z1301" s="84" t="n"/>
      <c r="AA1301" s="84" t="n"/>
      <c r="AB1301" s="84" t="n"/>
      <c r="AC1301" s="84" t="n"/>
      <c r="AD1301" s="84" t="n"/>
      <c r="AE1301" s="84" t="n"/>
      <c r="AF1301" s="84" t="n"/>
      <c r="AG1301" s="84" t="n"/>
      <c r="AH1301" s="84" t="n"/>
      <c r="AI1301" s="84" t="n"/>
      <c r="AJ1301" s="84" t="n"/>
      <c r="AK1301" s="84" t="n"/>
      <c r="AL1301" s="84" t="n"/>
      <c r="AM1301" s="84" t="n"/>
      <c r="AN1301" s="84" t="n"/>
      <c r="AO1301" s="84" t="n"/>
      <c r="AP1301" s="84" t="n"/>
      <c r="AQ1301" s="84" t="n"/>
      <c r="AR1301" s="84" t="n"/>
    </row>
    <row r="1302">
      <c r="D1302" s="80" t="n"/>
      <c r="E1302" s="80" t="n"/>
      <c r="F1302" s="80" t="n"/>
      <c r="G1302" s="80" t="n"/>
      <c r="H1302" s="80" t="n"/>
      <c r="I1302" s="80" t="n"/>
      <c r="J1302" s="80" t="n"/>
      <c r="K1302" s="80" t="n"/>
      <c r="L1302" s="80" t="n"/>
      <c r="M1302" s="80" t="n"/>
      <c r="N1302" s="80" t="n"/>
      <c r="O1302" s="80" t="n"/>
      <c r="P1302" s="80" t="n"/>
      <c r="Q1302" s="80" t="n"/>
      <c r="R1302" s="80" t="n"/>
      <c r="S1302" s="80" t="n"/>
      <c r="T1302" s="80" t="n"/>
      <c r="U1302" s="80" t="n"/>
      <c r="V1302" s="80" t="n"/>
      <c r="W1302" s="80" t="n"/>
      <c r="X1302" s="80" t="n"/>
      <c r="Y1302" s="80" t="n"/>
      <c r="Z1302" s="80" t="n"/>
      <c r="AA1302" s="80" t="n"/>
      <c r="AB1302" s="80" t="n"/>
      <c r="AC1302" s="80" t="n"/>
      <c r="AD1302" s="80" t="n"/>
      <c r="AE1302" s="80" t="n"/>
      <c r="AF1302" s="80" t="n"/>
      <c r="AG1302" s="80" t="n"/>
      <c r="AH1302" s="80" t="n"/>
      <c r="AI1302" s="80" t="n"/>
      <c r="AJ1302" s="80" t="n"/>
      <c r="AK1302" s="80" t="n"/>
      <c r="AL1302" s="80" t="n"/>
      <c r="AM1302" s="80" t="n"/>
      <c r="AN1302" s="80" t="n"/>
      <c r="AO1302" s="80" t="n"/>
      <c r="AP1302" s="80" t="n"/>
      <c r="AQ1302" s="80" t="n"/>
      <c r="AR1302" s="80" t="n"/>
    </row>
    <row r="1303">
      <c r="D1303" s="80" t="n"/>
      <c r="E1303" s="80" t="n"/>
      <c r="F1303" s="80" t="n"/>
      <c r="G1303" s="80" t="n"/>
      <c r="H1303" s="80" t="n"/>
      <c r="I1303" s="80" t="n"/>
      <c r="J1303" s="80" t="n"/>
      <c r="K1303" s="80" t="n"/>
      <c r="L1303" s="80" t="n"/>
      <c r="M1303" s="80" t="n"/>
      <c r="N1303" s="80" t="n"/>
      <c r="O1303" s="80" t="n"/>
      <c r="P1303" s="80" t="n"/>
      <c r="Q1303" s="80" t="n"/>
      <c r="R1303" s="80" t="n"/>
      <c r="S1303" s="80" t="n"/>
      <c r="T1303" s="80" t="n"/>
      <c r="U1303" s="80" t="n"/>
      <c r="V1303" s="80" t="n"/>
      <c r="W1303" s="80" t="n"/>
      <c r="X1303" s="80" t="n"/>
      <c r="Y1303" s="80" t="n"/>
      <c r="Z1303" s="80" t="n"/>
      <c r="AA1303" s="80" t="n"/>
      <c r="AB1303" s="80" t="n"/>
      <c r="AC1303" s="80" t="n"/>
      <c r="AD1303" s="80" t="n"/>
      <c r="AE1303" s="80" t="n"/>
      <c r="AF1303" s="80" t="n"/>
      <c r="AG1303" s="80" t="n"/>
      <c r="AH1303" s="80" t="n"/>
      <c r="AI1303" s="80" t="n"/>
      <c r="AJ1303" s="80" t="n"/>
      <c r="AK1303" s="80" t="n"/>
      <c r="AL1303" s="80" t="n"/>
      <c r="AM1303" s="80" t="n"/>
      <c r="AN1303" s="80" t="n"/>
      <c r="AO1303" s="80" t="n"/>
      <c r="AP1303" s="80" t="n"/>
      <c r="AQ1303" s="80" t="n"/>
      <c r="AR1303" s="80" t="n"/>
    </row>
    <row r="1304">
      <c r="D1304" s="80" t="n"/>
      <c r="E1304" s="80" t="n"/>
      <c r="F1304" s="80" t="n"/>
      <c r="G1304" s="80" t="n"/>
      <c r="H1304" s="80" t="n"/>
      <c r="I1304" s="80" t="n"/>
      <c r="J1304" s="80" t="n"/>
      <c r="K1304" s="80" t="n"/>
      <c r="L1304" s="80" t="n"/>
      <c r="M1304" s="80" t="n"/>
      <c r="N1304" s="80" t="n"/>
      <c r="O1304" s="80" t="n"/>
      <c r="P1304" s="80" t="n"/>
      <c r="Q1304" s="80" t="n"/>
      <c r="R1304" s="80" t="n"/>
      <c r="S1304" s="80" t="n"/>
      <c r="T1304" s="80" t="n"/>
      <c r="U1304" s="80" t="n"/>
      <c r="V1304" s="80" t="n"/>
      <c r="W1304" s="80" t="n"/>
      <c r="X1304" s="80" t="n"/>
      <c r="Y1304" s="80" t="n"/>
      <c r="Z1304" s="80" t="n"/>
      <c r="AA1304" s="80" t="n"/>
      <c r="AB1304" s="80" t="n"/>
      <c r="AC1304" s="80" t="n"/>
      <c r="AD1304" s="80" t="n"/>
      <c r="AE1304" s="80" t="n"/>
      <c r="AF1304" s="80" t="n"/>
      <c r="AG1304" s="80" t="n"/>
      <c r="AH1304" s="80" t="n"/>
      <c r="AI1304" s="80" t="n"/>
      <c r="AJ1304" s="80" t="n"/>
      <c r="AK1304" s="80" t="n"/>
      <c r="AL1304" s="80" t="n"/>
      <c r="AM1304" s="80" t="n"/>
      <c r="AN1304" s="80" t="n"/>
      <c r="AO1304" s="80" t="n"/>
      <c r="AP1304" s="80" t="n"/>
      <c r="AQ1304" s="80" t="n"/>
      <c r="AR1304" s="80" t="n"/>
    </row>
    <row r="1305">
      <c r="D1305" s="80" t="n"/>
      <c r="E1305" s="80" t="n"/>
      <c r="F1305" s="80" t="n"/>
      <c r="G1305" s="80" t="n"/>
      <c r="H1305" s="80" t="n"/>
      <c r="I1305" s="80" t="n"/>
      <c r="J1305" s="80" t="n"/>
      <c r="K1305" s="80" t="n"/>
      <c r="L1305" s="80" t="n"/>
      <c r="M1305" s="80" t="n"/>
      <c r="N1305" s="80" t="n"/>
      <c r="O1305" s="80" t="n"/>
      <c r="P1305" s="80" t="n"/>
      <c r="Q1305" s="80" t="n"/>
      <c r="R1305" s="80" t="n"/>
      <c r="S1305" s="80" t="n"/>
      <c r="T1305" s="80" t="n"/>
      <c r="U1305" s="80" t="n"/>
      <c r="V1305" s="80" t="n"/>
      <c r="W1305" s="80" t="n"/>
      <c r="X1305" s="80" t="n"/>
      <c r="Y1305" s="80" t="n"/>
      <c r="Z1305" s="80" t="n"/>
      <c r="AA1305" s="80" t="n"/>
      <c r="AB1305" s="80" t="n"/>
      <c r="AC1305" s="80" t="n"/>
      <c r="AD1305" s="80" t="n"/>
      <c r="AE1305" s="80" t="n"/>
      <c r="AF1305" s="80" t="n"/>
      <c r="AG1305" s="80" t="n"/>
      <c r="AH1305" s="80" t="n"/>
      <c r="AI1305" s="80" t="n"/>
      <c r="AJ1305" s="80" t="n"/>
      <c r="AK1305" s="80" t="n"/>
      <c r="AL1305" s="80" t="n"/>
      <c r="AM1305" s="80" t="n"/>
      <c r="AN1305" s="80" t="n"/>
      <c r="AO1305" s="80" t="n"/>
      <c r="AP1305" s="80" t="n"/>
      <c r="AQ1305" s="80" t="n"/>
      <c r="AR1305" s="80" t="n"/>
    </row>
    <row r="1306">
      <c r="A1306" s="2">
        <f>IF($A1299="","","   projections")</f>
        <v/>
      </c>
      <c r="B1306" s="41">
        <f>IF($A1299="",0,COUNT($E1307:$AR1307))</f>
        <v/>
      </c>
      <c r="C1306" s="81">
        <f>IF($B1306=0,0,MAX($E1307:$AR1307))</f>
        <v/>
      </c>
      <c r="D1306" s="82">
        <f>BDS($A1299,'Field Check'!$C$6,"headers=y","startcol=1","endcol=7","dir=h")</f>
        <v/>
      </c>
      <c r="E1306" s="83" t="n"/>
      <c r="F1306" s="83" t="n"/>
      <c r="G1306" s="83" t="n"/>
      <c r="H1306" s="83" t="n"/>
      <c r="I1306" s="83" t="n"/>
      <c r="J1306" s="83" t="n"/>
      <c r="K1306" s="83" t="n"/>
      <c r="L1306" s="83" t="n"/>
      <c r="M1306" s="83" t="n"/>
      <c r="N1306" s="83" t="n"/>
      <c r="O1306" s="83" t="n"/>
      <c r="P1306" s="83" t="n"/>
      <c r="Q1306" s="83" t="n"/>
      <c r="R1306" s="83" t="n"/>
      <c r="S1306" s="83" t="n"/>
      <c r="T1306" s="83" t="n"/>
      <c r="U1306" s="83" t="n"/>
      <c r="V1306" s="83" t="n"/>
      <c r="W1306" s="83" t="n"/>
      <c r="X1306" s="83" t="n"/>
      <c r="Y1306" s="83" t="n"/>
      <c r="Z1306" s="83" t="n"/>
      <c r="AA1306" s="83" t="n"/>
      <c r="AB1306" s="83" t="n"/>
      <c r="AC1306" s="83" t="n"/>
      <c r="AD1306" s="83" t="n"/>
      <c r="AE1306" s="83" t="n"/>
      <c r="AF1306" s="83" t="n"/>
      <c r="AG1306" s="83" t="n"/>
      <c r="AH1306" s="83" t="n"/>
      <c r="AI1306" s="83" t="n"/>
      <c r="AJ1306" s="83" t="n"/>
      <c r="AK1306" s="83" t="n"/>
      <c r="AL1306" s="83" t="n"/>
      <c r="AM1306" s="83" t="n"/>
      <c r="AN1306" s="83" t="n"/>
      <c r="AO1306" s="83" t="n"/>
      <c r="AP1306" s="83" t="n"/>
      <c r="AQ1306" s="83" t="n"/>
      <c r="AR1306" s="83" t="n"/>
    </row>
    <row r="1307">
      <c r="D1307" s="83" t="n"/>
      <c r="E1307" s="83" t="n"/>
      <c r="F1307" s="83" t="n"/>
      <c r="G1307" s="83" t="n"/>
      <c r="H1307" s="83" t="n"/>
      <c r="I1307" s="83" t="n"/>
      <c r="J1307" s="83" t="n"/>
      <c r="K1307" s="83" t="n"/>
      <c r="L1307" s="83" t="n"/>
      <c r="M1307" s="83" t="n"/>
      <c r="N1307" s="83" t="n"/>
      <c r="O1307" s="83" t="n"/>
      <c r="P1307" s="83" t="n"/>
      <c r="Q1307" s="83" t="n"/>
      <c r="R1307" s="83" t="n"/>
      <c r="S1307" s="83" t="n"/>
      <c r="T1307" s="83" t="n"/>
      <c r="U1307" s="83" t="n"/>
      <c r="V1307" s="83" t="n"/>
      <c r="W1307" s="83" t="n"/>
      <c r="X1307" s="83" t="n"/>
      <c r="Y1307" s="83" t="n"/>
      <c r="Z1307" s="83" t="n"/>
      <c r="AA1307" s="83" t="n"/>
      <c r="AB1307" s="83" t="n"/>
      <c r="AC1307" s="83" t="n"/>
      <c r="AD1307" s="83" t="n"/>
      <c r="AE1307" s="83" t="n"/>
      <c r="AF1307" s="83" t="n"/>
      <c r="AG1307" s="83" t="n"/>
      <c r="AH1307" s="83" t="n"/>
      <c r="AI1307" s="83" t="n"/>
      <c r="AJ1307" s="83" t="n"/>
      <c r="AK1307" s="83" t="n"/>
      <c r="AL1307" s="83" t="n"/>
      <c r="AM1307" s="83" t="n"/>
      <c r="AN1307" s="83" t="n"/>
      <c r="AO1307" s="83" t="n"/>
      <c r="AP1307" s="83" t="n"/>
      <c r="AQ1307" s="83" t="n"/>
      <c r="AR1307" s="83" t="n"/>
    </row>
    <row r="1308">
      <c r="D1308" s="84" t="n"/>
      <c r="E1308" s="84" t="n"/>
      <c r="F1308" s="84" t="n"/>
      <c r="G1308" s="84" t="n"/>
      <c r="H1308" s="84" t="n"/>
      <c r="I1308" s="84" t="n"/>
      <c r="J1308" s="84" t="n"/>
      <c r="K1308" s="84" t="n"/>
      <c r="L1308" s="84" t="n"/>
      <c r="M1308" s="84" t="n"/>
      <c r="N1308" s="84" t="n"/>
      <c r="O1308" s="84" t="n"/>
      <c r="P1308" s="84" t="n"/>
      <c r="Q1308" s="84" t="n"/>
      <c r="R1308" s="84" t="n"/>
      <c r="S1308" s="84" t="n"/>
      <c r="T1308" s="84" t="n"/>
      <c r="U1308" s="84" t="n"/>
      <c r="V1308" s="84" t="n"/>
      <c r="W1308" s="84" t="n"/>
      <c r="X1308" s="84" t="n"/>
      <c r="Y1308" s="84" t="n"/>
      <c r="Z1308" s="84" t="n"/>
      <c r="AA1308" s="84" t="n"/>
      <c r="AB1308" s="84" t="n"/>
      <c r="AC1308" s="84" t="n"/>
      <c r="AD1308" s="84" t="n"/>
      <c r="AE1308" s="84" t="n"/>
      <c r="AF1308" s="84" t="n"/>
      <c r="AG1308" s="84" t="n"/>
      <c r="AH1308" s="84" t="n"/>
      <c r="AI1308" s="84" t="n"/>
      <c r="AJ1308" s="84" t="n"/>
      <c r="AK1308" s="84" t="n"/>
      <c r="AL1308" s="84" t="n"/>
      <c r="AM1308" s="84" t="n"/>
      <c r="AN1308" s="84" t="n"/>
      <c r="AO1308" s="84" t="n"/>
      <c r="AP1308" s="84" t="n"/>
      <c r="AQ1308" s="84" t="n"/>
      <c r="AR1308" s="84" t="n"/>
    </row>
    <row r="1309">
      <c r="D1309" s="80" t="n"/>
      <c r="E1309" s="80" t="n"/>
      <c r="F1309" s="80" t="n"/>
      <c r="G1309" s="80" t="n"/>
      <c r="H1309" s="80" t="n"/>
      <c r="I1309" s="80" t="n"/>
      <c r="J1309" s="80" t="n"/>
      <c r="K1309" s="80" t="n"/>
      <c r="L1309" s="80" t="n"/>
      <c r="M1309" s="80" t="n"/>
      <c r="N1309" s="80" t="n"/>
      <c r="O1309" s="80" t="n"/>
      <c r="P1309" s="80" t="n"/>
      <c r="Q1309" s="80" t="n"/>
      <c r="R1309" s="80" t="n"/>
      <c r="S1309" s="80" t="n"/>
      <c r="T1309" s="80" t="n"/>
      <c r="U1309" s="80" t="n"/>
      <c r="V1309" s="80" t="n"/>
      <c r="W1309" s="80" t="n"/>
      <c r="X1309" s="80" t="n"/>
      <c r="Y1309" s="80" t="n"/>
      <c r="Z1309" s="80" t="n"/>
      <c r="AA1309" s="80" t="n"/>
      <c r="AB1309" s="80" t="n"/>
      <c r="AC1309" s="80" t="n"/>
      <c r="AD1309" s="80" t="n"/>
      <c r="AE1309" s="80" t="n"/>
      <c r="AF1309" s="80" t="n"/>
      <c r="AG1309" s="80" t="n"/>
      <c r="AH1309" s="80" t="n"/>
      <c r="AI1309" s="80" t="n"/>
      <c r="AJ1309" s="80" t="n"/>
      <c r="AK1309" s="80" t="n"/>
      <c r="AL1309" s="80" t="n"/>
      <c r="AM1309" s="80" t="n"/>
      <c r="AN1309" s="80" t="n"/>
      <c r="AO1309" s="80" t="n"/>
      <c r="AP1309" s="80" t="n"/>
      <c r="AQ1309" s="80" t="n"/>
      <c r="AR1309" s="80" t="n"/>
    </row>
    <row r="1310">
      <c r="D1310" s="80" t="n"/>
      <c r="E1310" s="80" t="n"/>
      <c r="F1310" s="80" t="n"/>
      <c r="G1310" s="80" t="n"/>
      <c r="H1310" s="80" t="n"/>
      <c r="I1310" s="80" t="n"/>
      <c r="J1310" s="80" t="n"/>
      <c r="K1310" s="80" t="n"/>
      <c r="L1310" s="80" t="n"/>
      <c r="M1310" s="80" t="n"/>
      <c r="N1310" s="80" t="n"/>
      <c r="O1310" s="80" t="n"/>
      <c r="P1310" s="80" t="n"/>
      <c r="Q1310" s="80" t="n"/>
      <c r="R1310" s="80" t="n"/>
      <c r="S1310" s="80" t="n"/>
      <c r="T1310" s="80" t="n"/>
      <c r="U1310" s="80" t="n"/>
      <c r="V1310" s="80" t="n"/>
      <c r="W1310" s="80" t="n"/>
      <c r="X1310" s="80" t="n"/>
      <c r="Y1310" s="80" t="n"/>
      <c r="Z1310" s="80" t="n"/>
      <c r="AA1310" s="80" t="n"/>
      <c r="AB1310" s="80" t="n"/>
      <c r="AC1310" s="80" t="n"/>
      <c r="AD1310" s="80" t="n"/>
      <c r="AE1310" s="80" t="n"/>
      <c r="AF1310" s="80" t="n"/>
      <c r="AG1310" s="80" t="n"/>
      <c r="AH1310" s="80" t="n"/>
      <c r="AI1310" s="80" t="n"/>
      <c r="AJ1310" s="80" t="n"/>
      <c r="AK1310" s="80" t="n"/>
      <c r="AL1310" s="80" t="n"/>
      <c r="AM1310" s="80" t="n"/>
      <c r="AN1310" s="80" t="n"/>
      <c r="AO1310" s="80" t="n"/>
      <c r="AP1310" s="80" t="n"/>
      <c r="AQ1310" s="80" t="n"/>
      <c r="AR1310" s="80" t="n"/>
    </row>
    <row r="1311">
      <c r="D1311" s="80" t="n"/>
      <c r="E1311" s="80" t="n"/>
      <c r="F1311" s="80" t="n"/>
      <c r="G1311" s="80" t="n"/>
      <c r="H1311" s="80" t="n"/>
      <c r="I1311" s="80" t="n"/>
      <c r="J1311" s="80" t="n"/>
      <c r="K1311" s="80" t="n"/>
      <c r="L1311" s="80" t="n"/>
      <c r="M1311" s="80" t="n"/>
      <c r="N1311" s="80" t="n"/>
      <c r="O1311" s="80" t="n"/>
      <c r="P1311" s="80" t="n"/>
      <c r="Q1311" s="80" t="n"/>
      <c r="R1311" s="80" t="n"/>
      <c r="S1311" s="80" t="n"/>
      <c r="T1311" s="80" t="n"/>
      <c r="U1311" s="80" t="n"/>
      <c r="V1311" s="80" t="n"/>
      <c r="W1311" s="80" t="n"/>
      <c r="X1311" s="80" t="n"/>
      <c r="Y1311" s="80" t="n"/>
      <c r="Z1311" s="80" t="n"/>
      <c r="AA1311" s="80" t="n"/>
      <c r="AB1311" s="80" t="n"/>
      <c r="AC1311" s="80" t="n"/>
      <c r="AD1311" s="80" t="n"/>
      <c r="AE1311" s="80" t="n"/>
      <c r="AF1311" s="80" t="n"/>
      <c r="AG1311" s="80" t="n"/>
      <c r="AH1311" s="80" t="n"/>
      <c r="AI1311" s="80" t="n"/>
      <c r="AJ1311" s="80" t="n"/>
      <c r="AK1311" s="80" t="n"/>
      <c r="AL1311" s="80" t="n"/>
      <c r="AM1311" s="80" t="n"/>
      <c r="AN1311" s="80" t="n"/>
      <c r="AO1311" s="80" t="n"/>
      <c r="AP1311" s="80" t="n"/>
      <c r="AQ1311" s="80" t="n"/>
      <c r="AR1311" s="80" t="n"/>
    </row>
    <row r="1312">
      <c r="D1312" s="80" t="n"/>
      <c r="E1312" s="80" t="n"/>
      <c r="F1312" s="80" t="n"/>
      <c r="G1312" s="80" t="n"/>
      <c r="H1312" s="80" t="n"/>
      <c r="I1312" s="80" t="n"/>
      <c r="J1312" s="80" t="n"/>
      <c r="K1312" s="80" t="n"/>
      <c r="L1312" s="80" t="n"/>
      <c r="M1312" s="80" t="n"/>
      <c r="N1312" s="80" t="n"/>
      <c r="O1312" s="80" t="n"/>
      <c r="P1312" s="80" t="n"/>
      <c r="Q1312" s="80" t="n"/>
      <c r="R1312" s="80" t="n"/>
      <c r="S1312" s="80" t="n"/>
      <c r="T1312" s="80" t="n"/>
      <c r="U1312" s="80" t="n"/>
      <c r="V1312" s="80" t="n"/>
      <c r="W1312" s="80" t="n"/>
      <c r="X1312" s="80" t="n"/>
      <c r="Y1312" s="80" t="n"/>
      <c r="Z1312" s="80" t="n"/>
      <c r="AA1312" s="80" t="n"/>
      <c r="AB1312" s="80" t="n"/>
      <c r="AC1312" s="80" t="n"/>
      <c r="AD1312" s="80" t="n"/>
      <c r="AE1312" s="80" t="n"/>
      <c r="AF1312" s="80" t="n"/>
      <c r="AG1312" s="80" t="n"/>
      <c r="AH1312" s="80" t="n"/>
      <c r="AI1312" s="80" t="n"/>
      <c r="AJ1312" s="80" t="n"/>
      <c r="AK1312" s="80" t="n"/>
      <c r="AL1312" s="80" t="n"/>
      <c r="AM1312" s="80" t="n"/>
      <c r="AN1312" s="80" t="n"/>
      <c r="AO1312" s="80" t="n"/>
      <c r="AP1312" s="80" t="n"/>
      <c r="AQ1312" s="80" t="n"/>
      <c r="AR1312" s="80" t="n"/>
    </row>
    <row r="1314">
      <c r="A1314" s="6">
        <f>IF(HSI!$C$94="","",HSI!$C$94)</f>
        <v/>
      </c>
      <c r="B1314" s="41">
        <f>IF($A1314="",0,COUNT($E1315:$AR1315))</f>
        <v/>
      </c>
      <c r="C1314" s="81">
        <f>IF($B1314=0,0,MAX($E1315:$AR1315))</f>
        <v/>
      </c>
      <c r="D1314" s="82">
        <f>BDS($A1314,'Field Check'!$C$7,"headers=y","startcol=1","endcol=7","dir=h","DVD_START_DT",Summary!$C$18,"DVD_END_DT",Summary!$D$18)</f>
        <v/>
      </c>
      <c r="E1314" s="83" t="n"/>
      <c r="F1314" s="83" t="n"/>
      <c r="G1314" s="83" t="n"/>
      <c r="H1314" s="83" t="n"/>
      <c r="I1314" s="83" t="n"/>
      <c r="J1314" s="83" t="n"/>
      <c r="K1314" s="83" t="n"/>
      <c r="L1314" s="83" t="n"/>
      <c r="M1314" s="83" t="n"/>
      <c r="N1314" s="83" t="n"/>
      <c r="O1314" s="83" t="n"/>
      <c r="P1314" s="83" t="n"/>
      <c r="Q1314" s="83" t="n"/>
      <c r="R1314" s="83" t="n"/>
      <c r="S1314" s="83" t="n"/>
      <c r="T1314" s="83" t="n"/>
      <c r="U1314" s="83" t="n"/>
      <c r="V1314" s="83" t="n"/>
      <c r="W1314" s="83" t="n"/>
      <c r="X1314" s="83" t="n"/>
      <c r="Y1314" s="83" t="n"/>
      <c r="Z1314" s="83" t="n"/>
      <c r="AA1314" s="83" t="n"/>
      <c r="AB1314" s="83" t="n"/>
      <c r="AC1314" s="83" t="n"/>
      <c r="AD1314" s="83" t="n"/>
      <c r="AE1314" s="83" t="n"/>
      <c r="AF1314" s="83" t="n"/>
      <c r="AG1314" s="83" t="n"/>
      <c r="AH1314" s="83" t="n"/>
      <c r="AI1314" s="83" t="n"/>
      <c r="AJ1314" s="83" t="n"/>
      <c r="AK1314" s="83" t="n"/>
      <c r="AL1314" s="83" t="n"/>
      <c r="AM1314" s="83" t="n"/>
      <c r="AN1314" s="83" t="n"/>
      <c r="AO1314" s="83" t="n"/>
      <c r="AP1314" s="83" t="n"/>
      <c r="AQ1314" s="83" t="n"/>
      <c r="AR1314" s="83" t="n"/>
    </row>
    <row r="1315">
      <c r="D1315" s="83" t="n"/>
      <c r="E1315" s="83" t="n"/>
      <c r="F1315" s="83" t="n"/>
      <c r="G1315" s="83" t="n"/>
      <c r="H1315" s="83" t="n"/>
      <c r="I1315" s="83" t="n"/>
      <c r="J1315" s="83" t="n"/>
      <c r="K1315" s="83" t="n"/>
      <c r="L1315" s="83" t="n"/>
      <c r="M1315" s="83" t="n"/>
      <c r="N1315" s="83" t="n"/>
      <c r="O1315" s="83" t="n"/>
      <c r="P1315" s="83" t="n"/>
      <c r="Q1315" s="83" t="n"/>
      <c r="R1315" s="83" t="n"/>
      <c r="S1315" s="83" t="n"/>
      <c r="T1315" s="83" t="n"/>
      <c r="U1315" s="83" t="n"/>
      <c r="V1315" s="83" t="n"/>
      <c r="W1315" s="83" t="n"/>
      <c r="X1315" s="83" t="n"/>
      <c r="Y1315" s="83" t="n"/>
      <c r="Z1315" s="83" t="n"/>
      <c r="AA1315" s="83" t="n"/>
      <c r="AB1315" s="83" t="n"/>
      <c r="AC1315" s="83" t="n"/>
      <c r="AD1315" s="83" t="n"/>
      <c r="AE1315" s="83" t="n"/>
      <c r="AF1315" s="83" t="n"/>
      <c r="AG1315" s="83" t="n"/>
      <c r="AH1315" s="83" t="n"/>
      <c r="AI1315" s="83" t="n"/>
      <c r="AJ1315" s="83" t="n"/>
      <c r="AK1315" s="83" t="n"/>
      <c r="AL1315" s="83" t="n"/>
      <c r="AM1315" s="83" t="n"/>
      <c r="AN1315" s="83" t="n"/>
      <c r="AO1315" s="83" t="n"/>
      <c r="AP1315" s="83" t="n"/>
      <c r="AQ1315" s="83" t="n"/>
      <c r="AR1315" s="83" t="n"/>
    </row>
    <row r="1316">
      <c r="D1316" s="84" t="n"/>
      <c r="E1316" s="84" t="n"/>
      <c r="F1316" s="84" t="n"/>
      <c r="G1316" s="84" t="n"/>
      <c r="H1316" s="84" t="n"/>
      <c r="I1316" s="84" t="n"/>
      <c r="J1316" s="84" t="n"/>
      <c r="K1316" s="84" t="n"/>
      <c r="L1316" s="84" t="n"/>
      <c r="M1316" s="84" t="n"/>
      <c r="N1316" s="84" t="n"/>
      <c r="O1316" s="84" t="n"/>
      <c r="P1316" s="84" t="n"/>
      <c r="Q1316" s="84" t="n"/>
      <c r="R1316" s="84" t="n"/>
      <c r="S1316" s="84" t="n"/>
      <c r="T1316" s="84" t="n"/>
      <c r="U1316" s="84" t="n"/>
      <c r="V1316" s="84" t="n"/>
      <c r="W1316" s="84" t="n"/>
      <c r="X1316" s="84" t="n"/>
      <c r="Y1316" s="84" t="n"/>
      <c r="Z1316" s="84" t="n"/>
      <c r="AA1316" s="84" t="n"/>
      <c r="AB1316" s="84" t="n"/>
      <c r="AC1316" s="84" t="n"/>
      <c r="AD1316" s="84" t="n"/>
      <c r="AE1316" s="84" t="n"/>
      <c r="AF1316" s="84" t="n"/>
      <c r="AG1316" s="84" t="n"/>
      <c r="AH1316" s="84" t="n"/>
      <c r="AI1316" s="84" t="n"/>
      <c r="AJ1316" s="84" t="n"/>
      <c r="AK1316" s="84" t="n"/>
      <c r="AL1316" s="84" t="n"/>
      <c r="AM1316" s="84" t="n"/>
      <c r="AN1316" s="84" t="n"/>
      <c r="AO1316" s="84" t="n"/>
      <c r="AP1316" s="84" t="n"/>
      <c r="AQ1316" s="84" t="n"/>
      <c r="AR1316" s="84" t="n"/>
    </row>
    <row r="1317">
      <c r="D1317" s="80" t="n"/>
      <c r="E1317" s="80" t="n"/>
      <c r="F1317" s="80" t="n"/>
      <c r="G1317" s="80" t="n"/>
      <c r="H1317" s="80" t="n"/>
      <c r="I1317" s="80" t="n"/>
      <c r="J1317" s="80" t="n"/>
      <c r="K1317" s="80" t="n"/>
      <c r="L1317" s="80" t="n"/>
      <c r="M1317" s="80" t="n"/>
      <c r="N1317" s="80" t="n"/>
      <c r="O1317" s="80" t="n"/>
      <c r="P1317" s="80" t="n"/>
      <c r="Q1317" s="80" t="n"/>
      <c r="R1317" s="80" t="n"/>
      <c r="S1317" s="80" t="n"/>
      <c r="T1317" s="80" t="n"/>
      <c r="U1317" s="80" t="n"/>
      <c r="V1317" s="80" t="n"/>
      <c r="W1317" s="80" t="n"/>
      <c r="X1317" s="80" t="n"/>
      <c r="Y1317" s="80" t="n"/>
      <c r="Z1317" s="80" t="n"/>
      <c r="AA1317" s="80" t="n"/>
      <c r="AB1317" s="80" t="n"/>
      <c r="AC1317" s="80" t="n"/>
      <c r="AD1317" s="80" t="n"/>
      <c r="AE1317" s="80" t="n"/>
      <c r="AF1317" s="80" t="n"/>
      <c r="AG1317" s="80" t="n"/>
      <c r="AH1317" s="80" t="n"/>
      <c r="AI1317" s="80" t="n"/>
      <c r="AJ1317" s="80" t="n"/>
      <c r="AK1317" s="80" t="n"/>
      <c r="AL1317" s="80" t="n"/>
      <c r="AM1317" s="80" t="n"/>
      <c r="AN1317" s="80" t="n"/>
      <c r="AO1317" s="80" t="n"/>
      <c r="AP1317" s="80" t="n"/>
      <c r="AQ1317" s="80" t="n"/>
      <c r="AR1317" s="80" t="n"/>
    </row>
    <row r="1318">
      <c r="D1318" s="80" t="n"/>
      <c r="E1318" s="80" t="n"/>
      <c r="F1318" s="80" t="n"/>
      <c r="G1318" s="80" t="n"/>
      <c r="H1318" s="80" t="n"/>
      <c r="I1318" s="80" t="n"/>
      <c r="J1318" s="80" t="n"/>
      <c r="K1318" s="80" t="n"/>
      <c r="L1318" s="80" t="n"/>
      <c r="M1318" s="80" t="n"/>
      <c r="N1318" s="80" t="n"/>
      <c r="O1318" s="80" t="n"/>
      <c r="P1318" s="80" t="n"/>
      <c r="Q1318" s="80" t="n"/>
      <c r="R1318" s="80" t="n"/>
      <c r="S1318" s="80" t="n"/>
      <c r="T1318" s="80" t="n"/>
      <c r="U1318" s="80" t="n"/>
      <c r="V1318" s="80" t="n"/>
      <c r="W1318" s="80" t="n"/>
      <c r="X1318" s="80" t="n"/>
      <c r="Y1318" s="80" t="n"/>
      <c r="Z1318" s="80" t="n"/>
      <c r="AA1318" s="80" t="n"/>
      <c r="AB1318" s="80" t="n"/>
      <c r="AC1318" s="80" t="n"/>
      <c r="AD1318" s="80" t="n"/>
      <c r="AE1318" s="80" t="n"/>
      <c r="AF1318" s="80" t="n"/>
      <c r="AG1318" s="80" t="n"/>
      <c r="AH1318" s="80" t="n"/>
      <c r="AI1318" s="80" t="n"/>
      <c r="AJ1318" s="80" t="n"/>
      <c r="AK1318" s="80" t="n"/>
      <c r="AL1318" s="80" t="n"/>
      <c r="AM1318" s="80" t="n"/>
      <c r="AN1318" s="80" t="n"/>
      <c r="AO1318" s="80" t="n"/>
      <c r="AP1318" s="80" t="n"/>
      <c r="AQ1318" s="80" t="n"/>
      <c r="AR1318" s="80" t="n"/>
    </row>
    <row r="1319">
      <c r="D1319" s="80" t="n"/>
      <c r="E1319" s="80" t="n"/>
      <c r="F1319" s="80" t="n"/>
      <c r="G1319" s="80" t="n"/>
      <c r="H1319" s="80" t="n"/>
      <c r="I1319" s="80" t="n"/>
      <c r="J1319" s="80" t="n"/>
      <c r="K1319" s="80" t="n"/>
      <c r="L1319" s="80" t="n"/>
      <c r="M1319" s="80" t="n"/>
      <c r="N1319" s="80" t="n"/>
      <c r="O1319" s="80" t="n"/>
      <c r="P1319" s="80" t="n"/>
      <c r="Q1319" s="80" t="n"/>
      <c r="R1319" s="80" t="n"/>
      <c r="S1319" s="80" t="n"/>
      <c r="T1319" s="80" t="n"/>
      <c r="U1319" s="80" t="n"/>
      <c r="V1319" s="80" t="n"/>
      <c r="W1319" s="80" t="n"/>
      <c r="X1319" s="80" t="n"/>
      <c r="Y1319" s="80" t="n"/>
      <c r="Z1319" s="80" t="n"/>
      <c r="AA1319" s="80" t="n"/>
      <c r="AB1319" s="80" t="n"/>
      <c r="AC1319" s="80" t="n"/>
      <c r="AD1319" s="80" t="n"/>
      <c r="AE1319" s="80" t="n"/>
      <c r="AF1319" s="80" t="n"/>
      <c r="AG1319" s="80" t="n"/>
      <c r="AH1319" s="80" t="n"/>
      <c r="AI1319" s="80" t="n"/>
      <c r="AJ1319" s="80" t="n"/>
      <c r="AK1319" s="80" t="n"/>
      <c r="AL1319" s="80" t="n"/>
      <c r="AM1319" s="80" t="n"/>
      <c r="AN1319" s="80" t="n"/>
      <c r="AO1319" s="80" t="n"/>
      <c r="AP1319" s="80" t="n"/>
      <c r="AQ1319" s="80" t="n"/>
      <c r="AR1319" s="80" t="n"/>
    </row>
    <row r="1320">
      <c r="D1320" s="80" t="n"/>
      <c r="E1320" s="80" t="n"/>
      <c r="F1320" s="80" t="n"/>
      <c r="G1320" s="80" t="n"/>
      <c r="H1320" s="80" t="n"/>
      <c r="I1320" s="80" t="n"/>
      <c r="J1320" s="80" t="n"/>
      <c r="K1320" s="80" t="n"/>
      <c r="L1320" s="80" t="n"/>
      <c r="M1320" s="80" t="n"/>
      <c r="N1320" s="80" t="n"/>
      <c r="O1320" s="80" t="n"/>
      <c r="P1320" s="80" t="n"/>
      <c r="Q1320" s="80" t="n"/>
      <c r="R1320" s="80" t="n"/>
      <c r="S1320" s="80" t="n"/>
      <c r="T1320" s="80" t="n"/>
      <c r="U1320" s="80" t="n"/>
      <c r="V1320" s="80" t="n"/>
      <c r="W1320" s="80" t="n"/>
      <c r="X1320" s="80" t="n"/>
      <c r="Y1320" s="80" t="n"/>
      <c r="Z1320" s="80" t="n"/>
      <c r="AA1320" s="80" t="n"/>
      <c r="AB1320" s="80" t="n"/>
      <c r="AC1320" s="80" t="n"/>
      <c r="AD1320" s="80" t="n"/>
      <c r="AE1320" s="80" t="n"/>
      <c r="AF1320" s="80" t="n"/>
      <c r="AG1320" s="80" t="n"/>
      <c r="AH1320" s="80" t="n"/>
      <c r="AI1320" s="80" t="n"/>
      <c r="AJ1320" s="80" t="n"/>
      <c r="AK1320" s="80" t="n"/>
      <c r="AL1320" s="80" t="n"/>
      <c r="AM1320" s="80" t="n"/>
      <c r="AN1320" s="80" t="n"/>
      <c r="AO1320" s="80" t="n"/>
      <c r="AP1320" s="80" t="n"/>
      <c r="AQ1320" s="80" t="n"/>
      <c r="AR1320" s="80" t="n"/>
    </row>
    <row r="1321">
      <c r="A1321" s="2">
        <f>IF($A1314="","","   projections")</f>
        <v/>
      </c>
      <c r="B1321" s="41">
        <f>IF($A1314="",0,COUNT($E1322:$AR1322))</f>
        <v/>
      </c>
      <c r="C1321" s="81">
        <f>IF($B1321=0,0,MAX($E1322:$AR1322))</f>
        <v/>
      </c>
      <c r="D1321" s="82">
        <f>BDS($A1314,'Field Check'!$C$6,"headers=y","startcol=1","endcol=7","dir=h")</f>
        <v/>
      </c>
      <c r="E1321" s="83" t="n"/>
      <c r="F1321" s="83" t="n"/>
      <c r="G1321" s="83" t="n"/>
      <c r="H1321" s="83" t="n"/>
      <c r="I1321" s="83" t="n"/>
      <c r="J1321" s="83" t="n"/>
      <c r="K1321" s="83" t="n"/>
      <c r="L1321" s="83" t="n"/>
      <c r="M1321" s="83" t="n"/>
      <c r="N1321" s="83" t="n"/>
      <c r="O1321" s="83" t="n"/>
      <c r="P1321" s="83" t="n"/>
      <c r="Q1321" s="83" t="n"/>
      <c r="R1321" s="83" t="n"/>
      <c r="S1321" s="83" t="n"/>
      <c r="T1321" s="83" t="n"/>
      <c r="U1321" s="83" t="n"/>
      <c r="V1321" s="83" t="n"/>
      <c r="W1321" s="83" t="n"/>
      <c r="X1321" s="83" t="n"/>
      <c r="Y1321" s="83" t="n"/>
      <c r="Z1321" s="83" t="n"/>
      <c r="AA1321" s="83" t="n"/>
      <c r="AB1321" s="83" t="n"/>
      <c r="AC1321" s="83" t="n"/>
      <c r="AD1321" s="83" t="n"/>
      <c r="AE1321" s="83" t="n"/>
      <c r="AF1321" s="83" t="n"/>
      <c r="AG1321" s="83" t="n"/>
      <c r="AH1321" s="83" t="n"/>
      <c r="AI1321" s="83" t="n"/>
      <c r="AJ1321" s="83" t="n"/>
      <c r="AK1321" s="83" t="n"/>
      <c r="AL1321" s="83" t="n"/>
      <c r="AM1321" s="83" t="n"/>
      <c r="AN1321" s="83" t="n"/>
      <c r="AO1321" s="83" t="n"/>
      <c r="AP1321" s="83" t="n"/>
      <c r="AQ1321" s="83" t="n"/>
      <c r="AR1321" s="83" t="n"/>
    </row>
    <row r="1322">
      <c r="D1322" s="83" t="n"/>
      <c r="E1322" s="83" t="n"/>
      <c r="F1322" s="83" t="n"/>
      <c r="G1322" s="83" t="n"/>
      <c r="H1322" s="83" t="n"/>
      <c r="I1322" s="83" t="n"/>
      <c r="J1322" s="83" t="n"/>
      <c r="K1322" s="83" t="n"/>
      <c r="L1322" s="83" t="n"/>
      <c r="M1322" s="83" t="n"/>
      <c r="N1322" s="83" t="n"/>
      <c r="O1322" s="83" t="n"/>
      <c r="P1322" s="83" t="n"/>
      <c r="Q1322" s="83" t="n"/>
      <c r="R1322" s="83" t="n"/>
      <c r="S1322" s="83" t="n"/>
      <c r="T1322" s="83" t="n"/>
      <c r="U1322" s="83" t="n"/>
      <c r="V1322" s="83" t="n"/>
      <c r="W1322" s="83" t="n"/>
      <c r="X1322" s="83" t="n"/>
      <c r="Y1322" s="83" t="n"/>
      <c r="Z1322" s="83" t="n"/>
      <c r="AA1322" s="83" t="n"/>
      <c r="AB1322" s="83" t="n"/>
      <c r="AC1322" s="83" t="n"/>
      <c r="AD1322" s="83" t="n"/>
      <c r="AE1322" s="83" t="n"/>
      <c r="AF1322" s="83" t="n"/>
      <c r="AG1322" s="83" t="n"/>
      <c r="AH1322" s="83" t="n"/>
      <c r="AI1322" s="83" t="n"/>
      <c r="AJ1322" s="83" t="n"/>
      <c r="AK1322" s="83" t="n"/>
      <c r="AL1322" s="83" t="n"/>
      <c r="AM1322" s="83" t="n"/>
      <c r="AN1322" s="83" t="n"/>
      <c r="AO1322" s="83" t="n"/>
      <c r="AP1322" s="83" t="n"/>
      <c r="AQ1322" s="83" t="n"/>
      <c r="AR1322" s="83" t="n"/>
    </row>
    <row r="1323">
      <c r="D1323" s="84" t="n"/>
      <c r="E1323" s="84" t="n"/>
      <c r="F1323" s="84" t="n"/>
      <c r="G1323" s="84" t="n"/>
      <c r="H1323" s="84" t="n"/>
      <c r="I1323" s="84" t="n"/>
      <c r="J1323" s="84" t="n"/>
      <c r="K1323" s="84" t="n"/>
      <c r="L1323" s="84" t="n"/>
      <c r="M1323" s="84" t="n"/>
      <c r="N1323" s="84" t="n"/>
      <c r="O1323" s="84" t="n"/>
      <c r="P1323" s="84" t="n"/>
      <c r="Q1323" s="84" t="n"/>
      <c r="R1323" s="84" t="n"/>
      <c r="S1323" s="84" t="n"/>
      <c r="T1323" s="84" t="n"/>
      <c r="U1323" s="84" t="n"/>
      <c r="V1323" s="84" t="n"/>
      <c r="W1323" s="84" t="n"/>
      <c r="X1323" s="84" t="n"/>
      <c r="Y1323" s="84" t="n"/>
      <c r="Z1323" s="84" t="n"/>
      <c r="AA1323" s="84" t="n"/>
      <c r="AB1323" s="84" t="n"/>
      <c r="AC1323" s="84" t="n"/>
      <c r="AD1323" s="84" t="n"/>
      <c r="AE1323" s="84" t="n"/>
      <c r="AF1323" s="84" t="n"/>
      <c r="AG1323" s="84" t="n"/>
      <c r="AH1323" s="84" t="n"/>
      <c r="AI1323" s="84" t="n"/>
      <c r="AJ1323" s="84" t="n"/>
      <c r="AK1323" s="84" t="n"/>
      <c r="AL1323" s="84" t="n"/>
      <c r="AM1323" s="84" t="n"/>
      <c r="AN1323" s="84" t="n"/>
      <c r="AO1323" s="84" t="n"/>
      <c r="AP1323" s="84" t="n"/>
      <c r="AQ1323" s="84" t="n"/>
      <c r="AR1323" s="84" t="n"/>
    </row>
    <row r="1324">
      <c r="D1324" s="80" t="n"/>
      <c r="E1324" s="80" t="n"/>
      <c r="F1324" s="80" t="n"/>
      <c r="G1324" s="80" t="n"/>
      <c r="H1324" s="80" t="n"/>
      <c r="I1324" s="80" t="n"/>
      <c r="J1324" s="80" t="n"/>
      <c r="K1324" s="80" t="n"/>
      <c r="L1324" s="80" t="n"/>
      <c r="M1324" s="80" t="n"/>
      <c r="N1324" s="80" t="n"/>
      <c r="O1324" s="80" t="n"/>
      <c r="P1324" s="80" t="n"/>
      <c r="Q1324" s="80" t="n"/>
      <c r="R1324" s="80" t="n"/>
      <c r="S1324" s="80" t="n"/>
      <c r="T1324" s="80" t="n"/>
      <c r="U1324" s="80" t="n"/>
      <c r="V1324" s="80" t="n"/>
      <c r="W1324" s="80" t="n"/>
      <c r="X1324" s="80" t="n"/>
      <c r="Y1324" s="80" t="n"/>
      <c r="Z1324" s="80" t="n"/>
      <c r="AA1324" s="80" t="n"/>
      <c r="AB1324" s="80" t="n"/>
      <c r="AC1324" s="80" t="n"/>
      <c r="AD1324" s="80" t="n"/>
      <c r="AE1324" s="80" t="n"/>
      <c r="AF1324" s="80" t="n"/>
      <c r="AG1324" s="80" t="n"/>
      <c r="AH1324" s="80" t="n"/>
      <c r="AI1324" s="80" t="n"/>
      <c r="AJ1324" s="80" t="n"/>
      <c r="AK1324" s="80" t="n"/>
      <c r="AL1324" s="80" t="n"/>
      <c r="AM1324" s="80" t="n"/>
      <c r="AN1324" s="80" t="n"/>
      <c r="AO1324" s="80" t="n"/>
      <c r="AP1324" s="80" t="n"/>
      <c r="AQ1324" s="80" t="n"/>
      <c r="AR1324" s="80" t="n"/>
    </row>
    <row r="1325">
      <c r="D1325" s="80" t="n"/>
      <c r="E1325" s="80" t="n"/>
      <c r="F1325" s="80" t="n"/>
      <c r="G1325" s="80" t="n"/>
      <c r="H1325" s="80" t="n"/>
      <c r="I1325" s="80" t="n"/>
      <c r="J1325" s="80" t="n"/>
      <c r="K1325" s="80" t="n"/>
      <c r="L1325" s="80" t="n"/>
      <c r="M1325" s="80" t="n"/>
      <c r="N1325" s="80" t="n"/>
      <c r="O1325" s="80" t="n"/>
      <c r="P1325" s="80" t="n"/>
      <c r="Q1325" s="80" t="n"/>
      <c r="R1325" s="80" t="n"/>
      <c r="S1325" s="80" t="n"/>
      <c r="T1325" s="80" t="n"/>
      <c r="U1325" s="80" t="n"/>
      <c r="V1325" s="80" t="n"/>
      <c r="W1325" s="80" t="n"/>
      <c r="X1325" s="80" t="n"/>
      <c r="Y1325" s="80" t="n"/>
      <c r="Z1325" s="80" t="n"/>
      <c r="AA1325" s="80" t="n"/>
      <c r="AB1325" s="80" t="n"/>
      <c r="AC1325" s="80" t="n"/>
      <c r="AD1325" s="80" t="n"/>
      <c r="AE1325" s="80" t="n"/>
      <c r="AF1325" s="80" t="n"/>
      <c r="AG1325" s="80" t="n"/>
      <c r="AH1325" s="80" t="n"/>
      <c r="AI1325" s="80" t="n"/>
      <c r="AJ1325" s="80" t="n"/>
      <c r="AK1325" s="80" t="n"/>
      <c r="AL1325" s="80" t="n"/>
      <c r="AM1325" s="80" t="n"/>
      <c r="AN1325" s="80" t="n"/>
      <c r="AO1325" s="80" t="n"/>
      <c r="AP1325" s="80" t="n"/>
      <c r="AQ1325" s="80" t="n"/>
      <c r="AR1325" s="80" t="n"/>
    </row>
    <row r="1326">
      <c r="D1326" s="80" t="n"/>
      <c r="E1326" s="80" t="n"/>
      <c r="F1326" s="80" t="n"/>
      <c r="G1326" s="80" t="n"/>
      <c r="H1326" s="80" t="n"/>
      <c r="I1326" s="80" t="n"/>
      <c r="J1326" s="80" t="n"/>
      <c r="K1326" s="80" t="n"/>
      <c r="L1326" s="80" t="n"/>
      <c r="M1326" s="80" t="n"/>
      <c r="N1326" s="80" t="n"/>
      <c r="O1326" s="80" t="n"/>
      <c r="P1326" s="80" t="n"/>
      <c r="Q1326" s="80" t="n"/>
      <c r="R1326" s="80" t="n"/>
      <c r="S1326" s="80" t="n"/>
      <c r="T1326" s="80" t="n"/>
      <c r="U1326" s="80" t="n"/>
      <c r="V1326" s="80" t="n"/>
      <c r="W1326" s="80" t="n"/>
      <c r="X1326" s="80" t="n"/>
      <c r="Y1326" s="80" t="n"/>
      <c r="Z1326" s="80" t="n"/>
      <c r="AA1326" s="80" t="n"/>
      <c r="AB1326" s="80" t="n"/>
      <c r="AC1326" s="80" t="n"/>
      <c r="AD1326" s="80" t="n"/>
      <c r="AE1326" s="80" t="n"/>
      <c r="AF1326" s="80" t="n"/>
      <c r="AG1326" s="80" t="n"/>
      <c r="AH1326" s="80" t="n"/>
      <c r="AI1326" s="80" t="n"/>
      <c r="AJ1326" s="80" t="n"/>
      <c r="AK1326" s="80" t="n"/>
      <c r="AL1326" s="80" t="n"/>
      <c r="AM1326" s="80" t="n"/>
      <c r="AN1326" s="80" t="n"/>
      <c r="AO1326" s="80" t="n"/>
      <c r="AP1326" s="80" t="n"/>
      <c r="AQ1326" s="80" t="n"/>
      <c r="AR1326" s="80" t="n"/>
    </row>
    <row r="1327">
      <c r="D1327" s="80" t="n"/>
      <c r="E1327" s="80" t="n"/>
      <c r="F1327" s="80" t="n"/>
      <c r="G1327" s="80" t="n"/>
      <c r="H1327" s="80" t="n"/>
      <c r="I1327" s="80" t="n"/>
      <c r="J1327" s="80" t="n"/>
      <c r="K1327" s="80" t="n"/>
      <c r="L1327" s="80" t="n"/>
      <c r="M1327" s="80" t="n"/>
      <c r="N1327" s="80" t="n"/>
      <c r="O1327" s="80" t="n"/>
      <c r="P1327" s="80" t="n"/>
      <c r="Q1327" s="80" t="n"/>
      <c r="R1327" s="80" t="n"/>
      <c r="S1327" s="80" t="n"/>
      <c r="T1327" s="80" t="n"/>
      <c r="U1327" s="80" t="n"/>
      <c r="V1327" s="80" t="n"/>
      <c r="W1327" s="80" t="n"/>
      <c r="X1327" s="80" t="n"/>
      <c r="Y1327" s="80" t="n"/>
      <c r="Z1327" s="80" t="n"/>
      <c r="AA1327" s="80" t="n"/>
      <c r="AB1327" s="80" t="n"/>
      <c r="AC1327" s="80" t="n"/>
      <c r="AD1327" s="80" t="n"/>
      <c r="AE1327" s="80" t="n"/>
      <c r="AF1327" s="80" t="n"/>
      <c r="AG1327" s="80" t="n"/>
      <c r="AH1327" s="80" t="n"/>
      <c r="AI1327" s="80" t="n"/>
      <c r="AJ1327" s="80" t="n"/>
      <c r="AK1327" s="80" t="n"/>
      <c r="AL1327" s="80" t="n"/>
      <c r="AM1327" s="80" t="n"/>
      <c r="AN1327" s="80" t="n"/>
      <c r="AO1327" s="80" t="n"/>
      <c r="AP1327" s="80" t="n"/>
      <c r="AQ1327" s="80" t="n"/>
      <c r="AR1327" s="80" t="n"/>
    </row>
    <row r="1329">
      <c r="A1329" s="6">
        <f>IF(HSI!$C$95="","",HSI!$C$95)</f>
        <v/>
      </c>
      <c r="B1329" s="41">
        <f>IF($A1329="",0,COUNT($E1330:$AR1330))</f>
        <v/>
      </c>
      <c r="C1329" s="81">
        <f>IF($B1329=0,0,MAX($E1330:$AR1330))</f>
        <v/>
      </c>
      <c r="D1329" s="82">
        <f>BDS($A1329,'Field Check'!$C$7,"headers=y","startcol=1","endcol=7","dir=h","DVD_START_DT",Summary!$C$18,"DVD_END_DT",Summary!$D$18)</f>
        <v/>
      </c>
      <c r="E1329" s="83" t="n"/>
      <c r="F1329" s="83" t="n"/>
      <c r="G1329" s="83" t="n"/>
      <c r="H1329" s="83" t="n"/>
      <c r="I1329" s="83" t="n"/>
      <c r="J1329" s="83" t="n"/>
      <c r="K1329" s="83" t="n"/>
      <c r="L1329" s="83" t="n"/>
      <c r="M1329" s="83" t="n"/>
      <c r="N1329" s="83" t="n"/>
      <c r="O1329" s="83" t="n"/>
      <c r="P1329" s="83" t="n"/>
      <c r="Q1329" s="83" t="n"/>
      <c r="R1329" s="83" t="n"/>
      <c r="S1329" s="83" t="n"/>
      <c r="T1329" s="83" t="n"/>
      <c r="U1329" s="83" t="n"/>
      <c r="V1329" s="83" t="n"/>
      <c r="W1329" s="83" t="n"/>
      <c r="X1329" s="83" t="n"/>
      <c r="Y1329" s="83" t="n"/>
      <c r="Z1329" s="83" t="n"/>
      <c r="AA1329" s="83" t="n"/>
      <c r="AB1329" s="83" t="n"/>
      <c r="AC1329" s="83" t="n"/>
      <c r="AD1329" s="83" t="n"/>
      <c r="AE1329" s="83" t="n"/>
      <c r="AF1329" s="83" t="n"/>
      <c r="AG1329" s="83" t="n"/>
      <c r="AH1329" s="83" t="n"/>
      <c r="AI1329" s="83" t="n"/>
      <c r="AJ1329" s="83" t="n"/>
      <c r="AK1329" s="83" t="n"/>
      <c r="AL1329" s="83" t="n"/>
      <c r="AM1329" s="83" t="n"/>
      <c r="AN1329" s="83" t="n"/>
      <c r="AO1329" s="83" t="n"/>
      <c r="AP1329" s="83" t="n"/>
      <c r="AQ1329" s="83" t="n"/>
      <c r="AR1329" s="83" t="n"/>
    </row>
    <row r="1330">
      <c r="D1330" s="83" t="n"/>
      <c r="E1330" s="83" t="n"/>
      <c r="F1330" s="83" t="n"/>
      <c r="G1330" s="83" t="n"/>
      <c r="H1330" s="83" t="n"/>
      <c r="I1330" s="83" t="n"/>
      <c r="J1330" s="83" t="n"/>
      <c r="K1330" s="83" t="n"/>
      <c r="L1330" s="83" t="n"/>
      <c r="M1330" s="83" t="n"/>
      <c r="N1330" s="83" t="n"/>
      <c r="O1330" s="83" t="n"/>
      <c r="P1330" s="83" t="n"/>
      <c r="Q1330" s="83" t="n"/>
      <c r="R1330" s="83" t="n"/>
      <c r="S1330" s="83" t="n"/>
      <c r="T1330" s="83" t="n"/>
      <c r="U1330" s="83" t="n"/>
      <c r="V1330" s="83" t="n"/>
      <c r="W1330" s="83" t="n"/>
      <c r="X1330" s="83" t="n"/>
      <c r="Y1330" s="83" t="n"/>
      <c r="Z1330" s="83" t="n"/>
      <c r="AA1330" s="83" t="n"/>
      <c r="AB1330" s="83" t="n"/>
      <c r="AC1330" s="83" t="n"/>
      <c r="AD1330" s="83" t="n"/>
      <c r="AE1330" s="83" t="n"/>
      <c r="AF1330" s="83" t="n"/>
      <c r="AG1330" s="83" t="n"/>
      <c r="AH1330" s="83" t="n"/>
      <c r="AI1330" s="83" t="n"/>
      <c r="AJ1330" s="83" t="n"/>
      <c r="AK1330" s="83" t="n"/>
      <c r="AL1330" s="83" t="n"/>
      <c r="AM1330" s="83" t="n"/>
      <c r="AN1330" s="83" t="n"/>
      <c r="AO1330" s="83" t="n"/>
      <c r="AP1330" s="83" t="n"/>
      <c r="AQ1330" s="83" t="n"/>
      <c r="AR1330" s="83" t="n"/>
    </row>
    <row r="1331">
      <c r="D1331" s="84" t="n"/>
      <c r="E1331" s="84" t="n"/>
      <c r="F1331" s="84" t="n"/>
      <c r="G1331" s="84" t="n"/>
      <c r="H1331" s="84" t="n"/>
      <c r="I1331" s="84" t="n"/>
      <c r="J1331" s="84" t="n"/>
      <c r="K1331" s="84" t="n"/>
      <c r="L1331" s="84" t="n"/>
      <c r="M1331" s="84" t="n"/>
      <c r="N1331" s="84" t="n"/>
      <c r="O1331" s="84" t="n"/>
      <c r="P1331" s="84" t="n"/>
      <c r="Q1331" s="84" t="n"/>
      <c r="R1331" s="84" t="n"/>
      <c r="S1331" s="84" t="n"/>
      <c r="T1331" s="84" t="n"/>
      <c r="U1331" s="84" t="n"/>
      <c r="V1331" s="84" t="n"/>
      <c r="W1331" s="84" t="n"/>
      <c r="X1331" s="84" t="n"/>
      <c r="Y1331" s="84" t="n"/>
      <c r="Z1331" s="84" t="n"/>
      <c r="AA1331" s="84" t="n"/>
      <c r="AB1331" s="84" t="n"/>
      <c r="AC1331" s="84" t="n"/>
      <c r="AD1331" s="84" t="n"/>
      <c r="AE1331" s="84" t="n"/>
      <c r="AF1331" s="84" t="n"/>
      <c r="AG1331" s="84" t="n"/>
      <c r="AH1331" s="84" t="n"/>
      <c r="AI1331" s="84" t="n"/>
      <c r="AJ1331" s="84" t="n"/>
      <c r="AK1331" s="84" t="n"/>
      <c r="AL1331" s="84" t="n"/>
      <c r="AM1331" s="84" t="n"/>
      <c r="AN1331" s="84" t="n"/>
      <c r="AO1331" s="84" t="n"/>
      <c r="AP1331" s="84" t="n"/>
      <c r="AQ1331" s="84" t="n"/>
      <c r="AR1331" s="84" t="n"/>
    </row>
    <row r="1332">
      <c r="D1332" s="80" t="n"/>
      <c r="E1332" s="80" t="n"/>
      <c r="F1332" s="80" t="n"/>
      <c r="G1332" s="80" t="n"/>
      <c r="H1332" s="80" t="n"/>
      <c r="I1332" s="80" t="n"/>
      <c r="J1332" s="80" t="n"/>
      <c r="K1332" s="80" t="n"/>
      <c r="L1332" s="80" t="n"/>
      <c r="M1332" s="80" t="n"/>
      <c r="N1332" s="80" t="n"/>
      <c r="O1332" s="80" t="n"/>
      <c r="P1332" s="80" t="n"/>
      <c r="Q1332" s="80" t="n"/>
      <c r="R1332" s="80" t="n"/>
      <c r="S1332" s="80" t="n"/>
      <c r="T1332" s="80" t="n"/>
      <c r="U1332" s="80" t="n"/>
      <c r="V1332" s="80" t="n"/>
      <c r="W1332" s="80" t="n"/>
      <c r="X1332" s="80" t="n"/>
      <c r="Y1332" s="80" t="n"/>
      <c r="Z1332" s="80" t="n"/>
      <c r="AA1332" s="80" t="n"/>
      <c r="AB1332" s="80" t="n"/>
      <c r="AC1332" s="80" t="n"/>
      <c r="AD1332" s="80" t="n"/>
      <c r="AE1332" s="80" t="n"/>
      <c r="AF1332" s="80" t="n"/>
      <c r="AG1332" s="80" t="n"/>
      <c r="AH1332" s="80" t="n"/>
      <c r="AI1332" s="80" t="n"/>
      <c r="AJ1332" s="80" t="n"/>
      <c r="AK1332" s="80" t="n"/>
      <c r="AL1332" s="80" t="n"/>
      <c r="AM1332" s="80" t="n"/>
      <c r="AN1332" s="80" t="n"/>
      <c r="AO1332" s="80" t="n"/>
      <c r="AP1332" s="80" t="n"/>
      <c r="AQ1332" s="80" t="n"/>
      <c r="AR1332" s="80" t="n"/>
    </row>
    <row r="1333">
      <c r="D1333" s="80" t="n"/>
      <c r="E1333" s="80" t="n"/>
      <c r="F1333" s="80" t="n"/>
      <c r="G1333" s="80" t="n"/>
      <c r="H1333" s="80" t="n"/>
      <c r="I1333" s="80" t="n"/>
      <c r="J1333" s="80" t="n"/>
      <c r="K1333" s="80" t="n"/>
      <c r="L1333" s="80" t="n"/>
      <c r="M1333" s="80" t="n"/>
      <c r="N1333" s="80" t="n"/>
      <c r="O1333" s="80" t="n"/>
      <c r="P1333" s="80" t="n"/>
      <c r="Q1333" s="80" t="n"/>
      <c r="R1333" s="80" t="n"/>
      <c r="S1333" s="80" t="n"/>
      <c r="T1333" s="80" t="n"/>
      <c r="U1333" s="80" t="n"/>
      <c r="V1333" s="80" t="n"/>
      <c r="W1333" s="80" t="n"/>
      <c r="X1333" s="80" t="n"/>
      <c r="Y1333" s="80" t="n"/>
      <c r="Z1333" s="80" t="n"/>
      <c r="AA1333" s="80" t="n"/>
      <c r="AB1333" s="80" t="n"/>
      <c r="AC1333" s="80" t="n"/>
      <c r="AD1333" s="80" t="n"/>
      <c r="AE1333" s="80" t="n"/>
      <c r="AF1333" s="80" t="n"/>
      <c r="AG1333" s="80" t="n"/>
      <c r="AH1333" s="80" t="n"/>
      <c r="AI1333" s="80" t="n"/>
      <c r="AJ1333" s="80" t="n"/>
      <c r="AK1333" s="80" t="n"/>
      <c r="AL1333" s="80" t="n"/>
      <c r="AM1333" s="80" t="n"/>
      <c r="AN1333" s="80" t="n"/>
      <c r="AO1333" s="80" t="n"/>
      <c r="AP1333" s="80" t="n"/>
      <c r="AQ1333" s="80" t="n"/>
      <c r="AR1333" s="80" t="n"/>
    </row>
    <row r="1334">
      <c r="D1334" s="80" t="n"/>
      <c r="E1334" s="80" t="n"/>
      <c r="F1334" s="80" t="n"/>
      <c r="G1334" s="80" t="n"/>
      <c r="H1334" s="80" t="n"/>
      <c r="I1334" s="80" t="n"/>
      <c r="J1334" s="80" t="n"/>
      <c r="K1334" s="80" t="n"/>
      <c r="L1334" s="80" t="n"/>
      <c r="M1334" s="80" t="n"/>
      <c r="N1334" s="80" t="n"/>
      <c r="O1334" s="80" t="n"/>
      <c r="P1334" s="80" t="n"/>
      <c r="Q1334" s="80" t="n"/>
      <c r="R1334" s="80" t="n"/>
      <c r="S1334" s="80" t="n"/>
      <c r="T1334" s="80" t="n"/>
      <c r="U1334" s="80" t="n"/>
      <c r="V1334" s="80" t="n"/>
      <c r="W1334" s="80" t="n"/>
      <c r="X1334" s="80" t="n"/>
      <c r="Y1334" s="80" t="n"/>
      <c r="Z1334" s="80" t="n"/>
      <c r="AA1334" s="80" t="n"/>
      <c r="AB1334" s="80" t="n"/>
      <c r="AC1334" s="80" t="n"/>
      <c r="AD1334" s="80" t="n"/>
      <c r="AE1334" s="80" t="n"/>
      <c r="AF1334" s="80" t="n"/>
      <c r="AG1334" s="80" t="n"/>
      <c r="AH1334" s="80" t="n"/>
      <c r="AI1334" s="80" t="n"/>
      <c r="AJ1334" s="80" t="n"/>
      <c r="AK1334" s="80" t="n"/>
      <c r="AL1334" s="80" t="n"/>
      <c r="AM1334" s="80" t="n"/>
      <c r="AN1334" s="80" t="n"/>
      <c r="AO1334" s="80" t="n"/>
      <c r="AP1334" s="80" t="n"/>
      <c r="AQ1334" s="80" t="n"/>
      <c r="AR1334" s="80" t="n"/>
    </row>
    <row r="1335">
      <c r="D1335" s="80" t="n"/>
      <c r="E1335" s="80" t="n"/>
      <c r="F1335" s="80" t="n"/>
      <c r="G1335" s="80" t="n"/>
      <c r="H1335" s="80" t="n"/>
      <c r="I1335" s="80" t="n"/>
      <c r="J1335" s="80" t="n"/>
      <c r="K1335" s="80" t="n"/>
      <c r="L1335" s="80" t="n"/>
      <c r="M1335" s="80" t="n"/>
      <c r="N1335" s="80" t="n"/>
      <c r="O1335" s="80" t="n"/>
      <c r="P1335" s="80" t="n"/>
      <c r="Q1335" s="80" t="n"/>
      <c r="R1335" s="80" t="n"/>
      <c r="S1335" s="80" t="n"/>
      <c r="T1335" s="80" t="n"/>
      <c r="U1335" s="80" t="n"/>
      <c r="V1335" s="80" t="n"/>
      <c r="W1335" s="80" t="n"/>
      <c r="X1335" s="80" t="n"/>
      <c r="Y1335" s="80" t="n"/>
      <c r="Z1335" s="80" t="n"/>
      <c r="AA1335" s="80" t="n"/>
      <c r="AB1335" s="80" t="n"/>
      <c r="AC1335" s="80" t="n"/>
      <c r="AD1335" s="80" t="n"/>
      <c r="AE1335" s="80" t="n"/>
      <c r="AF1335" s="80" t="n"/>
      <c r="AG1335" s="80" t="n"/>
      <c r="AH1335" s="80" t="n"/>
      <c r="AI1335" s="80" t="n"/>
      <c r="AJ1335" s="80" t="n"/>
      <c r="AK1335" s="80" t="n"/>
      <c r="AL1335" s="80" t="n"/>
      <c r="AM1335" s="80" t="n"/>
      <c r="AN1335" s="80" t="n"/>
      <c r="AO1335" s="80" t="n"/>
      <c r="AP1335" s="80" t="n"/>
      <c r="AQ1335" s="80" t="n"/>
      <c r="AR1335" s="80" t="n"/>
    </row>
    <row r="1336">
      <c r="A1336" s="2">
        <f>IF($A1329="","","   projections")</f>
        <v/>
      </c>
      <c r="B1336" s="41">
        <f>IF($A1329="",0,COUNT($E1337:$AR1337))</f>
        <v/>
      </c>
      <c r="C1336" s="81">
        <f>IF($B1336=0,0,MAX($E1337:$AR1337))</f>
        <v/>
      </c>
      <c r="D1336" s="82">
        <f>BDS($A1329,'Field Check'!$C$6,"headers=y","startcol=1","endcol=7","dir=h")</f>
        <v/>
      </c>
      <c r="E1336" s="83" t="n"/>
      <c r="F1336" s="83" t="n"/>
      <c r="G1336" s="83" t="n"/>
      <c r="H1336" s="83" t="n"/>
      <c r="I1336" s="83" t="n"/>
      <c r="J1336" s="83" t="n"/>
      <c r="K1336" s="83" t="n"/>
      <c r="L1336" s="83" t="n"/>
      <c r="M1336" s="83" t="n"/>
      <c r="N1336" s="83" t="n"/>
      <c r="O1336" s="83" t="n"/>
      <c r="P1336" s="83" t="n"/>
      <c r="Q1336" s="83" t="n"/>
      <c r="R1336" s="83" t="n"/>
      <c r="S1336" s="83" t="n"/>
      <c r="T1336" s="83" t="n"/>
      <c r="U1336" s="83" t="n"/>
      <c r="V1336" s="83" t="n"/>
      <c r="W1336" s="83" t="n"/>
      <c r="X1336" s="83" t="n"/>
      <c r="Y1336" s="83" t="n"/>
      <c r="Z1336" s="83" t="n"/>
      <c r="AA1336" s="83" t="n"/>
      <c r="AB1336" s="83" t="n"/>
      <c r="AC1336" s="83" t="n"/>
      <c r="AD1336" s="83" t="n"/>
      <c r="AE1336" s="83" t="n"/>
      <c r="AF1336" s="83" t="n"/>
      <c r="AG1336" s="83" t="n"/>
      <c r="AH1336" s="83" t="n"/>
      <c r="AI1336" s="83" t="n"/>
      <c r="AJ1336" s="83" t="n"/>
      <c r="AK1336" s="83" t="n"/>
      <c r="AL1336" s="83" t="n"/>
      <c r="AM1336" s="83" t="n"/>
      <c r="AN1336" s="83" t="n"/>
      <c r="AO1336" s="83" t="n"/>
      <c r="AP1336" s="83" t="n"/>
      <c r="AQ1336" s="83" t="n"/>
      <c r="AR1336" s="83" t="n"/>
    </row>
    <row r="1337">
      <c r="D1337" s="83" t="n"/>
      <c r="E1337" s="83" t="n"/>
      <c r="F1337" s="83" t="n"/>
      <c r="G1337" s="83" t="n"/>
      <c r="H1337" s="83" t="n"/>
      <c r="I1337" s="83" t="n"/>
      <c r="J1337" s="83" t="n"/>
      <c r="K1337" s="83" t="n"/>
      <c r="L1337" s="83" t="n"/>
      <c r="M1337" s="83" t="n"/>
      <c r="N1337" s="83" t="n"/>
      <c r="O1337" s="83" t="n"/>
      <c r="P1337" s="83" t="n"/>
      <c r="Q1337" s="83" t="n"/>
      <c r="R1337" s="83" t="n"/>
      <c r="S1337" s="83" t="n"/>
      <c r="T1337" s="83" t="n"/>
      <c r="U1337" s="83" t="n"/>
      <c r="V1337" s="83" t="n"/>
      <c r="W1337" s="83" t="n"/>
      <c r="X1337" s="83" t="n"/>
      <c r="Y1337" s="83" t="n"/>
      <c r="Z1337" s="83" t="n"/>
      <c r="AA1337" s="83" t="n"/>
      <c r="AB1337" s="83" t="n"/>
      <c r="AC1337" s="83" t="n"/>
      <c r="AD1337" s="83" t="n"/>
      <c r="AE1337" s="83" t="n"/>
      <c r="AF1337" s="83" t="n"/>
      <c r="AG1337" s="83" t="n"/>
      <c r="AH1337" s="83" t="n"/>
      <c r="AI1337" s="83" t="n"/>
      <c r="AJ1337" s="83" t="n"/>
      <c r="AK1337" s="83" t="n"/>
      <c r="AL1337" s="83" t="n"/>
      <c r="AM1337" s="83" t="n"/>
      <c r="AN1337" s="83" t="n"/>
      <c r="AO1337" s="83" t="n"/>
      <c r="AP1337" s="83" t="n"/>
      <c r="AQ1337" s="83" t="n"/>
      <c r="AR1337" s="83" t="n"/>
    </row>
    <row r="1338">
      <c r="D1338" s="84" t="n"/>
      <c r="E1338" s="84" t="n"/>
      <c r="F1338" s="84" t="n"/>
      <c r="G1338" s="84" t="n"/>
      <c r="H1338" s="84" t="n"/>
      <c r="I1338" s="84" t="n"/>
      <c r="J1338" s="84" t="n"/>
      <c r="K1338" s="84" t="n"/>
      <c r="L1338" s="84" t="n"/>
      <c r="M1338" s="84" t="n"/>
      <c r="N1338" s="84" t="n"/>
      <c r="O1338" s="84" t="n"/>
      <c r="P1338" s="84" t="n"/>
      <c r="Q1338" s="84" t="n"/>
      <c r="R1338" s="84" t="n"/>
      <c r="S1338" s="84" t="n"/>
      <c r="T1338" s="84" t="n"/>
      <c r="U1338" s="84" t="n"/>
      <c r="V1338" s="84" t="n"/>
      <c r="W1338" s="84" t="n"/>
      <c r="X1338" s="84" t="n"/>
      <c r="Y1338" s="84" t="n"/>
      <c r="Z1338" s="84" t="n"/>
      <c r="AA1338" s="84" t="n"/>
      <c r="AB1338" s="84" t="n"/>
      <c r="AC1338" s="84" t="n"/>
      <c r="AD1338" s="84" t="n"/>
      <c r="AE1338" s="84" t="n"/>
      <c r="AF1338" s="84" t="n"/>
      <c r="AG1338" s="84" t="n"/>
      <c r="AH1338" s="84" t="n"/>
      <c r="AI1338" s="84" t="n"/>
      <c r="AJ1338" s="84" t="n"/>
      <c r="AK1338" s="84" t="n"/>
      <c r="AL1338" s="84" t="n"/>
      <c r="AM1338" s="84" t="n"/>
      <c r="AN1338" s="84" t="n"/>
      <c r="AO1338" s="84" t="n"/>
      <c r="AP1338" s="84" t="n"/>
      <c r="AQ1338" s="84" t="n"/>
      <c r="AR1338" s="84" t="n"/>
    </row>
    <row r="1339">
      <c r="D1339" s="80" t="n"/>
      <c r="E1339" s="80" t="n"/>
      <c r="F1339" s="80" t="n"/>
      <c r="G1339" s="80" t="n"/>
      <c r="H1339" s="80" t="n"/>
      <c r="I1339" s="80" t="n"/>
      <c r="J1339" s="80" t="n"/>
      <c r="K1339" s="80" t="n"/>
      <c r="L1339" s="80" t="n"/>
      <c r="M1339" s="80" t="n"/>
      <c r="N1339" s="80" t="n"/>
      <c r="O1339" s="80" t="n"/>
      <c r="P1339" s="80" t="n"/>
      <c r="Q1339" s="80" t="n"/>
      <c r="R1339" s="80" t="n"/>
      <c r="S1339" s="80" t="n"/>
      <c r="T1339" s="80" t="n"/>
      <c r="U1339" s="80" t="n"/>
      <c r="V1339" s="80" t="n"/>
      <c r="W1339" s="80" t="n"/>
      <c r="X1339" s="80" t="n"/>
      <c r="Y1339" s="80" t="n"/>
      <c r="Z1339" s="80" t="n"/>
      <c r="AA1339" s="80" t="n"/>
      <c r="AB1339" s="80" t="n"/>
      <c r="AC1339" s="80" t="n"/>
      <c r="AD1339" s="80" t="n"/>
      <c r="AE1339" s="80" t="n"/>
      <c r="AF1339" s="80" t="n"/>
      <c r="AG1339" s="80" t="n"/>
      <c r="AH1339" s="80" t="n"/>
      <c r="AI1339" s="80" t="n"/>
      <c r="AJ1339" s="80" t="n"/>
      <c r="AK1339" s="80" t="n"/>
      <c r="AL1339" s="80" t="n"/>
      <c r="AM1339" s="80" t="n"/>
      <c r="AN1339" s="80" t="n"/>
      <c r="AO1339" s="80" t="n"/>
      <c r="AP1339" s="80" t="n"/>
      <c r="AQ1339" s="80" t="n"/>
      <c r="AR1339" s="80" t="n"/>
    </row>
    <row r="1340">
      <c r="D1340" s="80" t="n"/>
      <c r="E1340" s="80" t="n"/>
      <c r="F1340" s="80" t="n"/>
      <c r="G1340" s="80" t="n"/>
      <c r="H1340" s="80" t="n"/>
      <c r="I1340" s="80" t="n"/>
      <c r="J1340" s="80" t="n"/>
      <c r="K1340" s="80" t="n"/>
      <c r="L1340" s="80" t="n"/>
      <c r="M1340" s="80" t="n"/>
      <c r="N1340" s="80" t="n"/>
      <c r="O1340" s="80" t="n"/>
      <c r="P1340" s="80" t="n"/>
      <c r="Q1340" s="80" t="n"/>
      <c r="R1340" s="80" t="n"/>
      <c r="S1340" s="80" t="n"/>
      <c r="T1340" s="80" t="n"/>
      <c r="U1340" s="80" t="n"/>
      <c r="V1340" s="80" t="n"/>
      <c r="W1340" s="80" t="n"/>
      <c r="X1340" s="80" t="n"/>
      <c r="Y1340" s="80" t="n"/>
      <c r="Z1340" s="80" t="n"/>
      <c r="AA1340" s="80" t="n"/>
      <c r="AB1340" s="80" t="n"/>
      <c r="AC1340" s="80" t="n"/>
      <c r="AD1340" s="80" t="n"/>
      <c r="AE1340" s="80" t="n"/>
      <c r="AF1340" s="80" t="n"/>
      <c r="AG1340" s="80" t="n"/>
      <c r="AH1340" s="80" t="n"/>
      <c r="AI1340" s="80" t="n"/>
      <c r="AJ1340" s="80" t="n"/>
      <c r="AK1340" s="80" t="n"/>
      <c r="AL1340" s="80" t="n"/>
      <c r="AM1340" s="80" t="n"/>
      <c r="AN1340" s="80" t="n"/>
      <c r="AO1340" s="80" t="n"/>
      <c r="AP1340" s="80" t="n"/>
      <c r="AQ1340" s="80" t="n"/>
      <c r="AR1340" s="80" t="n"/>
    </row>
    <row r="1341">
      <c r="D1341" s="80" t="n"/>
      <c r="E1341" s="80" t="n"/>
      <c r="F1341" s="80" t="n"/>
      <c r="G1341" s="80" t="n"/>
      <c r="H1341" s="80" t="n"/>
      <c r="I1341" s="80" t="n"/>
      <c r="J1341" s="80" t="n"/>
      <c r="K1341" s="80" t="n"/>
      <c r="L1341" s="80" t="n"/>
      <c r="M1341" s="80" t="n"/>
      <c r="N1341" s="80" t="n"/>
      <c r="O1341" s="80" t="n"/>
      <c r="P1341" s="80" t="n"/>
      <c r="Q1341" s="80" t="n"/>
      <c r="R1341" s="80" t="n"/>
      <c r="S1341" s="80" t="n"/>
      <c r="T1341" s="80" t="n"/>
      <c r="U1341" s="80" t="n"/>
      <c r="V1341" s="80" t="n"/>
      <c r="W1341" s="80" t="n"/>
      <c r="X1341" s="80" t="n"/>
      <c r="Y1341" s="80" t="n"/>
      <c r="Z1341" s="80" t="n"/>
      <c r="AA1341" s="80" t="n"/>
      <c r="AB1341" s="80" t="n"/>
      <c r="AC1341" s="80" t="n"/>
      <c r="AD1341" s="80" t="n"/>
      <c r="AE1341" s="80" t="n"/>
      <c r="AF1341" s="80" t="n"/>
      <c r="AG1341" s="80" t="n"/>
      <c r="AH1341" s="80" t="n"/>
      <c r="AI1341" s="80" t="n"/>
      <c r="AJ1341" s="80" t="n"/>
      <c r="AK1341" s="80" t="n"/>
      <c r="AL1341" s="80" t="n"/>
      <c r="AM1341" s="80" t="n"/>
      <c r="AN1341" s="80" t="n"/>
      <c r="AO1341" s="80" t="n"/>
      <c r="AP1341" s="80" t="n"/>
      <c r="AQ1341" s="80" t="n"/>
      <c r="AR1341" s="80" t="n"/>
    </row>
    <row r="1342">
      <c r="D1342" s="80" t="n"/>
      <c r="E1342" s="80" t="n"/>
      <c r="F1342" s="80" t="n"/>
      <c r="G1342" s="80" t="n"/>
      <c r="H1342" s="80" t="n"/>
      <c r="I1342" s="80" t="n"/>
      <c r="J1342" s="80" t="n"/>
      <c r="K1342" s="80" t="n"/>
      <c r="L1342" s="80" t="n"/>
      <c r="M1342" s="80" t="n"/>
      <c r="N1342" s="80" t="n"/>
      <c r="O1342" s="80" t="n"/>
      <c r="P1342" s="80" t="n"/>
      <c r="Q1342" s="80" t="n"/>
      <c r="R1342" s="80" t="n"/>
      <c r="S1342" s="80" t="n"/>
      <c r="T1342" s="80" t="n"/>
      <c r="U1342" s="80" t="n"/>
      <c r="V1342" s="80" t="n"/>
      <c r="W1342" s="80" t="n"/>
      <c r="X1342" s="80" t="n"/>
      <c r="Y1342" s="80" t="n"/>
      <c r="Z1342" s="80" t="n"/>
      <c r="AA1342" s="80" t="n"/>
      <c r="AB1342" s="80" t="n"/>
      <c r="AC1342" s="80" t="n"/>
      <c r="AD1342" s="80" t="n"/>
      <c r="AE1342" s="80" t="n"/>
      <c r="AF1342" s="80" t="n"/>
      <c r="AG1342" s="80" t="n"/>
      <c r="AH1342" s="80" t="n"/>
      <c r="AI1342" s="80" t="n"/>
      <c r="AJ1342" s="80" t="n"/>
      <c r="AK1342" s="80" t="n"/>
      <c r="AL1342" s="80" t="n"/>
      <c r="AM1342" s="80" t="n"/>
      <c r="AN1342" s="80" t="n"/>
      <c r="AO1342" s="80" t="n"/>
      <c r="AP1342" s="80" t="n"/>
      <c r="AQ1342" s="80" t="n"/>
      <c r="AR1342" s="80" t="n"/>
    </row>
    <row r="1344">
      <c r="A1344" s="6">
        <f>IF(HSI!$C$96="","",HSI!$C$96)</f>
        <v/>
      </c>
      <c r="B1344" s="41">
        <f>IF($A1344="",0,COUNT($E1345:$AR1345))</f>
        <v/>
      </c>
      <c r="C1344" s="81">
        <f>IF($B1344=0,0,MAX($E1345:$AR1345))</f>
        <v/>
      </c>
      <c r="D1344" s="82">
        <f>BDS($A1344,'Field Check'!$C$7,"headers=y","startcol=1","endcol=7","dir=h","DVD_START_DT",Summary!$C$18,"DVD_END_DT",Summary!$D$18)</f>
        <v/>
      </c>
      <c r="E1344" s="83" t="n"/>
      <c r="F1344" s="83" t="n"/>
      <c r="G1344" s="83" t="n"/>
      <c r="H1344" s="83" t="n"/>
      <c r="I1344" s="83" t="n"/>
      <c r="J1344" s="83" t="n"/>
      <c r="K1344" s="83" t="n"/>
      <c r="L1344" s="83" t="n"/>
      <c r="M1344" s="83" t="n"/>
      <c r="N1344" s="83" t="n"/>
      <c r="O1344" s="83" t="n"/>
      <c r="P1344" s="83" t="n"/>
      <c r="Q1344" s="83" t="n"/>
      <c r="R1344" s="83" t="n"/>
      <c r="S1344" s="83" t="n"/>
      <c r="T1344" s="83" t="n"/>
      <c r="U1344" s="83" t="n"/>
      <c r="V1344" s="83" t="n"/>
      <c r="W1344" s="83" t="n"/>
      <c r="X1344" s="83" t="n"/>
      <c r="Y1344" s="83" t="n"/>
      <c r="Z1344" s="83" t="n"/>
      <c r="AA1344" s="83" t="n"/>
      <c r="AB1344" s="83" t="n"/>
      <c r="AC1344" s="83" t="n"/>
      <c r="AD1344" s="83" t="n"/>
      <c r="AE1344" s="83" t="n"/>
      <c r="AF1344" s="83" t="n"/>
      <c r="AG1344" s="83" t="n"/>
      <c r="AH1344" s="83" t="n"/>
      <c r="AI1344" s="83" t="n"/>
      <c r="AJ1344" s="83" t="n"/>
      <c r="AK1344" s="83" t="n"/>
      <c r="AL1344" s="83" t="n"/>
      <c r="AM1344" s="83" t="n"/>
      <c r="AN1344" s="83" t="n"/>
      <c r="AO1344" s="83" t="n"/>
      <c r="AP1344" s="83" t="n"/>
      <c r="AQ1344" s="83" t="n"/>
      <c r="AR1344" s="83" t="n"/>
    </row>
    <row r="1345">
      <c r="D1345" s="83" t="n"/>
      <c r="E1345" s="83" t="n"/>
      <c r="F1345" s="83" t="n"/>
      <c r="G1345" s="83" t="n"/>
      <c r="H1345" s="83" t="n"/>
      <c r="I1345" s="83" t="n"/>
      <c r="J1345" s="83" t="n"/>
      <c r="K1345" s="83" t="n"/>
      <c r="L1345" s="83" t="n"/>
      <c r="M1345" s="83" t="n"/>
      <c r="N1345" s="83" t="n"/>
      <c r="O1345" s="83" t="n"/>
      <c r="P1345" s="83" t="n"/>
      <c r="Q1345" s="83" t="n"/>
      <c r="R1345" s="83" t="n"/>
      <c r="S1345" s="83" t="n"/>
      <c r="T1345" s="83" t="n"/>
      <c r="U1345" s="83" t="n"/>
      <c r="V1345" s="83" t="n"/>
      <c r="W1345" s="83" t="n"/>
      <c r="X1345" s="83" t="n"/>
      <c r="Y1345" s="83" t="n"/>
      <c r="Z1345" s="83" t="n"/>
      <c r="AA1345" s="83" t="n"/>
      <c r="AB1345" s="83" t="n"/>
      <c r="AC1345" s="83" t="n"/>
      <c r="AD1345" s="83" t="n"/>
      <c r="AE1345" s="83" t="n"/>
      <c r="AF1345" s="83" t="n"/>
      <c r="AG1345" s="83" t="n"/>
      <c r="AH1345" s="83" t="n"/>
      <c r="AI1345" s="83" t="n"/>
      <c r="AJ1345" s="83" t="n"/>
      <c r="AK1345" s="83" t="n"/>
      <c r="AL1345" s="83" t="n"/>
      <c r="AM1345" s="83" t="n"/>
      <c r="AN1345" s="83" t="n"/>
      <c r="AO1345" s="83" t="n"/>
      <c r="AP1345" s="83" t="n"/>
      <c r="AQ1345" s="83" t="n"/>
      <c r="AR1345" s="83" t="n"/>
    </row>
    <row r="1346">
      <c r="D1346" s="84" t="n"/>
      <c r="E1346" s="84" t="n"/>
      <c r="F1346" s="84" t="n"/>
      <c r="G1346" s="84" t="n"/>
      <c r="H1346" s="84" t="n"/>
      <c r="I1346" s="84" t="n"/>
      <c r="J1346" s="84" t="n"/>
      <c r="K1346" s="84" t="n"/>
      <c r="L1346" s="84" t="n"/>
      <c r="M1346" s="84" t="n"/>
      <c r="N1346" s="84" t="n"/>
      <c r="O1346" s="84" t="n"/>
      <c r="P1346" s="84" t="n"/>
      <c r="Q1346" s="84" t="n"/>
      <c r="R1346" s="84" t="n"/>
      <c r="S1346" s="84" t="n"/>
      <c r="T1346" s="84" t="n"/>
      <c r="U1346" s="84" t="n"/>
      <c r="V1346" s="84" t="n"/>
      <c r="W1346" s="84" t="n"/>
      <c r="X1346" s="84" t="n"/>
      <c r="Y1346" s="84" t="n"/>
      <c r="Z1346" s="84" t="n"/>
      <c r="AA1346" s="84" t="n"/>
      <c r="AB1346" s="84" t="n"/>
      <c r="AC1346" s="84" t="n"/>
      <c r="AD1346" s="84" t="n"/>
      <c r="AE1346" s="84" t="n"/>
      <c r="AF1346" s="84" t="n"/>
      <c r="AG1346" s="84" t="n"/>
      <c r="AH1346" s="84" t="n"/>
      <c r="AI1346" s="84" t="n"/>
      <c r="AJ1346" s="84" t="n"/>
      <c r="AK1346" s="84" t="n"/>
      <c r="AL1346" s="84" t="n"/>
      <c r="AM1346" s="84" t="n"/>
      <c r="AN1346" s="84" t="n"/>
      <c r="AO1346" s="84" t="n"/>
      <c r="AP1346" s="84" t="n"/>
      <c r="AQ1346" s="84" t="n"/>
      <c r="AR1346" s="84" t="n"/>
    </row>
    <row r="1347">
      <c r="D1347" s="80" t="n"/>
      <c r="E1347" s="80" t="n"/>
      <c r="F1347" s="80" t="n"/>
      <c r="G1347" s="80" t="n"/>
      <c r="H1347" s="80" t="n"/>
      <c r="I1347" s="80" t="n"/>
      <c r="J1347" s="80" t="n"/>
      <c r="K1347" s="80" t="n"/>
      <c r="L1347" s="80" t="n"/>
      <c r="M1347" s="80" t="n"/>
      <c r="N1347" s="80" t="n"/>
      <c r="O1347" s="80" t="n"/>
      <c r="P1347" s="80" t="n"/>
      <c r="Q1347" s="80" t="n"/>
      <c r="R1347" s="80" t="n"/>
      <c r="S1347" s="80" t="n"/>
      <c r="T1347" s="80" t="n"/>
      <c r="U1347" s="80" t="n"/>
      <c r="V1347" s="80" t="n"/>
      <c r="W1347" s="80" t="n"/>
      <c r="X1347" s="80" t="n"/>
      <c r="Y1347" s="80" t="n"/>
      <c r="Z1347" s="80" t="n"/>
      <c r="AA1347" s="80" t="n"/>
      <c r="AB1347" s="80" t="n"/>
      <c r="AC1347" s="80" t="n"/>
      <c r="AD1347" s="80" t="n"/>
      <c r="AE1347" s="80" t="n"/>
      <c r="AF1347" s="80" t="n"/>
      <c r="AG1347" s="80" t="n"/>
      <c r="AH1347" s="80" t="n"/>
      <c r="AI1347" s="80" t="n"/>
      <c r="AJ1347" s="80" t="n"/>
      <c r="AK1347" s="80" t="n"/>
      <c r="AL1347" s="80" t="n"/>
      <c r="AM1347" s="80" t="n"/>
      <c r="AN1347" s="80" t="n"/>
      <c r="AO1347" s="80" t="n"/>
      <c r="AP1347" s="80" t="n"/>
      <c r="AQ1347" s="80" t="n"/>
      <c r="AR1347" s="80" t="n"/>
    </row>
    <row r="1348">
      <c r="D1348" s="80" t="n"/>
      <c r="E1348" s="80" t="n"/>
      <c r="F1348" s="80" t="n"/>
      <c r="G1348" s="80" t="n"/>
      <c r="H1348" s="80" t="n"/>
      <c r="I1348" s="80" t="n"/>
      <c r="J1348" s="80" t="n"/>
      <c r="K1348" s="80" t="n"/>
      <c r="L1348" s="80" t="n"/>
      <c r="M1348" s="80" t="n"/>
      <c r="N1348" s="80" t="n"/>
      <c r="O1348" s="80" t="n"/>
      <c r="P1348" s="80" t="n"/>
      <c r="Q1348" s="80" t="n"/>
      <c r="R1348" s="80" t="n"/>
      <c r="S1348" s="80" t="n"/>
      <c r="T1348" s="80" t="n"/>
      <c r="U1348" s="80" t="n"/>
      <c r="V1348" s="80" t="n"/>
      <c r="W1348" s="80" t="n"/>
      <c r="X1348" s="80" t="n"/>
      <c r="Y1348" s="80" t="n"/>
      <c r="Z1348" s="80" t="n"/>
      <c r="AA1348" s="80" t="n"/>
      <c r="AB1348" s="80" t="n"/>
      <c r="AC1348" s="80" t="n"/>
      <c r="AD1348" s="80" t="n"/>
      <c r="AE1348" s="80" t="n"/>
      <c r="AF1348" s="80" t="n"/>
      <c r="AG1348" s="80" t="n"/>
      <c r="AH1348" s="80" t="n"/>
      <c r="AI1348" s="80" t="n"/>
      <c r="AJ1348" s="80" t="n"/>
      <c r="AK1348" s="80" t="n"/>
      <c r="AL1348" s="80" t="n"/>
      <c r="AM1348" s="80" t="n"/>
      <c r="AN1348" s="80" t="n"/>
      <c r="AO1348" s="80" t="n"/>
      <c r="AP1348" s="80" t="n"/>
      <c r="AQ1348" s="80" t="n"/>
      <c r="AR1348" s="80" t="n"/>
    </row>
    <row r="1349">
      <c r="D1349" s="80" t="n"/>
      <c r="E1349" s="80" t="n"/>
      <c r="F1349" s="80" t="n"/>
      <c r="G1349" s="80" t="n"/>
      <c r="H1349" s="80" t="n"/>
      <c r="I1349" s="80" t="n"/>
      <c r="J1349" s="80" t="n"/>
      <c r="K1349" s="80" t="n"/>
      <c r="L1349" s="80" t="n"/>
      <c r="M1349" s="80" t="n"/>
      <c r="N1349" s="80" t="n"/>
      <c r="O1349" s="80" t="n"/>
      <c r="P1349" s="80" t="n"/>
      <c r="Q1349" s="80" t="n"/>
      <c r="R1349" s="80" t="n"/>
      <c r="S1349" s="80" t="n"/>
      <c r="T1349" s="80" t="n"/>
      <c r="U1349" s="80" t="n"/>
      <c r="V1349" s="80" t="n"/>
      <c r="W1349" s="80" t="n"/>
      <c r="X1349" s="80" t="n"/>
      <c r="Y1349" s="80" t="n"/>
      <c r="Z1349" s="80" t="n"/>
      <c r="AA1349" s="80" t="n"/>
      <c r="AB1349" s="80" t="n"/>
      <c r="AC1349" s="80" t="n"/>
      <c r="AD1349" s="80" t="n"/>
      <c r="AE1349" s="80" t="n"/>
      <c r="AF1349" s="80" t="n"/>
      <c r="AG1349" s="80" t="n"/>
      <c r="AH1349" s="80" t="n"/>
      <c r="AI1349" s="80" t="n"/>
      <c r="AJ1349" s="80" t="n"/>
      <c r="AK1349" s="80" t="n"/>
      <c r="AL1349" s="80" t="n"/>
      <c r="AM1349" s="80" t="n"/>
      <c r="AN1349" s="80" t="n"/>
      <c r="AO1349" s="80" t="n"/>
      <c r="AP1349" s="80" t="n"/>
      <c r="AQ1349" s="80" t="n"/>
      <c r="AR1349" s="80" t="n"/>
    </row>
    <row r="1350">
      <c r="D1350" s="80" t="n"/>
      <c r="E1350" s="80" t="n"/>
      <c r="F1350" s="80" t="n"/>
      <c r="G1350" s="80" t="n"/>
      <c r="H1350" s="80" t="n"/>
      <c r="I1350" s="80" t="n"/>
      <c r="J1350" s="80" t="n"/>
      <c r="K1350" s="80" t="n"/>
      <c r="L1350" s="80" t="n"/>
      <c r="M1350" s="80" t="n"/>
      <c r="N1350" s="80" t="n"/>
      <c r="O1350" s="80" t="n"/>
      <c r="P1350" s="80" t="n"/>
      <c r="Q1350" s="80" t="n"/>
      <c r="R1350" s="80" t="n"/>
      <c r="S1350" s="80" t="n"/>
      <c r="T1350" s="80" t="n"/>
      <c r="U1350" s="80" t="n"/>
      <c r="V1350" s="80" t="n"/>
      <c r="W1350" s="80" t="n"/>
      <c r="X1350" s="80" t="n"/>
      <c r="Y1350" s="80" t="n"/>
      <c r="Z1350" s="80" t="n"/>
      <c r="AA1350" s="80" t="n"/>
      <c r="AB1350" s="80" t="n"/>
      <c r="AC1350" s="80" t="n"/>
      <c r="AD1350" s="80" t="n"/>
      <c r="AE1350" s="80" t="n"/>
      <c r="AF1350" s="80" t="n"/>
      <c r="AG1350" s="80" t="n"/>
      <c r="AH1350" s="80" t="n"/>
      <c r="AI1350" s="80" t="n"/>
      <c r="AJ1350" s="80" t="n"/>
      <c r="AK1350" s="80" t="n"/>
      <c r="AL1350" s="80" t="n"/>
      <c r="AM1350" s="80" t="n"/>
      <c r="AN1350" s="80" t="n"/>
      <c r="AO1350" s="80" t="n"/>
      <c r="AP1350" s="80" t="n"/>
      <c r="AQ1350" s="80" t="n"/>
      <c r="AR1350" s="80" t="n"/>
    </row>
    <row r="1351">
      <c r="A1351" s="2">
        <f>IF($A1344="","","   projections")</f>
        <v/>
      </c>
      <c r="B1351" s="41">
        <f>IF($A1344="",0,COUNT($E1352:$AR1352))</f>
        <v/>
      </c>
      <c r="C1351" s="81">
        <f>IF($B1351=0,0,MAX($E1352:$AR1352))</f>
        <v/>
      </c>
      <c r="D1351" s="82">
        <f>BDS($A1344,'Field Check'!$C$6,"headers=y","startcol=1","endcol=7","dir=h")</f>
        <v/>
      </c>
      <c r="E1351" s="83" t="n"/>
      <c r="F1351" s="83" t="n"/>
      <c r="G1351" s="83" t="n"/>
      <c r="H1351" s="83" t="n"/>
      <c r="I1351" s="83" t="n"/>
      <c r="J1351" s="83" t="n"/>
      <c r="K1351" s="83" t="n"/>
      <c r="L1351" s="83" t="n"/>
      <c r="M1351" s="83" t="n"/>
      <c r="N1351" s="83" t="n"/>
      <c r="O1351" s="83" t="n"/>
      <c r="P1351" s="83" t="n"/>
      <c r="Q1351" s="83" t="n"/>
      <c r="R1351" s="83" t="n"/>
      <c r="S1351" s="83" t="n"/>
      <c r="T1351" s="83" t="n"/>
      <c r="U1351" s="83" t="n"/>
      <c r="V1351" s="83" t="n"/>
      <c r="W1351" s="83" t="n"/>
      <c r="X1351" s="83" t="n"/>
      <c r="Y1351" s="83" t="n"/>
      <c r="Z1351" s="83" t="n"/>
      <c r="AA1351" s="83" t="n"/>
      <c r="AB1351" s="83" t="n"/>
      <c r="AC1351" s="83" t="n"/>
      <c r="AD1351" s="83" t="n"/>
      <c r="AE1351" s="83" t="n"/>
      <c r="AF1351" s="83" t="n"/>
      <c r="AG1351" s="83" t="n"/>
      <c r="AH1351" s="83" t="n"/>
      <c r="AI1351" s="83" t="n"/>
      <c r="AJ1351" s="83" t="n"/>
      <c r="AK1351" s="83" t="n"/>
      <c r="AL1351" s="83" t="n"/>
      <c r="AM1351" s="83" t="n"/>
      <c r="AN1351" s="83" t="n"/>
      <c r="AO1351" s="83" t="n"/>
      <c r="AP1351" s="83" t="n"/>
      <c r="AQ1351" s="83" t="n"/>
      <c r="AR1351" s="83" t="n"/>
    </row>
    <row r="1352">
      <c r="D1352" s="83" t="n"/>
      <c r="E1352" s="83" t="n"/>
      <c r="F1352" s="83" t="n"/>
      <c r="G1352" s="83" t="n"/>
      <c r="H1352" s="83" t="n"/>
      <c r="I1352" s="83" t="n"/>
      <c r="J1352" s="83" t="n"/>
      <c r="K1352" s="83" t="n"/>
      <c r="L1352" s="83" t="n"/>
      <c r="M1352" s="83" t="n"/>
      <c r="N1352" s="83" t="n"/>
      <c r="O1352" s="83" t="n"/>
      <c r="P1352" s="83" t="n"/>
      <c r="Q1352" s="83" t="n"/>
      <c r="R1352" s="83" t="n"/>
      <c r="S1352" s="83" t="n"/>
      <c r="T1352" s="83" t="n"/>
      <c r="U1352" s="83" t="n"/>
      <c r="V1352" s="83" t="n"/>
      <c r="W1352" s="83" t="n"/>
      <c r="X1352" s="83" t="n"/>
      <c r="Y1352" s="83" t="n"/>
      <c r="Z1352" s="83" t="n"/>
      <c r="AA1352" s="83" t="n"/>
      <c r="AB1352" s="83" t="n"/>
      <c r="AC1352" s="83" t="n"/>
      <c r="AD1352" s="83" t="n"/>
      <c r="AE1352" s="83" t="n"/>
      <c r="AF1352" s="83" t="n"/>
      <c r="AG1352" s="83" t="n"/>
      <c r="AH1352" s="83" t="n"/>
      <c r="AI1352" s="83" t="n"/>
      <c r="AJ1352" s="83" t="n"/>
      <c r="AK1352" s="83" t="n"/>
      <c r="AL1352" s="83" t="n"/>
      <c r="AM1352" s="83" t="n"/>
      <c r="AN1352" s="83" t="n"/>
      <c r="AO1352" s="83" t="n"/>
      <c r="AP1352" s="83" t="n"/>
      <c r="AQ1352" s="83" t="n"/>
      <c r="AR1352" s="83" t="n"/>
    </row>
    <row r="1353">
      <c r="D1353" s="84" t="n"/>
      <c r="E1353" s="84" t="n"/>
      <c r="F1353" s="84" t="n"/>
      <c r="G1353" s="84" t="n"/>
      <c r="H1353" s="84" t="n"/>
      <c r="I1353" s="84" t="n"/>
      <c r="J1353" s="84" t="n"/>
      <c r="K1353" s="84" t="n"/>
      <c r="L1353" s="84" t="n"/>
      <c r="M1353" s="84" t="n"/>
      <c r="N1353" s="84" t="n"/>
      <c r="O1353" s="84" t="n"/>
      <c r="P1353" s="84" t="n"/>
      <c r="Q1353" s="84" t="n"/>
      <c r="R1353" s="84" t="n"/>
      <c r="S1353" s="84" t="n"/>
      <c r="T1353" s="84" t="n"/>
      <c r="U1353" s="84" t="n"/>
      <c r="V1353" s="84" t="n"/>
      <c r="W1353" s="84" t="n"/>
      <c r="X1353" s="84" t="n"/>
      <c r="Y1353" s="84" t="n"/>
      <c r="Z1353" s="84" t="n"/>
      <c r="AA1353" s="84" t="n"/>
      <c r="AB1353" s="84" t="n"/>
      <c r="AC1353" s="84" t="n"/>
      <c r="AD1353" s="84" t="n"/>
      <c r="AE1353" s="84" t="n"/>
      <c r="AF1353" s="84" t="n"/>
      <c r="AG1353" s="84" t="n"/>
      <c r="AH1353" s="84" t="n"/>
      <c r="AI1353" s="84" t="n"/>
      <c r="AJ1353" s="84" t="n"/>
      <c r="AK1353" s="84" t="n"/>
      <c r="AL1353" s="84" t="n"/>
      <c r="AM1353" s="84" t="n"/>
      <c r="AN1353" s="84" t="n"/>
      <c r="AO1353" s="84" t="n"/>
      <c r="AP1353" s="84" t="n"/>
      <c r="AQ1353" s="84" t="n"/>
      <c r="AR1353" s="84" t="n"/>
    </row>
    <row r="1354">
      <c r="D1354" s="80" t="n"/>
      <c r="E1354" s="80" t="n"/>
      <c r="F1354" s="80" t="n"/>
      <c r="G1354" s="80" t="n"/>
      <c r="H1354" s="80" t="n"/>
      <c r="I1354" s="80" t="n"/>
      <c r="J1354" s="80" t="n"/>
      <c r="K1354" s="80" t="n"/>
      <c r="L1354" s="80" t="n"/>
      <c r="M1354" s="80" t="n"/>
      <c r="N1354" s="80" t="n"/>
      <c r="O1354" s="80" t="n"/>
      <c r="P1354" s="80" t="n"/>
      <c r="Q1354" s="80" t="n"/>
      <c r="R1354" s="80" t="n"/>
      <c r="S1354" s="80" t="n"/>
      <c r="T1354" s="80" t="n"/>
      <c r="U1354" s="80" t="n"/>
      <c r="V1354" s="80" t="n"/>
      <c r="W1354" s="80" t="n"/>
      <c r="X1354" s="80" t="n"/>
      <c r="Y1354" s="80" t="n"/>
      <c r="Z1354" s="80" t="n"/>
      <c r="AA1354" s="80" t="n"/>
      <c r="AB1354" s="80" t="n"/>
      <c r="AC1354" s="80" t="n"/>
      <c r="AD1354" s="80" t="n"/>
      <c r="AE1354" s="80" t="n"/>
      <c r="AF1354" s="80" t="n"/>
      <c r="AG1354" s="80" t="n"/>
      <c r="AH1354" s="80" t="n"/>
      <c r="AI1354" s="80" t="n"/>
      <c r="AJ1354" s="80" t="n"/>
      <c r="AK1354" s="80" t="n"/>
      <c r="AL1354" s="80" t="n"/>
      <c r="AM1354" s="80" t="n"/>
      <c r="AN1354" s="80" t="n"/>
      <c r="AO1354" s="80" t="n"/>
      <c r="AP1354" s="80" t="n"/>
      <c r="AQ1354" s="80" t="n"/>
      <c r="AR1354" s="80" t="n"/>
    </row>
    <row r="1355">
      <c r="D1355" s="80" t="n"/>
      <c r="E1355" s="80" t="n"/>
      <c r="F1355" s="80" t="n"/>
      <c r="G1355" s="80" t="n"/>
      <c r="H1355" s="80" t="n"/>
      <c r="I1355" s="80" t="n"/>
      <c r="J1355" s="80" t="n"/>
      <c r="K1355" s="80" t="n"/>
      <c r="L1355" s="80" t="n"/>
      <c r="M1355" s="80" t="n"/>
      <c r="N1355" s="80" t="n"/>
      <c r="O1355" s="80" t="n"/>
      <c r="P1355" s="80" t="n"/>
      <c r="Q1355" s="80" t="n"/>
      <c r="R1355" s="80" t="n"/>
      <c r="S1355" s="80" t="n"/>
      <c r="T1355" s="80" t="n"/>
      <c r="U1355" s="80" t="n"/>
      <c r="V1355" s="80" t="n"/>
      <c r="W1355" s="80" t="n"/>
      <c r="X1355" s="80" t="n"/>
      <c r="Y1355" s="80" t="n"/>
      <c r="Z1355" s="80" t="n"/>
      <c r="AA1355" s="80" t="n"/>
      <c r="AB1355" s="80" t="n"/>
      <c r="AC1355" s="80" t="n"/>
      <c r="AD1355" s="80" t="n"/>
      <c r="AE1355" s="80" t="n"/>
      <c r="AF1355" s="80" t="n"/>
      <c r="AG1355" s="80" t="n"/>
      <c r="AH1355" s="80" t="n"/>
      <c r="AI1355" s="80" t="n"/>
      <c r="AJ1355" s="80" t="n"/>
      <c r="AK1355" s="80" t="n"/>
      <c r="AL1355" s="80" t="n"/>
      <c r="AM1355" s="80" t="n"/>
      <c r="AN1355" s="80" t="n"/>
      <c r="AO1355" s="80" t="n"/>
      <c r="AP1355" s="80" t="n"/>
      <c r="AQ1355" s="80" t="n"/>
      <c r="AR1355" s="80" t="n"/>
    </row>
    <row r="1356">
      <c r="D1356" s="80" t="n"/>
      <c r="E1356" s="80" t="n"/>
      <c r="F1356" s="80" t="n"/>
      <c r="G1356" s="80" t="n"/>
      <c r="H1356" s="80" t="n"/>
      <c r="I1356" s="80" t="n"/>
      <c r="J1356" s="80" t="n"/>
      <c r="K1356" s="80" t="n"/>
      <c r="L1356" s="80" t="n"/>
      <c r="M1356" s="80" t="n"/>
      <c r="N1356" s="80" t="n"/>
      <c r="O1356" s="80" t="n"/>
      <c r="P1356" s="80" t="n"/>
      <c r="Q1356" s="80" t="n"/>
      <c r="R1356" s="80" t="n"/>
      <c r="S1356" s="80" t="n"/>
      <c r="T1356" s="80" t="n"/>
      <c r="U1356" s="80" t="n"/>
      <c r="V1356" s="80" t="n"/>
      <c r="W1356" s="80" t="n"/>
      <c r="X1356" s="80" t="n"/>
      <c r="Y1356" s="80" t="n"/>
      <c r="Z1356" s="80" t="n"/>
      <c r="AA1356" s="80" t="n"/>
      <c r="AB1356" s="80" t="n"/>
      <c r="AC1356" s="80" t="n"/>
      <c r="AD1356" s="80" t="n"/>
      <c r="AE1356" s="80" t="n"/>
      <c r="AF1356" s="80" t="n"/>
      <c r="AG1356" s="80" t="n"/>
      <c r="AH1356" s="80" t="n"/>
      <c r="AI1356" s="80" t="n"/>
      <c r="AJ1356" s="80" t="n"/>
      <c r="AK1356" s="80" t="n"/>
      <c r="AL1356" s="80" t="n"/>
      <c r="AM1356" s="80" t="n"/>
      <c r="AN1356" s="80" t="n"/>
      <c r="AO1356" s="80" t="n"/>
      <c r="AP1356" s="80" t="n"/>
      <c r="AQ1356" s="80" t="n"/>
      <c r="AR1356" s="80" t="n"/>
    </row>
    <row r="1357">
      <c r="D1357" s="80" t="n"/>
      <c r="E1357" s="80" t="n"/>
      <c r="F1357" s="80" t="n"/>
      <c r="G1357" s="80" t="n"/>
      <c r="H1357" s="80" t="n"/>
      <c r="I1357" s="80" t="n"/>
      <c r="J1357" s="80" t="n"/>
      <c r="K1357" s="80" t="n"/>
      <c r="L1357" s="80" t="n"/>
      <c r="M1357" s="80" t="n"/>
      <c r="N1357" s="80" t="n"/>
      <c r="O1357" s="80" t="n"/>
      <c r="P1357" s="80" t="n"/>
      <c r="Q1357" s="80" t="n"/>
      <c r="R1357" s="80" t="n"/>
      <c r="S1357" s="80" t="n"/>
      <c r="T1357" s="80" t="n"/>
      <c r="U1357" s="80" t="n"/>
      <c r="V1357" s="80" t="n"/>
      <c r="W1357" s="80" t="n"/>
      <c r="X1357" s="80" t="n"/>
      <c r="Y1357" s="80" t="n"/>
      <c r="Z1357" s="80" t="n"/>
      <c r="AA1357" s="80" t="n"/>
      <c r="AB1357" s="80" t="n"/>
      <c r="AC1357" s="80" t="n"/>
      <c r="AD1357" s="80" t="n"/>
      <c r="AE1357" s="80" t="n"/>
      <c r="AF1357" s="80" t="n"/>
      <c r="AG1357" s="80" t="n"/>
      <c r="AH1357" s="80" t="n"/>
      <c r="AI1357" s="80" t="n"/>
      <c r="AJ1357" s="80" t="n"/>
      <c r="AK1357" s="80" t="n"/>
      <c r="AL1357" s="80" t="n"/>
      <c r="AM1357" s="80" t="n"/>
      <c r="AN1357" s="80" t="n"/>
      <c r="AO1357" s="80" t="n"/>
      <c r="AP1357" s="80" t="n"/>
      <c r="AQ1357" s="80" t="n"/>
      <c r="AR1357" s="80" t="n"/>
    </row>
    <row r="1359">
      <c r="A1359" s="6">
        <f>IF(HSI!$C$97="","",HSI!$C$97)</f>
        <v/>
      </c>
      <c r="B1359" s="41">
        <f>IF($A1359="",0,COUNT($E1360:$AR1360))</f>
        <v/>
      </c>
      <c r="C1359" s="81">
        <f>IF($B1359=0,0,MAX($E1360:$AR1360))</f>
        <v/>
      </c>
      <c r="D1359" s="82">
        <f>BDS($A1359,'Field Check'!$C$7,"headers=y","startcol=1","endcol=7","dir=h","DVD_START_DT",Summary!$C$18,"DVD_END_DT",Summary!$D$18)</f>
        <v/>
      </c>
      <c r="E1359" s="83" t="n"/>
      <c r="F1359" s="83" t="n"/>
      <c r="G1359" s="83" t="n"/>
      <c r="H1359" s="83" t="n"/>
      <c r="I1359" s="83" t="n"/>
      <c r="J1359" s="83" t="n"/>
      <c r="K1359" s="83" t="n"/>
      <c r="L1359" s="83" t="n"/>
      <c r="M1359" s="83" t="n"/>
      <c r="N1359" s="83" t="n"/>
      <c r="O1359" s="83" t="n"/>
      <c r="P1359" s="83" t="n"/>
      <c r="Q1359" s="83" t="n"/>
      <c r="R1359" s="83" t="n"/>
      <c r="S1359" s="83" t="n"/>
      <c r="T1359" s="83" t="n"/>
      <c r="U1359" s="83" t="n"/>
      <c r="V1359" s="83" t="n"/>
      <c r="W1359" s="83" t="n"/>
      <c r="X1359" s="83" t="n"/>
      <c r="Y1359" s="83" t="n"/>
      <c r="Z1359" s="83" t="n"/>
      <c r="AA1359" s="83" t="n"/>
      <c r="AB1359" s="83" t="n"/>
      <c r="AC1359" s="83" t="n"/>
      <c r="AD1359" s="83" t="n"/>
      <c r="AE1359" s="83" t="n"/>
      <c r="AF1359" s="83" t="n"/>
      <c r="AG1359" s="83" t="n"/>
      <c r="AH1359" s="83" t="n"/>
      <c r="AI1359" s="83" t="n"/>
      <c r="AJ1359" s="83" t="n"/>
      <c r="AK1359" s="83" t="n"/>
      <c r="AL1359" s="83" t="n"/>
      <c r="AM1359" s="83" t="n"/>
      <c r="AN1359" s="83" t="n"/>
      <c r="AO1359" s="83" t="n"/>
      <c r="AP1359" s="83" t="n"/>
      <c r="AQ1359" s="83" t="n"/>
      <c r="AR1359" s="83" t="n"/>
    </row>
    <row r="1360">
      <c r="D1360" s="83" t="n"/>
      <c r="E1360" s="83" t="n"/>
      <c r="F1360" s="83" t="n"/>
      <c r="G1360" s="83" t="n"/>
      <c r="H1360" s="83" t="n"/>
      <c r="I1360" s="83" t="n"/>
      <c r="J1360" s="83" t="n"/>
      <c r="K1360" s="83" t="n"/>
      <c r="L1360" s="83" t="n"/>
      <c r="M1360" s="83" t="n"/>
      <c r="N1360" s="83" t="n"/>
      <c r="O1360" s="83" t="n"/>
      <c r="P1360" s="83" t="n"/>
      <c r="Q1360" s="83" t="n"/>
      <c r="R1360" s="83" t="n"/>
      <c r="S1360" s="83" t="n"/>
      <c r="T1360" s="83" t="n"/>
      <c r="U1360" s="83" t="n"/>
      <c r="V1360" s="83" t="n"/>
      <c r="W1360" s="83" t="n"/>
      <c r="X1360" s="83" t="n"/>
      <c r="Y1360" s="83" t="n"/>
      <c r="Z1360" s="83" t="n"/>
      <c r="AA1360" s="83" t="n"/>
      <c r="AB1360" s="83" t="n"/>
      <c r="AC1360" s="83" t="n"/>
      <c r="AD1360" s="83" t="n"/>
      <c r="AE1360" s="83" t="n"/>
      <c r="AF1360" s="83" t="n"/>
      <c r="AG1360" s="83" t="n"/>
      <c r="AH1360" s="83" t="n"/>
      <c r="AI1360" s="83" t="n"/>
      <c r="AJ1360" s="83" t="n"/>
      <c r="AK1360" s="83" t="n"/>
      <c r="AL1360" s="83" t="n"/>
      <c r="AM1360" s="83" t="n"/>
      <c r="AN1360" s="83" t="n"/>
      <c r="AO1360" s="83" t="n"/>
      <c r="AP1360" s="83" t="n"/>
      <c r="AQ1360" s="83" t="n"/>
      <c r="AR1360" s="83" t="n"/>
    </row>
    <row r="1361">
      <c r="D1361" s="84" t="n"/>
      <c r="E1361" s="84" t="n"/>
      <c r="F1361" s="84" t="n"/>
      <c r="G1361" s="84" t="n"/>
      <c r="H1361" s="84" t="n"/>
      <c r="I1361" s="84" t="n"/>
      <c r="J1361" s="84" t="n"/>
      <c r="K1361" s="84" t="n"/>
      <c r="L1361" s="84" t="n"/>
      <c r="M1361" s="84" t="n"/>
      <c r="N1361" s="84" t="n"/>
      <c r="O1361" s="84" t="n"/>
      <c r="P1361" s="84" t="n"/>
      <c r="Q1361" s="84" t="n"/>
      <c r="R1361" s="84" t="n"/>
      <c r="S1361" s="84" t="n"/>
      <c r="T1361" s="84" t="n"/>
      <c r="U1361" s="84" t="n"/>
      <c r="V1361" s="84" t="n"/>
      <c r="W1361" s="84" t="n"/>
      <c r="X1361" s="84" t="n"/>
      <c r="Y1361" s="84" t="n"/>
      <c r="Z1361" s="84" t="n"/>
      <c r="AA1361" s="84" t="n"/>
      <c r="AB1361" s="84" t="n"/>
      <c r="AC1361" s="84" t="n"/>
      <c r="AD1361" s="84" t="n"/>
      <c r="AE1361" s="84" t="n"/>
      <c r="AF1361" s="84" t="n"/>
      <c r="AG1361" s="84" t="n"/>
      <c r="AH1361" s="84" t="n"/>
      <c r="AI1361" s="84" t="n"/>
      <c r="AJ1361" s="84" t="n"/>
      <c r="AK1361" s="84" t="n"/>
      <c r="AL1361" s="84" t="n"/>
      <c r="AM1361" s="84" t="n"/>
      <c r="AN1361" s="84" t="n"/>
      <c r="AO1361" s="84" t="n"/>
      <c r="AP1361" s="84" t="n"/>
      <c r="AQ1361" s="84" t="n"/>
      <c r="AR1361" s="84" t="n"/>
    </row>
    <row r="1362">
      <c r="D1362" s="80" t="n"/>
      <c r="E1362" s="80" t="n"/>
      <c r="F1362" s="80" t="n"/>
      <c r="G1362" s="80" t="n"/>
      <c r="H1362" s="80" t="n"/>
      <c r="I1362" s="80" t="n"/>
      <c r="J1362" s="80" t="n"/>
      <c r="K1362" s="80" t="n"/>
      <c r="L1362" s="80" t="n"/>
      <c r="M1362" s="80" t="n"/>
      <c r="N1362" s="80" t="n"/>
      <c r="O1362" s="80" t="n"/>
      <c r="P1362" s="80" t="n"/>
      <c r="Q1362" s="80" t="n"/>
      <c r="R1362" s="80" t="n"/>
      <c r="S1362" s="80" t="n"/>
      <c r="T1362" s="80" t="n"/>
      <c r="U1362" s="80" t="n"/>
      <c r="V1362" s="80" t="n"/>
      <c r="W1362" s="80" t="n"/>
      <c r="X1362" s="80" t="n"/>
      <c r="Y1362" s="80" t="n"/>
      <c r="Z1362" s="80" t="n"/>
      <c r="AA1362" s="80" t="n"/>
      <c r="AB1362" s="80" t="n"/>
      <c r="AC1362" s="80" t="n"/>
      <c r="AD1362" s="80" t="n"/>
      <c r="AE1362" s="80" t="n"/>
      <c r="AF1362" s="80" t="n"/>
      <c r="AG1362" s="80" t="n"/>
      <c r="AH1362" s="80" t="n"/>
      <c r="AI1362" s="80" t="n"/>
      <c r="AJ1362" s="80" t="n"/>
      <c r="AK1362" s="80" t="n"/>
      <c r="AL1362" s="80" t="n"/>
      <c r="AM1362" s="80" t="n"/>
      <c r="AN1362" s="80" t="n"/>
      <c r="AO1362" s="80" t="n"/>
      <c r="AP1362" s="80" t="n"/>
      <c r="AQ1362" s="80" t="n"/>
      <c r="AR1362" s="80" t="n"/>
    </row>
    <row r="1363">
      <c r="D1363" s="80" t="n"/>
      <c r="E1363" s="80" t="n"/>
      <c r="F1363" s="80" t="n"/>
      <c r="G1363" s="80" t="n"/>
      <c r="H1363" s="80" t="n"/>
      <c r="I1363" s="80" t="n"/>
      <c r="J1363" s="80" t="n"/>
      <c r="K1363" s="80" t="n"/>
      <c r="L1363" s="80" t="n"/>
      <c r="M1363" s="80" t="n"/>
      <c r="N1363" s="80" t="n"/>
      <c r="O1363" s="80" t="n"/>
      <c r="P1363" s="80" t="n"/>
      <c r="Q1363" s="80" t="n"/>
      <c r="R1363" s="80" t="n"/>
      <c r="S1363" s="80" t="n"/>
      <c r="T1363" s="80" t="n"/>
      <c r="U1363" s="80" t="n"/>
      <c r="V1363" s="80" t="n"/>
      <c r="W1363" s="80" t="n"/>
      <c r="X1363" s="80" t="n"/>
      <c r="Y1363" s="80" t="n"/>
      <c r="Z1363" s="80" t="n"/>
      <c r="AA1363" s="80" t="n"/>
      <c r="AB1363" s="80" t="n"/>
      <c r="AC1363" s="80" t="n"/>
      <c r="AD1363" s="80" t="n"/>
      <c r="AE1363" s="80" t="n"/>
      <c r="AF1363" s="80" t="n"/>
      <c r="AG1363" s="80" t="n"/>
      <c r="AH1363" s="80" t="n"/>
      <c r="AI1363" s="80" t="n"/>
      <c r="AJ1363" s="80" t="n"/>
      <c r="AK1363" s="80" t="n"/>
      <c r="AL1363" s="80" t="n"/>
      <c r="AM1363" s="80" t="n"/>
      <c r="AN1363" s="80" t="n"/>
      <c r="AO1363" s="80" t="n"/>
      <c r="AP1363" s="80" t="n"/>
      <c r="AQ1363" s="80" t="n"/>
      <c r="AR1363" s="80" t="n"/>
    </row>
    <row r="1364">
      <c r="D1364" s="80" t="n"/>
      <c r="E1364" s="80" t="n"/>
      <c r="F1364" s="80" t="n"/>
      <c r="G1364" s="80" t="n"/>
      <c r="H1364" s="80" t="n"/>
      <c r="I1364" s="80" t="n"/>
      <c r="J1364" s="80" t="n"/>
      <c r="K1364" s="80" t="n"/>
      <c r="L1364" s="80" t="n"/>
      <c r="M1364" s="80" t="n"/>
      <c r="N1364" s="80" t="n"/>
      <c r="O1364" s="80" t="n"/>
      <c r="P1364" s="80" t="n"/>
      <c r="Q1364" s="80" t="n"/>
      <c r="R1364" s="80" t="n"/>
      <c r="S1364" s="80" t="n"/>
      <c r="T1364" s="80" t="n"/>
      <c r="U1364" s="80" t="n"/>
      <c r="V1364" s="80" t="n"/>
      <c r="W1364" s="80" t="n"/>
      <c r="X1364" s="80" t="n"/>
      <c r="Y1364" s="80" t="n"/>
      <c r="Z1364" s="80" t="n"/>
      <c r="AA1364" s="80" t="n"/>
      <c r="AB1364" s="80" t="n"/>
      <c r="AC1364" s="80" t="n"/>
      <c r="AD1364" s="80" t="n"/>
      <c r="AE1364" s="80" t="n"/>
      <c r="AF1364" s="80" t="n"/>
      <c r="AG1364" s="80" t="n"/>
      <c r="AH1364" s="80" t="n"/>
      <c r="AI1364" s="80" t="n"/>
      <c r="AJ1364" s="80" t="n"/>
      <c r="AK1364" s="80" t="n"/>
      <c r="AL1364" s="80" t="n"/>
      <c r="AM1364" s="80" t="n"/>
      <c r="AN1364" s="80" t="n"/>
      <c r="AO1364" s="80" t="n"/>
      <c r="AP1364" s="80" t="n"/>
      <c r="AQ1364" s="80" t="n"/>
      <c r="AR1364" s="80" t="n"/>
    </row>
    <row r="1365">
      <c r="D1365" s="80" t="n"/>
      <c r="E1365" s="80" t="n"/>
      <c r="F1365" s="80" t="n"/>
      <c r="G1365" s="80" t="n"/>
      <c r="H1365" s="80" t="n"/>
      <c r="I1365" s="80" t="n"/>
      <c r="J1365" s="80" t="n"/>
      <c r="K1365" s="80" t="n"/>
      <c r="L1365" s="80" t="n"/>
      <c r="M1365" s="80" t="n"/>
      <c r="N1365" s="80" t="n"/>
      <c r="O1365" s="80" t="n"/>
      <c r="P1365" s="80" t="n"/>
      <c r="Q1365" s="80" t="n"/>
      <c r="R1365" s="80" t="n"/>
      <c r="S1365" s="80" t="n"/>
      <c r="T1365" s="80" t="n"/>
      <c r="U1365" s="80" t="n"/>
      <c r="V1365" s="80" t="n"/>
      <c r="W1365" s="80" t="n"/>
      <c r="X1365" s="80" t="n"/>
      <c r="Y1365" s="80" t="n"/>
      <c r="Z1365" s="80" t="n"/>
      <c r="AA1365" s="80" t="n"/>
      <c r="AB1365" s="80" t="n"/>
      <c r="AC1365" s="80" t="n"/>
      <c r="AD1365" s="80" t="n"/>
      <c r="AE1365" s="80" t="n"/>
      <c r="AF1365" s="80" t="n"/>
      <c r="AG1365" s="80" t="n"/>
      <c r="AH1365" s="80" t="n"/>
      <c r="AI1365" s="80" t="n"/>
      <c r="AJ1365" s="80" t="n"/>
      <c r="AK1365" s="80" t="n"/>
      <c r="AL1365" s="80" t="n"/>
      <c r="AM1365" s="80" t="n"/>
      <c r="AN1365" s="80" t="n"/>
      <c r="AO1365" s="80" t="n"/>
      <c r="AP1365" s="80" t="n"/>
      <c r="AQ1365" s="80" t="n"/>
      <c r="AR1365" s="80" t="n"/>
    </row>
    <row r="1366">
      <c r="A1366" s="2">
        <f>IF($A1359="","","   projections")</f>
        <v/>
      </c>
      <c r="B1366" s="41">
        <f>IF($A1359="",0,COUNT($E1367:$AR1367))</f>
        <v/>
      </c>
      <c r="C1366" s="81">
        <f>IF($B1366=0,0,MAX($E1367:$AR1367))</f>
        <v/>
      </c>
      <c r="D1366" s="82">
        <f>BDS($A1359,'Field Check'!$C$6,"headers=y","startcol=1","endcol=7","dir=h")</f>
        <v/>
      </c>
      <c r="E1366" s="83" t="n"/>
      <c r="F1366" s="83" t="n"/>
      <c r="G1366" s="83" t="n"/>
      <c r="H1366" s="83" t="n"/>
      <c r="I1366" s="83" t="n"/>
      <c r="J1366" s="83" t="n"/>
      <c r="K1366" s="83" t="n"/>
      <c r="L1366" s="83" t="n"/>
      <c r="M1366" s="83" t="n"/>
      <c r="N1366" s="83" t="n"/>
      <c r="O1366" s="83" t="n"/>
      <c r="P1366" s="83" t="n"/>
      <c r="Q1366" s="83" t="n"/>
      <c r="R1366" s="83" t="n"/>
      <c r="S1366" s="83" t="n"/>
      <c r="T1366" s="83" t="n"/>
      <c r="U1366" s="83" t="n"/>
      <c r="V1366" s="83" t="n"/>
      <c r="W1366" s="83" t="n"/>
      <c r="X1366" s="83" t="n"/>
      <c r="Y1366" s="83" t="n"/>
      <c r="Z1366" s="83" t="n"/>
      <c r="AA1366" s="83" t="n"/>
      <c r="AB1366" s="83" t="n"/>
      <c r="AC1366" s="83" t="n"/>
      <c r="AD1366" s="83" t="n"/>
      <c r="AE1366" s="83" t="n"/>
      <c r="AF1366" s="83" t="n"/>
      <c r="AG1366" s="83" t="n"/>
      <c r="AH1366" s="83" t="n"/>
      <c r="AI1366" s="83" t="n"/>
      <c r="AJ1366" s="83" t="n"/>
      <c r="AK1366" s="83" t="n"/>
      <c r="AL1366" s="83" t="n"/>
      <c r="AM1366" s="83" t="n"/>
      <c r="AN1366" s="83" t="n"/>
      <c r="AO1366" s="83" t="n"/>
      <c r="AP1366" s="83" t="n"/>
      <c r="AQ1366" s="83" t="n"/>
      <c r="AR1366" s="83" t="n"/>
    </row>
    <row r="1367">
      <c r="D1367" s="83" t="n"/>
      <c r="E1367" s="83" t="n"/>
      <c r="F1367" s="83" t="n"/>
      <c r="G1367" s="83" t="n"/>
      <c r="H1367" s="83" t="n"/>
      <c r="I1367" s="83" t="n"/>
      <c r="J1367" s="83" t="n"/>
      <c r="K1367" s="83" t="n"/>
      <c r="L1367" s="83" t="n"/>
      <c r="M1367" s="83" t="n"/>
      <c r="N1367" s="83" t="n"/>
      <c r="O1367" s="83" t="n"/>
      <c r="P1367" s="83" t="n"/>
      <c r="Q1367" s="83" t="n"/>
      <c r="R1367" s="83" t="n"/>
      <c r="S1367" s="83" t="n"/>
      <c r="T1367" s="83" t="n"/>
      <c r="U1367" s="83" t="n"/>
      <c r="V1367" s="83" t="n"/>
      <c r="W1367" s="83" t="n"/>
      <c r="X1367" s="83" t="n"/>
      <c r="Y1367" s="83" t="n"/>
      <c r="Z1367" s="83" t="n"/>
      <c r="AA1367" s="83" t="n"/>
      <c r="AB1367" s="83" t="n"/>
      <c r="AC1367" s="83" t="n"/>
      <c r="AD1367" s="83" t="n"/>
      <c r="AE1367" s="83" t="n"/>
      <c r="AF1367" s="83" t="n"/>
      <c r="AG1367" s="83" t="n"/>
      <c r="AH1367" s="83" t="n"/>
      <c r="AI1367" s="83" t="n"/>
      <c r="AJ1367" s="83" t="n"/>
      <c r="AK1367" s="83" t="n"/>
      <c r="AL1367" s="83" t="n"/>
      <c r="AM1367" s="83" t="n"/>
      <c r="AN1367" s="83" t="n"/>
      <c r="AO1367" s="83" t="n"/>
      <c r="AP1367" s="83" t="n"/>
      <c r="AQ1367" s="83" t="n"/>
      <c r="AR1367" s="83" t="n"/>
    </row>
    <row r="1368">
      <c r="D1368" s="84" t="n"/>
      <c r="E1368" s="84" t="n"/>
      <c r="F1368" s="84" t="n"/>
      <c r="G1368" s="84" t="n"/>
      <c r="H1368" s="84" t="n"/>
      <c r="I1368" s="84" t="n"/>
      <c r="J1368" s="84" t="n"/>
      <c r="K1368" s="84" t="n"/>
      <c r="L1368" s="84" t="n"/>
      <c r="M1368" s="84" t="n"/>
      <c r="N1368" s="84" t="n"/>
      <c r="O1368" s="84" t="n"/>
      <c r="P1368" s="84" t="n"/>
      <c r="Q1368" s="84" t="n"/>
      <c r="R1368" s="84" t="n"/>
      <c r="S1368" s="84" t="n"/>
      <c r="T1368" s="84" t="n"/>
      <c r="U1368" s="84" t="n"/>
      <c r="V1368" s="84" t="n"/>
      <c r="W1368" s="84" t="n"/>
      <c r="X1368" s="84" t="n"/>
      <c r="Y1368" s="84" t="n"/>
      <c r="Z1368" s="84" t="n"/>
      <c r="AA1368" s="84" t="n"/>
      <c r="AB1368" s="84" t="n"/>
      <c r="AC1368" s="84" t="n"/>
      <c r="AD1368" s="84" t="n"/>
      <c r="AE1368" s="84" t="n"/>
      <c r="AF1368" s="84" t="n"/>
      <c r="AG1368" s="84" t="n"/>
      <c r="AH1368" s="84" t="n"/>
      <c r="AI1368" s="84" t="n"/>
      <c r="AJ1368" s="84" t="n"/>
      <c r="AK1368" s="84" t="n"/>
      <c r="AL1368" s="84" t="n"/>
      <c r="AM1368" s="84" t="n"/>
      <c r="AN1368" s="84" t="n"/>
      <c r="AO1368" s="84" t="n"/>
      <c r="AP1368" s="84" t="n"/>
      <c r="AQ1368" s="84" t="n"/>
      <c r="AR1368" s="84" t="n"/>
    </row>
    <row r="1369">
      <c r="D1369" s="80" t="n"/>
      <c r="E1369" s="80" t="n"/>
      <c r="F1369" s="80" t="n"/>
      <c r="G1369" s="80" t="n"/>
      <c r="H1369" s="80" t="n"/>
      <c r="I1369" s="80" t="n"/>
      <c r="J1369" s="80" t="n"/>
      <c r="K1369" s="80" t="n"/>
      <c r="L1369" s="80" t="n"/>
      <c r="M1369" s="80" t="n"/>
      <c r="N1369" s="80" t="n"/>
      <c r="O1369" s="80" t="n"/>
      <c r="P1369" s="80" t="n"/>
      <c r="Q1369" s="80" t="n"/>
      <c r="R1369" s="80" t="n"/>
      <c r="S1369" s="80" t="n"/>
      <c r="T1369" s="80" t="n"/>
      <c r="U1369" s="80" t="n"/>
      <c r="V1369" s="80" t="n"/>
      <c r="W1369" s="80" t="n"/>
      <c r="X1369" s="80" t="n"/>
      <c r="Y1369" s="80" t="n"/>
      <c r="Z1369" s="80" t="n"/>
      <c r="AA1369" s="80" t="n"/>
      <c r="AB1369" s="80" t="n"/>
      <c r="AC1369" s="80" t="n"/>
      <c r="AD1369" s="80" t="n"/>
      <c r="AE1369" s="80" t="n"/>
      <c r="AF1369" s="80" t="n"/>
      <c r="AG1369" s="80" t="n"/>
      <c r="AH1369" s="80" t="n"/>
      <c r="AI1369" s="80" t="n"/>
      <c r="AJ1369" s="80" t="n"/>
      <c r="AK1369" s="80" t="n"/>
      <c r="AL1369" s="80" t="n"/>
      <c r="AM1369" s="80" t="n"/>
      <c r="AN1369" s="80" t="n"/>
      <c r="AO1369" s="80" t="n"/>
      <c r="AP1369" s="80" t="n"/>
      <c r="AQ1369" s="80" t="n"/>
      <c r="AR1369" s="80" t="n"/>
    </row>
    <row r="1370">
      <c r="D1370" s="80" t="n"/>
      <c r="E1370" s="80" t="n"/>
      <c r="F1370" s="80" t="n"/>
      <c r="G1370" s="80" t="n"/>
      <c r="H1370" s="80" t="n"/>
      <c r="I1370" s="80" t="n"/>
      <c r="J1370" s="80" t="n"/>
      <c r="K1370" s="80" t="n"/>
      <c r="L1370" s="80" t="n"/>
      <c r="M1370" s="80" t="n"/>
      <c r="N1370" s="80" t="n"/>
      <c r="O1370" s="80" t="n"/>
      <c r="P1370" s="80" t="n"/>
      <c r="Q1370" s="80" t="n"/>
      <c r="R1370" s="80" t="n"/>
      <c r="S1370" s="80" t="n"/>
      <c r="T1370" s="80" t="n"/>
      <c r="U1370" s="80" t="n"/>
      <c r="V1370" s="80" t="n"/>
      <c r="W1370" s="80" t="n"/>
      <c r="X1370" s="80" t="n"/>
      <c r="Y1370" s="80" t="n"/>
      <c r="Z1370" s="80" t="n"/>
      <c r="AA1370" s="80" t="n"/>
      <c r="AB1370" s="80" t="n"/>
      <c r="AC1370" s="80" t="n"/>
      <c r="AD1370" s="80" t="n"/>
      <c r="AE1370" s="80" t="n"/>
      <c r="AF1370" s="80" t="n"/>
      <c r="AG1370" s="80" t="n"/>
      <c r="AH1370" s="80" t="n"/>
      <c r="AI1370" s="80" t="n"/>
      <c r="AJ1370" s="80" t="n"/>
      <c r="AK1370" s="80" t="n"/>
      <c r="AL1370" s="80" t="n"/>
      <c r="AM1370" s="80" t="n"/>
      <c r="AN1370" s="80" t="n"/>
      <c r="AO1370" s="80" t="n"/>
      <c r="AP1370" s="80" t="n"/>
      <c r="AQ1370" s="80" t="n"/>
      <c r="AR1370" s="80" t="n"/>
    </row>
    <row r="1371">
      <c r="D1371" s="80" t="n"/>
      <c r="E1371" s="80" t="n"/>
      <c r="F1371" s="80" t="n"/>
      <c r="G1371" s="80" t="n"/>
      <c r="H1371" s="80" t="n"/>
      <c r="I1371" s="80" t="n"/>
      <c r="J1371" s="80" t="n"/>
      <c r="K1371" s="80" t="n"/>
      <c r="L1371" s="80" t="n"/>
      <c r="M1371" s="80" t="n"/>
      <c r="N1371" s="80" t="n"/>
      <c r="O1371" s="80" t="n"/>
      <c r="P1371" s="80" t="n"/>
      <c r="Q1371" s="80" t="n"/>
      <c r="R1371" s="80" t="n"/>
      <c r="S1371" s="80" t="n"/>
      <c r="T1371" s="80" t="n"/>
      <c r="U1371" s="80" t="n"/>
      <c r="V1371" s="80" t="n"/>
      <c r="W1371" s="80" t="n"/>
      <c r="X1371" s="80" t="n"/>
      <c r="Y1371" s="80" t="n"/>
      <c r="Z1371" s="80" t="n"/>
      <c r="AA1371" s="80" t="n"/>
      <c r="AB1371" s="80" t="n"/>
      <c r="AC1371" s="80" t="n"/>
      <c r="AD1371" s="80" t="n"/>
      <c r="AE1371" s="80" t="n"/>
      <c r="AF1371" s="80" t="n"/>
      <c r="AG1371" s="80" t="n"/>
      <c r="AH1371" s="80" t="n"/>
      <c r="AI1371" s="80" t="n"/>
      <c r="AJ1371" s="80" t="n"/>
      <c r="AK1371" s="80" t="n"/>
      <c r="AL1371" s="80" t="n"/>
      <c r="AM1371" s="80" t="n"/>
      <c r="AN1371" s="80" t="n"/>
      <c r="AO1371" s="80" t="n"/>
      <c r="AP1371" s="80" t="n"/>
      <c r="AQ1371" s="80" t="n"/>
      <c r="AR1371" s="80" t="n"/>
    </row>
    <row r="1372">
      <c r="D1372" s="80" t="n"/>
      <c r="E1372" s="80" t="n"/>
      <c r="F1372" s="80" t="n"/>
      <c r="G1372" s="80" t="n"/>
      <c r="H1372" s="80" t="n"/>
      <c r="I1372" s="80" t="n"/>
      <c r="J1372" s="80" t="n"/>
      <c r="K1372" s="80" t="n"/>
      <c r="L1372" s="80" t="n"/>
      <c r="M1372" s="80" t="n"/>
      <c r="N1372" s="80" t="n"/>
      <c r="O1372" s="80" t="n"/>
      <c r="P1372" s="80" t="n"/>
      <c r="Q1372" s="80" t="n"/>
      <c r="R1372" s="80" t="n"/>
      <c r="S1372" s="80" t="n"/>
      <c r="T1372" s="80" t="n"/>
      <c r="U1372" s="80" t="n"/>
      <c r="V1372" s="80" t="n"/>
      <c r="W1372" s="80" t="n"/>
      <c r="X1372" s="80" t="n"/>
      <c r="Y1372" s="80" t="n"/>
      <c r="Z1372" s="80" t="n"/>
      <c r="AA1372" s="80" t="n"/>
      <c r="AB1372" s="80" t="n"/>
      <c r="AC1372" s="80" t="n"/>
      <c r="AD1372" s="80" t="n"/>
      <c r="AE1372" s="80" t="n"/>
      <c r="AF1372" s="80" t="n"/>
      <c r="AG1372" s="80" t="n"/>
      <c r="AH1372" s="80" t="n"/>
      <c r="AI1372" s="80" t="n"/>
      <c r="AJ1372" s="80" t="n"/>
      <c r="AK1372" s="80" t="n"/>
      <c r="AL1372" s="80" t="n"/>
      <c r="AM1372" s="80" t="n"/>
      <c r="AN1372" s="80" t="n"/>
      <c r="AO1372" s="80" t="n"/>
      <c r="AP1372" s="80" t="n"/>
      <c r="AQ1372" s="80" t="n"/>
      <c r="AR1372" s="80" t="n"/>
    </row>
    <row r="1374">
      <c r="A1374" s="6">
        <f>IF(HSI!$C$98="","",HSI!$C$98)</f>
        <v/>
      </c>
      <c r="B1374" s="41">
        <f>IF($A1374="",0,COUNT($E1375:$AR1375))</f>
        <v/>
      </c>
      <c r="C1374" s="81">
        <f>IF($B1374=0,0,MAX($E1375:$AR1375))</f>
        <v/>
      </c>
      <c r="D1374" s="82">
        <f>BDS($A1374,'Field Check'!$C$7,"headers=y","startcol=1","endcol=7","dir=h","DVD_START_DT",Summary!$C$18,"DVD_END_DT",Summary!$D$18)</f>
        <v/>
      </c>
      <c r="E1374" s="83" t="n"/>
      <c r="F1374" s="83" t="n"/>
      <c r="G1374" s="83" t="n"/>
      <c r="H1374" s="83" t="n"/>
      <c r="I1374" s="83" t="n"/>
      <c r="J1374" s="83" t="n"/>
      <c r="K1374" s="83" t="n"/>
      <c r="L1374" s="83" t="n"/>
      <c r="M1374" s="83" t="n"/>
      <c r="N1374" s="83" t="n"/>
      <c r="O1374" s="83" t="n"/>
      <c r="P1374" s="83" t="n"/>
      <c r="Q1374" s="83" t="n"/>
      <c r="R1374" s="83" t="n"/>
      <c r="S1374" s="83" t="n"/>
      <c r="T1374" s="83" t="n"/>
      <c r="U1374" s="83" t="n"/>
      <c r="V1374" s="83" t="n"/>
      <c r="W1374" s="83" t="n"/>
      <c r="X1374" s="83" t="n"/>
      <c r="Y1374" s="83" t="n"/>
      <c r="Z1374" s="83" t="n"/>
      <c r="AA1374" s="83" t="n"/>
      <c r="AB1374" s="83" t="n"/>
      <c r="AC1374" s="83" t="n"/>
      <c r="AD1374" s="83" t="n"/>
      <c r="AE1374" s="83" t="n"/>
      <c r="AF1374" s="83" t="n"/>
      <c r="AG1374" s="83" t="n"/>
      <c r="AH1374" s="83" t="n"/>
      <c r="AI1374" s="83" t="n"/>
      <c r="AJ1374" s="83" t="n"/>
      <c r="AK1374" s="83" t="n"/>
      <c r="AL1374" s="83" t="n"/>
      <c r="AM1374" s="83" t="n"/>
      <c r="AN1374" s="83" t="n"/>
      <c r="AO1374" s="83" t="n"/>
      <c r="AP1374" s="83" t="n"/>
      <c r="AQ1374" s="83" t="n"/>
      <c r="AR1374" s="83" t="n"/>
    </row>
    <row r="1375">
      <c r="D1375" s="83" t="n"/>
      <c r="E1375" s="83" t="n"/>
      <c r="F1375" s="83" t="n"/>
      <c r="G1375" s="83" t="n"/>
      <c r="H1375" s="83" t="n"/>
      <c r="I1375" s="83" t="n"/>
      <c r="J1375" s="83" t="n"/>
      <c r="K1375" s="83" t="n"/>
      <c r="L1375" s="83" t="n"/>
      <c r="M1375" s="83" t="n"/>
      <c r="N1375" s="83" t="n"/>
      <c r="O1375" s="83" t="n"/>
      <c r="P1375" s="83" t="n"/>
      <c r="Q1375" s="83" t="n"/>
      <c r="R1375" s="83" t="n"/>
      <c r="S1375" s="83" t="n"/>
      <c r="T1375" s="83" t="n"/>
      <c r="U1375" s="83" t="n"/>
      <c r="V1375" s="83" t="n"/>
      <c r="W1375" s="83" t="n"/>
      <c r="X1375" s="83" t="n"/>
      <c r="Y1375" s="83" t="n"/>
      <c r="Z1375" s="83" t="n"/>
      <c r="AA1375" s="83" t="n"/>
      <c r="AB1375" s="83" t="n"/>
      <c r="AC1375" s="83" t="n"/>
      <c r="AD1375" s="83" t="n"/>
      <c r="AE1375" s="83" t="n"/>
      <c r="AF1375" s="83" t="n"/>
      <c r="AG1375" s="83" t="n"/>
      <c r="AH1375" s="83" t="n"/>
      <c r="AI1375" s="83" t="n"/>
      <c r="AJ1375" s="83" t="n"/>
      <c r="AK1375" s="83" t="n"/>
      <c r="AL1375" s="83" t="n"/>
      <c r="AM1375" s="83" t="n"/>
      <c r="AN1375" s="83" t="n"/>
      <c r="AO1375" s="83" t="n"/>
      <c r="AP1375" s="83" t="n"/>
      <c r="AQ1375" s="83" t="n"/>
      <c r="AR1375" s="83" t="n"/>
    </row>
    <row r="1376">
      <c r="D1376" s="84" t="n"/>
      <c r="E1376" s="84" t="n"/>
      <c r="F1376" s="84" t="n"/>
      <c r="G1376" s="84" t="n"/>
      <c r="H1376" s="84" t="n"/>
      <c r="I1376" s="84" t="n"/>
      <c r="J1376" s="84" t="n"/>
      <c r="K1376" s="84" t="n"/>
      <c r="L1376" s="84" t="n"/>
      <c r="M1376" s="84" t="n"/>
      <c r="N1376" s="84" t="n"/>
      <c r="O1376" s="84" t="n"/>
      <c r="P1376" s="84" t="n"/>
      <c r="Q1376" s="84" t="n"/>
      <c r="R1376" s="84" t="n"/>
      <c r="S1376" s="84" t="n"/>
      <c r="T1376" s="84" t="n"/>
      <c r="U1376" s="84" t="n"/>
      <c r="V1376" s="84" t="n"/>
      <c r="W1376" s="84" t="n"/>
      <c r="X1376" s="84" t="n"/>
      <c r="Y1376" s="84" t="n"/>
      <c r="Z1376" s="84" t="n"/>
      <c r="AA1376" s="84" t="n"/>
      <c r="AB1376" s="84" t="n"/>
      <c r="AC1376" s="84" t="n"/>
      <c r="AD1376" s="84" t="n"/>
      <c r="AE1376" s="84" t="n"/>
      <c r="AF1376" s="84" t="n"/>
      <c r="AG1376" s="84" t="n"/>
      <c r="AH1376" s="84" t="n"/>
      <c r="AI1376" s="84" t="n"/>
      <c r="AJ1376" s="84" t="n"/>
      <c r="AK1376" s="84" t="n"/>
      <c r="AL1376" s="84" t="n"/>
      <c r="AM1376" s="84" t="n"/>
      <c r="AN1376" s="84" t="n"/>
      <c r="AO1376" s="84" t="n"/>
      <c r="AP1376" s="84" t="n"/>
      <c r="AQ1376" s="84" t="n"/>
      <c r="AR1376" s="84" t="n"/>
    </row>
    <row r="1377">
      <c r="D1377" s="80" t="n"/>
      <c r="E1377" s="80" t="n"/>
      <c r="F1377" s="80" t="n"/>
      <c r="G1377" s="80" t="n"/>
      <c r="H1377" s="80" t="n"/>
      <c r="I1377" s="80" t="n"/>
      <c r="J1377" s="80" t="n"/>
      <c r="K1377" s="80" t="n"/>
      <c r="L1377" s="80" t="n"/>
      <c r="M1377" s="80" t="n"/>
      <c r="N1377" s="80" t="n"/>
      <c r="O1377" s="80" t="n"/>
      <c r="P1377" s="80" t="n"/>
      <c r="Q1377" s="80" t="n"/>
      <c r="R1377" s="80" t="n"/>
      <c r="S1377" s="80" t="n"/>
      <c r="T1377" s="80" t="n"/>
      <c r="U1377" s="80" t="n"/>
      <c r="V1377" s="80" t="n"/>
      <c r="W1377" s="80" t="n"/>
      <c r="X1377" s="80" t="n"/>
      <c r="Y1377" s="80" t="n"/>
      <c r="Z1377" s="80" t="n"/>
      <c r="AA1377" s="80" t="n"/>
      <c r="AB1377" s="80" t="n"/>
      <c r="AC1377" s="80" t="n"/>
      <c r="AD1377" s="80" t="n"/>
      <c r="AE1377" s="80" t="n"/>
      <c r="AF1377" s="80" t="n"/>
      <c r="AG1377" s="80" t="n"/>
      <c r="AH1377" s="80" t="n"/>
      <c r="AI1377" s="80" t="n"/>
      <c r="AJ1377" s="80" t="n"/>
      <c r="AK1377" s="80" t="n"/>
      <c r="AL1377" s="80" t="n"/>
      <c r="AM1377" s="80" t="n"/>
      <c r="AN1377" s="80" t="n"/>
      <c r="AO1377" s="80" t="n"/>
      <c r="AP1377" s="80" t="n"/>
      <c r="AQ1377" s="80" t="n"/>
      <c r="AR1377" s="80" t="n"/>
    </row>
    <row r="1378">
      <c r="D1378" s="80" t="n"/>
      <c r="E1378" s="80" t="n"/>
      <c r="F1378" s="80" t="n"/>
      <c r="G1378" s="80" t="n"/>
      <c r="H1378" s="80" t="n"/>
      <c r="I1378" s="80" t="n"/>
      <c r="J1378" s="80" t="n"/>
      <c r="K1378" s="80" t="n"/>
      <c r="L1378" s="80" t="n"/>
      <c r="M1378" s="80" t="n"/>
      <c r="N1378" s="80" t="n"/>
      <c r="O1378" s="80" t="n"/>
      <c r="P1378" s="80" t="n"/>
      <c r="Q1378" s="80" t="n"/>
      <c r="R1378" s="80" t="n"/>
      <c r="S1378" s="80" t="n"/>
      <c r="T1378" s="80" t="n"/>
      <c r="U1378" s="80" t="n"/>
      <c r="V1378" s="80" t="n"/>
      <c r="W1378" s="80" t="n"/>
      <c r="X1378" s="80" t="n"/>
      <c r="Y1378" s="80" t="n"/>
      <c r="Z1378" s="80" t="n"/>
      <c r="AA1378" s="80" t="n"/>
      <c r="AB1378" s="80" t="n"/>
      <c r="AC1378" s="80" t="n"/>
      <c r="AD1378" s="80" t="n"/>
      <c r="AE1378" s="80" t="n"/>
      <c r="AF1378" s="80" t="n"/>
      <c r="AG1378" s="80" t="n"/>
      <c r="AH1378" s="80" t="n"/>
      <c r="AI1378" s="80" t="n"/>
      <c r="AJ1378" s="80" t="n"/>
      <c r="AK1378" s="80" t="n"/>
      <c r="AL1378" s="80" t="n"/>
      <c r="AM1378" s="80" t="n"/>
      <c r="AN1378" s="80" t="n"/>
      <c r="AO1378" s="80" t="n"/>
      <c r="AP1378" s="80" t="n"/>
      <c r="AQ1378" s="80" t="n"/>
      <c r="AR1378" s="80" t="n"/>
    </row>
    <row r="1379">
      <c r="D1379" s="80" t="n"/>
      <c r="E1379" s="80" t="n"/>
      <c r="F1379" s="80" t="n"/>
      <c r="G1379" s="80" t="n"/>
      <c r="H1379" s="80" t="n"/>
      <c r="I1379" s="80" t="n"/>
      <c r="J1379" s="80" t="n"/>
      <c r="K1379" s="80" t="n"/>
      <c r="L1379" s="80" t="n"/>
      <c r="M1379" s="80" t="n"/>
      <c r="N1379" s="80" t="n"/>
      <c r="O1379" s="80" t="n"/>
      <c r="P1379" s="80" t="n"/>
      <c r="Q1379" s="80" t="n"/>
      <c r="R1379" s="80" t="n"/>
      <c r="S1379" s="80" t="n"/>
      <c r="T1379" s="80" t="n"/>
      <c r="U1379" s="80" t="n"/>
      <c r="V1379" s="80" t="n"/>
      <c r="W1379" s="80" t="n"/>
      <c r="X1379" s="80" t="n"/>
      <c r="Y1379" s="80" t="n"/>
      <c r="Z1379" s="80" t="n"/>
      <c r="AA1379" s="80" t="n"/>
      <c r="AB1379" s="80" t="n"/>
      <c r="AC1379" s="80" t="n"/>
      <c r="AD1379" s="80" t="n"/>
      <c r="AE1379" s="80" t="n"/>
      <c r="AF1379" s="80" t="n"/>
      <c r="AG1379" s="80" t="n"/>
      <c r="AH1379" s="80" t="n"/>
      <c r="AI1379" s="80" t="n"/>
      <c r="AJ1379" s="80" t="n"/>
      <c r="AK1379" s="80" t="n"/>
      <c r="AL1379" s="80" t="n"/>
      <c r="AM1379" s="80" t="n"/>
      <c r="AN1379" s="80" t="n"/>
      <c r="AO1379" s="80" t="n"/>
      <c r="AP1379" s="80" t="n"/>
      <c r="AQ1379" s="80" t="n"/>
      <c r="AR1379" s="80" t="n"/>
    </row>
    <row r="1380">
      <c r="D1380" s="80" t="n"/>
      <c r="E1380" s="80" t="n"/>
      <c r="F1380" s="80" t="n"/>
      <c r="G1380" s="80" t="n"/>
      <c r="H1380" s="80" t="n"/>
      <c r="I1380" s="80" t="n"/>
      <c r="J1380" s="80" t="n"/>
      <c r="K1380" s="80" t="n"/>
      <c r="L1380" s="80" t="n"/>
      <c r="M1380" s="80" t="n"/>
      <c r="N1380" s="80" t="n"/>
      <c r="O1380" s="80" t="n"/>
      <c r="P1380" s="80" t="n"/>
      <c r="Q1380" s="80" t="n"/>
      <c r="R1380" s="80" t="n"/>
      <c r="S1380" s="80" t="n"/>
      <c r="T1380" s="80" t="n"/>
      <c r="U1380" s="80" t="n"/>
      <c r="V1380" s="80" t="n"/>
      <c r="W1380" s="80" t="n"/>
      <c r="X1380" s="80" t="n"/>
      <c r="Y1380" s="80" t="n"/>
      <c r="Z1380" s="80" t="n"/>
      <c r="AA1380" s="80" t="n"/>
      <c r="AB1380" s="80" t="n"/>
      <c r="AC1380" s="80" t="n"/>
      <c r="AD1380" s="80" t="n"/>
      <c r="AE1380" s="80" t="n"/>
      <c r="AF1380" s="80" t="n"/>
      <c r="AG1380" s="80" t="n"/>
      <c r="AH1380" s="80" t="n"/>
      <c r="AI1380" s="80" t="n"/>
      <c r="AJ1380" s="80" t="n"/>
      <c r="AK1380" s="80" t="n"/>
      <c r="AL1380" s="80" t="n"/>
      <c r="AM1380" s="80" t="n"/>
      <c r="AN1380" s="80" t="n"/>
      <c r="AO1380" s="80" t="n"/>
      <c r="AP1380" s="80" t="n"/>
      <c r="AQ1380" s="80" t="n"/>
      <c r="AR1380" s="80" t="n"/>
    </row>
    <row r="1381">
      <c r="A1381" s="2">
        <f>IF($A1374="","","   projections")</f>
        <v/>
      </c>
      <c r="B1381" s="41">
        <f>IF($A1374="",0,COUNT($E1382:$AR1382))</f>
        <v/>
      </c>
      <c r="C1381" s="81">
        <f>IF($B1381=0,0,MAX($E1382:$AR1382))</f>
        <v/>
      </c>
      <c r="D1381" s="82">
        <f>BDS($A1374,'Field Check'!$C$6,"headers=y","startcol=1","endcol=7","dir=h")</f>
        <v/>
      </c>
      <c r="E1381" s="83" t="n"/>
      <c r="F1381" s="83" t="n"/>
      <c r="G1381" s="83" t="n"/>
      <c r="H1381" s="83" t="n"/>
      <c r="I1381" s="83" t="n"/>
      <c r="J1381" s="83" t="n"/>
      <c r="K1381" s="83" t="n"/>
      <c r="L1381" s="83" t="n"/>
      <c r="M1381" s="83" t="n"/>
      <c r="N1381" s="83" t="n"/>
      <c r="O1381" s="83" t="n"/>
      <c r="P1381" s="83" t="n"/>
      <c r="Q1381" s="83" t="n"/>
      <c r="R1381" s="83" t="n"/>
      <c r="S1381" s="83" t="n"/>
      <c r="T1381" s="83" t="n"/>
      <c r="U1381" s="83" t="n"/>
      <c r="V1381" s="83" t="n"/>
      <c r="W1381" s="83" t="n"/>
      <c r="X1381" s="83" t="n"/>
      <c r="Y1381" s="83" t="n"/>
      <c r="Z1381" s="83" t="n"/>
      <c r="AA1381" s="83" t="n"/>
      <c r="AB1381" s="83" t="n"/>
      <c r="AC1381" s="83" t="n"/>
      <c r="AD1381" s="83" t="n"/>
      <c r="AE1381" s="83" t="n"/>
      <c r="AF1381" s="83" t="n"/>
      <c r="AG1381" s="83" t="n"/>
      <c r="AH1381" s="83" t="n"/>
      <c r="AI1381" s="83" t="n"/>
      <c r="AJ1381" s="83" t="n"/>
      <c r="AK1381" s="83" t="n"/>
      <c r="AL1381" s="83" t="n"/>
      <c r="AM1381" s="83" t="n"/>
      <c r="AN1381" s="83" t="n"/>
      <c r="AO1381" s="83" t="n"/>
      <c r="AP1381" s="83" t="n"/>
      <c r="AQ1381" s="83" t="n"/>
      <c r="AR1381" s="83" t="n"/>
    </row>
    <row r="1382">
      <c r="D1382" s="83" t="n"/>
      <c r="E1382" s="83" t="n"/>
      <c r="F1382" s="83" t="n"/>
      <c r="G1382" s="83" t="n"/>
      <c r="H1382" s="83" t="n"/>
      <c r="I1382" s="83" t="n"/>
      <c r="J1382" s="83" t="n"/>
      <c r="K1382" s="83" t="n"/>
      <c r="L1382" s="83" t="n"/>
      <c r="M1382" s="83" t="n"/>
      <c r="N1382" s="83" t="n"/>
      <c r="O1382" s="83" t="n"/>
      <c r="P1382" s="83" t="n"/>
      <c r="Q1382" s="83" t="n"/>
      <c r="R1382" s="83" t="n"/>
      <c r="S1382" s="83" t="n"/>
      <c r="T1382" s="83" t="n"/>
      <c r="U1382" s="83" t="n"/>
      <c r="V1382" s="83" t="n"/>
      <c r="W1382" s="83" t="n"/>
      <c r="X1382" s="83" t="n"/>
      <c r="Y1382" s="83" t="n"/>
      <c r="Z1382" s="83" t="n"/>
      <c r="AA1382" s="83" t="n"/>
      <c r="AB1382" s="83" t="n"/>
      <c r="AC1382" s="83" t="n"/>
      <c r="AD1382" s="83" t="n"/>
      <c r="AE1382" s="83" t="n"/>
      <c r="AF1382" s="83" t="n"/>
      <c r="AG1382" s="83" t="n"/>
      <c r="AH1382" s="83" t="n"/>
      <c r="AI1382" s="83" t="n"/>
      <c r="AJ1382" s="83" t="n"/>
      <c r="AK1382" s="83" t="n"/>
      <c r="AL1382" s="83" t="n"/>
      <c r="AM1382" s="83" t="n"/>
      <c r="AN1382" s="83" t="n"/>
      <c r="AO1382" s="83" t="n"/>
      <c r="AP1382" s="83" t="n"/>
      <c r="AQ1382" s="83" t="n"/>
      <c r="AR1382" s="83" t="n"/>
    </row>
    <row r="1383">
      <c r="D1383" s="84" t="n"/>
      <c r="E1383" s="84" t="n"/>
      <c r="F1383" s="84" t="n"/>
      <c r="G1383" s="84" t="n"/>
      <c r="H1383" s="84" t="n"/>
      <c r="I1383" s="84" t="n"/>
      <c r="J1383" s="84" t="n"/>
      <c r="K1383" s="84" t="n"/>
      <c r="L1383" s="84" t="n"/>
      <c r="M1383" s="84" t="n"/>
      <c r="N1383" s="84" t="n"/>
      <c r="O1383" s="84" t="n"/>
      <c r="P1383" s="84" t="n"/>
      <c r="Q1383" s="84" t="n"/>
      <c r="R1383" s="84" t="n"/>
      <c r="S1383" s="84" t="n"/>
      <c r="T1383" s="84" t="n"/>
      <c r="U1383" s="84" t="n"/>
      <c r="V1383" s="84" t="n"/>
      <c r="W1383" s="84" t="n"/>
      <c r="X1383" s="84" t="n"/>
      <c r="Y1383" s="84" t="n"/>
      <c r="Z1383" s="84" t="n"/>
      <c r="AA1383" s="84" t="n"/>
      <c r="AB1383" s="84" t="n"/>
      <c r="AC1383" s="84" t="n"/>
      <c r="AD1383" s="84" t="n"/>
      <c r="AE1383" s="84" t="n"/>
      <c r="AF1383" s="84" t="n"/>
      <c r="AG1383" s="84" t="n"/>
      <c r="AH1383" s="84" t="n"/>
      <c r="AI1383" s="84" t="n"/>
      <c r="AJ1383" s="84" t="n"/>
      <c r="AK1383" s="84" t="n"/>
      <c r="AL1383" s="84" t="n"/>
      <c r="AM1383" s="84" t="n"/>
      <c r="AN1383" s="84" t="n"/>
      <c r="AO1383" s="84" t="n"/>
      <c r="AP1383" s="84" t="n"/>
      <c r="AQ1383" s="84" t="n"/>
      <c r="AR1383" s="84" t="n"/>
    </row>
    <row r="1384">
      <c r="D1384" s="80" t="n"/>
      <c r="E1384" s="80" t="n"/>
      <c r="F1384" s="80" t="n"/>
      <c r="G1384" s="80" t="n"/>
      <c r="H1384" s="80" t="n"/>
      <c r="I1384" s="80" t="n"/>
      <c r="J1384" s="80" t="n"/>
      <c r="K1384" s="80" t="n"/>
      <c r="L1384" s="80" t="n"/>
      <c r="M1384" s="80" t="n"/>
      <c r="N1384" s="80" t="n"/>
      <c r="O1384" s="80" t="n"/>
      <c r="P1384" s="80" t="n"/>
      <c r="Q1384" s="80" t="n"/>
      <c r="R1384" s="80" t="n"/>
      <c r="S1384" s="80" t="n"/>
      <c r="T1384" s="80" t="n"/>
      <c r="U1384" s="80" t="n"/>
      <c r="V1384" s="80" t="n"/>
      <c r="W1384" s="80" t="n"/>
      <c r="X1384" s="80" t="n"/>
      <c r="Y1384" s="80" t="n"/>
      <c r="Z1384" s="80" t="n"/>
      <c r="AA1384" s="80" t="n"/>
      <c r="AB1384" s="80" t="n"/>
      <c r="AC1384" s="80" t="n"/>
      <c r="AD1384" s="80" t="n"/>
      <c r="AE1384" s="80" t="n"/>
      <c r="AF1384" s="80" t="n"/>
      <c r="AG1384" s="80" t="n"/>
      <c r="AH1384" s="80" t="n"/>
      <c r="AI1384" s="80" t="n"/>
      <c r="AJ1384" s="80" t="n"/>
      <c r="AK1384" s="80" t="n"/>
      <c r="AL1384" s="80" t="n"/>
      <c r="AM1384" s="80" t="n"/>
      <c r="AN1384" s="80" t="n"/>
      <c r="AO1384" s="80" t="n"/>
      <c r="AP1384" s="80" t="n"/>
      <c r="AQ1384" s="80" t="n"/>
      <c r="AR1384" s="80" t="n"/>
    </row>
    <row r="1385">
      <c r="D1385" s="80" t="n"/>
      <c r="E1385" s="80" t="n"/>
      <c r="F1385" s="80" t="n"/>
      <c r="G1385" s="80" t="n"/>
      <c r="H1385" s="80" t="n"/>
      <c r="I1385" s="80" t="n"/>
      <c r="J1385" s="80" t="n"/>
      <c r="K1385" s="80" t="n"/>
      <c r="L1385" s="80" t="n"/>
      <c r="M1385" s="80" t="n"/>
      <c r="N1385" s="80" t="n"/>
      <c r="O1385" s="80" t="n"/>
      <c r="P1385" s="80" t="n"/>
      <c r="Q1385" s="80" t="n"/>
      <c r="R1385" s="80" t="n"/>
      <c r="S1385" s="80" t="n"/>
      <c r="T1385" s="80" t="n"/>
      <c r="U1385" s="80" t="n"/>
      <c r="V1385" s="80" t="n"/>
      <c r="W1385" s="80" t="n"/>
      <c r="X1385" s="80" t="n"/>
      <c r="Y1385" s="80" t="n"/>
      <c r="Z1385" s="80" t="n"/>
      <c r="AA1385" s="80" t="n"/>
      <c r="AB1385" s="80" t="n"/>
      <c r="AC1385" s="80" t="n"/>
      <c r="AD1385" s="80" t="n"/>
      <c r="AE1385" s="80" t="n"/>
      <c r="AF1385" s="80" t="n"/>
      <c r="AG1385" s="80" t="n"/>
      <c r="AH1385" s="80" t="n"/>
      <c r="AI1385" s="80" t="n"/>
      <c r="AJ1385" s="80" t="n"/>
      <c r="AK1385" s="80" t="n"/>
      <c r="AL1385" s="80" t="n"/>
      <c r="AM1385" s="80" t="n"/>
      <c r="AN1385" s="80" t="n"/>
      <c r="AO1385" s="80" t="n"/>
      <c r="AP1385" s="80" t="n"/>
      <c r="AQ1385" s="80" t="n"/>
      <c r="AR1385" s="80" t="n"/>
    </row>
    <row r="1386">
      <c r="D1386" s="80" t="n"/>
      <c r="E1386" s="80" t="n"/>
      <c r="F1386" s="80" t="n"/>
      <c r="G1386" s="80" t="n"/>
      <c r="H1386" s="80" t="n"/>
      <c r="I1386" s="80" t="n"/>
      <c r="J1386" s="80" t="n"/>
      <c r="K1386" s="80" t="n"/>
      <c r="L1386" s="80" t="n"/>
      <c r="M1386" s="80" t="n"/>
      <c r="N1386" s="80" t="n"/>
      <c r="O1386" s="80" t="n"/>
      <c r="P1386" s="80" t="n"/>
      <c r="Q1386" s="80" t="n"/>
      <c r="R1386" s="80" t="n"/>
      <c r="S1386" s="80" t="n"/>
      <c r="T1386" s="80" t="n"/>
      <c r="U1386" s="80" t="n"/>
      <c r="V1386" s="80" t="n"/>
      <c r="W1386" s="80" t="n"/>
      <c r="X1386" s="80" t="n"/>
      <c r="Y1386" s="80" t="n"/>
      <c r="Z1386" s="80" t="n"/>
      <c r="AA1386" s="80" t="n"/>
      <c r="AB1386" s="80" t="n"/>
      <c r="AC1386" s="80" t="n"/>
      <c r="AD1386" s="80" t="n"/>
      <c r="AE1386" s="80" t="n"/>
      <c r="AF1386" s="80" t="n"/>
      <c r="AG1386" s="80" t="n"/>
      <c r="AH1386" s="80" t="n"/>
      <c r="AI1386" s="80" t="n"/>
      <c r="AJ1386" s="80" t="n"/>
      <c r="AK1386" s="80" t="n"/>
      <c r="AL1386" s="80" t="n"/>
      <c r="AM1386" s="80" t="n"/>
      <c r="AN1386" s="80" t="n"/>
      <c r="AO1386" s="80" t="n"/>
      <c r="AP1386" s="80" t="n"/>
      <c r="AQ1386" s="80" t="n"/>
      <c r="AR1386" s="80" t="n"/>
    </row>
    <row r="1387">
      <c r="D1387" s="80" t="n"/>
      <c r="E1387" s="80" t="n"/>
      <c r="F1387" s="80" t="n"/>
      <c r="G1387" s="80" t="n"/>
      <c r="H1387" s="80" t="n"/>
      <c r="I1387" s="80" t="n"/>
      <c r="J1387" s="80" t="n"/>
      <c r="K1387" s="80" t="n"/>
      <c r="L1387" s="80" t="n"/>
      <c r="M1387" s="80" t="n"/>
      <c r="N1387" s="80" t="n"/>
      <c r="O1387" s="80" t="n"/>
      <c r="P1387" s="80" t="n"/>
      <c r="Q1387" s="80" t="n"/>
      <c r="R1387" s="80" t="n"/>
      <c r="S1387" s="80" t="n"/>
      <c r="T1387" s="80" t="n"/>
      <c r="U1387" s="80" t="n"/>
      <c r="V1387" s="80" t="n"/>
      <c r="W1387" s="80" t="n"/>
      <c r="X1387" s="80" t="n"/>
      <c r="Y1387" s="80" t="n"/>
      <c r="Z1387" s="80" t="n"/>
      <c r="AA1387" s="80" t="n"/>
      <c r="AB1387" s="80" t="n"/>
      <c r="AC1387" s="80" t="n"/>
      <c r="AD1387" s="80" t="n"/>
      <c r="AE1387" s="80" t="n"/>
      <c r="AF1387" s="80" t="n"/>
      <c r="AG1387" s="80" t="n"/>
      <c r="AH1387" s="80" t="n"/>
      <c r="AI1387" s="80" t="n"/>
      <c r="AJ1387" s="80" t="n"/>
      <c r="AK1387" s="80" t="n"/>
      <c r="AL1387" s="80" t="n"/>
      <c r="AM1387" s="80" t="n"/>
      <c r="AN1387" s="80" t="n"/>
      <c r="AO1387" s="80" t="n"/>
      <c r="AP1387" s="80" t="n"/>
      <c r="AQ1387" s="80" t="n"/>
      <c r="AR1387" s="80" t="n"/>
    </row>
    <row r="1389">
      <c r="A1389" s="6">
        <f>IF(HSI!$C$99="","",HSI!$C$99)</f>
        <v/>
      </c>
      <c r="B1389" s="41">
        <f>IF($A1389="",0,COUNT($E1390:$AR1390))</f>
        <v/>
      </c>
      <c r="C1389" s="81">
        <f>IF($B1389=0,0,MAX($E1390:$AR1390))</f>
        <v/>
      </c>
      <c r="D1389" s="82">
        <f>BDS($A1389,'Field Check'!$C$7,"headers=y","startcol=1","endcol=7","dir=h","DVD_START_DT",Summary!$C$18,"DVD_END_DT",Summary!$D$18)</f>
        <v/>
      </c>
      <c r="E1389" s="83" t="n"/>
      <c r="F1389" s="83" t="n"/>
      <c r="G1389" s="83" t="n"/>
      <c r="H1389" s="83" t="n"/>
      <c r="I1389" s="83" t="n"/>
      <c r="J1389" s="83" t="n"/>
      <c r="K1389" s="83" t="n"/>
      <c r="L1389" s="83" t="n"/>
      <c r="M1389" s="83" t="n"/>
      <c r="N1389" s="83" t="n"/>
      <c r="O1389" s="83" t="n"/>
      <c r="P1389" s="83" t="n"/>
      <c r="Q1389" s="83" t="n"/>
      <c r="R1389" s="83" t="n"/>
      <c r="S1389" s="83" t="n"/>
      <c r="T1389" s="83" t="n"/>
      <c r="U1389" s="83" t="n"/>
      <c r="V1389" s="83" t="n"/>
      <c r="W1389" s="83" t="n"/>
      <c r="X1389" s="83" t="n"/>
      <c r="Y1389" s="83" t="n"/>
      <c r="Z1389" s="83" t="n"/>
      <c r="AA1389" s="83" t="n"/>
      <c r="AB1389" s="83" t="n"/>
      <c r="AC1389" s="83" t="n"/>
      <c r="AD1389" s="83" t="n"/>
      <c r="AE1389" s="83" t="n"/>
      <c r="AF1389" s="83" t="n"/>
      <c r="AG1389" s="83" t="n"/>
      <c r="AH1389" s="83" t="n"/>
      <c r="AI1389" s="83" t="n"/>
      <c r="AJ1389" s="83" t="n"/>
      <c r="AK1389" s="83" t="n"/>
      <c r="AL1389" s="83" t="n"/>
      <c r="AM1389" s="83" t="n"/>
      <c r="AN1389" s="83" t="n"/>
      <c r="AO1389" s="83" t="n"/>
      <c r="AP1389" s="83" t="n"/>
      <c r="AQ1389" s="83" t="n"/>
      <c r="AR1389" s="83" t="n"/>
    </row>
    <row r="1390">
      <c r="D1390" s="83" t="n"/>
      <c r="E1390" s="83" t="n"/>
      <c r="F1390" s="83" t="n"/>
      <c r="G1390" s="83" t="n"/>
      <c r="H1390" s="83" t="n"/>
      <c r="I1390" s="83" t="n"/>
      <c r="J1390" s="83" t="n"/>
      <c r="K1390" s="83" t="n"/>
      <c r="L1390" s="83" t="n"/>
      <c r="M1390" s="83" t="n"/>
      <c r="N1390" s="83" t="n"/>
      <c r="O1390" s="83" t="n"/>
      <c r="P1390" s="83" t="n"/>
      <c r="Q1390" s="83" t="n"/>
      <c r="R1390" s="83" t="n"/>
      <c r="S1390" s="83" t="n"/>
      <c r="T1390" s="83" t="n"/>
      <c r="U1390" s="83" t="n"/>
      <c r="V1390" s="83" t="n"/>
      <c r="W1390" s="83" t="n"/>
      <c r="X1390" s="83" t="n"/>
      <c r="Y1390" s="83" t="n"/>
      <c r="Z1390" s="83" t="n"/>
      <c r="AA1390" s="83" t="n"/>
      <c r="AB1390" s="83" t="n"/>
      <c r="AC1390" s="83" t="n"/>
      <c r="AD1390" s="83" t="n"/>
      <c r="AE1390" s="83" t="n"/>
      <c r="AF1390" s="83" t="n"/>
      <c r="AG1390" s="83" t="n"/>
      <c r="AH1390" s="83" t="n"/>
      <c r="AI1390" s="83" t="n"/>
      <c r="AJ1390" s="83" t="n"/>
      <c r="AK1390" s="83" t="n"/>
      <c r="AL1390" s="83" t="n"/>
      <c r="AM1390" s="83" t="n"/>
      <c r="AN1390" s="83" t="n"/>
      <c r="AO1390" s="83" t="n"/>
      <c r="AP1390" s="83" t="n"/>
      <c r="AQ1390" s="83" t="n"/>
      <c r="AR1390" s="83" t="n"/>
    </row>
    <row r="1391">
      <c r="D1391" s="84" t="n"/>
      <c r="E1391" s="84" t="n"/>
      <c r="F1391" s="84" t="n"/>
      <c r="G1391" s="84" t="n"/>
      <c r="H1391" s="84" t="n"/>
      <c r="I1391" s="84" t="n"/>
      <c r="J1391" s="84" t="n"/>
      <c r="K1391" s="84" t="n"/>
      <c r="L1391" s="84" t="n"/>
      <c r="M1391" s="84" t="n"/>
      <c r="N1391" s="84" t="n"/>
      <c r="O1391" s="84" t="n"/>
      <c r="P1391" s="84" t="n"/>
      <c r="Q1391" s="84" t="n"/>
      <c r="R1391" s="84" t="n"/>
      <c r="S1391" s="84" t="n"/>
      <c r="T1391" s="84" t="n"/>
      <c r="U1391" s="84" t="n"/>
      <c r="V1391" s="84" t="n"/>
      <c r="W1391" s="84" t="n"/>
      <c r="X1391" s="84" t="n"/>
      <c r="Y1391" s="84" t="n"/>
      <c r="Z1391" s="84" t="n"/>
      <c r="AA1391" s="84" t="n"/>
      <c r="AB1391" s="84" t="n"/>
      <c r="AC1391" s="84" t="n"/>
      <c r="AD1391" s="84" t="n"/>
      <c r="AE1391" s="84" t="n"/>
      <c r="AF1391" s="84" t="n"/>
      <c r="AG1391" s="84" t="n"/>
      <c r="AH1391" s="84" t="n"/>
      <c r="AI1391" s="84" t="n"/>
      <c r="AJ1391" s="84" t="n"/>
      <c r="AK1391" s="84" t="n"/>
      <c r="AL1391" s="84" t="n"/>
      <c r="AM1391" s="84" t="n"/>
      <c r="AN1391" s="84" t="n"/>
      <c r="AO1391" s="84" t="n"/>
      <c r="AP1391" s="84" t="n"/>
      <c r="AQ1391" s="84" t="n"/>
      <c r="AR1391" s="84" t="n"/>
    </row>
    <row r="1392">
      <c r="D1392" s="80" t="n"/>
      <c r="E1392" s="80" t="n"/>
      <c r="F1392" s="80" t="n"/>
      <c r="G1392" s="80" t="n"/>
      <c r="H1392" s="80" t="n"/>
      <c r="I1392" s="80" t="n"/>
      <c r="J1392" s="80" t="n"/>
      <c r="K1392" s="80" t="n"/>
      <c r="L1392" s="80" t="n"/>
      <c r="M1392" s="80" t="n"/>
      <c r="N1392" s="80" t="n"/>
      <c r="O1392" s="80" t="n"/>
      <c r="P1392" s="80" t="n"/>
      <c r="Q1392" s="80" t="n"/>
      <c r="R1392" s="80" t="n"/>
      <c r="S1392" s="80" t="n"/>
      <c r="T1392" s="80" t="n"/>
      <c r="U1392" s="80" t="n"/>
      <c r="V1392" s="80" t="n"/>
      <c r="W1392" s="80" t="n"/>
      <c r="X1392" s="80" t="n"/>
      <c r="Y1392" s="80" t="n"/>
      <c r="Z1392" s="80" t="n"/>
      <c r="AA1392" s="80" t="n"/>
      <c r="AB1392" s="80" t="n"/>
      <c r="AC1392" s="80" t="n"/>
      <c r="AD1392" s="80" t="n"/>
      <c r="AE1392" s="80" t="n"/>
      <c r="AF1392" s="80" t="n"/>
      <c r="AG1392" s="80" t="n"/>
      <c r="AH1392" s="80" t="n"/>
      <c r="AI1392" s="80" t="n"/>
      <c r="AJ1392" s="80" t="n"/>
      <c r="AK1392" s="80" t="n"/>
      <c r="AL1392" s="80" t="n"/>
      <c r="AM1392" s="80" t="n"/>
      <c r="AN1392" s="80" t="n"/>
      <c r="AO1392" s="80" t="n"/>
      <c r="AP1392" s="80" t="n"/>
      <c r="AQ1392" s="80" t="n"/>
      <c r="AR1392" s="80" t="n"/>
    </row>
    <row r="1393">
      <c r="D1393" s="80" t="n"/>
      <c r="E1393" s="80" t="n"/>
      <c r="F1393" s="80" t="n"/>
      <c r="G1393" s="80" t="n"/>
      <c r="H1393" s="80" t="n"/>
      <c r="I1393" s="80" t="n"/>
      <c r="J1393" s="80" t="n"/>
      <c r="K1393" s="80" t="n"/>
      <c r="L1393" s="80" t="n"/>
      <c r="M1393" s="80" t="n"/>
      <c r="N1393" s="80" t="n"/>
      <c r="O1393" s="80" t="n"/>
      <c r="P1393" s="80" t="n"/>
      <c r="Q1393" s="80" t="n"/>
      <c r="R1393" s="80" t="n"/>
      <c r="S1393" s="80" t="n"/>
      <c r="T1393" s="80" t="n"/>
      <c r="U1393" s="80" t="n"/>
      <c r="V1393" s="80" t="n"/>
      <c r="W1393" s="80" t="n"/>
      <c r="X1393" s="80" t="n"/>
      <c r="Y1393" s="80" t="n"/>
      <c r="Z1393" s="80" t="n"/>
      <c r="AA1393" s="80" t="n"/>
      <c r="AB1393" s="80" t="n"/>
      <c r="AC1393" s="80" t="n"/>
      <c r="AD1393" s="80" t="n"/>
      <c r="AE1393" s="80" t="n"/>
      <c r="AF1393" s="80" t="n"/>
      <c r="AG1393" s="80" t="n"/>
      <c r="AH1393" s="80" t="n"/>
      <c r="AI1393" s="80" t="n"/>
      <c r="AJ1393" s="80" t="n"/>
      <c r="AK1393" s="80" t="n"/>
      <c r="AL1393" s="80" t="n"/>
      <c r="AM1393" s="80" t="n"/>
      <c r="AN1393" s="80" t="n"/>
      <c r="AO1393" s="80" t="n"/>
      <c r="AP1393" s="80" t="n"/>
      <c r="AQ1393" s="80" t="n"/>
      <c r="AR1393" s="80" t="n"/>
    </row>
    <row r="1394">
      <c r="D1394" s="80" t="n"/>
      <c r="E1394" s="80" t="n"/>
      <c r="F1394" s="80" t="n"/>
      <c r="G1394" s="80" t="n"/>
      <c r="H1394" s="80" t="n"/>
      <c r="I1394" s="80" t="n"/>
      <c r="J1394" s="80" t="n"/>
      <c r="K1394" s="80" t="n"/>
      <c r="L1394" s="80" t="n"/>
      <c r="M1394" s="80" t="n"/>
      <c r="N1394" s="80" t="n"/>
      <c r="O1394" s="80" t="n"/>
      <c r="P1394" s="80" t="n"/>
      <c r="Q1394" s="80" t="n"/>
      <c r="R1394" s="80" t="n"/>
      <c r="S1394" s="80" t="n"/>
      <c r="T1394" s="80" t="n"/>
      <c r="U1394" s="80" t="n"/>
      <c r="V1394" s="80" t="n"/>
      <c r="W1394" s="80" t="n"/>
      <c r="X1394" s="80" t="n"/>
      <c r="Y1394" s="80" t="n"/>
      <c r="Z1394" s="80" t="n"/>
      <c r="AA1394" s="80" t="n"/>
      <c r="AB1394" s="80" t="n"/>
      <c r="AC1394" s="80" t="n"/>
      <c r="AD1394" s="80" t="n"/>
      <c r="AE1394" s="80" t="n"/>
      <c r="AF1394" s="80" t="n"/>
      <c r="AG1394" s="80" t="n"/>
      <c r="AH1394" s="80" t="n"/>
      <c r="AI1394" s="80" t="n"/>
      <c r="AJ1394" s="80" t="n"/>
      <c r="AK1394" s="80" t="n"/>
      <c r="AL1394" s="80" t="n"/>
      <c r="AM1394" s="80" t="n"/>
      <c r="AN1394" s="80" t="n"/>
      <c r="AO1394" s="80" t="n"/>
      <c r="AP1394" s="80" t="n"/>
      <c r="AQ1394" s="80" t="n"/>
      <c r="AR1394" s="80" t="n"/>
    </row>
    <row r="1395">
      <c r="D1395" s="80" t="n"/>
      <c r="E1395" s="80" t="n"/>
      <c r="F1395" s="80" t="n"/>
      <c r="G1395" s="80" t="n"/>
      <c r="H1395" s="80" t="n"/>
      <c r="I1395" s="80" t="n"/>
      <c r="J1395" s="80" t="n"/>
      <c r="K1395" s="80" t="n"/>
      <c r="L1395" s="80" t="n"/>
      <c r="M1395" s="80" t="n"/>
      <c r="N1395" s="80" t="n"/>
      <c r="O1395" s="80" t="n"/>
      <c r="P1395" s="80" t="n"/>
      <c r="Q1395" s="80" t="n"/>
      <c r="R1395" s="80" t="n"/>
      <c r="S1395" s="80" t="n"/>
      <c r="T1395" s="80" t="n"/>
      <c r="U1395" s="80" t="n"/>
      <c r="V1395" s="80" t="n"/>
      <c r="W1395" s="80" t="n"/>
      <c r="X1395" s="80" t="n"/>
      <c r="Y1395" s="80" t="n"/>
      <c r="Z1395" s="80" t="n"/>
      <c r="AA1395" s="80" t="n"/>
      <c r="AB1395" s="80" t="n"/>
      <c r="AC1395" s="80" t="n"/>
      <c r="AD1395" s="80" t="n"/>
      <c r="AE1395" s="80" t="n"/>
      <c r="AF1395" s="80" t="n"/>
      <c r="AG1395" s="80" t="n"/>
      <c r="AH1395" s="80" t="n"/>
      <c r="AI1395" s="80" t="n"/>
      <c r="AJ1395" s="80" t="n"/>
      <c r="AK1395" s="80" t="n"/>
      <c r="AL1395" s="80" t="n"/>
      <c r="AM1395" s="80" t="n"/>
      <c r="AN1395" s="80" t="n"/>
      <c r="AO1395" s="80" t="n"/>
      <c r="AP1395" s="80" t="n"/>
      <c r="AQ1395" s="80" t="n"/>
      <c r="AR1395" s="80" t="n"/>
    </row>
    <row r="1396">
      <c r="A1396" s="2">
        <f>IF($A1389="","","   projections")</f>
        <v/>
      </c>
      <c r="B1396" s="41">
        <f>IF($A1389="",0,COUNT($E1397:$AR1397))</f>
        <v/>
      </c>
      <c r="C1396" s="81">
        <f>IF($B1396=0,0,MAX($E1397:$AR1397))</f>
        <v/>
      </c>
      <c r="D1396" s="82">
        <f>BDS($A1389,'Field Check'!$C$6,"headers=y","startcol=1","endcol=7","dir=h")</f>
        <v/>
      </c>
      <c r="E1396" s="83" t="n"/>
      <c r="F1396" s="83" t="n"/>
      <c r="G1396" s="83" t="n"/>
      <c r="H1396" s="83" t="n"/>
      <c r="I1396" s="83" t="n"/>
      <c r="J1396" s="83" t="n"/>
      <c r="K1396" s="83" t="n"/>
      <c r="L1396" s="83" t="n"/>
      <c r="M1396" s="83" t="n"/>
      <c r="N1396" s="83" t="n"/>
      <c r="O1396" s="83" t="n"/>
      <c r="P1396" s="83" t="n"/>
      <c r="Q1396" s="83" t="n"/>
      <c r="R1396" s="83" t="n"/>
      <c r="S1396" s="83" t="n"/>
      <c r="T1396" s="83" t="n"/>
      <c r="U1396" s="83" t="n"/>
      <c r="V1396" s="83" t="n"/>
      <c r="W1396" s="83" t="n"/>
      <c r="X1396" s="83" t="n"/>
      <c r="Y1396" s="83" t="n"/>
      <c r="Z1396" s="83" t="n"/>
      <c r="AA1396" s="83" t="n"/>
      <c r="AB1396" s="83" t="n"/>
      <c r="AC1396" s="83" t="n"/>
      <c r="AD1396" s="83" t="n"/>
      <c r="AE1396" s="83" t="n"/>
      <c r="AF1396" s="83" t="n"/>
      <c r="AG1396" s="83" t="n"/>
      <c r="AH1396" s="83" t="n"/>
      <c r="AI1396" s="83" t="n"/>
      <c r="AJ1396" s="83" t="n"/>
      <c r="AK1396" s="83" t="n"/>
      <c r="AL1396" s="83" t="n"/>
      <c r="AM1396" s="83" t="n"/>
      <c r="AN1396" s="83" t="n"/>
      <c r="AO1396" s="83" t="n"/>
      <c r="AP1396" s="83" t="n"/>
      <c r="AQ1396" s="83" t="n"/>
      <c r="AR1396" s="83" t="n"/>
    </row>
    <row r="1397">
      <c r="D1397" s="83" t="n"/>
      <c r="E1397" s="83" t="n"/>
      <c r="F1397" s="83" t="n"/>
      <c r="G1397" s="83" t="n"/>
      <c r="H1397" s="83" t="n"/>
      <c r="I1397" s="83" t="n"/>
      <c r="J1397" s="83" t="n"/>
      <c r="K1397" s="83" t="n"/>
      <c r="L1397" s="83" t="n"/>
      <c r="M1397" s="83" t="n"/>
      <c r="N1397" s="83" t="n"/>
      <c r="O1397" s="83" t="n"/>
      <c r="P1397" s="83" t="n"/>
      <c r="Q1397" s="83" t="n"/>
      <c r="R1397" s="83" t="n"/>
      <c r="S1397" s="83" t="n"/>
      <c r="T1397" s="83" t="n"/>
      <c r="U1397" s="83" t="n"/>
      <c r="V1397" s="83" t="n"/>
      <c r="W1397" s="83" t="n"/>
      <c r="X1397" s="83" t="n"/>
      <c r="Y1397" s="83" t="n"/>
      <c r="Z1397" s="83" t="n"/>
      <c r="AA1397" s="83" t="n"/>
      <c r="AB1397" s="83" t="n"/>
      <c r="AC1397" s="83" t="n"/>
      <c r="AD1397" s="83" t="n"/>
      <c r="AE1397" s="83" t="n"/>
      <c r="AF1397" s="83" t="n"/>
      <c r="AG1397" s="83" t="n"/>
      <c r="AH1397" s="83" t="n"/>
      <c r="AI1397" s="83" t="n"/>
      <c r="AJ1397" s="83" t="n"/>
      <c r="AK1397" s="83" t="n"/>
      <c r="AL1397" s="83" t="n"/>
      <c r="AM1397" s="83" t="n"/>
      <c r="AN1397" s="83" t="n"/>
      <c r="AO1397" s="83" t="n"/>
      <c r="AP1397" s="83" t="n"/>
      <c r="AQ1397" s="83" t="n"/>
      <c r="AR1397" s="83" t="n"/>
    </row>
    <row r="1398">
      <c r="D1398" s="84" t="n"/>
      <c r="E1398" s="84" t="n"/>
      <c r="F1398" s="84" t="n"/>
      <c r="G1398" s="84" t="n"/>
      <c r="H1398" s="84" t="n"/>
      <c r="I1398" s="84" t="n"/>
      <c r="J1398" s="84" t="n"/>
      <c r="K1398" s="84" t="n"/>
      <c r="L1398" s="84" t="n"/>
      <c r="M1398" s="84" t="n"/>
      <c r="N1398" s="84" t="n"/>
      <c r="O1398" s="84" t="n"/>
      <c r="P1398" s="84" t="n"/>
      <c r="Q1398" s="84" t="n"/>
      <c r="R1398" s="84" t="n"/>
      <c r="S1398" s="84" t="n"/>
      <c r="T1398" s="84" t="n"/>
      <c r="U1398" s="84" t="n"/>
      <c r="V1398" s="84" t="n"/>
      <c r="W1398" s="84" t="n"/>
      <c r="X1398" s="84" t="n"/>
      <c r="Y1398" s="84" t="n"/>
      <c r="Z1398" s="84" t="n"/>
      <c r="AA1398" s="84" t="n"/>
      <c r="AB1398" s="84" t="n"/>
      <c r="AC1398" s="84" t="n"/>
      <c r="AD1398" s="84" t="n"/>
      <c r="AE1398" s="84" t="n"/>
      <c r="AF1398" s="84" t="n"/>
      <c r="AG1398" s="84" t="n"/>
      <c r="AH1398" s="84" t="n"/>
      <c r="AI1398" s="84" t="n"/>
      <c r="AJ1398" s="84" t="n"/>
      <c r="AK1398" s="84" t="n"/>
      <c r="AL1398" s="84" t="n"/>
      <c r="AM1398" s="84" t="n"/>
      <c r="AN1398" s="84" t="n"/>
      <c r="AO1398" s="84" t="n"/>
      <c r="AP1398" s="84" t="n"/>
      <c r="AQ1398" s="84" t="n"/>
      <c r="AR1398" s="84" t="n"/>
    </row>
    <row r="1399">
      <c r="D1399" s="80" t="n"/>
      <c r="E1399" s="80" t="n"/>
      <c r="F1399" s="80" t="n"/>
      <c r="G1399" s="80" t="n"/>
      <c r="H1399" s="80" t="n"/>
      <c r="I1399" s="80" t="n"/>
      <c r="J1399" s="80" t="n"/>
      <c r="K1399" s="80" t="n"/>
      <c r="L1399" s="80" t="n"/>
      <c r="M1399" s="80" t="n"/>
      <c r="N1399" s="80" t="n"/>
      <c r="O1399" s="80" t="n"/>
      <c r="P1399" s="80" t="n"/>
      <c r="Q1399" s="80" t="n"/>
      <c r="R1399" s="80" t="n"/>
      <c r="S1399" s="80" t="n"/>
      <c r="T1399" s="80" t="n"/>
      <c r="U1399" s="80" t="n"/>
      <c r="V1399" s="80" t="n"/>
      <c r="W1399" s="80" t="n"/>
      <c r="X1399" s="80" t="n"/>
      <c r="Y1399" s="80" t="n"/>
      <c r="Z1399" s="80" t="n"/>
      <c r="AA1399" s="80" t="n"/>
      <c r="AB1399" s="80" t="n"/>
      <c r="AC1399" s="80" t="n"/>
      <c r="AD1399" s="80" t="n"/>
      <c r="AE1399" s="80" t="n"/>
      <c r="AF1399" s="80" t="n"/>
      <c r="AG1399" s="80" t="n"/>
      <c r="AH1399" s="80" t="n"/>
      <c r="AI1399" s="80" t="n"/>
      <c r="AJ1399" s="80" t="n"/>
      <c r="AK1399" s="80" t="n"/>
      <c r="AL1399" s="80" t="n"/>
      <c r="AM1399" s="80" t="n"/>
      <c r="AN1399" s="80" t="n"/>
      <c r="AO1399" s="80" t="n"/>
      <c r="AP1399" s="80" t="n"/>
      <c r="AQ1399" s="80" t="n"/>
      <c r="AR1399" s="80" t="n"/>
    </row>
    <row r="1400">
      <c r="D1400" s="80" t="n"/>
      <c r="E1400" s="80" t="n"/>
      <c r="F1400" s="80" t="n"/>
      <c r="G1400" s="80" t="n"/>
      <c r="H1400" s="80" t="n"/>
      <c r="I1400" s="80" t="n"/>
      <c r="J1400" s="80" t="n"/>
      <c r="K1400" s="80" t="n"/>
      <c r="L1400" s="80" t="n"/>
      <c r="M1400" s="80" t="n"/>
      <c r="N1400" s="80" t="n"/>
      <c r="O1400" s="80" t="n"/>
      <c r="P1400" s="80" t="n"/>
      <c r="Q1400" s="80" t="n"/>
      <c r="R1400" s="80" t="n"/>
      <c r="S1400" s="80" t="n"/>
      <c r="T1400" s="80" t="n"/>
      <c r="U1400" s="80" t="n"/>
      <c r="V1400" s="80" t="n"/>
      <c r="W1400" s="80" t="n"/>
      <c r="X1400" s="80" t="n"/>
      <c r="Y1400" s="80" t="n"/>
      <c r="Z1400" s="80" t="n"/>
      <c r="AA1400" s="80" t="n"/>
      <c r="AB1400" s="80" t="n"/>
      <c r="AC1400" s="80" t="n"/>
      <c r="AD1400" s="80" t="n"/>
      <c r="AE1400" s="80" t="n"/>
      <c r="AF1400" s="80" t="n"/>
      <c r="AG1400" s="80" t="n"/>
      <c r="AH1400" s="80" t="n"/>
      <c r="AI1400" s="80" t="n"/>
      <c r="AJ1400" s="80" t="n"/>
      <c r="AK1400" s="80" t="n"/>
      <c r="AL1400" s="80" t="n"/>
      <c r="AM1400" s="80" t="n"/>
      <c r="AN1400" s="80" t="n"/>
      <c r="AO1400" s="80" t="n"/>
      <c r="AP1400" s="80" t="n"/>
      <c r="AQ1400" s="80" t="n"/>
      <c r="AR1400" s="80" t="n"/>
    </row>
    <row r="1401">
      <c r="D1401" s="80" t="n"/>
      <c r="E1401" s="80" t="n"/>
      <c r="F1401" s="80" t="n"/>
      <c r="G1401" s="80" t="n"/>
      <c r="H1401" s="80" t="n"/>
      <c r="I1401" s="80" t="n"/>
      <c r="J1401" s="80" t="n"/>
      <c r="K1401" s="80" t="n"/>
      <c r="L1401" s="80" t="n"/>
      <c r="M1401" s="80" t="n"/>
      <c r="N1401" s="80" t="n"/>
      <c r="O1401" s="80" t="n"/>
      <c r="P1401" s="80" t="n"/>
      <c r="Q1401" s="80" t="n"/>
      <c r="R1401" s="80" t="n"/>
      <c r="S1401" s="80" t="n"/>
      <c r="T1401" s="80" t="n"/>
      <c r="U1401" s="80" t="n"/>
      <c r="V1401" s="80" t="n"/>
      <c r="W1401" s="80" t="n"/>
      <c r="X1401" s="80" t="n"/>
      <c r="Y1401" s="80" t="n"/>
      <c r="Z1401" s="80" t="n"/>
      <c r="AA1401" s="80" t="n"/>
      <c r="AB1401" s="80" t="n"/>
      <c r="AC1401" s="80" t="n"/>
      <c r="AD1401" s="80" t="n"/>
      <c r="AE1401" s="80" t="n"/>
      <c r="AF1401" s="80" t="n"/>
      <c r="AG1401" s="80" t="n"/>
      <c r="AH1401" s="80" t="n"/>
      <c r="AI1401" s="80" t="n"/>
      <c r="AJ1401" s="80" t="n"/>
      <c r="AK1401" s="80" t="n"/>
      <c r="AL1401" s="80" t="n"/>
      <c r="AM1401" s="80" t="n"/>
      <c r="AN1401" s="80" t="n"/>
      <c r="AO1401" s="80" t="n"/>
      <c r="AP1401" s="80" t="n"/>
      <c r="AQ1401" s="80" t="n"/>
      <c r="AR1401" s="80" t="n"/>
    </row>
    <row r="1402">
      <c r="D1402" s="80" t="n"/>
      <c r="E1402" s="80" t="n"/>
      <c r="F1402" s="80" t="n"/>
      <c r="G1402" s="80" t="n"/>
      <c r="H1402" s="80" t="n"/>
      <c r="I1402" s="80" t="n"/>
      <c r="J1402" s="80" t="n"/>
      <c r="K1402" s="80" t="n"/>
      <c r="L1402" s="80" t="n"/>
      <c r="M1402" s="80" t="n"/>
      <c r="N1402" s="80" t="n"/>
      <c r="O1402" s="80" t="n"/>
      <c r="P1402" s="80" t="n"/>
      <c r="Q1402" s="80" t="n"/>
      <c r="R1402" s="80" t="n"/>
      <c r="S1402" s="80" t="n"/>
      <c r="T1402" s="80" t="n"/>
      <c r="U1402" s="80" t="n"/>
      <c r="V1402" s="80" t="n"/>
      <c r="W1402" s="80" t="n"/>
      <c r="X1402" s="80" t="n"/>
      <c r="Y1402" s="80" t="n"/>
      <c r="Z1402" s="80" t="n"/>
      <c r="AA1402" s="80" t="n"/>
      <c r="AB1402" s="80" t="n"/>
      <c r="AC1402" s="80" t="n"/>
      <c r="AD1402" s="80" t="n"/>
      <c r="AE1402" s="80" t="n"/>
      <c r="AF1402" s="80" t="n"/>
      <c r="AG1402" s="80" t="n"/>
      <c r="AH1402" s="80" t="n"/>
      <c r="AI1402" s="80" t="n"/>
      <c r="AJ1402" s="80" t="n"/>
      <c r="AK1402" s="80" t="n"/>
      <c r="AL1402" s="80" t="n"/>
      <c r="AM1402" s="80" t="n"/>
      <c r="AN1402" s="80" t="n"/>
      <c r="AO1402" s="80" t="n"/>
      <c r="AP1402" s="80" t="n"/>
      <c r="AQ1402" s="80" t="n"/>
      <c r="AR1402" s="80" t="n"/>
    </row>
    <row r="1404">
      <c r="A1404" s="6">
        <f>IF(HSI!$C$100="","",HSI!$C$100)</f>
        <v/>
      </c>
      <c r="B1404" s="41">
        <f>IF($A1404="",0,COUNT($E1405:$AR1405))</f>
        <v/>
      </c>
      <c r="C1404" s="81">
        <f>IF($B1404=0,0,MAX($E1405:$AR1405))</f>
        <v/>
      </c>
      <c r="D1404" s="82">
        <f>BDS($A1404,'Field Check'!$C$7,"headers=y","startcol=1","endcol=7","dir=h","DVD_START_DT",Summary!$C$18,"DVD_END_DT",Summary!$D$18)</f>
        <v/>
      </c>
      <c r="E1404" s="83" t="n"/>
      <c r="F1404" s="83" t="n"/>
      <c r="G1404" s="83" t="n"/>
      <c r="H1404" s="83" t="n"/>
      <c r="I1404" s="83" t="n"/>
      <c r="J1404" s="83" t="n"/>
      <c r="K1404" s="83" t="n"/>
      <c r="L1404" s="83" t="n"/>
      <c r="M1404" s="83" t="n"/>
      <c r="N1404" s="83" t="n"/>
      <c r="O1404" s="83" t="n"/>
      <c r="P1404" s="83" t="n"/>
      <c r="Q1404" s="83" t="n"/>
      <c r="R1404" s="83" t="n"/>
      <c r="S1404" s="83" t="n"/>
      <c r="T1404" s="83" t="n"/>
      <c r="U1404" s="83" t="n"/>
      <c r="V1404" s="83" t="n"/>
      <c r="W1404" s="83" t="n"/>
      <c r="X1404" s="83" t="n"/>
      <c r="Y1404" s="83" t="n"/>
      <c r="Z1404" s="83" t="n"/>
      <c r="AA1404" s="83" t="n"/>
      <c r="AB1404" s="83" t="n"/>
      <c r="AC1404" s="83" t="n"/>
      <c r="AD1404" s="83" t="n"/>
      <c r="AE1404" s="83" t="n"/>
      <c r="AF1404" s="83" t="n"/>
      <c r="AG1404" s="83" t="n"/>
      <c r="AH1404" s="83" t="n"/>
      <c r="AI1404" s="83" t="n"/>
      <c r="AJ1404" s="83" t="n"/>
      <c r="AK1404" s="83" t="n"/>
      <c r="AL1404" s="83" t="n"/>
      <c r="AM1404" s="83" t="n"/>
      <c r="AN1404" s="83" t="n"/>
      <c r="AO1404" s="83" t="n"/>
      <c r="AP1404" s="83" t="n"/>
      <c r="AQ1404" s="83" t="n"/>
      <c r="AR1404" s="83" t="n"/>
    </row>
    <row r="1405">
      <c r="D1405" s="83" t="n"/>
      <c r="E1405" s="83" t="n"/>
      <c r="F1405" s="83" t="n"/>
      <c r="G1405" s="83" t="n"/>
      <c r="H1405" s="83" t="n"/>
      <c r="I1405" s="83" t="n"/>
      <c r="J1405" s="83" t="n"/>
      <c r="K1405" s="83" t="n"/>
      <c r="L1405" s="83" t="n"/>
      <c r="M1405" s="83" t="n"/>
      <c r="N1405" s="83" t="n"/>
      <c r="O1405" s="83" t="n"/>
      <c r="P1405" s="83" t="n"/>
      <c r="Q1405" s="83" t="n"/>
      <c r="R1405" s="83" t="n"/>
      <c r="S1405" s="83" t="n"/>
      <c r="T1405" s="83" t="n"/>
      <c r="U1405" s="83" t="n"/>
      <c r="V1405" s="83" t="n"/>
      <c r="W1405" s="83" t="n"/>
      <c r="X1405" s="83" t="n"/>
      <c r="Y1405" s="83" t="n"/>
      <c r="Z1405" s="83" t="n"/>
      <c r="AA1405" s="83" t="n"/>
      <c r="AB1405" s="83" t="n"/>
      <c r="AC1405" s="83" t="n"/>
      <c r="AD1405" s="83" t="n"/>
      <c r="AE1405" s="83" t="n"/>
      <c r="AF1405" s="83" t="n"/>
      <c r="AG1405" s="83" t="n"/>
      <c r="AH1405" s="83" t="n"/>
      <c r="AI1405" s="83" t="n"/>
      <c r="AJ1405" s="83" t="n"/>
      <c r="AK1405" s="83" t="n"/>
      <c r="AL1405" s="83" t="n"/>
      <c r="AM1405" s="83" t="n"/>
      <c r="AN1405" s="83" t="n"/>
      <c r="AO1405" s="83" t="n"/>
      <c r="AP1405" s="83" t="n"/>
      <c r="AQ1405" s="83" t="n"/>
      <c r="AR1405" s="83" t="n"/>
    </row>
    <row r="1406">
      <c r="D1406" s="84" t="n"/>
      <c r="E1406" s="84" t="n"/>
      <c r="F1406" s="84" t="n"/>
      <c r="G1406" s="84" t="n"/>
      <c r="H1406" s="84" t="n"/>
      <c r="I1406" s="84" t="n"/>
      <c r="J1406" s="84" t="n"/>
      <c r="K1406" s="84" t="n"/>
      <c r="L1406" s="84" t="n"/>
      <c r="M1406" s="84" t="n"/>
      <c r="N1406" s="84" t="n"/>
      <c r="O1406" s="84" t="n"/>
      <c r="P1406" s="84" t="n"/>
      <c r="Q1406" s="84" t="n"/>
      <c r="R1406" s="84" t="n"/>
      <c r="S1406" s="84" t="n"/>
      <c r="T1406" s="84" t="n"/>
      <c r="U1406" s="84" t="n"/>
      <c r="V1406" s="84" t="n"/>
      <c r="W1406" s="84" t="n"/>
      <c r="X1406" s="84" t="n"/>
      <c r="Y1406" s="84" t="n"/>
      <c r="Z1406" s="84" t="n"/>
      <c r="AA1406" s="84" t="n"/>
      <c r="AB1406" s="84" t="n"/>
      <c r="AC1406" s="84" t="n"/>
      <c r="AD1406" s="84" t="n"/>
      <c r="AE1406" s="84" t="n"/>
      <c r="AF1406" s="84" t="n"/>
      <c r="AG1406" s="84" t="n"/>
      <c r="AH1406" s="84" t="n"/>
      <c r="AI1406" s="84" t="n"/>
      <c r="AJ1406" s="84" t="n"/>
      <c r="AK1406" s="84" t="n"/>
      <c r="AL1406" s="84" t="n"/>
      <c r="AM1406" s="84" t="n"/>
      <c r="AN1406" s="84" t="n"/>
      <c r="AO1406" s="84" t="n"/>
      <c r="AP1406" s="84" t="n"/>
      <c r="AQ1406" s="84" t="n"/>
      <c r="AR1406" s="84" t="n"/>
    </row>
    <row r="1407">
      <c r="D1407" s="80" t="n"/>
      <c r="E1407" s="80" t="n"/>
      <c r="F1407" s="80" t="n"/>
      <c r="G1407" s="80" t="n"/>
      <c r="H1407" s="80" t="n"/>
      <c r="I1407" s="80" t="n"/>
      <c r="J1407" s="80" t="n"/>
      <c r="K1407" s="80" t="n"/>
      <c r="L1407" s="80" t="n"/>
      <c r="M1407" s="80" t="n"/>
      <c r="N1407" s="80" t="n"/>
      <c r="O1407" s="80" t="n"/>
      <c r="P1407" s="80" t="n"/>
      <c r="Q1407" s="80" t="n"/>
      <c r="R1407" s="80" t="n"/>
      <c r="S1407" s="80" t="n"/>
      <c r="T1407" s="80" t="n"/>
      <c r="U1407" s="80" t="n"/>
      <c r="V1407" s="80" t="n"/>
      <c r="W1407" s="80" t="n"/>
      <c r="X1407" s="80" t="n"/>
      <c r="Y1407" s="80" t="n"/>
      <c r="Z1407" s="80" t="n"/>
      <c r="AA1407" s="80" t="n"/>
      <c r="AB1407" s="80" t="n"/>
      <c r="AC1407" s="80" t="n"/>
      <c r="AD1407" s="80" t="n"/>
      <c r="AE1407" s="80" t="n"/>
      <c r="AF1407" s="80" t="n"/>
      <c r="AG1407" s="80" t="n"/>
      <c r="AH1407" s="80" t="n"/>
      <c r="AI1407" s="80" t="n"/>
      <c r="AJ1407" s="80" t="n"/>
      <c r="AK1407" s="80" t="n"/>
      <c r="AL1407" s="80" t="n"/>
      <c r="AM1407" s="80" t="n"/>
      <c r="AN1407" s="80" t="n"/>
      <c r="AO1407" s="80" t="n"/>
      <c r="AP1407" s="80" t="n"/>
      <c r="AQ1407" s="80" t="n"/>
      <c r="AR1407" s="80" t="n"/>
    </row>
    <row r="1408">
      <c r="D1408" s="80" t="n"/>
      <c r="E1408" s="80" t="n"/>
      <c r="F1408" s="80" t="n"/>
      <c r="G1408" s="80" t="n"/>
      <c r="H1408" s="80" t="n"/>
      <c r="I1408" s="80" t="n"/>
      <c r="J1408" s="80" t="n"/>
      <c r="K1408" s="80" t="n"/>
      <c r="L1408" s="80" t="n"/>
      <c r="M1408" s="80" t="n"/>
      <c r="N1408" s="80" t="n"/>
      <c r="O1408" s="80" t="n"/>
      <c r="P1408" s="80" t="n"/>
      <c r="Q1408" s="80" t="n"/>
      <c r="R1408" s="80" t="n"/>
      <c r="S1408" s="80" t="n"/>
      <c r="T1408" s="80" t="n"/>
      <c r="U1408" s="80" t="n"/>
      <c r="V1408" s="80" t="n"/>
      <c r="W1408" s="80" t="n"/>
      <c r="X1408" s="80" t="n"/>
      <c r="Y1408" s="80" t="n"/>
      <c r="Z1408" s="80" t="n"/>
      <c r="AA1408" s="80" t="n"/>
      <c r="AB1408" s="80" t="n"/>
      <c r="AC1408" s="80" t="n"/>
      <c r="AD1408" s="80" t="n"/>
      <c r="AE1408" s="80" t="n"/>
      <c r="AF1408" s="80" t="n"/>
      <c r="AG1408" s="80" t="n"/>
      <c r="AH1408" s="80" t="n"/>
      <c r="AI1408" s="80" t="n"/>
      <c r="AJ1408" s="80" t="n"/>
      <c r="AK1408" s="80" t="n"/>
      <c r="AL1408" s="80" t="n"/>
      <c r="AM1408" s="80" t="n"/>
      <c r="AN1408" s="80" t="n"/>
      <c r="AO1408" s="80" t="n"/>
      <c r="AP1408" s="80" t="n"/>
      <c r="AQ1408" s="80" t="n"/>
      <c r="AR1408" s="80" t="n"/>
    </row>
    <row r="1409">
      <c r="D1409" s="80" t="n"/>
      <c r="E1409" s="80" t="n"/>
      <c r="F1409" s="80" t="n"/>
      <c r="G1409" s="80" t="n"/>
      <c r="H1409" s="80" t="n"/>
      <c r="I1409" s="80" t="n"/>
      <c r="J1409" s="80" t="n"/>
      <c r="K1409" s="80" t="n"/>
      <c r="L1409" s="80" t="n"/>
      <c r="M1409" s="80" t="n"/>
      <c r="N1409" s="80" t="n"/>
      <c r="O1409" s="80" t="n"/>
      <c r="P1409" s="80" t="n"/>
      <c r="Q1409" s="80" t="n"/>
      <c r="R1409" s="80" t="n"/>
      <c r="S1409" s="80" t="n"/>
      <c r="T1409" s="80" t="n"/>
      <c r="U1409" s="80" t="n"/>
      <c r="V1409" s="80" t="n"/>
      <c r="W1409" s="80" t="n"/>
      <c r="X1409" s="80" t="n"/>
      <c r="Y1409" s="80" t="n"/>
      <c r="Z1409" s="80" t="n"/>
      <c r="AA1409" s="80" t="n"/>
      <c r="AB1409" s="80" t="n"/>
      <c r="AC1409" s="80" t="n"/>
      <c r="AD1409" s="80" t="n"/>
      <c r="AE1409" s="80" t="n"/>
      <c r="AF1409" s="80" t="n"/>
      <c r="AG1409" s="80" t="n"/>
      <c r="AH1409" s="80" t="n"/>
      <c r="AI1409" s="80" t="n"/>
      <c r="AJ1409" s="80" t="n"/>
      <c r="AK1409" s="80" t="n"/>
      <c r="AL1409" s="80" t="n"/>
      <c r="AM1409" s="80" t="n"/>
      <c r="AN1409" s="80" t="n"/>
      <c r="AO1409" s="80" t="n"/>
      <c r="AP1409" s="80" t="n"/>
      <c r="AQ1409" s="80" t="n"/>
      <c r="AR1409" s="80" t="n"/>
    </row>
    <row r="1410">
      <c r="D1410" s="80" t="n"/>
      <c r="E1410" s="80" t="n"/>
      <c r="F1410" s="80" t="n"/>
      <c r="G1410" s="80" t="n"/>
      <c r="H1410" s="80" t="n"/>
      <c r="I1410" s="80" t="n"/>
      <c r="J1410" s="80" t="n"/>
      <c r="K1410" s="80" t="n"/>
      <c r="L1410" s="80" t="n"/>
      <c r="M1410" s="80" t="n"/>
      <c r="N1410" s="80" t="n"/>
      <c r="O1410" s="80" t="n"/>
      <c r="P1410" s="80" t="n"/>
      <c r="Q1410" s="80" t="n"/>
      <c r="R1410" s="80" t="n"/>
      <c r="S1410" s="80" t="n"/>
      <c r="T1410" s="80" t="n"/>
      <c r="U1410" s="80" t="n"/>
      <c r="V1410" s="80" t="n"/>
      <c r="W1410" s="80" t="n"/>
      <c r="X1410" s="80" t="n"/>
      <c r="Y1410" s="80" t="n"/>
      <c r="Z1410" s="80" t="n"/>
      <c r="AA1410" s="80" t="n"/>
      <c r="AB1410" s="80" t="n"/>
      <c r="AC1410" s="80" t="n"/>
      <c r="AD1410" s="80" t="n"/>
      <c r="AE1410" s="80" t="n"/>
      <c r="AF1410" s="80" t="n"/>
      <c r="AG1410" s="80" t="n"/>
      <c r="AH1410" s="80" t="n"/>
      <c r="AI1410" s="80" t="n"/>
      <c r="AJ1410" s="80" t="n"/>
      <c r="AK1410" s="80" t="n"/>
      <c r="AL1410" s="80" t="n"/>
      <c r="AM1410" s="80" t="n"/>
      <c r="AN1410" s="80" t="n"/>
      <c r="AO1410" s="80" t="n"/>
      <c r="AP1410" s="80" t="n"/>
      <c r="AQ1410" s="80" t="n"/>
      <c r="AR1410" s="80" t="n"/>
    </row>
    <row r="1411">
      <c r="A1411" s="2">
        <f>IF($A1404="","","   projections")</f>
        <v/>
      </c>
      <c r="B1411" s="41">
        <f>IF($A1404="",0,COUNT($E1412:$AR1412))</f>
        <v/>
      </c>
      <c r="C1411" s="81">
        <f>IF($B1411=0,0,MAX($E1412:$AR1412))</f>
        <v/>
      </c>
      <c r="D1411" s="82">
        <f>BDS($A1404,'Field Check'!$C$6,"headers=y","startcol=1","endcol=7","dir=h")</f>
        <v/>
      </c>
      <c r="E1411" s="83" t="n"/>
      <c r="F1411" s="83" t="n"/>
      <c r="G1411" s="83" t="n"/>
      <c r="H1411" s="83" t="n"/>
      <c r="I1411" s="83" t="n"/>
      <c r="J1411" s="83" t="n"/>
      <c r="K1411" s="83" t="n"/>
      <c r="L1411" s="83" t="n"/>
      <c r="M1411" s="83" t="n"/>
      <c r="N1411" s="83" t="n"/>
      <c r="O1411" s="83" t="n"/>
      <c r="P1411" s="83" t="n"/>
      <c r="Q1411" s="83" t="n"/>
      <c r="R1411" s="83" t="n"/>
      <c r="S1411" s="83" t="n"/>
      <c r="T1411" s="83" t="n"/>
      <c r="U1411" s="83" t="n"/>
      <c r="V1411" s="83" t="n"/>
      <c r="W1411" s="83" t="n"/>
      <c r="X1411" s="83" t="n"/>
      <c r="Y1411" s="83" t="n"/>
      <c r="Z1411" s="83" t="n"/>
      <c r="AA1411" s="83" t="n"/>
      <c r="AB1411" s="83" t="n"/>
      <c r="AC1411" s="83" t="n"/>
      <c r="AD1411" s="83" t="n"/>
      <c r="AE1411" s="83" t="n"/>
      <c r="AF1411" s="83" t="n"/>
      <c r="AG1411" s="83" t="n"/>
      <c r="AH1411" s="83" t="n"/>
      <c r="AI1411" s="83" t="n"/>
      <c r="AJ1411" s="83" t="n"/>
      <c r="AK1411" s="83" t="n"/>
      <c r="AL1411" s="83" t="n"/>
      <c r="AM1411" s="83" t="n"/>
      <c r="AN1411" s="83" t="n"/>
      <c r="AO1411" s="83" t="n"/>
      <c r="AP1411" s="83" t="n"/>
      <c r="AQ1411" s="83" t="n"/>
      <c r="AR1411" s="83" t="n"/>
    </row>
    <row r="1412">
      <c r="D1412" s="83" t="n"/>
      <c r="E1412" s="83" t="n"/>
      <c r="F1412" s="83" t="n"/>
      <c r="G1412" s="83" t="n"/>
      <c r="H1412" s="83" t="n"/>
      <c r="I1412" s="83" t="n"/>
      <c r="J1412" s="83" t="n"/>
      <c r="K1412" s="83" t="n"/>
      <c r="L1412" s="83" t="n"/>
      <c r="M1412" s="83" t="n"/>
      <c r="N1412" s="83" t="n"/>
      <c r="O1412" s="83" t="n"/>
      <c r="P1412" s="83" t="n"/>
      <c r="Q1412" s="83" t="n"/>
      <c r="R1412" s="83" t="n"/>
      <c r="S1412" s="83" t="n"/>
      <c r="T1412" s="83" t="n"/>
      <c r="U1412" s="83" t="n"/>
      <c r="V1412" s="83" t="n"/>
      <c r="W1412" s="83" t="n"/>
      <c r="X1412" s="83" t="n"/>
      <c r="Y1412" s="83" t="n"/>
      <c r="Z1412" s="83" t="n"/>
      <c r="AA1412" s="83" t="n"/>
      <c r="AB1412" s="83" t="n"/>
      <c r="AC1412" s="83" t="n"/>
      <c r="AD1412" s="83" t="n"/>
      <c r="AE1412" s="83" t="n"/>
      <c r="AF1412" s="83" t="n"/>
      <c r="AG1412" s="83" t="n"/>
      <c r="AH1412" s="83" t="n"/>
      <c r="AI1412" s="83" t="n"/>
      <c r="AJ1412" s="83" t="n"/>
      <c r="AK1412" s="83" t="n"/>
      <c r="AL1412" s="83" t="n"/>
      <c r="AM1412" s="83" t="n"/>
      <c r="AN1412" s="83" t="n"/>
      <c r="AO1412" s="83" t="n"/>
      <c r="AP1412" s="83" t="n"/>
      <c r="AQ1412" s="83" t="n"/>
      <c r="AR1412" s="83" t="n"/>
    </row>
    <row r="1413">
      <c r="D1413" s="84" t="n"/>
      <c r="E1413" s="84" t="n"/>
      <c r="F1413" s="84" t="n"/>
      <c r="G1413" s="84" t="n"/>
      <c r="H1413" s="84" t="n"/>
      <c r="I1413" s="84" t="n"/>
      <c r="J1413" s="84" t="n"/>
      <c r="K1413" s="84" t="n"/>
      <c r="L1413" s="84" t="n"/>
      <c r="M1413" s="84" t="n"/>
      <c r="N1413" s="84" t="n"/>
      <c r="O1413" s="84" t="n"/>
      <c r="P1413" s="84" t="n"/>
      <c r="Q1413" s="84" t="n"/>
      <c r="R1413" s="84" t="n"/>
      <c r="S1413" s="84" t="n"/>
      <c r="T1413" s="84" t="n"/>
      <c r="U1413" s="84" t="n"/>
      <c r="V1413" s="84" t="n"/>
      <c r="W1413" s="84" t="n"/>
      <c r="X1413" s="84" t="n"/>
      <c r="Y1413" s="84" t="n"/>
      <c r="Z1413" s="84" t="n"/>
      <c r="AA1413" s="84" t="n"/>
      <c r="AB1413" s="84" t="n"/>
      <c r="AC1413" s="84" t="n"/>
      <c r="AD1413" s="84" t="n"/>
      <c r="AE1413" s="84" t="n"/>
      <c r="AF1413" s="84" t="n"/>
      <c r="AG1413" s="84" t="n"/>
      <c r="AH1413" s="84" t="n"/>
      <c r="AI1413" s="84" t="n"/>
      <c r="AJ1413" s="84" t="n"/>
      <c r="AK1413" s="84" t="n"/>
      <c r="AL1413" s="84" t="n"/>
      <c r="AM1413" s="84" t="n"/>
      <c r="AN1413" s="84" t="n"/>
      <c r="AO1413" s="84" t="n"/>
      <c r="AP1413" s="84" t="n"/>
      <c r="AQ1413" s="84" t="n"/>
      <c r="AR1413" s="84" t="n"/>
    </row>
    <row r="1414">
      <c r="D1414" s="80" t="n"/>
      <c r="E1414" s="80" t="n"/>
      <c r="F1414" s="80" t="n"/>
      <c r="G1414" s="80" t="n"/>
      <c r="H1414" s="80" t="n"/>
      <c r="I1414" s="80" t="n"/>
      <c r="J1414" s="80" t="n"/>
      <c r="K1414" s="80" t="n"/>
      <c r="L1414" s="80" t="n"/>
      <c r="M1414" s="80" t="n"/>
      <c r="N1414" s="80" t="n"/>
      <c r="O1414" s="80" t="n"/>
      <c r="P1414" s="80" t="n"/>
      <c r="Q1414" s="80" t="n"/>
      <c r="R1414" s="80" t="n"/>
      <c r="S1414" s="80" t="n"/>
      <c r="T1414" s="80" t="n"/>
      <c r="U1414" s="80" t="n"/>
      <c r="V1414" s="80" t="n"/>
      <c r="W1414" s="80" t="n"/>
      <c r="X1414" s="80" t="n"/>
      <c r="Y1414" s="80" t="n"/>
      <c r="Z1414" s="80" t="n"/>
      <c r="AA1414" s="80" t="n"/>
      <c r="AB1414" s="80" t="n"/>
      <c r="AC1414" s="80" t="n"/>
      <c r="AD1414" s="80" t="n"/>
      <c r="AE1414" s="80" t="n"/>
      <c r="AF1414" s="80" t="n"/>
      <c r="AG1414" s="80" t="n"/>
      <c r="AH1414" s="80" t="n"/>
      <c r="AI1414" s="80" t="n"/>
      <c r="AJ1414" s="80" t="n"/>
      <c r="AK1414" s="80" t="n"/>
      <c r="AL1414" s="80" t="n"/>
      <c r="AM1414" s="80" t="n"/>
      <c r="AN1414" s="80" t="n"/>
      <c r="AO1414" s="80" t="n"/>
      <c r="AP1414" s="80" t="n"/>
      <c r="AQ1414" s="80" t="n"/>
      <c r="AR1414" s="80" t="n"/>
    </row>
    <row r="1415">
      <c r="D1415" s="80" t="n"/>
      <c r="E1415" s="80" t="n"/>
      <c r="F1415" s="80" t="n"/>
      <c r="G1415" s="80" t="n"/>
      <c r="H1415" s="80" t="n"/>
      <c r="I1415" s="80" t="n"/>
      <c r="J1415" s="80" t="n"/>
      <c r="K1415" s="80" t="n"/>
      <c r="L1415" s="80" t="n"/>
      <c r="M1415" s="80" t="n"/>
      <c r="N1415" s="80" t="n"/>
      <c r="O1415" s="80" t="n"/>
      <c r="P1415" s="80" t="n"/>
      <c r="Q1415" s="80" t="n"/>
      <c r="R1415" s="80" t="n"/>
      <c r="S1415" s="80" t="n"/>
      <c r="T1415" s="80" t="n"/>
      <c r="U1415" s="80" t="n"/>
      <c r="V1415" s="80" t="n"/>
      <c r="W1415" s="80" t="n"/>
      <c r="X1415" s="80" t="n"/>
      <c r="Y1415" s="80" t="n"/>
      <c r="Z1415" s="80" t="n"/>
      <c r="AA1415" s="80" t="n"/>
      <c r="AB1415" s="80" t="n"/>
      <c r="AC1415" s="80" t="n"/>
      <c r="AD1415" s="80" t="n"/>
      <c r="AE1415" s="80" t="n"/>
      <c r="AF1415" s="80" t="n"/>
      <c r="AG1415" s="80" t="n"/>
      <c r="AH1415" s="80" t="n"/>
      <c r="AI1415" s="80" t="n"/>
      <c r="AJ1415" s="80" t="n"/>
      <c r="AK1415" s="80" t="n"/>
      <c r="AL1415" s="80" t="n"/>
      <c r="AM1415" s="80" t="n"/>
      <c r="AN1415" s="80" t="n"/>
      <c r="AO1415" s="80" t="n"/>
      <c r="AP1415" s="80" t="n"/>
      <c r="AQ1415" s="80" t="n"/>
      <c r="AR1415" s="80" t="n"/>
    </row>
    <row r="1416">
      <c r="D1416" s="80" t="n"/>
      <c r="E1416" s="80" t="n"/>
      <c r="F1416" s="80" t="n"/>
      <c r="G1416" s="80" t="n"/>
      <c r="H1416" s="80" t="n"/>
      <c r="I1416" s="80" t="n"/>
      <c r="J1416" s="80" t="n"/>
      <c r="K1416" s="80" t="n"/>
      <c r="L1416" s="80" t="n"/>
      <c r="M1416" s="80" t="n"/>
      <c r="N1416" s="80" t="n"/>
      <c r="O1416" s="80" t="n"/>
      <c r="P1416" s="80" t="n"/>
      <c r="Q1416" s="80" t="n"/>
      <c r="R1416" s="80" t="n"/>
      <c r="S1416" s="80" t="n"/>
      <c r="T1416" s="80" t="n"/>
      <c r="U1416" s="80" t="n"/>
      <c r="V1416" s="80" t="n"/>
      <c r="W1416" s="80" t="n"/>
      <c r="X1416" s="80" t="n"/>
      <c r="Y1416" s="80" t="n"/>
      <c r="Z1416" s="80" t="n"/>
      <c r="AA1416" s="80" t="n"/>
      <c r="AB1416" s="80" t="n"/>
      <c r="AC1416" s="80" t="n"/>
      <c r="AD1416" s="80" t="n"/>
      <c r="AE1416" s="80" t="n"/>
      <c r="AF1416" s="80" t="n"/>
      <c r="AG1416" s="80" t="n"/>
      <c r="AH1416" s="80" t="n"/>
      <c r="AI1416" s="80" t="n"/>
      <c r="AJ1416" s="80" t="n"/>
      <c r="AK1416" s="80" t="n"/>
      <c r="AL1416" s="80" t="n"/>
      <c r="AM1416" s="80" t="n"/>
      <c r="AN1416" s="80" t="n"/>
      <c r="AO1416" s="80" t="n"/>
      <c r="AP1416" s="80" t="n"/>
      <c r="AQ1416" s="80" t="n"/>
      <c r="AR1416" s="80" t="n"/>
    </row>
    <row r="1417">
      <c r="D1417" s="80" t="n"/>
      <c r="E1417" s="80" t="n"/>
      <c r="F1417" s="80" t="n"/>
      <c r="G1417" s="80" t="n"/>
      <c r="H1417" s="80" t="n"/>
      <c r="I1417" s="80" t="n"/>
      <c r="J1417" s="80" t="n"/>
      <c r="K1417" s="80" t="n"/>
      <c r="L1417" s="80" t="n"/>
      <c r="M1417" s="80" t="n"/>
      <c r="N1417" s="80" t="n"/>
      <c r="O1417" s="80" t="n"/>
      <c r="P1417" s="80" t="n"/>
      <c r="Q1417" s="80" t="n"/>
      <c r="R1417" s="80" t="n"/>
      <c r="S1417" s="80" t="n"/>
      <c r="T1417" s="80" t="n"/>
      <c r="U1417" s="80" t="n"/>
      <c r="V1417" s="80" t="n"/>
      <c r="W1417" s="80" t="n"/>
      <c r="X1417" s="80" t="n"/>
      <c r="Y1417" s="80" t="n"/>
      <c r="Z1417" s="80" t="n"/>
      <c r="AA1417" s="80" t="n"/>
      <c r="AB1417" s="80" t="n"/>
      <c r="AC1417" s="80" t="n"/>
      <c r="AD1417" s="80" t="n"/>
      <c r="AE1417" s="80" t="n"/>
      <c r="AF1417" s="80" t="n"/>
      <c r="AG1417" s="80" t="n"/>
      <c r="AH1417" s="80" t="n"/>
      <c r="AI1417" s="80" t="n"/>
      <c r="AJ1417" s="80" t="n"/>
      <c r="AK1417" s="80" t="n"/>
      <c r="AL1417" s="80" t="n"/>
      <c r="AM1417" s="80" t="n"/>
      <c r="AN1417" s="80" t="n"/>
      <c r="AO1417" s="80" t="n"/>
      <c r="AP1417" s="80" t="n"/>
      <c r="AQ1417" s="80" t="n"/>
      <c r="AR1417" s="80" t="n"/>
    </row>
    <row r="1419">
      <c r="A1419" s="6">
        <f>IF(HSI!$C$101="","",HSI!$C$101)</f>
        <v/>
      </c>
      <c r="B1419" s="41">
        <f>IF($A1419="",0,COUNT($E1420:$AR1420))</f>
        <v/>
      </c>
      <c r="C1419" s="81">
        <f>IF($B1419=0,0,MAX($E1420:$AR1420))</f>
        <v/>
      </c>
      <c r="D1419" s="82">
        <f>BDS($A1419,'Field Check'!$C$7,"headers=y","startcol=1","endcol=7","dir=h","DVD_START_DT",Summary!$C$18,"DVD_END_DT",Summary!$D$18)</f>
        <v/>
      </c>
      <c r="E1419" s="83" t="n"/>
      <c r="F1419" s="83" t="n"/>
      <c r="G1419" s="83" t="n"/>
      <c r="H1419" s="83" t="n"/>
      <c r="I1419" s="83" t="n"/>
      <c r="J1419" s="83" t="n"/>
      <c r="K1419" s="83" t="n"/>
      <c r="L1419" s="83" t="n"/>
      <c r="M1419" s="83" t="n"/>
      <c r="N1419" s="83" t="n"/>
      <c r="O1419" s="83" t="n"/>
      <c r="P1419" s="83" t="n"/>
      <c r="Q1419" s="83" t="n"/>
      <c r="R1419" s="83" t="n"/>
      <c r="S1419" s="83" t="n"/>
      <c r="T1419" s="83" t="n"/>
      <c r="U1419" s="83" t="n"/>
      <c r="V1419" s="83" t="n"/>
      <c r="W1419" s="83" t="n"/>
      <c r="X1419" s="83" t="n"/>
      <c r="Y1419" s="83" t="n"/>
      <c r="Z1419" s="83" t="n"/>
      <c r="AA1419" s="83" t="n"/>
      <c r="AB1419" s="83" t="n"/>
      <c r="AC1419" s="83" t="n"/>
      <c r="AD1419" s="83" t="n"/>
      <c r="AE1419" s="83" t="n"/>
      <c r="AF1419" s="83" t="n"/>
      <c r="AG1419" s="83" t="n"/>
      <c r="AH1419" s="83" t="n"/>
      <c r="AI1419" s="83" t="n"/>
      <c r="AJ1419" s="83" t="n"/>
      <c r="AK1419" s="83" t="n"/>
      <c r="AL1419" s="83" t="n"/>
      <c r="AM1419" s="83" t="n"/>
      <c r="AN1419" s="83" t="n"/>
      <c r="AO1419" s="83" t="n"/>
      <c r="AP1419" s="83" t="n"/>
      <c r="AQ1419" s="83" t="n"/>
      <c r="AR1419" s="83" t="n"/>
    </row>
    <row r="1420">
      <c r="D1420" s="83" t="n"/>
      <c r="E1420" s="83" t="n"/>
      <c r="F1420" s="83" t="n"/>
      <c r="G1420" s="83" t="n"/>
      <c r="H1420" s="83" t="n"/>
      <c r="I1420" s="83" t="n"/>
      <c r="J1420" s="83" t="n"/>
      <c r="K1420" s="83" t="n"/>
      <c r="L1420" s="83" t="n"/>
      <c r="M1420" s="83" t="n"/>
      <c r="N1420" s="83" t="n"/>
      <c r="O1420" s="83" t="n"/>
      <c r="P1420" s="83" t="n"/>
      <c r="Q1420" s="83" t="n"/>
      <c r="R1420" s="83" t="n"/>
      <c r="S1420" s="83" t="n"/>
      <c r="T1420" s="83" t="n"/>
      <c r="U1420" s="83" t="n"/>
      <c r="V1420" s="83" t="n"/>
      <c r="W1420" s="83" t="n"/>
      <c r="X1420" s="83" t="n"/>
      <c r="Y1420" s="83" t="n"/>
      <c r="Z1420" s="83" t="n"/>
      <c r="AA1420" s="83" t="n"/>
      <c r="AB1420" s="83" t="n"/>
      <c r="AC1420" s="83" t="n"/>
      <c r="AD1420" s="83" t="n"/>
      <c r="AE1420" s="83" t="n"/>
      <c r="AF1420" s="83" t="n"/>
      <c r="AG1420" s="83" t="n"/>
      <c r="AH1420" s="83" t="n"/>
      <c r="AI1420" s="83" t="n"/>
      <c r="AJ1420" s="83" t="n"/>
      <c r="AK1420" s="83" t="n"/>
      <c r="AL1420" s="83" t="n"/>
      <c r="AM1420" s="83" t="n"/>
      <c r="AN1420" s="83" t="n"/>
      <c r="AO1420" s="83" t="n"/>
      <c r="AP1420" s="83" t="n"/>
      <c r="AQ1420" s="83" t="n"/>
      <c r="AR1420" s="83" t="n"/>
    </row>
    <row r="1421">
      <c r="D1421" s="84" t="n"/>
      <c r="E1421" s="84" t="n"/>
      <c r="F1421" s="84" t="n"/>
      <c r="G1421" s="84" t="n"/>
      <c r="H1421" s="84" t="n"/>
      <c r="I1421" s="84" t="n"/>
      <c r="J1421" s="84" t="n"/>
      <c r="K1421" s="84" t="n"/>
      <c r="L1421" s="84" t="n"/>
      <c r="M1421" s="84" t="n"/>
      <c r="N1421" s="84" t="n"/>
      <c r="O1421" s="84" t="n"/>
      <c r="P1421" s="84" t="n"/>
      <c r="Q1421" s="84" t="n"/>
      <c r="R1421" s="84" t="n"/>
      <c r="S1421" s="84" t="n"/>
      <c r="T1421" s="84" t="n"/>
      <c r="U1421" s="84" t="n"/>
      <c r="V1421" s="84" t="n"/>
      <c r="W1421" s="84" t="n"/>
      <c r="X1421" s="84" t="n"/>
      <c r="Y1421" s="84" t="n"/>
      <c r="Z1421" s="84" t="n"/>
      <c r="AA1421" s="84" t="n"/>
      <c r="AB1421" s="84" t="n"/>
      <c r="AC1421" s="84" t="n"/>
      <c r="AD1421" s="84" t="n"/>
      <c r="AE1421" s="84" t="n"/>
      <c r="AF1421" s="84" t="n"/>
      <c r="AG1421" s="84" t="n"/>
      <c r="AH1421" s="84" t="n"/>
      <c r="AI1421" s="84" t="n"/>
      <c r="AJ1421" s="84" t="n"/>
      <c r="AK1421" s="84" t="n"/>
      <c r="AL1421" s="84" t="n"/>
      <c r="AM1421" s="84" t="n"/>
      <c r="AN1421" s="84" t="n"/>
      <c r="AO1421" s="84" t="n"/>
      <c r="AP1421" s="84" t="n"/>
      <c r="AQ1421" s="84" t="n"/>
      <c r="AR1421" s="84" t="n"/>
    </row>
    <row r="1422">
      <c r="D1422" s="80" t="n"/>
      <c r="E1422" s="80" t="n"/>
      <c r="F1422" s="80" t="n"/>
      <c r="G1422" s="80" t="n"/>
      <c r="H1422" s="80" t="n"/>
      <c r="I1422" s="80" t="n"/>
      <c r="J1422" s="80" t="n"/>
      <c r="K1422" s="80" t="n"/>
      <c r="L1422" s="80" t="n"/>
      <c r="M1422" s="80" t="n"/>
      <c r="N1422" s="80" t="n"/>
      <c r="O1422" s="80" t="n"/>
      <c r="P1422" s="80" t="n"/>
      <c r="Q1422" s="80" t="n"/>
      <c r="R1422" s="80" t="n"/>
      <c r="S1422" s="80" t="n"/>
      <c r="T1422" s="80" t="n"/>
      <c r="U1422" s="80" t="n"/>
      <c r="V1422" s="80" t="n"/>
      <c r="W1422" s="80" t="n"/>
      <c r="X1422" s="80" t="n"/>
      <c r="Y1422" s="80" t="n"/>
      <c r="Z1422" s="80" t="n"/>
      <c r="AA1422" s="80" t="n"/>
      <c r="AB1422" s="80" t="n"/>
      <c r="AC1422" s="80" t="n"/>
      <c r="AD1422" s="80" t="n"/>
      <c r="AE1422" s="80" t="n"/>
      <c r="AF1422" s="80" t="n"/>
      <c r="AG1422" s="80" t="n"/>
      <c r="AH1422" s="80" t="n"/>
      <c r="AI1422" s="80" t="n"/>
      <c r="AJ1422" s="80" t="n"/>
      <c r="AK1422" s="80" t="n"/>
      <c r="AL1422" s="80" t="n"/>
      <c r="AM1422" s="80" t="n"/>
      <c r="AN1422" s="80" t="n"/>
      <c r="AO1422" s="80" t="n"/>
      <c r="AP1422" s="80" t="n"/>
      <c r="AQ1422" s="80" t="n"/>
      <c r="AR1422" s="80" t="n"/>
    </row>
    <row r="1423">
      <c r="D1423" s="80" t="n"/>
      <c r="E1423" s="80" t="n"/>
      <c r="F1423" s="80" t="n"/>
      <c r="G1423" s="80" t="n"/>
      <c r="H1423" s="80" t="n"/>
      <c r="I1423" s="80" t="n"/>
      <c r="J1423" s="80" t="n"/>
      <c r="K1423" s="80" t="n"/>
      <c r="L1423" s="80" t="n"/>
      <c r="M1423" s="80" t="n"/>
      <c r="N1423" s="80" t="n"/>
      <c r="O1423" s="80" t="n"/>
      <c r="P1423" s="80" t="n"/>
      <c r="Q1423" s="80" t="n"/>
      <c r="R1423" s="80" t="n"/>
      <c r="S1423" s="80" t="n"/>
      <c r="T1423" s="80" t="n"/>
      <c r="U1423" s="80" t="n"/>
      <c r="V1423" s="80" t="n"/>
      <c r="W1423" s="80" t="n"/>
      <c r="X1423" s="80" t="n"/>
      <c r="Y1423" s="80" t="n"/>
      <c r="Z1423" s="80" t="n"/>
      <c r="AA1423" s="80" t="n"/>
      <c r="AB1423" s="80" t="n"/>
      <c r="AC1423" s="80" t="n"/>
      <c r="AD1423" s="80" t="n"/>
      <c r="AE1423" s="80" t="n"/>
      <c r="AF1423" s="80" t="n"/>
      <c r="AG1423" s="80" t="n"/>
      <c r="AH1423" s="80" t="n"/>
      <c r="AI1423" s="80" t="n"/>
      <c r="AJ1423" s="80" t="n"/>
      <c r="AK1423" s="80" t="n"/>
      <c r="AL1423" s="80" t="n"/>
      <c r="AM1423" s="80" t="n"/>
      <c r="AN1423" s="80" t="n"/>
      <c r="AO1423" s="80" t="n"/>
      <c r="AP1423" s="80" t="n"/>
      <c r="AQ1423" s="80" t="n"/>
      <c r="AR1423" s="80" t="n"/>
    </row>
    <row r="1424">
      <c r="D1424" s="80" t="n"/>
      <c r="E1424" s="80" t="n"/>
      <c r="F1424" s="80" t="n"/>
      <c r="G1424" s="80" t="n"/>
      <c r="H1424" s="80" t="n"/>
      <c r="I1424" s="80" t="n"/>
      <c r="J1424" s="80" t="n"/>
      <c r="K1424" s="80" t="n"/>
      <c r="L1424" s="80" t="n"/>
      <c r="M1424" s="80" t="n"/>
      <c r="N1424" s="80" t="n"/>
      <c r="O1424" s="80" t="n"/>
      <c r="P1424" s="80" t="n"/>
      <c r="Q1424" s="80" t="n"/>
      <c r="R1424" s="80" t="n"/>
      <c r="S1424" s="80" t="n"/>
      <c r="T1424" s="80" t="n"/>
      <c r="U1424" s="80" t="n"/>
      <c r="V1424" s="80" t="n"/>
      <c r="W1424" s="80" t="n"/>
      <c r="X1424" s="80" t="n"/>
      <c r="Y1424" s="80" t="n"/>
      <c r="Z1424" s="80" t="n"/>
      <c r="AA1424" s="80" t="n"/>
      <c r="AB1424" s="80" t="n"/>
      <c r="AC1424" s="80" t="n"/>
      <c r="AD1424" s="80" t="n"/>
      <c r="AE1424" s="80" t="n"/>
      <c r="AF1424" s="80" t="n"/>
      <c r="AG1424" s="80" t="n"/>
      <c r="AH1424" s="80" t="n"/>
      <c r="AI1424" s="80" t="n"/>
      <c r="AJ1424" s="80" t="n"/>
      <c r="AK1424" s="80" t="n"/>
      <c r="AL1424" s="80" t="n"/>
      <c r="AM1424" s="80" t="n"/>
      <c r="AN1424" s="80" t="n"/>
      <c r="AO1424" s="80" t="n"/>
      <c r="AP1424" s="80" t="n"/>
      <c r="AQ1424" s="80" t="n"/>
      <c r="AR1424" s="80" t="n"/>
    </row>
    <row r="1425">
      <c r="D1425" s="80" t="n"/>
      <c r="E1425" s="80" t="n"/>
      <c r="F1425" s="80" t="n"/>
      <c r="G1425" s="80" t="n"/>
      <c r="H1425" s="80" t="n"/>
      <c r="I1425" s="80" t="n"/>
      <c r="J1425" s="80" t="n"/>
      <c r="K1425" s="80" t="n"/>
      <c r="L1425" s="80" t="n"/>
      <c r="M1425" s="80" t="n"/>
      <c r="N1425" s="80" t="n"/>
      <c r="O1425" s="80" t="n"/>
      <c r="P1425" s="80" t="n"/>
      <c r="Q1425" s="80" t="n"/>
      <c r="R1425" s="80" t="n"/>
      <c r="S1425" s="80" t="n"/>
      <c r="T1425" s="80" t="n"/>
      <c r="U1425" s="80" t="n"/>
      <c r="V1425" s="80" t="n"/>
      <c r="W1425" s="80" t="n"/>
      <c r="X1425" s="80" t="n"/>
      <c r="Y1425" s="80" t="n"/>
      <c r="Z1425" s="80" t="n"/>
      <c r="AA1425" s="80" t="n"/>
      <c r="AB1425" s="80" t="n"/>
      <c r="AC1425" s="80" t="n"/>
      <c r="AD1425" s="80" t="n"/>
      <c r="AE1425" s="80" t="n"/>
      <c r="AF1425" s="80" t="n"/>
      <c r="AG1425" s="80" t="n"/>
      <c r="AH1425" s="80" t="n"/>
      <c r="AI1425" s="80" t="n"/>
      <c r="AJ1425" s="80" t="n"/>
      <c r="AK1425" s="80" t="n"/>
      <c r="AL1425" s="80" t="n"/>
      <c r="AM1425" s="80" t="n"/>
      <c r="AN1425" s="80" t="n"/>
      <c r="AO1425" s="80" t="n"/>
      <c r="AP1425" s="80" t="n"/>
      <c r="AQ1425" s="80" t="n"/>
      <c r="AR1425" s="80" t="n"/>
    </row>
    <row r="1426">
      <c r="A1426" s="2">
        <f>IF($A1419="","","   projections")</f>
        <v/>
      </c>
      <c r="B1426" s="41">
        <f>IF($A1419="",0,COUNT($E1427:$AR1427))</f>
        <v/>
      </c>
      <c r="C1426" s="81">
        <f>IF($B1426=0,0,MAX($E1427:$AR1427))</f>
        <v/>
      </c>
      <c r="D1426" s="82">
        <f>BDS($A1419,'Field Check'!$C$6,"headers=y","startcol=1","endcol=7","dir=h")</f>
        <v/>
      </c>
      <c r="E1426" s="83" t="n"/>
      <c r="F1426" s="83" t="n"/>
      <c r="G1426" s="83" t="n"/>
      <c r="H1426" s="83" t="n"/>
      <c r="I1426" s="83" t="n"/>
      <c r="J1426" s="83" t="n"/>
      <c r="K1426" s="83" t="n"/>
      <c r="L1426" s="83" t="n"/>
      <c r="M1426" s="83" t="n"/>
      <c r="N1426" s="83" t="n"/>
      <c r="O1426" s="83" t="n"/>
      <c r="P1426" s="83" t="n"/>
      <c r="Q1426" s="83" t="n"/>
      <c r="R1426" s="83" t="n"/>
      <c r="S1426" s="83" t="n"/>
      <c r="T1426" s="83" t="n"/>
      <c r="U1426" s="83" t="n"/>
      <c r="V1426" s="83" t="n"/>
      <c r="W1426" s="83" t="n"/>
      <c r="X1426" s="83" t="n"/>
      <c r="Y1426" s="83" t="n"/>
      <c r="Z1426" s="83" t="n"/>
      <c r="AA1426" s="83" t="n"/>
      <c r="AB1426" s="83" t="n"/>
      <c r="AC1426" s="83" t="n"/>
      <c r="AD1426" s="83" t="n"/>
      <c r="AE1426" s="83" t="n"/>
      <c r="AF1426" s="83" t="n"/>
      <c r="AG1426" s="83" t="n"/>
      <c r="AH1426" s="83" t="n"/>
      <c r="AI1426" s="83" t="n"/>
      <c r="AJ1426" s="83" t="n"/>
      <c r="AK1426" s="83" t="n"/>
      <c r="AL1426" s="83" t="n"/>
      <c r="AM1426" s="83" t="n"/>
      <c r="AN1426" s="83" t="n"/>
      <c r="AO1426" s="83" t="n"/>
      <c r="AP1426" s="83" t="n"/>
      <c r="AQ1426" s="83" t="n"/>
      <c r="AR1426" s="83" t="n"/>
    </row>
    <row r="1427">
      <c r="D1427" s="83" t="n"/>
      <c r="E1427" s="83" t="n"/>
      <c r="F1427" s="83" t="n"/>
      <c r="G1427" s="83" t="n"/>
      <c r="H1427" s="83" t="n"/>
      <c r="I1427" s="83" t="n"/>
      <c r="J1427" s="83" t="n"/>
      <c r="K1427" s="83" t="n"/>
      <c r="L1427" s="83" t="n"/>
      <c r="M1427" s="83" t="n"/>
      <c r="N1427" s="83" t="n"/>
      <c r="O1427" s="83" t="n"/>
      <c r="P1427" s="83" t="n"/>
      <c r="Q1427" s="83" t="n"/>
      <c r="R1427" s="83" t="n"/>
      <c r="S1427" s="83" t="n"/>
      <c r="T1427" s="83" t="n"/>
      <c r="U1427" s="83" t="n"/>
      <c r="V1427" s="83" t="n"/>
      <c r="W1427" s="83" t="n"/>
      <c r="X1427" s="83" t="n"/>
      <c r="Y1427" s="83" t="n"/>
      <c r="Z1427" s="83" t="n"/>
      <c r="AA1427" s="83" t="n"/>
      <c r="AB1427" s="83" t="n"/>
      <c r="AC1427" s="83" t="n"/>
      <c r="AD1427" s="83" t="n"/>
      <c r="AE1427" s="83" t="n"/>
      <c r="AF1427" s="83" t="n"/>
      <c r="AG1427" s="83" t="n"/>
      <c r="AH1427" s="83" t="n"/>
      <c r="AI1427" s="83" t="n"/>
      <c r="AJ1427" s="83" t="n"/>
      <c r="AK1427" s="83" t="n"/>
      <c r="AL1427" s="83" t="n"/>
      <c r="AM1427" s="83" t="n"/>
      <c r="AN1427" s="83" t="n"/>
      <c r="AO1427" s="83" t="n"/>
      <c r="AP1427" s="83" t="n"/>
      <c r="AQ1427" s="83" t="n"/>
      <c r="AR1427" s="83" t="n"/>
    </row>
    <row r="1428">
      <c r="D1428" s="84" t="n"/>
      <c r="E1428" s="84" t="n"/>
      <c r="F1428" s="84" t="n"/>
      <c r="G1428" s="84" t="n"/>
      <c r="H1428" s="84" t="n"/>
      <c r="I1428" s="84" t="n"/>
      <c r="J1428" s="84" t="n"/>
      <c r="K1428" s="84" t="n"/>
      <c r="L1428" s="84" t="n"/>
      <c r="M1428" s="84" t="n"/>
      <c r="N1428" s="84" t="n"/>
      <c r="O1428" s="84" t="n"/>
      <c r="P1428" s="84" t="n"/>
      <c r="Q1428" s="84" t="n"/>
      <c r="R1428" s="84" t="n"/>
      <c r="S1428" s="84" t="n"/>
      <c r="T1428" s="84" t="n"/>
      <c r="U1428" s="84" t="n"/>
      <c r="V1428" s="84" t="n"/>
      <c r="W1428" s="84" t="n"/>
      <c r="X1428" s="84" t="n"/>
      <c r="Y1428" s="84" t="n"/>
      <c r="Z1428" s="84" t="n"/>
      <c r="AA1428" s="84" t="n"/>
      <c r="AB1428" s="84" t="n"/>
      <c r="AC1428" s="84" t="n"/>
      <c r="AD1428" s="84" t="n"/>
      <c r="AE1428" s="84" t="n"/>
      <c r="AF1428" s="84" t="n"/>
      <c r="AG1428" s="84" t="n"/>
      <c r="AH1428" s="84" t="n"/>
      <c r="AI1428" s="84" t="n"/>
      <c r="AJ1428" s="84" t="n"/>
      <c r="AK1428" s="84" t="n"/>
      <c r="AL1428" s="84" t="n"/>
      <c r="AM1428" s="84" t="n"/>
      <c r="AN1428" s="84" t="n"/>
      <c r="AO1428" s="84" t="n"/>
      <c r="AP1428" s="84" t="n"/>
      <c r="AQ1428" s="84" t="n"/>
      <c r="AR1428" s="84" t="n"/>
    </row>
    <row r="1429">
      <c r="D1429" s="80" t="n"/>
      <c r="E1429" s="80" t="n"/>
      <c r="F1429" s="80" t="n"/>
      <c r="G1429" s="80" t="n"/>
      <c r="H1429" s="80" t="n"/>
      <c r="I1429" s="80" t="n"/>
      <c r="J1429" s="80" t="n"/>
      <c r="K1429" s="80" t="n"/>
      <c r="L1429" s="80" t="n"/>
      <c r="M1429" s="80" t="n"/>
      <c r="N1429" s="80" t="n"/>
      <c r="O1429" s="80" t="n"/>
      <c r="P1429" s="80" t="n"/>
      <c r="Q1429" s="80" t="n"/>
      <c r="R1429" s="80" t="n"/>
      <c r="S1429" s="80" t="n"/>
      <c r="T1429" s="80" t="n"/>
      <c r="U1429" s="80" t="n"/>
      <c r="V1429" s="80" t="n"/>
      <c r="W1429" s="80" t="n"/>
      <c r="X1429" s="80" t="n"/>
      <c r="Y1429" s="80" t="n"/>
      <c r="Z1429" s="80" t="n"/>
      <c r="AA1429" s="80" t="n"/>
      <c r="AB1429" s="80" t="n"/>
      <c r="AC1429" s="80" t="n"/>
      <c r="AD1429" s="80" t="n"/>
      <c r="AE1429" s="80" t="n"/>
      <c r="AF1429" s="80" t="n"/>
      <c r="AG1429" s="80" t="n"/>
      <c r="AH1429" s="80" t="n"/>
      <c r="AI1429" s="80" t="n"/>
      <c r="AJ1429" s="80" t="n"/>
      <c r="AK1429" s="80" t="n"/>
      <c r="AL1429" s="80" t="n"/>
      <c r="AM1429" s="80" t="n"/>
      <c r="AN1429" s="80" t="n"/>
      <c r="AO1429" s="80" t="n"/>
      <c r="AP1429" s="80" t="n"/>
      <c r="AQ1429" s="80" t="n"/>
      <c r="AR1429" s="80" t="n"/>
    </row>
    <row r="1430">
      <c r="D1430" s="80" t="n"/>
      <c r="E1430" s="80" t="n"/>
      <c r="F1430" s="80" t="n"/>
      <c r="G1430" s="80" t="n"/>
      <c r="H1430" s="80" t="n"/>
      <c r="I1430" s="80" t="n"/>
      <c r="J1430" s="80" t="n"/>
      <c r="K1430" s="80" t="n"/>
      <c r="L1430" s="80" t="n"/>
      <c r="M1430" s="80" t="n"/>
      <c r="N1430" s="80" t="n"/>
      <c r="O1430" s="80" t="n"/>
      <c r="P1430" s="80" t="n"/>
      <c r="Q1430" s="80" t="n"/>
      <c r="R1430" s="80" t="n"/>
      <c r="S1430" s="80" t="n"/>
      <c r="T1430" s="80" t="n"/>
      <c r="U1430" s="80" t="n"/>
      <c r="V1430" s="80" t="n"/>
      <c r="W1430" s="80" t="n"/>
      <c r="X1430" s="80" t="n"/>
      <c r="Y1430" s="80" t="n"/>
      <c r="Z1430" s="80" t="n"/>
      <c r="AA1430" s="80" t="n"/>
      <c r="AB1430" s="80" t="n"/>
      <c r="AC1430" s="80" t="n"/>
      <c r="AD1430" s="80" t="n"/>
      <c r="AE1430" s="80" t="n"/>
      <c r="AF1430" s="80" t="n"/>
      <c r="AG1430" s="80" t="n"/>
      <c r="AH1430" s="80" t="n"/>
      <c r="AI1430" s="80" t="n"/>
      <c r="AJ1430" s="80" t="n"/>
      <c r="AK1430" s="80" t="n"/>
      <c r="AL1430" s="80" t="n"/>
      <c r="AM1430" s="80" t="n"/>
      <c r="AN1430" s="80" t="n"/>
      <c r="AO1430" s="80" t="n"/>
      <c r="AP1430" s="80" t="n"/>
      <c r="AQ1430" s="80" t="n"/>
      <c r="AR1430" s="80" t="n"/>
    </row>
    <row r="1431">
      <c r="D1431" s="80" t="n"/>
      <c r="E1431" s="80" t="n"/>
      <c r="F1431" s="80" t="n"/>
      <c r="G1431" s="80" t="n"/>
      <c r="H1431" s="80" t="n"/>
      <c r="I1431" s="80" t="n"/>
      <c r="J1431" s="80" t="n"/>
      <c r="K1431" s="80" t="n"/>
      <c r="L1431" s="80" t="n"/>
      <c r="M1431" s="80" t="n"/>
      <c r="N1431" s="80" t="n"/>
      <c r="O1431" s="80" t="n"/>
      <c r="P1431" s="80" t="n"/>
      <c r="Q1431" s="80" t="n"/>
      <c r="R1431" s="80" t="n"/>
      <c r="S1431" s="80" t="n"/>
      <c r="T1431" s="80" t="n"/>
      <c r="U1431" s="80" t="n"/>
      <c r="V1431" s="80" t="n"/>
      <c r="W1431" s="80" t="n"/>
      <c r="X1431" s="80" t="n"/>
      <c r="Y1431" s="80" t="n"/>
      <c r="Z1431" s="80" t="n"/>
      <c r="AA1431" s="80" t="n"/>
      <c r="AB1431" s="80" t="n"/>
      <c r="AC1431" s="80" t="n"/>
      <c r="AD1431" s="80" t="n"/>
      <c r="AE1431" s="80" t="n"/>
      <c r="AF1431" s="80" t="n"/>
      <c r="AG1431" s="80" t="n"/>
      <c r="AH1431" s="80" t="n"/>
      <c r="AI1431" s="80" t="n"/>
      <c r="AJ1431" s="80" t="n"/>
      <c r="AK1431" s="80" t="n"/>
      <c r="AL1431" s="80" t="n"/>
      <c r="AM1431" s="80" t="n"/>
      <c r="AN1431" s="80" t="n"/>
      <c r="AO1431" s="80" t="n"/>
      <c r="AP1431" s="80" t="n"/>
      <c r="AQ1431" s="80" t="n"/>
      <c r="AR1431" s="80" t="n"/>
    </row>
    <row r="1432">
      <c r="D1432" s="80" t="n"/>
      <c r="E1432" s="80" t="n"/>
      <c r="F1432" s="80" t="n"/>
      <c r="G1432" s="80" t="n"/>
      <c r="H1432" s="80" t="n"/>
      <c r="I1432" s="80" t="n"/>
      <c r="J1432" s="80" t="n"/>
      <c r="K1432" s="80" t="n"/>
      <c r="L1432" s="80" t="n"/>
      <c r="M1432" s="80" t="n"/>
      <c r="N1432" s="80" t="n"/>
      <c r="O1432" s="80" t="n"/>
      <c r="P1432" s="80" t="n"/>
      <c r="Q1432" s="80" t="n"/>
      <c r="R1432" s="80" t="n"/>
      <c r="S1432" s="80" t="n"/>
      <c r="T1432" s="80" t="n"/>
      <c r="U1432" s="80" t="n"/>
      <c r="V1432" s="80" t="n"/>
      <c r="W1432" s="80" t="n"/>
      <c r="X1432" s="80" t="n"/>
      <c r="Y1432" s="80" t="n"/>
      <c r="Z1432" s="80" t="n"/>
      <c r="AA1432" s="80" t="n"/>
      <c r="AB1432" s="80" t="n"/>
      <c r="AC1432" s="80" t="n"/>
      <c r="AD1432" s="80" t="n"/>
      <c r="AE1432" s="80" t="n"/>
      <c r="AF1432" s="80" t="n"/>
      <c r="AG1432" s="80" t="n"/>
      <c r="AH1432" s="80" t="n"/>
      <c r="AI1432" s="80" t="n"/>
      <c r="AJ1432" s="80" t="n"/>
      <c r="AK1432" s="80" t="n"/>
      <c r="AL1432" s="80" t="n"/>
      <c r="AM1432" s="80" t="n"/>
      <c r="AN1432" s="80" t="n"/>
      <c r="AO1432" s="80" t="n"/>
      <c r="AP1432" s="80" t="n"/>
      <c r="AQ1432" s="80" t="n"/>
      <c r="AR1432" s="80" t="n"/>
    </row>
    <row r="1434">
      <c r="A1434" s="6">
        <f>IF(HSI!$C$102="","",HSI!$C$102)</f>
        <v/>
      </c>
      <c r="B1434" s="41">
        <f>IF($A1434="",0,COUNT($E1435:$AR1435))</f>
        <v/>
      </c>
      <c r="C1434" s="81">
        <f>IF($B1434=0,0,MAX($E1435:$AR1435))</f>
        <v/>
      </c>
      <c r="D1434" s="82">
        <f>BDS($A1434,'Field Check'!$C$7,"headers=y","startcol=1","endcol=7","dir=h","DVD_START_DT",Summary!$C$18,"DVD_END_DT",Summary!$D$18)</f>
        <v/>
      </c>
      <c r="E1434" s="83" t="n"/>
      <c r="F1434" s="83" t="n"/>
      <c r="G1434" s="83" t="n"/>
      <c r="H1434" s="83" t="n"/>
      <c r="I1434" s="83" t="n"/>
      <c r="J1434" s="83" t="n"/>
      <c r="K1434" s="83" t="n"/>
      <c r="L1434" s="83" t="n"/>
      <c r="M1434" s="83" t="n"/>
      <c r="N1434" s="83" t="n"/>
      <c r="O1434" s="83" t="n"/>
      <c r="P1434" s="83" t="n"/>
      <c r="Q1434" s="83" t="n"/>
      <c r="R1434" s="83" t="n"/>
      <c r="S1434" s="83" t="n"/>
      <c r="T1434" s="83" t="n"/>
      <c r="U1434" s="83" t="n"/>
      <c r="V1434" s="83" t="n"/>
      <c r="W1434" s="83" t="n"/>
      <c r="X1434" s="83" t="n"/>
      <c r="Y1434" s="83" t="n"/>
      <c r="Z1434" s="83" t="n"/>
      <c r="AA1434" s="83" t="n"/>
      <c r="AB1434" s="83" t="n"/>
      <c r="AC1434" s="83" t="n"/>
      <c r="AD1434" s="83" t="n"/>
      <c r="AE1434" s="83" t="n"/>
      <c r="AF1434" s="83" t="n"/>
      <c r="AG1434" s="83" t="n"/>
      <c r="AH1434" s="83" t="n"/>
      <c r="AI1434" s="83" t="n"/>
      <c r="AJ1434" s="83" t="n"/>
      <c r="AK1434" s="83" t="n"/>
      <c r="AL1434" s="83" t="n"/>
      <c r="AM1434" s="83" t="n"/>
      <c r="AN1434" s="83" t="n"/>
      <c r="AO1434" s="83" t="n"/>
      <c r="AP1434" s="83" t="n"/>
      <c r="AQ1434" s="83" t="n"/>
      <c r="AR1434" s="83" t="n"/>
    </row>
    <row r="1435">
      <c r="D1435" s="83" t="n"/>
      <c r="E1435" s="83" t="n"/>
      <c r="F1435" s="83" t="n"/>
      <c r="G1435" s="83" t="n"/>
      <c r="H1435" s="83" t="n"/>
      <c r="I1435" s="83" t="n"/>
      <c r="J1435" s="83" t="n"/>
      <c r="K1435" s="83" t="n"/>
      <c r="L1435" s="83" t="n"/>
      <c r="M1435" s="83" t="n"/>
      <c r="N1435" s="83" t="n"/>
      <c r="O1435" s="83" t="n"/>
      <c r="P1435" s="83" t="n"/>
      <c r="Q1435" s="83" t="n"/>
      <c r="R1435" s="83" t="n"/>
      <c r="S1435" s="83" t="n"/>
      <c r="T1435" s="83" t="n"/>
      <c r="U1435" s="83" t="n"/>
      <c r="V1435" s="83" t="n"/>
      <c r="W1435" s="83" t="n"/>
      <c r="X1435" s="83" t="n"/>
      <c r="Y1435" s="83" t="n"/>
      <c r="Z1435" s="83" t="n"/>
      <c r="AA1435" s="83" t="n"/>
      <c r="AB1435" s="83" t="n"/>
      <c r="AC1435" s="83" t="n"/>
      <c r="AD1435" s="83" t="n"/>
      <c r="AE1435" s="83" t="n"/>
      <c r="AF1435" s="83" t="n"/>
      <c r="AG1435" s="83" t="n"/>
      <c r="AH1435" s="83" t="n"/>
      <c r="AI1435" s="83" t="n"/>
      <c r="AJ1435" s="83" t="n"/>
      <c r="AK1435" s="83" t="n"/>
      <c r="AL1435" s="83" t="n"/>
      <c r="AM1435" s="83" t="n"/>
      <c r="AN1435" s="83" t="n"/>
      <c r="AO1435" s="83" t="n"/>
      <c r="AP1435" s="83" t="n"/>
      <c r="AQ1435" s="83" t="n"/>
      <c r="AR1435" s="83" t="n"/>
    </row>
    <row r="1436">
      <c r="D1436" s="84" t="n"/>
      <c r="E1436" s="84" t="n"/>
      <c r="F1436" s="84" t="n"/>
      <c r="G1436" s="84" t="n"/>
      <c r="H1436" s="84" t="n"/>
      <c r="I1436" s="84" t="n"/>
      <c r="J1436" s="84" t="n"/>
      <c r="K1436" s="84" t="n"/>
      <c r="L1436" s="84" t="n"/>
      <c r="M1436" s="84" t="n"/>
      <c r="N1436" s="84" t="n"/>
      <c r="O1436" s="84" t="n"/>
      <c r="P1436" s="84" t="n"/>
      <c r="Q1436" s="84" t="n"/>
      <c r="R1436" s="84" t="n"/>
      <c r="S1436" s="84" t="n"/>
      <c r="T1436" s="84" t="n"/>
      <c r="U1436" s="84" t="n"/>
      <c r="V1436" s="84" t="n"/>
      <c r="W1436" s="84" t="n"/>
      <c r="X1436" s="84" t="n"/>
      <c r="Y1436" s="84" t="n"/>
      <c r="Z1436" s="84" t="n"/>
      <c r="AA1436" s="84" t="n"/>
      <c r="AB1436" s="84" t="n"/>
      <c r="AC1436" s="84" t="n"/>
      <c r="AD1436" s="84" t="n"/>
      <c r="AE1436" s="84" t="n"/>
      <c r="AF1436" s="84" t="n"/>
      <c r="AG1436" s="84" t="n"/>
      <c r="AH1436" s="84" t="n"/>
      <c r="AI1436" s="84" t="n"/>
      <c r="AJ1436" s="84" t="n"/>
      <c r="AK1436" s="84" t="n"/>
      <c r="AL1436" s="84" t="n"/>
      <c r="AM1436" s="84" t="n"/>
      <c r="AN1436" s="84" t="n"/>
      <c r="AO1436" s="84" t="n"/>
      <c r="AP1436" s="84" t="n"/>
      <c r="AQ1436" s="84" t="n"/>
      <c r="AR1436" s="84" t="n"/>
    </row>
    <row r="1437">
      <c r="D1437" s="80" t="n"/>
      <c r="E1437" s="80" t="n"/>
      <c r="F1437" s="80" t="n"/>
      <c r="G1437" s="80" t="n"/>
      <c r="H1437" s="80" t="n"/>
      <c r="I1437" s="80" t="n"/>
      <c r="J1437" s="80" t="n"/>
      <c r="K1437" s="80" t="n"/>
      <c r="L1437" s="80" t="n"/>
      <c r="M1437" s="80" t="n"/>
      <c r="N1437" s="80" t="n"/>
      <c r="O1437" s="80" t="n"/>
      <c r="P1437" s="80" t="n"/>
      <c r="Q1437" s="80" t="n"/>
      <c r="R1437" s="80" t="n"/>
      <c r="S1437" s="80" t="n"/>
      <c r="T1437" s="80" t="n"/>
      <c r="U1437" s="80" t="n"/>
      <c r="V1437" s="80" t="n"/>
      <c r="W1437" s="80" t="n"/>
      <c r="X1437" s="80" t="n"/>
      <c r="Y1437" s="80" t="n"/>
      <c r="Z1437" s="80" t="n"/>
      <c r="AA1437" s="80" t="n"/>
      <c r="AB1437" s="80" t="n"/>
      <c r="AC1437" s="80" t="n"/>
      <c r="AD1437" s="80" t="n"/>
      <c r="AE1437" s="80" t="n"/>
      <c r="AF1437" s="80" t="n"/>
      <c r="AG1437" s="80" t="n"/>
      <c r="AH1437" s="80" t="n"/>
      <c r="AI1437" s="80" t="n"/>
      <c r="AJ1437" s="80" t="n"/>
      <c r="AK1437" s="80" t="n"/>
      <c r="AL1437" s="80" t="n"/>
      <c r="AM1437" s="80" t="n"/>
      <c r="AN1437" s="80" t="n"/>
      <c r="AO1437" s="80" t="n"/>
      <c r="AP1437" s="80" t="n"/>
      <c r="AQ1437" s="80" t="n"/>
      <c r="AR1437" s="80" t="n"/>
    </row>
    <row r="1438">
      <c r="D1438" s="80" t="n"/>
      <c r="E1438" s="80" t="n"/>
      <c r="F1438" s="80" t="n"/>
      <c r="G1438" s="80" t="n"/>
      <c r="H1438" s="80" t="n"/>
      <c r="I1438" s="80" t="n"/>
      <c r="J1438" s="80" t="n"/>
      <c r="K1438" s="80" t="n"/>
      <c r="L1438" s="80" t="n"/>
      <c r="M1438" s="80" t="n"/>
      <c r="N1438" s="80" t="n"/>
      <c r="O1438" s="80" t="n"/>
      <c r="P1438" s="80" t="n"/>
      <c r="Q1438" s="80" t="n"/>
      <c r="R1438" s="80" t="n"/>
      <c r="S1438" s="80" t="n"/>
      <c r="T1438" s="80" t="n"/>
      <c r="U1438" s="80" t="n"/>
      <c r="V1438" s="80" t="n"/>
      <c r="W1438" s="80" t="n"/>
      <c r="X1438" s="80" t="n"/>
      <c r="Y1438" s="80" t="n"/>
      <c r="Z1438" s="80" t="n"/>
      <c r="AA1438" s="80" t="n"/>
      <c r="AB1438" s="80" t="n"/>
      <c r="AC1438" s="80" t="n"/>
      <c r="AD1438" s="80" t="n"/>
      <c r="AE1438" s="80" t="n"/>
      <c r="AF1438" s="80" t="n"/>
      <c r="AG1438" s="80" t="n"/>
      <c r="AH1438" s="80" t="n"/>
      <c r="AI1438" s="80" t="n"/>
      <c r="AJ1438" s="80" t="n"/>
      <c r="AK1438" s="80" t="n"/>
      <c r="AL1438" s="80" t="n"/>
      <c r="AM1438" s="80" t="n"/>
      <c r="AN1438" s="80" t="n"/>
      <c r="AO1438" s="80" t="n"/>
      <c r="AP1438" s="80" t="n"/>
      <c r="AQ1438" s="80" t="n"/>
      <c r="AR1438" s="80" t="n"/>
    </row>
    <row r="1439">
      <c r="D1439" s="80" t="n"/>
      <c r="E1439" s="80" t="n"/>
      <c r="F1439" s="80" t="n"/>
      <c r="G1439" s="80" t="n"/>
      <c r="H1439" s="80" t="n"/>
      <c r="I1439" s="80" t="n"/>
      <c r="J1439" s="80" t="n"/>
      <c r="K1439" s="80" t="n"/>
      <c r="L1439" s="80" t="n"/>
      <c r="M1439" s="80" t="n"/>
      <c r="N1439" s="80" t="n"/>
      <c r="O1439" s="80" t="n"/>
      <c r="P1439" s="80" t="n"/>
      <c r="Q1439" s="80" t="n"/>
      <c r="R1439" s="80" t="n"/>
      <c r="S1439" s="80" t="n"/>
      <c r="T1439" s="80" t="n"/>
      <c r="U1439" s="80" t="n"/>
      <c r="V1439" s="80" t="n"/>
      <c r="W1439" s="80" t="n"/>
      <c r="X1439" s="80" t="n"/>
      <c r="Y1439" s="80" t="n"/>
      <c r="Z1439" s="80" t="n"/>
      <c r="AA1439" s="80" t="n"/>
      <c r="AB1439" s="80" t="n"/>
      <c r="AC1439" s="80" t="n"/>
      <c r="AD1439" s="80" t="n"/>
      <c r="AE1439" s="80" t="n"/>
      <c r="AF1439" s="80" t="n"/>
      <c r="AG1439" s="80" t="n"/>
      <c r="AH1439" s="80" t="n"/>
      <c r="AI1439" s="80" t="n"/>
      <c r="AJ1439" s="80" t="n"/>
      <c r="AK1439" s="80" t="n"/>
      <c r="AL1439" s="80" t="n"/>
      <c r="AM1439" s="80" t="n"/>
      <c r="AN1439" s="80" t="n"/>
      <c r="AO1439" s="80" t="n"/>
      <c r="AP1439" s="80" t="n"/>
      <c r="AQ1439" s="80" t="n"/>
      <c r="AR1439" s="80" t="n"/>
    </row>
    <row r="1440">
      <c r="D1440" s="80" t="n"/>
      <c r="E1440" s="80" t="n"/>
      <c r="F1440" s="80" t="n"/>
      <c r="G1440" s="80" t="n"/>
      <c r="H1440" s="80" t="n"/>
      <c r="I1440" s="80" t="n"/>
      <c r="J1440" s="80" t="n"/>
      <c r="K1440" s="80" t="n"/>
      <c r="L1440" s="80" t="n"/>
      <c r="M1440" s="80" t="n"/>
      <c r="N1440" s="80" t="n"/>
      <c r="O1440" s="80" t="n"/>
      <c r="P1440" s="80" t="n"/>
      <c r="Q1440" s="80" t="n"/>
      <c r="R1440" s="80" t="n"/>
      <c r="S1440" s="80" t="n"/>
      <c r="T1440" s="80" t="n"/>
      <c r="U1440" s="80" t="n"/>
      <c r="V1440" s="80" t="n"/>
      <c r="W1440" s="80" t="n"/>
      <c r="X1440" s="80" t="n"/>
      <c r="Y1440" s="80" t="n"/>
      <c r="Z1440" s="80" t="n"/>
      <c r="AA1440" s="80" t="n"/>
      <c r="AB1440" s="80" t="n"/>
      <c r="AC1440" s="80" t="n"/>
      <c r="AD1440" s="80" t="n"/>
      <c r="AE1440" s="80" t="n"/>
      <c r="AF1440" s="80" t="n"/>
      <c r="AG1440" s="80" t="n"/>
      <c r="AH1440" s="80" t="n"/>
      <c r="AI1440" s="80" t="n"/>
      <c r="AJ1440" s="80" t="n"/>
      <c r="AK1440" s="80" t="n"/>
      <c r="AL1440" s="80" t="n"/>
      <c r="AM1440" s="80" t="n"/>
      <c r="AN1440" s="80" t="n"/>
      <c r="AO1440" s="80" t="n"/>
      <c r="AP1440" s="80" t="n"/>
      <c r="AQ1440" s="80" t="n"/>
      <c r="AR1440" s="80" t="n"/>
    </row>
    <row r="1441">
      <c r="A1441" s="2">
        <f>IF($A1434="","","   projections")</f>
        <v/>
      </c>
      <c r="B1441" s="41">
        <f>IF($A1434="",0,COUNT($E1442:$AR1442))</f>
        <v/>
      </c>
      <c r="C1441" s="81">
        <f>IF($B1441=0,0,MAX($E1442:$AR1442))</f>
        <v/>
      </c>
      <c r="D1441" s="82">
        <f>BDS($A1434,'Field Check'!$C$6,"headers=y","startcol=1","endcol=7","dir=h")</f>
        <v/>
      </c>
      <c r="E1441" s="83" t="n"/>
      <c r="F1441" s="83" t="n"/>
      <c r="G1441" s="83" t="n"/>
      <c r="H1441" s="83" t="n"/>
      <c r="I1441" s="83" t="n"/>
      <c r="J1441" s="83" t="n"/>
      <c r="K1441" s="83" t="n"/>
      <c r="L1441" s="83" t="n"/>
      <c r="M1441" s="83" t="n"/>
      <c r="N1441" s="83" t="n"/>
      <c r="O1441" s="83" t="n"/>
      <c r="P1441" s="83" t="n"/>
      <c r="Q1441" s="83" t="n"/>
      <c r="R1441" s="83" t="n"/>
      <c r="S1441" s="83" t="n"/>
      <c r="T1441" s="83" t="n"/>
      <c r="U1441" s="83" t="n"/>
      <c r="V1441" s="83" t="n"/>
      <c r="W1441" s="83" t="n"/>
      <c r="X1441" s="83" t="n"/>
      <c r="Y1441" s="83" t="n"/>
      <c r="Z1441" s="83" t="n"/>
      <c r="AA1441" s="83" t="n"/>
      <c r="AB1441" s="83" t="n"/>
      <c r="AC1441" s="83" t="n"/>
      <c r="AD1441" s="83" t="n"/>
      <c r="AE1441" s="83" t="n"/>
      <c r="AF1441" s="83" t="n"/>
      <c r="AG1441" s="83" t="n"/>
      <c r="AH1441" s="83" t="n"/>
      <c r="AI1441" s="83" t="n"/>
      <c r="AJ1441" s="83" t="n"/>
      <c r="AK1441" s="83" t="n"/>
      <c r="AL1441" s="83" t="n"/>
      <c r="AM1441" s="83" t="n"/>
      <c r="AN1441" s="83" t="n"/>
      <c r="AO1441" s="83" t="n"/>
      <c r="AP1441" s="83" t="n"/>
      <c r="AQ1441" s="83" t="n"/>
      <c r="AR1441" s="83" t="n"/>
    </row>
    <row r="1442">
      <c r="D1442" s="83" t="n"/>
      <c r="E1442" s="83" t="n"/>
      <c r="F1442" s="83" t="n"/>
      <c r="G1442" s="83" t="n"/>
      <c r="H1442" s="83" t="n"/>
      <c r="I1442" s="83" t="n"/>
      <c r="J1442" s="83" t="n"/>
      <c r="K1442" s="83" t="n"/>
      <c r="L1442" s="83" t="n"/>
      <c r="M1442" s="83" t="n"/>
      <c r="N1442" s="83" t="n"/>
      <c r="O1442" s="83" t="n"/>
      <c r="P1442" s="83" t="n"/>
      <c r="Q1442" s="83" t="n"/>
      <c r="R1442" s="83" t="n"/>
      <c r="S1442" s="83" t="n"/>
      <c r="T1442" s="83" t="n"/>
      <c r="U1442" s="83" t="n"/>
      <c r="V1442" s="83" t="n"/>
      <c r="W1442" s="83" t="n"/>
      <c r="X1442" s="83" t="n"/>
      <c r="Y1442" s="83" t="n"/>
      <c r="Z1442" s="83" t="n"/>
      <c r="AA1442" s="83" t="n"/>
      <c r="AB1442" s="83" t="n"/>
      <c r="AC1442" s="83" t="n"/>
      <c r="AD1442" s="83" t="n"/>
      <c r="AE1442" s="83" t="n"/>
      <c r="AF1442" s="83" t="n"/>
      <c r="AG1442" s="83" t="n"/>
      <c r="AH1442" s="83" t="n"/>
      <c r="AI1442" s="83" t="n"/>
      <c r="AJ1442" s="83" t="n"/>
      <c r="AK1442" s="83" t="n"/>
      <c r="AL1442" s="83" t="n"/>
      <c r="AM1442" s="83" t="n"/>
      <c r="AN1442" s="83" t="n"/>
      <c r="AO1442" s="83" t="n"/>
      <c r="AP1442" s="83" t="n"/>
      <c r="AQ1442" s="83" t="n"/>
      <c r="AR1442" s="83" t="n"/>
    </row>
    <row r="1443">
      <c r="D1443" s="84" t="n"/>
      <c r="E1443" s="84" t="n"/>
      <c r="F1443" s="84" t="n"/>
      <c r="G1443" s="84" t="n"/>
      <c r="H1443" s="84" t="n"/>
      <c r="I1443" s="84" t="n"/>
      <c r="J1443" s="84" t="n"/>
      <c r="K1443" s="84" t="n"/>
      <c r="L1443" s="84" t="n"/>
      <c r="M1443" s="84" t="n"/>
      <c r="N1443" s="84" t="n"/>
      <c r="O1443" s="84" t="n"/>
      <c r="P1443" s="84" t="n"/>
      <c r="Q1443" s="84" t="n"/>
      <c r="R1443" s="84" t="n"/>
      <c r="S1443" s="84" t="n"/>
      <c r="T1443" s="84" t="n"/>
      <c r="U1443" s="84" t="n"/>
      <c r="V1443" s="84" t="n"/>
      <c r="W1443" s="84" t="n"/>
      <c r="X1443" s="84" t="n"/>
      <c r="Y1443" s="84" t="n"/>
      <c r="Z1443" s="84" t="n"/>
      <c r="AA1443" s="84" t="n"/>
      <c r="AB1443" s="84" t="n"/>
      <c r="AC1443" s="84" t="n"/>
      <c r="AD1443" s="84" t="n"/>
      <c r="AE1443" s="84" t="n"/>
      <c r="AF1443" s="84" t="n"/>
      <c r="AG1443" s="84" t="n"/>
      <c r="AH1443" s="84" t="n"/>
      <c r="AI1443" s="84" t="n"/>
      <c r="AJ1443" s="84" t="n"/>
      <c r="AK1443" s="84" t="n"/>
      <c r="AL1443" s="84" t="n"/>
      <c r="AM1443" s="84" t="n"/>
      <c r="AN1443" s="84" t="n"/>
      <c r="AO1443" s="84" t="n"/>
      <c r="AP1443" s="84" t="n"/>
      <c r="AQ1443" s="84" t="n"/>
      <c r="AR1443" s="84" t="n"/>
    </row>
    <row r="1444">
      <c r="D1444" s="80" t="n"/>
      <c r="E1444" s="80" t="n"/>
      <c r="F1444" s="80" t="n"/>
      <c r="G1444" s="80" t="n"/>
      <c r="H1444" s="80" t="n"/>
      <c r="I1444" s="80" t="n"/>
      <c r="J1444" s="80" t="n"/>
      <c r="K1444" s="80" t="n"/>
      <c r="L1444" s="80" t="n"/>
      <c r="M1444" s="80" t="n"/>
      <c r="N1444" s="80" t="n"/>
      <c r="O1444" s="80" t="n"/>
      <c r="P1444" s="80" t="n"/>
      <c r="Q1444" s="80" t="n"/>
      <c r="R1444" s="80" t="n"/>
      <c r="S1444" s="80" t="n"/>
      <c r="T1444" s="80" t="n"/>
      <c r="U1444" s="80" t="n"/>
      <c r="V1444" s="80" t="n"/>
      <c r="W1444" s="80" t="n"/>
      <c r="X1444" s="80" t="n"/>
      <c r="Y1444" s="80" t="n"/>
      <c r="Z1444" s="80" t="n"/>
      <c r="AA1444" s="80" t="n"/>
      <c r="AB1444" s="80" t="n"/>
      <c r="AC1444" s="80" t="n"/>
      <c r="AD1444" s="80" t="n"/>
      <c r="AE1444" s="80" t="n"/>
      <c r="AF1444" s="80" t="n"/>
      <c r="AG1444" s="80" t="n"/>
      <c r="AH1444" s="80" t="n"/>
      <c r="AI1444" s="80" t="n"/>
      <c r="AJ1444" s="80" t="n"/>
      <c r="AK1444" s="80" t="n"/>
      <c r="AL1444" s="80" t="n"/>
      <c r="AM1444" s="80" t="n"/>
      <c r="AN1444" s="80" t="n"/>
      <c r="AO1444" s="80" t="n"/>
      <c r="AP1444" s="80" t="n"/>
      <c r="AQ1444" s="80" t="n"/>
      <c r="AR1444" s="80" t="n"/>
    </row>
    <row r="1445">
      <c r="D1445" s="80" t="n"/>
      <c r="E1445" s="80" t="n"/>
      <c r="F1445" s="80" t="n"/>
      <c r="G1445" s="80" t="n"/>
      <c r="H1445" s="80" t="n"/>
      <c r="I1445" s="80" t="n"/>
      <c r="J1445" s="80" t="n"/>
      <c r="K1445" s="80" t="n"/>
      <c r="L1445" s="80" t="n"/>
      <c r="M1445" s="80" t="n"/>
      <c r="N1445" s="80" t="n"/>
      <c r="O1445" s="80" t="n"/>
      <c r="P1445" s="80" t="n"/>
      <c r="Q1445" s="80" t="n"/>
      <c r="R1445" s="80" t="n"/>
      <c r="S1445" s="80" t="n"/>
      <c r="T1445" s="80" t="n"/>
      <c r="U1445" s="80" t="n"/>
      <c r="V1445" s="80" t="n"/>
      <c r="W1445" s="80" t="n"/>
      <c r="X1445" s="80" t="n"/>
      <c r="Y1445" s="80" t="n"/>
      <c r="Z1445" s="80" t="n"/>
      <c r="AA1445" s="80" t="n"/>
      <c r="AB1445" s="80" t="n"/>
      <c r="AC1445" s="80" t="n"/>
      <c r="AD1445" s="80" t="n"/>
      <c r="AE1445" s="80" t="n"/>
      <c r="AF1445" s="80" t="n"/>
      <c r="AG1445" s="80" t="n"/>
      <c r="AH1445" s="80" t="n"/>
      <c r="AI1445" s="80" t="n"/>
      <c r="AJ1445" s="80" t="n"/>
      <c r="AK1445" s="80" t="n"/>
      <c r="AL1445" s="80" t="n"/>
      <c r="AM1445" s="80" t="n"/>
      <c r="AN1445" s="80" t="n"/>
      <c r="AO1445" s="80" t="n"/>
      <c r="AP1445" s="80" t="n"/>
      <c r="AQ1445" s="80" t="n"/>
      <c r="AR1445" s="80" t="n"/>
    </row>
    <row r="1446">
      <c r="D1446" s="80" t="n"/>
      <c r="E1446" s="80" t="n"/>
      <c r="F1446" s="80" t="n"/>
      <c r="G1446" s="80" t="n"/>
      <c r="H1446" s="80" t="n"/>
      <c r="I1446" s="80" t="n"/>
      <c r="J1446" s="80" t="n"/>
      <c r="K1446" s="80" t="n"/>
      <c r="L1446" s="80" t="n"/>
      <c r="M1446" s="80" t="n"/>
      <c r="N1446" s="80" t="n"/>
      <c r="O1446" s="80" t="n"/>
      <c r="P1446" s="80" t="n"/>
      <c r="Q1446" s="80" t="n"/>
      <c r="R1446" s="80" t="n"/>
      <c r="S1446" s="80" t="n"/>
      <c r="T1446" s="80" t="n"/>
      <c r="U1446" s="80" t="n"/>
      <c r="V1446" s="80" t="n"/>
      <c r="W1446" s="80" t="n"/>
      <c r="X1446" s="80" t="n"/>
      <c r="Y1446" s="80" t="n"/>
      <c r="Z1446" s="80" t="n"/>
      <c r="AA1446" s="80" t="n"/>
      <c r="AB1446" s="80" t="n"/>
      <c r="AC1446" s="80" t="n"/>
      <c r="AD1446" s="80" t="n"/>
      <c r="AE1446" s="80" t="n"/>
      <c r="AF1446" s="80" t="n"/>
      <c r="AG1446" s="80" t="n"/>
      <c r="AH1446" s="80" t="n"/>
      <c r="AI1446" s="80" t="n"/>
      <c r="AJ1446" s="80" t="n"/>
      <c r="AK1446" s="80" t="n"/>
      <c r="AL1446" s="80" t="n"/>
      <c r="AM1446" s="80" t="n"/>
      <c r="AN1446" s="80" t="n"/>
      <c r="AO1446" s="80" t="n"/>
      <c r="AP1446" s="80" t="n"/>
      <c r="AQ1446" s="80" t="n"/>
      <c r="AR1446" s="80" t="n"/>
    </row>
    <row r="1447">
      <c r="D1447" s="80" t="n"/>
      <c r="E1447" s="80" t="n"/>
      <c r="F1447" s="80" t="n"/>
      <c r="G1447" s="80" t="n"/>
      <c r="H1447" s="80" t="n"/>
      <c r="I1447" s="80" t="n"/>
      <c r="J1447" s="80" t="n"/>
      <c r="K1447" s="80" t="n"/>
      <c r="L1447" s="80" t="n"/>
      <c r="M1447" s="80" t="n"/>
      <c r="N1447" s="80" t="n"/>
      <c r="O1447" s="80" t="n"/>
      <c r="P1447" s="80" t="n"/>
      <c r="Q1447" s="80" t="n"/>
      <c r="R1447" s="80" t="n"/>
      <c r="S1447" s="80" t="n"/>
      <c r="T1447" s="80" t="n"/>
      <c r="U1447" s="80" t="n"/>
      <c r="V1447" s="80" t="n"/>
      <c r="W1447" s="80" t="n"/>
      <c r="X1447" s="80" t="n"/>
      <c r="Y1447" s="80" t="n"/>
      <c r="Z1447" s="80" t="n"/>
      <c r="AA1447" s="80" t="n"/>
      <c r="AB1447" s="80" t="n"/>
      <c r="AC1447" s="80" t="n"/>
      <c r="AD1447" s="80" t="n"/>
      <c r="AE1447" s="80" t="n"/>
      <c r="AF1447" s="80" t="n"/>
      <c r="AG1447" s="80" t="n"/>
      <c r="AH1447" s="80" t="n"/>
      <c r="AI1447" s="80" t="n"/>
      <c r="AJ1447" s="80" t="n"/>
      <c r="AK1447" s="80" t="n"/>
      <c r="AL1447" s="80" t="n"/>
      <c r="AM1447" s="80" t="n"/>
      <c r="AN1447" s="80" t="n"/>
      <c r="AO1447" s="80" t="n"/>
      <c r="AP1447" s="80" t="n"/>
      <c r="AQ1447" s="80" t="n"/>
      <c r="AR1447" s="80" t="n"/>
    </row>
    <row r="1449">
      <c r="A1449" s="6">
        <f>IF(HSI!$C$103="","",HSI!$C$103)</f>
        <v/>
      </c>
      <c r="B1449" s="41">
        <f>IF($A1449="",0,COUNT($E1450:$AR1450))</f>
        <v/>
      </c>
      <c r="C1449" s="81">
        <f>IF($B1449=0,0,MAX($E1450:$AR1450))</f>
        <v/>
      </c>
      <c r="D1449" s="82">
        <f>BDS($A1449,'Field Check'!$C$7,"headers=y","startcol=1","endcol=7","dir=h","DVD_START_DT",Summary!$C$18,"DVD_END_DT",Summary!$D$18)</f>
        <v/>
      </c>
      <c r="E1449" s="83" t="n"/>
      <c r="F1449" s="83" t="n"/>
      <c r="G1449" s="83" t="n"/>
      <c r="H1449" s="83" t="n"/>
      <c r="I1449" s="83" t="n"/>
      <c r="J1449" s="83" t="n"/>
      <c r="K1449" s="83" t="n"/>
      <c r="L1449" s="83" t="n"/>
      <c r="M1449" s="83" t="n"/>
      <c r="N1449" s="83" t="n"/>
      <c r="O1449" s="83" t="n"/>
      <c r="P1449" s="83" t="n"/>
      <c r="Q1449" s="83" t="n"/>
      <c r="R1449" s="83" t="n"/>
      <c r="S1449" s="83" t="n"/>
      <c r="T1449" s="83" t="n"/>
      <c r="U1449" s="83" t="n"/>
      <c r="V1449" s="83" t="n"/>
      <c r="W1449" s="83" t="n"/>
      <c r="X1449" s="83" t="n"/>
      <c r="Y1449" s="83" t="n"/>
      <c r="Z1449" s="83" t="n"/>
      <c r="AA1449" s="83" t="n"/>
      <c r="AB1449" s="83" t="n"/>
      <c r="AC1449" s="83" t="n"/>
      <c r="AD1449" s="83" t="n"/>
      <c r="AE1449" s="83" t="n"/>
      <c r="AF1449" s="83" t="n"/>
      <c r="AG1449" s="83" t="n"/>
      <c r="AH1449" s="83" t="n"/>
      <c r="AI1449" s="83" t="n"/>
      <c r="AJ1449" s="83" t="n"/>
      <c r="AK1449" s="83" t="n"/>
      <c r="AL1449" s="83" t="n"/>
      <c r="AM1449" s="83" t="n"/>
      <c r="AN1449" s="83" t="n"/>
      <c r="AO1449" s="83" t="n"/>
      <c r="AP1449" s="83" t="n"/>
      <c r="AQ1449" s="83" t="n"/>
      <c r="AR1449" s="83" t="n"/>
    </row>
    <row r="1450">
      <c r="D1450" s="83" t="n"/>
      <c r="E1450" s="83" t="n"/>
      <c r="F1450" s="83" t="n"/>
      <c r="G1450" s="83" t="n"/>
      <c r="H1450" s="83" t="n"/>
      <c r="I1450" s="83" t="n"/>
      <c r="J1450" s="83" t="n"/>
      <c r="K1450" s="83" t="n"/>
      <c r="L1450" s="83" t="n"/>
      <c r="M1450" s="83" t="n"/>
      <c r="N1450" s="83" t="n"/>
      <c r="O1450" s="83" t="n"/>
      <c r="P1450" s="83" t="n"/>
      <c r="Q1450" s="83" t="n"/>
      <c r="R1450" s="83" t="n"/>
      <c r="S1450" s="83" t="n"/>
      <c r="T1450" s="83" t="n"/>
      <c r="U1450" s="83" t="n"/>
      <c r="V1450" s="83" t="n"/>
      <c r="W1450" s="83" t="n"/>
      <c r="X1450" s="83" t="n"/>
      <c r="Y1450" s="83" t="n"/>
      <c r="Z1450" s="83" t="n"/>
      <c r="AA1450" s="83" t="n"/>
      <c r="AB1450" s="83" t="n"/>
      <c r="AC1450" s="83" t="n"/>
      <c r="AD1450" s="83" t="n"/>
      <c r="AE1450" s="83" t="n"/>
      <c r="AF1450" s="83" t="n"/>
      <c r="AG1450" s="83" t="n"/>
      <c r="AH1450" s="83" t="n"/>
      <c r="AI1450" s="83" t="n"/>
      <c r="AJ1450" s="83" t="n"/>
      <c r="AK1450" s="83" t="n"/>
      <c r="AL1450" s="83" t="n"/>
      <c r="AM1450" s="83" t="n"/>
      <c r="AN1450" s="83" t="n"/>
      <c r="AO1450" s="83" t="n"/>
      <c r="AP1450" s="83" t="n"/>
      <c r="AQ1450" s="83" t="n"/>
      <c r="AR1450" s="83" t="n"/>
    </row>
    <row r="1451">
      <c r="D1451" s="84" t="n"/>
      <c r="E1451" s="84" t="n"/>
      <c r="F1451" s="84" t="n"/>
      <c r="G1451" s="84" t="n"/>
      <c r="H1451" s="84" t="n"/>
      <c r="I1451" s="84" t="n"/>
      <c r="J1451" s="84" t="n"/>
      <c r="K1451" s="84" t="n"/>
      <c r="L1451" s="84" t="n"/>
      <c r="M1451" s="84" t="n"/>
      <c r="N1451" s="84" t="n"/>
      <c r="O1451" s="84" t="n"/>
      <c r="P1451" s="84" t="n"/>
      <c r="Q1451" s="84" t="n"/>
      <c r="R1451" s="84" t="n"/>
      <c r="S1451" s="84" t="n"/>
      <c r="T1451" s="84" t="n"/>
      <c r="U1451" s="84" t="n"/>
      <c r="V1451" s="84" t="n"/>
      <c r="W1451" s="84" t="n"/>
      <c r="X1451" s="84" t="n"/>
      <c r="Y1451" s="84" t="n"/>
      <c r="Z1451" s="84" t="n"/>
      <c r="AA1451" s="84" t="n"/>
      <c r="AB1451" s="84" t="n"/>
      <c r="AC1451" s="84" t="n"/>
      <c r="AD1451" s="84" t="n"/>
      <c r="AE1451" s="84" t="n"/>
      <c r="AF1451" s="84" t="n"/>
      <c r="AG1451" s="84" t="n"/>
      <c r="AH1451" s="84" t="n"/>
      <c r="AI1451" s="84" t="n"/>
      <c r="AJ1451" s="84" t="n"/>
      <c r="AK1451" s="84" t="n"/>
      <c r="AL1451" s="84" t="n"/>
      <c r="AM1451" s="84" t="n"/>
      <c r="AN1451" s="84" t="n"/>
      <c r="AO1451" s="84" t="n"/>
      <c r="AP1451" s="84" t="n"/>
      <c r="AQ1451" s="84" t="n"/>
      <c r="AR1451" s="84" t="n"/>
    </row>
    <row r="1452">
      <c r="D1452" s="80" t="n"/>
      <c r="E1452" s="80" t="n"/>
      <c r="F1452" s="80" t="n"/>
      <c r="G1452" s="80" t="n"/>
      <c r="H1452" s="80" t="n"/>
      <c r="I1452" s="80" t="n"/>
      <c r="J1452" s="80" t="n"/>
      <c r="K1452" s="80" t="n"/>
      <c r="L1452" s="80" t="n"/>
      <c r="M1452" s="80" t="n"/>
      <c r="N1452" s="80" t="n"/>
      <c r="O1452" s="80" t="n"/>
      <c r="P1452" s="80" t="n"/>
      <c r="Q1452" s="80" t="n"/>
      <c r="R1452" s="80" t="n"/>
      <c r="S1452" s="80" t="n"/>
      <c r="T1452" s="80" t="n"/>
      <c r="U1452" s="80" t="n"/>
      <c r="V1452" s="80" t="n"/>
      <c r="W1452" s="80" t="n"/>
      <c r="X1452" s="80" t="n"/>
      <c r="Y1452" s="80" t="n"/>
      <c r="Z1452" s="80" t="n"/>
      <c r="AA1452" s="80" t="n"/>
      <c r="AB1452" s="80" t="n"/>
      <c r="AC1452" s="80" t="n"/>
      <c r="AD1452" s="80" t="n"/>
      <c r="AE1452" s="80" t="n"/>
      <c r="AF1452" s="80" t="n"/>
      <c r="AG1452" s="80" t="n"/>
      <c r="AH1452" s="80" t="n"/>
      <c r="AI1452" s="80" t="n"/>
      <c r="AJ1452" s="80" t="n"/>
      <c r="AK1452" s="80" t="n"/>
      <c r="AL1452" s="80" t="n"/>
      <c r="AM1452" s="80" t="n"/>
      <c r="AN1452" s="80" t="n"/>
      <c r="AO1452" s="80" t="n"/>
      <c r="AP1452" s="80" t="n"/>
      <c r="AQ1452" s="80" t="n"/>
      <c r="AR1452" s="80" t="n"/>
    </row>
    <row r="1453">
      <c r="D1453" s="80" t="n"/>
      <c r="E1453" s="80" t="n"/>
      <c r="F1453" s="80" t="n"/>
      <c r="G1453" s="80" t="n"/>
      <c r="H1453" s="80" t="n"/>
      <c r="I1453" s="80" t="n"/>
      <c r="J1453" s="80" t="n"/>
      <c r="K1453" s="80" t="n"/>
      <c r="L1453" s="80" t="n"/>
      <c r="M1453" s="80" t="n"/>
      <c r="N1453" s="80" t="n"/>
      <c r="O1453" s="80" t="n"/>
      <c r="P1453" s="80" t="n"/>
      <c r="Q1453" s="80" t="n"/>
      <c r="R1453" s="80" t="n"/>
      <c r="S1453" s="80" t="n"/>
      <c r="T1453" s="80" t="n"/>
      <c r="U1453" s="80" t="n"/>
      <c r="V1453" s="80" t="n"/>
      <c r="W1453" s="80" t="n"/>
      <c r="X1453" s="80" t="n"/>
      <c r="Y1453" s="80" t="n"/>
      <c r="Z1453" s="80" t="n"/>
      <c r="AA1453" s="80" t="n"/>
      <c r="AB1453" s="80" t="n"/>
      <c r="AC1453" s="80" t="n"/>
      <c r="AD1453" s="80" t="n"/>
      <c r="AE1453" s="80" t="n"/>
      <c r="AF1453" s="80" t="n"/>
      <c r="AG1453" s="80" t="n"/>
      <c r="AH1453" s="80" t="n"/>
      <c r="AI1453" s="80" t="n"/>
      <c r="AJ1453" s="80" t="n"/>
      <c r="AK1453" s="80" t="n"/>
      <c r="AL1453" s="80" t="n"/>
      <c r="AM1453" s="80" t="n"/>
      <c r="AN1453" s="80" t="n"/>
      <c r="AO1453" s="80" t="n"/>
      <c r="AP1453" s="80" t="n"/>
      <c r="AQ1453" s="80" t="n"/>
      <c r="AR1453" s="80" t="n"/>
    </row>
    <row r="1454">
      <c r="D1454" s="80" t="n"/>
      <c r="E1454" s="80" t="n"/>
      <c r="F1454" s="80" t="n"/>
      <c r="G1454" s="80" t="n"/>
      <c r="H1454" s="80" t="n"/>
      <c r="I1454" s="80" t="n"/>
      <c r="J1454" s="80" t="n"/>
      <c r="K1454" s="80" t="n"/>
      <c r="L1454" s="80" t="n"/>
      <c r="M1454" s="80" t="n"/>
      <c r="N1454" s="80" t="n"/>
      <c r="O1454" s="80" t="n"/>
      <c r="P1454" s="80" t="n"/>
      <c r="Q1454" s="80" t="n"/>
      <c r="R1454" s="80" t="n"/>
      <c r="S1454" s="80" t="n"/>
      <c r="T1454" s="80" t="n"/>
      <c r="U1454" s="80" t="n"/>
      <c r="V1454" s="80" t="n"/>
      <c r="W1454" s="80" t="n"/>
      <c r="X1454" s="80" t="n"/>
      <c r="Y1454" s="80" t="n"/>
      <c r="Z1454" s="80" t="n"/>
      <c r="AA1454" s="80" t="n"/>
      <c r="AB1454" s="80" t="n"/>
      <c r="AC1454" s="80" t="n"/>
      <c r="AD1454" s="80" t="n"/>
      <c r="AE1454" s="80" t="n"/>
      <c r="AF1454" s="80" t="n"/>
      <c r="AG1454" s="80" t="n"/>
      <c r="AH1454" s="80" t="n"/>
      <c r="AI1454" s="80" t="n"/>
      <c r="AJ1454" s="80" t="n"/>
      <c r="AK1454" s="80" t="n"/>
      <c r="AL1454" s="80" t="n"/>
      <c r="AM1454" s="80" t="n"/>
      <c r="AN1454" s="80" t="n"/>
      <c r="AO1454" s="80" t="n"/>
      <c r="AP1454" s="80" t="n"/>
      <c r="AQ1454" s="80" t="n"/>
      <c r="AR1454" s="80" t="n"/>
    </row>
    <row r="1455">
      <c r="D1455" s="80" t="n"/>
      <c r="E1455" s="80" t="n"/>
      <c r="F1455" s="80" t="n"/>
      <c r="G1455" s="80" t="n"/>
      <c r="H1455" s="80" t="n"/>
      <c r="I1455" s="80" t="n"/>
      <c r="J1455" s="80" t="n"/>
      <c r="K1455" s="80" t="n"/>
      <c r="L1455" s="80" t="n"/>
      <c r="M1455" s="80" t="n"/>
      <c r="N1455" s="80" t="n"/>
      <c r="O1455" s="80" t="n"/>
      <c r="P1455" s="80" t="n"/>
      <c r="Q1455" s="80" t="n"/>
      <c r="R1455" s="80" t="n"/>
      <c r="S1455" s="80" t="n"/>
      <c r="T1455" s="80" t="n"/>
      <c r="U1455" s="80" t="n"/>
      <c r="V1455" s="80" t="n"/>
      <c r="W1455" s="80" t="n"/>
      <c r="X1455" s="80" t="n"/>
      <c r="Y1455" s="80" t="n"/>
      <c r="Z1455" s="80" t="n"/>
      <c r="AA1455" s="80" t="n"/>
      <c r="AB1455" s="80" t="n"/>
      <c r="AC1455" s="80" t="n"/>
      <c r="AD1455" s="80" t="n"/>
      <c r="AE1455" s="80" t="n"/>
      <c r="AF1455" s="80" t="n"/>
      <c r="AG1455" s="80" t="n"/>
      <c r="AH1455" s="80" t="n"/>
      <c r="AI1455" s="80" t="n"/>
      <c r="AJ1455" s="80" t="n"/>
      <c r="AK1455" s="80" t="n"/>
      <c r="AL1455" s="80" t="n"/>
      <c r="AM1455" s="80" t="n"/>
      <c r="AN1455" s="80" t="n"/>
      <c r="AO1455" s="80" t="n"/>
      <c r="AP1455" s="80" t="n"/>
      <c r="AQ1455" s="80" t="n"/>
      <c r="AR1455" s="80" t="n"/>
    </row>
    <row r="1456">
      <c r="A1456" s="2">
        <f>IF($A1449="","","   projections")</f>
        <v/>
      </c>
      <c r="B1456" s="41">
        <f>IF($A1449="",0,COUNT($E1457:$AR1457))</f>
        <v/>
      </c>
      <c r="C1456" s="81">
        <f>IF($B1456=0,0,MAX($E1457:$AR1457))</f>
        <v/>
      </c>
      <c r="D1456" s="82">
        <f>BDS($A1449,'Field Check'!$C$6,"headers=y","startcol=1","endcol=7","dir=h")</f>
        <v/>
      </c>
      <c r="E1456" s="83" t="n"/>
      <c r="F1456" s="83" t="n"/>
      <c r="G1456" s="83" t="n"/>
      <c r="H1456" s="83" t="n"/>
      <c r="I1456" s="83" t="n"/>
      <c r="J1456" s="83" t="n"/>
      <c r="K1456" s="83" t="n"/>
      <c r="L1456" s="83" t="n"/>
      <c r="M1456" s="83" t="n"/>
      <c r="N1456" s="83" t="n"/>
      <c r="O1456" s="83" t="n"/>
      <c r="P1456" s="83" t="n"/>
      <c r="Q1456" s="83" t="n"/>
      <c r="R1456" s="83" t="n"/>
      <c r="S1456" s="83" t="n"/>
      <c r="T1456" s="83" t="n"/>
      <c r="U1456" s="83" t="n"/>
      <c r="V1456" s="83" t="n"/>
      <c r="W1456" s="83" t="n"/>
      <c r="X1456" s="83" t="n"/>
      <c r="Y1456" s="83" t="n"/>
      <c r="Z1456" s="83" t="n"/>
      <c r="AA1456" s="83" t="n"/>
      <c r="AB1456" s="83" t="n"/>
      <c r="AC1456" s="83" t="n"/>
      <c r="AD1456" s="83" t="n"/>
      <c r="AE1456" s="83" t="n"/>
      <c r="AF1456" s="83" t="n"/>
      <c r="AG1456" s="83" t="n"/>
      <c r="AH1456" s="83" t="n"/>
      <c r="AI1456" s="83" t="n"/>
      <c r="AJ1456" s="83" t="n"/>
      <c r="AK1456" s="83" t="n"/>
      <c r="AL1456" s="83" t="n"/>
      <c r="AM1456" s="83" t="n"/>
      <c r="AN1456" s="83" t="n"/>
      <c r="AO1456" s="83" t="n"/>
      <c r="AP1456" s="83" t="n"/>
      <c r="AQ1456" s="83" t="n"/>
      <c r="AR1456" s="83" t="n"/>
    </row>
    <row r="1457">
      <c r="D1457" s="83" t="n"/>
      <c r="E1457" s="83" t="n"/>
      <c r="F1457" s="83" t="n"/>
      <c r="G1457" s="83" t="n"/>
      <c r="H1457" s="83" t="n"/>
      <c r="I1457" s="83" t="n"/>
      <c r="J1457" s="83" t="n"/>
      <c r="K1457" s="83" t="n"/>
      <c r="L1457" s="83" t="n"/>
      <c r="M1457" s="83" t="n"/>
      <c r="N1457" s="83" t="n"/>
      <c r="O1457" s="83" t="n"/>
      <c r="P1457" s="83" t="n"/>
      <c r="Q1457" s="83" t="n"/>
      <c r="R1457" s="83" t="n"/>
      <c r="S1457" s="83" t="n"/>
      <c r="T1457" s="83" t="n"/>
      <c r="U1457" s="83" t="n"/>
      <c r="V1457" s="83" t="n"/>
      <c r="W1457" s="83" t="n"/>
      <c r="X1457" s="83" t="n"/>
      <c r="Y1457" s="83" t="n"/>
      <c r="Z1457" s="83" t="n"/>
      <c r="AA1457" s="83" t="n"/>
      <c r="AB1457" s="83" t="n"/>
      <c r="AC1457" s="83" t="n"/>
      <c r="AD1457" s="83" t="n"/>
      <c r="AE1457" s="83" t="n"/>
      <c r="AF1457" s="83" t="n"/>
      <c r="AG1457" s="83" t="n"/>
      <c r="AH1457" s="83" t="n"/>
      <c r="AI1457" s="83" t="n"/>
      <c r="AJ1457" s="83" t="n"/>
      <c r="AK1457" s="83" t="n"/>
      <c r="AL1457" s="83" t="n"/>
      <c r="AM1457" s="83" t="n"/>
      <c r="AN1457" s="83" t="n"/>
      <c r="AO1457" s="83" t="n"/>
      <c r="AP1457" s="83" t="n"/>
      <c r="AQ1457" s="83" t="n"/>
      <c r="AR1457" s="83" t="n"/>
    </row>
    <row r="1458">
      <c r="D1458" s="84" t="n"/>
      <c r="E1458" s="84" t="n"/>
      <c r="F1458" s="84" t="n"/>
      <c r="G1458" s="84" t="n"/>
      <c r="H1458" s="84" t="n"/>
      <c r="I1458" s="84" t="n"/>
      <c r="J1458" s="84" t="n"/>
      <c r="K1458" s="84" t="n"/>
      <c r="L1458" s="84" t="n"/>
      <c r="M1458" s="84" t="n"/>
      <c r="N1458" s="84" t="n"/>
      <c r="O1458" s="84" t="n"/>
      <c r="P1458" s="84" t="n"/>
      <c r="Q1458" s="84" t="n"/>
      <c r="R1458" s="84" t="n"/>
      <c r="S1458" s="84" t="n"/>
      <c r="T1458" s="84" t="n"/>
      <c r="U1458" s="84" t="n"/>
      <c r="V1458" s="84" t="n"/>
      <c r="W1458" s="84" t="n"/>
      <c r="X1458" s="84" t="n"/>
      <c r="Y1458" s="84" t="n"/>
      <c r="Z1458" s="84" t="n"/>
      <c r="AA1458" s="84" t="n"/>
      <c r="AB1458" s="84" t="n"/>
      <c r="AC1458" s="84" t="n"/>
      <c r="AD1458" s="84" t="n"/>
      <c r="AE1458" s="84" t="n"/>
      <c r="AF1458" s="84" t="n"/>
      <c r="AG1458" s="84" t="n"/>
      <c r="AH1458" s="84" t="n"/>
      <c r="AI1458" s="84" t="n"/>
      <c r="AJ1458" s="84" t="n"/>
      <c r="AK1458" s="84" t="n"/>
      <c r="AL1458" s="84" t="n"/>
      <c r="AM1458" s="84" t="n"/>
      <c r="AN1458" s="84" t="n"/>
      <c r="AO1458" s="84" t="n"/>
      <c r="AP1458" s="84" t="n"/>
      <c r="AQ1458" s="84" t="n"/>
      <c r="AR1458" s="84" t="n"/>
    </row>
    <row r="1459">
      <c r="D1459" s="80" t="n"/>
      <c r="E1459" s="80" t="n"/>
      <c r="F1459" s="80" t="n"/>
      <c r="G1459" s="80" t="n"/>
      <c r="H1459" s="80" t="n"/>
      <c r="I1459" s="80" t="n"/>
      <c r="J1459" s="80" t="n"/>
      <c r="K1459" s="80" t="n"/>
      <c r="L1459" s="80" t="n"/>
      <c r="M1459" s="80" t="n"/>
      <c r="N1459" s="80" t="n"/>
      <c r="O1459" s="80" t="n"/>
      <c r="P1459" s="80" t="n"/>
      <c r="Q1459" s="80" t="n"/>
      <c r="R1459" s="80" t="n"/>
      <c r="S1459" s="80" t="n"/>
      <c r="T1459" s="80" t="n"/>
      <c r="U1459" s="80" t="n"/>
      <c r="V1459" s="80" t="n"/>
      <c r="W1459" s="80" t="n"/>
      <c r="X1459" s="80" t="n"/>
      <c r="Y1459" s="80" t="n"/>
      <c r="Z1459" s="80" t="n"/>
      <c r="AA1459" s="80" t="n"/>
      <c r="AB1459" s="80" t="n"/>
      <c r="AC1459" s="80" t="n"/>
      <c r="AD1459" s="80" t="n"/>
      <c r="AE1459" s="80" t="n"/>
      <c r="AF1459" s="80" t="n"/>
      <c r="AG1459" s="80" t="n"/>
      <c r="AH1459" s="80" t="n"/>
      <c r="AI1459" s="80" t="n"/>
      <c r="AJ1459" s="80" t="n"/>
      <c r="AK1459" s="80" t="n"/>
      <c r="AL1459" s="80" t="n"/>
      <c r="AM1459" s="80" t="n"/>
      <c r="AN1459" s="80" t="n"/>
      <c r="AO1459" s="80" t="n"/>
      <c r="AP1459" s="80" t="n"/>
      <c r="AQ1459" s="80" t="n"/>
      <c r="AR1459" s="80" t="n"/>
    </row>
    <row r="1460">
      <c r="D1460" s="80" t="n"/>
      <c r="E1460" s="80" t="n"/>
      <c r="F1460" s="80" t="n"/>
      <c r="G1460" s="80" t="n"/>
      <c r="H1460" s="80" t="n"/>
      <c r="I1460" s="80" t="n"/>
      <c r="J1460" s="80" t="n"/>
      <c r="K1460" s="80" t="n"/>
      <c r="L1460" s="80" t="n"/>
      <c r="M1460" s="80" t="n"/>
      <c r="N1460" s="80" t="n"/>
      <c r="O1460" s="80" t="n"/>
      <c r="P1460" s="80" t="n"/>
      <c r="Q1460" s="80" t="n"/>
      <c r="R1460" s="80" t="n"/>
      <c r="S1460" s="80" t="n"/>
      <c r="T1460" s="80" t="n"/>
      <c r="U1460" s="80" t="n"/>
      <c r="V1460" s="80" t="n"/>
      <c r="W1460" s="80" t="n"/>
      <c r="X1460" s="80" t="n"/>
      <c r="Y1460" s="80" t="n"/>
      <c r="Z1460" s="80" t="n"/>
      <c r="AA1460" s="80" t="n"/>
      <c r="AB1460" s="80" t="n"/>
      <c r="AC1460" s="80" t="n"/>
      <c r="AD1460" s="80" t="n"/>
      <c r="AE1460" s="80" t="n"/>
      <c r="AF1460" s="80" t="n"/>
      <c r="AG1460" s="80" t="n"/>
      <c r="AH1460" s="80" t="n"/>
      <c r="AI1460" s="80" t="n"/>
      <c r="AJ1460" s="80" t="n"/>
      <c r="AK1460" s="80" t="n"/>
      <c r="AL1460" s="80" t="n"/>
      <c r="AM1460" s="80" t="n"/>
      <c r="AN1460" s="80" t="n"/>
      <c r="AO1460" s="80" t="n"/>
      <c r="AP1460" s="80" t="n"/>
      <c r="AQ1460" s="80" t="n"/>
      <c r="AR1460" s="80" t="n"/>
    </row>
    <row r="1461">
      <c r="D1461" s="80" t="n"/>
      <c r="E1461" s="80" t="n"/>
      <c r="F1461" s="80" t="n"/>
      <c r="G1461" s="80" t="n"/>
      <c r="H1461" s="80" t="n"/>
      <c r="I1461" s="80" t="n"/>
      <c r="J1461" s="80" t="n"/>
      <c r="K1461" s="80" t="n"/>
      <c r="L1461" s="80" t="n"/>
      <c r="M1461" s="80" t="n"/>
      <c r="N1461" s="80" t="n"/>
      <c r="O1461" s="80" t="n"/>
      <c r="P1461" s="80" t="n"/>
      <c r="Q1461" s="80" t="n"/>
      <c r="R1461" s="80" t="n"/>
      <c r="S1461" s="80" t="n"/>
      <c r="T1461" s="80" t="n"/>
      <c r="U1461" s="80" t="n"/>
      <c r="V1461" s="80" t="n"/>
      <c r="W1461" s="80" t="n"/>
      <c r="X1461" s="80" t="n"/>
      <c r="Y1461" s="80" t="n"/>
      <c r="Z1461" s="80" t="n"/>
      <c r="AA1461" s="80" t="n"/>
      <c r="AB1461" s="80" t="n"/>
      <c r="AC1461" s="80" t="n"/>
      <c r="AD1461" s="80" t="n"/>
      <c r="AE1461" s="80" t="n"/>
      <c r="AF1461" s="80" t="n"/>
      <c r="AG1461" s="80" t="n"/>
      <c r="AH1461" s="80" t="n"/>
      <c r="AI1461" s="80" t="n"/>
      <c r="AJ1461" s="80" t="n"/>
      <c r="AK1461" s="80" t="n"/>
      <c r="AL1461" s="80" t="n"/>
      <c r="AM1461" s="80" t="n"/>
      <c r="AN1461" s="80" t="n"/>
      <c r="AO1461" s="80" t="n"/>
      <c r="AP1461" s="80" t="n"/>
      <c r="AQ1461" s="80" t="n"/>
      <c r="AR1461" s="80" t="n"/>
    </row>
    <row r="1462">
      <c r="D1462" s="80" t="n"/>
      <c r="E1462" s="80" t="n"/>
      <c r="F1462" s="80" t="n"/>
      <c r="G1462" s="80" t="n"/>
      <c r="H1462" s="80" t="n"/>
      <c r="I1462" s="80" t="n"/>
      <c r="J1462" s="80" t="n"/>
      <c r="K1462" s="80" t="n"/>
      <c r="L1462" s="80" t="n"/>
      <c r="M1462" s="80" t="n"/>
      <c r="N1462" s="80" t="n"/>
      <c r="O1462" s="80" t="n"/>
      <c r="P1462" s="80" t="n"/>
      <c r="Q1462" s="80" t="n"/>
      <c r="R1462" s="80" t="n"/>
      <c r="S1462" s="80" t="n"/>
      <c r="T1462" s="80" t="n"/>
      <c r="U1462" s="80" t="n"/>
      <c r="V1462" s="80" t="n"/>
      <c r="W1462" s="80" t="n"/>
      <c r="X1462" s="80" t="n"/>
      <c r="Y1462" s="80" t="n"/>
      <c r="Z1462" s="80" t="n"/>
      <c r="AA1462" s="80" t="n"/>
      <c r="AB1462" s="80" t="n"/>
      <c r="AC1462" s="80" t="n"/>
      <c r="AD1462" s="80" t="n"/>
      <c r="AE1462" s="80" t="n"/>
      <c r="AF1462" s="80" t="n"/>
      <c r="AG1462" s="80" t="n"/>
      <c r="AH1462" s="80" t="n"/>
      <c r="AI1462" s="80" t="n"/>
      <c r="AJ1462" s="80" t="n"/>
      <c r="AK1462" s="80" t="n"/>
      <c r="AL1462" s="80" t="n"/>
      <c r="AM1462" s="80" t="n"/>
      <c r="AN1462" s="80" t="n"/>
      <c r="AO1462" s="80" t="n"/>
      <c r="AP1462" s="80" t="n"/>
      <c r="AQ1462" s="80" t="n"/>
      <c r="AR1462" s="80" t="n"/>
    </row>
    <row r="1464">
      <c r="A1464" s="6">
        <f>IF(HSI!$C$104="","",HSI!$C$104)</f>
        <v/>
      </c>
      <c r="B1464" s="41">
        <f>IF($A1464="",0,COUNT($E1465:$AR1465))</f>
        <v/>
      </c>
      <c r="C1464" s="81">
        <f>IF($B1464=0,0,MAX($E1465:$AR1465))</f>
        <v/>
      </c>
      <c r="D1464" s="82">
        <f>BDS($A1464,'Field Check'!$C$7,"headers=y","startcol=1","endcol=7","dir=h","DVD_START_DT",Summary!$C$18,"DVD_END_DT",Summary!$D$18)</f>
        <v/>
      </c>
      <c r="E1464" s="83" t="n"/>
      <c r="F1464" s="83" t="n"/>
      <c r="G1464" s="83" t="n"/>
      <c r="H1464" s="83" t="n"/>
      <c r="I1464" s="83" t="n"/>
      <c r="J1464" s="83" t="n"/>
      <c r="K1464" s="83" t="n"/>
      <c r="L1464" s="83" t="n"/>
      <c r="M1464" s="83" t="n"/>
      <c r="N1464" s="83" t="n"/>
      <c r="O1464" s="83" t="n"/>
      <c r="P1464" s="83" t="n"/>
      <c r="Q1464" s="83" t="n"/>
      <c r="R1464" s="83" t="n"/>
      <c r="S1464" s="83" t="n"/>
      <c r="T1464" s="83" t="n"/>
      <c r="U1464" s="83" t="n"/>
      <c r="V1464" s="83" t="n"/>
      <c r="W1464" s="83" t="n"/>
      <c r="X1464" s="83" t="n"/>
      <c r="Y1464" s="83" t="n"/>
      <c r="Z1464" s="83" t="n"/>
      <c r="AA1464" s="83" t="n"/>
      <c r="AB1464" s="83" t="n"/>
      <c r="AC1464" s="83" t="n"/>
      <c r="AD1464" s="83" t="n"/>
      <c r="AE1464" s="83" t="n"/>
      <c r="AF1464" s="83" t="n"/>
      <c r="AG1464" s="83" t="n"/>
      <c r="AH1464" s="83" t="n"/>
      <c r="AI1464" s="83" t="n"/>
      <c r="AJ1464" s="83" t="n"/>
      <c r="AK1464" s="83" t="n"/>
      <c r="AL1464" s="83" t="n"/>
      <c r="AM1464" s="83" t="n"/>
      <c r="AN1464" s="83" t="n"/>
      <c r="AO1464" s="83" t="n"/>
      <c r="AP1464" s="83" t="n"/>
      <c r="AQ1464" s="83" t="n"/>
      <c r="AR1464" s="83" t="n"/>
    </row>
    <row r="1465">
      <c r="D1465" s="83" t="n"/>
      <c r="E1465" s="83" t="n"/>
      <c r="F1465" s="83" t="n"/>
      <c r="G1465" s="83" t="n"/>
      <c r="H1465" s="83" t="n"/>
      <c r="I1465" s="83" t="n"/>
      <c r="J1465" s="83" t="n"/>
      <c r="K1465" s="83" t="n"/>
      <c r="L1465" s="83" t="n"/>
      <c r="M1465" s="83" t="n"/>
      <c r="N1465" s="83" t="n"/>
      <c r="O1465" s="83" t="n"/>
      <c r="P1465" s="83" t="n"/>
      <c r="Q1465" s="83" t="n"/>
      <c r="R1465" s="83" t="n"/>
      <c r="S1465" s="83" t="n"/>
      <c r="T1465" s="83" t="n"/>
      <c r="U1465" s="83" t="n"/>
      <c r="V1465" s="83" t="n"/>
      <c r="W1465" s="83" t="n"/>
      <c r="X1465" s="83" t="n"/>
      <c r="Y1465" s="83" t="n"/>
      <c r="Z1465" s="83" t="n"/>
      <c r="AA1465" s="83" t="n"/>
      <c r="AB1465" s="83" t="n"/>
      <c r="AC1465" s="83" t="n"/>
      <c r="AD1465" s="83" t="n"/>
      <c r="AE1465" s="83" t="n"/>
      <c r="AF1465" s="83" t="n"/>
      <c r="AG1465" s="83" t="n"/>
      <c r="AH1465" s="83" t="n"/>
      <c r="AI1465" s="83" t="n"/>
      <c r="AJ1465" s="83" t="n"/>
      <c r="AK1465" s="83" t="n"/>
      <c r="AL1465" s="83" t="n"/>
      <c r="AM1465" s="83" t="n"/>
      <c r="AN1465" s="83" t="n"/>
      <c r="AO1465" s="83" t="n"/>
      <c r="AP1465" s="83" t="n"/>
      <c r="AQ1465" s="83" t="n"/>
      <c r="AR1465" s="83" t="n"/>
    </row>
    <row r="1466">
      <c r="D1466" s="84" t="n"/>
      <c r="E1466" s="84" t="n"/>
      <c r="F1466" s="84" t="n"/>
      <c r="G1466" s="84" t="n"/>
      <c r="H1466" s="84" t="n"/>
      <c r="I1466" s="84" t="n"/>
      <c r="J1466" s="84" t="n"/>
      <c r="K1466" s="84" t="n"/>
      <c r="L1466" s="84" t="n"/>
      <c r="M1466" s="84" t="n"/>
      <c r="N1466" s="84" t="n"/>
      <c r="O1466" s="84" t="n"/>
      <c r="P1466" s="84" t="n"/>
      <c r="Q1466" s="84" t="n"/>
      <c r="R1466" s="84" t="n"/>
      <c r="S1466" s="84" t="n"/>
      <c r="T1466" s="84" t="n"/>
      <c r="U1466" s="84" t="n"/>
      <c r="V1466" s="84" t="n"/>
      <c r="W1466" s="84" t="n"/>
      <c r="X1466" s="84" t="n"/>
      <c r="Y1466" s="84" t="n"/>
      <c r="Z1466" s="84" t="n"/>
      <c r="AA1466" s="84" t="n"/>
      <c r="AB1466" s="84" t="n"/>
      <c r="AC1466" s="84" t="n"/>
      <c r="AD1466" s="84" t="n"/>
      <c r="AE1466" s="84" t="n"/>
      <c r="AF1466" s="84" t="n"/>
      <c r="AG1466" s="84" t="n"/>
      <c r="AH1466" s="84" t="n"/>
      <c r="AI1466" s="84" t="n"/>
      <c r="AJ1466" s="84" t="n"/>
      <c r="AK1466" s="84" t="n"/>
      <c r="AL1466" s="84" t="n"/>
      <c r="AM1466" s="84" t="n"/>
      <c r="AN1466" s="84" t="n"/>
      <c r="AO1466" s="84" t="n"/>
      <c r="AP1466" s="84" t="n"/>
      <c r="AQ1466" s="84" t="n"/>
      <c r="AR1466" s="84" t="n"/>
    </row>
    <row r="1467">
      <c r="D1467" s="80" t="n"/>
      <c r="E1467" s="80" t="n"/>
      <c r="F1467" s="80" t="n"/>
      <c r="G1467" s="80" t="n"/>
      <c r="H1467" s="80" t="n"/>
      <c r="I1467" s="80" t="n"/>
      <c r="J1467" s="80" t="n"/>
      <c r="K1467" s="80" t="n"/>
      <c r="L1467" s="80" t="n"/>
      <c r="M1467" s="80" t="n"/>
      <c r="N1467" s="80" t="n"/>
      <c r="O1467" s="80" t="n"/>
      <c r="P1467" s="80" t="n"/>
      <c r="Q1467" s="80" t="n"/>
      <c r="R1467" s="80" t="n"/>
      <c r="S1467" s="80" t="n"/>
      <c r="T1467" s="80" t="n"/>
      <c r="U1467" s="80" t="n"/>
      <c r="V1467" s="80" t="n"/>
      <c r="W1467" s="80" t="n"/>
      <c r="X1467" s="80" t="n"/>
      <c r="Y1467" s="80" t="n"/>
      <c r="Z1467" s="80" t="n"/>
      <c r="AA1467" s="80" t="n"/>
      <c r="AB1467" s="80" t="n"/>
      <c r="AC1467" s="80" t="n"/>
      <c r="AD1467" s="80" t="n"/>
      <c r="AE1467" s="80" t="n"/>
      <c r="AF1467" s="80" t="n"/>
      <c r="AG1467" s="80" t="n"/>
      <c r="AH1467" s="80" t="n"/>
      <c r="AI1467" s="80" t="n"/>
      <c r="AJ1467" s="80" t="n"/>
      <c r="AK1467" s="80" t="n"/>
      <c r="AL1467" s="80" t="n"/>
      <c r="AM1467" s="80" t="n"/>
      <c r="AN1467" s="80" t="n"/>
      <c r="AO1467" s="80" t="n"/>
      <c r="AP1467" s="80" t="n"/>
      <c r="AQ1467" s="80" t="n"/>
      <c r="AR1467" s="80" t="n"/>
    </row>
    <row r="1468">
      <c r="D1468" s="80" t="n"/>
      <c r="E1468" s="80" t="n"/>
      <c r="F1468" s="80" t="n"/>
      <c r="G1468" s="80" t="n"/>
      <c r="H1468" s="80" t="n"/>
      <c r="I1468" s="80" t="n"/>
      <c r="J1468" s="80" t="n"/>
      <c r="K1468" s="80" t="n"/>
      <c r="L1468" s="80" t="n"/>
      <c r="M1468" s="80" t="n"/>
      <c r="N1468" s="80" t="n"/>
      <c r="O1468" s="80" t="n"/>
      <c r="P1468" s="80" t="n"/>
      <c r="Q1468" s="80" t="n"/>
      <c r="R1468" s="80" t="n"/>
      <c r="S1468" s="80" t="n"/>
      <c r="T1468" s="80" t="n"/>
      <c r="U1468" s="80" t="n"/>
      <c r="V1468" s="80" t="n"/>
      <c r="W1468" s="80" t="n"/>
      <c r="X1468" s="80" t="n"/>
      <c r="Y1468" s="80" t="n"/>
      <c r="Z1468" s="80" t="n"/>
      <c r="AA1468" s="80" t="n"/>
      <c r="AB1468" s="80" t="n"/>
      <c r="AC1468" s="80" t="n"/>
      <c r="AD1468" s="80" t="n"/>
      <c r="AE1468" s="80" t="n"/>
      <c r="AF1468" s="80" t="n"/>
      <c r="AG1468" s="80" t="n"/>
      <c r="AH1468" s="80" t="n"/>
      <c r="AI1468" s="80" t="n"/>
      <c r="AJ1468" s="80" t="n"/>
      <c r="AK1468" s="80" t="n"/>
      <c r="AL1468" s="80" t="n"/>
      <c r="AM1468" s="80" t="n"/>
      <c r="AN1468" s="80" t="n"/>
      <c r="AO1468" s="80" t="n"/>
      <c r="AP1468" s="80" t="n"/>
      <c r="AQ1468" s="80" t="n"/>
      <c r="AR1468" s="80" t="n"/>
    </row>
    <row r="1469">
      <c r="D1469" s="80" t="n"/>
      <c r="E1469" s="80" t="n"/>
      <c r="F1469" s="80" t="n"/>
      <c r="G1469" s="80" t="n"/>
      <c r="H1469" s="80" t="n"/>
      <c r="I1469" s="80" t="n"/>
      <c r="J1469" s="80" t="n"/>
      <c r="K1469" s="80" t="n"/>
      <c r="L1469" s="80" t="n"/>
      <c r="M1469" s="80" t="n"/>
      <c r="N1469" s="80" t="n"/>
      <c r="O1469" s="80" t="n"/>
      <c r="P1469" s="80" t="n"/>
      <c r="Q1469" s="80" t="n"/>
      <c r="R1469" s="80" t="n"/>
      <c r="S1469" s="80" t="n"/>
      <c r="T1469" s="80" t="n"/>
      <c r="U1469" s="80" t="n"/>
      <c r="V1469" s="80" t="n"/>
      <c r="W1469" s="80" t="n"/>
      <c r="X1469" s="80" t="n"/>
      <c r="Y1469" s="80" t="n"/>
      <c r="Z1469" s="80" t="n"/>
      <c r="AA1469" s="80" t="n"/>
      <c r="AB1469" s="80" t="n"/>
      <c r="AC1469" s="80" t="n"/>
      <c r="AD1469" s="80" t="n"/>
      <c r="AE1469" s="80" t="n"/>
      <c r="AF1469" s="80" t="n"/>
      <c r="AG1469" s="80" t="n"/>
      <c r="AH1469" s="80" t="n"/>
      <c r="AI1469" s="80" t="n"/>
      <c r="AJ1469" s="80" t="n"/>
      <c r="AK1469" s="80" t="n"/>
      <c r="AL1469" s="80" t="n"/>
      <c r="AM1469" s="80" t="n"/>
      <c r="AN1469" s="80" t="n"/>
      <c r="AO1469" s="80" t="n"/>
      <c r="AP1469" s="80" t="n"/>
      <c r="AQ1469" s="80" t="n"/>
      <c r="AR1469" s="80" t="n"/>
    </row>
    <row r="1470">
      <c r="D1470" s="80" t="n"/>
      <c r="E1470" s="80" t="n"/>
      <c r="F1470" s="80" t="n"/>
      <c r="G1470" s="80" t="n"/>
      <c r="H1470" s="80" t="n"/>
      <c r="I1470" s="80" t="n"/>
      <c r="J1470" s="80" t="n"/>
      <c r="K1470" s="80" t="n"/>
      <c r="L1470" s="80" t="n"/>
      <c r="M1470" s="80" t="n"/>
      <c r="N1470" s="80" t="n"/>
      <c r="O1470" s="80" t="n"/>
      <c r="P1470" s="80" t="n"/>
      <c r="Q1470" s="80" t="n"/>
      <c r="R1470" s="80" t="n"/>
      <c r="S1470" s="80" t="n"/>
      <c r="T1470" s="80" t="n"/>
      <c r="U1470" s="80" t="n"/>
      <c r="V1470" s="80" t="n"/>
      <c r="W1470" s="80" t="n"/>
      <c r="X1470" s="80" t="n"/>
      <c r="Y1470" s="80" t="n"/>
      <c r="Z1470" s="80" t="n"/>
      <c r="AA1470" s="80" t="n"/>
      <c r="AB1470" s="80" t="n"/>
      <c r="AC1470" s="80" t="n"/>
      <c r="AD1470" s="80" t="n"/>
      <c r="AE1470" s="80" t="n"/>
      <c r="AF1470" s="80" t="n"/>
      <c r="AG1470" s="80" t="n"/>
      <c r="AH1470" s="80" t="n"/>
      <c r="AI1470" s="80" t="n"/>
      <c r="AJ1470" s="80" t="n"/>
      <c r="AK1470" s="80" t="n"/>
      <c r="AL1470" s="80" t="n"/>
      <c r="AM1470" s="80" t="n"/>
      <c r="AN1470" s="80" t="n"/>
      <c r="AO1470" s="80" t="n"/>
      <c r="AP1470" s="80" t="n"/>
      <c r="AQ1470" s="80" t="n"/>
      <c r="AR1470" s="80" t="n"/>
    </row>
    <row r="1471">
      <c r="A1471" s="2">
        <f>IF($A1464="","","   projections")</f>
        <v/>
      </c>
      <c r="B1471" s="41">
        <f>IF($A1464="",0,COUNT($E1472:$AR1472))</f>
        <v/>
      </c>
      <c r="C1471" s="81">
        <f>IF($B1471=0,0,MAX($E1472:$AR1472))</f>
        <v/>
      </c>
      <c r="D1471" s="82">
        <f>BDS($A1464,'Field Check'!$C$6,"headers=y","startcol=1","endcol=7","dir=h")</f>
        <v/>
      </c>
      <c r="E1471" s="83" t="n"/>
      <c r="F1471" s="83" t="n"/>
      <c r="G1471" s="83" t="n"/>
      <c r="H1471" s="83" t="n"/>
      <c r="I1471" s="83" t="n"/>
      <c r="J1471" s="83" t="n"/>
      <c r="K1471" s="83" t="n"/>
      <c r="L1471" s="83" t="n"/>
      <c r="M1471" s="83" t="n"/>
      <c r="N1471" s="83" t="n"/>
      <c r="O1471" s="83" t="n"/>
      <c r="P1471" s="83" t="n"/>
      <c r="Q1471" s="83" t="n"/>
      <c r="R1471" s="83" t="n"/>
      <c r="S1471" s="83" t="n"/>
      <c r="T1471" s="83" t="n"/>
      <c r="U1471" s="83" t="n"/>
      <c r="V1471" s="83" t="n"/>
      <c r="W1471" s="83" t="n"/>
      <c r="X1471" s="83" t="n"/>
      <c r="Y1471" s="83" t="n"/>
      <c r="Z1471" s="83" t="n"/>
      <c r="AA1471" s="83" t="n"/>
      <c r="AB1471" s="83" t="n"/>
      <c r="AC1471" s="83" t="n"/>
      <c r="AD1471" s="83" t="n"/>
      <c r="AE1471" s="83" t="n"/>
      <c r="AF1471" s="83" t="n"/>
      <c r="AG1471" s="83" t="n"/>
      <c r="AH1471" s="83" t="n"/>
      <c r="AI1471" s="83" t="n"/>
      <c r="AJ1471" s="83" t="n"/>
      <c r="AK1471" s="83" t="n"/>
      <c r="AL1471" s="83" t="n"/>
      <c r="AM1471" s="83" t="n"/>
      <c r="AN1471" s="83" t="n"/>
      <c r="AO1471" s="83" t="n"/>
      <c r="AP1471" s="83" t="n"/>
      <c r="AQ1471" s="83" t="n"/>
      <c r="AR1471" s="83" t="n"/>
    </row>
    <row r="1472">
      <c r="D1472" s="83" t="n"/>
      <c r="E1472" s="83" t="n"/>
      <c r="F1472" s="83" t="n"/>
      <c r="G1472" s="83" t="n"/>
      <c r="H1472" s="83" t="n"/>
      <c r="I1472" s="83" t="n"/>
      <c r="J1472" s="83" t="n"/>
      <c r="K1472" s="83" t="n"/>
      <c r="L1472" s="83" t="n"/>
      <c r="M1472" s="83" t="n"/>
      <c r="N1472" s="83" t="n"/>
      <c r="O1472" s="83" t="n"/>
      <c r="P1472" s="83" t="n"/>
      <c r="Q1472" s="83" t="n"/>
      <c r="R1472" s="83" t="n"/>
      <c r="S1472" s="83" t="n"/>
      <c r="T1472" s="83" t="n"/>
      <c r="U1472" s="83" t="n"/>
      <c r="V1472" s="83" t="n"/>
      <c r="W1472" s="83" t="n"/>
      <c r="X1472" s="83" t="n"/>
      <c r="Y1472" s="83" t="n"/>
      <c r="Z1472" s="83" t="n"/>
      <c r="AA1472" s="83" t="n"/>
      <c r="AB1472" s="83" t="n"/>
      <c r="AC1472" s="83" t="n"/>
      <c r="AD1472" s="83" t="n"/>
      <c r="AE1472" s="83" t="n"/>
      <c r="AF1472" s="83" t="n"/>
      <c r="AG1472" s="83" t="n"/>
      <c r="AH1472" s="83" t="n"/>
      <c r="AI1472" s="83" t="n"/>
      <c r="AJ1472" s="83" t="n"/>
      <c r="AK1472" s="83" t="n"/>
      <c r="AL1472" s="83" t="n"/>
      <c r="AM1472" s="83" t="n"/>
      <c r="AN1472" s="83" t="n"/>
      <c r="AO1472" s="83" t="n"/>
      <c r="AP1472" s="83" t="n"/>
      <c r="AQ1472" s="83" t="n"/>
      <c r="AR1472" s="83" t="n"/>
    </row>
    <row r="1473">
      <c r="D1473" s="84" t="n"/>
      <c r="E1473" s="84" t="n"/>
      <c r="F1473" s="84" t="n"/>
      <c r="G1473" s="84" t="n"/>
      <c r="H1473" s="84" t="n"/>
      <c r="I1473" s="84" t="n"/>
      <c r="J1473" s="84" t="n"/>
      <c r="K1473" s="84" t="n"/>
      <c r="L1473" s="84" t="n"/>
      <c r="M1473" s="84" t="n"/>
      <c r="N1473" s="84" t="n"/>
      <c r="O1473" s="84" t="n"/>
      <c r="P1473" s="84" t="n"/>
      <c r="Q1473" s="84" t="n"/>
      <c r="R1473" s="84" t="n"/>
      <c r="S1473" s="84" t="n"/>
      <c r="T1473" s="84" t="n"/>
      <c r="U1473" s="84" t="n"/>
      <c r="V1473" s="84" t="n"/>
      <c r="W1473" s="84" t="n"/>
      <c r="X1473" s="84" t="n"/>
      <c r="Y1473" s="84" t="n"/>
      <c r="Z1473" s="84" t="n"/>
      <c r="AA1473" s="84" t="n"/>
      <c r="AB1473" s="84" t="n"/>
      <c r="AC1473" s="84" t="n"/>
      <c r="AD1473" s="84" t="n"/>
      <c r="AE1473" s="84" t="n"/>
      <c r="AF1473" s="84" t="n"/>
      <c r="AG1473" s="84" t="n"/>
      <c r="AH1473" s="84" t="n"/>
      <c r="AI1473" s="84" t="n"/>
      <c r="AJ1473" s="84" t="n"/>
      <c r="AK1473" s="84" t="n"/>
      <c r="AL1473" s="84" t="n"/>
      <c r="AM1473" s="84" t="n"/>
      <c r="AN1473" s="84" t="n"/>
      <c r="AO1473" s="84" t="n"/>
      <c r="AP1473" s="84" t="n"/>
      <c r="AQ1473" s="84" t="n"/>
      <c r="AR1473" s="84" t="n"/>
    </row>
    <row r="1474">
      <c r="D1474" s="80" t="n"/>
      <c r="E1474" s="80" t="n"/>
      <c r="F1474" s="80" t="n"/>
      <c r="G1474" s="80" t="n"/>
      <c r="H1474" s="80" t="n"/>
      <c r="I1474" s="80" t="n"/>
      <c r="J1474" s="80" t="n"/>
      <c r="K1474" s="80" t="n"/>
      <c r="L1474" s="80" t="n"/>
      <c r="M1474" s="80" t="n"/>
      <c r="N1474" s="80" t="n"/>
      <c r="O1474" s="80" t="n"/>
      <c r="P1474" s="80" t="n"/>
      <c r="Q1474" s="80" t="n"/>
      <c r="R1474" s="80" t="n"/>
      <c r="S1474" s="80" t="n"/>
      <c r="T1474" s="80" t="n"/>
      <c r="U1474" s="80" t="n"/>
      <c r="V1474" s="80" t="n"/>
      <c r="W1474" s="80" t="n"/>
      <c r="X1474" s="80" t="n"/>
      <c r="Y1474" s="80" t="n"/>
      <c r="Z1474" s="80" t="n"/>
      <c r="AA1474" s="80" t="n"/>
      <c r="AB1474" s="80" t="n"/>
      <c r="AC1474" s="80" t="n"/>
      <c r="AD1474" s="80" t="n"/>
      <c r="AE1474" s="80" t="n"/>
      <c r="AF1474" s="80" t="n"/>
      <c r="AG1474" s="80" t="n"/>
      <c r="AH1474" s="80" t="n"/>
      <c r="AI1474" s="80" t="n"/>
      <c r="AJ1474" s="80" t="n"/>
      <c r="AK1474" s="80" t="n"/>
      <c r="AL1474" s="80" t="n"/>
      <c r="AM1474" s="80" t="n"/>
      <c r="AN1474" s="80" t="n"/>
      <c r="AO1474" s="80" t="n"/>
      <c r="AP1474" s="80" t="n"/>
      <c r="AQ1474" s="80" t="n"/>
      <c r="AR1474" s="80" t="n"/>
    </row>
    <row r="1475">
      <c r="D1475" s="80" t="n"/>
      <c r="E1475" s="80" t="n"/>
      <c r="F1475" s="80" t="n"/>
      <c r="G1475" s="80" t="n"/>
      <c r="H1475" s="80" t="n"/>
      <c r="I1475" s="80" t="n"/>
      <c r="J1475" s="80" t="n"/>
      <c r="K1475" s="80" t="n"/>
      <c r="L1475" s="80" t="n"/>
      <c r="M1475" s="80" t="n"/>
      <c r="N1475" s="80" t="n"/>
      <c r="O1475" s="80" t="n"/>
      <c r="P1475" s="80" t="n"/>
      <c r="Q1475" s="80" t="n"/>
      <c r="R1475" s="80" t="n"/>
      <c r="S1475" s="80" t="n"/>
      <c r="T1475" s="80" t="n"/>
      <c r="U1475" s="80" t="n"/>
      <c r="V1475" s="80" t="n"/>
      <c r="W1475" s="80" t="n"/>
      <c r="X1475" s="80" t="n"/>
      <c r="Y1475" s="80" t="n"/>
      <c r="Z1475" s="80" t="n"/>
      <c r="AA1475" s="80" t="n"/>
      <c r="AB1475" s="80" t="n"/>
      <c r="AC1475" s="80" t="n"/>
      <c r="AD1475" s="80" t="n"/>
      <c r="AE1475" s="80" t="n"/>
      <c r="AF1475" s="80" t="n"/>
      <c r="AG1475" s="80" t="n"/>
      <c r="AH1475" s="80" t="n"/>
      <c r="AI1475" s="80" t="n"/>
      <c r="AJ1475" s="80" t="n"/>
      <c r="AK1475" s="80" t="n"/>
      <c r="AL1475" s="80" t="n"/>
      <c r="AM1475" s="80" t="n"/>
      <c r="AN1475" s="80" t="n"/>
      <c r="AO1475" s="80" t="n"/>
      <c r="AP1475" s="80" t="n"/>
      <c r="AQ1475" s="80" t="n"/>
      <c r="AR1475" s="80" t="n"/>
    </row>
    <row r="1476">
      <c r="D1476" s="80" t="n"/>
      <c r="E1476" s="80" t="n"/>
      <c r="F1476" s="80" t="n"/>
      <c r="G1476" s="80" t="n"/>
      <c r="H1476" s="80" t="n"/>
      <c r="I1476" s="80" t="n"/>
      <c r="J1476" s="80" t="n"/>
      <c r="K1476" s="80" t="n"/>
      <c r="L1476" s="80" t="n"/>
      <c r="M1476" s="80" t="n"/>
      <c r="N1476" s="80" t="n"/>
      <c r="O1476" s="80" t="n"/>
      <c r="P1476" s="80" t="n"/>
      <c r="Q1476" s="80" t="n"/>
      <c r="R1476" s="80" t="n"/>
      <c r="S1476" s="80" t="n"/>
      <c r="T1476" s="80" t="n"/>
      <c r="U1476" s="80" t="n"/>
      <c r="V1476" s="80" t="n"/>
      <c r="W1476" s="80" t="n"/>
      <c r="X1476" s="80" t="n"/>
      <c r="Y1476" s="80" t="n"/>
      <c r="Z1476" s="80" t="n"/>
      <c r="AA1476" s="80" t="n"/>
      <c r="AB1476" s="80" t="n"/>
      <c r="AC1476" s="80" t="n"/>
      <c r="AD1476" s="80" t="n"/>
      <c r="AE1476" s="80" t="n"/>
      <c r="AF1476" s="80" t="n"/>
      <c r="AG1476" s="80" t="n"/>
      <c r="AH1476" s="80" t="n"/>
      <c r="AI1476" s="80" t="n"/>
      <c r="AJ1476" s="80" t="n"/>
      <c r="AK1476" s="80" t="n"/>
      <c r="AL1476" s="80" t="n"/>
      <c r="AM1476" s="80" t="n"/>
      <c r="AN1476" s="80" t="n"/>
      <c r="AO1476" s="80" t="n"/>
      <c r="AP1476" s="80" t="n"/>
      <c r="AQ1476" s="80" t="n"/>
      <c r="AR1476" s="80" t="n"/>
    </row>
    <row r="1477">
      <c r="D1477" s="80" t="n"/>
      <c r="E1477" s="80" t="n"/>
      <c r="F1477" s="80" t="n"/>
      <c r="G1477" s="80" t="n"/>
      <c r="H1477" s="80" t="n"/>
      <c r="I1477" s="80" t="n"/>
      <c r="J1477" s="80" t="n"/>
      <c r="K1477" s="80" t="n"/>
      <c r="L1477" s="80" t="n"/>
      <c r="M1477" s="80" t="n"/>
      <c r="N1477" s="80" t="n"/>
      <c r="O1477" s="80" t="n"/>
      <c r="P1477" s="80" t="n"/>
      <c r="Q1477" s="80" t="n"/>
      <c r="R1477" s="80" t="n"/>
      <c r="S1477" s="80" t="n"/>
      <c r="T1477" s="80" t="n"/>
      <c r="U1477" s="80" t="n"/>
      <c r="V1477" s="80" t="n"/>
      <c r="W1477" s="80" t="n"/>
      <c r="X1477" s="80" t="n"/>
      <c r="Y1477" s="80" t="n"/>
      <c r="Z1477" s="80" t="n"/>
      <c r="AA1477" s="80" t="n"/>
      <c r="AB1477" s="80" t="n"/>
      <c r="AC1477" s="80" t="n"/>
      <c r="AD1477" s="80" t="n"/>
      <c r="AE1477" s="80" t="n"/>
      <c r="AF1477" s="80" t="n"/>
      <c r="AG1477" s="80" t="n"/>
      <c r="AH1477" s="80" t="n"/>
      <c r="AI1477" s="80" t="n"/>
      <c r="AJ1477" s="80" t="n"/>
      <c r="AK1477" s="80" t="n"/>
      <c r="AL1477" s="80" t="n"/>
      <c r="AM1477" s="80" t="n"/>
      <c r="AN1477" s="80" t="n"/>
      <c r="AO1477" s="80" t="n"/>
      <c r="AP1477" s="80" t="n"/>
      <c r="AQ1477" s="80" t="n"/>
      <c r="AR1477" s="80" t="n"/>
    </row>
    <row r="1479">
      <c r="A1479" s="6">
        <f>IF(HSI!$C$105="","",HSI!$C$105)</f>
        <v/>
      </c>
      <c r="B1479" s="41">
        <f>IF($A1479="",0,COUNT($E1480:$AR1480))</f>
        <v/>
      </c>
      <c r="C1479" s="81">
        <f>IF($B1479=0,0,MAX($E1480:$AR1480))</f>
        <v/>
      </c>
      <c r="D1479" s="82">
        <f>BDS($A1479,'Field Check'!$C$7,"headers=y","startcol=1","endcol=7","dir=h","DVD_START_DT",Summary!$C$18,"DVD_END_DT",Summary!$D$18)</f>
        <v/>
      </c>
      <c r="E1479" s="83" t="n"/>
      <c r="F1479" s="83" t="n"/>
      <c r="G1479" s="83" t="n"/>
      <c r="H1479" s="83" t="n"/>
      <c r="I1479" s="83" t="n"/>
      <c r="J1479" s="83" t="n"/>
      <c r="K1479" s="83" t="n"/>
      <c r="L1479" s="83" t="n"/>
      <c r="M1479" s="83" t="n"/>
      <c r="N1479" s="83" t="n"/>
      <c r="O1479" s="83" t="n"/>
      <c r="P1479" s="83" t="n"/>
      <c r="Q1479" s="83" t="n"/>
      <c r="R1479" s="83" t="n"/>
      <c r="S1479" s="83" t="n"/>
      <c r="T1479" s="83" t="n"/>
      <c r="U1479" s="83" t="n"/>
      <c r="V1479" s="83" t="n"/>
      <c r="W1479" s="83" t="n"/>
      <c r="X1479" s="83" t="n"/>
      <c r="Y1479" s="83" t="n"/>
      <c r="Z1479" s="83" t="n"/>
      <c r="AA1479" s="83" t="n"/>
      <c r="AB1479" s="83" t="n"/>
      <c r="AC1479" s="83" t="n"/>
      <c r="AD1479" s="83" t="n"/>
      <c r="AE1479" s="83" t="n"/>
      <c r="AF1479" s="83" t="n"/>
      <c r="AG1479" s="83" t="n"/>
      <c r="AH1479" s="83" t="n"/>
      <c r="AI1479" s="83" t="n"/>
      <c r="AJ1479" s="83" t="n"/>
      <c r="AK1479" s="83" t="n"/>
      <c r="AL1479" s="83" t="n"/>
      <c r="AM1479" s="83" t="n"/>
      <c r="AN1479" s="83" t="n"/>
      <c r="AO1479" s="83" t="n"/>
      <c r="AP1479" s="83" t="n"/>
      <c r="AQ1479" s="83" t="n"/>
      <c r="AR1479" s="83" t="n"/>
    </row>
    <row r="1480">
      <c r="D1480" s="83" t="n"/>
      <c r="E1480" s="83" t="n"/>
      <c r="F1480" s="83" t="n"/>
      <c r="G1480" s="83" t="n"/>
      <c r="H1480" s="83" t="n"/>
      <c r="I1480" s="83" t="n"/>
      <c r="J1480" s="83" t="n"/>
      <c r="K1480" s="83" t="n"/>
      <c r="L1480" s="83" t="n"/>
      <c r="M1480" s="83" t="n"/>
      <c r="N1480" s="83" t="n"/>
      <c r="O1480" s="83" t="n"/>
      <c r="P1480" s="83" t="n"/>
      <c r="Q1480" s="83" t="n"/>
      <c r="R1480" s="83" t="n"/>
      <c r="S1480" s="83" t="n"/>
      <c r="T1480" s="83" t="n"/>
      <c r="U1480" s="83" t="n"/>
      <c r="V1480" s="83" t="n"/>
      <c r="W1480" s="83" t="n"/>
      <c r="X1480" s="83" t="n"/>
      <c r="Y1480" s="83" t="n"/>
      <c r="Z1480" s="83" t="n"/>
      <c r="AA1480" s="83" t="n"/>
      <c r="AB1480" s="83" t="n"/>
      <c r="AC1480" s="83" t="n"/>
      <c r="AD1480" s="83" t="n"/>
      <c r="AE1480" s="83" t="n"/>
      <c r="AF1480" s="83" t="n"/>
      <c r="AG1480" s="83" t="n"/>
      <c r="AH1480" s="83" t="n"/>
      <c r="AI1480" s="83" t="n"/>
      <c r="AJ1480" s="83" t="n"/>
      <c r="AK1480" s="83" t="n"/>
      <c r="AL1480" s="83" t="n"/>
      <c r="AM1480" s="83" t="n"/>
      <c r="AN1480" s="83" t="n"/>
      <c r="AO1480" s="83" t="n"/>
      <c r="AP1480" s="83" t="n"/>
      <c r="AQ1480" s="83" t="n"/>
      <c r="AR1480" s="83" t="n"/>
    </row>
    <row r="1481">
      <c r="D1481" s="84" t="n"/>
      <c r="E1481" s="84" t="n"/>
      <c r="F1481" s="84" t="n"/>
      <c r="G1481" s="84" t="n"/>
      <c r="H1481" s="84" t="n"/>
      <c r="I1481" s="84" t="n"/>
      <c r="J1481" s="84" t="n"/>
      <c r="K1481" s="84" t="n"/>
      <c r="L1481" s="84" t="n"/>
      <c r="M1481" s="84" t="n"/>
      <c r="N1481" s="84" t="n"/>
      <c r="O1481" s="84" t="n"/>
      <c r="P1481" s="84" t="n"/>
      <c r="Q1481" s="84" t="n"/>
      <c r="R1481" s="84" t="n"/>
      <c r="S1481" s="84" t="n"/>
      <c r="T1481" s="84" t="n"/>
      <c r="U1481" s="84" t="n"/>
      <c r="V1481" s="84" t="n"/>
      <c r="W1481" s="84" t="n"/>
      <c r="X1481" s="84" t="n"/>
      <c r="Y1481" s="84" t="n"/>
      <c r="Z1481" s="84" t="n"/>
      <c r="AA1481" s="84" t="n"/>
      <c r="AB1481" s="84" t="n"/>
      <c r="AC1481" s="84" t="n"/>
      <c r="AD1481" s="84" t="n"/>
      <c r="AE1481" s="84" t="n"/>
      <c r="AF1481" s="84" t="n"/>
      <c r="AG1481" s="84" t="n"/>
      <c r="AH1481" s="84" t="n"/>
      <c r="AI1481" s="84" t="n"/>
      <c r="AJ1481" s="84" t="n"/>
      <c r="AK1481" s="84" t="n"/>
      <c r="AL1481" s="84" t="n"/>
      <c r="AM1481" s="84" t="n"/>
      <c r="AN1481" s="84" t="n"/>
      <c r="AO1481" s="84" t="n"/>
      <c r="AP1481" s="84" t="n"/>
      <c r="AQ1481" s="84" t="n"/>
      <c r="AR1481" s="84" t="n"/>
    </row>
    <row r="1482">
      <c r="D1482" s="80" t="n"/>
      <c r="E1482" s="80" t="n"/>
      <c r="F1482" s="80" t="n"/>
      <c r="G1482" s="80" t="n"/>
      <c r="H1482" s="80" t="n"/>
      <c r="I1482" s="80" t="n"/>
      <c r="J1482" s="80" t="n"/>
      <c r="K1482" s="80" t="n"/>
      <c r="L1482" s="80" t="n"/>
      <c r="M1482" s="80" t="n"/>
      <c r="N1482" s="80" t="n"/>
      <c r="O1482" s="80" t="n"/>
      <c r="P1482" s="80" t="n"/>
      <c r="Q1482" s="80" t="n"/>
      <c r="R1482" s="80" t="n"/>
      <c r="S1482" s="80" t="n"/>
      <c r="T1482" s="80" t="n"/>
      <c r="U1482" s="80" t="n"/>
      <c r="V1482" s="80" t="n"/>
      <c r="W1482" s="80" t="n"/>
      <c r="X1482" s="80" t="n"/>
      <c r="Y1482" s="80" t="n"/>
      <c r="Z1482" s="80" t="n"/>
      <c r="AA1482" s="80" t="n"/>
      <c r="AB1482" s="80" t="n"/>
      <c r="AC1482" s="80" t="n"/>
      <c r="AD1482" s="80" t="n"/>
      <c r="AE1482" s="80" t="n"/>
      <c r="AF1482" s="80" t="n"/>
      <c r="AG1482" s="80" t="n"/>
      <c r="AH1482" s="80" t="n"/>
      <c r="AI1482" s="80" t="n"/>
      <c r="AJ1482" s="80" t="n"/>
      <c r="AK1482" s="80" t="n"/>
      <c r="AL1482" s="80" t="n"/>
      <c r="AM1482" s="80" t="n"/>
      <c r="AN1482" s="80" t="n"/>
      <c r="AO1482" s="80" t="n"/>
      <c r="AP1482" s="80" t="n"/>
      <c r="AQ1482" s="80" t="n"/>
      <c r="AR1482" s="80" t="n"/>
    </row>
    <row r="1483">
      <c r="D1483" s="80" t="n"/>
      <c r="E1483" s="80" t="n"/>
      <c r="F1483" s="80" t="n"/>
      <c r="G1483" s="80" t="n"/>
      <c r="H1483" s="80" t="n"/>
      <c r="I1483" s="80" t="n"/>
      <c r="J1483" s="80" t="n"/>
      <c r="K1483" s="80" t="n"/>
      <c r="L1483" s="80" t="n"/>
      <c r="M1483" s="80" t="n"/>
      <c r="N1483" s="80" t="n"/>
      <c r="O1483" s="80" t="n"/>
      <c r="P1483" s="80" t="n"/>
      <c r="Q1483" s="80" t="n"/>
      <c r="R1483" s="80" t="n"/>
      <c r="S1483" s="80" t="n"/>
      <c r="T1483" s="80" t="n"/>
      <c r="U1483" s="80" t="n"/>
      <c r="V1483" s="80" t="n"/>
      <c r="W1483" s="80" t="n"/>
      <c r="X1483" s="80" t="n"/>
      <c r="Y1483" s="80" t="n"/>
      <c r="Z1483" s="80" t="n"/>
      <c r="AA1483" s="80" t="n"/>
      <c r="AB1483" s="80" t="n"/>
      <c r="AC1483" s="80" t="n"/>
      <c r="AD1483" s="80" t="n"/>
      <c r="AE1483" s="80" t="n"/>
      <c r="AF1483" s="80" t="n"/>
      <c r="AG1483" s="80" t="n"/>
      <c r="AH1483" s="80" t="n"/>
      <c r="AI1483" s="80" t="n"/>
      <c r="AJ1483" s="80" t="n"/>
      <c r="AK1483" s="80" t="n"/>
      <c r="AL1483" s="80" t="n"/>
      <c r="AM1483" s="80" t="n"/>
      <c r="AN1483" s="80" t="n"/>
      <c r="AO1483" s="80" t="n"/>
      <c r="AP1483" s="80" t="n"/>
      <c r="AQ1483" s="80" t="n"/>
      <c r="AR1483" s="80" t="n"/>
    </row>
    <row r="1484">
      <c r="D1484" s="80" t="n"/>
      <c r="E1484" s="80" t="n"/>
      <c r="F1484" s="80" t="n"/>
      <c r="G1484" s="80" t="n"/>
      <c r="H1484" s="80" t="n"/>
      <c r="I1484" s="80" t="n"/>
      <c r="J1484" s="80" t="n"/>
      <c r="K1484" s="80" t="n"/>
      <c r="L1484" s="80" t="n"/>
      <c r="M1484" s="80" t="n"/>
      <c r="N1484" s="80" t="n"/>
      <c r="O1484" s="80" t="n"/>
      <c r="P1484" s="80" t="n"/>
      <c r="Q1484" s="80" t="n"/>
      <c r="R1484" s="80" t="n"/>
      <c r="S1484" s="80" t="n"/>
      <c r="T1484" s="80" t="n"/>
      <c r="U1484" s="80" t="n"/>
      <c r="V1484" s="80" t="n"/>
      <c r="W1484" s="80" t="n"/>
      <c r="X1484" s="80" t="n"/>
      <c r="Y1484" s="80" t="n"/>
      <c r="Z1484" s="80" t="n"/>
      <c r="AA1484" s="80" t="n"/>
      <c r="AB1484" s="80" t="n"/>
      <c r="AC1484" s="80" t="n"/>
      <c r="AD1484" s="80" t="n"/>
      <c r="AE1484" s="80" t="n"/>
      <c r="AF1484" s="80" t="n"/>
      <c r="AG1484" s="80" t="n"/>
      <c r="AH1484" s="80" t="n"/>
      <c r="AI1484" s="80" t="n"/>
      <c r="AJ1484" s="80" t="n"/>
      <c r="AK1484" s="80" t="n"/>
      <c r="AL1484" s="80" t="n"/>
      <c r="AM1484" s="80" t="n"/>
      <c r="AN1484" s="80" t="n"/>
      <c r="AO1484" s="80" t="n"/>
      <c r="AP1484" s="80" t="n"/>
      <c r="AQ1484" s="80" t="n"/>
      <c r="AR1484" s="80" t="n"/>
    </row>
    <row r="1485">
      <c r="D1485" s="80" t="n"/>
      <c r="E1485" s="80" t="n"/>
      <c r="F1485" s="80" t="n"/>
      <c r="G1485" s="80" t="n"/>
      <c r="H1485" s="80" t="n"/>
      <c r="I1485" s="80" t="n"/>
      <c r="J1485" s="80" t="n"/>
      <c r="K1485" s="80" t="n"/>
      <c r="L1485" s="80" t="n"/>
      <c r="M1485" s="80" t="n"/>
      <c r="N1485" s="80" t="n"/>
      <c r="O1485" s="80" t="n"/>
      <c r="P1485" s="80" t="n"/>
      <c r="Q1485" s="80" t="n"/>
      <c r="R1485" s="80" t="n"/>
      <c r="S1485" s="80" t="n"/>
      <c r="T1485" s="80" t="n"/>
      <c r="U1485" s="80" t="n"/>
      <c r="V1485" s="80" t="n"/>
      <c r="W1485" s="80" t="n"/>
      <c r="X1485" s="80" t="n"/>
      <c r="Y1485" s="80" t="n"/>
      <c r="Z1485" s="80" t="n"/>
      <c r="AA1485" s="80" t="n"/>
      <c r="AB1485" s="80" t="n"/>
      <c r="AC1485" s="80" t="n"/>
      <c r="AD1485" s="80" t="n"/>
      <c r="AE1485" s="80" t="n"/>
      <c r="AF1485" s="80" t="n"/>
      <c r="AG1485" s="80" t="n"/>
      <c r="AH1485" s="80" t="n"/>
      <c r="AI1485" s="80" t="n"/>
      <c r="AJ1485" s="80" t="n"/>
      <c r="AK1485" s="80" t="n"/>
      <c r="AL1485" s="80" t="n"/>
      <c r="AM1485" s="80" t="n"/>
      <c r="AN1485" s="80" t="n"/>
      <c r="AO1485" s="80" t="n"/>
      <c r="AP1485" s="80" t="n"/>
      <c r="AQ1485" s="80" t="n"/>
      <c r="AR1485" s="80" t="n"/>
    </row>
    <row r="1486">
      <c r="A1486" s="2">
        <f>IF($A1479="","","   projections")</f>
        <v/>
      </c>
      <c r="B1486" s="41">
        <f>IF($A1479="",0,COUNT($E1487:$AR1487))</f>
        <v/>
      </c>
      <c r="C1486" s="81">
        <f>IF($B1486=0,0,MAX($E1487:$AR1487))</f>
        <v/>
      </c>
      <c r="D1486" s="82">
        <f>BDS($A1479,'Field Check'!$C$6,"headers=y","startcol=1","endcol=7","dir=h")</f>
        <v/>
      </c>
      <c r="E1486" s="83" t="n"/>
      <c r="F1486" s="83" t="n"/>
      <c r="G1486" s="83" t="n"/>
      <c r="H1486" s="83" t="n"/>
      <c r="I1486" s="83" t="n"/>
      <c r="J1486" s="83" t="n"/>
      <c r="K1486" s="83" t="n"/>
      <c r="L1486" s="83" t="n"/>
      <c r="M1486" s="83" t="n"/>
      <c r="N1486" s="83" t="n"/>
      <c r="O1486" s="83" t="n"/>
      <c r="P1486" s="83" t="n"/>
      <c r="Q1486" s="83" t="n"/>
      <c r="R1486" s="83" t="n"/>
      <c r="S1486" s="83" t="n"/>
      <c r="T1486" s="83" t="n"/>
      <c r="U1486" s="83" t="n"/>
      <c r="V1486" s="83" t="n"/>
      <c r="W1486" s="83" t="n"/>
      <c r="X1486" s="83" t="n"/>
      <c r="Y1486" s="83" t="n"/>
      <c r="Z1486" s="83" t="n"/>
      <c r="AA1486" s="83" t="n"/>
      <c r="AB1486" s="83" t="n"/>
      <c r="AC1486" s="83" t="n"/>
      <c r="AD1486" s="83" t="n"/>
      <c r="AE1486" s="83" t="n"/>
      <c r="AF1486" s="83" t="n"/>
      <c r="AG1486" s="83" t="n"/>
      <c r="AH1486" s="83" t="n"/>
      <c r="AI1486" s="83" t="n"/>
      <c r="AJ1486" s="83" t="n"/>
      <c r="AK1486" s="83" t="n"/>
      <c r="AL1486" s="83" t="n"/>
      <c r="AM1486" s="83" t="n"/>
      <c r="AN1486" s="83" t="n"/>
      <c r="AO1486" s="83" t="n"/>
      <c r="AP1486" s="83" t="n"/>
      <c r="AQ1486" s="83" t="n"/>
      <c r="AR1486" s="83" t="n"/>
    </row>
    <row r="1487">
      <c r="D1487" s="83" t="n"/>
      <c r="E1487" s="83" t="n"/>
      <c r="F1487" s="83" t="n"/>
      <c r="G1487" s="83" t="n"/>
      <c r="H1487" s="83" t="n"/>
      <c r="I1487" s="83" t="n"/>
      <c r="J1487" s="83" t="n"/>
      <c r="K1487" s="83" t="n"/>
      <c r="L1487" s="83" t="n"/>
      <c r="M1487" s="83" t="n"/>
      <c r="N1487" s="83" t="n"/>
      <c r="O1487" s="83" t="n"/>
      <c r="P1487" s="83" t="n"/>
      <c r="Q1487" s="83" t="n"/>
      <c r="R1487" s="83" t="n"/>
      <c r="S1487" s="83" t="n"/>
      <c r="T1487" s="83" t="n"/>
      <c r="U1487" s="83" t="n"/>
      <c r="V1487" s="83" t="n"/>
      <c r="W1487" s="83" t="n"/>
      <c r="X1487" s="83" t="n"/>
      <c r="Y1487" s="83" t="n"/>
      <c r="Z1487" s="83" t="n"/>
      <c r="AA1487" s="83" t="n"/>
      <c r="AB1487" s="83" t="n"/>
      <c r="AC1487" s="83" t="n"/>
      <c r="AD1487" s="83" t="n"/>
      <c r="AE1487" s="83" t="n"/>
      <c r="AF1487" s="83" t="n"/>
      <c r="AG1487" s="83" t="n"/>
      <c r="AH1487" s="83" t="n"/>
      <c r="AI1487" s="83" t="n"/>
      <c r="AJ1487" s="83" t="n"/>
      <c r="AK1487" s="83" t="n"/>
      <c r="AL1487" s="83" t="n"/>
      <c r="AM1487" s="83" t="n"/>
      <c r="AN1487" s="83" t="n"/>
      <c r="AO1487" s="83" t="n"/>
      <c r="AP1487" s="83" t="n"/>
      <c r="AQ1487" s="83" t="n"/>
      <c r="AR1487" s="83" t="n"/>
    </row>
    <row r="1488">
      <c r="D1488" s="84" t="n"/>
      <c r="E1488" s="84" t="n"/>
      <c r="F1488" s="84" t="n"/>
      <c r="G1488" s="84" t="n"/>
      <c r="H1488" s="84" t="n"/>
      <c r="I1488" s="84" t="n"/>
      <c r="J1488" s="84" t="n"/>
      <c r="K1488" s="84" t="n"/>
      <c r="L1488" s="84" t="n"/>
      <c r="M1488" s="84" t="n"/>
      <c r="N1488" s="84" t="n"/>
      <c r="O1488" s="84" t="n"/>
      <c r="P1488" s="84" t="n"/>
      <c r="Q1488" s="84" t="n"/>
      <c r="R1488" s="84" t="n"/>
      <c r="S1488" s="84" t="n"/>
      <c r="T1488" s="84" t="n"/>
      <c r="U1488" s="84" t="n"/>
      <c r="V1488" s="84" t="n"/>
      <c r="W1488" s="84" t="n"/>
      <c r="X1488" s="84" t="n"/>
      <c r="Y1488" s="84" t="n"/>
      <c r="Z1488" s="84" t="n"/>
      <c r="AA1488" s="84" t="n"/>
      <c r="AB1488" s="84" t="n"/>
      <c r="AC1488" s="84" t="n"/>
      <c r="AD1488" s="84" t="n"/>
      <c r="AE1488" s="84" t="n"/>
      <c r="AF1488" s="84" t="n"/>
      <c r="AG1488" s="84" t="n"/>
      <c r="AH1488" s="84" t="n"/>
      <c r="AI1488" s="84" t="n"/>
      <c r="AJ1488" s="84" t="n"/>
      <c r="AK1488" s="84" t="n"/>
      <c r="AL1488" s="84" t="n"/>
      <c r="AM1488" s="84" t="n"/>
      <c r="AN1488" s="84" t="n"/>
      <c r="AO1488" s="84" t="n"/>
      <c r="AP1488" s="84" t="n"/>
      <c r="AQ1488" s="84" t="n"/>
      <c r="AR1488" s="84" t="n"/>
    </row>
    <row r="1489">
      <c r="D1489" s="80" t="n"/>
      <c r="E1489" s="80" t="n"/>
      <c r="F1489" s="80" t="n"/>
      <c r="G1489" s="80" t="n"/>
      <c r="H1489" s="80" t="n"/>
      <c r="I1489" s="80" t="n"/>
      <c r="J1489" s="80" t="n"/>
      <c r="K1489" s="80" t="n"/>
      <c r="L1489" s="80" t="n"/>
      <c r="M1489" s="80" t="n"/>
      <c r="N1489" s="80" t="n"/>
      <c r="O1489" s="80" t="n"/>
      <c r="P1489" s="80" t="n"/>
      <c r="Q1489" s="80" t="n"/>
      <c r="R1489" s="80" t="n"/>
      <c r="S1489" s="80" t="n"/>
      <c r="T1489" s="80" t="n"/>
      <c r="U1489" s="80" t="n"/>
      <c r="V1489" s="80" t="n"/>
      <c r="W1489" s="80" t="n"/>
      <c r="X1489" s="80" t="n"/>
      <c r="Y1489" s="80" t="n"/>
      <c r="Z1489" s="80" t="n"/>
      <c r="AA1489" s="80" t="n"/>
      <c r="AB1489" s="80" t="n"/>
      <c r="AC1489" s="80" t="n"/>
      <c r="AD1489" s="80" t="n"/>
      <c r="AE1489" s="80" t="n"/>
      <c r="AF1489" s="80" t="n"/>
      <c r="AG1489" s="80" t="n"/>
      <c r="AH1489" s="80" t="n"/>
      <c r="AI1489" s="80" t="n"/>
      <c r="AJ1489" s="80" t="n"/>
      <c r="AK1489" s="80" t="n"/>
      <c r="AL1489" s="80" t="n"/>
      <c r="AM1489" s="80" t="n"/>
      <c r="AN1489" s="80" t="n"/>
      <c r="AO1489" s="80" t="n"/>
      <c r="AP1489" s="80" t="n"/>
      <c r="AQ1489" s="80" t="n"/>
      <c r="AR1489" s="80" t="n"/>
    </row>
    <row r="1490">
      <c r="D1490" s="80" t="n"/>
      <c r="E1490" s="80" t="n"/>
      <c r="F1490" s="80" t="n"/>
      <c r="G1490" s="80" t="n"/>
      <c r="H1490" s="80" t="n"/>
      <c r="I1490" s="80" t="n"/>
      <c r="J1490" s="80" t="n"/>
      <c r="K1490" s="80" t="n"/>
      <c r="L1490" s="80" t="n"/>
      <c r="M1490" s="80" t="n"/>
      <c r="N1490" s="80" t="n"/>
      <c r="O1490" s="80" t="n"/>
      <c r="P1490" s="80" t="n"/>
      <c r="Q1490" s="80" t="n"/>
      <c r="R1490" s="80" t="n"/>
      <c r="S1490" s="80" t="n"/>
      <c r="T1490" s="80" t="n"/>
      <c r="U1490" s="80" t="n"/>
      <c r="V1490" s="80" t="n"/>
      <c r="W1490" s="80" t="n"/>
      <c r="X1490" s="80" t="n"/>
      <c r="Y1490" s="80" t="n"/>
      <c r="Z1490" s="80" t="n"/>
      <c r="AA1490" s="80" t="n"/>
      <c r="AB1490" s="80" t="n"/>
      <c r="AC1490" s="80" t="n"/>
      <c r="AD1490" s="80" t="n"/>
      <c r="AE1490" s="80" t="n"/>
      <c r="AF1490" s="80" t="n"/>
      <c r="AG1490" s="80" t="n"/>
      <c r="AH1490" s="80" t="n"/>
      <c r="AI1490" s="80" t="n"/>
      <c r="AJ1490" s="80" t="n"/>
      <c r="AK1490" s="80" t="n"/>
      <c r="AL1490" s="80" t="n"/>
      <c r="AM1490" s="80" t="n"/>
      <c r="AN1490" s="80" t="n"/>
      <c r="AO1490" s="80" t="n"/>
      <c r="AP1490" s="80" t="n"/>
      <c r="AQ1490" s="80" t="n"/>
      <c r="AR1490" s="80" t="n"/>
    </row>
    <row r="1491">
      <c r="D1491" s="80" t="n"/>
      <c r="E1491" s="80" t="n"/>
      <c r="F1491" s="80" t="n"/>
      <c r="G1491" s="80" t="n"/>
      <c r="H1491" s="80" t="n"/>
      <c r="I1491" s="80" t="n"/>
      <c r="J1491" s="80" t="n"/>
      <c r="K1491" s="80" t="n"/>
      <c r="L1491" s="80" t="n"/>
      <c r="M1491" s="80" t="n"/>
      <c r="N1491" s="80" t="n"/>
      <c r="O1491" s="80" t="n"/>
      <c r="P1491" s="80" t="n"/>
      <c r="Q1491" s="80" t="n"/>
      <c r="R1491" s="80" t="n"/>
      <c r="S1491" s="80" t="n"/>
      <c r="T1491" s="80" t="n"/>
      <c r="U1491" s="80" t="n"/>
      <c r="V1491" s="80" t="n"/>
      <c r="W1491" s="80" t="n"/>
      <c r="X1491" s="80" t="n"/>
      <c r="Y1491" s="80" t="n"/>
      <c r="Z1491" s="80" t="n"/>
      <c r="AA1491" s="80" t="n"/>
      <c r="AB1491" s="80" t="n"/>
      <c r="AC1491" s="80" t="n"/>
      <c r="AD1491" s="80" t="n"/>
      <c r="AE1491" s="80" t="n"/>
      <c r="AF1491" s="80" t="n"/>
      <c r="AG1491" s="80" t="n"/>
      <c r="AH1491" s="80" t="n"/>
      <c r="AI1491" s="80" t="n"/>
      <c r="AJ1491" s="80" t="n"/>
      <c r="AK1491" s="80" t="n"/>
      <c r="AL1491" s="80" t="n"/>
      <c r="AM1491" s="80" t="n"/>
      <c r="AN1491" s="80" t="n"/>
      <c r="AO1491" s="80" t="n"/>
      <c r="AP1491" s="80" t="n"/>
      <c r="AQ1491" s="80" t="n"/>
      <c r="AR1491" s="80" t="n"/>
    </row>
    <row r="1492">
      <c r="D1492" s="80" t="n"/>
      <c r="E1492" s="80" t="n"/>
      <c r="F1492" s="80" t="n"/>
      <c r="G1492" s="80" t="n"/>
      <c r="H1492" s="80" t="n"/>
      <c r="I1492" s="80" t="n"/>
      <c r="J1492" s="80" t="n"/>
      <c r="K1492" s="80" t="n"/>
      <c r="L1492" s="80" t="n"/>
      <c r="M1492" s="80" t="n"/>
      <c r="N1492" s="80" t="n"/>
      <c r="O1492" s="80" t="n"/>
      <c r="P1492" s="80" t="n"/>
      <c r="Q1492" s="80" t="n"/>
      <c r="R1492" s="80" t="n"/>
      <c r="S1492" s="80" t="n"/>
      <c r="T1492" s="80" t="n"/>
      <c r="U1492" s="80" t="n"/>
      <c r="V1492" s="80" t="n"/>
      <c r="W1492" s="80" t="n"/>
      <c r="X1492" s="80" t="n"/>
      <c r="Y1492" s="80" t="n"/>
      <c r="Z1492" s="80" t="n"/>
      <c r="AA1492" s="80" t="n"/>
      <c r="AB1492" s="80" t="n"/>
      <c r="AC1492" s="80" t="n"/>
      <c r="AD1492" s="80" t="n"/>
      <c r="AE1492" s="80" t="n"/>
      <c r="AF1492" s="80" t="n"/>
      <c r="AG1492" s="80" t="n"/>
      <c r="AH1492" s="80" t="n"/>
      <c r="AI1492" s="80" t="n"/>
      <c r="AJ1492" s="80" t="n"/>
      <c r="AK1492" s="80" t="n"/>
      <c r="AL1492" s="80" t="n"/>
      <c r="AM1492" s="80" t="n"/>
      <c r="AN1492" s="80" t="n"/>
      <c r="AO1492" s="80" t="n"/>
      <c r="AP1492" s="80" t="n"/>
      <c r="AQ1492" s="80" t="n"/>
      <c r="AR1492" s="80" t="n"/>
    </row>
    <row r="1494">
      <c r="A1494" s="6">
        <f>IF(HSI!$C$106="","",HSI!$C$106)</f>
        <v/>
      </c>
      <c r="B1494" s="41">
        <f>IF($A1494="",0,COUNT($E1495:$AR1495))</f>
        <v/>
      </c>
      <c r="C1494" s="81">
        <f>IF($B1494=0,0,MAX($E1495:$AR1495))</f>
        <v/>
      </c>
      <c r="D1494" s="82">
        <f>BDS($A1494,'Field Check'!$C$7,"headers=y","startcol=1","endcol=7","dir=h","DVD_START_DT",Summary!$C$18,"DVD_END_DT",Summary!$D$18)</f>
        <v/>
      </c>
      <c r="E1494" s="83" t="n"/>
      <c r="F1494" s="83" t="n"/>
      <c r="G1494" s="83" t="n"/>
      <c r="H1494" s="83" t="n"/>
      <c r="I1494" s="83" t="n"/>
      <c r="J1494" s="83" t="n"/>
      <c r="K1494" s="83" t="n"/>
      <c r="L1494" s="83" t="n"/>
      <c r="M1494" s="83" t="n"/>
      <c r="N1494" s="83" t="n"/>
      <c r="O1494" s="83" t="n"/>
      <c r="P1494" s="83" t="n"/>
      <c r="Q1494" s="83" t="n"/>
      <c r="R1494" s="83" t="n"/>
      <c r="S1494" s="83" t="n"/>
      <c r="T1494" s="83" t="n"/>
      <c r="U1494" s="83" t="n"/>
      <c r="V1494" s="83" t="n"/>
      <c r="W1494" s="83" t="n"/>
      <c r="X1494" s="83" t="n"/>
      <c r="Y1494" s="83" t="n"/>
      <c r="Z1494" s="83" t="n"/>
      <c r="AA1494" s="83" t="n"/>
      <c r="AB1494" s="83" t="n"/>
      <c r="AC1494" s="83" t="n"/>
      <c r="AD1494" s="83" t="n"/>
      <c r="AE1494" s="83" t="n"/>
      <c r="AF1494" s="83" t="n"/>
      <c r="AG1494" s="83" t="n"/>
      <c r="AH1494" s="83" t="n"/>
      <c r="AI1494" s="83" t="n"/>
      <c r="AJ1494" s="83" t="n"/>
      <c r="AK1494" s="83" t="n"/>
      <c r="AL1494" s="83" t="n"/>
      <c r="AM1494" s="83" t="n"/>
      <c r="AN1494" s="83" t="n"/>
      <c r="AO1494" s="83" t="n"/>
      <c r="AP1494" s="83" t="n"/>
      <c r="AQ1494" s="83" t="n"/>
      <c r="AR1494" s="83" t="n"/>
    </row>
    <row r="1495">
      <c r="D1495" s="83" t="n"/>
      <c r="E1495" s="83" t="n"/>
      <c r="F1495" s="83" t="n"/>
      <c r="G1495" s="83" t="n"/>
      <c r="H1495" s="83" t="n"/>
      <c r="I1495" s="83" t="n"/>
      <c r="J1495" s="83" t="n"/>
      <c r="K1495" s="83" t="n"/>
      <c r="L1495" s="83" t="n"/>
      <c r="M1495" s="83" t="n"/>
      <c r="N1495" s="83" t="n"/>
      <c r="O1495" s="83" t="n"/>
      <c r="P1495" s="83" t="n"/>
      <c r="Q1495" s="83" t="n"/>
      <c r="R1495" s="83" t="n"/>
      <c r="S1495" s="83" t="n"/>
      <c r="T1495" s="83" t="n"/>
      <c r="U1495" s="83" t="n"/>
      <c r="V1495" s="83" t="n"/>
      <c r="W1495" s="83" t="n"/>
      <c r="X1495" s="83" t="n"/>
      <c r="Y1495" s="83" t="n"/>
      <c r="Z1495" s="83" t="n"/>
      <c r="AA1495" s="83" t="n"/>
      <c r="AB1495" s="83" t="n"/>
      <c r="AC1495" s="83" t="n"/>
      <c r="AD1495" s="83" t="n"/>
      <c r="AE1495" s="83" t="n"/>
      <c r="AF1495" s="83" t="n"/>
      <c r="AG1495" s="83" t="n"/>
      <c r="AH1495" s="83" t="n"/>
      <c r="AI1495" s="83" t="n"/>
      <c r="AJ1495" s="83" t="n"/>
      <c r="AK1495" s="83" t="n"/>
      <c r="AL1495" s="83" t="n"/>
      <c r="AM1495" s="83" t="n"/>
      <c r="AN1495" s="83" t="n"/>
      <c r="AO1495" s="83" t="n"/>
      <c r="AP1495" s="83" t="n"/>
      <c r="AQ1495" s="83" t="n"/>
      <c r="AR1495" s="83" t="n"/>
    </row>
    <row r="1496">
      <c r="D1496" s="84" t="n"/>
      <c r="E1496" s="84" t="n"/>
      <c r="F1496" s="84" t="n"/>
      <c r="G1496" s="84" t="n"/>
      <c r="H1496" s="84" t="n"/>
      <c r="I1496" s="84" t="n"/>
      <c r="J1496" s="84" t="n"/>
      <c r="K1496" s="84" t="n"/>
      <c r="L1496" s="84" t="n"/>
      <c r="M1496" s="84" t="n"/>
      <c r="N1496" s="84" t="n"/>
      <c r="O1496" s="84" t="n"/>
      <c r="P1496" s="84" t="n"/>
      <c r="Q1496" s="84" t="n"/>
      <c r="R1496" s="84" t="n"/>
      <c r="S1496" s="84" t="n"/>
      <c r="T1496" s="84" t="n"/>
      <c r="U1496" s="84" t="n"/>
      <c r="V1496" s="84" t="n"/>
      <c r="W1496" s="84" t="n"/>
      <c r="X1496" s="84" t="n"/>
      <c r="Y1496" s="84" t="n"/>
      <c r="Z1496" s="84" t="n"/>
      <c r="AA1496" s="84" t="n"/>
      <c r="AB1496" s="84" t="n"/>
      <c r="AC1496" s="84" t="n"/>
      <c r="AD1496" s="84" t="n"/>
      <c r="AE1496" s="84" t="n"/>
      <c r="AF1496" s="84" t="n"/>
      <c r="AG1496" s="84" t="n"/>
      <c r="AH1496" s="84" t="n"/>
      <c r="AI1496" s="84" t="n"/>
      <c r="AJ1496" s="84" t="n"/>
      <c r="AK1496" s="84" t="n"/>
      <c r="AL1496" s="84" t="n"/>
      <c r="AM1496" s="84" t="n"/>
      <c r="AN1496" s="84" t="n"/>
      <c r="AO1496" s="84" t="n"/>
      <c r="AP1496" s="84" t="n"/>
      <c r="AQ1496" s="84" t="n"/>
      <c r="AR1496" s="84" t="n"/>
    </row>
    <row r="1497">
      <c r="D1497" s="80" t="n"/>
      <c r="E1497" s="80" t="n"/>
      <c r="F1497" s="80" t="n"/>
      <c r="G1497" s="80" t="n"/>
      <c r="H1497" s="80" t="n"/>
      <c r="I1497" s="80" t="n"/>
      <c r="J1497" s="80" t="n"/>
      <c r="K1497" s="80" t="n"/>
      <c r="L1497" s="80" t="n"/>
      <c r="M1497" s="80" t="n"/>
      <c r="N1497" s="80" t="n"/>
      <c r="O1497" s="80" t="n"/>
      <c r="P1497" s="80" t="n"/>
      <c r="Q1497" s="80" t="n"/>
      <c r="R1497" s="80" t="n"/>
      <c r="S1497" s="80" t="n"/>
      <c r="T1497" s="80" t="n"/>
      <c r="U1497" s="80" t="n"/>
      <c r="V1497" s="80" t="n"/>
      <c r="W1497" s="80" t="n"/>
      <c r="X1497" s="80" t="n"/>
      <c r="Y1497" s="80" t="n"/>
      <c r="Z1497" s="80" t="n"/>
      <c r="AA1497" s="80" t="n"/>
      <c r="AB1497" s="80" t="n"/>
      <c r="AC1497" s="80" t="n"/>
      <c r="AD1497" s="80" t="n"/>
      <c r="AE1497" s="80" t="n"/>
      <c r="AF1497" s="80" t="n"/>
      <c r="AG1497" s="80" t="n"/>
      <c r="AH1497" s="80" t="n"/>
      <c r="AI1497" s="80" t="n"/>
      <c r="AJ1497" s="80" t="n"/>
      <c r="AK1497" s="80" t="n"/>
      <c r="AL1497" s="80" t="n"/>
      <c r="AM1497" s="80" t="n"/>
      <c r="AN1497" s="80" t="n"/>
      <c r="AO1497" s="80" t="n"/>
      <c r="AP1497" s="80" t="n"/>
      <c r="AQ1497" s="80" t="n"/>
      <c r="AR1497" s="80" t="n"/>
    </row>
    <row r="1498">
      <c r="D1498" s="80" t="n"/>
      <c r="E1498" s="80" t="n"/>
      <c r="F1498" s="80" t="n"/>
      <c r="G1498" s="80" t="n"/>
      <c r="H1498" s="80" t="n"/>
      <c r="I1498" s="80" t="n"/>
      <c r="J1498" s="80" t="n"/>
      <c r="K1498" s="80" t="n"/>
      <c r="L1498" s="80" t="n"/>
      <c r="M1498" s="80" t="n"/>
      <c r="N1498" s="80" t="n"/>
      <c r="O1498" s="80" t="n"/>
      <c r="P1498" s="80" t="n"/>
      <c r="Q1498" s="80" t="n"/>
      <c r="R1498" s="80" t="n"/>
      <c r="S1498" s="80" t="n"/>
      <c r="T1498" s="80" t="n"/>
      <c r="U1498" s="80" t="n"/>
      <c r="V1498" s="80" t="n"/>
      <c r="W1498" s="80" t="n"/>
      <c r="X1498" s="80" t="n"/>
      <c r="Y1498" s="80" t="n"/>
      <c r="Z1498" s="80" t="n"/>
      <c r="AA1498" s="80" t="n"/>
      <c r="AB1498" s="80" t="n"/>
      <c r="AC1498" s="80" t="n"/>
      <c r="AD1498" s="80" t="n"/>
      <c r="AE1498" s="80" t="n"/>
      <c r="AF1498" s="80" t="n"/>
      <c r="AG1498" s="80" t="n"/>
      <c r="AH1498" s="80" t="n"/>
      <c r="AI1498" s="80" t="n"/>
      <c r="AJ1498" s="80" t="n"/>
      <c r="AK1498" s="80" t="n"/>
      <c r="AL1498" s="80" t="n"/>
      <c r="AM1498" s="80" t="n"/>
      <c r="AN1498" s="80" t="n"/>
      <c r="AO1498" s="80" t="n"/>
      <c r="AP1498" s="80" t="n"/>
      <c r="AQ1498" s="80" t="n"/>
      <c r="AR1498" s="80" t="n"/>
    </row>
    <row r="1499">
      <c r="D1499" s="80" t="n"/>
      <c r="E1499" s="80" t="n"/>
      <c r="F1499" s="80" t="n"/>
      <c r="G1499" s="80" t="n"/>
      <c r="H1499" s="80" t="n"/>
      <c r="I1499" s="80" t="n"/>
      <c r="J1499" s="80" t="n"/>
      <c r="K1499" s="80" t="n"/>
      <c r="L1499" s="80" t="n"/>
      <c r="M1499" s="80" t="n"/>
      <c r="N1499" s="80" t="n"/>
      <c r="O1499" s="80" t="n"/>
      <c r="P1499" s="80" t="n"/>
      <c r="Q1499" s="80" t="n"/>
      <c r="R1499" s="80" t="n"/>
      <c r="S1499" s="80" t="n"/>
      <c r="T1499" s="80" t="n"/>
      <c r="U1499" s="80" t="n"/>
      <c r="V1499" s="80" t="n"/>
      <c r="W1499" s="80" t="n"/>
      <c r="X1499" s="80" t="n"/>
      <c r="Y1499" s="80" t="n"/>
      <c r="Z1499" s="80" t="n"/>
      <c r="AA1499" s="80" t="n"/>
      <c r="AB1499" s="80" t="n"/>
      <c r="AC1499" s="80" t="n"/>
      <c r="AD1499" s="80" t="n"/>
      <c r="AE1499" s="80" t="n"/>
      <c r="AF1499" s="80" t="n"/>
      <c r="AG1499" s="80" t="n"/>
      <c r="AH1499" s="80" t="n"/>
      <c r="AI1499" s="80" t="n"/>
      <c r="AJ1499" s="80" t="n"/>
      <c r="AK1499" s="80" t="n"/>
      <c r="AL1499" s="80" t="n"/>
      <c r="AM1499" s="80" t="n"/>
      <c r="AN1499" s="80" t="n"/>
      <c r="AO1499" s="80" t="n"/>
      <c r="AP1499" s="80" t="n"/>
      <c r="AQ1499" s="80" t="n"/>
      <c r="AR1499" s="80" t="n"/>
    </row>
    <row r="1500">
      <c r="D1500" s="80" t="n"/>
      <c r="E1500" s="80" t="n"/>
      <c r="F1500" s="80" t="n"/>
      <c r="G1500" s="80" t="n"/>
      <c r="H1500" s="80" t="n"/>
      <c r="I1500" s="80" t="n"/>
      <c r="J1500" s="80" t="n"/>
      <c r="K1500" s="80" t="n"/>
      <c r="L1500" s="80" t="n"/>
      <c r="M1500" s="80" t="n"/>
      <c r="N1500" s="80" t="n"/>
      <c r="O1500" s="80" t="n"/>
      <c r="P1500" s="80" t="n"/>
      <c r="Q1500" s="80" t="n"/>
      <c r="R1500" s="80" t="n"/>
      <c r="S1500" s="80" t="n"/>
      <c r="T1500" s="80" t="n"/>
      <c r="U1500" s="80" t="n"/>
      <c r="V1500" s="80" t="n"/>
      <c r="W1500" s="80" t="n"/>
      <c r="X1500" s="80" t="n"/>
      <c r="Y1500" s="80" t="n"/>
      <c r="Z1500" s="80" t="n"/>
      <c r="AA1500" s="80" t="n"/>
      <c r="AB1500" s="80" t="n"/>
      <c r="AC1500" s="80" t="n"/>
      <c r="AD1500" s="80" t="n"/>
      <c r="AE1500" s="80" t="n"/>
      <c r="AF1500" s="80" t="n"/>
      <c r="AG1500" s="80" t="n"/>
      <c r="AH1500" s="80" t="n"/>
      <c r="AI1500" s="80" t="n"/>
      <c r="AJ1500" s="80" t="n"/>
      <c r="AK1500" s="80" t="n"/>
      <c r="AL1500" s="80" t="n"/>
      <c r="AM1500" s="80" t="n"/>
      <c r="AN1500" s="80" t="n"/>
      <c r="AO1500" s="80" t="n"/>
      <c r="AP1500" s="80" t="n"/>
      <c r="AQ1500" s="80" t="n"/>
      <c r="AR1500" s="80" t="n"/>
    </row>
    <row r="1501">
      <c r="A1501" s="2">
        <f>IF($A1494="","","   projections")</f>
        <v/>
      </c>
      <c r="B1501" s="41">
        <f>IF($A1494="",0,COUNT($E1502:$AR1502))</f>
        <v/>
      </c>
      <c r="C1501" s="81">
        <f>IF($B1501=0,0,MAX($E1502:$AR1502))</f>
        <v/>
      </c>
      <c r="D1501" s="82">
        <f>BDS($A1494,'Field Check'!$C$6,"headers=y","startcol=1","endcol=7","dir=h")</f>
        <v/>
      </c>
      <c r="E1501" s="83" t="n"/>
      <c r="F1501" s="83" t="n"/>
      <c r="G1501" s="83" t="n"/>
      <c r="H1501" s="83" t="n"/>
      <c r="I1501" s="83" t="n"/>
      <c r="J1501" s="83" t="n"/>
      <c r="K1501" s="83" t="n"/>
      <c r="L1501" s="83" t="n"/>
      <c r="M1501" s="83" t="n"/>
      <c r="N1501" s="83" t="n"/>
      <c r="O1501" s="83" t="n"/>
      <c r="P1501" s="83" t="n"/>
      <c r="Q1501" s="83" t="n"/>
      <c r="R1501" s="83" t="n"/>
      <c r="S1501" s="83" t="n"/>
      <c r="T1501" s="83" t="n"/>
      <c r="U1501" s="83" t="n"/>
      <c r="V1501" s="83" t="n"/>
      <c r="W1501" s="83" t="n"/>
      <c r="X1501" s="83" t="n"/>
      <c r="Y1501" s="83" t="n"/>
      <c r="Z1501" s="83" t="n"/>
      <c r="AA1501" s="83" t="n"/>
      <c r="AB1501" s="83" t="n"/>
      <c r="AC1501" s="83" t="n"/>
      <c r="AD1501" s="83" t="n"/>
      <c r="AE1501" s="83" t="n"/>
      <c r="AF1501" s="83" t="n"/>
      <c r="AG1501" s="83" t="n"/>
      <c r="AH1501" s="83" t="n"/>
      <c r="AI1501" s="83" t="n"/>
      <c r="AJ1501" s="83" t="n"/>
      <c r="AK1501" s="83" t="n"/>
      <c r="AL1501" s="83" t="n"/>
      <c r="AM1501" s="83" t="n"/>
      <c r="AN1501" s="83" t="n"/>
      <c r="AO1501" s="83" t="n"/>
      <c r="AP1501" s="83" t="n"/>
      <c r="AQ1501" s="83" t="n"/>
      <c r="AR1501" s="83" t="n"/>
    </row>
    <row r="1502">
      <c r="D1502" s="83" t="n"/>
      <c r="E1502" s="83" t="n"/>
      <c r="F1502" s="83" t="n"/>
      <c r="G1502" s="83" t="n"/>
      <c r="H1502" s="83" t="n"/>
      <c r="I1502" s="83" t="n"/>
      <c r="J1502" s="83" t="n"/>
      <c r="K1502" s="83" t="n"/>
      <c r="L1502" s="83" t="n"/>
      <c r="M1502" s="83" t="n"/>
      <c r="N1502" s="83" t="n"/>
      <c r="O1502" s="83" t="n"/>
      <c r="P1502" s="83" t="n"/>
      <c r="Q1502" s="83" t="n"/>
      <c r="R1502" s="83" t="n"/>
      <c r="S1502" s="83" t="n"/>
      <c r="T1502" s="83" t="n"/>
      <c r="U1502" s="83" t="n"/>
      <c r="V1502" s="83" t="n"/>
      <c r="W1502" s="83" t="n"/>
      <c r="X1502" s="83" t="n"/>
      <c r="Y1502" s="83" t="n"/>
      <c r="Z1502" s="83" t="n"/>
      <c r="AA1502" s="83" t="n"/>
      <c r="AB1502" s="83" t="n"/>
      <c r="AC1502" s="83" t="n"/>
      <c r="AD1502" s="83" t="n"/>
      <c r="AE1502" s="83" t="n"/>
      <c r="AF1502" s="83" t="n"/>
      <c r="AG1502" s="83" t="n"/>
      <c r="AH1502" s="83" t="n"/>
      <c r="AI1502" s="83" t="n"/>
      <c r="AJ1502" s="83" t="n"/>
      <c r="AK1502" s="83" t="n"/>
      <c r="AL1502" s="83" t="n"/>
      <c r="AM1502" s="83" t="n"/>
      <c r="AN1502" s="83" t="n"/>
      <c r="AO1502" s="83" t="n"/>
      <c r="AP1502" s="83" t="n"/>
      <c r="AQ1502" s="83" t="n"/>
      <c r="AR1502" s="83" t="n"/>
    </row>
    <row r="1503">
      <c r="D1503" s="84" t="n"/>
      <c r="E1503" s="84" t="n"/>
      <c r="F1503" s="84" t="n"/>
      <c r="G1503" s="84" t="n"/>
      <c r="H1503" s="84" t="n"/>
      <c r="I1503" s="84" t="n"/>
      <c r="J1503" s="84" t="n"/>
      <c r="K1503" s="84" t="n"/>
      <c r="L1503" s="84" t="n"/>
      <c r="M1503" s="84" t="n"/>
      <c r="N1503" s="84" t="n"/>
      <c r="O1503" s="84" t="n"/>
      <c r="P1503" s="84" t="n"/>
      <c r="Q1503" s="84" t="n"/>
      <c r="R1503" s="84" t="n"/>
      <c r="S1503" s="84" t="n"/>
      <c r="T1503" s="84" t="n"/>
      <c r="U1503" s="84" t="n"/>
      <c r="V1503" s="84" t="n"/>
      <c r="W1503" s="84" t="n"/>
      <c r="X1503" s="84" t="n"/>
      <c r="Y1503" s="84" t="n"/>
      <c r="Z1503" s="84" t="n"/>
      <c r="AA1503" s="84" t="n"/>
      <c r="AB1503" s="84" t="n"/>
      <c r="AC1503" s="84" t="n"/>
      <c r="AD1503" s="84" t="n"/>
      <c r="AE1503" s="84" t="n"/>
      <c r="AF1503" s="84" t="n"/>
      <c r="AG1503" s="84" t="n"/>
      <c r="AH1503" s="84" t="n"/>
      <c r="AI1503" s="84" t="n"/>
      <c r="AJ1503" s="84" t="n"/>
      <c r="AK1503" s="84" t="n"/>
      <c r="AL1503" s="84" t="n"/>
      <c r="AM1503" s="84" t="n"/>
      <c r="AN1503" s="84" t="n"/>
      <c r="AO1503" s="84" t="n"/>
      <c r="AP1503" s="84" t="n"/>
      <c r="AQ1503" s="84" t="n"/>
      <c r="AR1503" s="84" t="n"/>
    </row>
    <row r="1504">
      <c r="D1504" s="80" t="n"/>
      <c r="E1504" s="80" t="n"/>
      <c r="F1504" s="80" t="n"/>
      <c r="G1504" s="80" t="n"/>
      <c r="H1504" s="80" t="n"/>
      <c r="I1504" s="80" t="n"/>
      <c r="J1504" s="80" t="n"/>
      <c r="K1504" s="80" t="n"/>
      <c r="L1504" s="80" t="n"/>
      <c r="M1504" s="80" t="n"/>
      <c r="N1504" s="80" t="n"/>
      <c r="O1504" s="80" t="n"/>
      <c r="P1504" s="80" t="n"/>
      <c r="Q1504" s="80" t="n"/>
      <c r="R1504" s="80" t="n"/>
      <c r="S1504" s="80" t="n"/>
      <c r="T1504" s="80" t="n"/>
      <c r="U1504" s="80" t="n"/>
      <c r="V1504" s="80" t="n"/>
      <c r="W1504" s="80" t="n"/>
      <c r="X1504" s="80" t="n"/>
      <c r="Y1504" s="80" t="n"/>
      <c r="Z1504" s="80" t="n"/>
      <c r="AA1504" s="80" t="n"/>
      <c r="AB1504" s="80" t="n"/>
      <c r="AC1504" s="80" t="n"/>
      <c r="AD1504" s="80" t="n"/>
      <c r="AE1504" s="80" t="n"/>
      <c r="AF1504" s="80" t="n"/>
      <c r="AG1504" s="80" t="n"/>
      <c r="AH1504" s="80" t="n"/>
      <c r="AI1504" s="80" t="n"/>
      <c r="AJ1504" s="80" t="n"/>
      <c r="AK1504" s="80" t="n"/>
      <c r="AL1504" s="80" t="n"/>
      <c r="AM1504" s="80" t="n"/>
      <c r="AN1504" s="80" t="n"/>
      <c r="AO1504" s="80" t="n"/>
      <c r="AP1504" s="80" t="n"/>
      <c r="AQ1504" s="80" t="n"/>
      <c r="AR1504" s="80" t="n"/>
    </row>
    <row r="1505">
      <c r="D1505" s="80" t="n"/>
      <c r="E1505" s="80" t="n"/>
      <c r="F1505" s="80" t="n"/>
      <c r="G1505" s="80" t="n"/>
      <c r="H1505" s="80" t="n"/>
      <c r="I1505" s="80" t="n"/>
      <c r="J1505" s="80" t="n"/>
      <c r="K1505" s="80" t="n"/>
      <c r="L1505" s="80" t="n"/>
      <c r="M1505" s="80" t="n"/>
      <c r="N1505" s="80" t="n"/>
      <c r="O1505" s="80" t="n"/>
      <c r="P1505" s="80" t="n"/>
      <c r="Q1505" s="80" t="n"/>
      <c r="R1505" s="80" t="n"/>
      <c r="S1505" s="80" t="n"/>
      <c r="T1505" s="80" t="n"/>
      <c r="U1505" s="80" t="n"/>
      <c r="V1505" s="80" t="n"/>
      <c r="W1505" s="80" t="n"/>
      <c r="X1505" s="80" t="n"/>
      <c r="Y1505" s="80" t="n"/>
      <c r="Z1505" s="80" t="n"/>
      <c r="AA1505" s="80" t="n"/>
      <c r="AB1505" s="80" t="n"/>
      <c r="AC1505" s="80" t="n"/>
      <c r="AD1505" s="80" t="n"/>
      <c r="AE1505" s="80" t="n"/>
      <c r="AF1505" s="80" t="n"/>
      <c r="AG1505" s="80" t="n"/>
      <c r="AH1505" s="80" t="n"/>
      <c r="AI1505" s="80" t="n"/>
      <c r="AJ1505" s="80" t="n"/>
      <c r="AK1505" s="80" t="n"/>
      <c r="AL1505" s="80" t="n"/>
      <c r="AM1505" s="80" t="n"/>
      <c r="AN1505" s="80" t="n"/>
      <c r="AO1505" s="80" t="n"/>
      <c r="AP1505" s="80" t="n"/>
      <c r="AQ1505" s="80" t="n"/>
      <c r="AR1505" s="80" t="n"/>
    </row>
    <row r="1506">
      <c r="D1506" s="80" t="n"/>
      <c r="E1506" s="80" t="n"/>
      <c r="F1506" s="80" t="n"/>
      <c r="G1506" s="80" t="n"/>
      <c r="H1506" s="80" t="n"/>
      <c r="I1506" s="80" t="n"/>
      <c r="J1506" s="80" t="n"/>
      <c r="K1506" s="80" t="n"/>
      <c r="L1506" s="80" t="n"/>
      <c r="M1506" s="80" t="n"/>
      <c r="N1506" s="80" t="n"/>
      <c r="O1506" s="80" t="n"/>
      <c r="P1506" s="80" t="n"/>
      <c r="Q1506" s="80" t="n"/>
      <c r="R1506" s="80" t="n"/>
      <c r="S1506" s="80" t="n"/>
      <c r="T1506" s="80" t="n"/>
      <c r="U1506" s="80" t="n"/>
      <c r="V1506" s="80" t="n"/>
      <c r="W1506" s="80" t="n"/>
      <c r="X1506" s="80" t="n"/>
      <c r="Y1506" s="80" t="n"/>
      <c r="Z1506" s="80" t="n"/>
      <c r="AA1506" s="80" t="n"/>
      <c r="AB1506" s="80" t="n"/>
      <c r="AC1506" s="80" t="n"/>
      <c r="AD1506" s="80" t="n"/>
      <c r="AE1506" s="80" t="n"/>
      <c r="AF1506" s="80" t="n"/>
      <c r="AG1506" s="80" t="n"/>
      <c r="AH1506" s="80" t="n"/>
      <c r="AI1506" s="80" t="n"/>
      <c r="AJ1506" s="80" t="n"/>
      <c r="AK1506" s="80" t="n"/>
      <c r="AL1506" s="80" t="n"/>
      <c r="AM1506" s="80" t="n"/>
      <c r="AN1506" s="80" t="n"/>
      <c r="AO1506" s="80" t="n"/>
      <c r="AP1506" s="80" t="n"/>
      <c r="AQ1506" s="80" t="n"/>
      <c r="AR1506" s="80" t="n"/>
    </row>
    <row r="1507">
      <c r="D1507" s="80" t="n"/>
      <c r="E1507" s="80" t="n"/>
      <c r="F1507" s="80" t="n"/>
      <c r="G1507" s="80" t="n"/>
      <c r="H1507" s="80" t="n"/>
      <c r="I1507" s="80" t="n"/>
      <c r="J1507" s="80" t="n"/>
      <c r="K1507" s="80" t="n"/>
      <c r="L1507" s="80" t="n"/>
      <c r="M1507" s="80" t="n"/>
      <c r="N1507" s="80" t="n"/>
      <c r="O1507" s="80" t="n"/>
      <c r="P1507" s="80" t="n"/>
      <c r="Q1507" s="80" t="n"/>
      <c r="R1507" s="80" t="n"/>
      <c r="S1507" s="80" t="n"/>
      <c r="T1507" s="80" t="n"/>
      <c r="U1507" s="80" t="n"/>
      <c r="V1507" s="80" t="n"/>
      <c r="W1507" s="80" t="n"/>
      <c r="X1507" s="80" t="n"/>
      <c r="Y1507" s="80" t="n"/>
      <c r="Z1507" s="80" t="n"/>
      <c r="AA1507" s="80" t="n"/>
      <c r="AB1507" s="80" t="n"/>
      <c r="AC1507" s="80" t="n"/>
      <c r="AD1507" s="80" t="n"/>
      <c r="AE1507" s="80" t="n"/>
      <c r="AF1507" s="80" t="n"/>
      <c r="AG1507" s="80" t="n"/>
      <c r="AH1507" s="80" t="n"/>
      <c r="AI1507" s="80" t="n"/>
      <c r="AJ1507" s="80" t="n"/>
      <c r="AK1507" s="80" t="n"/>
      <c r="AL1507" s="80" t="n"/>
      <c r="AM1507" s="80" t="n"/>
      <c r="AN1507" s="80" t="n"/>
      <c r="AO1507" s="80" t="n"/>
      <c r="AP1507" s="80" t="n"/>
      <c r="AQ1507" s="80" t="n"/>
      <c r="AR1507" s="80" t="n"/>
    </row>
    <row r="1511">
      <c r="A1511" s="3" t="inlineStr">
        <is>
          <t>Hang Seng TECH Index (HSTECH)</t>
        </is>
      </c>
      <c r="B1511" s="4" t="n"/>
      <c r="C1511" s="4" t="n"/>
      <c r="D1511" s="4" t="n"/>
      <c r="F1511" s="2">
        <f>SUMPRODUCT($B$1514:$B$2113)&amp;" events read   |   "&amp;COUNTA($AS$1514:$CF$2113)&amp;" events beyond the window (must be 0 - if not, the window needs widening)"</f>
        <v/>
      </c>
    </row>
    <row r="1512">
      <c r="A1512" s="17" t="inlineStr">
        <is>
          <t>Ticker</t>
        </is>
      </c>
      <c r="B1512" s="17" t="inlineStr">
        <is>
          <t>Events</t>
        </is>
      </c>
      <c r="C1512" s="17" t="inlineStr">
        <is>
          <t>Last ex</t>
        </is>
      </c>
      <c r="D1512" s="17" t="inlineStr">
        <is>
          <t>Bloomberg spill -&gt;</t>
        </is>
      </c>
    </row>
    <row r="1514">
      <c r="A1514" s="6">
        <f>IF(HSTECH!$C$7="","",HSTECH!$C$7)</f>
        <v/>
      </c>
      <c r="B1514" s="41">
        <f>IF($A1514="",0,COUNT($E1515:$AR1515))</f>
        <v/>
      </c>
      <c r="C1514" s="81">
        <f>IF($B1514=0,0,MAX($E1515:$AR1515))</f>
        <v/>
      </c>
      <c r="D1514" s="82">
        <f>BDS($A1514,'Field Check'!$C$7,"headers=y","startcol=1","endcol=7","dir=h","DVD_START_DT",Summary!$C$18,"DVD_END_DT",Summary!$D$18)</f>
        <v/>
      </c>
      <c r="E1514" s="83" t="n"/>
      <c r="F1514" s="83" t="n"/>
      <c r="G1514" s="83" t="n"/>
      <c r="H1514" s="83" t="n"/>
      <c r="I1514" s="83" t="n"/>
      <c r="J1514" s="83" t="n"/>
      <c r="K1514" s="83" t="n"/>
      <c r="L1514" s="83" t="n"/>
      <c r="M1514" s="83" t="n"/>
      <c r="N1514" s="83" t="n"/>
      <c r="O1514" s="83" t="n"/>
      <c r="P1514" s="83" t="n"/>
      <c r="Q1514" s="83" t="n"/>
      <c r="R1514" s="83" t="n"/>
      <c r="S1514" s="83" t="n"/>
      <c r="T1514" s="83" t="n"/>
      <c r="U1514" s="83" t="n"/>
      <c r="V1514" s="83" t="n"/>
      <c r="W1514" s="83" t="n"/>
      <c r="X1514" s="83" t="n"/>
      <c r="Y1514" s="83" t="n"/>
      <c r="Z1514" s="83" t="n"/>
      <c r="AA1514" s="83" t="n"/>
      <c r="AB1514" s="83" t="n"/>
      <c r="AC1514" s="83" t="n"/>
      <c r="AD1514" s="83" t="n"/>
      <c r="AE1514" s="83" t="n"/>
      <c r="AF1514" s="83" t="n"/>
      <c r="AG1514" s="83" t="n"/>
      <c r="AH1514" s="83" t="n"/>
      <c r="AI1514" s="83" t="n"/>
      <c r="AJ1514" s="83" t="n"/>
      <c r="AK1514" s="83" t="n"/>
      <c r="AL1514" s="83" t="n"/>
      <c r="AM1514" s="83" t="n"/>
      <c r="AN1514" s="83" t="n"/>
      <c r="AO1514" s="83" t="n"/>
      <c r="AP1514" s="83" t="n"/>
      <c r="AQ1514" s="83" t="n"/>
      <c r="AR1514" s="83" t="n"/>
    </row>
    <row r="1515">
      <c r="D1515" s="83" t="n"/>
      <c r="E1515" s="83" t="n"/>
      <c r="F1515" s="83" t="n"/>
      <c r="G1515" s="83" t="n"/>
      <c r="H1515" s="83" t="n"/>
      <c r="I1515" s="83" t="n"/>
      <c r="J1515" s="83" t="n"/>
      <c r="K1515" s="83" t="n"/>
      <c r="L1515" s="83" t="n"/>
      <c r="M1515" s="83" t="n"/>
      <c r="N1515" s="83" t="n"/>
      <c r="O1515" s="83" t="n"/>
      <c r="P1515" s="83" t="n"/>
      <c r="Q1515" s="83" t="n"/>
      <c r="R1515" s="83" t="n"/>
      <c r="S1515" s="83" t="n"/>
      <c r="T1515" s="83" t="n"/>
      <c r="U1515" s="83" t="n"/>
      <c r="V1515" s="83" t="n"/>
      <c r="W1515" s="83" t="n"/>
      <c r="X1515" s="83" t="n"/>
      <c r="Y1515" s="83" t="n"/>
      <c r="Z1515" s="83" t="n"/>
      <c r="AA1515" s="83" t="n"/>
      <c r="AB1515" s="83" t="n"/>
      <c r="AC1515" s="83" t="n"/>
      <c r="AD1515" s="83" t="n"/>
      <c r="AE1515" s="83" t="n"/>
      <c r="AF1515" s="83" t="n"/>
      <c r="AG1515" s="83" t="n"/>
      <c r="AH1515" s="83" t="n"/>
      <c r="AI1515" s="83" t="n"/>
      <c r="AJ1515" s="83" t="n"/>
      <c r="AK1515" s="83" t="n"/>
      <c r="AL1515" s="83" t="n"/>
      <c r="AM1515" s="83" t="n"/>
      <c r="AN1515" s="83" t="n"/>
      <c r="AO1515" s="83" t="n"/>
      <c r="AP1515" s="83" t="n"/>
      <c r="AQ1515" s="83" t="n"/>
      <c r="AR1515" s="83" t="n"/>
    </row>
    <row r="1516">
      <c r="D1516" s="84" t="n"/>
      <c r="E1516" s="84" t="n"/>
      <c r="F1516" s="84" t="n"/>
      <c r="G1516" s="84" t="n"/>
      <c r="H1516" s="84" t="n"/>
      <c r="I1516" s="84" t="n"/>
      <c r="J1516" s="84" t="n"/>
      <c r="K1516" s="84" t="n"/>
      <c r="L1516" s="84" t="n"/>
      <c r="M1516" s="84" t="n"/>
      <c r="N1516" s="84" t="n"/>
      <c r="O1516" s="84" t="n"/>
      <c r="P1516" s="84" t="n"/>
      <c r="Q1516" s="84" t="n"/>
      <c r="R1516" s="84" t="n"/>
      <c r="S1516" s="84" t="n"/>
      <c r="T1516" s="84" t="n"/>
      <c r="U1516" s="84" t="n"/>
      <c r="V1516" s="84" t="n"/>
      <c r="W1516" s="84" t="n"/>
      <c r="X1516" s="84" t="n"/>
      <c r="Y1516" s="84" t="n"/>
      <c r="Z1516" s="84" t="n"/>
      <c r="AA1516" s="84" t="n"/>
      <c r="AB1516" s="84" t="n"/>
      <c r="AC1516" s="84" t="n"/>
      <c r="AD1516" s="84" t="n"/>
      <c r="AE1516" s="84" t="n"/>
      <c r="AF1516" s="84" t="n"/>
      <c r="AG1516" s="84" t="n"/>
      <c r="AH1516" s="84" t="n"/>
      <c r="AI1516" s="84" t="n"/>
      <c r="AJ1516" s="84" t="n"/>
      <c r="AK1516" s="84" t="n"/>
      <c r="AL1516" s="84" t="n"/>
      <c r="AM1516" s="84" t="n"/>
      <c r="AN1516" s="84" t="n"/>
      <c r="AO1516" s="84" t="n"/>
      <c r="AP1516" s="84" t="n"/>
      <c r="AQ1516" s="84" t="n"/>
      <c r="AR1516" s="84" t="n"/>
    </row>
    <row r="1517">
      <c r="D1517" s="80" t="n"/>
      <c r="E1517" s="80" t="n"/>
      <c r="F1517" s="80" t="n"/>
      <c r="G1517" s="80" t="n"/>
      <c r="H1517" s="80" t="n"/>
      <c r="I1517" s="80" t="n"/>
      <c r="J1517" s="80" t="n"/>
      <c r="K1517" s="80" t="n"/>
      <c r="L1517" s="80" t="n"/>
      <c r="M1517" s="80" t="n"/>
      <c r="N1517" s="80" t="n"/>
      <c r="O1517" s="80" t="n"/>
      <c r="P1517" s="80" t="n"/>
      <c r="Q1517" s="80" t="n"/>
      <c r="R1517" s="80" t="n"/>
      <c r="S1517" s="80" t="n"/>
      <c r="T1517" s="80" t="n"/>
      <c r="U1517" s="80" t="n"/>
      <c r="V1517" s="80" t="n"/>
      <c r="W1517" s="80" t="n"/>
      <c r="X1517" s="80" t="n"/>
      <c r="Y1517" s="80" t="n"/>
      <c r="Z1517" s="80" t="n"/>
      <c r="AA1517" s="80" t="n"/>
      <c r="AB1517" s="80" t="n"/>
      <c r="AC1517" s="80" t="n"/>
      <c r="AD1517" s="80" t="n"/>
      <c r="AE1517" s="80" t="n"/>
      <c r="AF1517" s="80" t="n"/>
      <c r="AG1517" s="80" t="n"/>
      <c r="AH1517" s="80" t="n"/>
      <c r="AI1517" s="80" t="n"/>
      <c r="AJ1517" s="80" t="n"/>
      <c r="AK1517" s="80" t="n"/>
      <c r="AL1517" s="80" t="n"/>
      <c r="AM1517" s="80" t="n"/>
      <c r="AN1517" s="80" t="n"/>
      <c r="AO1517" s="80" t="n"/>
      <c r="AP1517" s="80" t="n"/>
      <c r="AQ1517" s="80" t="n"/>
      <c r="AR1517" s="80" t="n"/>
    </row>
    <row r="1518">
      <c r="D1518" s="80" t="n"/>
      <c r="E1518" s="80" t="n"/>
      <c r="F1518" s="80" t="n"/>
      <c r="G1518" s="80" t="n"/>
      <c r="H1518" s="80" t="n"/>
      <c r="I1518" s="80" t="n"/>
      <c r="J1518" s="80" t="n"/>
      <c r="K1518" s="80" t="n"/>
      <c r="L1518" s="80" t="n"/>
      <c r="M1518" s="80" t="n"/>
      <c r="N1518" s="80" t="n"/>
      <c r="O1518" s="80" t="n"/>
      <c r="P1518" s="80" t="n"/>
      <c r="Q1518" s="80" t="n"/>
      <c r="R1518" s="80" t="n"/>
      <c r="S1518" s="80" t="n"/>
      <c r="T1518" s="80" t="n"/>
      <c r="U1518" s="80" t="n"/>
      <c r="V1518" s="80" t="n"/>
      <c r="W1518" s="80" t="n"/>
      <c r="X1518" s="80" t="n"/>
      <c r="Y1518" s="80" t="n"/>
      <c r="Z1518" s="80" t="n"/>
      <c r="AA1518" s="80" t="n"/>
      <c r="AB1518" s="80" t="n"/>
      <c r="AC1518" s="80" t="n"/>
      <c r="AD1518" s="80" t="n"/>
      <c r="AE1518" s="80" t="n"/>
      <c r="AF1518" s="80" t="n"/>
      <c r="AG1518" s="80" t="n"/>
      <c r="AH1518" s="80" t="n"/>
      <c r="AI1518" s="80" t="n"/>
      <c r="AJ1518" s="80" t="n"/>
      <c r="AK1518" s="80" t="n"/>
      <c r="AL1518" s="80" t="n"/>
      <c r="AM1518" s="80" t="n"/>
      <c r="AN1518" s="80" t="n"/>
      <c r="AO1518" s="80" t="n"/>
      <c r="AP1518" s="80" t="n"/>
      <c r="AQ1518" s="80" t="n"/>
      <c r="AR1518" s="80" t="n"/>
    </row>
    <row r="1519">
      <c r="D1519" s="80" t="n"/>
      <c r="E1519" s="80" t="n"/>
      <c r="F1519" s="80" t="n"/>
      <c r="G1519" s="80" t="n"/>
      <c r="H1519" s="80" t="n"/>
      <c r="I1519" s="80" t="n"/>
      <c r="J1519" s="80" t="n"/>
      <c r="K1519" s="80" t="n"/>
      <c r="L1519" s="80" t="n"/>
      <c r="M1519" s="80" t="n"/>
      <c r="N1519" s="80" t="n"/>
      <c r="O1519" s="80" t="n"/>
      <c r="P1519" s="80" t="n"/>
      <c r="Q1519" s="80" t="n"/>
      <c r="R1519" s="80" t="n"/>
      <c r="S1519" s="80" t="n"/>
      <c r="T1519" s="80" t="n"/>
      <c r="U1519" s="80" t="n"/>
      <c r="V1519" s="80" t="n"/>
      <c r="W1519" s="80" t="n"/>
      <c r="X1519" s="80" t="n"/>
      <c r="Y1519" s="80" t="n"/>
      <c r="Z1519" s="80" t="n"/>
      <c r="AA1519" s="80" t="n"/>
      <c r="AB1519" s="80" t="n"/>
      <c r="AC1519" s="80" t="n"/>
      <c r="AD1519" s="80" t="n"/>
      <c r="AE1519" s="80" t="n"/>
      <c r="AF1519" s="80" t="n"/>
      <c r="AG1519" s="80" t="n"/>
      <c r="AH1519" s="80" t="n"/>
      <c r="AI1519" s="80" t="n"/>
      <c r="AJ1519" s="80" t="n"/>
      <c r="AK1519" s="80" t="n"/>
      <c r="AL1519" s="80" t="n"/>
      <c r="AM1519" s="80" t="n"/>
      <c r="AN1519" s="80" t="n"/>
      <c r="AO1519" s="80" t="n"/>
      <c r="AP1519" s="80" t="n"/>
      <c r="AQ1519" s="80" t="n"/>
      <c r="AR1519" s="80" t="n"/>
    </row>
    <row r="1520">
      <c r="D1520" s="80" t="n"/>
      <c r="E1520" s="80" t="n"/>
      <c r="F1520" s="80" t="n"/>
      <c r="G1520" s="80" t="n"/>
      <c r="H1520" s="80" t="n"/>
      <c r="I1520" s="80" t="n"/>
      <c r="J1520" s="80" t="n"/>
      <c r="K1520" s="80" t="n"/>
      <c r="L1520" s="80" t="n"/>
      <c r="M1520" s="80" t="n"/>
      <c r="N1520" s="80" t="n"/>
      <c r="O1520" s="80" t="n"/>
      <c r="P1520" s="80" t="n"/>
      <c r="Q1520" s="80" t="n"/>
      <c r="R1520" s="80" t="n"/>
      <c r="S1520" s="80" t="n"/>
      <c r="T1520" s="80" t="n"/>
      <c r="U1520" s="80" t="n"/>
      <c r="V1520" s="80" t="n"/>
      <c r="W1520" s="80" t="n"/>
      <c r="X1520" s="80" t="n"/>
      <c r="Y1520" s="80" t="n"/>
      <c r="Z1520" s="80" t="n"/>
      <c r="AA1520" s="80" t="n"/>
      <c r="AB1520" s="80" t="n"/>
      <c r="AC1520" s="80" t="n"/>
      <c r="AD1520" s="80" t="n"/>
      <c r="AE1520" s="80" t="n"/>
      <c r="AF1520" s="80" t="n"/>
      <c r="AG1520" s="80" t="n"/>
      <c r="AH1520" s="80" t="n"/>
      <c r="AI1520" s="80" t="n"/>
      <c r="AJ1520" s="80" t="n"/>
      <c r="AK1520" s="80" t="n"/>
      <c r="AL1520" s="80" t="n"/>
      <c r="AM1520" s="80" t="n"/>
      <c r="AN1520" s="80" t="n"/>
      <c r="AO1520" s="80" t="n"/>
      <c r="AP1520" s="80" t="n"/>
      <c r="AQ1520" s="80" t="n"/>
      <c r="AR1520" s="80" t="n"/>
    </row>
    <row r="1521">
      <c r="A1521" s="2">
        <f>IF($A1514="","","   projections")</f>
        <v/>
      </c>
      <c r="B1521" s="41">
        <f>IF($A1514="",0,COUNT($E1522:$AR1522))</f>
        <v/>
      </c>
      <c r="C1521" s="81">
        <f>IF($B1521=0,0,MAX($E1522:$AR1522))</f>
        <v/>
      </c>
      <c r="D1521" s="82">
        <f>BDS($A1514,'Field Check'!$C$6,"headers=y","startcol=1","endcol=7","dir=h")</f>
        <v/>
      </c>
      <c r="E1521" s="83" t="n"/>
      <c r="F1521" s="83" t="n"/>
      <c r="G1521" s="83" t="n"/>
      <c r="H1521" s="83" t="n"/>
      <c r="I1521" s="83" t="n"/>
      <c r="J1521" s="83" t="n"/>
      <c r="K1521" s="83" t="n"/>
      <c r="L1521" s="83" t="n"/>
      <c r="M1521" s="83" t="n"/>
      <c r="N1521" s="83" t="n"/>
      <c r="O1521" s="83" t="n"/>
      <c r="P1521" s="83" t="n"/>
      <c r="Q1521" s="83" t="n"/>
      <c r="R1521" s="83" t="n"/>
      <c r="S1521" s="83" t="n"/>
      <c r="T1521" s="83" t="n"/>
      <c r="U1521" s="83" t="n"/>
      <c r="V1521" s="83" t="n"/>
      <c r="W1521" s="83" t="n"/>
      <c r="X1521" s="83" t="n"/>
      <c r="Y1521" s="83" t="n"/>
      <c r="Z1521" s="83" t="n"/>
      <c r="AA1521" s="83" t="n"/>
      <c r="AB1521" s="83" t="n"/>
      <c r="AC1521" s="83" t="n"/>
      <c r="AD1521" s="83" t="n"/>
      <c r="AE1521" s="83" t="n"/>
      <c r="AF1521" s="83" t="n"/>
      <c r="AG1521" s="83" t="n"/>
      <c r="AH1521" s="83" t="n"/>
      <c r="AI1521" s="83" t="n"/>
      <c r="AJ1521" s="83" t="n"/>
      <c r="AK1521" s="83" t="n"/>
      <c r="AL1521" s="83" t="n"/>
      <c r="AM1521" s="83" t="n"/>
      <c r="AN1521" s="83" t="n"/>
      <c r="AO1521" s="83" t="n"/>
      <c r="AP1521" s="83" t="n"/>
      <c r="AQ1521" s="83" t="n"/>
      <c r="AR1521" s="83" t="n"/>
    </row>
    <row r="1522">
      <c r="D1522" s="83" t="n"/>
      <c r="E1522" s="83" t="n"/>
      <c r="F1522" s="83" t="n"/>
      <c r="G1522" s="83" t="n"/>
      <c r="H1522" s="83" t="n"/>
      <c r="I1522" s="83" t="n"/>
      <c r="J1522" s="83" t="n"/>
      <c r="K1522" s="83" t="n"/>
      <c r="L1522" s="83" t="n"/>
      <c r="M1522" s="83" t="n"/>
      <c r="N1522" s="83" t="n"/>
      <c r="O1522" s="83" t="n"/>
      <c r="P1522" s="83" t="n"/>
      <c r="Q1522" s="83" t="n"/>
      <c r="R1522" s="83" t="n"/>
      <c r="S1522" s="83" t="n"/>
      <c r="T1522" s="83" t="n"/>
      <c r="U1522" s="83" t="n"/>
      <c r="V1522" s="83" t="n"/>
      <c r="W1522" s="83" t="n"/>
      <c r="X1522" s="83" t="n"/>
      <c r="Y1522" s="83" t="n"/>
      <c r="Z1522" s="83" t="n"/>
      <c r="AA1522" s="83" t="n"/>
      <c r="AB1522" s="83" t="n"/>
      <c r="AC1522" s="83" t="n"/>
      <c r="AD1522" s="83" t="n"/>
      <c r="AE1522" s="83" t="n"/>
      <c r="AF1522" s="83" t="n"/>
      <c r="AG1522" s="83" t="n"/>
      <c r="AH1522" s="83" t="n"/>
      <c r="AI1522" s="83" t="n"/>
      <c r="AJ1522" s="83" t="n"/>
      <c r="AK1522" s="83" t="n"/>
      <c r="AL1522" s="83" t="n"/>
      <c r="AM1522" s="83" t="n"/>
      <c r="AN1522" s="83" t="n"/>
      <c r="AO1522" s="83" t="n"/>
      <c r="AP1522" s="83" t="n"/>
      <c r="AQ1522" s="83" t="n"/>
      <c r="AR1522" s="83" t="n"/>
    </row>
    <row r="1523">
      <c r="D1523" s="84" t="n"/>
      <c r="E1523" s="84" t="n"/>
      <c r="F1523" s="84" t="n"/>
      <c r="G1523" s="84" t="n"/>
      <c r="H1523" s="84" t="n"/>
      <c r="I1523" s="84" t="n"/>
      <c r="J1523" s="84" t="n"/>
      <c r="K1523" s="84" t="n"/>
      <c r="L1523" s="84" t="n"/>
      <c r="M1523" s="84" t="n"/>
      <c r="N1523" s="84" t="n"/>
      <c r="O1523" s="84" t="n"/>
      <c r="P1523" s="84" t="n"/>
      <c r="Q1523" s="84" t="n"/>
      <c r="R1523" s="84" t="n"/>
      <c r="S1523" s="84" t="n"/>
      <c r="T1523" s="84" t="n"/>
      <c r="U1523" s="84" t="n"/>
      <c r="V1523" s="84" t="n"/>
      <c r="W1523" s="84" t="n"/>
      <c r="X1523" s="84" t="n"/>
      <c r="Y1523" s="84" t="n"/>
      <c r="Z1523" s="84" t="n"/>
      <c r="AA1523" s="84" t="n"/>
      <c r="AB1523" s="84" t="n"/>
      <c r="AC1523" s="84" t="n"/>
      <c r="AD1523" s="84" t="n"/>
      <c r="AE1523" s="84" t="n"/>
      <c r="AF1523" s="84" t="n"/>
      <c r="AG1523" s="84" t="n"/>
      <c r="AH1523" s="84" t="n"/>
      <c r="AI1523" s="84" t="n"/>
      <c r="AJ1523" s="84" t="n"/>
      <c r="AK1523" s="84" t="n"/>
      <c r="AL1523" s="84" t="n"/>
      <c r="AM1523" s="84" t="n"/>
      <c r="AN1523" s="84" t="n"/>
      <c r="AO1523" s="84" t="n"/>
      <c r="AP1523" s="84" t="n"/>
      <c r="AQ1523" s="84" t="n"/>
      <c r="AR1523" s="84" t="n"/>
    </row>
    <row r="1524">
      <c r="D1524" s="80" t="n"/>
      <c r="E1524" s="80" t="n"/>
      <c r="F1524" s="80" t="n"/>
      <c r="G1524" s="80" t="n"/>
      <c r="H1524" s="80" t="n"/>
      <c r="I1524" s="80" t="n"/>
      <c r="J1524" s="80" t="n"/>
      <c r="K1524" s="80" t="n"/>
      <c r="L1524" s="80" t="n"/>
      <c r="M1524" s="80" t="n"/>
      <c r="N1524" s="80" t="n"/>
      <c r="O1524" s="80" t="n"/>
      <c r="P1524" s="80" t="n"/>
      <c r="Q1524" s="80" t="n"/>
      <c r="R1524" s="80" t="n"/>
      <c r="S1524" s="80" t="n"/>
      <c r="T1524" s="80" t="n"/>
      <c r="U1524" s="80" t="n"/>
      <c r="V1524" s="80" t="n"/>
      <c r="W1524" s="80" t="n"/>
      <c r="X1524" s="80" t="n"/>
      <c r="Y1524" s="80" t="n"/>
      <c r="Z1524" s="80" t="n"/>
      <c r="AA1524" s="80" t="n"/>
      <c r="AB1524" s="80" t="n"/>
      <c r="AC1524" s="80" t="n"/>
      <c r="AD1524" s="80" t="n"/>
      <c r="AE1524" s="80" t="n"/>
      <c r="AF1524" s="80" t="n"/>
      <c r="AG1524" s="80" t="n"/>
      <c r="AH1524" s="80" t="n"/>
      <c r="AI1524" s="80" t="n"/>
      <c r="AJ1524" s="80" t="n"/>
      <c r="AK1524" s="80" t="n"/>
      <c r="AL1524" s="80" t="n"/>
      <c r="AM1524" s="80" t="n"/>
      <c r="AN1524" s="80" t="n"/>
      <c r="AO1524" s="80" t="n"/>
      <c r="AP1524" s="80" t="n"/>
      <c r="AQ1524" s="80" t="n"/>
      <c r="AR1524" s="80" t="n"/>
    </row>
    <row r="1525">
      <c r="D1525" s="80" t="n"/>
      <c r="E1525" s="80" t="n"/>
      <c r="F1525" s="80" t="n"/>
      <c r="G1525" s="80" t="n"/>
      <c r="H1525" s="80" t="n"/>
      <c r="I1525" s="80" t="n"/>
      <c r="J1525" s="80" t="n"/>
      <c r="K1525" s="80" t="n"/>
      <c r="L1525" s="80" t="n"/>
      <c r="M1525" s="80" t="n"/>
      <c r="N1525" s="80" t="n"/>
      <c r="O1525" s="80" t="n"/>
      <c r="P1525" s="80" t="n"/>
      <c r="Q1525" s="80" t="n"/>
      <c r="R1525" s="80" t="n"/>
      <c r="S1525" s="80" t="n"/>
      <c r="T1525" s="80" t="n"/>
      <c r="U1525" s="80" t="n"/>
      <c r="V1525" s="80" t="n"/>
      <c r="W1525" s="80" t="n"/>
      <c r="X1525" s="80" t="n"/>
      <c r="Y1525" s="80" t="n"/>
      <c r="Z1525" s="80" t="n"/>
      <c r="AA1525" s="80" t="n"/>
      <c r="AB1525" s="80" t="n"/>
      <c r="AC1525" s="80" t="n"/>
      <c r="AD1525" s="80" t="n"/>
      <c r="AE1525" s="80" t="n"/>
      <c r="AF1525" s="80" t="n"/>
      <c r="AG1525" s="80" t="n"/>
      <c r="AH1525" s="80" t="n"/>
      <c r="AI1525" s="80" t="n"/>
      <c r="AJ1525" s="80" t="n"/>
      <c r="AK1525" s="80" t="n"/>
      <c r="AL1525" s="80" t="n"/>
      <c r="AM1525" s="80" t="n"/>
      <c r="AN1525" s="80" t="n"/>
      <c r="AO1525" s="80" t="n"/>
      <c r="AP1525" s="80" t="n"/>
      <c r="AQ1525" s="80" t="n"/>
      <c r="AR1525" s="80" t="n"/>
    </row>
    <row r="1526">
      <c r="D1526" s="80" t="n"/>
      <c r="E1526" s="80" t="n"/>
      <c r="F1526" s="80" t="n"/>
      <c r="G1526" s="80" t="n"/>
      <c r="H1526" s="80" t="n"/>
      <c r="I1526" s="80" t="n"/>
      <c r="J1526" s="80" t="n"/>
      <c r="K1526" s="80" t="n"/>
      <c r="L1526" s="80" t="n"/>
      <c r="M1526" s="80" t="n"/>
      <c r="N1526" s="80" t="n"/>
      <c r="O1526" s="80" t="n"/>
      <c r="P1526" s="80" t="n"/>
      <c r="Q1526" s="80" t="n"/>
      <c r="R1526" s="80" t="n"/>
      <c r="S1526" s="80" t="n"/>
      <c r="T1526" s="80" t="n"/>
      <c r="U1526" s="80" t="n"/>
      <c r="V1526" s="80" t="n"/>
      <c r="W1526" s="80" t="n"/>
      <c r="X1526" s="80" t="n"/>
      <c r="Y1526" s="80" t="n"/>
      <c r="Z1526" s="80" t="n"/>
      <c r="AA1526" s="80" t="n"/>
      <c r="AB1526" s="80" t="n"/>
      <c r="AC1526" s="80" t="n"/>
      <c r="AD1526" s="80" t="n"/>
      <c r="AE1526" s="80" t="n"/>
      <c r="AF1526" s="80" t="n"/>
      <c r="AG1526" s="80" t="n"/>
      <c r="AH1526" s="80" t="n"/>
      <c r="AI1526" s="80" t="n"/>
      <c r="AJ1526" s="80" t="n"/>
      <c r="AK1526" s="80" t="n"/>
      <c r="AL1526" s="80" t="n"/>
      <c r="AM1526" s="80" t="n"/>
      <c r="AN1526" s="80" t="n"/>
      <c r="AO1526" s="80" t="n"/>
      <c r="AP1526" s="80" t="n"/>
      <c r="AQ1526" s="80" t="n"/>
      <c r="AR1526" s="80" t="n"/>
    </row>
    <row r="1527">
      <c r="D1527" s="80" t="n"/>
      <c r="E1527" s="80" t="n"/>
      <c r="F1527" s="80" t="n"/>
      <c r="G1527" s="80" t="n"/>
      <c r="H1527" s="80" t="n"/>
      <c r="I1527" s="80" t="n"/>
      <c r="J1527" s="80" t="n"/>
      <c r="K1527" s="80" t="n"/>
      <c r="L1527" s="80" t="n"/>
      <c r="M1527" s="80" t="n"/>
      <c r="N1527" s="80" t="n"/>
      <c r="O1527" s="80" t="n"/>
      <c r="P1527" s="80" t="n"/>
      <c r="Q1527" s="80" t="n"/>
      <c r="R1527" s="80" t="n"/>
      <c r="S1527" s="80" t="n"/>
      <c r="T1527" s="80" t="n"/>
      <c r="U1527" s="80" t="n"/>
      <c r="V1527" s="80" t="n"/>
      <c r="W1527" s="80" t="n"/>
      <c r="X1527" s="80" t="n"/>
      <c r="Y1527" s="80" t="n"/>
      <c r="Z1527" s="80" t="n"/>
      <c r="AA1527" s="80" t="n"/>
      <c r="AB1527" s="80" t="n"/>
      <c r="AC1527" s="80" t="n"/>
      <c r="AD1527" s="80" t="n"/>
      <c r="AE1527" s="80" t="n"/>
      <c r="AF1527" s="80" t="n"/>
      <c r="AG1527" s="80" t="n"/>
      <c r="AH1527" s="80" t="n"/>
      <c r="AI1527" s="80" t="n"/>
      <c r="AJ1527" s="80" t="n"/>
      <c r="AK1527" s="80" t="n"/>
      <c r="AL1527" s="80" t="n"/>
      <c r="AM1527" s="80" t="n"/>
      <c r="AN1527" s="80" t="n"/>
      <c r="AO1527" s="80" t="n"/>
      <c r="AP1527" s="80" t="n"/>
      <c r="AQ1527" s="80" t="n"/>
      <c r="AR1527" s="80" t="n"/>
    </row>
    <row r="1529">
      <c r="A1529" s="6">
        <f>IF(HSTECH!$C$8="","",HSTECH!$C$8)</f>
        <v/>
      </c>
      <c r="B1529" s="41">
        <f>IF($A1529="",0,COUNT($E1530:$AR1530))</f>
        <v/>
      </c>
      <c r="C1529" s="81">
        <f>IF($B1529=0,0,MAX($E1530:$AR1530))</f>
        <v/>
      </c>
      <c r="D1529" s="82">
        <f>BDS($A1529,'Field Check'!$C$7,"headers=y","startcol=1","endcol=7","dir=h","DVD_START_DT",Summary!$C$18,"DVD_END_DT",Summary!$D$18)</f>
        <v/>
      </c>
      <c r="E1529" s="83" t="n"/>
      <c r="F1529" s="83" t="n"/>
      <c r="G1529" s="83" t="n"/>
      <c r="H1529" s="83" t="n"/>
      <c r="I1529" s="83" t="n"/>
      <c r="J1529" s="83" t="n"/>
      <c r="K1529" s="83" t="n"/>
      <c r="L1529" s="83" t="n"/>
      <c r="M1529" s="83" t="n"/>
      <c r="N1529" s="83" t="n"/>
      <c r="O1529" s="83" t="n"/>
      <c r="P1529" s="83" t="n"/>
      <c r="Q1529" s="83" t="n"/>
      <c r="R1529" s="83" t="n"/>
      <c r="S1529" s="83" t="n"/>
      <c r="T1529" s="83" t="n"/>
      <c r="U1529" s="83" t="n"/>
      <c r="V1529" s="83" t="n"/>
      <c r="W1529" s="83" t="n"/>
      <c r="X1529" s="83" t="n"/>
      <c r="Y1529" s="83" t="n"/>
      <c r="Z1529" s="83" t="n"/>
      <c r="AA1529" s="83" t="n"/>
      <c r="AB1529" s="83" t="n"/>
      <c r="AC1529" s="83" t="n"/>
      <c r="AD1529" s="83" t="n"/>
      <c r="AE1529" s="83" t="n"/>
      <c r="AF1529" s="83" t="n"/>
      <c r="AG1529" s="83" t="n"/>
      <c r="AH1529" s="83" t="n"/>
      <c r="AI1529" s="83" t="n"/>
      <c r="AJ1529" s="83" t="n"/>
      <c r="AK1529" s="83" t="n"/>
      <c r="AL1529" s="83" t="n"/>
      <c r="AM1529" s="83" t="n"/>
      <c r="AN1529" s="83" t="n"/>
      <c r="AO1529" s="83" t="n"/>
      <c r="AP1529" s="83" t="n"/>
      <c r="AQ1529" s="83" t="n"/>
      <c r="AR1529" s="83" t="n"/>
    </row>
    <row r="1530">
      <c r="D1530" s="83" t="n"/>
      <c r="E1530" s="83" t="n"/>
      <c r="F1530" s="83" t="n"/>
      <c r="G1530" s="83" t="n"/>
      <c r="H1530" s="83" t="n"/>
      <c r="I1530" s="83" t="n"/>
      <c r="J1530" s="83" t="n"/>
      <c r="K1530" s="83" t="n"/>
      <c r="L1530" s="83" t="n"/>
      <c r="M1530" s="83" t="n"/>
      <c r="N1530" s="83" t="n"/>
      <c r="O1530" s="83" t="n"/>
      <c r="P1530" s="83" t="n"/>
      <c r="Q1530" s="83" t="n"/>
      <c r="R1530" s="83" t="n"/>
      <c r="S1530" s="83" t="n"/>
      <c r="T1530" s="83" t="n"/>
      <c r="U1530" s="83" t="n"/>
      <c r="V1530" s="83" t="n"/>
      <c r="W1530" s="83" t="n"/>
      <c r="X1530" s="83" t="n"/>
      <c r="Y1530" s="83" t="n"/>
      <c r="Z1530" s="83" t="n"/>
      <c r="AA1530" s="83" t="n"/>
      <c r="AB1530" s="83" t="n"/>
      <c r="AC1530" s="83" t="n"/>
      <c r="AD1530" s="83" t="n"/>
      <c r="AE1530" s="83" t="n"/>
      <c r="AF1530" s="83" t="n"/>
      <c r="AG1530" s="83" t="n"/>
      <c r="AH1530" s="83" t="n"/>
      <c r="AI1530" s="83" t="n"/>
      <c r="AJ1530" s="83" t="n"/>
      <c r="AK1530" s="83" t="n"/>
      <c r="AL1530" s="83" t="n"/>
      <c r="AM1530" s="83" t="n"/>
      <c r="AN1530" s="83" t="n"/>
      <c r="AO1530" s="83" t="n"/>
      <c r="AP1530" s="83" t="n"/>
      <c r="AQ1530" s="83" t="n"/>
      <c r="AR1530" s="83" t="n"/>
    </row>
    <row r="1531">
      <c r="D1531" s="84" t="n"/>
      <c r="E1531" s="84" t="n"/>
      <c r="F1531" s="84" t="n"/>
      <c r="G1531" s="84" t="n"/>
      <c r="H1531" s="84" t="n"/>
      <c r="I1531" s="84" t="n"/>
      <c r="J1531" s="84" t="n"/>
      <c r="K1531" s="84" t="n"/>
      <c r="L1531" s="84" t="n"/>
      <c r="M1531" s="84" t="n"/>
      <c r="N1531" s="84" t="n"/>
      <c r="O1531" s="84" t="n"/>
      <c r="P1531" s="84" t="n"/>
      <c r="Q1531" s="84" t="n"/>
      <c r="R1531" s="84" t="n"/>
      <c r="S1531" s="84" t="n"/>
      <c r="T1531" s="84" t="n"/>
      <c r="U1531" s="84" t="n"/>
      <c r="V1531" s="84" t="n"/>
      <c r="W1531" s="84" t="n"/>
      <c r="X1531" s="84" t="n"/>
      <c r="Y1531" s="84" t="n"/>
      <c r="Z1531" s="84" t="n"/>
      <c r="AA1531" s="84" t="n"/>
      <c r="AB1531" s="84" t="n"/>
      <c r="AC1531" s="84" t="n"/>
      <c r="AD1531" s="84" t="n"/>
      <c r="AE1531" s="84" t="n"/>
      <c r="AF1531" s="84" t="n"/>
      <c r="AG1531" s="84" t="n"/>
      <c r="AH1531" s="84" t="n"/>
      <c r="AI1531" s="84" t="n"/>
      <c r="AJ1531" s="84" t="n"/>
      <c r="AK1531" s="84" t="n"/>
      <c r="AL1531" s="84" t="n"/>
      <c r="AM1531" s="84" t="n"/>
      <c r="AN1531" s="84" t="n"/>
      <c r="AO1531" s="84" t="n"/>
      <c r="AP1531" s="84" t="n"/>
      <c r="AQ1531" s="84" t="n"/>
      <c r="AR1531" s="84" t="n"/>
    </row>
    <row r="1532">
      <c r="D1532" s="80" t="n"/>
      <c r="E1532" s="80" t="n"/>
      <c r="F1532" s="80" t="n"/>
      <c r="G1532" s="80" t="n"/>
      <c r="H1532" s="80" t="n"/>
      <c r="I1532" s="80" t="n"/>
      <c r="J1532" s="80" t="n"/>
      <c r="K1532" s="80" t="n"/>
      <c r="L1532" s="80" t="n"/>
      <c r="M1532" s="80" t="n"/>
      <c r="N1532" s="80" t="n"/>
      <c r="O1532" s="80" t="n"/>
      <c r="P1532" s="80" t="n"/>
      <c r="Q1532" s="80" t="n"/>
      <c r="R1532" s="80" t="n"/>
      <c r="S1532" s="80" t="n"/>
      <c r="T1532" s="80" t="n"/>
      <c r="U1532" s="80" t="n"/>
      <c r="V1532" s="80" t="n"/>
      <c r="W1532" s="80" t="n"/>
      <c r="X1532" s="80" t="n"/>
      <c r="Y1532" s="80" t="n"/>
      <c r="Z1532" s="80" t="n"/>
      <c r="AA1532" s="80" t="n"/>
      <c r="AB1532" s="80" t="n"/>
      <c r="AC1532" s="80" t="n"/>
      <c r="AD1532" s="80" t="n"/>
      <c r="AE1532" s="80" t="n"/>
      <c r="AF1532" s="80" t="n"/>
      <c r="AG1532" s="80" t="n"/>
      <c r="AH1532" s="80" t="n"/>
      <c r="AI1532" s="80" t="n"/>
      <c r="AJ1532" s="80" t="n"/>
      <c r="AK1532" s="80" t="n"/>
      <c r="AL1532" s="80" t="n"/>
      <c r="AM1532" s="80" t="n"/>
      <c r="AN1532" s="80" t="n"/>
      <c r="AO1532" s="80" t="n"/>
      <c r="AP1532" s="80" t="n"/>
      <c r="AQ1532" s="80" t="n"/>
      <c r="AR1532" s="80" t="n"/>
    </row>
    <row r="1533">
      <c r="D1533" s="80" t="n"/>
      <c r="E1533" s="80" t="n"/>
      <c r="F1533" s="80" t="n"/>
      <c r="G1533" s="80" t="n"/>
      <c r="H1533" s="80" t="n"/>
      <c r="I1533" s="80" t="n"/>
      <c r="J1533" s="80" t="n"/>
      <c r="K1533" s="80" t="n"/>
      <c r="L1533" s="80" t="n"/>
      <c r="M1533" s="80" t="n"/>
      <c r="N1533" s="80" t="n"/>
      <c r="O1533" s="80" t="n"/>
      <c r="P1533" s="80" t="n"/>
      <c r="Q1533" s="80" t="n"/>
      <c r="R1533" s="80" t="n"/>
      <c r="S1533" s="80" t="n"/>
      <c r="T1533" s="80" t="n"/>
      <c r="U1533" s="80" t="n"/>
      <c r="V1533" s="80" t="n"/>
      <c r="W1533" s="80" t="n"/>
      <c r="X1533" s="80" t="n"/>
      <c r="Y1533" s="80" t="n"/>
      <c r="Z1533" s="80" t="n"/>
      <c r="AA1533" s="80" t="n"/>
      <c r="AB1533" s="80" t="n"/>
      <c r="AC1533" s="80" t="n"/>
      <c r="AD1533" s="80" t="n"/>
      <c r="AE1533" s="80" t="n"/>
      <c r="AF1533" s="80" t="n"/>
      <c r="AG1533" s="80" t="n"/>
      <c r="AH1533" s="80" t="n"/>
      <c r="AI1533" s="80" t="n"/>
      <c r="AJ1533" s="80" t="n"/>
      <c r="AK1533" s="80" t="n"/>
      <c r="AL1533" s="80" t="n"/>
      <c r="AM1533" s="80" t="n"/>
      <c r="AN1533" s="80" t="n"/>
      <c r="AO1533" s="80" t="n"/>
      <c r="AP1533" s="80" t="n"/>
      <c r="AQ1533" s="80" t="n"/>
      <c r="AR1533" s="80" t="n"/>
    </row>
    <row r="1534">
      <c r="D1534" s="80" t="n"/>
      <c r="E1534" s="80" t="n"/>
      <c r="F1534" s="80" t="n"/>
      <c r="G1534" s="80" t="n"/>
      <c r="H1534" s="80" t="n"/>
      <c r="I1534" s="80" t="n"/>
      <c r="J1534" s="80" t="n"/>
      <c r="K1534" s="80" t="n"/>
      <c r="L1534" s="80" t="n"/>
      <c r="M1534" s="80" t="n"/>
      <c r="N1534" s="80" t="n"/>
      <c r="O1534" s="80" t="n"/>
      <c r="P1534" s="80" t="n"/>
      <c r="Q1534" s="80" t="n"/>
      <c r="R1534" s="80" t="n"/>
      <c r="S1534" s="80" t="n"/>
      <c r="T1534" s="80" t="n"/>
      <c r="U1534" s="80" t="n"/>
      <c r="V1534" s="80" t="n"/>
      <c r="W1534" s="80" t="n"/>
      <c r="X1534" s="80" t="n"/>
      <c r="Y1534" s="80" t="n"/>
      <c r="Z1534" s="80" t="n"/>
      <c r="AA1534" s="80" t="n"/>
      <c r="AB1534" s="80" t="n"/>
      <c r="AC1534" s="80" t="n"/>
      <c r="AD1534" s="80" t="n"/>
      <c r="AE1534" s="80" t="n"/>
      <c r="AF1534" s="80" t="n"/>
      <c r="AG1534" s="80" t="n"/>
      <c r="AH1534" s="80" t="n"/>
      <c r="AI1534" s="80" t="n"/>
      <c r="AJ1534" s="80" t="n"/>
      <c r="AK1534" s="80" t="n"/>
      <c r="AL1534" s="80" t="n"/>
      <c r="AM1534" s="80" t="n"/>
      <c r="AN1534" s="80" t="n"/>
      <c r="AO1534" s="80" t="n"/>
      <c r="AP1534" s="80" t="n"/>
      <c r="AQ1534" s="80" t="n"/>
      <c r="AR1534" s="80" t="n"/>
    </row>
    <row r="1535">
      <c r="D1535" s="80" t="n"/>
      <c r="E1535" s="80" t="n"/>
      <c r="F1535" s="80" t="n"/>
      <c r="G1535" s="80" t="n"/>
      <c r="H1535" s="80" t="n"/>
      <c r="I1535" s="80" t="n"/>
      <c r="J1535" s="80" t="n"/>
      <c r="K1535" s="80" t="n"/>
      <c r="L1535" s="80" t="n"/>
      <c r="M1535" s="80" t="n"/>
      <c r="N1535" s="80" t="n"/>
      <c r="O1535" s="80" t="n"/>
      <c r="P1535" s="80" t="n"/>
      <c r="Q1535" s="80" t="n"/>
      <c r="R1535" s="80" t="n"/>
      <c r="S1535" s="80" t="n"/>
      <c r="T1535" s="80" t="n"/>
      <c r="U1535" s="80" t="n"/>
      <c r="V1535" s="80" t="n"/>
      <c r="W1535" s="80" t="n"/>
      <c r="X1535" s="80" t="n"/>
      <c r="Y1535" s="80" t="n"/>
      <c r="Z1535" s="80" t="n"/>
      <c r="AA1535" s="80" t="n"/>
      <c r="AB1535" s="80" t="n"/>
      <c r="AC1535" s="80" t="n"/>
      <c r="AD1535" s="80" t="n"/>
      <c r="AE1535" s="80" t="n"/>
      <c r="AF1535" s="80" t="n"/>
      <c r="AG1535" s="80" t="n"/>
      <c r="AH1535" s="80" t="n"/>
      <c r="AI1535" s="80" t="n"/>
      <c r="AJ1535" s="80" t="n"/>
      <c r="AK1535" s="80" t="n"/>
      <c r="AL1535" s="80" t="n"/>
      <c r="AM1535" s="80" t="n"/>
      <c r="AN1535" s="80" t="n"/>
      <c r="AO1535" s="80" t="n"/>
      <c r="AP1535" s="80" t="n"/>
      <c r="AQ1535" s="80" t="n"/>
      <c r="AR1535" s="80" t="n"/>
    </row>
    <row r="1536">
      <c r="A1536" s="2">
        <f>IF($A1529="","","   projections")</f>
        <v/>
      </c>
      <c r="B1536" s="41">
        <f>IF($A1529="",0,COUNT($E1537:$AR1537))</f>
        <v/>
      </c>
      <c r="C1536" s="81">
        <f>IF($B1536=0,0,MAX($E1537:$AR1537))</f>
        <v/>
      </c>
      <c r="D1536" s="82">
        <f>BDS($A1529,'Field Check'!$C$6,"headers=y","startcol=1","endcol=7","dir=h")</f>
        <v/>
      </c>
      <c r="E1536" s="83" t="n"/>
      <c r="F1536" s="83" t="n"/>
      <c r="G1536" s="83" t="n"/>
      <c r="H1536" s="83" t="n"/>
      <c r="I1536" s="83" t="n"/>
      <c r="J1536" s="83" t="n"/>
      <c r="K1536" s="83" t="n"/>
      <c r="L1536" s="83" t="n"/>
      <c r="M1536" s="83" t="n"/>
      <c r="N1536" s="83" t="n"/>
      <c r="O1536" s="83" t="n"/>
      <c r="P1536" s="83" t="n"/>
      <c r="Q1536" s="83" t="n"/>
      <c r="R1536" s="83" t="n"/>
      <c r="S1536" s="83" t="n"/>
      <c r="T1536" s="83" t="n"/>
      <c r="U1536" s="83" t="n"/>
      <c r="V1536" s="83" t="n"/>
      <c r="W1536" s="83" t="n"/>
      <c r="X1536" s="83" t="n"/>
      <c r="Y1536" s="83" t="n"/>
      <c r="Z1536" s="83" t="n"/>
      <c r="AA1536" s="83" t="n"/>
      <c r="AB1536" s="83" t="n"/>
      <c r="AC1536" s="83" t="n"/>
      <c r="AD1536" s="83" t="n"/>
      <c r="AE1536" s="83" t="n"/>
      <c r="AF1536" s="83" t="n"/>
      <c r="AG1536" s="83" t="n"/>
      <c r="AH1536" s="83" t="n"/>
      <c r="AI1536" s="83" t="n"/>
      <c r="AJ1536" s="83" t="n"/>
      <c r="AK1536" s="83" t="n"/>
      <c r="AL1536" s="83" t="n"/>
      <c r="AM1536" s="83" t="n"/>
      <c r="AN1536" s="83" t="n"/>
      <c r="AO1536" s="83" t="n"/>
      <c r="AP1536" s="83" t="n"/>
      <c r="AQ1536" s="83" t="n"/>
      <c r="AR1536" s="83" t="n"/>
    </row>
    <row r="1537">
      <c r="D1537" s="83" t="n"/>
      <c r="E1537" s="83" t="n"/>
      <c r="F1537" s="83" t="n"/>
      <c r="G1537" s="83" t="n"/>
      <c r="H1537" s="83" t="n"/>
      <c r="I1537" s="83" t="n"/>
      <c r="J1537" s="83" t="n"/>
      <c r="K1537" s="83" t="n"/>
      <c r="L1537" s="83" t="n"/>
      <c r="M1537" s="83" t="n"/>
      <c r="N1537" s="83" t="n"/>
      <c r="O1537" s="83" t="n"/>
      <c r="P1537" s="83" t="n"/>
      <c r="Q1537" s="83" t="n"/>
      <c r="R1537" s="83" t="n"/>
      <c r="S1537" s="83" t="n"/>
      <c r="T1537" s="83" t="n"/>
      <c r="U1537" s="83" t="n"/>
      <c r="V1537" s="83" t="n"/>
      <c r="W1537" s="83" t="n"/>
      <c r="X1537" s="83" t="n"/>
      <c r="Y1537" s="83" t="n"/>
      <c r="Z1537" s="83" t="n"/>
      <c r="AA1537" s="83" t="n"/>
      <c r="AB1537" s="83" t="n"/>
      <c r="AC1537" s="83" t="n"/>
      <c r="AD1537" s="83" t="n"/>
      <c r="AE1537" s="83" t="n"/>
      <c r="AF1537" s="83" t="n"/>
      <c r="AG1537" s="83" t="n"/>
      <c r="AH1537" s="83" t="n"/>
      <c r="AI1537" s="83" t="n"/>
      <c r="AJ1537" s="83" t="n"/>
      <c r="AK1537" s="83" t="n"/>
      <c r="AL1537" s="83" t="n"/>
      <c r="AM1537" s="83" t="n"/>
      <c r="AN1537" s="83" t="n"/>
      <c r="AO1537" s="83" t="n"/>
      <c r="AP1537" s="83" t="n"/>
      <c r="AQ1537" s="83" t="n"/>
      <c r="AR1537" s="83" t="n"/>
    </row>
    <row r="1538">
      <c r="D1538" s="84" t="n"/>
      <c r="E1538" s="84" t="n"/>
      <c r="F1538" s="84" t="n"/>
      <c r="G1538" s="84" t="n"/>
      <c r="H1538" s="84" t="n"/>
      <c r="I1538" s="84" t="n"/>
      <c r="J1538" s="84" t="n"/>
      <c r="K1538" s="84" t="n"/>
      <c r="L1538" s="84" t="n"/>
      <c r="M1538" s="84" t="n"/>
      <c r="N1538" s="84" t="n"/>
      <c r="O1538" s="84" t="n"/>
      <c r="P1538" s="84" t="n"/>
      <c r="Q1538" s="84" t="n"/>
      <c r="R1538" s="84" t="n"/>
      <c r="S1538" s="84" t="n"/>
      <c r="T1538" s="84" t="n"/>
      <c r="U1538" s="84" t="n"/>
      <c r="V1538" s="84" t="n"/>
      <c r="W1538" s="84" t="n"/>
      <c r="X1538" s="84" t="n"/>
      <c r="Y1538" s="84" t="n"/>
      <c r="Z1538" s="84" t="n"/>
      <c r="AA1538" s="84" t="n"/>
      <c r="AB1538" s="84" t="n"/>
      <c r="AC1538" s="84" t="n"/>
      <c r="AD1538" s="84" t="n"/>
      <c r="AE1538" s="84" t="n"/>
      <c r="AF1538" s="84" t="n"/>
      <c r="AG1538" s="84" t="n"/>
      <c r="AH1538" s="84" t="n"/>
      <c r="AI1538" s="84" t="n"/>
      <c r="AJ1538" s="84" t="n"/>
      <c r="AK1538" s="84" t="n"/>
      <c r="AL1538" s="84" t="n"/>
      <c r="AM1538" s="84" t="n"/>
      <c r="AN1538" s="84" t="n"/>
      <c r="AO1538" s="84" t="n"/>
      <c r="AP1538" s="84" t="n"/>
      <c r="AQ1538" s="84" t="n"/>
      <c r="AR1538" s="84" t="n"/>
    </row>
    <row r="1539">
      <c r="D1539" s="80" t="n"/>
      <c r="E1539" s="80" t="n"/>
      <c r="F1539" s="80" t="n"/>
      <c r="G1539" s="80" t="n"/>
      <c r="H1539" s="80" t="n"/>
      <c r="I1539" s="80" t="n"/>
      <c r="J1539" s="80" t="n"/>
      <c r="K1539" s="80" t="n"/>
      <c r="L1539" s="80" t="n"/>
      <c r="M1539" s="80" t="n"/>
      <c r="N1539" s="80" t="n"/>
      <c r="O1539" s="80" t="n"/>
      <c r="P1539" s="80" t="n"/>
      <c r="Q1539" s="80" t="n"/>
      <c r="R1539" s="80" t="n"/>
      <c r="S1539" s="80" t="n"/>
      <c r="T1539" s="80" t="n"/>
      <c r="U1539" s="80" t="n"/>
      <c r="V1539" s="80" t="n"/>
      <c r="W1539" s="80" t="n"/>
      <c r="X1539" s="80" t="n"/>
      <c r="Y1539" s="80" t="n"/>
      <c r="Z1539" s="80" t="n"/>
      <c r="AA1539" s="80" t="n"/>
      <c r="AB1539" s="80" t="n"/>
      <c r="AC1539" s="80" t="n"/>
      <c r="AD1539" s="80" t="n"/>
      <c r="AE1539" s="80" t="n"/>
      <c r="AF1539" s="80" t="n"/>
      <c r="AG1539" s="80" t="n"/>
      <c r="AH1539" s="80" t="n"/>
      <c r="AI1539" s="80" t="n"/>
      <c r="AJ1539" s="80" t="n"/>
      <c r="AK1539" s="80" t="n"/>
      <c r="AL1539" s="80" t="n"/>
      <c r="AM1539" s="80" t="n"/>
      <c r="AN1539" s="80" t="n"/>
      <c r="AO1539" s="80" t="n"/>
      <c r="AP1539" s="80" t="n"/>
      <c r="AQ1539" s="80" t="n"/>
      <c r="AR1539" s="80" t="n"/>
    </row>
    <row r="1540">
      <c r="D1540" s="80" t="n"/>
      <c r="E1540" s="80" t="n"/>
      <c r="F1540" s="80" t="n"/>
      <c r="G1540" s="80" t="n"/>
      <c r="H1540" s="80" t="n"/>
      <c r="I1540" s="80" t="n"/>
      <c r="J1540" s="80" t="n"/>
      <c r="K1540" s="80" t="n"/>
      <c r="L1540" s="80" t="n"/>
      <c r="M1540" s="80" t="n"/>
      <c r="N1540" s="80" t="n"/>
      <c r="O1540" s="80" t="n"/>
      <c r="P1540" s="80" t="n"/>
      <c r="Q1540" s="80" t="n"/>
      <c r="R1540" s="80" t="n"/>
      <c r="S1540" s="80" t="n"/>
      <c r="T1540" s="80" t="n"/>
      <c r="U1540" s="80" t="n"/>
      <c r="V1540" s="80" t="n"/>
      <c r="W1540" s="80" t="n"/>
      <c r="X1540" s="80" t="n"/>
      <c r="Y1540" s="80" t="n"/>
      <c r="Z1540" s="80" t="n"/>
      <c r="AA1540" s="80" t="n"/>
      <c r="AB1540" s="80" t="n"/>
      <c r="AC1540" s="80" t="n"/>
      <c r="AD1540" s="80" t="n"/>
      <c r="AE1540" s="80" t="n"/>
      <c r="AF1540" s="80" t="n"/>
      <c r="AG1540" s="80" t="n"/>
      <c r="AH1540" s="80" t="n"/>
      <c r="AI1540" s="80" t="n"/>
      <c r="AJ1540" s="80" t="n"/>
      <c r="AK1540" s="80" t="n"/>
      <c r="AL1540" s="80" t="n"/>
      <c r="AM1540" s="80" t="n"/>
      <c r="AN1540" s="80" t="n"/>
      <c r="AO1540" s="80" t="n"/>
      <c r="AP1540" s="80" t="n"/>
      <c r="AQ1540" s="80" t="n"/>
      <c r="AR1540" s="80" t="n"/>
    </row>
    <row r="1541">
      <c r="D1541" s="80" t="n"/>
      <c r="E1541" s="80" t="n"/>
      <c r="F1541" s="80" t="n"/>
      <c r="G1541" s="80" t="n"/>
      <c r="H1541" s="80" t="n"/>
      <c r="I1541" s="80" t="n"/>
      <c r="J1541" s="80" t="n"/>
      <c r="K1541" s="80" t="n"/>
      <c r="L1541" s="80" t="n"/>
      <c r="M1541" s="80" t="n"/>
      <c r="N1541" s="80" t="n"/>
      <c r="O1541" s="80" t="n"/>
      <c r="P1541" s="80" t="n"/>
      <c r="Q1541" s="80" t="n"/>
      <c r="R1541" s="80" t="n"/>
      <c r="S1541" s="80" t="n"/>
      <c r="T1541" s="80" t="n"/>
      <c r="U1541" s="80" t="n"/>
      <c r="V1541" s="80" t="n"/>
      <c r="W1541" s="80" t="n"/>
      <c r="X1541" s="80" t="n"/>
      <c r="Y1541" s="80" t="n"/>
      <c r="Z1541" s="80" t="n"/>
      <c r="AA1541" s="80" t="n"/>
      <c r="AB1541" s="80" t="n"/>
      <c r="AC1541" s="80" t="n"/>
      <c r="AD1541" s="80" t="n"/>
      <c r="AE1541" s="80" t="n"/>
      <c r="AF1541" s="80" t="n"/>
      <c r="AG1541" s="80" t="n"/>
      <c r="AH1541" s="80" t="n"/>
      <c r="AI1541" s="80" t="n"/>
      <c r="AJ1541" s="80" t="n"/>
      <c r="AK1541" s="80" t="n"/>
      <c r="AL1541" s="80" t="n"/>
      <c r="AM1541" s="80" t="n"/>
      <c r="AN1541" s="80" t="n"/>
      <c r="AO1541" s="80" t="n"/>
      <c r="AP1541" s="80" t="n"/>
      <c r="AQ1541" s="80" t="n"/>
      <c r="AR1541" s="80" t="n"/>
    </row>
    <row r="1542">
      <c r="D1542" s="80" t="n"/>
      <c r="E1542" s="80" t="n"/>
      <c r="F1542" s="80" t="n"/>
      <c r="G1542" s="80" t="n"/>
      <c r="H1542" s="80" t="n"/>
      <c r="I1542" s="80" t="n"/>
      <c r="J1542" s="80" t="n"/>
      <c r="K1542" s="80" t="n"/>
      <c r="L1542" s="80" t="n"/>
      <c r="M1542" s="80" t="n"/>
      <c r="N1542" s="80" t="n"/>
      <c r="O1542" s="80" t="n"/>
      <c r="P1542" s="80" t="n"/>
      <c r="Q1542" s="80" t="n"/>
      <c r="R1542" s="80" t="n"/>
      <c r="S1542" s="80" t="n"/>
      <c r="T1542" s="80" t="n"/>
      <c r="U1542" s="80" t="n"/>
      <c r="V1542" s="80" t="n"/>
      <c r="W1542" s="80" t="n"/>
      <c r="X1542" s="80" t="n"/>
      <c r="Y1542" s="80" t="n"/>
      <c r="Z1542" s="80" t="n"/>
      <c r="AA1542" s="80" t="n"/>
      <c r="AB1542" s="80" t="n"/>
      <c r="AC1542" s="80" t="n"/>
      <c r="AD1542" s="80" t="n"/>
      <c r="AE1542" s="80" t="n"/>
      <c r="AF1542" s="80" t="n"/>
      <c r="AG1542" s="80" t="n"/>
      <c r="AH1542" s="80" t="n"/>
      <c r="AI1542" s="80" t="n"/>
      <c r="AJ1542" s="80" t="n"/>
      <c r="AK1542" s="80" t="n"/>
      <c r="AL1542" s="80" t="n"/>
      <c r="AM1542" s="80" t="n"/>
      <c r="AN1542" s="80" t="n"/>
      <c r="AO1542" s="80" t="n"/>
      <c r="AP1542" s="80" t="n"/>
      <c r="AQ1542" s="80" t="n"/>
      <c r="AR1542" s="80" t="n"/>
    </row>
    <row r="1544">
      <c r="A1544" s="6">
        <f>IF(HSTECH!$C$9="","",HSTECH!$C$9)</f>
        <v/>
      </c>
      <c r="B1544" s="41">
        <f>IF($A1544="",0,COUNT($E1545:$AR1545))</f>
        <v/>
      </c>
      <c r="C1544" s="81">
        <f>IF($B1544=0,0,MAX($E1545:$AR1545))</f>
        <v/>
      </c>
      <c r="D1544" s="82">
        <f>BDS($A1544,'Field Check'!$C$7,"headers=y","startcol=1","endcol=7","dir=h","DVD_START_DT",Summary!$C$18,"DVD_END_DT",Summary!$D$18)</f>
        <v/>
      </c>
      <c r="E1544" s="83" t="n"/>
      <c r="F1544" s="83" t="n"/>
      <c r="G1544" s="83" t="n"/>
      <c r="H1544" s="83" t="n"/>
      <c r="I1544" s="83" t="n"/>
      <c r="J1544" s="83" t="n"/>
      <c r="K1544" s="83" t="n"/>
      <c r="L1544" s="83" t="n"/>
      <c r="M1544" s="83" t="n"/>
      <c r="N1544" s="83" t="n"/>
      <c r="O1544" s="83" t="n"/>
      <c r="P1544" s="83" t="n"/>
      <c r="Q1544" s="83" t="n"/>
      <c r="R1544" s="83" t="n"/>
      <c r="S1544" s="83" t="n"/>
      <c r="T1544" s="83" t="n"/>
      <c r="U1544" s="83" t="n"/>
      <c r="V1544" s="83" t="n"/>
      <c r="W1544" s="83" t="n"/>
      <c r="X1544" s="83" t="n"/>
      <c r="Y1544" s="83" t="n"/>
      <c r="Z1544" s="83" t="n"/>
      <c r="AA1544" s="83" t="n"/>
      <c r="AB1544" s="83" t="n"/>
      <c r="AC1544" s="83" t="n"/>
      <c r="AD1544" s="83" t="n"/>
      <c r="AE1544" s="83" t="n"/>
      <c r="AF1544" s="83" t="n"/>
      <c r="AG1544" s="83" t="n"/>
      <c r="AH1544" s="83" t="n"/>
      <c r="AI1544" s="83" t="n"/>
      <c r="AJ1544" s="83" t="n"/>
      <c r="AK1544" s="83" t="n"/>
      <c r="AL1544" s="83" t="n"/>
      <c r="AM1544" s="83" t="n"/>
      <c r="AN1544" s="83" t="n"/>
      <c r="AO1544" s="83" t="n"/>
      <c r="AP1544" s="83" t="n"/>
      <c r="AQ1544" s="83" t="n"/>
      <c r="AR1544" s="83" t="n"/>
    </row>
    <row r="1545">
      <c r="D1545" s="83" t="n"/>
      <c r="E1545" s="83" t="n"/>
      <c r="F1545" s="83" t="n"/>
      <c r="G1545" s="83" t="n"/>
      <c r="H1545" s="83" t="n"/>
      <c r="I1545" s="83" t="n"/>
      <c r="J1545" s="83" t="n"/>
      <c r="K1545" s="83" t="n"/>
      <c r="L1545" s="83" t="n"/>
      <c r="M1545" s="83" t="n"/>
      <c r="N1545" s="83" t="n"/>
      <c r="O1545" s="83" t="n"/>
      <c r="P1545" s="83" t="n"/>
      <c r="Q1545" s="83" t="n"/>
      <c r="R1545" s="83" t="n"/>
      <c r="S1545" s="83" t="n"/>
      <c r="T1545" s="83" t="n"/>
      <c r="U1545" s="83" t="n"/>
      <c r="V1545" s="83" t="n"/>
      <c r="W1545" s="83" t="n"/>
      <c r="X1545" s="83" t="n"/>
      <c r="Y1545" s="83" t="n"/>
      <c r="Z1545" s="83" t="n"/>
      <c r="AA1545" s="83" t="n"/>
      <c r="AB1545" s="83" t="n"/>
      <c r="AC1545" s="83" t="n"/>
      <c r="AD1545" s="83" t="n"/>
      <c r="AE1545" s="83" t="n"/>
      <c r="AF1545" s="83" t="n"/>
      <c r="AG1545" s="83" t="n"/>
      <c r="AH1545" s="83" t="n"/>
      <c r="AI1545" s="83" t="n"/>
      <c r="AJ1545" s="83" t="n"/>
      <c r="AK1545" s="83" t="n"/>
      <c r="AL1545" s="83" t="n"/>
      <c r="AM1545" s="83" t="n"/>
      <c r="AN1545" s="83" t="n"/>
      <c r="AO1545" s="83" t="n"/>
      <c r="AP1545" s="83" t="n"/>
      <c r="AQ1545" s="83" t="n"/>
      <c r="AR1545" s="83" t="n"/>
    </row>
    <row r="1546">
      <c r="D1546" s="84" t="n"/>
      <c r="E1546" s="84" t="n"/>
      <c r="F1546" s="84" t="n"/>
      <c r="G1546" s="84" t="n"/>
      <c r="H1546" s="84" t="n"/>
      <c r="I1546" s="84" t="n"/>
      <c r="J1546" s="84" t="n"/>
      <c r="K1546" s="84" t="n"/>
      <c r="L1546" s="84" t="n"/>
      <c r="M1546" s="84" t="n"/>
      <c r="N1546" s="84" t="n"/>
      <c r="O1546" s="84" t="n"/>
      <c r="P1546" s="84" t="n"/>
      <c r="Q1546" s="84" t="n"/>
      <c r="R1546" s="84" t="n"/>
      <c r="S1546" s="84" t="n"/>
      <c r="T1546" s="84" t="n"/>
      <c r="U1546" s="84" t="n"/>
      <c r="V1546" s="84" t="n"/>
      <c r="W1546" s="84" t="n"/>
      <c r="X1546" s="84" t="n"/>
      <c r="Y1546" s="84" t="n"/>
      <c r="Z1546" s="84" t="n"/>
      <c r="AA1546" s="84" t="n"/>
      <c r="AB1546" s="84" t="n"/>
      <c r="AC1546" s="84" t="n"/>
      <c r="AD1546" s="84" t="n"/>
      <c r="AE1546" s="84" t="n"/>
      <c r="AF1546" s="84" t="n"/>
      <c r="AG1546" s="84" t="n"/>
      <c r="AH1546" s="84" t="n"/>
      <c r="AI1546" s="84" t="n"/>
      <c r="AJ1546" s="84" t="n"/>
      <c r="AK1546" s="84" t="n"/>
      <c r="AL1546" s="84" t="n"/>
      <c r="AM1546" s="84" t="n"/>
      <c r="AN1546" s="84" t="n"/>
      <c r="AO1546" s="84" t="n"/>
      <c r="AP1546" s="84" t="n"/>
      <c r="AQ1546" s="84" t="n"/>
      <c r="AR1546" s="84" t="n"/>
    </row>
    <row r="1547">
      <c r="D1547" s="80" t="n"/>
      <c r="E1547" s="80" t="n"/>
      <c r="F1547" s="80" t="n"/>
      <c r="G1547" s="80" t="n"/>
      <c r="H1547" s="80" t="n"/>
      <c r="I1547" s="80" t="n"/>
      <c r="J1547" s="80" t="n"/>
      <c r="K1547" s="80" t="n"/>
      <c r="L1547" s="80" t="n"/>
      <c r="M1547" s="80" t="n"/>
      <c r="N1547" s="80" t="n"/>
      <c r="O1547" s="80" t="n"/>
      <c r="P1547" s="80" t="n"/>
      <c r="Q1547" s="80" t="n"/>
      <c r="R1547" s="80" t="n"/>
      <c r="S1547" s="80" t="n"/>
      <c r="T1547" s="80" t="n"/>
      <c r="U1547" s="80" t="n"/>
      <c r="V1547" s="80" t="n"/>
      <c r="W1547" s="80" t="n"/>
      <c r="X1547" s="80" t="n"/>
      <c r="Y1547" s="80" t="n"/>
      <c r="Z1547" s="80" t="n"/>
      <c r="AA1547" s="80" t="n"/>
      <c r="AB1547" s="80" t="n"/>
      <c r="AC1547" s="80" t="n"/>
      <c r="AD1547" s="80" t="n"/>
      <c r="AE1547" s="80" t="n"/>
      <c r="AF1547" s="80" t="n"/>
      <c r="AG1547" s="80" t="n"/>
      <c r="AH1547" s="80" t="n"/>
      <c r="AI1547" s="80" t="n"/>
      <c r="AJ1547" s="80" t="n"/>
      <c r="AK1547" s="80" t="n"/>
      <c r="AL1547" s="80" t="n"/>
      <c r="AM1547" s="80" t="n"/>
      <c r="AN1547" s="80" t="n"/>
      <c r="AO1547" s="80" t="n"/>
      <c r="AP1547" s="80" t="n"/>
      <c r="AQ1547" s="80" t="n"/>
      <c r="AR1547" s="80" t="n"/>
    </row>
    <row r="1548">
      <c r="D1548" s="80" t="n"/>
      <c r="E1548" s="80" t="n"/>
      <c r="F1548" s="80" t="n"/>
      <c r="G1548" s="80" t="n"/>
      <c r="H1548" s="80" t="n"/>
      <c r="I1548" s="80" t="n"/>
      <c r="J1548" s="80" t="n"/>
      <c r="K1548" s="80" t="n"/>
      <c r="L1548" s="80" t="n"/>
      <c r="M1548" s="80" t="n"/>
      <c r="N1548" s="80" t="n"/>
      <c r="O1548" s="80" t="n"/>
      <c r="P1548" s="80" t="n"/>
      <c r="Q1548" s="80" t="n"/>
      <c r="R1548" s="80" t="n"/>
      <c r="S1548" s="80" t="n"/>
      <c r="T1548" s="80" t="n"/>
      <c r="U1548" s="80" t="n"/>
      <c r="V1548" s="80" t="n"/>
      <c r="W1548" s="80" t="n"/>
      <c r="X1548" s="80" t="n"/>
      <c r="Y1548" s="80" t="n"/>
      <c r="Z1548" s="80" t="n"/>
      <c r="AA1548" s="80" t="n"/>
      <c r="AB1548" s="80" t="n"/>
      <c r="AC1548" s="80" t="n"/>
      <c r="AD1548" s="80" t="n"/>
      <c r="AE1548" s="80" t="n"/>
      <c r="AF1548" s="80" t="n"/>
      <c r="AG1548" s="80" t="n"/>
      <c r="AH1548" s="80" t="n"/>
      <c r="AI1548" s="80" t="n"/>
      <c r="AJ1548" s="80" t="n"/>
      <c r="AK1548" s="80" t="n"/>
      <c r="AL1548" s="80" t="n"/>
      <c r="AM1548" s="80" t="n"/>
      <c r="AN1548" s="80" t="n"/>
      <c r="AO1548" s="80" t="n"/>
      <c r="AP1548" s="80" t="n"/>
      <c r="AQ1548" s="80" t="n"/>
      <c r="AR1548" s="80" t="n"/>
    </row>
    <row r="1549">
      <c r="D1549" s="80" t="n"/>
      <c r="E1549" s="80" t="n"/>
      <c r="F1549" s="80" t="n"/>
      <c r="G1549" s="80" t="n"/>
      <c r="H1549" s="80" t="n"/>
      <c r="I1549" s="80" t="n"/>
      <c r="J1549" s="80" t="n"/>
      <c r="K1549" s="80" t="n"/>
      <c r="L1549" s="80" t="n"/>
      <c r="M1549" s="80" t="n"/>
      <c r="N1549" s="80" t="n"/>
      <c r="O1549" s="80" t="n"/>
      <c r="P1549" s="80" t="n"/>
      <c r="Q1549" s="80" t="n"/>
      <c r="R1549" s="80" t="n"/>
      <c r="S1549" s="80" t="n"/>
      <c r="T1549" s="80" t="n"/>
      <c r="U1549" s="80" t="n"/>
      <c r="V1549" s="80" t="n"/>
      <c r="W1549" s="80" t="n"/>
      <c r="X1549" s="80" t="n"/>
      <c r="Y1549" s="80" t="n"/>
      <c r="Z1549" s="80" t="n"/>
      <c r="AA1549" s="80" t="n"/>
      <c r="AB1549" s="80" t="n"/>
      <c r="AC1549" s="80" t="n"/>
      <c r="AD1549" s="80" t="n"/>
      <c r="AE1549" s="80" t="n"/>
      <c r="AF1549" s="80" t="n"/>
      <c r="AG1549" s="80" t="n"/>
      <c r="AH1549" s="80" t="n"/>
      <c r="AI1549" s="80" t="n"/>
      <c r="AJ1549" s="80" t="n"/>
      <c r="AK1549" s="80" t="n"/>
      <c r="AL1549" s="80" t="n"/>
      <c r="AM1549" s="80" t="n"/>
      <c r="AN1549" s="80" t="n"/>
      <c r="AO1549" s="80" t="n"/>
      <c r="AP1549" s="80" t="n"/>
      <c r="AQ1549" s="80" t="n"/>
      <c r="AR1549" s="80" t="n"/>
    </row>
    <row r="1550">
      <c r="D1550" s="80" t="n"/>
      <c r="E1550" s="80" t="n"/>
      <c r="F1550" s="80" t="n"/>
      <c r="G1550" s="80" t="n"/>
      <c r="H1550" s="80" t="n"/>
      <c r="I1550" s="80" t="n"/>
      <c r="J1550" s="80" t="n"/>
      <c r="K1550" s="80" t="n"/>
      <c r="L1550" s="80" t="n"/>
      <c r="M1550" s="80" t="n"/>
      <c r="N1550" s="80" t="n"/>
      <c r="O1550" s="80" t="n"/>
      <c r="P1550" s="80" t="n"/>
      <c r="Q1550" s="80" t="n"/>
      <c r="R1550" s="80" t="n"/>
      <c r="S1550" s="80" t="n"/>
      <c r="T1550" s="80" t="n"/>
      <c r="U1550" s="80" t="n"/>
      <c r="V1550" s="80" t="n"/>
      <c r="W1550" s="80" t="n"/>
      <c r="X1550" s="80" t="n"/>
      <c r="Y1550" s="80" t="n"/>
      <c r="Z1550" s="80" t="n"/>
      <c r="AA1550" s="80" t="n"/>
      <c r="AB1550" s="80" t="n"/>
      <c r="AC1550" s="80" t="n"/>
      <c r="AD1550" s="80" t="n"/>
      <c r="AE1550" s="80" t="n"/>
      <c r="AF1550" s="80" t="n"/>
      <c r="AG1550" s="80" t="n"/>
      <c r="AH1550" s="80" t="n"/>
      <c r="AI1550" s="80" t="n"/>
      <c r="AJ1550" s="80" t="n"/>
      <c r="AK1550" s="80" t="n"/>
      <c r="AL1550" s="80" t="n"/>
      <c r="AM1550" s="80" t="n"/>
      <c r="AN1550" s="80" t="n"/>
      <c r="AO1550" s="80" t="n"/>
      <c r="AP1550" s="80" t="n"/>
      <c r="AQ1550" s="80" t="n"/>
      <c r="AR1550" s="80" t="n"/>
    </row>
    <row r="1551">
      <c r="A1551" s="2">
        <f>IF($A1544="","","   projections")</f>
        <v/>
      </c>
      <c r="B1551" s="41">
        <f>IF($A1544="",0,COUNT($E1552:$AR1552))</f>
        <v/>
      </c>
      <c r="C1551" s="81">
        <f>IF($B1551=0,0,MAX($E1552:$AR1552))</f>
        <v/>
      </c>
      <c r="D1551" s="82">
        <f>BDS($A1544,'Field Check'!$C$6,"headers=y","startcol=1","endcol=7","dir=h")</f>
        <v/>
      </c>
      <c r="E1551" s="83" t="n"/>
      <c r="F1551" s="83" t="n"/>
      <c r="G1551" s="83" t="n"/>
      <c r="H1551" s="83" t="n"/>
      <c r="I1551" s="83" t="n"/>
      <c r="J1551" s="83" t="n"/>
      <c r="K1551" s="83" t="n"/>
      <c r="L1551" s="83" t="n"/>
      <c r="M1551" s="83" t="n"/>
      <c r="N1551" s="83" t="n"/>
      <c r="O1551" s="83" t="n"/>
      <c r="P1551" s="83" t="n"/>
      <c r="Q1551" s="83" t="n"/>
      <c r="R1551" s="83" t="n"/>
      <c r="S1551" s="83" t="n"/>
      <c r="T1551" s="83" t="n"/>
      <c r="U1551" s="83" t="n"/>
      <c r="V1551" s="83" t="n"/>
      <c r="W1551" s="83" t="n"/>
      <c r="X1551" s="83" t="n"/>
      <c r="Y1551" s="83" t="n"/>
      <c r="Z1551" s="83" t="n"/>
      <c r="AA1551" s="83" t="n"/>
      <c r="AB1551" s="83" t="n"/>
      <c r="AC1551" s="83" t="n"/>
      <c r="AD1551" s="83" t="n"/>
      <c r="AE1551" s="83" t="n"/>
      <c r="AF1551" s="83" t="n"/>
      <c r="AG1551" s="83" t="n"/>
      <c r="AH1551" s="83" t="n"/>
      <c r="AI1551" s="83" t="n"/>
      <c r="AJ1551" s="83" t="n"/>
      <c r="AK1551" s="83" t="n"/>
      <c r="AL1551" s="83" t="n"/>
      <c r="AM1551" s="83" t="n"/>
      <c r="AN1551" s="83" t="n"/>
      <c r="AO1551" s="83" t="n"/>
      <c r="AP1551" s="83" t="n"/>
      <c r="AQ1551" s="83" t="n"/>
      <c r="AR1551" s="83" t="n"/>
    </row>
    <row r="1552">
      <c r="D1552" s="83" t="n"/>
      <c r="E1552" s="83" t="n"/>
      <c r="F1552" s="83" t="n"/>
      <c r="G1552" s="83" t="n"/>
      <c r="H1552" s="83" t="n"/>
      <c r="I1552" s="83" t="n"/>
      <c r="J1552" s="83" t="n"/>
      <c r="K1552" s="83" t="n"/>
      <c r="L1552" s="83" t="n"/>
      <c r="M1552" s="83" t="n"/>
      <c r="N1552" s="83" t="n"/>
      <c r="O1552" s="83" t="n"/>
      <c r="P1552" s="83" t="n"/>
      <c r="Q1552" s="83" t="n"/>
      <c r="R1552" s="83" t="n"/>
      <c r="S1552" s="83" t="n"/>
      <c r="T1552" s="83" t="n"/>
      <c r="U1552" s="83" t="n"/>
      <c r="V1552" s="83" t="n"/>
      <c r="W1552" s="83" t="n"/>
      <c r="X1552" s="83" t="n"/>
      <c r="Y1552" s="83" t="n"/>
      <c r="Z1552" s="83" t="n"/>
      <c r="AA1552" s="83" t="n"/>
      <c r="AB1552" s="83" t="n"/>
      <c r="AC1552" s="83" t="n"/>
      <c r="AD1552" s="83" t="n"/>
      <c r="AE1552" s="83" t="n"/>
      <c r="AF1552" s="83" t="n"/>
      <c r="AG1552" s="83" t="n"/>
      <c r="AH1552" s="83" t="n"/>
      <c r="AI1552" s="83" t="n"/>
      <c r="AJ1552" s="83" t="n"/>
      <c r="AK1552" s="83" t="n"/>
      <c r="AL1552" s="83" t="n"/>
      <c r="AM1552" s="83" t="n"/>
      <c r="AN1552" s="83" t="n"/>
      <c r="AO1552" s="83" t="n"/>
      <c r="AP1552" s="83" t="n"/>
      <c r="AQ1552" s="83" t="n"/>
      <c r="AR1552" s="83" t="n"/>
    </row>
    <row r="1553">
      <c r="D1553" s="84" t="n"/>
      <c r="E1553" s="84" t="n"/>
      <c r="F1553" s="84" t="n"/>
      <c r="G1553" s="84" t="n"/>
      <c r="H1553" s="84" t="n"/>
      <c r="I1553" s="84" t="n"/>
      <c r="J1553" s="84" t="n"/>
      <c r="K1553" s="84" t="n"/>
      <c r="L1553" s="84" t="n"/>
      <c r="M1553" s="84" t="n"/>
      <c r="N1553" s="84" t="n"/>
      <c r="O1553" s="84" t="n"/>
      <c r="P1553" s="84" t="n"/>
      <c r="Q1553" s="84" t="n"/>
      <c r="R1553" s="84" t="n"/>
      <c r="S1553" s="84" t="n"/>
      <c r="T1553" s="84" t="n"/>
      <c r="U1553" s="84" t="n"/>
      <c r="V1553" s="84" t="n"/>
      <c r="W1553" s="84" t="n"/>
      <c r="X1553" s="84" t="n"/>
      <c r="Y1553" s="84" t="n"/>
      <c r="Z1553" s="84" t="n"/>
      <c r="AA1553" s="84" t="n"/>
      <c r="AB1553" s="84" t="n"/>
      <c r="AC1553" s="84" t="n"/>
      <c r="AD1553" s="84" t="n"/>
      <c r="AE1553" s="84" t="n"/>
      <c r="AF1553" s="84" t="n"/>
      <c r="AG1553" s="84" t="n"/>
      <c r="AH1553" s="84" t="n"/>
      <c r="AI1553" s="84" t="n"/>
      <c r="AJ1553" s="84" t="n"/>
      <c r="AK1553" s="84" t="n"/>
      <c r="AL1553" s="84" t="n"/>
      <c r="AM1553" s="84" t="n"/>
      <c r="AN1553" s="84" t="n"/>
      <c r="AO1553" s="84" t="n"/>
      <c r="AP1553" s="84" t="n"/>
      <c r="AQ1553" s="84" t="n"/>
      <c r="AR1553" s="84" t="n"/>
    </row>
    <row r="1554">
      <c r="D1554" s="80" t="n"/>
      <c r="E1554" s="80" t="n"/>
      <c r="F1554" s="80" t="n"/>
      <c r="G1554" s="80" t="n"/>
      <c r="H1554" s="80" t="n"/>
      <c r="I1554" s="80" t="n"/>
      <c r="J1554" s="80" t="n"/>
      <c r="K1554" s="80" t="n"/>
      <c r="L1554" s="80" t="n"/>
      <c r="M1554" s="80" t="n"/>
      <c r="N1554" s="80" t="n"/>
      <c r="O1554" s="80" t="n"/>
      <c r="P1554" s="80" t="n"/>
      <c r="Q1554" s="80" t="n"/>
      <c r="R1554" s="80" t="n"/>
      <c r="S1554" s="80" t="n"/>
      <c r="T1554" s="80" t="n"/>
      <c r="U1554" s="80" t="n"/>
      <c r="V1554" s="80" t="n"/>
      <c r="W1554" s="80" t="n"/>
      <c r="X1554" s="80" t="n"/>
      <c r="Y1554" s="80" t="n"/>
      <c r="Z1554" s="80" t="n"/>
      <c r="AA1554" s="80" t="n"/>
      <c r="AB1554" s="80" t="n"/>
      <c r="AC1554" s="80" t="n"/>
      <c r="AD1554" s="80" t="n"/>
      <c r="AE1554" s="80" t="n"/>
      <c r="AF1554" s="80" t="n"/>
      <c r="AG1554" s="80" t="n"/>
      <c r="AH1554" s="80" t="n"/>
      <c r="AI1554" s="80" t="n"/>
      <c r="AJ1554" s="80" t="n"/>
      <c r="AK1554" s="80" t="n"/>
      <c r="AL1554" s="80" t="n"/>
      <c r="AM1554" s="80" t="n"/>
      <c r="AN1554" s="80" t="n"/>
      <c r="AO1554" s="80" t="n"/>
      <c r="AP1554" s="80" t="n"/>
      <c r="AQ1554" s="80" t="n"/>
      <c r="AR1554" s="80" t="n"/>
    </row>
    <row r="1555">
      <c r="D1555" s="80" t="n"/>
      <c r="E1555" s="80" t="n"/>
      <c r="F1555" s="80" t="n"/>
      <c r="G1555" s="80" t="n"/>
      <c r="H1555" s="80" t="n"/>
      <c r="I1555" s="80" t="n"/>
      <c r="J1555" s="80" t="n"/>
      <c r="K1555" s="80" t="n"/>
      <c r="L1555" s="80" t="n"/>
      <c r="M1555" s="80" t="n"/>
      <c r="N1555" s="80" t="n"/>
      <c r="O1555" s="80" t="n"/>
      <c r="P1555" s="80" t="n"/>
      <c r="Q1555" s="80" t="n"/>
      <c r="R1555" s="80" t="n"/>
      <c r="S1555" s="80" t="n"/>
      <c r="T1555" s="80" t="n"/>
      <c r="U1555" s="80" t="n"/>
      <c r="V1555" s="80" t="n"/>
      <c r="W1555" s="80" t="n"/>
      <c r="X1555" s="80" t="n"/>
      <c r="Y1555" s="80" t="n"/>
      <c r="Z1555" s="80" t="n"/>
      <c r="AA1555" s="80" t="n"/>
      <c r="AB1555" s="80" t="n"/>
      <c r="AC1555" s="80" t="n"/>
      <c r="AD1555" s="80" t="n"/>
      <c r="AE1555" s="80" t="n"/>
      <c r="AF1555" s="80" t="n"/>
      <c r="AG1555" s="80" t="n"/>
      <c r="AH1555" s="80" t="n"/>
      <c r="AI1555" s="80" t="n"/>
      <c r="AJ1555" s="80" t="n"/>
      <c r="AK1555" s="80" t="n"/>
      <c r="AL1555" s="80" t="n"/>
      <c r="AM1555" s="80" t="n"/>
      <c r="AN1555" s="80" t="n"/>
      <c r="AO1555" s="80" t="n"/>
      <c r="AP1555" s="80" t="n"/>
      <c r="AQ1555" s="80" t="n"/>
      <c r="AR1555" s="80" t="n"/>
    </row>
    <row r="1556">
      <c r="D1556" s="80" t="n"/>
      <c r="E1556" s="80" t="n"/>
      <c r="F1556" s="80" t="n"/>
      <c r="G1556" s="80" t="n"/>
      <c r="H1556" s="80" t="n"/>
      <c r="I1556" s="80" t="n"/>
      <c r="J1556" s="80" t="n"/>
      <c r="K1556" s="80" t="n"/>
      <c r="L1556" s="80" t="n"/>
      <c r="M1556" s="80" t="n"/>
      <c r="N1556" s="80" t="n"/>
      <c r="O1556" s="80" t="n"/>
      <c r="P1556" s="80" t="n"/>
      <c r="Q1556" s="80" t="n"/>
      <c r="R1556" s="80" t="n"/>
      <c r="S1556" s="80" t="n"/>
      <c r="T1556" s="80" t="n"/>
      <c r="U1556" s="80" t="n"/>
      <c r="V1556" s="80" t="n"/>
      <c r="W1556" s="80" t="n"/>
      <c r="X1556" s="80" t="n"/>
      <c r="Y1556" s="80" t="n"/>
      <c r="Z1556" s="80" t="n"/>
      <c r="AA1556" s="80" t="n"/>
      <c r="AB1556" s="80" t="n"/>
      <c r="AC1556" s="80" t="n"/>
      <c r="AD1556" s="80" t="n"/>
      <c r="AE1556" s="80" t="n"/>
      <c r="AF1556" s="80" t="n"/>
      <c r="AG1556" s="80" t="n"/>
      <c r="AH1556" s="80" t="n"/>
      <c r="AI1556" s="80" t="n"/>
      <c r="AJ1556" s="80" t="n"/>
      <c r="AK1556" s="80" t="n"/>
      <c r="AL1556" s="80" t="n"/>
      <c r="AM1556" s="80" t="n"/>
      <c r="AN1556" s="80" t="n"/>
      <c r="AO1556" s="80" t="n"/>
      <c r="AP1556" s="80" t="n"/>
      <c r="AQ1556" s="80" t="n"/>
      <c r="AR1556" s="80" t="n"/>
    </row>
    <row r="1557">
      <c r="D1557" s="80" t="n"/>
      <c r="E1557" s="80" t="n"/>
      <c r="F1557" s="80" t="n"/>
      <c r="G1557" s="80" t="n"/>
      <c r="H1557" s="80" t="n"/>
      <c r="I1557" s="80" t="n"/>
      <c r="J1557" s="80" t="n"/>
      <c r="K1557" s="80" t="n"/>
      <c r="L1557" s="80" t="n"/>
      <c r="M1557" s="80" t="n"/>
      <c r="N1557" s="80" t="n"/>
      <c r="O1557" s="80" t="n"/>
      <c r="P1557" s="80" t="n"/>
      <c r="Q1557" s="80" t="n"/>
      <c r="R1557" s="80" t="n"/>
      <c r="S1557" s="80" t="n"/>
      <c r="T1557" s="80" t="n"/>
      <c r="U1557" s="80" t="n"/>
      <c r="V1557" s="80" t="n"/>
      <c r="W1557" s="80" t="n"/>
      <c r="X1557" s="80" t="n"/>
      <c r="Y1557" s="80" t="n"/>
      <c r="Z1557" s="80" t="n"/>
      <c r="AA1557" s="80" t="n"/>
      <c r="AB1557" s="80" t="n"/>
      <c r="AC1557" s="80" t="n"/>
      <c r="AD1557" s="80" t="n"/>
      <c r="AE1557" s="80" t="n"/>
      <c r="AF1557" s="80" t="n"/>
      <c r="AG1557" s="80" t="n"/>
      <c r="AH1557" s="80" t="n"/>
      <c r="AI1557" s="80" t="n"/>
      <c r="AJ1557" s="80" t="n"/>
      <c r="AK1557" s="80" t="n"/>
      <c r="AL1557" s="80" t="n"/>
      <c r="AM1557" s="80" t="n"/>
      <c r="AN1557" s="80" t="n"/>
      <c r="AO1557" s="80" t="n"/>
      <c r="AP1557" s="80" t="n"/>
      <c r="AQ1557" s="80" t="n"/>
      <c r="AR1557" s="80" t="n"/>
    </row>
    <row r="1559">
      <c r="A1559" s="6">
        <f>IF(HSTECH!$C$10="","",HSTECH!$C$10)</f>
        <v/>
      </c>
      <c r="B1559" s="41">
        <f>IF($A1559="",0,COUNT($E1560:$AR1560))</f>
        <v/>
      </c>
      <c r="C1559" s="81">
        <f>IF($B1559=0,0,MAX($E1560:$AR1560))</f>
        <v/>
      </c>
      <c r="D1559" s="82">
        <f>BDS($A1559,'Field Check'!$C$7,"headers=y","startcol=1","endcol=7","dir=h","DVD_START_DT",Summary!$C$18,"DVD_END_DT",Summary!$D$18)</f>
        <v/>
      </c>
      <c r="E1559" s="83" t="n"/>
      <c r="F1559" s="83" t="n"/>
      <c r="G1559" s="83" t="n"/>
      <c r="H1559" s="83" t="n"/>
      <c r="I1559" s="83" t="n"/>
      <c r="J1559" s="83" t="n"/>
      <c r="K1559" s="83" t="n"/>
      <c r="L1559" s="83" t="n"/>
      <c r="M1559" s="83" t="n"/>
      <c r="N1559" s="83" t="n"/>
      <c r="O1559" s="83" t="n"/>
      <c r="P1559" s="83" t="n"/>
      <c r="Q1559" s="83" t="n"/>
      <c r="R1559" s="83" t="n"/>
      <c r="S1559" s="83" t="n"/>
      <c r="T1559" s="83" t="n"/>
      <c r="U1559" s="83" t="n"/>
      <c r="V1559" s="83" t="n"/>
      <c r="W1559" s="83" t="n"/>
      <c r="X1559" s="83" t="n"/>
      <c r="Y1559" s="83" t="n"/>
      <c r="Z1559" s="83" t="n"/>
      <c r="AA1559" s="83" t="n"/>
      <c r="AB1559" s="83" t="n"/>
      <c r="AC1559" s="83" t="n"/>
      <c r="AD1559" s="83" t="n"/>
      <c r="AE1559" s="83" t="n"/>
      <c r="AF1559" s="83" t="n"/>
      <c r="AG1559" s="83" t="n"/>
      <c r="AH1559" s="83" t="n"/>
      <c r="AI1559" s="83" t="n"/>
      <c r="AJ1559" s="83" t="n"/>
      <c r="AK1559" s="83" t="n"/>
      <c r="AL1559" s="83" t="n"/>
      <c r="AM1559" s="83" t="n"/>
      <c r="AN1559" s="83" t="n"/>
      <c r="AO1559" s="83" t="n"/>
      <c r="AP1559" s="83" t="n"/>
      <c r="AQ1559" s="83" t="n"/>
      <c r="AR1559" s="83" t="n"/>
    </row>
    <row r="1560">
      <c r="D1560" s="83" t="n"/>
      <c r="E1560" s="83" t="n"/>
      <c r="F1560" s="83" t="n"/>
      <c r="G1560" s="83" t="n"/>
      <c r="H1560" s="83" t="n"/>
      <c r="I1560" s="83" t="n"/>
      <c r="J1560" s="83" t="n"/>
      <c r="K1560" s="83" t="n"/>
      <c r="L1560" s="83" t="n"/>
      <c r="M1560" s="83" t="n"/>
      <c r="N1560" s="83" t="n"/>
      <c r="O1560" s="83" t="n"/>
      <c r="P1560" s="83" t="n"/>
      <c r="Q1560" s="83" t="n"/>
      <c r="R1560" s="83" t="n"/>
      <c r="S1560" s="83" t="n"/>
      <c r="T1560" s="83" t="n"/>
      <c r="U1560" s="83" t="n"/>
      <c r="V1560" s="83" t="n"/>
      <c r="W1560" s="83" t="n"/>
      <c r="X1560" s="83" t="n"/>
      <c r="Y1560" s="83" t="n"/>
      <c r="Z1560" s="83" t="n"/>
      <c r="AA1560" s="83" t="n"/>
      <c r="AB1560" s="83" t="n"/>
      <c r="AC1560" s="83" t="n"/>
      <c r="AD1560" s="83" t="n"/>
      <c r="AE1560" s="83" t="n"/>
      <c r="AF1560" s="83" t="n"/>
      <c r="AG1560" s="83" t="n"/>
      <c r="AH1560" s="83" t="n"/>
      <c r="AI1560" s="83" t="n"/>
      <c r="AJ1560" s="83" t="n"/>
      <c r="AK1560" s="83" t="n"/>
      <c r="AL1560" s="83" t="n"/>
      <c r="AM1560" s="83" t="n"/>
      <c r="AN1560" s="83" t="n"/>
      <c r="AO1560" s="83" t="n"/>
      <c r="AP1560" s="83" t="n"/>
      <c r="AQ1560" s="83" t="n"/>
      <c r="AR1560" s="83" t="n"/>
    </row>
    <row r="1561">
      <c r="D1561" s="84" t="n"/>
      <c r="E1561" s="84" t="n"/>
      <c r="F1561" s="84" t="n"/>
      <c r="G1561" s="84" t="n"/>
      <c r="H1561" s="84" t="n"/>
      <c r="I1561" s="84" t="n"/>
      <c r="J1561" s="84" t="n"/>
      <c r="K1561" s="84" t="n"/>
      <c r="L1561" s="84" t="n"/>
      <c r="M1561" s="84" t="n"/>
      <c r="N1561" s="84" t="n"/>
      <c r="O1561" s="84" t="n"/>
      <c r="P1561" s="84" t="n"/>
      <c r="Q1561" s="84" t="n"/>
      <c r="R1561" s="84" t="n"/>
      <c r="S1561" s="84" t="n"/>
      <c r="T1561" s="84" t="n"/>
      <c r="U1561" s="84" t="n"/>
      <c r="V1561" s="84" t="n"/>
      <c r="W1561" s="84" t="n"/>
      <c r="X1561" s="84" t="n"/>
      <c r="Y1561" s="84" t="n"/>
      <c r="Z1561" s="84" t="n"/>
      <c r="AA1561" s="84" t="n"/>
      <c r="AB1561" s="84" t="n"/>
      <c r="AC1561" s="84" t="n"/>
      <c r="AD1561" s="84" t="n"/>
      <c r="AE1561" s="84" t="n"/>
      <c r="AF1561" s="84" t="n"/>
      <c r="AG1561" s="84" t="n"/>
      <c r="AH1561" s="84" t="n"/>
      <c r="AI1561" s="84" t="n"/>
      <c r="AJ1561" s="84" t="n"/>
      <c r="AK1561" s="84" t="n"/>
      <c r="AL1561" s="84" t="n"/>
      <c r="AM1561" s="84" t="n"/>
      <c r="AN1561" s="84" t="n"/>
      <c r="AO1561" s="84" t="n"/>
      <c r="AP1561" s="84" t="n"/>
      <c r="AQ1561" s="84" t="n"/>
      <c r="AR1561" s="84" t="n"/>
    </row>
    <row r="1562">
      <c r="D1562" s="80" t="n"/>
      <c r="E1562" s="80" t="n"/>
      <c r="F1562" s="80" t="n"/>
      <c r="G1562" s="80" t="n"/>
      <c r="H1562" s="80" t="n"/>
      <c r="I1562" s="80" t="n"/>
      <c r="J1562" s="80" t="n"/>
      <c r="K1562" s="80" t="n"/>
      <c r="L1562" s="80" t="n"/>
      <c r="M1562" s="80" t="n"/>
      <c r="N1562" s="80" t="n"/>
      <c r="O1562" s="80" t="n"/>
      <c r="P1562" s="80" t="n"/>
      <c r="Q1562" s="80" t="n"/>
      <c r="R1562" s="80" t="n"/>
      <c r="S1562" s="80" t="n"/>
      <c r="T1562" s="80" t="n"/>
      <c r="U1562" s="80" t="n"/>
      <c r="V1562" s="80" t="n"/>
      <c r="W1562" s="80" t="n"/>
      <c r="X1562" s="80" t="n"/>
      <c r="Y1562" s="80" t="n"/>
      <c r="Z1562" s="80" t="n"/>
      <c r="AA1562" s="80" t="n"/>
      <c r="AB1562" s="80" t="n"/>
      <c r="AC1562" s="80" t="n"/>
      <c r="AD1562" s="80" t="n"/>
      <c r="AE1562" s="80" t="n"/>
      <c r="AF1562" s="80" t="n"/>
      <c r="AG1562" s="80" t="n"/>
      <c r="AH1562" s="80" t="n"/>
      <c r="AI1562" s="80" t="n"/>
      <c r="AJ1562" s="80" t="n"/>
      <c r="AK1562" s="80" t="n"/>
      <c r="AL1562" s="80" t="n"/>
      <c r="AM1562" s="80" t="n"/>
      <c r="AN1562" s="80" t="n"/>
      <c r="AO1562" s="80" t="n"/>
      <c r="AP1562" s="80" t="n"/>
      <c r="AQ1562" s="80" t="n"/>
      <c r="AR1562" s="80" t="n"/>
    </row>
    <row r="1563">
      <c r="D1563" s="80" t="n"/>
      <c r="E1563" s="80" t="n"/>
      <c r="F1563" s="80" t="n"/>
      <c r="G1563" s="80" t="n"/>
      <c r="H1563" s="80" t="n"/>
      <c r="I1563" s="80" t="n"/>
      <c r="J1563" s="80" t="n"/>
      <c r="K1563" s="80" t="n"/>
      <c r="L1563" s="80" t="n"/>
      <c r="M1563" s="80" t="n"/>
      <c r="N1563" s="80" t="n"/>
      <c r="O1563" s="80" t="n"/>
      <c r="P1563" s="80" t="n"/>
      <c r="Q1563" s="80" t="n"/>
      <c r="R1563" s="80" t="n"/>
      <c r="S1563" s="80" t="n"/>
      <c r="T1563" s="80" t="n"/>
      <c r="U1563" s="80" t="n"/>
      <c r="V1563" s="80" t="n"/>
      <c r="W1563" s="80" t="n"/>
      <c r="X1563" s="80" t="n"/>
      <c r="Y1563" s="80" t="n"/>
      <c r="Z1563" s="80" t="n"/>
      <c r="AA1563" s="80" t="n"/>
      <c r="AB1563" s="80" t="n"/>
      <c r="AC1563" s="80" t="n"/>
      <c r="AD1563" s="80" t="n"/>
      <c r="AE1563" s="80" t="n"/>
      <c r="AF1563" s="80" t="n"/>
      <c r="AG1563" s="80" t="n"/>
      <c r="AH1563" s="80" t="n"/>
      <c r="AI1563" s="80" t="n"/>
      <c r="AJ1563" s="80" t="n"/>
      <c r="AK1563" s="80" t="n"/>
      <c r="AL1563" s="80" t="n"/>
      <c r="AM1563" s="80" t="n"/>
      <c r="AN1563" s="80" t="n"/>
      <c r="AO1563" s="80" t="n"/>
      <c r="AP1563" s="80" t="n"/>
      <c r="AQ1563" s="80" t="n"/>
      <c r="AR1563" s="80" t="n"/>
    </row>
    <row r="1564">
      <c r="D1564" s="80" t="n"/>
      <c r="E1564" s="80" t="n"/>
      <c r="F1564" s="80" t="n"/>
      <c r="G1564" s="80" t="n"/>
      <c r="H1564" s="80" t="n"/>
      <c r="I1564" s="80" t="n"/>
      <c r="J1564" s="80" t="n"/>
      <c r="K1564" s="80" t="n"/>
      <c r="L1564" s="80" t="n"/>
      <c r="M1564" s="80" t="n"/>
      <c r="N1564" s="80" t="n"/>
      <c r="O1564" s="80" t="n"/>
      <c r="P1564" s="80" t="n"/>
      <c r="Q1564" s="80" t="n"/>
      <c r="R1564" s="80" t="n"/>
      <c r="S1564" s="80" t="n"/>
      <c r="T1564" s="80" t="n"/>
      <c r="U1564" s="80" t="n"/>
      <c r="V1564" s="80" t="n"/>
      <c r="W1564" s="80" t="n"/>
      <c r="X1564" s="80" t="n"/>
      <c r="Y1564" s="80" t="n"/>
      <c r="Z1564" s="80" t="n"/>
      <c r="AA1564" s="80" t="n"/>
      <c r="AB1564" s="80" t="n"/>
      <c r="AC1564" s="80" t="n"/>
      <c r="AD1564" s="80" t="n"/>
      <c r="AE1564" s="80" t="n"/>
      <c r="AF1564" s="80" t="n"/>
      <c r="AG1564" s="80" t="n"/>
      <c r="AH1564" s="80" t="n"/>
      <c r="AI1564" s="80" t="n"/>
      <c r="AJ1564" s="80" t="n"/>
      <c r="AK1564" s="80" t="n"/>
      <c r="AL1564" s="80" t="n"/>
      <c r="AM1564" s="80" t="n"/>
      <c r="AN1564" s="80" t="n"/>
      <c r="AO1564" s="80" t="n"/>
      <c r="AP1564" s="80" t="n"/>
      <c r="AQ1564" s="80" t="n"/>
      <c r="AR1564" s="80" t="n"/>
    </row>
    <row r="1565">
      <c r="D1565" s="80" t="n"/>
      <c r="E1565" s="80" t="n"/>
      <c r="F1565" s="80" t="n"/>
      <c r="G1565" s="80" t="n"/>
      <c r="H1565" s="80" t="n"/>
      <c r="I1565" s="80" t="n"/>
      <c r="J1565" s="80" t="n"/>
      <c r="K1565" s="80" t="n"/>
      <c r="L1565" s="80" t="n"/>
      <c r="M1565" s="80" t="n"/>
      <c r="N1565" s="80" t="n"/>
      <c r="O1565" s="80" t="n"/>
      <c r="P1565" s="80" t="n"/>
      <c r="Q1565" s="80" t="n"/>
      <c r="R1565" s="80" t="n"/>
      <c r="S1565" s="80" t="n"/>
      <c r="T1565" s="80" t="n"/>
      <c r="U1565" s="80" t="n"/>
      <c r="V1565" s="80" t="n"/>
      <c r="W1565" s="80" t="n"/>
      <c r="X1565" s="80" t="n"/>
      <c r="Y1565" s="80" t="n"/>
      <c r="Z1565" s="80" t="n"/>
      <c r="AA1565" s="80" t="n"/>
      <c r="AB1565" s="80" t="n"/>
      <c r="AC1565" s="80" t="n"/>
      <c r="AD1565" s="80" t="n"/>
      <c r="AE1565" s="80" t="n"/>
      <c r="AF1565" s="80" t="n"/>
      <c r="AG1565" s="80" t="n"/>
      <c r="AH1565" s="80" t="n"/>
      <c r="AI1565" s="80" t="n"/>
      <c r="AJ1565" s="80" t="n"/>
      <c r="AK1565" s="80" t="n"/>
      <c r="AL1565" s="80" t="n"/>
      <c r="AM1565" s="80" t="n"/>
      <c r="AN1565" s="80" t="n"/>
      <c r="AO1565" s="80" t="n"/>
      <c r="AP1565" s="80" t="n"/>
      <c r="AQ1565" s="80" t="n"/>
      <c r="AR1565" s="80" t="n"/>
    </row>
    <row r="1566">
      <c r="A1566" s="2">
        <f>IF($A1559="","","   projections")</f>
        <v/>
      </c>
      <c r="B1566" s="41">
        <f>IF($A1559="",0,COUNT($E1567:$AR1567))</f>
        <v/>
      </c>
      <c r="C1566" s="81">
        <f>IF($B1566=0,0,MAX($E1567:$AR1567))</f>
        <v/>
      </c>
      <c r="D1566" s="82">
        <f>BDS($A1559,'Field Check'!$C$6,"headers=y","startcol=1","endcol=7","dir=h")</f>
        <v/>
      </c>
      <c r="E1566" s="83" t="n"/>
      <c r="F1566" s="83" t="n"/>
      <c r="G1566" s="83" t="n"/>
      <c r="H1566" s="83" t="n"/>
      <c r="I1566" s="83" t="n"/>
      <c r="J1566" s="83" t="n"/>
      <c r="K1566" s="83" t="n"/>
      <c r="L1566" s="83" t="n"/>
      <c r="M1566" s="83" t="n"/>
      <c r="N1566" s="83" t="n"/>
      <c r="O1566" s="83" t="n"/>
      <c r="P1566" s="83" t="n"/>
      <c r="Q1566" s="83" t="n"/>
      <c r="R1566" s="83" t="n"/>
      <c r="S1566" s="83" t="n"/>
      <c r="T1566" s="83" t="n"/>
      <c r="U1566" s="83" t="n"/>
      <c r="V1566" s="83" t="n"/>
      <c r="W1566" s="83" t="n"/>
      <c r="X1566" s="83" t="n"/>
      <c r="Y1566" s="83" t="n"/>
      <c r="Z1566" s="83" t="n"/>
      <c r="AA1566" s="83" t="n"/>
      <c r="AB1566" s="83" t="n"/>
      <c r="AC1566" s="83" t="n"/>
      <c r="AD1566" s="83" t="n"/>
      <c r="AE1566" s="83" t="n"/>
      <c r="AF1566" s="83" t="n"/>
      <c r="AG1566" s="83" t="n"/>
      <c r="AH1566" s="83" t="n"/>
      <c r="AI1566" s="83" t="n"/>
      <c r="AJ1566" s="83" t="n"/>
      <c r="AK1566" s="83" t="n"/>
      <c r="AL1566" s="83" t="n"/>
      <c r="AM1566" s="83" t="n"/>
      <c r="AN1566" s="83" t="n"/>
      <c r="AO1566" s="83" t="n"/>
      <c r="AP1566" s="83" t="n"/>
      <c r="AQ1566" s="83" t="n"/>
      <c r="AR1566" s="83" t="n"/>
    </row>
    <row r="1567">
      <c r="D1567" s="83" t="n"/>
      <c r="E1567" s="83" t="n"/>
      <c r="F1567" s="83" t="n"/>
      <c r="G1567" s="83" t="n"/>
      <c r="H1567" s="83" t="n"/>
      <c r="I1567" s="83" t="n"/>
      <c r="J1567" s="83" t="n"/>
      <c r="K1567" s="83" t="n"/>
      <c r="L1567" s="83" t="n"/>
      <c r="M1567" s="83" t="n"/>
      <c r="N1567" s="83" t="n"/>
      <c r="O1567" s="83" t="n"/>
      <c r="P1567" s="83" t="n"/>
      <c r="Q1567" s="83" t="n"/>
      <c r="R1567" s="83" t="n"/>
      <c r="S1567" s="83" t="n"/>
      <c r="T1567" s="83" t="n"/>
      <c r="U1567" s="83" t="n"/>
      <c r="V1567" s="83" t="n"/>
      <c r="W1567" s="83" t="n"/>
      <c r="X1567" s="83" t="n"/>
      <c r="Y1567" s="83" t="n"/>
      <c r="Z1567" s="83" t="n"/>
      <c r="AA1567" s="83" t="n"/>
      <c r="AB1567" s="83" t="n"/>
      <c r="AC1567" s="83" t="n"/>
      <c r="AD1567" s="83" t="n"/>
      <c r="AE1567" s="83" t="n"/>
      <c r="AF1567" s="83" t="n"/>
      <c r="AG1567" s="83" t="n"/>
      <c r="AH1567" s="83" t="n"/>
      <c r="AI1567" s="83" t="n"/>
      <c r="AJ1567" s="83" t="n"/>
      <c r="AK1567" s="83" t="n"/>
      <c r="AL1567" s="83" t="n"/>
      <c r="AM1567" s="83" t="n"/>
      <c r="AN1567" s="83" t="n"/>
      <c r="AO1567" s="83" t="n"/>
      <c r="AP1567" s="83" t="n"/>
      <c r="AQ1567" s="83" t="n"/>
      <c r="AR1567" s="83" t="n"/>
    </row>
    <row r="1568">
      <c r="D1568" s="84" t="n"/>
      <c r="E1568" s="84" t="n"/>
      <c r="F1568" s="84" t="n"/>
      <c r="G1568" s="84" t="n"/>
      <c r="H1568" s="84" t="n"/>
      <c r="I1568" s="84" t="n"/>
      <c r="J1568" s="84" t="n"/>
      <c r="K1568" s="84" t="n"/>
      <c r="L1568" s="84" t="n"/>
      <c r="M1568" s="84" t="n"/>
      <c r="N1568" s="84" t="n"/>
      <c r="O1568" s="84" t="n"/>
      <c r="P1568" s="84" t="n"/>
      <c r="Q1568" s="84" t="n"/>
      <c r="R1568" s="84" t="n"/>
      <c r="S1568" s="84" t="n"/>
      <c r="T1568" s="84" t="n"/>
      <c r="U1568" s="84" t="n"/>
      <c r="V1568" s="84" t="n"/>
      <c r="W1568" s="84" t="n"/>
      <c r="X1568" s="84" t="n"/>
      <c r="Y1568" s="84" t="n"/>
      <c r="Z1568" s="84" t="n"/>
      <c r="AA1568" s="84" t="n"/>
      <c r="AB1568" s="84" t="n"/>
      <c r="AC1568" s="84" t="n"/>
      <c r="AD1568" s="84" t="n"/>
      <c r="AE1568" s="84" t="n"/>
      <c r="AF1568" s="84" t="n"/>
      <c r="AG1568" s="84" t="n"/>
      <c r="AH1568" s="84" t="n"/>
      <c r="AI1568" s="84" t="n"/>
      <c r="AJ1568" s="84" t="n"/>
      <c r="AK1568" s="84" t="n"/>
      <c r="AL1568" s="84" t="n"/>
      <c r="AM1568" s="84" t="n"/>
      <c r="AN1568" s="84" t="n"/>
      <c r="AO1568" s="84" t="n"/>
      <c r="AP1568" s="84" t="n"/>
      <c r="AQ1568" s="84" t="n"/>
      <c r="AR1568" s="84" t="n"/>
    </row>
    <row r="1569">
      <c r="D1569" s="80" t="n"/>
      <c r="E1569" s="80" t="n"/>
      <c r="F1569" s="80" t="n"/>
      <c r="G1569" s="80" t="n"/>
      <c r="H1569" s="80" t="n"/>
      <c r="I1569" s="80" t="n"/>
      <c r="J1569" s="80" t="n"/>
      <c r="K1569" s="80" t="n"/>
      <c r="L1569" s="80" t="n"/>
      <c r="M1569" s="80" t="n"/>
      <c r="N1569" s="80" t="n"/>
      <c r="O1569" s="80" t="n"/>
      <c r="P1569" s="80" t="n"/>
      <c r="Q1569" s="80" t="n"/>
      <c r="R1569" s="80" t="n"/>
      <c r="S1569" s="80" t="n"/>
      <c r="T1569" s="80" t="n"/>
      <c r="U1569" s="80" t="n"/>
      <c r="V1569" s="80" t="n"/>
      <c r="W1569" s="80" t="n"/>
      <c r="X1569" s="80" t="n"/>
      <c r="Y1569" s="80" t="n"/>
      <c r="Z1569" s="80" t="n"/>
      <c r="AA1569" s="80" t="n"/>
      <c r="AB1569" s="80" t="n"/>
      <c r="AC1569" s="80" t="n"/>
      <c r="AD1569" s="80" t="n"/>
      <c r="AE1569" s="80" t="n"/>
      <c r="AF1569" s="80" t="n"/>
      <c r="AG1569" s="80" t="n"/>
      <c r="AH1569" s="80" t="n"/>
      <c r="AI1569" s="80" t="n"/>
      <c r="AJ1569" s="80" t="n"/>
      <c r="AK1569" s="80" t="n"/>
      <c r="AL1569" s="80" t="n"/>
      <c r="AM1569" s="80" t="n"/>
      <c r="AN1569" s="80" t="n"/>
      <c r="AO1569" s="80" t="n"/>
      <c r="AP1569" s="80" t="n"/>
      <c r="AQ1569" s="80" t="n"/>
      <c r="AR1569" s="80" t="n"/>
    </row>
    <row r="1570">
      <c r="D1570" s="80" t="n"/>
      <c r="E1570" s="80" t="n"/>
      <c r="F1570" s="80" t="n"/>
      <c r="G1570" s="80" t="n"/>
      <c r="H1570" s="80" t="n"/>
      <c r="I1570" s="80" t="n"/>
      <c r="J1570" s="80" t="n"/>
      <c r="K1570" s="80" t="n"/>
      <c r="L1570" s="80" t="n"/>
      <c r="M1570" s="80" t="n"/>
      <c r="N1570" s="80" t="n"/>
      <c r="O1570" s="80" t="n"/>
      <c r="P1570" s="80" t="n"/>
      <c r="Q1570" s="80" t="n"/>
      <c r="R1570" s="80" t="n"/>
      <c r="S1570" s="80" t="n"/>
      <c r="T1570" s="80" t="n"/>
      <c r="U1570" s="80" t="n"/>
      <c r="V1570" s="80" t="n"/>
      <c r="W1570" s="80" t="n"/>
      <c r="X1570" s="80" t="n"/>
      <c r="Y1570" s="80" t="n"/>
      <c r="Z1570" s="80" t="n"/>
      <c r="AA1570" s="80" t="n"/>
      <c r="AB1570" s="80" t="n"/>
      <c r="AC1570" s="80" t="n"/>
      <c r="AD1570" s="80" t="n"/>
      <c r="AE1570" s="80" t="n"/>
      <c r="AF1570" s="80" t="n"/>
      <c r="AG1570" s="80" t="n"/>
      <c r="AH1570" s="80" t="n"/>
      <c r="AI1570" s="80" t="n"/>
      <c r="AJ1570" s="80" t="n"/>
      <c r="AK1570" s="80" t="n"/>
      <c r="AL1570" s="80" t="n"/>
      <c r="AM1570" s="80" t="n"/>
      <c r="AN1570" s="80" t="n"/>
      <c r="AO1570" s="80" t="n"/>
      <c r="AP1570" s="80" t="n"/>
      <c r="AQ1570" s="80" t="n"/>
      <c r="AR1570" s="80" t="n"/>
    </row>
    <row r="1571">
      <c r="D1571" s="80" t="n"/>
      <c r="E1571" s="80" t="n"/>
      <c r="F1571" s="80" t="n"/>
      <c r="G1571" s="80" t="n"/>
      <c r="H1571" s="80" t="n"/>
      <c r="I1571" s="80" t="n"/>
      <c r="J1571" s="80" t="n"/>
      <c r="K1571" s="80" t="n"/>
      <c r="L1571" s="80" t="n"/>
      <c r="M1571" s="80" t="n"/>
      <c r="N1571" s="80" t="n"/>
      <c r="O1571" s="80" t="n"/>
      <c r="P1571" s="80" t="n"/>
      <c r="Q1571" s="80" t="n"/>
      <c r="R1571" s="80" t="n"/>
      <c r="S1571" s="80" t="n"/>
      <c r="T1571" s="80" t="n"/>
      <c r="U1571" s="80" t="n"/>
      <c r="V1571" s="80" t="n"/>
      <c r="W1571" s="80" t="n"/>
      <c r="X1571" s="80" t="n"/>
      <c r="Y1571" s="80" t="n"/>
      <c r="Z1571" s="80" t="n"/>
      <c r="AA1571" s="80" t="n"/>
      <c r="AB1571" s="80" t="n"/>
      <c r="AC1571" s="80" t="n"/>
      <c r="AD1571" s="80" t="n"/>
      <c r="AE1571" s="80" t="n"/>
      <c r="AF1571" s="80" t="n"/>
      <c r="AG1571" s="80" t="n"/>
      <c r="AH1571" s="80" t="n"/>
      <c r="AI1571" s="80" t="n"/>
      <c r="AJ1571" s="80" t="n"/>
      <c r="AK1571" s="80" t="n"/>
      <c r="AL1571" s="80" t="n"/>
      <c r="AM1571" s="80" t="n"/>
      <c r="AN1571" s="80" t="n"/>
      <c r="AO1571" s="80" t="n"/>
      <c r="AP1571" s="80" t="n"/>
      <c r="AQ1571" s="80" t="n"/>
      <c r="AR1571" s="80" t="n"/>
    </row>
    <row r="1572">
      <c r="D1572" s="80" t="n"/>
      <c r="E1572" s="80" t="n"/>
      <c r="F1572" s="80" t="n"/>
      <c r="G1572" s="80" t="n"/>
      <c r="H1572" s="80" t="n"/>
      <c r="I1572" s="80" t="n"/>
      <c r="J1572" s="80" t="n"/>
      <c r="K1572" s="80" t="n"/>
      <c r="L1572" s="80" t="n"/>
      <c r="M1572" s="80" t="n"/>
      <c r="N1572" s="80" t="n"/>
      <c r="O1572" s="80" t="n"/>
      <c r="P1572" s="80" t="n"/>
      <c r="Q1572" s="80" t="n"/>
      <c r="R1572" s="80" t="n"/>
      <c r="S1572" s="80" t="n"/>
      <c r="T1572" s="80" t="n"/>
      <c r="U1572" s="80" t="n"/>
      <c r="V1572" s="80" t="n"/>
      <c r="W1572" s="80" t="n"/>
      <c r="X1572" s="80" t="n"/>
      <c r="Y1572" s="80" t="n"/>
      <c r="Z1572" s="80" t="n"/>
      <c r="AA1572" s="80" t="n"/>
      <c r="AB1572" s="80" t="n"/>
      <c r="AC1572" s="80" t="n"/>
      <c r="AD1572" s="80" t="n"/>
      <c r="AE1572" s="80" t="n"/>
      <c r="AF1572" s="80" t="n"/>
      <c r="AG1572" s="80" t="n"/>
      <c r="AH1572" s="80" t="n"/>
      <c r="AI1572" s="80" t="n"/>
      <c r="AJ1572" s="80" t="n"/>
      <c r="AK1572" s="80" t="n"/>
      <c r="AL1572" s="80" t="n"/>
      <c r="AM1572" s="80" t="n"/>
      <c r="AN1572" s="80" t="n"/>
      <c r="AO1572" s="80" t="n"/>
      <c r="AP1572" s="80" t="n"/>
      <c r="AQ1572" s="80" t="n"/>
      <c r="AR1572" s="80" t="n"/>
    </row>
    <row r="1574">
      <c r="A1574" s="6">
        <f>IF(HSTECH!$C$11="","",HSTECH!$C$11)</f>
        <v/>
      </c>
      <c r="B1574" s="41">
        <f>IF($A1574="",0,COUNT($E1575:$AR1575))</f>
        <v/>
      </c>
      <c r="C1574" s="81">
        <f>IF($B1574=0,0,MAX($E1575:$AR1575))</f>
        <v/>
      </c>
      <c r="D1574" s="82">
        <f>BDS($A1574,'Field Check'!$C$7,"headers=y","startcol=1","endcol=7","dir=h","DVD_START_DT",Summary!$C$18,"DVD_END_DT",Summary!$D$18)</f>
        <v/>
      </c>
      <c r="E1574" s="83" t="n"/>
      <c r="F1574" s="83" t="n"/>
      <c r="G1574" s="83" t="n"/>
      <c r="H1574" s="83" t="n"/>
      <c r="I1574" s="83" t="n"/>
      <c r="J1574" s="83" t="n"/>
      <c r="K1574" s="83" t="n"/>
      <c r="L1574" s="83" t="n"/>
      <c r="M1574" s="83" t="n"/>
      <c r="N1574" s="83" t="n"/>
      <c r="O1574" s="83" t="n"/>
      <c r="P1574" s="83" t="n"/>
      <c r="Q1574" s="83" t="n"/>
      <c r="R1574" s="83" t="n"/>
      <c r="S1574" s="83" t="n"/>
      <c r="T1574" s="83" t="n"/>
      <c r="U1574" s="83" t="n"/>
      <c r="V1574" s="83" t="n"/>
      <c r="W1574" s="83" t="n"/>
      <c r="X1574" s="83" t="n"/>
      <c r="Y1574" s="83" t="n"/>
      <c r="Z1574" s="83" t="n"/>
      <c r="AA1574" s="83" t="n"/>
      <c r="AB1574" s="83" t="n"/>
      <c r="AC1574" s="83" t="n"/>
      <c r="AD1574" s="83" t="n"/>
      <c r="AE1574" s="83" t="n"/>
      <c r="AF1574" s="83" t="n"/>
      <c r="AG1574" s="83" t="n"/>
      <c r="AH1574" s="83" t="n"/>
      <c r="AI1574" s="83" t="n"/>
      <c r="AJ1574" s="83" t="n"/>
      <c r="AK1574" s="83" t="n"/>
      <c r="AL1574" s="83" t="n"/>
      <c r="AM1574" s="83" t="n"/>
      <c r="AN1574" s="83" t="n"/>
      <c r="AO1574" s="83" t="n"/>
      <c r="AP1574" s="83" t="n"/>
      <c r="AQ1574" s="83" t="n"/>
      <c r="AR1574" s="83" t="n"/>
    </row>
    <row r="1575">
      <c r="D1575" s="83" t="n"/>
      <c r="E1575" s="83" t="n"/>
      <c r="F1575" s="83" t="n"/>
      <c r="G1575" s="83" t="n"/>
      <c r="H1575" s="83" t="n"/>
      <c r="I1575" s="83" t="n"/>
      <c r="J1575" s="83" t="n"/>
      <c r="K1575" s="83" t="n"/>
      <c r="L1575" s="83" t="n"/>
      <c r="M1575" s="83" t="n"/>
      <c r="N1575" s="83" t="n"/>
      <c r="O1575" s="83" t="n"/>
      <c r="P1575" s="83" t="n"/>
      <c r="Q1575" s="83" t="n"/>
      <c r="R1575" s="83" t="n"/>
      <c r="S1575" s="83" t="n"/>
      <c r="T1575" s="83" t="n"/>
      <c r="U1575" s="83" t="n"/>
      <c r="V1575" s="83" t="n"/>
      <c r="W1575" s="83" t="n"/>
      <c r="X1575" s="83" t="n"/>
      <c r="Y1575" s="83" t="n"/>
      <c r="Z1575" s="83" t="n"/>
      <c r="AA1575" s="83" t="n"/>
      <c r="AB1575" s="83" t="n"/>
      <c r="AC1575" s="83" t="n"/>
      <c r="AD1575" s="83" t="n"/>
      <c r="AE1575" s="83" t="n"/>
      <c r="AF1575" s="83" t="n"/>
      <c r="AG1575" s="83" t="n"/>
      <c r="AH1575" s="83" t="n"/>
      <c r="AI1575" s="83" t="n"/>
      <c r="AJ1575" s="83" t="n"/>
      <c r="AK1575" s="83" t="n"/>
      <c r="AL1575" s="83" t="n"/>
      <c r="AM1575" s="83" t="n"/>
      <c r="AN1575" s="83" t="n"/>
      <c r="AO1575" s="83" t="n"/>
      <c r="AP1575" s="83" t="n"/>
      <c r="AQ1575" s="83" t="n"/>
      <c r="AR1575" s="83" t="n"/>
    </row>
    <row r="1576">
      <c r="D1576" s="84" t="n"/>
      <c r="E1576" s="84" t="n"/>
      <c r="F1576" s="84" t="n"/>
      <c r="G1576" s="84" t="n"/>
      <c r="H1576" s="84" t="n"/>
      <c r="I1576" s="84" t="n"/>
      <c r="J1576" s="84" t="n"/>
      <c r="K1576" s="84" t="n"/>
      <c r="L1576" s="84" t="n"/>
      <c r="M1576" s="84" t="n"/>
      <c r="N1576" s="84" t="n"/>
      <c r="O1576" s="84" t="n"/>
      <c r="P1576" s="84" t="n"/>
      <c r="Q1576" s="84" t="n"/>
      <c r="R1576" s="84" t="n"/>
      <c r="S1576" s="84" t="n"/>
      <c r="T1576" s="84" t="n"/>
      <c r="U1576" s="84" t="n"/>
      <c r="V1576" s="84" t="n"/>
      <c r="W1576" s="84" t="n"/>
      <c r="X1576" s="84" t="n"/>
      <c r="Y1576" s="84" t="n"/>
      <c r="Z1576" s="84" t="n"/>
      <c r="AA1576" s="84" t="n"/>
      <c r="AB1576" s="84" t="n"/>
      <c r="AC1576" s="84" t="n"/>
      <c r="AD1576" s="84" t="n"/>
      <c r="AE1576" s="84" t="n"/>
      <c r="AF1576" s="84" t="n"/>
      <c r="AG1576" s="84" t="n"/>
      <c r="AH1576" s="84" t="n"/>
      <c r="AI1576" s="84" t="n"/>
      <c r="AJ1576" s="84" t="n"/>
      <c r="AK1576" s="84" t="n"/>
      <c r="AL1576" s="84" t="n"/>
      <c r="AM1576" s="84" t="n"/>
      <c r="AN1576" s="84" t="n"/>
      <c r="AO1576" s="84" t="n"/>
      <c r="AP1576" s="84" t="n"/>
      <c r="AQ1576" s="84" t="n"/>
      <c r="AR1576" s="84" t="n"/>
    </row>
    <row r="1577">
      <c r="D1577" s="80" t="n"/>
      <c r="E1577" s="80" t="n"/>
      <c r="F1577" s="80" t="n"/>
      <c r="G1577" s="80" t="n"/>
      <c r="H1577" s="80" t="n"/>
      <c r="I1577" s="80" t="n"/>
      <c r="J1577" s="80" t="n"/>
      <c r="K1577" s="80" t="n"/>
      <c r="L1577" s="80" t="n"/>
      <c r="M1577" s="80" t="n"/>
      <c r="N1577" s="80" t="n"/>
      <c r="O1577" s="80" t="n"/>
      <c r="P1577" s="80" t="n"/>
      <c r="Q1577" s="80" t="n"/>
      <c r="R1577" s="80" t="n"/>
      <c r="S1577" s="80" t="n"/>
      <c r="T1577" s="80" t="n"/>
      <c r="U1577" s="80" t="n"/>
      <c r="V1577" s="80" t="n"/>
      <c r="W1577" s="80" t="n"/>
      <c r="X1577" s="80" t="n"/>
      <c r="Y1577" s="80" t="n"/>
      <c r="Z1577" s="80" t="n"/>
      <c r="AA1577" s="80" t="n"/>
      <c r="AB1577" s="80" t="n"/>
      <c r="AC1577" s="80" t="n"/>
      <c r="AD1577" s="80" t="n"/>
      <c r="AE1577" s="80" t="n"/>
      <c r="AF1577" s="80" t="n"/>
      <c r="AG1577" s="80" t="n"/>
      <c r="AH1577" s="80" t="n"/>
      <c r="AI1577" s="80" t="n"/>
      <c r="AJ1577" s="80" t="n"/>
      <c r="AK1577" s="80" t="n"/>
      <c r="AL1577" s="80" t="n"/>
      <c r="AM1577" s="80" t="n"/>
      <c r="AN1577" s="80" t="n"/>
      <c r="AO1577" s="80" t="n"/>
      <c r="AP1577" s="80" t="n"/>
      <c r="AQ1577" s="80" t="n"/>
      <c r="AR1577" s="80" t="n"/>
    </row>
    <row r="1578">
      <c r="D1578" s="80" t="n"/>
      <c r="E1578" s="80" t="n"/>
      <c r="F1578" s="80" t="n"/>
      <c r="G1578" s="80" t="n"/>
      <c r="H1578" s="80" t="n"/>
      <c r="I1578" s="80" t="n"/>
      <c r="J1578" s="80" t="n"/>
      <c r="K1578" s="80" t="n"/>
      <c r="L1578" s="80" t="n"/>
      <c r="M1578" s="80" t="n"/>
      <c r="N1578" s="80" t="n"/>
      <c r="O1578" s="80" t="n"/>
      <c r="P1578" s="80" t="n"/>
      <c r="Q1578" s="80" t="n"/>
      <c r="R1578" s="80" t="n"/>
      <c r="S1578" s="80" t="n"/>
      <c r="T1578" s="80" t="n"/>
      <c r="U1578" s="80" t="n"/>
      <c r="V1578" s="80" t="n"/>
      <c r="W1578" s="80" t="n"/>
      <c r="X1578" s="80" t="n"/>
      <c r="Y1578" s="80" t="n"/>
      <c r="Z1578" s="80" t="n"/>
      <c r="AA1578" s="80" t="n"/>
      <c r="AB1578" s="80" t="n"/>
      <c r="AC1578" s="80" t="n"/>
      <c r="AD1578" s="80" t="n"/>
      <c r="AE1578" s="80" t="n"/>
      <c r="AF1578" s="80" t="n"/>
      <c r="AG1578" s="80" t="n"/>
      <c r="AH1578" s="80" t="n"/>
      <c r="AI1578" s="80" t="n"/>
      <c r="AJ1578" s="80" t="n"/>
      <c r="AK1578" s="80" t="n"/>
      <c r="AL1578" s="80" t="n"/>
      <c r="AM1578" s="80" t="n"/>
      <c r="AN1578" s="80" t="n"/>
      <c r="AO1578" s="80" t="n"/>
      <c r="AP1578" s="80" t="n"/>
      <c r="AQ1578" s="80" t="n"/>
      <c r="AR1578" s="80" t="n"/>
    </row>
    <row r="1579">
      <c r="D1579" s="80" t="n"/>
      <c r="E1579" s="80" t="n"/>
      <c r="F1579" s="80" t="n"/>
      <c r="G1579" s="80" t="n"/>
      <c r="H1579" s="80" t="n"/>
      <c r="I1579" s="80" t="n"/>
      <c r="J1579" s="80" t="n"/>
      <c r="K1579" s="80" t="n"/>
      <c r="L1579" s="80" t="n"/>
      <c r="M1579" s="80" t="n"/>
      <c r="N1579" s="80" t="n"/>
      <c r="O1579" s="80" t="n"/>
      <c r="P1579" s="80" t="n"/>
      <c r="Q1579" s="80" t="n"/>
      <c r="R1579" s="80" t="n"/>
      <c r="S1579" s="80" t="n"/>
      <c r="T1579" s="80" t="n"/>
      <c r="U1579" s="80" t="n"/>
      <c r="V1579" s="80" t="n"/>
      <c r="W1579" s="80" t="n"/>
      <c r="X1579" s="80" t="n"/>
      <c r="Y1579" s="80" t="n"/>
      <c r="Z1579" s="80" t="n"/>
      <c r="AA1579" s="80" t="n"/>
      <c r="AB1579" s="80" t="n"/>
      <c r="AC1579" s="80" t="n"/>
      <c r="AD1579" s="80" t="n"/>
      <c r="AE1579" s="80" t="n"/>
      <c r="AF1579" s="80" t="n"/>
      <c r="AG1579" s="80" t="n"/>
      <c r="AH1579" s="80" t="n"/>
      <c r="AI1579" s="80" t="n"/>
      <c r="AJ1579" s="80" t="n"/>
      <c r="AK1579" s="80" t="n"/>
      <c r="AL1579" s="80" t="n"/>
      <c r="AM1579" s="80" t="n"/>
      <c r="AN1579" s="80" t="n"/>
      <c r="AO1579" s="80" t="n"/>
      <c r="AP1579" s="80" t="n"/>
      <c r="AQ1579" s="80" t="n"/>
      <c r="AR1579" s="80" t="n"/>
    </row>
    <row r="1580">
      <c r="D1580" s="80" t="n"/>
      <c r="E1580" s="80" t="n"/>
      <c r="F1580" s="80" t="n"/>
      <c r="G1580" s="80" t="n"/>
      <c r="H1580" s="80" t="n"/>
      <c r="I1580" s="80" t="n"/>
      <c r="J1580" s="80" t="n"/>
      <c r="K1580" s="80" t="n"/>
      <c r="L1580" s="80" t="n"/>
      <c r="M1580" s="80" t="n"/>
      <c r="N1580" s="80" t="n"/>
      <c r="O1580" s="80" t="n"/>
      <c r="P1580" s="80" t="n"/>
      <c r="Q1580" s="80" t="n"/>
      <c r="R1580" s="80" t="n"/>
      <c r="S1580" s="80" t="n"/>
      <c r="T1580" s="80" t="n"/>
      <c r="U1580" s="80" t="n"/>
      <c r="V1580" s="80" t="n"/>
      <c r="W1580" s="80" t="n"/>
      <c r="X1580" s="80" t="n"/>
      <c r="Y1580" s="80" t="n"/>
      <c r="Z1580" s="80" t="n"/>
      <c r="AA1580" s="80" t="n"/>
      <c r="AB1580" s="80" t="n"/>
      <c r="AC1580" s="80" t="n"/>
      <c r="AD1580" s="80" t="n"/>
      <c r="AE1580" s="80" t="n"/>
      <c r="AF1580" s="80" t="n"/>
      <c r="AG1580" s="80" t="n"/>
      <c r="AH1580" s="80" t="n"/>
      <c r="AI1580" s="80" t="n"/>
      <c r="AJ1580" s="80" t="n"/>
      <c r="AK1580" s="80" t="n"/>
      <c r="AL1580" s="80" t="n"/>
      <c r="AM1580" s="80" t="n"/>
      <c r="AN1580" s="80" t="n"/>
      <c r="AO1580" s="80" t="n"/>
      <c r="AP1580" s="80" t="n"/>
      <c r="AQ1580" s="80" t="n"/>
      <c r="AR1580" s="80" t="n"/>
    </row>
    <row r="1581">
      <c r="A1581" s="2">
        <f>IF($A1574="","","   projections")</f>
        <v/>
      </c>
      <c r="B1581" s="41">
        <f>IF($A1574="",0,COUNT($E1582:$AR1582))</f>
        <v/>
      </c>
      <c r="C1581" s="81">
        <f>IF($B1581=0,0,MAX($E1582:$AR1582))</f>
        <v/>
      </c>
      <c r="D1581" s="82">
        <f>BDS($A1574,'Field Check'!$C$6,"headers=y","startcol=1","endcol=7","dir=h")</f>
        <v/>
      </c>
      <c r="E1581" s="83" t="n"/>
      <c r="F1581" s="83" t="n"/>
      <c r="G1581" s="83" t="n"/>
      <c r="H1581" s="83" t="n"/>
      <c r="I1581" s="83" t="n"/>
      <c r="J1581" s="83" t="n"/>
      <c r="K1581" s="83" t="n"/>
      <c r="L1581" s="83" t="n"/>
      <c r="M1581" s="83" t="n"/>
      <c r="N1581" s="83" t="n"/>
      <c r="O1581" s="83" t="n"/>
      <c r="P1581" s="83" t="n"/>
      <c r="Q1581" s="83" t="n"/>
      <c r="R1581" s="83" t="n"/>
      <c r="S1581" s="83" t="n"/>
      <c r="T1581" s="83" t="n"/>
      <c r="U1581" s="83" t="n"/>
      <c r="V1581" s="83" t="n"/>
      <c r="W1581" s="83" t="n"/>
      <c r="X1581" s="83" t="n"/>
      <c r="Y1581" s="83" t="n"/>
      <c r="Z1581" s="83" t="n"/>
      <c r="AA1581" s="83" t="n"/>
      <c r="AB1581" s="83" t="n"/>
      <c r="AC1581" s="83" t="n"/>
      <c r="AD1581" s="83" t="n"/>
      <c r="AE1581" s="83" t="n"/>
      <c r="AF1581" s="83" t="n"/>
      <c r="AG1581" s="83" t="n"/>
      <c r="AH1581" s="83" t="n"/>
      <c r="AI1581" s="83" t="n"/>
      <c r="AJ1581" s="83" t="n"/>
      <c r="AK1581" s="83" t="n"/>
      <c r="AL1581" s="83" t="n"/>
      <c r="AM1581" s="83" t="n"/>
      <c r="AN1581" s="83" t="n"/>
      <c r="AO1581" s="83" t="n"/>
      <c r="AP1581" s="83" t="n"/>
      <c r="AQ1581" s="83" t="n"/>
      <c r="AR1581" s="83" t="n"/>
    </row>
    <row r="1582">
      <c r="D1582" s="83" t="n"/>
      <c r="E1582" s="83" t="n"/>
      <c r="F1582" s="83" t="n"/>
      <c r="G1582" s="83" t="n"/>
      <c r="H1582" s="83" t="n"/>
      <c r="I1582" s="83" t="n"/>
      <c r="J1582" s="83" t="n"/>
      <c r="K1582" s="83" t="n"/>
      <c r="L1582" s="83" t="n"/>
      <c r="M1582" s="83" t="n"/>
      <c r="N1582" s="83" t="n"/>
      <c r="O1582" s="83" t="n"/>
      <c r="P1582" s="83" t="n"/>
      <c r="Q1582" s="83" t="n"/>
      <c r="R1582" s="83" t="n"/>
      <c r="S1582" s="83" t="n"/>
      <c r="T1582" s="83" t="n"/>
      <c r="U1582" s="83" t="n"/>
      <c r="V1582" s="83" t="n"/>
      <c r="W1582" s="83" t="n"/>
      <c r="X1582" s="83" t="n"/>
      <c r="Y1582" s="83" t="n"/>
      <c r="Z1582" s="83" t="n"/>
      <c r="AA1582" s="83" t="n"/>
      <c r="AB1582" s="83" t="n"/>
      <c r="AC1582" s="83" t="n"/>
      <c r="AD1582" s="83" t="n"/>
      <c r="AE1582" s="83" t="n"/>
      <c r="AF1582" s="83" t="n"/>
      <c r="AG1582" s="83" t="n"/>
      <c r="AH1582" s="83" t="n"/>
      <c r="AI1582" s="83" t="n"/>
      <c r="AJ1582" s="83" t="n"/>
      <c r="AK1582" s="83" t="n"/>
      <c r="AL1582" s="83" t="n"/>
      <c r="AM1582" s="83" t="n"/>
      <c r="AN1582" s="83" t="n"/>
      <c r="AO1582" s="83" t="n"/>
      <c r="AP1582" s="83" t="n"/>
      <c r="AQ1582" s="83" t="n"/>
      <c r="AR1582" s="83" t="n"/>
    </row>
    <row r="1583">
      <c r="D1583" s="84" t="n"/>
      <c r="E1583" s="84" t="n"/>
      <c r="F1583" s="84" t="n"/>
      <c r="G1583" s="84" t="n"/>
      <c r="H1583" s="84" t="n"/>
      <c r="I1583" s="84" t="n"/>
      <c r="J1583" s="84" t="n"/>
      <c r="K1583" s="84" t="n"/>
      <c r="L1583" s="84" t="n"/>
      <c r="M1583" s="84" t="n"/>
      <c r="N1583" s="84" t="n"/>
      <c r="O1583" s="84" t="n"/>
      <c r="P1583" s="84" t="n"/>
      <c r="Q1583" s="84" t="n"/>
      <c r="R1583" s="84" t="n"/>
      <c r="S1583" s="84" t="n"/>
      <c r="T1583" s="84" t="n"/>
      <c r="U1583" s="84" t="n"/>
      <c r="V1583" s="84" t="n"/>
      <c r="W1583" s="84" t="n"/>
      <c r="X1583" s="84" t="n"/>
      <c r="Y1583" s="84" t="n"/>
      <c r="Z1583" s="84" t="n"/>
      <c r="AA1583" s="84" t="n"/>
      <c r="AB1583" s="84" t="n"/>
      <c r="AC1583" s="84" t="n"/>
      <c r="AD1583" s="84" t="n"/>
      <c r="AE1583" s="84" t="n"/>
      <c r="AF1583" s="84" t="n"/>
      <c r="AG1583" s="84" t="n"/>
      <c r="AH1583" s="84" t="n"/>
      <c r="AI1583" s="84" t="n"/>
      <c r="AJ1583" s="84" t="n"/>
      <c r="AK1583" s="84" t="n"/>
      <c r="AL1583" s="84" t="n"/>
      <c r="AM1583" s="84" t="n"/>
      <c r="AN1583" s="84" t="n"/>
      <c r="AO1583" s="84" t="n"/>
      <c r="AP1583" s="84" t="n"/>
      <c r="AQ1583" s="84" t="n"/>
      <c r="AR1583" s="84" t="n"/>
    </row>
    <row r="1584">
      <c r="D1584" s="80" t="n"/>
      <c r="E1584" s="80" t="n"/>
      <c r="F1584" s="80" t="n"/>
      <c r="G1584" s="80" t="n"/>
      <c r="H1584" s="80" t="n"/>
      <c r="I1584" s="80" t="n"/>
      <c r="J1584" s="80" t="n"/>
      <c r="K1584" s="80" t="n"/>
      <c r="L1584" s="80" t="n"/>
      <c r="M1584" s="80" t="n"/>
      <c r="N1584" s="80" t="n"/>
      <c r="O1584" s="80" t="n"/>
      <c r="P1584" s="80" t="n"/>
      <c r="Q1584" s="80" t="n"/>
      <c r="R1584" s="80" t="n"/>
      <c r="S1584" s="80" t="n"/>
      <c r="T1584" s="80" t="n"/>
      <c r="U1584" s="80" t="n"/>
      <c r="V1584" s="80" t="n"/>
      <c r="W1584" s="80" t="n"/>
      <c r="X1584" s="80" t="n"/>
      <c r="Y1584" s="80" t="n"/>
      <c r="Z1584" s="80" t="n"/>
      <c r="AA1584" s="80" t="n"/>
      <c r="AB1584" s="80" t="n"/>
      <c r="AC1584" s="80" t="n"/>
      <c r="AD1584" s="80" t="n"/>
      <c r="AE1584" s="80" t="n"/>
      <c r="AF1584" s="80" t="n"/>
      <c r="AG1584" s="80" t="n"/>
      <c r="AH1584" s="80" t="n"/>
      <c r="AI1584" s="80" t="n"/>
      <c r="AJ1584" s="80" t="n"/>
      <c r="AK1584" s="80" t="n"/>
      <c r="AL1584" s="80" t="n"/>
      <c r="AM1584" s="80" t="n"/>
      <c r="AN1584" s="80" t="n"/>
      <c r="AO1584" s="80" t="n"/>
      <c r="AP1584" s="80" t="n"/>
      <c r="AQ1584" s="80" t="n"/>
      <c r="AR1584" s="80" t="n"/>
    </row>
    <row r="1585">
      <c r="D1585" s="80" t="n"/>
      <c r="E1585" s="80" t="n"/>
      <c r="F1585" s="80" t="n"/>
      <c r="G1585" s="80" t="n"/>
      <c r="H1585" s="80" t="n"/>
      <c r="I1585" s="80" t="n"/>
      <c r="J1585" s="80" t="n"/>
      <c r="K1585" s="80" t="n"/>
      <c r="L1585" s="80" t="n"/>
      <c r="M1585" s="80" t="n"/>
      <c r="N1585" s="80" t="n"/>
      <c r="O1585" s="80" t="n"/>
      <c r="P1585" s="80" t="n"/>
      <c r="Q1585" s="80" t="n"/>
      <c r="R1585" s="80" t="n"/>
      <c r="S1585" s="80" t="n"/>
      <c r="T1585" s="80" t="n"/>
      <c r="U1585" s="80" t="n"/>
      <c r="V1585" s="80" t="n"/>
      <c r="W1585" s="80" t="n"/>
      <c r="X1585" s="80" t="n"/>
      <c r="Y1585" s="80" t="n"/>
      <c r="Z1585" s="80" t="n"/>
      <c r="AA1585" s="80" t="n"/>
      <c r="AB1585" s="80" t="n"/>
      <c r="AC1585" s="80" t="n"/>
      <c r="AD1585" s="80" t="n"/>
      <c r="AE1585" s="80" t="n"/>
      <c r="AF1585" s="80" t="n"/>
      <c r="AG1585" s="80" t="n"/>
      <c r="AH1585" s="80" t="n"/>
      <c r="AI1585" s="80" t="n"/>
      <c r="AJ1585" s="80" t="n"/>
      <c r="AK1585" s="80" t="n"/>
      <c r="AL1585" s="80" t="n"/>
      <c r="AM1585" s="80" t="n"/>
      <c r="AN1585" s="80" t="n"/>
      <c r="AO1585" s="80" t="n"/>
      <c r="AP1585" s="80" t="n"/>
      <c r="AQ1585" s="80" t="n"/>
      <c r="AR1585" s="80" t="n"/>
    </row>
    <row r="1586">
      <c r="D1586" s="80" t="n"/>
      <c r="E1586" s="80" t="n"/>
      <c r="F1586" s="80" t="n"/>
      <c r="G1586" s="80" t="n"/>
      <c r="H1586" s="80" t="n"/>
      <c r="I1586" s="80" t="n"/>
      <c r="J1586" s="80" t="n"/>
      <c r="K1586" s="80" t="n"/>
      <c r="L1586" s="80" t="n"/>
      <c r="M1586" s="80" t="n"/>
      <c r="N1586" s="80" t="n"/>
      <c r="O1586" s="80" t="n"/>
      <c r="P1586" s="80" t="n"/>
      <c r="Q1586" s="80" t="n"/>
      <c r="R1586" s="80" t="n"/>
      <c r="S1586" s="80" t="n"/>
      <c r="T1586" s="80" t="n"/>
      <c r="U1586" s="80" t="n"/>
      <c r="V1586" s="80" t="n"/>
      <c r="W1586" s="80" t="n"/>
      <c r="X1586" s="80" t="n"/>
      <c r="Y1586" s="80" t="n"/>
      <c r="Z1586" s="80" t="n"/>
      <c r="AA1586" s="80" t="n"/>
      <c r="AB1586" s="80" t="n"/>
      <c r="AC1586" s="80" t="n"/>
      <c r="AD1586" s="80" t="n"/>
      <c r="AE1586" s="80" t="n"/>
      <c r="AF1586" s="80" t="n"/>
      <c r="AG1586" s="80" t="n"/>
      <c r="AH1586" s="80" t="n"/>
      <c r="AI1586" s="80" t="n"/>
      <c r="AJ1586" s="80" t="n"/>
      <c r="AK1586" s="80" t="n"/>
      <c r="AL1586" s="80" t="n"/>
      <c r="AM1586" s="80" t="n"/>
      <c r="AN1586" s="80" t="n"/>
      <c r="AO1586" s="80" t="n"/>
      <c r="AP1586" s="80" t="n"/>
      <c r="AQ1586" s="80" t="n"/>
      <c r="AR1586" s="80" t="n"/>
    </row>
    <row r="1587">
      <c r="D1587" s="80" t="n"/>
      <c r="E1587" s="80" t="n"/>
      <c r="F1587" s="80" t="n"/>
      <c r="G1587" s="80" t="n"/>
      <c r="H1587" s="80" t="n"/>
      <c r="I1587" s="80" t="n"/>
      <c r="J1587" s="80" t="n"/>
      <c r="K1587" s="80" t="n"/>
      <c r="L1587" s="80" t="n"/>
      <c r="M1587" s="80" t="n"/>
      <c r="N1587" s="80" t="n"/>
      <c r="O1587" s="80" t="n"/>
      <c r="P1587" s="80" t="n"/>
      <c r="Q1587" s="80" t="n"/>
      <c r="R1587" s="80" t="n"/>
      <c r="S1587" s="80" t="n"/>
      <c r="T1587" s="80" t="n"/>
      <c r="U1587" s="80" t="n"/>
      <c r="V1587" s="80" t="n"/>
      <c r="W1587" s="80" t="n"/>
      <c r="X1587" s="80" t="n"/>
      <c r="Y1587" s="80" t="n"/>
      <c r="Z1587" s="80" t="n"/>
      <c r="AA1587" s="80" t="n"/>
      <c r="AB1587" s="80" t="n"/>
      <c r="AC1587" s="80" t="n"/>
      <c r="AD1587" s="80" t="n"/>
      <c r="AE1587" s="80" t="n"/>
      <c r="AF1587" s="80" t="n"/>
      <c r="AG1587" s="80" t="n"/>
      <c r="AH1587" s="80" t="n"/>
      <c r="AI1587" s="80" t="n"/>
      <c r="AJ1587" s="80" t="n"/>
      <c r="AK1587" s="80" t="n"/>
      <c r="AL1587" s="80" t="n"/>
      <c r="AM1587" s="80" t="n"/>
      <c r="AN1587" s="80" t="n"/>
      <c r="AO1587" s="80" t="n"/>
      <c r="AP1587" s="80" t="n"/>
      <c r="AQ1587" s="80" t="n"/>
      <c r="AR1587" s="80" t="n"/>
    </row>
    <row r="1589">
      <c r="A1589" s="6">
        <f>IF(HSTECH!$C$12="","",HSTECH!$C$12)</f>
        <v/>
      </c>
      <c r="B1589" s="41">
        <f>IF($A1589="",0,COUNT($E1590:$AR1590))</f>
        <v/>
      </c>
      <c r="C1589" s="81">
        <f>IF($B1589=0,0,MAX($E1590:$AR1590))</f>
        <v/>
      </c>
      <c r="D1589" s="82">
        <f>BDS($A1589,'Field Check'!$C$7,"headers=y","startcol=1","endcol=7","dir=h","DVD_START_DT",Summary!$C$18,"DVD_END_DT",Summary!$D$18)</f>
        <v/>
      </c>
      <c r="E1589" s="83" t="n"/>
      <c r="F1589" s="83" t="n"/>
      <c r="G1589" s="83" t="n"/>
      <c r="H1589" s="83" t="n"/>
      <c r="I1589" s="83" t="n"/>
      <c r="J1589" s="83" t="n"/>
      <c r="K1589" s="83" t="n"/>
      <c r="L1589" s="83" t="n"/>
      <c r="M1589" s="83" t="n"/>
      <c r="N1589" s="83" t="n"/>
      <c r="O1589" s="83" t="n"/>
      <c r="P1589" s="83" t="n"/>
      <c r="Q1589" s="83" t="n"/>
      <c r="R1589" s="83" t="n"/>
      <c r="S1589" s="83" t="n"/>
      <c r="T1589" s="83" t="n"/>
      <c r="U1589" s="83" t="n"/>
      <c r="V1589" s="83" t="n"/>
      <c r="W1589" s="83" t="n"/>
      <c r="X1589" s="83" t="n"/>
      <c r="Y1589" s="83" t="n"/>
      <c r="Z1589" s="83" t="n"/>
      <c r="AA1589" s="83" t="n"/>
      <c r="AB1589" s="83" t="n"/>
      <c r="AC1589" s="83" t="n"/>
      <c r="AD1589" s="83" t="n"/>
      <c r="AE1589" s="83" t="n"/>
      <c r="AF1589" s="83" t="n"/>
      <c r="AG1589" s="83" t="n"/>
      <c r="AH1589" s="83" t="n"/>
      <c r="AI1589" s="83" t="n"/>
      <c r="AJ1589" s="83" t="n"/>
      <c r="AK1589" s="83" t="n"/>
      <c r="AL1589" s="83" t="n"/>
      <c r="AM1589" s="83" t="n"/>
      <c r="AN1589" s="83" t="n"/>
      <c r="AO1589" s="83" t="n"/>
      <c r="AP1589" s="83" t="n"/>
      <c r="AQ1589" s="83" t="n"/>
      <c r="AR1589" s="83" t="n"/>
    </row>
    <row r="1590">
      <c r="D1590" s="83" t="n"/>
      <c r="E1590" s="83" t="n"/>
      <c r="F1590" s="83" t="n"/>
      <c r="G1590" s="83" t="n"/>
      <c r="H1590" s="83" t="n"/>
      <c r="I1590" s="83" t="n"/>
      <c r="J1590" s="83" t="n"/>
      <c r="K1590" s="83" t="n"/>
      <c r="L1590" s="83" t="n"/>
      <c r="M1590" s="83" t="n"/>
      <c r="N1590" s="83" t="n"/>
      <c r="O1590" s="83" t="n"/>
      <c r="P1590" s="83" t="n"/>
      <c r="Q1590" s="83" t="n"/>
      <c r="R1590" s="83" t="n"/>
      <c r="S1590" s="83" t="n"/>
      <c r="T1590" s="83" t="n"/>
      <c r="U1590" s="83" t="n"/>
      <c r="V1590" s="83" t="n"/>
      <c r="W1590" s="83" t="n"/>
      <c r="X1590" s="83" t="n"/>
      <c r="Y1590" s="83" t="n"/>
      <c r="Z1590" s="83" t="n"/>
      <c r="AA1590" s="83" t="n"/>
      <c r="AB1590" s="83" t="n"/>
      <c r="AC1590" s="83" t="n"/>
      <c r="AD1590" s="83" t="n"/>
      <c r="AE1590" s="83" t="n"/>
      <c r="AF1590" s="83" t="n"/>
      <c r="AG1590" s="83" t="n"/>
      <c r="AH1590" s="83" t="n"/>
      <c r="AI1590" s="83" t="n"/>
      <c r="AJ1590" s="83" t="n"/>
      <c r="AK1590" s="83" t="n"/>
      <c r="AL1590" s="83" t="n"/>
      <c r="AM1590" s="83" t="n"/>
      <c r="AN1590" s="83" t="n"/>
      <c r="AO1590" s="83" t="n"/>
      <c r="AP1590" s="83" t="n"/>
      <c r="AQ1590" s="83" t="n"/>
      <c r="AR1590" s="83" t="n"/>
    </row>
    <row r="1591">
      <c r="D1591" s="84" t="n"/>
      <c r="E1591" s="84" t="n"/>
      <c r="F1591" s="84" t="n"/>
      <c r="G1591" s="84" t="n"/>
      <c r="H1591" s="84" t="n"/>
      <c r="I1591" s="84" t="n"/>
      <c r="J1591" s="84" t="n"/>
      <c r="K1591" s="84" t="n"/>
      <c r="L1591" s="84" t="n"/>
      <c r="M1591" s="84" t="n"/>
      <c r="N1591" s="84" t="n"/>
      <c r="O1591" s="84" t="n"/>
      <c r="P1591" s="84" t="n"/>
      <c r="Q1591" s="84" t="n"/>
      <c r="R1591" s="84" t="n"/>
      <c r="S1591" s="84" t="n"/>
      <c r="T1591" s="84" t="n"/>
      <c r="U1591" s="84" t="n"/>
      <c r="V1591" s="84" t="n"/>
      <c r="W1591" s="84" t="n"/>
      <c r="X1591" s="84" t="n"/>
      <c r="Y1591" s="84" t="n"/>
      <c r="Z1591" s="84" t="n"/>
      <c r="AA1591" s="84" t="n"/>
      <c r="AB1591" s="84" t="n"/>
      <c r="AC1591" s="84" t="n"/>
      <c r="AD1591" s="84" t="n"/>
      <c r="AE1591" s="84" t="n"/>
      <c r="AF1591" s="84" t="n"/>
      <c r="AG1591" s="84" t="n"/>
      <c r="AH1591" s="84" t="n"/>
      <c r="AI1591" s="84" t="n"/>
      <c r="AJ1591" s="84" t="n"/>
      <c r="AK1591" s="84" t="n"/>
      <c r="AL1591" s="84" t="n"/>
      <c r="AM1591" s="84" t="n"/>
      <c r="AN1591" s="84" t="n"/>
      <c r="AO1591" s="84" t="n"/>
      <c r="AP1591" s="84" t="n"/>
      <c r="AQ1591" s="84" t="n"/>
      <c r="AR1591" s="84" t="n"/>
    </row>
    <row r="1592">
      <c r="D1592" s="80" t="n"/>
      <c r="E1592" s="80" t="n"/>
      <c r="F1592" s="80" t="n"/>
      <c r="G1592" s="80" t="n"/>
      <c r="H1592" s="80" t="n"/>
      <c r="I1592" s="80" t="n"/>
      <c r="J1592" s="80" t="n"/>
      <c r="K1592" s="80" t="n"/>
      <c r="L1592" s="80" t="n"/>
      <c r="M1592" s="80" t="n"/>
      <c r="N1592" s="80" t="n"/>
      <c r="O1592" s="80" t="n"/>
      <c r="P1592" s="80" t="n"/>
      <c r="Q1592" s="80" t="n"/>
      <c r="R1592" s="80" t="n"/>
      <c r="S1592" s="80" t="n"/>
      <c r="T1592" s="80" t="n"/>
      <c r="U1592" s="80" t="n"/>
      <c r="V1592" s="80" t="n"/>
      <c r="W1592" s="80" t="n"/>
      <c r="X1592" s="80" t="n"/>
      <c r="Y1592" s="80" t="n"/>
      <c r="Z1592" s="80" t="n"/>
      <c r="AA1592" s="80" t="n"/>
      <c r="AB1592" s="80" t="n"/>
      <c r="AC1592" s="80" t="n"/>
      <c r="AD1592" s="80" t="n"/>
      <c r="AE1592" s="80" t="n"/>
      <c r="AF1592" s="80" t="n"/>
      <c r="AG1592" s="80" t="n"/>
      <c r="AH1592" s="80" t="n"/>
      <c r="AI1592" s="80" t="n"/>
      <c r="AJ1592" s="80" t="n"/>
      <c r="AK1592" s="80" t="n"/>
      <c r="AL1592" s="80" t="n"/>
      <c r="AM1592" s="80" t="n"/>
      <c r="AN1592" s="80" t="n"/>
      <c r="AO1592" s="80" t="n"/>
      <c r="AP1592" s="80" t="n"/>
      <c r="AQ1592" s="80" t="n"/>
      <c r="AR1592" s="80" t="n"/>
    </row>
    <row r="1593">
      <c r="D1593" s="80" t="n"/>
      <c r="E1593" s="80" t="n"/>
      <c r="F1593" s="80" t="n"/>
      <c r="G1593" s="80" t="n"/>
      <c r="H1593" s="80" t="n"/>
      <c r="I1593" s="80" t="n"/>
      <c r="J1593" s="80" t="n"/>
      <c r="K1593" s="80" t="n"/>
      <c r="L1593" s="80" t="n"/>
      <c r="M1593" s="80" t="n"/>
      <c r="N1593" s="80" t="n"/>
      <c r="O1593" s="80" t="n"/>
      <c r="P1593" s="80" t="n"/>
      <c r="Q1593" s="80" t="n"/>
      <c r="R1593" s="80" t="n"/>
      <c r="S1593" s="80" t="n"/>
      <c r="T1593" s="80" t="n"/>
      <c r="U1593" s="80" t="n"/>
      <c r="V1593" s="80" t="n"/>
      <c r="W1593" s="80" t="n"/>
      <c r="X1593" s="80" t="n"/>
      <c r="Y1593" s="80" t="n"/>
      <c r="Z1593" s="80" t="n"/>
      <c r="AA1593" s="80" t="n"/>
      <c r="AB1593" s="80" t="n"/>
      <c r="AC1593" s="80" t="n"/>
      <c r="AD1593" s="80" t="n"/>
      <c r="AE1593" s="80" t="n"/>
      <c r="AF1593" s="80" t="n"/>
      <c r="AG1593" s="80" t="n"/>
      <c r="AH1593" s="80" t="n"/>
      <c r="AI1593" s="80" t="n"/>
      <c r="AJ1593" s="80" t="n"/>
      <c r="AK1593" s="80" t="n"/>
      <c r="AL1593" s="80" t="n"/>
      <c r="AM1593" s="80" t="n"/>
      <c r="AN1593" s="80" t="n"/>
      <c r="AO1593" s="80" t="n"/>
      <c r="AP1593" s="80" t="n"/>
      <c r="AQ1593" s="80" t="n"/>
      <c r="AR1593" s="80" t="n"/>
    </row>
    <row r="1594">
      <c r="D1594" s="80" t="n"/>
      <c r="E1594" s="80" t="n"/>
      <c r="F1594" s="80" t="n"/>
      <c r="G1594" s="80" t="n"/>
      <c r="H1594" s="80" t="n"/>
      <c r="I1594" s="80" t="n"/>
      <c r="J1594" s="80" t="n"/>
      <c r="K1594" s="80" t="n"/>
      <c r="L1594" s="80" t="n"/>
      <c r="M1594" s="80" t="n"/>
      <c r="N1594" s="80" t="n"/>
      <c r="O1594" s="80" t="n"/>
      <c r="P1594" s="80" t="n"/>
      <c r="Q1594" s="80" t="n"/>
      <c r="R1594" s="80" t="n"/>
      <c r="S1594" s="80" t="n"/>
      <c r="T1594" s="80" t="n"/>
      <c r="U1594" s="80" t="n"/>
      <c r="V1594" s="80" t="n"/>
      <c r="W1594" s="80" t="n"/>
      <c r="X1594" s="80" t="n"/>
      <c r="Y1594" s="80" t="n"/>
      <c r="Z1594" s="80" t="n"/>
      <c r="AA1594" s="80" t="n"/>
      <c r="AB1594" s="80" t="n"/>
      <c r="AC1594" s="80" t="n"/>
      <c r="AD1594" s="80" t="n"/>
      <c r="AE1594" s="80" t="n"/>
      <c r="AF1594" s="80" t="n"/>
      <c r="AG1594" s="80" t="n"/>
      <c r="AH1594" s="80" t="n"/>
      <c r="AI1594" s="80" t="n"/>
      <c r="AJ1594" s="80" t="n"/>
      <c r="AK1594" s="80" t="n"/>
      <c r="AL1594" s="80" t="n"/>
      <c r="AM1594" s="80" t="n"/>
      <c r="AN1594" s="80" t="n"/>
      <c r="AO1594" s="80" t="n"/>
      <c r="AP1594" s="80" t="n"/>
      <c r="AQ1594" s="80" t="n"/>
      <c r="AR1594" s="80" t="n"/>
    </row>
    <row r="1595">
      <c r="D1595" s="80" t="n"/>
      <c r="E1595" s="80" t="n"/>
      <c r="F1595" s="80" t="n"/>
      <c r="G1595" s="80" t="n"/>
      <c r="H1595" s="80" t="n"/>
      <c r="I1595" s="80" t="n"/>
      <c r="J1595" s="80" t="n"/>
      <c r="K1595" s="80" t="n"/>
      <c r="L1595" s="80" t="n"/>
      <c r="M1595" s="80" t="n"/>
      <c r="N1595" s="80" t="n"/>
      <c r="O1595" s="80" t="n"/>
      <c r="P1595" s="80" t="n"/>
      <c r="Q1595" s="80" t="n"/>
      <c r="R1595" s="80" t="n"/>
      <c r="S1595" s="80" t="n"/>
      <c r="T1595" s="80" t="n"/>
      <c r="U1595" s="80" t="n"/>
      <c r="V1595" s="80" t="n"/>
      <c r="W1595" s="80" t="n"/>
      <c r="X1595" s="80" t="n"/>
      <c r="Y1595" s="80" t="n"/>
      <c r="Z1595" s="80" t="n"/>
      <c r="AA1595" s="80" t="n"/>
      <c r="AB1595" s="80" t="n"/>
      <c r="AC1595" s="80" t="n"/>
      <c r="AD1595" s="80" t="n"/>
      <c r="AE1595" s="80" t="n"/>
      <c r="AF1595" s="80" t="n"/>
      <c r="AG1595" s="80" t="n"/>
      <c r="AH1595" s="80" t="n"/>
      <c r="AI1595" s="80" t="n"/>
      <c r="AJ1595" s="80" t="n"/>
      <c r="AK1595" s="80" t="n"/>
      <c r="AL1595" s="80" t="n"/>
      <c r="AM1595" s="80" t="n"/>
      <c r="AN1595" s="80" t="n"/>
      <c r="AO1595" s="80" t="n"/>
      <c r="AP1595" s="80" t="n"/>
      <c r="AQ1595" s="80" t="n"/>
      <c r="AR1595" s="80" t="n"/>
    </row>
    <row r="1596">
      <c r="A1596" s="2">
        <f>IF($A1589="","","   projections")</f>
        <v/>
      </c>
      <c r="B1596" s="41">
        <f>IF($A1589="",0,COUNT($E1597:$AR1597))</f>
        <v/>
      </c>
      <c r="C1596" s="81">
        <f>IF($B1596=0,0,MAX($E1597:$AR1597))</f>
        <v/>
      </c>
      <c r="D1596" s="82">
        <f>BDS($A1589,'Field Check'!$C$6,"headers=y","startcol=1","endcol=7","dir=h")</f>
        <v/>
      </c>
      <c r="E1596" s="83" t="n"/>
      <c r="F1596" s="83" t="n"/>
      <c r="G1596" s="83" t="n"/>
      <c r="H1596" s="83" t="n"/>
      <c r="I1596" s="83" t="n"/>
      <c r="J1596" s="83" t="n"/>
      <c r="K1596" s="83" t="n"/>
      <c r="L1596" s="83" t="n"/>
      <c r="M1596" s="83" t="n"/>
      <c r="N1596" s="83" t="n"/>
      <c r="O1596" s="83" t="n"/>
      <c r="P1596" s="83" t="n"/>
      <c r="Q1596" s="83" t="n"/>
      <c r="R1596" s="83" t="n"/>
      <c r="S1596" s="83" t="n"/>
      <c r="T1596" s="83" t="n"/>
      <c r="U1596" s="83" t="n"/>
      <c r="V1596" s="83" t="n"/>
      <c r="W1596" s="83" t="n"/>
      <c r="X1596" s="83" t="n"/>
      <c r="Y1596" s="83" t="n"/>
      <c r="Z1596" s="83" t="n"/>
      <c r="AA1596" s="83" t="n"/>
      <c r="AB1596" s="83" t="n"/>
      <c r="AC1596" s="83" t="n"/>
      <c r="AD1596" s="83" t="n"/>
      <c r="AE1596" s="83" t="n"/>
      <c r="AF1596" s="83" t="n"/>
      <c r="AG1596" s="83" t="n"/>
      <c r="AH1596" s="83" t="n"/>
      <c r="AI1596" s="83" t="n"/>
      <c r="AJ1596" s="83" t="n"/>
      <c r="AK1596" s="83" t="n"/>
      <c r="AL1596" s="83" t="n"/>
      <c r="AM1596" s="83" t="n"/>
      <c r="AN1596" s="83" t="n"/>
      <c r="AO1596" s="83" t="n"/>
      <c r="AP1596" s="83" t="n"/>
      <c r="AQ1596" s="83" t="n"/>
      <c r="AR1596" s="83" t="n"/>
    </row>
    <row r="1597">
      <c r="D1597" s="83" t="n"/>
      <c r="E1597" s="83" t="n"/>
      <c r="F1597" s="83" t="n"/>
      <c r="G1597" s="83" t="n"/>
      <c r="H1597" s="83" t="n"/>
      <c r="I1597" s="83" t="n"/>
      <c r="J1597" s="83" t="n"/>
      <c r="K1597" s="83" t="n"/>
      <c r="L1597" s="83" t="n"/>
      <c r="M1597" s="83" t="n"/>
      <c r="N1597" s="83" t="n"/>
      <c r="O1597" s="83" t="n"/>
      <c r="P1597" s="83" t="n"/>
      <c r="Q1597" s="83" t="n"/>
      <c r="R1597" s="83" t="n"/>
      <c r="S1597" s="83" t="n"/>
      <c r="T1597" s="83" t="n"/>
      <c r="U1597" s="83" t="n"/>
      <c r="V1597" s="83" t="n"/>
      <c r="W1597" s="83" t="n"/>
      <c r="X1597" s="83" t="n"/>
      <c r="Y1597" s="83" t="n"/>
      <c r="Z1597" s="83" t="n"/>
      <c r="AA1597" s="83" t="n"/>
      <c r="AB1597" s="83" t="n"/>
      <c r="AC1597" s="83" t="n"/>
      <c r="AD1597" s="83" t="n"/>
      <c r="AE1597" s="83" t="n"/>
      <c r="AF1597" s="83" t="n"/>
      <c r="AG1597" s="83" t="n"/>
      <c r="AH1597" s="83" t="n"/>
      <c r="AI1597" s="83" t="n"/>
      <c r="AJ1597" s="83" t="n"/>
      <c r="AK1597" s="83" t="n"/>
      <c r="AL1597" s="83" t="n"/>
      <c r="AM1597" s="83" t="n"/>
      <c r="AN1597" s="83" t="n"/>
      <c r="AO1597" s="83" t="n"/>
      <c r="AP1597" s="83" t="n"/>
      <c r="AQ1597" s="83" t="n"/>
      <c r="AR1597" s="83" t="n"/>
    </row>
    <row r="1598">
      <c r="D1598" s="84" t="n"/>
      <c r="E1598" s="84" t="n"/>
      <c r="F1598" s="84" t="n"/>
      <c r="G1598" s="84" t="n"/>
      <c r="H1598" s="84" t="n"/>
      <c r="I1598" s="84" t="n"/>
      <c r="J1598" s="84" t="n"/>
      <c r="K1598" s="84" t="n"/>
      <c r="L1598" s="84" t="n"/>
      <c r="M1598" s="84" t="n"/>
      <c r="N1598" s="84" t="n"/>
      <c r="O1598" s="84" t="n"/>
      <c r="P1598" s="84" t="n"/>
      <c r="Q1598" s="84" t="n"/>
      <c r="R1598" s="84" t="n"/>
      <c r="S1598" s="84" t="n"/>
      <c r="T1598" s="84" t="n"/>
      <c r="U1598" s="84" t="n"/>
      <c r="V1598" s="84" t="n"/>
      <c r="W1598" s="84" t="n"/>
      <c r="X1598" s="84" t="n"/>
      <c r="Y1598" s="84" t="n"/>
      <c r="Z1598" s="84" t="n"/>
      <c r="AA1598" s="84" t="n"/>
      <c r="AB1598" s="84" t="n"/>
      <c r="AC1598" s="84" t="n"/>
      <c r="AD1598" s="84" t="n"/>
      <c r="AE1598" s="84" t="n"/>
      <c r="AF1598" s="84" t="n"/>
      <c r="AG1598" s="84" t="n"/>
      <c r="AH1598" s="84" t="n"/>
      <c r="AI1598" s="84" t="n"/>
      <c r="AJ1598" s="84" t="n"/>
      <c r="AK1598" s="84" t="n"/>
      <c r="AL1598" s="84" t="n"/>
      <c r="AM1598" s="84" t="n"/>
      <c r="AN1598" s="84" t="n"/>
      <c r="AO1598" s="84" t="n"/>
      <c r="AP1598" s="84" t="n"/>
      <c r="AQ1598" s="84" t="n"/>
      <c r="AR1598" s="84" t="n"/>
    </row>
    <row r="1599">
      <c r="D1599" s="80" t="n"/>
      <c r="E1599" s="80" t="n"/>
      <c r="F1599" s="80" t="n"/>
      <c r="G1599" s="80" t="n"/>
      <c r="H1599" s="80" t="n"/>
      <c r="I1599" s="80" t="n"/>
      <c r="J1599" s="80" t="n"/>
      <c r="K1599" s="80" t="n"/>
      <c r="L1599" s="80" t="n"/>
      <c r="M1599" s="80" t="n"/>
      <c r="N1599" s="80" t="n"/>
      <c r="O1599" s="80" t="n"/>
      <c r="P1599" s="80" t="n"/>
      <c r="Q1599" s="80" t="n"/>
      <c r="R1599" s="80" t="n"/>
      <c r="S1599" s="80" t="n"/>
      <c r="T1599" s="80" t="n"/>
      <c r="U1599" s="80" t="n"/>
      <c r="V1599" s="80" t="n"/>
      <c r="W1599" s="80" t="n"/>
      <c r="X1599" s="80" t="n"/>
      <c r="Y1599" s="80" t="n"/>
      <c r="Z1599" s="80" t="n"/>
      <c r="AA1599" s="80" t="n"/>
      <c r="AB1599" s="80" t="n"/>
      <c r="AC1599" s="80" t="n"/>
      <c r="AD1599" s="80" t="n"/>
      <c r="AE1599" s="80" t="n"/>
      <c r="AF1599" s="80" t="n"/>
      <c r="AG1599" s="80" t="n"/>
      <c r="AH1599" s="80" t="n"/>
      <c r="AI1599" s="80" t="n"/>
      <c r="AJ1599" s="80" t="n"/>
      <c r="AK1599" s="80" t="n"/>
      <c r="AL1599" s="80" t="n"/>
      <c r="AM1599" s="80" t="n"/>
      <c r="AN1599" s="80" t="n"/>
      <c r="AO1599" s="80" t="n"/>
      <c r="AP1599" s="80" t="n"/>
      <c r="AQ1599" s="80" t="n"/>
      <c r="AR1599" s="80" t="n"/>
    </row>
    <row r="1600">
      <c r="D1600" s="80" t="n"/>
      <c r="E1600" s="80" t="n"/>
      <c r="F1600" s="80" t="n"/>
      <c r="G1600" s="80" t="n"/>
      <c r="H1600" s="80" t="n"/>
      <c r="I1600" s="80" t="n"/>
      <c r="J1600" s="80" t="n"/>
      <c r="K1600" s="80" t="n"/>
      <c r="L1600" s="80" t="n"/>
      <c r="M1600" s="80" t="n"/>
      <c r="N1600" s="80" t="n"/>
      <c r="O1600" s="80" t="n"/>
      <c r="P1600" s="80" t="n"/>
      <c r="Q1600" s="80" t="n"/>
      <c r="R1600" s="80" t="n"/>
      <c r="S1600" s="80" t="n"/>
      <c r="T1600" s="80" t="n"/>
      <c r="U1600" s="80" t="n"/>
      <c r="V1600" s="80" t="n"/>
      <c r="W1600" s="80" t="n"/>
      <c r="X1600" s="80" t="n"/>
      <c r="Y1600" s="80" t="n"/>
      <c r="Z1600" s="80" t="n"/>
      <c r="AA1600" s="80" t="n"/>
      <c r="AB1600" s="80" t="n"/>
      <c r="AC1600" s="80" t="n"/>
      <c r="AD1600" s="80" t="n"/>
      <c r="AE1600" s="80" t="n"/>
      <c r="AF1600" s="80" t="n"/>
      <c r="AG1600" s="80" t="n"/>
      <c r="AH1600" s="80" t="n"/>
      <c r="AI1600" s="80" t="n"/>
      <c r="AJ1600" s="80" t="n"/>
      <c r="AK1600" s="80" t="n"/>
      <c r="AL1600" s="80" t="n"/>
      <c r="AM1600" s="80" t="n"/>
      <c r="AN1600" s="80" t="n"/>
      <c r="AO1600" s="80" t="n"/>
      <c r="AP1600" s="80" t="n"/>
      <c r="AQ1600" s="80" t="n"/>
      <c r="AR1600" s="80" t="n"/>
    </row>
    <row r="1601">
      <c r="D1601" s="80" t="n"/>
      <c r="E1601" s="80" t="n"/>
      <c r="F1601" s="80" t="n"/>
      <c r="G1601" s="80" t="n"/>
      <c r="H1601" s="80" t="n"/>
      <c r="I1601" s="80" t="n"/>
      <c r="J1601" s="80" t="n"/>
      <c r="K1601" s="80" t="n"/>
      <c r="L1601" s="80" t="n"/>
      <c r="M1601" s="80" t="n"/>
      <c r="N1601" s="80" t="n"/>
      <c r="O1601" s="80" t="n"/>
      <c r="P1601" s="80" t="n"/>
      <c r="Q1601" s="80" t="n"/>
      <c r="R1601" s="80" t="n"/>
      <c r="S1601" s="80" t="n"/>
      <c r="T1601" s="80" t="n"/>
      <c r="U1601" s="80" t="n"/>
      <c r="V1601" s="80" t="n"/>
      <c r="W1601" s="80" t="n"/>
      <c r="X1601" s="80" t="n"/>
      <c r="Y1601" s="80" t="n"/>
      <c r="Z1601" s="80" t="n"/>
      <c r="AA1601" s="80" t="n"/>
      <c r="AB1601" s="80" t="n"/>
      <c r="AC1601" s="80" t="n"/>
      <c r="AD1601" s="80" t="n"/>
      <c r="AE1601" s="80" t="n"/>
      <c r="AF1601" s="80" t="n"/>
      <c r="AG1601" s="80" t="n"/>
      <c r="AH1601" s="80" t="n"/>
      <c r="AI1601" s="80" t="n"/>
      <c r="AJ1601" s="80" t="n"/>
      <c r="AK1601" s="80" t="n"/>
      <c r="AL1601" s="80" t="n"/>
      <c r="AM1601" s="80" t="n"/>
      <c r="AN1601" s="80" t="n"/>
      <c r="AO1601" s="80" t="n"/>
      <c r="AP1601" s="80" t="n"/>
      <c r="AQ1601" s="80" t="n"/>
      <c r="AR1601" s="80" t="n"/>
    </row>
    <row r="1602">
      <c r="D1602" s="80" t="n"/>
      <c r="E1602" s="80" t="n"/>
      <c r="F1602" s="80" t="n"/>
      <c r="G1602" s="80" t="n"/>
      <c r="H1602" s="80" t="n"/>
      <c r="I1602" s="80" t="n"/>
      <c r="J1602" s="80" t="n"/>
      <c r="K1602" s="80" t="n"/>
      <c r="L1602" s="80" t="n"/>
      <c r="M1602" s="80" t="n"/>
      <c r="N1602" s="80" t="n"/>
      <c r="O1602" s="80" t="n"/>
      <c r="P1602" s="80" t="n"/>
      <c r="Q1602" s="80" t="n"/>
      <c r="R1602" s="80" t="n"/>
      <c r="S1602" s="80" t="n"/>
      <c r="T1602" s="80" t="n"/>
      <c r="U1602" s="80" t="n"/>
      <c r="V1602" s="80" t="n"/>
      <c r="W1602" s="80" t="n"/>
      <c r="X1602" s="80" t="n"/>
      <c r="Y1602" s="80" t="n"/>
      <c r="Z1602" s="80" t="n"/>
      <c r="AA1602" s="80" t="n"/>
      <c r="AB1602" s="80" t="n"/>
      <c r="AC1602" s="80" t="n"/>
      <c r="AD1602" s="80" t="n"/>
      <c r="AE1602" s="80" t="n"/>
      <c r="AF1602" s="80" t="n"/>
      <c r="AG1602" s="80" t="n"/>
      <c r="AH1602" s="80" t="n"/>
      <c r="AI1602" s="80" t="n"/>
      <c r="AJ1602" s="80" t="n"/>
      <c r="AK1602" s="80" t="n"/>
      <c r="AL1602" s="80" t="n"/>
      <c r="AM1602" s="80" t="n"/>
      <c r="AN1602" s="80" t="n"/>
      <c r="AO1602" s="80" t="n"/>
      <c r="AP1602" s="80" t="n"/>
      <c r="AQ1602" s="80" t="n"/>
      <c r="AR1602" s="80" t="n"/>
    </row>
    <row r="1604">
      <c r="A1604" s="6">
        <f>IF(HSTECH!$C$13="","",HSTECH!$C$13)</f>
        <v/>
      </c>
      <c r="B1604" s="41">
        <f>IF($A1604="",0,COUNT($E1605:$AR1605))</f>
        <v/>
      </c>
      <c r="C1604" s="81">
        <f>IF($B1604=0,0,MAX($E1605:$AR1605))</f>
        <v/>
      </c>
      <c r="D1604" s="82">
        <f>BDS($A1604,'Field Check'!$C$7,"headers=y","startcol=1","endcol=7","dir=h","DVD_START_DT",Summary!$C$18,"DVD_END_DT",Summary!$D$18)</f>
        <v/>
      </c>
      <c r="E1604" s="83" t="n"/>
      <c r="F1604" s="83" t="n"/>
      <c r="G1604" s="83" t="n"/>
      <c r="H1604" s="83" t="n"/>
      <c r="I1604" s="83" t="n"/>
      <c r="J1604" s="83" t="n"/>
      <c r="K1604" s="83" t="n"/>
      <c r="L1604" s="83" t="n"/>
      <c r="M1604" s="83" t="n"/>
      <c r="N1604" s="83" t="n"/>
      <c r="O1604" s="83" t="n"/>
      <c r="P1604" s="83" t="n"/>
      <c r="Q1604" s="83" t="n"/>
      <c r="R1604" s="83" t="n"/>
      <c r="S1604" s="83" t="n"/>
      <c r="T1604" s="83" t="n"/>
      <c r="U1604" s="83" t="n"/>
      <c r="V1604" s="83" t="n"/>
      <c r="W1604" s="83" t="n"/>
      <c r="X1604" s="83" t="n"/>
      <c r="Y1604" s="83" t="n"/>
      <c r="Z1604" s="83" t="n"/>
      <c r="AA1604" s="83" t="n"/>
      <c r="AB1604" s="83" t="n"/>
      <c r="AC1604" s="83" t="n"/>
      <c r="AD1604" s="83" t="n"/>
      <c r="AE1604" s="83" t="n"/>
      <c r="AF1604" s="83" t="n"/>
      <c r="AG1604" s="83" t="n"/>
      <c r="AH1604" s="83" t="n"/>
      <c r="AI1604" s="83" t="n"/>
      <c r="AJ1604" s="83" t="n"/>
      <c r="AK1604" s="83" t="n"/>
      <c r="AL1604" s="83" t="n"/>
      <c r="AM1604" s="83" t="n"/>
      <c r="AN1604" s="83" t="n"/>
      <c r="AO1604" s="83" t="n"/>
      <c r="AP1604" s="83" t="n"/>
      <c r="AQ1604" s="83" t="n"/>
      <c r="AR1604" s="83" t="n"/>
    </row>
    <row r="1605">
      <c r="D1605" s="83" t="n"/>
      <c r="E1605" s="83" t="n"/>
      <c r="F1605" s="83" t="n"/>
      <c r="G1605" s="83" t="n"/>
      <c r="H1605" s="83" t="n"/>
      <c r="I1605" s="83" t="n"/>
      <c r="J1605" s="83" t="n"/>
      <c r="K1605" s="83" t="n"/>
      <c r="L1605" s="83" t="n"/>
      <c r="M1605" s="83" t="n"/>
      <c r="N1605" s="83" t="n"/>
      <c r="O1605" s="83" t="n"/>
      <c r="P1605" s="83" t="n"/>
      <c r="Q1605" s="83" t="n"/>
      <c r="R1605" s="83" t="n"/>
      <c r="S1605" s="83" t="n"/>
      <c r="T1605" s="83" t="n"/>
      <c r="U1605" s="83" t="n"/>
      <c r="V1605" s="83" t="n"/>
      <c r="W1605" s="83" t="n"/>
      <c r="X1605" s="83" t="n"/>
      <c r="Y1605" s="83" t="n"/>
      <c r="Z1605" s="83" t="n"/>
      <c r="AA1605" s="83" t="n"/>
      <c r="AB1605" s="83" t="n"/>
      <c r="AC1605" s="83" t="n"/>
      <c r="AD1605" s="83" t="n"/>
      <c r="AE1605" s="83" t="n"/>
      <c r="AF1605" s="83" t="n"/>
      <c r="AG1605" s="83" t="n"/>
      <c r="AH1605" s="83" t="n"/>
      <c r="AI1605" s="83" t="n"/>
      <c r="AJ1605" s="83" t="n"/>
      <c r="AK1605" s="83" t="n"/>
      <c r="AL1605" s="83" t="n"/>
      <c r="AM1605" s="83" t="n"/>
      <c r="AN1605" s="83" t="n"/>
      <c r="AO1605" s="83" t="n"/>
      <c r="AP1605" s="83" t="n"/>
      <c r="AQ1605" s="83" t="n"/>
      <c r="AR1605" s="83" t="n"/>
    </row>
    <row r="1606">
      <c r="D1606" s="84" t="n"/>
      <c r="E1606" s="84" t="n"/>
      <c r="F1606" s="84" t="n"/>
      <c r="G1606" s="84" t="n"/>
      <c r="H1606" s="84" t="n"/>
      <c r="I1606" s="84" t="n"/>
      <c r="J1606" s="84" t="n"/>
      <c r="K1606" s="84" t="n"/>
      <c r="L1606" s="84" t="n"/>
      <c r="M1606" s="84" t="n"/>
      <c r="N1606" s="84" t="n"/>
      <c r="O1606" s="84" t="n"/>
      <c r="P1606" s="84" t="n"/>
      <c r="Q1606" s="84" t="n"/>
      <c r="R1606" s="84" t="n"/>
      <c r="S1606" s="84" t="n"/>
      <c r="T1606" s="84" t="n"/>
      <c r="U1606" s="84" t="n"/>
      <c r="V1606" s="84" t="n"/>
      <c r="W1606" s="84" t="n"/>
      <c r="X1606" s="84" t="n"/>
      <c r="Y1606" s="84" t="n"/>
      <c r="Z1606" s="84" t="n"/>
      <c r="AA1606" s="84" t="n"/>
      <c r="AB1606" s="84" t="n"/>
      <c r="AC1606" s="84" t="n"/>
      <c r="AD1606" s="84" t="n"/>
      <c r="AE1606" s="84" t="n"/>
      <c r="AF1606" s="84" t="n"/>
      <c r="AG1606" s="84" t="n"/>
      <c r="AH1606" s="84" t="n"/>
      <c r="AI1606" s="84" t="n"/>
      <c r="AJ1606" s="84" t="n"/>
      <c r="AK1606" s="84" t="n"/>
      <c r="AL1606" s="84" t="n"/>
      <c r="AM1606" s="84" t="n"/>
      <c r="AN1606" s="84" t="n"/>
      <c r="AO1606" s="84" t="n"/>
      <c r="AP1606" s="84" t="n"/>
      <c r="AQ1606" s="84" t="n"/>
      <c r="AR1606" s="84" t="n"/>
    </row>
    <row r="1607">
      <c r="D1607" s="80" t="n"/>
      <c r="E1607" s="80" t="n"/>
      <c r="F1607" s="80" t="n"/>
      <c r="G1607" s="80" t="n"/>
      <c r="H1607" s="80" t="n"/>
      <c r="I1607" s="80" t="n"/>
      <c r="J1607" s="80" t="n"/>
      <c r="K1607" s="80" t="n"/>
      <c r="L1607" s="80" t="n"/>
      <c r="M1607" s="80" t="n"/>
      <c r="N1607" s="80" t="n"/>
      <c r="O1607" s="80" t="n"/>
      <c r="P1607" s="80" t="n"/>
      <c r="Q1607" s="80" t="n"/>
      <c r="R1607" s="80" t="n"/>
      <c r="S1607" s="80" t="n"/>
      <c r="T1607" s="80" t="n"/>
      <c r="U1607" s="80" t="n"/>
      <c r="V1607" s="80" t="n"/>
      <c r="W1607" s="80" t="n"/>
      <c r="X1607" s="80" t="n"/>
      <c r="Y1607" s="80" t="n"/>
      <c r="Z1607" s="80" t="n"/>
      <c r="AA1607" s="80" t="n"/>
      <c r="AB1607" s="80" t="n"/>
      <c r="AC1607" s="80" t="n"/>
      <c r="AD1607" s="80" t="n"/>
      <c r="AE1607" s="80" t="n"/>
      <c r="AF1607" s="80" t="n"/>
      <c r="AG1607" s="80" t="n"/>
      <c r="AH1607" s="80" t="n"/>
      <c r="AI1607" s="80" t="n"/>
      <c r="AJ1607" s="80" t="n"/>
      <c r="AK1607" s="80" t="n"/>
      <c r="AL1607" s="80" t="n"/>
      <c r="AM1607" s="80" t="n"/>
      <c r="AN1607" s="80" t="n"/>
      <c r="AO1607" s="80" t="n"/>
      <c r="AP1607" s="80" t="n"/>
      <c r="AQ1607" s="80" t="n"/>
      <c r="AR1607" s="80" t="n"/>
    </row>
    <row r="1608">
      <c r="D1608" s="80" t="n"/>
      <c r="E1608" s="80" t="n"/>
      <c r="F1608" s="80" t="n"/>
      <c r="G1608" s="80" t="n"/>
      <c r="H1608" s="80" t="n"/>
      <c r="I1608" s="80" t="n"/>
      <c r="J1608" s="80" t="n"/>
      <c r="K1608" s="80" t="n"/>
      <c r="L1608" s="80" t="n"/>
      <c r="M1608" s="80" t="n"/>
      <c r="N1608" s="80" t="n"/>
      <c r="O1608" s="80" t="n"/>
      <c r="P1608" s="80" t="n"/>
      <c r="Q1608" s="80" t="n"/>
      <c r="R1608" s="80" t="n"/>
      <c r="S1608" s="80" t="n"/>
      <c r="T1608" s="80" t="n"/>
      <c r="U1608" s="80" t="n"/>
      <c r="V1608" s="80" t="n"/>
      <c r="W1608" s="80" t="n"/>
      <c r="X1608" s="80" t="n"/>
      <c r="Y1608" s="80" t="n"/>
      <c r="Z1608" s="80" t="n"/>
      <c r="AA1608" s="80" t="n"/>
      <c r="AB1608" s="80" t="n"/>
      <c r="AC1608" s="80" t="n"/>
      <c r="AD1608" s="80" t="n"/>
      <c r="AE1608" s="80" t="n"/>
      <c r="AF1608" s="80" t="n"/>
      <c r="AG1608" s="80" t="n"/>
      <c r="AH1608" s="80" t="n"/>
      <c r="AI1608" s="80" t="n"/>
      <c r="AJ1608" s="80" t="n"/>
      <c r="AK1608" s="80" t="n"/>
      <c r="AL1608" s="80" t="n"/>
      <c r="AM1608" s="80" t="n"/>
      <c r="AN1608" s="80" t="n"/>
      <c r="AO1608" s="80" t="n"/>
      <c r="AP1608" s="80" t="n"/>
      <c r="AQ1608" s="80" t="n"/>
      <c r="AR1608" s="80" t="n"/>
    </row>
    <row r="1609">
      <c r="D1609" s="80" t="n"/>
      <c r="E1609" s="80" t="n"/>
      <c r="F1609" s="80" t="n"/>
      <c r="G1609" s="80" t="n"/>
      <c r="H1609" s="80" t="n"/>
      <c r="I1609" s="80" t="n"/>
      <c r="J1609" s="80" t="n"/>
      <c r="K1609" s="80" t="n"/>
      <c r="L1609" s="80" t="n"/>
      <c r="M1609" s="80" t="n"/>
      <c r="N1609" s="80" t="n"/>
      <c r="O1609" s="80" t="n"/>
      <c r="P1609" s="80" t="n"/>
      <c r="Q1609" s="80" t="n"/>
      <c r="R1609" s="80" t="n"/>
      <c r="S1609" s="80" t="n"/>
      <c r="T1609" s="80" t="n"/>
      <c r="U1609" s="80" t="n"/>
      <c r="V1609" s="80" t="n"/>
      <c r="W1609" s="80" t="n"/>
      <c r="X1609" s="80" t="n"/>
      <c r="Y1609" s="80" t="n"/>
      <c r="Z1609" s="80" t="n"/>
      <c r="AA1609" s="80" t="n"/>
      <c r="AB1609" s="80" t="n"/>
      <c r="AC1609" s="80" t="n"/>
      <c r="AD1609" s="80" t="n"/>
      <c r="AE1609" s="80" t="n"/>
      <c r="AF1609" s="80" t="n"/>
      <c r="AG1609" s="80" t="n"/>
      <c r="AH1609" s="80" t="n"/>
      <c r="AI1609" s="80" t="n"/>
      <c r="AJ1609" s="80" t="n"/>
      <c r="AK1609" s="80" t="n"/>
      <c r="AL1609" s="80" t="n"/>
      <c r="AM1609" s="80" t="n"/>
      <c r="AN1609" s="80" t="n"/>
      <c r="AO1609" s="80" t="n"/>
      <c r="AP1609" s="80" t="n"/>
      <c r="AQ1609" s="80" t="n"/>
      <c r="AR1609" s="80" t="n"/>
    </row>
    <row r="1610">
      <c r="D1610" s="80" t="n"/>
      <c r="E1610" s="80" t="n"/>
      <c r="F1610" s="80" t="n"/>
      <c r="G1610" s="80" t="n"/>
      <c r="H1610" s="80" t="n"/>
      <c r="I1610" s="80" t="n"/>
      <c r="J1610" s="80" t="n"/>
      <c r="K1610" s="80" t="n"/>
      <c r="L1610" s="80" t="n"/>
      <c r="M1610" s="80" t="n"/>
      <c r="N1610" s="80" t="n"/>
      <c r="O1610" s="80" t="n"/>
      <c r="P1610" s="80" t="n"/>
      <c r="Q1610" s="80" t="n"/>
      <c r="R1610" s="80" t="n"/>
      <c r="S1610" s="80" t="n"/>
      <c r="T1610" s="80" t="n"/>
      <c r="U1610" s="80" t="n"/>
      <c r="V1610" s="80" t="n"/>
      <c r="W1610" s="80" t="n"/>
      <c r="X1610" s="80" t="n"/>
      <c r="Y1610" s="80" t="n"/>
      <c r="Z1610" s="80" t="n"/>
      <c r="AA1610" s="80" t="n"/>
      <c r="AB1610" s="80" t="n"/>
      <c r="AC1610" s="80" t="n"/>
      <c r="AD1610" s="80" t="n"/>
      <c r="AE1610" s="80" t="n"/>
      <c r="AF1610" s="80" t="n"/>
      <c r="AG1610" s="80" t="n"/>
      <c r="AH1610" s="80" t="n"/>
      <c r="AI1610" s="80" t="n"/>
      <c r="AJ1610" s="80" t="n"/>
      <c r="AK1610" s="80" t="n"/>
      <c r="AL1610" s="80" t="n"/>
      <c r="AM1610" s="80" t="n"/>
      <c r="AN1610" s="80" t="n"/>
      <c r="AO1610" s="80" t="n"/>
      <c r="AP1610" s="80" t="n"/>
      <c r="AQ1610" s="80" t="n"/>
      <c r="AR1610" s="80" t="n"/>
    </row>
    <row r="1611">
      <c r="A1611" s="2">
        <f>IF($A1604="","","   projections")</f>
        <v/>
      </c>
      <c r="B1611" s="41">
        <f>IF($A1604="",0,COUNT($E1612:$AR1612))</f>
        <v/>
      </c>
      <c r="C1611" s="81">
        <f>IF($B1611=0,0,MAX($E1612:$AR1612))</f>
        <v/>
      </c>
      <c r="D1611" s="82">
        <f>BDS($A1604,'Field Check'!$C$6,"headers=y","startcol=1","endcol=7","dir=h")</f>
        <v/>
      </c>
      <c r="E1611" s="83" t="n"/>
      <c r="F1611" s="83" t="n"/>
      <c r="G1611" s="83" t="n"/>
      <c r="H1611" s="83" t="n"/>
      <c r="I1611" s="83" t="n"/>
      <c r="J1611" s="83" t="n"/>
      <c r="K1611" s="83" t="n"/>
      <c r="L1611" s="83" t="n"/>
      <c r="M1611" s="83" t="n"/>
      <c r="N1611" s="83" t="n"/>
      <c r="O1611" s="83" t="n"/>
      <c r="P1611" s="83" t="n"/>
      <c r="Q1611" s="83" t="n"/>
      <c r="R1611" s="83" t="n"/>
      <c r="S1611" s="83" t="n"/>
      <c r="T1611" s="83" t="n"/>
      <c r="U1611" s="83" t="n"/>
      <c r="V1611" s="83" t="n"/>
      <c r="W1611" s="83" t="n"/>
      <c r="X1611" s="83" t="n"/>
      <c r="Y1611" s="83" t="n"/>
      <c r="Z1611" s="83" t="n"/>
      <c r="AA1611" s="83" t="n"/>
      <c r="AB1611" s="83" t="n"/>
      <c r="AC1611" s="83" t="n"/>
      <c r="AD1611" s="83" t="n"/>
      <c r="AE1611" s="83" t="n"/>
      <c r="AF1611" s="83" t="n"/>
      <c r="AG1611" s="83" t="n"/>
      <c r="AH1611" s="83" t="n"/>
      <c r="AI1611" s="83" t="n"/>
      <c r="AJ1611" s="83" t="n"/>
      <c r="AK1611" s="83" t="n"/>
      <c r="AL1611" s="83" t="n"/>
      <c r="AM1611" s="83" t="n"/>
      <c r="AN1611" s="83" t="n"/>
      <c r="AO1611" s="83" t="n"/>
      <c r="AP1611" s="83" t="n"/>
      <c r="AQ1611" s="83" t="n"/>
      <c r="AR1611" s="83" t="n"/>
    </row>
    <row r="1612">
      <c r="D1612" s="83" t="n"/>
      <c r="E1612" s="83" t="n"/>
      <c r="F1612" s="83" t="n"/>
      <c r="G1612" s="83" t="n"/>
      <c r="H1612" s="83" t="n"/>
      <c r="I1612" s="83" t="n"/>
      <c r="J1612" s="83" t="n"/>
      <c r="K1612" s="83" t="n"/>
      <c r="L1612" s="83" t="n"/>
      <c r="M1612" s="83" t="n"/>
      <c r="N1612" s="83" t="n"/>
      <c r="O1612" s="83" t="n"/>
      <c r="P1612" s="83" t="n"/>
      <c r="Q1612" s="83" t="n"/>
      <c r="R1612" s="83" t="n"/>
      <c r="S1612" s="83" t="n"/>
      <c r="T1612" s="83" t="n"/>
      <c r="U1612" s="83" t="n"/>
      <c r="V1612" s="83" t="n"/>
      <c r="W1612" s="83" t="n"/>
      <c r="X1612" s="83" t="n"/>
      <c r="Y1612" s="83" t="n"/>
      <c r="Z1612" s="83" t="n"/>
      <c r="AA1612" s="83" t="n"/>
      <c r="AB1612" s="83" t="n"/>
      <c r="AC1612" s="83" t="n"/>
      <c r="AD1612" s="83" t="n"/>
      <c r="AE1612" s="83" t="n"/>
      <c r="AF1612" s="83" t="n"/>
      <c r="AG1612" s="83" t="n"/>
      <c r="AH1612" s="83" t="n"/>
      <c r="AI1612" s="83" t="n"/>
      <c r="AJ1612" s="83" t="n"/>
      <c r="AK1612" s="83" t="n"/>
      <c r="AL1612" s="83" t="n"/>
      <c r="AM1612" s="83" t="n"/>
      <c r="AN1612" s="83" t="n"/>
      <c r="AO1612" s="83" t="n"/>
      <c r="AP1612" s="83" t="n"/>
      <c r="AQ1612" s="83" t="n"/>
      <c r="AR1612" s="83" t="n"/>
    </row>
    <row r="1613">
      <c r="D1613" s="84" t="n"/>
      <c r="E1613" s="84" t="n"/>
      <c r="F1613" s="84" t="n"/>
      <c r="G1613" s="84" t="n"/>
      <c r="H1613" s="84" t="n"/>
      <c r="I1613" s="84" t="n"/>
      <c r="J1613" s="84" t="n"/>
      <c r="K1613" s="84" t="n"/>
      <c r="L1613" s="84" t="n"/>
      <c r="M1613" s="84" t="n"/>
      <c r="N1613" s="84" t="n"/>
      <c r="O1613" s="84" t="n"/>
      <c r="P1613" s="84" t="n"/>
      <c r="Q1613" s="84" t="n"/>
      <c r="R1613" s="84" t="n"/>
      <c r="S1613" s="84" t="n"/>
      <c r="T1613" s="84" t="n"/>
      <c r="U1613" s="84" t="n"/>
      <c r="V1613" s="84" t="n"/>
      <c r="W1613" s="84" t="n"/>
      <c r="X1613" s="84" t="n"/>
      <c r="Y1613" s="84" t="n"/>
      <c r="Z1613" s="84" t="n"/>
      <c r="AA1613" s="84" t="n"/>
      <c r="AB1613" s="84" t="n"/>
      <c r="AC1613" s="84" t="n"/>
      <c r="AD1613" s="84" t="n"/>
      <c r="AE1613" s="84" t="n"/>
      <c r="AF1613" s="84" t="n"/>
      <c r="AG1613" s="84" t="n"/>
      <c r="AH1613" s="84" t="n"/>
      <c r="AI1613" s="84" t="n"/>
      <c r="AJ1613" s="84" t="n"/>
      <c r="AK1613" s="84" t="n"/>
      <c r="AL1613" s="84" t="n"/>
      <c r="AM1613" s="84" t="n"/>
      <c r="AN1613" s="84" t="n"/>
      <c r="AO1613" s="84" t="n"/>
      <c r="AP1613" s="84" t="n"/>
      <c r="AQ1613" s="84" t="n"/>
      <c r="AR1613" s="84" t="n"/>
    </row>
    <row r="1614">
      <c r="D1614" s="80" t="n"/>
      <c r="E1614" s="80" t="n"/>
      <c r="F1614" s="80" t="n"/>
      <c r="G1614" s="80" t="n"/>
      <c r="H1614" s="80" t="n"/>
      <c r="I1614" s="80" t="n"/>
      <c r="J1614" s="80" t="n"/>
      <c r="K1614" s="80" t="n"/>
      <c r="L1614" s="80" t="n"/>
      <c r="M1614" s="80" t="n"/>
      <c r="N1614" s="80" t="n"/>
      <c r="O1614" s="80" t="n"/>
      <c r="P1614" s="80" t="n"/>
      <c r="Q1614" s="80" t="n"/>
      <c r="R1614" s="80" t="n"/>
      <c r="S1614" s="80" t="n"/>
      <c r="T1614" s="80" t="n"/>
      <c r="U1614" s="80" t="n"/>
      <c r="V1614" s="80" t="n"/>
      <c r="W1614" s="80" t="n"/>
      <c r="X1614" s="80" t="n"/>
      <c r="Y1614" s="80" t="n"/>
      <c r="Z1614" s="80" t="n"/>
      <c r="AA1614" s="80" t="n"/>
      <c r="AB1614" s="80" t="n"/>
      <c r="AC1614" s="80" t="n"/>
      <c r="AD1614" s="80" t="n"/>
      <c r="AE1614" s="80" t="n"/>
      <c r="AF1614" s="80" t="n"/>
      <c r="AG1614" s="80" t="n"/>
      <c r="AH1614" s="80" t="n"/>
      <c r="AI1614" s="80" t="n"/>
      <c r="AJ1614" s="80" t="n"/>
      <c r="AK1614" s="80" t="n"/>
      <c r="AL1614" s="80" t="n"/>
      <c r="AM1614" s="80" t="n"/>
      <c r="AN1614" s="80" t="n"/>
      <c r="AO1614" s="80" t="n"/>
      <c r="AP1614" s="80" t="n"/>
      <c r="AQ1614" s="80" t="n"/>
      <c r="AR1614" s="80" t="n"/>
    </row>
    <row r="1615">
      <c r="D1615" s="80" t="n"/>
      <c r="E1615" s="80" t="n"/>
      <c r="F1615" s="80" t="n"/>
      <c r="G1615" s="80" t="n"/>
      <c r="H1615" s="80" t="n"/>
      <c r="I1615" s="80" t="n"/>
      <c r="J1615" s="80" t="n"/>
      <c r="K1615" s="80" t="n"/>
      <c r="L1615" s="80" t="n"/>
      <c r="M1615" s="80" t="n"/>
      <c r="N1615" s="80" t="n"/>
      <c r="O1615" s="80" t="n"/>
      <c r="P1615" s="80" t="n"/>
      <c r="Q1615" s="80" t="n"/>
      <c r="R1615" s="80" t="n"/>
      <c r="S1615" s="80" t="n"/>
      <c r="T1615" s="80" t="n"/>
      <c r="U1615" s="80" t="n"/>
      <c r="V1615" s="80" t="n"/>
      <c r="W1615" s="80" t="n"/>
      <c r="X1615" s="80" t="n"/>
      <c r="Y1615" s="80" t="n"/>
      <c r="Z1615" s="80" t="n"/>
      <c r="AA1615" s="80" t="n"/>
      <c r="AB1615" s="80" t="n"/>
      <c r="AC1615" s="80" t="n"/>
      <c r="AD1615" s="80" t="n"/>
      <c r="AE1615" s="80" t="n"/>
      <c r="AF1615" s="80" t="n"/>
      <c r="AG1615" s="80" t="n"/>
      <c r="AH1615" s="80" t="n"/>
      <c r="AI1615" s="80" t="n"/>
      <c r="AJ1615" s="80" t="n"/>
      <c r="AK1615" s="80" t="n"/>
      <c r="AL1615" s="80" t="n"/>
      <c r="AM1615" s="80" t="n"/>
      <c r="AN1615" s="80" t="n"/>
      <c r="AO1615" s="80" t="n"/>
      <c r="AP1615" s="80" t="n"/>
      <c r="AQ1615" s="80" t="n"/>
      <c r="AR1615" s="80" t="n"/>
    </row>
    <row r="1616">
      <c r="D1616" s="80" t="n"/>
      <c r="E1616" s="80" t="n"/>
      <c r="F1616" s="80" t="n"/>
      <c r="G1616" s="80" t="n"/>
      <c r="H1616" s="80" t="n"/>
      <c r="I1616" s="80" t="n"/>
      <c r="J1616" s="80" t="n"/>
      <c r="K1616" s="80" t="n"/>
      <c r="L1616" s="80" t="n"/>
      <c r="M1616" s="80" t="n"/>
      <c r="N1616" s="80" t="n"/>
      <c r="O1616" s="80" t="n"/>
      <c r="P1616" s="80" t="n"/>
      <c r="Q1616" s="80" t="n"/>
      <c r="R1616" s="80" t="n"/>
      <c r="S1616" s="80" t="n"/>
      <c r="T1616" s="80" t="n"/>
      <c r="U1616" s="80" t="n"/>
      <c r="V1616" s="80" t="n"/>
      <c r="W1616" s="80" t="n"/>
      <c r="X1616" s="80" t="n"/>
      <c r="Y1616" s="80" t="n"/>
      <c r="Z1616" s="80" t="n"/>
      <c r="AA1616" s="80" t="n"/>
      <c r="AB1616" s="80" t="n"/>
      <c r="AC1616" s="80" t="n"/>
      <c r="AD1616" s="80" t="n"/>
      <c r="AE1616" s="80" t="n"/>
      <c r="AF1616" s="80" t="n"/>
      <c r="AG1616" s="80" t="n"/>
      <c r="AH1616" s="80" t="n"/>
      <c r="AI1616" s="80" t="n"/>
      <c r="AJ1616" s="80" t="n"/>
      <c r="AK1616" s="80" t="n"/>
      <c r="AL1616" s="80" t="n"/>
      <c r="AM1616" s="80" t="n"/>
      <c r="AN1616" s="80" t="n"/>
      <c r="AO1616" s="80" t="n"/>
      <c r="AP1616" s="80" t="n"/>
      <c r="AQ1616" s="80" t="n"/>
      <c r="AR1616" s="80" t="n"/>
    </row>
    <row r="1617">
      <c r="D1617" s="80" t="n"/>
      <c r="E1617" s="80" t="n"/>
      <c r="F1617" s="80" t="n"/>
      <c r="G1617" s="80" t="n"/>
      <c r="H1617" s="80" t="n"/>
      <c r="I1617" s="80" t="n"/>
      <c r="J1617" s="80" t="n"/>
      <c r="K1617" s="80" t="n"/>
      <c r="L1617" s="80" t="n"/>
      <c r="M1617" s="80" t="n"/>
      <c r="N1617" s="80" t="n"/>
      <c r="O1617" s="80" t="n"/>
      <c r="P1617" s="80" t="n"/>
      <c r="Q1617" s="80" t="n"/>
      <c r="R1617" s="80" t="n"/>
      <c r="S1617" s="80" t="n"/>
      <c r="T1617" s="80" t="n"/>
      <c r="U1617" s="80" t="n"/>
      <c r="V1617" s="80" t="n"/>
      <c r="W1617" s="80" t="n"/>
      <c r="X1617" s="80" t="n"/>
      <c r="Y1617" s="80" t="n"/>
      <c r="Z1617" s="80" t="n"/>
      <c r="AA1617" s="80" t="n"/>
      <c r="AB1617" s="80" t="n"/>
      <c r="AC1617" s="80" t="n"/>
      <c r="AD1617" s="80" t="n"/>
      <c r="AE1617" s="80" t="n"/>
      <c r="AF1617" s="80" t="n"/>
      <c r="AG1617" s="80" t="n"/>
      <c r="AH1617" s="80" t="n"/>
      <c r="AI1617" s="80" t="n"/>
      <c r="AJ1617" s="80" t="n"/>
      <c r="AK1617" s="80" t="n"/>
      <c r="AL1617" s="80" t="n"/>
      <c r="AM1617" s="80" t="n"/>
      <c r="AN1617" s="80" t="n"/>
      <c r="AO1617" s="80" t="n"/>
      <c r="AP1617" s="80" t="n"/>
      <c r="AQ1617" s="80" t="n"/>
      <c r="AR1617" s="80" t="n"/>
    </row>
    <row r="1619">
      <c r="A1619" s="6">
        <f>IF(HSTECH!$C$14="","",HSTECH!$C$14)</f>
        <v/>
      </c>
      <c r="B1619" s="41">
        <f>IF($A1619="",0,COUNT($E1620:$AR1620))</f>
        <v/>
      </c>
      <c r="C1619" s="81">
        <f>IF($B1619=0,0,MAX($E1620:$AR1620))</f>
        <v/>
      </c>
      <c r="D1619" s="82">
        <f>BDS($A1619,'Field Check'!$C$7,"headers=y","startcol=1","endcol=7","dir=h","DVD_START_DT",Summary!$C$18,"DVD_END_DT",Summary!$D$18)</f>
        <v/>
      </c>
      <c r="E1619" s="83" t="n"/>
      <c r="F1619" s="83" t="n"/>
      <c r="G1619" s="83" t="n"/>
      <c r="H1619" s="83" t="n"/>
      <c r="I1619" s="83" t="n"/>
      <c r="J1619" s="83" t="n"/>
      <c r="K1619" s="83" t="n"/>
      <c r="L1619" s="83" t="n"/>
      <c r="M1619" s="83" t="n"/>
      <c r="N1619" s="83" t="n"/>
      <c r="O1619" s="83" t="n"/>
      <c r="P1619" s="83" t="n"/>
      <c r="Q1619" s="83" t="n"/>
      <c r="R1619" s="83" t="n"/>
      <c r="S1619" s="83" t="n"/>
      <c r="T1619" s="83" t="n"/>
      <c r="U1619" s="83" t="n"/>
      <c r="V1619" s="83" t="n"/>
      <c r="W1619" s="83" t="n"/>
      <c r="X1619" s="83" t="n"/>
      <c r="Y1619" s="83" t="n"/>
      <c r="Z1619" s="83" t="n"/>
      <c r="AA1619" s="83" t="n"/>
      <c r="AB1619" s="83" t="n"/>
      <c r="AC1619" s="83" t="n"/>
      <c r="AD1619" s="83" t="n"/>
      <c r="AE1619" s="83" t="n"/>
      <c r="AF1619" s="83" t="n"/>
      <c r="AG1619" s="83" t="n"/>
      <c r="AH1619" s="83" t="n"/>
      <c r="AI1619" s="83" t="n"/>
      <c r="AJ1619" s="83" t="n"/>
      <c r="AK1619" s="83" t="n"/>
      <c r="AL1619" s="83" t="n"/>
      <c r="AM1619" s="83" t="n"/>
      <c r="AN1619" s="83" t="n"/>
      <c r="AO1619" s="83" t="n"/>
      <c r="AP1619" s="83" t="n"/>
      <c r="AQ1619" s="83" t="n"/>
      <c r="AR1619" s="83" t="n"/>
    </row>
    <row r="1620">
      <c r="D1620" s="83" t="n"/>
      <c r="E1620" s="83" t="n"/>
      <c r="F1620" s="83" t="n"/>
      <c r="G1620" s="83" t="n"/>
      <c r="H1620" s="83" t="n"/>
      <c r="I1620" s="83" t="n"/>
      <c r="J1620" s="83" t="n"/>
      <c r="K1620" s="83" t="n"/>
      <c r="L1620" s="83" t="n"/>
      <c r="M1620" s="83" t="n"/>
      <c r="N1620" s="83" t="n"/>
      <c r="O1620" s="83" t="n"/>
      <c r="P1620" s="83" t="n"/>
      <c r="Q1620" s="83" t="n"/>
      <c r="R1620" s="83" t="n"/>
      <c r="S1620" s="83" t="n"/>
      <c r="T1620" s="83" t="n"/>
      <c r="U1620" s="83" t="n"/>
      <c r="V1620" s="83" t="n"/>
      <c r="W1620" s="83" t="n"/>
      <c r="X1620" s="83" t="n"/>
      <c r="Y1620" s="83" t="n"/>
      <c r="Z1620" s="83" t="n"/>
      <c r="AA1620" s="83" t="n"/>
      <c r="AB1620" s="83" t="n"/>
      <c r="AC1620" s="83" t="n"/>
      <c r="AD1620" s="83" t="n"/>
      <c r="AE1620" s="83" t="n"/>
      <c r="AF1620" s="83" t="n"/>
      <c r="AG1620" s="83" t="n"/>
      <c r="AH1620" s="83" t="n"/>
      <c r="AI1620" s="83" t="n"/>
      <c r="AJ1620" s="83" t="n"/>
      <c r="AK1620" s="83" t="n"/>
      <c r="AL1620" s="83" t="n"/>
      <c r="AM1620" s="83" t="n"/>
      <c r="AN1620" s="83" t="n"/>
      <c r="AO1620" s="83" t="n"/>
      <c r="AP1620" s="83" t="n"/>
      <c r="AQ1620" s="83" t="n"/>
      <c r="AR1620" s="83" t="n"/>
    </row>
    <row r="1621">
      <c r="D1621" s="84" t="n"/>
      <c r="E1621" s="84" t="n"/>
      <c r="F1621" s="84" t="n"/>
      <c r="G1621" s="84" t="n"/>
      <c r="H1621" s="84" t="n"/>
      <c r="I1621" s="84" t="n"/>
      <c r="J1621" s="84" t="n"/>
      <c r="K1621" s="84" t="n"/>
      <c r="L1621" s="84" t="n"/>
      <c r="M1621" s="84" t="n"/>
      <c r="N1621" s="84" t="n"/>
      <c r="O1621" s="84" t="n"/>
      <c r="P1621" s="84" t="n"/>
      <c r="Q1621" s="84" t="n"/>
      <c r="R1621" s="84" t="n"/>
      <c r="S1621" s="84" t="n"/>
      <c r="T1621" s="84" t="n"/>
      <c r="U1621" s="84" t="n"/>
      <c r="V1621" s="84" t="n"/>
      <c r="W1621" s="84" t="n"/>
      <c r="X1621" s="84" t="n"/>
      <c r="Y1621" s="84" t="n"/>
      <c r="Z1621" s="84" t="n"/>
      <c r="AA1621" s="84" t="n"/>
      <c r="AB1621" s="84" t="n"/>
      <c r="AC1621" s="84" t="n"/>
      <c r="AD1621" s="84" t="n"/>
      <c r="AE1621" s="84" t="n"/>
      <c r="AF1621" s="84" t="n"/>
      <c r="AG1621" s="84" t="n"/>
      <c r="AH1621" s="84" t="n"/>
      <c r="AI1621" s="84" t="n"/>
      <c r="AJ1621" s="84" t="n"/>
      <c r="AK1621" s="84" t="n"/>
      <c r="AL1621" s="84" t="n"/>
      <c r="AM1621" s="84" t="n"/>
      <c r="AN1621" s="84" t="n"/>
      <c r="AO1621" s="84" t="n"/>
      <c r="AP1621" s="84" t="n"/>
      <c r="AQ1621" s="84" t="n"/>
      <c r="AR1621" s="84" t="n"/>
    </row>
    <row r="1622">
      <c r="D1622" s="80" t="n"/>
      <c r="E1622" s="80" t="n"/>
      <c r="F1622" s="80" t="n"/>
      <c r="G1622" s="80" t="n"/>
      <c r="H1622" s="80" t="n"/>
      <c r="I1622" s="80" t="n"/>
      <c r="J1622" s="80" t="n"/>
      <c r="K1622" s="80" t="n"/>
      <c r="L1622" s="80" t="n"/>
      <c r="M1622" s="80" t="n"/>
      <c r="N1622" s="80" t="n"/>
      <c r="O1622" s="80" t="n"/>
      <c r="P1622" s="80" t="n"/>
      <c r="Q1622" s="80" t="n"/>
      <c r="R1622" s="80" t="n"/>
      <c r="S1622" s="80" t="n"/>
      <c r="T1622" s="80" t="n"/>
      <c r="U1622" s="80" t="n"/>
      <c r="V1622" s="80" t="n"/>
      <c r="W1622" s="80" t="n"/>
      <c r="X1622" s="80" t="n"/>
      <c r="Y1622" s="80" t="n"/>
      <c r="Z1622" s="80" t="n"/>
      <c r="AA1622" s="80" t="n"/>
      <c r="AB1622" s="80" t="n"/>
      <c r="AC1622" s="80" t="n"/>
      <c r="AD1622" s="80" t="n"/>
      <c r="AE1622" s="80" t="n"/>
      <c r="AF1622" s="80" t="n"/>
      <c r="AG1622" s="80" t="n"/>
      <c r="AH1622" s="80" t="n"/>
      <c r="AI1622" s="80" t="n"/>
      <c r="AJ1622" s="80" t="n"/>
      <c r="AK1622" s="80" t="n"/>
      <c r="AL1622" s="80" t="n"/>
      <c r="AM1622" s="80" t="n"/>
      <c r="AN1622" s="80" t="n"/>
      <c r="AO1622" s="80" t="n"/>
      <c r="AP1622" s="80" t="n"/>
      <c r="AQ1622" s="80" t="n"/>
      <c r="AR1622" s="80" t="n"/>
    </row>
    <row r="1623">
      <c r="D1623" s="80" t="n"/>
      <c r="E1623" s="80" t="n"/>
      <c r="F1623" s="80" t="n"/>
      <c r="G1623" s="80" t="n"/>
      <c r="H1623" s="80" t="n"/>
      <c r="I1623" s="80" t="n"/>
      <c r="J1623" s="80" t="n"/>
      <c r="K1623" s="80" t="n"/>
      <c r="L1623" s="80" t="n"/>
      <c r="M1623" s="80" t="n"/>
      <c r="N1623" s="80" t="n"/>
      <c r="O1623" s="80" t="n"/>
      <c r="P1623" s="80" t="n"/>
      <c r="Q1623" s="80" t="n"/>
      <c r="R1623" s="80" t="n"/>
      <c r="S1623" s="80" t="n"/>
      <c r="T1623" s="80" t="n"/>
      <c r="U1623" s="80" t="n"/>
      <c r="V1623" s="80" t="n"/>
      <c r="W1623" s="80" t="n"/>
      <c r="X1623" s="80" t="n"/>
      <c r="Y1623" s="80" t="n"/>
      <c r="Z1623" s="80" t="n"/>
      <c r="AA1623" s="80" t="n"/>
      <c r="AB1623" s="80" t="n"/>
      <c r="AC1623" s="80" t="n"/>
      <c r="AD1623" s="80" t="n"/>
      <c r="AE1623" s="80" t="n"/>
      <c r="AF1623" s="80" t="n"/>
      <c r="AG1623" s="80" t="n"/>
      <c r="AH1623" s="80" t="n"/>
      <c r="AI1623" s="80" t="n"/>
      <c r="AJ1623" s="80" t="n"/>
      <c r="AK1623" s="80" t="n"/>
      <c r="AL1623" s="80" t="n"/>
      <c r="AM1623" s="80" t="n"/>
      <c r="AN1623" s="80" t="n"/>
      <c r="AO1623" s="80" t="n"/>
      <c r="AP1623" s="80" t="n"/>
      <c r="AQ1623" s="80" t="n"/>
      <c r="AR1623" s="80" t="n"/>
    </row>
    <row r="1624">
      <c r="D1624" s="80" t="n"/>
      <c r="E1624" s="80" t="n"/>
      <c r="F1624" s="80" t="n"/>
      <c r="G1624" s="80" t="n"/>
      <c r="H1624" s="80" t="n"/>
      <c r="I1624" s="80" t="n"/>
      <c r="J1624" s="80" t="n"/>
      <c r="K1624" s="80" t="n"/>
      <c r="L1624" s="80" t="n"/>
      <c r="M1624" s="80" t="n"/>
      <c r="N1624" s="80" t="n"/>
      <c r="O1624" s="80" t="n"/>
      <c r="P1624" s="80" t="n"/>
      <c r="Q1624" s="80" t="n"/>
      <c r="R1624" s="80" t="n"/>
      <c r="S1624" s="80" t="n"/>
      <c r="T1624" s="80" t="n"/>
      <c r="U1624" s="80" t="n"/>
      <c r="V1624" s="80" t="n"/>
      <c r="W1624" s="80" t="n"/>
      <c r="X1624" s="80" t="n"/>
      <c r="Y1624" s="80" t="n"/>
      <c r="Z1624" s="80" t="n"/>
      <c r="AA1624" s="80" t="n"/>
      <c r="AB1624" s="80" t="n"/>
      <c r="AC1624" s="80" t="n"/>
      <c r="AD1624" s="80" t="n"/>
      <c r="AE1624" s="80" t="n"/>
      <c r="AF1624" s="80" t="n"/>
      <c r="AG1624" s="80" t="n"/>
      <c r="AH1624" s="80" t="n"/>
      <c r="AI1624" s="80" t="n"/>
      <c r="AJ1624" s="80" t="n"/>
      <c r="AK1624" s="80" t="n"/>
      <c r="AL1624" s="80" t="n"/>
      <c r="AM1624" s="80" t="n"/>
      <c r="AN1624" s="80" t="n"/>
      <c r="AO1624" s="80" t="n"/>
      <c r="AP1624" s="80" t="n"/>
      <c r="AQ1624" s="80" t="n"/>
      <c r="AR1624" s="80" t="n"/>
    </row>
    <row r="1625">
      <c r="D1625" s="80" t="n"/>
      <c r="E1625" s="80" t="n"/>
      <c r="F1625" s="80" t="n"/>
      <c r="G1625" s="80" t="n"/>
      <c r="H1625" s="80" t="n"/>
      <c r="I1625" s="80" t="n"/>
      <c r="J1625" s="80" t="n"/>
      <c r="K1625" s="80" t="n"/>
      <c r="L1625" s="80" t="n"/>
      <c r="M1625" s="80" t="n"/>
      <c r="N1625" s="80" t="n"/>
      <c r="O1625" s="80" t="n"/>
      <c r="P1625" s="80" t="n"/>
      <c r="Q1625" s="80" t="n"/>
      <c r="R1625" s="80" t="n"/>
      <c r="S1625" s="80" t="n"/>
      <c r="T1625" s="80" t="n"/>
      <c r="U1625" s="80" t="n"/>
      <c r="V1625" s="80" t="n"/>
      <c r="W1625" s="80" t="n"/>
      <c r="X1625" s="80" t="n"/>
      <c r="Y1625" s="80" t="n"/>
      <c r="Z1625" s="80" t="n"/>
      <c r="AA1625" s="80" t="n"/>
      <c r="AB1625" s="80" t="n"/>
      <c r="AC1625" s="80" t="n"/>
      <c r="AD1625" s="80" t="n"/>
      <c r="AE1625" s="80" t="n"/>
      <c r="AF1625" s="80" t="n"/>
      <c r="AG1625" s="80" t="n"/>
      <c r="AH1625" s="80" t="n"/>
      <c r="AI1625" s="80" t="n"/>
      <c r="AJ1625" s="80" t="n"/>
      <c r="AK1625" s="80" t="n"/>
      <c r="AL1625" s="80" t="n"/>
      <c r="AM1625" s="80" t="n"/>
      <c r="AN1625" s="80" t="n"/>
      <c r="AO1625" s="80" t="n"/>
      <c r="AP1625" s="80" t="n"/>
      <c r="AQ1625" s="80" t="n"/>
      <c r="AR1625" s="80" t="n"/>
    </row>
    <row r="1626">
      <c r="A1626" s="2">
        <f>IF($A1619="","","   projections")</f>
        <v/>
      </c>
      <c r="B1626" s="41">
        <f>IF($A1619="",0,COUNT($E1627:$AR1627))</f>
        <v/>
      </c>
      <c r="C1626" s="81">
        <f>IF($B1626=0,0,MAX($E1627:$AR1627))</f>
        <v/>
      </c>
      <c r="D1626" s="82">
        <f>BDS($A1619,'Field Check'!$C$6,"headers=y","startcol=1","endcol=7","dir=h")</f>
        <v/>
      </c>
      <c r="E1626" s="83" t="n"/>
      <c r="F1626" s="83" t="n"/>
      <c r="G1626" s="83" t="n"/>
      <c r="H1626" s="83" t="n"/>
      <c r="I1626" s="83" t="n"/>
      <c r="J1626" s="83" t="n"/>
      <c r="K1626" s="83" t="n"/>
      <c r="L1626" s="83" t="n"/>
      <c r="M1626" s="83" t="n"/>
      <c r="N1626" s="83" t="n"/>
      <c r="O1626" s="83" t="n"/>
      <c r="P1626" s="83" t="n"/>
      <c r="Q1626" s="83" t="n"/>
      <c r="R1626" s="83" t="n"/>
      <c r="S1626" s="83" t="n"/>
      <c r="T1626" s="83" t="n"/>
      <c r="U1626" s="83" t="n"/>
      <c r="V1626" s="83" t="n"/>
      <c r="W1626" s="83" t="n"/>
      <c r="X1626" s="83" t="n"/>
      <c r="Y1626" s="83" t="n"/>
      <c r="Z1626" s="83" t="n"/>
      <c r="AA1626" s="83" t="n"/>
      <c r="AB1626" s="83" t="n"/>
      <c r="AC1626" s="83" t="n"/>
      <c r="AD1626" s="83" t="n"/>
      <c r="AE1626" s="83" t="n"/>
      <c r="AF1626" s="83" t="n"/>
      <c r="AG1626" s="83" t="n"/>
      <c r="AH1626" s="83" t="n"/>
      <c r="AI1626" s="83" t="n"/>
      <c r="AJ1626" s="83" t="n"/>
      <c r="AK1626" s="83" t="n"/>
      <c r="AL1626" s="83" t="n"/>
      <c r="AM1626" s="83" t="n"/>
      <c r="AN1626" s="83" t="n"/>
      <c r="AO1626" s="83" t="n"/>
      <c r="AP1626" s="83" t="n"/>
      <c r="AQ1626" s="83" t="n"/>
      <c r="AR1626" s="83" t="n"/>
    </row>
    <row r="1627">
      <c r="D1627" s="83" t="n"/>
      <c r="E1627" s="83" t="n"/>
      <c r="F1627" s="83" t="n"/>
      <c r="G1627" s="83" t="n"/>
      <c r="H1627" s="83" t="n"/>
      <c r="I1627" s="83" t="n"/>
      <c r="J1627" s="83" t="n"/>
      <c r="K1627" s="83" t="n"/>
      <c r="L1627" s="83" t="n"/>
      <c r="M1627" s="83" t="n"/>
      <c r="N1627" s="83" t="n"/>
      <c r="O1627" s="83" t="n"/>
      <c r="P1627" s="83" t="n"/>
      <c r="Q1627" s="83" t="n"/>
      <c r="R1627" s="83" t="n"/>
      <c r="S1627" s="83" t="n"/>
      <c r="T1627" s="83" t="n"/>
      <c r="U1627" s="83" t="n"/>
      <c r="V1627" s="83" t="n"/>
      <c r="W1627" s="83" t="n"/>
      <c r="X1627" s="83" t="n"/>
      <c r="Y1627" s="83" t="n"/>
      <c r="Z1627" s="83" t="n"/>
      <c r="AA1627" s="83" t="n"/>
      <c r="AB1627" s="83" t="n"/>
      <c r="AC1627" s="83" t="n"/>
      <c r="AD1627" s="83" t="n"/>
      <c r="AE1627" s="83" t="n"/>
      <c r="AF1627" s="83" t="n"/>
      <c r="AG1627" s="83" t="n"/>
      <c r="AH1627" s="83" t="n"/>
      <c r="AI1627" s="83" t="n"/>
      <c r="AJ1627" s="83" t="n"/>
      <c r="AK1627" s="83" t="n"/>
      <c r="AL1627" s="83" t="n"/>
      <c r="AM1627" s="83" t="n"/>
      <c r="AN1627" s="83" t="n"/>
      <c r="AO1627" s="83" t="n"/>
      <c r="AP1627" s="83" t="n"/>
      <c r="AQ1627" s="83" t="n"/>
      <c r="AR1627" s="83" t="n"/>
    </row>
    <row r="1628">
      <c r="D1628" s="84" t="n"/>
      <c r="E1628" s="84" t="n"/>
      <c r="F1628" s="84" t="n"/>
      <c r="G1628" s="84" t="n"/>
      <c r="H1628" s="84" t="n"/>
      <c r="I1628" s="84" t="n"/>
      <c r="J1628" s="84" t="n"/>
      <c r="K1628" s="84" t="n"/>
      <c r="L1628" s="84" t="n"/>
      <c r="M1628" s="84" t="n"/>
      <c r="N1628" s="84" t="n"/>
      <c r="O1628" s="84" t="n"/>
      <c r="P1628" s="84" t="n"/>
      <c r="Q1628" s="84" t="n"/>
      <c r="R1628" s="84" t="n"/>
      <c r="S1628" s="84" t="n"/>
      <c r="T1628" s="84" t="n"/>
      <c r="U1628" s="84" t="n"/>
      <c r="V1628" s="84" t="n"/>
      <c r="W1628" s="84" t="n"/>
      <c r="X1628" s="84" t="n"/>
      <c r="Y1628" s="84" t="n"/>
      <c r="Z1628" s="84" t="n"/>
      <c r="AA1628" s="84" t="n"/>
      <c r="AB1628" s="84" t="n"/>
      <c r="AC1628" s="84" t="n"/>
      <c r="AD1628" s="84" t="n"/>
      <c r="AE1628" s="84" t="n"/>
      <c r="AF1628" s="84" t="n"/>
      <c r="AG1628" s="84" t="n"/>
      <c r="AH1628" s="84" t="n"/>
      <c r="AI1628" s="84" t="n"/>
      <c r="AJ1628" s="84" t="n"/>
      <c r="AK1628" s="84" t="n"/>
      <c r="AL1628" s="84" t="n"/>
      <c r="AM1628" s="84" t="n"/>
      <c r="AN1628" s="84" t="n"/>
      <c r="AO1628" s="84" t="n"/>
      <c r="AP1628" s="84" t="n"/>
      <c r="AQ1628" s="84" t="n"/>
      <c r="AR1628" s="84" t="n"/>
    </row>
    <row r="1629">
      <c r="D1629" s="80" t="n"/>
      <c r="E1629" s="80" t="n"/>
      <c r="F1629" s="80" t="n"/>
      <c r="G1629" s="80" t="n"/>
      <c r="H1629" s="80" t="n"/>
      <c r="I1629" s="80" t="n"/>
      <c r="J1629" s="80" t="n"/>
      <c r="K1629" s="80" t="n"/>
      <c r="L1629" s="80" t="n"/>
      <c r="M1629" s="80" t="n"/>
      <c r="N1629" s="80" t="n"/>
      <c r="O1629" s="80" t="n"/>
      <c r="P1629" s="80" t="n"/>
      <c r="Q1629" s="80" t="n"/>
      <c r="R1629" s="80" t="n"/>
      <c r="S1629" s="80" t="n"/>
      <c r="T1629" s="80" t="n"/>
      <c r="U1629" s="80" t="n"/>
      <c r="V1629" s="80" t="n"/>
      <c r="W1629" s="80" t="n"/>
      <c r="X1629" s="80" t="n"/>
      <c r="Y1629" s="80" t="n"/>
      <c r="Z1629" s="80" t="n"/>
      <c r="AA1629" s="80" t="n"/>
      <c r="AB1629" s="80" t="n"/>
      <c r="AC1629" s="80" t="n"/>
      <c r="AD1629" s="80" t="n"/>
      <c r="AE1629" s="80" t="n"/>
      <c r="AF1629" s="80" t="n"/>
      <c r="AG1629" s="80" t="n"/>
      <c r="AH1629" s="80" t="n"/>
      <c r="AI1629" s="80" t="n"/>
      <c r="AJ1629" s="80" t="n"/>
      <c r="AK1629" s="80" t="n"/>
      <c r="AL1629" s="80" t="n"/>
      <c r="AM1629" s="80" t="n"/>
      <c r="AN1629" s="80" t="n"/>
      <c r="AO1629" s="80" t="n"/>
      <c r="AP1629" s="80" t="n"/>
      <c r="AQ1629" s="80" t="n"/>
      <c r="AR1629" s="80" t="n"/>
    </row>
    <row r="1630">
      <c r="D1630" s="80" t="n"/>
      <c r="E1630" s="80" t="n"/>
      <c r="F1630" s="80" t="n"/>
      <c r="G1630" s="80" t="n"/>
      <c r="H1630" s="80" t="n"/>
      <c r="I1630" s="80" t="n"/>
      <c r="J1630" s="80" t="n"/>
      <c r="K1630" s="80" t="n"/>
      <c r="L1630" s="80" t="n"/>
      <c r="M1630" s="80" t="n"/>
      <c r="N1630" s="80" t="n"/>
      <c r="O1630" s="80" t="n"/>
      <c r="P1630" s="80" t="n"/>
      <c r="Q1630" s="80" t="n"/>
      <c r="R1630" s="80" t="n"/>
      <c r="S1630" s="80" t="n"/>
      <c r="T1630" s="80" t="n"/>
      <c r="U1630" s="80" t="n"/>
      <c r="V1630" s="80" t="n"/>
      <c r="W1630" s="80" t="n"/>
      <c r="X1630" s="80" t="n"/>
      <c r="Y1630" s="80" t="n"/>
      <c r="Z1630" s="80" t="n"/>
      <c r="AA1630" s="80" t="n"/>
      <c r="AB1630" s="80" t="n"/>
      <c r="AC1630" s="80" t="n"/>
      <c r="AD1630" s="80" t="n"/>
      <c r="AE1630" s="80" t="n"/>
      <c r="AF1630" s="80" t="n"/>
      <c r="AG1630" s="80" t="n"/>
      <c r="AH1630" s="80" t="n"/>
      <c r="AI1630" s="80" t="n"/>
      <c r="AJ1630" s="80" t="n"/>
      <c r="AK1630" s="80" t="n"/>
      <c r="AL1630" s="80" t="n"/>
      <c r="AM1630" s="80" t="n"/>
      <c r="AN1630" s="80" t="n"/>
      <c r="AO1630" s="80" t="n"/>
      <c r="AP1630" s="80" t="n"/>
      <c r="AQ1630" s="80" t="n"/>
      <c r="AR1630" s="80" t="n"/>
    </row>
    <row r="1631">
      <c r="D1631" s="80" t="n"/>
      <c r="E1631" s="80" t="n"/>
      <c r="F1631" s="80" t="n"/>
      <c r="G1631" s="80" t="n"/>
      <c r="H1631" s="80" t="n"/>
      <c r="I1631" s="80" t="n"/>
      <c r="J1631" s="80" t="n"/>
      <c r="K1631" s="80" t="n"/>
      <c r="L1631" s="80" t="n"/>
      <c r="M1631" s="80" t="n"/>
      <c r="N1631" s="80" t="n"/>
      <c r="O1631" s="80" t="n"/>
      <c r="P1631" s="80" t="n"/>
      <c r="Q1631" s="80" t="n"/>
      <c r="R1631" s="80" t="n"/>
      <c r="S1631" s="80" t="n"/>
      <c r="T1631" s="80" t="n"/>
      <c r="U1631" s="80" t="n"/>
      <c r="V1631" s="80" t="n"/>
      <c r="W1631" s="80" t="n"/>
      <c r="X1631" s="80" t="n"/>
      <c r="Y1631" s="80" t="n"/>
      <c r="Z1631" s="80" t="n"/>
      <c r="AA1631" s="80" t="n"/>
      <c r="AB1631" s="80" t="n"/>
      <c r="AC1631" s="80" t="n"/>
      <c r="AD1631" s="80" t="n"/>
      <c r="AE1631" s="80" t="n"/>
      <c r="AF1631" s="80" t="n"/>
      <c r="AG1631" s="80" t="n"/>
      <c r="AH1631" s="80" t="n"/>
      <c r="AI1631" s="80" t="n"/>
      <c r="AJ1631" s="80" t="n"/>
      <c r="AK1631" s="80" t="n"/>
      <c r="AL1631" s="80" t="n"/>
      <c r="AM1631" s="80" t="n"/>
      <c r="AN1631" s="80" t="n"/>
      <c r="AO1631" s="80" t="n"/>
      <c r="AP1631" s="80" t="n"/>
      <c r="AQ1631" s="80" t="n"/>
      <c r="AR1631" s="80" t="n"/>
    </row>
    <row r="1632">
      <c r="D1632" s="80" t="n"/>
      <c r="E1632" s="80" t="n"/>
      <c r="F1632" s="80" t="n"/>
      <c r="G1632" s="80" t="n"/>
      <c r="H1632" s="80" t="n"/>
      <c r="I1632" s="80" t="n"/>
      <c r="J1632" s="80" t="n"/>
      <c r="K1632" s="80" t="n"/>
      <c r="L1632" s="80" t="n"/>
      <c r="M1632" s="80" t="n"/>
      <c r="N1632" s="80" t="n"/>
      <c r="O1632" s="80" t="n"/>
      <c r="P1632" s="80" t="n"/>
      <c r="Q1632" s="80" t="n"/>
      <c r="R1632" s="80" t="n"/>
      <c r="S1632" s="80" t="n"/>
      <c r="T1632" s="80" t="n"/>
      <c r="U1632" s="80" t="n"/>
      <c r="V1632" s="80" t="n"/>
      <c r="W1632" s="80" t="n"/>
      <c r="X1632" s="80" t="n"/>
      <c r="Y1632" s="80" t="n"/>
      <c r="Z1632" s="80" t="n"/>
      <c r="AA1632" s="80" t="n"/>
      <c r="AB1632" s="80" t="n"/>
      <c r="AC1632" s="80" t="n"/>
      <c r="AD1632" s="80" t="n"/>
      <c r="AE1632" s="80" t="n"/>
      <c r="AF1632" s="80" t="n"/>
      <c r="AG1632" s="80" t="n"/>
      <c r="AH1632" s="80" t="n"/>
      <c r="AI1632" s="80" t="n"/>
      <c r="AJ1632" s="80" t="n"/>
      <c r="AK1632" s="80" t="n"/>
      <c r="AL1632" s="80" t="n"/>
      <c r="AM1632" s="80" t="n"/>
      <c r="AN1632" s="80" t="n"/>
      <c r="AO1632" s="80" t="n"/>
      <c r="AP1632" s="80" t="n"/>
      <c r="AQ1632" s="80" t="n"/>
      <c r="AR1632" s="80" t="n"/>
    </row>
    <row r="1634">
      <c r="A1634" s="6">
        <f>IF(HSTECH!$C$15="","",HSTECH!$C$15)</f>
        <v/>
      </c>
      <c r="B1634" s="41">
        <f>IF($A1634="",0,COUNT($E1635:$AR1635))</f>
        <v/>
      </c>
      <c r="C1634" s="81">
        <f>IF($B1634=0,0,MAX($E1635:$AR1635))</f>
        <v/>
      </c>
      <c r="D1634" s="82">
        <f>BDS($A1634,'Field Check'!$C$7,"headers=y","startcol=1","endcol=7","dir=h","DVD_START_DT",Summary!$C$18,"DVD_END_DT",Summary!$D$18)</f>
        <v/>
      </c>
      <c r="E1634" s="83" t="n"/>
      <c r="F1634" s="83" t="n"/>
      <c r="G1634" s="83" t="n"/>
      <c r="H1634" s="83" t="n"/>
      <c r="I1634" s="83" t="n"/>
      <c r="J1634" s="83" t="n"/>
      <c r="K1634" s="83" t="n"/>
      <c r="L1634" s="83" t="n"/>
      <c r="M1634" s="83" t="n"/>
      <c r="N1634" s="83" t="n"/>
      <c r="O1634" s="83" t="n"/>
      <c r="P1634" s="83" t="n"/>
      <c r="Q1634" s="83" t="n"/>
      <c r="R1634" s="83" t="n"/>
      <c r="S1634" s="83" t="n"/>
      <c r="T1634" s="83" t="n"/>
      <c r="U1634" s="83" t="n"/>
      <c r="V1634" s="83" t="n"/>
      <c r="W1634" s="83" t="n"/>
      <c r="X1634" s="83" t="n"/>
      <c r="Y1634" s="83" t="n"/>
      <c r="Z1634" s="83" t="n"/>
      <c r="AA1634" s="83" t="n"/>
      <c r="AB1634" s="83" t="n"/>
      <c r="AC1634" s="83" t="n"/>
      <c r="AD1634" s="83" t="n"/>
      <c r="AE1634" s="83" t="n"/>
      <c r="AF1634" s="83" t="n"/>
      <c r="AG1634" s="83" t="n"/>
      <c r="AH1634" s="83" t="n"/>
      <c r="AI1634" s="83" t="n"/>
      <c r="AJ1634" s="83" t="n"/>
      <c r="AK1634" s="83" t="n"/>
      <c r="AL1634" s="83" t="n"/>
      <c r="AM1634" s="83" t="n"/>
      <c r="AN1634" s="83" t="n"/>
      <c r="AO1634" s="83" t="n"/>
      <c r="AP1634" s="83" t="n"/>
      <c r="AQ1634" s="83" t="n"/>
      <c r="AR1634" s="83" t="n"/>
    </row>
    <row r="1635">
      <c r="D1635" s="83" t="n"/>
      <c r="E1635" s="83" t="n"/>
      <c r="F1635" s="83" t="n"/>
      <c r="G1635" s="83" t="n"/>
      <c r="H1635" s="83" t="n"/>
      <c r="I1635" s="83" t="n"/>
      <c r="J1635" s="83" t="n"/>
      <c r="K1635" s="83" t="n"/>
      <c r="L1635" s="83" t="n"/>
      <c r="M1635" s="83" t="n"/>
      <c r="N1635" s="83" t="n"/>
      <c r="O1635" s="83" t="n"/>
      <c r="P1635" s="83" t="n"/>
      <c r="Q1635" s="83" t="n"/>
      <c r="R1635" s="83" t="n"/>
      <c r="S1635" s="83" t="n"/>
      <c r="T1635" s="83" t="n"/>
      <c r="U1635" s="83" t="n"/>
      <c r="V1635" s="83" t="n"/>
      <c r="W1635" s="83" t="n"/>
      <c r="X1635" s="83" t="n"/>
      <c r="Y1635" s="83" t="n"/>
      <c r="Z1635" s="83" t="n"/>
      <c r="AA1635" s="83" t="n"/>
      <c r="AB1635" s="83" t="n"/>
      <c r="AC1635" s="83" t="n"/>
      <c r="AD1635" s="83" t="n"/>
      <c r="AE1635" s="83" t="n"/>
      <c r="AF1635" s="83" t="n"/>
      <c r="AG1635" s="83" t="n"/>
      <c r="AH1635" s="83" t="n"/>
      <c r="AI1635" s="83" t="n"/>
      <c r="AJ1635" s="83" t="n"/>
      <c r="AK1635" s="83" t="n"/>
      <c r="AL1635" s="83" t="n"/>
      <c r="AM1635" s="83" t="n"/>
      <c r="AN1635" s="83" t="n"/>
      <c r="AO1635" s="83" t="n"/>
      <c r="AP1635" s="83" t="n"/>
      <c r="AQ1635" s="83" t="n"/>
      <c r="AR1635" s="83" t="n"/>
    </row>
    <row r="1636">
      <c r="D1636" s="84" t="n"/>
      <c r="E1636" s="84" t="n"/>
      <c r="F1636" s="84" t="n"/>
      <c r="G1636" s="84" t="n"/>
      <c r="H1636" s="84" t="n"/>
      <c r="I1636" s="84" t="n"/>
      <c r="J1636" s="84" t="n"/>
      <c r="K1636" s="84" t="n"/>
      <c r="L1636" s="84" t="n"/>
      <c r="M1636" s="84" t="n"/>
      <c r="N1636" s="84" t="n"/>
      <c r="O1636" s="84" t="n"/>
      <c r="P1636" s="84" t="n"/>
      <c r="Q1636" s="84" t="n"/>
      <c r="R1636" s="84" t="n"/>
      <c r="S1636" s="84" t="n"/>
      <c r="T1636" s="84" t="n"/>
      <c r="U1636" s="84" t="n"/>
      <c r="V1636" s="84" t="n"/>
      <c r="W1636" s="84" t="n"/>
      <c r="X1636" s="84" t="n"/>
      <c r="Y1636" s="84" t="n"/>
      <c r="Z1636" s="84" t="n"/>
      <c r="AA1636" s="84" t="n"/>
      <c r="AB1636" s="84" t="n"/>
      <c r="AC1636" s="84" t="n"/>
      <c r="AD1636" s="84" t="n"/>
      <c r="AE1636" s="84" t="n"/>
      <c r="AF1636" s="84" t="n"/>
      <c r="AG1636" s="84" t="n"/>
      <c r="AH1636" s="84" t="n"/>
      <c r="AI1636" s="84" t="n"/>
      <c r="AJ1636" s="84" t="n"/>
      <c r="AK1636" s="84" t="n"/>
      <c r="AL1636" s="84" t="n"/>
      <c r="AM1636" s="84" t="n"/>
      <c r="AN1636" s="84" t="n"/>
      <c r="AO1636" s="84" t="n"/>
      <c r="AP1636" s="84" t="n"/>
      <c r="AQ1636" s="84" t="n"/>
      <c r="AR1636" s="84" t="n"/>
    </row>
    <row r="1637">
      <c r="D1637" s="80" t="n"/>
      <c r="E1637" s="80" t="n"/>
      <c r="F1637" s="80" t="n"/>
      <c r="G1637" s="80" t="n"/>
      <c r="H1637" s="80" t="n"/>
      <c r="I1637" s="80" t="n"/>
      <c r="J1637" s="80" t="n"/>
      <c r="K1637" s="80" t="n"/>
      <c r="L1637" s="80" t="n"/>
      <c r="M1637" s="80" t="n"/>
      <c r="N1637" s="80" t="n"/>
      <c r="O1637" s="80" t="n"/>
      <c r="P1637" s="80" t="n"/>
      <c r="Q1637" s="80" t="n"/>
      <c r="R1637" s="80" t="n"/>
      <c r="S1637" s="80" t="n"/>
      <c r="T1637" s="80" t="n"/>
      <c r="U1637" s="80" t="n"/>
      <c r="V1637" s="80" t="n"/>
      <c r="W1637" s="80" t="n"/>
      <c r="X1637" s="80" t="n"/>
      <c r="Y1637" s="80" t="n"/>
      <c r="Z1637" s="80" t="n"/>
      <c r="AA1637" s="80" t="n"/>
      <c r="AB1637" s="80" t="n"/>
      <c r="AC1637" s="80" t="n"/>
      <c r="AD1637" s="80" t="n"/>
      <c r="AE1637" s="80" t="n"/>
      <c r="AF1637" s="80" t="n"/>
      <c r="AG1637" s="80" t="n"/>
      <c r="AH1637" s="80" t="n"/>
      <c r="AI1637" s="80" t="n"/>
      <c r="AJ1637" s="80" t="n"/>
      <c r="AK1637" s="80" t="n"/>
      <c r="AL1637" s="80" t="n"/>
      <c r="AM1637" s="80" t="n"/>
      <c r="AN1637" s="80" t="n"/>
      <c r="AO1637" s="80" t="n"/>
      <c r="AP1637" s="80" t="n"/>
      <c r="AQ1637" s="80" t="n"/>
      <c r="AR1637" s="80" t="n"/>
    </row>
    <row r="1638">
      <c r="D1638" s="80" t="n"/>
      <c r="E1638" s="80" t="n"/>
      <c r="F1638" s="80" t="n"/>
      <c r="G1638" s="80" t="n"/>
      <c r="H1638" s="80" t="n"/>
      <c r="I1638" s="80" t="n"/>
      <c r="J1638" s="80" t="n"/>
      <c r="K1638" s="80" t="n"/>
      <c r="L1638" s="80" t="n"/>
      <c r="M1638" s="80" t="n"/>
      <c r="N1638" s="80" t="n"/>
      <c r="O1638" s="80" t="n"/>
      <c r="P1638" s="80" t="n"/>
      <c r="Q1638" s="80" t="n"/>
      <c r="R1638" s="80" t="n"/>
      <c r="S1638" s="80" t="n"/>
      <c r="T1638" s="80" t="n"/>
      <c r="U1638" s="80" t="n"/>
      <c r="V1638" s="80" t="n"/>
      <c r="W1638" s="80" t="n"/>
      <c r="X1638" s="80" t="n"/>
      <c r="Y1638" s="80" t="n"/>
      <c r="Z1638" s="80" t="n"/>
      <c r="AA1638" s="80" t="n"/>
      <c r="AB1638" s="80" t="n"/>
      <c r="AC1638" s="80" t="n"/>
      <c r="AD1638" s="80" t="n"/>
      <c r="AE1638" s="80" t="n"/>
      <c r="AF1638" s="80" t="n"/>
      <c r="AG1638" s="80" t="n"/>
      <c r="AH1638" s="80" t="n"/>
      <c r="AI1638" s="80" t="n"/>
      <c r="AJ1638" s="80" t="n"/>
      <c r="AK1638" s="80" t="n"/>
      <c r="AL1638" s="80" t="n"/>
      <c r="AM1638" s="80" t="n"/>
      <c r="AN1638" s="80" t="n"/>
      <c r="AO1638" s="80" t="n"/>
      <c r="AP1638" s="80" t="n"/>
      <c r="AQ1638" s="80" t="n"/>
      <c r="AR1638" s="80" t="n"/>
    </row>
    <row r="1639">
      <c r="D1639" s="80" t="n"/>
      <c r="E1639" s="80" t="n"/>
      <c r="F1639" s="80" t="n"/>
      <c r="G1639" s="80" t="n"/>
      <c r="H1639" s="80" t="n"/>
      <c r="I1639" s="80" t="n"/>
      <c r="J1639" s="80" t="n"/>
      <c r="K1639" s="80" t="n"/>
      <c r="L1639" s="80" t="n"/>
      <c r="M1639" s="80" t="n"/>
      <c r="N1639" s="80" t="n"/>
      <c r="O1639" s="80" t="n"/>
      <c r="P1639" s="80" t="n"/>
      <c r="Q1639" s="80" t="n"/>
      <c r="R1639" s="80" t="n"/>
      <c r="S1639" s="80" t="n"/>
      <c r="T1639" s="80" t="n"/>
      <c r="U1639" s="80" t="n"/>
      <c r="V1639" s="80" t="n"/>
      <c r="W1639" s="80" t="n"/>
      <c r="X1639" s="80" t="n"/>
      <c r="Y1639" s="80" t="n"/>
      <c r="Z1639" s="80" t="n"/>
      <c r="AA1639" s="80" t="n"/>
      <c r="AB1639" s="80" t="n"/>
      <c r="AC1639" s="80" t="n"/>
      <c r="AD1639" s="80" t="n"/>
      <c r="AE1639" s="80" t="n"/>
      <c r="AF1639" s="80" t="n"/>
      <c r="AG1639" s="80" t="n"/>
      <c r="AH1639" s="80" t="n"/>
      <c r="AI1639" s="80" t="n"/>
      <c r="AJ1639" s="80" t="n"/>
      <c r="AK1639" s="80" t="n"/>
      <c r="AL1639" s="80" t="n"/>
      <c r="AM1639" s="80" t="n"/>
      <c r="AN1639" s="80" t="n"/>
      <c r="AO1639" s="80" t="n"/>
      <c r="AP1639" s="80" t="n"/>
      <c r="AQ1639" s="80" t="n"/>
      <c r="AR1639" s="80" t="n"/>
    </row>
    <row r="1640">
      <c r="D1640" s="80" t="n"/>
      <c r="E1640" s="80" t="n"/>
      <c r="F1640" s="80" t="n"/>
      <c r="G1640" s="80" t="n"/>
      <c r="H1640" s="80" t="n"/>
      <c r="I1640" s="80" t="n"/>
      <c r="J1640" s="80" t="n"/>
      <c r="K1640" s="80" t="n"/>
      <c r="L1640" s="80" t="n"/>
      <c r="M1640" s="80" t="n"/>
      <c r="N1640" s="80" t="n"/>
      <c r="O1640" s="80" t="n"/>
      <c r="P1640" s="80" t="n"/>
      <c r="Q1640" s="80" t="n"/>
      <c r="R1640" s="80" t="n"/>
      <c r="S1640" s="80" t="n"/>
      <c r="T1640" s="80" t="n"/>
      <c r="U1640" s="80" t="n"/>
      <c r="V1640" s="80" t="n"/>
      <c r="W1640" s="80" t="n"/>
      <c r="X1640" s="80" t="n"/>
      <c r="Y1640" s="80" t="n"/>
      <c r="Z1640" s="80" t="n"/>
      <c r="AA1640" s="80" t="n"/>
      <c r="AB1640" s="80" t="n"/>
      <c r="AC1640" s="80" t="n"/>
      <c r="AD1640" s="80" t="n"/>
      <c r="AE1640" s="80" t="n"/>
      <c r="AF1640" s="80" t="n"/>
      <c r="AG1640" s="80" t="n"/>
      <c r="AH1640" s="80" t="n"/>
      <c r="AI1640" s="80" t="n"/>
      <c r="AJ1640" s="80" t="n"/>
      <c r="AK1640" s="80" t="n"/>
      <c r="AL1640" s="80" t="n"/>
      <c r="AM1640" s="80" t="n"/>
      <c r="AN1640" s="80" t="n"/>
      <c r="AO1640" s="80" t="n"/>
      <c r="AP1640" s="80" t="n"/>
      <c r="AQ1640" s="80" t="n"/>
      <c r="AR1640" s="80" t="n"/>
    </row>
    <row r="1641">
      <c r="A1641" s="2">
        <f>IF($A1634="","","   projections")</f>
        <v/>
      </c>
      <c r="B1641" s="41">
        <f>IF($A1634="",0,COUNT($E1642:$AR1642))</f>
        <v/>
      </c>
      <c r="C1641" s="81">
        <f>IF($B1641=0,0,MAX($E1642:$AR1642))</f>
        <v/>
      </c>
      <c r="D1641" s="82">
        <f>BDS($A1634,'Field Check'!$C$6,"headers=y","startcol=1","endcol=7","dir=h")</f>
        <v/>
      </c>
      <c r="E1641" s="83" t="n"/>
      <c r="F1641" s="83" t="n"/>
      <c r="G1641" s="83" t="n"/>
      <c r="H1641" s="83" t="n"/>
      <c r="I1641" s="83" t="n"/>
      <c r="J1641" s="83" t="n"/>
      <c r="K1641" s="83" t="n"/>
      <c r="L1641" s="83" t="n"/>
      <c r="M1641" s="83" t="n"/>
      <c r="N1641" s="83" t="n"/>
      <c r="O1641" s="83" t="n"/>
      <c r="P1641" s="83" t="n"/>
      <c r="Q1641" s="83" t="n"/>
      <c r="R1641" s="83" t="n"/>
      <c r="S1641" s="83" t="n"/>
      <c r="T1641" s="83" t="n"/>
      <c r="U1641" s="83" t="n"/>
      <c r="V1641" s="83" t="n"/>
      <c r="W1641" s="83" t="n"/>
      <c r="X1641" s="83" t="n"/>
      <c r="Y1641" s="83" t="n"/>
      <c r="Z1641" s="83" t="n"/>
      <c r="AA1641" s="83" t="n"/>
      <c r="AB1641" s="83" t="n"/>
      <c r="AC1641" s="83" t="n"/>
      <c r="AD1641" s="83" t="n"/>
      <c r="AE1641" s="83" t="n"/>
      <c r="AF1641" s="83" t="n"/>
      <c r="AG1641" s="83" t="n"/>
      <c r="AH1641" s="83" t="n"/>
      <c r="AI1641" s="83" t="n"/>
      <c r="AJ1641" s="83" t="n"/>
      <c r="AK1641" s="83" t="n"/>
      <c r="AL1641" s="83" t="n"/>
      <c r="AM1641" s="83" t="n"/>
      <c r="AN1641" s="83" t="n"/>
      <c r="AO1641" s="83" t="n"/>
      <c r="AP1641" s="83" t="n"/>
      <c r="AQ1641" s="83" t="n"/>
      <c r="AR1641" s="83" t="n"/>
    </row>
    <row r="1642">
      <c r="D1642" s="83" t="n"/>
      <c r="E1642" s="83" t="n"/>
      <c r="F1642" s="83" t="n"/>
      <c r="G1642" s="83" t="n"/>
      <c r="H1642" s="83" t="n"/>
      <c r="I1642" s="83" t="n"/>
      <c r="J1642" s="83" t="n"/>
      <c r="K1642" s="83" t="n"/>
      <c r="L1642" s="83" t="n"/>
      <c r="M1642" s="83" t="n"/>
      <c r="N1642" s="83" t="n"/>
      <c r="O1642" s="83" t="n"/>
      <c r="P1642" s="83" t="n"/>
      <c r="Q1642" s="83" t="n"/>
      <c r="R1642" s="83" t="n"/>
      <c r="S1642" s="83" t="n"/>
      <c r="T1642" s="83" t="n"/>
      <c r="U1642" s="83" t="n"/>
      <c r="V1642" s="83" t="n"/>
      <c r="W1642" s="83" t="n"/>
      <c r="X1642" s="83" t="n"/>
      <c r="Y1642" s="83" t="n"/>
      <c r="Z1642" s="83" t="n"/>
      <c r="AA1642" s="83" t="n"/>
      <c r="AB1642" s="83" t="n"/>
      <c r="AC1642" s="83" t="n"/>
      <c r="AD1642" s="83" t="n"/>
      <c r="AE1642" s="83" t="n"/>
      <c r="AF1642" s="83" t="n"/>
      <c r="AG1642" s="83" t="n"/>
      <c r="AH1642" s="83" t="n"/>
      <c r="AI1642" s="83" t="n"/>
      <c r="AJ1642" s="83" t="n"/>
      <c r="AK1642" s="83" t="n"/>
      <c r="AL1642" s="83" t="n"/>
      <c r="AM1642" s="83" t="n"/>
      <c r="AN1642" s="83" t="n"/>
      <c r="AO1642" s="83" t="n"/>
      <c r="AP1642" s="83" t="n"/>
      <c r="AQ1642" s="83" t="n"/>
      <c r="AR1642" s="83" t="n"/>
    </row>
    <row r="1643">
      <c r="D1643" s="84" t="n"/>
      <c r="E1643" s="84" t="n"/>
      <c r="F1643" s="84" t="n"/>
      <c r="G1643" s="84" t="n"/>
      <c r="H1643" s="84" t="n"/>
      <c r="I1643" s="84" t="n"/>
      <c r="J1643" s="84" t="n"/>
      <c r="K1643" s="84" t="n"/>
      <c r="L1643" s="84" t="n"/>
      <c r="M1643" s="84" t="n"/>
      <c r="N1643" s="84" t="n"/>
      <c r="O1643" s="84" t="n"/>
      <c r="P1643" s="84" t="n"/>
      <c r="Q1643" s="84" t="n"/>
      <c r="R1643" s="84" t="n"/>
      <c r="S1643" s="84" t="n"/>
      <c r="T1643" s="84" t="n"/>
      <c r="U1643" s="84" t="n"/>
      <c r="V1643" s="84" t="n"/>
      <c r="W1643" s="84" t="n"/>
      <c r="X1643" s="84" t="n"/>
      <c r="Y1643" s="84" t="n"/>
      <c r="Z1643" s="84" t="n"/>
      <c r="AA1643" s="84" t="n"/>
      <c r="AB1643" s="84" t="n"/>
      <c r="AC1643" s="84" t="n"/>
      <c r="AD1643" s="84" t="n"/>
      <c r="AE1643" s="84" t="n"/>
      <c r="AF1643" s="84" t="n"/>
      <c r="AG1643" s="84" t="n"/>
      <c r="AH1643" s="84" t="n"/>
      <c r="AI1643" s="84" t="n"/>
      <c r="AJ1643" s="84" t="n"/>
      <c r="AK1643" s="84" t="n"/>
      <c r="AL1643" s="84" t="n"/>
      <c r="AM1643" s="84" t="n"/>
      <c r="AN1643" s="84" t="n"/>
      <c r="AO1643" s="84" t="n"/>
      <c r="AP1643" s="84" t="n"/>
      <c r="AQ1643" s="84" t="n"/>
      <c r="AR1643" s="84" t="n"/>
    </row>
    <row r="1644">
      <c r="D1644" s="80" t="n"/>
      <c r="E1644" s="80" t="n"/>
      <c r="F1644" s="80" t="n"/>
      <c r="G1644" s="80" t="n"/>
      <c r="H1644" s="80" t="n"/>
      <c r="I1644" s="80" t="n"/>
      <c r="J1644" s="80" t="n"/>
      <c r="K1644" s="80" t="n"/>
      <c r="L1644" s="80" t="n"/>
      <c r="M1644" s="80" t="n"/>
      <c r="N1644" s="80" t="n"/>
      <c r="O1644" s="80" t="n"/>
      <c r="P1644" s="80" t="n"/>
      <c r="Q1644" s="80" t="n"/>
      <c r="R1644" s="80" t="n"/>
      <c r="S1644" s="80" t="n"/>
      <c r="T1644" s="80" t="n"/>
      <c r="U1644" s="80" t="n"/>
      <c r="V1644" s="80" t="n"/>
      <c r="W1644" s="80" t="n"/>
      <c r="X1644" s="80" t="n"/>
      <c r="Y1644" s="80" t="n"/>
      <c r="Z1644" s="80" t="n"/>
      <c r="AA1644" s="80" t="n"/>
      <c r="AB1644" s="80" t="n"/>
      <c r="AC1644" s="80" t="n"/>
      <c r="AD1644" s="80" t="n"/>
      <c r="AE1644" s="80" t="n"/>
      <c r="AF1644" s="80" t="n"/>
      <c r="AG1644" s="80" t="n"/>
      <c r="AH1644" s="80" t="n"/>
      <c r="AI1644" s="80" t="n"/>
      <c r="AJ1644" s="80" t="n"/>
      <c r="AK1644" s="80" t="n"/>
      <c r="AL1644" s="80" t="n"/>
      <c r="AM1644" s="80" t="n"/>
      <c r="AN1644" s="80" t="n"/>
      <c r="AO1644" s="80" t="n"/>
      <c r="AP1644" s="80" t="n"/>
      <c r="AQ1644" s="80" t="n"/>
      <c r="AR1644" s="80" t="n"/>
    </row>
    <row r="1645">
      <c r="D1645" s="80" t="n"/>
      <c r="E1645" s="80" t="n"/>
      <c r="F1645" s="80" t="n"/>
      <c r="G1645" s="80" t="n"/>
      <c r="H1645" s="80" t="n"/>
      <c r="I1645" s="80" t="n"/>
      <c r="J1645" s="80" t="n"/>
      <c r="K1645" s="80" t="n"/>
      <c r="L1645" s="80" t="n"/>
      <c r="M1645" s="80" t="n"/>
      <c r="N1645" s="80" t="n"/>
      <c r="O1645" s="80" t="n"/>
      <c r="P1645" s="80" t="n"/>
      <c r="Q1645" s="80" t="n"/>
      <c r="R1645" s="80" t="n"/>
      <c r="S1645" s="80" t="n"/>
      <c r="T1645" s="80" t="n"/>
      <c r="U1645" s="80" t="n"/>
      <c r="V1645" s="80" t="n"/>
      <c r="W1645" s="80" t="n"/>
      <c r="X1645" s="80" t="n"/>
      <c r="Y1645" s="80" t="n"/>
      <c r="Z1645" s="80" t="n"/>
      <c r="AA1645" s="80" t="n"/>
      <c r="AB1645" s="80" t="n"/>
      <c r="AC1645" s="80" t="n"/>
      <c r="AD1645" s="80" t="n"/>
      <c r="AE1645" s="80" t="n"/>
      <c r="AF1645" s="80" t="n"/>
      <c r="AG1645" s="80" t="n"/>
      <c r="AH1645" s="80" t="n"/>
      <c r="AI1645" s="80" t="n"/>
      <c r="AJ1645" s="80" t="n"/>
      <c r="AK1645" s="80" t="n"/>
      <c r="AL1645" s="80" t="n"/>
      <c r="AM1645" s="80" t="n"/>
      <c r="AN1645" s="80" t="n"/>
      <c r="AO1645" s="80" t="n"/>
      <c r="AP1645" s="80" t="n"/>
      <c r="AQ1645" s="80" t="n"/>
      <c r="AR1645" s="80" t="n"/>
    </row>
    <row r="1646">
      <c r="D1646" s="80" t="n"/>
      <c r="E1646" s="80" t="n"/>
      <c r="F1646" s="80" t="n"/>
      <c r="G1646" s="80" t="n"/>
      <c r="H1646" s="80" t="n"/>
      <c r="I1646" s="80" t="n"/>
      <c r="J1646" s="80" t="n"/>
      <c r="K1646" s="80" t="n"/>
      <c r="L1646" s="80" t="n"/>
      <c r="M1646" s="80" t="n"/>
      <c r="N1646" s="80" t="n"/>
      <c r="O1646" s="80" t="n"/>
      <c r="P1646" s="80" t="n"/>
      <c r="Q1646" s="80" t="n"/>
      <c r="R1646" s="80" t="n"/>
      <c r="S1646" s="80" t="n"/>
      <c r="T1646" s="80" t="n"/>
      <c r="U1646" s="80" t="n"/>
      <c r="V1646" s="80" t="n"/>
      <c r="W1646" s="80" t="n"/>
      <c r="X1646" s="80" t="n"/>
      <c r="Y1646" s="80" t="n"/>
      <c r="Z1646" s="80" t="n"/>
      <c r="AA1646" s="80" t="n"/>
      <c r="AB1646" s="80" t="n"/>
      <c r="AC1646" s="80" t="n"/>
      <c r="AD1646" s="80" t="n"/>
      <c r="AE1646" s="80" t="n"/>
      <c r="AF1646" s="80" t="n"/>
      <c r="AG1646" s="80" t="n"/>
      <c r="AH1646" s="80" t="n"/>
      <c r="AI1646" s="80" t="n"/>
      <c r="AJ1646" s="80" t="n"/>
      <c r="AK1646" s="80" t="n"/>
      <c r="AL1646" s="80" t="n"/>
      <c r="AM1646" s="80" t="n"/>
      <c r="AN1646" s="80" t="n"/>
      <c r="AO1646" s="80" t="n"/>
      <c r="AP1646" s="80" t="n"/>
      <c r="AQ1646" s="80" t="n"/>
      <c r="AR1646" s="80" t="n"/>
    </row>
    <row r="1647">
      <c r="D1647" s="80" t="n"/>
      <c r="E1647" s="80" t="n"/>
      <c r="F1647" s="80" t="n"/>
      <c r="G1647" s="80" t="n"/>
      <c r="H1647" s="80" t="n"/>
      <c r="I1647" s="80" t="n"/>
      <c r="J1647" s="80" t="n"/>
      <c r="K1647" s="80" t="n"/>
      <c r="L1647" s="80" t="n"/>
      <c r="M1647" s="80" t="n"/>
      <c r="N1647" s="80" t="n"/>
      <c r="O1647" s="80" t="n"/>
      <c r="P1647" s="80" t="n"/>
      <c r="Q1647" s="80" t="n"/>
      <c r="R1647" s="80" t="n"/>
      <c r="S1647" s="80" t="n"/>
      <c r="T1647" s="80" t="n"/>
      <c r="U1647" s="80" t="n"/>
      <c r="V1647" s="80" t="n"/>
      <c r="W1647" s="80" t="n"/>
      <c r="X1647" s="80" t="n"/>
      <c r="Y1647" s="80" t="n"/>
      <c r="Z1647" s="80" t="n"/>
      <c r="AA1647" s="80" t="n"/>
      <c r="AB1647" s="80" t="n"/>
      <c r="AC1647" s="80" t="n"/>
      <c r="AD1647" s="80" t="n"/>
      <c r="AE1647" s="80" t="n"/>
      <c r="AF1647" s="80" t="n"/>
      <c r="AG1647" s="80" t="n"/>
      <c r="AH1647" s="80" t="n"/>
      <c r="AI1647" s="80" t="n"/>
      <c r="AJ1647" s="80" t="n"/>
      <c r="AK1647" s="80" t="n"/>
      <c r="AL1647" s="80" t="n"/>
      <c r="AM1647" s="80" t="n"/>
      <c r="AN1647" s="80" t="n"/>
      <c r="AO1647" s="80" t="n"/>
      <c r="AP1647" s="80" t="n"/>
      <c r="AQ1647" s="80" t="n"/>
      <c r="AR1647" s="80" t="n"/>
    </row>
    <row r="1649">
      <c r="A1649" s="6">
        <f>IF(HSTECH!$C$16="","",HSTECH!$C$16)</f>
        <v/>
      </c>
      <c r="B1649" s="41">
        <f>IF($A1649="",0,COUNT($E1650:$AR1650))</f>
        <v/>
      </c>
      <c r="C1649" s="81">
        <f>IF($B1649=0,0,MAX($E1650:$AR1650))</f>
        <v/>
      </c>
      <c r="D1649" s="82">
        <f>BDS($A1649,'Field Check'!$C$7,"headers=y","startcol=1","endcol=7","dir=h","DVD_START_DT",Summary!$C$18,"DVD_END_DT",Summary!$D$18)</f>
        <v/>
      </c>
      <c r="E1649" s="83" t="n"/>
      <c r="F1649" s="83" t="n"/>
      <c r="G1649" s="83" t="n"/>
      <c r="H1649" s="83" t="n"/>
      <c r="I1649" s="83" t="n"/>
      <c r="J1649" s="83" t="n"/>
      <c r="K1649" s="83" t="n"/>
      <c r="L1649" s="83" t="n"/>
      <c r="M1649" s="83" t="n"/>
      <c r="N1649" s="83" t="n"/>
      <c r="O1649" s="83" t="n"/>
      <c r="P1649" s="83" t="n"/>
      <c r="Q1649" s="83" t="n"/>
      <c r="R1649" s="83" t="n"/>
      <c r="S1649" s="83" t="n"/>
      <c r="T1649" s="83" t="n"/>
      <c r="U1649" s="83" t="n"/>
      <c r="V1649" s="83" t="n"/>
      <c r="W1649" s="83" t="n"/>
      <c r="X1649" s="83" t="n"/>
      <c r="Y1649" s="83" t="n"/>
      <c r="Z1649" s="83" t="n"/>
      <c r="AA1649" s="83" t="n"/>
      <c r="AB1649" s="83" t="n"/>
      <c r="AC1649" s="83" t="n"/>
      <c r="AD1649" s="83" t="n"/>
      <c r="AE1649" s="83" t="n"/>
      <c r="AF1649" s="83" t="n"/>
      <c r="AG1649" s="83" t="n"/>
      <c r="AH1649" s="83" t="n"/>
      <c r="AI1649" s="83" t="n"/>
      <c r="AJ1649" s="83" t="n"/>
      <c r="AK1649" s="83" t="n"/>
      <c r="AL1649" s="83" t="n"/>
      <c r="AM1649" s="83" t="n"/>
      <c r="AN1649" s="83" t="n"/>
      <c r="AO1649" s="83" t="n"/>
      <c r="AP1649" s="83" t="n"/>
      <c r="AQ1649" s="83" t="n"/>
      <c r="AR1649" s="83" t="n"/>
    </row>
    <row r="1650">
      <c r="D1650" s="83" t="n"/>
      <c r="E1650" s="83" t="n"/>
      <c r="F1650" s="83" t="n"/>
      <c r="G1650" s="83" t="n"/>
      <c r="H1650" s="83" t="n"/>
      <c r="I1650" s="83" t="n"/>
      <c r="J1650" s="83" t="n"/>
      <c r="K1650" s="83" t="n"/>
      <c r="L1650" s="83" t="n"/>
      <c r="M1650" s="83" t="n"/>
      <c r="N1650" s="83" t="n"/>
      <c r="O1650" s="83" t="n"/>
      <c r="P1650" s="83" t="n"/>
      <c r="Q1650" s="83" t="n"/>
      <c r="R1650" s="83" t="n"/>
      <c r="S1650" s="83" t="n"/>
      <c r="T1650" s="83" t="n"/>
      <c r="U1650" s="83" t="n"/>
      <c r="V1650" s="83" t="n"/>
      <c r="W1650" s="83" t="n"/>
      <c r="X1650" s="83" t="n"/>
      <c r="Y1650" s="83" t="n"/>
      <c r="Z1650" s="83" t="n"/>
      <c r="AA1650" s="83" t="n"/>
      <c r="AB1650" s="83" t="n"/>
      <c r="AC1650" s="83" t="n"/>
      <c r="AD1650" s="83" t="n"/>
      <c r="AE1650" s="83" t="n"/>
      <c r="AF1650" s="83" t="n"/>
      <c r="AG1650" s="83" t="n"/>
      <c r="AH1650" s="83" t="n"/>
      <c r="AI1650" s="83" t="n"/>
      <c r="AJ1650" s="83" t="n"/>
      <c r="AK1650" s="83" t="n"/>
      <c r="AL1650" s="83" t="n"/>
      <c r="AM1650" s="83" t="n"/>
      <c r="AN1650" s="83" t="n"/>
      <c r="AO1650" s="83" t="n"/>
      <c r="AP1650" s="83" t="n"/>
      <c r="AQ1650" s="83" t="n"/>
      <c r="AR1650" s="83" t="n"/>
    </row>
    <row r="1651">
      <c r="D1651" s="84" t="n"/>
      <c r="E1651" s="84" t="n"/>
      <c r="F1651" s="84" t="n"/>
      <c r="G1651" s="84" t="n"/>
      <c r="H1651" s="84" t="n"/>
      <c r="I1651" s="84" t="n"/>
      <c r="J1651" s="84" t="n"/>
      <c r="K1651" s="84" t="n"/>
      <c r="L1651" s="84" t="n"/>
      <c r="M1651" s="84" t="n"/>
      <c r="N1651" s="84" t="n"/>
      <c r="O1651" s="84" t="n"/>
      <c r="P1651" s="84" t="n"/>
      <c r="Q1651" s="84" t="n"/>
      <c r="R1651" s="84" t="n"/>
      <c r="S1651" s="84" t="n"/>
      <c r="T1651" s="84" t="n"/>
      <c r="U1651" s="84" t="n"/>
      <c r="V1651" s="84" t="n"/>
      <c r="W1651" s="84" t="n"/>
      <c r="X1651" s="84" t="n"/>
      <c r="Y1651" s="84" t="n"/>
      <c r="Z1651" s="84" t="n"/>
      <c r="AA1651" s="84" t="n"/>
      <c r="AB1651" s="84" t="n"/>
      <c r="AC1651" s="84" t="n"/>
      <c r="AD1651" s="84" t="n"/>
      <c r="AE1651" s="84" t="n"/>
      <c r="AF1651" s="84" t="n"/>
      <c r="AG1651" s="84" t="n"/>
      <c r="AH1651" s="84" t="n"/>
      <c r="AI1651" s="84" t="n"/>
      <c r="AJ1651" s="84" t="n"/>
      <c r="AK1651" s="84" t="n"/>
      <c r="AL1651" s="84" t="n"/>
      <c r="AM1651" s="84" t="n"/>
      <c r="AN1651" s="84" t="n"/>
      <c r="AO1651" s="84" t="n"/>
      <c r="AP1651" s="84" t="n"/>
      <c r="AQ1651" s="84" t="n"/>
      <c r="AR1651" s="84" t="n"/>
    </row>
    <row r="1652">
      <c r="D1652" s="80" t="n"/>
      <c r="E1652" s="80" t="n"/>
      <c r="F1652" s="80" t="n"/>
      <c r="G1652" s="80" t="n"/>
      <c r="H1652" s="80" t="n"/>
      <c r="I1652" s="80" t="n"/>
      <c r="J1652" s="80" t="n"/>
      <c r="K1652" s="80" t="n"/>
      <c r="L1652" s="80" t="n"/>
      <c r="M1652" s="80" t="n"/>
      <c r="N1652" s="80" t="n"/>
      <c r="O1652" s="80" t="n"/>
      <c r="P1652" s="80" t="n"/>
      <c r="Q1652" s="80" t="n"/>
      <c r="R1652" s="80" t="n"/>
      <c r="S1652" s="80" t="n"/>
      <c r="T1652" s="80" t="n"/>
      <c r="U1652" s="80" t="n"/>
      <c r="V1652" s="80" t="n"/>
      <c r="W1652" s="80" t="n"/>
      <c r="X1652" s="80" t="n"/>
      <c r="Y1652" s="80" t="n"/>
      <c r="Z1652" s="80" t="n"/>
      <c r="AA1652" s="80" t="n"/>
      <c r="AB1652" s="80" t="n"/>
      <c r="AC1652" s="80" t="n"/>
      <c r="AD1652" s="80" t="n"/>
      <c r="AE1652" s="80" t="n"/>
      <c r="AF1652" s="80" t="n"/>
      <c r="AG1652" s="80" t="n"/>
      <c r="AH1652" s="80" t="n"/>
      <c r="AI1652" s="80" t="n"/>
      <c r="AJ1652" s="80" t="n"/>
      <c r="AK1652" s="80" t="n"/>
      <c r="AL1652" s="80" t="n"/>
      <c r="AM1652" s="80" t="n"/>
      <c r="AN1652" s="80" t="n"/>
      <c r="AO1652" s="80" t="n"/>
      <c r="AP1652" s="80" t="n"/>
      <c r="AQ1652" s="80" t="n"/>
      <c r="AR1652" s="80" t="n"/>
    </row>
    <row r="1653">
      <c r="D1653" s="80" t="n"/>
      <c r="E1653" s="80" t="n"/>
      <c r="F1653" s="80" t="n"/>
      <c r="G1653" s="80" t="n"/>
      <c r="H1653" s="80" t="n"/>
      <c r="I1653" s="80" t="n"/>
      <c r="J1653" s="80" t="n"/>
      <c r="K1653" s="80" t="n"/>
      <c r="L1653" s="80" t="n"/>
      <c r="M1653" s="80" t="n"/>
      <c r="N1653" s="80" t="n"/>
      <c r="O1653" s="80" t="n"/>
      <c r="P1653" s="80" t="n"/>
      <c r="Q1653" s="80" t="n"/>
      <c r="R1653" s="80" t="n"/>
      <c r="S1653" s="80" t="n"/>
      <c r="T1653" s="80" t="n"/>
      <c r="U1653" s="80" t="n"/>
      <c r="V1653" s="80" t="n"/>
      <c r="W1653" s="80" t="n"/>
      <c r="X1653" s="80" t="n"/>
      <c r="Y1653" s="80" t="n"/>
      <c r="Z1653" s="80" t="n"/>
      <c r="AA1653" s="80" t="n"/>
      <c r="AB1653" s="80" t="n"/>
      <c r="AC1653" s="80" t="n"/>
      <c r="AD1653" s="80" t="n"/>
      <c r="AE1653" s="80" t="n"/>
      <c r="AF1653" s="80" t="n"/>
      <c r="AG1653" s="80" t="n"/>
      <c r="AH1653" s="80" t="n"/>
      <c r="AI1653" s="80" t="n"/>
      <c r="AJ1653" s="80" t="n"/>
      <c r="AK1653" s="80" t="n"/>
      <c r="AL1653" s="80" t="n"/>
      <c r="AM1653" s="80" t="n"/>
      <c r="AN1653" s="80" t="n"/>
      <c r="AO1653" s="80" t="n"/>
      <c r="AP1653" s="80" t="n"/>
      <c r="AQ1653" s="80" t="n"/>
      <c r="AR1653" s="80" t="n"/>
    </row>
    <row r="1654">
      <c r="D1654" s="80" t="n"/>
      <c r="E1654" s="80" t="n"/>
      <c r="F1654" s="80" t="n"/>
      <c r="G1654" s="80" t="n"/>
      <c r="H1654" s="80" t="n"/>
      <c r="I1654" s="80" t="n"/>
      <c r="J1654" s="80" t="n"/>
      <c r="K1654" s="80" t="n"/>
      <c r="L1654" s="80" t="n"/>
      <c r="M1654" s="80" t="n"/>
      <c r="N1654" s="80" t="n"/>
      <c r="O1654" s="80" t="n"/>
      <c r="P1654" s="80" t="n"/>
      <c r="Q1654" s="80" t="n"/>
      <c r="R1654" s="80" t="n"/>
      <c r="S1654" s="80" t="n"/>
      <c r="T1654" s="80" t="n"/>
      <c r="U1654" s="80" t="n"/>
      <c r="V1654" s="80" t="n"/>
      <c r="W1654" s="80" t="n"/>
      <c r="X1654" s="80" t="n"/>
      <c r="Y1654" s="80" t="n"/>
      <c r="Z1654" s="80" t="n"/>
      <c r="AA1654" s="80" t="n"/>
      <c r="AB1654" s="80" t="n"/>
      <c r="AC1654" s="80" t="n"/>
      <c r="AD1654" s="80" t="n"/>
      <c r="AE1654" s="80" t="n"/>
      <c r="AF1654" s="80" t="n"/>
      <c r="AG1654" s="80" t="n"/>
      <c r="AH1654" s="80" t="n"/>
      <c r="AI1654" s="80" t="n"/>
      <c r="AJ1654" s="80" t="n"/>
      <c r="AK1654" s="80" t="n"/>
      <c r="AL1654" s="80" t="n"/>
      <c r="AM1654" s="80" t="n"/>
      <c r="AN1654" s="80" t="n"/>
      <c r="AO1654" s="80" t="n"/>
      <c r="AP1654" s="80" t="n"/>
      <c r="AQ1654" s="80" t="n"/>
      <c r="AR1654" s="80" t="n"/>
    </row>
    <row r="1655">
      <c r="D1655" s="80" t="n"/>
      <c r="E1655" s="80" t="n"/>
      <c r="F1655" s="80" t="n"/>
      <c r="G1655" s="80" t="n"/>
      <c r="H1655" s="80" t="n"/>
      <c r="I1655" s="80" t="n"/>
      <c r="J1655" s="80" t="n"/>
      <c r="K1655" s="80" t="n"/>
      <c r="L1655" s="80" t="n"/>
      <c r="M1655" s="80" t="n"/>
      <c r="N1655" s="80" t="n"/>
      <c r="O1655" s="80" t="n"/>
      <c r="P1655" s="80" t="n"/>
      <c r="Q1655" s="80" t="n"/>
      <c r="R1655" s="80" t="n"/>
      <c r="S1655" s="80" t="n"/>
      <c r="T1655" s="80" t="n"/>
      <c r="U1655" s="80" t="n"/>
      <c r="V1655" s="80" t="n"/>
      <c r="W1655" s="80" t="n"/>
      <c r="X1655" s="80" t="n"/>
      <c r="Y1655" s="80" t="n"/>
      <c r="Z1655" s="80" t="n"/>
      <c r="AA1655" s="80" t="n"/>
      <c r="AB1655" s="80" t="n"/>
      <c r="AC1655" s="80" t="n"/>
      <c r="AD1655" s="80" t="n"/>
      <c r="AE1655" s="80" t="n"/>
      <c r="AF1655" s="80" t="n"/>
      <c r="AG1655" s="80" t="n"/>
      <c r="AH1655" s="80" t="n"/>
      <c r="AI1655" s="80" t="n"/>
      <c r="AJ1655" s="80" t="n"/>
      <c r="AK1655" s="80" t="n"/>
      <c r="AL1655" s="80" t="n"/>
      <c r="AM1655" s="80" t="n"/>
      <c r="AN1655" s="80" t="n"/>
      <c r="AO1655" s="80" t="n"/>
      <c r="AP1655" s="80" t="n"/>
      <c r="AQ1655" s="80" t="n"/>
      <c r="AR1655" s="80" t="n"/>
    </row>
    <row r="1656">
      <c r="A1656" s="2">
        <f>IF($A1649="","","   projections")</f>
        <v/>
      </c>
      <c r="B1656" s="41">
        <f>IF($A1649="",0,COUNT($E1657:$AR1657))</f>
        <v/>
      </c>
      <c r="C1656" s="81">
        <f>IF($B1656=0,0,MAX($E1657:$AR1657))</f>
        <v/>
      </c>
      <c r="D1656" s="82">
        <f>BDS($A1649,'Field Check'!$C$6,"headers=y","startcol=1","endcol=7","dir=h")</f>
        <v/>
      </c>
      <c r="E1656" s="83" t="n"/>
      <c r="F1656" s="83" t="n"/>
      <c r="G1656" s="83" t="n"/>
      <c r="H1656" s="83" t="n"/>
      <c r="I1656" s="83" t="n"/>
      <c r="J1656" s="83" t="n"/>
      <c r="K1656" s="83" t="n"/>
      <c r="L1656" s="83" t="n"/>
      <c r="M1656" s="83" t="n"/>
      <c r="N1656" s="83" t="n"/>
      <c r="O1656" s="83" t="n"/>
      <c r="P1656" s="83" t="n"/>
      <c r="Q1656" s="83" t="n"/>
      <c r="R1656" s="83" t="n"/>
      <c r="S1656" s="83" t="n"/>
      <c r="T1656" s="83" t="n"/>
      <c r="U1656" s="83" t="n"/>
      <c r="V1656" s="83" t="n"/>
      <c r="W1656" s="83" t="n"/>
      <c r="X1656" s="83" t="n"/>
      <c r="Y1656" s="83" t="n"/>
      <c r="Z1656" s="83" t="n"/>
      <c r="AA1656" s="83" t="n"/>
      <c r="AB1656" s="83" t="n"/>
      <c r="AC1656" s="83" t="n"/>
      <c r="AD1656" s="83" t="n"/>
      <c r="AE1656" s="83" t="n"/>
      <c r="AF1656" s="83" t="n"/>
      <c r="AG1656" s="83" t="n"/>
      <c r="AH1656" s="83" t="n"/>
      <c r="AI1656" s="83" t="n"/>
      <c r="AJ1656" s="83" t="n"/>
      <c r="AK1656" s="83" t="n"/>
      <c r="AL1656" s="83" t="n"/>
      <c r="AM1656" s="83" t="n"/>
      <c r="AN1656" s="83" t="n"/>
      <c r="AO1656" s="83" t="n"/>
      <c r="AP1656" s="83" t="n"/>
      <c r="AQ1656" s="83" t="n"/>
      <c r="AR1656" s="83" t="n"/>
    </row>
    <row r="1657">
      <c r="D1657" s="83" t="n"/>
      <c r="E1657" s="83" t="n"/>
      <c r="F1657" s="83" t="n"/>
      <c r="G1657" s="83" t="n"/>
      <c r="H1657" s="83" t="n"/>
      <c r="I1657" s="83" t="n"/>
      <c r="J1657" s="83" t="n"/>
      <c r="K1657" s="83" t="n"/>
      <c r="L1657" s="83" t="n"/>
      <c r="M1657" s="83" t="n"/>
      <c r="N1657" s="83" t="n"/>
      <c r="O1657" s="83" t="n"/>
      <c r="P1657" s="83" t="n"/>
      <c r="Q1657" s="83" t="n"/>
      <c r="R1657" s="83" t="n"/>
      <c r="S1657" s="83" t="n"/>
      <c r="T1657" s="83" t="n"/>
      <c r="U1657" s="83" t="n"/>
      <c r="V1657" s="83" t="n"/>
      <c r="W1657" s="83" t="n"/>
      <c r="X1657" s="83" t="n"/>
      <c r="Y1657" s="83" t="n"/>
      <c r="Z1657" s="83" t="n"/>
      <c r="AA1657" s="83" t="n"/>
      <c r="AB1657" s="83" t="n"/>
      <c r="AC1657" s="83" t="n"/>
      <c r="AD1657" s="83" t="n"/>
      <c r="AE1657" s="83" t="n"/>
      <c r="AF1657" s="83" t="n"/>
      <c r="AG1657" s="83" t="n"/>
      <c r="AH1657" s="83" t="n"/>
      <c r="AI1657" s="83" t="n"/>
      <c r="AJ1657" s="83" t="n"/>
      <c r="AK1657" s="83" t="n"/>
      <c r="AL1657" s="83" t="n"/>
      <c r="AM1657" s="83" t="n"/>
      <c r="AN1657" s="83" t="n"/>
      <c r="AO1657" s="83" t="n"/>
      <c r="AP1657" s="83" t="n"/>
      <c r="AQ1657" s="83" t="n"/>
      <c r="AR1657" s="83" t="n"/>
    </row>
    <row r="1658">
      <c r="D1658" s="84" t="n"/>
      <c r="E1658" s="84" t="n"/>
      <c r="F1658" s="84" t="n"/>
      <c r="G1658" s="84" t="n"/>
      <c r="H1658" s="84" t="n"/>
      <c r="I1658" s="84" t="n"/>
      <c r="J1658" s="84" t="n"/>
      <c r="K1658" s="84" t="n"/>
      <c r="L1658" s="84" t="n"/>
      <c r="M1658" s="84" t="n"/>
      <c r="N1658" s="84" t="n"/>
      <c r="O1658" s="84" t="n"/>
      <c r="P1658" s="84" t="n"/>
      <c r="Q1658" s="84" t="n"/>
      <c r="R1658" s="84" t="n"/>
      <c r="S1658" s="84" t="n"/>
      <c r="T1658" s="84" t="n"/>
      <c r="U1658" s="84" t="n"/>
      <c r="V1658" s="84" t="n"/>
      <c r="W1658" s="84" t="n"/>
      <c r="X1658" s="84" t="n"/>
      <c r="Y1658" s="84" t="n"/>
      <c r="Z1658" s="84" t="n"/>
      <c r="AA1658" s="84" t="n"/>
      <c r="AB1658" s="84" t="n"/>
      <c r="AC1658" s="84" t="n"/>
      <c r="AD1658" s="84" t="n"/>
      <c r="AE1658" s="84" t="n"/>
      <c r="AF1658" s="84" t="n"/>
      <c r="AG1658" s="84" t="n"/>
      <c r="AH1658" s="84" t="n"/>
      <c r="AI1658" s="84" t="n"/>
      <c r="AJ1658" s="84" t="n"/>
      <c r="AK1658" s="84" t="n"/>
      <c r="AL1658" s="84" t="n"/>
      <c r="AM1658" s="84" t="n"/>
      <c r="AN1658" s="84" t="n"/>
      <c r="AO1658" s="84" t="n"/>
      <c r="AP1658" s="84" t="n"/>
      <c r="AQ1658" s="84" t="n"/>
      <c r="AR1658" s="84" t="n"/>
    </row>
    <row r="1659">
      <c r="D1659" s="80" t="n"/>
      <c r="E1659" s="80" t="n"/>
      <c r="F1659" s="80" t="n"/>
      <c r="G1659" s="80" t="n"/>
      <c r="H1659" s="80" t="n"/>
      <c r="I1659" s="80" t="n"/>
      <c r="J1659" s="80" t="n"/>
      <c r="K1659" s="80" t="n"/>
      <c r="L1659" s="80" t="n"/>
      <c r="M1659" s="80" t="n"/>
      <c r="N1659" s="80" t="n"/>
      <c r="O1659" s="80" t="n"/>
      <c r="P1659" s="80" t="n"/>
      <c r="Q1659" s="80" t="n"/>
      <c r="R1659" s="80" t="n"/>
      <c r="S1659" s="80" t="n"/>
      <c r="T1659" s="80" t="n"/>
      <c r="U1659" s="80" t="n"/>
      <c r="V1659" s="80" t="n"/>
      <c r="W1659" s="80" t="n"/>
      <c r="X1659" s="80" t="n"/>
      <c r="Y1659" s="80" t="n"/>
      <c r="Z1659" s="80" t="n"/>
      <c r="AA1659" s="80" t="n"/>
      <c r="AB1659" s="80" t="n"/>
      <c r="AC1659" s="80" t="n"/>
      <c r="AD1659" s="80" t="n"/>
      <c r="AE1659" s="80" t="n"/>
      <c r="AF1659" s="80" t="n"/>
      <c r="AG1659" s="80" t="n"/>
      <c r="AH1659" s="80" t="n"/>
      <c r="AI1659" s="80" t="n"/>
      <c r="AJ1659" s="80" t="n"/>
      <c r="AK1659" s="80" t="n"/>
      <c r="AL1659" s="80" t="n"/>
      <c r="AM1659" s="80" t="n"/>
      <c r="AN1659" s="80" t="n"/>
      <c r="AO1659" s="80" t="n"/>
      <c r="AP1659" s="80" t="n"/>
      <c r="AQ1659" s="80" t="n"/>
      <c r="AR1659" s="80" t="n"/>
    </row>
    <row r="1660">
      <c r="D1660" s="80" t="n"/>
      <c r="E1660" s="80" t="n"/>
      <c r="F1660" s="80" t="n"/>
      <c r="G1660" s="80" t="n"/>
      <c r="H1660" s="80" t="n"/>
      <c r="I1660" s="80" t="n"/>
      <c r="J1660" s="80" t="n"/>
      <c r="K1660" s="80" t="n"/>
      <c r="L1660" s="80" t="n"/>
      <c r="M1660" s="80" t="n"/>
      <c r="N1660" s="80" t="n"/>
      <c r="O1660" s="80" t="n"/>
      <c r="P1660" s="80" t="n"/>
      <c r="Q1660" s="80" t="n"/>
      <c r="R1660" s="80" t="n"/>
      <c r="S1660" s="80" t="n"/>
      <c r="T1660" s="80" t="n"/>
      <c r="U1660" s="80" t="n"/>
      <c r="V1660" s="80" t="n"/>
      <c r="W1660" s="80" t="n"/>
      <c r="X1660" s="80" t="n"/>
      <c r="Y1660" s="80" t="n"/>
      <c r="Z1660" s="80" t="n"/>
      <c r="AA1660" s="80" t="n"/>
      <c r="AB1660" s="80" t="n"/>
      <c r="AC1660" s="80" t="n"/>
      <c r="AD1660" s="80" t="n"/>
      <c r="AE1660" s="80" t="n"/>
      <c r="AF1660" s="80" t="n"/>
      <c r="AG1660" s="80" t="n"/>
      <c r="AH1660" s="80" t="n"/>
      <c r="AI1660" s="80" t="n"/>
      <c r="AJ1660" s="80" t="n"/>
      <c r="AK1660" s="80" t="n"/>
      <c r="AL1660" s="80" t="n"/>
      <c r="AM1660" s="80" t="n"/>
      <c r="AN1660" s="80" t="n"/>
      <c r="AO1660" s="80" t="n"/>
      <c r="AP1660" s="80" t="n"/>
      <c r="AQ1660" s="80" t="n"/>
      <c r="AR1660" s="80" t="n"/>
    </row>
    <row r="1661">
      <c r="D1661" s="80" t="n"/>
      <c r="E1661" s="80" t="n"/>
      <c r="F1661" s="80" t="n"/>
      <c r="G1661" s="80" t="n"/>
      <c r="H1661" s="80" t="n"/>
      <c r="I1661" s="80" t="n"/>
      <c r="J1661" s="80" t="n"/>
      <c r="K1661" s="80" t="n"/>
      <c r="L1661" s="80" t="n"/>
      <c r="M1661" s="80" t="n"/>
      <c r="N1661" s="80" t="n"/>
      <c r="O1661" s="80" t="n"/>
      <c r="P1661" s="80" t="n"/>
      <c r="Q1661" s="80" t="n"/>
      <c r="R1661" s="80" t="n"/>
      <c r="S1661" s="80" t="n"/>
      <c r="T1661" s="80" t="n"/>
      <c r="U1661" s="80" t="n"/>
      <c r="V1661" s="80" t="n"/>
      <c r="W1661" s="80" t="n"/>
      <c r="X1661" s="80" t="n"/>
      <c r="Y1661" s="80" t="n"/>
      <c r="Z1661" s="80" t="n"/>
      <c r="AA1661" s="80" t="n"/>
      <c r="AB1661" s="80" t="n"/>
      <c r="AC1661" s="80" t="n"/>
      <c r="AD1661" s="80" t="n"/>
      <c r="AE1661" s="80" t="n"/>
      <c r="AF1661" s="80" t="n"/>
      <c r="AG1661" s="80" t="n"/>
      <c r="AH1661" s="80" t="n"/>
      <c r="AI1661" s="80" t="n"/>
      <c r="AJ1661" s="80" t="n"/>
      <c r="AK1661" s="80" t="n"/>
      <c r="AL1661" s="80" t="n"/>
      <c r="AM1661" s="80" t="n"/>
      <c r="AN1661" s="80" t="n"/>
      <c r="AO1661" s="80" t="n"/>
      <c r="AP1661" s="80" t="n"/>
      <c r="AQ1661" s="80" t="n"/>
      <c r="AR1661" s="80" t="n"/>
    </row>
    <row r="1662">
      <c r="D1662" s="80" t="n"/>
      <c r="E1662" s="80" t="n"/>
      <c r="F1662" s="80" t="n"/>
      <c r="G1662" s="80" t="n"/>
      <c r="H1662" s="80" t="n"/>
      <c r="I1662" s="80" t="n"/>
      <c r="J1662" s="80" t="n"/>
      <c r="K1662" s="80" t="n"/>
      <c r="L1662" s="80" t="n"/>
      <c r="M1662" s="80" t="n"/>
      <c r="N1662" s="80" t="n"/>
      <c r="O1662" s="80" t="n"/>
      <c r="P1662" s="80" t="n"/>
      <c r="Q1662" s="80" t="n"/>
      <c r="R1662" s="80" t="n"/>
      <c r="S1662" s="80" t="n"/>
      <c r="T1662" s="80" t="n"/>
      <c r="U1662" s="80" t="n"/>
      <c r="V1662" s="80" t="n"/>
      <c r="W1662" s="80" t="n"/>
      <c r="X1662" s="80" t="n"/>
      <c r="Y1662" s="80" t="n"/>
      <c r="Z1662" s="80" t="n"/>
      <c r="AA1662" s="80" t="n"/>
      <c r="AB1662" s="80" t="n"/>
      <c r="AC1662" s="80" t="n"/>
      <c r="AD1662" s="80" t="n"/>
      <c r="AE1662" s="80" t="n"/>
      <c r="AF1662" s="80" t="n"/>
      <c r="AG1662" s="80" t="n"/>
      <c r="AH1662" s="80" t="n"/>
      <c r="AI1662" s="80" t="n"/>
      <c r="AJ1662" s="80" t="n"/>
      <c r="AK1662" s="80" t="n"/>
      <c r="AL1662" s="80" t="n"/>
      <c r="AM1662" s="80" t="n"/>
      <c r="AN1662" s="80" t="n"/>
      <c r="AO1662" s="80" t="n"/>
      <c r="AP1662" s="80" t="n"/>
      <c r="AQ1662" s="80" t="n"/>
      <c r="AR1662" s="80" t="n"/>
    </row>
    <row r="1664">
      <c r="A1664" s="6">
        <f>IF(HSTECH!$C$17="","",HSTECH!$C$17)</f>
        <v/>
      </c>
      <c r="B1664" s="41">
        <f>IF($A1664="",0,COUNT($E1665:$AR1665))</f>
        <v/>
      </c>
      <c r="C1664" s="81">
        <f>IF($B1664=0,0,MAX($E1665:$AR1665))</f>
        <v/>
      </c>
      <c r="D1664" s="82">
        <f>BDS($A1664,'Field Check'!$C$7,"headers=y","startcol=1","endcol=7","dir=h","DVD_START_DT",Summary!$C$18,"DVD_END_DT",Summary!$D$18)</f>
        <v/>
      </c>
      <c r="E1664" s="83" t="n"/>
      <c r="F1664" s="83" t="n"/>
      <c r="G1664" s="83" t="n"/>
      <c r="H1664" s="83" t="n"/>
      <c r="I1664" s="83" t="n"/>
      <c r="J1664" s="83" t="n"/>
      <c r="K1664" s="83" t="n"/>
      <c r="L1664" s="83" t="n"/>
      <c r="M1664" s="83" t="n"/>
      <c r="N1664" s="83" t="n"/>
      <c r="O1664" s="83" t="n"/>
      <c r="P1664" s="83" t="n"/>
      <c r="Q1664" s="83" t="n"/>
      <c r="R1664" s="83" t="n"/>
      <c r="S1664" s="83" t="n"/>
      <c r="T1664" s="83" t="n"/>
      <c r="U1664" s="83" t="n"/>
      <c r="V1664" s="83" t="n"/>
      <c r="W1664" s="83" t="n"/>
      <c r="X1664" s="83" t="n"/>
      <c r="Y1664" s="83" t="n"/>
      <c r="Z1664" s="83" t="n"/>
      <c r="AA1664" s="83" t="n"/>
      <c r="AB1664" s="83" t="n"/>
      <c r="AC1664" s="83" t="n"/>
      <c r="AD1664" s="83" t="n"/>
      <c r="AE1664" s="83" t="n"/>
      <c r="AF1664" s="83" t="n"/>
      <c r="AG1664" s="83" t="n"/>
      <c r="AH1664" s="83" t="n"/>
      <c r="AI1664" s="83" t="n"/>
      <c r="AJ1664" s="83" t="n"/>
      <c r="AK1664" s="83" t="n"/>
      <c r="AL1664" s="83" t="n"/>
      <c r="AM1664" s="83" t="n"/>
      <c r="AN1664" s="83" t="n"/>
      <c r="AO1664" s="83" t="n"/>
      <c r="AP1664" s="83" t="n"/>
      <c r="AQ1664" s="83" t="n"/>
      <c r="AR1664" s="83" t="n"/>
    </row>
    <row r="1665">
      <c r="D1665" s="83" t="n"/>
      <c r="E1665" s="83" t="n"/>
      <c r="F1665" s="83" t="n"/>
      <c r="G1665" s="83" t="n"/>
      <c r="H1665" s="83" t="n"/>
      <c r="I1665" s="83" t="n"/>
      <c r="J1665" s="83" t="n"/>
      <c r="K1665" s="83" t="n"/>
      <c r="L1665" s="83" t="n"/>
      <c r="M1665" s="83" t="n"/>
      <c r="N1665" s="83" t="n"/>
      <c r="O1665" s="83" t="n"/>
      <c r="P1665" s="83" t="n"/>
      <c r="Q1665" s="83" t="n"/>
      <c r="R1665" s="83" t="n"/>
      <c r="S1665" s="83" t="n"/>
      <c r="T1665" s="83" t="n"/>
      <c r="U1665" s="83" t="n"/>
      <c r="V1665" s="83" t="n"/>
      <c r="W1665" s="83" t="n"/>
      <c r="X1665" s="83" t="n"/>
      <c r="Y1665" s="83" t="n"/>
      <c r="Z1665" s="83" t="n"/>
      <c r="AA1665" s="83" t="n"/>
      <c r="AB1665" s="83" t="n"/>
      <c r="AC1665" s="83" t="n"/>
      <c r="AD1665" s="83" t="n"/>
      <c r="AE1665" s="83" t="n"/>
      <c r="AF1665" s="83" t="n"/>
      <c r="AG1665" s="83" t="n"/>
      <c r="AH1665" s="83" t="n"/>
      <c r="AI1665" s="83" t="n"/>
      <c r="AJ1665" s="83" t="n"/>
      <c r="AK1665" s="83" t="n"/>
      <c r="AL1665" s="83" t="n"/>
      <c r="AM1665" s="83" t="n"/>
      <c r="AN1665" s="83" t="n"/>
      <c r="AO1665" s="83" t="n"/>
      <c r="AP1665" s="83" t="n"/>
      <c r="AQ1665" s="83" t="n"/>
      <c r="AR1665" s="83" t="n"/>
    </row>
    <row r="1666">
      <c r="D1666" s="84" t="n"/>
      <c r="E1666" s="84" t="n"/>
      <c r="F1666" s="84" t="n"/>
      <c r="G1666" s="84" t="n"/>
      <c r="H1666" s="84" t="n"/>
      <c r="I1666" s="84" t="n"/>
      <c r="J1666" s="84" t="n"/>
      <c r="K1666" s="84" t="n"/>
      <c r="L1666" s="84" t="n"/>
      <c r="M1666" s="84" t="n"/>
      <c r="N1666" s="84" t="n"/>
      <c r="O1666" s="84" t="n"/>
      <c r="P1666" s="84" t="n"/>
      <c r="Q1666" s="84" t="n"/>
      <c r="R1666" s="84" t="n"/>
      <c r="S1666" s="84" t="n"/>
      <c r="T1666" s="84" t="n"/>
      <c r="U1666" s="84" t="n"/>
      <c r="V1666" s="84" t="n"/>
      <c r="W1666" s="84" t="n"/>
      <c r="X1666" s="84" t="n"/>
      <c r="Y1666" s="84" t="n"/>
      <c r="Z1666" s="84" t="n"/>
      <c r="AA1666" s="84" t="n"/>
      <c r="AB1666" s="84" t="n"/>
      <c r="AC1666" s="84" t="n"/>
      <c r="AD1666" s="84" t="n"/>
      <c r="AE1666" s="84" t="n"/>
      <c r="AF1666" s="84" t="n"/>
      <c r="AG1666" s="84" t="n"/>
      <c r="AH1666" s="84" t="n"/>
      <c r="AI1666" s="84" t="n"/>
      <c r="AJ1666" s="84" t="n"/>
      <c r="AK1666" s="84" t="n"/>
      <c r="AL1666" s="84" t="n"/>
      <c r="AM1666" s="84" t="n"/>
      <c r="AN1666" s="84" t="n"/>
      <c r="AO1666" s="84" t="n"/>
      <c r="AP1666" s="84" t="n"/>
      <c r="AQ1666" s="84" t="n"/>
      <c r="AR1666" s="84" t="n"/>
    </row>
    <row r="1667">
      <c r="D1667" s="80" t="n"/>
      <c r="E1667" s="80" t="n"/>
      <c r="F1667" s="80" t="n"/>
      <c r="G1667" s="80" t="n"/>
      <c r="H1667" s="80" t="n"/>
      <c r="I1667" s="80" t="n"/>
      <c r="J1667" s="80" t="n"/>
      <c r="K1667" s="80" t="n"/>
      <c r="L1667" s="80" t="n"/>
      <c r="M1667" s="80" t="n"/>
      <c r="N1667" s="80" t="n"/>
      <c r="O1667" s="80" t="n"/>
      <c r="P1667" s="80" t="n"/>
      <c r="Q1667" s="80" t="n"/>
      <c r="R1667" s="80" t="n"/>
      <c r="S1667" s="80" t="n"/>
      <c r="T1667" s="80" t="n"/>
      <c r="U1667" s="80" t="n"/>
      <c r="V1667" s="80" t="n"/>
      <c r="W1667" s="80" t="n"/>
      <c r="X1667" s="80" t="n"/>
      <c r="Y1667" s="80" t="n"/>
      <c r="Z1667" s="80" t="n"/>
      <c r="AA1667" s="80" t="n"/>
      <c r="AB1667" s="80" t="n"/>
      <c r="AC1667" s="80" t="n"/>
      <c r="AD1667" s="80" t="n"/>
      <c r="AE1667" s="80" t="n"/>
      <c r="AF1667" s="80" t="n"/>
      <c r="AG1667" s="80" t="n"/>
      <c r="AH1667" s="80" t="n"/>
      <c r="AI1667" s="80" t="n"/>
      <c r="AJ1667" s="80" t="n"/>
      <c r="AK1667" s="80" t="n"/>
      <c r="AL1667" s="80" t="n"/>
      <c r="AM1667" s="80" t="n"/>
      <c r="AN1667" s="80" t="n"/>
      <c r="AO1667" s="80" t="n"/>
      <c r="AP1667" s="80" t="n"/>
      <c r="AQ1667" s="80" t="n"/>
      <c r="AR1667" s="80" t="n"/>
    </row>
    <row r="1668">
      <c r="D1668" s="80" t="n"/>
      <c r="E1668" s="80" t="n"/>
      <c r="F1668" s="80" t="n"/>
      <c r="G1668" s="80" t="n"/>
      <c r="H1668" s="80" t="n"/>
      <c r="I1668" s="80" t="n"/>
      <c r="J1668" s="80" t="n"/>
      <c r="K1668" s="80" t="n"/>
      <c r="L1668" s="80" t="n"/>
      <c r="M1668" s="80" t="n"/>
      <c r="N1668" s="80" t="n"/>
      <c r="O1668" s="80" t="n"/>
      <c r="P1668" s="80" t="n"/>
      <c r="Q1668" s="80" t="n"/>
      <c r="R1668" s="80" t="n"/>
      <c r="S1668" s="80" t="n"/>
      <c r="T1668" s="80" t="n"/>
      <c r="U1668" s="80" t="n"/>
      <c r="V1668" s="80" t="n"/>
      <c r="W1668" s="80" t="n"/>
      <c r="X1668" s="80" t="n"/>
      <c r="Y1668" s="80" t="n"/>
      <c r="Z1668" s="80" t="n"/>
      <c r="AA1668" s="80" t="n"/>
      <c r="AB1668" s="80" t="n"/>
      <c r="AC1668" s="80" t="n"/>
      <c r="AD1668" s="80" t="n"/>
      <c r="AE1668" s="80" t="n"/>
      <c r="AF1668" s="80" t="n"/>
      <c r="AG1668" s="80" t="n"/>
      <c r="AH1668" s="80" t="n"/>
      <c r="AI1668" s="80" t="n"/>
      <c r="AJ1668" s="80" t="n"/>
      <c r="AK1668" s="80" t="n"/>
      <c r="AL1668" s="80" t="n"/>
      <c r="AM1668" s="80" t="n"/>
      <c r="AN1668" s="80" t="n"/>
      <c r="AO1668" s="80" t="n"/>
      <c r="AP1668" s="80" t="n"/>
      <c r="AQ1668" s="80" t="n"/>
      <c r="AR1668" s="80" t="n"/>
    </row>
    <row r="1669">
      <c r="D1669" s="80" t="n"/>
      <c r="E1669" s="80" t="n"/>
      <c r="F1669" s="80" t="n"/>
      <c r="G1669" s="80" t="n"/>
      <c r="H1669" s="80" t="n"/>
      <c r="I1669" s="80" t="n"/>
      <c r="J1669" s="80" t="n"/>
      <c r="K1669" s="80" t="n"/>
      <c r="L1669" s="80" t="n"/>
      <c r="M1669" s="80" t="n"/>
      <c r="N1669" s="80" t="n"/>
      <c r="O1669" s="80" t="n"/>
      <c r="P1669" s="80" t="n"/>
      <c r="Q1669" s="80" t="n"/>
      <c r="R1669" s="80" t="n"/>
      <c r="S1669" s="80" t="n"/>
      <c r="T1669" s="80" t="n"/>
      <c r="U1669" s="80" t="n"/>
      <c r="V1669" s="80" t="n"/>
      <c r="W1669" s="80" t="n"/>
      <c r="X1669" s="80" t="n"/>
      <c r="Y1669" s="80" t="n"/>
      <c r="Z1669" s="80" t="n"/>
      <c r="AA1669" s="80" t="n"/>
      <c r="AB1669" s="80" t="n"/>
      <c r="AC1669" s="80" t="n"/>
      <c r="AD1669" s="80" t="n"/>
      <c r="AE1669" s="80" t="n"/>
      <c r="AF1669" s="80" t="n"/>
      <c r="AG1669" s="80" t="n"/>
      <c r="AH1669" s="80" t="n"/>
      <c r="AI1669" s="80" t="n"/>
      <c r="AJ1669" s="80" t="n"/>
      <c r="AK1669" s="80" t="n"/>
      <c r="AL1669" s="80" t="n"/>
      <c r="AM1669" s="80" t="n"/>
      <c r="AN1669" s="80" t="n"/>
      <c r="AO1669" s="80" t="n"/>
      <c r="AP1669" s="80" t="n"/>
      <c r="AQ1669" s="80" t="n"/>
      <c r="AR1669" s="80" t="n"/>
    </row>
    <row r="1670">
      <c r="D1670" s="80" t="n"/>
      <c r="E1670" s="80" t="n"/>
      <c r="F1670" s="80" t="n"/>
      <c r="G1670" s="80" t="n"/>
      <c r="H1670" s="80" t="n"/>
      <c r="I1670" s="80" t="n"/>
      <c r="J1670" s="80" t="n"/>
      <c r="K1670" s="80" t="n"/>
      <c r="L1670" s="80" t="n"/>
      <c r="M1670" s="80" t="n"/>
      <c r="N1670" s="80" t="n"/>
      <c r="O1670" s="80" t="n"/>
      <c r="P1670" s="80" t="n"/>
      <c r="Q1670" s="80" t="n"/>
      <c r="R1670" s="80" t="n"/>
      <c r="S1670" s="80" t="n"/>
      <c r="T1670" s="80" t="n"/>
      <c r="U1670" s="80" t="n"/>
      <c r="V1670" s="80" t="n"/>
      <c r="W1670" s="80" t="n"/>
      <c r="X1670" s="80" t="n"/>
      <c r="Y1670" s="80" t="n"/>
      <c r="Z1670" s="80" t="n"/>
      <c r="AA1670" s="80" t="n"/>
      <c r="AB1670" s="80" t="n"/>
      <c r="AC1670" s="80" t="n"/>
      <c r="AD1670" s="80" t="n"/>
      <c r="AE1670" s="80" t="n"/>
      <c r="AF1670" s="80" t="n"/>
      <c r="AG1670" s="80" t="n"/>
      <c r="AH1670" s="80" t="n"/>
      <c r="AI1670" s="80" t="n"/>
      <c r="AJ1670" s="80" t="n"/>
      <c r="AK1670" s="80" t="n"/>
      <c r="AL1670" s="80" t="n"/>
      <c r="AM1670" s="80" t="n"/>
      <c r="AN1670" s="80" t="n"/>
      <c r="AO1670" s="80" t="n"/>
      <c r="AP1670" s="80" t="n"/>
      <c r="AQ1670" s="80" t="n"/>
      <c r="AR1670" s="80" t="n"/>
    </row>
    <row r="1671">
      <c r="A1671" s="2">
        <f>IF($A1664="","","   projections")</f>
        <v/>
      </c>
      <c r="B1671" s="41">
        <f>IF($A1664="",0,COUNT($E1672:$AR1672))</f>
        <v/>
      </c>
      <c r="C1671" s="81">
        <f>IF($B1671=0,0,MAX($E1672:$AR1672))</f>
        <v/>
      </c>
      <c r="D1671" s="82">
        <f>BDS($A1664,'Field Check'!$C$6,"headers=y","startcol=1","endcol=7","dir=h")</f>
        <v/>
      </c>
      <c r="E1671" s="83" t="n"/>
      <c r="F1671" s="83" t="n"/>
      <c r="G1671" s="83" t="n"/>
      <c r="H1671" s="83" t="n"/>
      <c r="I1671" s="83" t="n"/>
      <c r="J1671" s="83" t="n"/>
      <c r="K1671" s="83" t="n"/>
      <c r="L1671" s="83" t="n"/>
      <c r="M1671" s="83" t="n"/>
      <c r="N1671" s="83" t="n"/>
      <c r="O1671" s="83" t="n"/>
      <c r="P1671" s="83" t="n"/>
      <c r="Q1671" s="83" t="n"/>
      <c r="R1671" s="83" t="n"/>
      <c r="S1671" s="83" t="n"/>
      <c r="T1671" s="83" t="n"/>
      <c r="U1671" s="83" t="n"/>
      <c r="V1671" s="83" t="n"/>
      <c r="W1671" s="83" t="n"/>
      <c r="X1671" s="83" t="n"/>
      <c r="Y1671" s="83" t="n"/>
      <c r="Z1671" s="83" t="n"/>
      <c r="AA1671" s="83" t="n"/>
      <c r="AB1671" s="83" t="n"/>
      <c r="AC1671" s="83" t="n"/>
      <c r="AD1671" s="83" t="n"/>
      <c r="AE1671" s="83" t="n"/>
      <c r="AF1671" s="83" t="n"/>
      <c r="AG1671" s="83" t="n"/>
      <c r="AH1671" s="83" t="n"/>
      <c r="AI1671" s="83" t="n"/>
      <c r="AJ1671" s="83" t="n"/>
      <c r="AK1671" s="83" t="n"/>
      <c r="AL1671" s="83" t="n"/>
      <c r="AM1671" s="83" t="n"/>
      <c r="AN1671" s="83" t="n"/>
      <c r="AO1671" s="83" t="n"/>
      <c r="AP1671" s="83" t="n"/>
      <c r="AQ1671" s="83" t="n"/>
      <c r="AR1671" s="83" t="n"/>
    </row>
    <row r="1672">
      <c r="D1672" s="83" t="n"/>
      <c r="E1672" s="83" t="n"/>
      <c r="F1672" s="83" t="n"/>
      <c r="G1672" s="83" t="n"/>
      <c r="H1672" s="83" t="n"/>
      <c r="I1672" s="83" t="n"/>
      <c r="J1672" s="83" t="n"/>
      <c r="K1672" s="83" t="n"/>
      <c r="L1672" s="83" t="n"/>
      <c r="M1672" s="83" t="n"/>
      <c r="N1672" s="83" t="n"/>
      <c r="O1672" s="83" t="n"/>
      <c r="P1672" s="83" t="n"/>
      <c r="Q1672" s="83" t="n"/>
      <c r="R1672" s="83" t="n"/>
      <c r="S1672" s="83" t="n"/>
      <c r="T1672" s="83" t="n"/>
      <c r="U1672" s="83" t="n"/>
      <c r="V1672" s="83" t="n"/>
      <c r="W1672" s="83" t="n"/>
      <c r="X1672" s="83" t="n"/>
      <c r="Y1672" s="83" t="n"/>
      <c r="Z1672" s="83" t="n"/>
      <c r="AA1672" s="83" t="n"/>
      <c r="AB1672" s="83" t="n"/>
      <c r="AC1672" s="83" t="n"/>
      <c r="AD1672" s="83" t="n"/>
      <c r="AE1672" s="83" t="n"/>
      <c r="AF1672" s="83" t="n"/>
      <c r="AG1672" s="83" t="n"/>
      <c r="AH1672" s="83" t="n"/>
      <c r="AI1672" s="83" t="n"/>
      <c r="AJ1672" s="83" t="n"/>
      <c r="AK1672" s="83" t="n"/>
      <c r="AL1672" s="83" t="n"/>
      <c r="AM1672" s="83" t="n"/>
      <c r="AN1672" s="83" t="n"/>
      <c r="AO1672" s="83" t="n"/>
      <c r="AP1672" s="83" t="n"/>
      <c r="AQ1672" s="83" t="n"/>
      <c r="AR1672" s="83" t="n"/>
    </row>
    <row r="1673">
      <c r="D1673" s="84" t="n"/>
      <c r="E1673" s="84" t="n"/>
      <c r="F1673" s="84" t="n"/>
      <c r="G1673" s="84" t="n"/>
      <c r="H1673" s="84" t="n"/>
      <c r="I1673" s="84" t="n"/>
      <c r="J1673" s="84" t="n"/>
      <c r="K1673" s="84" t="n"/>
      <c r="L1673" s="84" t="n"/>
      <c r="M1673" s="84" t="n"/>
      <c r="N1673" s="84" t="n"/>
      <c r="O1673" s="84" t="n"/>
      <c r="P1673" s="84" t="n"/>
      <c r="Q1673" s="84" t="n"/>
      <c r="R1673" s="84" t="n"/>
      <c r="S1673" s="84" t="n"/>
      <c r="T1673" s="84" t="n"/>
      <c r="U1673" s="84" t="n"/>
      <c r="V1673" s="84" t="n"/>
      <c r="W1673" s="84" t="n"/>
      <c r="X1673" s="84" t="n"/>
      <c r="Y1673" s="84" t="n"/>
      <c r="Z1673" s="84" t="n"/>
      <c r="AA1673" s="84" t="n"/>
      <c r="AB1673" s="84" t="n"/>
      <c r="AC1673" s="84" t="n"/>
      <c r="AD1673" s="84" t="n"/>
      <c r="AE1673" s="84" t="n"/>
      <c r="AF1673" s="84" t="n"/>
      <c r="AG1673" s="84" t="n"/>
      <c r="AH1673" s="84" t="n"/>
      <c r="AI1673" s="84" t="n"/>
      <c r="AJ1673" s="84" t="n"/>
      <c r="AK1673" s="84" t="n"/>
      <c r="AL1673" s="84" t="n"/>
      <c r="AM1673" s="84" t="n"/>
      <c r="AN1673" s="84" t="n"/>
      <c r="AO1673" s="84" t="n"/>
      <c r="AP1673" s="84" t="n"/>
      <c r="AQ1673" s="84" t="n"/>
      <c r="AR1673" s="84" t="n"/>
    </row>
    <row r="1674">
      <c r="D1674" s="80" t="n"/>
      <c r="E1674" s="80" t="n"/>
      <c r="F1674" s="80" t="n"/>
      <c r="G1674" s="80" t="n"/>
      <c r="H1674" s="80" t="n"/>
      <c r="I1674" s="80" t="n"/>
      <c r="J1674" s="80" t="n"/>
      <c r="K1674" s="80" t="n"/>
      <c r="L1674" s="80" t="n"/>
      <c r="M1674" s="80" t="n"/>
      <c r="N1674" s="80" t="n"/>
      <c r="O1674" s="80" t="n"/>
      <c r="P1674" s="80" t="n"/>
      <c r="Q1674" s="80" t="n"/>
      <c r="R1674" s="80" t="n"/>
      <c r="S1674" s="80" t="n"/>
      <c r="T1674" s="80" t="n"/>
      <c r="U1674" s="80" t="n"/>
      <c r="V1674" s="80" t="n"/>
      <c r="W1674" s="80" t="n"/>
      <c r="X1674" s="80" t="n"/>
      <c r="Y1674" s="80" t="n"/>
      <c r="Z1674" s="80" t="n"/>
      <c r="AA1674" s="80" t="n"/>
      <c r="AB1674" s="80" t="n"/>
      <c r="AC1674" s="80" t="n"/>
      <c r="AD1674" s="80" t="n"/>
      <c r="AE1674" s="80" t="n"/>
      <c r="AF1674" s="80" t="n"/>
      <c r="AG1674" s="80" t="n"/>
      <c r="AH1674" s="80" t="n"/>
      <c r="AI1674" s="80" t="n"/>
      <c r="AJ1674" s="80" t="n"/>
      <c r="AK1674" s="80" t="n"/>
      <c r="AL1674" s="80" t="n"/>
      <c r="AM1674" s="80" t="n"/>
      <c r="AN1674" s="80" t="n"/>
      <c r="AO1674" s="80" t="n"/>
      <c r="AP1674" s="80" t="n"/>
      <c r="AQ1674" s="80" t="n"/>
      <c r="AR1674" s="80" t="n"/>
    </row>
    <row r="1675">
      <c r="D1675" s="80" t="n"/>
      <c r="E1675" s="80" t="n"/>
      <c r="F1675" s="80" t="n"/>
      <c r="G1675" s="80" t="n"/>
      <c r="H1675" s="80" t="n"/>
      <c r="I1675" s="80" t="n"/>
      <c r="J1675" s="80" t="n"/>
      <c r="K1675" s="80" t="n"/>
      <c r="L1675" s="80" t="n"/>
      <c r="M1675" s="80" t="n"/>
      <c r="N1675" s="80" t="n"/>
      <c r="O1675" s="80" t="n"/>
      <c r="P1675" s="80" t="n"/>
      <c r="Q1675" s="80" t="n"/>
      <c r="R1675" s="80" t="n"/>
      <c r="S1675" s="80" t="n"/>
      <c r="T1675" s="80" t="n"/>
      <c r="U1675" s="80" t="n"/>
      <c r="V1675" s="80" t="n"/>
      <c r="W1675" s="80" t="n"/>
      <c r="X1675" s="80" t="n"/>
      <c r="Y1675" s="80" t="n"/>
      <c r="Z1675" s="80" t="n"/>
      <c r="AA1675" s="80" t="n"/>
      <c r="AB1675" s="80" t="n"/>
      <c r="AC1675" s="80" t="n"/>
      <c r="AD1675" s="80" t="n"/>
      <c r="AE1675" s="80" t="n"/>
      <c r="AF1675" s="80" t="n"/>
      <c r="AG1675" s="80" t="n"/>
      <c r="AH1675" s="80" t="n"/>
      <c r="AI1675" s="80" t="n"/>
      <c r="AJ1675" s="80" t="n"/>
      <c r="AK1675" s="80" t="n"/>
      <c r="AL1675" s="80" t="n"/>
      <c r="AM1675" s="80" t="n"/>
      <c r="AN1675" s="80" t="n"/>
      <c r="AO1675" s="80" t="n"/>
      <c r="AP1675" s="80" t="n"/>
      <c r="AQ1675" s="80" t="n"/>
      <c r="AR1675" s="80" t="n"/>
    </row>
    <row r="1676">
      <c r="D1676" s="80" t="n"/>
      <c r="E1676" s="80" t="n"/>
      <c r="F1676" s="80" t="n"/>
      <c r="G1676" s="80" t="n"/>
      <c r="H1676" s="80" t="n"/>
      <c r="I1676" s="80" t="n"/>
      <c r="J1676" s="80" t="n"/>
      <c r="K1676" s="80" t="n"/>
      <c r="L1676" s="80" t="n"/>
      <c r="M1676" s="80" t="n"/>
      <c r="N1676" s="80" t="n"/>
      <c r="O1676" s="80" t="n"/>
      <c r="P1676" s="80" t="n"/>
      <c r="Q1676" s="80" t="n"/>
      <c r="R1676" s="80" t="n"/>
      <c r="S1676" s="80" t="n"/>
      <c r="T1676" s="80" t="n"/>
      <c r="U1676" s="80" t="n"/>
      <c r="V1676" s="80" t="n"/>
      <c r="W1676" s="80" t="n"/>
      <c r="X1676" s="80" t="n"/>
      <c r="Y1676" s="80" t="n"/>
      <c r="Z1676" s="80" t="n"/>
      <c r="AA1676" s="80" t="n"/>
      <c r="AB1676" s="80" t="n"/>
      <c r="AC1676" s="80" t="n"/>
      <c r="AD1676" s="80" t="n"/>
      <c r="AE1676" s="80" t="n"/>
      <c r="AF1676" s="80" t="n"/>
      <c r="AG1676" s="80" t="n"/>
      <c r="AH1676" s="80" t="n"/>
      <c r="AI1676" s="80" t="n"/>
      <c r="AJ1676" s="80" t="n"/>
      <c r="AK1676" s="80" t="n"/>
      <c r="AL1676" s="80" t="n"/>
      <c r="AM1676" s="80" t="n"/>
      <c r="AN1676" s="80" t="n"/>
      <c r="AO1676" s="80" t="n"/>
      <c r="AP1676" s="80" t="n"/>
      <c r="AQ1676" s="80" t="n"/>
      <c r="AR1676" s="80" t="n"/>
    </row>
    <row r="1677">
      <c r="D1677" s="80" t="n"/>
      <c r="E1677" s="80" t="n"/>
      <c r="F1677" s="80" t="n"/>
      <c r="G1677" s="80" t="n"/>
      <c r="H1677" s="80" t="n"/>
      <c r="I1677" s="80" t="n"/>
      <c r="J1677" s="80" t="n"/>
      <c r="K1677" s="80" t="n"/>
      <c r="L1677" s="80" t="n"/>
      <c r="M1677" s="80" t="n"/>
      <c r="N1677" s="80" t="n"/>
      <c r="O1677" s="80" t="n"/>
      <c r="P1677" s="80" t="n"/>
      <c r="Q1677" s="80" t="n"/>
      <c r="R1677" s="80" t="n"/>
      <c r="S1677" s="80" t="n"/>
      <c r="T1677" s="80" t="n"/>
      <c r="U1677" s="80" t="n"/>
      <c r="V1677" s="80" t="n"/>
      <c r="W1677" s="80" t="n"/>
      <c r="X1677" s="80" t="n"/>
      <c r="Y1677" s="80" t="n"/>
      <c r="Z1677" s="80" t="n"/>
      <c r="AA1677" s="80" t="n"/>
      <c r="AB1677" s="80" t="n"/>
      <c r="AC1677" s="80" t="n"/>
      <c r="AD1677" s="80" t="n"/>
      <c r="AE1677" s="80" t="n"/>
      <c r="AF1677" s="80" t="n"/>
      <c r="AG1677" s="80" t="n"/>
      <c r="AH1677" s="80" t="n"/>
      <c r="AI1677" s="80" t="n"/>
      <c r="AJ1677" s="80" t="n"/>
      <c r="AK1677" s="80" t="n"/>
      <c r="AL1677" s="80" t="n"/>
      <c r="AM1677" s="80" t="n"/>
      <c r="AN1677" s="80" t="n"/>
      <c r="AO1677" s="80" t="n"/>
      <c r="AP1677" s="80" t="n"/>
      <c r="AQ1677" s="80" t="n"/>
      <c r="AR1677" s="80" t="n"/>
    </row>
    <row r="1679">
      <c r="A1679" s="6">
        <f>IF(HSTECH!$C$18="","",HSTECH!$C$18)</f>
        <v/>
      </c>
      <c r="B1679" s="41">
        <f>IF($A1679="",0,COUNT($E1680:$AR1680))</f>
        <v/>
      </c>
      <c r="C1679" s="81">
        <f>IF($B1679=0,0,MAX($E1680:$AR1680))</f>
        <v/>
      </c>
      <c r="D1679" s="82">
        <f>BDS($A1679,'Field Check'!$C$7,"headers=y","startcol=1","endcol=7","dir=h","DVD_START_DT",Summary!$C$18,"DVD_END_DT",Summary!$D$18)</f>
        <v/>
      </c>
      <c r="E1679" s="83" t="n"/>
      <c r="F1679" s="83" t="n"/>
      <c r="G1679" s="83" t="n"/>
      <c r="H1679" s="83" t="n"/>
      <c r="I1679" s="83" t="n"/>
      <c r="J1679" s="83" t="n"/>
      <c r="K1679" s="83" t="n"/>
      <c r="L1679" s="83" t="n"/>
      <c r="M1679" s="83" t="n"/>
      <c r="N1679" s="83" t="n"/>
      <c r="O1679" s="83" t="n"/>
      <c r="P1679" s="83" t="n"/>
      <c r="Q1679" s="83" t="n"/>
      <c r="R1679" s="83" t="n"/>
      <c r="S1679" s="83" t="n"/>
      <c r="T1679" s="83" t="n"/>
      <c r="U1679" s="83" t="n"/>
      <c r="V1679" s="83" t="n"/>
      <c r="W1679" s="83" t="n"/>
      <c r="X1679" s="83" t="n"/>
      <c r="Y1679" s="83" t="n"/>
      <c r="Z1679" s="83" t="n"/>
      <c r="AA1679" s="83" t="n"/>
      <c r="AB1679" s="83" t="n"/>
      <c r="AC1679" s="83" t="n"/>
      <c r="AD1679" s="83" t="n"/>
      <c r="AE1679" s="83" t="n"/>
      <c r="AF1679" s="83" t="n"/>
      <c r="AG1679" s="83" t="n"/>
      <c r="AH1679" s="83" t="n"/>
      <c r="AI1679" s="83" t="n"/>
      <c r="AJ1679" s="83" t="n"/>
      <c r="AK1679" s="83" t="n"/>
      <c r="AL1679" s="83" t="n"/>
      <c r="AM1679" s="83" t="n"/>
      <c r="AN1679" s="83" t="n"/>
      <c r="AO1679" s="83" t="n"/>
      <c r="AP1679" s="83" t="n"/>
      <c r="AQ1679" s="83" t="n"/>
      <c r="AR1679" s="83" t="n"/>
    </row>
    <row r="1680">
      <c r="D1680" s="83" t="n"/>
      <c r="E1680" s="83" t="n"/>
      <c r="F1680" s="83" t="n"/>
      <c r="G1680" s="83" t="n"/>
      <c r="H1680" s="83" t="n"/>
      <c r="I1680" s="83" t="n"/>
      <c r="J1680" s="83" t="n"/>
      <c r="K1680" s="83" t="n"/>
      <c r="L1680" s="83" t="n"/>
      <c r="M1680" s="83" t="n"/>
      <c r="N1680" s="83" t="n"/>
      <c r="O1680" s="83" t="n"/>
      <c r="P1680" s="83" t="n"/>
      <c r="Q1680" s="83" t="n"/>
      <c r="R1680" s="83" t="n"/>
      <c r="S1680" s="83" t="n"/>
      <c r="T1680" s="83" t="n"/>
      <c r="U1680" s="83" t="n"/>
      <c r="V1680" s="83" t="n"/>
      <c r="W1680" s="83" t="n"/>
      <c r="X1680" s="83" t="n"/>
      <c r="Y1680" s="83" t="n"/>
      <c r="Z1680" s="83" t="n"/>
      <c r="AA1680" s="83" t="n"/>
      <c r="AB1680" s="83" t="n"/>
      <c r="AC1680" s="83" t="n"/>
      <c r="AD1680" s="83" t="n"/>
      <c r="AE1680" s="83" t="n"/>
      <c r="AF1680" s="83" t="n"/>
      <c r="AG1680" s="83" t="n"/>
      <c r="AH1680" s="83" t="n"/>
      <c r="AI1680" s="83" t="n"/>
      <c r="AJ1680" s="83" t="n"/>
      <c r="AK1680" s="83" t="n"/>
      <c r="AL1680" s="83" t="n"/>
      <c r="AM1680" s="83" t="n"/>
      <c r="AN1680" s="83" t="n"/>
      <c r="AO1680" s="83" t="n"/>
      <c r="AP1680" s="83" t="n"/>
      <c r="AQ1680" s="83" t="n"/>
      <c r="AR1680" s="83" t="n"/>
    </row>
    <row r="1681">
      <c r="D1681" s="84" t="n"/>
      <c r="E1681" s="84" t="n"/>
      <c r="F1681" s="84" t="n"/>
      <c r="G1681" s="84" t="n"/>
      <c r="H1681" s="84" t="n"/>
      <c r="I1681" s="84" t="n"/>
      <c r="J1681" s="84" t="n"/>
      <c r="K1681" s="84" t="n"/>
      <c r="L1681" s="84" t="n"/>
      <c r="M1681" s="84" t="n"/>
      <c r="N1681" s="84" t="n"/>
      <c r="O1681" s="84" t="n"/>
      <c r="P1681" s="84" t="n"/>
      <c r="Q1681" s="84" t="n"/>
      <c r="R1681" s="84" t="n"/>
      <c r="S1681" s="84" t="n"/>
      <c r="T1681" s="84" t="n"/>
      <c r="U1681" s="84" t="n"/>
      <c r="V1681" s="84" t="n"/>
      <c r="W1681" s="84" t="n"/>
      <c r="X1681" s="84" t="n"/>
      <c r="Y1681" s="84" t="n"/>
      <c r="Z1681" s="84" t="n"/>
      <c r="AA1681" s="84" t="n"/>
      <c r="AB1681" s="84" t="n"/>
      <c r="AC1681" s="84" t="n"/>
      <c r="AD1681" s="84" t="n"/>
      <c r="AE1681" s="84" t="n"/>
      <c r="AF1681" s="84" t="n"/>
      <c r="AG1681" s="84" t="n"/>
      <c r="AH1681" s="84" t="n"/>
      <c r="AI1681" s="84" t="n"/>
      <c r="AJ1681" s="84" t="n"/>
      <c r="AK1681" s="84" t="n"/>
      <c r="AL1681" s="84" t="n"/>
      <c r="AM1681" s="84" t="n"/>
      <c r="AN1681" s="84" t="n"/>
      <c r="AO1681" s="84" t="n"/>
      <c r="AP1681" s="84" t="n"/>
      <c r="AQ1681" s="84" t="n"/>
      <c r="AR1681" s="84" t="n"/>
    </row>
    <row r="1682">
      <c r="D1682" s="80" t="n"/>
      <c r="E1682" s="80" t="n"/>
      <c r="F1682" s="80" t="n"/>
      <c r="G1682" s="80" t="n"/>
      <c r="H1682" s="80" t="n"/>
      <c r="I1682" s="80" t="n"/>
      <c r="J1682" s="80" t="n"/>
      <c r="K1682" s="80" t="n"/>
      <c r="L1682" s="80" t="n"/>
      <c r="M1682" s="80" t="n"/>
      <c r="N1682" s="80" t="n"/>
      <c r="O1682" s="80" t="n"/>
      <c r="P1682" s="80" t="n"/>
      <c r="Q1682" s="80" t="n"/>
      <c r="R1682" s="80" t="n"/>
      <c r="S1682" s="80" t="n"/>
      <c r="T1682" s="80" t="n"/>
      <c r="U1682" s="80" t="n"/>
      <c r="V1682" s="80" t="n"/>
      <c r="W1682" s="80" t="n"/>
      <c r="X1682" s="80" t="n"/>
      <c r="Y1682" s="80" t="n"/>
      <c r="Z1682" s="80" t="n"/>
      <c r="AA1682" s="80" t="n"/>
      <c r="AB1682" s="80" t="n"/>
      <c r="AC1682" s="80" t="n"/>
      <c r="AD1682" s="80" t="n"/>
      <c r="AE1682" s="80" t="n"/>
      <c r="AF1682" s="80" t="n"/>
      <c r="AG1682" s="80" t="n"/>
      <c r="AH1682" s="80" t="n"/>
      <c r="AI1682" s="80" t="n"/>
      <c r="AJ1682" s="80" t="n"/>
      <c r="AK1682" s="80" t="n"/>
      <c r="AL1682" s="80" t="n"/>
      <c r="AM1682" s="80" t="n"/>
      <c r="AN1682" s="80" t="n"/>
      <c r="AO1682" s="80" t="n"/>
      <c r="AP1682" s="80" t="n"/>
      <c r="AQ1682" s="80" t="n"/>
      <c r="AR1682" s="80" t="n"/>
    </row>
    <row r="1683">
      <c r="D1683" s="80" t="n"/>
      <c r="E1683" s="80" t="n"/>
      <c r="F1683" s="80" t="n"/>
      <c r="G1683" s="80" t="n"/>
      <c r="H1683" s="80" t="n"/>
      <c r="I1683" s="80" t="n"/>
      <c r="J1683" s="80" t="n"/>
      <c r="K1683" s="80" t="n"/>
      <c r="L1683" s="80" t="n"/>
      <c r="M1683" s="80" t="n"/>
      <c r="N1683" s="80" t="n"/>
      <c r="O1683" s="80" t="n"/>
      <c r="P1683" s="80" t="n"/>
      <c r="Q1683" s="80" t="n"/>
      <c r="R1683" s="80" t="n"/>
      <c r="S1683" s="80" t="n"/>
      <c r="T1683" s="80" t="n"/>
      <c r="U1683" s="80" t="n"/>
      <c r="V1683" s="80" t="n"/>
      <c r="W1683" s="80" t="n"/>
      <c r="X1683" s="80" t="n"/>
      <c r="Y1683" s="80" t="n"/>
      <c r="Z1683" s="80" t="n"/>
      <c r="AA1683" s="80" t="n"/>
      <c r="AB1683" s="80" t="n"/>
      <c r="AC1683" s="80" t="n"/>
      <c r="AD1683" s="80" t="n"/>
      <c r="AE1683" s="80" t="n"/>
      <c r="AF1683" s="80" t="n"/>
      <c r="AG1683" s="80" t="n"/>
      <c r="AH1683" s="80" t="n"/>
      <c r="AI1683" s="80" t="n"/>
      <c r="AJ1683" s="80" t="n"/>
      <c r="AK1683" s="80" t="n"/>
      <c r="AL1683" s="80" t="n"/>
      <c r="AM1683" s="80" t="n"/>
      <c r="AN1683" s="80" t="n"/>
      <c r="AO1683" s="80" t="n"/>
      <c r="AP1683" s="80" t="n"/>
      <c r="AQ1683" s="80" t="n"/>
      <c r="AR1683" s="80" t="n"/>
    </row>
    <row r="1684">
      <c r="D1684" s="80" t="n"/>
      <c r="E1684" s="80" t="n"/>
      <c r="F1684" s="80" t="n"/>
      <c r="G1684" s="80" t="n"/>
      <c r="H1684" s="80" t="n"/>
      <c r="I1684" s="80" t="n"/>
      <c r="J1684" s="80" t="n"/>
      <c r="K1684" s="80" t="n"/>
      <c r="L1684" s="80" t="n"/>
      <c r="M1684" s="80" t="n"/>
      <c r="N1684" s="80" t="n"/>
      <c r="O1684" s="80" t="n"/>
      <c r="P1684" s="80" t="n"/>
      <c r="Q1684" s="80" t="n"/>
      <c r="R1684" s="80" t="n"/>
      <c r="S1684" s="80" t="n"/>
      <c r="T1684" s="80" t="n"/>
      <c r="U1684" s="80" t="n"/>
      <c r="V1684" s="80" t="n"/>
      <c r="W1684" s="80" t="n"/>
      <c r="X1684" s="80" t="n"/>
      <c r="Y1684" s="80" t="n"/>
      <c r="Z1684" s="80" t="n"/>
      <c r="AA1684" s="80" t="n"/>
      <c r="AB1684" s="80" t="n"/>
      <c r="AC1684" s="80" t="n"/>
      <c r="AD1684" s="80" t="n"/>
      <c r="AE1684" s="80" t="n"/>
      <c r="AF1684" s="80" t="n"/>
      <c r="AG1684" s="80" t="n"/>
      <c r="AH1684" s="80" t="n"/>
      <c r="AI1684" s="80" t="n"/>
      <c r="AJ1684" s="80" t="n"/>
      <c r="AK1684" s="80" t="n"/>
      <c r="AL1684" s="80" t="n"/>
      <c r="AM1684" s="80" t="n"/>
      <c r="AN1684" s="80" t="n"/>
      <c r="AO1684" s="80" t="n"/>
      <c r="AP1684" s="80" t="n"/>
      <c r="AQ1684" s="80" t="n"/>
      <c r="AR1684" s="80" t="n"/>
    </row>
    <row r="1685">
      <c r="D1685" s="80" t="n"/>
      <c r="E1685" s="80" t="n"/>
      <c r="F1685" s="80" t="n"/>
      <c r="G1685" s="80" t="n"/>
      <c r="H1685" s="80" t="n"/>
      <c r="I1685" s="80" t="n"/>
      <c r="J1685" s="80" t="n"/>
      <c r="K1685" s="80" t="n"/>
      <c r="L1685" s="80" t="n"/>
      <c r="M1685" s="80" t="n"/>
      <c r="N1685" s="80" t="n"/>
      <c r="O1685" s="80" t="n"/>
      <c r="P1685" s="80" t="n"/>
      <c r="Q1685" s="80" t="n"/>
      <c r="R1685" s="80" t="n"/>
      <c r="S1685" s="80" t="n"/>
      <c r="T1685" s="80" t="n"/>
      <c r="U1685" s="80" t="n"/>
      <c r="V1685" s="80" t="n"/>
      <c r="W1685" s="80" t="n"/>
      <c r="X1685" s="80" t="n"/>
      <c r="Y1685" s="80" t="n"/>
      <c r="Z1685" s="80" t="n"/>
      <c r="AA1685" s="80" t="n"/>
      <c r="AB1685" s="80" t="n"/>
      <c r="AC1685" s="80" t="n"/>
      <c r="AD1685" s="80" t="n"/>
      <c r="AE1685" s="80" t="n"/>
      <c r="AF1685" s="80" t="n"/>
      <c r="AG1685" s="80" t="n"/>
      <c r="AH1685" s="80" t="n"/>
      <c r="AI1685" s="80" t="n"/>
      <c r="AJ1685" s="80" t="n"/>
      <c r="AK1685" s="80" t="n"/>
      <c r="AL1685" s="80" t="n"/>
      <c r="AM1685" s="80" t="n"/>
      <c r="AN1685" s="80" t="n"/>
      <c r="AO1685" s="80" t="n"/>
      <c r="AP1685" s="80" t="n"/>
      <c r="AQ1685" s="80" t="n"/>
      <c r="AR1685" s="80" t="n"/>
    </row>
    <row r="1686">
      <c r="A1686" s="2">
        <f>IF($A1679="","","   projections")</f>
        <v/>
      </c>
      <c r="B1686" s="41">
        <f>IF($A1679="",0,COUNT($E1687:$AR1687))</f>
        <v/>
      </c>
      <c r="C1686" s="81">
        <f>IF($B1686=0,0,MAX($E1687:$AR1687))</f>
        <v/>
      </c>
      <c r="D1686" s="82">
        <f>BDS($A1679,'Field Check'!$C$6,"headers=y","startcol=1","endcol=7","dir=h")</f>
        <v/>
      </c>
      <c r="E1686" s="83" t="n"/>
      <c r="F1686" s="83" t="n"/>
      <c r="G1686" s="83" t="n"/>
      <c r="H1686" s="83" t="n"/>
      <c r="I1686" s="83" t="n"/>
      <c r="J1686" s="83" t="n"/>
      <c r="K1686" s="83" t="n"/>
      <c r="L1686" s="83" t="n"/>
      <c r="M1686" s="83" t="n"/>
      <c r="N1686" s="83" t="n"/>
      <c r="O1686" s="83" t="n"/>
      <c r="P1686" s="83" t="n"/>
      <c r="Q1686" s="83" t="n"/>
      <c r="R1686" s="83" t="n"/>
      <c r="S1686" s="83" t="n"/>
      <c r="T1686" s="83" t="n"/>
      <c r="U1686" s="83" t="n"/>
      <c r="V1686" s="83" t="n"/>
      <c r="W1686" s="83" t="n"/>
      <c r="X1686" s="83" t="n"/>
      <c r="Y1686" s="83" t="n"/>
      <c r="Z1686" s="83" t="n"/>
      <c r="AA1686" s="83" t="n"/>
      <c r="AB1686" s="83" t="n"/>
      <c r="AC1686" s="83" t="n"/>
      <c r="AD1686" s="83" t="n"/>
      <c r="AE1686" s="83" t="n"/>
      <c r="AF1686" s="83" t="n"/>
      <c r="AG1686" s="83" t="n"/>
      <c r="AH1686" s="83" t="n"/>
      <c r="AI1686" s="83" t="n"/>
      <c r="AJ1686" s="83" t="n"/>
      <c r="AK1686" s="83" t="n"/>
      <c r="AL1686" s="83" t="n"/>
      <c r="AM1686" s="83" t="n"/>
      <c r="AN1686" s="83" t="n"/>
      <c r="AO1686" s="83" t="n"/>
      <c r="AP1686" s="83" t="n"/>
      <c r="AQ1686" s="83" t="n"/>
      <c r="AR1686" s="83" t="n"/>
    </row>
    <row r="1687">
      <c r="D1687" s="83" t="n"/>
      <c r="E1687" s="83" t="n"/>
      <c r="F1687" s="83" t="n"/>
      <c r="G1687" s="83" t="n"/>
      <c r="H1687" s="83" t="n"/>
      <c r="I1687" s="83" t="n"/>
      <c r="J1687" s="83" t="n"/>
      <c r="K1687" s="83" t="n"/>
      <c r="L1687" s="83" t="n"/>
      <c r="M1687" s="83" t="n"/>
      <c r="N1687" s="83" t="n"/>
      <c r="O1687" s="83" t="n"/>
      <c r="P1687" s="83" t="n"/>
      <c r="Q1687" s="83" t="n"/>
      <c r="R1687" s="83" t="n"/>
      <c r="S1687" s="83" t="n"/>
      <c r="T1687" s="83" t="n"/>
      <c r="U1687" s="83" t="n"/>
      <c r="V1687" s="83" t="n"/>
      <c r="W1687" s="83" t="n"/>
      <c r="X1687" s="83" t="n"/>
      <c r="Y1687" s="83" t="n"/>
      <c r="Z1687" s="83" t="n"/>
      <c r="AA1687" s="83" t="n"/>
      <c r="AB1687" s="83" t="n"/>
      <c r="AC1687" s="83" t="n"/>
      <c r="AD1687" s="83" t="n"/>
      <c r="AE1687" s="83" t="n"/>
      <c r="AF1687" s="83" t="n"/>
      <c r="AG1687" s="83" t="n"/>
      <c r="AH1687" s="83" t="n"/>
      <c r="AI1687" s="83" t="n"/>
      <c r="AJ1687" s="83" t="n"/>
      <c r="AK1687" s="83" t="n"/>
      <c r="AL1687" s="83" t="n"/>
      <c r="AM1687" s="83" t="n"/>
      <c r="AN1687" s="83" t="n"/>
      <c r="AO1687" s="83" t="n"/>
      <c r="AP1687" s="83" t="n"/>
      <c r="AQ1687" s="83" t="n"/>
      <c r="AR1687" s="83" t="n"/>
    </row>
    <row r="1688">
      <c r="D1688" s="84" t="n"/>
      <c r="E1688" s="84" t="n"/>
      <c r="F1688" s="84" t="n"/>
      <c r="G1688" s="84" t="n"/>
      <c r="H1688" s="84" t="n"/>
      <c r="I1688" s="84" t="n"/>
      <c r="J1688" s="84" t="n"/>
      <c r="K1688" s="84" t="n"/>
      <c r="L1688" s="84" t="n"/>
      <c r="M1688" s="84" t="n"/>
      <c r="N1688" s="84" t="n"/>
      <c r="O1688" s="84" t="n"/>
      <c r="P1688" s="84" t="n"/>
      <c r="Q1688" s="84" t="n"/>
      <c r="R1688" s="84" t="n"/>
      <c r="S1688" s="84" t="n"/>
      <c r="T1688" s="84" t="n"/>
      <c r="U1688" s="84" t="n"/>
      <c r="V1688" s="84" t="n"/>
      <c r="W1688" s="84" t="n"/>
      <c r="X1688" s="84" t="n"/>
      <c r="Y1688" s="84" t="n"/>
      <c r="Z1688" s="84" t="n"/>
      <c r="AA1688" s="84" t="n"/>
      <c r="AB1688" s="84" t="n"/>
      <c r="AC1688" s="84" t="n"/>
      <c r="AD1688" s="84" t="n"/>
      <c r="AE1688" s="84" t="n"/>
      <c r="AF1688" s="84" t="n"/>
      <c r="AG1688" s="84" t="n"/>
      <c r="AH1688" s="84" t="n"/>
      <c r="AI1688" s="84" t="n"/>
      <c r="AJ1688" s="84" t="n"/>
      <c r="AK1688" s="84" t="n"/>
      <c r="AL1688" s="84" t="n"/>
      <c r="AM1688" s="84" t="n"/>
      <c r="AN1688" s="84" t="n"/>
      <c r="AO1688" s="84" t="n"/>
      <c r="AP1688" s="84" t="n"/>
      <c r="AQ1688" s="84" t="n"/>
      <c r="AR1688" s="84" t="n"/>
    </row>
    <row r="1689">
      <c r="D1689" s="80" t="n"/>
      <c r="E1689" s="80" t="n"/>
      <c r="F1689" s="80" t="n"/>
      <c r="G1689" s="80" t="n"/>
      <c r="H1689" s="80" t="n"/>
      <c r="I1689" s="80" t="n"/>
      <c r="J1689" s="80" t="n"/>
      <c r="K1689" s="80" t="n"/>
      <c r="L1689" s="80" t="n"/>
      <c r="M1689" s="80" t="n"/>
      <c r="N1689" s="80" t="n"/>
      <c r="O1689" s="80" t="n"/>
      <c r="P1689" s="80" t="n"/>
      <c r="Q1689" s="80" t="n"/>
      <c r="R1689" s="80" t="n"/>
      <c r="S1689" s="80" t="n"/>
      <c r="T1689" s="80" t="n"/>
      <c r="U1689" s="80" t="n"/>
      <c r="V1689" s="80" t="n"/>
      <c r="W1689" s="80" t="n"/>
      <c r="X1689" s="80" t="n"/>
      <c r="Y1689" s="80" t="n"/>
      <c r="Z1689" s="80" t="n"/>
      <c r="AA1689" s="80" t="n"/>
      <c r="AB1689" s="80" t="n"/>
      <c r="AC1689" s="80" t="n"/>
      <c r="AD1689" s="80" t="n"/>
      <c r="AE1689" s="80" t="n"/>
      <c r="AF1689" s="80" t="n"/>
      <c r="AG1689" s="80" t="n"/>
      <c r="AH1689" s="80" t="n"/>
      <c r="AI1689" s="80" t="n"/>
      <c r="AJ1689" s="80" t="n"/>
      <c r="AK1689" s="80" t="n"/>
      <c r="AL1689" s="80" t="n"/>
      <c r="AM1689" s="80" t="n"/>
      <c r="AN1689" s="80" t="n"/>
      <c r="AO1689" s="80" t="n"/>
      <c r="AP1689" s="80" t="n"/>
      <c r="AQ1689" s="80" t="n"/>
      <c r="AR1689" s="80" t="n"/>
    </row>
    <row r="1690">
      <c r="D1690" s="80" t="n"/>
      <c r="E1690" s="80" t="n"/>
      <c r="F1690" s="80" t="n"/>
      <c r="G1690" s="80" t="n"/>
      <c r="H1690" s="80" t="n"/>
      <c r="I1690" s="80" t="n"/>
      <c r="J1690" s="80" t="n"/>
      <c r="K1690" s="80" t="n"/>
      <c r="L1690" s="80" t="n"/>
      <c r="M1690" s="80" t="n"/>
      <c r="N1690" s="80" t="n"/>
      <c r="O1690" s="80" t="n"/>
      <c r="P1690" s="80" t="n"/>
      <c r="Q1690" s="80" t="n"/>
      <c r="R1690" s="80" t="n"/>
      <c r="S1690" s="80" t="n"/>
      <c r="T1690" s="80" t="n"/>
      <c r="U1690" s="80" t="n"/>
      <c r="V1690" s="80" t="n"/>
      <c r="W1690" s="80" t="n"/>
      <c r="X1690" s="80" t="n"/>
      <c r="Y1690" s="80" t="n"/>
      <c r="Z1690" s="80" t="n"/>
      <c r="AA1690" s="80" t="n"/>
      <c r="AB1690" s="80" t="n"/>
      <c r="AC1690" s="80" t="n"/>
      <c r="AD1690" s="80" t="n"/>
      <c r="AE1690" s="80" t="n"/>
      <c r="AF1690" s="80" t="n"/>
      <c r="AG1690" s="80" t="n"/>
      <c r="AH1690" s="80" t="n"/>
      <c r="AI1690" s="80" t="n"/>
      <c r="AJ1690" s="80" t="n"/>
      <c r="AK1690" s="80" t="n"/>
      <c r="AL1690" s="80" t="n"/>
      <c r="AM1690" s="80" t="n"/>
      <c r="AN1690" s="80" t="n"/>
      <c r="AO1690" s="80" t="n"/>
      <c r="AP1690" s="80" t="n"/>
      <c r="AQ1690" s="80" t="n"/>
      <c r="AR1690" s="80" t="n"/>
    </row>
    <row r="1691">
      <c r="D1691" s="80" t="n"/>
      <c r="E1691" s="80" t="n"/>
      <c r="F1691" s="80" t="n"/>
      <c r="G1691" s="80" t="n"/>
      <c r="H1691" s="80" t="n"/>
      <c r="I1691" s="80" t="n"/>
      <c r="J1691" s="80" t="n"/>
      <c r="K1691" s="80" t="n"/>
      <c r="L1691" s="80" t="n"/>
      <c r="M1691" s="80" t="n"/>
      <c r="N1691" s="80" t="n"/>
      <c r="O1691" s="80" t="n"/>
      <c r="P1691" s="80" t="n"/>
      <c r="Q1691" s="80" t="n"/>
      <c r="R1691" s="80" t="n"/>
      <c r="S1691" s="80" t="n"/>
      <c r="T1691" s="80" t="n"/>
      <c r="U1691" s="80" t="n"/>
      <c r="V1691" s="80" t="n"/>
      <c r="W1691" s="80" t="n"/>
      <c r="X1691" s="80" t="n"/>
      <c r="Y1691" s="80" t="n"/>
      <c r="Z1691" s="80" t="n"/>
      <c r="AA1691" s="80" t="n"/>
      <c r="AB1691" s="80" t="n"/>
      <c r="AC1691" s="80" t="n"/>
      <c r="AD1691" s="80" t="n"/>
      <c r="AE1691" s="80" t="n"/>
      <c r="AF1691" s="80" t="n"/>
      <c r="AG1691" s="80" t="n"/>
      <c r="AH1691" s="80" t="n"/>
      <c r="AI1691" s="80" t="n"/>
      <c r="AJ1691" s="80" t="n"/>
      <c r="AK1691" s="80" t="n"/>
      <c r="AL1691" s="80" t="n"/>
      <c r="AM1691" s="80" t="n"/>
      <c r="AN1691" s="80" t="n"/>
      <c r="AO1691" s="80" t="n"/>
      <c r="AP1691" s="80" t="n"/>
      <c r="AQ1691" s="80" t="n"/>
      <c r="AR1691" s="80" t="n"/>
    </row>
    <row r="1692">
      <c r="D1692" s="80" t="n"/>
      <c r="E1692" s="80" t="n"/>
      <c r="F1692" s="80" t="n"/>
      <c r="G1692" s="80" t="n"/>
      <c r="H1692" s="80" t="n"/>
      <c r="I1692" s="80" t="n"/>
      <c r="J1692" s="80" t="n"/>
      <c r="K1692" s="80" t="n"/>
      <c r="L1692" s="80" t="n"/>
      <c r="M1692" s="80" t="n"/>
      <c r="N1692" s="80" t="n"/>
      <c r="O1692" s="80" t="n"/>
      <c r="P1692" s="80" t="n"/>
      <c r="Q1692" s="80" t="n"/>
      <c r="R1692" s="80" t="n"/>
      <c r="S1692" s="80" t="n"/>
      <c r="T1692" s="80" t="n"/>
      <c r="U1692" s="80" t="n"/>
      <c r="V1692" s="80" t="n"/>
      <c r="W1692" s="80" t="n"/>
      <c r="X1692" s="80" t="n"/>
      <c r="Y1692" s="80" t="n"/>
      <c r="Z1692" s="80" t="n"/>
      <c r="AA1692" s="80" t="n"/>
      <c r="AB1692" s="80" t="n"/>
      <c r="AC1692" s="80" t="n"/>
      <c r="AD1692" s="80" t="n"/>
      <c r="AE1692" s="80" t="n"/>
      <c r="AF1692" s="80" t="n"/>
      <c r="AG1692" s="80" t="n"/>
      <c r="AH1692" s="80" t="n"/>
      <c r="AI1692" s="80" t="n"/>
      <c r="AJ1692" s="80" t="n"/>
      <c r="AK1692" s="80" t="n"/>
      <c r="AL1692" s="80" t="n"/>
      <c r="AM1692" s="80" t="n"/>
      <c r="AN1692" s="80" t="n"/>
      <c r="AO1692" s="80" t="n"/>
      <c r="AP1692" s="80" t="n"/>
      <c r="AQ1692" s="80" t="n"/>
      <c r="AR1692" s="80" t="n"/>
    </row>
    <row r="1694">
      <c r="A1694" s="6">
        <f>IF(HSTECH!$C$19="","",HSTECH!$C$19)</f>
        <v/>
      </c>
      <c r="B1694" s="41">
        <f>IF($A1694="",0,COUNT($E1695:$AR1695))</f>
        <v/>
      </c>
      <c r="C1694" s="81">
        <f>IF($B1694=0,0,MAX($E1695:$AR1695))</f>
        <v/>
      </c>
      <c r="D1694" s="82">
        <f>BDS($A1694,'Field Check'!$C$7,"headers=y","startcol=1","endcol=7","dir=h","DVD_START_DT",Summary!$C$18,"DVD_END_DT",Summary!$D$18)</f>
        <v/>
      </c>
      <c r="E1694" s="83" t="n"/>
      <c r="F1694" s="83" t="n"/>
      <c r="G1694" s="83" t="n"/>
      <c r="H1694" s="83" t="n"/>
      <c r="I1694" s="83" t="n"/>
      <c r="J1694" s="83" t="n"/>
      <c r="K1694" s="83" t="n"/>
      <c r="L1694" s="83" t="n"/>
      <c r="M1694" s="83" t="n"/>
      <c r="N1694" s="83" t="n"/>
      <c r="O1694" s="83" t="n"/>
      <c r="P1694" s="83" t="n"/>
      <c r="Q1694" s="83" t="n"/>
      <c r="R1694" s="83" t="n"/>
      <c r="S1694" s="83" t="n"/>
      <c r="T1694" s="83" t="n"/>
      <c r="U1694" s="83" t="n"/>
      <c r="V1694" s="83" t="n"/>
      <c r="W1694" s="83" t="n"/>
      <c r="X1694" s="83" t="n"/>
      <c r="Y1694" s="83" t="n"/>
      <c r="Z1694" s="83" t="n"/>
      <c r="AA1694" s="83" t="n"/>
      <c r="AB1694" s="83" t="n"/>
      <c r="AC1694" s="83" t="n"/>
      <c r="AD1694" s="83" t="n"/>
      <c r="AE1694" s="83" t="n"/>
      <c r="AF1694" s="83" t="n"/>
      <c r="AG1694" s="83" t="n"/>
      <c r="AH1694" s="83" t="n"/>
      <c r="AI1694" s="83" t="n"/>
      <c r="AJ1694" s="83" t="n"/>
      <c r="AK1694" s="83" t="n"/>
      <c r="AL1694" s="83" t="n"/>
      <c r="AM1694" s="83" t="n"/>
      <c r="AN1694" s="83" t="n"/>
      <c r="AO1694" s="83" t="n"/>
      <c r="AP1694" s="83" t="n"/>
      <c r="AQ1694" s="83" t="n"/>
      <c r="AR1694" s="83" t="n"/>
    </row>
    <row r="1695">
      <c r="D1695" s="83" t="n"/>
      <c r="E1695" s="83" t="n"/>
      <c r="F1695" s="83" t="n"/>
      <c r="G1695" s="83" t="n"/>
      <c r="H1695" s="83" t="n"/>
      <c r="I1695" s="83" t="n"/>
      <c r="J1695" s="83" t="n"/>
      <c r="K1695" s="83" t="n"/>
      <c r="L1695" s="83" t="n"/>
      <c r="M1695" s="83" t="n"/>
      <c r="N1695" s="83" t="n"/>
      <c r="O1695" s="83" t="n"/>
      <c r="P1695" s="83" t="n"/>
      <c r="Q1695" s="83" t="n"/>
      <c r="R1695" s="83" t="n"/>
      <c r="S1695" s="83" t="n"/>
      <c r="T1695" s="83" t="n"/>
      <c r="U1695" s="83" t="n"/>
      <c r="V1695" s="83" t="n"/>
      <c r="W1695" s="83" t="n"/>
      <c r="X1695" s="83" t="n"/>
      <c r="Y1695" s="83" t="n"/>
      <c r="Z1695" s="83" t="n"/>
      <c r="AA1695" s="83" t="n"/>
      <c r="AB1695" s="83" t="n"/>
      <c r="AC1695" s="83" t="n"/>
      <c r="AD1695" s="83" t="n"/>
      <c r="AE1695" s="83" t="n"/>
      <c r="AF1695" s="83" t="n"/>
      <c r="AG1695" s="83" t="n"/>
      <c r="AH1695" s="83" t="n"/>
      <c r="AI1695" s="83" t="n"/>
      <c r="AJ1695" s="83" t="n"/>
      <c r="AK1695" s="83" t="n"/>
      <c r="AL1695" s="83" t="n"/>
      <c r="AM1695" s="83" t="n"/>
      <c r="AN1695" s="83" t="n"/>
      <c r="AO1695" s="83" t="n"/>
      <c r="AP1695" s="83" t="n"/>
      <c r="AQ1695" s="83" t="n"/>
      <c r="AR1695" s="83" t="n"/>
    </row>
    <row r="1696">
      <c r="D1696" s="84" t="n"/>
      <c r="E1696" s="84" t="n"/>
      <c r="F1696" s="84" t="n"/>
      <c r="G1696" s="84" t="n"/>
      <c r="H1696" s="84" t="n"/>
      <c r="I1696" s="84" t="n"/>
      <c r="J1696" s="84" t="n"/>
      <c r="K1696" s="84" t="n"/>
      <c r="L1696" s="84" t="n"/>
      <c r="M1696" s="84" t="n"/>
      <c r="N1696" s="84" t="n"/>
      <c r="O1696" s="84" t="n"/>
      <c r="P1696" s="84" t="n"/>
      <c r="Q1696" s="84" t="n"/>
      <c r="R1696" s="84" t="n"/>
      <c r="S1696" s="84" t="n"/>
      <c r="T1696" s="84" t="n"/>
      <c r="U1696" s="84" t="n"/>
      <c r="V1696" s="84" t="n"/>
      <c r="W1696" s="84" t="n"/>
      <c r="X1696" s="84" t="n"/>
      <c r="Y1696" s="84" t="n"/>
      <c r="Z1696" s="84" t="n"/>
      <c r="AA1696" s="84" t="n"/>
      <c r="AB1696" s="84" t="n"/>
      <c r="AC1696" s="84" t="n"/>
      <c r="AD1696" s="84" t="n"/>
      <c r="AE1696" s="84" t="n"/>
      <c r="AF1696" s="84" t="n"/>
      <c r="AG1696" s="84" t="n"/>
      <c r="AH1696" s="84" t="n"/>
      <c r="AI1696" s="84" t="n"/>
      <c r="AJ1696" s="84" t="n"/>
      <c r="AK1696" s="84" t="n"/>
      <c r="AL1696" s="84" t="n"/>
      <c r="AM1696" s="84" t="n"/>
      <c r="AN1696" s="84" t="n"/>
      <c r="AO1696" s="84" t="n"/>
      <c r="AP1696" s="84" t="n"/>
      <c r="AQ1696" s="84" t="n"/>
      <c r="AR1696" s="84" t="n"/>
    </row>
    <row r="1697">
      <c r="D1697" s="80" t="n"/>
      <c r="E1697" s="80" t="n"/>
      <c r="F1697" s="80" t="n"/>
      <c r="G1697" s="80" t="n"/>
      <c r="H1697" s="80" t="n"/>
      <c r="I1697" s="80" t="n"/>
      <c r="J1697" s="80" t="n"/>
      <c r="K1697" s="80" t="n"/>
      <c r="L1697" s="80" t="n"/>
      <c r="M1697" s="80" t="n"/>
      <c r="N1697" s="80" t="n"/>
      <c r="O1697" s="80" t="n"/>
      <c r="P1697" s="80" t="n"/>
      <c r="Q1697" s="80" t="n"/>
      <c r="R1697" s="80" t="n"/>
      <c r="S1697" s="80" t="n"/>
      <c r="T1697" s="80" t="n"/>
      <c r="U1697" s="80" t="n"/>
      <c r="V1697" s="80" t="n"/>
      <c r="W1697" s="80" t="n"/>
      <c r="X1697" s="80" t="n"/>
      <c r="Y1697" s="80" t="n"/>
      <c r="Z1697" s="80" t="n"/>
      <c r="AA1697" s="80" t="n"/>
      <c r="AB1697" s="80" t="n"/>
      <c r="AC1697" s="80" t="n"/>
      <c r="AD1697" s="80" t="n"/>
      <c r="AE1697" s="80" t="n"/>
      <c r="AF1697" s="80" t="n"/>
      <c r="AG1697" s="80" t="n"/>
      <c r="AH1697" s="80" t="n"/>
      <c r="AI1697" s="80" t="n"/>
      <c r="AJ1697" s="80" t="n"/>
      <c r="AK1697" s="80" t="n"/>
      <c r="AL1697" s="80" t="n"/>
      <c r="AM1697" s="80" t="n"/>
      <c r="AN1697" s="80" t="n"/>
      <c r="AO1697" s="80" t="n"/>
      <c r="AP1697" s="80" t="n"/>
      <c r="AQ1697" s="80" t="n"/>
      <c r="AR1697" s="80" t="n"/>
    </row>
    <row r="1698">
      <c r="D1698" s="80" t="n"/>
      <c r="E1698" s="80" t="n"/>
      <c r="F1698" s="80" t="n"/>
      <c r="G1698" s="80" t="n"/>
      <c r="H1698" s="80" t="n"/>
      <c r="I1698" s="80" t="n"/>
      <c r="J1698" s="80" t="n"/>
      <c r="K1698" s="80" t="n"/>
      <c r="L1698" s="80" t="n"/>
      <c r="M1698" s="80" t="n"/>
      <c r="N1698" s="80" t="n"/>
      <c r="O1698" s="80" t="n"/>
      <c r="P1698" s="80" t="n"/>
      <c r="Q1698" s="80" t="n"/>
      <c r="R1698" s="80" t="n"/>
      <c r="S1698" s="80" t="n"/>
      <c r="T1698" s="80" t="n"/>
      <c r="U1698" s="80" t="n"/>
      <c r="V1698" s="80" t="n"/>
      <c r="W1698" s="80" t="n"/>
      <c r="X1698" s="80" t="n"/>
      <c r="Y1698" s="80" t="n"/>
      <c r="Z1698" s="80" t="n"/>
      <c r="AA1698" s="80" t="n"/>
      <c r="AB1698" s="80" t="n"/>
      <c r="AC1698" s="80" t="n"/>
      <c r="AD1698" s="80" t="n"/>
      <c r="AE1698" s="80" t="n"/>
      <c r="AF1698" s="80" t="n"/>
      <c r="AG1698" s="80" t="n"/>
      <c r="AH1698" s="80" t="n"/>
      <c r="AI1698" s="80" t="n"/>
      <c r="AJ1698" s="80" t="n"/>
      <c r="AK1698" s="80" t="n"/>
      <c r="AL1698" s="80" t="n"/>
      <c r="AM1698" s="80" t="n"/>
      <c r="AN1698" s="80" t="n"/>
      <c r="AO1698" s="80" t="n"/>
      <c r="AP1698" s="80" t="n"/>
      <c r="AQ1698" s="80" t="n"/>
      <c r="AR1698" s="80" t="n"/>
    </row>
    <row r="1699">
      <c r="D1699" s="80" t="n"/>
      <c r="E1699" s="80" t="n"/>
      <c r="F1699" s="80" t="n"/>
      <c r="G1699" s="80" t="n"/>
      <c r="H1699" s="80" t="n"/>
      <c r="I1699" s="80" t="n"/>
      <c r="J1699" s="80" t="n"/>
      <c r="K1699" s="80" t="n"/>
      <c r="L1699" s="80" t="n"/>
      <c r="M1699" s="80" t="n"/>
      <c r="N1699" s="80" t="n"/>
      <c r="O1699" s="80" t="n"/>
      <c r="P1699" s="80" t="n"/>
      <c r="Q1699" s="80" t="n"/>
      <c r="R1699" s="80" t="n"/>
      <c r="S1699" s="80" t="n"/>
      <c r="T1699" s="80" t="n"/>
      <c r="U1699" s="80" t="n"/>
      <c r="V1699" s="80" t="n"/>
      <c r="W1699" s="80" t="n"/>
      <c r="X1699" s="80" t="n"/>
      <c r="Y1699" s="80" t="n"/>
      <c r="Z1699" s="80" t="n"/>
      <c r="AA1699" s="80" t="n"/>
      <c r="AB1699" s="80" t="n"/>
      <c r="AC1699" s="80" t="n"/>
      <c r="AD1699" s="80" t="n"/>
      <c r="AE1699" s="80" t="n"/>
      <c r="AF1699" s="80" t="n"/>
      <c r="AG1699" s="80" t="n"/>
      <c r="AH1699" s="80" t="n"/>
      <c r="AI1699" s="80" t="n"/>
      <c r="AJ1699" s="80" t="n"/>
      <c r="AK1699" s="80" t="n"/>
      <c r="AL1699" s="80" t="n"/>
      <c r="AM1699" s="80" t="n"/>
      <c r="AN1699" s="80" t="n"/>
      <c r="AO1699" s="80" t="n"/>
      <c r="AP1699" s="80" t="n"/>
      <c r="AQ1699" s="80" t="n"/>
      <c r="AR1699" s="80" t="n"/>
    </row>
    <row r="1700">
      <c r="D1700" s="80" t="n"/>
      <c r="E1700" s="80" t="n"/>
      <c r="F1700" s="80" t="n"/>
      <c r="G1700" s="80" t="n"/>
      <c r="H1700" s="80" t="n"/>
      <c r="I1700" s="80" t="n"/>
      <c r="J1700" s="80" t="n"/>
      <c r="K1700" s="80" t="n"/>
      <c r="L1700" s="80" t="n"/>
      <c r="M1700" s="80" t="n"/>
      <c r="N1700" s="80" t="n"/>
      <c r="O1700" s="80" t="n"/>
      <c r="P1700" s="80" t="n"/>
      <c r="Q1700" s="80" t="n"/>
      <c r="R1700" s="80" t="n"/>
      <c r="S1700" s="80" t="n"/>
      <c r="T1700" s="80" t="n"/>
      <c r="U1700" s="80" t="n"/>
      <c r="V1700" s="80" t="n"/>
      <c r="W1700" s="80" t="n"/>
      <c r="X1700" s="80" t="n"/>
      <c r="Y1700" s="80" t="n"/>
      <c r="Z1700" s="80" t="n"/>
      <c r="AA1700" s="80" t="n"/>
      <c r="AB1700" s="80" t="n"/>
      <c r="AC1700" s="80" t="n"/>
      <c r="AD1700" s="80" t="n"/>
      <c r="AE1700" s="80" t="n"/>
      <c r="AF1700" s="80" t="n"/>
      <c r="AG1700" s="80" t="n"/>
      <c r="AH1700" s="80" t="n"/>
      <c r="AI1700" s="80" t="n"/>
      <c r="AJ1700" s="80" t="n"/>
      <c r="AK1700" s="80" t="n"/>
      <c r="AL1700" s="80" t="n"/>
      <c r="AM1700" s="80" t="n"/>
      <c r="AN1700" s="80" t="n"/>
      <c r="AO1700" s="80" t="n"/>
      <c r="AP1700" s="80" t="n"/>
      <c r="AQ1700" s="80" t="n"/>
      <c r="AR1700" s="80" t="n"/>
    </row>
    <row r="1701">
      <c r="A1701" s="2">
        <f>IF($A1694="","","   projections")</f>
        <v/>
      </c>
      <c r="B1701" s="41">
        <f>IF($A1694="",0,COUNT($E1702:$AR1702))</f>
        <v/>
      </c>
      <c r="C1701" s="81">
        <f>IF($B1701=0,0,MAX($E1702:$AR1702))</f>
        <v/>
      </c>
      <c r="D1701" s="82">
        <f>BDS($A1694,'Field Check'!$C$6,"headers=y","startcol=1","endcol=7","dir=h")</f>
        <v/>
      </c>
      <c r="E1701" s="83" t="n"/>
      <c r="F1701" s="83" t="n"/>
      <c r="G1701" s="83" t="n"/>
      <c r="H1701" s="83" t="n"/>
      <c r="I1701" s="83" t="n"/>
      <c r="J1701" s="83" t="n"/>
      <c r="K1701" s="83" t="n"/>
      <c r="L1701" s="83" t="n"/>
      <c r="M1701" s="83" t="n"/>
      <c r="N1701" s="83" t="n"/>
      <c r="O1701" s="83" t="n"/>
      <c r="P1701" s="83" t="n"/>
      <c r="Q1701" s="83" t="n"/>
      <c r="R1701" s="83" t="n"/>
      <c r="S1701" s="83" t="n"/>
      <c r="T1701" s="83" t="n"/>
      <c r="U1701" s="83" t="n"/>
      <c r="V1701" s="83" t="n"/>
      <c r="W1701" s="83" t="n"/>
      <c r="X1701" s="83" t="n"/>
      <c r="Y1701" s="83" t="n"/>
      <c r="Z1701" s="83" t="n"/>
      <c r="AA1701" s="83" t="n"/>
      <c r="AB1701" s="83" t="n"/>
      <c r="AC1701" s="83" t="n"/>
      <c r="AD1701" s="83" t="n"/>
      <c r="AE1701" s="83" t="n"/>
      <c r="AF1701" s="83" t="n"/>
      <c r="AG1701" s="83" t="n"/>
      <c r="AH1701" s="83" t="n"/>
      <c r="AI1701" s="83" t="n"/>
      <c r="AJ1701" s="83" t="n"/>
      <c r="AK1701" s="83" t="n"/>
      <c r="AL1701" s="83" t="n"/>
      <c r="AM1701" s="83" t="n"/>
      <c r="AN1701" s="83" t="n"/>
      <c r="AO1701" s="83" t="n"/>
      <c r="AP1701" s="83" t="n"/>
      <c r="AQ1701" s="83" t="n"/>
      <c r="AR1701" s="83" t="n"/>
    </row>
    <row r="1702">
      <c r="D1702" s="83" t="n"/>
      <c r="E1702" s="83" t="n"/>
      <c r="F1702" s="83" t="n"/>
      <c r="G1702" s="83" t="n"/>
      <c r="H1702" s="83" t="n"/>
      <c r="I1702" s="83" t="n"/>
      <c r="J1702" s="83" t="n"/>
      <c r="K1702" s="83" t="n"/>
      <c r="L1702" s="83" t="n"/>
      <c r="M1702" s="83" t="n"/>
      <c r="N1702" s="83" t="n"/>
      <c r="O1702" s="83" t="n"/>
      <c r="P1702" s="83" t="n"/>
      <c r="Q1702" s="83" t="n"/>
      <c r="R1702" s="83" t="n"/>
      <c r="S1702" s="83" t="n"/>
      <c r="T1702" s="83" t="n"/>
      <c r="U1702" s="83" t="n"/>
      <c r="V1702" s="83" t="n"/>
      <c r="W1702" s="83" t="n"/>
      <c r="X1702" s="83" t="n"/>
      <c r="Y1702" s="83" t="n"/>
      <c r="Z1702" s="83" t="n"/>
      <c r="AA1702" s="83" t="n"/>
      <c r="AB1702" s="83" t="n"/>
      <c r="AC1702" s="83" t="n"/>
      <c r="AD1702" s="83" t="n"/>
      <c r="AE1702" s="83" t="n"/>
      <c r="AF1702" s="83" t="n"/>
      <c r="AG1702" s="83" t="n"/>
      <c r="AH1702" s="83" t="n"/>
      <c r="AI1702" s="83" t="n"/>
      <c r="AJ1702" s="83" t="n"/>
      <c r="AK1702" s="83" t="n"/>
      <c r="AL1702" s="83" t="n"/>
      <c r="AM1702" s="83" t="n"/>
      <c r="AN1702" s="83" t="n"/>
      <c r="AO1702" s="83" t="n"/>
      <c r="AP1702" s="83" t="n"/>
      <c r="AQ1702" s="83" t="n"/>
      <c r="AR1702" s="83" t="n"/>
    </row>
    <row r="1703">
      <c r="D1703" s="84" t="n"/>
      <c r="E1703" s="84" t="n"/>
      <c r="F1703" s="84" t="n"/>
      <c r="G1703" s="84" t="n"/>
      <c r="H1703" s="84" t="n"/>
      <c r="I1703" s="84" t="n"/>
      <c r="J1703" s="84" t="n"/>
      <c r="K1703" s="84" t="n"/>
      <c r="L1703" s="84" t="n"/>
      <c r="M1703" s="84" t="n"/>
      <c r="N1703" s="84" t="n"/>
      <c r="O1703" s="84" t="n"/>
      <c r="P1703" s="84" t="n"/>
      <c r="Q1703" s="84" t="n"/>
      <c r="R1703" s="84" t="n"/>
      <c r="S1703" s="84" t="n"/>
      <c r="T1703" s="84" t="n"/>
      <c r="U1703" s="84" t="n"/>
      <c r="V1703" s="84" t="n"/>
      <c r="W1703" s="84" t="n"/>
      <c r="X1703" s="84" t="n"/>
      <c r="Y1703" s="84" t="n"/>
      <c r="Z1703" s="84" t="n"/>
      <c r="AA1703" s="84" t="n"/>
      <c r="AB1703" s="84" t="n"/>
      <c r="AC1703" s="84" t="n"/>
      <c r="AD1703" s="84" t="n"/>
      <c r="AE1703" s="84" t="n"/>
      <c r="AF1703" s="84" t="n"/>
      <c r="AG1703" s="84" t="n"/>
      <c r="AH1703" s="84" t="n"/>
      <c r="AI1703" s="84" t="n"/>
      <c r="AJ1703" s="84" t="n"/>
      <c r="AK1703" s="84" t="n"/>
      <c r="AL1703" s="84" t="n"/>
      <c r="AM1703" s="84" t="n"/>
      <c r="AN1703" s="84" t="n"/>
      <c r="AO1703" s="84" t="n"/>
      <c r="AP1703" s="84" t="n"/>
      <c r="AQ1703" s="84" t="n"/>
      <c r="AR1703" s="84" t="n"/>
    </row>
    <row r="1704">
      <c r="D1704" s="80" t="n"/>
      <c r="E1704" s="80" t="n"/>
      <c r="F1704" s="80" t="n"/>
      <c r="G1704" s="80" t="n"/>
      <c r="H1704" s="80" t="n"/>
      <c r="I1704" s="80" t="n"/>
      <c r="J1704" s="80" t="n"/>
      <c r="K1704" s="80" t="n"/>
      <c r="L1704" s="80" t="n"/>
      <c r="M1704" s="80" t="n"/>
      <c r="N1704" s="80" t="n"/>
      <c r="O1704" s="80" t="n"/>
      <c r="P1704" s="80" t="n"/>
      <c r="Q1704" s="80" t="n"/>
      <c r="R1704" s="80" t="n"/>
      <c r="S1704" s="80" t="n"/>
      <c r="T1704" s="80" t="n"/>
      <c r="U1704" s="80" t="n"/>
      <c r="V1704" s="80" t="n"/>
      <c r="W1704" s="80" t="n"/>
      <c r="X1704" s="80" t="n"/>
      <c r="Y1704" s="80" t="n"/>
      <c r="Z1704" s="80" t="n"/>
      <c r="AA1704" s="80" t="n"/>
      <c r="AB1704" s="80" t="n"/>
      <c r="AC1704" s="80" t="n"/>
      <c r="AD1704" s="80" t="n"/>
      <c r="AE1704" s="80" t="n"/>
      <c r="AF1704" s="80" t="n"/>
      <c r="AG1704" s="80" t="n"/>
      <c r="AH1704" s="80" t="n"/>
      <c r="AI1704" s="80" t="n"/>
      <c r="AJ1704" s="80" t="n"/>
      <c r="AK1704" s="80" t="n"/>
      <c r="AL1704" s="80" t="n"/>
      <c r="AM1704" s="80" t="n"/>
      <c r="AN1704" s="80" t="n"/>
      <c r="AO1704" s="80" t="n"/>
      <c r="AP1704" s="80" t="n"/>
      <c r="AQ1704" s="80" t="n"/>
      <c r="AR1704" s="80" t="n"/>
    </row>
    <row r="1705">
      <c r="D1705" s="80" t="n"/>
      <c r="E1705" s="80" t="n"/>
      <c r="F1705" s="80" t="n"/>
      <c r="G1705" s="80" t="n"/>
      <c r="H1705" s="80" t="n"/>
      <c r="I1705" s="80" t="n"/>
      <c r="J1705" s="80" t="n"/>
      <c r="K1705" s="80" t="n"/>
      <c r="L1705" s="80" t="n"/>
      <c r="M1705" s="80" t="n"/>
      <c r="N1705" s="80" t="n"/>
      <c r="O1705" s="80" t="n"/>
      <c r="P1705" s="80" t="n"/>
      <c r="Q1705" s="80" t="n"/>
      <c r="R1705" s="80" t="n"/>
      <c r="S1705" s="80" t="n"/>
      <c r="T1705" s="80" t="n"/>
      <c r="U1705" s="80" t="n"/>
      <c r="V1705" s="80" t="n"/>
      <c r="W1705" s="80" t="n"/>
      <c r="X1705" s="80" t="n"/>
      <c r="Y1705" s="80" t="n"/>
      <c r="Z1705" s="80" t="n"/>
      <c r="AA1705" s="80" t="n"/>
      <c r="AB1705" s="80" t="n"/>
      <c r="AC1705" s="80" t="n"/>
      <c r="AD1705" s="80" t="n"/>
      <c r="AE1705" s="80" t="n"/>
      <c r="AF1705" s="80" t="n"/>
      <c r="AG1705" s="80" t="n"/>
      <c r="AH1705" s="80" t="n"/>
      <c r="AI1705" s="80" t="n"/>
      <c r="AJ1705" s="80" t="n"/>
      <c r="AK1705" s="80" t="n"/>
      <c r="AL1705" s="80" t="n"/>
      <c r="AM1705" s="80" t="n"/>
      <c r="AN1705" s="80" t="n"/>
      <c r="AO1705" s="80" t="n"/>
      <c r="AP1705" s="80" t="n"/>
      <c r="AQ1705" s="80" t="n"/>
      <c r="AR1705" s="80" t="n"/>
    </row>
    <row r="1706">
      <c r="D1706" s="80" t="n"/>
      <c r="E1706" s="80" t="n"/>
      <c r="F1706" s="80" t="n"/>
      <c r="G1706" s="80" t="n"/>
      <c r="H1706" s="80" t="n"/>
      <c r="I1706" s="80" t="n"/>
      <c r="J1706" s="80" t="n"/>
      <c r="K1706" s="80" t="n"/>
      <c r="L1706" s="80" t="n"/>
      <c r="M1706" s="80" t="n"/>
      <c r="N1706" s="80" t="n"/>
      <c r="O1706" s="80" t="n"/>
      <c r="P1706" s="80" t="n"/>
      <c r="Q1706" s="80" t="n"/>
      <c r="R1706" s="80" t="n"/>
      <c r="S1706" s="80" t="n"/>
      <c r="T1706" s="80" t="n"/>
      <c r="U1706" s="80" t="n"/>
      <c r="V1706" s="80" t="n"/>
      <c r="W1706" s="80" t="n"/>
      <c r="X1706" s="80" t="n"/>
      <c r="Y1706" s="80" t="n"/>
      <c r="Z1706" s="80" t="n"/>
      <c r="AA1706" s="80" t="n"/>
      <c r="AB1706" s="80" t="n"/>
      <c r="AC1706" s="80" t="n"/>
      <c r="AD1706" s="80" t="n"/>
      <c r="AE1706" s="80" t="n"/>
      <c r="AF1706" s="80" t="n"/>
      <c r="AG1706" s="80" t="n"/>
      <c r="AH1706" s="80" t="n"/>
      <c r="AI1706" s="80" t="n"/>
      <c r="AJ1706" s="80" t="n"/>
      <c r="AK1706" s="80" t="n"/>
      <c r="AL1706" s="80" t="n"/>
      <c r="AM1706" s="80" t="n"/>
      <c r="AN1706" s="80" t="n"/>
      <c r="AO1706" s="80" t="n"/>
      <c r="AP1706" s="80" t="n"/>
      <c r="AQ1706" s="80" t="n"/>
      <c r="AR1706" s="80" t="n"/>
    </row>
    <row r="1707">
      <c r="D1707" s="80" t="n"/>
      <c r="E1707" s="80" t="n"/>
      <c r="F1707" s="80" t="n"/>
      <c r="G1707" s="80" t="n"/>
      <c r="H1707" s="80" t="n"/>
      <c r="I1707" s="80" t="n"/>
      <c r="J1707" s="80" t="n"/>
      <c r="K1707" s="80" t="n"/>
      <c r="L1707" s="80" t="n"/>
      <c r="M1707" s="80" t="n"/>
      <c r="N1707" s="80" t="n"/>
      <c r="O1707" s="80" t="n"/>
      <c r="P1707" s="80" t="n"/>
      <c r="Q1707" s="80" t="n"/>
      <c r="R1707" s="80" t="n"/>
      <c r="S1707" s="80" t="n"/>
      <c r="T1707" s="80" t="n"/>
      <c r="U1707" s="80" t="n"/>
      <c r="V1707" s="80" t="n"/>
      <c r="W1707" s="80" t="n"/>
      <c r="X1707" s="80" t="n"/>
      <c r="Y1707" s="80" t="n"/>
      <c r="Z1707" s="80" t="n"/>
      <c r="AA1707" s="80" t="n"/>
      <c r="AB1707" s="80" t="n"/>
      <c r="AC1707" s="80" t="n"/>
      <c r="AD1707" s="80" t="n"/>
      <c r="AE1707" s="80" t="n"/>
      <c r="AF1707" s="80" t="n"/>
      <c r="AG1707" s="80" t="n"/>
      <c r="AH1707" s="80" t="n"/>
      <c r="AI1707" s="80" t="n"/>
      <c r="AJ1707" s="80" t="n"/>
      <c r="AK1707" s="80" t="n"/>
      <c r="AL1707" s="80" t="n"/>
      <c r="AM1707" s="80" t="n"/>
      <c r="AN1707" s="80" t="n"/>
      <c r="AO1707" s="80" t="n"/>
      <c r="AP1707" s="80" t="n"/>
      <c r="AQ1707" s="80" t="n"/>
      <c r="AR1707" s="80" t="n"/>
    </row>
    <row r="1709">
      <c r="A1709" s="6">
        <f>IF(HSTECH!$C$20="","",HSTECH!$C$20)</f>
        <v/>
      </c>
      <c r="B1709" s="41">
        <f>IF($A1709="",0,COUNT($E1710:$AR1710))</f>
        <v/>
      </c>
      <c r="C1709" s="81">
        <f>IF($B1709=0,0,MAX($E1710:$AR1710))</f>
        <v/>
      </c>
      <c r="D1709" s="82">
        <f>BDS($A1709,'Field Check'!$C$7,"headers=y","startcol=1","endcol=7","dir=h","DVD_START_DT",Summary!$C$18,"DVD_END_DT",Summary!$D$18)</f>
        <v/>
      </c>
      <c r="E1709" s="83" t="n"/>
      <c r="F1709" s="83" t="n"/>
      <c r="G1709" s="83" t="n"/>
      <c r="H1709" s="83" t="n"/>
      <c r="I1709" s="83" t="n"/>
      <c r="J1709" s="83" t="n"/>
      <c r="K1709" s="83" t="n"/>
      <c r="L1709" s="83" t="n"/>
      <c r="M1709" s="83" t="n"/>
      <c r="N1709" s="83" t="n"/>
      <c r="O1709" s="83" t="n"/>
      <c r="P1709" s="83" t="n"/>
      <c r="Q1709" s="83" t="n"/>
      <c r="R1709" s="83" t="n"/>
      <c r="S1709" s="83" t="n"/>
      <c r="T1709" s="83" t="n"/>
      <c r="U1709" s="83" t="n"/>
      <c r="V1709" s="83" t="n"/>
      <c r="W1709" s="83" t="n"/>
      <c r="X1709" s="83" t="n"/>
      <c r="Y1709" s="83" t="n"/>
      <c r="Z1709" s="83" t="n"/>
      <c r="AA1709" s="83" t="n"/>
      <c r="AB1709" s="83" t="n"/>
      <c r="AC1709" s="83" t="n"/>
      <c r="AD1709" s="83" t="n"/>
      <c r="AE1709" s="83" t="n"/>
      <c r="AF1709" s="83" t="n"/>
      <c r="AG1709" s="83" t="n"/>
      <c r="AH1709" s="83" t="n"/>
      <c r="AI1709" s="83" t="n"/>
      <c r="AJ1709" s="83" t="n"/>
      <c r="AK1709" s="83" t="n"/>
      <c r="AL1709" s="83" t="n"/>
      <c r="AM1709" s="83" t="n"/>
      <c r="AN1709" s="83" t="n"/>
      <c r="AO1709" s="83" t="n"/>
      <c r="AP1709" s="83" t="n"/>
      <c r="AQ1709" s="83" t="n"/>
      <c r="AR1709" s="83" t="n"/>
    </row>
    <row r="1710">
      <c r="D1710" s="83" t="n"/>
      <c r="E1710" s="83" t="n"/>
      <c r="F1710" s="83" t="n"/>
      <c r="G1710" s="83" t="n"/>
      <c r="H1710" s="83" t="n"/>
      <c r="I1710" s="83" t="n"/>
      <c r="J1710" s="83" t="n"/>
      <c r="K1710" s="83" t="n"/>
      <c r="L1710" s="83" t="n"/>
      <c r="M1710" s="83" t="n"/>
      <c r="N1710" s="83" t="n"/>
      <c r="O1710" s="83" t="n"/>
      <c r="P1710" s="83" t="n"/>
      <c r="Q1710" s="83" t="n"/>
      <c r="R1710" s="83" t="n"/>
      <c r="S1710" s="83" t="n"/>
      <c r="T1710" s="83" t="n"/>
      <c r="U1710" s="83" t="n"/>
      <c r="V1710" s="83" t="n"/>
      <c r="W1710" s="83" t="n"/>
      <c r="X1710" s="83" t="n"/>
      <c r="Y1710" s="83" t="n"/>
      <c r="Z1710" s="83" t="n"/>
      <c r="AA1710" s="83" t="n"/>
      <c r="AB1710" s="83" t="n"/>
      <c r="AC1710" s="83" t="n"/>
      <c r="AD1710" s="83" t="n"/>
      <c r="AE1710" s="83" t="n"/>
      <c r="AF1710" s="83" t="n"/>
      <c r="AG1710" s="83" t="n"/>
      <c r="AH1710" s="83" t="n"/>
      <c r="AI1710" s="83" t="n"/>
      <c r="AJ1710" s="83" t="n"/>
      <c r="AK1710" s="83" t="n"/>
      <c r="AL1710" s="83" t="n"/>
      <c r="AM1710" s="83" t="n"/>
      <c r="AN1710" s="83" t="n"/>
      <c r="AO1710" s="83" t="n"/>
      <c r="AP1710" s="83" t="n"/>
      <c r="AQ1710" s="83" t="n"/>
      <c r="AR1710" s="83" t="n"/>
    </row>
    <row r="1711">
      <c r="D1711" s="84" t="n"/>
      <c r="E1711" s="84" t="n"/>
      <c r="F1711" s="84" t="n"/>
      <c r="G1711" s="84" t="n"/>
      <c r="H1711" s="84" t="n"/>
      <c r="I1711" s="84" t="n"/>
      <c r="J1711" s="84" t="n"/>
      <c r="K1711" s="84" t="n"/>
      <c r="L1711" s="84" t="n"/>
      <c r="M1711" s="84" t="n"/>
      <c r="N1711" s="84" t="n"/>
      <c r="O1711" s="84" t="n"/>
      <c r="P1711" s="84" t="n"/>
      <c r="Q1711" s="84" t="n"/>
      <c r="R1711" s="84" t="n"/>
      <c r="S1711" s="84" t="n"/>
      <c r="T1711" s="84" t="n"/>
      <c r="U1711" s="84" t="n"/>
      <c r="V1711" s="84" t="n"/>
      <c r="W1711" s="84" t="n"/>
      <c r="X1711" s="84" t="n"/>
      <c r="Y1711" s="84" t="n"/>
      <c r="Z1711" s="84" t="n"/>
      <c r="AA1711" s="84" t="n"/>
      <c r="AB1711" s="84" t="n"/>
      <c r="AC1711" s="84" t="n"/>
      <c r="AD1711" s="84" t="n"/>
      <c r="AE1711" s="84" t="n"/>
      <c r="AF1711" s="84" t="n"/>
      <c r="AG1711" s="84" t="n"/>
      <c r="AH1711" s="84" t="n"/>
      <c r="AI1711" s="84" t="n"/>
      <c r="AJ1711" s="84" t="n"/>
      <c r="AK1711" s="84" t="n"/>
      <c r="AL1711" s="84" t="n"/>
      <c r="AM1711" s="84" t="n"/>
      <c r="AN1711" s="84" t="n"/>
      <c r="AO1711" s="84" t="n"/>
      <c r="AP1711" s="84" t="n"/>
      <c r="AQ1711" s="84" t="n"/>
      <c r="AR1711" s="84" t="n"/>
    </row>
    <row r="1712">
      <c r="D1712" s="80" t="n"/>
      <c r="E1712" s="80" t="n"/>
      <c r="F1712" s="80" t="n"/>
      <c r="G1712" s="80" t="n"/>
      <c r="H1712" s="80" t="n"/>
      <c r="I1712" s="80" t="n"/>
      <c r="J1712" s="80" t="n"/>
      <c r="K1712" s="80" t="n"/>
      <c r="L1712" s="80" t="n"/>
      <c r="M1712" s="80" t="n"/>
      <c r="N1712" s="80" t="n"/>
      <c r="O1712" s="80" t="n"/>
      <c r="P1712" s="80" t="n"/>
      <c r="Q1712" s="80" t="n"/>
      <c r="R1712" s="80" t="n"/>
      <c r="S1712" s="80" t="n"/>
      <c r="T1712" s="80" t="n"/>
      <c r="U1712" s="80" t="n"/>
      <c r="V1712" s="80" t="n"/>
      <c r="W1712" s="80" t="n"/>
      <c r="X1712" s="80" t="n"/>
      <c r="Y1712" s="80" t="n"/>
      <c r="Z1712" s="80" t="n"/>
      <c r="AA1712" s="80" t="n"/>
      <c r="AB1712" s="80" t="n"/>
      <c r="AC1712" s="80" t="n"/>
      <c r="AD1712" s="80" t="n"/>
      <c r="AE1712" s="80" t="n"/>
      <c r="AF1712" s="80" t="n"/>
      <c r="AG1712" s="80" t="n"/>
      <c r="AH1712" s="80" t="n"/>
      <c r="AI1712" s="80" t="n"/>
      <c r="AJ1712" s="80" t="n"/>
      <c r="AK1712" s="80" t="n"/>
      <c r="AL1712" s="80" t="n"/>
      <c r="AM1712" s="80" t="n"/>
      <c r="AN1712" s="80" t="n"/>
      <c r="AO1712" s="80" t="n"/>
      <c r="AP1712" s="80" t="n"/>
      <c r="AQ1712" s="80" t="n"/>
      <c r="AR1712" s="80" t="n"/>
    </row>
    <row r="1713">
      <c r="D1713" s="80" t="n"/>
      <c r="E1713" s="80" t="n"/>
      <c r="F1713" s="80" t="n"/>
      <c r="G1713" s="80" t="n"/>
      <c r="H1713" s="80" t="n"/>
      <c r="I1713" s="80" t="n"/>
      <c r="J1713" s="80" t="n"/>
      <c r="K1713" s="80" t="n"/>
      <c r="L1713" s="80" t="n"/>
      <c r="M1713" s="80" t="n"/>
      <c r="N1713" s="80" t="n"/>
      <c r="O1713" s="80" t="n"/>
      <c r="P1713" s="80" t="n"/>
      <c r="Q1713" s="80" t="n"/>
      <c r="R1713" s="80" t="n"/>
      <c r="S1713" s="80" t="n"/>
      <c r="T1713" s="80" t="n"/>
      <c r="U1713" s="80" t="n"/>
      <c r="V1713" s="80" t="n"/>
      <c r="W1713" s="80" t="n"/>
      <c r="X1713" s="80" t="n"/>
      <c r="Y1713" s="80" t="n"/>
      <c r="Z1713" s="80" t="n"/>
      <c r="AA1713" s="80" t="n"/>
      <c r="AB1713" s="80" t="n"/>
      <c r="AC1713" s="80" t="n"/>
      <c r="AD1713" s="80" t="n"/>
      <c r="AE1713" s="80" t="n"/>
      <c r="AF1713" s="80" t="n"/>
      <c r="AG1713" s="80" t="n"/>
      <c r="AH1713" s="80" t="n"/>
      <c r="AI1713" s="80" t="n"/>
      <c r="AJ1713" s="80" t="n"/>
      <c r="AK1713" s="80" t="n"/>
      <c r="AL1713" s="80" t="n"/>
      <c r="AM1713" s="80" t="n"/>
      <c r="AN1713" s="80" t="n"/>
      <c r="AO1713" s="80" t="n"/>
      <c r="AP1713" s="80" t="n"/>
      <c r="AQ1713" s="80" t="n"/>
      <c r="AR1713" s="80" t="n"/>
    </row>
    <row r="1714">
      <c r="D1714" s="80" t="n"/>
      <c r="E1714" s="80" t="n"/>
      <c r="F1714" s="80" t="n"/>
      <c r="G1714" s="80" t="n"/>
      <c r="H1714" s="80" t="n"/>
      <c r="I1714" s="80" t="n"/>
      <c r="J1714" s="80" t="n"/>
      <c r="K1714" s="80" t="n"/>
      <c r="L1714" s="80" t="n"/>
      <c r="M1714" s="80" t="n"/>
      <c r="N1714" s="80" t="n"/>
      <c r="O1714" s="80" t="n"/>
      <c r="P1714" s="80" t="n"/>
      <c r="Q1714" s="80" t="n"/>
      <c r="R1714" s="80" t="n"/>
      <c r="S1714" s="80" t="n"/>
      <c r="T1714" s="80" t="n"/>
      <c r="U1714" s="80" t="n"/>
      <c r="V1714" s="80" t="n"/>
      <c r="W1714" s="80" t="n"/>
      <c r="X1714" s="80" t="n"/>
      <c r="Y1714" s="80" t="n"/>
      <c r="Z1714" s="80" t="n"/>
      <c r="AA1714" s="80" t="n"/>
      <c r="AB1714" s="80" t="n"/>
      <c r="AC1714" s="80" t="n"/>
      <c r="AD1714" s="80" t="n"/>
      <c r="AE1714" s="80" t="n"/>
      <c r="AF1714" s="80" t="n"/>
      <c r="AG1714" s="80" t="n"/>
      <c r="AH1714" s="80" t="n"/>
      <c r="AI1714" s="80" t="n"/>
      <c r="AJ1714" s="80" t="n"/>
      <c r="AK1714" s="80" t="n"/>
      <c r="AL1714" s="80" t="n"/>
      <c r="AM1714" s="80" t="n"/>
      <c r="AN1714" s="80" t="n"/>
      <c r="AO1714" s="80" t="n"/>
      <c r="AP1714" s="80" t="n"/>
      <c r="AQ1714" s="80" t="n"/>
      <c r="AR1714" s="80" t="n"/>
    </row>
    <row r="1715">
      <c r="D1715" s="80" t="n"/>
      <c r="E1715" s="80" t="n"/>
      <c r="F1715" s="80" t="n"/>
      <c r="G1715" s="80" t="n"/>
      <c r="H1715" s="80" t="n"/>
      <c r="I1715" s="80" t="n"/>
      <c r="J1715" s="80" t="n"/>
      <c r="K1715" s="80" t="n"/>
      <c r="L1715" s="80" t="n"/>
      <c r="M1715" s="80" t="n"/>
      <c r="N1715" s="80" t="n"/>
      <c r="O1715" s="80" t="n"/>
      <c r="P1715" s="80" t="n"/>
      <c r="Q1715" s="80" t="n"/>
      <c r="R1715" s="80" t="n"/>
      <c r="S1715" s="80" t="n"/>
      <c r="T1715" s="80" t="n"/>
      <c r="U1715" s="80" t="n"/>
      <c r="V1715" s="80" t="n"/>
      <c r="W1715" s="80" t="n"/>
      <c r="X1715" s="80" t="n"/>
      <c r="Y1715" s="80" t="n"/>
      <c r="Z1715" s="80" t="n"/>
      <c r="AA1715" s="80" t="n"/>
      <c r="AB1715" s="80" t="n"/>
      <c r="AC1715" s="80" t="n"/>
      <c r="AD1715" s="80" t="n"/>
      <c r="AE1715" s="80" t="n"/>
      <c r="AF1715" s="80" t="n"/>
      <c r="AG1715" s="80" t="n"/>
      <c r="AH1715" s="80" t="n"/>
      <c r="AI1715" s="80" t="n"/>
      <c r="AJ1715" s="80" t="n"/>
      <c r="AK1715" s="80" t="n"/>
      <c r="AL1715" s="80" t="n"/>
      <c r="AM1715" s="80" t="n"/>
      <c r="AN1715" s="80" t="n"/>
      <c r="AO1715" s="80" t="n"/>
      <c r="AP1715" s="80" t="n"/>
      <c r="AQ1715" s="80" t="n"/>
      <c r="AR1715" s="80" t="n"/>
    </row>
    <row r="1716">
      <c r="A1716" s="2">
        <f>IF($A1709="","","   projections")</f>
        <v/>
      </c>
      <c r="B1716" s="41">
        <f>IF($A1709="",0,COUNT($E1717:$AR1717))</f>
        <v/>
      </c>
      <c r="C1716" s="81">
        <f>IF($B1716=0,0,MAX($E1717:$AR1717))</f>
        <v/>
      </c>
      <c r="D1716" s="82">
        <f>BDS($A1709,'Field Check'!$C$6,"headers=y","startcol=1","endcol=7","dir=h")</f>
        <v/>
      </c>
      <c r="E1716" s="83" t="n"/>
      <c r="F1716" s="83" t="n"/>
      <c r="G1716" s="83" t="n"/>
      <c r="H1716" s="83" t="n"/>
      <c r="I1716" s="83" t="n"/>
      <c r="J1716" s="83" t="n"/>
      <c r="K1716" s="83" t="n"/>
      <c r="L1716" s="83" t="n"/>
      <c r="M1716" s="83" t="n"/>
      <c r="N1716" s="83" t="n"/>
      <c r="O1716" s="83" t="n"/>
      <c r="P1716" s="83" t="n"/>
      <c r="Q1716" s="83" t="n"/>
      <c r="R1716" s="83" t="n"/>
      <c r="S1716" s="83" t="n"/>
      <c r="T1716" s="83" t="n"/>
      <c r="U1716" s="83" t="n"/>
      <c r="V1716" s="83" t="n"/>
      <c r="W1716" s="83" t="n"/>
      <c r="X1716" s="83" t="n"/>
      <c r="Y1716" s="83" t="n"/>
      <c r="Z1716" s="83" t="n"/>
      <c r="AA1716" s="83" t="n"/>
      <c r="AB1716" s="83" t="n"/>
      <c r="AC1716" s="83" t="n"/>
      <c r="AD1716" s="83" t="n"/>
      <c r="AE1716" s="83" t="n"/>
      <c r="AF1716" s="83" t="n"/>
      <c r="AG1716" s="83" t="n"/>
      <c r="AH1716" s="83" t="n"/>
      <c r="AI1716" s="83" t="n"/>
      <c r="AJ1716" s="83" t="n"/>
      <c r="AK1716" s="83" t="n"/>
      <c r="AL1716" s="83" t="n"/>
      <c r="AM1716" s="83" t="n"/>
      <c r="AN1716" s="83" t="n"/>
      <c r="AO1716" s="83" t="n"/>
      <c r="AP1716" s="83" t="n"/>
      <c r="AQ1716" s="83" t="n"/>
      <c r="AR1716" s="83" t="n"/>
    </row>
    <row r="1717">
      <c r="D1717" s="83" t="n"/>
      <c r="E1717" s="83" t="n"/>
      <c r="F1717" s="83" t="n"/>
      <c r="G1717" s="83" t="n"/>
      <c r="H1717" s="83" t="n"/>
      <c r="I1717" s="83" t="n"/>
      <c r="J1717" s="83" t="n"/>
      <c r="K1717" s="83" t="n"/>
      <c r="L1717" s="83" t="n"/>
      <c r="M1717" s="83" t="n"/>
      <c r="N1717" s="83" t="n"/>
      <c r="O1717" s="83" t="n"/>
      <c r="P1717" s="83" t="n"/>
      <c r="Q1717" s="83" t="n"/>
      <c r="R1717" s="83" t="n"/>
      <c r="S1717" s="83" t="n"/>
      <c r="T1717" s="83" t="n"/>
      <c r="U1717" s="83" t="n"/>
      <c r="V1717" s="83" t="n"/>
      <c r="W1717" s="83" t="n"/>
      <c r="X1717" s="83" t="n"/>
      <c r="Y1717" s="83" t="n"/>
      <c r="Z1717" s="83" t="n"/>
      <c r="AA1717" s="83" t="n"/>
      <c r="AB1717" s="83" t="n"/>
      <c r="AC1717" s="83" t="n"/>
      <c r="AD1717" s="83" t="n"/>
      <c r="AE1717" s="83" t="n"/>
      <c r="AF1717" s="83" t="n"/>
      <c r="AG1717" s="83" t="n"/>
      <c r="AH1717" s="83" t="n"/>
      <c r="AI1717" s="83" t="n"/>
      <c r="AJ1717" s="83" t="n"/>
      <c r="AK1717" s="83" t="n"/>
      <c r="AL1717" s="83" t="n"/>
      <c r="AM1717" s="83" t="n"/>
      <c r="AN1717" s="83" t="n"/>
      <c r="AO1717" s="83" t="n"/>
      <c r="AP1717" s="83" t="n"/>
      <c r="AQ1717" s="83" t="n"/>
      <c r="AR1717" s="83" t="n"/>
    </row>
    <row r="1718">
      <c r="D1718" s="84" t="n"/>
      <c r="E1718" s="84" t="n"/>
      <c r="F1718" s="84" t="n"/>
      <c r="G1718" s="84" t="n"/>
      <c r="H1718" s="84" t="n"/>
      <c r="I1718" s="84" t="n"/>
      <c r="J1718" s="84" t="n"/>
      <c r="K1718" s="84" t="n"/>
      <c r="L1718" s="84" t="n"/>
      <c r="M1718" s="84" t="n"/>
      <c r="N1718" s="84" t="n"/>
      <c r="O1718" s="84" t="n"/>
      <c r="P1718" s="84" t="n"/>
      <c r="Q1718" s="84" t="n"/>
      <c r="R1718" s="84" t="n"/>
      <c r="S1718" s="84" t="n"/>
      <c r="T1718" s="84" t="n"/>
      <c r="U1718" s="84" t="n"/>
      <c r="V1718" s="84" t="n"/>
      <c r="W1718" s="84" t="n"/>
      <c r="X1718" s="84" t="n"/>
      <c r="Y1718" s="84" t="n"/>
      <c r="Z1718" s="84" t="n"/>
      <c r="AA1718" s="84" t="n"/>
      <c r="AB1718" s="84" t="n"/>
      <c r="AC1718" s="84" t="n"/>
      <c r="AD1718" s="84" t="n"/>
      <c r="AE1718" s="84" t="n"/>
      <c r="AF1718" s="84" t="n"/>
      <c r="AG1718" s="84" t="n"/>
      <c r="AH1718" s="84" t="n"/>
      <c r="AI1718" s="84" t="n"/>
      <c r="AJ1718" s="84" t="n"/>
      <c r="AK1718" s="84" t="n"/>
      <c r="AL1718" s="84" t="n"/>
      <c r="AM1718" s="84" t="n"/>
      <c r="AN1718" s="84" t="n"/>
      <c r="AO1718" s="84" t="n"/>
      <c r="AP1718" s="84" t="n"/>
      <c r="AQ1718" s="84" t="n"/>
      <c r="AR1718" s="84" t="n"/>
    </row>
    <row r="1719">
      <c r="D1719" s="80" t="n"/>
      <c r="E1719" s="80" t="n"/>
      <c r="F1719" s="80" t="n"/>
      <c r="G1719" s="80" t="n"/>
      <c r="H1719" s="80" t="n"/>
      <c r="I1719" s="80" t="n"/>
      <c r="J1719" s="80" t="n"/>
      <c r="K1719" s="80" t="n"/>
      <c r="L1719" s="80" t="n"/>
      <c r="M1719" s="80" t="n"/>
      <c r="N1719" s="80" t="n"/>
      <c r="O1719" s="80" t="n"/>
      <c r="P1719" s="80" t="n"/>
      <c r="Q1719" s="80" t="n"/>
      <c r="R1719" s="80" t="n"/>
      <c r="S1719" s="80" t="n"/>
      <c r="T1719" s="80" t="n"/>
      <c r="U1719" s="80" t="n"/>
      <c r="V1719" s="80" t="n"/>
      <c r="W1719" s="80" t="n"/>
      <c r="X1719" s="80" t="n"/>
      <c r="Y1719" s="80" t="n"/>
      <c r="Z1719" s="80" t="n"/>
      <c r="AA1719" s="80" t="n"/>
      <c r="AB1719" s="80" t="n"/>
      <c r="AC1719" s="80" t="n"/>
      <c r="AD1719" s="80" t="n"/>
      <c r="AE1719" s="80" t="n"/>
      <c r="AF1719" s="80" t="n"/>
      <c r="AG1719" s="80" t="n"/>
      <c r="AH1719" s="80" t="n"/>
      <c r="AI1719" s="80" t="n"/>
      <c r="AJ1719" s="80" t="n"/>
      <c r="AK1719" s="80" t="n"/>
      <c r="AL1719" s="80" t="n"/>
      <c r="AM1719" s="80" t="n"/>
      <c r="AN1719" s="80" t="n"/>
      <c r="AO1719" s="80" t="n"/>
      <c r="AP1719" s="80" t="n"/>
      <c r="AQ1719" s="80" t="n"/>
      <c r="AR1719" s="80" t="n"/>
    </row>
    <row r="1720">
      <c r="D1720" s="80" t="n"/>
      <c r="E1720" s="80" t="n"/>
      <c r="F1720" s="80" t="n"/>
      <c r="G1720" s="80" t="n"/>
      <c r="H1720" s="80" t="n"/>
      <c r="I1720" s="80" t="n"/>
      <c r="J1720" s="80" t="n"/>
      <c r="K1720" s="80" t="n"/>
      <c r="L1720" s="80" t="n"/>
      <c r="M1720" s="80" t="n"/>
      <c r="N1720" s="80" t="n"/>
      <c r="O1720" s="80" t="n"/>
      <c r="P1720" s="80" t="n"/>
      <c r="Q1720" s="80" t="n"/>
      <c r="R1720" s="80" t="n"/>
      <c r="S1720" s="80" t="n"/>
      <c r="T1720" s="80" t="n"/>
      <c r="U1720" s="80" t="n"/>
      <c r="V1720" s="80" t="n"/>
      <c r="W1720" s="80" t="n"/>
      <c r="X1720" s="80" t="n"/>
      <c r="Y1720" s="80" t="n"/>
      <c r="Z1720" s="80" t="n"/>
      <c r="AA1720" s="80" t="n"/>
      <c r="AB1720" s="80" t="n"/>
      <c r="AC1720" s="80" t="n"/>
      <c r="AD1720" s="80" t="n"/>
      <c r="AE1720" s="80" t="n"/>
      <c r="AF1720" s="80" t="n"/>
      <c r="AG1720" s="80" t="n"/>
      <c r="AH1720" s="80" t="n"/>
      <c r="AI1720" s="80" t="n"/>
      <c r="AJ1720" s="80" t="n"/>
      <c r="AK1720" s="80" t="n"/>
      <c r="AL1720" s="80" t="n"/>
      <c r="AM1720" s="80" t="n"/>
      <c r="AN1720" s="80" t="n"/>
      <c r="AO1720" s="80" t="n"/>
      <c r="AP1720" s="80" t="n"/>
      <c r="AQ1720" s="80" t="n"/>
      <c r="AR1720" s="80" t="n"/>
    </row>
    <row r="1721">
      <c r="D1721" s="80" t="n"/>
      <c r="E1721" s="80" t="n"/>
      <c r="F1721" s="80" t="n"/>
      <c r="G1721" s="80" t="n"/>
      <c r="H1721" s="80" t="n"/>
      <c r="I1721" s="80" t="n"/>
      <c r="J1721" s="80" t="n"/>
      <c r="K1721" s="80" t="n"/>
      <c r="L1721" s="80" t="n"/>
      <c r="M1721" s="80" t="n"/>
      <c r="N1721" s="80" t="n"/>
      <c r="O1721" s="80" t="n"/>
      <c r="P1721" s="80" t="n"/>
      <c r="Q1721" s="80" t="n"/>
      <c r="R1721" s="80" t="n"/>
      <c r="S1721" s="80" t="n"/>
      <c r="T1721" s="80" t="n"/>
      <c r="U1721" s="80" t="n"/>
      <c r="V1721" s="80" t="n"/>
      <c r="W1721" s="80" t="n"/>
      <c r="X1721" s="80" t="n"/>
      <c r="Y1721" s="80" t="n"/>
      <c r="Z1721" s="80" t="n"/>
      <c r="AA1721" s="80" t="n"/>
      <c r="AB1721" s="80" t="n"/>
      <c r="AC1721" s="80" t="n"/>
      <c r="AD1721" s="80" t="n"/>
      <c r="AE1721" s="80" t="n"/>
      <c r="AF1721" s="80" t="n"/>
      <c r="AG1721" s="80" t="n"/>
      <c r="AH1721" s="80" t="n"/>
      <c r="AI1721" s="80" t="n"/>
      <c r="AJ1721" s="80" t="n"/>
      <c r="AK1721" s="80" t="n"/>
      <c r="AL1721" s="80" t="n"/>
      <c r="AM1721" s="80" t="n"/>
      <c r="AN1721" s="80" t="n"/>
      <c r="AO1721" s="80" t="n"/>
      <c r="AP1721" s="80" t="n"/>
      <c r="AQ1721" s="80" t="n"/>
      <c r="AR1721" s="80" t="n"/>
    </row>
    <row r="1722">
      <c r="D1722" s="80" t="n"/>
      <c r="E1722" s="80" t="n"/>
      <c r="F1722" s="80" t="n"/>
      <c r="G1722" s="80" t="n"/>
      <c r="H1722" s="80" t="n"/>
      <c r="I1722" s="80" t="n"/>
      <c r="J1722" s="80" t="n"/>
      <c r="K1722" s="80" t="n"/>
      <c r="L1722" s="80" t="n"/>
      <c r="M1722" s="80" t="n"/>
      <c r="N1722" s="80" t="n"/>
      <c r="O1722" s="80" t="n"/>
      <c r="P1722" s="80" t="n"/>
      <c r="Q1722" s="80" t="n"/>
      <c r="R1722" s="80" t="n"/>
      <c r="S1722" s="80" t="n"/>
      <c r="T1722" s="80" t="n"/>
      <c r="U1722" s="80" t="n"/>
      <c r="V1722" s="80" t="n"/>
      <c r="W1722" s="80" t="n"/>
      <c r="X1722" s="80" t="n"/>
      <c r="Y1722" s="80" t="n"/>
      <c r="Z1722" s="80" t="n"/>
      <c r="AA1722" s="80" t="n"/>
      <c r="AB1722" s="80" t="n"/>
      <c r="AC1722" s="80" t="n"/>
      <c r="AD1722" s="80" t="n"/>
      <c r="AE1722" s="80" t="n"/>
      <c r="AF1722" s="80" t="n"/>
      <c r="AG1722" s="80" t="n"/>
      <c r="AH1722" s="80" t="n"/>
      <c r="AI1722" s="80" t="n"/>
      <c r="AJ1722" s="80" t="n"/>
      <c r="AK1722" s="80" t="n"/>
      <c r="AL1722" s="80" t="n"/>
      <c r="AM1722" s="80" t="n"/>
      <c r="AN1722" s="80" t="n"/>
      <c r="AO1722" s="80" t="n"/>
      <c r="AP1722" s="80" t="n"/>
      <c r="AQ1722" s="80" t="n"/>
      <c r="AR1722" s="80" t="n"/>
    </row>
    <row r="1724">
      <c r="A1724" s="6">
        <f>IF(HSTECH!$C$21="","",HSTECH!$C$21)</f>
        <v/>
      </c>
      <c r="B1724" s="41">
        <f>IF($A1724="",0,COUNT($E1725:$AR1725))</f>
        <v/>
      </c>
      <c r="C1724" s="81">
        <f>IF($B1724=0,0,MAX($E1725:$AR1725))</f>
        <v/>
      </c>
      <c r="D1724" s="82">
        <f>BDS($A1724,'Field Check'!$C$7,"headers=y","startcol=1","endcol=7","dir=h","DVD_START_DT",Summary!$C$18,"DVD_END_DT",Summary!$D$18)</f>
        <v/>
      </c>
      <c r="E1724" s="83" t="n"/>
      <c r="F1724" s="83" t="n"/>
      <c r="G1724" s="83" t="n"/>
      <c r="H1724" s="83" t="n"/>
      <c r="I1724" s="83" t="n"/>
      <c r="J1724" s="83" t="n"/>
      <c r="K1724" s="83" t="n"/>
      <c r="L1724" s="83" t="n"/>
      <c r="M1724" s="83" t="n"/>
      <c r="N1724" s="83" t="n"/>
      <c r="O1724" s="83" t="n"/>
      <c r="P1724" s="83" t="n"/>
      <c r="Q1724" s="83" t="n"/>
      <c r="R1724" s="83" t="n"/>
      <c r="S1724" s="83" t="n"/>
      <c r="T1724" s="83" t="n"/>
      <c r="U1724" s="83" t="n"/>
      <c r="V1724" s="83" t="n"/>
      <c r="W1724" s="83" t="n"/>
      <c r="X1724" s="83" t="n"/>
      <c r="Y1724" s="83" t="n"/>
      <c r="Z1724" s="83" t="n"/>
      <c r="AA1724" s="83" t="n"/>
      <c r="AB1724" s="83" t="n"/>
      <c r="AC1724" s="83" t="n"/>
      <c r="AD1724" s="83" t="n"/>
      <c r="AE1724" s="83" t="n"/>
      <c r="AF1724" s="83" t="n"/>
      <c r="AG1724" s="83" t="n"/>
      <c r="AH1724" s="83" t="n"/>
      <c r="AI1724" s="83" t="n"/>
      <c r="AJ1724" s="83" t="n"/>
      <c r="AK1724" s="83" t="n"/>
      <c r="AL1724" s="83" t="n"/>
      <c r="AM1724" s="83" t="n"/>
      <c r="AN1724" s="83" t="n"/>
      <c r="AO1724" s="83" t="n"/>
      <c r="AP1724" s="83" t="n"/>
      <c r="AQ1724" s="83" t="n"/>
      <c r="AR1724" s="83" t="n"/>
    </row>
    <row r="1725">
      <c r="D1725" s="83" t="n"/>
      <c r="E1725" s="83" t="n"/>
      <c r="F1725" s="83" t="n"/>
      <c r="G1725" s="83" t="n"/>
      <c r="H1725" s="83" t="n"/>
      <c r="I1725" s="83" t="n"/>
      <c r="J1725" s="83" t="n"/>
      <c r="K1725" s="83" t="n"/>
      <c r="L1725" s="83" t="n"/>
      <c r="M1725" s="83" t="n"/>
      <c r="N1725" s="83" t="n"/>
      <c r="O1725" s="83" t="n"/>
      <c r="P1725" s="83" t="n"/>
      <c r="Q1725" s="83" t="n"/>
      <c r="R1725" s="83" t="n"/>
      <c r="S1725" s="83" t="n"/>
      <c r="T1725" s="83" t="n"/>
      <c r="U1725" s="83" t="n"/>
      <c r="V1725" s="83" t="n"/>
      <c r="W1725" s="83" t="n"/>
      <c r="X1725" s="83" t="n"/>
      <c r="Y1725" s="83" t="n"/>
      <c r="Z1725" s="83" t="n"/>
      <c r="AA1725" s="83" t="n"/>
      <c r="AB1725" s="83" t="n"/>
      <c r="AC1725" s="83" t="n"/>
      <c r="AD1725" s="83" t="n"/>
      <c r="AE1725" s="83" t="n"/>
      <c r="AF1725" s="83" t="n"/>
      <c r="AG1725" s="83" t="n"/>
      <c r="AH1725" s="83" t="n"/>
      <c r="AI1725" s="83" t="n"/>
      <c r="AJ1725" s="83" t="n"/>
      <c r="AK1725" s="83" t="n"/>
      <c r="AL1725" s="83" t="n"/>
      <c r="AM1725" s="83" t="n"/>
      <c r="AN1725" s="83" t="n"/>
      <c r="AO1725" s="83" t="n"/>
      <c r="AP1725" s="83" t="n"/>
      <c r="AQ1725" s="83" t="n"/>
      <c r="AR1725" s="83" t="n"/>
    </row>
    <row r="1726">
      <c r="D1726" s="84" t="n"/>
      <c r="E1726" s="84" t="n"/>
      <c r="F1726" s="84" t="n"/>
      <c r="G1726" s="84" t="n"/>
      <c r="H1726" s="84" t="n"/>
      <c r="I1726" s="84" t="n"/>
      <c r="J1726" s="84" t="n"/>
      <c r="K1726" s="84" t="n"/>
      <c r="L1726" s="84" t="n"/>
      <c r="M1726" s="84" t="n"/>
      <c r="N1726" s="84" t="n"/>
      <c r="O1726" s="84" t="n"/>
      <c r="P1726" s="84" t="n"/>
      <c r="Q1726" s="84" t="n"/>
      <c r="R1726" s="84" t="n"/>
      <c r="S1726" s="84" t="n"/>
      <c r="T1726" s="84" t="n"/>
      <c r="U1726" s="84" t="n"/>
      <c r="V1726" s="84" t="n"/>
      <c r="W1726" s="84" t="n"/>
      <c r="X1726" s="84" t="n"/>
      <c r="Y1726" s="84" t="n"/>
      <c r="Z1726" s="84" t="n"/>
      <c r="AA1726" s="84" t="n"/>
      <c r="AB1726" s="84" t="n"/>
      <c r="AC1726" s="84" t="n"/>
      <c r="AD1726" s="84" t="n"/>
      <c r="AE1726" s="84" t="n"/>
      <c r="AF1726" s="84" t="n"/>
      <c r="AG1726" s="84" t="n"/>
      <c r="AH1726" s="84" t="n"/>
      <c r="AI1726" s="84" t="n"/>
      <c r="AJ1726" s="84" t="n"/>
      <c r="AK1726" s="84" t="n"/>
      <c r="AL1726" s="84" t="n"/>
      <c r="AM1726" s="84" t="n"/>
      <c r="AN1726" s="84" t="n"/>
      <c r="AO1726" s="84" t="n"/>
      <c r="AP1726" s="84" t="n"/>
      <c r="AQ1726" s="84" t="n"/>
      <c r="AR1726" s="84" t="n"/>
    </row>
    <row r="1727">
      <c r="D1727" s="80" t="n"/>
      <c r="E1727" s="80" t="n"/>
      <c r="F1727" s="80" t="n"/>
      <c r="G1727" s="80" t="n"/>
      <c r="H1727" s="80" t="n"/>
      <c r="I1727" s="80" t="n"/>
      <c r="J1727" s="80" t="n"/>
      <c r="K1727" s="80" t="n"/>
      <c r="L1727" s="80" t="n"/>
      <c r="M1727" s="80" t="n"/>
      <c r="N1727" s="80" t="n"/>
      <c r="O1727" s="80" t="n"/>
      <c r="P1727" s="80" t="n"/>
      <c r="Q1727" s="80" t="n"/>
      <c r="R1727" s="80" t="n"/>
      <c r="S1727" s="80" t="n"/>
      <c r="T1727" s="80" t="n"/>
      <c r="U1727" s="80" t="n"/>
      <c r="V1727" s="80" t="n"/>
      <c r="W1727" s="80" t="n"/>
      <c r="X1727" s="80" t="n"/>
      <c r="Y1727" s="80" t="n"/>
      <c r="Z1727" s="80" t="n"/>
      <c r="AA1727" s="80" t="n"/>
      <c r="AB1727" s="80" t="n"/>
      <c r="AC1727" s="80" t="n"/>
      <c r="AD1727" s="80" t="n"/>
      <c r="AE1727" s="80" t="n"/>
      <c r="AF1727" s="80" t="n"/>
      <c r="AG1727" s="80" t="n"/>
      <c r="AH1727" s="80" t="n"/>
      <c r="AI1727" s="80" t="n"/>
      <c r="AJ1727" s="80" t="n"/>
      <c r="AK1727" s="80" t="n"/>
      <c r="AL1727" s="80" t="n"/>
      <c r="AM1727" s="80" t="n"/>
      <c r="AN1727" s="80" t="n"/>
      <c r="AO1727" s="80" t="n"/>
      <c r="AP1727" s="80" t="n"/>
      <c r="AQ1727" s="80" t="n"/>
      <c r="AR1727" s="80" t="n"/>
    </row>
    <row r="1728">
      <c r="D1728" s="80" t="n"/>
      <c r="E1728" s="80" t="n"/>
      <c r="F1728" s="80" t="n"/>
      <c r="G1728" s="80" t="n"/>
      <c r="H1728" s="80" t="n"/>
      <c r="I1728" s="80" t="n"/>
      <c r="J1728" s="80" t="n"/>
      <c r="K1728" s="80" t="n"/>
      <c r="L1728" s="80" t="n"/>
      <c r="M1728" s="80" t="n"/>
      <c r="N1728" s="80" t="n"/>
      <c r="O1728" s="80" t="n"/>
      <c r="P1728" s="80" t="n"/>
      <c r="Q1728" s="80" t="n"/>
      <c r="R1728" s="80" t="n"/>
      <c r="S1728" s="80" t="n"/>
      <c r="T1728" s="80" t="n"/>
      <c r="U1728" s="80" t="n"/>
      <c r="V1728" s="80" t="n"/>
      <c r="W1728" s="80" t="n"/>
      <c r="X1728" s="80" t="n"/>
      <c r="Y1728" s="80" t="n"/>
      <c r="Z1728" s="80" t="n"/>
      <c r="AA1728" s="80" t="n"/>
      <c r="AB1728" s="80" t="n"/>
      <c r="AC1728" s="80" t="n"/>
      <c r="AD1728" s="80" t="n"/>
      <c r="AE1728" s="80" t="n"/>
      <c r="AF1728" s="80" t="n"/>
      <c r="AG1728" s="80" t="n"/>
      <c r="AH1728" s="80" t="n"/>
      <c r="AI1728" s="80" t="n"/>
      <c r="AJ1728" s="80" t="n"/>
      <c r="AK1728" s="80" t="n"/>
      <c r="AL1728" s="80" t="n"/>
      <c r="AM1728" s="80" t="n"/>
      <c r="AN1728" s="80" t="n"/>
      <c r="AO1728" s="80" t="n"/>
      <c r="AP1728" s="80" t="n"/>
      <c r="AQ1728" s="80" t="n"/>
      <c r="AR1728" s="80" t="n"/>
    </row>
    <row r="1729">
      <c r="D1729" s="80" t="n"/>
      <c r="E1729" s="80" t="n"/>
      <c r="F1729" s="80" t="n"/>
      <c r="G1729" s="80" t="n"/>
      <c r="H1729" s="80" t="n"/>
      <c r="I1729" s="80" t="n"/>
      <c r="J1729" s="80" t="n"/>
      <c r="K1729" s="80" t="n"/>
      <c r="L1729" s="80" t="n"/>
      <c r="M1729" s="80" t="n"/>
      <c r="N1729" s="80" t="n"/>
      <c r="O1729" s="80" t="n"/>
      <c r="P1729" s="80" t="n"/>
      <c r="Q1729" s="80" t="n"/>
      <c r="R1729" s="80" t="n"/>
      <c r="S1729" s="80" t="n"/>
      <c r="T1729" s="80" t="n"/>
      <c r="U1729" s="80" t="n"/>
      <c r="V1729" s="80" t="n"/>
      <c r="W1729" s="80" t="n"/>
      <c r="X1729" s="80" t="n"/>
      <c r="Y1729" s="80" t="n"/>
      <c r="Z1729" s="80" t="n"/>
      <c r="AA1729" s="80" t="n"/>
      <c r="AB1729" s="80" t="n"/>
      <c r="AC1729" s="80" t="n"/>
      <c r="AD1729" s="80" t="n"/>
      <c r="AE1729" s="80" t="n"/>
      <c r="AF1729" s="80" t="n"/>
      <c r="AG1729" s="80" t="n"/>
      <c r="AH1729" s="80" t="n"/>
      <c r="AI1729" s="80" t="n"/>
      <c r="AJ1729" s="80" t="n"/>
      <c r="AK1729" s="80" t="n"/>
      <c r="AL1729" s="80" t="n"/>
      <c r="AM1729" s="80" t="n"/>
      <c r="AN1729" s="80" t="n"/>
      <c r="AO1729" s="80" t="n"/>
      <c r="AP1729" s="80" t="n"/>
      <c r="AQ1729" s="80" t="n"/>
      <c r="AR1729" s="80" t="n"/>
    </row>
    <row r="1730">
      <c r="D1730" s="80" t="n"/>
      <c r="E1730" s="80" t="n"/>
      <c r="F1730" s="80" t="n"/>
      <c r="G1730" s="80" t="n"/>
      <c r="H1730" s="80" t="n"/>
      <c r="I1730" s="80" t="n"/>
      <c r="J1730" s="80" t="n"/>
      <c r="K1730" s="80" t="n"/>
      <c r="L1730" s="80" t="n"/>
      <c r="M1730" s="80" t="n"/>
      <c r="N1730" s="80" t="n"/>
      <c r="O1730" s="80" t="n"/>
      <c r="P1730" s="80" t="n"/>
      <c r="Q1730" s="80" t="n"/>
      <c r="R1730" s="80" t="n"/>
      <c r="S1730" s="80" t="n"/>
      <c r="T1730" s="80" t="n"/>
      <c r="U1730" s="80" t="n"/>
      <c r="V1730" s="80" t="n"/>
      <c r="W1730" s="80" t="n"/>
      <c r="X1730" s="80" t="n"/>
      <c r="Y1730" s="80" t="n"/>
      <c r="Z1730" s="80" t="n"/>
      <c r="AA1730" s="80" t="n"/>
      <c r="AB1730" s="80" t="n"/>
      <c r="AC1730" s="80" t="n"/>
      <c r="AD1730" s="80" t="n"/>
      <c r="AE1730" s="80" t="n"/>
      <c r="AF1730" s="80" t="n"/>
      <c r="AG1730" s="80" t="n"/>
      <c r="AH1730" s="80" t="n"/>
      <c r="AI1730" s="80" t="n"/>
      <c r="AJ1730" s="80" t="n"/>
      <c r="AK1730" s="80" t="n"/>
      <c r="AL1730" s="80" t="n"/>
      <c r="AM1730" s="80" t="n"/>
      <c r="AN1730" s="80" t="n"/>
      <c r="AO1730" s="80" t="n"/>
      <c r="AP1730" s="80" t="n"/>
      <c r="AQ1730" s="80" t="n"/>
      <c r="AR1730" s="80" t="n"/>
    </row>
    <row r="1731">
      <c r="A1731" s="2">
        <f>IF($A1724="","","   projections")</f>
        <v/>
      </c>
      <c r="B1731" s="41">
        <f>IF($A1724="",0,COUNT($E1732:$AR1732))</f>
        <v/>
      </c>
      <c r="C1731" s="81">
        <f>IF($B1731=0,0,MAX($E1732:$AR1732))</f>
        <v/>
      </c>
      <c r="D1731" s="82">
        <f>BDS($A1724,'Field Check'!$C$6,"headers=y","startcol=1","endcol=7","dir=h")</f>
        <v/>
      </c>
      <c r="E1731" s="83" t="n"/>
      <c r="F1731" s="83" t="n"/>
      <c r="G1731" s="83" t="n"/>
      <c r="H1731" s="83" t="n"/>
      <c r="I1731" s="83" t="n"/>
      <c r="J1731" s="83" t="n"/>
      <c r="K1731" s="83" t="n"/>
      <c r="L1731" s="83" t="n"/>
      <c r="M1731" s="83" t="n"/>
      <c r="N1731" s="83" t="n"/>
      <c r="O1731" s="83" t="n"/>
      <c r="P1731" s="83" t="n"/>
      <c r="Q1731" s="83" t="n"/>
      <c r="R1731" s="83" t="n"/>
      <c r="S1731" s="83" t="n"/>
      <c r="T1731" s="83" t="n"/>
      <c r="U1731" s="83" t="n"/>
      <c r="V1731" s="83" t="n"/>
      <c r="W1731" s="83" t="n"/>
      <c r="X1731" s="83" t="n"/>
      <c r="Y1731" s="83" t="n"/>
      <c r="Z1731" s="83" t="n"/>
      <c r="AA1731" s="83" t="n"/>
      <c r="AB1731" s="83" t="n"/>
      <c r="AC1731" s="83" t="n"/>
      <c r="AD1731" s="83" t="n"/>
      <c r="AE1731" s="83" t="n"/>
      <c r="AF1731" s="83" t="n"/>
      <c r="AG1731" s="83" t="n"/>
      <c r="AH1731" s="83" t="n"/>
      <c r="AI1731" s="83" t="n"/>
      <c r="AJ1731" s="83" t="n"/>
      <c r="AK1731" s="83" t="n"/>
      <c r="AL1731" s="83" t="n"/>
      <c r="AM1731" s="83" t="n"/>
      <c r="AN1731" s="83" t="n"/>
      <c r="AO1731" s="83" t="n"/>
      <c r="AP1731" s="83" t="n"/>
      <c r="AQ1731" s="83" t="n"/>
      <c r="AR1731" s="83" t="n"/>
    </row>
    <row r="1732">
      <c r="D1732" s="83" t="n"/>
      <c r="E1732" s="83" t="n"/>
      <c r="F1732" s="83" t="n"/>
      <c r="G1732" s="83" t="n"/>
      <c r="H1732" s="83" t="n"/>
      <c r="I1732" s="83" t="n"/>
      <c r="J1732" s="83" t="n"/>
      <c r="K1732" s="83" t="n"/>
      <c r="L1732" s="83" t="n"/>
      <c r="M1732" s="83" t="n"/>
      <c r="N1732" s="83" t="n"/>
      <c r="O1732" s="83" t="n"/>
      <c r="P1732" s="83" t="n"/>
      <c r="Q1732" s="83" t="n"/>
      <c r="R1732" s="83" t="n"/>
      <c r="S1732" s="83" t="n"/>
      <c r="T1732" s="83" t="n"/>
      <c r="U1732" s="83" t="n"/>
      <c r="V1732" s="83" t="n"/>
      <c r="W1732" s="83" t="n"/>
      <c r="X1732" s="83" t="n"/>
      <c r="Y1732" s="83" t="n"/>
      <c r="Z1732" s="83" t="n"/>
      <c r="AA1732" s="83" t="n"/>
      <c r="AB1732" s="83" t="n"/>
      <c r="AC1732" s="83" t="n"/>
      <c r="AD1732" s="83" t="n"/>
      <c r="AE1732" s="83" t="n"/>
      <c r="AF1732" s="83" t="n"/>
      <c r="AG1732" s="83" t="n"/>
      <c r="AH1732" s="83" t="n"/>
      <c r="AI1732" s="83" t="n"/>
      <c r="AJ1732" s="83" t="n"/>
      <c r="AK1732" s="83" t="n"/>
      <c r="AL1732" s="83" t="n"/>
      <c r="AM1732" s="83" t="n"/>
      <c r="AN1732" s="83" t="n"/>
      <c r="AO1732" s="83" t="n"/>
      <c r="AP1732" s="83" t="n"/>
      <c r="AQ1732" s="83" t="n"/>
      <c r="AR1732" s="83" t="n"/>
    </row>
    <row r="1733">
      <c r="D1733" s="84" t="n"/>
      <c r="E1733" s="84" t="n"/>
      <c r="F1733" s="84" t="n"/>
      <c r="G1733" s="84" t="n"/>
      <c r="H1733" s="84" t="n"/>
      <c r="I1733" s="84" t="n"/>
      <c r="J1733" s="84" t="n"/>
      <c r="K1733" s="84" t="n"/>
      <c r="L1733" s="84" t="n"/>
      <c r="M1733" s="84" t="n"/>
      <c r="N1733" s="84" t="n"/>
      <c r="O1733" s="84" t="n"/>
      <c r="P1733" s="84" t="n"/>
      <c r="Q1733" s="84" t="n"/>
      <c r="R1733" s="84" t="n"/>
      <c r="S1733" s="84" t="n"/>
      <c r="T1733" s="84" t="n"/>
      <c r="U1733" s="84" t="n"/>
      <c r="V1733" s="84" t="n"/>
      <c r="W1733" s="84" t="n"/>
      <c r="X1733" s="84" t="n"/>
      <c r="Y1733" s="84" t="n"/>
      <c r="Z1733" s="84" t="n"/>
      <c r="AA1733" s="84" t="n"/>
      <c r="AB1733" s="84" t="n"/>
      <c r="AC1733" s="84" t="n"/>
      <c r="AD1733" s="84" t="n"/>
      <c r="AE1733" s="84" t="n"/>
      <c r="AF1733" s="84" t="n"/>
      <c r="AG1733" s="84" t="n"/>
      <c r="AH1733" s="84" t="n"/>
      <c r="AI1733" s="84" t="n"/>
      <c r="AJ1733" s="84" t="n"/>
      <c r="AK1733" s="84" t="n"/>
      <c r="AL1733" s="84" t="n"/>
      <c r="AM1733" s="84" t="n"/>
      <c r="AN1733" s="84" t="n"/>
      <c r="AO1733" s="84" t="n"/>
      <c r="AP1733" s="84" t="n"/>
      <c r="AQ1733" s="84" t="n"/>
      <c r="AR1733" s="84" t="n"/>
    </row>
    <row r="1734">
      <c r="D1734" s="80" t="n"/>
      <c r="E1734" s="80" t="n"/>
      <c r="F1734" s="80" t="n"/>
      <c r="G1734" s="80" t="n"/>
      <c r="H1734" s="80" t="n"/>
      <c r="I1734" s="80" t="n"/>
      <c r="J1734" s="80" t="n"/>
      <c r="K1734" s="80" t="n"/>
      <c r="L1734" s="80" t="n"/>
      <c r="M1734" s="80" t="n"/>
      <c r="N1734" s="80" t="n"/>
      <c r="O1734" s="80" t="n"/>
      <c r="P1734" s="80" t="n"/>
      <c r="Q1734" s="80" t="n"/>
      <c r="R1734" s="80" t="n"/>
      <c r="S1734" s="80" t="n"/>
      <c r="T1734" s="80" t="n"/>
      <c r="U1734" s="80" t="n"/>
      <c r="V1734" s="80" t="n"/>
      <c r="W1734" s="80" t="n"/>
      <c r="X1734" s="80" t="n"/>
      <c r="Y1734" s="80" t="n"/>
      <c r="Z1734" s="80" t="n"/>
      <c r="AA1734" s="80" t="n"/>
      <c r="AB1734" s="80" t="n"/>
      <c r="AC1734" s="80" t="n"/>
      <c r="AD1734" s="80" t="n"/>
      <c r="AE1734" s="80" t="n"/>
      <c r="AF1734" s="80" t="n"/>
      <c r="AG1734" s="80" t="n"/>
      <c r="AH1734" s="80" t="n"/>
      <c r="AI1734" s="80" t="n"/>
      <c r="AJ1734" s="80" t="n"/>
      <c r="AK1734" s="80" t="n"/>
      <c r="AL1734" s="80" t="n"/>
      <c r="AM1734" s="80" t="n"/>
      <c r="AN1734" s="80" t="n"/>
      <c r="AO1734" s="80" t="n"/>
      <c r="AP1734" s="80" t="n"/>
      <c r="AQ1734" s="80" t="n"/>
      <c r="AR1734" s="80" t="n"/>
    </row>
    <row r="1735">
      <c r="D1735" s="80" t="n"/>
      <c r="E1735" s="80" t="n"/>
      <c r="F1735" s="80" t="n"/>
      <c r="G1735" s="80" t="n"/>
      <c r="H1735" s="80" t="n"/>
      <c r="I1735" s="80" t="n"/>
      <c r="J1735" s="80" t="n"/>
      <c r="K1735" s="80" t="n"/>
      <c r="L1735" s="80" t="n"/>
      <c r="M1735" s="80" t="n"/>
      <c r="N1735" s="80" t="n"/>
      <c r="O1735" s="80" t="n"/>
      <c r="P1735" s="80" t="n"/>
      <c r="Q1735" s="80" t="n"/>
      <c r="R1735" s="80" t="n"/>
      <c r="S1735" s="80" t="n"/>
      <c r="T1735" s="80" t="n"/>
      <c r="U1735" s="80" t="n"/>
      <c r="V1735" s="80" t="n"/>
      <c r="W1735" s="80" t="n"/>
      <c r="X1735" s="80" t="n"/>
      <c r="Y1735" s="80" t="n"/>
      <c r="Z1735" s="80" t="n"/>
      <c r="AA1735" s="80" t="n"/>
      <c r="AB1735" s="80" t="n"/>
      <c r="AC1735" s="80" t="n"/>
      <c r="AD1735" s="80" t="n"/>
      <c r="AE1735" s="80" t="n"/>
      <c r="AF1735" s="80" t="n"/>
      <c r="AG1735" s="80" t="n"/>
      <c r="AH1735" s="80" t="n"/>
      <c r="AI1735" s="80" t="n"/>
      <c r="AJ1735" s="80" t="n"/>
      <c r="AK1735" s="80" t="n"/>
      <c r="AL1735" s="80" t="n"/>
      <c r="AM1735" s="80" t="n"/>
      <c r="AN1735" s="80" t="n"/>
      <c r="AO1735" s="80" t="n"/>
      <c r="AP1735" s="80" t="n"/>
      <c r="AQ1735" s="80" t="n"/>
      <c r="AR1735" s="80" t="n"/>
    </row>
    <row r="1736">
      <c r="D1736" s="80" t="n"/>
      <c r="E1736" s="80" t="n"/>
      <c r="F1736" s="80" t="n"/>
      <c r="G1736" s="80" t="n"/>
      <c r="H1736" s="80" t="n"/>
      <c r="I1736" s="80" t="n"/>
      <c r="J1736" s="80" t="n"/>
      <c r="K1736" s="80" t="n"/>
      <c r="L1736" s="80" t="n"/>
      <c r="M1736" s="80" t="n"/>
      <c r="N1736" s="80" t="n"/>
      <c r="O1736" s="80" t="n"/>
      <c r="P1736" s="80" t="n"/>
      <c r="Q1736" s="80" t="n"/>
      <c r="R1736" s="80" t="n"/>
      <c r="S1736" s="80" t="n"/>
      <c r="T1736" s="80" t="n"/>
      <c r="U1736" s="80" t="n"/>
      <c r="V1736" s="80" t="n"/>
      <c r="W1736" s="80" t="n"/>
      <c r="X1736" s="80" t="n"/>
      <c r="Y1736" s="80" t="n"/>
      <c r="Z1736" s="80" t="n"/>
      <c r="AA1736" s="80" t="n"/>
      <c r="AB1736" s="80" t="n"/>
      <c r="AC1736" s="80" t="n"/>
      <c r="AD1736" s="80" t="n"/>
      <c r="AE1736" s="80" t="n"/>
      <c r="AF1736" s="80" t="n"/>
      <c r="AG1736" s="80" t="n"/>
      <c r="AH1736" s="80" t="n"/>
      <c r="AI1736" s="80" t="n"/>
      <c r="AJ1736" s="80" t="n"/>
      <c r="AK1736" s="80" t="n"/>
      <c r="AL1736" s="80" t="n"/>
      <c r="AM1736" s="80" t="n"/>
      <c r="AN1736" s="80" t="n"/>
      <c r="AO1736" s="80" t="n"/>
      <c r="AP1736" s="80" t="n"/>
      <c r="AQ1736" s="80" t="n"/>
      <c r="AR1736" s="80" t="n"/>
    </row>
    <row r="1737">
      <c r="D1737" s="80" t="n"/>
      <c r="E1737" s="80" t="n"/>
      <c r="F1737" s="80" t="n"/>
      <c r="G1737" s="80" t="n"/>
      <c r="H1737" s="80" t="n"/>
      <c r="I1737" s="80" t="n"/>
      <c r="J1737" s="80" t="n"/>
      <c r="K1737" s="80" t="n"/>
      <c r="L1737" s="80" t="n"/>
      <c r="M1737" s="80" t="n"/>
      <c r="N1737" s="80" t="n"/>
      <c r="O1737" s="80" t="n"/>
      <c r="P1737" s="80" t="n"/>
      <c r="Q1737" s="80" t="n"/>
      <c r="R1737" s="80" t="n"/>
      <c r="S1737" s="80" t="n"/>
      <c r="T1737" s="80" t="n"/>
      <c r="U1737" s="80" t="n"/>
      <c r="V1737" s="80" t="n"/>
      <c r="W1737" s="80" t="n"/>
      <c r="X1737" s="80" t="n"/>
      <c r="Y1737" s="80" t="n"/>
      <c r="Z1737" s="80" t="n"/>
      <c r="AA1737" s="80" t="n"/>
      <c r="AB1737" s="80" t="n"/>
      <c r="AC1737" s="80" t="n"/>
      <c r="AD1737" s="80" t="n"/>
      <c r="AE1737" s="80" t="n"/>
      <c r="AF1737" s="80" t="n"/>
      <c r="AG1737" s="80" t="n"/>
      <c r="AH1737" s="80" t="n"/>
      <c r="AI1737" s="80" t="n"/>
      <c r="AJ1737" s="80" t="n"/>
      <c r="AK1737" s="80" t="n"/>
      <c r="AL1737" s="80" t="n"/>
      <c r="AM1737" s="80" t="n"/>
      <c r="AN1737" s="80" t="n"/>
      <c r="AO1737" s="80" t="n"/>
      <c r="AP1737" s="80" t="n"/>
      <c r="AQ1737" s="80" t="n"/>
      <c r="AR1737" s="80" t="n"/>
    </row>
    <row r="1739">
      <c r="A1739" s="6">
        <f>IF(HSTECH!$C$22="","",HSTECH!$C$22)</f>
        <v/>
      </c>
      <c r="B1739" s="41">
        <f>IF($A1739="",0,COUNT($E1740:$AR1740))</f>
        <v/>
      </c>
      <c r="C1739" s="81">
        <f>IF($B1739=0,0,MAX($E1740:$AR1740))</f>
        <v/>
      </c>
      <c r="D1739" s="82">
        <f>BDS($A1739,'Field Check'!$C$7,"headers=y","startcol=1","endcol=7","dir=h","DVD_START_DT",Summary!$C$18,"DVD_END_DT",Summary!$D$18)</f>
        <v/>
      </c>
      <c r="E1739" s="83" t="n"/>
      <c r="F1739" s="83" t="n"/>
      <c r="G1739" s="83" t="n"/>
      <c r="H1739" s="83" t="n"/>
      <c r="I1739" s="83" t="n"/>
      <c r="J1739" s="83" t="n"/>
      <c r="K1739" s="83" t="n"/>
      <c r="L1739" s="83" t="n"/>
      <c r="M1739" s="83" t="n"/>
      <c r="N1739" s="83" t="n"/>
      <c r="O1739" s="83" t="n"/>
      <c r="P1739" s="83" t="n"/>
      <c r="Q1739" s="83" t="n"/>
      <c r="R1739" s="83" t="n"/>
      <c r="S1739" s="83" t="n"/>
      <c r="T1739" s="83" t="n"/>
      <c r="U1739" s="83" t="n"/>
      <c r="V1739" s="83" t="n"/>
      <c r="W1739" s="83" t="n"/>
      <c r="X1739" s="83" t="n"/>
      <c r="Y1739" s="83" t="n"/>
      <c r="Z1739" s="83" t="n"/>
      <c r="AA1739" s="83" t="n"/>
      <c r="AB1739" s="83" t="n"/>
      <c r="AC1739" s="83" t="n"/>
      <c r="AD1739" s="83" t="n"/>
      <c r="AE1739" s="83" t="n"/>
      <c r="AF1739" s="83" t="n"/>
      <c r="AG1739" s="83" t="n"/>
      <c r="AH1739" s="83" t="n"/>
      <c r="AI1739" s="83" t="n"/>
      <c r="AJ1739" s="83" t="n"/>
      <c r="AK1739" s="83" t="n"/>
      <c r="AL1739" s="83" t="n"/>
      <c r="AM1739" s="83" t="n"/>
      <c r="AN1739" s="83" t="n"/>
      <c r="AO1739" s="83" t="n"/>
      <c r="AP1739" s="83" t="n"/>
      <c r="AQ1739" s="83" t="n"/>
      <c r="AR1739" s="83" t="n"/>
    </row>
    <row r="1740">
      <c r="D1740" s="83" t="n"/>
      <c r="E1740" s="83" t="n"/>
      <c r="F1740" s="83" t="n"/>
      <c r="G1740" s="83" t="n"/>
      <c r="H1740" s="83" t="n"/>
      <c r="I1740" s="83" t="n"/>
      <c r="J1740" s="83" t="n"/>
      <c r="K1740" s="83" t="n"/>
      <c r="L1740" s="83" t="n"/>
      <c r="M1740" s="83" t="n"/>
      <c r="N1740" s="83" t="n"/>
      <c r="O1740" s="83" t="n"/>
      <c r="P1740" s="83" t="n"/>
      <c r="Q1740" s="83" t="n"/>
      <c r="R1740" s="83" t="n"/>
      <c r="S1740" s="83" t="n"/>
      <c r="T1740" s="83" t="n"/>
      <c r="U1740" s="83" t="n"/>
      <c r="V1740" s="83" t="n"/>
      <c r="W1740" s="83" t="n"/>
      <c r="X1740" s="83" t="n"/>
      <c r="Y1740" s="83" t="n"/>
      <c r="Z1740" s="83" t="n"/>
      <c r="AA1740" s="83" t="n"/>
      <c r="AB1740" s="83" t="n"/>
      <c r="AC1740" s="83" t="n"/>
      <c r="AD1740" s="83" t="n"/>
      <c r="AE1740" s="83" t="n"/>
      <c r="AF1740" s="83" t="n"/>
      <c r="AG1740" s="83" t="n"/>
      <c r="AH1740" s="83" t="n"/>
      <c r="AI1740" s="83" t="n"/>
      <c r="AJ1740" s="83" t="n"/>
      <c r="AK1740" s="83" t="n"/>
      <c r="AL1740" s="83" t="n"/>
      <c r="AM1740" s="83" t="n"/>
      <c r="AN1740" s="83" t="n"/>
      <c r="AO1740" s="83" t="n"/>
      <c r="AP1740" s="83" t="n"/>
      <c r="AQ1740" s="83" t="n"/>
      <c r="AR1740" s="83" t="n"/>
    </row>
    <row r="1741">
      <c r="D1741" s="84" t="n"/>
      <c r="E1741" s="84" t="n"/>
      <c r="F1741" s="84" t="n"/>
      <c r="G1741" s="84" t="n"/>
      <c r="H1741" s="84" t="n"/>
      <c r="I1741" s="84" t="n"/>
      <c r="J1741" s="84" t="n"/>
      <c r="K1741" s="84" t="n"/>
      <c r="L1741" s="84" t="n"/>
      <c r="M1741" s="84" t="n"/>
      <c r="N1741" s="84" t="n"/>
      <c r="O1741" s="84" t="n"/>
      <c r="P1741" s="84" t="n"/>
      <c r="Q1741" s="84" t="n"/>
      <c r="R1741" s="84" t="n"/>
      <c r="S1741" s="84" t="n"/>
      <c r="T1741" s="84" t="n"/>
      <c r="U1741" s="84" t="n"/>
      <c r="V1741" s="84" t="n"/>
      <c r="W1741" s="84" t="n"/>
      <c r="X1741" s="84" t="n"/>
      <c r="Y1741" s="84" t="n"/>
      <c r="Z1741" s="84" t="n"/>
      <c r="AA1741" s="84" t="n"/>
      <c r="AB1741" s="84" t="n"/>
      <c r="AC1741" s="84" t="n"/>
      <c r="AD1741" s="84" t="n"/>
      <c r="AE1741" s="84" t="n"/>
      <c r="AF1741" s="84" t="n"/>
      <c r="AG1741" s="84" t="n"/>
      <c r="AH1741" s="84" t="n"/>
      <c r="AI1741" s="84" t="n"/>
      <c r="AJ1741" s="84" t="n"/>
      <c r="AK1741" s="84" t="n"/>
      <c r="AL1741" s="84" t="n"/>
      <c r="AM1741" s="84" t="n"/>
      <c r="AN1741" s="84" t="n"/>
      <c r="AO1741" s="84" t="n"/>
      <c r="AP1741" s="84" t="n"/>
      <c r="AQ1741" s="84" t="n"/>
      <c r="AR1741" s="84" t="n"/>
    </row>
    <row r="1742">
      <c r="D1742" s="80" t="n"/>
      <c r="E1742" s="80" t="n"/>
      <c r="F1742" s="80" t="n"/>
      <c r="G1742" s="80" t="n"/>
      <c r="H1742" s="80" t="n"/>
      <c r="I1742" s="80" t="n"/>
      <c r="J1742" s="80" t="n"/>
      <c r="K1742" s="80" t="n"/>
      <c r="L1742" s="80" t="n"/>
      <c r="M1742" s="80" t="n"/>
      <c r="N1742" s="80" t="n"/>
      <c r="O1742" s="80" t="n"/>
      <c r="P1742" s="80" t="n"/>
      <c r="Q1742" s="80" t="n"/>
      <c r="R1742" s="80" t="n"/>
      <c r="S1742" s="80" t="n"/>
      <c r="T1742" s="80" t="n"/>
      <c r="U1742" s="80" t="n"/>
      <c r="V1742" s="80" t="n"/>
      <c r="W1742" s="80" t="n"/>
      <c r="X1742" s="80" t="n"/>
      <c r="Y1742" s="80" t="n"/>
      <c r="Z1742" s="80" t="n"/>
      <c r="AA1742" s="80" t="n"/>
      <c r="AB1742" s="80" t="n"/>
      <c r="AC1742" s="80" t="n"/>
      <c r="AD1742" s="80" t="n"/>
      <c r="AE1742" s="80" t="n"/>
      <c r="AF1742" s="80" t="n"/>
      <c r="AG1742" s="80" t="n"/>
      <c r="AH1742" s="80" t="n"/>
      <c r="AI1742" s="80" t="n"/>
      <c r="AJ1742" s="80" t="n"/>
      <c r="AK1742" s="80" t="n"/>
      <c r="AL1742" s="80" t="n"/>
      <c r="AM1742" s="80" t="n"/>
      <c r="AN1742" s="80" t="n"/>
      <c r="AO1742" s="80" t="n"/>
      <c r="AP1742" s="80" t="n"/>
      <c r="AQ1742" s="80" t="n"/>
      <c r="AR1742" s="80" t="n"/>
    </row>
    <row r="1743">
      <c r="D1743" s="80" t="n"/>
      <c r="E1743" s="80" t="n"/>
      <c r="F1743" s="80" t="n"/>
      <c r="G1743" s="80" t="n"/>
      <c r="H1743" s="80" t="n"/>
      <c r="I1743" s="80" t="n"/>
      <c r="J1743" s="80" t="n"/>
      <c r="K1743" s="80" t="n"/>
      <c r="L1743" s="80" t="n"/>
      <c r="M1743" s="80" t="n"/>
      <c r="N1743" s="80" t="n"/>
      <c r="O1743" s="80" t="n"/>
      <c r="P1743" s="80" t="n"/>
      <c r="Q1743" s="80" t="n"/>
      <c r="R1743" s="80" t="n"/>
      <c r="S1743" s="80" t="n"/>
      <c r="T1743" s="80" t="n"/>
      <c r="U1743" s="80" t="n"/>
      <c r="V1743" s="80" t="n"/>
      <c r="W1743" s="80" t="n"/>
      <c r="X1743" s="80" t="n"/>
      <c r="Y1743" s="80" t="n"/>
      <c r="Z1743" s="80" t="n"/>
      <c r="AA1743" s="80" t="n"/>
      <c r="AB1743" s="80" t="n"/>
      <c r="AC1743" s="80" t="n"/>
      <c r="AD1743" s="80" t="n"/>
      <c r="AE1743" s="80" t="n"/>
      <c r="AF1743" s="80" t="n"/>
      <c r="AG1743" s="80" t="n"/>
      <c r="AH1743" s="80" t="n"/>
      <c r="AI1743" s="80" t="n"/>
      <c r="AJ1743" s="80" t="n"/>
      <c r="AK1743" s="80" t="n"/>
      <c r="AL1743" s="80" t="n"/>
      <c r="AM1743" s="80" t="n"/>
      <c r="AN1743" s="80" t="n"/>
      <c r="AO1743" s="80" t="n"/>
      <c r="AP1743" s="80" t="n"/>
      <c r="AQ1743" s="80" t="n"/>
      <c r="AR1743" s="80" t="n"/>
    </row>
    <row r="1744">
      <c r="D1744" s="80" t="n"/>
      <c r="E1744" s="80" t="n"/>
      <c r="F1744" s="80" t="n"/>
      <c r="G1744" s="80" t="n"/>
      <c r="H1744" s="80" t="n"/>
      <c r="I1744" s="80" t="n"/>
      <c r="J1744" s="80" t="n"/>
      <c r="K1744" s="80" t="n"/>
      <c r="L1744" s="80" t="n"/>
      <c r="M1744" s="80" t="n"/>
      <c r="N1744" s="80" t="n"/>
      <c r="O1744" s="80" t="n"/>
      <c r="P1744" s="80" t="n"/>
      <c r="Q1744" s="80" t="n"/>
      <c r="R1744" s="80" t="n"/>
      <c r="S1744" s="80" t="n"/>
      <c r="T1744" s="80" t="n"/>
      <c r="U1744" s="80" t="n"/>
      <c r="V1744" s="80" t="n"/>
      <c r="W1744" s="80" t="n"/>
      <c r="X1744" s="80" t="n"/>
      <c r="Y1744" s="80" t="n"/>
      <c r="Z1744" s="80" t="n"/>
      <c r="AA1744" s="80" t="n"/>
      <c r="AB1744" s="80" t="n"/>
      <c r="AC1744" s="80" t="n"/>
      <c r="AD1744" s="80" t="n"/>
      <c r="AE1744" s="80" t="n"/>
      <c r="AF1744" s="80" t="n"/>
      <c r="AG1744" s="80" t="n"/>
      <c r="AH1744" s="80" t="n"/>
      <c r="AI1744" s="80" t="n"/>
      <c r="AJ1744" s="80" t="n"/>
      <c r="AK1744" s="80" t="n"/>
      <c r="AL1744" s="80" t="n"/>
      <c r="AM1744" s="80" t="n"/>
      <c r="AN1744" s="80" t="n"/>
      <c r="AO1744" s="80" t="n"/>
      <c r="AP1744" s="80" t="n"/>
      <c r="AQ1744" s="80" t="n"/>
      <c r="AR1744" s="80" t="n"/>
    </row>
    <row r="1745">
      <c r="D1745" s="80" t="n"/>
      <c r="E1745" s="80" t="n"/>
      <c r="F1745" s="80" t="n"/>
      <c r="G1745" s="80" t="n"/>
      <c r="H1745" s="80" t="n"/>
      <c r="I1745" s="80" t="n"/>
      <c r="J1745" s="80" t="n"/>
      <c r="K1745" s="80" t="n"/>
      <c r="L1745" s="80" t="n"/>
      <c r="M1745" s="80" t="n"/>
      <c r="N1745" s="80" t="n"/>
      <c r="O1745" s="80" t="n"/>
      <c r="P1745" s="80" t="n"/>
      <c r="Q1745" s="80" t="n"/>
      <c r="R1745" s="80" t="n"/>
      <c r="S1745" s="80" t="n"/>
      <c r="T1745" s="80" t="n"/>
      <c r="U1745" s="80" t="n"/>
      <c r="V1745" s="80" t="n"/>
      <c r="W1745" s="80" t="n"/>
      <c r="X1745" s="80" t="n"/>
      <c r="Y1745" s="80" t="n"/>
      <c r="Z1745" s="80" t="n"/>
      <c r="AA1745" s="80" t="n"/>
      <c r="AB1745" s="80" t="n"/>
      <c r="AC1745" s="80" t="n"/>
      <c r="AD1745" s="80" t="n"/>
      <c r="AE1745" s="80" t="n"/>
      <c r="AF1745" s="80" t="n"/>
      <c r="AG1745" s="80" t="n"/>
      <c r="AH1745" s="80" t="n"/>
      <c r="AI1745" s="80" t="n"/>
      <c r="AJ1745" s="80" t="n"/>
      <c r="AK1745" s="80" t="n"/>
      <c r="AL1745" s="80" t="n"/>
      <c r="AM1745" s="80" t="n"/>
      <c r="AN1745" s="80" t="n"/>
      <c r="AO1745" s="80" t="n"/>
      <c r="AP1745" s="80" t="n"/>
      <c r="AQ1745" s="80" t="n"/>
      <c r="AR1745" s="80" t="n"/>
    </row>
    <row r="1746">
      <c r="A1746" s="2">
        <f>IF($A1739="","","   projections")</f>
        <v/>
      </c>
      <c r="B1746" s="41">
        <f>IF($A1739="",0,COUNT($E1747:$AR1747))</f>
        <v/>
      </c>
      <c r="C1746" s="81">
        <f>IF($B1746=0,0,MAX($E1747:$AR1747))</f>
        <v/>
      </c>
      <c r="D1746" s="82">
        <f>BDS($A1739,'Field Check'!$C$6,"headers=y","startcol=1","endcol=7","dir=h")</f>
        <v/>
      </c>
      <c r="E1746" s="83" t="n"/>
      <c r="F1746" s="83" t="n"/>
      <c r="G1746" s="83" t="n"/>
      <c r="H1746" s="83" t="n"/>
      <c r="I1746" s="83" t="n"/>
      <c r="J1746" s="83" t="n"/>
      <c r="K1746" s="83" t="n"/>
      <c r="L1746" s="83" t="n"/>
      <c r="M1746" s="83" t="n"/>
      <c r="N1746" s="83" t="n"/>
      <c r="O1746" s="83" t="n"/>
      <c r="P1746" s="83" t="n"/>
      <c r="Q1746" s="83" t="n"/>
      <c r="R1746" s="83" t="n"/>
      <c r="S1746" s="83" t="n"/>
      <c r="T1746" s="83" t="n"/>
      <c r="U1746" s="83" t="n"/>
      <c r="V1746" s="83" t="n"/>
      <c r="W1746" s="83" t="n"/>
      <c r="X1746" s="83" t="n"/>
      <c r="Y1746" s="83" t="n"/>
      <c r="Z1746" s="83" t="n"/>
      <c r="AA1746" s="83" t="n"/>
      <c r="AB1746" s="83" t="n"/>
      <c r="AC1746" s="83" t="n"/>
      <c r="AD1746" s="83" t="n"/>
      <c r="AE1746" s="83" t="n"/>
      <c r="AF1746" s="83" t="n"/>
      <c r="AG1746" s="83" t="n"/>
      <c r="AH1746" s="83" t="n"/>
      <c r="AI1746" s="83" t="n"/>
      <c r="AJ1746" s="83" t="n"/>
      <c r="AK1746" s="83" t="n"/>
      <c r="AL1746" s="83" t="n"/>
      <c r="AM1746" s="83" t="n"/>
      <c r="AN1746" s="83" t="n"/>
      <c r="AO1746" s="83" t="n"/>
      <c r="AP1746" s="83" t="n"/>
      <c r="AQ1746" s="83" t="n"/>
      <c r="AR1746" s="83" t="n"/>
    </row>
    <row r="1747">
      <c r="D1747" s="83" t="n"/>
      <c r="E1747" s="83" t="n"/>
      <c r="F1747" s="83" t="n"/>
      <c r="G1747" s="83" t="n"/>
      <c r="H1747" s="83" t="n"/>
      <c r="I1747" s="83" t="n"/>
      <c r="J1747" s="83" t="n"/>
      <c r="K1747" s="83" t="n"/>
      <c r="L1747" s="83" t="n"/>
      <c r="M1747" s="83" t="n"/>
      <c r="N1747" s="83" t="n"/>
      <c r="O1747" s="83" t="n"/>
      <c r="P1747" s="83" t="n"/>
      <c r="Q1747" s="83" t="n"/>
      <c r="R1747" s="83" t="n"/>
      <c r="S1747" s="83" t="n"/>
      <c r="T1747" s="83" t="n"/>
      <c r="U1747" s="83" t="n"/>
      <c r="V1747" s="83" t="n"/>
      <c r="W1747" s="83" t="n"/>
      <c r="X1747" s="83" t="n"/>
      <c r="Y1747" s="83" t="n"/>
      <c r="Z1747" s="83" t="n"/>
      <c r="AA1747" s="83" t="n"/>
      <c r="AB1747" s="83" t="n"/>
      <c r="AC1747" s="83" t="n"/>
      <c r="AD1747" s="83" t="n"/>
      <c r="AE1747" s="83" t="n"/>
      <c r="AF1747" s="83" t="n"/>
      <c r="AG1747" s="83" t="n"/>
      <c r="AH1747" s="83" t="n"/>
      <c r="AI1747" s="83" t="n"/>
      <c r="AJ1747" s="83" t="n"/>
      <c r="AK1747" s="83" t="n"/>
      <c r="AL1747" s="83" t="n"/>
      <c r="AM1747" s="83" t="n"/>
      <c r="AN1747" s="83" t="n"/>
      <c r="AO1747" s="83" t="n"/>
      <c r="AP1747" s="83" t="n"/>
      <c r="AQ1747" s="83" t="n"/>
      <c r="AR1747" s="83" t="n"/>
    </row>
    <row r="1748">
      <c r="D1748" s="84" t="n"/>
      <c r="E1748" s="84" t="n"/>
      <c r="F1748" s="84" t="n"/>
      <c r="G1748" s="84" t="n"/>
      <c r="H1748" s="84" t="n"/>
      <c r="I1748" s="84" t="n"/>
      <c r="J1748" s="84" t="n"/>
      <c r="K1748" s="84" t="n"/>
      <c r="L1748" s="84" t="n"/>
      <c r="M1748" s="84" t="n"/>
      <c r="N1748" s="84" t="n"/>
      <c r="O1748" s="84" t="n"/>
      <c r="P1748" s="84" t="n"/>
      <c r="Q1748" s="84" t="n"/>
      <c r="R1748" s="84" t="n"/>
      <c r="S1748" s="84" t="n"/>
      <c r="T1748" s="84" t="n"/>
      <c r="U1748" s="84" t="n"/>
      <c r="V1748" s="84" t="n"/>
      <c r="W1748" s="84" t="n"/>
      <c r="X1748" s="84" t="n"/>
      <c r="Y1748" s="84" t="n"/>
      <c r="Z1748" s="84" t="n"/>
      <c r="AA1748" s="84" t="n"/>
      <c r="AB1748" s="84" t="n"/>
      <c r="AC1748" s="84" t="n"/>
      <c r="AD1748" s="84" t="n"/>
      <c r="AE1748" s="84" t="n"/>
      <c r="AF1748" s="84" t="n"/>
      <c r="AG1748" s="84" t="n"/>
      <c r="AH1748" s="84" t="n"/>
      <c r="AI1748" s="84" t="n"/>
      <c r="AJ1748" s="84" t="n"/>
      <c r="AK1748" s="84" t="n"/>
      <c r="AL1748" s="84" t="n"/>
      <c r="AM1748" s="84" t="n"/>
      <c r="AN1748" s="84" t="n"/>
      <c r="AO1748" s="84" t="n"/>
      <c r="AP1748" s="84" t="n"/>
      <c r="AQ1748" s="84" t="n"/>
      <c r="AR1748" s="84" t="n"/>
    </row>
    <row r="1749">
      <c r="D1749" s="80" t="n"/>
      <c r="E1749" s="80" t="n"/>
      <c r="F1749" s="80" t="n"/>
      <c r="G1749" s="80" t="n"/>
      <c r="H1749" s="80" t="n"/>
      <c r="I1749" s="80" t="n"/>
      <c r="J1749" s="80" t="n"/>
      <c r="K1749" s="80" t="n"/>
      <c r="L1749" s="80" t="n"/>
      <c r="M1749" s="80" t="n"/>
      <c r="N1749" s="80" t="n"/>
      <c r="O1749" s="80" t="n"/>
      <c r="P1749" s="80" t="n"/>
      <c r="Q1749" s="80" t="n"/>
      <c r="R1749" s="80" t="n"/>
      <c r="S1749" s="80" t="n"/>
      <c r="T1749" s="80" t="n"/>
      <c r="U1749" s="80" t="n"/>
      <c r="V1749" s="80" t="n"/>
      <c r="W1749" s="80" t="n"/>
      <c r="X1749" s="80" t="n"/>
      <c r="Y1749" s="80" t="n"/>
      <c r="Z1749" s="80" t="n"/>
      <c r="AA1749" s="80" t="n"/>
      <c r="AB1749" s="80" t="n"/>
      <c r="AC1749" s="80" t="n"/>
      <c r="AD1749" s="80" t="n"/>
      <c r="AE1749" s="80" t="n"/>
      <c r="AF1749" s="80" t="n"/>
      <c r="AG1749" s="80" t="n"/>
      <c r="AH1749" s="80" t="n"/>
      <c r="AI1749" s="80" t="n"/>
      <c r="AJ1749" s="80" t="n"/>
      <c r="AK1749" s="80" t="n"/>
      <c r="AL1749" s="80" t="n"/>
      <c r="AM1749" s="80" t="n"/>
      <c r="AN1749" s="80" t="n"/>
      <c r="AO1749" s="80" t="n"/>
      <c r="AP1749" s="80" t="n"/>
      <c r="AQ1749" s="80" t="n"/>
      <c r="AR1749" s="80" t="n"/>
    </row>
    <row r="1750">
      <c r="D1750" s="80" t="n"/>
      <c r="E1750" s="80" t="n"/>
      <c r="F1750" s="80" t="n"/>
      <c r="G1750" s="80" t="n"/>
      <c r="H1750" s="80" t="n"/>
      <c r="I1750" s="80" t="n"/>
      <c r="J1750" s="80" t="n"/>
      <c r="K1750" s="80" t="n"/>
      <c r="L1750" s="80" t="n"/>
      <c r="M1750" s="80" t="n"/>
      <c r="N1750" s="80" t="n"/>
      <c r="O1750" s="80" t="n"/>
      <c r="P1750" s="80" t="n"/>
      <c r="Q1750" s="80" t="n"/>
      <c r="R1750" s="80" t="n"/>
      <c r="S1750" s="80" t="n"/>
      <c r="T1750" s="80" t="n"/>
      <c r="U1750" s="80" t="n"/>
      <c r="V1750" s="80" t="n"/>
      <c r="W1750" s="80" t="n"/>
      <c r="X1750" s="80" t="n"/>
      <c r="Y1750" s="80" t="n"/>
      <c r="Z1750" s="80" t="n"/>
      <c r="AA1750" s="80" t="n"/>
      <c r="AB1750" s="80" t="n"/>
      <c r="AC1750" s="80" t="n"/>
      <c r="AD1750" s="80" t="n"/>
      <c r="AE1750" s="80" t="n"/>
      <c r="AF1750" s="80" t="n"/>
      <c r="AG1750" s="80" t="n"/>
      <c r="AH1750" s="80" t="n"/>
      <c r="AI1750" s="80" t="n"/>
      <c r="AJ1750" s="80" t="n"/>
      <c r="AK1750" s="80" t="n"/>
      <c r="AL1750" s="80" t="n"/>
      <c r="AM1750" s="80" t="n"/>
      <c r="AN1750" s="80" t="n"/>
      <c r="AO1750" s="80" t="n"/>
      <c r="AP1750" s="80" t="n"/>
      <c r="AQ1750" s="80" t="n"/>
      <c r="AR1750" s="80" t="n"/>
    </row>
    <row r="1751">
      <c r="D1751" s="80" t="n"/>
      <c r="E1751" s="80" t="n"/>
      <c r="F1751" s="80" t="n"/>
      <c r="G1751" s="80" t="n"/>
      <c r="H1751" s="80" t="n"/>
      <c r="I1751" s="80" t="n"/>
      <c r="J1751" s="80" t="n"/>
      <c r="K1751" s="80" t="n"/>
      <c r="L1751" s="80" t="n"/>
      <c r="M1751" s="80" t="n"/>
      <c r="N1751" s="80" t="n"/>
      <c r="O1751" s="80" t="n"/>
      <c r="P1751" s="80" t="n"/>
      <c r="Q1751" s="80" t="n"/>
      <c r="R1751" s="80" t="n"/>
      <c r="S1751" s="80" t="n"/>
      <c r="T1751" s="80" t="n"/>
      <c r="U1751" s="80" t="n"/>
      <c r="V1751" s="80" t="n"/>
      <c r="W1751" s="80" t="n"/>
      <c r="X1751" s="80" t="n"/>
      <c r="Y1751" s="80" t="n"/>
      <c r="Z1751" s="80" t="n"/>
      <c r="AA1751" s="80" t="n"/>
      <c r="AB1751" s="80" t="n"/>
      <c r="AC1751" s="80" t="n"/>
      <c r="AD1751" s="80" t="n"/>
      <c r="AE1751" s="80" t="n"/>
      <c r="AF1751" s="80" t="n"/>
      <c r="AG1751" s="80" t="n"/>
      <c r="AH1751" s="80" t="n"/>
      <c r="AI1751" s="80" t="n"/>
      <c r="AJ1751" s="80" t="n"/>
      <c r="AK1751" s="80" t="n"/>
      <c r="AL1751" s="80" t="n"/>
      <c r="AM1751" s="80" t="n"/>
      <c r="AN1751" s="80" t="n"/>
      <c r="AO1751" s="80" t="n"/>
      <c r="AP1751" s="80" t="n"/>
      <c r="AQ1751" s="80" t="n"/>
      <c r="AR1751" s="80" t="n"/>
    </row>
    <row r="1752">
      <c r="D1752" s="80" t="n"/>
      <c r="E1752" s="80" t="n"/>
      <c r="F1752" s="80" t="n"/>
      <c r="G1752" s="80" t="n"/>
      <c r="H1752" s="80" t="n"/>
      <c r="I1752" s="80" t="n"/>
      <c r="J1752" s="80" t="n"/>
      <c r="K1752" s="80" t="n"/>
      <c r="L1752" s="80" t="n"/>
      <c r="M1752" s="80" t="n"/>
      <c r="N1752" s="80" t="n"/>
      <c r="O1752" s="80" t="n"/>
      <c r="P1752" s="80" t="n"/>
      <c r="Q1752" s="80" t="n"/>
      <c r="R1752" s="80" t="n"/>
      <c r="S1752" s="80" t="n"/>
      <c r="T1752" s="80" t="n"/>
      <c r="U1752" s="80" t="n"/>
      <c r="V1752" s="80" t="n"/>
      <c r="W1752" s="80" t="n"/>
      <c r="X1752" s="80" t="n"/>
      <c r="Y1752" s="80" t="n"/>
      <c r="Z1752" s="80" t="n"/>
      <c r="AA1752" s="80" t="n"/>
      <c r="AB1752" s="80" t="n"/>
      <c r="AC1752" s="80" t="n"/>
      <c r="AD1752" s="80" t="n"/>
      <c r="AE1752" s="80" t="n"/>
      <c r="AF1752" s="80" t="n"/>
      <c r="AG1752" s="80" t="n"/>
      <c r="AH1752" s="80" t="n"/>
      <c r="AI1752" s="80" t="n"/>
      <c r="AJ1752" s="80" t="n"/>
      <c r="AK1752" s="80" t="n"/>
      <c r="AL1752" s="80" t="n"/>
      <c r="AM1752" s="80" t="n"/>
      <c r="AN1752" s="80" t="n"/>
      <c r="AO1752" s="80" t="n"/>
      <c r="AP1752" s="80" t="n"/>
      <c r="AQ1752" s="80" t="n"/>
      <c r="AR1752" s="80" t="n"/>
    </row>
    <row r="1754">
      <c r="A1754" s="6">
        <f>IF(HSTECH!$C$23="","",HSTECH!$C$23)</f>
        <v/>
      </c>
      <c r="B1754" s="41">
        <f>IF($A1754="",0,COUNT($E1755:$AR1755))</f>
        <v/>
      </c>
      <c r="C1754" s="81">
        <f>IF($B1754=0,0,MAX($E1755:$AR1755))</f>
        <v/>
      </c>
      <c r="D1754" s="82">
        <f>BDS($A1754,'Field Check'!$C$7,"headers=y","startcol=1","endcol=7","dir=h","DVD_START_DT",Summary!$C$18,"DVD_END_DT",Summary!$D$18)</f>
        <v/>
      </c>
      <c r="E1754" s="83" t="n"/>
      <c r="F1754" s="83" t="n"/>
      <c r="G1754" s="83" t="n"/>
      <c r="H1754" s="83" t="n"/>
      <c r="I1754" s="83" t="n"/>
      <c r="J1754" s="83" t="n"/>
      <c r="K1754" s="83" t="n"/>
      <c r="L1754" s="83" t="n"/>
      <c r="M1754" s="83" t="n"/>
      <c r="N1754" s="83" t="n"/>
      <c r="O1754" s="83" t="n"/>
      <c r="P1754" s="83" t="n"/>
      <c r="Q1754" s="83" t="n"/>
      <c r="R1754" s="83" t="n"/>
      <c r="S1754" s="83" t="n"/>
      <c r="T1754" s="83" t="n"/>
      <c r="U1754" s="83" t="n"/>
      <c r="V1754" s="83" t="n"/>
      <c r="W1754" s="83" t="n"/>
      <c r="X1754" s="83" t="n"/>
      <c r="Y1754" s="83" t="n"/>
      <c r="Z1754" s="83" t="n"/>
      <c r="AA1754" s="83" t="n"/>
      <c r="AB1754" s="83" t="n"/>
      <c r="AC1754" s="83" t="n"/>
      <c r="AD1754" s="83" t="n"/>
      <c r="AE1754" s="83" t="n"/>
      <c r="AF1754" s="83" t="n"/>
      <c r="AG1754" s="83" t="n"/>
      <c r="AH1754" s="83" t="n"/>
      <c r="AI1754" s="83" t="n"/>
      <c r="AJ1754" s="83" t="n"/>
      <c r="AK1754" s="83" t="n"/>
      <c r="AL1754" s="83" t="n"/>
      <c r="AM1754" s="83" t="n"/>
      <c r="AN1754" s="83" t="n"/>
      <c r="AO1754" s="83" t="n"/>
      <c r="AP1754" s="83" t="n"/>
      <c r="AQ1754" s="83" t="n"/>
      <c r="AR1754" s="83" t="n"/>
    </row>
    <row r="1755">
      <c r="D1755" s="83" t="n"/>
      <c r="E1755" s="83" t="n"/>
      <c r="F1755" s="83" t="n"/>
      <c r="G1755" s="83" t="n"/>
      <c r="H1755" s="83" t="n"/>
      <c r="I1755" s="83" t="n"/>
      <c r="J1755" s="83" t="n"/>
      <c r="K1755" s="83" t="n"/>
      <c r="L1755" s="83" t="n"/>
      <c r="M1755" s="83" t="n"/>
      <c r="N1755" s="83" t="n"/>
      <c r="O1755" s="83" t="n"/>
      <c r="P1755" s="83" t="n"/>
      <c r="Q1755" s="83" t="n"/>
      <c r="R1755" s="83" t="n"/>
      <c r="S1755" s="83" t="n"/>
      <c r="T1755" s="83" t="n"/>
      <c r="U1755" s="83" t="n"/>
      <c r="V1755" s="83" t="n"/>
      <c r="W1755" s="83" t="n"/>
      <c r="X1755" s="83" t="n"/>
      <c r="Y1755" s="83" t="n"/>
      <c r="Z1755" s="83" t="n"/>
      <c r="AA1755" s="83" t="n"/>
      <c r="AB1755" s="83" t="n"/>
      <c r="AC1755" s="83" t="n"/>
      <c r="AD1755" s="83" t="n"/>
      <c r="AE1755" s="83" t="n"/>
      <c r="AF1755" s="83" t="n"/>
      <c r="AG1755" s="83" t="n"/>
      <c r="AH1755" s="83" t="n"/>
      <c r="AI1755" s="83" t="n"/>
      <c r="AJ1755" s="83" t="n"/>
      <c r="AK1755" s="83" t="n"/>
      <c r="AL1755" s="83" t="n"/>
      <c r="AM1755" s="83" t="n"/>
      <c r="AN1755" s="83" t="n"/>
      <c r="AO1755" s="83" t="n"/>
      <c r="AP1755" s="83" t="n"/>
      <c r="AQ1755" s="83" t="n"/>
      <c r="AR1755" s="83" t="n"/>
    </row>
    <row r="1756">
      <c r="D1756" s="84" t="n"/>
      <c r="E1756" s="84" t="n"/>
      <c r="F1756" s="84" t="n"/>
      <c r="G1756" s="84" t="n"/>
      <c r="H1756" s="84" t="n"/>
      <c r="I1756" s="84" t="n"/>
      <c r="J1756" s="84" t="n"/>
      <c r="K1756" s="84" t="n"/>
      <c r="L1756" s="84" t="n"/>
      <c r="M1756" s="84" t="n"/>
      <c r="N1756" s="84" t="n"/>
      <c r="O1756" s="84" t="n"/>
      <c r="P1756" s="84" t="n"/>
      <c r="Q1756" s="84" t="n"/>
      <c r="R1756" s="84" t="n"/>
      <c r="S1756" s="84" t="n"/>
      <c r="T1756" s="84" t="n"/>
      <c r="U1756" s="84" t="n"/>
      <c r="V1756" s="84" t="n"/>
      <c r="W1756" s="84" t="n"/>
      <c r="X1756" s="84" t="n"/>
      <c r="Y1756" s="84" t="n"/>
      <c r="Z1756" s="84" t="n"/>
      <c r="AA1756" s="84" t="n"/>
      <c r="AB1756" s="84" t="n"/>
      <c r="AC1756" s="84" t="n"/>
      <c r="AD1756" s="84" t="n"/>
      <c r="AE1756" s="84" t="n"/>
      <c r="AF1756" s="84" t="n"/>
      <c r="AG1756" s="84" t="n"/>
      <c r="AH1756" s="84" t="n"/>
      <c r="AI1756" s="84" t="n"/>
      <c r="AJ1756" s="84" t="n"/>
      <c r="AK1756" s="84" t="n"/>
      <c r="AL1756" s="84" t="n"/>
      <c r="AM1756" s="84" t="n"/>
      <c r="AN1756" s="84" t="n"/>
      <c r="AO1756" s="84" t="n"/>
      <c r="AP1756" s="84" t="n"/>
      <c r="AQ1756" s="84" t="n"/>
      <c r="AR1756" s="84" t="n"/>
    </row>
    <row r="1757">
      <c r="D1757" s="80" t="n"/>
      <c r="E1757" s="80" t="n"/>
      <c r="F1757" s="80" t="n"/>
      <c r="G1757" s="80" t="n"/>
      <c r="H1757" s="80" t="n"/>
      <c r="I1757" s="80" t="n"/>
      <c r="J1757" s="80" t="n"/>
      <c r="K1757" s="80" t="n"/>
      <c r="L1757" s="80" t="n"/>
      <c r="M1757" s="80" t="n"/>
      <c r="N1757" s="80" t="n"/>
      <c r="O1757" s="80" t="n"/>
      <c r="P1757" s="80" t="n"/>
      <c r="Q1757" s="80" t="n"/>
      <c r="R1757" s="80" t="n"/>
      <c r="S1757" s="80" t="n"/>
      <c r="T1757" s="80" t="n"/>
      <c r="U1757" s="80" t="n"/>
      <c r="V1757" s="80" t="n"/>
      <c r="W1757" s="80" t="n"/>
      <c r="X1757" s="80" t="n"/>
      <c r="Y1757" s="80" t="n"/>
      <c r="Z1757" s="80" t="n"/>
      <c r="AA1757" s="80" t="n"/>
      <c r="AB1757" s="80" t="n"/>
      <c r="AC1757" s="80" t="n"/>
      <c r="AD1757" s="80" t="n"/>
      <c r="AE1757" s="80" t="n"/>
      <c r="AF1757" s="80" t="n"/>
      <c r="AG1757" s="80" t="n"/>
      <c r="AH1757" s="80" t="n"/>
      <c r="AI1757" s="80" t="n"/>
      <c r="AJ1757" s="80" t="n"/>
      <c r="AK1757" s="80" t="n"/>
      <c r="AL1757" s="80" t="n"/>
      <c r="AM1757" s="80" t="n"/>
      <c r="AN1757" s="80" t="n"/>
      <c r="AO1757" s="80" t="n"/>
      <c r="AP1757" s="80" t="n"/>
      <c r="AQ1757" s="80" t="n"/>
      <c r="AR1757" s="80" t="n"/>
    </row>
    <row r="1758">
      <c r="D1758" s="80" t="n"/>
      <c r="E1758" s="80" t="n"/>
      <c r="F1758" s="80" t="n"/>
      <c r="G1758" s="80" t="n"/>
      <c r="H1758" s="80" t="n"/>
      <c r="I1758" s="80" t="n"/>
      <c r="J1758" s="80" t="n"/>
      <c r="K1758" s="80" t="n"/>
      <c r="L1758" s="80" t="n"/>
      <c r="M1758" s="80" t="n"/>
      <c r="N1758" s="80" t="n"/>
      <c r="O1758" s="80" t="n"/>
      <c r="P1758" s="80" t="n"/>
      <c r="Q1758" s="80" t="n"/>
      <c r="R1758" s="80" t="n"/>
      <c r="S1758" s="80" t="n"/>
      <c r="T1758" s="80" t="n"/>
      <c r="U1758" s="80" t="n"/>
      <c r="V1758" s="80" t="n"/>
      <c r="W1758" s="80" t="n"/>
      <c r="X1758" s="80" t="n"/>
      <c r="Y1758" s="80" t="n"/>
      <c r="Z1758" s="80" t="n"/>
      <c r="AA1758" s="80" t="n"/>
      <c r="AB1758" s="80" t="n"/>
      <c r="AC1758" s="80" t="n"/>
      <c r="AD1758" s="80" t="n"/>
      <c r="AE1758" s="80" t="n"/>
      <c r="AF1758" s="80" t="n"/>
      <c r="AG1758" s="80" t="n"/>
      <c r="AH1758" s="80" t="n"/>
      <c r="AI1758" s="80" t="n"/>
      <c r="AJ1758" s="80" t="n"/>
      <c r="AK1758" s="80" t="n"/>
      <c r="AL1758" s="80" t="n"/>
      <c r="AM1758" s="80" t="n"/>
      <c r="AN1758" s="80" t="n"/>
      <c r="AO1758" s="80" t="n"/>
      <c r="AP1758" s="80" t="n"/>
      <c r="AQ1758" s="80" t="n"/>
      <c r="AR1758" s="80" t="n"/>
    </row>
    <row r="1759">
      <c r="D1759" s="80" t="n"/>
      <c r="E1759" s="80" t="n"/>
      <c r="F1759" s="80" t="n"/>
      <c r="G1759" s="80" t="n"/>
      <c r="H1759" s="80" t="n"/>
      <c r="I1759" s="80" t="n"/>
      <c r="J1759" s="80" t="n"/>
      <c r="K1759" s="80" t="n"/>
      <c r="L1759" s="80" t="n"/>
      <c r="M1759" s="80" t="n"/>
      <c r="N1759" s="80" t="n"/>
      <c r="O1759" s="80" t="n"/>
      <c r="P1759" s="80" t="n"/>
      <c r="Q1759" s="80" t="n"/>
      <c r="R1759" s="80" t="n"/>
      <c r="S1759" s="80" t="n"/>
      <c r="T1759" s="80" t="n"/>
      <c r="U1759" s="80" t="n"/>
      <c r="V1759" s="80" t="n"/>
      <c r="W1759" s="80" t="n"/>
      <c r="X1759" s="80" t="n"/>
      <c r="Y1759" s="80" t="n"/>
      <c r="Z1759" s="80" t="n"/>
      <c r="AA1759" s="80" t="n"/>
      <c r="AB1759" s="80" t="n"/>
      <c r="AC1759" s="80" t="n"/>
      <c r="AD1759" s="80" t="n"/>
      <c r="AE1759" s="80" t="n"/>
      <c r="AF1759" s="80" t="n"/>
      <c r="AG1759" s="80" t="n"/>
      <c r="AH1759" s="80" t="n"/>
      <c r="AI1759" s="80" t="n"/>
      <c r="AJ1759" s="80" t="n"/>
      <c r="AK1759" s="80" t="n"/>
      <c r="AL1759" s="80" t="n"/>
      <c r="AM1759" s="80" t="n"/>
      <c r="AN1759" s="80" t="n"/>
      <c r="AO1759" s="80" t="n"/>
      <c r="AP1759" s="80" t="n"/>
      <c r="AQ1759" s="80" t="n"/>
      <c r="AR1759" s="80" t="n"/>
    </row>
    <row r="1760">
      <c r="D1760" s="80" t="n"/>
      <c r="E1760" s="80" t="n"/>
      <c r="F1760" s="80" t="n"/>
      <c r="G1760" s="80" t="n"/>
      <c r="H1760" s="80" t="n"/>
      <c r="I1760" s="80" t="n"/>
      <c r="J1760" s="80" t="n"/>
      <c r="K1760" s="80" t="n"/>
      <c r="L1760" s="80" t="n"/>
      <c r="M1760" s="80" t="n"/>
      <c r="N1760" s="80" t="n"/>
      <c r="O1760" s="80" t="n"/>
      <c r="P1760" s="80" t="n"/>
      <c r="Q1760" s="80" t="n"/>
      <c r="R1760" s="80" t="n"/>
      <c r="S1760" s="80" t="n"/>
      <c r="T1760" s="80" t="n"/>
      <c r="U1760" s="80" t="n"/>
      <c r="V1760" s="80" t="n"/>
      <c r="W1760" s="80" t="n"/>
      <c r="X1760" s="80" t="n"/>
      <c r="Y1760" s="80" t="n"/>
      <c r="Z1760" s="80" t="n"/>
      <c r="AA1760" s="80" t="n"/>
      <c r="AB1760" s="80" t="n"/>
      <c r="AC1760" s="80" t="n"/>
      <c r="AD1760" s="80" t="n"/>
      <c r="AE1760" s="80" t="n"/>
      <c r="AF1760" s="80" t="n"/>
      <c r="AG1760" s="80" t="n"/>
      <c r="AH1760" s="80" t="n"/>
      <c r="AI1760" s="80" t="n"/>
      <c r="AJ1760" s="80" t="n"/>
      <c r="AK1760" s="80" t="n"/>
      <c r="AL1760" s="80" t="n"/>
      <c r="AM1760" s="80" t="n"/>
      <c r="AN1760" s="80" t="n"/>
      <c r="AO1760" s="80" t="n"/>
      <c r="AP1760" s="80" t="n"/>
      <c r="AQ1760" s="80" t="n"/>
      <c r="AR1760" s="80" t="n"/>
    </row>
    <row r="1761">
      <c r="A1761" s="2">
        <f>IF($A1754="","","   projections")</f>
        <v/>
      </c>
      <c r="B1761" s="41">
        <f>IF($A1754="",0,COUNT($E1762:$AR1762))</f>
        <v/>
      </c>
      <c r="C1761" s="81">
        <f>IF($B1761=0,0,MAX($E1762:$AR1762))</f>
        <v/>
      </c>
      <c r="D1761" s="82">
        <f>BDS($A1754,'Field Check'!$C$6,"headers=y","startcol=1","endcol=7","dir=h")</f>
        <v/>
      </c>
      <c r="E1761" s="83" t="n"/>
      <c r="F1761" s="83" t="n"/>
      <c r="G1761" s="83" t="n"/>
      <c r="H1761" s="83" t="n"/>
      <c r="I1761" s="83" t="n"/>
      <c r="J1761" s="83" t="n"/>
      <c r="K1761" s="83" t="n"/>
      <c r="L1761" s="83" t="n"/>
      <c r="M1761" s="83" t="n"/>
      <c r="N1761" s="83" t="n"/>
      <c r="O1761" s="83" t="n"/>
      <c r="P1761" s="83" t="n"/>
      <c r="Q1761" s="83" t="n"/>
      <c r="R1761" s="83" t="n"/>
      <c r="S1761" s="83" t="n"/>
      <c r="T1761" s="83" t="n"/>
      <c r="U1761" s="83" t="n"/>
      <c r="V1761" s="83" t="n"/>
      <c r="W1761" s="83" t="n"/>
      <c r="X1761" s="83" t="n"/>
      <c r="Y1761" s="83" t="n"/>
      <c r="Z1761" s="83" t="n"/>
      <c r="AA1761" s="83" t="n"/>
      <c r="AB1761" s="83" t="n"/>
      <c r="AC1761" s="83" t="n"/>
      <c r="AD1761" s="83" t="n"/>
      <c r="AE1761" s="83" t="n"/>
      <c r="AF1761" s="83" t="n"/>
      <c r="AG1761" s="83" t="n"/>
      <c r="AH1761" s="83" t="n"/>
      <c r="AI1761" s="83" t="n"/>
      <c r="AJ1761" s="83" t="n"/>
      <c r="AK1761" s="83" t="n"/>
      <c r="AL1761" s="83" t="n"/>
      <c r="AM1761" s="83" t="n"/>
      <c r="AN1761" s="83" t="n"/>
      <c r="AO1761" s="83" t="n"/>
      <c r="AP1761" s="83" t="n"/>
      <c r="AQ1761" s="83" t="n"/>
      <c r="AR1761" s="83" t="n"/>
    </row>
    <row r="1762">
      <c r="D1762" s="83" t="n"/>
      <c r="E1762" s="83" t="n"/>
      <c r="F1762" s="83" t="n"/>
      <c r="G1762" s="83" t="n"/>
      <c r="H1762" s="83" t="n"/>
      <c r="I1762" s="83" t="n"/>
      <c r="J1762" s="83" t="n"/>
      <c r="K1762" s="83" t="n"/>
      <c r="L1762" s="83" t="n"/>
      <c r="M1762" s="83" t="n"/>
      <c r="N1762" s="83" t="n"/>
      <c r="O1762" s="83" t="n"/>
      <c r="P1762" s="83" t="n"/>
      <c r="Q1762" s="83" t="n"/>
      <c r="R1762" s="83" t="n"/>
      <c r="S1762" s="83" t="n"/>
      <c r="T1762" s="83" t="n"/>
      <c r="U1762" s="83" t="n"/>
      <c r="V1762" s="83" t="n"/>
      <c r="W1762" s="83" t="n"/>
      <c r="X1762" s="83" t="n"/>
      <c r="Y1762" s="83" t="n"/>
      <c r="Z1762" s="83" t="n"/>
      <c r="AA1762" s="83" t="n"/>
      <c r="AB1762" s="83" t="n"/>
      <c r="AC1762" s="83" t="n"/>
      <c r="AD1762" s="83" t="n"/>
      <c r="AE1762" s="83" t="n"/>
      <c r="AF1762" s="83" t="n"/>
      <c r="AG1762" s="83" t="n"/>
      <c r="AH1762" s="83" t="n"/>
      <c r="AI1762" s="83" t="n"/>
      <c r="AJ1762" s="83" t="n"/>
      <c r="AK1762" s="83" t="n"/>
      <c r="AL1762" s="83" t="n"/>
      <c r="AM1762" s="83" t="n"/>
      <c r="AN1762" s="83" t="n"/>
      <c r="AO1762" s="83" t="n"/>
      <c r="AP1762" s="83" t="n"/>
      <c r="AQ1762" s="83" t="n"/>
      <c r="AR1762" s="83" t="n"/>
    </row>
    <row r="1763">
      <c r="D1763" s="84" t="n"/>
      <c r="E1763" s="84" t="n"/>
      <c r="F1763" s="84" t="n"/>
      <c r="G1763" s="84" t="n"/>
      <c r="H1763" s="84" t="n"/>
      <c r="I1763" s="84" t="n"/>
      <c r="J1763" s="84" t="n"/>
      <c r="K1763" s="84" t="n"/>
      <c r="L1763" s="84" t="n"/>
      <c r="M1763" s="84" t="n"/>
      <c r="N1763" s="84" t="n"/>
      <c r="O1763" s="84" t="n"/>
      <c r="P1763" s="84" t="n"/>
      <c r="Q1763" s="84" t="n"/>
      <c r="R1763" s="84" t="n"/>
      <c r="S1763" s="84" t="n"/>
      <c r="T1763" s="84" t="n"/>
      <c r="U1763" s="84" t="n"/>
      <c r="V1763" s="84" t="n"/>
      <c r="W1763" s="84" t="n"/>
      <c r="X1763" s="84" t="n"/>
      <c r="Y1763" s="84" t="n"/>
      <c r="Z1763" s="84" t="n"/>
      <c r="AA1763" s="84" t="n"/>
      <c r="AB1763" s="84" t="n"/>
      <c r="AC1763" s="84" t="n"/>
      <c r="AD1763" s="84" t="n"/>
      <c r="AE1763" s="84" t="n"/>
      <c r="AF1763" s="84" t="n"/>
      <c r="AG1763" s="84" t="n"/>
      <c r="AH1763" s="84" t="n"/>
      <c r="AI1763" s="84" t="n"/>
      <c r="AJ1763" s="84" t="n"/>
      <c r="AK1763" s="84" t="n"/>
      <c r="AL1763" s="84" t="n"/>
      <c r="AM1763" s="84" t="n"/>
      <c r="AN1763" s="84" t="n"/>
      <c r="AO1763" s="84" t="n"/>
      <c r="AP1763" s="84" t="n"/>
      <c r="AQ1763" s="84" t="n"/>
      <c r="AR1763" s="84" t="n"/>
    </row>
    <row r="1764">
      <c r="D1764" s="80" t="n"/>
      <c r="E1764" s="80" t="n"/>
      <c r="F1764" s="80" t="n"/>
      <c r="G1764" s="80" t="n"/>
      <c r="H1764" s="80" t="n"/>
      <c r="I1764" s="80" t="n"/>
      <c r="J1764" s="80" t="n"/>
      <c r="K1764" s="80" t="n"/>
      <c r="L1764" s="80" t="n"/>
      <c r="M1764" s="80" t="n"/>
      <c r="N1764" s="80" t="n"/>
      <c r="O1764" s="80" t="n"/>
      <c r="P1764" s="80" t="n"/>
      <c r="Q1764" s="80" t="n"/>
      <c r="R1764" s="80" t="n"/>
      <c r="S1764" s="80" t="n"/>
      <c r="T1764" s="80" t="n"/>
      <c r="U1764" s="80" t="n"/>
      <c r="V1764" s="80" t="n"/>
      <c r="W1764" s="80" t="n"/>
      <c r="X1764" s="80" t="n"/>
      <c r="Y1764" s="80" t="n"/>
      <c r="Z1764" s="80" t="n"/>
      <c r="AA1764" s="80" t="n"/>
      <c r="AB1764" s="80" t="n"/>
      <c r="AC1764" s="80" t="n"/>
      <c r="AD1764" s="80" t="n"/>
      <c r="AE1764" s="80" t="n"/>
      <c r="AF1764" s="80" t="n"/>
      <c r="AG1764" s="80" t="n"/>
      <c r="AH1764" s="80" t="n"/>
      <c r="AI1764" s="80" t="n"/>
      <c r="AJ1764" s="80" t="n"/>
      <c r="AK1764" s="80" t="n"/>
      <c r="AL1764" s="80" t="n"/>
      <c r="AM1764" s="80" t="n"/>
      <c r="AN1764" s="80" t="n"/>
      <c r="AO1764" s="80" t="n"/>
      <c r="AP1764" s="80" t="n"/>
      <c r="AQ1764" s="80" t="n"/>
      <c r="AR1764" s="80" t="n"/>
    </row>
    <row r="1765">
      <c r="D1765" s="80" t="n"/>
      <c r="E1765" s="80" t="n"/>
      <c r="F1765" s="80" t="n"/>
      <c r="G1765" s="80" t="n"/>
      <c r="H1765" s="80" t="n"/>
      <c r="I1765" s="80" t="n"/>
      <c r="J1765" s="80" t="n"/>
      <c r="K1765" s="80" t="n"/>
      <c r="L1765" s="80" t="n"/>
      <c r="M1765" s="80" t="n"/>
      <c r="N1765" s="80" t="n"/>
      <c r="O1765" s="80" t="n"/>
      <c r="P1765" s="80" t="n"/>
      <c r="Q1765" s="80" t="n"/>
      <c r="R1765" s="80" t="n"/>
      <c r="S1765" s="80" t="n"/>
      <c r="T1765" s="80" t="n"/>
      <c r="U1765" s="80" t="n"/>
      <c r="V1765" s="80" t="n"/>
      <c r="W1765" s="80" t="n"/>
      <c r="X1765" s="80" t="n"/>
      <c r="Y1765" s="80" t="n"/>
      <c r="Z1765" s="80" t="n"/>
      <c r="AA1765" s="80" t="n"/>
      <c r="AB1765" s="80" t="n"/>
      <c r="AC1765" s="80" t="n"/>
      <c r="AD1765" s="80" t="n"/>
      <c r="AE1765" s="80" t="n"/>
      <c r="AF1765" s="80" t="n"/>
      <c r="AG1765" s="80" t="n"/>
      <c r="AH1765" s="80" t="n"/>
      <c r="AI1765" s="80" t="n"/>
      <c r="AJ1765" s="80" t="n"/>
      <c r="AK1765" s="80" t="n"/>
      <c r="AL1765" s="80" t="n"/>
      <c r="AM1765" s="80" t="n"/>
      <c r="AN1765" s="80" t="n"/>
      <c r="AO1765" s="80" t="n"/>
      <c r="AP1765" s="80" t="n"/>
      <c r="AQ1765" s="80" t="n"/>
      <c r="AR1765" s="80" t="n"/>
    </row>
    <row r="1766">
      <c r="D1766" s="80" t="n"/>
      <c r="E1766" s="80" t="n"/>
      <c r="F1766" s="80" t="n"/>
      <c r="G1766" s="80" t="n"/>
      <c r="H1766" s="80" t="n"/>
      <c r="I1766" s="80" t="n"/>
      <c r="J1766" s="80" t="n"/>
      <c r="K1766" s="80" t="n"/>
      <c r="L1766" s="80" t="n"/>
      <c r="M1766" s="80" t="n"/>
      <c r="N1766" s="80" t="n"/>
      <c r="O1766" s="80" t="n"/>
      <c r="P1766" s="80" t="n"/>
      <c r="Q1766" s="80" t="n"/>
      <c r="R1766" s="80" t="n"/>
      <c r="S1766" s="80" t="n"/>
      <c r="T1766" s="80" t="n"/>
      <c r="U1766" s="80" t="n"/>
      <c r="V1766" s="80" t="n"/>
      <c r="W1766" s="80" t="n"/>
      <c r="X1766" s="80" t="n"/>
      <c r="Y1766" s="80" t="n"/>
      <c r="Z1766" s="80" t="n"/>
      <c r="AA1766" s="80" t="n"/>
      <c r="AB1766" s="80" t="n"/>
      <c r="AC1766" s="80" t="n"/>
      <c r="AD1766" s="80" t="n"/>
      <c r="AE1766" s="80" t="n"/>
      <c r="AF1766" s="80" t="n"/>
      <c r="AG1766" s="80" t="n"/>
      <c r="AH1766" s="80" t="n"/>
      <c r="AI1766" s="80" t="n"/>
      <c r="AJ1766" s="80" t="n"/>
      <c r="AK1766" s="80" t="n"/>
      <c r="AL1766" s="80" t="n"/>
      <c r="AM1766" s="80" t="n"/>
      <c r="AN1766" s="80" t="n"/>
      <c r="AO1766" s="80" t="n"/>
      <c r="AP1766" s="80" t="n"/>
      <c r="AQ1766" s="80" t="n"/>
      <c r="AR1766" s="80" t="n"/>
    </row>
    <row r="1767">
      <c r="D1767" s="80" t="n"/>
      <c r="E1767" s="80" t="n"/>
      <c r="F1767" s="80" t="n"/>
      <c r="G1767" s="80" t="n"/>
      <c r="H1767" s="80" t="n"/>
      <c r="I1767" s="80" t="n"/>
      <c r="J1767" s="80" t="n"/>
      <c r="K1767" s="80" t="n"/>
      <c r="L1767" s="80" t="n"/>
      <c r="M1767" s="80" t="n"/>
      <c r="N1767" s="80" t="n"/>
      <c r="O1767" s="80" t="n"/>
      <c r="P1767" s="80" t="n"/>
      <c r="Q1767" s="80" t="n"/>
      <c r="R1767" s="80" t="n"/>
      <c r="S1767" s="80" t="n"/>
      <c r="T1767" s="80" t="n"/>
      <c r="U1767" s="80" t="n"/>
      <c r="V1767" s="80" t="n"/>
      <c r="W1767" s="80" t="n"/>
      <c r="X1767" s="80" t="n"/>
      <c r="Y1767" s="80" t="n"/>
      <c r="Z1767" s="80" t="n"/>
      <c r="AA1767" s="80" t="n"/>
      <c r="AB1767" s="80" t="n"/>
      <c r="AC1767" s="80" t="n"/>
      <c r="AD1767" s="80" t="n"/>
      <c r="AE1767" s="80" t="n"/>
      <c r="AF1767" s="80" t="n"/>
      <c r="AG1767" s="80" t="n"/>
      <c r="AH1767" s="80" t="n"/>
      <c r="AI1767" s="80" t="n"/>
      <c r="AJ1767" s="80" t="n"/>
      <c r="AK1767" s="80" t="n"/>
      <c r="AL1767" s="80" t="n"/>
      <c r="AM1767" s="80" t="n"/>
      <c r="AN1767" s="80" t="n"/>
      <c r="AO1767" s="80" t="n"/>
      <c r="AP1767" s="80" t="n"/>
      <c r="AQ1767" s="80" t="n"/>
      <c r="AR1767" s="80" t="n"/>
    </row>
    <row r="1769">
      <c r="A1769" s="6">
        <f>IF(HSTECH!$C$24="","",HSTECH!$C$24)</f>
        <v/>
      </c>
      <c r="B1769" s="41">
        <f>IF($A1769="",0,COUNT($E1770:$AR1770))</f>
        <v/>
      </c>
      <c r="C1769" s="81">
        <f>IF($B1769=0,0,MAX($E1770:$AR1770))</f>
        <v/>
      </c>
      <c r="D1769" s="82">
        <f>BDS($A1769,'Field Check'!$C$7,"headers=y","startcol=1","endcol=7","dir=h","DVD_START_DT",Summary!$C$18,"DVD_END_DT",Summary!$D$18)</f>
        <v/>
      </c>
      <c r="E1769" s="83" t="n"/>
      <c r="F1769" s="83" t="n"/>
      <c r="G1769" s="83" t="n"/>
      <c r="H1769" s="83" t="n"/>
      <c r="I1769" s="83" t="n"/>
      <c r="J1769" s="83" t="n"/>
      <c r="K1769" s="83" t="n"/>
      <c r="L1769" s="83" t="n"/>
      <c r="M1769" s="83" t="n"/>
      <c r="N1769" s="83" t="n"/>
      <c r="O1769" s="83" t="n"/>
      <c r="P1769" s="83" t="n"/>
      <c r="Q1769" s="83" t="n"/>
      <c r="R1769" s="83" t="n"/>
      <c r="S1769" s="83" t="n"/>
      <c r="T1769" s="83" t="n"/>
      <c r="U1769" s="83" t="n"/>
      <c r="V1769" s="83" t="n"/>
      <c r="W1769" s="83" t="n"/>
      <c r="X1769" s="83" t="n"/>
      <c r="Y1769" s="83" t="n"/>
      <c r="Z1769" s="83" t="n"/>
      <c r="AA1769" s="83" t="n"/>
      <c r="AB1769" s="83" t="n"/>
      <c r="AC1769" s="83" t="n"/>
      <c r="AD1769" s="83" t="n"/>
      <c r="AE1769" s="83" t="n"/>
      <c r="AF1769" s="83" t="n"/>
      <c r="AG1769" s="83" t="n"/>
      <c r="AH1769" s="83" t="n"/>
      <c r="AI1769" s="83" t="n"/>
      <c r="AJ1769" s="83" t="n"/>
      <c r="AK1769" s="83" t="n"/>
      <c r="AL1769" s="83" t="n"/>
      <c r="AM1769" s="83" t="n"/>
      <c r="AN1769" s="83" t="n"/>
      <c r="AO1769" s="83" t="n"/>
      <c r="AP1769" s="83" t="n"/>
      <c r="AQ1769" s="83" t="n"/>
      <c r="AR1769" s="83" t="n"/>
    </row>
    <row r="1770">
      <c r="D1770" s="83" t="n"/>
      <c r="E1770" s="83" t="n"/>
      <c r="F1770" s="83" t="n"/>
      <c r="G1770" s="83" t="n"/>
      <c r="H1770" s="83" t="n"/>
      <c r="I1770" s="83" t="n"/>
      <c r="J1770" s="83" t="n"/>
      <c r="K1770" s="83" t="n"/>
      <c r="L1770" s="83" t="n"/>
      <c r="M1770" s="83" t="n"/>
      <c r="N1770" s="83" t="n"/>
      <c r="O1770" s="83" t="n"/>
      <c r="P1770" s="83" t="n"/>
      <c r="Q1770" s="83" t="n"/>
      <c r="R1770" s="83" t="n"/>
      <c r="S1770" s="83" t="n"/>
      <c r="T1770" s="83" t="n"/>
      <c r="U1770" s="83" t="n"/>
      <c r="V1770" s="83" t="n"/>
      <c r="W1770" s="83" t="n"/>
      <c r="X1770" s="83" t="n"/>
      <c r="Y1770" s="83" t="n"/>
      <c r="Z1770" s="83" t="n"/>
      <c r="AA1770" s="83" t="n"/>
      <c r="AB1770" s="83" t="n"/>
      <c r="AC1770" s="83" t="n"/>
      <c r="AD1770" s="83" t="n"/>
      <c r="AE1770" s="83" t="n"/>
      <c r="AF1770" s="83" t="n"/>
      <c r="AG1770" s="83" t="n"/>
      <c r="AH1770" s="83" t="n"/>
      <c r="AI1770" s="83" t="n"/>
      <c r="AJ1770" s="83" t="n"/>
      <c r="AK1770" s="83" t="n"/>
      <c r="AL1770" s="83" t="n"/>
      <c r="AM1770" s="83" t="n"/>
      <c r="AN1770" s="83" t="n"/>
      <c r="AO1770" s="83" t="n"/>
      <c r="AP1770" s="83" t="n"/>
      <c r="AQ1770" s="83" t="n"/>
      <c r="AR1770" s="83" t="n"/>
    </row>
    <row r="1771">
      <c r="D1771" s="84" t="n"/>
      <c r="E1771" s="84" t="n"/>
      <c r="F1771" s="84" t="n"/>
      <c r="G1771" s="84" t="n"/>
      <c r="H1771" s="84" t="n"/>
      <c r="I1771" s="84" t="n"/>
      <c r="J1771" s="84" t="n"/>
      <c r="K1771" s="84" t="n"/>
      <c r="L1771" s="84" t="n"/>
      <c r="M1771" s="84" t="n"/>
      <c r="N1771" s="84" t="n"/>
      <c r="O1771" s="84" t="n"/>
      <c r="P1771" s="84" t="n"/>
      <c r="Q1771" s="84" t="n"/>
      <c r="R1771" s="84" t="n"/>
      <c r="S1771" s="84" t="n"/>
      <c r="T1771" s="84" t="n"/>
      <c r="U1771" s="84" t="n"/>
      <c r="V1771" s="84" t="n"/>
      <c r="W1771" s="84" t="n"/>
      <c r="X1771" s="84" t="n"/>
      <c r="Y1771" s="84" t="n"/>
      <c r="Z1771" s="84" t="n"/>
      <c r="AA1771" s="84" t="n"/>
      <c r="AB1771" s="84" t="n"/>
      <c r="AC1771" s="84" t="n"/>
      <c r="AD1771" s="84" t="n"/>
      <c r="AE1771" s="84" t="n"/>
      <c r="AF1771" s="84" t="n"/>
      <c r="AG1771" s="84" t="n"/>
      <c r="AH1771" s="84" t="n"/>
      <c r="AI1771" s="84" t="n"/>
      <c r="AJ1771" s="84" t="n"/>
      <c r="AK1771" s="84" t="n"/>
      <c r="AL1771" s="84" t="n"/>
      <c r="AM1771" s="84" t="n"/>
      <c r="AN1771" s="84" t="n"/>
      <c r="AO1771" s="84" t="n"/>
      <c r="AP1771" s="84" t="n"/>
      <c r="AQ1771" s="84" t="n"/>
      <c r="AR1771" s="84" t="n"/>
    </row>
    <row r="1772">
      <c r="D1772" s="80" t="n"/>
      <c r="E1772" s="80" t="n"/>
      <c r="F1772" s="80" t="n"/>
      <c r="G1772" s="80" t="n"/>
      <c r="H1772" s="80" t="n"/>
      <c r="I1772" s="80" t="n"/>
      <c r="J1772" s="80" t="n"/>
      <c r="K1772" s="80" t="n"/>
      <c r="L1772" s="80" t="n"/>
      <c r="M1772" s="80" t="n"/>
      <c r="N1772" s="80" t="n"/>
      <c r="O1772" s="80" t="n"/>
      <c r="P1772" s="80" t="n"/>
      <c r="Q1772" s="80" t="n"/>
      <c r="R1772" s="80" t="n"/>
      <c r="S1772" s="80" t="n"/>
      <c r="T1772" s="80" t="n"/>
      <c r="U1772" s="80" t="n"/>
      <c r="V1772" s="80" t="n"/>
      <c r="W1772" s="80" t="n"/>
      <c r="X1772" s="80" t="n"/>
      <c r="Y1772" s="80" t="n"/>
      <c r="Z1772" s="80" t="n"/>
      <c r="AA1772" s="80" t="n"/>
      <c r="AB1772" s="80" t="n"/>
      <c r="AC1772" s="80" t="n"/>
      <c r="AD1772" s="80" t="n"/>
      <c r="AE1772" s="80" t="n"/>
      <c r="AF1772" s="80" t="n"/>
      <c r="AG1772" s="80" t="n"/>
      <c r="AH1772" s="80" t="n"/>
      <c r="AI1772" s="80" t="n"/>
      <c r="AJ1772" s="80" t="n"/>
      <c r="AK1772" s="80" t="n"/>
      <c r="AL1772" s="80" t="n"/>
      <c r="AM1772" s="80" t="n"/>
      <c r="AN1772" s="80" t="n"/>
      <c r="AO1772" s="80" t="n"/>
      <c r="AP1772" s="80" t="n"/>
      <c r="AQ1772" s="80" t="n"/>
      <c r="AR1772" s="80" t="n"/>
    </row>
    <row r="1773">
      <c r="D1773" s="80" t="n"/>
      <c r="E1773" s="80" t="n"/>
      <c r="F1773" s="80" t="n"/>
      <c r="G1773" s="80" t="n"/>
      <c r="H1773" s="80" t="n"/>
      <c r="I1773" s="80" t="n"/>
      <c r="J1773" s="80" t="n"/>
      <c r="K1773" s="80" t="n"/>
      <c r="L1773" s="80" t="n"/>
      <c r="M1773" s="80" t="n"/>
      <c r="N1773" s="80" t="n"/>
      <c r="O1773" s="80" t="n"/>
      <c r="P1773" s="80" t="n"/>
      <c r="Q1773" s="80" t="n"/>
      <c r="R1773" s="80" t="n"/>
      <c r="S1773" s="80" t="n"/>
      <c r="T1773" s="80" t="n"/>
      <c r="U1773" s="80" t="n"/>
      <c r="V1773" s="80" t="n"/>
      <c r="W1773" s="80" t="n"/>
      <c r="X1773" s="80" t="n"/>
      <c r="Y1773" s="80" t="n"/>
      <c r="Z1773" s="80" t="n"/>
      <c r="AA1773" s="80" t="n"/>
      <c r="AB1773" s="80" t="n"/>
      <c r="AC1773" s="80" t="n"/>
      <c r="AD1773" s="80" t="n"/>
      <c r="AE1773" s="80" t="n"/>
      <c r="AF1773" s="80" t="n"/>
      <c r="AG1773" s="80" t="n"/>
      <c r="AH1773" s="80" t="n"/>
      <c r="AI1773" s="80" t="n"/>
      <c r="AJ1773" s="80" t="n"/>
      <c r="AK1773" s="80" t="n"/>
      <c r="AL1773" s="80" t="n"/>
      <c r="AM1773" s="80" t="n"/>
      <c r="AN1773" s="80" t="n"/>
      <c r="AO1773" s="80" t="n"/>
      <c r="AP1773" s="80" t="n"/>
      <c r="AQ1773" s="80" t="n"/>
      <c r="AR1773" s="80" t="n"/>
    </row>
    <row r="1774">
      <c r="D1774" s="80" t="n"/>
      <c r="E1774" s="80" t="n"/>
      <c r="F1774" s="80" t="n"/>
      <c r="G1774" s="80" t="n"/>
      <c r="H1774" s="80" t="n"/>
      <c r="I1774" s="80" t="n"/>
      <c r="J1774" s="80" t="n"/>
      <c r="K1774" s="80" t="n"/>
      <c r="L1774" s="80" t="n"/>
      <c r="M1774" s="80" t="n"/>
      <c r="N1774" s="80" t="n"/>
      <c r="O1774" s="80" t="n"/>
      <c r="P1774" s="80" t="n"/>
      <c r="Q1774" s="80" t="n"/>
      <c r="R1774" s="80" t="n"/>
      <c r="S1774" s="80" t="n"/>
      <c r="T1774" s="80" t="n"/>
      <c r="U1774" s="80" t="n"/>
      <c r="V1774" s="80" t="n"/>
      <c r="W1774" s="80" t="n"/>
      <c r="X1774" s="80" t="n"/>
      <c r="Y1774" s="80" t="n"/>
      <c r="Z1774" s="80" t="n"/>
      <c r="AA1774" s="80" t="n"/>
      <c r="AB1774" s="80" t="n"/>
      <c r="AC1774" s="80" t="n"/>
      <c r="AD1774" s="80" t="n"/>
      <c r="AE1774" s="80" t="n"/>
      <c r="AF1774" s="80" t="n"/>
      <c r="AG1774" s="80" t="n"/>
      <c r="AH1774" s="80" t="n"/>
      <c r="AI1774" s="80" t="n"/>
      <c r="AJ1774" s="80" t="n"/>
      <c r="AK1774" s="80" t="n"/>
      <c r="AL1774" s="80" t="n"/>
      <c r="AM1774" s="80" t="n"/>
      <c r="AN1774" s="80" t="n"/>
      <c r="AO1774" s="80" t="n"/>
      <c r="AP1774" s="80" t="n"/>
      <c r="AQ1774" s="80" t="n"/>
      <c r="AR1774" s="80" t="n"/>
    </row>
    <row r="1775">
      <c r="D1775" s="80" t="n"/>
      <c r="E1775" s="80" t="n"/>
      <c r="F1775" s="80" t="n"/>
      <c r="G1775" s="80" t="n"/>
      <c r="H1775" s="80" t="n"/>
      <c r="I1775" s="80" t="n"/>
      <c r="J1775" s="80" t="n"/>
      <c r="K1775" s="80" t="n"/>
      <c r="L1775" s="80" t="n"/>
      <c r="M1775" s="80" t="n"/>
      <c r="N1775" s="80" t="n"/>
      <c r="O1775" s="80" t="n"/>
      <c r="P1775" s="80" t="n"/>
      <c r="Q1775" s="80" t="n"/>
      <c r="R1775" s="80" t="n"/>
      <c r="S1775" s="80" t="n"/>
      <c r="T1775" s="80" t="n"/>
      <c r="U1775" s="80" t="n"/>
      <c r="V1775" s="80" t="n"/>
      <c r="W1775" s="80" t="n"/>
      <c r="X1775" s="80" t="n"/>
      <c r="Y1775" s="80" t="n"/>
      <c r="Z1775" s="80" t="n"/>
      <c r="AA1775" s="80" t="n"/>
      <c r="AB1775" s="80" t="n"/>
      <c r="AC1775" s="80" t="n"/>
      <c r="AD1775" s="80" t="n"/>
      <c r="AE1775" s="80" t="n"/>
      <c r="AF1775" s="80" t="n"/>
      <c r="AG1775" s="80" t="n"/>
      <c r="AH1775" s="80" t="n"/>
      <c r="AI1775" s="80" t="n"/>
      <c r="AJ1775" s="80" t="n"/>
      <c r="AK1775" s="80" t="n"/>
      <c r="AL1775" s="80" t="n"/>
      <c r="AM1775" s="80" t="n"/>
      <c r="AN1775" s="80" t="n"/>
      <c r="AO1775" s="80" t="n"/>
      <c r="AP1775" s="80" t="n"/>
      <c r="AQ1775" s="80" t="n"/>
      <c r="AR1775" s="80" t="n"/>
    </row>
    <row r="1776">
      <c r="A1776" s="2">
        <f>IF($A1769="","","   projections")</f>
        <v/>
      </c>
      <c r="B1776" s="41">
        <f>IF($A1769="",0,COUNT($E1777:$AR1777))</f>
        <v/>
      </c>
      <c r="C1776" s="81">
        <f>IF($B1776=0,0,MAX($E1777:$AR1777))</f>
        <v/>
      </c>
      <c r="D1776" s="82">
        <f>BDS($A1769,'Field Check'!$C$6,"headers=y","startcol=1","endcol=7","dir=h")</f>
        <v/>
      </c>
      <c r="E1776" s="83" t="n"/>
      <c r="F1776" s="83" t="n"/>
      <c r="G1776" s="83" t="n"/>
      <c r="H1776" s="83" t="n"/>
      <c r="I1776" s="83" t="n"/>
      <c r="J1776" s="83" t="n"/>
      <c r="K1776" s="83" t="n"/>
      <c r="L1776" s="83" t="n"/>
      <c r="M1776" s="83" t="n"/>
      <c r="N1776" s="83" t="n"/>
      <c r="O1776" s="83" t="n"/>
      <c r="P1776" s="83" t="n"/>
      <c r="Q1776" s="83" t="n"/>
      <c r="R1776" s="83" t="n"/>
      <c r="S1776" s="83" t="n"/>
      <c r="T1776" s="83" t="n"/>
      <c r="U1776" s="83" t="n"/>
      <c r="V1776" s="83" t="n"/>
      <c r="W1776" s="83" t="n"/>
      <c r="X1776" s="83" t="n"/>
      <c r="Y1776" s="83" t="n"/>
      <c r="Z1776" s="83" t="n"/>
      <c r="AA1776" s="83" t="n"/>
      <c r="AB1776" s="83" t="n"/>
      <c r="AC1776" s="83" t="n"/>
      <c r="AD1776" s="83" t="n"/>
      <c r="AE1776" s="83" t="n"/>
      <c r="AF1776" s="83" t="n"/>
      <c r="AG1776" s="83" t="n"/>
      <c r="AH1776" s="83" t="n"/>
      <c r="AI1776" s="83" t="n"/>
      <c r="AJ1776" s="83" t="n"/>
      <c r="AK1776" s="83" t="n"/>
      <c r="AL1776" s="83" t="n"/>
      <c r="AM1776" s="83" t="n"/>
      <c r="AN1776" s="83" t="n"/>
      <c r="AO1776" s="83" t="n"/>
      <c r="AP1776" s="83" t="n"/>
      <c r="AQ1776" s="83" t="n"/>
      <c r="AR1776" s="83" t="n"/>
    </row>
    <row r="1777">
      <c r="D1777" s="83" t="n"/>
      <c r="E1777" s="83" t="n"/>
      <c r="F1777" s="83" t="n"/>
      <c r="G1777" s="83" t="n"/>
      <c r="H1777" s="83" t="n"/>
      <c r="I1777" s="83" t="n"/>
      <c r="J1777" s="83" t="n"/>
      <c r="K1777" s="83" t="n"/>
      <c r="L1777" s="83" t="n"/>
      <c r="M1777" s="83" t="n"/>
      <c r="N1777" s="83" t="n"/>
      <c r="O1777" s="83" t="n"/>
      <c r="P1777" s="83" t="n"/>
      <c r="Q1777" s="83" t="n"/>
      <c r="R1777" s="83" t="n"/>
      <c r="S1777" s="83" t="n"/>
      <c r="T1777" s="83" t="n"/>
      <c r="U1777" s="83" t="n"/>
      <c r="V1777" s="83" t="n"/>
      <c r="W1777" s="83" t="n"/>
      <c r="X1777" s="83" t="n"/>
      <c r="Y1777" s="83" t="n"/>
      <c r="Z1777" s="83" t="n"/>
      <c r="AA1777" s="83" t="n"/>
      <c r="AB1777" s="83" t="n"/>
      <c r="AC1777" s="83" t="n"/>
      <c r="AD1777" s="83" t="n"/>
      <c r="AE1777" s="83" t="n"/>
      <c r="AF1777" s="83" t="n"/>
      <c r="AG1777" s="83" t="n"/>
      <c r="AH1777" s="83" t="n"/>
      <c r="AI1777" s="83" t="n"/>
      <c r="AJ1777" s="83" t="n"/>
      <c r="AK1777" s="83" t="n"/>
      <c r="AL1777" s="83" t="n"/>
      <c r="AM1777" s="83" t="n"/>
      <c r="AN1777" s="83" t="n"/>
      <c r="AO1777" s="83" t="n"/>
      <c r="AP1777" s="83" t="n"/>
      <c r="AQ1777" s="83" t="n"/>
      <c r="AR1777" s="83" t="n"/>
    </row>
    <row r="1778">
      <c r="D1778" s="84" t="n"/>
      <c r="E1778" s="84" t="n"/>
      <c r="F1778" s="84" t="n"/>
      <c r="G1778" s="84" t="n"/>
      <c r="H1778" s="84" t="n"/>
      <c r="I1778" s="84" t="n"/>
      <c r="J1778" s="84" t="n"/>
      <c r="K1778" s="84" t="n"/>
      <c r="L1778" s="84" t="n"/>
      <c r="M1778" s="84" t="n"/>
      <c r="N1778" s="84" t="n"/>
      <c r="O1778" s="84" t="n"/>
      <c r="P1778" s="84" t="n"/>
      <c r="Q1778" s="84" t="n"/>
      <c r="R1778" s="84" t="n"/>
      <c r="S1778" s="84" t="n"/>
      <c r="T1778" s="84" t="n"/>
      <c r="U1778" s="84" t="n"/>
      <c r="V1778" s="84" t="n"/>
      <c r="W1778" s="84" t="n"/>
      <c r="X1778" s="84" t="n"/>
      <c r="Y1778" s="84" t="n"/>
      <c r="Z1778" s="84" t="n"/>
      <c r="AA1778" s="84" t="n"/>
      <c r="AB1778" s="84" t="n"/>
      <c r="AC1778" s="84" t="n"/>
      <c r="AD1778" s="84" t="n"/>
      <c r="AE1778" s="84" t="n"/>
      <c r="AF1778" s="84" t="n"/>
      <c r="AG1778" s="84" t="n"/>
      <c r="AH1778" s="84" t="n"/>
      <c r="AI1778" s="84" t="n"/>
      <c r="AJ1778" s="84" t="n"/>
      <c r="AK1778" s="84" t="n"/>
      <c r="AL1778" s="84" t="n"/>
      <c r="AM1778" s="84" t="n"/>
      <c r="AN1778" s="84" t="n"/>
      <c r="AO1778" s="84" t="n"/>
      <c r="AP1778" s="84" t="n"/>
      <c r="AQ1778" s="84" t="n"/>
      <c r="AR1778" s="84" t="n"/>
    </row>
    <row r="1779">
      <c r="D1779" s="80" t="n"/>
      <c r="E1779" s="80" t="n"/>
      <c r="F1779" s="80" t="n"/>
      <c r="G1779" s="80" t="n"/>
      <c r="H1779" s="80" t="n"/>
      <c r="I1779" s="80" t="n"/>
      <c r="J1779" s="80" t="n"/>
      <c r="K1779" s="80" t="n"/>
      <c r="L1779" s="80" t="n"/>
      <c r="M1779" s="80" t="n"/>
      <c r="N1779" s="80" t="n"/>
      <c r="O1779" s="80" t="n"/>
      <c r="P1779" s="80" t="n"/>
      <c r="Q1779" s="80" t="n"/>
      <c r="R1779" s="80" t="n"/>
      <c r="S1779" s="80" t="n"/>
      <c r="T1779" s="80" t="n"/>
      <c r="U1779" s="80" t="n"/>
      <c r="V1779" s="80" t="n"/>
      <c r="W1779" s="80" t="n"/>
      <c r="X1779" s="80" t="n"/>
      <c r="Y1779" s="80" t="n"/>
      <c r="Z1779" s="80" t="n"/>
      <c r="AA1779" s="80" t="n"/>
      <c r="AB1779" s="80" t="n"/>
      <c r="AC1779" s="80" t="n"/>
      <c r="AD1779" s="80" t="n"/>
      <c r="AE1779" s="80" t="n"/>
      <c r="AF1779" s="80" t="n"/>
      <c r="AG1779" s="80" t="n"/>
      <c r="AH1779" s="80" t="n"/>
      <c r="AI1779" s="80" t="n"/>
      <c r="AJ1779" s="80" t="n"/>
      <c r="AK1779" s="80" t="n"/>
      <c r="AL1779" s="80" t="n"/>
      <c r="AM1779" s="80" t="n"/>
      <c r="AN1779" s="80" t="n"/>
      <c r="AO1779" s="80" t="n"/>
      <c r="AP1779" s="80" t="n"/>
      <c r="AQ1779" s="80" t="n"/>
      <c r="AR1779" s="80" t="n"/>
    </row>
    <row r="1780">
      <c r="D1780" s="80" t="n"/>
      <c r="E1780" s="80" t="n"/>
      <c r="F1780" s="80" t="n"/>
      <c r="G1780" s="80" t="n"/>
      <c r="H1780" s="80" t="n"/>
      <c r="I1780" s="80" t="n"/>
      <c r="J1780" s="80" t="n"/>
      <c r="K1780" s="80" t="n"/>
      <c r="L1780" s="80" t="n"/>
      <c r="M1780" s="80" t="n"/>
      <c r="N1780" s="80" t="n"/>
      <c r="O1780" s="80" t="n"/>
      <c r="P1780" s="80" t="n"/>
      <c r="Q1780" s="80" t="n"/>
      <c r="R1780" s="80" t="n"/>
      <c r="S1780" s="80" t="n"/>
      <c r="T1780" s="80" t="n"/>
      <c r="U1780" s="80" t="n"/>
      <c r="V1780" s="80" t="n"/>
      <c r="W1780" s="80" t="n"/>
      <c r="X1780" s="80" t="n"/>
      <c r="Y1780" s="80" t="n"/>
      <c r="Z1780" s="80" t="n"/>
      <c r="AA1780" s="80" t="n"/>
      <c r="AB1780" s="80" t="n"/>
      <c r="AC1780" s="80" t="n"/>
      <c r="AD1780" s="80" t="n"/>
      <c r="AE1780" s="80" t="n"/>
      <c r="AF1780" s="80" t="n"/>
      <c r="AG1780" s="80" t="n"/>
      <c r="AH1780" s="80" t="n"/>
      <c r="AI1780" s="80" t="n"/>
      <c r="AJ1780" s="80" t="n"/>
      <c r="AK1780" s="80" t="n"/>
      <c r="AL1780" s="80" t="n"/>
      <c r="AM1780" s="80" t="n"/>
      <c r="AN1780" s="80" t="n"/>
      <c r="AO1780" s="80" t="n"/>
      <c r="AP1780" s="80" t="n"/>
      <c r="AQ1780" s="80" t="n"/>
      <c r="AR1780" s="80" t="n"/>
    </row>
    <row r="1781">
      <c r="D1781" s="80" t="n"/>
      <c r="E1781" s="80" t="n"/>
      <c r="F1781" s="80" t="n"/>
      <c r="G1781" s="80" t="n"/>
      <c r="H1781" s="80" t="n"/>
      <c r="I1781" s="80" t="n"/>
      <c r="J1781" s="80" t="n"/>
      <c r="K1781" s="80" t="n"/>
      <c r="L1781" s="80" t="n"/>
      <c r="M1781" s="80" t="n"/>
      <c r="N1781" s="80" t="n"/>
      <c r="O1781" s="80" t="n"/>
      <c r="P1781" s="80" t="n"/>
      <c r="Q1781" s="80" t="n"/>
      <c r="R1781" s="80" t="n"/>
      <c r="S1781" s="80" t="n"/>
      <c r="T1781" s="80" t="n"/>
      <c r="U1781" s="80" t="n"/>
      <c r="V1781" s="80" t="n"/>
      <c r="W1781" s="80" t="n"/>
      <c r="X1781" s="80" t="n"/>
      <c r="Y1781" s="80" t="n"/>
      <c r="Z1781" s="80" t="n"/>
      <c r="AA1781" s="80" t="n"/>
      <c r="AB1781" s="80" t="n"/>
      <c r="AC1781" s="80" t="n"/>
      <c r="AD1781" s="80" t="n"/>
      <c r="AE1781" s="80" t="n"/>
      <c r="AF1781" s="80" t="n"/>
      <c r="AG1781" s="80" t="n"/>
      <c r="AH1781" s="80" t="n"/>
      <c r="AI1781" s="80" t="n"/>
      <c r="AJ1781" s="80" t="n"/>
      <c r="AK1781" s="80" t="n"/>
      <c r="AL1781" s="80" t="n"/>
      <c r="AM1781" s="80" t="n"/>
      <c r="AN1781" s="80" t="n"/>
      <c r="AO1781" s="80" t="n"/>
      <c r="AP1781" s="80" t="n"/>
      <c r="AQ1781" s="80" t="n"/>
      <c r="AR1781" s="80" t="n"/>
    </row>
    <row r="1782">
      <c r="D1782" s="80" t="n"/>
      <c r="E1782" s="80" t="n"/>
      <c r="F1782" s="80" t="n"/>
      <c r="G1782" s="80" t="n"/>
      <c r="H1782" s="80" t="n"/>
      <c r="I1782" s="80" t="n"/>
      <c r="J1782" s="80" t="n"/>
      <c r="K1782" s="80" t="n"/>
      <c r="L1782" s="80" t="n"/>
      <c r="M1782" s="80" t="n"/>
      <c r="N1782" s="80" t="n"/>
      <c r="O1782" s="80" t="n"/>
      <c r="P1782" s="80" t="n"/>
      <c r="Q1782" s="80" t="n"/>
      <c r="R1782" s="80" t="n"/>
      <c r="S1782" s="80" t="n"/>
      <c r="T1782" s="80" t="n"/>
      <c r="U1782" s="80" t="n"/>
      <c r="V1782" s="80" t="n"/>
      <c r="W1782" s="80" t="n"/>
      <c r="X1782" s="80" t="n"/>
      <c r="Y1782" s="80" t="n"/>
      <c r="Z1782" s="80" t="n"/>
      <c r="AA1782" s="80" t="n"/>
      <c r="AB1782" s="80" t="n"/>
      <c r="AC1782" s="80" t="n"/>
      <c r="AD1782" s="80" t="n"/>
      <c r="AE1782" s="80" t="n"/>
      <c r="AF1782" s="80" t="n"/>
      <c r="AG1782" s="80" t="n"/>
      <c r="AH1782" s="80" t="n"/>
      <c r="AI1782" s="80" t="n"/>
      <c r="AJ1782" s="80" t="n"/>
      <c r="AK1782" s="80" t="n"/>
      <c r="AL1782" s="80" t="n"/>
      <c r="AM1782" s="80" t="n"/>
      <c r="AN1782" s="80" t="n"/>
      <c r="AO1782" s="80" t="n"/>
      <c r="AP1782" s="80" t="n"/>
      <c r="AQ1782" s="80" t="n"/>
      <c r="AR1782" s="80" t="n"/>
    </row>
    <row r="1784">
      <c r="A1784" s="6">
        <f>IF(HSTECH!$C$25="","",HSTECH!$C$25)</f>
        <v/>
      </c>
      <c r="B1784" s="41">
        <f>IF($A1784="",0,COUNT($E1785:$AR1785))</f>
        <v/>
      </c>
      <c r="C1784" s="81">
        <f>IF($B1784=0,0,MAX($E1785:$AR1785))</f>
        <v/>
      </c>
      <c r="D1784" s="82">
        <f>BDS($A1784,'Field Check'!$C$7,"headers=y","startcol=1","endcol=7","dir=h","DVD_START_DT",Summary!$C$18,"DVD_END_DT",Summary!$D$18)</f>
        <v/>
      </c>
      <c r="E1784" s="83" t="n"/>
      <c r="F1784" s="83" t="n"/>
      <c r="G1784" s="83" t="n"/>
      <c r="H1784" s="83" t="n"/>
      <c r="I1784" s="83" t="n"/>
      <c r="J1784" s="83" t="n"/>
      <c r="K1784" s="83" t="n"/>
      <c r="L1784" s="83" t="n"/>
      <c r="M1784" s="83" t="n"/>
      <c r="N1784" s="83" t="n"/>
      <c r="O1784" s="83" t="n"/>
      <c r="P1784" s="83" t="n"/>
      <c r="Q1784" s="83" t="n"/>
      <c r="R1784" s="83" t="n"/>
      <c r="S1784" s="83" t="n"/>
      <c r="T1784" s="83" t="n"/>
      <c r="U1784" s="83" t="n"/>
      <c r="V1784" s="83" t="n"/>
      <c r="W1784" s="83" t="n"/>
      <c r="X1784" s="83" t="n"/>
      <c r="Y1784" s="83" t="n"/>
      <c r="Z1784" s="83" t="n"/>
      <c r="AA1784" s="83" t="n"/>
      <c r="AB1784" s="83" t="n"/>
      <c r="AC1784" s="83" t="n"/>
      <c r="AD1784" s="83" t="n"/>
      <c r="AE1784" s="83" t="n"/>
      <c r="AF1784" s="83" t="n"/>
      <c r="AG1784" s="83" t="n"/>
      <c r="AH1784" s="83" t="n"/>
      <c r="AI1784" s="83" t="n"/>
      <c r="AJ1784" s="83" t="n"/>
      <c r="AK1784" s="83" t="n"/>
      <c r="AL1784" s="83" t="n"/>
      <c r="AM1784" s="83" t="n"/>
      <c r="AN1784" s="83" t="n"/>
      <c r="AO1784" s="83" t="n"/>
      <c r="AP1784" s="83" t="n"/>
      <c r="AQ1784" s="83" t="n"/>
      <c r="AR1784" s="83" t="n"/>
    </row>
    <row r="1785">
      <c r="D1785" s="83" t="n"/>
      <c r="E1785" s="83" t="n"/>
      <c r="F1785" s="83" t="n"/>
      <c r="G1785" s="83" t="n"/>
      <c r="H1785" s="83" t="n"/>
      <c r="I1785" s="83" t="n"/>
      <c r="J1785" s="83" t="n"/>
      <c r="K1785" s="83" t="n"/>
      <c r="L1785" s="83" t="n"/>
      <c r="M1785" s="83" t="n"/>
      <c r="N1785" s="83" t="n"/>
      <c r="O1785" s="83" t="n"/>
      <c r="P1785" s="83" t="n"/>
      <c r="Q1785" s="83" t="n"/>
      <c r="R1785" s="83" t="n"/>
      <c r="S1785" s="83" t="n"/>
      <c r="T1785" s="83" t="n"/>
      <c r="U1785" s="83" t="n"/>
      <c r="V1785" s="83" t="n"/>
      <c r="W1785" s="83" t="n"/>
      <c r="X1785" s="83" t="n"/>
      <c r="Y1785" s="83" t="n"/>
      <c r="Z1785" s="83" t="n"/>
      <c r="AA1785" s="83" t="n"/>
      <c r="AB1785" s="83" t="n"/>
      <c r="AC1785" s="83" t="n"/>
      <c r="AD1785" s="83" t="n"/>
      <c r="AE1785" s="83" t="n"/>
      <c r="AF1785" s="83" t="n"/>
      <c r="AG1785" s="83" t="n"/>
      <c r="AH1785" s="83" t="n"/>
      <c r="AI1785" s="83" t="n"/>
      <c r="AJ1785" s="83" t="n"/>
      <c r="AK1785" s="83" t="n"/>
      <c r="AL1785" s="83" t="n"/>
      <c r="AM1785" s="83" t="n"/>
      <c r="AN1785" s="83" t="n"/>
      <c r="AO1785" s="83" t="n"/>
      <c r="AP1785" s="83" t="n"/>
      <c r="AQ1785" s="83" t="n"/>
      <c r="AR1785" s="83" t="n"/>
    </row>
    <row r="1786">
      <c r="D1786" s="84" t="n"/>
      <c r="E1786" s="84" t="n"/>
      <c r="F1786" s="84" t="n"/>
      <c r="G1786" s="84" t="n"/>
      <c r="H1786" s="84" t="n"/>
      <c r="I1786" s="84" t="n"/>
      <c r="J1786" s="84" t="n"/>
      <c r="K1786" s="84" t="n"/>
      <c r="L1786" s="84" t="n"/>
      <c r="M1786" s="84" t="n"/>
      <c r="N1786" s="84" t="n"/>
      <c r="O1786" s="84" t="n"/>
      <c r="P1786" s="84" t="n"/>
      <c r="Q1786" s="84" t="n"/>
      <c r="R1786" s="84" t="n"/>
      <c r="S1786" s="84" t="n"/>
      <c r="T1786" s="84" t="n"/>
      <c r="U1786" s="84" t="n"/>
      <c r="V1786" s="84" t="n"/>
      <c r="W1786" s="84" t="n"/>
      <c r="X1786" s="84" t="n"/>
      <c r="Y1786" s="84" t="n"/>
      <c r="Z1786" s="84" t="n"/>
      <c r="AA1786" s="84" t="n"/>
      <c r="AB1786" s="84" t="n"/>
      <c r="AC1786" s="84" t="n"/>
      <c r="AD1786" s="84" t="n"/>
      <c r="AE1786" s="84" t="n"/>
      <c r="AF1786" s="84" t="n"/>
      <c r="AG1786" s="84" t="n"/>
      <c r="AH1786" s="84" t="n"/>
      <c r="AI1786" s="84" t="n"/>
      <c r="AJ1786" s="84" t="n"/>
      <c r="AK1786" s="84" t="n"/>
      <c r="AL1786" s="84" t="n"/>
      <c r="AM1786" s="84" t="n"/>
      <c r="AN1786" s="84" t="n"/>
      <c r="AO1786" s="84" t="n"/>
      <c r="AP1786" s="84" t="n"/>
      <c r="AQ1786" s="84" t="n"/>
      <c r="AR1786" s="84" t="n"/>
    </row>
    <row r="1787">
      <c r="D1787" s="80" t="n"/>
      <c r="E1787" s="80" t="n"/>
      <c r="F1787" s="80" t="n"/>
      <c r="G1787" s="80" t="n"/>
      <c r="H1787" s="80" t="n"/>
      <c r="I1787" s="80" t="n"/>
      <c r="J1787" s="80" t="n"/>
      <c r="K1787" s="80" t="n"/>
      <c r="L1787" s="80" t="n"/>
      <c r="M1787" s="80" t="n"/>
      <c r="N1787" s="80" t="n"/>
      <c r="O1787" s="80" t="n"/>
      <c r="P1787" s="80" t="n"/>
      <c r="Q1787" s="80" t="n"/>
      <c r="R1787" s="80" t="n"/>
      <c r="S1787" s="80" t="n"/>
      <c r="T1787" s="80" t="n"/>
      <c r="U1787" s="80" t="n"/>
      <c r="V1787" s="80" t="n"/>
      <c r="W1787" s="80" t="n"/>
      <c r="X1787" s="80" t="n"/>
      <c r="Y1787" s="80" t="n"/>
      <c r="Z1787" s="80" t="n"/>
      <c r="AA1787" s="80" t="n"/>
      <c r="AB1787" s="80" t="n"/>
      <c r="AC1787" s="80" t="n"/>
      <c r="AD1787" s="80" t="n"/>
      <c r="AE1787" s="80" t="n"/>
      <c r="AF1787" s="80" t="n"/>
      <c r="AG1787" s="80" t="n"/>
      <c r="AH1787" s="80" t="n"/>
      <c r="AI1787" s="80" t="n"/>
      <c r="AJ1787" s="80" t="n"/>
      <c r="AK1787" s="80" t="n"/>
      <c r="AL1787" s="80" t="n"/>
      <c r="AM1787" s="80" t="n"/>
      <c r="AN1787" s="80" t="n"/>
      <c r="AO1787" s="80" t="n"/>
      <c r="AP1787" s="80" t="n"/>
      <c r="AQ1787" s="80" t="n"/>
      <c r="AR1787" s="80" t="n"/>
    </row>
    <row r="1788">
      <c r="D1788" s="80" t="n"/>
      <c r="E1788" s="80" t="n"/>
      <c r="F1788" s="80" t="n"/>
      <c r="G1788" s="80" t="n"/>
      <c r="H1788" s="80" t="n"/>
      <c r="I1788" s="80" t="n"/>
      <c r="J1788" s="80" t="n"/>
      <c r="K1788" s="80" t="n"/>
      <c r="L1788" s="80" t="n"/>
      <c r="M1788" s="80" t="n"/>
      <c r="N1788" s="80" t="n"/>
      <c r="O1788" s="80" t="n"/>
      <c r="P1788" s="80" t="n"/>
      <c r="Q1788" s="80" t="n"/>
      <c r="R1788" s="80" t="n"/>
      <c r="S1788" s="80" t="n"/>
      <c r="T1788" s="80" t="n"/>
      <c r="U1788" s="80" t="n"/>
      <c r="V1788" s="80" t="n"/>
      <c r="W1788" s="80" t="n"/>
      <c r="X1788" s="80" t="n"/>
      <c r="Y1788" s="80" t="n"/>
      <c r="Z1788" s="80" t="n"/>
      <c r="AA1788" s="80" t="n"/>
      <c r="AB1788" s="80" t="n"/>
      <c r="AC1788" s="80" t="n"/>
      <c r="AD1788" s="80" t="n"/>
      <c r="AE1788" s="80" t="n"/>
      <c r="AF1788" s="80" t="n"/>
      <c r="AG1788" s="80" t="n"/>
      <c r="AH1788" s="80" t="n"/>
      <c r="AI1788" s="80" t="n"/>
      <c r="AJ1788" s="80" t="n"/>
      <c r="AK1788" s="80" t="n"/>
      <c r="AL1788" s="80" t="n"/>
      <c r="AM1788" s="80" t="n"/>
      <c r="AN1788" s="80" t="n"/>
      <c r="AO1788" s="80" t="n"/>
      <c r="AP1788" s="80" t="n"/>
      <c r="AQ1788" s="80" t="n"/>
      <c r="AR1788" s="80" t="n"/>
    </row>
    <row r="1789">
      <c r="D1789" s="80" t="n"/>
      <c r="E1789" s="80" t="n"/>
      <c r="F1789" s="80" t="n"/>
      <c r="G1789" s="80" t="n"/>
      <c r="H1789" s="80" t="n"/>
      <c r="I1789" s="80" t="n"/>
      <c r="J1789" s="80" t="n"/>
      <c r="K1789" s="80" t="n"/>
      <c r="L1789" s="80" t="n"/>
      <c r="M1789" s="80" t="n"/>
      <c r="N1789" s="80" t="n"/>
      <c r="O1789" s="80" t="n"/>
      <c r="P1789" s="80" t="n"/>
      <c r="Q1789" s="80" t="n"/>
      <c r="R1789" s="80" t="n"/>
      <c r="S1789" s="80" t="n"/>
      <c r="T1789" s="80" t="n"/>
      <c r="U1789" s="80" t="n"/>
      <c r="V1789" s="80" t="n"/>
      <c r="W1789" s="80" t="n"/>
      <c r="X1789" s="80" t="n"/>
      <c r="Y1789" s="80" t="n"/>
      <c r="Z1789" s="80" t="n"/>
      <c r="AA1789" s="80" t="n"/>
      <c r="AB1789" s="80" t="n"/>
      <c r="AC1789" s="80" t="n"/>
      <c r="AD1789" s="80" t="n"/>
      <c r="AE1789" s="80" t="n"/>
      <c r="AF1789" s="80" t="n"/>
      <c r="AG1789" s="80" t="n"/>
      <c r="AH1789" s="80" t="n"/>
      <c r="AI1789" s="80" t="n"/>
      <c r="AJ1789" s="80" t="n"/>
      <c r="AK1789" s="80" t="n"/>
      <c r="AL1789" s="80" t="n"/>
      <c r="AM1789" s="80" t="n"/>
      <c r="AN1789" s="80" t="n"/>
      <c r="AO1789" s="80" t="n"/>
      <c r="AP1789" s="80" t="n"/>
      <c r="AQ1789" s="80" t="n"/>
      <c r="AR1789" s="80" t="n"/>
    </row>
    <row r="1790">
      <c r="D1790" s="80" t="n"/>
      <c r="E1790" s="80" t="n"/>
      <c r="F1790" s="80" t="n"/>
      <c r="G1790" s="80" t="n"/>
      <c r="H1790" s="80" t="n"/>
      <c r="I1790" s="80" t="n"/>
      <c r="J1790" s="80" t="n"/>
      <c r="K1790" s="80" t="n"/>
      <c r="L1790" s="80" t="n"/>
      <c r="M1790" s="80" t="n"/>
      <c r="N1790" s="80" t="n"/>
      <c r="O1790" s="80" t="n"/>
      <c r="P1790" s="80" t="n"/>
      <c r="Q1790" s="80" t="n"/>
      <c r="R1790" s="80" t="n"/>
      <c r="S1790" s="80" t="n"/>
      <c r="T1790" s="80" t="n"/>
      <c r="U1790" s="80" t="n"/>
      <c r="V1790" s="80" t="n"/>
      <c r="W1790" s="80" t="n"/>
      <c r="X1790" s="80" t="n"/>
      <c r="Y1790" s="80" t="n"/>
      <c r="Z1790" s="80" t="n"/>
      <c r="AA1790" s="80" t="n"/>
      <c r="AB1790" s="80" t="n"/>
      <c r="AC1790" s="80" t="n"/>
      <c r="AD1790" s="80" t="n"/>
      <c r="AE1790" s="80" t="n"/>
      <c r="AF1790" s="80" t="n"/>
      <c r="AG1790" s="80" t="n"/>
      <c r="AH1790" s="80" t="n"/>
      <c r="AI1790" s="80" t="n"/>
      <c r="AJ1790" s="80" t="n"/>
      <c r="AK1790" s="80" t="n"/>
      <c r="AL1790" s="80" t="n"/>
      <c r="AM1790" s="80" t="n"/>
      <c r="AN1790" s="80" t="n"/>
      <c r="AO1790" s="80" t="n"/>
      <c r="AP1790" s="80" t="n"/>
      <c r="AQ1790" s="80" t="n"/>
      <c r="AR1790" s="80" t="n"/>
    </row>
    <row r="1791">
      <c r="A1791" s="2">
        <f>IF($A1784="","","   projections")</f>
        <v/>
      </c>
      <c r="B1791" s="41">
        <f>IF($A1784="",0,COUNT($E1792:$AR1792))</f>
        <v/>
      </c>
      <c r="C1791" s="81">
        <f>IF($B1791=0,0,MAX($E1792:$AR1792))</f>
        <v/>
      </c>
      <c r="D1791" s="82">
        <f>BDS($A1784,'Field Check'!$C$6,"headers=y","startcol=1","endcol=7","dir=h")</f>
        <v/>
      </c>
      <c r="E1791" s="83" t="n"/>
      <c r="F1791" s="83" t="n"/>
      <c r="G1791" s="83" t="n"/>
      <c r="H1791" s="83" t="n"/>
      <c r="I1791" s="83" t="n"/>
      <c r="J1791" s="83" t="n"/>
      <c r="K1791" s="83" t="n"/>
      <c r="L1791" s="83" t="n"/>
      <c r="M1791" s="83" t="n"/>
      <c r="N1791" s="83" t="n"/>
      <c r="O1791" s="83" t="n"/>
      <c r="P1791" s="83" t="n"/>
      <c r="Q1791" s="83" t="n"/>
      <c r="R1791" s="83" t="n"/>
      <c r="S1791" s="83" t="n"/>
      <c r="T1791" s="83" t="n"/>
      <c r="U1791" s="83" t="n"/>
      <c r="V1791" s="83" t="n"/>
      <c r="W1791" s="83" t="n"/>
      <c r="X1791" s="83" t="n"/>
      <c r="Y1791" s="83" t="n"/>
      <c r="Z1791" s="83" t="n"/>
      <c r="AA1791" s="83" t="n"/>
      <c r="AB1791" s="83" t="n"/>
      <c r="AC1791" s="83" t="n"/>
      <c r="AD1791" s="83" t="n"/>
      <c r="AE1791" s="83" t="n"/>
      <c r="AF1791" s="83" t="n"/>
      <c r="AG1791" s="83" t="n"/>
      <c r="AH1791" s="83" t="n"/>
      <c r="AI1791" s="83" t="n"/>
      <c r="AJ1791" s="83" t="n"/>
      <c r="AK1791" s="83" t="n"/>
      <c r="AL1791" s="83" t="n"/>
      <c r="AM1791" s="83" t="n"/>
      <c r="AN1791" s="83" t="n"/>
      <c r="AO1791" s="83" t="n"/>
      <c r="AP1791" s="83" t="n"/>
      <c r="AQ1791" s="83" t="n"/>
      <c r="AR1791" s="83" t="n"/>
    </row>
    <row r="1792">
      <c r="D1792" s="83" t="n"/>
      <c r="E1792" s="83" t="n"/>
      <c r="F1792" s="83" t="n"/>
      <c r="G1792" s="83" t="n"/>
      <c r="H1792" s="83" t="n"/>
      <c r="I1792" s="83" t="n"/>
      <c r="J1792" s="83" t="n"/>
      <c r="K1792" s="83" t="n"/>
      <c r="L1792" s="83" t="n"/>
      <c r="M1792" s="83" t="n"/>
      <c r="N1792" s="83" t="n"/>
      <c r="O1792" s="83" t="n"/>
      <c r="P1792" s="83" t="n"/>
      <c r="Q1792" s="83" t="n"/>
      <c r="R1792" s="83" t="n"/>
      <c r="S1792" s="83" t="n"/>
      <c r="T1792" s="83" t="n"/>
      <c r="U1792" s="83" t="n"/>
      <c r="V1792" s="83" t="n"/>
      <c r="W1792" s="83" t="n"/>
      <c r="X1792" s="83" t="n"/>
      <c r="Y1792" s="83" t="n"/>
      <c r="Z1792" s="83" t="n"/>
      <c r="AA1792" s="83" t="n"/>
      <c r="AB1792" s="83" t="n"/>
      <c r="AC1792" s="83" t="n"/>
      <c r="AD1792" s="83" t="n"/>
      <c r="AE1792" s="83" t="n"/>
      <c r="AF1792" s="83" t="n"/>
      <c r="AG1792" s="83" t="n"/>
      <c r="AH1792" s="83" t="n"/>
      <c r="AI1792" s="83" t="n"/>
      <c r="AJ1792" s="83" t="n"/>
      <c r="AK1792" s="83" t="n"/>
      <c r="AL1792" s="83" t="n"/>
      <c r="AM1792" s="83" t="n"/>
      <c r="AN1792" s="83" t="n"/>
      <c r="AO1792" s="83" t="n"/>
      <c r="AP1792" s="83" t="n"/>
      <c r="AQ1792" s="83" t="n"/>
      <c r="AR1792" s="83" t="n"/>
    </row>
    <row r="1793">
      <c r="D1793" s="84" t="n"/>
      <c r="E1793" s="84" t="n"/>
      <c r="F1793" s="84" t="n"/>
      <c r="G1793" s="84" t="n"/>
      <c r="H1793" s="84" t="n"/>
      <c r="I1793" s="84" t="n"/>
      <c r="J1793" s="84" t="n"/>
      <c r="K1793" s="84" t="n"/>
      <c r="L1793" s="84" t="n"/>
      <c r="M1793" s="84" t="n"/>
      <c r="N1793" s="84" t="n"/>
      <c r="O1793" s="84" t="n"/>
      <c r="P1793" s="84" t="n"/>
      <c r="Q1793" s="84" t="n"/>
      <c r="R1793" s="84" t="n"/>
      <c r="S1793" s="84" t="n"/>
      <c r="T1793" s="84" t="n"/>
      <c r="U1793" s="84" t="n"/>
      <c r="V1793" s="84" t="n"/>
      <c r="W1793" s="84" t="n"/>
      <c r="X1793" s="84" t="n"/>
      <c r="Y1793" s="84" t="n"/>
      <c r="Z1793" s="84" t="n"/>
      <c r="AA1793" s="84" t="n"/>
      <c r="AB1793" s="84" t="n"/>
      <c r="AC1793" s="84" t="n"/>
      <c r="AD1793" s="84" t="n"/>
      <c r="AE1793" s="84" t="n"/>
      <c r="AF1793" s="84" t="n"/>
      <c r="AG1793" s="84" t="n"/>
      <c r="AH1793" s="84" t="n"/>
      <c r="AI1793" s="84" t="n"/>
      <c r="AJ1793" s="84" t="n"/>
      <c r="AK1793" s="84" t="n"/>
      <c r="AL1793" s="84" t="n"/>
      <c r="AM1793" s="84" t="n"/>
      <c r="AN1793" s="84" t="n"/>
      <c r="AO1793" s="84" t="n"/>
      <c r="AP1793" s="84" t="n"/>
      <c r="AQ1793" s="84" t="n"/>
      <c r="AR1793" s="84" t="n"/>
    </row>
    <row r="1794">
      <c r="D1794" s="80" t="n"/>
      <c r="E1794" s="80" t="n"/>
      <c r="F1794" s="80" t="n"/>
      <c r="G1794" s="80" t="n"/>
      <c r="H1794" s="80" t="n"/>
      <c r="I1794" s="80" t="n"/>
      <c r="J1794" s="80" t="n"/>
      <c r="K1794" s="80" t="n"/>
      <c r="L1794" s="80" t="n"/>
      <c r="M1794" s="80" t="n"/>
      <c r="N1794" s="80" t="n"/>
      <c r="O1794" s="80" t="n"/>
      <c r="P1794" s="80" t="n"/>
      <c r="Q1794" s="80" t="n"/>
      <c r="R1794" s="80" t="n"/>
      <c r="S1794" s="80" t="n"/>
      <c r="T1794" s="80" t="n"/>
      <c r="U1794" s="80" t="n"/>
      <c r="V1794" s="80" t="n"/>
      <c r="W1794" s="80" t="n"/>
      <c r="X1794" s="80" t="n"/>
      <c r="Y1794" s="80" t="n"/>
      <c r="Z1794" s="80" t="n"/>
      <c r="AA1794" s="80" t="n"/>
      <c r="AB1794" s="80" t="n"/>
      <c r="AC1794" s="80" t="n"/>
      <c r="AD1794" s="80" t="n"/>
      <c r="AE1794" s="80" t="n"/>
      <c r="AF1794" s="80" t="n"/>
      <c r="AG1794" s="80" t="n"/>
      <c r="AH1794" s="80" t="n"/>
      <c r="AI1794" s="80" t="n"/>
      <c r="AJ1794" s="80" t="n"/>
      <c r="AK1794" s="80" t="n"/>
      <c r="AL1794" s="80" t="n"/>
      <c r="AM1794" s="80" t="n"/>
      <c r="AN1794" s="80" t="n"/>
      <c r="AO1794" s="80" t="n"/>
      <c r="AP1794" s="80" t="n"/>
      <c r="AQ1794" s="80" t="n"/>
      <c r="AR1794" s="80" t="n"/>
    </row>
    <row r="1795">
      <c r="D1795" s="80" t="n"/>
      <c r="E1795" s="80" t="n"/>
      <c r="F1795" s="80" t="n"/>
      <c r="G1795" s="80" t="n"/>
      <c r="H1795" s="80" t="n"/>
      <c r="I1795" s="80" t="n"/>
      <c r="J1795" s="80" t="n"/>
      <c r="K1795" s="80" t="n"/>
      <c r="L1795" s="80" t="n"/>
      <c r="M1795" s="80" t="n"/>
      <c r="N1795" s="80" t="n"/>
      <c r="O1795" s="80" t="n"/>
      <c r="P1795" s="80" t="n"/>
      <c r="Q1795" s="80" t="n"/>
      <c r="R1795" s="80" t="n"/>
      <c r="S1795" s="80" t="n"/>
      <c r="T1795" s="80" t="n"/>
      <c r="U1795" s="80" t="n"/>
      <c r="V1795" s="80" t="n"/>
      <c r="W1795" s="80" t="n"/>
      <c r="X1795" s="80" t="n"/>
      <c r="Y1795" s="80" t="n"/>
      <c r="Z1795" s="80" t="n"/>
      <c r="AA1795" s="80" t="n"/>
      <c r="AB1795" s="80" t="n"/>
      <c r="AC1795" s="80" t="n"/>
      <c r="AD1795" s="80" t="n"/>
      <c r="AE1795" s="80" t="n"/>
      <c r="AF1795" s="80" t="n"/>
      <c r="AG1795" s="80" t="n"/>
      <c r="AH1795" s="80" t="n"/>
      <c r="AI1795" s="80" t="n"/>
      <c r="AJ1795" s="80" t="n"/>
      <c r="AK1795" s="80" t="n"/>
      <c r="AL1795" s="80" t="n"/>
      <c r="AM1795" s="80" t="n"/>
      <c r="AN1795" s="80" t="n"/>
      <c r="AO1795" s="80" t="n"/>
      <c r="AP1795" s="80" t="n"/>
      <c r="AQ1795" s="80" t="n"/>
      <c r="AR1795" s="80" t="n"/>
    </row>
    <row r="1796">
      <c r="D1796" s="80" t="n"/>
      <c r="E1796" s="80" t="n"/>
      <c r="F1796" s="80" t="n"/>
      <c r="G1796" s="80" t="n"/>
      <c r="H1796" s="80" t="n"/>
      <c r="I1796" s="80" t="n"/>
      <c r="J1796" s="80" t="n"/>
      <c r="K1796" s="80" t="n"/>
      <c r="L1796" s="80" t="n"/>
      <c r="M1796" s="80" t="n"/>
      <c r="N1796" s="80" t="n"/>
      <c r="O1796" s="80" t="n"/>
      <c r="P1796" s="80" t="n"/>
      <c r="Q1796" s="80" t="n"/>
      <c r="R1796" s="80" t="n"/>
      <c r="S1796" s="80" t="n"/>
      <c r="T1796" s="80" t="n"/>
      <c r="U1796" s="80" t="n"/>
      <c r="V1796" s="80" t="n"/>
      <c r="W1796" s="80" t="n"/>
      <c r="X1796" s="80" t="n"/>
      <c r="Y1796" s="80" t="n"/>
      <c r="Z1796" s="80" t="n"/>
      <c r="AA1796" s="80" t="n"/>
      <c r="AB1796" s="80" t="n"/>
      <c r="AC1796" s="80" t="n"/>
      <c r="AD1796" s="80" t="n"/>
      <c r="AE1796" s="80" t="n"/>
      <c r="AF1796" s="80" t="n"/>
      <c r="AG1796" s="80" t="n"/>
      <c r="AH1796" s="80" t="n"/>
      <c r="AI1796" s="80" t="n"/>
      <c r="AJ1796" s="80" t="n"/>
      <c r="AK1796" s="80" t="n"/>
      <c r="AL1796" s="80" t="n"/>
      <c r="AM1796" s="80" t="n"/>
      <c r="AN1796" s="80" t="n"/>
      <c r="AO1796" s="80" t="n"/>
      <c r="AP1796" s="80" t="n"/>
      <c r="AQ1796" s="80" t="n"/>
      <c r="AR1796" s="80" t="n"/>
    </row>
    <row r="1797">
      <c r="D1797" s="80" t="n"/>
      <c r="E1797" s="80" t="n"/>
      <c r="F1797" s="80" t="n"/>
      <c r="G1797" s="80" t="n"/>
      <c r="H1797" s="80" t="n"/>
      <c r="I1797" s="80" t="n"/>
      <c r="J1797" s="80" t="n"/>
      <c r="K1797" s="80" t="n"/>
      <c r="L1797" s="80" t="n"/>
      <c r="M1797" s="80" t="n"/>
      <c r="N1797" s="80" t="n"/>
      <c r="O1797" s="80" t="n"/>
      <c r="P1797" s="80" t="n"/>
      <c r="Q1797" s="80" t="n"/>
      <c r="R1797" s="80" t="n"/>
      <c r="S1797" s="80" t="n"/>
      <c r="T1797" s="80" t="n"/>
      <c r="U1797" s="80" t="n"/>
      <c r="V1797" s="80" t="n"/>
      <c r="W1797" s="80" t="n"/>
      <c r="X1797" s="80" t="n"/>
      <c r="Y1797" s="80" t="n"/>
      <c r="Z1797" s="80" t="n"/>
      <c r="AA1797" s="80" t="n"/>
      <c r="AB1797" s="80" t="n"/>
      <c r="AC1797" s="80" t="n"/>
      <c r="AD1797" s="80" t="n"/>
      <c r="AE1797" s="80" t="n"/>
      <c r="AF1797" s="80" t="n"/>
      <c r="AG1797" s="80" t="n"/>
      <c r="AH1797" s="80" t="n"/>
      <c r="AI1797" s="80" t="n"/>
      <c r="AJ1797" s="80" t="n"/>
      <c r="AK1797" s="80" t="n"/>
      <c r="AL1797" s="80" t="n"/>
      <c r="AM1797" s="80" t="n"/>
      <c r="AN1797" s="80" t="n"/>
      <c r="AO1797" s="80" t="n"/>
      <c r="AP1797" s="80" t="n"/>
      <c r="AQ1797" s="80" t="n"/>
      <c r="AR1797" s="80" t="n"/>
    </row>
    <row r="1799">
      <c r="A1799" s="6">
        <f>IF(HSTECH!$C$26="","",HSTECH!$C$26)</f>
        <v/>
      </c>
      <c r="B1799" s="41">
        <f>IF($A1799="",0,COUNT($E1800:$AR1800))</f>
        <v/>
      </c>
      <c r="C1799" s="81">
        <f>IF($B1799=0,0,MAX($E1800:$AR1800))</f>
        <v/>
      </c>
      <c r="D1799" s="82">
        <f>BDS($A1799,'Field Check'!$C$7,"headers=y","startcol=1","endcol=7","dir=h","DVD_START_DT",Summary!$C$18,"DVD_END_DT",Summary!$D$18)</f>
        <v/>
      </c>
      <c r="E1799" s="83" t="n"/>
      <c r="F1799" s="83" t="n"/>
      <c r="G1799" s="83" t="n"/>
      <c r="H1799" s="83" t="n"/>
      <c r="I1799" s="83" t="n"/>
      <c r="J1799" s="83" t="n"/>
      <c r="K1799" s="83" t="n"/>
      <c r="L1799" s="83" t="n"/>
      <c r="M1799" s="83" t="n"/>
      <c r="N1799" s="83" t="n"/>
      <c r="O1799" s="83" t="n"/>
      <c r="P1799" s="83" t="n"/>
      <c r="Q1799" s="83" t="n"/>
      <c r="R1799" s="83" t="n"/>
      <c r="S1799" s="83" t="n"/>
      <c r="T1799" s="83" t="n"/>
      <c r="U1799" s="83" t="n"/>
      <c r="V1799" s="83" t="n"/>
      <c r="W1799" s="83" t="n"/>
      <c r="X1799" s="83" t="n"/>
      <c r="Y1799" s="83" t="n"/>
      <c r="Z1799" s="83" t="n"/>
      <c r="AA1799" s="83" t="n"/>
      <c r="AB1799" s="83" t="n"/>
      <c r="AC1799" s="83" t="n"/>
      <c r="AD1799" s="83" t="n"/>
      <c r="AE1799" s="83" t="n"/>
      <c r="AF1799" s="83" t="n"/>
      <c r="AG1799" s="83" t="n"/>
      <c r="AH1799" s="83" t="n"/>
      <c r="AI1799" s="83" t="n"/>
      <c r="AJ1799" s="83" t="n"/>
      <c r="AK1799" s="83" t="n"/>
      <c r="AL1799" s="83" t="n"/>
      <c r="AM1799" s="83" t="n"/>
      <c r="AN1799" s="83" t="n"/>
      <c r="AO1799" s="83" t="n"/>
      <c r="AP1799" s="83" t="n"/>
      <c r="AQ1799" s="83" t="n"/>
      <c r="AR1799" s="83" t="n"/>
    </row>
    <row r="1800">
      <c r="D1800" s="83" t="n"/>
      <c r="E1800" s="83" t="n"/>
      <c r="F1800" s="83" t="n"/>
      <c r="G1800" s="83" t="n"/>
      <c r="H1800" s="83" t="n"/>
      <c r="I1800" s="83" t="n"/>
      <c r="J1800" s="83" t="n"/>
      <c r="K1800" s="83" t="n"/>
      <c r="L1800" s="83" t="n"/>
      <c r="M1800" s="83" t="n"/>
      <c r="N1800" s="83" t="n"/>
      <c r="O1800" s="83" t="n"/>
      <c r="P1800" s="83" t="n"/>
      <c r="Q1800" s="83" t="n"/>
      <c r="R1800" s="83" t="n"/>
      <c r="S1800" s="83" t="n"/>
      <c r="T1800" s="83" t="n"/>
      <c r="U1800" s="83" t="n"/>
      <c r="V1800" s="83" t="n"/>
      <c r="W1800" s="83" t="n"/>
      <c r="X1800" s="83" t="n"/>
      <c r="Y1800" s="83" t="n"/>
      <c r="Z1800" s="83" t="n"/>
      <c r="AA1800" s="83" t="n"/>
      <c r="AB1800" s="83" t="n"/>
      <c r="AC1800" s="83" t="n"/>
      <c r="AD1800" s="83" t="n"/>
      <c r="AE1800" s="83" t="n"/>
      <c r="AF1800" s="83" t="n"/>
      <c r="AG1800" s="83" t="n"/>
      <c r="AH1800" s="83" t="n"/>
      <c r="AI1800" s="83" t="n"/>
      <c r="AJ1800" s="83" t="n"/>
      <c r="AK1800" s="83" t="n"/>
      <c r="AL1800" s="83" t="n"/>
      <c r="AM1800" s="83" t="n"/>
      <c r="AN1800" s="83" t="n"/>
      <c r="AO1800" s="83" t="n"/>
      <c r="AP1800" s="83" t="n"/>
      <c r="AQ1800" s="83" t="n"/>
      <c r="AR1800" s="83" t="n"/>
    </row>
    <row r="1801">
      <c r="D1801" s="84" t="n"/>
      <c r="E1801" s="84" t="n"/>
      <c r="F1801" s="84" t="n"/>
      <c r="G1801" s="84" t="n"/>
      <c r="H1801" s="84" t="n"/>
      <c r="I1801" s="84" t="n"/>
      <c r="J1801" s="84" t="n"/>
      <c r="K1801" s="84" t="n"/>
      <c r="L1801" s="84" t="n"/>
      <c r="M1801" s="84" t="n"/>
      <c r="N1801" s="84" t="n"/>
      <c r="O1801" s="84" t="n"/>
      <c r="P1801" s="84" t="n"/>
      <c r="Q1801" s="84" t="n"/>
      <c r="R1801" s="84" t="n"/>
      <c r="S1801" s="84" t="n"/>
      <c r="T1801" s="84" t="n"/>
      <c r="U1801" s="84" t="n"/>
      <c r="V1801" s="84" t="n"/>
      <c r="W1801" s="84" t="n"/>
      <c r="X1801" s="84" t="n"/>
      <c r="Y1801" s="84" t="n"/>
      <c r="Z1801" s="84" t="n"/>
      <c r="AA1801" s="84" t="n"/>
      <c r="AB1801" s="84" t="n"/>
      <c r="AC1801" s="84" t="n"/>
      <c r="AD1801" s="84" t="n"/>
      <c r="AE1801" s="84" t="n"/>
      <c r="AF1801" s="84" t="n"/>
      <c r="AG1801" s="84" t="n"/>
      <c r="AH1801" s="84" t="n"/>
      <c r="AI1801" s="84" t="n"/>
      <c r="AJ1801" s="84" t="n"/>
      <c r="AK1801" s="84" t="n"/>
      <c r="AL1801" s="84" t="n"/>
      <c r="AM1801" s="84" t="n"/>
      <c r="AN1801" s="84" t="n"/>
      <c r="AO1801" s="84" t="n"/>
      <c r="AP1801" s="84" t="n"/>
      <c r="AQ1801" s="84" t="n"/>
      <c r="AR1801" s="84" t="n"/>
    </row>
    <row r="1802">
      <c r="D1802" s="80" t="n"/>
      <c r="E1802" s="80" t="n"/>
      <c r="F1802" s="80" t="n"/>
      <c r="G1802" s="80" t="n"/>
      <c r="H1802" s="80" t="n"/>
      <c r="I1802" s="80" t="n"/>
      <c r="J1802" s="80" t="n"/>
      <c r="K1802" s="80" t="n"/>
      <c r="L1802" s="80" t="n"/>
      <c r="M1802" s="80" t="n"/>
      <c r="N1802" s="80" t="n"/>
      <c r="O1802" s="80" t="n"/>
      <c r="P1802" s="80" t="n"/>
      <c r="Q1802" s="80" t="n"/>
      <c r="R1802" s="80" t="n"/>
      <c r="S1802" s="80" t="n"/>
      <c r="T1802" s="80" t="n"/>
      <c r="U1802" s="80" t="n"/>
      <c r="V1802" s="80" t="n"/>
      <c r="W1802" s="80" t="n"/>
      <c r="X1802" s="80" t="n"/>
      <c r="Y1802" s="80" t="n"/>
      <c r="Z1802" s="80" t="n"/>
      <c r="AA1802" s="80" t="n"/>
      <c r="AB1802" s="80" t="n"/>
      <c r="AC1802" s="80" t="n"/>
      <c r="AD1802" s="80" t="n"/>
      <c r="AE1802" s="80" t="n"/>
      <c r="AF1802" s="80" t="n"/>
      <c r="AG1802" s="80" t="n"/>
      <c r="AH1802" s="80" t="n"/>
      <c r="AI1802" s="80" t="n"/>
      <c r="AJ1802" s="80" t="n"/>
      <c r="AK1802" s="80" t="n"/>
      <c r="AL1802" s="80" t="n"/>
      <c r="AM1802" s="80" t="n"/>
      <c r="AN1802" s="80" t="n"/>
      <c r="AO1802" s="80" t="n"/>
      <c r="AP1802" s="80" t="n"/>
      <c r="AQ1802" s="80" t="n"/>
      <c r="AR1802" s="80" t="n"/>
    </row>
    <row r="1803">
      <c r="D1803" s="80" t="n"/>
      <c r="E1803" s="80" t="n"/>
      <c r="F1803" s="80" t="n"/>
      <c r="G1803" s="80" t="n"/>
      <c r="H1803" s="80" t="n"/>
      <c r="I1803" s="80" t="n"/>
      <c r="J1803" s="80" t="n"/>
      <c r="K1803" s="80" t="n"/>
      <c r="L1803" s="80" t="n"/>
      <c r="M1803" s="80" t="n"/>
      <c r="N1803" s="80" t="n"/>
      <c r="O1803" s="80" t="n"/>
      <c r="P1803" s="80" t="n"/>
      <c r="Q1803" s="80" t="n"/>
      <c r="R1803" s="80" t="n"/>
      <c r="S1803" s="80" t="n"/>
      <c r="T1803" s="80" t="n"/>
      <c r="U1803" s="80" t="n"/>
      <c r="V1803" s="80" t="n"/>
      <c r="W1803" s="80" t="n"/>
      <c r="X1803" s="80" t="n"/>
      <c r="Y1803" s="80" t="n"/>
      <c r="Z1803" s="80" t="n"/>
      <c r="AA1803" s="80" t="n"/>
      <c r="AB1803" s="80" t="n"/>
      <c r="AC1803" s="80" t="n"/>
      <c r="AD1803" s="80" t="n"/>
      <c r="AE1803" s="80" t="n"/>
      <c r="AF1803" s="80" t="n"/>
      <c r="AG1803" s="80" t="n"/>
      <c r="AH1803" s="80" t="n"/>
      <c r="AI1803" s="80" t="n"/>
      <c r="AJ1803" s="80" t="n"/>
      <c r="AK1803" s="80" t="n"/>
      <c r="AL1803" s="80" t="n"/>
      <c r="AM1803" s="80" t="n"/>
      <c r="AN1803" s="80" t="n"/>
      <c r="AO1803" s="80" t="n"/>
      <c r="AP1803" s="80" t="n"/>
      <c r="AQ1803" s="80" t="n"/>
      <c r="AR1803" s="80" t="n"/>
    </row>
    <row r="1804">
      <c r="D1804" s="80" t="n"/>
      <c r="E1804" s="80" t="n"/>
      <c r="F1804" s="80" t="n"/>
      <c r="G1804" s="80" t="n"/>
      <c r="H1804" s="80" t="n"/>
      <c r="I1804" s="80" t="n"/>
      <c r="J1804" s="80" t="n"/>
      <c r="K1804" s="80" t="n"/>
      <c r="L1804" s="80" t="n"/>
      <c r="M1804" s="80" t="n"/>
      <c r="N1804" s="80" t="n"/>
      <c r="O1804" s="80" t="n"/>
      <c r="P1804" s="80" t="n"/>
      <c r="Q1804" s="80" t="n"/>
      <c r="R1804" s="80" t="n"/>
      <c r="S1804" s="80" t="n"/>
      <c r="T1804" s="80" t="n"/>
      <c r="U1804" s="80" t="n"/>
      <c r="V1804" s="80" t="n"/>
      <c r="W1804" s="80" t="n"/>
      <c r="X1804" s="80" t="n"/>
      <c r="Y1804" s="80" t="n"/>
      <c r="Z1804" s="80" t="n"/>
      <c r="AA1804" s="80" t="n"/>
      <c r="AB1804" s="80" t="n"/>
      <c r="AC1804" s="80" t="n"/>
      <c r="AD1804" s="80" t="n"/>
      <c r="AE1804" s="80" t="n"/>
      <c r="AF1804" s="80" t="n"/>
      <c r="AG1804" s="80" t="n"/>
      <c r="AH1804" s="80" t="n"/>
      <c r="AI1804" s="80" t="n"/>
      <c r="AJ1804" s="80" t="n"/>
      <c r="AK1804" s="80" t="n"/>
      <c r="AL1804" s="80" t="n"/>
      <c r="AM1804" s="80" t="n"/>
      <c r="AN1804" s="80" t="n"/>
      <c r="AO1804" s="80" t="n"/>
      <c r="AP1804" s="80" t="n"/>
      <c r="AQ1804" s="80" t="n"/>
      <c r="AR1804" s="80" t="n"/>
    </row>
    <row r="1805">
      <c r="D1805" s="80" t="n"/>
      <c r="E1805" s="80" t="n"/>
      <c r="F1805" s="80" t="n"/>
      <c r="G1805" s="80" t="n"/>
      <c r="H1805" s="80" t="n"/>
      <c r="I1805" s="80" t="n"/>
      <c r="J1805" s="80" t="n"/>
      <c r="K1805" s="80" t="n"/>
      <c r="L1805" s="80" t="n"/>
      <c r="M1805" s="80" t="n"/>
      <c r="N1805" s="80" t="n"/>
      <c r="O1805" s="80" t="n"/>
      <c r="P1805" s="80" t="n"/>
      <c r="Q1805" s="80" t="n"/>
      <c r="R1805" s="80" t="n"/>
      <c r="S1805" s="80" t="n"/>
      <c r="T1805" s="80" t="n"/>
      <c r="U1805" s="80" t="n"/>
      <c r="V1805" s="80" t="n"/>
      <c r="W1805" s="80" t="n"/>
      <c r="X1805" s="80" t="n"/>
      <c r="Y1805" s="80" t="n"/>
      <c r="Z1805" s="80" t="n"/>
      <c r="AA1805" s="80" t="n"/>
      <c r="AB1805" s="80" t="n"/>
      <c r="AC1805" s="80" t="n"/>
      <c r="AD1805" s="80" t="n"/>
      <c r="AE1805" s="80" t="n"/>
      <c r="AF1805" s="80" t="n"/>
      <c r="AG1805" s="80" t="n"/>
      <c r="AH1805" s="80" t="n"/>
      <c r="AI1805" s="80" t="n"/>
      <c r="AJ1805" s="80" t="n"/>
      <c r="AK1805" s="80" t="n"/>
      <c r="AL1805" s="80" t="n"/>
      <c r="AM1805" s="80" t="n"/>
      <c r="AN1805" s="80" t="n"/>
      <c r="AO1805" s="80" t="n"/>
      <c r="AP1805" s="80" t="n"/>
      <c r="AQ1805" s="80" t="n"/>
      <c r="AR1805" s="80" t="n"/>
    </row>
    <row r="1806">
      <c r="A1806" s="2">
        <f>IF($A1799="","","   projections")</f>
        <v/>
      </c>
      <c r="B1806" s="41">
        <f>IF($A1799="",0,COUNT($E1807:$AR1807))</f>
        <v/>
      </c>
      <c r="C1806" s="81">
        <f>IF($B1806=0,0,MAX($E1807:$AR1807))</f>
        <v/>
      </c>
      <c r="D1806" s="82">
        <f>BDS($A1799,'Field Check'!$C$6,"headers=y","startcol=1","endcol=7","dir=h")</f>
        <v/>
      </c>
      <c r="E1806" s="83" t="n"/>
      <c r="F1806" s="83" t="n"/>
      <c r="G1806" s="83" t="n"/>
      <c r="H1806" s="83" t="n"/>
      <c r="I1806" s="83" t="n"/>
      <c r="J1806" s="83" t="n"/>
      <c r="K1806" s="83" t="n"/>
      <c r="L1806" s="83" t="n"/>
      <c r="M1806" s="83" t="n"/>
      <c r="N1806" s="83" t="n"/>
      <c r="O1806" s="83" t="n"/>
      <c r="P1806" s="83" t="n"/>
      <c r="Q1806" s="83" t="n"/>
      <c r="R1806" s="83" t="n"/>
      <c r="S1806" s="83" t="n"/>
      <c r="T1806" s="83" t="n"/>
      <c r="U1806" s="83" t="n"/>
      <c r="V1806" s="83" t="n"/>
      <c r="W1806" s="83" t="n"/>
      <c r="X1806" s="83" t="n"/>
      <c r="Y1806" s="83" t="n"/>
      <c r="Z1806" s="83" t="n"/>
      <c r="AA1806" s="83" t="n"/>
      <c r="AB1806" s="83" t="n"/>
      <c r="AC1806" s="83" t="n"/>
      <c r="AD1806" s="83" t="n"/>
      <c r="AE1806" s="83" t="n"/>
      <c r="AF1806" s="83" t="n"/>
      <c r="AG1806" s="83" t="n"/>
      <c r="AH1806" s="83" t="n"/>
      <c r="AI1806" s="83" t="n"/>
      <c r="AJ1806" s="83" t="n"/>
      <c r="AK1806" s="83" t="n"/>
      <c r="AL1806" s="83" t="n"/>
      <c r="AM1806" s="83" t="n"/>
      <c r="AN1806" s="83" t="n"/>
      <c r="AO1806" s="83" t="n"/>
      <c r="AP1806" s="83" t="n"/>
      <c r="AQ1806" s="83" t="n"/>
      <c r="AR1806" s="83" t="n"/>
    </row>
    <row r="1807">
      <c r="D1807" s="83" t="n"/>
      <c r="E1807" s="83" t="n"/>
      <c r="F1807" s="83" t="n"/>
      <c r="G1807" s="83" t="n"/>
      <c r="H1807" s="83" t="n"/>
      <c r="I1807" s="83" t="n"/>
      <c r="J1807" s="83" t="n"/>
      <c r="K1807" s="83" t="n"/>
      <c r="L1807" s="83" t="n"/>
      <c r="M1807" s="83" t="n"/>
      <c r="N1807" s="83" t="n"/>
      <c r="O1807" s="83" t="n"/>
      <c r="P1807" s="83" t="n"/>
      <c r="Q1807" s="83" t="n"/>
      <c r="R1807" s="83" t="n"/>
      <c r="S1807" s="83" t="n"/>
      <c r="T1807" s="83" t="n"/>
      <c r="U1807" s="83" t="n"/>
      <c r="V1807" s="83" t="n"/>
      <c r="W1807" s="83" t="n"/>
      <c r="X1807" s="83" t="n"/>
      <c r="Y1807" s="83" t="n"/>
      <c r="Z1807" s="83" t="n"/>
      <c r="AA1807" s="83" t="n"/>
      <c r="AB1807" s="83" t="n"/>
      <c r="AC1807" s="83" t="n"/>
      <c r="AD1807" s="83" t="n"/>
      <c r="AE1807" s="83" t="n"/>
      <c r="AF1807" s="83" t="n"/>
      <c r="AG1807" s="83" t="n"/>
      <c r="AH1807" s="83" t="n"/>
      <c r="AI1807" s="83" t="n"/>
      <c r="AJ1807" s="83" t="n"/>
      <c r="AK1807" s="83" t="n"/>
      <c r="AL1807" s="83" t="n"/>
      <c r="AM1807" s="83" t="n"/>
      <c r="AN1807" s="83" t="n"/>
      <c r="AO1807" s="83" t="n"/>
      <c r="AP1807" s="83" t="n"/>
      <c r="AQ1807" s="83" t="n"/>
      <c r="AR1807" s="83" t="n"/>
    </row>
    <row r="1808">
      <c r="D1808" s="84" t="n"/>
      <c r="E1808" s="84" t="n"/>
      <c r="F1808" s="84" t="n"/>
      <c r="G1808" s="84" t="n"/>
      <c r="H1808" s="84" t="n"/>
      <c r="I1808" s="84" t="n"/>
      <c r="J1808" s="84" t="n"/>
      <c r="K1808" s="84" t="n"/>
      <c r="L1808" s="84" t="n"/>
      <c r="M1808" s="84" t="n"/>
      <c r="N1808" s="84" t="n"/>
      <c r="O1808" s="84" t="n"/>
      <c r="P1808" s="84" t="n"/>
      <c r="Q1808" s="84" t="n"/>
      <c r="R1808" s="84" t="n"/>
      <c r="S1808" s="84" t="n"/>
      <c r="T1808" s="84" t="n"/>
      <c r="U1808" s="84" t="n"/>
      <c r="V1808" s="84" t="n"/>
      <c r="W1808" s="84" t="n"/>
      <c r="X1808" s="84" t="n"/>
      <c r="Y1808" s="84" t="n"/>
      <c r="Z1808" s="84" t="n"/>
      <c r="AA1808" s="84" t="n"/>
      <c r="AB1808" s="84" t="n"/>
      <c r="AC1808" s="84" t="n"/>
      <c r="AD1808" s="84" t="n"/>
      <c r="AE1808" s="84" t="n"/>
      <c r="AF1808" s="84" t="n"/>
      <c r="AG1808" s="84" t="n"/>
      <c r="AH1808" s="84" t="n"/>
      <c r="AI1808" s="84" t="n"/>
      <c r="AJ1808" s="84" t="n"/>
      <c r="AK1808" s="84" t="n"/>
      <c r="AL1808" s="84" t="n"/>
      <c r="AM1808" s="84" t="n"/>
      <c r="AN1808" s="84" t="n"/>
      <c r="AO1808" s="84" t="n"/>
      <c r="AP1808" s="84" t="n"/>
      <c r="AQ1808" s="84" t="n"/>
      <c r="AR1808" s="84" t="n"/>
    </row>
    <row r="1809">
      <c r="D1809" s="80" t="n"/>
      <c r="E1809" s="80" t="n"/>
      <c r="F1809" s="80" t="n"/>
      <c r="G1809" s="80" t="n"/>
      <c r="H1809" s="80" t="n"/>
      <c r="I1809" s="80" t="n"/>
      <c r="J1809" s="80" t="n"/>
      <c r="K1809" s="80" t="n"/>
      <c r="L1809" s="80" t="n"/>
      <c r="M1809" s="80" t="n"/>
      <c r="N1809" s="80" t="n"/>
      <c r="O1809" s="80" t="n"/>
      <c r="P1809" s="80" t="n"/>
      <c r="Q1809" s="80" t="n"/>
      <c r="R1809" s="80" t="n"/>
      <c r="S1809" s="80" t="n"/>
      <c r="T1809" s="80" t="n"/>
      <c r="U1809" s="80" t="n"/>
      <c r="V1809" s="80" t="n"/>
      <c r="W1809" s="80" t="n"/>
      <c r="X1809" s="80" t="n"/>
      <c r="Y1809" s="80" t="n"/>
      <c r="Z1809" s="80" t="n"/>
      <c r="AA1809" s="80" t="n"/>
      <c r="AB1809" s="80" t="n"/>
      <c r="AC1809" s="80" t="n"/>
      <c r="AD1809" s="80" t="n"/>
      <c r="AE1809" s="80" t="n"/>
      <c r="AF1809" s="80" t="n"/>
      <c r="AG1809" s="80" t="n"/>
      <c r="AH1809" s="80" t="n"/>
      <c r="AI1809" s="80" t="n"/>
      <c r="AJ1809" s="80" t="n"/>
      <c r="AK1809" s="80" t="n"/>
      <c r="AL1809" s="80" t="n"/>
      <c r="AM1809" s="80" t="n"/>
      <c r="AN1809" s="80" t="n"/>
      <c r="AO1809" s="80" t="n"/>
      <c r="AP1809" s="80" t="n"/>
      <c r="AQ1809" s="80" t="n"/>
      <c r="AR1809" s="80" t="n"/>
    </row>
    <row r="1810">
      <c r="D1810" s="80" t="n"/>
      <c r="E1810" s="80" t="n"/>
      <c r="F1810" s="80" t="n"/>
      <c r="G1810" s="80" t="n"/>
      <c r="H1810" s="80" t="n"/>
      <c r="I1810" s="80" t="n"/>
      <c r="J1810" s="80" t="n"/>
      <c r="K1810" s="80" t="n"/>
      <c r="L1810" s="80" t="n"/>
      <c r="M1810" s="80" t="n"/>
      <c r="N1810" s="80" t="n"/>
      <c r="O1810" s="80" t="n"/>
      <c r="P1810" s="80" t="n"/>
      <c r="Q1810" s="80" t="n"/>
      <c r="R1810" s="80" t="n"/>
      <c r="S1810" s="80" t="n"/>
      <c r="T1810" s="80" t="n"/>
      <c r="U1810" s="80" t="n"/>
      <c r="V1810" s="80" t="n"/>
      <c r="W1810" s="80" t="n"/>
      <c r="X1810" s="80" t="n"/>
      <c r="Y1810" s="80" t="n"/>
      <c r="Z1810" s="80" t="n"/>
      <c r="AA1810" s="80" t="n"/>
      <c r="AB1810" s="80" t="n"/>
      <c r="AC1810" s="80" t="n"/>
      <c r="AD1810" s="80" t="n"/>
      <c r="AE1810" s="80" t="n"/>
      <c r="AF1810" s="80" t="n"/>
      <c r="AG1810" s="80" t="n"/>
      <c r="AH1810" s="80" t="n"/>
      <c r="AI1810" s="80" t="n"/>
      <c r="AJ1810" s="80" t="n"/>
      <c r="AK1810" s="80" t="n"/>
      <c r="AL1810" s="80" t="n"/>
      <c r="AM1810" s="80" t="n"/>
      <c r="AN1810" s="80" t="n"/>
      <c r="AO1810" s="80" t="n"/>
      <c r="AP1810" s="80" t="n"/>
      <c r="AQ1810" s="80" t="n"/>
      <c r="AR1810" s="80" t="n"/>
    </row>
    <row r="1811">
      <c r="D1811" s="80" t="n"/>
      <c r="E1811" s="80" t="n"/>
      <c r="F1811" s="80" t="n"/>
      <c r="G1811" s="80" t="n"/>
      <c r="H1811" s="80" t="n"/>
      <c r="I1811" s="80" t="n"/>
      <c r="J1811" s="80" t="n"/>
      <c r="K1811" s="80" t="n"/>
      <c r="L1811" s="80" t="n"/>
      <c r="M1811" s="80" t="n"/>
      <c r="N1811" s="80" t="n"/>
      <c r="O1811" s="80" t="n"/>
      <c r="P1811" s="80" t="n"/>
      <c r="Q1811" s="80" t="n"/>
      <c r="R1811" s="80" t="n"/>
      <c r="S1811" s="80" t="n"/>
      <c r="T1811" s="80" t="n"/>
      <c r="U1811" s="80" t="n"/>
      <c r="V1811" s="80" t="n"/>
      <c r="W1811" s="80" t="n"/>
      <c r="X1811" s="80" t="n"/>
      <c r="Y1811" s="80" t="n"/>
      <c r="Z1811" s="80" t="n"/>
      <c r="AA1811" s="80" t="n"/>
      <c r="AB1811" s="80" t="n"/>
      <c r="AC1811" s="80" t="n"/>
      <c r="AD1811" s="80" t="n"/>
      <c r="AE1811" s="80" t="n"/>
      <c r="AF1811" s="80" t="n"/>
      <c r="AG1811" s="80" t="n"/>
      <c r="AH1811" s="80" t="n"/>
      <c r="AI1811" s="80" t="n"/>
      <c r="AJ1811" s="80" t="n"/>
      <c r="AK1811" s="80" t="n"/>
      <c r="AL1811" s="80" t="n"/>
      <c r="AM1811" s="80" t="n"/>
      <c r="AN1811" s="80" t="n"/>
      <c r="AO1811" s="80" t="n"/>
      <c r="AP1811" s="80" t="n"/>
      <c r="AQ1811" s="80" t="n"/>
      <c r="AR1811" s="80" t="n"/>
    </row>
    <row r="1812">
      <c r="D1812" s="80" t="n"/>
      <c r="E1812" s="80" t="n"/>
      <c r="F1812" s="80" t="n"/>
      <c r="G1812" s="80" t="n"/>
      <c r="H1812" s="80" t="n"/>
      <c r="I1812" s="80" t="n"/>
      <c r="J1812" s="80" t="n"/>
      <c r="K1812" s="80" t="n"/>
      <c r="L1812" s="80" t="n"/>
      <c r="M1812" s="80" t="n"/>
      <c r="N1812" s="80" t="n"/>
      <c r="O1812" s="80" t="n"/>
      <c r="P1812" s="80" t="n"/>
      <c r="Q1812" s="80" t="n"/>
      <c r="R1812" s="80" t="n"/>
      <c r="S1812" s="80" t="n"/>
      <c r="T1812" s="80" t="n"/>
      <c r="U1812" s="80" t="n"/>
      <c r="V1812" s="80" t="n"/>
      <c r="W1812" s="80" t="n"/>
      <c r="X1812" s="80" t="n"/>
      <c r="Y1812" s="80" t="n"/>
      <c r="Z1812" s="80" t="n"/>
      <c r="AA1812" s="80" t="n"/>
      <c r="AB1812" s="80" t="n"/>
      <c r="AC1812" s="80" t="n"/>
      <c r="AD1812" s="80" t="n"/>
      <c r="AE1812" s="80" t="n"/>
      <c r="AF1812" s="80" t="n"/>
      <c r="AG1812" s="80" t="n"/>
      <c r="AH1812" s="80" t="n"/>
      <c r="AI1812" s="80" t="n"/>
      <c r="AJ1812" s="80" t="n"/>
      <c r="AK1812" s="80" t="n"/>
      <c r="AL1812" s="80" t="n"/>
      <c r="AM1812" s="80" t="n"/>
      <c r="AN1812" s="80" t="n"/>
      <c r="AO1812" s="80" t="n"/>
      <c r="AP1812" s="80" t="n"/>
      <c r="AQ1812" s="80" t="n"/>
      <c r="AR1812" s="80" t="n"/>
    </row>
    <row r="1814">
      <c r="A1814" s="6">
        <f>IF(HSTECH!$C$27="","",HSTECH!$C$27)</f>
        <v/>
      </c>
      <c r="B1814" s="41">
        <f>IF($A1814="",0,COUNT($E1815:$AR1815))</f>
        <v/>
      </c>
      <c r="C1814" s="81">
        <f>IF($B1814=0,0,MAX($E1815:$AR1815))</f>
        <v/>
      </c>
      <c r="D1814" s="82">
        <f>BDS($A1814,'Field Check'!$C$7,"headers=y","startcol=1","endcol=7","dir=h","DVD_START_DT",Summary!$C$18,"DVD_END_DT",Summary!$D$18)</f>
        <v/>
      </c>
      <c r="E1814" s="83" t="n"/>
      <c r="F1814" s="83" t="n"/>
      <c r="G1814" s="83" t="n"/>
      <c r="H1814" s="83" t="n"/>
      <c r="I1814" s="83" t="n"/>
      <c r="J1814" s="83" t="n"/>
      <c r="K1814" s="83" t="n"/>
      <c r="L1814" s="83" t="n"/>
      <c r="M1814" s="83" t="n"/>
      <c r="N1814" s="83" t="n"/>
      <c r="O1814" s="83" t="n"/>
      <c r="P1814" s="83" t="n"/>
      <c r="Q1814" s="83" t="n"/>
      <c r="R1814" s="83" t="n"/>
      <c r="S1814" s="83" t="n"/>
      <c r="T1814" s="83" t="n"/>
      <c r="U1814" s="83" t="n"/>
      <c r="V1814" s="83" t="n"/>
      <c r="W1814" s="83" t="n"/>
      <c r="X1814" s="83" t="n"/>
      <c r="Y1814" s="83" t="n"/>
      <c r="Z1814" s="83" t="n"/>
      <c r="AA1814" s="83" t="n"/>
      <c r="AB1814" s="83" t="n"/>
      <c r="AC1814" s="83" t="n"/>
      <c r="AD1814" s="83" t="n"/>
      <c r="AE1814" s="83" t="n"/>
      <c r="AF1814" s="83" t="n"/>
      <c r="AG1814" s="83" t="n"/>
      <c r="AH1814" s="83" t="n"/>
      <c r="AI1814" s="83" t="n"/>
      <c r="AJ1814" s="83" t="n"/>
      <c r="AK1814" s="83" t="n"/>
      <c r="AL1814" s="83" t="n"/>
      <c r="AM1814" s="83" t="n"/>
      <c r="AN1814" s="83" t="n"/>
      <c r="AO1814" s="83" t="n"/>
      <c r="AP1814" s="83" t="n"/>
      <c r="AQ1814" s="83" t="n"/>
      <c r="AR1814" s="83" t="n"/>
    </row>
    <row r="1815">
      <c r="D1815" s="83" t="n"/>
      <c r="E1815" s="83" t="n"/>
      <c r="F1815" s="83" t="n"/>
      <c r="G1815" s="83" t="n"/>
      <c r="H1815" s="83" t="n"/>
      <c r="I1815" s="83" t="n"/>
      <c r="J1815" s="83" t="n"/>
      <c r="K1815" s="83" t="n"/>
      <c r="L1815" s="83" t="n"/>
      <c r="M1815" s="83" t="n"/>
      <c r="N1815" s="83" t="n"/>
      <c r="O1815" s="83" t="n"/>
      <c r="P1815" s="83" t="n"/>
      <c r="Q1815" s="83" t="n"/>
      <c r="R1815" s="83" t="n"/>
      <c r="S1815" s="83" t="n"/>
      <c r="T1815" s="83" t="n"/>
      <c r="U1815" s="83" t="n"/>
      <c r="V1815" s="83" t="n"/>
      <c r="W1815" s="83" t="n"/>
      <c r="X1815" s="83" t="n"/>
      <c r="Y1815" s="83" t="n"/>
      <c r="Z1815" s="83" t="n"/>
      <c r="AA1815" s="83" t="n"/>
      <c r="AB1815" s="83" t="n"/>
      <c r="AC1815" s="83" t="n"/>
      <c r="AD1815" s="83" t="n"/>
      <c r="AE1815" s="83" t="n"/>
      <c r="AF1815" s="83" t="n"/>
      <c r="AG1815" s="83" t="n"/>
      <c r="AH1815" s="83" t="n"/>
      <c r="AI1815" s="83" t="n"/>
      <c r="AJ1815" s="83" t="n"/>
      <c r="AK1815" s="83" t="n"/>
      <c r="AL1815" s="83" t="n"/>
      <c r="AM1815" s="83" t="n"/>
      <c r="AN1815" s="83" t="n"/>
      <c r="AO1815" s="83" t="n"/>
      <c r="AP1815" s="83" t="n"/>
      <c r="AQ1815" s="83" t="n"/>
      <c r="AR1815" s="83" t="n"/>
    </row>
    <row r="1816">
      <c r="D1816" s="84" t="n"/>
      <c r="E1816" s="84" t="n"/>
      <c r="F1816" s="84" t="n"/>
      <c r="G1816" s="84" t="n"/>
      <c r="H1816" s="84" t="n"/>
      <c r="I1816" s="84" t="n"/>
      <c r="J1816" s="84" t="n"/>
      <c r="K1816" s="84" t="n"/>
      <c r="L1816" s="84" t="n"/>
      <c r="M1816" s="84" t="n"/>
      <c r="N1816" s="84" t="n"/>
      <c r="O1816" s="84" t="n"/>
      <c r="P1816" s="84" t="n"/>
      <c r="Q1816" s="84" t="n"/>
      <c r="R1816" s="84" t="n"/>
      <c r="S1816" s="84" t="n"/>
      <c r="T1816" s="84" t="n"/>
      <c r="U1816" s="84" t="n"/>
      <c r="V1816" s="84" t="n"/>
      <c r="W1816" s="84" t="n"/>
      <c r="X1816" s="84" t="n"/>
      <c r="Y1816" s="84" t="n"/>
      <c r="Z1816" s="84" t="n"/>
      <c r="AA1816" s="84" t="n"/>
      <c r="AB1816" s="84" t="n"/>
      <c r="AC1816" s="84" t="n"/>
      <c r="AD1816" s="84" t="n"/>
      <c r="AE1816" s="84" t="n"/>
      <c r="AF1816" s="84" t="n"/>
      <c r="AG1816" s="84" t="n"/>
      <c r="AH1816" s="84" t="n"/>
      <c r="AI1816" s="84" t="n"/>
      <c r="AJ1816" s="84" t="n"/>
      <c r="AK1816" s="84" t="n"/>
      <c r="AL1816" s="84" t="n"/>
      <c r="AM1816" s="84" t="n"/>
      <c r="AN1816" s="84" t="n"/>
      <c r="AO1816" s="84" t="n"/>
      <c r="AP1816" s="84" t="n"/>
      <c r="AQ1816" s="84" t="n"/>
      <c r="AR1816" s="84" t="n"/>
    </row>
    <row r="1817">
      <c r="D1817" s="80" t="n"/>
      <c r="E1817" s="80" t="n"/>
      <c r="F1817" s="80" t="n"/>
      <c r="G1817" s="80" t="n"/>
      <c r="H1817" s="80" t="n"/>
      <c r="I1817" s="80" t="n"/>
      <c r="J1817" s="80" t="n"/>
      <c r="K1817" s="80" t="n"/>
      <c r="L1817" s="80" t="n"/>
      <c r="M1817" s="80" t="n"/>
      <c r="N1817" s="80" t="n"/>
      <c r="O1817" s="80" t="n"/>
      <c r="P1817" s="80" t="n"/>
      <c r="Q1817" s="80" t="n"/>
      <c r="R1817" s="80" t="n"/>
      <c r="S1817" s="80" t="n"/>
      <c r="T1817" s="80" t="n"/>
      <c r="U1817" s="80" t="n"/>
      <c r="V1817" s="80" t="n"/>
      <c r="W1817" s="80" t="n"/>
      <c r="X1817" s="80" t="n"/>
      <c r="Y1817" s="80" t="n"/>
      <c r="Z1817" s="80" t="n"/>
      <c r="AA1817" s="80" t="n"/>
      <c r="AB1817" s="80" t="n"/>
      <c r="AC1817" s="80" t="n"/>
      <c r="AD1817" s="80" t="n"/>
      <c r="AE1817" s="80" t="n"/>
      <c r="AF1817" s="80" t="n"/>
      <c r="AG1817" s="80" t="n"/>
      <c r="AH1817" s="80" t="n"/>
      <c r="AI1817" s="80" t="n"/>
      <c r="AJ1817" s="80" t="n"/>
      <c r="AK1817" s="80" t="n"/>
      <c r="AL1817" s="80" t="n"/>
      <c r="AM1817" s="80" t="n"/>
      <c r="AN1817" s="80" t="n"/>
      <c r="AO1817" s="80" t="n"/>
      <c r="AP1817" s="80" t="n"/>
      <c r="AQ1817" s="80" t="n"/>
      <c r="AR1817" s="80" t="n"/>
    </row>
    <row r="1818">
      <c r="D1818" s="80" t="n"/>
      <c r="E1818" s="80" t="n"/>
      <c r="F1818" s="80" t="n"/>
      <c r="G1818" s="80" t="n"/>
      <c r="H1818" s="80" t="n"/>
      <c r="I1818" s="80" t="n"/>
      <c r="J1818" s="80" t="n"/>
      <c r="K1818" s="80" t="n"/>
      <c r="L1818" s="80" t="n"/>
      <c r="M1818" s="80" t="n"/>
      <c r="N1818" s="80" t="n"/>
      <c r="O1818" s="80" t="n"/>
      <c r="P1818" s="80" t="n"/>
      <c r="Q1818" s="80" t="n"/>
      <c r="R1818" s="80" t="n"/>
      <c r="S1818" s="80" t="n"/>
      <c r="T1818" s="80" t="n"/>
      <c r="U1818" s="80" t="n"/>
      <c r="V1818" s="80" t="n"/>
      <c r="W1818" s="80" t="n"/>
      <c r="X1818" s="80" t="n"/>
      <c r="Y1818" s="80" t="n"/>
      <c r="Z1818" s="80" t="n"/>
      <c r="AA1818" s="80" t="n"/>
      <c r="AB1818" s="80" t="n"/>
      <c r="AC1818" s="80" t="n"/>
      <c r="AD1818" s="80" t="n"/>
      <c r="AE1818" s="80" t="n"/>
      <c r="AF1818" s="80" t="n"/>
      <c r="AG1818" s="80" t="n"/>
      <c r="AH1818" s="80" t="n"/>
      <c r="AI1818" s="80" t="n"/>
      <c r="AJ1818" s="80" t="n"/>
      <c r="AK1818" s="80" t="n"/>
      <c r="AL1818" s="80" t="n"/>
      <c r="AM1818" s="80" t="n"/>
      <c r="AN1818" s="80" t="n"/>
      <c r="AO1818" s="80" t="n"/>
      <c r="AP1818" s="80" t="n"/>
      <c r="AQ1818" s="80" t="n"/>
      <c r="AR1818" s="80" t="n"/>
    </row>
    <row r="1819">
      <c r="D1819" s="80" t="n"/>
      <c r="E1819" s="80" t="n"/>
      <c r="F1819" s="80" t="n"/>
      <c r="G1819" s="80" t="n"/>
      <c r="H1819" s="80" t="n"/>
      <c r="I1819" s="80" t="n"/>
      <c r="J1819" s="80" t="n"/>
      <c r="K1819" s="80" t="n"/>
      <c r="L1819" s="80" t="n"/>
      <c r="M1819" s="80" t="n"/>
      <c r="N1819" s="80" t="n"/>
      <c r="O1819" s="80" t="n"/>
      <c r="P1819" s="80" t="n"/>
      <c r="Q1819" s="80" t="n"/>
      <c r="R1819" s="80" t="n"/>
      <c r="S1819" s="80" t="n"/>
      <c r="T1819" s="80" t="n"/>
      <c r="U1819" s="80" t="n"/>
      <c r="V1819" s="80" t="n"/>
      <c r="W1819" s="80" t="n"/>
      <c r="X1819" s="80" t="n"/>
      <c r="Y1819" s="80" t="n"/>
      <c r="Z1819" s="80" t="n"/>
      <c r="AA1819" s="80" t="n"/>
      <c r="AB1819" s="80" t="n"/>
      <c r="AC1819" s="80" t="n"/>
      <c r="AD1819" s="80" t="n"/>
      <c r="AE1819" s="80" t="n"/>
      <c r="AF1819" s="80" t="n"/>
      <c r="AG1819" s="80" t="n"/>
      <c r="AH1819" s="80" t="n"/>
      <c r="AI1819" s="80" t="n"/>
      <c r="AJ1819" s="80" t="n"/>
      <c r="AK1819" s="80" t="n"/>
      <c r="AL1819" s="80" t="n"/>
      <c r="AM1819" s="80" t="n"/>
      <c r="AN1819" s="80" t="n"/>
      <c r="AO1819" s="80" t="n"/>
      <c r="AP1819" s="80" t="n"/>
      <c r="AQ1819" s="80" t="n"/>
      <c r="AR1819" s="80" t="n"/>
    </row>
    <row r="1820">
      <c r="D1820" s="80" t="n"/>
      <c r="E1820" s="80" t="n"/>
      <c r="F1820" s="80" t="n"/>
      <c r="G1820" s="80" t="n"/>
      <c r="H1820" s="80" t="n"/>
      <c r="I1820" s="80" t="n"/>
      <c r="J1820" s="80" t="n"/>
      <c r="K1820" s="80" t="n"/>
      <c r="L1820" s="80" t="n"/>
      <c r="M1820" s="80" t="n"/>
      <c r="N1820" s="80" t="n"/>
      <c r="O1820" s="80" t="n"/>
      <c r="P1820" s="80" t="n"/>
      <c r="Q1820" s="80" t="n"/>
      <c r="R1820" s="80" t="n"/>
      <c r="S1820" s="80" t="n"/>
      <c r="T1820" s="80" t="n"/>
      <c r="U1820" s="80" t="n"/>
      <c r="V1820" s="80" t="n"/>
      <c r="W1820" s="80" t="n"/>
      <c r="X1820" s="80" t="n"/>
      <c r="Y1820" s="80" t="n"/>
      <c r="Z1820" s="80" t="n"/>
      <c r="AA1820" s="80" t="n"/>
      <c r="AB1820" s="80" t="n"/>
      <c r="AC1820" s="80" t="n"/>
      <c r="AD1820" s="80" t="n"/>
      <c r="AE1820" s="80" t="n"/>
      <c r="AF1820" s="80" t="n"/>
      <c r="AG1820" s="80" t="n"/>
      <c r="AH1820" s="80" t="n"/>
      <c r="AI1820" s="80" t="n"/>
      <c r="AJ1820" s="80" t="n"/>
      <c r="AK1820" s="80" t="n"/>
      <c r="AL1820" s="80" t="n"/>
      <c r="AM1820" s="80" t="n"/>
      <c r="AN1820" s="80" t="n"/>
      <c r="AO1820" s="80" t="n"/>
      <c r="AP1820" s="80" t="n"/>
      <c r="AQ1820" s="80" t="n"/>
      <c r="AR1820" s="80" t="n"/>
    </row>
    <row r="1821">
      <c r="A1821" s="2">
        <f>IF($A1814="","","   projections")</f>
        <v/>
      </c>
      <c r="B1821" s="41">
        <f>IF($A1814="",0,COUNT($E1822:$AR1822))</f>
        <v/>
      </c>
      <c r="C1821" s="81">
        <f>IF($B1821=0,0,MAX($E1822:$AR1822))</f>
        <v/>
      </c>
      <c r="D1821" s="82">
        <f>BDS($A1814,'Field Check'!$C$6,"headers=y","startcol=1","endcol=7","dir=h")</f>
        <v/>
      </c>
      <c r="E1821" s="83" t="n"/>
      <c r="F1821" s="83" t="n"/>
      <c r="G1821" s="83" t="n"/>
      <c r="H1821" s="83" t="n"/>
      <c r="I1821" s="83" t="n"/>
      <c r="J1821" s="83" t="n"/>
      <c r="K1821" s="83" t="n"/>
      <c r="L1821" s="83" t="n"/>
      <c r="M1821" s="83" t="n"/>
      <c r="N1821" s="83" t="n"/>
      <c r="O1821" s="83" t="n"/>
      <c r="P1821" s="83" t="n"/>
      <c r="Q1821" s="83" t="n"/>
      <c r="R1821" s="83" t="n"/>
      <c r="S1821" s="83" t="n"/>
      <c r="T1821" s="83" t="n"/>
      <c r="U1821" s="83" t="n"/>
      <c r="V1821" s="83" t="n"/>
      <c r="W1821" s="83" t="n"/>
      <c r="X1821" s="83" t="n"/>
      <c r="Y1821" s="83" t="n"/>
      <c r="Z1821" s="83" t="n"/>
      <c r="AA1821" s="83" t="n"/>
      <c r="AB1821" s="83" t="n"/>
      <c r="AC1821" s="83" t="n"/>
      <c r="AD1821" s="83" t="n"/>
      <c r="AE1821" s="83" t="n"/>
      <c r="AF1821" s="83" t="n"/>
      <c r="AG1821" s="83" t="n"/>
      <c r="AH1821" s="83" t="n"/>
      <c r="AI1821" s="83" t="n"/>
      <c r="AJ1821" s="83" t="n"/>
      <c r="AK1821" s="83" t="n"/>
      <c r="AL1821" s="83" t="n"/>
      <c r="AM1821" s="83" t="n"/>
      <c r="AN1821" s="83" t="n"/>
      <c r="AO1821" s="83" t="n"/>
      <c r="AP1821" s="83" t="n"/>
      <c r="AQ1821" s="83" t="n"/>
      <c r="AR1821" s="83" t="n"/>
    </row>
    <row r="1822">
      <c r="D1822" s="83" t="n"/>
      <c r="E1822" s="83" t="n"/>
      <c r="F1822" s="83" t="n"/>
      <c r="G1822" s="83" t="n"/>
      <c r="H1822" s="83" t="n"/>
      <c r="I1822" s="83" t="n"/>
      <c r="J1822" s="83" t="n"/>
      <c r="K1822" s="83" t="n"/>
      <c r="L1822" s="83" t="n"/>
      <c r="M1822" s="83" t="n"/>
      <c r="N1822" s="83" t="n"/>
      <c r="O1822" s="83" t="n"/>
      <c r="P1822" s="83" t="n"/>
      <c r="Q1822" s="83" t="n"/>
      <c r="R1822" s="83" t="n"/>
      <c r="S1822" s="83" t="n"/>
      <c r="T1822" s="83" t="n"/>
      <c r="U1822" s="83" t="n"/>
      <c r="V1822" s="83" t="n"/>
      <c r="W1822" s="83" t="n"/>
      <c r="X1822" s="83" t="n"/>
      <c r="Y1822" s="83" t="n"/>
      <c r="Z1822" s="83" t="n"/>
      <c r="AA1822" s="83" t="n"/>
      <c r="AB1822" s="83" t="n"/>
      <c r="AC1822" s="83" t="n"/>
      <c r="AD1822" s="83" t="n"/>
      <c r="AE1822" s="83" t="n"/>
      <c r="AF1822" s="83" t="n"/>
      <c r="AG1822" s="83" t="n"/>
      <c r="AH1822" s="83" t="n"/>
      <c r="AI1822" s="83" t="n"/>
      <c r="AJ1822" s="83" t="n"/>
      <c r="AK1822" s="83" t="n"/>
      <c r="AL1822" s="83" t="n"/>
      <c r="AM1822" s="83" t="n"/>
      <c r="AN1822" s="83" t="n"/>
      <c r="AO1822" s="83" t="n"/>
      <c r="AP1822" s="83" t="n"/>
      <c r="AQ1822" s="83" t="n"/>
      <c r="AR1822" s="83" t="n"/>
    </row>
    <row r="1823">
      <c r="D1823" s="84" t="n"/>
      <c r="E1823" s="84" t="n"/>
      <c r="F1823" s="84" t="n"/>
      <c r="G1823" s="84" t="n"/>
      <c r="H1823" s="84" t="n"/>
      <c r="I1823" s="84" t="n"/>
      <c r="J1823" s="84" t="n"/>
      <c r="K1823" s="84" t="n"/>
      <c r="L1823" s="84" t="n"/>
      <c r="M1823" s="84" t="n"/>
      <c r="N1823" s="84" t="n"/>
      <c r="O1823" s="84" t="n"/>
      <c r="P1823" s="84" t="n"/>
      <c r="Q1823" s="84" t="n"/>
      <c r="R1823" s="84" t="n"/>
      <c r="S1823" s="84" t="n"/>
      <c r="T1823" s="84" t="n"/>
      <c r="U1823" s="84" t="n"/>
      <c r="V1823" s="84" t="n"/>
      <c r="W1823" s="84" t="n"/>
      <c r="X1823" s="84" t="n"/>
      <c r="Y1823" s="84" t="n"/>
      <c r="Z1823" s="84" t="n"/>
      <c r="AA1823" s="84" t="n"/>
      <c r="AB1823" s="84" t="n"/>
      <c r="AC1823" s="84" t="n"/>
      <c r="AD1823" s="84" t="n"/>
      <c r="AE1823" s="84" t="n"/>
      <c r="AF1823" s="84" t="n"/>
      <c r="AG1823" s="84" t="n"/>
      <c r="AH1823" s="84" t="n"/>
      <c r="AI1823" s="84" t="n"/>
      <c r="AJ1823" s="84" t="n"/>
      <c r="AK1823" s="84" t="n"/>
      <c r="AL1823" s="84" t="n"/>
      <c r="AM1823" s="84" t="n"/>
      <c r="AN1823" s="84" t="n"/>
      <c r="AO1823" s="84" t="n"/>
      <c r="AP1823" s="84" t="n"/>
      <c r="AQ1823" s="84" t="n"/>
      <c r="AR1823" s="84" t="n"/>
    </row>
    <row r="1824">
      <c r="D1824" s="80" t="n"/>
      <c r="E1824" s="80" t="n"/>
      <c r="F1824" s="80" t="n"/>
      <c r="G1824" s="80" t="n"/>
      <c r="H1824" s="80" t="n"/>
      <c r="I1824" s="80" t="n"/>
      <c r="J1824" s="80" t="n"/>
      <c r="K1824" s="80" t="n"/>
      <c r="L1824" s="80" t="n"/>
      <c r="M1824" s="80" t="n"/>
      <c r="N1824" s="80" t="n"/>
      <c r="O1824" s="80" t="n"/>
      <c r="P1824" s="80" t="n"/>
      <c r="Q1824" s="80" t="n"/>
      <c r="R1824" s="80" t="n"/>
      <c r="S1824" s="80" t="n"/>
      <c r="T1824" s="80" t="n"/>
      <c r="U1824" s="80" t="n"/>
      <c r="V1824" s="80" t="n"/>
      <c r="W1824" s="80" t="n"/>
      <c r="X1824" s="80" t="n"/>
      <c r="Y1824" s="80" t="n"/>
      <c r="Z1824" s="80" t="n"/>
      <c r="AA1824" s="80" t="n"/>
      <c r="AB1824" s="80" t="n"/>
      <c r="AC1824" s="80" t="n"/>
      <c r="AD1824" s="80" t="n"/>
      <c r="AE1824" s="80" t="n"/>
      <c r="AF1824" s="80" t="n"/>
      <c r="AG1824" s="80" t="n"/>
      <c r="AH1824" s="80" t="n"/>
      <c r="AI1824" s="80" t="n"/>
      <c r="AJ1824" s="80" t="n"/>
      <c r="AK1824" s="80" t="n"/>
      <c r="AL1824" s="80" t="n"/>
      <c r="AM1824" s="80" t="n"/>
      <c r="AN1824" s="80" t="n"/>
      <c r="AO1824" s="80" t="n"/>
      <c r="AP1824" s="80" t="n"/>
      <c r="AQ1824" s="80" t="n"/>
      <c r="AR1824" s="80" t="n"/>
    </row>
    <row r="1825">
      <c r="D1825" s="80" t="n"/>
      <c r="E1825" s="80" t="n"/>
      <c r="F1825" s="80" t="n"/>
      <c r="G1825" s="80" t="n"/>
      <c r="H1825" s="80" t="n"/>
      <c r="I1825" s="80" t="n"/>
      <c r="J1825" s="80" t="n"/>
      <c r="K1825" s="80" t="n"/>
      <c r="L1825" s="80" t="n"/>
      <c r="M1825" s="80" t="n"/>
      <c r="N1825" s="80" t="n"/>
      <c r="O1825" s="80" t="n"/>
      <c r="P1825" s="80" t="n"/>
      <c r="Q1825" s="80" t="n"/>
      <c r="R1825" s="80" t="n"/>
      <c r="S1825" s="80" t="n"/>
      <c r="T1825" s="80" t="n"/>
      <c r="U1825" s="80" t="n"/>
      <c r="V1825" s="80" t="n"/>
      <c r="W1825" s="80" t="n"/>
      <c r="X1825" s="80" t="n"/>
      <c r="Y1825" s="80" t="n"/>
      <c r="Z1825" s="80" t="n"/>
      <c r="AA1825" s="80" t="n"/>
      <c r="AB1825" s="80" t="n"/>
      <c r="AC1825" s="80" t="n"/>
      <c r="AD1825" s="80" t="n"/>
      <c r="AE1825" s="80" t="n"/>
      <c r="AF1825" s="80" t="n"/>
      <c r="AG1825" s="80" t="n"/>
      <c r="AH1825" s="80" t="n"/>
      <c r="AI1825" s="80" t="n"/>
      <c r="AJ1825" s="80" t="n"/>
      <c r="AK1825" s="80" t="n"/>
      <c r="AL1825" s="80" t="n"/>
      <c r="AM1825" s="80" t="n"/>
      <c r="AN1825" s="80" t="n"/>
      <c r="AO1825" s="80" t="n"/>
      <c r="AP1825" s="80" t="n"/>
      <c r="AQ1825" s="80" t="n"/>
      <c r="AR1825" s="80" t="n"/>
    </row>
    <row r="1826">
      <c r="D1826" s="80" t="n"/>
      <c r="E1826" s="80" t="n"/>
      <c r="F1826" s="80" t="n"/>
      <c r="G1826" s="80" t="n"/>
      <c r="H1826" s="80" t="n"/>
      <c r="I1826" s="80" t="n"/>
      <c r="J1826" s="80" t="n"/>
      <c r="K1826" s="80" t="n"/>
      <c r="L1826" s="80" t="n"/>
      <c r="M1826" s="80" t="n"/>
      <c r="N1826" s="80" t="n"/>
      <c r="O1826" s="80" t="n"/>
      <c r="P1826" s="80" t="n"/>
      <c r="Q1826" s="80" t="n"/>
      <c r="R1826" s="80" t="n"/>
      <c r="S1826" s="80" t="n"/>
      <c r="T1826" s="80" t="n"/>
      <c r="U1826" s="80" t="n"/>
      <c r="V1826" s="80" t="n"/>
      <c r="W1826" s="80" t="n"/>
      <c r="X1826" s="80" t="n"/>
      <c r="Y1826" s="80" t="n"/>
      <c r="Z1826" s="80" t="n"/>
      <c r="AA1826" s="80" t="n"/>
      <c r="AB1826" s="80" t="n"/>
      <c r="AC1826" s="80" t="n"/>
      <c r="AD1826" s="80" t="n"/>
      <c r="AE1826" s="80" t="n"/>
      <c r="AF1826" s="80" t="n"/>
      <c r="AG1826" s="80" t="n"/>
      <c r="AH1826" s="80" t="n"/>
      <c r="AI1826" s="80" t="n"/>
      <c r="AJ1826" s="80" t="n"/>
      <c r="AK1826" s="80" t="n"/>
      <c r="AL1826" s="80" t="n"/>
      <c r="AM1826" s="80" t="n"/>
      <c r="AN1826" s="80" t="n"/>
      <c r="AO1826" s="80" t="n"/>
      <c r="AP1826" s="80" t="n"/>
      <c r="AQ1826" s="80" t="n"/>
      <c r="AR1826" s="80" t="n"/>
    </row>
    <row r="1827">
      <c r="D1827" s="80" t="n"/>
      <c r="E1827" s="80" t="n"/>
      <c r="F1827" s="80" t="n"/>
      <c r="G1827" s="80" t="n"/>
      <c r="H1827" s="80" t="n"/>
      <c r="I1827" s="80" t="n"/>
      <c r="J1827" s="80" t="n"/>
      <c r="K1827" s="80" t="n"/>
      <c r="L1827" s="80" t="n"/>
      <c r="M1827" s="80" t="n"/>
      <c r="N1827" s="80" t="n"/>
      <c r="O1827" s="80" t="n"/>
      <c r="P1827" s="80" t="n"/>
      <c r="Q1827" s="80" t="n"/>
      <c r="R1827" s="80" t="n"/>
      <c r="S1827" s="80" t="n"/>
      <c r="T1827" s="80" t="n"/>
      <c r="U1827" s="80" t="n"/>
      <c r="V1827" s="80" t="n"/>
      <c r="W1827" s="80" t="n"/>
      <c r="X1827" s="80" t="n"/>
      <c r="Y1827" s="80" t="n"/>
      <c r="Z1827" s="80" t="n"/>
      <c r="AA1827" s="80" t="n"/>
      <c r="AB1827" s="80" t="n"/>
      <c r="AC1827" s="80" t="n"/>
      <c r="AD1827" s="80" t="n"/>
      <c r="AE1827" s="80" t="n"/>
      <c r="AF1827" s="80" t="n"/>
      <c r="AG1827" s="80" t="n"/>
      <c r="AH1827" s="80" t="n"/>
      <c r="AI1827" s="80" t="n"/>
      <c r="AJ1827" s="80" t="n"/>
      <c r="AK1827" s="80" t="n"/>
      <c r="AL1827" s="80" t="n"/>
      <c r="AM1827" s="80" t="n"/>
      <c r="AN1827" s="80" t="n"/>
      <c r="AO1827" s="80" t="n"/>
      <c r="AP1827" s="80" t="n"/>
      <c r="AQ1827" s="80" t="n"/>
      <c r="AR1827" s="80" t="n"/>
    </row>
    <row r="1829">
      <c r="A1829" s="6">
        <f>IF(HSTECH!$C$28="","",HSTECH!$C$28)</f>
        <v/>
      </c>
      <c r="B1829" s="41">
        <f>IF($A1829="",0,COUNT($E1830:$AR1830))</f>
        <v/>
      </c>
      <c r="C1829" s="81">
        <f>IF($B1829=0,0,MAX($E1830:$AR1830))</f>
        <v/>
      </c>
      <c r="D1829" s="82">
        <f>BDS($A1829,'Field Check'!$C$7,"headers=y","startcol=1","endcol=7","dir=h","DVD_START_DT",Summary!$C$18,"DVD_END_DT",Summary!$D$18)</f>
        <v/>
      </c>
      <c r="E1829" s="83" t="n"/>
      <c r="F1829" s="83" t="n"/>
      <c r="G1829" s="83" t="n"/>
      <c r="H1829" s="83" t="n"/>
      <c r="I1829" s="83" t="n"/>
      <c r="J1829" s="83" t="n"/>
      <c r="K1829" s="83" t="n"/>
      <c r="L1829" s="83" t="n"/>
      <c r="M1829" s="83" t="n"/>
      <c r="N1829" s="83" t="n"/>
      <c r="O1829" s="83" t="n"/>
      <c r="P1829" s="83" t="n"/>
      <c r="Q1829" s="83" t="n"/>
      <c r="R1829" s="83" t="n"/>
      <c r="S1829" s="83" t="n"/>
      <c r="T1829" s="83" t="n"/>
      <c r="U1829" s="83" t="n"/>
      <c r="V1829" s="83" t="n"/>
      <c r="W1829" s="83" t="n"/>
      <c r="X1829" s="83" t="n"/>
      <c r="Y1829" s="83" t="n"/>
      <c r="Z1829" s="83" t="n"/>
      <c r="AA1829" s="83" t="n"/>
      <c r="AB1829" s="83" t="n"/>
      <c r="AC1829" s="83" t="n"/>
      <c r="AD1829" s="83" t="n"/>
      <c r="AE1829" s="83" t="n"/>
      <c r="AF1829" s="83" t="n"/>
      <c r="AG1829" s="83" t="n"/>
      <c r="AH1829" s="83" t="n"/>
      <c r="AI1829" s="83" t="n"/>
      <c r="AJ1829" s="83" t="n"/>
      <c r="AK1829" s="83" t="n"/>
      <c r="AL1829" s="83" t="n"/>
      <c r="AM1829" s="83" t="n"/>
      <c r="AN1829" s="83" t="n"/>
      <c r="AO1829" s="83" t="n"/>
      <c r="AP1829" s="83" t="n"/>
      <c r="AQ1829" s="83" t="n"/>
      <c r="AR1829" s="83" t="n"/>
    </row>
    <row r="1830">
      <c r="D1830" s="83" t="n"/>
      <c r="E1830" s="83" t="n"/>
      <c r="F1830" s="83" t="n"/>
      <c r="G1830" s="83" t="n"/>
      <c r="H1830" s="83" t="n"/>
      <c r="I1830" s="83" t="n"/>
      <c r="J1830" s="83" t="n"/>
      <c r="K1830" s="83" t="n"/>
      <c r="L1830" s="83" t="n"/>
      <c r="M1830" s="83" t="n"/>
      <c r="N1830" s="83" t="n"/>
      <c r="O1830" s="83" t="n"/>
      <c r="P1830" s="83" t="n"/>
      <c r="Q1830" s="83" t="n"/>
      <c r="R1830" s="83" t="n"/>
      <c r="S1830" s="83" t="n"/>
      <c r="T1830" s="83" t="n"/>
      <c r="U1830" s="83" t="n"/>
      <c r="V1830" s="83" t="n"/>
      <c r="W1830" s="83" t="n"/>
      <c r="X1830" s="83" t="n"/>
      <c r="Y1830" s="83" t="n"/>
      <c r="Z1830" s="83" t="n"/>
      <c r="AA1830" s="83" t="n"/>
      <c r="AB1830" s="83" t="n"/>
      <c r="AC1830" s="83" t="n"/>
      <c r="AD1830" s="83" t="n"/>
      <c r="AE1830" s="83" t="n"/>
      <c r="AF1830" s="83" t="n"/>
      <c r="AG1830" s="83" t="n"/>
      <c r="AH1830" s="83" t="n"/>
      <c r="AI1830" s="83" t="n"/>
      <c r="AJ1830" s="83" t="n"/>
      <c r="AK1830" s="83" t="n"/>
      <c r="AL1830" s="83" t="n"/>
      <c r="AM1830" s="83" t="n"/>
      <c r="AN1830" s="83" t="n"/>
      <c r="AO1830" s="83" t="n"/>
      <c r="AP1830" s="83" t="n"/>
      <c r="AQ1830" s="83" t="n"/>
      <c r="AR1830" s="83" t="n"/>
    </row>
    <row r="1831">
      <c r="D1831" s="84" t="n"/>
      <c r="E1831" s="84" t="n"/>
      <c r="F1831" s="84" t="n"/>
      <c r="G1831" s="84" t="n"/>
      <c r="H1831" s="84" t="n"/>
      <c r="I1831" s="84" t="n"/>
      <c r="J1831" s="84" t="n"/>
      <c r="K1831" s="84" t="n"/>
      <c r="L1831" s="84" t="n"/>
      <c r="M1831" s="84" t="n"/>
      <c r="N1831" s="84" t="n"/>
      <c r="O1831" s="84" t="n"/>
      <c r="P1831" s="84" t="n"/>
      <c r="Q1831" s="84" t="n"/>
      <c r="R1831" s="84" t="n"/>
      <c r="S1831" s="84" t="n"/>
      <c r="T1831" s="84" t="n"/>
      <c r="U1831" s="84" t="n"/>
      <c r="V1831" s="84" t="n"/>
      <c r="W1831" s="84" t="n"/>
      <c r="X1831" s="84" t="n"/>
      <c r="Y1831" s="84" t="n"/>
      <c r="Z1831" s="84" t="n"/>
      <c r="AA1831" s="84" t="n"/>
      <c r="AB1831" s="84" t="n"/>
      <c r="AC1831" s="84" t="n"/>
      <c r="AD1831" s="84" t="n"/>
      <c r="AE1831" s="84" t="n"/>
      <c r="AF1831" s="84" t="n"/>
      <c r="AG1831" s="84" t="n"/>
      <c r="AH1831" s="84" t="n"/>
      <c r="AI1831" s="84" t="n"/>
      <c r="AJ1831" s="84" t="n"/>
      <c r="AK1831" s="84" t="n"/>
      <c r="AL1831" s="84" t="n"/>
      <c r="AM1831" s="84" t="n"/>
      <c r="AN1831" s="84" t="n"/>
      <c r="AO1831" s="84" t="n"/>
      <c r="AP1831" s="84" t="n"/>
      <c r="AQ1831" s="84" t="n"/>
      <c r="AR1831" s="84" t="n"/>
    </row>
    <row r="1832">
      <c r="D1832" s="80" t="n"/>
      <c r="E1832" s="80" t="n"/>
      <c r="F1832" s="80" t="n"/>
      <c r="G1832" s="80" t="n"/>
      <c r="H1832" s="80" t="n"/>
      <c r="I1832" s="80" t="n"/>
      <c r="J1832" s="80" t="n"/>
      <c r="K1832" s="80" t="n"/>
      <c r="L1832" s="80" t="n"/>
      <c r="M1832" s="80" t="n"/>
      <c r="N1832" s="80" t="n"/>
      <c r="O1832" s="80" t="n"/>
      <c r="P1832" s="80" t="n"/>
      <c r="Q1832" s="80" t="n"/>
      <c r="R1832" s="80" t="n"/>
      <c r="S1832" s="80" t="n"/>
      <c r="T1832" s="80" t="n"/>
      <c r="U1832" s="80" t="n"/>
      <c r="V1832" s="80" t="n"/>
      <c r="W1832" s="80" t="n"/>
      <c r="X1832" s="80" t="n"/>
      <c r="Y1832" s="80" t="n"/>
      <c r="Z1832" s="80" t="n"/>
      <c r="AA1832" s="80" t="n"/>
      <c r="AB1832" s="80" t="n"/>
      <c r="AC1832" s="80" t="n"/>
      <c r="AD1832" s="80" t="n"/>
      <c r="AE1832" s="80" t="n"/>
      <c r="AF1832" s="80" t="n"/>
      <c r="AG1832" s="80" t="n"/>
      <c r="AH1832" s="80" t="n"/>
      <c r="AI1832" s="80" t="n"/>
      <c r="AJ1832" s="80" t="n"/>
      <c r="AK1832" s="80" t="n"/>
      <c r="AL1832" s="80" t="n"/>
      <c r="AM1832" s="80" t="n"/>
      <c r="AN1832" s="80" t="n"/>
      <c r="AO1832" s="80" t="n"/>
      <c r="AP1832" s="80" t="n"/>
      <c r="AQ1832" s="80" t="n"/>
      <c r="AR1832" s="80" t="n"/>
    </row>
    <row r="1833">
      <c r="D1833" s="80" t="n"/>
      <c r="E1833" s="80" t="n"/>
      <c r="F1833" s="80" t="n"/>
      <c r="G1833" s="80" t="n"/>
      <c r="H1833" s="80" t="n"/>
      <c r="I1833" s="80" t="n"/>
      <c r="J1833" s="80" t="n"/>
      <c r="K1833" s="80" t="n"/>
      <c r="L1833" s="80" t="n"/>
      <c r="M1833" s="80" t="n"/>
      <c r="N1833" s="80" t="n"/>
      <c r="O1833" s="80" t="n"/>
      <c r="P1833" s="80" t="n"/>
      <c r="Q1833" s="80" t="n"/>
      <c r="R1833" s="80" t="n"/>
      <c r="S1833" s="80" t="n"/>
      <c r="T1833" s="80" t="n"/>
      <c r="U1833" s="80" t="n"/>
      <c r="V1833" s="80" t="n"/>
      <c r="W1833" s="80" t="n"/>
      <c r="X1833" s="80" t="n"/>
      <c r="Y1833" s="80" t="n"/>
      <c r="Z1833" s="80" t="n"/>
      <c r="AA1833" s="80" t="n"/>
      <c r="AB1833" s="80" t="n"/>
      <c r="AC1833" s="80" t="n"/>
      <c r="AD1833" s="80" t="n"/>
      <c r="AE1833" s="80" t="n"/>
      <c r="AF1833" s="80" t="n"/>
      <c r="AG1833" s="80" t="n"/>
      <c r="AH1833" s="80" t="n"/>
      <c r="AI1833" s="80" t="n"/>
      <c r="AJ1833" s="80" t="n"/>
      <c r="AK1833" s="80" t="n"/>
      <c r="AL1833" s="80" t="n"/>
      <c r="AM1833" s="80" t="n"/>
      <c r="AN1833" s="80" t="n"/>
      <c r="AO1833" s="80" t="n"/>
      <c r="AP1833" s="80" t="n"/>
      <c r="AQ1833" s="80" t="n"/>
      <c r="AR1833" s="80" t="n"/>
    </row>
    <row r="1834">
      <c r="D1834" s="80" t="n"/>
      <c r="E1834" s="80" t="n"/>
      <c r="F1834" s="80" t="n"/>
      <c r="G1834" s="80" t="n"/>
      <c r="H1834" s="80" t="n"/>
      <c r="I1834" s="80" t="n"/>
      <c r="J1834" s="80" t="n"/>
      <c r="K1834" s="80" t="n"/>
      <c r="L1834" s="80" t="n"/>
      <c r="M1834" s="80" t="n"/>
      <c r="N1834" s="80" t="n"/>
      <c r="O1834" s="80" t="n"/>
      <c r="P1834" s="80" t="n"/>
      <c r="Q1834" s="80" t="n"/>
      <c r="R1834" s="80" t="n"/>
      <c r="S1834" s="80" t="n"/>
      <c r="T1834" s="80" t="n"/>
      <c r="U1834" s="80" t="n"/>
      <c r="V1834" s="80" t="n"/>
      <c r="W1834" s="80" t="n"/>
      <c r="X1834" s="80" t="n"/>
      <c r="Y1834" s="80" t="n"/>
      <c r="Z1834" s="80" t="n"/>
      <c r="AA1834" s="80" t="n"/>
      <c r="AB1834" s="80" t="n"/>
      <c r="AC1834" s="80" t="n"/>
      <c r="AD1834" s="80" t="n"/>
      <c r="AE1834" s="80" t="n"/>
      <c r="AF1834" s="80" t="n"/>
      <c r="AG1834" s="80" t="n"/>
      <c r="AH1834" s="80" t="n"/>
      <c r="AI1834" s="80" t="n"/>
      <c r="AJ1834" s="80" t="n"/>
      <c r="AK1834" s="80" t="n"/>
      <c r="AL1834" s="80" t="n"/>
      <c r="AM1834" s="80" t="n"/>
      <c r="AN1834" s="80" t="n"/>
      <c r="AO1834" s="80" t="n"/>
      <c r="AP1834" s="80" t="n"/>
      <c r="AQ1834" s="80" t="n"/>
      <c r="AR1834" s="80" t="n"/>
    </row>
    <row r="1835">
      <c r="D1835" s="80" t="n"/>
      <c r="E1835" s="80" t="n"/>
      <c r="F1835" s="80" t="n"/>
      <c r="G1835" s="80" t="n"/>
      <c r="H1835" s="80" t="n"/>
      <c r="I1835" s="80" t="n"/>
      <c r="J1835" s="80" t="n"/>
      <c r="K1835" s="80" t="n"/>
      <c r="L1835" s="80" t="n"/>
      <c r="M1835" s="80" t="n"/>
      <c r="N1835" s="80" t="n"/>
      <c r="O1835" s="80" t="n"/>
      <c r="P1835" s="80" t="n"/>
      <c r="Q1835" s="80" t="n"/>
      <c r="R1835" s="80" t="n"/>
      <c r="S1835" s="80" t="n"/>
      <c r="T1835" s="80" t="n"/>
      <c r="U1835" s="80" t="n"/>
      <c r="V1835" s="80" t="n"/>
      <c r="W1835" s="80" t="n"/>
      <c r="X1835" s="80" t="n"/>
      <c r="Y1835" s="80" t="n"/>
      <c r="Z1835" s="80" t="n"/>
      <c r="AA1835" s="80" t="n"/>
      <c r="AB1835" s="80" t="n"/>
      <c r="AC1835" s="80" t="n"/>
      <c r="AD1835" s="80" t="n"/>
      <c r="AE1835" s="80" t="n"/>
      <c r="AF1835" s="80" t="n"/>
      <c r="AG1835" s="80" t="n"/>
      <c r="AH1835" s="80" t="n"/>
      <c r="AI1835" s="80" t="n"/>
      <c r="AJ1835" s="80" t="n"/>
      <c r="AK1835" s="80" t="n"/>
      <c r="AL1835" s="80" t="n"/>
      <c r="AM1835" s="80" t="n"/>
      <c r="AN1835" s="80" t="n"/>
      <c r="AO1835" s="80" t="n"/>
      <c r="AP1835" s="80" t="n"/>
      <c r="AQ1835" s="80" t="n"/>
      <c r="AR1835" s="80" t="n"/>
    </row>
    <row r="1836">
      <c r="A1836" s="2">
        <f>IF($A1829="","","   projections")</f>
        <v/>
      </c>
      <c r="B1836" s="41">
        <f>IF($A1829="",0,COUNT($E1837:$AR1837))</f>
        <v/>
      </c>
      <c r="C1836" s="81">
        <f>IF($B1836=0,0,MAX($E1837:$AR1837))</f>
        <v/>
      </c>
      <c r="D1836" s="82">
        <f>BDS($A1829,'Field Check'!$C$6,"headers=y","startcol=1","endcol=7","dir=h")</f>
        <v/>
      </c>
      <c r="E1836" s="83" t="n"/>
      <c r="F1836" s="83" t="n"/>
      <c r="G1836" s="83" t="n"/>
      <c r="H1836" s="83" t="n"/>
      <c r="I1836" s="83" t="n"/>
      <c r="J1836" s="83" t="n"/>
      <c r="K1836" s="83" t="n"/>
      <c r="L1836" s="83" t="n"/>
      <c r="M1836" s="83" t="n"/>
      <c r="N1836" s="83" t="n"/>
      <c r="O1836" s="83" t="n"/>
      <c r="P1836" s="83" t="n"/>
      <c r="Q1836" s="83" t="n"/>
      <c r="R1836" s="83" t="n"/>
      <c r="S1836" s="83" t="n"/>
      <c r="T1836" s="83" t="n"/>
      <c r="U1836" s="83" t="n"/>
      <c r="V1836" s="83" t="n"/>
      <c r="W1836" s="83" t="n"/>
      <c r="X1836" s="83" t="n"/>
      <c r="Y1836" s="83" t="n"/>
      <c r="Z1836" s="83" t="n"/>
      <c r="AA1836" s="83" t="n"/>
      <c r="AB1836" s="83" t="n"/>
      <c r="AC1836" s="83" t="n"/>
      <c r="AD1836" s="83" t="n"/>
      <c r="AE1836" s="83" t="n"/>
      <c r="AF1836" s="83" t="n"/>
      <c r="AG1836" s="83" t="n"/>
      <c r="AH1836" s="83" t="n"/>
      <c r="AI1836" s="83" t="n"/>
      <c r="AJ1836" s="83" t="n"/>
      <c r="AK1836" s="83" t="n"/>
      <c r="AL1836" s="83" t="n"/>
      <c r="AM1836" s="83" t="n"/>
      <c r="AN1836" s="83" t="n"/>
      <c r="AO1836" s="83" t="n"/>
      <c r="AP1836" s="83" t="n"/>
      <c r="AQ1836" s="83" t="n"/>
      <c r="AR1836" s="83" t="n"/>
    </row>
    <row r="1837">
      <c r="D1837" s="83" t="n"/>
      <c r="E1837" s="83" t="n"/>
      <c r="F1837" s="83" t="n"/>
      <c r="G1837" s="83" t="n"/>
      <c r="H1837" s="83" t="n"/>
      <c r="I1837" s="83" t="n"/>
      <c r="J1837" s="83" t="n"/>
      <c r="K1837" s="83" t="n"/>
      <c r="L1837" s="83" t="n"/>
      <c r="M1837" s="83" t="n"/>
      <c r="N1837" s="83" t="n"/>
      <c r="O1837" s="83" t="n"/>
      <c r="P1837" s="83" t="n"/>
      <c r="Q1837" s="83" t="n"/>
      <c r="R1837" s="83" t="n"/>
      <c r="S1837" s="83" t="n"/>
      <c r="T1837" s="83" t="n"/>
      <c r="U1837" s="83" t="n"/>
      <c r="V1837" s="83" t="n"/>
      <c r="W1837" s="83" t="n"/>
      <c r="X1837" s="83" t="n"/>
      <c r="Y1837" s="83" t="n"/>
      <c r="Z1837" s="83" t="n"/>
      <c r="AA1837" s="83" t="n"/>
      <c r="AB1837" s="83" t="n"/>
      <c r="AC1837" s="83" t="n"/>
      <c r="AD1837" s="83" t="n"/>
      <c r="AE1837" s="83" t="n"/>
      <c r="AF1837" s="83" t="n"/>
      <c r="AG1837" s="83" t="n"/>
      <c r="AH1837" s="83" t="n"/>
      <c r="AI1837" s="83" t="n"/>
      <c r="AJ1837" s="83" t="n"/>
      <c r="AK1837" s="83" t="n"/>
      <c r="AL1837" s="83" t="n"/>
      <c r="AM1837" s="83" t="n"/>
      <c r="AN1837" s="83" t="n"/>
      <c r="AO1837" s="83" t="n"/>
      <c r="AP1837" s="83" t="n"/>
      <c r="AQ1837" s="83" t="n"/>
      <c r="AR1837" s="83" t="n"/>
    </row>
    <row r="1838">
      <c r="D1838" s="84" t="n"/>
      <c r="E1838" s="84" t="n"/>
      <c r="F1838" s="84" t="n"/>
      <c r="G1838" s="84" t="n"/>
      <c r="H1838" s="84" t="n"/>
      <c r="I1838" s="84" t="n"/>
      <c r="J1838" s="84" t="n"/>
      <c r="K1838" s="84" t="n"/>
      <c r="L1838" s="84" t="n"/>
      <c r="M1838" s="84" t="n"/>
      <c r="N1838" s="84" t="n"/>
      <c r="O1838" s="84" t="n"/>
      <c r="P1838" s="84" t="n"/>
      <c r="Q1838" s="84" t="n"/>
      <c r="R1838" s="84" t="n"/>
      <c r="S1838" s="84" t="n"/>
      <c r="T1838" s="84" t="n"/>
      <c r="U1838" s="84" t="n"/>
      <c r="V1838" s="84" t="n"/>
      <c r="W1838" s="84" t="n"/>
      <c r="X1838" s="84" t="n"/>
      <c r="Y1838" s="84" t="n"/>
      <c r="Z1838" s="84" t="n"/>
      <c r="AA1838" s="84" t="n"/>
      <c r="AB1838" s="84" t="n"/>
      <c r="AC1838" s="84" t="n"/>
      <c r="AD1838" s="84" t="n"/>
      <c r="AE1838" s="84" t="n"/>
      <c r="AF1838" s="84" t="n"/>
      <c r="AG1838" s="84" t="n"/>
      <c r="AH1838" s="84" t="n"/>
      <c r="AI1838" s="84" t="n"/>
      <c r="AJ1838" s="84" t="n"/>
      <c r="AK1838" s="84" t="n"/>
      <c r="AL1838" s="84" t="n"/>
      <c r="AM1838" s="84" t="n"/>
      <c r="AN1838" s="84" t="n"/>
      <c r="AO1838" s="84" t="n"/>
      <c r="AP1838" s="84" t="n"/>
      <c r="AQ1838" s="84" t="n"/>
      <c r="AR1838" s="84" t="n"/>
    </row>
    <row r="1839">
      <c r="D1839" s="80" t="n"/>
      <c r="E1839" s="80" t="n"/>
      <c r="F1839" s="80" t="n"/>
      <c r="G1839" s="80" t="n"/>
      <c r="H1839" s="80" t="n"/>
      <c r="I1839" s="80" t="n"/>
      <c r="J1839" s="80" t="n"/>
      <c r="K1839" s="80" t="n"/>
      <c r="L1839" s="80" t="n"/>
      <c r="M1839" s="80" t="n"/>
      <c r="N1839" s="80" t="n"/>
      <c r="O1839" s="80" t="n"/>
      <c r="P1839" s="80" t="n"/>
      <c r="Q1839" s="80" t="n"/>
      <c r="R1839" s="80" t="n"/>
      <c r="S1839" s="80" t="n"/>
      <c r="T1839" s="80" t="n"/>
      <c r="U1839" s="80" t="n"/>
      <c r="V1839" s="80" t="n"/>
      <c r="W1839" s="80" t="n"/>
      <c r="X1839" s="80" t="n"/>
      <c r="Y1839" s="80" t="n"/>
      <c r="Z1839" s="80" t="n"/>
      <c r="AA1839" s="80" t="n"/>
      <c r="AB1839" s="80" t="n"/>
      <c r="AC1839" s="80" t="n"/>
      <c r="AD1839" s="80" t="n"/>
      <c r="AE1839" s="80" t="n"/>
      <c r="AF1839" s="80" t="n"/>
      <c r="AG1839" s="80" t="n"/>
      <c r="AH1839" s="80" t="n"/>
      <c r="AI1839" s="80" t="n"/>
      <c r="AJ1839" s="80" t="n"/>
      <c r="AK1839" s="80" t="n"/>
      <c r="AL1839" s="80" t="n"/>
      <c r="AM1839" s="80" t="n"/>
      <c r="AN1839" s="80" t="n"/>
      <c r="AO1839" s="80" t="n"/>
      <c r="AP1839" s="80" t="n"/>
      <c r="AQ1839" s="80" t="n"/>
      <c r="AR1839" s="80" t="n"/>
    </row>
    <row r="1840">
      <c r="D1840" s="80" t="n"/>
      <c r="E1840" s="80" t="n"/>
      <c r="F1840" s="80" t="n"/>
      <c r="G1840" s="80" t="n"/>
      <c r="H1840" s="80" t="n"/>
      <c r="I1840" s="80" t="n"/>
      <c r="J1840" s="80" t="n"/>
      <c r="K1840" s="80" t="n"/>
      <c r="L1840" s="80" t="n"/>
      <c r="M1840" s="80" t="n"/>
      <c r="N1840" s="80" t="n"/>
      <c r="O1840" s="80" t="n"/>
      <c r="P1840" s="80" t="n"/>
      <c r="Q1840" s="80" t="n"/>
      <c r="R1840" s="80" t="n"/>
      <c r="S1840" s="80" t="n"/>
      <c r="T1840" s="80" t="n"/>
      <c r="U1840" s="80" t="n"/>
      <c r="V1840" s="80" t="n"/>
      <c r="W1840" s="80" t="n"/>
      <c r="X1840" s="80" t="n"/>
      <c r="Y1840" s="80" t="n"/>
      <c r="Z1840" s="80" t="n"/>
      <c r="AA1840" s="80" t="n"/>
      <c r="AB1840" s="80" t="n"/>
      <c r="AC1840" s="80" t="n"/>
      <c r="AD1840" s="80" t="n"/>
      <c r="AE1840" s="80" t="n"/>
      <c r="AF1840" s="80" t="n"/>
      <c r="AG1840" s="80" t="n"/>
      <c r="AH1840" s="80" t="n"/>
      <c r="AI1840" s="80" t="n"/>
      <c r="AJ1840" s="80" t="n"/>
      <c r="AK1840" s="80" t="n"/>
      <c r="AL1840" s="80" t="n"/>
      <c r="AM1840" s="80" t="n"/>
      <c r="AN1840" s="80" t="n"/>
      <c r="AO1840" s="80" t="n"/>
      <c r="AP1840" s="80" t="n"/>
      <c r="AQ1840" s="80" t="n"/>
      <c r="AR1840" s="80" t="n"/>
    </row>
    <row r="1841">
      <c r="D1841" s="80" t="n"/>
      <c r="E1841" s="80" t="n"/>
      <c r="F1841" s="80" t="n"/>
      <c r="G1841" s="80" t="n"/>
      <c r="H1841" s="80" t="n"/>
      <c r="I1841" s="80" t="n"/>
      <c r="J1841" s="80" t="n"/>
      <c r="K1841" s="80" t="n"/>
      <c r="L1841" s="80" t="n"/>
      <c r="M1841" s="80" t="n"/>
      <c r="N1841" s="80" t="n"/>
      <c r="O1841" s="80" t="n"/>
      <c r="P1841" s="80" t="n"/>
      <c r="Q1841" s="80" t="n"/>
      <c r="R1841" s="80" t="n"/>
      <c r="S1841" s="80" t="n"/>
      <c r="T1841" s="80" t="n"/>
      <c r="U1841" s="80" t="n"/>
      <c r="V1841" s="80" t="n"/>
      <c r="W1841" s="80" t="n"/>
      <c r="X1841" s="80" t="n"/>
      <c r="Y1841" s="80" t="n"/>
      <c r="Z1841" s="80" t="n"/>
      <c r="AA1841" s="80" t="n"/>
      <c r="AB1841" s="80" t="n"/>
      <c r="AC1841" s="80" t="n"/>
      <c r="AD1841" s="80" t="n"/>
      <c r="AE1841" s="80" t="n"/>
      <c r="AF1841" s="80" t="n"/>
      <c r="AG1841" s="80" t="n"/>
      <c r="AH1841" s="80" t="n"/>
      <c r="AI1841" s="80" t="n"/>
      <c r="AJ1841" s="80" t="n"/>
      <c r="AK1841" s="80" t="n"/>
      <c r="AL1841" s="80" t="n"/>
      <c r="AM1841" s="80" t="n"/>
      <c r="AN1841" s="80" t="n"/>
      <c r="AO1841" s="80" t="n"/>
      <c r="AP1841" s="80" t="n"/>
      <c r="AQ1841" s="80" t="n"/>
      <c r="AR1841" s="80" t="n"/>
    </row>
    <row r="1842">
      <c r="D1842" s="80" t="n"/>
      <c r="E1842" s="80" t="n"/>
      <c r="F1842" s="80" t="n"/>
      <c r="G1842" s="80" t="n"/>
      <c r="H1842" s="80" t="n"/>
      <c r="I1842" s="80" t="n"/>
      <c r="J1842" s="80" t="n"/>
      <c r="K1842" s="80" t="n"/>
      <c r="L1842" s="80" t="n"/>
      <c r="M1842" s="80" t="n"/>
      <c r="N1842" s="80" t="n"/>
      <c r="O1842" s="80" t="n"/>
      <c r="P1842" s="80" t="n"/>
      <c r="Q1842" s="80" t="n"/>
      <c r="R1842" s="80" t="n"/>
      <c r="S1842" s="80" t="n"/>
      <c r="T1842" s="80" t="n"/>
      <c r="U1842" s="80" t="n"/>
      <c r="V1842" s="80" t="n"/>
      <c r="W1842" s="80" t="n"/>
      <c r="X1842" s="80" t="n"/>
      <c r="Y1842" s="80" t="n"/>
      <c r="Z1842" s="80" t="n"/>
      <c r="AA1842" s="80" t="n"/>
      <c r="AB1842" s="80" t="n"/>
      <c r="AC1842" s="80" t="n"/>
      <c r="AD1842" s="80" t="n"/>
      <c r="AE1842" s="80" t="n"/>
      <c r="AF1842" s="80" t="n"/>
      <c r="AG1842" s="80" t="n"/>
      <c r="AH1842" s="80" t="n"/>
      <c r="AI1842" s="80" t="n"/>
      <c r="AJ1842" s="80" t="n"/>
      <c r="AK1842" s="80" t="n"/>
      <c r="AL1842" s="80" t="n"/>
      <c r="AM1842" s="80" t="n"/>
      <c r="AN1842" s="80" t="n"/>
      <c r="AO1842" s="80" t="n"/>
      <c r="AP1842" s="80" t="n"/>
      <c r="AQ1842" s="80" t="n"/>
      <c r="AR1842" s="80" t="n"/>
    </row>
    <row r="1844">
      <c r="A1844" s="6">
        <f>IF(HSTECH!$C$29="","",HSTECH!$C$29)</f>
        <v/>
      </c>
      <c r="B1844" s="41">
        <f>IF($A1844="",0,COUNT($E1845:$AR1845))</f>
        <v/>
      </c>
      <c r="C1844" s="81">
        <f>IF($B1844=0,0,MAX($E1845:$AR1845))</f>
        <v/>
      </c>
      <c r="D1844" s="82">
        <f>BDS($A1844,'Field Check'!$C$7,"headers=y","startcol=1","endcol=7","dir=h","DVD_START_DT",Summary!$C$18,"DVD_END_DT",Summary!$D$18)</f>
        <v/>
      </c>
      <c r="E1844" s="83" t="n"/>
      <c r="F1844" s="83" t="n"/>
      <c r="G1844" s="83" t="n"/>
      <c r="H1844" s="83" t="n"/>
      <c r="I1844" s="83" t="n"/>
      <c r="J1844" s="83" t="n"/>
      <c r="K1844" s="83" t="n"/>
      <c r="L1844" s="83" t="n"/>
      <c r="M1844" s="83" t="n"/>
      <c r="N1844" s="83" t="n"/>
      <c r="O1844" s="83" t="n"/>
      <c r="P1844" s="83" t="n"/>
      <c r="Q1844" s="83" t="n"/>
      <c r="R1844" s="83" t="n"/>
      <c r="S1844" s="83" t="n"/>
      <c r="T1844" s="83" t="n"/>
      <c r="U1844" s="83" t="n"/>
      <c r="V1844" s="83" t="n"/>
      <c r="W1844" s="83" t="n"/>
      <c r="X1844" s="83" t="n"/>
      <c r="Y1844" s="83" t="n"/>
      <c r="Z1844" s="83" t="n"/>
      <c r="AA1844" s="83" t="n"/>
      <c r="AB1844" s="83" t="n"/>
      <c r="AC1844" s="83" t="n"/>
      <c r="AD1844" s="83" t="n"/>
      <c r="AE1844" s="83" t="n"/>
      <c r="AF1844" s="83" t="n"/>
      <c r="AG1844" s="83" t="n"/>
      <c r="AH1844" s="83" t="n"/>
      <c r="AI1844" s="83" t="n"/>
      <c r="AJ1844" s="83" t="n"/>
      <c r="AK1844" s="83" t="n"/>
      <c r="AL1844" s="83" t="n"/>
      <c r="AM1844" s="83" t="n"/>
      <c r="AN1844" s="83" t="n"/>
      <c r="AO1844" s="83" t="n"/>
      <c r="AP1844" s="83" t="n"/>
      <c r="AQ1844" s="83" t="n"/>
      <c r="AR1844" s="83" t="n"/>
    </row>
    <row r="1845">
      <c r="D1845" s="83" t="n"/>
      <c r="E1845" s="83" t="n"/>
      <c r="F1845" s="83" t="n"/>
      <c r="G1845" s="83" t="n"/>
      <c r="H1845" s="83" t="n"/>
      <c r="I1845" s="83" t="n"/>
      <c r="J1845" s="83" t="n"/>
      <c r="K1845" s="83" t="n"/>
      <c r="L1845" s="83" t="n"/>
      <c r="M1845" s="83" t="n"/>
      <c r="N1845" s="83" t="n"/>
      <c r="O1845" s="83" t="n"/>
      <c r="P1845" s="83" t="n"/>
      <c r="Q1845" s="83" t="n"/>
      <c r="R1845" s="83" t="n"/>
      <c r="S1845" s="83" t="n"/>
      <c r="T1845" s="83" t="n"/>
      <c r="U1845" s="83" t="n"/>
      <c r="V1845" s="83" t="n"/>
      <c r="W1845" s="83" t="n"/>
      <c r="X1845" s="83" t="n"/>
      <c r="Y1845" s="83" t="n"/>
      <c r="Z1845" s="83" t="n"/>
      <c r="AA1845" s="83" t="n"/>
      <c r="AB1845" s="83" t="n"/>
      <c r="AC1845" s="83" t="n"/>
      <c r="AD1845" s="83" t="n"/>
      <c r="AE1845" s="83" t="n"/>
      <c r="AF1845" s="83" t="n"/>
      <c r="AG1845" s="83" t="n"/>
      <c r="AH1845" s="83" t="n"/>
      <c r="AI1845" s="83" t="n"/>
      <c r="AJ1845" s="83" t="n"/>
      <c r="AK1845" s="83" t="n"/>
      <c r="AL1845" s="83" t="n"/>
      <c r="AM1845" s="83" t="n"/>
      <c r="AN1845" s="83" t="n"/>
      <c r="AO1845" s="83" t="n"/>
      <c r="AP1845" s="83" t="n"/>
      <c r="AQ1845" s="83" t="n"/>
      <c r="AR1845" s="83" t="n"/>
    </row>
    <row r="1846">
      <c r="D1846" s="84" t="n"/>
      <c r="E1846" s="84" t="n"/>
      <c r="F1846" s="84" t="n"/>
      <c r="G1846" s="84" t="n"/>
      <c r="H1846" s="84" t="n"/>
      <c r="I1846" s="84" t="n"/>
      <c r="J1846" s="84" t="n"/>
      <c r="K1846" s="84" t="n"/>
      <c r="L1846" s="84" t="n"/>
      <c r="M1846" s="84" t="n"/>
      <c r="N1846" s="84" t="n"/>
      <c r="O1846" s="84" t="n"/>
      <c r="P1846" s="84" t="n"/>
      <c r="Q1846" s="84" t="n"/>
      <c r="R1846" s="84" t="n"/>
      <c r="S1846" s="84" t="n"/>
      <c r="T1846" s="84" t="n"/>
      <c r="U1846" s="84" t="n"/>
      <c r="V1846" s="84" t="n"/>
      <c r="W1846" s="84" t="n"/>
      <c r="X1846" s="84" t="n"/>
      <c r="Y1846" s="84" t="n"/>
      <c r="Z1846" s="84" t="n"/>
      <c r="AA1846" s="84" t="n"/>
      <c r="AB1846" s="84" t="n"/>
      <c r="AC1846" s="84" t="n"/>
      <c r="AD1846" s="84" t="n"/>
      <c r="AE1846" s="84" t="n"/>
      <c r="AF1846" s="84" t="n"/>
      <c r="AG1846" s="84" t="n"/>
      <c r="AH1846" s="84" t="n"/>
      <c r="AI1846" s="84" t="n"/>
      <c r="AJ1846" s="84" t="n"/>
      <c r="AK1846" s="84" t="n"/>
      <c r="AL1846" s="84" t="n"/>
      <c r="AM1846" s="84" t="n"/>
      <c r="AN1846" s="84" t="n"/>
      <c r="AO1846" s="84" t="n"/>
      <c r="AP1846" s="84" t="n"/>
      <c r="AQ1846" s="84" t="n"/>
      <c r="AR1846" s="84" t="n"/>
    </row>
    <row r="1847">
      <c r="D1847" s="80" t="n"/>
      <c r="E1847" s="80" t="n"/>
      <c r="F1847" s="80" t="n"/>
      <c r="G1847" s="80" t="n"/>
      <c r="H1847" s="80" t="n"/>
      <c r="I1847" s="80" t="n"/>
      <c r="J1847" s="80" t="n"/>
      <c r="K1847" s="80" t="n"/>
      <c r="L1847" s="80" t="n"/>
      <c r="M1847" s="80" t="n"/>
      <c r="N1847" s="80" t="n"/>
      <c r="O1847" s="80" t="n"/>
      <c r="P1847" s="80" t="n"/>
      <c r="Q1847" s="80" t="n"/>
      <c r="R1847" s="80" t="n"/>
      <c r="S1847" s="80" t="n"/>
      <c r="T1847" s="80" t="n"/>
      <c r="U1847" s="80" t="n"/>
      <c r="V1847" s="80" t="n"/>
      <c r="W1847" s="80" t="n"/>
      <c r="X1847" s="80" t="n"/>
      <c r="Y1847" s="80" t="n"/>
      <c r="Z1847" s="80" t="n"/>
      <c r="AA1847" s="80" t="n"/>
      <c r="AB1847" s="80" t="n"/>
      <c r="AC1847" s="80" t="n"/>
      <c r="AD1847" s="80" t="n"/>
      <c r="AE1847" s="80" t="n"/>
      <c r="AF1847" s="80" t="n"/>
      <c r="AG1847" s="80" t="n"/>
      <c r="AH1847" s="80" t="n"/>
      <c r="AI1847" s="80" t="n"/>
      <c r="AJ1847" s="80" t="n"/>
      <c r="AK1847" s="80" t="n"/>
      <c r="AL1847" s="80" t="n"/>
      <c r="AM1847" s="80" t="n"/>
      <c r="AN1847" s="80" t="n"/>
      <c r="AO1847" s="80" t="n"/>
      <c r="AP1847" s="80" t="n"/>
      <c r="AQ1847" s="80" t="n"/>
      <c r="AR1847" s="80" t="n"/>
    </row>
    <row r="1848">
      <c r="D1848" s="80" t="n"/>
      <c r="E1848" s="80" t="n"/>
      <c r="F1848" s="80" t="n"/>
      <c r="G1848" s="80" t="n"/>
      <c r="H1848" s="80" t="n"/>
      <c r="I1848" s="80" t="n"/>
      <c r="J1848" s="80" t="n"/>
      <c r="K1848" s="80" t="n"/>
      <c r="L1848" s="80" t="n"/>
      <c r="M1848" s="80" t="n"/>
      <c r="N1848" s="80" t="n"/>
      <c r="O1848" s="80" t="n"/>
      <c r="P1848" s="80" t="n"/>
      <c r="Q1848" s="80" t="n"/>
      <c r="R1848" s="80" t="n"/>
      <c r="S1848" s="80" t="n"/>
      <c r="T1848" s="80" t="n"/>
      <c r="U1848" s="80" t="n"/>
      <c r="V1848" s="80" t="n"/>
      <c r="W1848" s="80" t="n"/>
      <c r="X1848" s="80" t="n"/>
      <c r="Y1848" s="80" t="n"/>
      <c r="Z1848" s="80" t="n"/>
      <c r="AA1848" s="80" t="n"/>
      <c r="AB1848" s="80" t="n"/>
      <c r="AC1848" s="80" t="n"/>
      <c r="AD1848" s="80" t="n"/>
      <c r="AE1848" s="80" t="n"/>
      <c r="AF1848" s="80" t="n"/>
      <c r="AG1848" s="80" t="n"/>
      <c r="AH1848" s="80" t="n"/>
      <c r="AI1848" s="80" t="n"/>
      <c r="AJ1848" s="80" t="n"/>
      <c r="AK1848" s="80" t="n"/>
      <c r="AL1848" s="80" t="n"/>
      <c r="AM1848" s="80" t="n"/>
      <c r="AN1848" s="80" t="n"/>
      <c r="AO1848" s="80" t="n"/>
      <c r="AP1848" s="80" t="n"/>
      <c r="AQ1848" s="80" t="n"/>
      <c r="AR1848" s="80" t="n"/>
    </row>
    <row r="1849">
      <c r="D1849" s="80" t="n"/>
      <c r="E1849" s="80" t="n"/>
      <c r="F1849" s="80" t="n"/>
      <c r="G1849" s="80" t="n"/>
      <c r="H1849" s="80" t="n"/>
      <c r="I1849" s="80" t="n"/>
      <c r="J1849" s="80" t="n"/>
      <c r="K1849" s="80" t="n"/>
      <c r="L1849" s="80" t="n"/>
      <c r="M1849" s="80" t="n"/>
      <c r="N1849" s="80" t="n"/>
      <c r="O1849" s="80" t="n"/>
      <c r="P1849" s="80" t="n"/>
      <c r="Q1849" s="80" t="n"/>
      <c r="R1849" s="80" t="n"/>
      <c r="S1849" s="80" t="n"/>
      <c r="T1849" s="80" t="n"/>
      <c r="U1849" s="80" t="n"/>
      <c r="V1849" s="80" t="n"/>
      <c r="W1849" s="80" t="n"/>
      <c r="X1849" s="80" t="n"/>
      <c r="Y1849" s="80" t="n"/>
      <c r="Z1849" s="80" t="n"/>
      <c r="AA1849" s="80" t="n"/>
      <c r="AB1849" s="80" t="n"/>
      <c r="AC1849" s="80" t="n"/>
      <c r="AD1849" s="80" t="n"/>
      <c r="AE1849" s="80" t="n"/>
      <c r="AF1849" s="80" t="n"/>
      <c r="AG1849" s="80" t="n"/>
      <c r="AH1849" s="80" t="n"/>
      <c r="AI1849" s="80" t="n"/>
      <c r="AJ1849" s="80" t="n"/>
      <c r="AK1849" s="80" t="n"/>
      <c r="AL1849" s="80" t="n"/>
      <c r="AM1849" s="80" t="n"/>
      <c r="AN1849" s="80" t="n"/>
      <c r="AO1849" s="80" t="n"/>
      <c r="AP1849" s="80" t="n"/>
      <c r="AQ1849" s="80" t="n"/>
      <c r="AR1849" s="80" t="n"/>
    </row>
    <row r="1850">
      <c r="D1850" s="80" t="n"/>
      <c r="E1850" s="80" t="n"/>
      <c r="F1850" s="80" t="n"/>
      <c r="G1850" s="80" t="n"/>
      <c r="H1850" s="80" t="n"/>
      <c r="I1850" s="80" t="n"/>
      <c r="J1850" s="80" t="n"/>
      <c r="K1850" s="80" t="n"/>
      <c r="L1850" s="80" t="n"/>
      <c r="M1850" s="80" t="n"/>
      <c r="N1850" s="80" t="n"/>
      <c r="O1850" s="80" t="n"/>
      <c r="P1850" s="80" t="n"/>
      <c r="Q1850" s="80" t="n"/>
      <c r="R1850" s="80" t="n"/>
      <c r="S1850" s="80" t="n"/>
      <c r="T1850" s="80" t="n"/>
      <c r="U1850" s="80" t="n"/>
      <c r="V1850" s="80" t="n"/>
      <c r="W1850" s="80" t="n"/>
      <c r="X1850" s="80" t="n"/>
      <c r="Y1850" s="80" t="n"/>
      <c r="Z1850" s="80" t="n"/>
      <c r="AA1850" s="80" t="n"/>
      <c r="AB1850" s="80" t="n"/>
      <c r="AC1850" s="80" t="n"/>
      <c r="AD1850" s="80" t="n"/>
      <c r="AE1850" s="80" t="n"/>
      <c r="AF1850" s="80" t="n"/>
      <c r="AG1850" s="80" t="n"/>
      <c r="AH1850" s="80" t="n"/>
      <c r="AI1850" s="80" t="n"/>
      <c r="AJ1850" s="80" t="n"/>
      <c r="AK1850" s="80" t="n"/>
      <c r="AL1850" s="80" t="n"/>
      <c r="AM1850" s="80" t="n"/>
      <c r="AN1850" s="80" t="n"/>
      <c r="AO1850" s="80" t="n"/>
      <c r="AP1850" s="80" t="n"/>
      <c r="AQ1850" s="80" t="n"/>
      <c r="AR1850" s="80" t="n"/>
    </row>
    <row r="1851">
      <c r="A1851" s="2">
        <f>IF($A1844="","","   projections")</f>
        <v/>
      </c>
      <c r="B1851" s="41">
        <f>IF($A1844="",0,COUNT($E1852:$AR1852))</f>
        <v/>
      </c>
      <c r="C1851" s="81">
        <f>IF($B1851=0,0,MAX($E1852:$AR1852))</f>
        <v/>
      </c>
      <c r="D1851" s="82">
        <f>BDS($A1844,'Field Check'!$C$6,"headers=y","startcol=1","endcol=7","dir=h")</f>
        <v/>
      </c>
      <c r="E1851" s="83" t="n"/>
      <c r="F1851" s="83" t="n"/>
      <c r="G1851" s="83" t="n"/>
      <c r="H1851" s="83" t="n"/>
      <c r="I1851" s="83" t="n"/>
      <c r="J1851" s="83" t="n"/>
      <c r="K1851" s="83" t="n"/>
      <c r="L1851" s="83" t="n"/>
      <c r="M1851" s="83" t="n"/>
      <c r="N1851" s="83" t="n"/>
      <c r="O1851" s="83" t="n"/>
      <c r="P1851" s="83" t="n"/>
      <c r="Q1851" s="83" t="n"/>
      <c r="R1851" s="83" t="n"/>
      <c r="S1851" s="83" t="n"/>
      <c r="T1851" s="83" t="n"/>
      <c r="U1851" s="83" t="n"/>
      <c r="V1851" s="83" t="n"/>
      <c r="W1851" s="83" t="n"/>
      <c r="X1851" s="83" t="n"/>
      <c r="Y1851" s="83" t="n"/>
      <c r="Z1851" s="83" t="n"/>
      <c r="AA1851" s="83" t="n"/>
      <c r="AB1851" s="83" t="n"/>
      <c r="AC1851" s="83" t="n"/>
      <c r="AD1851" s="83" t="n"/>
      <c r="AE1851" s="83" t="n"/>
      <c r="AF1851" s="83" t="n"/>
      <c r="AG1851" s="83" t="n"/>
      <c r="AH1851" s="83" t="n"/>
      <c r="AI1851" s="83" t="n"/>
      <c r="AJ1851" s="83" t="n"/>
      <c r="AK1851" s="83" t="n"/>
      <c r="AL1851" s="83" t="n"/>
      <c r="AM1851" s="83" t="n"/>
      <c r="AN1851" s="83" t="n"/>
      <c r="AO1851" s="83" t="n"/>
      <c r="AP1851" s="83" t="n"/>
      <c r="AQ1851" s="83" t="n"/>
      <c r="AR1851" s="83" t="n"/>
    </row>
    <row r="1852">
      <c r="D1852" s="83" t="n"/>
      <c r="E1852" s="83" t="n"/>
      <c r="F1852" s="83" t="n"/>
      <c r="G1852" s="83" t="n"/>
      <c r="H1852" s="83" t="n"/>
      <c r="I1852" s="83" t="n"/>
      <c r="J1852" s="83" t="n"/>
      <c r="K1852" s="83" t="n"/>
      <c r="L1852" s="83" t="n"/>
      <c r="M1852" s="83" t="n"/>
      <c r="N1852" s="83" t="n"/>
      <c r="O1852" s="83" t="n"/>
      <c r="P1852" s="83" t="n"/>
      <c r="Q1852" s="83" t="n"/>
      <c r="R1852" s="83" t="n"/>
      <c r="S1852" s="83" t="n"/>
      <c r="T1852" s="83" t="n"/>
      <c r="U1852" s="83" t="n"/>
      <c r="V1852" s="83" t="n"/>
      <c r="W1852" s="83" t="n"/>
      <c r="X1852" s="83" t="n"/>
      <c r="Y1852" s="83" t="n"/>
      <c r="Z1852" s="83" t="n"/>
      <c r="AA1852" s="83" t="n"/>
      <c r="AB1852" s="83" t="n"/>
      <c r="AC1852" s="83" t="n"/>
      <c r="AD1852" s="83" t="n"/>
      <c r="AE1852" s="83" t="n"/>
      <c r="AF1852" s="83" t="n"/>
      <c r="AG1852" s="83" t="n"/>
      <c r="AH1852" s="83" t="n"/>
      <c r="AI1852" s="83" t="n"/>
      <c r="AJ1852" s="83" t="n"/>
      <c r="AK1852" s="83" t="n"/>
      <c r="AL1852" s="83" t="n"/>
      <c r="AM1852" s="83" t="n"/>
      <c r="AN1852" s="83" t="n"/>
      <c r="AO1852" s="83" t="n"/>
      <c r="AP1852" s="83" t="n"/>
      <c r="AQ1852" s="83" t="n"/>
      <c r="AR1852" s="83" t="n"/>
    </row>
    <row r="1853">
      <c r="D1853" s="84" t="n"/>
      <c r="E1853" s="84" t="n"/>
      <c r="F1853" s="84" t="n"/>
      <c r="G1853" s="84" t="n"/>
      <c r="H1853" s="84" t="n"/>
      <c r="I1853" s="84" t="n"/>
      <c r="J1853" s="84" t="n"/>
      <c r="K1853" s="84" t="n"/>
      <c r="L1853" s="84" t="n"/>
      <c r="M1853" s="84" t="n"/>
      <c r="N1853" s="84" t="n"/>
      <c r="O1853" s="84" t="n"/>
      <c r="P1853" s="84" t="n"/>
      <c r="Q1853" s="84" t="n"/>
      <c r="R1853" s="84" t="n"/>
      <c r="S1853" s="84" t="n"/>
      <c r="T1853" s="84" t="n"/>
      <c r="U1853" s="84" t="n"/>
      <c r="V1853" s="84" t="n"/>
      <c r="W1853" s="84" t="n"/>
      <c r="X1853" s="84" t="n"/>
      <c r="Y1853" s="84" t="n"/>
      <c r="Z1853" s="84" t="n"/>
      <c r="AA1853" s="84" t="n"/>
      <c r="AB1853" s="84" t="n"/>
      <c r="AC1853" s="84" t="n"/>
      <c r="AD1853" s="84" t="n"/>
      <c r="AE1853" s="84" t="n"/>
      <c r="AF1853" s="84" t="n"/>
      <c r="AG1853" s="84" t="n"/>
      <c r="AH1853" s="84" t="n"/>
      <c r="AI1853" s="84" t="n"/>
      <c r="AJ1853" s="84" t="n"/>
      <c r="AK1853" s="84" t="n"/>
      <c r="AL1853" s="84" t="n"/>
      <c r="AM1853" s="84" t="n"/>
      <c r="AN1853" s="84" t="n"/>
      <c r="AO1853" s="84" t="n"/>
      <c r="AP1853" s="84" t="n"/>
      <c r="AQ1853" s="84" t="n"/>
      <c r="AR1853" s="84" t="n"/>
    </row>
    <row r="1854">
      <c r="D1854" s="80" t="n"/>
      <c r="E1854" s="80" t="n"/>
      <c r="F1854" s="80" t="n"/>
      <c r="G1854" s="80" t="n"/>
      <c r="H1854" s="80" t="n"/>
      <c r="I1854" s="80" t="n"/>
      <c r="J1854" s="80" t="n"/>
      <c r="K1854" s="80" t="n"/>
      <c r="L1854" s="80" t="n"/>
      <c r="M1854" s="80" t="n"/>
      <c r="N1854" s="80" t="n"/>
      <c r="O1854" s="80" t="n"/>
      <c r="P1854" s="80" t="n"/>
      <c r="Q1854" s="80" t="n"/>
      <c r="R1854" s="80" t="n"/>
      <c r="S1854" s="80" t="n"/>
      <c r="T1854" s="80" t="n"/>
      <c r="U1854" s="80" t="n"/>
      <c r="V1854" s="80" t="n"/>
      <c r="W1854" s="80" t="n"/>
      <c r="X1854" s="80" t="n"/>
      <c r="Y1854" s="80" t="n"/>
      <c r="Z1854" s="80" t="n"/>
      <c r="AA1854" s="80" t="n"/>
      <c r="AB1854" s="80" t="n"/>
      <c r="AC1854" s="80" t="n"/>
      <c r="AD1854" s="80" t="n"/>
      <c r="AE1854" s="80" t="n"/>
      <c r="AF1854" s="80" t="n"/>
      <c r="AG1854" s="80" t="n"/>
      <c r="AH1854" s="80" t="n"/>
      <c r="AI1854" s="80" t="n"/>
      <c r="AJ1854" s="80" t="n"/>
      <c r="AK1854" s="80" t="n"/>
      <c r="AL1854" s="80" t="n"/>
      <c r="AM1854" s="80" t="n"/>
      <c r="AN1854" s="80" t="n"/>
      <c r="AO1854" s="80" t="n"/>
      <c r="AP1854" s="80" t="n"/>
      <c r="AQ1854" s="80" t="n"/>
      <c r="AR1854" s="80" t="n"/>
    </row>
    <row r="1855">
      <c r="D1855" s="80" t="n"/>
      <c r="E1855" s="80" t="n"/>
      <c r="F1855" s="80" t="n"/>
      <c r="G1855" s="80" t="n"/>
      <c r="H1855" s="80" t="n"/>
      <c r="I1855" s="80" t="n"/>
      <c r="J1855" s="80" t="n"/>
      <c r="K1855" s="80" t="n"/>
      <c r="L1855" s="80" t="n"/>
      <c r="M1855" s="80" t="n"/>
      <c r="N1855" s="80" t="n"/>
      <c r="O1855" s="80" t="n"/>
      <c r="P1855" s="80" t="n"/>
      <c r="Q1855" s="80" t="n"/>
      <c r="R1855" s="80" t="n"/>
      <c r="S1855" s="80" t="n"/>
      <c r="T1855" s="80" t="n"/>
      <c r="U1855" s="80" t="n"/>
      <c r="V1855" s="80" t="n"/>
      <c r="W1855" s="80" t="n"/>
      <c r="X1855" s="80" t="n"/>
      <c r="Y1855" s="80" t="n"/>
      <c r="Z1855" s="80" t="n"/>
      <c r="AA1855" s="80" t="n"/>
      <c r="AB1855" s="80" t="n"/>
      <c r="AC1855" s="80" t="n"/>
      <c r="AD1855" s="80" t="n"/>
      <c r="AE1855" s="80" t="n"/>
      <c r="AF1855" s="80" t="n"/>
      <c r="AG1855" s="80" t="n"/>
      <c r="AH1855" s="80" t="n"/>
      <c r="AI1855" s="80" t="n"/>
      <c r="AJ1855" s="80" t="n"/>
      <c r="AK1855" s="80" t="n"/>
      <c r="AL1855" s="80" t="n"/>
      <c r="AM1855" s="80" t="n"/>
      <c r="AN1855" s="80" t="n"/>
      <c r="AO1855" s="80" t="n"/>
      <c r="AP1855" s="80" t="n"/>
      <c r="AQ1855" s="80" t="n"/>
      <c r="AR1855" s="80" t="n"/>
    </row>
    <row r="1856">
      <c r="D1856" s="80" t="n"/>
      <c r="E1856" s="80" t="n"/>
      <c r="F1856" s="80" t="n"/>
      <c r="G1856" s="80" t="n"/>
      <c r="H1856" s="80" t="n"/>
      <c r="I1856" s="80" t="n"/>
      <c r="J1856" s="80" t="n"/>
      <c r="K1856" s="80" t="n"/>
      <c r="L1856" s="80" t="n"/>
      <c r="M1856" s="80" t="n"/>
      <c r="N1856" s="80" t="n"/>
      <c r="O1856" s="80" t="n"/>
      <c r="P1856" s="80" t="n"/>
      <c r="Q1856" s="80" t="n"/>
      <c r="R1856" s="80" t="n"/>
      <c r="S1856" s="80" t="n"/>
      <c r="T1856" s="80" t="n"/>
      <c r="U1856" s="80" t="n"/>
      <c r="V1856" s="80" t="n"/>
      <c r="W1856" s="80" t="n"/>
      <c r="X1856" s="80" t="n"/>
      <c r="Y1856" s="80" t="n"/>
      <c r="Z1856" s="80" t="n"/>
      <c r="AA1856" s="80" t="n"/>
      <c r="AB1856" s="80" t="n"/>
      <c r="AC1856" s="80" t="n"/>
      <c r="AD1856" s="80" t="n"/>
      <c r="AE1856" s="80" t="n"/>
      <c r="AF1856" s="80" t="n"/>
      <c r="AG1856" s="80" t="n"/>
      <c r="AH1856" s="80" t="n"/>
      <c r="AI1856" s="80" t="n"/>
      <c r="AJ1856" s="80" t="n"/>
      <c r="AK1856" s="80" t="n"/>
      <c r="AL1856" s="80" t="n"/>
      <c r="AM1856" s="80" t="n"/>
      <c r="AN1856" s="80" t="n"/>
      <c r="AO1856" s="80" t="n"/>
      <c r="AP1856" s="80" t="n"/>
      <c r="AQ1856" s="80" t="n"/>
      <c r="AR1856" s="80" t="n"/>
    </row>
    <row r="1857">
      <c r="D1857" s="80" t="n"/>
      <c r="E1857" s="80" t="n"/>
      <c r="F1857" s="80" t="n"/>
      <c r="G1857" s="80" t="n"/>
      <c r="H1857" s="80" t="n"/>
      <c r="I1857" s="80" t="n"/>
      <c r="J1857" s="80" t="n"/>
      <c r="K1857" s="80" t="n"/>
      <c r="L1857" s="80" t="n"/>
      <c r="M1857" s="80" t="n"/>
      <c r="N1857" s="80" t="n"/>
      <c r="O1857" s="80" t="n"/>
      <c r="P1857" s="80" t="n"/>
      <c r="Q1857" s="80" t="n"/>
      <c r="R1857" s="80" t="n"/>
      <c r="S1857" s="80" t="n"/>
      <c r="T1857" s="80" t="n"/>
      <c r="U1857" s="80" t="n"/>
      <c r="V1857" s="80" t="n"/>
      <c r="W1857" s="80" t="n"/>
      <c r="X1857" s="80" t="n"/>
      <c r="Y1857" s="80" t="n"/>
      <c r="Z1857" s="80" t="n"/>
      <c r="AA1857" s="80" t="n"/>
      <c r="AB1857" s="80" t="n"/>
      <c r="AC1857" s="80" t="n"/>
      <c r="AD1857" s="80" t="n"/>
      <c r="AE1857" s="80" t="n"/>
      <c r="AF1857" s="80" t="n"/>
      <c r="AG1857" s="80" t="n"/>
      <c r="AH1857" s="80" t="n"/>
      <c r="AI1857" s="80" t="n"/>
      <c r="AJ1857" s="80" t="n"/>
      <c r="AK1857" s="80" t="n"/>
      <c r="AL1857" s="80" t="n"/>
      <c r="AM1857" s="80" t="n"/>
      <c r="AN1857" s="80" t="n"/>
      <c r="AO1857" s="80" t="n"/>
      <c r="AP1857" s="80" t="n"/>
      <c r="AQ1857" s="80" t="n"/>
      <c r="AR1857" s="80" t="n"/>
    </row>
    <row r="1859">
      <c r="A1859" s="6">
        <f>IF(HSTECH!$C$30="","",HSTECH!$C$30)</f>
        <v/>
      </c>
      <c r="B1859" s="41">
        <f>IF($A1859="",0,COUNT($E1860:$AR1860))</f>
        <v/>
      </c>
      <c r="C1859" s="81">
        <f>IF($B1859=0,0,MAX($E1860:$AR1860))</f>
        <v/>
      </c>
      <c r="D1859" s="82">
        <f>BDS($A1859,'Field Check'!$C$7,"headers=y","startcol=1","endcol=7","dir=h","DVD_START_DT",Summary!$C$18,"DVD_END_DT",Summary!$D$18)</f>
        <v/>
      </c>
      <c r="E1859" s="83" t="n"/>
      <c r="F1859" s="83" t="n"/>
      <c r="G1859" s="83" t="n"/>
      <c r="H1859" s="83" t="n"/>
      <c r="I1859" s="83" t="n"/>
      <c r="J1859" s="83" t="n"/>
      <c r="K1859" s="83" t="n"/>
      <c r="L1859" s="83" t="n"/>
      <c r="M1859" s="83" t="n"/>
      <c r="N1859" s="83" t="n"/>
      <c r="O1859" s="83" t="n"/>
      <c r="P1859" s="83" t="n"/>
      <c r="Q1859" s="83" t="n"/>
      <c r="R1859" s="83" t="n"/>
      <c r="S1859" s="83" t="n"/>
      <c r="T1859" s="83" t="n"/>
      <c r="U1859" s="83" t="n"/>
      <c r="V1859" s="83" t="n"/>
      <c r="W1859" s="83" t="n"/>
      <c r="X1859" s="83" t="n"/>
      <c r="Y1859" s="83" t="n"/>
      <c r="Z1859" s="83" t="n"/>
      <c r="AA1859" s="83" t="n"/>
      <c r="AB1859" s="83" t="n"/>
      <c r="AC1859" s="83" t="n"/>
      <c r="AD1859" s="83" t="n"/>
      <c r="AE1859" s="83" t="n"/>
      <c r="AF1859" s="83" t="n"/>
      <c r="AG1859" s="83" t="n"/>
      <c r="AH1859" s="83" t="n"/>
      <c r="AI1859" s="83" t="n"/>
      <c r="AJ1859" s="83" t="n"/>
      <c r="AK1859" s="83" t="n"/>
      <c r="AL1859" s="83" t="n"/>
      <c r="AM1859" s="83" t="n"/>
      <c r="AN1859" s="83" t="n"/>
      <c r="AO1859" s="83" t="n"/>
      <c r="AP1859" s="83" t="n"/>
      <c r="AQ1859" s="83" t="n"/>
      <c r="AR1859" s="83" t="n"/>
    </row>
    <row r="1860">
      <c r="D1860" s="83" t="n"/>
      <c r="E1860" s="83" t="n"/>
      <c r="F1860" s="83" t="n"/>
      <c r="G1860" s="83" t="n"/>
      <c r="H1860" s="83" t="n"/>
      <c r="I1860" s="83" t="n"/>
      <c r="J1860" s="83" t="n"/>
      <c r="K1860" s="83" t="n"/>
      <c r="L1860" s="83" t="n"/>
      <c r="M1860" s="83" t="n"/>
      <c r="N1860" s="83" t="n"/>
      <c r="O1860" s="83" t="n"/>
      <c r="P1860" s="83" t="n"/>
      <c r="Q1860" s="83" t="n"/>
      <c r="R1860" s="83" t="n"/>
      <c r="S1860" s="83" t="n"/>
      <c r="T1860" s="83" t="n"/>
      <c r="U1860" s="83" t="n"/>
      <c r="V1860" s="83" t="n"/>
      <c r="W1860" s="83" t="n"/>
      <c r="X1860" s="83" t="n"/>
      <c r="Y1860" s="83" t="n"/>
      <c r="Z1860" s="83" t="n"/>
      <c r="AA1860" s="83" t="n"/>
      <c r="AB1860" s="83" t="n"/>
      <c r="AC1860" s="83" t="n"/>
      <c r="AD1860" s="83" t="n"/>
      <c r="AE1860" s="83" t="n"/>
      <c r="AF1860" s="83" t="n"/>
      <c r="AG1860" s="83" t="n"/>
      <c r="AH1860" s="83" t="n"/>
      <c r="AI1860" s="83" t="n"/>
      <c r="AJ1860" s="83" t="n"/>
      <c r="AK1860" s="83" t="n"/>
      <c r="AL1860" s="83" t="n"/>
      <c r="AM1860" s="83" t="n"/>
      <c r="AN1860" s="83" t="n"/>
      <c r="AO1860" s="83" t="n"/>
      <c r="AP1860" s="83" t="n"/>
      <c r="AQ1860" s="83" t="n"/>
      <c r="AR1860" s="83" t="n"/>
    </row>
    <row r="1861">
      <c r="D1861" s="84" t="n"/>
      <c r="E1861" s="84" t="n"/>
      <c r="F1861" s="84" t="n"/>
      <c r="G1861" s="84" t="n"/>
      <c r="H1861" s="84" t="n"/>
      <c r="I1861" s="84" t="n"/>
      <c r="J1861" s="84" t="n"/>
      <c r="K1861" s="84" t="n"/>
      <c r="L1861" s="84" t="n"/>
      <c r="M1861" s="84" t="n"/>
      <c r="N1861" s="84" t="n"/>
      <c r="O1861" s="84" t="n"/>
      <c r="P1861" s="84" t="n"/>
      <c r="Q1861" s="84" t="n"/>
      <c r="R1861" s="84" t="n"/>
      <c r="S1861" s="84" t="n"/>
      <c r="T1861" s="84" t="n"/>
      <c r="U1861" s="84" t="n"/>
      <c r="V1861" s="84" t="n"/>
      <c r="W1861" s="84" t="n"/>
      <c r="X1861" s="84" t="n"/>
      <c r="Y1861" s="84" t="n"/>
      <c r="Z1861" s="84" t="n"/>
      <c r="AA1861" s="84" t="n"/>
      <c r="AB1861" s="84" t="n"/>
      <c r="AC1861" s="84" t="n"/>
      <c r="AD1861" s="84" t="n"/>
      <c r="AE1861" s="84" t="n"/>
      <c r="AF1861" s="84" t="n"/>
      <c r="AG1861" s="84" t="n"/>
      <c r="AH1861" s="84" t="n"/>
      <c r="AI1861" s="84" t="n"/>
      <c r="AJ1861" s="84" t="n"/>
      <c r="AK1861" s="84" t="n"/>
      <c r="AL1861" s="84" t="n"/>
      <c r="AM1861" s="84" t="n"/>
      <c r="AN1861" s="84" t="n"/>
      <c r="AO1861" s="84" t="n"/>
      <c r="AP1861" s="84" t="n"/>
      <c r="AQ1861" s="84" t="n"/>
      <c r="AR1861" s="84" t="n"/>
    </row>
    <row r="1862">
      <c r="D1862" s="80" t="n"/>
      <c r="E1862" s="80" t="n"/>
      <c r="F1862" s="80" t="n"/>
      <c r="G1862" s="80" t="n"/>
      <c r="H1862" s="80" t="n"/>
      <c r="I1862" s="80" t="n"/>
      <c r="J1862" s="80" t="n"/>
      <c r="K1862" s="80" t="n"/>
      <c r="L1862" s="80" t="n"/>
      <c r="M1862" s="80" t="n"/>
      <c r="N1862" s="80" t="n"/>
      <c r="O1862" s="80" t="n"/>
      <c r="P1862" s="80" t="n"/>
      <c r="Q1862" s="80" t="n"/>
      <c r="R1862" s="80" t="n"/>
      <c r="S1862" s="80" t="n"/>
      <c r="T1862" s="80" t="n"/>
      <c r="U1862" s="80" t="n"/>
      <c r="V1862" s="80" t="n"/>
      <c r="W1862" s="80" t="n"/>
      <c r="X1862" s="80" t="n"/>
      <c r="Y1862" s="80" t="n"/>
      <c r="Z1862" s="80" t="n"/>
      <c r="AA1862" s="80" t="n"/>
      <c r="AB1862" s="80" t="n"/>
      <c r="AC1862" s="80" t="n"/>
      <c r="AD1862" s="80" t="n"/>
      <c r="AE1862" s="80" t="n"/>
      <c r="AF1862" s="80" t="n"/>
      <c r="AG1862" s="80" t="n"/>
      <c r="AH1862" s="80" t="n"/>
      <c r="AI1862" s="80" t="n"/>
      <c r="AJ1862" s="80" t="n"/>
      <c r="AK1862" s="80" t="n"/>
      <c r="AL1862" s="80" t="n"/>
      <c r="AM1862" s="80" t="n"/>
      <c r="AN1862" s="80" t="n"/>
      <c r="AO1862" s="80" t="n"/>
      <c r="AP1862" s="80" t="n"/>
      <c r="AQ1862" s="80" t="n"/>
      <c r="AR1862" s="80" t="n"/>
    </row>
    <row r="1863">
      <c r="D1863" s="80" t="n"/>
      <c r="E1863" s="80" t="n"/>
      <c r="F1863" s="80" t="n"/>
      <c r="G1863" s="80" t="n"/>
      <c r="H1863" s="80" t="n"/>
      <c r="I1863" s="80" t="n"/>
      <c r="J1863" s="80" t="n"/>
      <c r="K1863" s="80" t="n"/>
      <c r="L1863" s="80" t="n"/>
      <c r="M1863" s="80" t="n"/>
      <c r="N1863" s="80" t="n"/>
      <c r="O1863" s="80" t="n"/>
      <c r="P1863" s="80" t="n"/>
      <c r="Q1863" s="80" t="n"/>
      <c r="R1863" s="80" t="n"/>
      <c r="S1863" s="80" t="n"/>
      <c r="T1863" s="80" t="n"/>
      <c r="U1863" s="80" t="n"/>
      <c r="V1863" s="80" t="n"/>
      <c r="W1863" s="80" t="n"/>
      <c r="X1863" s="80" t="n"/>
      <c r="Y1863" s="80" t="n"/>
      <c r="Z1863" s="80" t="n"/>
      <c r="AA1863" s="80" t="n"/>
      <c r="AB1863" s="80" t="n"/>
      <c r="AC1863" s="80" t="n"/>
      <c r="AD1863" s="80" t="n"/>
      <c r="AE1863" s="80" t="n"/>
      <c r="AF1863" s="80" t="n"/>
      <c r="AG1863" s="80" t="n"/>
      <c r="AH1863" s="80" t="n"/>
      <c r="AI1863" s="80" t="n"/>
      <c r="AJ1863" s="80" t="n"/>
      <c r="AK1863" s="80" t="n"/>
      <c r="AL1863" s="80" t="n"/>
      <c r="AM1863" s="80" t="n"/>
      <c r="AN1863" s="80" t="n"/>
      <c r="AO1863" s="80" t="n"/>
      <c r="AP1863" s="80" t="n"/>
      <c r="AQ1863" s="80" t="n"/>
      <c r="AR1863" s="80" t="n"/>
    </row>
    <row r="1864">
      <c r="D1864" s="80" t="n"/>
      <c r="E1864" s="80" t="n"/>
      <c r="F1864" s="80" t="n"/>
      <c r="G1864" s="80" t="n"/>
      <c r="H1864" s="80" t="n"/>
      <c r="I1864" s="80" t="n"/>
      <c r="J1864" s="80" t="n"/>
      <c r="K1864" s="80" t="n"/>
      <c r="L1864" s="80" t="n"/>
      <c r="M1864" s="80" t="n"/>
      <c r="N1864" s="80" t="n"/>
      <c r="O1864" s="80" t="n"/>
      <c r="P1864" s="80" t="n"/>
      <c r="Q1864" s="80" t="n"/>
      <c r="R1864" s="80" t="n"/>
      <c r="S1864" s="80" t="n"/>
      <c r="T1864" s="80" t="n"/>
      <c r="U1864" s="80" t="n"/>
      <c r="V1864" s="80" t="n"/>
      <c r="W1864" s="80" t="n"/>
      <c r="X1864" s="80" t="n"/>
      <c r="Y1864" s="80" t="n"/>
      <c r="Z1864" s="80" t="n"/>
      <c r="AA1864" s="80" t="n"/>
      <c r="AB1864" s="80" t="n"/>
      <c r="AC1864" s="80" t="n"/>
      <c r="AD1864" s="80" t="n"/>
      <c r="AE1864" s="80" t="n"/>
      <c r="AF1864" s="80" t="n"/>
      <c r="AG1864" s="80" t="n"/>
      <c r="AH1864" s="80" t="n"/>
      <c r="AI1864" s="80" t="n"/>
      <c r="AJ1864" s="80" t="n"/>
      <c r="AK1864" s="80" t="n"/>
      <c r="AL1864" s="80" t="n"/>
      <c r="AM1864" s="80" t="n"/>
      <c r="AN1864" s="80" t="n"/>
      <c r="AO1864" s="80" t="n"/>
      <c r="AP1864" s="80" t="n"/>
      <c r="AQ1864" s="80" t="n"/>
      <c r="AR1864" s="80" t="n"/>
    </row>
    <row r="1865">
      <c r="D1865" s="80" t="n"/>
      <c r="E1865" s="80" t="n"/>
      <c r="F1865" s="80" t="n"/>
      <c r="G1865" s="80" t="n"/>
      <c r="H1865" s="80" t="n"/>
      <c r="I1865" s="80" t="n"/>
      <c r="J1865" s="80" t="n"/>
      <c r="K1865" s="80" t="n"/>
      <c r="L1865" s="80" t="n"/>
      <c r="M1865" s="80" t="n"/>
      <c r="N1865" s="80" t="n"/>
      <c r="O1865" s="80" t="n"/>
      <c r="P1865" s="80" t="n"/>
      <c r="Q1865" s="80" t="n"/>
      <c r="R1865" s="80" t="n"/>
      <c r="S1865" s="80" t="n"/>
      <c r="T1865" s="80" t="n"/>
      <c r="U1865" s="80" t="n"/>
      <c r="V1865" s="80" t="n"/>
      <c r="W1865" s="80" t="n"/>
      <c r="X1865" s="80" t="n"/>
      <c r="Y1865" s="80" t="n"/>
      <c r="Z1865" s="80" t="n"/>
      <c r="AA1865" s="80" t="n"/>
      <c r="AB1865" s="80" t="n"/>
      <c r="AC1865" s="80" t="n"/>
      <c r="AD1865" s="80" t="n"/>
      <c r="AE1865" s="80" t="n"/>
      <c r="AF1865" s="80" t="n"/>
      <c r="AG1865" s="80" t="n"/>
      <c r="AH1865" s="80" t="n"/>
      <c r="AI1865" s="80" t="n"/>
      <c r="AJ1865" s="80" t="n"/>
      <c r="AK1865" s="80" t="n"/>
      <c r="AL1865" s="80" t="n"/>
      <c r="AM1865" s="80" t="n"/>
      <c r="AN1865" s="80" t="n"/>
      <c r="AO1865" s="80" t="n"/>
      <c r="AP1865" s="80" t="n"/>
      <c r="AQ1865" s="80" t="n"/>
      <c r="AR1865" s="80" t="n"/>
    </row>
    <row r="1866">
      <c r="A1866" s="2">
        <f>IF($A1859="","","   projections")</f>
        <v/>
      </c>
      <c r="B1866" s="41">
        <f>IF($A1859="",0,COUNT($E1867:$AR1867))</f>
        <v/>
      </c>
      <c r="C1866" s="81">
        <f>IF($B1866=0,0,MAX($E1867:$AR1867))</f>
        <v/>
      </c>
      <c r="D1866" s="82">
        <f>BDS($A1859,'Field Check'!$C$6,"headers=y","startcol=1","endcol=7","dir=h")</f>
        <v/>
      </c>
      <c r="E1866" s="83" t="n"/>
      <c r="F1866" s="83" t="n"/>
      <c r="G1866" s="83" t="n"/>
      <c r="H1866" s="83" t="n"/>
      <c r="I1866" s="83" t="n"/>
      <c r="J1866" s="83" t="n"/>
      <c r="K1866" s="83" t="n"/>
      <c r="L1866" s="83" t="n"/>
      <c r="M1866" s="83" t="n"/>
      <c r="N1866" s="83" t="n"/>
      <c r="O1866" s="83" t="n"/>
      <c r="P1866" s="83" t="n"/>
      <c r="Q1866" s="83" t="n"/>
      <c r="R1866" s="83" t="n"/>
      <c r="S1866" s="83" t="n"/>
      <c r="T1866" s="83" t="n"/>
      <c r="U1866" s="83" t="n"/>
      <c r="V1866" s="83" t="n"/>
      <c r="W1866" s="83" t="n"/>
      <c r="X1866" s="83" t="n"/>
      <c r="Y1866" s="83" t="n"/>
      <c r="Z1866" s="83" t="n"/>
      <c r="AA1866" s="83" t="n"/>
      <c r="AB1866" s="83" t="n"/>
      <c r="AC1866" s="83" t="n"/>
      <c r="AD1866" s="83" t="n"/>
      <c r="AE1866" s="83" t="n"/>
      <c r="AF1866" s="83" t="n"/>
      <c r="AG1866" s="83" t="n"/>
      <c r="AH1866" s="83" t="n"/>
      <c r="AI1866" s="83" t="n"/>
      <c r="AJ1866" s="83" t="n"/>
      <c r="AK1866" s="83" t="n"/>
      <c r="AL1866" s="83" t="n"/>
      <c r="AM1866" s="83" t="n"/>
      <c r="AN1866" s="83" t="n"/>
      <c r="AO1866" s="83" t="n"/>
      <c r="AP1866" s="83" t="n"/>
      <c r="AQ1866" s="83" t="n"/>
      <c r="AR1866" s="83" t="n"/>
    </row>
    <row r="1867">
      <c r="D1867" s="83" t="n"/>
      <c r="E1867" s="83" t="n"/>
      <c r="F1867" s="83" t="n"/>
      <c r="G1867" s="83" t="n"/>
      <c r="H1867" s="83" t="n"/>
      <c r="I1867" s="83" t="n"/>
      <c r="J1867" s="83" t="n"/>
      <c r="K1867" s="83" t="n"/>
      <c r="L1867" s="83" t="n"/>
      <c r="M1867" s="83" t="n"/>
      <c r="N1867" s="83" t="n"/>
      <c r="O1867" s="83" t="n"/>
      <c r="P1867" s="83" t="n"/>
      <c r="Q1867" s="83" t="n"/>
      <c r="R1867" s="83" t="n"/>
      <c r="S1867" s="83" t="n"/>
      <c r="T1867" s="83" t="n"/>
      <c r="U1867" s="83" t="n"/>
      <c r="V1867" s="83" t="n"/>
      <c r="W1867" s="83" t="n"/>
      <c r="X1867" s="83" t="n"/>
      <c r="Y1867" s="83" t="n"/>
      <c r="Z1867" s="83" t="n"/>
      <c r="AA1867" s="83" t="n"/>
      <c r="AB1867" s="83" t="n"/>
      <c r="AC1867" s="83" t="n"/>
      <c r="AD1867" s="83" t="n"/>
      <c r="AE1867" s="83" t="n"/>
      <c r="AF1867" s="83" t="n"/>
      <c r="AG1867" s="83" t="n"/>
      <c r="AH1867" s="83" t="n"/>
      <c r="AI1867" s="83" t="n"/>
      <c r="AJ1867" s="83" t="n"/>
      <c r="AK1867" s="83" t="n"/>
      <c r="AL1867" s="83" t="n"/>
      <c r="AM1867" s="83" t="n"/>
      <c r="AN1867" s="83" t="n"/>
      <c r="AO1867" s="83" t="n"/>
      <c r="AP1867" s="83" t="n"/>
      <c r="AQ1867" s="83" t="n"/>
      <c r="AR1867" s="83" t="n"/>
    </row>
    <row r="1868">
      <c r="D1868" s="84" t="n"/>
      <c r="E1868" s="84" t="n"/>
      <c r="F1868" s="84" t="n"/>
      <c r="G1868" s="84" t="n"/>
      <c r="H1868" s="84" t="n"/>
      <c r="I1868" s="84" t="n"/>
      <c r="J1868" s="84" t="n"/>
      <c r="K1868" s="84" t="n"/>
      <c r="L1868" s="84" t="n"/>
      <c r="M1868" s="84" t="n"/>
      <c r="N1868" s="84" t="n"/>
      <c r="O1868" s="84" t="n"/>
      <c r="P1868" s="84" t="n"/>
      <c r="Q1868" s="84" t="n"/>
      <c r="R1868" s="84" t="n"/>
      <c r="S1868" s="84" t="n"/>
      <c r="T1868" s="84" t="n"/>
      <c r="U1868" s="84" t="n"/>
      <c r="V1868" s="84" t="n"/>
      <c r="W1868" s="84" t="n"/>
      <c r="X1868" s="84" t="n"/>
      <c r="Y1868" s="84" t="n"/>
      <c r="Z1868" s="84" t="n"/>
      <c r="AA1868" s="84" t="n"/>
      <c r="AB1868" s="84" t="n"/>
      <c r="AC1868" s="84" t="n"/>
      <c r="AD1868" s="84" t="n"/>
      <c r="AE1868" s="84" t="n"/>
      <c r="AF1868" s="84" t="n"/>
      <c r="AG1868" s="84" t="n"/>
      <c r="AH1868" s="84" t="n"/>
      <c r="AI1868" s="84" t="n"/>
      <c r="AJ1868" s="84" t="n"/>
      <c r="AK1868" s="84" t="n"/>
      <c r="AL1868" s="84" t="n"/>
      <c r="AM1868" s="84" t="n"/>
      <c r="AN1868" s="84" t="n"/>
      <c r="AO1868" s="84" t="n"/>
      <c r="AP1868" s="84" t="n"/>
      <c r="AQ1868" s="84" t="n"/>
      <c r="AR1868" s="84" t="n"/>
    </row>
    <row r="1869">
      <c r="D1869" s="80" t="n"/>
      <c r="E1869" s="80" t="n"/>
      <c r="F1869" s="80" t="n"/>
      <c r="G1869" s="80" t="n"/>
      <c r="H1869" s="80" t="n"/>
      <c r="I1869" s="80" t="n"/>
      <c r="J1869" s="80" t="n"/>
      <c r="K1869" s="80" t="n"/>
      <c r="L1869" s="80" t="n"/>
      <c r="M1869" s="80" t="n"/>
      <c r="N1869" s="80" t="n"/>
      <c r="O1869" s="80" t="n"/>
      <c r="P1869" s="80" t="n"/>
      <c r="Q1869" s="80" t="n"/>
      <c r="R1869" s="80" t="n"/>
      <c r="S1869" s="80" t="n"/>
      <c r="T1869" s="80" t="n"/>
      <c r="U1869" s="80" t="n"/>
      <c r="V1869" s="80" t="n"/>
      <c r="W1869" s="80" t="n"/>
      <c r="X1869" s="80" t="n"/>
      <c r="Y1869" s="80" t="n"/>
      <c r="Z1869" s="80" t="n"/>
      <c r="AA1869" s="80" t="n"/>
      <c r="AB1869" s="80" t="n"/>
      <c r="AC1869" s="80" t="n"/>
      <c r="AD1869" s="80" t="n"/>
      <c r="AE1869" s="80" t="n"/>
      <c r="AF1869" s="80" t="n"/>
      <c r="AG1869" s="80" t="n"/>
      <c r="AH1869" s="80" t="n"/>
      <c r="AI1869" s="80" t="n"/>
      <c r="AJ1869" s="80" t="n"/>
      <c r="AK1869" s="80" t="n"/>
      <c r="AL1869" s="80" t="n"/>
      <c r="AM1869" s="80" t="n"/>
      <c r="AN1869" s="80" t="n"/>
      <c r="AO1869" s="80" t="n"/>
      <c r="AP1869" s="80" t="n"/>
      <c r="AQ1869" s="80" t="n"/>
      <c r="AR1869" s="80" t="n"/>
    </row>
    <row r="1870">
      <c r="D1870" s="80" t="n"/>
      <c r="E1870" s="80" t="n"/>
      <c r="F1870" s="80" t="n"/>
      <c r="G1870" s="80" t="n"/>
      <c r="H1870" s="80" t="n"/>
      <c r="I1870" s="80" t="n"/>
      <c r="J1870" s="80" t="n"/>
      <c r="K1870" s="80" t="n"/>
      <c r="L1870" s="80" t="n"/>
      <c r="M1870" s="80" t="n"/>
      <c r="N1870" s="80" t="n"/>
      <c r="O1870" s="80" t="n"/>
      <c r="P1870" s="80" t="n"/>
      <c r="Q1870" s="80" t="n"/>
      <c r="R1870" s="80" t="n"/>
      <c r="S1870" s="80" t="n"/>
      <c r="T1870" s="80" t="n"/>
      <c r="U1870" s="80" t="n"/>
      <c r="V1870" s="80" t="n"/>
      <c r="W1870" s="80" t="n"/>
      <c r="X1870" s="80" t="n"/>
      <c r="Y1870" s="80" t="n"/>
      <c r="Z1870" s="80" t="n"/>
      <c r="AA1870" s="80" t="n"/>
      <c r="AB1870" s="80" t="n"/>
      <c r="AC1870" s="80" t="n"/>
      <c r="AD1870" s="80" t="n"/>
      <c r="AE1870" s="80" t="n"/>
      <c r="AF1870" s="80" t="n"/>
      <c r="AG1870" s="80" t="n"/>
      <c r="AH1870" s="80" t="n"/>
      <c r="AI1870" s="80" t="n"/>
      <c r="AJ1870" s="80" t="n"/>
      <c r="AK1870" s="80" t="n"/>
      <c r="AL1870" s="80" t="n"/>
      <c r="AM1870" s="80" t="n"/>
      <c r="AN1870" s="80" t="n"/>
      <c r="AO1870" s="80" t="n"/>
      <c r="AP1870" s="80" t="n"/>
      <c r="AQ1870" s="80" t="n"/>
      <c r="AR1870" s="80" t="n"/>
    </row>
    <row r="1871">
      <c r="D1871" s="80" t="n"/>
      <c r="E1871" s="80" t="n"/>
      <c r="F1871" s="80" t="n"/>
      <c r="G1871" s="80" t="n"/>
      <c r="H1871" s="80" t="n"/>
      <c r="I1871" s="80" t="n"/>
      <c r="J1871" s="80" t="n"/>
      <c r="K1871" s="80" t="n"/>
      <c r="L1871" s="80" t="n"/>
      <c r="M1871" s="80" t="n"/>
      <c r="N1871" s="80" t="n"/>
      <c r="O1871" s="80" t="n"/>
      <c r="P1871" s="80" t="n"/>
      <c r="Q1871" s="80" t="n"/>
      <c r="R1871" s="80" t="n"/>
      <c r="S1871" s="80" t="n"/>
      <c r="T1871" s="80" t="n"/>
      <c r="U1871" s="80" t="n"/>
      <c r="V1871" s="80" t="n"/>
      <c r="W1871" s="80" t="n"/>
      <c r="X1871" s="80" t="n"/>
      <c r="Y1871" s="80" t="n"/>
      <c r="Z1871" s="80" t="n"/>
      <c r="AA1871" s="80" t="n"/>
      <c r="AB1871" s="80" t="n"/>
      <c r="AC1871" s="80" t="n"/>
      <c r="AD1871" s="80" t="n"/>
      <c r="AE1871" s="80" t="n"/>
      <c r="AF1871" s="80" t="n"/>
      <c r="AG1871" s="80" t="n"/>
      <c r="AH1871" s="80" t="n"/>
      <c r="AI1871" s="80" t="n"/>
      <c r="AJ1871" s="80" t="n"/>
      <c r="AK1871" s="80" t="n"/>
      <c r="AL1871" s="80" t="n"/>
      <c r="AM1871" s="80" t="n"/>
      <c r="AN1871" s="80" t="n"/>
      <c r="AO1871" s="80" t="n"/>
      <c r="AP1871" s="80" t="n"/>
      <c r="AQ1871" s="80" t="n"/>
      <c r="AR1871" s="80" t="n"/>
    </row>
    <row r="1872">
      <c r="D1872" s="80" t="n"/>
      <c r="E1872" s="80" t="n"/>
      <c r="F1872" s="80" t="n"/>
      <c r="G1872" s="80" t="n"/>
      <c r="H1872" s="80" t="n"/>
      <c r="I1872" s="80" t="n"/>
      <c r="J1872" s="80" t="n"/>
      <c r="K1872" s="80" t="n"/>
      <c r="L1872" s="80" t="n"/>
      <c r="M1872" s="80" t="n"/>
      <c r="N1872" s="80" t="n"/>
      <c r="O1872" s="80" t="n"/>
      <c r="P1872" s="80" t="n"/>
      <c r="Q1872" s="80" t="n"/>
      <c r="R1872" s="80" t="n"/>
      <c r="S1872" s="80" t="n"/>
      <c r="T1872" s="80" t="n"/>
      <c r="U1872" s="80" t="n"/>
      <c r="V1872" s="80" t="n"/>
      <c r="W1872" s="80" t="n"/>
      <c r="X1872" s="80" t="n"/>
      <c r="Y1872" s="80" t="n"/>
      <c r="Z1872" s="80" t="n"/>
      <c r="AA1872" s="80" t="n"/>
      <c r="AB1872" s="80" t="n"/>
      <c r="AC1872" s="80" t="n"/>
      <c r="AD1872" s="80" t="n"/>
      <c r="AE1872" s="80" t="n"/>
      <c r="AF1872" s="80" t="n"/>
      <c r="AG1872" s="80" t="n"/>
      <c r="AH1872" s="80" t="n"/>
      <c r="AI1872" s="80" t="n"/>
      <c r="AJ1872" s="80" t="n"/>
      <c r="AK1872" s="80" t="n"/>
      <c r="AL1872" s="80" t="n"/>
      <c r="AM1872" s="80" t="n"/>
      <c r="AN1872" s="80" t="n"/>
      <c r="AO1872" s="80" t="n"/>
      <c r="AP1872" s="80" t="n"/>
      <c r="AQ1872" s="80" t="n"/>
      <c r="AR1872" s="80" t="n"/>
    </row>
    <row r="1874">
      <c r="A1874" s="6">
        <f>IF(HSTECH!$C$31="","",HSTECH!$C$31)</f>
        <v/>
      </c>
      <c r="B1874" s="41">
        <f>IF($A1874="",0,COUNT($E1875:$AR1875))</f>
        <v/>
      </c>
      <c r="C1874" s="81">
        <f>IF($B1874=0,0,MAX($E1875:$AR1875))</f>
        <v/>
      </c>
      <c r="D1874" s="82">
        <f>BDS($A1874,'Field Check'!$C$7,"headers=y","startcol=1","endcol=7","dir=h","DVD_START_DT",Summary!$C$18,"DVD_END_DT",Summary!$D$18)</f>
        <v/>
      </c>
      <c r="E1874" s="83" t="n"/>
      <c r="F1874" s="83" t="n"/>
      <c r="G1874" s="83" t="n"/>
      <c r="H1874" s="83" t="n"/>
      <c r="I1874" s="83" t="n"/>
      <c r="J1874" s="83" t="n"/>
      <c r="K1874" s="83" t="n"/>
      <c r="L1874" s="83" t="n"/>
      <c r="M1874" s="83" t="n"/>
      <c r="N1874" s="83" t="n"/>
      <c r="O1874" s="83" t="n"/>
      <c r="P1874" s="83" t="n"/>
      <c r="Q1874" s="83" t="n"/>
      <c r="R1874" s="83" t="n"/>
      <c r="S1874" s="83" t="n"/>
      <c r="T1874" s="83" t="n"/>
      <c r="U1874" s="83" t="n"/>
      <c r="V1874" s="83" t="n"/>
      <c r="W1874" s="83" t="n"/>
      <c r="X1874" s="83" t="n"/>
      <c r="Y1874" s="83" t="n"/>
      <c r="Z1874" s="83" t="n"/>
      <c r="AA1874" s="83" t="n"/>
      <c r="AB1874" s="83" t="n"/>
      <c r="AC1874" s="83" t="n"/>
      <c r="AD1874" s="83" t="n"/>
      <c r="AE1874" s="83" t="n"/>
      <c r="AF1874" s="83" t="n"/>
      <c r="AG1874" s="83" t="n"/>
      <c r="AH1874" s="83" t="n"/>
      <c r="AI1874" s="83" t="n"/>
      <c r="AJ1874" s="83" t="n"/>
      <c r="AK1874" s="83" t="n"/>
      <c r="AL1874" s="83" t="n"/>
      <c r="AM1874" s="83" t="n"/>
      <c r="AN1874" s="83" t="n"/>
      <c r="AO1874" s="83" t="n"/>
      <c r="AP1874" s="83" t="n"/>
      <c r="AQ1874" s="83" t="n"/>
      <c r="AR1874" s="83" t="n"/>
    </row>
    <row r="1875">
      <c r="D1875" s="83" t="n"/>
      <c r="E1875" s="83" t="n"/>
      <c r="F1875" s="83" t="n"/>
      <c r="G1875" s="83" t="n"/>
      <c r="H1875" s="83" t="n"/>
      <c r="I1875" s="83" t="n"/>
      <c r="J1875" s="83" t="n"/>
      <c r="K1875" s="83" t="n"/>
      <c r="L1875" s="83" t="n"/>
      <c r="M1875" s="83" t="n"/>
      <c r="N1875" s="83" t="n"/>
      <c r="O1875" s="83" t="n"/>
      <c r="P1875" s="83" t="n"/>
      <c r="Q1875" s="83" t="n"/>
      <c r="R1875" s="83" t="n"/>
      <c r="S1875" s="83" t="n"/>
      <c r="T1875" s="83" t="n"/>
      <c r="U1875" s="83" t="n"/>
      <c r="V1875" s="83" t="n"/>
      <c r="W1875" s="83" t="n"/>
      <c r="X1875" s="83" t="n"/>
      <c r="Y1875" s="83" t="n"/>
      <c r="Z1875" s="83" t="n"/>
      <c r="AA1875" s="83" t="n"/>
      <c r="AB1875" s="83" t="n"/>
      <c r="AC1875" s="83" t="n"/>
      <c r="AD1875" s="83" t="n"/>
      <c r="AE1875" s="83" t="n"/>
      <c r="AF1875" s="83" t="n"/>
      <c r="AG1875" s="83" t="n"/>
      <c r="AH1875" s="83" t="n"/>
      <c r="AI1875" s="83" t="n"/>
      <c r="AJ1875" s="83" t="n"/>
      <c r="AK1875" s="83" t="n"/>
      <c r="AL1875" s="83" t="n"/>
      <c r="AM1875" s="83" t="n"/>
      <c r="AN1875" s="83" t="n"/>
      <c r="AO1875" s="83" t="n"/>
      <c r="AP1875" s="83" t="n"/>
      <c r="AQ1875" s="83" t="n"/>
      <c r="AR1875" s="83" t="n"/>
    </row>
    <row r="1876">
      <c r="D1876" s="84" t="n"/>
      <c r="E1876" s="84" t="n"/>
      <c r="F1876" s="84" t="n"/>
      <c r="G1876" s="84" t="n"/>
      <c r="H1876" s="84" t="n"/>
      <c r="I1876" s="84" t="n"/>
      <c r="J1876" s="84" t="n"/>
      <c r="K1876" s="84" t="n"/>
      <c r="L1876" s="84" t="n"/>
      <c r="M1876" s="84" t="n"/>
      <c r="N1876" s="84" t="n"/>
      <c r="O1876" s="84" t="n"/>
      <c r="P1876" s="84" t="n"/>
      <c r="Q1876" s="84" t="n"/>
      <c r="R1876" s="84" t="n"/>
      <c r="S1876" s="84" t="n"/>
      <c r="T1876" s="84" t="n"/>
      <c r="U1876" s="84" t="n"/>
      <c r="V1876" s="84" t="n"/>
      <c r="W1876" s="84" t="n"/>
      <c r="X1876" s="84" t="n"/>
      <c r="Y1876" s="84" t="n"/>
      <c r="Z1876" s="84" t="n"/>
      <c r="AA1876" s="84" t="n"/>
      <c r="AB1876" s="84" t="n"/>
      <c r="AC1876" s="84" t="n"/>
      <c r="AD1876" s="84" t="n"/>
      <c r="AE1876" s="84" t="n"/>
      <c r="AF1876" s="84" t="n"/>
      <c r="AG1876" s="84" t="n"/>
      <c r="AH1876" s="84" t="n"/>
      <c r="AI1876" s="84" t="n"/>
      <c r="AJ1876" s="84" t="n"/>
      <c r="AK1876" s="84" t="n"/>
      <c r="AL1876" s="84" t="n"/>
      <c r="AM1876" s="84" t="n"/>
      <c r="AN1876" s="84" t="n"/>
      <c r="AO1876" s="84" t="n"/>
      <c r="AP1876" s="84" t="n"/>
      <c r="AQ1876" s="84" t="n"/>
      <c r="AR1876" s="84" t="n"/>
    </row>
    <row r="1877">
      <c r="D1877" s="80" t="n"/>
      <c r="E1877" s="80" t="n"/>
      <c r="F1877" s="80" t="n"/>
      <c r="G1877" s="80" t="n"/>
      <c r="H1877" s="80" t="n"/>
      <c r="I1877" s="80" t="n"/>
      <c r="J1877" s="80" t="n"/>
      <c r="K1877" s="80" t="n"/>
      <c r="L1877" s="80" t="n"/>
      <c r="M1877" s="80" t="n"/>
      <c r="N1877" s="80" t="n"/>
      <c r="O1877" s="80" t="n"/>
      <c r="P1877" s="80" t="n"/>
      <c r="Q1877" s="80" t="n"/>
      <c r="R1877" s="80" t="n"/>
      <c r="S1877" s="80" t="n"/>
      <c r="T1877" s="80" t="n"/>
      <c r="U1877" s="80" t="n"/>
      <c r="V1877" s="80" t="n"/>
      <c r="W1877" s="80" t="n"/>
      <c r="X1877" s="80" t="n"/>
      <c r="Y1877" s="80" t="n"/>
      <c r="Z1877" s="80" t="n"/>
      <c r="AA1877" s="80" t="n"/>
      <c r="AB1877" s="80" t="n"/>
      <c r="AC1877" s="80" t="n"/>
      <c r="AD1877" s="80" t="n"/>
      <c r="AE1877" s="80" t="n"/>
      <c r="AF1877" s="80" t="n"/>
      <c r="AG1877" s="80" t="n"/>
      <c r="AH1877" s="80" t="n"/>
      <c r="AI1877" s="80" t="n"/>
      <c r="AJ1877" s="80" t="n"/>
      <c r="AK1877" s="80" t="n"/>
      <c r="AL1877" s="80" t="n"/>
      <c r="AM1877" s="80" t="n"/>
      <c r="AN1877" s="80" t="n"/>
      <c r="AO1877" s="80" t="n"/>
      <c r="AP1877" s="80" t="n"/>
      <c r="AQ1877" s="80" t="n"/>
      <c r="AR1877" s="80" t="n"/>
    </row>
    <row r="1878">
      <c r="D1878" s="80" t="n"/>
      <c r="E1878" s="80" t="n"/>
      <c r="F1878" s="80" t="n"/>
      <c r="G1878" s="80" t="n"/>
      <c r="H1878" s="80" t="n"/>
      <c r="I1878" s="80" t="n"/>
      <c r="J1878" s="80" t="n"/>
      <c r="K1878" s="80" t="n"/>
      <c r="L1878" s="80" t="n"/>
      <c r="M1878" s="80" t="n"/>
      <c r="N1878" s="80" t="n"/>
      <c r="O1878" s="80" t="n"/>
      <c r="P1878" s="80" t="n"/>
      <c r="Q1878" s="80" t="n"/>
      <c r="R1878" s="80" t="n"/>
      <c r="S1878" s="80" t="n"/>
      <c r="T1878" s="80" t="n"/>
      <c r="U1878" s="80" t="n"/>
      <c r="V1878" s="80" t="n"/>
      <c r="W1878" s="80" t="n"/>
      <c r="X1878" s="80" t="n"/>
      <c r="Y1878" s="80" t="n"/>
      <c r="Z1878" s="80" t="n"/>
      <c r="AA1878" s="80" t="n"/>
      <c r="AB1878" s="80" t="n"/>
      <c r="AC1878" s="80" t="n"/>
      <c r="AD1878" s="80" t="n"/>
      <c r="AE1878" s="80" t="n"/>
      <c r="AF1878" s="80" t="n"/>
      <c r="AG1878" s="80" t="n"/>
      <c r="AH1878" s="80" t="n"/>
      <c r="AI1878" s="80" t="n"/>
      <c r="AJ1878" s="80" t="n"/>
      <c r="AK1878" s="80" t="n"/>
      <c r="AL1878" s="80" t="n"/>
      <c r="AM1878" s="80" t="n"/>
      <c r="AN1878" s="80" t="n"/>
      <c r="AO1878" s="80" t="n"/>
      <c r="AP1878" s="80" t="n"/>
      <c r="AQ1878" s="80" t="n"/>
      <c r="AR1878" s="80" t="n"/>
    </row>
    <row r="1879">
      <c r="D1879" s="80" t="n"/>
      <c r="E1879" s="80" t="n"/>
      <c r="F1879" s="80" t="n"/>
      <c r="G1879" s="80" t="n"/>
      <c r="H1879" s="80" t="n"/>
      <c r="I1879" s="80" t="n"/>
      <c r="J1879" s="80" t="n"/>
      <c r="K1879" s="80" t="n"/>
      <c r="L1879" s="80" t="n"/>
      <c r="M1879" s="80" t="n"/>
      <c r="N1879" s="80" t="n"/>
      <c r="O1879" s="80" t="n"/>
      <c r="P1879" s="80" t="n"/>
      <c r="Q1879" s="80" t="n"/>
      <c r="R1879" s="80" t="n"/>
      <c r="S1879" s="80" t="n"/>
      <c r="T1879" s="80" t="n"/>
      <c r="U1879" s="80" t="n"/>
      <c r="V1879" s="80" t="n"/>
      <c r="W1879" s="80" t="n"/>
      <c r="X1879" s="80" t="n"/>
      <c r="Y1879" s="80" t="n"/>
      <c r="Z1879" s="80" t="n"/>
      <c r="AA1879" s="80" t="n"/>
      <c r="AB1879" s="80" t="n"/>
      <c r="AC1879" s="80" t="n"/>
      <c r="AD1879" s="80" t="n"/>
      <c r="AE1879" s="80" t="n"/>
      <c r="AF1879" s="80" t="n"/>
      <c r="AG1879" s="80" t="n"/>
      <c r="AH1879" s="80" t="n"/>
      <c r="AI1879" s="80" t="n"/>
      <c r="AJ1879" s="80" t="n"/>
      <c r="AK1879" s="80" t="n"/>
      <c r="AL1879" s="80" t="n"/>
      <c r="AM1879" s="80" t="n"/>
      <c r="AN1879" s="80" t="n"/>
      <c r="AO1879" s="80" t="n"/>
      <c r="AP1879" s="80" t="n"/>
      <c r="AQ1879" s="80" t="n"/>
      <c r="AR1879" s="80" t="n"/>
    </row>
    <row r="1880">
      <c r="D1880" s="80" t="n"/>
      <c r="E1880" s="80" t="n"/>
      <c r="F1880" s="80" t="n"/>
      <c r="G1880" s="80" t="n"/>
      <c r="H1880" s="80" t="n"/>
      <c r="I1880" s="80" t="n"/>
      <c r="J1880" s="80" t="n"/>
      <c r="K1880" s="80" t="n"/>
      <c r="L1880" s="80" t="n"/>
      <c r="M1880" s="80" t="n"/>
      <c r="N1880" s="80" t="n"/>
      <c r="O1880" s="80" t="n"/>
      <c r="P1880" s="80" t="n"/>
      <c r="Q1880" s="80" t="n"/>
      <c r="R1880" s="80" t="n"/>
      <c r="S1880" s="80" t="n"/>
      <c r="T1880" s="80" t="n"/>
      <c r="U1880" s="80" t="n"/>
      <c r="V1880" s="80" t="n"/>
      <c r="W1880" s="80" t="n"/>
      <c r="X1880" s="80" t="n"/>
      <c r="Y1880" s="80" t="n"/>
      <c r="Z1880" s="80" t="n"/>
      <c r="AA1880" s="80" t="n"/>
      <c r="AB1880" s="80" t="n"/>
      <c r="AC1880" s="80" t="n"/>
      <c r="AD1880" s="80" t="n"/>
      <c r="AE1880" s="80" t="n"/>
      <c r="AF1880" s="80" t="n"/>
      <c r="AG1880" s="80" t="n"/>
      <c r="AH1880" s="80" t="n"/>
      <c r="AI1880" s="80" t="n"/>
      <c r="AJ1880" s="80" t="n"/>
      <c r="AK1880" s="80" t="n"/>
      <c r="AL1880" s="80" t="n"/>
      <c r="AM1880" s="80" t="n"/>
      <c r="AN1880" s="80" t="n"/>
      <c r="AO1880" s="80" t="n"/>
      <c r="AP1880" s="80" t="n"/>
      <c r="AQ1880" s="80" t="n"/>
      <c r="AR1880" s="80" t="n"/>
    </row>
    <row r="1881">
      <c r="A1881" s="2">
        <f>IF($A1874="","","   projections")</f>
        <v/>
      </c>
      <c r="B1881" s="41">
        <f>IF($A1874="",0,COUNT($E1882:$AR1882))</f>
        <v/>
      </c>
      <c r="C1881" s="81">
        <f>IF($B1881=0,0,MAX($E1882:$AR1882))</f>
        <v/>
      </c>
      <c r="D1881" s="82">
        <f>BDS($A1874,'Field Check'!$C$6,"headers=y","startcol=1","endcol=7","dir=h")</f>
        <v/>
      </c>
      <c r="E1881" s="83" t="n"/>
      <c r="F1881" s="83" t="n"/>
      <c r="G1881" s="83" t="n"/>
      <c r="H1881" s="83" t="n"/>
      <c r="I1881" s="83" t="n"/>
      <c r="J1881" s="83" t="n"/>
      <c r="K1881" s="83" t="n"/>
      <c r="L1881" s="83" t="n"/>
      <c r="M1881" s="83" t="n"/>
      <c r="N1881" s="83" t="n"/>
      <c r="O1881" s="83" t="n"/>
      <c r="P1881" s="83" t="n"/>
      <c r="Q1881" s="83" t="n"/>
      <c r="R1881" s="83" t="n"/>
      <c r="S1881" s="83" t="n"/>
      <c r="T1881" s="83" t="n"/>
      <c r="U1881" s="83" t="n"/>
      <c r="V1881" s="83" t="n"/>
      <c r="W1881" s="83" t="n"/>
      <c r="X1881" s="83" t="n"/>
      <c r="Y1881" s="83" t="n"/>
      <c r="Z1881" s="83" t="n"/>
      <c r="AA1881" s="83" t="n"/>
      <c r="AB1881" s="83" t="n"/>
      <c r="AC1881" s="83" t="n"/>
      <c r="AD1881" s="83" t="n"/>
      <c r="AE1881" s="83" t="n"/>
      <c r="AF1881" s="83" t="n"/>
      <c r="AG1881" s="83" t="n"/>
      <c r="AH1881" s="83" t="n"/>
      <c r="AI1881" s="83" t="n"/>
      <c r="AJ1881" s="83" t="n"/>
      <c r="AK1881" s="83" t="n"/>
      <c r="AL1881" s="83" t="n"/>
      <c r="AM1881" s="83" t="n"/>
      <c r="AN1881" s="83" t="n"/>
      <c r="AO1881" s="83" t="n"/>
      <c r="AP1881" s="83" t="n"/>
      <c r="AQ1881" s="83" t="n"/>
      <c r="AR1881" s="83" t="n"/>
    </row>
    <row r="1882">
      <c r="D1882" s="83" t="n"/>
      <c r="E1882" s="83" t="n"/>
      <c r="F1882" s="83" t="n"/>
      <c r="G1882" s="83" t="n"/>
      <c r="H1882" s="83" t="n"/>
      <c r="I1882" s="83" t="n"/>
      <c r="J1882" s="83" t="n"/>
      <c r="K1882" s="83" t="n"/>
      <c r="L1882" s="83" t="n"/>
      <c r="M1882" s="83" t="n"/>
      <c r="N1882" s="83" t="n"/>
      <c r="O1882" s="83" t="n"/>
      <c r="P1882" s="83" t="n"/>
      <c r="Q1882" s="83" t="n"/>
      <c r="R1882" s="83" t="n"/>
      <c r="S1882" s="83" t="n"/>
      <c r="T1882" s="83" t="n"/>
      <c r="U1882" s="83" t="n"/>
      <c r="V1882" s="83" t="n"/>
      <c r="W1882" s="83" t="n"/>
      <c r="X1882" s="83" t="n"/>
      <c r="Y1882" s="83" t="n"/>
      <c r="Z1882" s="83" t="n"/>
      <c r="AA1882" s="83" t="n"/>
      <c r="AB1882" s="83" t="n"/>
      <c r="AC1882" s="83" t="n"/>
      <c r="AD1882" s="83" t="n"/>
      <c r="AE1882" s="83" t="n"/>
      <c r="AF1882" s="83" t="n"/>
      <c r="AG1882" s="83" t="n"/>
      <c r="AH1882" s="83" t="n"/>
      <c r="AI1882" s="83" t="n"/>
      <c r="AJ1882" s="83" t="n"/>
      <c r="AK1882" s="83" t="n"/>
      <c r="AL1882" s="83" t="n"/>
      <c r="AM1882" s="83" t="n"/>
      <c r="AN1882" s="83" t="n"/>
      <c r="AO1882" s="83" t="n"/>
      <c r="AP1882" s="83" t="n"/>
      <c r="AQ1882" s="83" t="n"/>
      <c r="AR1882" s="83" t="n"/>
    </row>
    <row r="1883">
      <c r="D1883" s="84" t="n"/>
      <c r="E1883" s="84" t="n"/>
      <c r="F1883" s="84" t="n"/>
      <c r="G1883" s="84" t="n"/>
      <c r="H1883" s="84" t="n"/>
      <c r="I1883" s="84" t="n"/>
      <c r="J1883" s="84" t="n"/>
      <c r="K1883" s="84" t="n"/>
      <c r="L1883" s="84" t="n"/>
      <c r="M1883" s="84" t="n"/>
      <c r="N1883" s="84" t="n"/>
      <c r="O1883" s="84" t="n"/>
      <c r="P1883" s="84" t="n"/>
      <c r="Q1883" s="84" t="n"/>
      <c r="R1883" s="84" t="n"/>
      <c r="S1883" s="84" t="n"/>
      <c r="T1883" s="84" t="n"/>
      <c r="U1883" s="84" t="n"/>
      <c r="V1883" s="84" t="n"/>
      <c r="W1883" s="84" t="n"/>
      <c r="X1883" s="84" t="n"/>
      <c r="Y1883" s="84" t="n"/>
      <c r="Z1883" s="84" t="n"/>
      <c r="AA1883" s="84" t="n"/>
      <c r="AB1883" s="84" t="n"/>
      <c r="AC1883" s="84" t="n"/>
      <c r="AD1883" s="84" t="n"/>
      <c r="AE1883" s="84" t="n"/>
      <c r="AF1883" s="84" t="n"/>
      <c r="AG1883" s="84" t="n"/>
      <c r="AH1883" s="84" t="n"/>
      <c r="AI1883" s="84" t="n"/>
      <c r="AJ1883" s="84" t="n"/>
      <c r="AK1883" s="84" t="n"/>
      <c r="AL1883" s="84" t="n"/>
      <c r="AM1883" s="84" t="n"/>
      <c r="AN1883" s="84" t="n"/>
      <c r="AO1883" s="84" t="n"/>
      <c r="AP1883" s="84" t="n"/>
      <c r="AQ1883" s="84" t="n"/>
      <c r="AR1883" s="84" t="n"/>
    </row>
    <row r="1884">
      <c r="D1884" s="80" t="n"/>
      <c r="E1884" s="80" t="n"/>
      <c r="F1884" s="80" t="n"/>
      <c r="G1884" s="80" t="n"/>
      <c r="H1884" s="80" t="n"/>
      <c r="I1884" s="80" t="n"/>
      <c r="J1884" s="80" t="n"/>
      <c r="K1884" s="80" t="n"/>
      <c r="L1884" s="80" t="n"/>
      <c r="M1884" s="80" t="n"/>
      <c r="N1884" s="80" t="n"/>
      <c r="O1884" s="80" t="n"/>
      <c r="P1884" s="80" t="n"/>
      <c r="Q1884" s="80" t="n"/>
      <c r="R1884" s="80" t="n"/>
      <c r="S1884" s="80" t="n"/>
      <c r="T1884" s="80" t="n"/>
      <c r="U1884" s="80" t="n"/>
      <c r="V1884" s="80" t="n"/>
      <c r="W1884" s="80" t="n"/>
      <c r="X1884" s="80" t="n"/>
      <c r="Y1884" s="80" t="n"/>
      <c r="Z1884" s="80" t="n"/>
      <c r="AA1884" s="80" t="n"/>
      <c r="AB1884" s="80" t="n"/>
      <c r="AC1884" s="80" t="n"/>
      <c r="AD1884" s="80" t="n"/>
      <c r="AE1884" s="80" t="n"/>
      <c r="AF1884" s="80" t="n"/>
      <c r="AG1884" s="80" t="n"/>
      <c r="AH1884" s="80" t="n"/>
      <c r="AI1884" s="80" t="n"/>
      <c r="AJ1884" s="80" t="n"/>
      <c r="AK1884" s="80" t="n"/>
      <c r="AL1884" s="80" t="n"/>
      <c r="AM1884" s="80" t="n"/>
      <c r="AN1884" s="80" t="n"/>
      <c r="AO1884" s="80" t="n"/>
      <c r="AP1884" s="80" t="n"/>
      <c r="AQ1884" s="80" t="n"/>
      <c r="AR1884" s="80" t="n"/>
    </row>
    <row r="1885">
      <c r="D1885" s="80" t="n"/>
      <c r="E1885" s="80" t="n"/>
      <c r="F1885" s="80" t="n"/>
      <c r="G1885" s="80" t="n"/>
      <c r="H1885" s="80" t="n"/>
      <c r="I1885" s="80" t="n"/>
      <c r="J1885" s="80" t="n"/>
      <c r="K1885" s="80" t="n"/>
      <c r="L1885" s="80" t="n"/>
      <c r="M1885" s="80" t="n"/>
      <c r="N1885" s="80" t="n"/>
      <c r="O1885" s="80" t="n"/>
      <c r="P1885" s="80" t="n"/>
      <c r="Q1885" s="80" t="n"/>
      <c r="R1885" s="80" t="n"/>
      <c r="S1885" s="80" t="n"/>
      <c r="T1885" s="80" t="n"/>
      <c r="U1885" s="80" t="n"/>
      <c r="V1885" s="80" t="n"/>
      <c r="W1885" s="80" t="n"/>
      <c r="X1885" s="80" t="n"/>
      <c r="Y1885" s="80" t="n"/>
      <c r="Z1885" s="80" t="n"/>
      <c r="AA1885" s="80" t="n"/>
      <c r="AB1885" s="80" t="n"/>
      <c r="AC1885" s="80" t="n"/>
      <c r="AD1885" s="80" t="n"/>
      <c r="AE1885" s="80" t="n"/>
      <c r="AF1885" s="80" t="n"/>
      <c r="AG1885" s="80" t="n"/>
      <c r="AH1885" s="80" t="n"/>
      <c r="AI1885" s="80" t="n"/>
      <c r="AJ1885" s="80" t="n"/>
      <c r="AK1885" s="80" t="n"/>
      <c r="AL1885" s="80" t="n"/>
      <c r="AM1885" s="80" t="n"/>
      <c r="AN1885" s="80" t="n"/>
      <c r="AO1885" s="80" t="n"/>
      <c r="AP1885" s="80" t="n"/>
      <c r="AQ1885" s="80" t="n"/>
      <c r="AR1885" s="80" t="n"/>
    </row>
    <row r="1886">
      <c r="D1886" s="80" t="n"/>
      <c r="E1886" s="80" t="n"/>
      <c r="F1886" s="80" t="n"/>
      <c r="G1886" s="80" t="n"/>
      <c r="H1886" s="80" t="n"/>
      <c r="I1886" s="80" t="n"/>
      <c r="J1886" s="80" t="n"/>
      <c r="K1886" s="80" t="n"/>
      <c r="L1886" s="80" t="n"/>
      <c r="M1886" s="80" t="n"/>
      <c r="N1886" s="80" t="n"/>
      <c r="O1886" s="80" t="n"/>
      <c r="P1886" s="80" t="n"/>
      <c r="Q1886" s="80" t="n"/>
      <c r="R1886" s="80" t="n"/>
      <c r="S1886" s="80" t="n"/>
      <c r="T1886" s="80" t="n"/>
      <c r="U1886" s="80" t="n"/>
      <c r="V1886" s="80" t="n"/>
      <c r="W1886" s="80" t="n"/>
      <c r="X1886" s="80" t="n"/>
      <c r="Y1886" s="80" t="n"/>
      <c r="Z1886" s="80" t="n"/>
      <c r="AA1886" s="80" t="n"/>
      <c r="AB1886" s="80" t="n"/>
      <c r="AC1886" s="80" t="n"/>
      <c r="AD1886" s="80" t="n"/>
      <c r="AE1886" s="80" t="n"/>
      <c r="AF1886" s="80" t="n"/>
      <c r="AG1886" s="80" t="n"/>
      <c r="AH1886" s="80" t="n"/>
      <c r="AI1886" s="80" t="n"/>
      <c r="AJ1886" s="80" t="n"/>
      <c r="AK1886" s="80" t="n"/>
      <c r="AL1886" s="80" t="n"/>
      <c r="AM1886" s="80" t="n"/>
      <c r="AN1886" s="80" t="n"/>
      <c r="AO1886" s="80" t="n"/>
      <c r="AP1886" s="80" t="n"/>
      <c r="AQ1886" s="80" t="n"/>
      <c r="AR1886" s="80" t="n"/>
    </row>
    <row r="1887">
      <c r="D1887" s="80" t="n"/>
      <c r="E1887" s="80" t="n"/>
      <c r="F1887" s="80" t="n"/>
      <c r="G1887" s="80" t="n"/>
      <c r="H1887" s="80" t="n"/>
      <c r="I1887" s="80" t="n"/>
      <c r="J1887" s="80" t="n"/>
      <c r="K1887" s="80" t="n"/>
      <c r="L1887" s="80" t="n"/>
      <c r="M1887" s="80" t="n"/>
      <c r="N1887" s="80" t="n"/>
      <c r="O1887" s="80" t="n"/>
      <c r="P1887" s="80" t="n"/>
      <c r="Q1887" s="80" t="n"/>
      <c r="R1887" s="80" t="n"/>
      <c r="S1887" s="80" t="n"/>
      <c r="T1887" s="80" t="n"/>
      <c r="U1887" s="80" t="n"/>
      <c r="V1887" s="80" t="n"/>
      <c r="W1887" s="80" t="n"/>
      <c r="X1887" s="80" t="n"/>
      <c r="Y1887" s="80" t="n"/>
      <c r="Z1887" s="80" t="n"/>
      <c r="AA1887" s="80" t="n"/>
      <c r="AB1887" s="80" t="n"/>
      <c r="AC1887" s="80" t="n"/>
      <c r="AD1887" s="80" t="n"/>
      <c r="AE1887" s="80" t="n"/>
      <c r="AF1887" s="80" t="n"/>
      <c r="AG1887" s="80" t="n"/>
      <c r="AH1887" s="80" t="n"/>
      <c r="AI1887" s="80" t="n"/>
      <c r="AJ1887" s="80" t="n"/>
      <c r="AK1887" s="80" t="n"/>
      <c r="AL1887" s="80" t="n"/>
      <c r="AM1887" s="80" t="n"/>
      <c r="AN1887" s="80" t="n"/>
      <c r="AO1887" s="80" t="n"/>
      <c r="AP1887" s="80" t="n"/>
      <c r="AQ1887" s="80" t="n"/>
      <c r="AR1887" s="80" t="n"/>
    </row>
    <row r="1889">
      <c r="A1889" s="6">
        <f>IF(HSTECH!$C$32="","",HSTECH!$C$32)</f>
        <v/>
      </c>
      <c r="B1889" s="41">
        <f>IF($A1889="",0,COUNT($E1890:$AR1890))</f>
        <v/>
      </c>
      <c r="C1889" s="81">
        <f>IF($B1889=0,0,MAX($E1890:$AR1890))</f>
        <v/>
      </c>
      <c r="D1889" s="82">
        <f>BDS($A1889,'Field Check'!$C$7,"headers=y","startcol=1","endcol=7","dir=h","DVD_START_DT",Summary!$C$18,"DVD_END_DT",Summary!$D$18)</f>
        <v/>
      </c>
      <c r="E1889" s="83" t="n"/>
      <c r="F1889" s="83" t="n"/>
      <c r="G1889" s="83" t="n"/>
      <c r="H1889" s="83" t="n"/>
      <c r="I1889" s="83" t="n"/>
      <c r="J1889" s="83" t="n"/>
      <c r="K1889" s="83" t="n"/>
      <c r="L1889" s="83" t="n"/>
      <c r="M1889" s="83" t="n"/>
      <c r="N1889" s="83" t="n"/>
      <c r="O1889" s="83" t="n"/>
      <c r="P1889" s="83" t="n"/>
      <c r="Q1889" s="83" t="n"/>
      <c r="R1889" s="83" t="n"/>
      <c r="S1889" s="83" t="n"/>
      <c r="T1889" s="83" t="n"/>
      <c r="U1889" s="83" t="n"/>
      <c r="V1889" s="83" t="n"/>
      <c r="W1889" s="83" t="n"/>
      <c r="X1889" s="83" t="n"/>
      <c r="Y1889" s="83" t="n"/>
      <c r="Z1889" s="83" t="n"/>
      <c r="AA1889" s="83" t="n"/>
      <c r="AB1889" s="83" t="n"/>
      <c r="AC1889" s="83" t="n"/>
      <c r="AD1889" s="83" t="n"/>
      <c r="AE1889" s="83" t="n"/>
      <c r="AF1889" s="83" t="n"/>
      <c r="AG1889" s="83" t="n"/>
      <c r="AH1889" s="83" t="n"/>
      <c r="AI1889" s="83" t="n"/>
      <c r="AJ1889" s="83" t="n"/>
      <c r="AK1889" s="83" t="n"/>
      <c r="AL1889" s="83" t="n"/>
      <c r="AM1889" s="83" t="n"/>
      <c r="AN1889" s="83" t="n"/>
      <c r="AO1889" s="83" t="n"/>
      <c r="AP1889" s="83" t="n"/>
      <c r="AQ1889" s="83" t="n"/>
      <c r="AR1889" s="83" t="n"/>
    </row>
    <row r="1890">
      <c r="D1890" s="83" t="n"/>
      <c r="E1890" s="83" t="n"/>
      <c r="F1890" s="83" t="n"/>
      <c r="G1890" s="83" t="n"/>
      <c r="H1890" s="83" t="n"/>
      <c r="I1890" s="83" t="n"/>
      <c r="J1890" s="83" t="n"/>
      <c r="K1890" s="83" t="n"/>
      <c r="L1890" s="83" t="n"/>
      <c r="M1890" s="83" t="n"/>
      <c r="N1890" s="83" t="n"/>
      <c r="O1890" s="83" t="n"/>
      <c r="P1890" s="83" t="n"/>
      <c r="Q1890" s="83" t="n"/>
      <c r="R1890" s="83" t="n"/>
      <c r="S1890" s="83" t="n"/>
      <c r="T1890" s="83" t="n"/>
      <c r="U1890" s="83" t="n"/>
      <c r="V1890" s="83" t="n"/>
      <c r="W1890" s="83" t="n"/>
      <c r="X1890" s="83" t="n"/>
      <c r="Y1890" s="83" t="n"/>
      <c r="Z1890" s="83" t="n"/>
      <c r="AA1890" s="83" t="n"/>
      <c r="AB1890" s="83" t="n"/>
      <c r="AC1890" s="83" t="n"/>
      <c r="AD1890" s="83" t="n"/>
      <c r="AE1890" s="83" t="n"/>
      <c r="AF1890" s="83" t="n"/>
      <c r="AG1890" s="83" t="n"/>
      <c r="AH1890" s="83" t="n"/>
      <c r="AI1890" s="83" t="n"/>
      <c r="AJ1890" s="83" t="n"/>
      <c r="AK1890" s="83" t="n"/>
      <c r="AL1890" s="83" t="n"/>
      <c r="AM1890" s="83" t="n"/>
      <c r="AN1890" s="83" t="n"/>
      <c r="AO1890" s="83" t="n"/>
      <c r="AP1890" s="83" t="n"/>
      <c r="AQ1890" s="83" t="n"/>
      <c r="AR1890" s="83" t="n"/>
    </row>
    <row r="1891">
      <c r="D1891" s="84" t="n"/>
      <c r="E1891" s="84" t="n"/>
      <c r="F1891" s="84" t="n"/>
      <c r="G1891" s="84" t="n"/>
      <c r="H1891" s="84" t="n"/>
      <c r="I1891" s="84" t="n"/>
      <c r="J1891" s="84" t="n"/>
      <c r="K1891" s="84" t="n"/>
      <c r="L1891" s="84" t="n"/>
      <c r="M1891" s="84" t="n"/>
      <c r="N1891" s="84" t="n"/>
      <c r="O1891" s="84" t="n"/>
      <c r="P1891" s="84" t="n"/>
      <c r="Q1891" s="84" t="n"/>
      <c r="R1891" s="84" t="n"/>
      <c r="S1891" s="84" t="n"/>
      <c r="T1891" s="84" t="n"/>
      <c r="U1891" s="84" t="n"/>
      <c r="V1891" s="84" t="n"/>
      <c r="W1891" s="84" t="n"/>
      <c r="X1891" s="84" t="n"/>
      <c r="Y1891" s="84" t="n"/>
      <c r="Z1891" s="84" t="n"/>
      <c r="AA1891" s="84" t="n"/>
      <c r="AB1891" s="84" t="n"/>
      <c r="AC1891" s="84" t="n"/>
      <c r="AD1891" s="84" t="n"/>
      <c r="AE1891" s="84" t="n"/>
      <c r="AF1891" s="84" t="n"/>
      <c r="AG1891" s="84" t="n"/>
      <c r="AH1891" s="84" t="n"/>
      <c r="AI1891" s="84" t="n"/>
      <c r="AJ1891" s="84" t="n"/>
      <c r="AK1891" s="84" t="n"/>
      <c r="AL1891" s="84" t="n"/>
      <c r="AM1891" s="84" t="n"/>
      <c r="AN1891" s="84" t="n"/>
      <c r="AO1891" s="84" t="n"/>
      <c r="AP1891" s="84" t="n"/>
      <c r="AQ1891" s="84" t="n"/>
      <c r="AR1891" s="84" t="n"/>
    </row>
    <row r="1892">
      <c r="D1892" s="80" t="n"/>
      <c r="E1892" s="80" t="n"/>
      <c r="F1892" s="80" t="n"/>
      <c r="G1892" s="80" t="n"/>
      <c r="H1892" s="80" t="n"/>
      <c r="I1892" s="80" t="n"/>
      <c r="J1892" s="80" t="n"/>
      <c r="K1892" s="80" t="n"/>
      <c r="L1892" s="80" t="n"/>
      <c r="M1892" s="80" t="n"/>
      <c r="N1892" s="80" t="n"/>
      <c r="O1892" s="80" t="n"/>
      <c r="P1892" s="80" t="n"/>
      <c r="Q1892" s="80" t="n"/>
      <c r="R1892" s="80" t="n"/>
      <c r="S1892" s="80" t="n"/>
      <c r="T1892" s="80" t="n"/>
      <c r="U1892" s="80" t="n"/>
      <c r="V1892" s="80" t="n"/>
      <c r="W1892" s="80" t="n"/>
      <c r="X1892" s="80" t="n"/>
      <c r="Y1892" s="80" t="n"/>
      <c r="Z1892" s="80" t="n"/>
      <c r="AA1892" s="80" t="n"/>
      <c r="AB1892" s="80" t="n"/>
      <c r="AC1892" s="80" t="n"/>
      <c r="AD1892" s="80" t="n"/>
      <c r="AE1892" s="80" t="n"/>
      <c r="AF1892" s="80" t="n"/>
      <c r="AG1892" s="80" t="n"/>
      <c r="AH1892" s="80" t="n"/>
      <c r="AI1892" s="80" t="n"/>
      <c r="AJ1892" s="80" t="n"/>
      <c r="AK1892" s="80" t="n"/>
      <c r="AL1892" s="80" t="n"/>
      <c r="AM1892" s="80" t="n"/>
      <c r="AN1892" s="80" t="n"/>
      <c r="AO1892" s="80" t="n"/>
      <c r="AP1892" s="80" t="n"/>
      <c r="AQ1892" s="80" t="n"/>
      <c r="AR1892" s="80" t="n"/>
    </row>
    <row r="1893">
      <c r="D1893" s="80" t="n"/>
      <c r="E1893" s="80" t="n"/>
      <c r="F1893" s="80" t="n"/>
      <c r="G1893" s="80" t="n"/>
      <c r="H1893" s="80" t="n"/>
      <c r="I1893" s="80" t="n"/>
      <c r="J1893" s="80" t="n"/>
      <c r="K1893" s="80" t="n"/>
      <c r="L1893" s="80" t="n"/>
      <c r="M1893" s="80" t="n"/>
      <c r="N1893" s="80" t="n"/>
      <c r="O1893" s="80" t="n"/>
      <c r="P1893" s="80" t="n"/>
      <c r="Q1893" s="80" t="n"/>
      <c r="R1893" s="80" t="n"/>
      <c r="S1893" s="80" t="n"/>
      <c r="T1893" s="80" t="n"/>
      <c r="U1893" s="80" t="n"/>
      <c r="V1893" s="80" t="n"/>
      <c r="W1893" s="80" t="n"/>
      <c r="X1893" s="80" t="n"/>
      <c r="Y1893" s="80" t="n"/>
      <c r="Z1893" s="80" t="n"/>
      <c r="AA1893" s="80" t="n"/>
      <c r="AB1893" s="80" t="n"/>
      <c r="AC1893" s="80" t="n"/>
      <c r="AD1893" s="80" t="n"/>
      <c r="AE1893" s="80" t="n"/>
      <c r="AF1893" s="80" t="n"/>
      <c r="AG1893" s="80" t="n"/>
      <c r="AH1893" s="80" t="n"/>
      <c r="AI1893" s="80" t="n"/>
      <c r="AJ1893" s="80" t="n"/>
      <c r="AK1893" s="80" t="n"/>
      <c r="AL1893" s="80" t="n"/>
      <c r="AM1893" s="80" t="n"/>
      <c r="AN1893" s="80" t="n"/>
      <c r="AO1893" s="80" t="n"/>
      <c r="AP1893" s="80" t="n"/>
      <c r="AQ1893" s="80" t="n"/>
      <c r="AR1893" s="80" t="n"/>
    </row>
    <row r="1894">
      <c r="D1894" s="80" t="n"/>
      <c r="E1894" s="80" t="n"/>
      <c r="F1894" s="80" t="n"/>
      <c r="G1894" s="80" t="n"/>
      <c r="H1894" s="80" t="n"/>
      <c r="I1894" s="80" t="n"/>
      <c r="J1894" s="80" t="n"/>
      <c r="K1894" s="80" t="n"/>
      <c r="L1894" s="80" t="n"/>
      <c r="M1894" s="80" t="n"/>
      <c r="N1894" s="80" t="n"/>
      <c r="O1894" s="80" t="n"/>
      <c r="P1894" s="80" t="n"/>
      <c r="Q1894" s="80" t="n"/>
      <c r="R1894" s="80" t="n"/>
      <c r="S1894" s="80" t="n"/>
      <c r="T1894" s="80" t="n"/>
      <c r="U1894" s="80" t="n"/>
      <c r="V1894" s="80" t="n"/>
      <c r="W1894" s="80" t="n"/>
      <c r="X1894" s="80" t="n"/>
      <c r="Y1894" s="80" t="n"/>
      <c r="Z1894" s="80" t="n"/>
      <c r="AA1894" s="80" t="n"/>
      <c r="AB1894" s="80" t="n"/>
      <c r="AC1894" s="80" t="n"/>
      <c r="AD1894" s="80" t="n"/>
      <c r="AE1894" s="80" t="n"/>
      <c r="AF1894" s="80" t="n"/>
      <c r="AG1894" s="80" t="n"/>
      <c r="AH1894" s="80" t="n"/>
      <c r="AI1894" s="80" t="n"/>
      <c r="AJ1894" s="80" t="n"/>
      <c r="AK1894" s="80" t="n"/>
      <c r="AL1894" s="80" t="n"/>
      <c r="AM1894" s="80" t="n"/>
      <c r="AN1894" s="80" t="n"/>
      <c r="AO1894" s="80" t="n"/>
      <c r="AP1894" s="80" t="n"/>
      <c r="AQ1894" s="80" t="n"/>
      <c r="AR1894" s="80" t="n"/>
    </row>
    <row r="1895">
      <c r="D1895" s="80" t="n"/>
      <c r="E1895" s="80" t="n"/>
      <c r="F1895" s="80" t="n"/>
      <c r="G1895" s="80" t="n"/>
      <c r="H1895" s="80" t="n"/>
      <c r="I1895" s="80" t="n"/>
      <c r="J1895" s="80" t="n"/>
      <c r="K1895" s="80" t="n"/>
      <c r="L1895" s="80" t="n"/>
      <c r="M1895" s="80" t="n"/>
      <c r="N1895" s="80" t="n"/>
      <c r="O1895" s="80" t="n"/>
      <c r="P1895" s="80" t="n"/>
      <c r="Q1895" s="80" t="n"/>
      <c r="R1895" s="80" t="n"/>
      <c r="S1895" s="80" t="n"/>
      <c r="T1895" s="80" t="n"/>
      <c r="U1895" s="80" t="n"/>
      <c r="V1895" s="80" t="n"/>
      <c r="W1895" s="80" t="n"/>
      <c r="X1895" s="80" t="n"/>
      <c r="Y1895" s="80" t="n"/>
      <c r="Z1895" s="80" t="n"/>
      <c r="AA1895" s="80" t="n"/>
      <c r="AB1895" s="80" t="n"/>
      <c r="AC1895" s="80" t="n"/>
      <c r="AD1895" s="80" t="n"/>
      <c r="AE1895" s="80" t="n"/>
      <c r="AF1895" s="80" t="n"/>
      <c r="AG1895" s="80" t="n"/>
      <c r="AH1895" s="80" t="n"/>
      <c r="AI1895" s="80" t="n"/>
      <c r="AJ1895" s="80" t="n"/>
      <c r="AK1895" s="80" t="n"/>
      <c r="AL1895" s="80" t="n"/>
      <c r="AM1895" s="80" t="n"/>
      <c r="AN1895" s="80" t="n"/>
      <c r="AO1895" s="80" t="n"/>
      <c r="AP1895" s="80" t="n"/>
      <c r="AQ1895" s="80" t="n"/>
      <c r="AR1895" s="80" t="n"/>
    </row>
    <row r="1896">
      <c r="A1896" s="2">
        <f>IF($A1889="","","   projections")</f>
        <v/>
      </c>
      <c r="B1896" s="41">
        <f>IF($A1889="",0,COUNT($E1897:$AR1897))</f>
        <v/>
      </c>
      <c r="C1896" s="81">
        <f>IF($B1896=0,0,MAX($E1897:$AR1897))</f>
        <v/>
      </c>
      <c r="D1896" s="82">
        <f>BDS($A1889,'Field Check'!$C$6,"headers=y","startcol=1","endcol=7","dir=h")</f>
        <v/>
      </c>
      <c r="E1896" s="83" t="n"/>
      <c r="F1896" s="83" t="n"/>
      <c r="G1896" s="83" t="n"/>
      <c r="H1896" s="83" t="n"/>
      <c r="I1896" s="83" t="n"/>
      <c r="J1896" s="83" t="n"/>
      <c r="K1896" s="83" t="n"/>
      <c r="L1896" s="83" t="n"/>
      <c r="M1896" s="83" t="n"/>
      <c r="N1896" s="83" t="n"/>
      <c r="O1896" s="83" t="n"/>
      <c r="P1896" s="83" t="n"/>
      <c r="Q1896" s="83" t="n"/>
      <c r="R1896" s="83" t="n"/>
      <c r="S1896" s="83" t="n"/>
      <c r="T1896" s="83" t="n"/>
      <c r="U1896" s="83" t="n"/>
      <c r="V1896" s="83" t="n"/>
      <c r="W1896" s="83" t="n"/>
      <c r="X1896" s="83" t="n"/>
      <c r="Y1896" s="83" t="n"/>
      <c r="Z1896" s="83" t="n"/>
      <c r="AA1896" s="83" t="n"/>
      <c r="AB1896" s="83" t="n"/>
      <c r="AC1896" s="83" t="n"/>
      <c r="AD1896" s="83" t="n"/>
      <c r="AE1896" s="83" t="n"/>
      <c r="AF1896" s="83" t="n"/>
      <c r="AG1896" s="83" t="n"/>
      <c r="AH1896" s="83" t="n"/>
      <c r="AI1896" s="83" t="n"/>
      <c r="AJ1896" s="83" t="n"/>
      <c r="AK1896" s="83" t="n"/>
      <c r="AL1896" s="83" t="n"/>
      <c r="AM1896" s="83" t="n"/>
      <c r="AN1896" s="83" t="n"/>
      <c r="AO1896" s="83" t="n"/>
      <c r="AP1896" s="83" t="n"/>
      <c r="AQ1896" s="83" t="n"/>
      <c r="AR1896" s="83" t="n"/>
    </row>
    <row r="1897">
      <c r="D1897" s="83" t="n"/>
      <c r="E1897" s="83" t="n"/>
      <c r="F1897" s="83" t="n"/>
      <c r="G1897" s="83" t="n"/>
      <c r="H1897" s="83" t="n"/>
      <c r="I1897" s="83" t="n"/>
      <c r="J1897" s="83" t="n"/>
      <c r="K1897" s="83" t="n"/>
      <c r="L1897" s="83" t="n"/>
      <c r="M1897" s="83" t="n"/>
      <c r="N1897" s="83" t="n"/>
      <c r="O1897" s="83" t="n"/>
      <c r="P1897" s="83" t="n"/>
      <c r="Q1897" s="83" t="n"/>
      <c r="R1897" s="83" t="n"/>
      <c r="S1897" s="83" t="n"/>
      <c r="T1897" s="83" t="n"/>
      <c r="U1897" s="83" t="n"/>
      <c r="V1897" s="83" t="n"/>
      <c r="W1897" s="83" t="n"/>
      <c r="X1897" s="83" t="n"/>
      <c r="Y1897" s="83" t="n"/>
      <c r="Z1897" s="83" t="n"/>
      <c r="AA1897" s="83" t="n"/>
      <c r="AB1897" s="83" t="n"/>
      <c r="AC1897" s="83" t="n"/>
      <c r="AD1897" s="83" t="n"/>
      <c r="AE1897" s="83" t="n"/>
      <c r="AF1897" s="83" t="n"/>
      <c r="AG1897" s="83" t="n"/>
      <c r="AH1897" s="83" t="n"/>
      <c r="AI1897" s="83" t="n"/>
      <c r="AJ1897" s="83" t="n"/>
      <c r="AK1897" s="83" t="n"/>
      <c r="AL1897" s="83" t="n"/>
      <c r="AM1897" s="83" t="n"/>
      <c r="AN1897" s="83" t="n"/>
      <c r="AO1897" s="83" t="n"/>
      <c r="AP1897" s="83" t="n"/>
      <c r="AQ1897" s="83" t="n"/>
      <c r="AR1897" s="83" t="n"/>
    </row>
    <row r="1898">
      <c r="D1898" s="84" t="n"/>
      <c r="E1898" s="84" t="n"/>
      <c r="F1898" s="84" t="n"/>
      <c r="G1898" s="84" t="n"/>
      <c r="H1898" s="84" t="n"/>
      <c r="I1898" s="84" t="n"/>
      <c r="J1898" s="84" t="n"/>
      <c r="K1898" s="84" t="n"/>
      <c r="L1898" s="84" t="n"/>
      <c r="M1898" s="84" t="n"/>
      <c r="N1898" s="84" t="n"/>
      <c r="O1898" s="84" t="n"/>
      <c r="P1898" s="84" t="n"/>
      <c r="Q1898" s="84" t="n"/>
      <c r="R1898" s="84" t="n"/>
      <c r="S1898" s="84" t="n"/>
      <c r="T1898" s="84" t="n"/>
      <c r="U1898" s="84" t="n"/>
      <c r="V1898" s="84" t="n"/>
      <c r="W1898" s="84" t="n"/>
      <c r="X1898" s="84" t="n"/>
      <c r="Y1898" s="84" t="n"/>
      <c r="Z1898" s="84" t="n"/>
      <c r="AA1898" s="84" t="n"/>
      <c r="AB1898" s="84" t="n"/>
      <c r="AC1898" s="84" t="n"/>
      <c r="AD1898" s="84" t="n"/>
      <c r="AE1898" s="84" t="n"/>
      <c r="AF1898" s="84" t="n"/>
      <c r="AG1898" s="84" t="n"/>
      <c r="AH1898" s="84" t="n"/>
      <c r="AI1898" s="84" t="n"/>
      <c r="AJ1898" s="84" t="n"/>
      <c r="AK1898" s="84" t="n"/>
      <c r="AL1898" s="84" t="n"/>
      <c r="AM1898" s="84" t="n"/>
      <c r="AN1898" s="84" t="n"/>
      <c r="AO1898" s="84" t="n"/>
      <c r="AP1898" s="84" t="n"/>
      <c r="AQ1898" s="84" t="n"/>
      <c r="AR1898" s="84" t="n"/>
    </row>
    <row r="1899">
      <c r="D1899" s="80" t="n"/>
      <c r="E1899" s="80" t="n"/>
      <c r="F1899" s="80" t="n"/>
      <c r="G1899" s="80" t="n"/>
      <c r="H1899" s="80" t="n"/>
      <c r="I1899" s="80" t="n"/>
      <c r="J1899" s="80" t="n"/>
      <c r="K1899" s="80" t="n"/>
      <c r="L1899" s="80" t="n"/>
      <c r="M1899" s="80" t="n"/>
      <c r="N1899" s="80" t="n"/>
      <c r="O1899" s="80" t="n"/>
      <c r="P1899" s="80" t="n"/>
      <c r="Q1899" s="80" t="n"/>
      <c r="R1899" s="80" t="n"/>
      <c r="S1899" s="80" t="n"/>
      <c r="T1899" s="80" t="n"/>
      <c r="U1899" s="80" t="n"/>
      <c r="V1899" s="80" t="n"/>
      <c r="W1899" s="80" t="n"/>
      <c r="X1899" s="80" t="n"/>
      <c r="Y1899" s="80" t="n"/>
      <c r="Z1899" s="80" t="n"/>
      <c r="AA1899" s="80" t="n"/>
      <c r="AB1899" s="80" t="n"/>
      <c r="AC1899" s="80" t="n"/>
      <c r="AD1899" s="80" t="n"/>
      <c r="AE1899" s="80" t="n"/>
      <c r="AF1899" s="80" t="n"/>
      <c r="AG1899" s="80" t="n"/>
      <c r="AH1899" s="80" t="n"/>
      <c r="AI1899" s="80" t="n"/>
      <c r="AJ1899" s="80" t="n"/>
      <c r="AK1899" s="80" t="n"/>
      <c r="AL1899" s="80" t="n"/>
      <c r="AM1899" s="80" t="n"/>
      <c r="AN1899" s="80" t="n"/>
      <c r="AO1899" s="80" t="n"/>
      <c r="AP1899" s="80" t="n"/>
      <c r="AQ1899" s="80" t="n"/>
      <c r="AR1899" s="80" t="n"/>
    </row>
    <row r="1900">
      <c r="D1900" s="80" t="n"/>
      <c r="E1900" s="80" t="n"/>
      <c r="F1900" s="80" t="n"/>
      <c r="G1900" s="80" t="n"/>
      <c r="H1900" s="80" t="n"/>
      <c r="I1900" s="80" t="n"/>
      <c r="J1900" s="80" t="n"/>
      <c r="K1900" s="80" t="n"/>
      <c r="L1900" s="80" t="n"/>
      <c r="M1900" s="80" t="n"/>
      <c r="N1900" s="80" t="n"/>
      <c r="O1900" s="80" t="n"/>
      <c r="P1900" s="80" t="n"/>
      <c r="Q1900" s="80" t="n"/>
      <c r="R1900" s="80" t="n"/>
      <c r="S1900" s="80" t="n"/>
      <c r="T1900" s="80" t="n"/>
      <c r="U1900" s="80" t="n"/>
      <c r="V1900" s="80" t="n"/>
      <c r="W1900" s="80" t="n"/>
      <c r="X1900" s="80" t="n"/>
      <c r="Y1900" s="80" t="n"/>
      <c r="Z1900" s="80" t="n"/>
      <c r="AA1900" s="80" t="n"/>
      <c r="AB1900" s="80" t="n"/>
      <c r="AC1900" s="80" t="n"/>
      <c r="AD1900" s="80" t="n"/>
      <c r="AE1900" s="80" t="n"/>
      <c r="AF1900" s="80" t="n"/>
      <c r="AG1900" s="80" t="n"/>
      <c r="AH1900" s="80" t="n"/>
      <c r="AI1900" s="80" t="n"/>
      <c r="AJ1900" s="80" t="n"/>
      <c r="AK1900" s="80" t="n"/>
      <c r="AL1900" s="80" t="n"/>
      <c r="AM1900" s="80" t="n"/>
      <c r="AN1900" s="80" t="n"/>
      <c r="AO1900" s="80" t="n"/>
      <c r="AP1900" s="80" t="n"/>
      <c r="AQ1900" s="80" t="n"/>
      <c r="AR1900" s="80" t="n"/>
    </row>
    <row r="1901">
      <c r="D1901" s="80" t="n"/>
      <c r="E1901" s="80" t="n"/>
      <c r="F1901" s="80" t="n"/>
      <c r="G1901" s="80" t="n"/>
      <c r="H1901" s="80" t="n"/>
      <c r="I1901" s="80" t="n"/>
      <c r="J1901" s="80" t="n"/>
      <c r="K1901" s="80" t="n"/>
      <c r="L1901" s="80" t="n"/>
      <c r="M1901" s="80" t="n"/>
      <c r="N1901" s="80" t="n"/>
      <c r="O1901" s="80" t="n"/>
      <c r="P1901" s="80" t="n"/>
      <c r="Q1901" s="80" t="n"/>
      <c r="R1901" s="80" t="n"/>
      <c r="S1901" s="80" t="n"/>
      <c r="T1901" s="80" t="n"/>
      <c r="U1901" s="80" t="n"/>
      <c r="V1901" s="80" t="n"/>
      <c r="W1901" s="80" t="n"/>
      <c r="X1901" s="80" t="n"/>
      <c r="Y1901" s="80" t="n"/>
      <c r="Z1901" s="80" t="n"/>
      <c r="AA1901" s="80" t="n"/>
      <c r="AB1901" s="80" t="n"/>
      <c r="AC1901" s="80" t="n"/>
      <c r="AD1901" s="80" t="n"/>
      <c r="AE1901" s="80" t="n"/>
      <c r="AF1901" s="80" t="n"/>
      <c r="AG1901" s="80" t="n"/>
      <c r="AH1901" s="80" t="n"/>
      <c r="AI1901" s="80" t="n"/>
      <c r="AJ1901" s="80" t="n"/>
      <c r="AK1901" s="80" t="n"/>
      <c r="AL1901" s="80" t="n"/>
      <c r="AM1901" s="80" t="n"/>
      <c r="AN1901" s="80" t="n"/>
      <c r="AO1901" s="80" t="n"/>
      <c r="AP1901" s="80" t="n"/>
      <c r="AQ1901" s="80" t="n"/>
      <c r="AR1901" s="80" t="n"/>
    </row>
    <row r="1902">
      <c r="D1902" s="80" t="n"/>
      <c r="E1902" s="80" t="n"/>
      <c r="F1902" s="80" t="n"/>
      <c r="G1902" s="80" t="n"/>
      <c r="H1902" s="80" t="n"/>
      <c r="I1902" s="80" t="n"/>
      <c r="J1902" s="80" t="n"/>
      <c r="K1902" s="80" t="n"/>
      <c r="L1902" s="80" t="n"/>
      <c r="M1902" s="80" t="n"/>
      <c r="N1902" s="80" t="n"/>
      <c r="O1902" s="80" t="n"/>
      <c r="P1902" s="80" t="n"/>
      <c r="Q1902" s="80" t="n"/>
      <c r="R1902" s="80" t="n"/>
      <c r="S1902" s="80" t="n"/>
      <c r="T1902" s="80" t="n"/>
      <c r="U1902" s="80" t="n"/>
      <c r="V1902" s="80" t="n"/>
      <c r="W1902" s="80" t="n"/>
      <c r="X1902" s="80" t="n"/>
      <c r="Y1902" s="80" t="n"/>
      <c r="Z1902" s="80" t="n"/>
      <c r="AA1902" s="80" t="n"/>
      <c r="AB1902" s="80" t="n"/>
      <c r="AC1902" s="80" t="n"/>
      <c r="AD1902" s="80" t="n"/>
      <c r="AE1902" s="80" t="n"/>
      <c r="AF1902" s="80" t="n"/>
      <c r="AG1902" s="80" t="n"/>
      <c r="AH1902" s="80" t="n"/>
      <c r="AI1902" s="80" t="n"/>
      <c r="AJ1902" s="80" t="n"/>
      <c r="AK1902" s="80" t="n"/>
      <c r="AL1902" s="80" t="n"/>
      <c r="AM1902" s="80" t="n"/>
      <c r="AN1902" s="80" t="n"/>
      <c r="AO1902" s="80" t="n"/>
      <c r="AP1902" s="80" t="n"/>
      <c r="AQ1902" s="80" t="n"/>
      <c r="AR1902" s="80" t="n"/>
    </row>
    <row r="1904">
      <c r="A1904" s="6">
        <f>IF(HSTECH!$C$33="","",HSTECH!$C$33)</f>
        <v/>
      </c>
      <c r="B1904" s="41">
        <f>IF($A1904="",0,COUNT($E1905:$AR1905))</f>
        <v/>
      </c>
      <c r="C1904" s="81">
        <f>IF($B1904=0,0,MAX($E1905:$AR1905))</f>
        <v/>
      </c>
      <c r="D1904" s="82">
        <f>BDS($A1904,'Field Check'!$C$7,"headers=y","startcol=1","endcol=7","dir=h","DVD_START_DT",Summary!$C$18,"DVD_END_DT",Summary!$D$18)</f>
        <v/>
      </c>
      <c r="E1904" s="83" t="n"/>
      <c r="F1904" s="83" t="n"/>
      <c r="G1904" s="83" t="n"/>
      <c r="H1904" s="83" t="n"/>
      <c r="I1904" s="83" t="n"/>
      <c r="J1904" s="83" t="n"/>
      <c r="K1904" s="83" t="n"/>
      <c r="L1904" s="83" t="n"/>
      <c r="M1904" s="83" t="n"/>
      <c r="N1904" s="83" t="n"/>
      <c r="O1904" s="83" t="n"/>
      <c r="P1904" s="83" t="n"/>
      <c r="Q1904" s="83" t="n"/>
      <c r="R1904" s="83" t="n"/>
      <c r="S1904" s="83" t="n"/>
      <c r="T1904" s="83" t="n"/>
      <c r="U1904" s="83" t="n"/>
      <c r="V1904" s="83" t="n"/>
      <c r="W1904" s="83" t="n"/>
      <c r="X1904" s="83" t="n"/>
      <c r="Y1904" s="83" t="n"/>
      <c r="Z1904" s="83" t="n"/>
      <c r="AA1904" s="83" t="n"/>
      <c r="AB1904" s="83" t="n"/>
      <c r="AC1904" s="83" t="n"/>
      <c r="AD1904" s="83" t="n"/>
      <c r="AE1904" s="83" t="n"/>
      <c r="AF1904" s="83" t="n"/>
      <c r="AG1904" s="83" t="n"/>
      <c r="AH1904" s="83" t="n"/>
      <c r="AI1904" s="83" t="n"/>
      <c r="AJ1904" s="83" t="n"/>
      <c r="AK1904" s="83" t="n"/>
      <c r="AL1904" s="83" t="n"/>
      <c r="AM1904" s="83" t="n"/>
      <c r="AN1904" s="83" t="n"/>
      <c r="AO1904" s="83" t="n"/>
      <c r="AP1904" s="83" t="n"/>
      <c r="AQ1904" s="83" t="n"/>
      <c r="AR1904" s="83" t="n"/>
    </row>
    <row r="1905">
      <c r="D1905" s="83" t="n"/>
      <c r="E1905" s="83" t="n"/>
      <c r="F1905" s="83" t="n"/>
      <c r="G1905" s="83" t="n"/>
      <c r="H1905" s="83" t="n"/>
      <c r="I1905" s="83" t="n"/>
      <c r="J1905" s="83" t="n"/>
      <c r="K1905" s="83" t="n"/>
      <c r="L1905" s="83" t="n"/>
      <c r="M1905" s="83" t="n"/>
      <c r="N1905" s="83" t="n"/>
      <c r="O1905" s="83" t="n"/>
      <c r="P1905" s="83" t="n"/>
      <c r="Q1905" s="83" t="n"/>
      <c r="R1905" s="83" t="n"/>
      <c r="S1905" s="83" t="n"/>
      <c r="T1905" s="83" t="n"/>
      <c r="U1905" s="83" t="n"/>
      <c r="V1905" s="83" t="n"/>
      <c r="W1905" s="83" t="n"/>
      <c r="X1905" s="83" t="n"/>
      <c r="Y1905" s="83" t="n"/>
      <c r="Z1905" s="83" t="n"/>
      <c r="AA1905" s="83" t="n"/>
      <c r="AB1905" s="83" t="n"/>
      <c r="AC1905" s="83" t="n"/>
      <c r="AD1905" s="83" t="n"/>
      <c r="AE1905" s="83" t="n"/>
      <c r="AF1905" s="83" t="n"/>
      <c r="AG1905" s="83" t="n"/>
      <c r="AH1905" s="83" t="n"/>
      <c r="AI1905" s="83" t="n"/>
      <c r="AJ1905" s="83" t="n"/>
      <c r="AK1905" s="83" t="n"/>
      <c r="AL1905" s="83" t="n"/>
      <c r="AM1905" s="83" t="n"/>
      <c r="AN1905" s="83" t="n"/>
      <c r="AO1905" s="83" t="n"/>
      <c r="AP1905" s="83" t="n"/>
      <c r="AQ1905" s="83" t="n"/>
      <c r="AR1905" s="83" t="n"/>
    </row>
    <row r="1906">
      <c r="D1906" s="84" t="n"/>
      <c r="E1906" s="84" t="n"/>
      <c r="F1906" s="84" t="n"/>
      <c r="G1906" s="84" t="n"/>
      <c r="H1906" s="84" t="n"/>
      <c r="I1906" s="84" t="n"/>
      <c r="J1906" s="84" t="n"/>
      <c r="K1906" s="84" t="n"/>
      <c r="L1906" s="84" t="n"/>
      <c r="M1906" s="84" t="n"/>
      <c r="N1906" s="84" t="n"/>
      <c r="O1906" s="84" t="n"/>
      <c r="P1906" s="84" t="n"/>
      <c r="Q1906" s="84" t="n"/>
      <c r="R1906" s="84" t="n"/>
      <c r="S1906" s="84" t="n"/>
      <c r="T1906" s="84" t="n"/>
      <c r="U1906" s="84" t="n"/>
      <c r="V1906" s="84" t="n"/>
      <c r="W1906" s="84" t="n"/>
      <c r="X1906" s="84" t="n"/>
      <c r="Y1906" s="84" t="n"/>
      <c r="Z1906" s="84" t="n"/>
      <c r="AA1906" s="84" t="n"/>
      <c r="AB1906" s="84" t="n"/>
      <c r="AC1906" s="84" t="n"/>
      <c r="AD1906" s="84" t="n"/>
      <c r="AE1906" s="84" t="n"/>
      <c r="AF1906" s="84" t="n"/>
      <c r="AG1906" s="84" t="n"/>
      <c r="AH1906" s="84" t="n"/>
      <c r="AI1906" s="84" t="n"/>
      <c r="AJ1906" s="84" t="n"/>
      <c r="AK1906" s="84" t="n"/>
      <c r="AL1906" s="84" t="n"/>
      <c r="AM1906" s="84" t="n"/>
      <c r="AN1906" s="84" t="n"/>
      <c r="AO1906" s="84" t="n"/>
      <c r="AP1906" s="84" t="n"/>
      <c r="AQ1906" s="84" t="n"/>
      <c r="AR1906" s="84" t="n"/>
    </row>
    <row r="1907">
      <c r="D1907" s="80" t="n"/>
      <c r="E1907" s="80" t="n"/>
      <c r="F1907" s="80" t="n"/>
      <c r="G1907" s="80" t="n"/>
      <c r="H1907" s="80" t="n"/>
      <c r="I1907" s="80" t="n"/>
      <c r="J1907" s="80" t="n"/>
      <c r="K1907" s="80" t="n"/>
      <c r="L1907" s="80" t="n"/>
      <c r="M1907" s="80" t="n"/>
      <c r="N1907" s="80" t="n"/>
      <c r="O1907" s="80" t="n"/>
      <c r="P1907" s="80" t="n"/>
      <c r="Q1907" s="80" t="n"/>
      <c r="R1907" s="80" t="n"/>
      <c r="S1907" s="80" t="n"/>
      <c r="T1907" s="80" t="n"/>
      <c r="U1907" s="80" t="n"/>
      <c r="V1907" s="80" t="n"/>
      <c r="W1907" s="80" t="n"/>
      <c r="X1907" s="80" t="n"/>
      <c r="Y1907" s="80" t="n"/>
      <c r="Z1907" s="80" t="n"/>
      <c r="AA1907" s="80" t="n"/>
      <c r="AB1907" s="80" t="n"/>
      <c r="AC1907" s="80" t="n"/>
      <c r="AD1907" s="80" t="n"/>
      <c r="AE1907" s="80" t="n"/>
      <c r="AF1907" s="80" t="n"/>
      <c r="AG1907" s="80" t="n"/>
      <c r="AH1907" s="80" t="n"/>
      <c r="AI1907" s="80" t="n"/>
      <c r="AJ1907" s="80" t="n"/>
      <c r="AK1907" s="80" t="n"/>
      <c r="AL1907" s="80" t="n"/>
      <c r="AM1907" s="80" t="n"/>
      <c r="AN1907" s="80" t="n"/>
      <c r="AO1907" s="80" t="n"/>
      <c r="AP1907" s="80" t="n"/>
      <c r="AQ1907" s="80" t="n"/>
      <c r="AR1907" s="80" t="n"/>
    </row>
    <row r="1908">
      <c r="D1908" s="80" t="n"/>
      <c r="E1908" s="80" t="n"/>
      <c r="F1908" s="80" t="n"/>
      <c r="G1908" s="80" t="n"/>
      <c r="H1908" s="80" t="n"/>
      <c r="I1908" s="80" t="n"/>
      <c r="J1908" s="80" t="n"/>
      <c r="K1908" s="80" t="n"/>
      <c r="L1908" s="80" t="n"/>
      <c r="M1908" s="80" t="n"/>
      <c r="N1908" s="80" t="n"/>
      <c r="O1908" s="80" t="n"/>
      <c r="P1908" s="80" t="n"/>
      <c r="Q1908" s="80" t="n"/>
      <c r="R1908" s="80" t="n"/>
      <c r="S1908" s="80" t="n"/>
      <c r="T1908" s="80" t="n"/>
      <c r="U1908" s="80" t="n"/>
      <c r="V1908" s="80" t="n"/>
      <c r="W1908" s="80" t="n"/>
      <c r="X1908" s="80" t="n"/>
      <c r="Y1908" s="80" t="n"/>
      <c r="Z1908" s="80" t="n"/>
      <c r="AA1908" s="80" t="n"/>
      <c r="AB1908" s="80" t="n"/>
      <c r="AC1908" s="80" t="n"/>
      <c r="AD1908" s="80" t="n"/>
      <c r="AE1908" s="80" t="n"/>
      <c r="AF1908" s="80" t="n"/>
      <c r="AG1908" s="80" t="n"/>
      <c r="AH1908" s="80" t="n"/>
      <c r="AI1908" s="80" t="n"/>
      <c r="AJ1908" s="80" t="n"/>
      <c r="AK1908" s="80" t="n"/>
      <c r="AL1908" s="80" t="n"/>
      <c r="AM1908" s="80" t="n"/>
      <c r="AN1908" s="80" t="n"/>
      <c r="AO1908" s="80" t="n"/>
      <c r="AP1908" s="80" t="n"/>
      <c r="AQ1908" s="80" t="n"/>
      <c r="AR1908" s="80" t="n"/>
    </row>
    <row r="1909">
      <c r="D1909" s="80" t="n"/>
      <c r="E1909" s="80" t="n"/>
      <c r="F1909" s="80" t="n"/>
      <c r="G1909" s="80" t="n"/>
      <c r="H1909" s="80" t="n"/>
      <c r="I1909" s="80" t="n"/>
      <c r="J1909" s="80" t="n"/>
      <c r="K1909" s="80" t="n"/>
      <c r="L1909" s="80" t="n"/>
      <c r="M1909" s="80" t="n"/>
      <c r="N1909" s="80" t="n"/>
      <c r="O1909" s="80" t="n"/>
      <c r="P1909" s="80" t="n"/>
      <c r="Q1909" s="80" t="n"/>
      <c r="R1909" s="80" t="n"/>
      <c r="S1909" s="80" t="n"/>
      <c r="T1909" s="80" t="n"/>
      <c r="U1909" s="80" t="n"/>
      <c r="V1909" s="80" t="n"/>
      <c r="W1909" s="80" t="n"/>
      <c r="X1909" s="80" t="n"/>
      <c r="Y1909" s="80" t="n"/>
      <c r="Z1909" s="80" t="n"/>
      <c r="AA1909" s="80" t="n"/>
      <c r="AB1909" s="80" t="n"/>
      <c r="AC1909" s="80" t="n"/>
      <c r="AD1909" s="80" t="n"/>
      <c r="AE1909" s="80" t="n"/>
      <c r="AF1909" s="80" t="n"/>
      <c r="AG1909" s="80" t="n"/>
      <c r="AH1909" s="80" t="n"/>
      <c r="AI1909" s="80" t="n"/>
      <c r="AJ1909" s="80" t="n"/>
      <c r="AK1909" s="80" t="n"/>
      <c r="AL1909" s="80" t="n"/>
      <c r="AM1909" s="80" t="n"/>
      <c r="AN1909" s="80" t="n"/>
      <c r="AO1909" s="80" t="n"/>
      <c r="AP1909" s="80" t="n"/>
      <c r="AQ1909" s="80" t="n"/>
      <c r="AR1909" s="80" t="n"/>
    </row>
    <row r="1910">
      <c r="D1910" s="80" t="n"/>
      <c r="E1910" s="80" t="n"/>
      <c r="F1910" s="80" t="n"/>
      <c r="G1910" s="80" t="n"/>
      <c r="H1910" s="80" t="n"/>
      <c r="I1910" s="80" t="n"/>
      <c r="J1910" s="80" t="n"/>
      <c r="K1910" s="80" t="n"/>
      <c r="L1910" s="80" t="n"/>
      <c r="M1910" s="80" t="n"/>
      <c r="N1910" s="80" t="n"/>
      <c r="O1910" s="80" t="n"/>
      <c r="P1910" s="80" t="n"/>
      <c r="Q1910" s="80" t="n"/>
      <c r="R1910" s="80" t="n"/>
      <c r="S1910" s="80" t="n"/>
      <c r="T1910" s="80" t="n"/>
      <c r="U1910" s="80" t="n"/>
      <c r="V1910" s="80" t="n"/>
      <c r="W1910" s="80" t="n"/>
      <c r="X1910" s="80" t="n"/>
      <c r="Y1910" s="80" t="n"/>
      <c r="Z1910" s="80" t="n"/>
      <c r="AA1910" s="80" t="n"/>
      <c r="AB1910" s="80" t="n"/>
      <c r="AC1910" s="80" t="n"/>
      <c r="AD1910" s="80" t="n"/>
      <c r="AE1910" s="80" t="n"/>
      <c r="AF1910" s="80" t="n"/>
      <c r="AG1910" s="80" t="n"/>
      <c r="AH1910" s="80" t="n"/>
      <c r="AI1910" s="80" t="n"/>
      <c r="AJ1910" s="80" t="n"/>
      <c r="AK1910" s="80" t="n"/>
      <c r="AL1910" s="80" t="n"/>
      <c r="AM1910" s="80" t="n"/>
      <c r="AN1910" s="80" t="n"/>
      <c r="AO1910" s="80" t="n"/>
      <c r="AP1910" s="80" t="n"/>
      <c r="AQ1910" s="80" t="n"/>
      <c r="AR1910" s="80" t="n"/>
    </row>
    <row r="1911">
      <c r="A1911" s="2">
        <f>IF($A1904="","","   projections")</f>
        <v/>
      </c>
      <c r="B1911" s="41">
        <f>IF($A1904="",0,COUNT($E1912:$AR1912))</f>
        <v/>
      </c>
      <c r="C1911" s="81">
        <f>IF($B1911=0,0,MAX($E1912:$AR1912))</f>
        <v/>
      </c>
      <c r="D1911" s="82">
        <f>BDS($A1904,'Field Check'!$C$6,"headers=y","startcol=1","endcol=7","dir=h")</f>
        <v/>
      </c>
      <c r="E1911" s="83" t="n"/>
      <c r="F1911" s="83" t="n"/>
      <c r="G1911" s="83" t="n"/>
      <c r="H1911" s="83" t="n"/>
      <c r="I1911" s="83" t="n"/>
      <c r="J1911" s="83" t="n"/>
      <c r="K1911" s="83" t="n"/>
      <c r="L1911" s="83" t="n"/>
      <c r="M1911" s="83" t="n"/>
      <c r="N1911" s="83" t="n"/>
      <c r="O1911" s="83" t="n"/>
      <c r="P1911" s="83" t="n"/>
      <c r="Q1911" s="83" t="n"/>
      <c r="R1911" s="83" t="n"/>
      <c r="S1911" s="83" t="n"/>
      <c r="T1911" s="83" t="n"/>
      <c r="U1911" s="83" t="n"/>
      <c r="V1911" s="83" t="n"/>
      <c r="W1911" s="83" t="n"/>
      <c r="X1911" s="83" t="n"/>
      <c r="Y1911" s="83" t="n"/>
      <c r="Z1911" s="83" t="n"/>
      <c r="AA1911" s="83" t="n"/>
      <c r="AB1911" s="83" t="n"/>
      <c r="AC1911" s="83" t="n"/>
      <c r="AD1911" s="83" t="n"/>
      <c r="AE1911" s="83" t="n"/>
      <c r="AF1911" s="83" t="n"/>
      <c r="AG1911" s="83" t="n"/>
      <c r="AH1911" s="83" t="n"/>
      <c r="AI1911" s="83" t="n"/>
      <c r="AJ1911" s="83" t="n"/>
      <c r="AK1911" s="83" t="n"/>
      <c r="AL1911" s="83" t="n"/>
      <c r="AM1911" s="83" t="n"/>
      <c r="AN1911" s="83" t="n"/>
      <c r="AO1911" s="83" t="n"/>
      <c r="AP1911" s="83" t="n"/>
      <c r="AQ1911" s="83" t="n"/>
      <c r="AR1911" s="83" t="n"/>
    </row>
    <row r="1912">
      <c r="D1912" s="83" t="n"/>
      <c r="E1912" s="83" t="n"/>
      <c r="F1912" s="83" t="n"/>
      <c r="G1912" s="83" t="n"/>
      <c r="H1912" s="83" t="n"/>
      <c r="I1912" s="83" t="n"/>
      <c r="J1912" s="83" t="n"/>
      <c r="K1912" s="83" t="n"/>
      <c r="L1912" s="83" t="n"/>
      <c r="M1912" s="83" t="n"/>
      <c r="N1912" s="83" t="n"/>
      <c r="O1912" s="83" t="n"/>
      <c r="P1912" s="83" t="n"/>
      <c r="Q1912" s="83" t="n"/>
      <c r="R1912" s="83" t="n"/>
      <c r="S1912" s="83" t="n"/>
      <c r="T1912" s="83" t="n"/>
      <c r="U1912" s="83" t="n"/>
      <c r="V1912" s="83" t="n"/>
      <c r="W1912" s="83" t="n"/>
      <c r="X1912" s="83" t="n"/>
      <c r="Y1912" s="83" t="n"/>
      <c r="Z1912" s="83" t="n"/>
      <c r="AA1912" s="83" t="n"/>
      <c r="AB1912" s="83" t="n"/>
      <c r="AC1912" s="83" t="n"/>
      <c r="AD1912" s="83" t="n"/>
      <c r="AE1912" s="83" t="n"/>
      <c r="AF1912" s="83" t="n"/>
      <c r="AG1912" s="83" t="n"/>
      <c r="AH1912" s="83" t="n"/>
      <c r="AI1912" s="83" t="n"/>
      <c r="AJ1912" s="83" t="n"/>
      <c r="AK1912" s="83" t="n"/>
      <c r="AL1912" s="83" t="n"/>
      <c r="AM1912" s="83" t="n"/>
      <c r="AN1912" s="83" t="n"/>
      <c r="AO1912" s="83" t="n"/>
      <c r="AP1912" s="83" t="n"/>
      <c r="AQ1912" s="83" t="n"/>
      <c r="AR1912" s="83" t="n"/>
    </row>
    <row r="1913">
      <c r="D1913" s="84" t="n"/>
      <c r="E1913" s="84" t="n"/>
      <c r="F1913" s="84" t="n"/>
      <c r="G1913" s="84" t="n"/>
      <c r="H1913" s="84" t="n"/>
      <c r="I1913" s="84" t="n"/>
      <c r="J1913" s="84" t="n"/>
      <c r="K1913" s="84" t="n"/>
      <c r="L1913" s="84" t="n"/>
      <c r="M1913" s="84" t="n"/>
      <c r="N1913" s="84" t="n"/>
      <c r="O1913" s="84" t="n"/>
      <c r="P1913" s="84" t="n"/>
      <c r="Q1913" s="84" t="n"/>
      <c r="R1913" s="84" t="n"/>
      <c r="S1913" s="84" t="n"/>
      <c r="T1913" s="84" t="n"/>
      <c r="U1913" s="84" t="n"/>
      <c r="V1913" s="84" t="n"/>
      <c r="W1913" s="84" t="n"/>
      <c r="X1913" s="84" t="n"/>
      <c r="Y1913" s="84" t="n"/>
      <c r="Z1913" s="84" t="n"/>
      <c r="AA1913" s="84" t="n"/>
      <c r="AB1913" s="84" t="n"/>
      <c r="AC1913" s="84" t="n"/>
      <c r="AD1913" s="84" t="n"/>
      <c r="AE1913" s="84" t="n"/>
      <c r="AF1913" s="84" t="n"/>
      <c r="AG1913" s="84" t="n"/>
      <c r="AH1913" s="84" t="n"/>
      <c r="AI1913" s="84" t="n"/>
      <c r="AJ1913" s="84" t="n"/>
      <c r="AK1913" s="84" t="n"/>
      <c r="AL1913" s="84" t="n"/>
      <c r="AM1913" s="84" t="n"/>
      <c r="AN1913" s="84" t="n"/>
      <c r="AO1913" s="84" t="n"/>
      <c r="AP1913" s="84" t="n"/>
      <c r="AQ1913" s="84" t="n"/>
      <c r="AR1913" s="84" t="n"/>
    </row>
    <row r="1914">
      <c r="D1914" s="80" t="n"/>
      <c r="E1914" s="80" t="n"/>
      <c r="F1914" s="80" t="n"/>
      <c r="G1914" s="80" t="n"/>
      <c r="H1914" s="80" t="n"/>
      <c r="I1914" s="80" t="n"/>
      <c r="J1914" s="80" t="n"/>
      <c r="K1914" s="80" t="n"/>
      <c r="L1914" s="80" t="n"/>
      <c r="M1914" s="80" t="n"/>
      <c r="N1914" s="80" t="n"/>
      <c r="O1914" s="80" t="n"/>
      <c r="P1914" s="80" t="n"/>
      <c r="Q1914" s="80" t="n"/>
      <c r="R1914" s="80" t="n"/>
      <c r="S1914" s="80" t="n"/>
      <c r="T1914" s="80" t="n"/>
      <c r="U1914" s="80" t="n"/>
      <c r="V1914" s="80" t="n"/>
      <c r="W1914" s="80" t="n"/>
      <c r="X1914" s="80" t="n"/>
      <c r="Y1914" s="80" t="n"/>
      <c r="Z1914" s="80" t="n"/>
      <c r="AA1914" s="80" t="n"/>
      <c r="AB1914" s="80" t="n"/>
      <c r="AC1914" s="80" t="n"/>
      <c r="AD1914" s="80" t="n"/>
      <c r="AE1914" s="80" t="n"/>
      <c r="AF1914" s="80" t="n"/>
      <c r="AG1914" s="80" t="n"/>
      <c r="AH1914" s="80" t="n"/>
      <c r="AI1914" s="80" t="n"/>
      <c r="AJ1914" s="80" t="n"/>
      <c r="AK1914" s="80" t="n"/>
      <c r="AL1914" s="80" t="n"/>
      <c r="AM1914" s="80" t="n"/>
      <c r="AN1914" s="80" t="n"/>
      <c r="AO1914" s="80" t="n"/>
      <c r="AP1914" s="80" t="n"/>
      <c r="AQ1914" s="80" t="n"/>
      <c r="AR1914" s="80" t="n"/>
    </row>
    <row r="1915">
      <c r="D1915" s="80" t="n"/>
      <c r="E1915" s="80" t="n"/>
      <c r="F1915" s="80" t="n"/>
      <c r="G1915" s="80" t="n"/>
      <c r="H1915" s="80" t="n"/>
      <c r="I1915" s="80" t="n"/>
      <c r="J1915" s="80" t="n"/>
      <c r="K1915" s="80" t="n"/>
      <c r="L1915" s="80" t="n"/>
      <c r="M1915" s="80" t="n"/>
      <c r="N1915" s="80" t="n"/>
      <c r="O1915" s="80" t="n"/>
      <c r="P1915" s="80" t="n"/>
      <c r="Q1915" s="80" t="n"/>
      <c r="R1915" s="80" t="n"/>
      <c r="S1915" s="80" t="n"/>
      <c r="T1915" s="80" t="n"/>
      <c r="U1915" s="80" t="n"/>
      <c r="V1915" s="80" t="n"/>
      <c r="W1915" s="80" t="n"/>
      <c r="X1915" s="80" t="n"/>
      <c r="Y1915" s="80" t="n"/>
      <c r="Z1915" s="80" t="n"/>
      <c r="AA1915" s="80" t="n"/>
      <c r="AB1915" s="80" t="n"/>
      <c r="AC1915" s="80" t="n"/>
      <c r="AD1915" s="80" t="n"/>
      <c r="AE1915" s="80" t="n"/>
      <c r="AF1915" s="80" t="n"/>
      <c r="AG1915" s="80" t="n"/>
      <c r="AH1915" s="80" t="n"/>
      <c r="AI1915" s="80" t="n"/>
      <c r="AJ1915" s="80" t="n"/>
      <c r="AK1915" s="80" t="n"/>
      <c r="AL1915" s="80" t="n"/>
      <c r="AM1915" s="80" t="n"/>
      <c r="AN1915" s="80" t="n"/>
      <c r="AO1915" s="80" t="n"/>
      <c r="AP1915" s="80" t="n"/>
      <c r="AQ1915" s="80" t="n"/>
      <c r="AR1915" s="80" t="n"/>
    </row>
    <row r="1916">
      <c r="D1916" s="80" t="n"/>
      <c r="E1916" s="80" t="n"/>
      <c r="F1916" s="80" t="n"/>
      <c r="G1916" s="80" t="n"/>
      <c r="H1916" s="80" t="n"/>
      <c r="I1916" s="80" t="n"/>
      <c r="J1916" s="80" t="n"/>
      <c r="K1916" s="80" t="n"/>
      <c r="L1916" s="80" t="n"/>
      <c r="M1916" s="80" t="n"/>
      <c r="N1916" s="80" t="n"/>
      <c r="O1916" s="80" t="n"/>
      <c r="P1916" s="80" t="n"/>
      <c r="Q1916" s="80" t="n"/>
      <c r="R1916" s="80" t="n"/>
      <c r="S1916" s="80" t="n"/>
      <c r="T1916" s="80" t="n"/>
      <c r="U1916" s="80" t="n"/>
      <c r="V1916" s="80" t="n"/>
      <c r="W1916" s="80" t="n"/>
      <c r="X1916" s="80" t="n"/>
      <c r="Y1916" s="80" t="n"/>
      <c r="Z1916" s="80" t="n"/>
      <c r="AA1916" s="80" t="n"/>
      <c r="AB1916" s="80" t="n"/>
      <c r="AC1916" s="80" t="n"/>
      <c r="AD1916" s="80" t="n"/>
      <c r="AE1916" s="80" t="n"/>
      <c r="AF1916" s="80" t="n"/>
      <c r="AG1916" s="80" t="n"/>
      <c r="AH1916" s="80" t="n"/>
      <c r="AI1916" s="80" t="n"/>
      <c r="AJ1916" s="80" t="n"/>
      <c r="AK1916" s="80" t="n"/>
      <c r="AL1916" s="80" t="n"/>
      <c r="AM1916" s="80" t="n"/>
      <c r="AN1916" s="80" t="n"/>
      <c r="AO1916" s="80" t="n"/>
      <c r="AP1916" s="80" t="n"/>
      <c r="AQ1916" s="80" t="n"/>
      <c r="AR1916" s="80" t="n"/>
    </row>
    <row r="1917">
      <c r="D1917" s="80" t="n"/>
      <c r="E1917" s="80" t="n"/>
      <c r="F1917" s="80" t="n"/>
      <c r="G1917" s="80" t="n"/>
      <c r="H1917" s="80" t="n"/>
      <c r="I1917" s="80" t="n"/>
      <c r="J1917" s="80" t="n"/>
      <c r="K1917" s="80" t="n"/>
      <c r="L1917" s="80" t="n"/>
      <c r="M1917" s="80" t="n"/>
      <c r="N1917" s="80" t="n"/>
      <c r="O1917" s="80" t="n"/>
      <c r="P1917" s="80" t="n"/>
      <c r="Q1917" s="80" t="n"/>
      <c r="R1917" s="80" t="n"/>
      <c r="S1917" s="80" t="n"/>
      <c r="T1917" s="80" t="n"/>
      <c r="U1917" s="80" t="n"/>
      <c r="V1917" s="80" t="n"/>
      <c r="W1917" s="80" t="n"/>
      <c r="X1917" s="80" t="n"/>
      <c r="Y1917" s="80" t="n"/>
      <c r="Z1917" s="80" t="n"/>
      <c r="AA1917" s="80" t="n"/>
      <c r="AB1917" s="80" t="n"/>
      <c r="AC1917" s="80" t="n"/>
      <c r="AD1917" s="80" t="n"/>
      <c r="AE1917" s="80" t="n"/>
      <c r="AF1917" s="80" t="n"/>
      <c r="AG1917" s="80" t="n"/>
      <c r="AH1917" s="80" t="n"/>
      <c r="AI1917" s="80" t="n"/>
      <c r="AJ1917" s="80" t="n"/>
      <c r="AK1917" s="80" t="n"/>
      <c r="AL1917" s="80" t="n"/>
      <c r="AM1917" s="80" t="n"/>
      <c r="AN1917" s="80" t="n"/>
      <c r="AO1917" s="80" t="n"/>
      <c r="AP1917" s="80" t="n"/>
      <c r="AQ1917" s="80" t="n"/>
      <c r="AR1917" s="80" t="n"/>
    </row>
    <row r="1919">
      <c r="A1919" s="6">
        <f>IF(HSTECH!$C$34="","",HSTECH!$C$34)</f>
        <v/>
      </c>
      <c r="B1919" s="41">
        <f>IF($A1919="",0,COUNT($E1920:$AR1920))</f>
        <v/>
      </c>
      <c r="C1919" s="81">
        <f>IF($B1919=0,0,MAX($E1920:$AR1920))</f>
        <v/>
      </c>
      <c r="D1919" s="82">
        <f>BDS($A1919,'Field Check'!$C$7,"headers=y","startcol=1","endcol=7","dir=h","DVD_START_DT",Summary!$C$18,"DVD_END_DT",Summary!$D$18)</f>
        <v/>
      </c>
      <c r="E1919" s="83" t="n"/>
      <c r="F1919" s="83" t="n"/>
      <c r="G1919" s="83" t="n"/>
      <c r="H1919" s="83" t="n"/>
      <c r="I1919" s="83" t="n"/>
      <c r="J1919" s="83" t="n"/>
      <c r="K1919" s="83" t="n"/>
      <c r="L1919" s="83" t="n"/>
      <c r="M1919" s="83" t="n"/>
      <c r="N1919" s="83" t="n"/>
      <c r="O1919" s="83" t="n"/>
      <c r="P1919" s="83" t="n"/>
      <c r="Q1919" s="83" t="n"/>
      <c r="R1919" s="83" t="n"/>
      <c r="S1919" s="83" t="n"/>
      <c r="T1919" s="83" t="n"/>
      <c r="U1919" s="83" t="n"/>
      <c r="V1919" s="83" t="n"/>
      <c r="W1919" s="83" t="n"/>
      <c r="X1919" s="83" t="n"/>
      <c r="Y1919" s="83" t="n"/>
      <c r="Z1919" s="83" t="n"/>
      <c r="AA1919" s="83" t="n"/>
      <c r="AB1919" s="83" t="n"/>
      <c r="AC1919" s="83" t="n"/>
      <c r="AD1919" s="83" t="n"/>
      <c r="AE1919" s="83" t="n"/>
      <c r="AF1919" s="83" t="n"/>
      <c r="AG1919" s="83" t="n"/>
      <c r="AH1919" s="83" t="n"/>
      <c r="AI1919" s="83" t="n"/>
      <c r="AJ1919" s="83" t="n"/>
      <c r="AK1919" s="83" t="n"/>
      <c r="AL1919" s="83" t="n"/>
      <c r="AM1919" s="83" t="n"/>
      <c r="AN1919" s="83" t="n"/>
      <c r="AO1919" s="83" t="n"/>
      <c r="AP1919" s="83" t="n"/>
      <c r="AQ1919" s="83" t="n"/>
      <c r="AR1919" s="83" t="n"/>
    </row>
    <row r="1920">
      <c r="D1920" s="83" t="n"/>
      <c r="E1920" s="83" t="n"/>
      <c r="F1920" s="83" t="n"/>
      <c r="G1920" s="83" t="n"/>
      <c r="H1920" s="83" t="n"/>
      <c r="I1920" s="83" t="n"/>
      <c r="J1920" s="83" t="n"/>
      <c r="K1920" s="83" t="n"/>
      <c r="L1920" s="83" t="n"/>
      <c r="M1920" s="83" t="n"/>
      <c r="N1920" s="83" t="n"/>
      <c r="O1920" s="83" t="n"/>
      <c r="P1920" s="83" t="n"/>
      <c r="Q1920" s="83" t="n"/>
      <c r="R1920" s="83" t="n"/>
      <c r="S1920" s="83" t="n"/>
      <c r="T1920" s="83" t="n"/>
      <c r="U1920" s="83" t="n"/>
      <c r="V1920" s="83" t="n"/>
      <c r="W1920" s="83" t="n"/>
      <c r="X1920" s="83" t="n"/>
      <c r="Y1920" s="83" t="n"/>
      <c r="Z1920" s="83" t="n"/>
      <c r="AA1920" s="83" t="n"/>
      <c r="AB1920" s="83" t="n"/>
      <c r="AC1920" s="83" t="n"/>
      <c r="AD1920" s="83" t="n"/>
      <c r="AE1920" s="83" t="n"/>
      <c r="AF1920" s="83" t="n"/>
      <c r="AG1920" s="83" t="n"/>
      <c r="AH1920" s="83" t="n"/>
      <c r="AI1920" s="83" t="n"/>
      <c r="AJ1920" s="83" t="n"/>
      <c r="AK1920" s="83" t="n"/>
      <c r="AL1920" s="83" t="n"/>
      <c r="AM1920" s="83" t="n"/>
      <c r="AN1920" s="83" t="n"/>
      <c r="AO1920" s="83" t="n"/>
      <c r="AP1920" s="83" t="n"/>
      <c r="AQ1920" s="83" t="n"/>
      <c r="AR1920" s="83" t="n"/>
    </row>
    <row r="1921">
      <c r="D1921" s="84" t="n"/>
      <c r="E1921" s="84" t="n"/>
      <c r="F1921" s="84" t="n"/>
      <c r="G1921" s="84" t="n"/>
      <c r="H1921" s="84" t="n"/>
      <c r="I1921" s="84" t="n"/>
      <c r="J1921" s="84" t="n"/>
      <c r="K1921" s="84" t="n"/>
      <c r="L1921" s="84" t="n"/>
      <c r="M1921" s="84" t="n"/>
      <c r="N1921" s="84" t="n"/>
      <c r="O1921" s="84" t="n"/>
      <c r="P1921" s="84" t="n"/>
      <c r="Q1921" s="84" t="n"/>
      <c r="R1921" s="84" t="n"/>
      <c r="S1921" s="84" t="n"/>
      <c r="T1921" s="84" t="n"/>
      <c r="U1921" s="84" t="n"/>
      <c r="V1921" s="84" t="n"/>
      <c r="W1921" s="84" t="n"/>
      <c r="X1921" s="84" t="n"/>
      <c r="Y1921" s="84" t="n"/>
      <c r="Z1921" s="84" t="n"/>
      <c r="AA1921" s="84" t="n"/>
      <c r="AB1921" s="84" t="n"/>
      <c r="AC1921" s="84" t="n"/>
      <c r="AD1921" s="84" t="n"/>
      <c r="AE1921" s="84" t="n"/>
      <c r="AF1921" s="84" t="n"/>
      <c r="AG1921" s="84" t="n"/>
      <c r="AH1921" s="84" t="n"/>
      <c r="AI1921" s="84" t="n"/>
      <c r="AJ1921" s="84" t="n"/>
      <c r="AK1921" s="84" t="n"/>
      <c r="AL1921" s="84" t="n"/>
      <c r="AM1921" s="84" t="n"/>
      <c r="AN1921" s="84" t="n"/>
      <c r="AO1921" s="84" t="n"/>
      <c r="AP1921" s="84" t="n"/>
      <c r="AQ1921" s="84" t="n"/>
      <c r="AR1921" s="84" t="n"/>
    </row>
    <row r="1922">
      <c r="D1922" s="80" t="n"/>
      <c r="E1922" s="80" t="n"/>
      <c r="F1922" s="80" t="n"/>
      <c r="G1922" s="80" t="n"/>
      <c r="H1922" s="80" t="n"/>
      <c r="I1922" s="80" t="n"/>
      <c r="J1922" s="80" t="n"/>
      <c r="K1922" s="80" t="n"/>
      <c r="L1922" s="80" t="n"/>
      <c r="M1922" s="80" t="n"/>
      <c r="N1922" s="80" t="n"/>
      <c r="O1922" s="80" t="n"/>
      <c r="P1922" s="80" t="n"/>
      <c r="Q1922" s="80" t="n"/>
      <c r="R1922" s="80" t="n"/>
      <c r="S1922" s="80" t="n"/>
      <c r="T1922" s="80" t="n"/>
      <c r="U1922" s="80" t="n"/>
      <c r="V1922" s="80" t="n"/>
      <c r="W1922" s="80" t="n"/>
      <c r="X1922" s="80" t="n"/>
      <c r="Y1922" s="80" t="n"/>
      <c r="Z1922" s="80" t="n"/>
      <c r="AA1922" s="80" t="n"/>
      <c r="AB1922" s="80" t="n"/>
      <c r="AC1922" s="80" t="n"/>
      <c r="AD1922" s="80" t="n"/>
      <c r="AE1922" s="80" t="n"/>
      <c r="AF1922" s="80" t="n"/>
      <c r="AG1922" s="80" t="n"/>
      <c r="AH1922" s="80" t="n"/>
      <c r="AI1922" s="80" t="n"/>
      <c r="AJ1922" s="80" t="n"/>
      <c r="AK1922" s="80" t="n"/>
      <c r="AL1922" s="80" t="n"/>
      <c r="AM1922" s="80" t="n"/>
      <c r="AN1922" s="80" t="n"/>
      <c r="AO1922" s="80" t="n"/>
      <c r="AP1922" s="80" t="n"/>
      <c r="AQ1922" s="80" t="n"/>
      <c r="AR1922" s="80" t="n"/>
    </row>
    <row r="1923">
      <c r="D1923" s="80" t="n"/>
      <c r="E1923" s="80" t="n"/>
      <c r="F1923" s="80" t="n"/>
      <c r="G1923" s="80" t="n"/>
      <c r="H1923" s="80" t="n"/>
      <c r="I1923" s="80" t="n"/>
      <c r="J1923" s="80" t="n"/>
      <c r="K1923" s="80" t="n"/>
      <c r="L1923" s="80" t="n"/>
      <c r="M1923" s="80" t="n"/>
      <c r="N1923" s="80" t="n"/>
      <c r="O1923" s="80" t="n"/>
      <c r="P1923" s="80" t="n"/>
      <c r="Q1923" s="80" t="n"/>
      <c r="R1923" s="80" t="n"/>
      <c r="S1923" s="80" t="n"/>
      <c r="T1923" s="80" t="n"/>
      <c r="U1923" s="80" t="n"/>
      <c r="V1923" s="80" t="n"/>
      <c r="W1923" s="80" t="n"/>
      <c r="X1923" s="80" t="n"/>
      <c r="Y1923" s="80" t="n"/>
      <c r="Z1923" s="80" t="n"/>
      <c r="AA1923" s="80" t="n"/>
      <c r="AB1923" s="80" t="n"/>
      <c r="AC1923" s="80" t="n"/>
      <c r="AD1923" s="80" t="n"/>
      <c r="AE1923" s="80" t="n"/>
      <c r="AF1923" s="80" t="n"/>
      <c r="AG1923" s="80" t="n"/>
      <c r="AH1923" s="80" t="n"/>
      <c r="AI1923" s="80" t="n"/>
      <c r="AJ1923" s="80" t="n"/>
      <c r="AK1923" s="80" t="n"/>
      <c r="AL1923" s="80" t="n"/>
      <c r="AM1923" s="80" t="n"/>
      <c r="AN1923" s="80" t="n"/>
      <c r="AO1923" s="80" t="n"/>
      <c r="AP1923" s="80" t="n"/>
      <c r="AQ1923" s="80" t="n"/>
      <c r="AR1923" s="80" t="n"/>
    </row>
    <row r="1924">
      <c r="D1924" s="80" t="n"/>
      <c r="E1924" s="80" t="n"/>
      <c r="F1924" s="80" t="n"/>
      <c r="G1924" s="80" t="n"/>
      <c r="H1924" s="80" t="n"/>
      <c r="I1924" s="80" t="n"/>
      <c r="J1924" s="80" t="n"/>
      <c r="K1924" s="80" t="n"/>
      <c r="L1924" s="80" t="n"/>
      <c r="M1924" s="80" t="n"/>
      <c r="N1924" s="80" t="n"/>
      <c r="O1924" s="80" t="n"/>
      <c r="P1924" s="80" t="n"/>
      <c r="Q1924" s="80" t="n"/>
      <c r="R1924" s="80" t="n"/>
      <c r="S1924" s="80" t="n"/>
      <c r="T1924" s="80" t="n"/>
      <c r="U1924" s="80" t="n"/>
      <c r="V1924" s="80" t="n"/>
      <c r="W1924" s="80" t="n"/>
      <c r="X1924" s="80" t="n"/>
      <c r="Y1924" s="80" t="n"/>
      <c r="Z1924" s="80" t="n"/>
      <c r="AA1924" s="80" t="n"/>
      <c r="AB1924" s="80" t="n"/>
      <c r="AC1924" s="80" t="n"/>
      <c r="AD1924" s="80" t="n"/>
      <c r="AE1924" s="80" t="n"/>
      <c r="AF1924" s="80" t="n"/>
      <c r="AG1924" s="80" t="n"/>
      <c r="AH1924" s="80" t="n"/>
      <c r="AI1924" s="80" t="n"/>
      <c r="AJ1924" s="80" t="n"/>
      <c r="AK1924" s="80" t="n"/>
      <c r="AL1924" s="80" t="n"/>
      <c r="AM1924" s="80" t="n"/>
      <c r="AN1924" s="80" t="n"/>
      <c r="AO1924" s="80" t="n"/>
      <c r="AP1924" s="80" t="n"/>
      <c r="AQ1924" s="80" t="n"/>
      <c r="AR1924" s="80" t="n"/>
    </row>
    <row r="1925">
      <c r="D1925" s="80" t="n"/>
      <c r="E1925" s="80" t="n"/>
      <c r="F1925" s="80" t="n"/>
      <c r="G1925" s="80" t="n"/>
      <c r="H1925" s="80" t="n"/>
      <c r="I1925" s="80" t="n"/>
      <c r="J1925" s="80" t="n"/>
      <c r="K1925" s="80" t="n"/>
      <c r="L1925" s="80" t="n"/>
      <c r="M1925" s="80" t="n"/>
      <c r="N1925" s="80" t="n"/>
      <c r="O1925" s="80" t="n"/>
      <c r="P1925" s="80" t="n"/>
      <c r="Q1925" s="80" t="n"/>
      <c r="R1925" s="80" t="n"/>
      <c r="S1925" s="80" t="n"/>
      <c r="T1925" s="80" t="n"/>
      <c r="U1925" s="80" t="n"/>
      <c r="V1925" s="80" t="n"/>
      <c r="W1925" s="80" t="n"/>
      <c r="X1925" s="80" t="n"/>
      <c r="Y1925" s="80" t="n"/>
      <c r="Z1925" s="80" t="n"/>
      <c r="AA1925" s="80" t="n"/>
      <c r="AB1925" s="80" t="n"/>
      <c r="AC1925" s="80" t="n"/>
      <c r="AD1925" s="80" t="n"/>
      <c r="AE1925" s="80" t="n"/>
      <c r="AF1925" s="80" t="n"/>
      <c r="AG1925" s="80" t="n"/>
      <c r="AH1925" s="80" t="n"/>
      <c r="AI1925" s="80" t="n"/>
      <c r="AJ1925" s="80" t="n"/>
      <c r="AK1925" s="80" t="n"/>
      <c r="AL1925" s="80" t="n"/>
      <c r="AM1925" s="80" t="n"/>
      <c r="AN1925" s="80" t="n"/>
      <c r="AO1925" s="80" t="n"/>
      <c r="AP1925" s="80" t="n"/>
      <c r="AQ1925" s="80" t="n"/>
      <c r="AR1925" s="80" t="n"/>
    </row>
    <row r="1926">
      <c r="A1926" s="2">
        <f>IF($A1919="","","   projections")</f>
        <v/>
      </c>
      <c r="B1926" s="41">
        <f>IF($A1919="",0,COUNT($E1927:$AR1927))</f>
        <v/>
      </c>
      <c r="C1926" s="81">
        <f>IF($B1926=0,0,MAX($E1927:$AR1927))</f>
        <v/>
      </c>
      <c r="D1926" s="82">
        <f>BDS($A1919,'Field Check'!$C$6,"headers=y","startcol=1","endcol=7","dir=h")</f>
        <v/>
      </c>
      <c r="E1926" s="83" t="n"/>
      <c r="F1926" s="83" t="n"/>
      <c r="G1926" s="83" t="n"/>
      <c r="H1926" s="83" t="n"/>
      <c r="I1926" s="83" t="n"/>
      <c r="J1926" s="83" t="n"/>
      <c r="K1926" s="83" t="n"/>
      <c r="L1926" s="83" t="n"/>
      <c r="M1926" s="83" t="n"/>
      <c r="N1926" s="83" t="n"/>
      <c r="O1926" s="83" t="n"/>
      <c r="P1926" s="83" t="n"/>
      <c r="Q1926" s="83" t="n"/>
      <c r="R1926" s="83" t="n"/>
      <c r="S1926" s="83" t="n"/>
      <c r="T1926" s="83" t="n"/>
      <c r="U1926" s="83" t="n"/>
      <c r="V1926" s="83" t="n"/>
      <c r="W1926" s="83" t="n"/>
      <c r="X1926" s="83" t="n"/>
      <c r="Y1926" s="83" t="n"/>
      <c r="Z1926" s="83" t="n"/>
      <c r="AA1926" s="83" t="n"/>
      <c r="AB1926" s="83" t="n"/>
      <c r="AC1926" s="83" t="n"/>
      <c r="AD1926" s="83" t="n"/>
      <c r="AE1926" s="83" t="n"/>
      <c r="AF1926" s="83" t="n"/>
      <c r="AG1926" s="83" t="n"/>
      <c r="AH1926" s="83" t="n"/>
      <c r="AI1926" s="83" t="n"/>
      <c r="AJ1926" s="83" t="n"/>
      <c r="AK1926" s="83" t="n"/>
      <c r="AL1926" s="83" t="n"/>
      <c r="AM1926" s="83" t="n"/>
      <c r="AN1926" s="83" t="n"/>
      <c r="AO1926" s="83" t="n"/>
      <c r="AP1926" s="83" t="n"/>
      <c r="AQ1926" s="83" t="n"/>
      <c r="AR1926" s="83" t="n"/>
    </row>
    <row r="1927">
      <c r="D1927" s="83" t="n"/>
      <c r="E1927" s="83" t="n"/>
      <c r="F1927" s="83" t="n"/>
      <c r="G1927" s="83" t="n"/>
      <c r="H1927" s="83" t="n"/>
      <c r="I1927" s="83" t="n"/>
      <c r="J1927" s="83" t="n"/>
      <c r="K1927" s="83" t="n"/>
      <c r="L1927" s="83" t="n"/>
      <c r="M1927" s="83" t="n"/>
      <c r="N1927" s="83" t="n"/>
      <c r="O1927" s="83" t="n"/>
      <c r="P1927" s="83" t="n"/>
      <c r="Q1927" s="83" t="n"/>
      <c r="R1927" s="83" t="n"/>
      <c r="S1927" s="83" t="n"/>
      <c r="T1927" s="83" t="n"/>
      <c r="U1927" s="83" t="n"/>
      <c r="V1927" s="83" t="n"/>
      <c r="W1927" s="83" t="n"/>
      <c r="X1927" s="83" t="n"/>
      <c r="Y1927" s="83" t="n"/>
      <c r="Z1927" s="83" t="n"/>
      <c r="AA1927" s="83" t="n"/>
      <c r="AB1927" s="83" t="n"/>
      <c r="AC1927" s="83" t="n"/>
      <c r="AD1927" s="83" t="n"/>
      <c r="AE1927" s="83" t="n"/>
      <c r="AF1927" s="83" t="n"/>
      <c r="AG1927" s="83" t="n"/>
      <c r="AH1927" s="83" t="n"/>
      <c r="AI1927" s="83" t="n"/>
      <c r="AJ1927" s="83" t="n"/>
      <c r="AK1927" s="83" t="n"/>
      <c r="AL1927" s="83" t="n"/>
      <c r="AM1927" s="83" t="n"/>
      <c r="AN1927" s="83" t="n"/>
      <c r="AO1927" s="83" t="n"/>
      <c r="AP1927" s="83" t="n"/>
      <c r="AQ1927" s="83" t="n"/>
      <c r="AR1927" s="83" t="n"/>
    </row>
    <row r="1928">
      <c r="D1928" s="84" t="n"/>
      <c r="E1928" s="84" t="n"/>
      <c r="F1928" s="84" t="n"/>
      <c r="G1928" s="84" t="n"/>
      <c r="H1928" s="84" t="n"/>
      <c r="I1928" s="84" t="n"/>
      <c r="J1928" s="84" t="n"/>
      <c r="K1928" s="84" t="n"/>
      <c r="L1928" s="84" t="n"/>
      <c r="M1928" s="84" t="n"/>
      <c r="N1928" s="84" t="n"/>
      <c r="O1928" s="84" t="n"/>
      <c r="P1928" s="84" t="n"/>
      <c r="Q1928" s="84" t="n"/>
      <c r="R1928" s="84" t="n"/>
      <c r="S1928" s="84" t="n"/>
      <c r="T1928" s="84" t="n"/>
      <c r="U1928" s="84" t="n"/>
      <c r="V1928" s="84" t="n"/>
      <c r="W1928" s="84" t="n"/>
      <c r="X1928" s="84" t="n"/>
      <c r="Y1928" s="84" t="n"/>
      <c r="Z1928" s="84" t="n"/>
      <c r="AA1928" s="84" t="n"/>
      <c r="AB1928" s="84" t="n"/>
      <c r="AC1928" s="84" t="n"/>
      <c r="AD1928" s="84" t="n"/>
      <c r="AE1928" s="84" t="n"/>
      <c r="AF1928" s="84" t="n"/>
      <c r="AG1928" s="84" t="n"/>
      <c r="AH1928" s="84" t="n"/>
      <c r="AI1928" s="84" t="n"/>
      <c r="AJ1928" s="84" t="n"/>
      <c r="AK1928" s="84" t="n"/>
      <c r="AL1928" s="84" t="n"/>
      <c r="AM1928" s="84" t="n"/>
      <c r="AN1928" s="84" t="n"/>
      <c r="AO1928" s="84" t="n"/>
      <c r="AP1928" s="84" t="n"/>
      <c r="AQ1928" s="84" t="n"/>
      <c r="AR1928" s="84" t="n"/>
    </row>
    <row r="1929">
      <c r="D1929" s="80" t="n"/>
      <c r="E1929" s="80" t="n"/>
      <c r="F1929" s="80" t="n"/>
      <c r="G1929" s="80" t="n"/>
      <c r="H1929" s="80" t="n"/>
      <c r="I1929" s="80" t="n"/>
      <c r="J1929" s="80" t="n"/>
      <c r="K1929" s="80" t="n"/>
      <c r="L1929" s="80" t="n"/>
      <c r="M1929" s="80" t="n"/>
      <c r="N1929" s="80" t="n"/>
      <c r="O1929" s="80" t="n"/>
      <c r="P1929" s="80" t="n"/>
      <c r="Q1929" s="80" t="n"/>
      <c r="R1929" s="80" t="n"/>
      <c r="S1929" s="80" t="n"/>
      <c r="T1929" s="80" t="n"/>
      <c r="U1929" s="80" t="n"/>
      <c r="V1929" s="80" t="n"/>
      <c r="W1929" s="80" t="n"/>
      <c r="X1929" s="80" t="n"/>
      <c r="Y1929" s="80" t="n"/>
      <c r="Z1929" s="80" t="n"/>
      <c r="AA1929" s="80" t="n"/>
      <c r="AB1929" s="80" t="n"/>
      <c r="AC1929" s="80" t="n"/>
      <c r="AD1929" s="80" t="n"/>
      <c r="AE1929" s="80" t="n"/>
      <c r="AF1929" s="80" t="n"/>
      <c r="AG1929" s="80" t="n"/>
      <c r="AH1929" s="80" t="n"/>
      <c r="AI1929" s="80" t="n"/>
      <c r="AJ1929" s="80" t="n"/>
      <c r="AK1929" s="80" t="n"/>
      <c r="AL1929" s="80" t="n"/>
      <c r="AM1929" s="80" t="n"/>
      <c r="AN1929" s="80" t="n"/>
      <c r="AO1929" s="80" t="n"/>
      <c r="AP1929" s="80" t="n"/>
      <c r="AQ1929" s="80" t="n"/>
      <c r="AR1929" s="80" t="n"/>
    </row>
    <row r="1930">
      <c r="D1930" s="80" t="n"/>
      <c r="E1930" s="80" t="n"/>
      <c r="F1930" s="80" t="n"/>
      <c r="G1930" s="80" t="n"/>
      <c r="H1930" s="80" t="n"/>
      <c r="I1930" s="80" t="n"/>
      <c r="J1930" s="80" t="n"/>
      <c r="K1930" s="80" t="n"/>
      <c r="L1930" s="80" t="n"/>
      <c r="M1930" s="80" t="n"/>
      <c r="N1930" s="80" t="n"/>
      <c r="O1930" s="80" t="n"/>
      <c r="P1930" s="80" t="n"/>
      <c r="Q1930" s="80" t="n"/>
      <c r="R1930" s="80" t="n"/>
      <c r="S1930" s="80" t="n"/>
      <c r="T1930" s="80" t="n"/>
      <c r="U1930" s="80" t="n"/>
      <c r="V1930" s="80" t="n"/>
      <c r="W1930" s="80" t="n"/>
      <c r="X1930" s="80" t="n"/>
      <c r="Y1930" s="80" t="n"/>
      <c r="Z1930" s="80" t="n"/>
      <c r="AA1930" s="80" t="n"/>
      <c r="AB1930" s="80" t="n"/>
      <c r="AC1930" s="80" t="n"/>
      <c r="AD1930" s="80" t="n"/>
      <c r="AE1930" s="80" t="n"/>
      <c r="AF1930" s="80" t="n"/>
      <c r="AG1930" s="80" t="n"/>
      <c r="AH1930" s="80" t="n"/>
      <c r="AI1930" s="80" t="n"/>
      <c r="AJ1930" s="80" t="n"/>
      <c r="AK1930" s="80" t="n"/>
      <c r="AL1930" s="80" t="n"/>
      <c r="AM1930" s="80" t="n"/>
      <c r="AN1930" s="80" t="n"/>
      <c r="AO1930" s="80" t="n"/>
      <c r="AP1930" s="80" t="n"/>
      <c r="AQ1930" s="80" t="n"/>
      <c r="AR1930" s="80" t="n"/>
    </row>
    <row r="1931">
      <c r="D1931" s="80" t="n"/>
      <c r="E1931" s="80" t="n"/>
      <c r="F1931" s="80" t="n"/>
      <c r="G1931" s="80" t="n"/>
      <c r="H1931" s="80" t="n"/>
      <c r="I1931" s="80" t="n"/>
      <c r="J1931" s="80" t="n"/>
      <c r="K1931" s="80" t="n"/>
      <c r="L1931" s="80" t="n"/>
      <c r="M1931" s="80" t="n"/>
      <c r="N1931" s="80" t="n"/>
      <c r="O1931" s="80" t="n"/>
      <c r="P1931" s="80" t="n"/>
      <c r="Q1931" s="80" t="n"/>
      <c r="R1931" s="80" t="n"/>
      <c r="S1931" s="80" t="n"/>
      <c r="T1931" s="80" t="n"/>
      <c r="U1931" s="80" t="n"/>
      <c r="V1931" s="80" t="n"/>
      <c r="W1931" s="80" t="n"/>
      <c r="X1931" s="80" t="n"/>
      <c r="Y1931" s="80" t="n"/>
      <c r="Z1931" s="80" t="n"/>
      <c r="AA1931" s="80" t="n"/>
      <c r="AB1931" s="80" t="n"/>
      <c r="AC1931" s="80" t="n"/>
      <c r="AD1931" s="80" t="n"/>
      <c r="AE1931" s="80" t="n"/>
      <c r="AF1931" s="80" t="n"/>
      <c r="AG1931" s="80" t="n"/>
      <c r="AH1931" s="80" t="n"/>
      <c r="AI1931" s="80" t="n"/>
      <c r="AJ1931" s="80" t="n"/>
      <c r="AK1931" s="80" t="n"/>
      <c r="AL1931" s="80" t="n"/>
      <c r="AM1931" s="80" t="n"/>
      <c r="AN1931" s="80" t="n"/>
      <c r="AO1931" s="80" t="n"/>
      <c r="AP1931" s="80" t="n"/>
      <c r="AQ1931" s="80" t="n"/>
      <c r="AR1931" s="80" t="n"/>
    </row>
    <row r="1932">
      <c r="D1932" s="80" t="n"/>
      <c r="E1932" s="80" t="n"/>
      <c r="F1932" s="80" t="n"/>
      <c r="G1932" s="80" t="n"/>
      <c r="H1932" s="80" t="n"/>
      <c r="I1932" s="80" t="n"/>
      <c r="J1932" s="80" t="n"/>
      <c r="K1932" s="80" t="n"/>
      <c r="L1932" s="80" t="n"/>
      <c r="M1932" s="80" t="n"/>
      <c r="N1932" s="80" t="n"/>
      <c r="O1932" s="80" t="n"/>
      <c r="P1932" s="80" t="n"/>
      <c r="Q1932" s="80" t="n"/>
      <c r="R1932" s="80" t="n"/>
      <c r="S1932" s="80" t="n"/>
      <c r="T1932" s="80" t="n"/>
      <c r="U1932" s="80" t="n"/>
      <c r="V1932" s="80" t="n"/>
      <c r="W1932" s="80" t="n"/>
      <c r="X1932" s="80" t="n"/>
      <c r="Y1932" s="80" t="n"/>
      <c r="Z1932" s="80" t="n"/>
      <c r="AA1932" s="80" t="n"/>
      <c r="AB1932" s="80" t="n"/>
      <c r="AC1932" s="80" t="n"/>
      <c r="AD1932" s="80" t="n"/>
      <c r="AE1932" s="80" t="n"/>
      <c r="AF1932" s="80" t="n"/>
      <c r="AG1932" s="80" t="n"/>
      <c r="AH1932" s="80" t="n"/>
      <c r="AI1932" s="80" t="n"/>
      <c r="AJ1932" s="80" t="n"/>
      <c r="AK1932" s="80" t="n"/>
      <c r="AL1932" s="80" t="n"/>
      <c r="AM1932" s="80" t="n"/>
      <c r="AN1932" s="80" t="n"/>
      <c r="AO1932" s="80" t="n"/>
      <c r="AP1932" s="80" t="n"/>
      <c r="AQ1932" s="80" t="n"/>
      <c r="AR1932" s="80" t="n"/>
    </row>
    <row r="1934">
      <c r="A1934" s="6">
        <f>IF(HSTECH!$C$35="","",HSTECH!$C$35)</f>
        <v/>
      </c>
      <c r="B1934" s="41">
        <f>IF($A1934="",0,COUNT($E1935:$AR1935))</f>
        <v/>
      </c>
      <c r="C1934" s="81">
        <f>IF($B1934=0,0,MAX($E1935:$AR1935))</f>
        <v/>
      </c>
      <c r="D1934" s="82">
        <f>BDS($A1934,'Field Check'!$C$7,"headers=y","startcol=1","endcol=7","dir=h","DVD_START_DT",Summary!$C$18,"DVD_END_DT",Summary!$D$18)</f>
        <v/>
      </c>
      <c r="E1934" s="83" t="n"/>
      <c r="F1934" s="83" t="n"/>
      <c r="G1934" s="83" t="n"/>
      <c r="H1934" s="83" t="n"/>
      <c r="I1934" s="83" t="n"/>
      <c r="J1934" s="83" t="n"/>
      <c r="K1934" s="83" t="n"/>
      <c r="L1934" s="83" t="n"/>
      <c r="M1934" s="83" t="n"/>
      <c r="N1934" s="83" t="n"/>
      <c r="O1934" s="83" t="n"/>
      <c r="P1934" s="83" t="n"/>
      <c r="Q1934" s="83" t="n"/>
      <c r="R1934" s="83" t="n"/>
      <c r="S1934" s="83" t="n"/>
      <c r="T1934" s="83" t="n"/>
      <c r="U1934" s="83" t="n"/>
      <c r="V1934" s="83" t="n"/>
      <c r="W1934" s="83" t="n"/>
      <c r="X1934" s="83" t="n"/>
      <c r="Y1934" s="83" t="n"/>
      <c r="Z1934" s="83" t="n"/>
      <c r="AA1934" s="83" t="n"/>
      <c r="AB1934" s="83" t="n"/>
      <c r="AC1934" s="83" t="n"/>
      <c r="AD1934" s="83" t="n"/>
      <c r="AE1934" s="83" t="n"/>
      <c r="AF1934" s="83" t="n"/>
      <c r="AG1934" s="83" t="n"/>
      <c r="AH1934" s="83" t="n"/>
      <c r="AI1934" s="83" t="n"/>
      <c r="AJ1934" s="83" t="n"/>
      <c r="AK1934" s="83" t="n"/>
      <c r="AL1934" s="83" t="n"/>
      <c r="AM1934" s="83" t="n"/>
      <c r="AN1934" s="83" t="n"/>
      <c r="AO1934" s="83" t="n"/>
      <c r="AP1934" s="83" t="n"/>
      <c r="AQ1934" s="83" t="n"/>
      <c r="AR1934" s="83" t="n"/>
    </row>
    <row r="1935">
      <c r="D1935" s="83" t="n"/>
      <c r="E1935" s="83" t="n"/>
      <c r="F1935" s="83" t="n"/>
      <c r="G1935" s="83" t="n"/>
      <c r="H1935" s="83" t="n"/>
      <c r="I1935" s="83" t="n"/>
      <c r="J1935" s="83" t="n"/>
      <c r="K1935" s="83" t="n"/>
      <c r="L1935" s="83" t="n"/>
      <c r="M1935" s="83" t="n"/>
      <c r="N1935" s="83" t="n"/>
      <c r="O1935" s="83" t="n"/>
      <c r="P1935" s="83" t="n"/>
      <c r="Q1935" s="83" t="n"/>
      <c r="R1935" s="83" t="n"/>
      <c r="S1935" s="83" t="n"/>
      <c r="T1935" s="83" t="n"/>
      <c r="U1935" s="83" t="n"/>
      <c r="V1935" s="83" t="n"/>
      <c r="W1935" s="83" t="n"/>
      <c r="X1935" s="83" t="n"/>
      <c r="Y1935" s="83" t="n"/>
      <c r="Z1935" s="83" t="n"/>
      <c r="AA1935" s="83" t="n"/>
      <c r="AB1935" s="83" t="n"/>
      <c r="AC1935" s="83" t="n"/>
      <c r="AD1935" s="83" t="n"/>
      <c r="AE1935" s="83" t="n"/>
      <c r="AF1935" s="83" t="n"/>
      <c r="AG1935" s="83" t="n"/>
      <c r="AH1935" s="83" t="n"/>
      <c r="AI1935" s="83" t="n"/>
      <c r="AJ1935" s="83" t="n"/>
      <c r="AK1935" s="83" t="n"/>
      <c r="AL1935" s="83" t="n"/>
      <c r="AM1935" s="83" t="n"/>
      <c r="AN1935" s="83" t="n"/>
      <c r="AO1935" s="83" t="n"/>
      <c r="AP1935" s="83" t="n"/>
      <c r="AQ1935" s="83" t="n"/>
      <c r="AR1935" s="83" t="n"/>
    </row>
    <row r="1936">
      <c r="D1936" s="84" t="n"/>
      <c r="E1936" s="84" t="n"/>
      <c r="F1936" s="84" t="n"/>
      <c r="G1936" s="84" t="n"/>
      <c r="H1936" s="84" t="n"/>
      <c r="I1936" s="84" t="n"/>
      <c r="J1936" s="84" t="n"/>
      <c r="K1936" s="84" t="n"/>
      <c r="L1936" s="84" t="n"/>
      <c r="M1936" s="84" t="n"/>
      <c r="N1936" s="84" t="n"/>
      <c r="O1936" s="84" t="n"/>
      <c r="P1936" s="84" t="n"/>
      <c r="Q1936" s="84" t="n"/>
      <c r="R1936" s="84" t="n"/>
      <c r="S1936" s="84" t="n"/>
      <c r="T1936" s="84" t="n"/>
      <c r="U1936" s="84" t="n"/>
      <c r="V1936" s="84" t="n"/>
      <c r="W1936" s="84" t="n"/>
      <c r="X1936" s="84" t="n"/>
      <c r="Y1936" s="84" t="n"/>
      <c r="Z1936" s="84" t="n"/>
      <c r="AA1936" s="84" t="n"/>
      <c r="AB1936" s="84" t="n"/>
      <c r="AC1936" s="84" t="n"/>
      <c r="AD1936" s="84" t="n"/>
      <c r="AE1936" s="84" t="n"/>
      <c r="AF1936" s="84" t="n"/>
      <c r="AG1936" s="84" t="n"/>
      <c r="AH1936" s="84" t="n"/>
      <c r="AI1936" s="84" t="n"/>
      <c r="AJ1936" s="84" t="n"/>
      <c r="AK1936" s="84" t="n"/>
      <c r="AL1936" s="84" t="n"/>
      <c r="AM1936" s="84" t="n"/>
      <c r="AN1936" s="84" t="n"/>
      <c r="AO1936" s="84" t="n"/>
      <c r="AP1936" s="84" t="n"/>
      <c r="AQ1936" s="84" t="n"/>
      <c r="AR1936" s="84" t="n"/>
    </row>
    <row r="1937">
      <c r="D1937" s="80" t="n"/>
      <c r="E1937" s="80" t="n"/>
      <c r="F1937" s="80" t="n"/>
      <c r="G1937" s="80" t="n"/>
      <c r="H1937" s="80" t="n"/>
      <c r="I1937" s="80" t="n"/>
      <c r="J1937" s="80" t="n"/>
      <c r="K1937" s="80" t="n"/>
      <c r="L1937" s="80" t="n"/>
      <c r="M1937" s="80" t="n"/>
      <c r="N1937" s="80" t="n"/>
      <c r="O1937" s="80" t="n"/>
      <c r="P1937" s="80" t="n"/>
      <c r="Q1937" s="80" t="n"/>
      <c r="R1937" s="80" t="n"/>
      <c r="S1937" s="80" t="n"/>
      <c r="T1937" s="80" t="n"/>
      <c r="U1937" s="80" t="n"/>
      <c r="V1937" s="80" t="n"/>
      <c r="W1937" s="80" t="n"/>
      <c r="X1937" s="80" t="n"/>
      <c r="Y1937" s="80" t="n"/>
      <c r="Z1937" s="80" t="n"/>
      <c r="AA1937" s="80" t="n"/>
      <c r="AB1937" s="80" t="n"/>
      <c r="AC1937" s="80" t="n"/>
      <c r="AD1937" s="80" t="n"/>
      <c r="AE1937" s="80" t="n"/>
      <c r="AF1937" s="80" t="n"/>
      <c r="AG1937" s="80" t="n"/>
      <c r="AH1937" s="80" t="n"/>
      <c r="AI1937" s="80" t="n"/>
      <c r="AJ1937" s="80" t="n"/>
      <c r="AK1937" s="80" t="n"/>
      <c r="AL1937" s="80" t="n"/>
      <c r="AM1937" s="80" t="n"/>
      <c r="AN1937" s="80" t="n"/>
      <c r="AO1937" s="80" t="n"/>
      <c r="AP1937" s="80" t="n"/>
      <c r="AQ1937" s="80" t="n"/>
      <c r="AR1937" s="80" t="n"/>
    </row>
    <row r="1938">
      <c r="D1938" s="80" t="n"/>
      <c r="E1938" s="80" t="n"/>
      <c r="F1938" s="80" t="n"/>
      <c r="G1938" s="80" t="n"/>
      <c r="H1938" s="80" t="n"/>
      <c r="I1938" s="80" t="n"/>
      <c r="J1938" s="80" t="n"/>
      <c r="K1938" s="80" t="n"/>
      <c r="L1938" s="80" t="n"/>
      <c r="M1938" s="80" t="n"/>
      <c r="N1938" s="80" t="n"/>
      <c r="O1938" s="80" t="n"/>
      <c r="P1938" s="80" t="n"/>
      <c r="Q1938" s="80" t="n"/>
      <c r="R1938" s="80" t="n"/>
      <c r="S1938" s="80" t="n"/>
      <c r="T1938" s="80" t="n"/>
      <c r="U1938" s="80" t="n"/>
      <c r="V1938" s="80" t="n"/>
      <c r="W1938" s="80" t="n"/>
      <c r="X1938" s="80" t="n"/>
      <c r="Y1938" s="80" t="n"/>
      <c r="Z1938" s="80" t="n"/>
      <c r="AA1938" s="80" t="n"/>
      <c r="AB1938" s="80" t="n"/>
      <c r="AC1938" s="80" t="n"/>
      <c r="AD1938" s="80" t="n"/>
      <c r="AE1938" s="80" t="n"/>
      <c r="AF1938" s="80" t="n"/>
      <c r="AG1938" s="80" t="n"/>
      <c r="AH1938" s="80" t="n"/>
      <c r="AI1938" s="80" t="n"/>
      <c r="AJ1938" s="80" t="n"/>
      <c r="AK1938" s="80" t="n"/>
      <c r="AL1938" s="80" t="n"/>
      <c r="AM1938" s="80" t="n"/>
      <c r="AN1938" s="80" t="n"/>
      <c r="AO1938" s="80" t="n"/>
      <c r="AP1938" s="80" t="n"/>
      <c r="AQ1938" s="80" t="n"/>
      <c r="AR1938" s="80" t="n"/>
    </row>
    <row r="1939">
      <c r="D1939" s="80" t="n"/>
      <c r="E1939" s="80" t="n"/>
      <c r="F1939" s="80" t="n"/>
      <c r="G1939" s="80" t="n"/>
      <c r="H1939" s="80" t="n"/>
      <c r="I1939" s="80" t="n"/>
      <c r="J1939" s="80" t="n"/>
      <c r="K1939" s="80" t="n"/>
      <c r="L1939" s="80" t="n"/>
      <c r="M1939" s="80" t="n"/>
      <c r="N1939" s="80" t="n"/>
      <c r="O1939" s="80" t="n"/>
      <c r="P1939" s="80" t="n"/>
      <c r="Q1939" s="80" t="n"/>
      <c r="R1939" s="80" t="n"/>
      <c r="S1939" s="80" t="n"/>
      <c r="T1939" s="80" t="n"/>
      <c r="U1939" s="80" t="n"/>
      <c r="V1939" s="80" t="n"/>
      <c r="W1939" s="80" t="n"/>
      <c r="X1939" s="80" t="n"/>
      <c r="Y1939" s="80" t="n"/>
      <c r="Z1939" s="80" t="n"/>
      <c r="AA1939" s="80" t="n"/>
      <c r="AB1939" s="80" t="n"/>
      <c r="AC1939" s="80" t="n"/>
      <c r="AD1939" s="80" t="n"/>
      <c r="AE1939" s="80" t="n"/>
      <c r="AF1939" s="80" t="n"/>
      <c r="AG1939" s="80" t="n"/>
      <c r="AH1939" s="80" t="n"/>
      <c r="AI1939" s="80" t="n"/>
      <c r="AJ1939" s="80" t="n"/>
      <c r="AK1939" s="80" t="n"/>
      <c r="AL1939" s="80" t="n"/>
      <c r="AM1939" s="80" t="n"/>
      <c r="AN1939" s="80" t="n"/>
      <c r="AO1939" s="80" t="n"/>
      <c r="AP1939" s="80" t="n"/>
      <c r="AQ1939" s="80" t="n"/>
      <c r="AR1939" s="80" t="n"/>
    </row>
    <row r="1940">
      <c r="D1940" s="80" t="n"/>
      <c r="E1940" s="80" t="n"/>
      <c r="F1940" s="80" t="n"/>
      <c r="G1940" s="80" t="n"/>
      <c r="H1940" s="80" t="n"/>
      <c r="I1940" s="80" t="n"/>
      <c r="J1940" s="80" t="n"/>
      <c r="K1940" s="80" t="n"/>
      <c r="L1940" s="80" t="n"/>
      <c r="M1940" s="80" t="n"/>
      <c r="N1940" s="80" t="n"/>
      <c r="O1940" s="80" t="n"/>
      <c r="P1940" s="80" t="n"/>
      <c r="Q1940" s="80" t="n"/>
      <c r="R1940" s="80" t="n"/>
      <c r="S1940" s="80" t="n"/>
      <c r="T1940" s="80" t="n"/>
      <c r="U1940" s="80" t="n"/>
      <c r="V1940" s="80" t="n"/>
      <c r="W1940" s="80" t="n"/>
      <c r="X1940" s="80" t="n"/>
      <c r="Y1940" s="80" t="n"/>
      <c r="Z1940" s="80" t="n"/>
      <c r="AA1940" s="80" t="n"/>
      <c r="AB1940" s="80" t="n"/>
      <c r="AC1940" s="80" t="n"/>
      <c r="AD1940" s="80" t="n"/>
      <c r="AE1940" s="80" t="n"/>
      <c r="AF1940" s="80" t="n"/>
      <c r="AG1940" s="80" t="n"/>
      <c r="AH1940" s="80" t="n"/>
      <c r="AI1940" s="80" t="n"/>
      <c r="AJ1940" s="80" t="n"/>
      <c r="AK1940" s="80" t="n"/>
      <c r="AL1940" s="80" t="n"/>
      <c r="AM1940" s="80" t="n"/>
      <c r="AN1940" s="80" t="n"/>
      <c r="AO1940" s="80" t="n"/>
      <c r="AP1940" s="80" t="n"/>
      <c r="AQ1940" s="80" t="n"/>
      <c r="AR1940" s="80" t="n"/>
    </row>
    <row r="1941">
      <c r="A1941" s="2">
        <f>IF($A1934="","","   projections")</f>
        <v/>
      </c>
      <c r="B1941" s="41">
        <f>IF($A1934="",0,COUNT($E1942:$AR1942))</f>
        <v/>
      </c>
      <c r="C1941" s="81">
        <f>IF($B1941=0,0,MAX($E1942:$AR1942))</f>
        <v/>
      </c>
      <c r="D1941" s="82">
        <f>BDS($A1934,'Field Check'!$C$6,"headers=y","startcol=1","endcol=7","dir=h")</f>
        <v/>
      </c>
      <c r="E1941" s="83" t="n"/>
      <c r="F1941" s="83" t="n"/>
      <c r="G1941" s="83" t="n"/>
      <c r="H1941" s="83" t="n"/>
      <c r="I1941" s="83" t="n"/>
      <c r="J1941" s="83" t="n"/>
      <c r="K1941" s="83" t="n"/>
      <c r="L1941" s="83" t="n"/>
      <c r="M1941" s="83" t="n"/>
      <c r="N1941" s="83" t="n"/>
      <c r="O1941" s="83" t="n"/>
      <c r="P1941" s="83" t="n"/>
      <c r="Q1941" s="83" t="n"/>
      <c r="R1941" s="83" t="n"/>
      <c r="S1941" s="83" t="n"/>
      <c r="T1941" s="83" t="n"/>
      <c r="U1941" s="83" t="n"/>
      <c r="V1941" s="83" t="n"/>
      <c r="W1941" s="83" t="n"/>
      <c r="X1941" s="83" t="n"/>
      <c r="Y1941" s="83" t="n"/>
      <c r="Z1941" s="83" t="n"/>
      <c r="AA1941" s="83" t="n"/>
      <c r="AB1941" s="83" t="n"/>
      <c r="AC1941" s="83" t="n"/>
      <c r="AD1941" s="83" t="n"/>
      <c r="AE1941" s="83" t="n"/>
      <c r="AF1941" s="83" t="n"/>
      <c r="AG1941" s="83" t="n"/>
      <c r="AH1941" s="83" t="n"/>
      <c r="AI1941" s="83" t="n"/>
      <c r="AJ1941" s="83" t="n"/>
      <c r="AK1941" s="83" t="n"/>
      <c r="AL1941" s="83" t="n"/>
      <c r="AM1941" s="83" t="n"/>
      <c r="AN1941" s="83" t="n"/>
      <c r="AO1941" s="83" t="n"/>
      <c r="AP1941" s="83" t="n"/>
      <c r="AQ1941" s="83" t="n"/>
      <c r="AR1941" s="83" t="n"/>
    </row>
    <row r="1942">
      <c r="D1942" s="83" t="n"/>
      <c r="E1942" s="83" t="n"/>
      <c r="F1942" s="83" t="n"/>
      <c r="G1942" s="83" t="n"/>
      <c r="H1942" s="83" t="n"/>
      <c r="I1942" s="83" t="n"/>
      <c r="J1942" s="83" t="n"/>
      <c r="K1942" s="83" t="n"/>
      <c r="L1942" s="83" t="n"/>
      <c r="M1942" s="83" t="n"/>
      <c r="N1942" s="83" t="n"/>
      <c r="O1942" s="83" t="n"/>
      <c r="P1942" s="83" t="n"/>
      <c r="Q1942" s="83" t="n"/>
      <c r="R1942" s="83" t="n"/>
      <c r="S1942" s="83" t="n"/>
      <c r="T1942" s="83" t="n"/>
      <c r="U1942" s="83" t="n"/>
      <c r="V1942" s="83" t="n"/>
      <c r="W1942" s="83" t="n"/>
      <c r="X1942" s="83" t="n"/>
      <c r="Y1942" s="83" t="n"/>
      <c r="Z1942" s="83" t="n"/>
      <c r="AA1942" s="83" t="n"/>
      <c r="AB1942" s="83" t="n"/>
      <c r="AC1942" s="83" t="n"/>
      <c r="AD1942" s="83" t="n"/>
      <c r="AE1942" s="83" t="n"/>
      <c r="AF1942" s="83" t="n"/>
      <c r="AG1942" s="83" t="n"/>
      <c r="AH1942" s="83" t="n"/>
      <c r="AI1942" s="83" t="n"/>
      <c r="AJ1942" s="83" t="n"/>
      <c r="AK1942" s="83" t="n"/>
      <c r="AL1942" s="83" t="n"/>
      <c r="AM1942" s="83" t="n"/>
      <c r="AN1942" s="83" t="n"/>
      <c r="AO1942" s="83" t="n"/>
      <c r="AP1942" s="83" t="n"/>
      <c r="AQ1942" s="83" t="n"/>
      <c r="AR1942" s="83" t="n"/>
    </row>
    <row r="1943">
      <c r="D1943" s="84" t="n"/>
      <c r="E1943" s="84" t="n"/>
      <c r="F1943" s="84" t="n"/>
      <c r="G1943" s="84" t="n"/>
      <c r="H1943" s="84" t="n"/>
      <c r="I1943" s="84" t="n"/>
      <c r="J1943" s="84" t="n"/>
      <c r="K1943" s="84" t="n"/>
      <c r="L1943" s="84" t="n"/>
      <c r="M1943" s="84" t="n"/>
      <c r="N1943" s="84" t="n"/>
      <c r="O1943" s="84" t="n"/>
      <c r="P1943" s="84" t="n"/>
      <c r="Q1943" s="84" t="n"/>
      <c r="R1943" s="84" t="n"/>
      <c r="S1943" s="84" t="n"/>
      <c r="T1943" s="84" t="n"/>
      <c r="U1943" s="84" t="n"/>
      <c r="V1943" s="84" t="n"/>
      <c r="W1943" s="84" t="n"/>
      <c r="X1943" s="84" t="n"/>
      <c r="Y1943" s="84" t="n"/>
      <c r="Z1943" s="84" t="n"/>
      <c r="AA1943" s="84" t="n"/>
      <c r="AB1943" s="84" t="n"/>
      <c r="AC1943" s="84" t="n"/>
      <c r="AD1943" s="84" t="n"/>
      <c r="AE1943" s="84" t="n"/>
      <c r="AF1943" s="84" t="n"/>
      <c r="AG1943" s="84" t="n"/>
      <c r="AH1943" s="84" t="n"/>
      <c r="AI1943" s="84" t="n"/>
      <c r="AJ1943" s="84" t="n"/>
      <c r="AK1943" s="84" t="n"/>
      <c r="AL1943" s="84" t="n"/>
      <c r="AM1943" s="84" t="n"/>
      <c r="AN1943" s="84" t="n"/>
      <c r="AO1943" s="84" t="n"/>
      <c r="AP1943" s="84" t="n"/>
      <c r="AQ1943" s="84" t="n"/>
      <c r="AR1943" s="84" t="n"/>
    </row>
    <row r="1944">
      <c r="D1944" s="80" t="n"/>
      <c r="E1944" s="80" t="n"/>
      <c r="F1944" s="80" t="n"/>
      <c r="G1944" s="80" t="n"/>
      <c r="H1944" s="80" t="n"/>
      <c r="I1944" s="80" t="n"/>
      <c r="J1944" s="80" t="n"/>
      <c r="K1944" s="80" t="n"/>
      <c r="L1944" s="80" t="n"/>
      <c r="M1944" s="80" t="n"/>
      <c r="N1944" s="80" t="n"/>
      <c r="O1944" s="80" t="n"/>
      <c r="P1944" s="80" t="n"/>
      <c r="Q1944" s="80" t="n"/>
      <c r="R1944" s="80" t="n"/>
      <c r="S1944" s="80" t="n"/>
      <c r="T1944" s="80" t="n"/>
      <c r="U1944" s="80" t="n"/>
      <c r="V1944" s="80" t="n"/>
      <c r="W1944" s="80" t="n"/>
      <c r="X1944" s="80" t="n"/>
      <c r="Y1944" s="80" t="n"/>
      <c r="Z1944" s="80" t="n"/>
      <c r="AA1944" s="80" t="n"/>
      <c r="AB1944" s="80" t="n"/>
      <c r="AC1944" s="80" t="n"/>
      <c r="AD1944" s="80" t="n"/>
      <c r="AE1944" s="80" t="n"/>
      <c r="AF1944" s="80" t="n"/>
      <c r="AG1944" s="80" t="n"/>
      <c r="AH1944" s="80" t="n"/>
      <c r="AI1944" s="80" t="n"/>
      <c r="AJ1944" s="80" t="n"/>
      <c r="AK1944" s="80" t="n"/>
      <c r="AL1944" s="80" t="n"/>
      <c r="AM1944" s="80" t="n"/>
      <c r="AN1944" s="80" t="n"/>
      <c r="AO1944" s="80" t="n"/>
      <c r="AP1944" s="80" t="n"/>
      <c r="AQ1944" s="80" t="n"/>
      <c r="AR1944" s="80" t="n"/>
    </row>
    <row r="1945">
      <c r="D1945" s="80" t="n"/>
      <c r="E1945" s="80" t="n"/>
      <c r="F1945" s="80" t="n"/>
      <c r="G1945" s="80" t="n"/>
      <c r="H1945" s="80" t="n"/>
      <c r="I1945" s="80" t="n"/>
      <c r="J1945" s="80" t="n"/>
      <c r="K1945" s="80" t="n"/>
      <c r="L1945" s="80" t="n"/>
      <c r="M1945" s="80" t="n"/>
      <c r="N1945" s="80" t="n"/>
      <c r="O1945" s="80" t="n"/>
      <c r="P1945" s="80" t="n"/>
      <c r="Q1945" s="80" t="n"/>
      <c r="R1945" s="80" t="n"/>
      <c r="S1945" s="80" t="n"/>
      <c r="T1945" s="80" t="n"/>
      <c r="U1945" s="80" t="n"/>
      <c r="V1945" s="80" t="n"/>
      <c r="W1945" s="80" t="n"/>
      <c r="X1945" s="80" t="n"/>
      <c r="Y1945" s="80" t="n"/>
      <c r="Z1945" s="80" t="n"/>
      <c r="AA1945" s="80" t="n"/>
      <c r="AB1945" s="80" t="n"/>
      <c r="AC1945" s="80" t="n"/>
      <c r="AD1945" s="80" t="n"/>
      <c r="AE1945" s="80" t="n"/>
      <c r="AF1945" s="80" t="n"/>
      <c r="AG1945" s="80" t="n"/>
      <c r="AH1945" s="80" t="n"/>
      <c r="AI1945" s="80" t="n"/>
      <c r="AJ1945" s="80" t="n"/>
      <c r="AK1945" s="80" t="n"/>
      <c r="AL1945" s="80" t="n"/>
      <c r="AM1945" s="80" t="n"/>
      <c r="AN1945" s="80" t="n"/>
      <c r="AO1945" s="80" t="n"/>
      <c r="AP1945" s="80" t="n"/>
      <c r="AQ1945" s="80" t="n"/>
      <c r="AR1945" s="80" t="n"/>
    </row>
    <row r="1946">
      <c r="D1946" s="80" t="n"/>
      <c r="E1946" s="80" t="n"/>
      <c r="F1946" s="80" t="n"/>
      <c r="G1946" s="80" t="n"/>
      <c r="H1946" s="80" t="n"/>
      <c r="I1946" s="80" t="n"/>
      <c r="J1946" s="80" t="n"/>
      <c r="K1946" s="80" t="n"/>
      <c r="L1946" s="80" t="n"/>
      <c r="M1946" s="80" t="n"/>
      <c r="N1946" s="80" t="n"/>
      <c r="O1946" s="80" t="n"/>
      <c r="P1946" s="80" t="n"/>
      <c r="Q1946" s="80" t="n"/>
      <c r="R1946" s="80" t="n"/>
      <c r="S1946" s="80" t="n"/>
      <c r="T1946" s="80" t="n"/>
      <c r="U1946" s="80" t="n"/>
      <c r="V1946" s="80" t="n"/>
      <c r="W1946" s="80" t="n"/>
      <c r="X1946" s="80" t="n"/>
      <c r="Y1946" s="80" t="n"/>
      <c r="Z1946" s="80" t="n"/>
      <c r="AA1946" s="80" t="n"/>
      <c r="AB1946" s="80" t="n"/>
      <c r="AC1946" s="80" t="n"/>
      <c r="AD1946" s="80" t="n"/>
      <c r="AE1946" s="80" t="n"/>
      <c r="AF1946" s="80" t="n"/>
      <c r="AG1946" s="80" t="n"/>
      <c r="AH1946" s="80" t="n"/>
      <c r="AI1946" s="80" t="n"/>
      <c r="AJ1946" s="80" t="n"/>
      <c r="AK1946" s="80" t="n"/>
      <c r="AL1946" s="80" t="n"/>
      <c r="AM1946" s="80" t="n"/>
      <c r="AN1946" s="80" t="n"/>
      <c r="AO1946" s="80" t="n"/>
      <c r="AP1946" s="80" t="n"/>
      <c r="AQ1946" s="80" t="n"/>
      <c r="AR1946" s="80" t="n"/>
    </row>
    <row r="1947">
      <c r="D1947" s="80" t="n"/>
      <c r="E1947" s="80" t="n"/>
      <c r="F1947" s="80" t="n"/>
      <c r="G1947" s="80" t="n"/>
      <c r="H1947" s="80" t="n"/>
      <c r="I1947" s="80" t="n"/>
      <c r="J1947" s="80" t="n"/>
      <c r="K1947" s="80" t="n"/>
      <c r="L1947" s="80" t="n"/>
      <c r="M1947" s="80" t="n"/>
      <c r="N1947" s="80" t="n"/>
      <c r="O1947" s="80" t="n"/>
      <c r="P1947" s="80" t="n"/>
      <c r="Q1947" s="80" t="n"/>
      <c r="R1947" s="80" t="n"/>
      <c r="S1947" s="80" t="n"/>
      <c r="T1947" s="80" t="n"/>
      <c r="U1947" s="80" t="n"/>
      <c r="V1947" s="80" t="n"/>
      <c r="W1947" s="80" t="n"/>
      <c r="X1947" s="80" t="n"/>
      <c r="Y1947" s="80" t="n"/>
      <c r="Z1947" s="80" t="n"/>
      <c r="AA1947" s="80" t="n"/>
      <c r="AB1947" s="80" t="n"/>
      <c r="AC1947" s="80" t="n"/>
      <c r="AD1947" s="80" t="n"/>
      <c r="AE1947" s="80" t="n"/>
      <c r="AF1947" s="80" t="n"/>
      <c r="AG1947" s="80" t="n"/>
      <c r="AH1947" s="80" t="n"/>
      <c r="AI1947" s="80" t="n"/>
      <c r="AJ1947" s="80" t="n"/>
      <c r="AK1947" s="80" t="n"/>
      <c r="AL1947" s="80" t="n"/>
      <c r="AM1947" s="80" t="n"/>
      <c r="AN1947" s="80" t="n"/>
      <c r="AO1947" s="80" t="n"/>
      <c r="AP1947" s="80" t="n"/>
      <c r="AQ1947" s="80" t="n"/>
      <c r="AR1947" s="80" t="n"/>
    </row>
    <row r="1949">
      <c r="A1949" s="6">
        <f>IF(HSTECH!$C$36="","",HSTECH!$C$36)</f>
        <v/>
      </c>
      <c r="B1949" s="41">
        <f>IF($A1949="",0,COUNT($E1950:$AR1950))</f>
        <v/>
      </c>
      <c r="C1949" s="81">
        <f>IF($B1949=0,0,MAX($E1950:$AR1950))</f>
        <v/>
      </c>
      <c r="D1949" s="82">
        <f>BDS($A1949,'Field Check'!$C$7,"headers=y","startcol=1","endcol=7","dir=h","DVD_START_DT",Summary!$C$18,"DVD_END_DT",Summary!$D$18)</f>
        <v/>
      </c>
      <c r="E1949" s="83" t="n"/>
      <c r="F1949" s="83" t="n"/>
      <c r="G1949" s="83" t="n"/>
      <c r="H1949" s="83" t="n"/>
      <c r="I1949" s="83" t="n"/>
      <c r="J1949" s="83" t="n"/>
      <c r="K1949" s="83" t="n"/>
      <c r="L1949" s="83" t="n"/>
      <c r="M1949" s="83" t="n"/>
      <c r="N1949" s="83" t="n"/>
      <c r="O1949" s="83" t="n"/>
      <c r="P1949" s="83" t="n"/>
      <c r="Q1949" s="83" t="n"/>
      <c r="R1949" s="83" t="n"/>
      <c r="S1949" s="83" t="n"/>
      <c r="T1949" s="83" t="n"/>
      <c r="U1949" s="83" t="n"/>
      <c r="V1949" s="83" t="n"/>
      <c r="W1949" s="83" t="n"/>
      <c r="X1949" s="83" t="n"/>
      <c r="Y1949" s="83" t="n"/>
      <c r="Z1949" s="83" t="n"/>
      <c r="AA1949" s="83" t="n"/>
      <c r="AB1949" s="83" t="n"/>
      <c r="AC1949" s="83" t="n"/>
      <c r="AD1949" s="83" t="n"/>
      <c r="AE1949" s="83" t="n"/>
      <c r="AF1949" s="83" t="n"/>
      <c r="AG1949" s="83" t="n"/>
      <c r="AH1949" s="83" t="n"/>
      <c r="AI1949" s="83" t="n"/>
      <c r="AJ1949" s="83" t="n"/>
      <c r="AK1949" s="83" t="n"/>
      <c r="AL1949" s="83" t="n"/>
      <c r="AM1949" s="83" t="n"/>
      <c r="AN1949" s="83" t="n"/>
      <c r="AO1949" s="83" t="n"/>
      <c r="AP1949" s="83" t="n"/>
      <c r="AQ1949" s="83" t="n"/>
      <c r="AR1949" s="83" t="n"/>
    </row>
    <row r="1950">
      <c r="D1950" s="83" t="n"/>
      <c r="E1950" s="83" t="n"/>
      <c r="F1950" s="83" t="n"/>
      <c r="G1950" s="83" t="n"/>
      <c r="H1950" s="83" t="n"/>
      <c r="I1950" s="83" t="n"/>
      <c r="J1950" s="83" t="n"/>
      <c r="K1950" s="83" t="n"/>
      <c r="L1950" s="83" t="n"/>
      <c r="M1950" s="83" t="n"/>
      <c r="N1950" s="83" t="n"/>
      <c r="O1950" s="83" t="n"/>
      <c r="P1950" s="83" t="n"/>
      <c r="Q1950" s="83" t="n"/>
      <c r="R1950" s="83" t="n"/>
      <c r="S1950" s="83" t="n"/>
      <c r="T1950" s="83" t="n"/>
      <c r="U1950" s="83" t="n"/>
      <c r="V1950" s="83" t="n"/>
      <c r="W1950" s="83" t="n"/>
      <c r="X1950" s="83" t="n"/>
      <c r="Y1950" s="83" t="n"/>
      <c r="Z1950" s="83" t="n"/>
      <c r="AA1950" s="83" t="n"/>
      <c r="AB1950" s="83" t="n"/>
      <c r="AC1950" s="83" t="n"/>
      <c r="AD1950" s="83" t="n"/>
      <c r="AE1950" s="83" t="n"/>
      <c r="AF1950" s="83" t="n"/>
      <c r="AG1950" s="83" t="n"/>
      <c r="AH1950" s="83" t="n"/>
      <c r="AI1950" s="83" t="n"/>
      <c r="AJ1950" s="83" t="n"/>
      <c r="AK1950" s="83" t="n"/>
      <c r="AL1950" s="83" t="n"/>
      <c r="AM1950" s="83" t="n"/>
      <c r="AN1950" s="83" t="n"/>
      <c r="AO1950" s="83" t="n"/>
      <c r="AP1950" s="83" t="n"/>
      <c r="AQ1950" s="83" t="n"/>
      <c r="AR1950" s="83" t="n"/>
    </row>
    <row r="1951">
      <c r="D1951" s="84" t="n"/>
      <c r="E1951" s="84" t="n"/>
      <c r="F1951" s="84" t="n"/>
      <c r="G1951" s="84" t="n"/>
      <c r="H1951" s="84" t="n"/>
      <c r="I1951" s="84" t="n"/>
      <c r="J1951" s="84" t="n"/>
      <c r="K1951" s="84" t="n"/>
      <c r="L1951" s="84" t="n"/>
      <c r="M1951" s="84" t="n"/>
      <c r="N1951" s="84" t="n"/>
      <c r="O1951" s="84" t="n"/>
      <c r="P1951" s="84" t="n"/>
      <c r="Q1951" s="84" t="n"/>
      <c r="R1951" s="84" t="n"/>
      <c r="S1951" s="84" t="n"/>
      <c r="T1951" s="84" t="n"/>
      <c r="U1951" s="84" t="n"/>
      <c r="V1951" s="84" t="n"/>
      <c r="W1951" s="84" t="n"/>
      <c r="X1951" s="84" t="n"/>
      <c r="Y1951" s="84" t="n"/>
      <c r="Z1951" s="84" t="n"/>
      <c r="AA1951" s="84" t="n"/>
      <c r="AB1951" s="84" t="n"/>
      <c r="AC1951" s="84" t="n"/>
      <c r="AD1951" s="84" t="n"/>
      <c r="AE1951" s="84" t="n"/>
      <c r="AF1951" s="84" t="n"/>
      <c r="AG1951" s="84" t="n"/>
      <c r="AH1951" s="84" t="n"/>
      <c r="AI1951" s="84" t="n"/>
      <c r="AJ1951" s="84" t="n"/>
      <c r="AK1951" s="84" t="n"/>
      <c r="AL1951" s="84" t="n"/>
      <c r="AM1951" s="84" t="n"/>
      <c r="AN1951" s="84" t="n"/>
      <c r="AO1951" s="84" t="n"/>
      <c r="AP1951" s="84" t="n"/>
      <c r="AQ1951" s="84" t="n"/>
      <c r="AR1951" s="84" t="n"/>
    </row>
    <row r="1952">
      <c r="D1952" s="80" t="n"/>
      <c r="E1952" s="80" t="n"/>
      <c r="F1952" s="80" t="n"/>
      <c r="G1952" s="80" t="n"/>
      <c r="H1952" s="80" t="n"/>
      <c r="I1952" s="80" t="n"/>
      <c r="J1952" s="80" t="n"/>
      <c r="K1952" s="80" t="n"/>
      <c r="L1952" s="80" t="n"/>
      <c r="M1952" s="80" t="n"/>
      <c r="N1952" s="80" t="n"/>
      <c r="O1952" s="80" t="n"/>
      <c r="P1952" s="80" t="n"/>
      <c r="Q1952" s="80" t="n"/>
      <c r="R1952" s="80" t="n"/>
      <c r="S1952" s="80" t="n"/>
      <c r="T1952" s="80" t="n"/>
      <c r="U1952" s="80" t="n"/>
      <c r="V1952" s="80" t="n"/>
      <c r="W1952" s="80" t="n"/>
      <c r="X1952" s="80" t="n"/>
      <c r="Y1952" s="80" t="n"/>
      <c r="Z1952" s="80" t="n"/>
      <c r="AA1952" s="80" t="n"/>
      <c r="AB1952" s="80" t="n"/>
      <c r="AC1952" s="80" t="n"/>
      <c r="AD1952" s="80" t="n"/>
      <c r="AE1952" s="80" t="n"/>
      <c r="AF1952" s="80" t="n"/>
      <c r="AG1952" s="80" t="n"/>
      <c r="AH1952" s="80" t="n"/>
      <c r="AI1952" s="80" t="n"/>
      <c r="AJ1952" s="80" t="n"/>
      <c r="AK1952" s="80" t="n"/>
      <c r="AL1952" s="80" t="n"/>
      <c r="AM1952" s="80" t="n"/>
      <c r="AN1952" s="80" t="n"/>
      <c r="AO1952" s="80" t="n"/>
      <c r="AP1952" s="80" t="n"/>
      <c r="AQ1952" s="80" t="n"/>
      <c r="AR1952" s="80" t="n"/>
    </row>
    <row r="1953">
      <c r="D1953" s="80" t="n"/>
      <c r="E1953" s="80" t="n"/>
      <c r="F1953" s="80" t="n"/>
      <c r="G1953" s="80" t="n"/>
      <c r="H1953" s="80" t="n"/>
      <c r="I1953" s="80" t="n"/>
      <c r="J1953" s="80" t="n"/>
      <c r="K1953" s="80" t="n"/>
      <c r="L1953" s="80" t="n"/>
      <c r="M1953" s="80" t="n"/>
      <c r="N1953" s="80" t="n"/>
      <c r="O1953" s="80" t="n"/>
      <c r="P1953" s="80" t="n"/>
      <c r="Q1953" s="80" t="n"/>
      <c r="R1953" s="80" t="n"/>
      <c r="S1953" s="80" t="n"/>
      <c r="T1953" s="80" t="n"/>
      <c r="U1953" s="80" t="n"/>
      <c r="V1953" s="80" t="n"/>
      <c r="W1953" s="80" t="n"/>
      <c r="X1953" s="80" t="n"/>
      <c r="Y1953" s="80" t="n"/>
      <c r="Z1953" s="80" t="n"/>
      <c r="AA1953" s="80" t="n"/>
      <c r="AB1953" s="80" t="n"/>
      <c r="AC1953" s="80" t="n"/>
      <c r="AD1953" s="80" t="n"/>
      <c r="AE1953" s="80" t="n"/>
      <c r="AF1953" s="80" t="n"/>
      <c r="AG1953" s="80" t="n"/>
      <c r="AH1953" s="80" t="n"/>
      <c r="AI1953" s="80" t="n"/>
      <c r="AJ1953" s="80" t="n"/>
      <c r="AK1953" s="80" t="n"/>
      <c r="AL1953" s="80" t="n"/>
      <c r="AM1953" s="80" t="n"/>
      <c r="AN1953" s="80" t="n"/>
      <c r="AO1953" s="80" t="n"/>
      <c r="AP1953" s="80" t="n"/>
      <c r="AQ1953" s="80" t="n"/>
      <c r="AR1953" s="80" t="n"/>
    </row>
    <row r="1954">
      <c r="D1954" s="80" t="n"/>
      <c r="E1954" s="80" t="n"/>
      <c r="F1954" s="80" t="n"/>
      <c r="G1954" s="80" t="n"/>
      <c r="H1954" s="80" t="n"/>
      <c r="I1954" s="80" t="n"/>
      <c r="J1954" s="80" t="n"/>
      <c r="K1954" s="80" t="n"/>
      <c r="L1954" s="80" t="n"/>
      <c r="M1954" s="80" t="n"/>
      <c r="N1954" s="80" t="n"/>
      <c r="O1954" s="80" t="n"/>
      <c r="P1954" s="80" t="n"/>
      <c r="Q1954" s="80" t="n"/>
      <c r="R1954" s="80" t="n"/>
      <c r="S1954" s="80" t="n"/>
      <c r="T1954" s="80" t="n"/>
      <c r="U1954" s="80" t="n"/>
      <c r="V1954" s="80" t="n"/>
      <c r="W1954" s="80" t="n"/>
      <c r="X1954" s="80" t="n"/>
      <c r="Y1954" s="80" t="n"/>
      <c r="Z1954" s="80" t="n"/>
      <c r="AA1954" s="80" t="n"/>
      <c r="AB1954" s="80" t="n"/>
      <c r="AC1954" s="80" t="n"/>
      <c r="AD1954" s="80" t="n"/>
      <c r="AE1954" s="80" t="n"/>
      <c r="AF1954" s="80" t="n"/>
      <c r="AG1954" s="80" t="n"/>
      <c r="AH1954" s="80" t="n"/>
      <c r="AI1954" s="80" t="n"/>
      <c r="AJ1954" s="80" t="n"/>
      <c r="AK1954" s="80" t="n"/>
      <c r="AL1954" s="80" t="n"/>
      <c r="AM1954" s="80" t="n"/>
      <c r="AN1954" s="80" t="n"/>
      <c r="AO1954" s="80" t="n"/>
      <c r="AP1954" s="80" t="n"/>
      <c r="AQ1954" s="80" t="n"/>
      <c r="AR1954" s="80" t="n"/>
    </row>
    <row r="1955">
      <c r="D1955" s="80" t="n"/>
      <c r="E1955" s="80" t="n"/>
      <c r="F1955" s="80" t="n"/>
      <c r="G1955" s="80" t="n"/>
      <c r="H1955" s="80" t="n"/>
      <c r="I1955" s="80" t="n"/>
      <c r="J1955" s="80" t="n"/>
      <c r="K1955" s="80" t="n"/>
      <c r="L1955" s="80" t="n"/>
      <c r="M1955" s="80" t="n"/>
      <c r="N1955" s="80" t="n"/>
      <c r="O1955" s="80" t="n"/>
      <c r="P1955" s="80" t="n"/>
      <c r="Q1955" s="80" t="n"/>
      <c r="R1955" s="80" t="n"/>
      <c r="S1955" s="80" t="n"/>
      <c r="T1955" s="80" t="n"/>
      <c r="U1955" s="80" t="n"/>
      <c r="V1955" s="80" t="n"/>
      <c r="W1955" s="80" t="n"/>
      <c r="X1955" s="80" t="n"/>
      <c r="Y1955" s="80" t="n"/>
      <c r="Z1955" s="80" t="n"/>
      <c r="AA1955" s="80" t="n"/>
      <c r="AB1955" s="80" t="n"/>
      <c r="AC1955" s="80" t="n"/>
      <c r="AD1955" s="80" t="n"/>
      <c r="AE1955" s="80" t="n"/>
      <c r="AF1955" s="80" t="n"/>
      <c r="AG1955" s="80" t="n"/>
      <c r="AH1955" s="80" t="n"/>
      <c r="AI1955" s="80" t="n"/>
      <c r="AJ1955" s="80" t="n"/>
      <c r="AK1955" s="80" t="n"/>
      <c r="AL1955" s="80" t="n"/>
      <c r="AM1955" s="80" t="n"/>
      <c r="AN1955" s="80" t="n"/>
      <c r="AO1955" s="80" t="n"/>
      <c r="AP1955" s="80" t="n"/>
      <c r="AQ1955" s="80" t="n"/>
      <c r="AR1955" s="80" t="n"/>
    </row>
    <row r="1956">
      <c r="A1956" s="2">
        <f>IF($A1949="","","   projections")</f>
        <v/>
      </c>
      <c r="B1956" s="41">
        <f>IF($A1949="",0,COUNT($E1957:$AR1957))</f>
        <v/>
      </c>
      <c r="C1956" s="81">
        <f>IF($B1956=0,0,MAX($E1957:$AR1957))</f>
        <v/>
      </c>
      <c r="D1956" s="82">
        <f>BDS($A1949,'Field Check'!$C$6,"headers=y","startcol=1","endcol=7","dir=h")</f>
        <v/>
      </c>
      <c r="E1956" s="83" t="n"/>
      <c r="F1956" s="83" t="n"/>
      <c r="G1956" s="83" t="n"/>
      <c r="H1956" s="83" t="n"/>
      <c r="I1956" s="83" t="n"/>
      <c r="J1956" s="83" t="n"/>
      <c r="K1956" s="83" t="n"/>
      <c r="L1956" s="83" t="n"/>
      <c r="M1956" s="83" t="n"/>
      <c r="N1956" s="83" t="n"/>
      <c r="O1956" s="83" t="n"/>
      <c r="P1956" s="83" t="n"/>
      <c r="Q1956" s="83" t="n"/>
      <c r="R1956" s="83" t="n"/>
      <c r="S1956" s="83" t="n"/>
      <c r="T1956" s="83" t="n"/>
      <c r="U1956" s="83" t="n"/>
      <c r="V1956" s="83" t="n"/>
      <c r="W1956" s="83" t="n"/>
      <c r="X1956" s="83" t="n"/>
      <c r="Y1956" s="83" t="n"/>
      <c r="Z1956" s="83" t="n"/>
      <c r="AA1956" s="83" t="n"/>
      <c r="AB1956" s="83" t="n"/>
      <c r="AC1956" s="83" t="n"/>
      <c r="AD1956" s="83" t="n"/>
      <c r="AE1956" s="83" t="n"/>
      <c r="AF1956" s="83" t="n"/>
      <c r="AG1956" s="83" t="n"/>
      <c r="AH1956" s="83" t="n"/>
      <c r="AI1956" s="83" t="n"/>
      <c r="AJ1956" s="83" t="n"/>
      <c r="AK1956" s="83" t="n"/>
      <c r="AL1956" s="83" t="n"/>
      <c r="AM1956" s="83" t="n"/>
      <c r="AN1956" s="83" t="n"/>
      <c r="AO1956" s="83" t="n"/>
      <c r="AP1956" s="83" t="n"/>
      <c r="AQ1956" s="83" t="n"/>
      <c r="AR1956" s="83" t="n"/>
    </row>
    <row r="1957">
      <c r="D1957" s="83" t="n"/>
      <c r="E1957" s="83" t="n"/>
      <c r="F1957" s="83" t="n"/>
      <c r="G1957" s="83" t="n"/>
      <c r="H1957" s="83" t="n"/>
      <c r="I1957" s="83" t="n"/>
      <c r="J1957" s="83" t="n"/>
      <c r="K1957" s="83" t="n"/>
      <c r="L1957" s="83" t="n"/>
      <c r="M1957" s="83" t="n"/>
      <c r="N1957" s="83" t="n"/>
      <c r="O1957" s="83" t="n"/>
      <c r="P1957" s="83" t="n"/>
      <c r="Q1957" s="83" t="n"/>
      <c r="R1957" s="83" t="n"/>
      <c r="S1957" s="83" t="n"/>
      <c r="T1957" s="83" t="n"/>
      <c r="U1957" s="83" t="n"/>
      <c r="V1957" s="83" t="n"/>
      <c r="W1957" s="83" t="n"/>
      <c r="X1957" s="83" t="n"/>
      <c r="Y1957" s="83" t="n"/>
      <c r="Z1957" s="83" t="n"/>
      <c r="AA1957" s="83" t="n"/>
      <c r="AB1957" s="83" t="n"/>
      <c r="AC1957" s="83" t="n"/>
      <c r="AD1957" s="83" t="n"/>
      <c r="AE1957" s="83" t="n"/>
      <c r="AF1957" s="83" t="n"/>
      <c r="AG1957" s="83" t="n"/>
      <c r="AH1957" s="83" t="n"/>
      <c r="AI1957" s="83" t="n"/>
      <c r="AJ1957" s="83" t="n"/>
      <c r="AK1957" s="83" t="n"/>
      <c r="AL1957" s="83" t="n"/>
      <c r="AM1957" s="83" t="n"/>
      <c r="AN1957" s="83" t="n"/>
      <c r="AO1957" s="83" t="n"/>
      <c r="AP1957" s="83" t="n"/>
      <c r="AQ1957" s="83" t="n"/>
      <c r="AR1957" s="83" t="n"/>
    </row>
    <row r="1958">
      <c r="D1958" s="84" t="n"/>
      <c r="E1958" s="84" t="n"/>
      <c r="F1958" s="84" t="n"/>
      <c r="G1958" s="84" t="n"/>
      <c r="H1958" s="84" t="n"/>
      <c r="I1958" s="84" t="n"/>
      <c r="J1958" s="84" t="n"/>
      <c r="K1958" s="84" t="n"/>
      <c r="L1958" s="84" t="n"/>
      <c r="M1958" s="84" t="n"/>
      <c r="N1958" s="84" t="n"/>
      <c r="O1958" s="84" t="n"/>
      <c r="P1958" s="84" t="n"/>
      <c r="Q1958" s="84" t="n"/>
      <c r="R1958" s="84" t="n"/>
      <c r="S1958" s="84" t="n"/>
      <c r="T1958" s="84" t="n"/>
      <c r="U1958" s="84" t="n"/>
      <c r="V1958" s="84" t="n"/>
      <c r="W1958" s="84" t="n"/>
      <c r="X1958" s="84" t="n"/>
      <c r="Y1958" s="84" t="n"/>
      <c r="Z1958" s="84" t="n"/>
      <c r="AA1958" s="84" t="n"/>
      <c r="AB1958" s="84" t="n"/>
      <c r="AC1958" s="84" t="n"/>
      <c r="AD1958" s="84" t="n"/>
      <c r="AE1958" s="84" t="n"/>
      <c r="AF1958" s="84" t="n"/>
      <c r="AG1958" s="84" t="n"/>
      <c r="AH1958" s="84" t="n"/>
      <c r="AI1958" s="84" t="n"/>
      <c r="AJ1958" s="84" t="n"/>
      <c r="AK1958" s="84" t="n"/>
      <c r="AL1958" s="84" t="n"/>
      <c r="AM1958" s="84" t="n"/>
      <c r="AN1958" s="84" t="n"/>
      <c r="AO1958" s="84" t="n"/>
      <c r="AP1958" s="84" t="n"/>
      <c r="AQ1958" s="84" t="n"/>
      <c r="AR1958" s="84" t="n"/>
    </row>
    <row r="1959">
      <c r="D1959" s="80" t="n"/>
      <c r="E1959" s="80" t="n"/>
      <c r="F1959" s="80" t="n"/>
      <c r="G1959" s="80" t="n"/>
      <c r="H1959" s="80" t="n"/>
      <c r="I1959" s="80" t="n"/>
      <c r="J1959" s="80" t="n"/>
      <c r="K1959" s="80" t="n"/>
      <c r="L1959" s="80" t="n"/>
      <c r="M1959" s="80" t="n"/>
      <c r="N1959" s="80" t="n"/>
      <c r="O1959" s="80" t="n"/>
      <c r="P1959" s="80" t="n"/>
      <c r="Q1959" s="80" t="n"/>
      <c r="R1959" s="80" t="n"/>
      <c r="S1959" s="80" t="n"/>
      <c r="T1959" s="80" t="n"/>
      <c r="U1959" s="80" t="n"/>
      <c r="V1959" s="80" t="n"/>
      <c r="W1959" s="80" t="n"/>
      <c r="X1959" s="80" t="n"/>
      <c r="Y1959" s="80" t="n"/>
      <c r="Z1959" s="80" t="n"/>
      <c r="AA1959" s="80" t="n"/>
      <c r="AB1959" s="80" t="n"/>
      <c r="AC1959" s="80" t="n"/>
      <c r="AD1959" s="80" t="n"/>
      <c r="AE1959" s="80" t="n"/>
      <c r="AF1959" s="80" t="n"/>
      <c r="AG1959" s="80" t="n"/>
      <c r="AH1959" s="80" t="n"/>
      <c r="AI1959" s="80" t="n"/>
      <c r="AJ1959" s="80" t="n"/>
      <c r="AK1959" s="80" t="n"/>
      <c r="AL1959" s="80" t="n"/>
      <c r="AM1959" s="80" t="n"/>
      <c r="AN1959" s="80" t="n"/>
      <c r="AO1959" s="80" t="n"/>
      <c r="AP1959" s="80" t="n"/>
      <c r="AQ1959" s="80" t="n"/>
      <c r="AR1959" s="80" t="n"/>
    </row>
    <row r="1960">
      <c r="D1960" s="80" t="n"/>
      <c r="E1960" s="80" t="n"/>
      <c r="F1960" s="80" t="n"/>
      <c r="G1960" s="80" t="n"/>
      <c r="H1960" s="80" t="n"/>
      <c r="I1960" s="80" t="n"/>
      <c r="J1960" s="80" t="n"/>
      <c r="K1960" s="80" t="n"/>
      <c r="L1960" s="80" t="n"/>
      <c r="M1960" s="80" t="n"/>
      <c r="N1960" s="80" t="n"/>
      <c r="O1960" s="80" t="n"/>
      <c r="P1960" s="80" t="n"/>
      <c r="Q1960" s="80" t="n"/>
      <c r="R1960" s="80" t="n"/>
      <c r="S1960" s="80" t="n"/>
      <c r="T1960" s="80" t="n"/>
      <c r="U1960" s="80" t="n"/>
      <c r="V1960" s="80" t="n"/>
      <c r="W1960" s="80" t="n"/>
      <c r="X1960" s="80" t="n"/>
      <c r="Y1960" s="80" t="n"/>
      <c r="Z1960" s="80" t="n"/>
      <c r="AA1960" s="80" t="n"/>
      <c r="AB1960" s="80" t="n"/>
      <c r="AC1960" s="80" t="n"/>
      <c r="AD1960" s="80" t="n"/>
      <c r="AE1960" s="80" t="n"/>
      <c r="AF1960" s="80" t="n"/>
      <c r="AG1960" s="80" t="n"/>
      <c r="AH1960" s="80" t="n"/>
      <c r="AI1960" s="80" t="n"/>
      <c r="AJ1960" s="80" t="n"/>
      <c r="AK1960" s="80" t="n"/>
      <c r="AL1960" s="80" t="n"/>
      <c r="AM1960" s="80" t="n"/>
      <c r="AN1960" s="80" t="n"/>
      <c r="AO1960" s="80" t="n"/>
      <c r="AP1960" s="80" t="n"/>
      <c r="AQ1960" s="80" t="n"/>
      <c r="AR1960" s="80" t="n"/>
    </row>
    <row r="1961">
      <c r="D1961" s="80" t="n"/>
      <c r="E1961" s="80" t="n"/>
      <c r="F1961" s="80" t="n"/>
      <c r="G1961" s="80" t="n"/>
      <c r="H1961" s="80" t="n"/>
      <c r="I1961" s="80" t="n"/>
      <c r="J1961" s="80" t="n"/>
      <c r="K1961" s="80" t="n"/>
      <c r="L1961" s="80" t="n"/>
      <c r="M1961" s="80" t="n"/>
      <c r="N1961" s="80" t="n"/>
      <c r="O1961" s="80" t="n"/>
      <c r="P1961" s="80" t="n"/>
      <c r="Q1961" s="80" t="n"/>
      <c r="R1961" s="80" t="n"/>
      <c r="S1961" s="80" t="n"/>
      <c r="T1961" s="80" t="n"/>
      <c r="U1961" s="80" t="n"/>
      <c r="V1961" s="80" t="n"/>
      <c r="W1961" s="80" t="n"/>
      <c r="X1961" s="80" t="n"/>
      <c r="Y1961" s="80" t="n"/>
      <c r="Z1961" s="80" t="n"/>
      <c r="AA1961" s="80" t="n"/>
      <c r="AB1961" s="80" t="n"/>
      <c r="AC1961" s="80" t="n"/>
      <c r="AD1961" s="80" t="n"/>
      <c r="AE1961" s="80" t="n"/>
      <c r="AF1961" s="80" t="n"/>
      <c r="AG1961" s="80" t="n"/>
      <c r="AH1961" s="80" t="n"/>
      <c r="AI1961" s="80" t="n"/>
      <c r="AJ1961" s="80" t="n"/>
      <c r="AK1961" s="80" t="n"/>
      <c r="AL1961" s="80" t="n"/>
      <c r="AM1961" s="80" t="n"/>
      <c r="AN1961" s="80" t="n"/>
      <c r="AO1961" s="80" t="n"/>
      <c r="AP1961" s="80" t="n"/>
      <c r="AQ1961" s="80" t="n"/>
      <c r="AR1961" s="80" t="n"/>
    </row>
    <row r="1962">
      <c r="D1962" s="80" t="n"/>
      <c r="E1962" s="80" t="n"/>
      <c r="F1962" s="80" t="n"/>
      <c r="G1962" s="80" t="n"/>
      <c r="H1962" s="80" t="n"/>
      <c r="I1962" s="80" t="n"/>
      <c r="J1962" s="80" t="n"/>
      <c r="K1962" s="80" t="n"/>
      <c r="L1962" s="80" t="n"/>
      <c r="M1962" s="80" t="n"/>
      <c r="N1962" s="80" t="n"/>
      <c r="O1962" s="80" t="n"/>
      <c r="P1962" s="80" t="n"/>
      <c r="Q1962" s="80" t="n"/>
      <c r="R1962" s="80" t="n"/>
      <c r="S1962" s="80" t="n"/>
      <c r="T1962" s="80" t="n"/>
      <c r="U1962" s="80" t="n"/>
      <c r="V1962" s="80" t="n"/>
      <c r="W1962" s="80" t="n"/>
      <c r="X1962" s="80" t="n"/>
      <c r="Y1962" s="80" t="n"/>
      <c r="Z1962" s="80" t="n"/>
      <c r="AA1962" s="80" t="n"/>
      <c r="AB1962" s="80" t="n"/>
      <c r="AC1962" s="80" t="n"/>
      <c r="AD1962" s="80" t="n"/>
      <c r="AE1962" s="80" t="n"/>
      <c r="AF1962" s="80" t="n"/>
      <c r="AG1962" s="80" t="n"/>
      <c r="AH1962" s="80" t="n"/>
      <c r="AI1962" s="80" t="n"/>
      <c r="AJ1962" s="80" t="n"/>
      <c r="AK1962" s="80" t="n"/>
      <c r="AL1962" s="80" t="n"/>
      <c r="AM1962" s="80" t="n"/>
      <c r="AN1962" s="80" t="n"/>
      <c r="AO1962" s="80" t="n"/>
      <c r="AP1962" s="80" t="n"/>
      <c r="AQ1962" s="80" t="n"/>
      <c r="AR1962" s="80" t="n"/>
    </row>
    <row r="1964">
      <c r="A1964" s="6">
        <f>IF(HSTECH!$C$37="","",HSTECH!$C$37)</f>
        <v/>
      </c>
      <c r="B1964" s="41">
        <f>IF($A1964="",0,COUNT($E1965:$AR1965))</f>
        <v/>
      </c>
      <c r="C1964" s="81">
        <f>IF($B1964=0,0,MAX($E1965:$AR1965))</f>
        <v/>
      </c>
      <c r="D1964" s="82">
        <f>BDS($A1964,'Field Check'!$C$7,"headers=y","startcol=1","endcol=7","dir=h","DVD_START_DT",Summary!$C$18,"DVD_END_DT",Summary!$D$18)</f>
        <v/>
      </c>
      <c r="E1964" s="83" t="n"/>
      <c r="F1964" s="83" t="n"/>
      <c r="G1964" s="83" t="n"/>
      <c r="H1964" s="83" t="n"/>
      <c r="I1964" s="83" t="n"/>
      <c r="J1964" s="83" t="n"/>
      <c r="K1964" s="83" t="n"/>
      <c r="L1964" s="83" t="n"/>
      <c r="M1964" s="83" t="n"/>
      <c r="N1964" s="83" t="n"/>
      <c r="O1964" s="83" t="n"/>
      <c r="P1964" s="83" t="n"/>
      <c r="Q1964" s="83" t="n"/>
      <c r="R1964" s="83" t="n"/>
      <c r="S1964" s="83" t="n"/>
      <c r="T1964" s="83" t="n"/>
      <c r="U1964" s="83" t="n"/>
      <c r="V1964" s="83" t="n"/>
      <c r="W1964" s="83" t="n"/>
      <c r="X1964" s="83" t="n"/>
      <c r="Y1964" s="83" t="n"/>
      <c r="Z1964" s="83" t="n"/>
      <c r="AA1964" s="83" t="n"/>
      <c r="AB1964" s="83" t="n"/>
      <c r="AC1964" s="83" t="n"/>
      <c r="AD1964" s="83" t="n"/>
      <c r="AE1964" s="83" t="n"/>
      <c r="AF1964" s="83" t="n"/>
      <c r="AG1964" s="83" t="n"/>
      <c r="AH1964" s="83" t="n"/>
      <c r="AI1964" s="83" t="n"/>
      <c r="AJ1964" s="83" t="n"/>
      <c r="AK1964" s="83" t="n"/>
      <c r="AL1964" s="83" t="n"/>
      <c r="AM1964" s="83" t="n"/>
      <c r="AN1964" s="83" t="n"/>
      <c r="AO1964" s="83" t="n"/>
      <c r="AP1964" s="83" t="n"/>
      <c r="AQ1964" s="83" t="n"/>
      <c r="AR1964" s="83" t="n"/>
    </row>
    <row r="1965">
      <c r="D1965" s="83" t="n"/>
      <c r="E1965" s="83" t="n"/>
      <c r="F1965" s="83" t="n"/>
      <c r="G1965" s="83" t="n"/>
      <c r="H1965" s="83" t="n"/>
      <c r="I1965" s="83" t="n"/>
      <c r="J1965" s="83" t="n"/>
      <c r="K1965" s="83" t="n"/>
      <c r="L1965" s="83" t="n"/>
      <c r="M1965" s="83" t="n"/>
      <c r="N1965" s="83" t="n"/>
      <c r="O1965" s="83" t="n"/>
      <c r="P1965" s="83" t="n"/>
      <c r="Q1965" s="83" t="n"/>
      <c r="R1965" s="83" t="n"/>
      <c r="S1965" s="83" t="n"/>
      <c r="T1965" s="83" t="n"/>
      <c r="U1965" s="83" t="n"/>
      <c r="V1965" s="83" t="n"/>
      <c r="W1965" s="83" t="n"/>
      <c r="X1965" s="83" t="n"/>
      <c r="Y1965" s="83" t="n"/>
      <c r="Z1965" s="83" t="n"/>
      <c r="AA1965" s="83" t="n"/>
      <c r="AB1965" s="83" t="n"/>
      <c r="AC1965" s="83" t="n"/>
      <c r="AD1965" s="83" t="n"/>
      <c r="AE1965" s="83" t="n"/>
      <c r="AF1965" s="83" t="n"/>
      <c r="AG1965" s="83" t="n"/>
      <c r="AH1965" s="83" t="n"/>
      <c r="AI1965" s="83" t="n"/>
      <c r="AJ1965" s="83" t="n"/>
      <c r="AK1965" s="83" t="n"/>
      <c r="AL1965" s="83" t="n"/>
      <c r="AM1965" s="83" t="n"/>
      <c r="AN1965" s="83" t="n"/>
      <c r="AO1965" s="83" t="n"/>
      <c r="AP1965" s="83" t="n"/>
      <c r="AQ1965" s="83" t="n"/>
      <c r="AR1965" s="83" t="n"/>
    </row>
    <row r="1966">
      <c r="D1966" s="84" t="n"/>
      <c r="E1966" s="84" t="n"/>
      <c r="F1966" s="84" t="n"/>
      <c r="G1966" s="84" t="n"/>
      <c r="H1966" s="84" t="n"/>
      <c r="I1966" s="84" t="n"/>
      <c r="J1966" s="84" t="n"/>
      <c r="K1966" s="84" t="n"/>
      <c r="L1966" s="84" t="n"/>
      <c r="M1966" s="84" t="n"/>
      <c r="N1966" s="84" t="n"/>
      <c r="O1966" s="84" t="n"/>
      <c r="P1966" s="84" t="n"/>
      <c r="Q1966" s="84" t="n"/>
      <c r="R1966" s="84" t="n"/>
      <c r="S1966" s="84" t="n"/>
      <c r="T1966" s="84" t="n"/>
      <c r="U1966" s="84" t="n"/>
      <c r="V1966" s="84" t="n"/>
      <c r="W1966" s="84" t="n"/>
      <c r="X1966" s="84" t="n"/>
      <c r="Y1966" s="84" t="n"/>
      <c r="Z1966" s="84" t="n"/>
      <c r="AA1966" s="84" t="n"/>
      <c r="AB1966" s="84" t="n"/>
      <c r="AC1966" s="84" t="n"/>
      <c r="AD1966" s="84" t="n"/>
      <c r="AE1966" s="84" t="n"/>
      <c r="AF1966" s="84" t="n"/>
      <c r="AG1966" s="84" t="n"/>
      <c r="AH1966" s="84" t="n"/>
      <c r="AI1966" s="84" t="n"/>
      <c r="AJ1966" s="84" t="n"/>
      <c r="AK1966" s="84" t="n"/>
      <c r="AL1966" s="84" t="n"/>
      <c r="AM1966" s="84" t="n"/>
      <c r="AN1966" s="84" t="n"/>
      <c r="AO1966" s="84" t="n"/>
      <c r="AP1966" s="84" t="n"/>
      <c r="AQ1966" s="84" t="n"/>
      <c r="AR1966" s="84" t="n"/>
    </row>
    <row r="1967">
      <c r="D1967" s="80" t="n"/>
      <c r="E1967" s="80" t="n"/>
      <c r="F1967" s="80" t="n"/>
      <c r="G1967" s="80" t="n"/>
      <c r="H1967" s="80" t="n"/>
      <c r="I1967" s="80" t="n"/>
      <c r="J1967" s="80" t="n"/>
      <c r="K1967" s="80" t="n"/>
      <c r="L1967" s="80" t="n"/>
      <c r="M1967" s="80" t="n"/>
      <c r="N1967" s="80" t="n"/>
      <c r="O1967" s="80" t="n"/>
      <c r="P1967" s="80" t="n"/>
      <c r="Q1967" s="80" t="n"/>
      <c r="R1967" s="80" t="n"/>
      <c r="S1967" s="80" t="n"/>
      <c r="T1967" s="80" t="n"/>
      <c r="U1967" s="80" t="n"/>
      <c r="V1967" s="80" t="n"/>
      <c r="W1967" s="80" t="n"/>
      <c r="X1967" s="80" t="n"/>
      <c r="Y1967" s="80" t="n"/>
      <c r="Z1967" s="80" t="n"/>
      <c r="AA1967" s="80" t="n"/>
      <c r="AB1967" s="80" t="n"/>
      <c r="AC1967" s="80" t="n"/>
      <c r="AD1967" s="80" t="n"/>
      <c r="AE1967" s="80" t="n"/>
      <c r="AF1967" s="80" t="n"/>
      <c r="AG1967" s="80" t="n"/>
      <c r="AH1967" s="80" t="n"/>
      <c r="AI1967" s="80" t="n"/>
      <c r="AJ1967" s="80" t="n"/>
      <c r="AK1967" s="80" t="n"/>
      <c r="AL1967" s="80" t="n"/>
      <c r="AM1967" s="80" t="n"/>
      <c r="AN1967" s="80" t="n"/>
      <c r="AO1967" s="80" t="n"/>
      <c r="AP1967" s="80" t="n"/>
      <c r="AQ1967" s="80" t="n"/>
      <c r="AR1967" s="80" t="n"/>
    </row>
    <row r="1968">
      <c r="D1968" s="80" t="n"/>
      <c r="E1968" s="80" t="n"/>
      <c r="F1968" s="80" t="n"/>
      <c r="G1968" s="80" t="n"/>
      <c r="H1968" s="80" t="n"/>
      <c r="I1968" s="80" t="n"/>
      <c r="J1968" s="80" t="n"/>
      <c r="K1968" s="80" t="n"/>
      <c r="L1968" s="80" t="n"/>
      <c r="M1968" s="80" t="n"/>
      <c r="N1968" s="80" t="n"/>
      <c r="O1968" s="80" t="n"/>
      <c r="P1968" s="80" t="n"/>
      <c r="Q1968" s="80" t="n"/>
      <c r="R1968" s="80" t="n"/>
      <c r="S1968" s="80" t="n"/>
      <c r="T1968" s="80" t="n"/>
      <c r="U1968" s="80" t="n"/>
      <c r="V1968" s="80" t="n"/>
      <c r="W1968" s="80" t="n"/>
      <c r="X1968" s="80" t="n"/>
      <c r="Y1968" s="80" t="n"/>
      <c r="Z1968" s="80" t="n"/>
      <c r="AA1968" s="80" t="n"/>
      <c r="AB1968" s="80" t="n"/>
      <c r="AC1968" s="80" t="n"/>
      <c r="AD1968" s="80" t="n"/>
      <c r="AE1968" s="80" t="n"/>
      <c r="AF1968" s="80" t="n"/>
      <c r="AG1968" s="80" t="n"/>
      <c r="AH1968" s="80" t="n"/>
      <c r="AI1968" s="80" t="n"/>
      <c r="AJ1968" s="80" t="n"/>
      <c r="AK1968" s="80" t="n"/>
      <c r="AL1968" s="80" t="n"/>
      <c r="AM1968" s="80" t="n"/>
      <c r="AN1968" s="80" t="n"/>
      <c r="AO1968" s="80" t="n"/>
      <c r="AP1968" s="80" t="n"/>
      <c r="AQ1968" s="80" t="n"/>
      <c r="AR1968" s="80" t="n"/>
    </row>
    <row r="1969">
      <c r="D1969" s="80" t="n"/>
      <c r="E1969" s="80" t="n"/>
      <c r="F1969" s="80" t="n"/>
      <c r="G1969" s="80" t="n"/>
      <c r="H1969" s="80" t="n"/>
      <c r="I1969" s="80" t="n"/>
      <c r="J1969" s="80" t="n"/>
      <c r="K1969" s="80" t="n"/>
      <c r="L1969" s="80" t="n"/>
      <c r="M1969" s="80" t="n"/>
      <c r="N1969" s="80" t="n"/>
      <c r="O1969" s="80" t="n"/>
      <c r="P1969" s="80" t="n"/>
      <c r="Q1969" s="80" t="n"/>
      <c r="R1969" s="80" t="n"/>
      <c r="S1969" s="80" t="n"/>
      <c r="T1969" s="80" t="n"/>
      <c r="U1969" s="80" t="n"/>
      <c r="V1969" s="80" t="n"/>
      <c r="W1969" s="80" t="n"/>
      <c r="X1969" s="80" t="n"/>
      <c r="Y1969" s="80" t="n"/>
      <c r="Z1969" s="80" t="n"/>
      <c r="AA1969" s="80" t="n"/>
      <c r="AB1969" s="80" t="n"/>
      <c r="AC1969" s="80" t="n"/>
      <c r="AD1969" s="80" t="n"/>
      <c r="AE1969" s="80" t="n"/>
      <c r="AF1969" s="80" t="n"/>
      <c r="AG1969" s="80" t="n"/>
      <c r="AH1969" s="80" t="n"/>
      <c r="AI1969" s="80" t="n"/>
      <c r="AJ1969" s="80" t="n"/>
      <c r="AK1969" s="80" t="n"/>
      <c r="AL1969" s="80" t="n"/>
      <c r="AM1969" s="80" t="n"/>
      <c r="AN1969" s="80" t="n"/>
      <c r="AO1969" s="80" t="n"/>
      <c r="AP1969" s="80" t="n"/>
      <c r="AQ1969" s="80" t="n"/>
      <c r="AR1969" s="80" t="n"/>
    </row>
    <row r="1970">
      <c r="D1970" s="80" t="n"/>
      <c r="E1970" s="80" t="n"/>
      <c r="F1970" s="80" t="n"/>
      <c r="G1970" s="80" t="n"/>
      <c r="H1970" s="80" t="n"/>
      <c r="I1970" s="80" t="n"/>
      <c r="J1970" s="80" t="n"/>
      <c r="K1970" s="80" t="n"/>
      <c r="L1970" s="80" t="n"/>
      <c r="M1970" s="80" t="n"/>
      <c r="N1970" s="80" t="n"/>
      <c r="O1970" s="80" t="n"/>
      <c r="P1970" s="80" t="n"/>
      <c r="Q1970" s="80" t="n"/>
      <c r="R1970" s="80" t="n"/>
      <c r="S1970" s="80" t="n"/>
      <c r="T1970" s="80" t="n"/>
      <c r="U1970" s="80" t="n"/>
      <c r="V1970" s="80" t="n"/>
      <c r="W1970" s="80" t="n"/>
      <c r="X1970" s="80" t="n"/>
      <c r="Y1970" s="80" t="n"/>
      <c r="Z1970" s="80" t="n"/>
      <c r="AA1970" s="80" t="n"/>
      <c r="AB1970" s="80" t="n"/>
      <c r="AC1970" s="80" t="n"/>
      <c r="AD1970" s="80" t="n"/>
      <c r="AE1970" s="80" t="n"/>
      <c r="AF1970" s="80" t="n"/>
      <c r="AG1970" s="80" t="n"/>
      <c r="AH1970" s="80" t="n"/>
      <c r="AI1970" s="80" t="n"/>
      <c r="AJ1970" s="80" t="n"/>
      <c r="AK1970" s="80" t="n"/>
      <c r="AL1970" s="80" t="n"/>
      <c r="AM1970" s="80" t="n"/>
      <c r="AN1970" s="80" t="n"/>
      <c r="AO1970" s="80" t="n"/>
      <c r="AP1970" s="80" t="n"/>
      <c r="AQ1970" s="80" t="n"/>
      <c r="AR1970" s="80" t="n"/>
    </row>
    <row r="1971">
      <c r="A1971" s="2">
        <f>IF($A1964="","","   projections")</f>
        <v/>
      </c>
      <c r="B1971" s="41">
        <f>IF($A1964="",0,COUNT($E1972:$AR1972))</f>
        <v/>
      </c>
      <c r="C1971" s="81">
        <f>IF($B1971=0,0,MAX($E1972:$AR1972))</f>
        <v/>
      </c>
      <c r="D1971" s="82">
        <f>BDS($A1964,'Field Check'!$C$6,"headers=y","startcol=1","endcol=7","dir=h")</f>
        <v/>
      </c>
      <c r="E1971" s="83" t="n"/>
      <c r="F1971" s="83" t="n"/>
      <c r="G1971" s="83" t="n"/>
      <c r="H1971" s="83" t="n"/>
      <c r="I1971" s="83" t="n"/>
      <c r="J1971" s="83" t="n"/>
      <c r="K1971" s="83" t="n"/>
      <c r="L1971" s="83" t="n"/>
      <c r="M1971" s="83" t="n"/>
      <c r="N1971" s="83" t="n"/>
      <c r="O1971" s="83" t="n"/>
      <c r="P1971" s="83" t="n"/>
      <c r="Q1971" s="83" t="n"/>
      <c r="R1971" s="83" t="n"/>
      <c r="S1971" s="83" t="n"/>
      <c r="T1971" s="83" t="n"/>
      <c r="U1971" s="83" t="n"/>
      <c r="V1971" s="83" t="n"/>
      <c r="W1971" s="83" t="n"/>
      <c r="X1971" s="83" t="n"/>
      <c r="Y1971" s="83" t="n"/>
      <c r="Z1971" s="83" t="n"/>
      <c r="AA1971" s="83" t="n"/>
      <c r="AB1971" s="83" t="n"/>
      <c r="AC1971" s="83" t="n"/>
      <c r="AD1971" s="83" t="n"/>
      <c r="AE1971" s="83" t="n"/>
      <c r="AF1971" s="83" t="n"/>
      <c r="AG1971" s="83" t="n"/>
      <c r="AH1971" s="83" t="n"/>
      <c r="AI1971" s="83" t="n"/>
      <c r="AJ1971" s="83" t="n"/>
      <c r="AK1971" s="83" t="n"/>
      <c r="AL1971" s="83" t="n"/>
      <c r="AM1971" s="83" t="n"/>
      <c r="AN1971" s="83" t="n"/>
      <c r="AO1971" s="83" t="n"/>
      <c r="AP1971" s="83" t="n"/>
      <c r="AQ1971" s="83" t="n"/>
      <c r="AR1971" s="83" t="n"/>
    </row>
    <row r="1972">
      <c r="D1972" s="83" t="n"/>
      <c r="E1972" s="83" t="n"/>
      <c r="F1972" s="83" t="n"/>
      <c r="G1972" s="83" t="n"/>
      <c r="H1972" s="83" t="n"/>
      <c r="I1972" s="83" t="n"/>
      <c r="J1972" s="83" t="n"/>
      <c r="K1972" s="83" t="n"/>
      <c r="L1972" s="83" t="n"/>
      <c r="M1972" s="83" t="n"/>
      <c r="N1972" s="83" t="n"/>
      <c r="O1972" s="83" t="n"/>
      <c r="P1972" s="83" t="n"/>
      <c r="Q1972" s="83" t="n"/>
      <c r="R1972" s="83" t="n"/>
      <c r="S1972" s="83" t="n"/>
      <c r="T1972" s="83" t="n"/>
      <c r="U1972" s="83" t="n"/>
      <c r="V1972" s="83" t="n"/>
      <c r="W1972" s="83" t="n"/>
      <c r="X1972" s="83" t="n"/>
      <c r="Y1972" s="83" t="n"/>
      <c r="Z1972" s="83" t="n"/>
      <c r="AA1972" s="83" t="n"/>
      <c r="AB1972" s="83" t="n"/>
      <c r="AC1972" s="83" t="n"/>
      <c r="AD1972" s="83" t="n"/>
      <c r="AE1972" s="83" t="n"/>
      <c r="AF1972" s="83" t="n"/>
      <c r="AG1972" s="83" t="n"/>
      <c r="AH1972" s="83" t="n"/>
      <c r="AI1972" s="83" t="n"/>
      <c r="AJ1972" s="83" t="n"/>
      <c r="AK1972" s="83" t="n"/>
      <c r="AL1972" s="83" t="n"/>
      <c r="AM1972" s="83" t="n"/>
      <c r="AN1972" s="83" t="n"/>
      <c r="AO1972" s="83" t="n"/>
      <c r="AP1972" s="83" t="n"/>
      <c r="AQ1972" s="83" t="n"/>
      <c r="AR1972" s="83" t="n"/>
    </row>
    <row r="1973">
      <c r="D1973" s="84" t="n"/>
      <c r="E1973" s="84" t="n"/>
      <c r="F1973" s="84" t="n"/>
      <c r="G1973" s="84" t="n"/>
      <c r="H1973" s="84" t="n"/>
      <c r="I1973" s="84" t="n"/>
      <c r="J1973" s="84" t="n"/>
      <c r="K1973" s="84" t="n"/>
      <c r="L1973" s="84" t="n"/>
      <c r="M1973" s="84" t="n"/>
      <c r="N1973" s="84" t="n"/>
      <c r="O1973" s="84" t="n"/>
      <c r="P1973" s="84" t="n"/>
      <c r="Q1973" s="84" t="n"/>
      <c r="R1973" s="84" t="n"/>
      <c r="S1973" s="84" t="n"/>
      <c r="T1973" s="84" t="n"/>
      <c r="U1973" s="84" t="n"/>
      <c r="V1973" s="84" t="n"/>
      <c r="W1973" s="84" t="n"/>
      <c r="X1973" s="84" t="n"/>
      <c r="Y1973" s="84" t="n"/>
      <c r="Z1973" s="84" t="n"/>
      <c r="AA1973" s="84" t="n"/>
      <c r="AB1973" s="84" t="n"/>
      <c r="AC1973" s="84" t="n"/>
      <c r="AD1973" s="84" t="n"/>
      <c r="AE1973" s="84" t="n"/>
      <c r="AF1973" s="84" t="n"/>
      <c r="AG1973" s="84" t="n"/>
      <c r="AH1973" s="84" t="n"/>
      <c r="AI1973" s="84" t="n"/>
      <c r="AJ1973" s="84" t="n"/>
      <c r="AK1973" s="84" t="n"/>
      <c r="AL1973" s="84" t="n"/>
      <c r="AM1973" s="84" t="n"/>
      <c r="AN1973" s="84" t="n"/>
      <c r="AO1973" s="84" t="n"/>
      <c r="AP1973" s="84" t="n"/>
      <c r="AQ1973" s="84" t="n"/>
      <c r="AR1973" s="84" t="n"/>
    </row>
    <row r="1974">
      <c r="D1974" s="80" t="n"/>
      <c r="E1974" s="80" t="n"/>
      <c r="F1974" s="80" t="n"/>
      <c r="G1974" s="80" t="n"/>
      <c r="H1974" s="80" t="n"/>
      <c r="I1974" s="80" t="n"/>
      <c r="J1974" s="80" t="n"/>
      <c r="K1974" s="80" t="n"/>
      <c r="L1974" s="80" t="n"/>
      <c r="M1974" s="80" t="n"/>
      <c r="N1974" s="80" t="n"/>
      <c r="O1974" s="80" t="n"/>
      <c r="P1974" s="80" t="n"/>
      <c r="Q1974" s="80" t="n"/>
      <c r="R1974" s="80" t="n"/>
      <c r="S1974" s="80" t="n"/>
      <c r="T1974" s="80" t="n"/>
      <c r="U1974" s="80" t="n"/>
      <c r="V1974" s="80" t="n"/>
      <c r="W1974" s="80" t="n"/>
      <c r="X1974" s="80" t="n"/>
      <c r="Y1974" s="80" t="n"/>
      <c r="Z1974" s="80" t="n"/>
      <c r="AA1974" s="80" t="n"/>
      <c r="AB1974" s="80" t="n"/>
      <c r="AC1974" s="80" t="n"/>
      <c r="AD1974" s="80" t="n"/>
      <c r="AE1974" s="80" t="n"/>
      <c r="AF1974" s="80" t="n"/>
      <c r="AG1974" s="80" t="n"/>
      <c r="AH1974" s="80" t="n"/>
      <c r="AI1974" s="80" t="n"/>
      <c r="AJ1974" s="80" t="n"/>
      <c r="AK1974" s="80" t="n"/>
      <c r="AL1974" s="80" t="n"/>
      <c r="AM1974" s="80" t="n"/>
      <c r="AN1974" s="80" t="n"/>
      <c r="AO1974" s="80" t="n"/>
      <c r="AP1974" s="80" t="n"/>
      <c r="AQ1974" s="80" t="n"/>
      <c r="AR1974" s="80" t="n"/>
    </row>
    <row r="1975">
      <c r="D1975" s="80" t="n"/>
      <c r="E1975" s="80" t="n"/>
      <c r="F1975" s="80" t="n"/>
      <c r="G1975" s="80" t="n"/>
      <c r="H1975" s="80" t="n"/>
      <c r="I1975" s="80" t="n"/>
      <c r="J1975" s="80" t="n"/>
      <c r="K1975" s="80" t="n"/>
      <c r="L1975" s="80" t="n"/>
      <c r="M1975" s="80" t="n"/>
      <c r="N1975" s="80" t="n"/>
      <c r="O1975" s="80" t="n"/>
      <c r="P1975" s="80" t="n"/>
      <c r="Q1975" s="80" t="n"/>
      <c r="R1975" s="80" t="n"/>
      <c r="S1975" s="80" t="n"/>
      <c r="T1975" s="80" t="n"/>
      <c r="U1975" s="80" t="n"/>
      <c r="V1975" s="80" t="n"/>
      <c r="W1975" s="80" t="n"/>
      <c r="X1975" s="80" t="n"/>
      <c r="Y1975" s="80" t="n"/>
      <c r="Z1975" s="80" t="n"/>
      <c r="AA1975" s="80" t="n"/>
      <c r="AB1975" s="80" t="n"/>
      <c r="AC1975" s="80" t="n"/>
      <c r="AD1975" s="80" t="n"/>
      <c r="AE1975" s="80" t="n"/>
      <c r="AF1975" s="80" t="n"/>
      <c r="AG1975" s="80" t="n"/>
      <c r="AH1975" s="80" t="n"/>
      <c r="AI1975" s="80" t="n"/>
      <c r="AJ1975" s="80" t="n"/>
      <c r="AK1975" s="80" t="n"/>
      <c r="AL1975" s="80" t="n"/>
      <c r="AM1975" s="80" t="n"/>
      <c r="AN1975" s="80" t="n"/>
      <c r="AO1975" s="80" t="n"/>
      <c r="AP1975" s="80" t="n"/>
      <c r="AQ1975" s="80" t="n"/>
      <c r="AR1975" s="80" t="n"/>
    </row>
    <row r="1976">
      <c r="D1976" s="80" t="n"/>
      <c r="E1976" s="80" t="n"/>
      <c r="F1976" s="80" t="n"/>
      <c r="G1976" s="80" t="n"/>
      <c r="H1976" s="80" t="n"/>
      <c r="I1976" s="80" t="n"/>
      <c r="J1976" s="80" t="n"/>
      <c r="K1976" s="80" t="n"/>
      <c r="L1976" s="80" t="n"/>
      <c r="M1976" s="80" t="n"/>
      <c r="N1976" s="80" t="n"/>
      <c r="O1976" s="80" t="n"/>
      <c r="P1976" s="80" t="n"/>
      <c r="Q1976" s="80" t="n"/>
      <c r="R1976" s="80" t="n"/>
      <c r="S1976" s="80" t="n"/>
      <c r="T1976" s="80" t="n"/>
      <c r="U1976" s="80" t="n"/>
      <c r="V1976" s="80" t="n"/>
      <c r="W1976" s="80" t="n"/>
      <c r="X1976" s="80" t="n"/>
      <c r="Y1976" s="80" t="n"/>
      <c r="Z1976" s="80" t="n"/>
      <c r="AA1976" s="80" t="n"/>
      <c r="AB1976" s="80" t="n"/>
      <c r="AC1976" s="80" t="n"/>
      <c r="AD1976" s="80" t="n"/>
      <c r="AE1976" s="80" t="n"/>
      <c r="AF1976" s="80" t="n"/>
      <c r="AG1976" s="80" t="n"/>
      <c r="AH1976" s="80" t="n"/>
      <c r="AI1976" s="80" t="n"/>
      <c r="AJ1976" s="80" t="n"/>
      <c r="AK1976" s="80" t="n"/>
      <c r="AL1976" s="80" t="n"/>
      <c r="AM1976" s="80" t="n"/>
      <c r="AN1976" s="80" t="n"/>
      <c r="AO1976" s="80" t="n"/>
      <c r="AP1976" s="80" t="n"/>
      <c r="AQ1976" s="80" t="n"/>
      <c r="AR1976" s="80" t="n"/>
    </row>
    <row r="1977">
      <c r="D1977" s="80" t="n"/>
      <c r="E1977" s="80" t="n"/>
      <c r="F1977" s="80" t="n"/>
      <c r="G1977" s="80" t="n"/>
      <c r="H1977" s="80" t="n"/>
      <c r="I1977" s="80" t="n"/>
      <c r="J1977" s="80" t="n"/>
      <c r="K1977" s="80" t="n"/>
      <c r="L1977" s="80" t="n"/>
      <c r="M1977" s="80" t="n"/>
      <c r="N1977" s="80" t="n"/>
      <c r="O1977" s="80" t="n"/>
      <c r="P1977" s="80" t="n"/>
      <c r="Q1977" s="80" t="n"/>
      <c r="R1977" s="80" t="n"/>
      <c r="S1977" s="80" t="n"/>
      <c r="T1977" s="80" t="n"/>
      <c r="U1977" s="80" t="n"/>
      <c r="V1977" s="80" t="n"/>
      <c r="W1977" s="80" t="n"/>
      <c r="X1977" s="80" t="n"/>
      <c r="Y1977" s="80" t="n"/>
      <c r="Z1977" s="80" t="n"/>
      <c r="AA1977" s="80" t="n"/>
      <c r="AB1977" s="80" t="n"/>
      <c r="AC1977" s="80" t="n"/>
      <c r="AD1977" s="80" t="n"/>
      <c r="AE1977" s="80" t="n"/>
      <c r="AF1977" s="80" t="n"/>
      <c r="AG1977" s="80" t="n"/>
      <c r="AH1977" s="80" t="n"/>
      <c r="AI1977" s="80" t="n"/>
      <c r="AJ1977" s="80" t="n"/>
      <c r="AK1977" s="80" t="n"/>
      <c r="AL1977" s="80" t="n"/>
      <c r="AM1977" s="80" t="n"/>
      <c r="AN1977" s="80" t="n"/>
      <c r="AO1977" s="80" t="n"/>
      <c r="AP1977" s="80" t="n"/>
      <c r="AQ1977" s="80" t="n"/>
      <c r="AR1977" s="80" t="n"/>
    </row>
    <row r="1979">
      <c r="A1979" s="6">
        <f>IF(HSTECH!$C$38="","",HSTECH!$C$38)</f>
        <v/>
      </c>
      <c r="B1979" s="41">
        <f>IF($A1979="",0,COUNT($E1980:$AR1980))</f>
        <v/>
      </c>
      <c r="C1979" s="81">
        <f>IF($B1979=0,0,MAX($E1980:$AR1980))</f>
        <v/>
      </c>
      <c r="D1979" s="82">
        <f>BDS($A1979,'Field Check'!$C$7,"headers=y","startcol=1","endcol=7","dir=h","DVD_START_DT",Summary!$C$18,"DVD_END_DT",Summary!$D$18)</f>
        <v/>
      </c>
      <c r="E1979" s="83" t="n"/>
      <c r="F1979" s="83" t="n"/>
      <c r="G1979" s="83" t="n"/>
      <c r="H1979" s="83" t="n"/>
      <c r="I1979" s="83" t="n"/>
      <c r="J1979" s="83" t="n"/>
      <c r="K1979" s="83" t="n"/>
      <c r="L1979" s="83" t="n"/>
      <c r="M1979" s="83" t="n"/>
      <c r="N1979" s="83" t="n"/>
      <c r="O1979" s="83" t="n"/>
      <c r="P1979" s="83" t="n"/>
      <c r="Q1979" s="83" t="n"/>
      <c r="R1979" s="83" t="n"/>
      <c r="S1979" s="83" t="n"/>
      <c r="T1979" s="83" t="n"/>
      <c r="U1979" s="83" t="n"/>
      <c r="V1979" s="83" t="n"/>
      <c r="W1979" s="83" t="n"/>
      <c r="X1979" s="83" t="n"/>
      <c r="Y1979" s="83" t="n"/>
      <c r="Z1979" s="83" t="n"/>
      <c r="AA1979" s="83" t="n"/>
      <c r="AB1979" s="83" t="n"/>
      <c r="AC1979" s="83" t="n"/>
      <c r="AD1979" s="83" t="n"/>
      <c r="AE1979" s="83" t="n"/>
      <c r="AF1979" s="83" t="n"/>
      <c r="AG1979" s="83" t="n"/>
      <c r="AH1979" s="83" t="n"/>
      <c r="AI1979" s="83" t="n"/>
      <c r="AJ1979" s="83" t="n"/>
      <c r="AK1979" s="83" t="n"/>
      <c r="AL1979" s="83" t="n"/>
      <c r="AM1979" s="83" t="n"/>
      <c r="AN1979" s="83" t="n"/>
      <c r="AO1979" s="83" t="n"/>
      <c r="AP1979" s="83" t="n"/>
      <c r="AQ1979" s="83" t="n"/>
      <c r="AR1979" s="83" t="n"/>
    </row>
    <row r="1980">
      <c r="D1980" s="83" t="n"/>
      <c r="E1980" s="83" t="n"/>
      <c r="F1980" s="83" t="n"/>
      <c r="G1980" s="83" t="n"/>
      <c r="H1980" s="83" t="n"/>
      <c r="I1980" s="83" t="n"/>
      <c r="J1980" s="83" t="n"/>
      <c r="K1980" s="83" t="n"/>
      <c r="L1980" s="83" t="n"/>
      <c r="M1980" s="83" t="n"/>
      <c r="N1980" s="83" t="n"/>
      <c r="O1980" s="83" t="n"/>
      <c r="P1980" s="83" t="n"/>
      <c r="Q1980" s="83" t="n"/>
      <c r="R1980" s="83" t="n"/>
      <c r="S1980" s="83" t="n"/>
      <c r="T1980" s="83" t="n"/>
      <c r="U1980" s="83" t="n"/>
      <c r="V1980" s="83" t="n"/>
      <c r="W1980" s="83" t="n"/>
      <c r="X1980" s="83" t="n"/>
      <c r="Y1980" s="83" t="n"/>
      <c r="Z1980" s="83" t="n"/>
      <c r="AA1980" s="83" t="n"/>
      <c r="AB1980" s="83" t="n"/>
      <c r="AC1980" s="83" t="n"/>
      <c r="AD1980" s="83" t="n"/>
      <c r="AE1980" s="83" t="n"/>
      <c r="AF1980" s="83" t="n"/>
      <c r="AG1980" s="83" t="n"/>
      <c r="AH1980" s="83" t="n"/>
      <c r="AI1980" s="83" t="n"/>
      <c r="AJ1980" s="83" t="n"/>
      <c r="AK1980" s="83" t="n"/>
      <c r="AL1980" s="83" t="n"/>
      <c r="AM1980" s="83" t="n"/>
      <c r="AN1980" s="83" t="n"/>
      <c r="AO1980" s="83" t="n"/>
      <c r="AP1980" s="83" t="n"/>
      <c r="AQ1980" s="83" t="n"/>
      <c r="AR1980" s="83" t="n"/>
    </row>
    <row r="1981">
      <c r="D1981" s="84" t="n"/>
      <c r="E1981" s="84" t="n"/>
      <c r="F1981" s="84" t="n"/>
      <c r="G1981" s="84" t="n"/>
      <c r="H1981" s="84" t="n"/>
      <c r="I1981" s="84" t="n"/>
      <c r="J1981" s="84" t="n"/>
      <c r="K1981" s="84" t="n"/>
      <c r="L1981" s="84" t="n"/>
      <c r="M1981" s="84" t="n"/>
      <c r="N1981" s="84" t="n"/>
      <c r="O1981" s="84" t="n"/>
      <c r="P1981" s="84" t="n"/>
      <c r="Q1981" s="84" t="n"/>
      <c r="R1981" s="84" t="n"/>
      <c r="S1981" s="84" t="n"/>
      <c r="T1981" s="84" t="n"/>
      <c r="U1981" s="84" t="n"/>
      <c r="V1981" s="84" t="n"/>
      <c r="W1981" s="84" t="n"/>
      <c r="X1981" s="84" t="n"/>
      <c r="Y1981" s="84" t="n"/>
      <c r="Z1981" s="84" t="n"/>
      <c r="AA1981" s="84" t="n"/>
      <c r="AB1981" s="84" t="n"/>
      <c r="AC1981" s="84" t="n"/>
      <c r="AD1981" s="84" t="n"/>
      <c r="AE1981" s="84" t="n"/>
      <c r="AF1981" s="84" t="n"/>
      <c r="AG1981" s="84" t="n"/>
      <c r="AH1981" s="84" t="n"/>
      <c r="AI1981" s="84" t="n"/>
      <c r="AJ1981" s="84" t="n"/>
      <c r="AK1981" s="84" t="n"/>
      <c r="AL1981" s="84" t="n"/>
      <c r="AM1981" s="84" t="n"/>
      <c r="AN1981" s="84" t="n"/>
      <c r="AO1981" s="84" t="n"/>
      <c r="AP1981" s="84" t="n"/>
      <c r="AQ1981" s="84" t="n"/>
      <c r="AR1981" s="84" t="n"/>
    </row>
    <row r="1982">
      <c r="D1982" s="80" t="n"/>
      <c r="E1982" s="80" t="n"/>
      <c r="F1982" s="80" t="n"/>
      <c r="G1982" s="80" t="n"/>
      <c r="H1982" s="80" t="n"/>
      <c r="I1982" s="80" t="n"/>
      <c r="J1982" s="80" t="n"/>
      <c r="K1982" s="80" t="n"/>
      <c r="L1982" s="80" t="n"/>
      <c r="M1982" s="80" t="n"/>
      <c r="N1982" s="80" t="n"/>
      <c r="O1982" s="80" t="n"/>
      <c r="P1982" s="80" t="n"/>
      <c r="Q1982" s="80" t="n"/>
      <c r="R1982" s="80" t="n"/>
      <c r="S1982" s="80" t="n"/>
      <c r="T1982" s="80" t="n"/>
      <c r="U1982" s="80" t="n"/>
      <c r="V1982" s="80" t="n"/>
      <c r="W1982" s="80" t="n"/>
      <c r="X1982" s="80" t="n"/>
      <c r="Y1982" s="80" t="n"/>
      <c r="Z1982" s="80" t="n"/>
      <c r="AA1982" s="80" t="n"/>
      <c r="AB1982" s="80" t="n"/>
      <c r="AC1982" s="80" t="n"/>
      <c r="AD1982" s="80" t="n"/>
      <c r="AE1982" s="80" t="n"/>
      <c r="AF1982" s="80" t="n"/>
      <c r="AG1982" s="80" t="n"/>
      <c r="AH1982" s="80" t="n"/>
      <c r="AI1982" s="80" t="n"/>
      <c r="AJ1982" s="80" t="n"/>
      <c r="AK1982" s="80" t="n"/>
      <c r="AL1982" s="80" t="n"/>
      <c r="AM1982" s="80" t="n"/>
      <c r="AN1982" s="80" t="n"/>
      <c r="AO1982" s="80" t="n"/>
      <c r="AP1982" s="80" t="n"/>
      <c r="AQ1982" s="80" t="n"/>
      <c r="AR1982" s="80" t="n"/>
    </row>
    <row r="1983">
      <c r="D1983" s="80" t="n"/>
      <c r="E1983" s="80" t="n"/>
      <c r="F1983" s="80" t="n"/>
      <c r="G1983" s="80" t="n"/>
      <c r="H1983" s="80" t="n"/>
      <c r="I1983" s="80" t="n"/>
      <c r="J1983" s="80" t="n"/>
      <c r="K1983" s="80" t="n"/>
      <c r="L1983" s="80" t="n"/>
      <c r="M1983" s="80" t="n"/>
      <c r="N1983" s="80" t="n"/>
      <c r="O1983" s="80" t="n"/>
      <c r="P1983" s="80" t="n"/>
      <c r="Q1983" s="80" t="n"/>
      <c r="R1983" s="80" t="n"/>
      <c r="S1983" s="80" t="n"/>
      <c r="T1983" s="80" t="n"/>
      <c r="U1983" s="80" t="n"/>
      <c r="V1983" s="80" t="n"/>
      <c r="W1983" s="80" t="n"/>
      <c r="X1983" s="80" t="n"/>
      <c r="Y1983" s="80" t="n"/>
      <c r="Z1983" s="80" t="n"/>
      <c r="AA1983" s="80" t="n"/>
      <c r="AB1983" s="80" t="n"/>
      <c r="AC1983" s="80" t="n"/>
      <c r="AD1983" s="80" t="n"/>
      <c r="AE1983" s="80" t="n"/>
      <c r="AF1983" s="80" t="n"/>
      <c r="AG1983" s="80" t="n"/>
      <c r="AH1983" s="80" t="n"/>
      <c r="AI1983" s="80" t="n"/>
      <c r="AJ1983" s="80" t="n"/>
      <c r="AK1983" s="80" t="n"/>
      <c r="AL1983" s="80" t="n"/>
      <c r="AM1983" s="80" t="n"/>
      <c r="AN1983" s="80" t="n"/>
      <c r="AO1983" s="80" t="n"/>
      <c r="AP1983" s="80" t="n"/>
      <c r="AQ1983" s="80" t="n"/>
      <c r="AR1983" s="80" t="n"/>
    </row>
    <row r="1984">
      <c r="D1984" s="80" t="n"/>
      <c r="E1984" s="80" t="n"/>
      <c r="F1984" s="80" t="n"/>
      <c r="G1984" s="80" t="n"/>
      <c r="H1984" s="80" t="n"/>
      <c r="I1984" s="80" t="n"/>
      <c r="J1984" s="80" t="n"/>
      <c r="K1984" s="80" t="n"/>
      <c r="L1984" s="80" t="n"/>
      <c r="M1984" s="80" t="n"/>
      <c r="N1984" s="80" t="n"/>
      <c r="O1984" s="80" t="n"/>
      <c r="P1984" s="80" t="n"/>
      <c r="Q1984" s="80" t="n"/>
      <c r="R1984" s="80" t="n"/>
      <c r="S1984" s="80" t="n"/>
      <c r="T1984" s="80" t="n"/>
      <c r="U1984" s="80" t="n"/>
      <c r="V1984" s="80" t="n"/>
      <c r="W1984" s="80" t="n"/>
      <c r="X1984" s="80" t="n"/>
      <c r="Y1984" s="80" t="n"/>
      <c r="Z1984" s="80" t="n"/>
      <c r="AA1984" s="80" t="n"/>
      <c r="AB1984" s="80" t="n"/>
      <c r="AC1984" s="80" t="n"/>
      <c r="AD1984" s="80" t="n"/>
      <c r="AE1984" s="80" t="n"/>
      <c r="AF1984" s="80" t="n"/>
      <c r="AG1984" s="80" t="n"/>
      <c r="AH1984" s="80" t="n"/>
      <c r="AI1984" s="80" t="n"/>
      <c r="AJ1984" s="80" t="n"/>
      <c r="AK1984" s="80" t="n"/>
      <c r="AL1984" s="80" t="n"/>
      <c r="AM1984" s="80" t="n"/>
      <c r="AN1984" s="80" t="n"/>
      <c r="AO1984" s="80" t="n"/>
      <c r="AP1984" s="80" t="n"/>
      <c r="AQ1984" s="80" t="n"/>
      <c r="AR1984" s="80" t="n"/>
    </row>
    <row r="1985">
      <c r="D1985" s="80" t="n"/>
      <c r="E1985" s="80" t="n"/>
      <c r="F1985" s="80" t="n"/>
      <c r="G1985" s="80" t="n"/>
      <c r="H1985" s="80" t="n"/>
      <c r="I1985" s="80" t="n"/>
      <c r="J1985" s="80" t="n"/>
      <c r="K1985" s="80" t="n"/>
      <c r="L1985" s="80" t="n"/>
      <c r="M1985" s="80" t="n"/>
      <c r="N1985" s="80" t="n"/>
      <c r="O1985" s="80" t="n"/>
      <c r="P1985" s="80" t="n"/>
      <c r="Q1985" s="80" t="n"/>
      <c r="R1985" s="80" t="n"/>
      <c r="S1985" s="80" t="n"/>
      <c r="T1985" s="80" t="n"/>
      <c r="U1985" s="80" t="n"/>
      <c r="V1985" s="80" t="n"/>
      <c r="W1985" s="80" t="n"/>
      <c r="X1985" s="80" t="n"/>
      <c r="Y1985" s="80" t="n"/>
      <c r="Z1985" s="80" t="n"/>
      <c r="AA1985" s="80" t="n"/>
      <c r="AB1985" s="80" t="n"/>
      <c r="AC1985" s="80" t="n"/>
      <c r="AD1985" s="80" t="n"/>
      <c r="AE1985" s="80" t="n"/>
      <c r="AF1985" s="80" t="n"/>
      <c r="AG1985" s="80" t="n"/>
      <c r="AH1985" s="80" t="n"/>
      <c r="AI1985" s="80" t="n"/>
      <c r="AJ1985" s="80" t="n"/>
      <c r="AK1985" s="80" t="n"/>
      <c r="AL1985" s="80" t="n"/>
      <c r="AM1985" s="80" t="n"/>
      <c r="AN1985" s="80" t="n"/>
      <c r="AO1985" s="80" t="n"/>
      <c r="AP1985" s="80" t="n"/>
      <c r="AQ1985" s="80" t="n"/>
      <c r="AR1985" s="80" t="n"/>
    </row>
    <row r="1986">
      <c r="A1986" s="2">
        <f>IF($A1979="","","   projections")</f>
        <v/>
      </c>
      <c r="B1986" s="41">
        <f>IF($A1979="",0,COUNT($E1987:$AR1987))</f>
        <v/>
      </c>
      <c r="C1986" s="81">
        <f>IF($B1986=0,0,MAX($E1987:$AR1987))</f>
        <v/>
      </c>
      <c r="D1986" s="82">
        <f>BDS($A1979,'Field Check'!$C$6,"headers=y","startcol=1","endcol=7","dir=h")</f>
        <v/>
      </c>
      <c r="E1986" s="83" t="n"/>
      <c r="F1986" s="83" t="n"/>
      <c r="G1986" s="83" t="n"/>
      <c r="H1986" s="83" t="n"/>
      <c r="I1986" s="83" t="n"/>
      <c r="J1986" s="83" t="n"/>
      <c r="K1986" s="83" t="n"/>
      <c r="L1986" s="83" t="n"/>
      <c r="M1986" s="83" t="n"/>
      <c r="N1986" s="83" t="n"/>
      <c r="O1986" s="83" t="n"/>
      <c r="P1986" s="83" t="n"/>
      <c r="Q1986" s="83" t="n"/>
      <c r="R1986" s="83" t="n"/>
      <c r="S1986" s="83" t="n"/>
      <c r="T1986" s="83" t="n"/>
      <c r="U1986" s="83" t="n"/>
      <c r="V1986" s="83" t="n"/>
      <c r="W1986" s="83" t="n"/>
      <c r="X1986" s="83" t="n"/>
      <c r="Y1986" s="83" t="n"/>
      <c r="Z1986" s="83" t="n"/>
      <c r="AA1986" s="83" t="n"/>
      <c r="AB1986" s="83" t="n"/>
      <c r="AC1986" s="83" t="n"/>
      <c r="AD1986" s="83" t="n"/>
      <c r="AE1986" s="83" t="n"/>
      <c r="AF1986" s="83" t="n"/>
      <c r="AG1986" s="83" t="n"/>
      <c r="AH1986" s="83" t="n"/>
      <c r="AI1986" s="83" t="n"/>
      <c r="AJ1986" s="83" t="n"/>
      <c r="AK1986" s="83" t="n"/>
      <c r="AL1986" s="83" t="n"/>
      <c r="AM1986" s="83" t="n"/>
      <c r="AN1986" s="83" t="n"/>
      <c r="AO1986" s="83" t="n"/>
      <c r="AP1986" s="83" t="n"/>
      <c r="AQ1986" s="83" t="n"/>
      <c r="AR1986" s="83" t="n"/>
    </row>
    <row r="1987">
      <c r="D1987" s="83" t="n"/>
      <c r="E1987" s="83" t="n"/>
      <c r="F1987" s="83" t="n"/>
      <c r="G1987" s="83" t="n"/>
      <c r="H1987" s="83" t="n"/>
      <c r="I1987" s="83" t="n"/>
      <c r="J1987" s="83" t="n"/>
      <c r="K1987" s="83" t="n"/>
      <c r="L1987" s="83" t="n"/>
      <c r="M1987" s="83" t="n"/>
      <c r="N1987" s="83" t="n"/>
      <c r="O1987" s="83" t="n"/>
      <c r="P1987" s="83" t="n"/>
      <c r="Q1987" s="83" t="n"/>
      <c r="R1987" s="83" t="n"/>
      <c r="S1987" s="83" t="n"/>
      <c r="T1987" s="83" t="n"/>
      <c r="U1987" s="83" t="n"/>
      <c r="V1987" s="83" t="n"/>
      <c r="W1987" s="83" t="n"/>
      <c r="X1987" s="83" t="n"/>
      <c r="Y1987" s="83" t="n"/>
      <c r="Z1987" s="83" t="n"/>
      <c r="AA1987" s="83" t="n"/>
      <c r="AB1987" s="83" t="n"/>
      <c r="AC1987" s="83" t="n"/>
      <c r="AD1987" s="83" t="n"/>
      <c r="AE1987" s="83" t="n"/>
      <c r="AF1987" s="83" t="n"/>
      <c r="AG1987" s="83" t="n"/>
      <c r="AH1987" s="83" t="n"/>
      <c r="AI1987" s="83" t="n"/>
      <c r="AJ1987" s="83" t="n"/>
      <c r="AK1987" s="83" t="n"/>
      <c r="AL1987" s="83" t="n"/>
      <c r="AM1987" s="83" t="n"/>
      <c r="AN1987" s="83" t="n"/>
      <c r="AO1987" s="83" t="n"/>
      <c r="AP1987" s="83" t="n"/>
      <c r="AQ1987" s="83" t="n"/>
      <c r="AR1987" s="83" t="n"/>
    </row>
    <row r="1988">
      <c r="D1988" s="84" t="n"/>
      <c r="E1988" s="84" t="n"/>
      <c r="F1988" s="84" t="n"/>
      <c r="G1988" s="84" t="n"/>
      <c r="H1988" s="84" t="n"/>
      <c r="I1988" s="84" t="n"/>
      <c r="J1988" s="84" t="n"/>
      <c r="K1988" s="84" t="n"/>
      <c r="L1988" s="84" t="n"/>
      <c r="M1988" s="84" t="n"/>
      <c r="N1988" s="84" t="n"/>
      <c r="O1988" s="84" t="n"/>
      <c r="P1988" s="84" t="n"/>
      <c r="Q1988" s="84" t="n"/>
      <c r="R1988" s="84" t="n"/>
      <c r="S1988" s="84" t="n"/>
      <c r="T1988" s="84" t="n"/>
      <c r="U1988" s="84" t="n"/>
      <c r="V1988" s="84" t="n"/>
      <c r="W1988" s="84" t="n"/>
      <c r="X1988" s="84" t="n"/>
      <c r="Y1988" s="84" t="n"/>
      <c r="Z1988" s="84" t="n"/>
      <c r="AA1988" s="84" t="n"/>
      <c r="AB1988" s="84" t="n"/>
      <c r="AC1988" s="84" t="n"/>
      <c r="AD1988" s="84" t="n"/>
      <c r="AE1988" s="84" t="n"/>
      <c r="AF1988" s="84" t="n"/>
      <c r="AG1988" s="84" t="n"/>
      <c r="AH1988" s="84" t="n"/>
      <c r="AI1988" s="84" t="n"/>
      <c r="AJ1988" s="84" t="n"/>
      <c r="AK1988" s="84" t="n"/>
      <c r="AL1988" s="84" t="n"/>
      <c r="AM1988" s="84" t="n"/>
      <c r="AN1988" s="84" t="n"/>
      <c r="AO1988" s="84" t="n"/>
      <c r="AP1988" s="84" t="n"/>
      <c r="AQ1988" s="84" t="n"/>
      <c r="AR1988" s="84" t="n"/>
    </row>
    <row r="1989">
      <c r="D1989" s="80" t="n"/>
      <c r="E1989" s="80" t="n"/>
      <c r="F1989" s="80" t="n"/>
      <c r="G1989" s="80" t="n"/>
      <c r="H1989" s="80" t="n"/>
      <c r="I1989" s="80" t="n"/>
      <c r="J1989" s="80" t="n"/>
      <c r="K1989" s="80" t="n"/>
      <c r="L1989" s="80" t="n"/>
      <c r="M1989" s="80" t="n"/>
      <c r="N1989" s="80" t="n"/>
      <c r="O1989" s="80" t="n"/>
      <c r="P1989" s="80" t="n"/>
      <c r="Q1989" s="80" t="n"/>
      <c r="R1989" s="80" t="n"/>
      <c r="S1989" s="80" t="n"/>
      <c r="T1989" s="80" t="n"/>
      <c r="U1989" s="80" t="n"/>
      <c r="V1989" s="80" t="n"/>
      <c r="W1989" s="80" t="n"/>
      <c r="X1989" s="80" t="n"/>
      <c r="Y1989" s="80" t="n"/>
      <c r="Z1989" s="80" t="n"/>
      <c r="AA1989" s="80" t="n"/>
      <c r="AB1989" s="80" t="n"/>
      <c r="AC1989" s="80" t="n"/>
      <c r="AD1989" s="80" t="n"/>
      <c r="AE1989" s="80" t="n"/>
      <c r="AF1989" s="80" t="n"/>
      <c r="AG1989" s="80" t="n"/>
      <c r="AH1989" s="80" t="n"/>
      <c r="AI1989" s="80" t="n"/>
      <c r="AJ1989" s="80" t="n"/>
      <c r="AK1989" s="80" t="n"/>
      <c r="AL1989" s="80" t="n"/>
      <c r="AM1989" s="80" t="n"/>
      <c r="AN1989" s="80" t="n"/>
      <c r="AO1989" s="80" t="n"/>
      <c r="AP1989" s="80" t="n"/>
      <c r="AQ1989" s="80" t="n"/>
      <c r="AR1989" s="80" t="n"/>
    </row>
    <row r="1990">
      <c r="D1990" s="80" t="n"/>
      <c r="E1990" s="80" t="n"/>
      <c r="F1990" s="80" t="n"/>
      <c r="G1990" s="80" t="n"/>
      <c r="H1990" s="80" t="n"/>
      <c r="I1990" s="80" t="n"/>
      <c r="J1990" s="80" t="n"/>
      <c r="K1990" s="80" t="n"/>
      <c r="L1990" s="80" t="n"/>
      <c r="M1990" s="80" t="n"/>
      <c r="N1990" s="80" t="n"/>
      <c r="O1990" s="80" t="n"/>
      <c r="P1990" s="80" t="n"/>
      <c r="Q1990" s="80" t="n"/>
      <c r="R1990" s="80" t="n"/>
      <c r="S1990" s="80" t="n"/>
      <c r="T1990" s="80" t="n"/>
      <c r="U1990" s="80" t="n"/>
      <c r="V1990" s="80" t="n"/>
      <c r="W1990" s="80" t="n"/>
      <c r="X1990" s="80" t="n"/>
      <c r="Y1990" s="80" t="n"/>
      <c r="Z1990" s="80" t="n"/>
      <c r="AA1990" s="80" t="n"/>
      <c r="AB1990" s="80" t="n"/>
      <c r="AC1990" s="80" t="n"/>
      <c r="AD1990" s="80" t="n"/>
      <c r="AE1990" s="80" t="n"/>
      <c r="AF1990" s="80" t="n"/>
      <c r="AG1990" s="80" t="n"/>
      <c r="AH1990" s="80" t="n"/>
      <c r="AI1990" s="80" t="n"/>
      <c r="AJ1990" s="80" t="n"/>
      <c r="AK1990" s="80" t="n"/>
      <c r="AL1990" s="80" t="n"/>
      <c r="AM1990" s="80" t="n"/>
      <c r="AN1990" s="80" t="n"/>
      <c r="AO1990" s="80" t="n"/>
      <c r="AP1990" s="80" t="n"/>
      <c r="AQ1990" s="80" t="n"/>
      <c r="AR1990" s="80" t="n"/>
    </row>
    <row r="1991">
      <c r="D1991" s="80" t="n"/>
      <c r="E1991" s="80" t="n"/>
      <c r="F1991" s="80" t="n"/>
      <c r="G1991" s="80" t="n"/>
      <c r="H1991" s="80" t="n"/>
      <c r="I1991" s="80" t="n"/>
      <c r="J1991" s="80" t="n"/>
      <c r="K1991" s="80" t="n"/>
      <c r="L1991" s="80" t="n"/>
      <c r="M1991" s="80" t="n"/>
      <c r="N1991" s="80" t="n"/>
      <c r="O1991" s="80" t="n"/>
      <c r="P1991" s="80" t="n"/>
      <c r="Q1991" s="80" t="n"/>
      <c r="R1991" s="80" t="n"/>
      <c r="S1991" s="80" t="n"/>
      <c r="T1991" s="80" t="n"/>
      <c r="U1991" s="80" t="n"/>
      <c r="V1991" s="80" t="n"/>
      <c r="W1991" s="80" t="n"/>
      <c r="X1991" s="80" t="n"/>
      <c r="Y1991" s="80" t="n"/>
      <c r="Z1991" s="80" t="n"/>
      <c r="AA1991" s="80" t="n"/>
      <c r="AB1991" s="80" t="n"/>
      <c r="AC1991" s="80" t="n"/>
      <c r="AD1991" s="80" t="n"/>
      <c r="AE1991" s="80" t="n"/>
      <c r="AF1991" s="80" t="n"/>
      <c r="AG1991" s="80" t="n"/>
      <c r="AH1991" s="80" t="n"/>
      <c r="AI1991" s="80" t="n"/>
      <c r="AJ1991" s="80" t="n"/>
      <c r="AK1991" s="80" t="n"/>
      <c r="AL1991" s="80" t="n"/>
      <c r="AM1991" s="80" t="n"/>
      <c r="AN1991" s="80" t="n"/>
      <c r="AO1991" s="80" t="n"/>
      <c r="AP1991" s="80" t="n"/>
      <c r="AQ1991" s="80" t="n"/>
      <c r="AR1991" s="80" t="n"/>
    </row>
    <row r="1992">
      <c r="D1992" s="80" t="n"/>
      <c r="E1992" s="80" t="n"/>
      <c r="F1992" s="80" t="n"/>
      <c r="G1992" s="80" t="n"/>
      <c r="H1992" s="80" t="n"/>
      <c r="I1992" s="80" t="n"/>
      <c r="J1992" s="80" t="n"/>
      <c r="K1992" s="80" t="n"/>
      <c r="L1992" s="80" t="n"/>
      <c r="M1992" s="80" t="n"/>
      <c r="N1992" s="80" t="n"/>
      <c r="O1992" s="80" t="n"/>
      <c r="P1992" s="80" t="n"/>
      <c r="Q1992" s="80" t="n"/>
      <c r="R1992" s="80" t="n"/>
      <c r="S1992" s="80" t="n"/>
      <c r="T1992" s="80" t="n"/>
      <c r="U1992" s="80" t="n"/>
      <c r="V1992" s="80" t="n"/>
      <c r="W1992" s="80" t="n"/>
      <c r="X1992" s="80" t="n"/>
      <c r="Y1992" s="80" t="n"/>
      <c r="Z1992" s="80" t="n"/>
      <c r="AA1992" s="80" t="n"/>
      <c r="AB1992" s="80" t="n"/>
      <c r="AC1992" s="80" t="n"/>
      <c r="AD1992" s="80" t="n"/>
      <c r="AE1992" s="80" t="n"/>
      <c r="AF1992" s="80" t="n"/>
      <c r="AG1992" s="80" t="n"/>
      <c r="AH1992" s="80" t="n"/>
      <c r="AI1992" s="80" t="n"/>
      <c r="AJ1992" s="80" t="n"/>
      <c r="AK1992" s="80" t="n"/>
      <c r="AL1992" s="80" t="n"/>
      <c r="AM1992" s="80" t="n"/>
      <c r="AN1992" s="80" t="n"/>
      <c r="AO1992" s="80" t="n"/>
      <c r="AP1992" s="80" t="n"/>
      <c r="AQ1992" s="80" t="n"/>
      <c r="AR1992" s="80" t="n"/>
    </row>
    <row r="1994">
      <c r="A1994" s="6">
        <f>IF(HSTECH!$C$39="","",HSTECH!$C$39)</f>
        <v/>
      </c>
      <c r="B1994" s="41">
        <f>IF($A1994="",0,COUNT($E1995:$AR1995))</f>
        <v/>
      </c>
      <c r="C1994" s="81">
        <f>IF($B1994=0,0,MAX($E1995:$AR1995))</f>
        <v/>
      </c>
      <c r="D1994" s="82">
        <f>BDS($A1994,'Field Check'!$C$7,"headers=y","startcol=1","endcol=7","dir=h","DVD_START_DT",Summary!$C$18,"DVD_END_DT",Summary!$D$18)</f>
        <v/>
      </c>
      <c r="E1994" s="83" t="n"/>
      <c r="F1994" s="83" t="n"/>
      <c r="G1994" s="83" t="n"/>
      <c r="H1994" s="83" t="n"/>
      <c r="I1994" s="83" t="n"/>
      <c r="J1994" s="83" t="n"/>
      <c r="K1994" s="83" t="n"/>
      <c r="L1994" s="83" t="n"/>
      <c r="M1994" s="83" t="n"/>
      <c r="N1994" s="83" t="n"/>
      <c r="O1994" s="83" t="n"/>
      <c r="P1994" s="83" t="n"/>
      <c r="Q1994" s="83" t="n"/>
      <c r="R1994" s="83" t="n"/>
      <c r="S1994" s="83" t="n"/>
      <c r="T1994" s="83" t="n"/>
      <c r="U1994" s="83" t="n"/>
      <c r="V1994" s="83" t="n"/>
      <c r="W1994" s="83" t="n"/>
      <c r="X1994" s="83" t="n"/>
      <c r="Y1994" s="83" t="n"/>
      <c r="Z1994" s="83" t="n"/>
      <c r="AA1994" s="83" t="n"/>
      <c r="AB1994" s="83" t="n"/>
      <c r="AC1994" s="83" t="n"/>
      <c r="AD1994" s="83" t="n"/>
      <c r="AE1994" s="83" t="n"/>
      <c r="AF1994" s="83" t="n"/>
      <c r="AG1994" s="83" t="n"/>
      <c r="AH1994" s="83" t="n"/>
      <c r="AI1994" s="83" t="n"/>
      <c r="AJ1994" s="83" t="n"/>
      <c r="AK1994" s="83" t="n"/>
      <c r="AL1994" s="83" t="n"/>
      <c r="AM1994" s="83" t="n"/>
      <c r="AN1994" s="83" t="n"/>
      <c r="AO1994" s="83" t="n"/>
      <c r="AP1994" s="83" t="n"/>
      <c r="AQ1994" s="83" t="n"/>
      <c r="AR1994" s="83" t="n"/>
    </row>
    <row r="1995">
      <c r="D1995" s="83" t="n"/>
      <c r="E1995" s="83" t="n"/>
      <c r="F1995" s="83" t="n"/>
      <c r="G1995" s="83" t="n"/>
      <c r="H1995" s="83" t="n"/>
      <c r="I1995" s="83" t="n"/>
      <c r="J1995" s="83" t="n"/>
      <c r="K1995" s="83" t="n"/>
      <c r="L1995" s="83" t="n"/>
      <c r="M1995" s="83" t="n"/>
      <c r="N1995" s="83" t="n"/>
      <c r="O1995" s="83" t="n"/>
      <c r="P1995" s="83" t="n"/>
      <c r="Q1995" s="83" t="n"/>
      <c r="R1995" s="83" t="n"/>
      <c r="S1995" s="83" t="n"/>
      <c r="T1995" s="83" t="n"/>
      <c r="U1995" s="83" t="n"/>
      <c r="V1995" s="83" t="n"/>
      <c r="W1995" s="83" t="n"/>
      <c r="X1995" s="83" t="n"/>
      <c r="Y1995" s="83" t="n"/>
      <c r="Z1995" s="83" t="n"/>
      <c r="AA1995" s="83" t="n"/>
      <c r="AB1995" s="83" t="n"/>
      <c r="AC1995" s="83" t="n"/>
      <c r="AD1995" s="83" t="n"/>
      <c r="AE1995" s="83" t="n"/>
      <c r="AF1995" s="83" t="n"/>
      <c r="AG1995" s="83" t="n"/>
      <c r="AH1995" s="83" t="n"/>
      <c r="AI1995" s="83" t="n"/>
      <c r="AJ1995" s="83" t="n"/>
      <c r="AK1995" s="83" t="n"/>
      <c r="AL1995" s="83" t="n"/>
      <c r="AM1995" s="83" t="n"/>
      <c r="AN1995" s="83" t="n"/>
      <c r="AO1995" s="83" t="n"/>
      <c r="AP1995" s="83" t="n"/>
      <c r="AQ1995" s="83" t="n"/>
      <c r="AR1995" s="83" t="n"/>
    </row>
    <row r="1996">
      <c r="D1996" s="84" t="n"/>
      <c r="E1996" s="84" t="n"/>
      <c r="F1996" s="84" t="n"/>
      <c r="G1996" s="84" t="n"/>
      <c r="H1996" s="84" t="n"/>
      <c r="I1996" s="84" t="n"/>
      <c r="J1996" s="84" t="n"/>
      <c r="K1996" s="84" t="n"/>
      <c r="L1996" s="84" t="n"/>
      <c r="M1996" s="84" t="n"/>
      <c r="N1996" s="84" t="n"/>
      <c r="O1996" s="84" t="n"/>
      <c r="P1996" s="84" t="n"/>
      <c r="Q1996" s="84" t="n"/>
      <c r="R1996" s="84" t="n"/>
      <c r="S1996" s="84" t="n"/>
      <c r="T1996" s="84" t="n"/>
      <c r="U1996" s="84" t="n"/>
      <c r="V1996" s="84" t="n"/>
      <c r="W1996" s="84" t="n"/>
      <c r="X1996" s="84" t="n"/>
      <c r="Y1996" s="84" t="n"/>
      <c r="Z1996" s="84" t="n"/>
      <c r="AA1996" s="84" t="n"/>
      <c r="AB1996" s="84" t="n"/>
      <c r="AC1996" s="84" t="n"/>
      <c r="AD1996" s="84" t="n"/>
      <c r="AE1996" s="84" t="n"/>
      <c r="AF1996" s="84" t="n"/>
      <c r="AG1996" s="84" t="n"/>
      <c r="AH1996" s="84" t="n"/>
      <c r="AI1996" s="84" t="n"/>
      <c r="AJ1996" s="84" t="n"/>
      <c r="AK1996" s="84" t="n"/>
      <c r="AL1996" s="84" t="n"/>
      <c r="AM1996" s="84" t="n"/>
      <c r="AN1996" s="84" t="n"/>
      <c r="AO1996" s="84" t="n"/>
      <c r="AP1996" s="84" t="n"/>
      <c r="AQ1996" s="84" t="n"/>
      <c r="AR1996" s="84" t="n"/>
    </row>
    <row r="1997">
      <c r="D1997" s="80" t="n"/>
      <c r="E1997" s="80" t="n"/>
      <c r="F1997" s="80" t="n"/>
      <c r="G1997" s="80" t="n"/>
      <c r="H1997" s="80" t="n"/>
      <c r="I1997" s="80" t="n"/>
      <c r="J1997" s="80" t="n"/>
      <c r="K1997" s="80" t="n"/>
      <c r="L1997" s="80" t="n"/>
      <c r="M1997" s="80" t="n"/>
      <c r="N1997" s="80" t="n"/>
      <c r="O1997" s="80" t="n"/>
      <c r="P1997" s="80" t="n"/>
      <c r="Q1997" s="80" t="n"/>
      <c r="R1997" s="80" t="n"/>
      <c r="S1997" s="80" t="n"/>
      <c r="T1997" s="80" t="n"/>
      <c r="U1997" s="80" t="n"/>
      <c r="V1997" s="80" t="n"/>
      <c r="W1997" s="80" t="n"/>
      <c r="X1997" s="80" t="n"/>
      <c r="Y1997" s="80" t="n"/>
      <c r="Z1997" s="80" t="n"/>
      <c r="AA1997" s="80" t="n"/>
      <c r="AB1997" s="80" t="n"/>
      <c r="AC1997" s="80" t="n"/>
      <c r="AD1997" s="80" t="n"/>
      <c r="AE1997" s="80" t="n"/>
      <c r="AF1997" s="80" t="n"/>
      <c r="AG1997" s="80" t="n"/>
      <c r="AH1997" s="80" t="n"/>
      <c r="AI1997" s="80" t="n"/>
      <c r="AJ1997" s="80" t="n"/>
      <c r="AK1997" s="80" t="n"/>
      <c r="AL1997" s="80" t="n"/>
      <c r="AM1997" s="80" t="n"/>
      <c r="AN1997" s="80" t="n"/>
      <c r="AO1997" s="80" t="n"/>
      <c r="AP1997" s="80" t="n"/>
      <c r="AQ1997" s="80" t="n"/>
      <c r="AR1997" s="80" t="n"/>
    </row>
    <row r="1998">
      <c r="D1998" s="80" t="n"/>
      <c r="E1998" s="80" t="n"/>
      <c r="F1998" s="80" t="n"/>
      <c r="G1998" s="80" t="n"/>
      <c r="H1998" s="80" t="n"/>
      <c r="I1998" s="80" t="n"/>
      <c r="J1998" s="80" t="n"/>
      <c r="K1998" s="80" t="n"/>
      <c r="L1998" s="80" t="n"/>
      <c r="M1998" s="80" t="n"/>
      <c r="N1998" s="80" t="n"/>
      <c r="O1998" s="80" t="n"/>
      <c r="P1998" s="80" t="n"/>
      <c r="Q1998" s="80" t="n"/>
      <c r="R1998" s="80" t="n"/>
      <c r="S1998" s="80" t="n"/>
      <c r="T1998" s="80" t="n"/>
      <c r="U1998" s="80" t="n"/>
      <c r="V1998" s="80" t="n"/>
      <c r="W1998" s="80" t="n"/>
      <c r="X1998" s="80" t="n"/>
      <c r="Y1998" s="80" t="n"/>
      <c r="Z1998" s="80" t="n"/>
      <c r="AA1998" s="80" t="n"/>
      <c r="AB1998" s="80" t="n"/>
      <c r="AC1998" s="80" t="n"/>
      <c r="AD1998" s="80" t="n"/>
      <c r="AE1998" s="80" t="n"/>
      <c r="AF1998" s="80" t="n"/>
      <c r="AG1998" s="80" t="n"/>
      <c r="AH1998" s="80" t="n"/>
      <c r="AI1998" s="80" t="n"/>
      <c r="AJ1998" s="80" t="n"/>
      <c r="AK1998" s="80" t="n"/>
      <c r="AL1998" s="80" t="n"/>
      <c r="AM1998" s="80" t="n"/>
      <c r="AN1998" s="80" t="n"/>
      <c r="AO1998" s="80" t="n"/>
      <c r="AP1998" s="80" t="n"/>
      <c r="AQ1998" s="80" t="n"/>
      <c r="AR1998" s="80" t="n"/>
    </row>
    <row r="1999">
      <c r="D1999" s="80" t="n"/>
      <c r="E1999" s="80" t="n"/>
      <c r="F1999" s="80" t="n"/>
      <c r="G1999" s="80" t="n"/>
      <c r="H1999" s="80" t="n"/>
      <c r="I1999" s="80" t="n"/>
      <c r="J1999" s="80" t="n"/>
      <c r="K1999" s="80" t="n"/>
      <c r="L1999" s="80" t="n"/>
      <c r="M1999" s="80" t="n"/>
      <c r="N1999" s="80" t="n"/>
      <c r="O1999" s="80" t="n"/>
      <c r="P1999" s="80" t="n"/>
      <c r="Q1999" s="80" t="n"/>
      <c r="R1999" s="80" t="n"/>
      <c r="S1999" s="80" t="n"/>
      <c r="T1999" s="80" t="n"/>
      <c r="U1999" s="80" t="n"/>
      <c r="V1999" s="80" t="n"/>
      <c r="W1999" s="80" t="n"/>
      <c r="X1999" s="80" t="n"/>
      <c r="Y1999" s="80" t="n"/>
      <c r="Z1999" s="80" t="n"/>
      <c r="AA1999" s="80" t="n"/>
      <c r="AB1999" s="80" t="n"/>
      <c r="AC1999" s="80" t="n"/>
      <c r="AD1999" s="80" t="n"/>
      <c r="AE1999" s="80" t="n"/>
      <c r="AF1999" s="80" t="n"/>
      <c r="AG1999" s="80" t="n"/>
      <c r="AH1999" s="80" t="n"/>
      <c r="AI1999" s="80" t="n"/>
      <c r="AJ1999" s="80" t="n"/>
      <c r="AK1999" s="80" t="n"/>
      <c r="AL1999" s="80" t="n"/>
      <c r="AM1999" s="80" t="n"/>
      <c r="AN1999" s="80" t="n"/>
      <c r="AO1999" s="80" t="n"/>
      <c r="AP1999" s="80" t="n"/>
      <c r="AQ1999" s="80" t="n"/>
      <c r="AR1999" s="80" t="n"/>
    </row>
    <row r="2000">
      <c r="D2000" s="80" t="n"/>
      <c r="E2000" s="80" t="n"/>
      <c r="F2000" s="80" t="n"/>
      <c r="G2000" s="80" t="n"/>
      <c r="H2000" s="80" t="n"/>
      <c r="I2000" s="80" t="n"/>
      <c r="J2000" s="80" t="n"/>
      <c r="K2000" s="80" t="n"/>
      <c r="L2000" s="80" t="n"/>
      <c r="M2000" s="80" t="n"/>
      <c r="N2000" s="80" t="n"/>
      <c r="O2000" s="80" t="n"/>
      <c r="P2000" s="80" t="n"/>
      <c r="Q2000" s="80" t="n"/>
      <c r="R2000" s="80" t="n"/>
      <c r="S2000" s="80" t="n"/>
      <c r="T2000" s="80" t="n"/>
      <c r="U2000" s="80" t="n"/>
      <c r="V2000" s="80" t="n"/>
      <c r="W2000" s="80" t="n"/>
      <c r="X2000" s="80" t="n"/>
      <c r="Y2000" s="80" t="n"/>
      <c r="Z2000" s="80" t="n"/>
      <c r="AA2000" s="80" t="n"/>
      <c r="AB2000" s="80" t="n"/>
      <c r="AC2000" s="80" t="n"/>
      <c r="AD2000" s="80" t="n"/>
      <c r="AE2000" s="80" t="n"/>
      <c r="AF2000" s="80" t="n"/>
      <c r="AG2000" s="80" t="n"/>
      <c r="AH2000" s="80" t="n"/>
      <c r="AI2000" s="80" t="n"/>
      <c r="AJ2000" s="80" t="n"/>
      <c r="AK2000" s="80" t="n"/>
      <c r="AL2000" s="80" t="n"/>
      <c r="AM2000" s="80" t="n"/>
      <c r="AN2000" s="80" t="n"/>
      <c r="AO2000" s="80" t="n"/>
      <c r="AP2000" s="80" t="n"/>
      <c r="AQ2000" s="80" t="n"/>
      <c r="AR2000" s="80" t="n"/>
    </row>
    <row r="2001">
      <c r="A2001" s="2">
        <f>IF($A1994="","","   projections")</f>
        <v/>
      </c>
      <c r="B2001" s="41">
        <f>IF($A1994="",0,COUNT($E2002:$AR2002))</f>
        <v/>
      </c>
      <c r="C2001" s="81">
        <f>IF($B2001=0,0,MAX($E2002:$AR2002))</f>
        <v/>
      </c>
      <c r="D2001" s="82">
        <f>BDS($A1994,'Field Check'!$C$6,"headers=y","startcol=1","endcol=7","dir=h")</f>
        <v/>
      </c>
      <c r="E2001" s="83" t="n"/>
      <c r="F2001" s="83" t="n"/>
      <c r="G2001" s="83" t="n"/>
      <c r="H2001" s="83" t="n"/>
      <c r="I2001" s="83" t="n"/>
      <c r="J2001" s="83" t="n"/>
      <c r="K2001" s="83" t="n"/>
      <c r="L2001" s="83" t="n"/>
      <c r="M2001" s="83" t="n"/>
      <c r="N2001" s="83" t="n"/>
      <c r="O2001" s="83" t="n"/>
      <c r="P2001" s="83" t="n"/>
      <c r="Q2001" s="83" t="n"/>
      <c r="R2001" s="83" t="n"/>
      <c r="S2001" s="83" t="n"/>
      <c r="T2001" s="83" t="n"/>
      <c r="U2001" s="83" t="n"/>
      <c r="V2001" s="83" t="n"/>
      <c r="W2001" s="83" t="n"/>
      <c r="X2001" s="83" t="n"/>
      <c r="Y2001" s="83" t="n"/>
      <c r="Z2001" s="83" t="n"/>
      <c r="AA2001" s="83" t="n"/>
      <c r="AB2001" s="83" t="n"/>
      <c r="AC2001" s="83" t="n"/>
      <c r="AD2001" s="83" t="n"/>
      <c r="AE2001" s="83" t="n"/>
      <c r="AF2001" s="83" t="n"/>
      <c r="AG2001" s="83" t="n"/>
      <c r="AH2001" s="83" t="n"/>
      <c r="AI2001" s="83" t="n"/>
      <c r="AJ2001" s="83" t="n"/>
      <c r="AK2001" s="83" t="n"/>
      <c r="AL2001" s="83" t="n"/>
      <c r="AM2001" s="83" t="n"/>
      <c r="AN2001" s="83" t="n"/>
      <c r="AO2001" s="83" t="n"/>
      <c r="AP2001" s="83" t="n"/>
      <c r="AQ2001" s="83" t="n"/>
      <c r="AR2001" s="83" t="n"/>
    </row>
    <row r="2002">
      <c r="D2002" s="83" t="n"/>
      <c r="E2002" s="83" t="n"/>
      <c r="F2002" s="83" t="n"/>
      <c r="G2002" s="83" t="n"/>
      <c r="H2002" s="83" t="n"/>
      <c r="I2002" s="83" t="n"/>
      <c r="J2002" s="83" t="n"/>
      <c r="K2002" s="83" t="n"/>
      <c r="L2002" s="83" t="n"/>
      <c r="M2002" s="83" t="n"/>
      <c r="N2002" s="83" t="n"/>
      <c r="O2002" s="83" t="n"/>
      <c r="P2002" s="83" t="n"/>
      <c r="Q2002" s="83" t="n"/>
      <c r="R2002" s="83" t="n"/>
      <c r="S2002" s="83" t="n"/>
      <c r="T2002" s="83" t="n"/>
      <c r="U2002" s="83" t="n"/>
      <c r="V2002" s="83" t="n"/>
      <c r="W2002" s="83" t="n"/>
      <c r="X2002" s="83" t="n"/>
      <c r="Y2002" s="83" t="n"/>
      <c r="Z2002" s="83" t="n"/>
      <c r="AA2002" s="83" t="n"/>
      <c r="AB2002" s="83" t="n"/>
      <c r="AC2002" s="83" t="n"/>
      <c r="AD2002" s="83" t="n"/>
      <c r="AE2002" s="83" t="n"/>
      <c r="AF2002" s="83" t="n"/>
      <c r="AG2002" s="83" t="n"/>
      <c r="AH2002" s="83" t="n"/>
      <c r="AI2002" s="83" t="n"/>
      <c r="AJ2002" s="83" t="n"/>
      <c r="AK2002" s="83" t="n"/>
      <c r="AL2002" s="83" t="n"/>
      <c r="AM2002" s="83" t="n"/>
      <c r="AN2002" s="83" t="n"/>
      <c r="AO2002" s="83" t="n"/>
      <c r="AP2002" s="83" t="n"/>
      <c r="AQ2002" s="83" t="n"/>
      <c r="AR2002" s="83" t="n"/>
    </row>
    <row r="2003">
      <c r="D2003" s="84" t="n"/>
      <c r="E2003" s="84" t="n"/>
      <c r="F2003" s="84" t="n"/>
      <c r="G2003" s="84" t="n"/>
      <c r="H2003" s="84" t="n"/>
      <c r="I2003" s="84" t="n"/>
      <c r="J2003" s="84" t="n"/>
      <c r="K2003" s="84" t="n"/>
      <c r="L2003" s="84" t="n"/>
      <c r="M2003" s="84" t="n"/>
      <c r="N2003" s="84" t="n"/>
      <c r="O2003" s="84" t="n"/>
      <c r="P2003" s="84" t="n"/>
      <c r="Q2003" s="84" t="n"/>
      <c r="R2003" s="84" t="n"/>
      <c r="S2003" s="84" t="n"/>
      <c r="T2003" s="84" t="n"/>
      <c r="U2003" s="84" t="n"/>
      <c r="V2003" s="84" t="n"/>
      <c r="W2003" s="84" t="n"/>
      <c r="X2003" s="84" t="n"/>
      <c r="Y2003" s="84" t="n"/>
      <c r="Z2003" s="84" t="n"/>
      <c r="AA2003" s="84" t="n"/>
      <c r="AB2003" s="84" t="n"/>
      <c r="AC2003" s="84" t="n"/>
      <c r="AD2003" s="84" t="n"/>
      <c r="AE2003" s="84" t="n"/>
      <c r="AF2003" s="84" t="n"/>
      <c r="AG2003" s="84" t="n"/>
      <c r="AH2003" s="84" t="n"/>
      <c r="AI2003" s="84" t="n"/>
      <c r="AJ2003" s="84" t="n"/>
      <c r="AK2003" s="84" t="n"/>
      <c r="AL2003" s="84" t="n"/>
      <c r="AM2003" s="84" t="n"/>
      <c r="AN2003" s="84" t="n"/>
      <c r="AO2003" s="84" t="n"/>
      <c r="AP2003" s="84" t="n"/>
      <c r="AQ2003" s="84" t="n"/>
      <c r="AR2003" s="84" t="n"/>
    </row>
    <row r="2004">
      <c r="D2004" s="80" t="n"/>
      <c r="E2004" s="80" t="n"/>
      <c r="F2004" s="80" t="n"/>
      <c r="G2004" s="80" t="n"/>
      <c r="H2004" s="80" t="n"/>
      <c r="I2004" s="80" t="n"/>
      <c r="J2004" s="80" t="n"/>
      <c r="K2004" s="80" t="n"/>
      <c r="L2004" s="80" t="n"/>
      <c r="M2004" s="80" t="n"/>
      <c r="N2004" s="80" t="n"/>
      <c r="O2004" s="80" t="n"/>
      <c r="P2004" s="80" t="n"/>
      <c r="Q2004" s="80" t="n"/>
      <c r="R2004" s="80" t="n"/>
      <c r="S2004" s="80" t="n"/>
      <c r="T2004" s="80" t="n"/>
      <c r="U2004" s="80" t="n"/>
      <c r="V2004" s="80" t="n"/>
      <c r="W2004" s="80" t="n"/>
      <c r="X2004" s="80" t="n"/>
      <c r="Y2004" s="80" t="n"/>
      <c r="Z2004" s="80" t="n"/>
      <c r="AA2004" s="80" t="n"/>
      <c r="AB2004" s="80" t="n"/>
      <c r="AC2004" s="80" t="n"/>
      <c r="AD2004" s="80" t="n"/>
      <c r="AE2004" s="80" t="n"/>
      <c r="AF2004" s="80" t="n"/>
      <c r="AG2004" s="80" t="n"/>
      <c r="AH2004" s="80" t="n"/>
      <c r="AI2004" s="80" t="n"/>
      <c r="AJ2004" s="80" t="n"/>
      <c r="AK2004" s="80" t="n"/>
      <c r="AL2004" s="80" t="n"/>
      <c r="AM2004" s="80" t="n"/>
      <c r="AN2004" s="80" t="n"/>
      <c r="AO2004" s="80" t="n"/>
      <c r="AP2004" s="80" t="n"/>
      <c r="AQ2004" s="80" t="n"/>
      <c r="AR2004" s="80" t="n"/>
    </row>
    <row r="2005">
      <c r="D2005" s="80" t="n"/>
      <c r="E2005" s="80" t="n"/>
      <c r="F2005" s="80" t="n"/>
      <c r="G2005" s="80" t="n"/>
      <c r="H2005" s="80" t="n"/>
      <c r="I2005" s="80" t="n"/>
      <c r="J2005" s="80" t="n"/>
      <c r="K2005" s="80" t="n"/>
      <c r="L2005" s="80" t="n"/>
      <c r="M2005" s="80" t="n"/>
      <c r="N2005" s="80" t="n"/>
      <c r="O2005" s="80" t="n"/>
      <c r="P2005" s="80" t="n"/>
      <c r="Q2005" s="80" t="n"/>
      <c r="R2005" s="80" t="n"/>
      <c r="S2005" s="80" t="n"/>
      <c r="T2005" s="80" t="n"/>
      <c r="U2005" s="80" t="n"/>
      <c r="V2005" s="80" t="n"/>
      <c r="W2005" s="80" t="n"/>
      <c r="X2005" s="80" t="n"/>
      <c r="Y2005" s="80" t="n"/>
      <c r="Z2005" s="80" t="n"/>
      <c r="AA2005" s="80" t="n"/>
      <c r="AB2005" s="80" t="n"/>
      <c r="AC2005" s="80" t="n"/>
      <c r="AD2005" s="80" t="n"/>
      <c r="AE2005" s="80" t="n"/>
      <c r="AF2005" s="80" t="n"/>
      <c r="AG2005" s="80" t="n"/>
      <c r="AH2005" s="80" t="n"/>
      <c r="AI2005" s="80" t="n"/>
      <c r="AJ2005" s="80" t="n"/>
      <c r="AK2005" s="80" t="n"/>
      <c r="AL2005" s="80" t="n"/>
      <c r="AM2005" s="80" t="n"/>
      <c r="AN2005" s="80" t="n"/>
      <c r="AO2005" s="80" t="n"/>
      <c r="AP2005" s="80" t="n"/>
      <c r="AQ2005" s="80" t="n"/>
      <c r="AR2005" s="80" t="n"/>
    </row>
    <row r="2006">
      <c r="D2006" s="80" t="n"/>
      <c r="E2006" s="80" t="n"/>
      <c r="F2006" s="80" t="n"/>
      <c r="G2006" s="80" t="n"/>
      <c r="H2006" s="80" t="n"/>
      <c r="I2006" s="80" t="n"/>
      <c r="J2006" s="80" t="n"/>
      <c r="K2006" s="80" t="n"/>
      <c r="L2006" s="80" t="n"/>
      <c r="M2006" s="80" t="n"/>
      <c r="N2006" s="80" t="n"/>
      <c r="O2006" s="80" t="n"/>
      <c r="P2006" s="80" t="n"/>
      <c r="Q2006" s="80" t="n"/>
      <c r="R2006" s="80" t="n"/>
      <c r="S2006" s="80" t="n"/>
      <c r="T2006" s="80" t="n"/>
      <c r="U2006" s="80" t="n"/>
      <c r="V2006" s="80" t="n"/>
      <c r="W2006" s="80" t="n"/>
      <c r="X2006" s="80" t="n"/>
      <c r="Y2006" s="80" t="n"/>
      <c r="Z2006" s="80" t="n"/>
      <c r="AA2006" s="80" t="n"/>
      <c r="AB2006" s="80" t="n"/>
      <c r="AC2006" s="80" t="n"/>
      <c r="AD2006" s="80" t="n"/>
      <c r="AE2006" s="80" t="n"/>
      <c r="AF2006" s="80" t="n"/>
      <c r="AG2006" s="80" t="n"/>
      <c r="AH2006" s="80" t="n"/>
      <c r="AI2006" s="80" t="n"/>
      <c r="AJ2006" s="80" t="n"/>
      <c r="AK2006" s="80" t="n"/>
      <c r="AL2006" s="80" t="n"/>
      <c r="AM2006" s="80" t="n"/>
      <c r="AN2006" s="80" t="n"/>
      <c r="AO2006" s="80" t="n"/>
      <c r="AP2006" s="80" t="n"/>
      <c r="AQ2006" s="80" t="n"/>
      <c r="AR2006" s="80" t="n"/>
    </row>
    <row r="2007">
      <c r="D2007" s="80" t="n"/>
      <c r="E2007" s="80" t="n"/>
      <c r="F2007" s="80" t="n"/>
      <c r="G2007" s="80" t="n"/>
      <c r="H2007" s="80" t="n"/>
      <c r="I2007" s="80" t="n"/>
      <c r="J2007" s="80" t="n"/>
      <c r="K2007" s="80" t="n"/>
      <c r="L2007" s="80" t="n"/>
      <c r="M2007" s="80" t="n"/>
      <c r="N2007" s="80" t="n"/>
      <c r="O2007" s="80" t="n"/>
      <c r="P2007" s="80" t="n"/>
      <c r="Q2007" s="80" t="n"/>
      <c r="R2007" s="80" t="n"/>
      <c r="S2007" s="80" t="n"/>
      <c r="T2007" s="80" t="n"/>
      <c r="U2007" s="80" t="n"/>
      <c r="V2007" s="80" t="n"/>
      <c r="W2007" s="80" t="n"/>
      <c r="X2007" s="80" t="n"/>
      <c r="Y2007" s="80" t="n"/>
      <c r="Z2007" s="80" t="n"/>
      <c r="AA2007" s="80" t="n"/>
      <c r="AB2007" s="80" t="n"/>
      <c r="AC2007" s="80" t="n"/>
      <c r="AD2007" s="80" t="n"/>
      <c r="AE2007" s="80" t="n"/>
      <c r="AF2007" s="80" t="n"/>
      <c r="AG2007" s="80" t="n"/>
      <c r="AH2007" s="80" t="n"/>
      <c r="AI2007" s="80" t="n"/>
      <c r="AJ2007" s="80" t="n"/>
      <c r="AK2007" s="80" t="n"/>
      <c r="AL2007" s="80" t="n"/>
      <c r="AM2007" s="80" t="n"/>
      <c r="AN2007" s="80" t="n"/>
      <c r="AO2007" s="80" t="n"/>
      <c r="AP2007" s="80" t="n"/>
      <c r="AQ2007" s="80" t="n"/>
      <c r="AR2007" s="80" t="n"/>
    </row>
    <row r="2009">
      <c r="A2009" s="6">
        <f>IF(HSTECH!$C$40="","",HSTECH!$C$40)</f>
        <v/>
      </c>
      <c r="B2009" s="41">
        <f>IF($A2009="",0,COUNT($E2010:$AR2010))</f>
        <v/>
      </c>
      <c r="C2009" s="81">
        <f>IF($B2009=0,0,MAX($E2010:$AR2010))</f>
        <v/>
      </c>
      <c r="D2009" s="82">
        <f>BDS($A2009,'Field Check'!$C$7,"headers=y","startcol=1","endcol=7","dir=h","DVD_START_DT",Summary!$C$18,"DVD_END_DT",Summary!$D$18)</f>
        <v/>
      </c>
      <c r="E2009" s="83" t="n"/>
      <c r="F2009" s="83" t="n"/>
      <c r="G2009" s="83" t="n"/>
      <c r="H2009" s="83" t="n"/>
      <c r="I2009" s="83" t="n"/>
      <c r="J2009" s="83" t="n"/>
      <c r="K2009" s="83" t="n"/>
      <c r="L2009" s="83" t="n"/>
      <c r="M2009" s="83" t="n"/>
      <c r="N2009" s="83" t="n"/>
      <c r="O2009" s="83" t="n"/>
      <c r="P2009" s="83" t="n"/>
      <c r="Q2009" s="83" t="n"/>
      <c r="R2009" s="83" t="n"/>
      <c r="S2009" s="83" t="n"/>
      <c r="T2009" s="83" t="n"/>
      <c r="U2009" s="83" t="n"/>
      <c r="V2009" s="83" t="n"/>
      <c r="W2009" s="83" t="n"/>
      <c r="X2009" s="83" t="n"/>
      <c r="Y2009" s="83" t="n"/>
      <c r="Z2009" s="83" t="n"/>
      <c r="AA2009" s="83" t="n"/>
      <c r="AB2009" s="83" t="n"/>
      <c r="AC2009" s="83" t="n"/>
      <c r="AD2009" s="83" t="n"/>
      <c r="AE2009" s="83" t="n"/>
      <c r="AF2009" s="83" t="n"/>
      <c r="AG2009" s="83" t="n"/>
      <c r="AH2009" s="83" t="n"/>
      <c r="AI2009" s="83" t="n"/>
      <c r="AJ2009" s="83" t="n"/>
      <c r="AK2009" s="83" t="n"/>
      <c r="AL2009" s="83" t="n"/>
      <c r="AM2009" s="83" t="n"/>
      <c r="AN2009" s="83" t="n"/>
      <c r="AO2009" s="83" t="n"/>
      <c r="AP2009" s="83" t="n"/>
      <c r="AQ2009" s="83" t="n"/>
      <c r="AR2009" s="83" t="n"/>
    </row>
    <row r="2010">
      <c r="D2010" s="83" t="n"/>
      <c r="E2010" s="83" t="n"/>
      <c r="F2010" s="83" t="n"/>
      <c r="G2010" s="83" t="n"/>
      <c r="H2010" s="83" t="n"/>
      <c r="I2010" s="83" t="n"/>
      <c r="J2010" s="83" t="n"/>
      <c r="K2010" s="83" t="n"/>
      <c r="L2010" s="83" t="n"/>
      <c r="M2010" s="83" t="n"/>
      <c r="N2010" s="83" t="n"/>
      <c r="O2010" s="83" t="n"/>
      <c r="P2010" s="83" t="n"/>
      <c r="Q2010" s="83" t="n"/>
      <c r="R2010" s="83" t="n"/>
      <c r="S2010" s="83" t="n"/>
      <c r="T2010" s="83" t="n"/>
      <c r="U2010" s="83" t="n"/>
      <c r="V2010" s="83" t="n"/>
      <c r="W2010" s="83" t="n"/>
      <c r="X2010" s="83" t="n"/>
      <c r="Y2010" s="83" t="n"/>
      <c r="Z2010" s="83" t="n"/>
      <c r="AA2010" s="83" t="n"/>
      <c r="AB2010" s="83" t="n"/>
      <c r="AC2010" s="83" t="n"/>
      <c r="AD2010" s="83" t="n"/>
      <c r="AE2010" s="83" t="n"/>
      <c r="AF2010" s="83" t="n"/>
      <c r="AG2010" s="83" t="n"/>
      <c r="AH2010" s="83" t="n"/>
      <c r="AI2010" s="83" t="n"/>
      <c r="AJ2010" s="83" t="n"/>
      <c r="AK2010" s="83" t="n"/>
      <c r="AL2010" s="83" t="n"/>
      <c r="AM2010" s="83" t="n"/>
      <c r="AN2010" s="83" t="n"/>
      <c r="AO2010" s="83" t="n"/>
      <c r="AP2010" s="83" t="n"/>
      <c r="AQ2010" s="83" t="n"/>
      <c r="AR2010" s="83" t="n"/>
    </row>
    <row r="2011">
      <c r="D2011" s="84" t="n"/>
      <c r="E2011" s="84" t="n"/>
      <c r="F2011" s="84" t="n"/>
      <c r="G2011" s="84" t="n"/>
      <c r="H2011" s="84" t="n"/>
      <c r="I2011" s="84" t="n"/>
      <c r="J2011" s="84" t="n"/>
      <c r="K2011" s="84" t="n"/>
      <c r="L2011" s="84" t="n"/>
      <c r="M2011" s="84" t="n"/>
      <c r="N2011" s="84" t="n"/>
      <c r="O2011" s="84" t="n"/>
      <c r="P2011" s="84" t="n"/>
      <c r="Q2011" s="84" t="n"/>
      <c r="R2011" s="84" t="n"/>
      <c r="S2011" s="84" t="n"/>
      <c r="T2011" s="84" t="n"/>
      <c r="U2011" s="84" t="n"/>
      <c r="V2011" s="84" t="n"/>
      <c r="W2011" s="84" t="n"/>
      <c r="X2011" s="84" t="n"/>
      <c r="Y2011" s="84" t="n"/>
      <c r="Z2011" s="84" t="n"/>
      <c r="AA2011" s="84" t="n"/>
      <c r="AB2011" s="84" t="n"/>
      <c r="AC2011" s="84" t="n"/>
      <c r="AD2011" s="84" t="n"/>
      <c r="AE2011" s="84" t="n"/>
      <c r="AF2011" s="84" t="n"/>
      <c r="AG2011" s="84" t="n"/>
      <c r="AH2011" s="84" t="n"/>
      <c r="AI2011" s="84" t="n"/>
      <c r="AJ2011" s="84" t="n"/>
      <c r="AK2011" s="84" t="n"/>
      <c r="AL2011" s="84" t="n"/>
      <c r="AM2011" s="84" t="n"/>
      <c r="AN2011" s="84" t="n"/>
      <c r="AO2011" s="84" t="n"/>
      <c r="AP2011" s="84" t="n"/>
      <c r="AQ2011" s="84" t="n"/>
      <c r="AR2011" s="84" t="n"/>
    </row>
    <row r="2012">
      <c r="D2012" s="80" t="n"/>
      <c r="E2012" s="80" t="n"/>
      <c r="F2012" s="80" t="n"/>
      <c r="G2012" s="80" t="n"/>
      <c r="H2012" s="80" t="n"/>
      <c r="I2012" s="80" t="n"/>
      <c r="J2012" s="80" t="n"/>
      <c r="K2012" s="80" t="n"/>
      <c r="L2012" s="80" t="n"/>
      <c r="M2012" s="80" t="n"/>
      <c r="N2012" s="80" t="n"/>
      <c r="O2012" s="80" t="n"/>
      <c r="P2012" s="80" t="n"/>
      <c r="Q2012" s="80" t="n"/>
      <c r="R2012" s="80" t="n"/>
      <c r="S2012" s="80" t="n"/>
      <c r="T2012" s="80" t="n"/>
      <c r="U2012" s="80" t="n"/>
      <c r="V2012" s="80" t="n"/>
      <c r="W2012" s="80" t="n"/>
      <c r="X2012" s="80" t="n"/>
      <c r="Y2012" s="80" t="n"/>
      <c r="Z2012" s="80" t="n"/>
      <c r="AA2012" s="80" t="n"/>
      <c r="AB2012" s="80" t="n"/>
      <c r="AC2012" s="80" t="n"/>
      <c r="AD2012" s="80" t="n"/>
      <c r="AE2012" s="80" t="n"/>
      <c r="AF2012" s="80" t="n"/>
      <c r="AG2012" s="80" t="n"/>
      <c r="AH2012" s="80" t="n"/>
      <c r="AI2012" s="80" t="n"/>
      <c r="AJ2012" s="80" t="n"/>
      <c r="AK2012" s="80" t="n"/>
      <c r="AL2012" s="80" t="n"/>
      <c r="AM2012" s="80" t="n"/>
      <c r="AN2012" s="80" t="n"/>
      <c r="AO2012" s="80" t="n"/>
      <c r="AP2012" s="80" t="n"/>
      <c r="AQ2012" s="80" t="n"/>
      <c r="AR2012" s="80" t="n"/>
    </row>
    <row r="2013">
      <c r="D2013" s="80" t="n"/>
      <c r="E2013" s="80" t="n"/>
      <c r="F2013" s="80" t="n"/>
      <c r="G2013" s="80" t="n"/>
      <c r="H2013" s="80" t="n"/>
      <c r="I2013" s="80" t="n"/>
      <c r="J2013" s="80" t="n"/>
      <c r="K2013" s="80" t="n"/>
      <c r="L2013" s="80" t="n"/>
      <c r="M2013" s="80" t="n"/>
      <c r="N2013" s="80" t="n"/>
      <c r="O2013" s="80" t="n"/>
      <c r="P2013" s="80" t="n"/>
      <c r="Q2013" s="80" t="n"/>
      <c r="R2013" s="80" t="n"/>
      <c r="S2013" s="80" t="n"/>
      <c r="T2013" s="80" t="n"/>
      <c r="U2013" s="80" t="n"/>
      <c r="V2013" s="80" t="n"/>
      <c r="W2013" s="80" t="n"/>
      <c r="X2013" s="80" t="n"/>
      <c r="Y2013" s="80" t="n"/>
      <c r="Z2013" s="80" t="n"/>
      <c r="AA2013" s="80" t="n"/>
      <c r="AB2013" s="80" t="n"/>
      <c r="AC2013" s="80" t="n"/>
      <c r="AD2013" s="80" t="n"/>
      <c r="AE2013" s="80" t="n"/>
      <c r="AF2013" s="80" t="n"/>
      <c r="AG2013" s="80" t="n"/>
      <c r="AH2013" s="80" t="n"/>
      <c r="AI2013" s="80" t="n"/>
      <c r="AJ2013" s="80" t="n"/>
      <c r="AK2013" s="80" t="n"/>
      <c r="AL2013" s="80" t="n"/>
      <c r="AM2013" s="80" t="n"/>
      <c r="AN2013" s="80" t="n"/>
      <c r="AO2013" s="80" t="n"/>
      <c r="AP2013" s="80" t="n"/>
      <c r="AQ2013" s="80" t="n"/>
      <c r="AR2013" s="80" t="n"/>
    </row>
    <row r="2014">
      <c r="D2014" s="80" t="n"/>
      <c r="E2014" s="80" t="n"/>
      <c r="F2014" s="80" t="n"/>
      <c r="G2014" s="80" t="n"/>
      <c r="H2014" s="80" t="n"/>
      <c r="I2014" s="80" t="n"/>
      <c r="J2014" s="80" t="n"/>
      <c r="K2014" s="80" t="n"/>
      <c r="L2014" s="80" t="n"/>
      <c r="M2014" s="80" t="n"/>
      <c r="N2014" s="80" t="n"/>
      <c r="O2014" s="80" t="n"/>
      <c r="P2014" s="80" t="n"/>
      <c r="Q2014" s="80" t="n"/>
      <c r="R2014" s="80" t="n"/>
      <c r="S2014" s="80" t="n"/>
      <c r="T2014" s="80" t="n"/>
      <c r="U2014" s="80" t="n"/>
      <c r="V2014" s="80" t="n"/>
      <c r="W2014" s="80" t="n"/>
      <c r="X2014" s="80" t="n"/>
      <c r="Y2014" s="80" t="n"/>
      <c r="Z2014" s="80" t="n"/>
      <c r="AA2014" s="80" t="n"/>
      <c r="AB2014" s="80" t="n"/>
      <c r="AC2014" s="80" t="n"/>
      <c r="AD2014" s="80" t="n"/>
      <c r="AE2014" s="80" t="n"/>
      <c r="AF2014" s="80" t="n"/>
      <c r="AG2014" s="80" t="n"/>
      <c r="AH2014" s="80" t="n"/>
      <c r="AI2014" s="80" t="n"/>
      <c r="AJ2014" s="80" t="n"/>
      <c r="AK2014" s="80" t="n"/>
      <c r="AL2014" s="80" t="n"/>
      <c r="AM2014" s="80" t="n"/>
      <c r="AN2014" s="80" t="n"/>
      <c r="AO2014" s="80" t="n"/>
      <c r="AP2014" s="80" t="n"/>
      <c r="AQ2014" s="80" t="n"/>
      <c r="AR2014" s="80" t="n"/>
    </row>
    <row r="2015">
      <c r="D2015" s="80" t="n"/>
      <c r="E2015" s="80" t="n"/>
      <c r="F2015" s="80" t="n"/>
      <c r="G2015" s="80" t="n"/>
      <c r="H2015" s="80" t="n"/>
      <c r="I2015" s="80" t="n"/>
      <c r="J2015" s="80" t="n"/>
      <c r="K2015" s="80" t="n"/>
      <c r="L2015" s="80" t="n"/>
      <c r="M2015" s="80" t="n"/>
      <c r="N2015" s="80" t="n"/>
      <c r="O2015" s="80" t="n"/>
      <c r="P2015" s="80" t="n"/>
      <c r="Q2015" s="80" t="n"/>
      <c r="R2015" s="80" t="n"/>
      <c r="S2015" s="80" t="n"/>
      <c r="T2015" s="80" t="n"/>
      <c r="U2015" s="80" t="n"/>
      <c r="V2015" s="80" t="n"/>
      <c r="W2015" s="80" t="n"/>
      <c r="X2015" s="80" t="n"/>
      <c r="Y2015" s="80" t="n"/>
      <c r="Z2015" s="80" t="n"/>
      <c r="AA2015" s="80" t="n"/>
      <c r="AB2015" s="80" t="n"/>
      <c r="AC2015" s="80" t="n"/>
      <c r="AD2015" s="80" t="n"/>
      <c r="AE2015" s="80" t="n"/>
      <c r="AF2015" s="80" t="n"/>
      <c r="AG2015" s="80" t="n"/>
      <c r="AH2015" s="80" t="n"/>
      <c r="AI2015" s="80" t="n"/>
      <c r="AJ2015" s="80" t="n"/>
      <c r="AK2015" s="80" t="n"/>
      <c r="AL2015" s="80" t="n"/>
      <c r="AM2015" s="80" t="n"/>
      <c r="AN2015" s="80" t="n"/>
      <c r="AO2015" s="80" t="n"/>
      <c r="AP2015" s="80" t="n"/>
      <c r="AQ2015" s="80" t="n"/>
      <c r="AR2015" s="80" t="n"/>
    </row>
    <row r="2016">
      <c r="A2016" s="2">
        <f>IF($A2009="","","   projections")</f>
        <v/>
      </c>
      <c r="B2016" s="41">
        <f>IF($A2009="",0,COUNT($E2017:$AR2017))</f>
        <v/>
      </c>
      <c r="C2016" s="81">
        <f>IF($B2016=0,0,MAX($E2017:$AR2017))</f>
        <v/>
      </c>
      <c r="D2016" s="82">
        <f>BDS($A2009,'Field Check'!$C$6,"headers=y","startcol=1","endcol=7","dir=h")</f>
        <v/>
      </c>
      <c r="E2016" s="83" t="n"/>
      <c r="F2016" s="83" t="n"/>
      <c r="G2016" s="83" t="n"/>
      <c r="H2016" s="83" t="n"/>
      <c r="I2016" s="83" t="n"/>
      <c r="J2016" s="83" t="n"/>
      <c r="K2016" s="83" t="n"/>
      <c r="L2016" s="83" t="n"/>
      <c r="M2016" s="83" t="n"/>
      <c r="N2016" s="83" t="n"/>
      <c r="O2016" s="83" t="n"/>
      <c r="P2016" s="83" t="n"/>
      <c r="Q2016" s="83" t="n"/>
      <c r="R2016" s="83" t="n"/>
      <c r="S2016" s="83" t="n"/>
      <c r="T2016" s="83" t="n"/>
      <c r="U2016" s="83" t="n"/>
      <c r="V2016" s="83" t="n"/>
      <c r="W2016" s="83" t="n"/>
      <c r="X2016" s="83" t="n"/>
      <c r="Y2016" s="83" t="n"/>
      <c r="Z2016" s="83" t="n"/>
      <c r="AA2016" s="83" t="n"/>
      <c r="AB2016" s="83" t="n"/>
      <c r="AC2016" s="83" t="n"/>
      <c r="AD2016" s="83" t="n"/>
      <c r="AE2016" s="83" t="n"/>
      <c r="AF2016" s="83" t="n"/>
      <c r="AG2016" s="83" t="n"/>
      <c r="AH2016" s="83" t="n"/>
      <c r="AI2016" s="83" t="n"/>
      <c r="AJ2016" s="83" t="n"/>
      <c r="AK2016" s="83" t="n"/>
      <c r="AL2016" s="83" t="n"/>
      <c r="AM2016" s="83" t="n"/>
      <c r="AN2016" s="83" t="n"/>
      <c r="AO2016" s="83" t="n"/>
      <c r="AP2016" s="83" t="n"/>
      <c r="AQ2016" s="83" t="n"/>
      <c r="AR2016" s="83" t="n"/>
    </row>
    <row r="2017">
      <c r="D2017" s="83" t="n"/>
      <c r="E2017" s="83" t="n"/>
      <c r="F2017" s="83" t="n"/>
      <c r="G2017" s="83" t="n"/>
      <c r="H2017" s="83" t="n"/>
      <c r="I2017" s="83" t="n"/>
      <c r="J2017" s="83" t="n"/>
      <c r="K2017" s="83" t="n"/>
      <c r="L2017" s="83" t="n"/>
      <c r="M2017" s="83" t="n"/>
      <c r="N2017" s="83" t="n"/>
      <c r="O2017" s="83" t="n"/>
      <c r="P2017" s="83" t="n"/>
      <c r="Q2017" s="83" t="n"/>
      <c r="R2017" s="83" t="n"/>
      <c r="S2017" s="83" t="n"/>
      <c r="T2017" s="83" t="n"/>
      <c r="U2017" s="83" t="n"/>
      <c r="V2017" s="83" t="n"/>
      <c r="W2017" s="83" t="n"/>
      <c r="X2017" s="83" t="n"/>
      <c r="Y2017" s="83" t="n"/>
      <c r="Z2017" s="83" t="n"/>
      <c r="AA2017" s="83" t="n"/>
      <c r="AB2017" s="83" t="n"/>
      <c r="AC2017" s="83" t="n"/>
      <c r="AD2017" s="83" t="n"/>
      <c r="AE2017" s="83" t="n"/>
      <c r="AF2017" s="83" t="n"/>
      <c r="AG2017" s="83" t="n"/>
      <c r="AH2017" s="83" t="n"/>
      <c r="AI2017" s="83" t="n"/>
      <c r="AJ2017" s="83" t="n"/>
      <c r="AK2017" s="83" t="n"/>
      <c r="AL2017" s="83" t="n"/>
      <c r="AM2017" s="83" t="n"/>
      <c r="AN2017" s="83" t="n"/>
      <c r="AO2017" s="83" t="n"/>
      <c r="AP2017" s="83" t="n"/>
      <c r="AQ2017" s="83" t="n"/>
      <c r="AR2017" s="83" t="n"/>
    </row>
    <row r="2018">
      <c r="D2018" s="84" t="n"/>
      <c r="E2018" s="84" t="n"/>
      <c r="F2018" s="84" t="n"/>
      <c r="G2018" s="84" t="n"/>
      <c r="H2018" s="84" t="n"/>
      <c r="I2018" s="84" t="n"/>
      <c r="J2018" s="84" t="n"/>
      <c r="K2018" s="84" t="n"/>
      <c r="L2018" s="84" t="n"/>
      <c r="M2018" s="84" t="n"/>
      <c r="N2018" s="84" t="n"/>
      <c r="O2018" s="84" t="n"/>
      <c r="P2018" s="84" t="n"/>
      <c r="Q2018" s="84" t="n"/>
      <c r="R2018" s="84" t="n"/>
      <c r="S2018" s="84" t="n"/>
      <c r="T2018" s="84" t="n"/>
      <c r="U2018" s="84" t="n"/>
      <c r="V2018" s="84" t="n"/>
      <c r="W2018" s="84" t="n"/>
      <c r="X2018" s="84" t="n"/>
      <c r="Y2018" s="84" t="n"/>
      <c r="Z2018" s="84" t="n"/>
      <c r="AA2018" s="84" t="n"/>
      <c r="AB2018" s="84" t="n"/>
      <c r="AC2018" s="84" t="n"/>
      <c r="AD2018" s="84" t="n"/>
      <c r="AE2018" s="84" t="n"/>
      <c r="AF2018" s="84" t="n"/>
      <c r="AG2018" s="84" t="n"/>
      <c r="AH2018" s="84" t="n"/>
      <c r="AI2018" s="84" t="n"/>
      <c r="AJ2018" s="84" t="n"/>
      <c r="AK2018" s="84" t="n"/>
      <c r="AL2018" s="84" t="n"/>
      <c r="AM2018" s="84" t="n"/>
      <c r="AN2018" s="84" t="n"/>
      <c r="AO2018" s="84" t="n"/>
      <c r="AP2018" s="84" t="n"/>
      <c r="AQ2018" s="84" t="n"/>
      <c r="AR2018" s="84" t="n"/>
    </row>
    <row r="2019">
      <c r="D2019" s="80" t="n"/>
      <c r="E2019" s="80" t="n"/>
      <c r="F2019" s="80" t="n"/>
      <c r="G2019" s="80" t="n"/>
      <c r="H2019" s="80" t="n"/>
      <c r="I2019" s="80" t="n"/>
      <c r="J2019" s="80" t="n"/>
      <c r="K2019" s="80" t="n"/>
      <c r="L2019" s="80" t="n"/>
      <c r="M2019" s="80" t="n"/>
      <c r="N2019" s="80" t="n"/>
      <c r="O2019" s="80" t="n"/>
      <c r="P2019" s="80" t="n"/>
      <c r="Q2019" s="80" t="n"/>
      <c r="R2019" s="80" t="n"/>
      <c r="S2019" s="80" t="n"/>
      <c r="T2019" s="80" t="n"/>
      <c r="U2019" s="80" t="n"/>
      <c r="V2019" s="80" t="n"/>
      <c r="W2019" s="80" t="n"/>
      <c r="X2019" s="80" t="n"/>
      <c r="Y2019" s="80" t="n"/>
      <c r="Z2019" s="80" t="n"/>
      <c r="AA2019" s="80" t="n"/>
      <c r="AB2019" s="80" t="n"/>
      <c r="AC2019" s="80" t="n"/>
      <c r="AD2019" s="80" t="n"/>
      <c r="AE2019" s="80" t="n"/>
      <c r="AF2019" s="80" t="n"/>
      <c r="AG2019" s="80" t="n"/>
      <c r="AH2019" s="80" t="n"/>
      <c r="AI2019" s="80" t="n"/>
      <c r="AJ2019" s="80" t="n"/>
      <c r="AK2019" s="80" t="n"/>
      <c r="AL2019" s="80" t="n"/>
      <c r="AM2019" s="80" t="n"/>
      <c r="AN2019" s="80" t="n"/>
      <c r="AO2019" s="80" t="n"/>
      <c r="AP2019" s="80" t="n"/>
      <c r="AQ2019" s="80" t="n"/>
      <c r="AR2019" s="80" t="n"/>
    </row>
    <row r="2020">
      <c r="D2020" s="80" t="n"/>
      <c r="E2020" s="80" t="n"/>
      <c r="F2020" s="80" t="n"/>
      <c r="G2020" s="80" t="n"/>
      <c r="H2020" s="80" t="n"/>
      <c r="I2020" s="80" t="n"/>
      <c r="J2020" s="80" t="n"/>
      <c r="K2020" s="80" t="n"/>
      <c r="L2020" s="80" t="n"/>
      <c r="M2020" s="80" t="n"/>
      <c r="N2020" s="80" t="n"/>
      <c r="O2020" s="80" t="n"/>
      <c r="P2020" s="80" t="n"/>
      <c r="Q2020" s="80" t="n"/>
      <c r="R2020" s="80" t="n"/>
      <c r="S2020" s="80" t="n"/>
      <c r="T2020" s="80" t="n"/>
      <c r="U2020" s="80" t="n"/>
      <c r="V2020" s="80" t="n"/>
      <c r="W2020" s="80" t="n"/>
      <c r="X2020" s="80" t="n"/>
      <c r="Y2020" s="80" t="n"/>
      <c r="Z2020" s="80" t="n"/>
      <c r="AA2020" s="80" t="n"/>
      <c r="AB2020" s="80" t="n"/>
      <c r="AC2020" s="80" t="n"/>
      <c r="AD2020" s="80" t="n"/>
      <c r="AE2020" s="80" t="n"/>
      <c r="AF2020" s="80" t="n"/>
      <c r="AG2020" s="80" t="n"/>
      <c r="AH2020" s="80" t="n"/>
      <c r="AI2020" s="80" t="n"/>
      <c r="AJ2020" s="80" t="n"/>
      <c r="AK2020" s="80" t="n"/>
      <c r="AL2020" s="80" t="n"/>
      <c r="AM2020" s="80" t="n"/>
      <c r="AN2020" s="80" t="n"/>
      <c r="AO2020" s="80" t="n"/>
      <c r="AP2020" s="80" t="n"/>
      <c r="AQ2020" s="80" t="n"/>
      <c r="AR2020" s="80" t="n"/>
    </row>
    <row r="2021">
      <c r="D2021" s="80" t="n"/>
      <c r="E2021" s="80" t="n"/>
      <c r="F2021" s="80" t="n"/>
      <c r="G2021" s="80" t="n"/>
      <c r="H2021" s="80" t="n"/>
      <c r="I2021" s="80" t="n"/>
      <c r="J2021" s="80" t="n"/>
      <c r="K2021" s="80" t="n"/>
      <c r="L2021" s="80" t="n"/>
      <c r="M2021" s="80" t="n"/>
      <c r="N2021" s="80" t="n"/>
      <c r="O2021" s="80" t="n"/>
      <c r="P2021" s="80" t="n"/>
      <c r="Q2021" s="80" t="n"/>
      <c r="R2021" s="80" t="n"/>
      <c r="S2021" s="80" t="n"/>
      <c r="T2021" s="80" t="n"/>
      <c r="U2021" s="80" t="n"/>
      <c r="V2021" s="80" t="n"/>
      <c r="W2021" s="80" t="n"/>
      <c r="X2021" s="80" t="n"/>
      <c r="Y2021" s="80" t="n"/>
      <c r="Z2021" s="80" t="n"/>
      <c r="AA2021" s="80" t="n"/>
      <c r="AB2021" s="80" t="n"/>
      <c r="AC2021" s="80" t="n"/>
      <c r="AD2021" s="80" t="n"/>
      <c r="AE2021" s="80" t="n"/>
      <c r="AF2021" s="80" t="n"/>
      <c r="AG2021" s="80" t="n"/>
      <c r="AH2021" s="80" t="n"/>
      <c r="AI2021" s="80" t="n"/>
      <c r="AJ2021" s="80" t="n"/>
      <c r="AK2021" s="80" t="n"/>
      <c r="AL2021" s="80" t="n"/>
      <c r="AM2021" s="80" t="n"/>
      <c r="AN2021" s="80" t="n"/>
      <c r="AO2021" s="80" t="n"/>
      <c r="AP2021" s="80" t="n"/>
      <c r="AQ2021" s="80" t="n"/>
      <c r="AR2021" s="80" t="n"/>
    </row>
    <row r="2022">
      <c r="D2022" s="80" t="n"/>
      <c r="E2022" s="80" t="n"/>
      <c r="F2022" s="80" t="n"/>
      <c r="G2022" s="80" t="n"/>
      <c r="H2022" s="80" t="n"/>
      <c r="I2022" s="80" t="n"/>
      <c r="J2022" s="80" t="n"/>
      <c r="K2022" s="80" t="n"/>
      <c r="L2022" s="80" t="n"/>
      <c r="M2022" s="80" t="n"/>
      <c r="N2022" s="80" t="n"/>
      <c r="O2022" s="80" t="n"/>
      <c r="P2022" s="80" t="n"/>
      <c r="Q2022" s="80" t="n"/>
      <c r="R2022" s="80" t="n"/>
      <c r="S2022" s="80" t="n"/>
      <c r="T2022" s="80" t="n"/>
      <c r="U2022" s="80" t="n"/>
      <c r="V2022" s="80" t="n"/>
      <c r="W2022" s="80" t="n"/>
      <c r="X2022" s="80" t="n"/>
      <c r="Y2022" s="80" t="n"/>
      <c r="Z2022" s="80" t="n"/>
      <c r="AA2022" s="80" t="n"/>
      <c r="AB2022" s="80" t="n"/>
      <c r="AC2022" s="80" t="n"/>
      <c r="AD2022" s="80" t="n"/>
      <c r="AE2022" s="80" t="n"/>
      <c r="AF2022" s="80" t="n"/>
      <c r="AG2022" s="80" t="n"/>
      <c r="AH2022" s="80" t="n"/>
      <c r="AI2022" s="80" t="n"/>
      <c r="AJ2022" s="80" t="n"/>
      <c r="AK2022" s="80" t="n"/>
      <c r="AL2022" s="80" t="n"/>
      <c r="AM2022" s="80" t="n"/>
      <c r="AN2022" s="80" t="n"/>
      <c r="AO2022" s="80" t="n"/>
      <c r="AP2022" s="80" t="n"/>
      <c r="AQ2022" s="80" t="n"/>
      <c r="AR2022" s="80" t="n"/>
    </row>
    <row r="2024">
      <c r="A2024" s="6">
        <f>IF(HSTECH!$C$41="","",HSTECH!$C$41)</f>
        <v/>
      </c>
      <c r="B2024" s="41">
        <f>IF($A2024="",0,COUNT($E2025:$AR2025))</f>
        <v/>
      </c>
      <c r="C2024" s="81">
        <f>IF($B2024=0,0,MAX($E2025:$AR2025))</f>
        <v/>
      </c>
      <c r="D2024" s="82">
        <f>BDS($A2024,'Field Check'!$C$7,"headers=y","startcol=1","endcol=7","dir=h","DVD_START_DT",Summary!$C$18,"DVD_END_DT",Summary!$D$18)</f>
        <v/>
      </c>
      <c r="E2024" s="83" t="n"/>
      <c r="F2024" s="83" t="n"/>
      <c r="G2024" s="83" t="n"/>
      <c r="H2024" s="83" t="n"/>
      <c r="I2024" s="83" t="n"/>
      <c r="J2024" s="83" t="n"/>
      <c r="K2024" s="83" t="n"/>
      <c r="L2024" s="83" t="n"/>
      <c r="M2024" s="83" t="n"/>
      <c r="N2024" s="83" t="n"/>
      <c r="O2024" s="83" t="n"/>
      <c r="P2024" s="83" t="n"/>
      <c r="Q2024" s="83" t="n"/>
      <c r="R2024" s="83" t="n"/>
      <c r="S2024" s="83" t="n"/>
      <c r="T2024" s="83" t="n"/>
      <c r="U2024" s="83" t="n"/>
      <c r="V2024" s="83" t="n"/>
      <c r="W2024" s="83" t="n"/>
      <c r="X2024" s="83" t="n"/>
      <c r="Y2024" s="83" t="n"/>
      <c r="Z2024" s="83" t="n"/>
      <c r="AA2024" s="83" t="n"/>
      <c r="AB2024" s="83" t="n"/>
      <c r="AC2024" s="83" t="n"/>
      <c r="AD2024" s="83" t="n"/>
      <c r="AE2024" s="83" t="n"/>
      <c r="AF2024" s="83" t="n"/>
      <c r="AG2024" s="83" t="n"/>
      <c r="AH2024" s="83" t="n"/>
      <c r="AI2024" s="83" t="n"/>
      <c r="AJ2024" s="83" t="n"/>
      <c r="AK2024" s="83" t="n"/>
      <c r="AL2024" s="83" t="n"/>
      <c r="AM2024" s="83" t="n"/>
      <c r="AN2024" s="83" t="n"/>
      <c r="AO2024" s="83" t="n"/>
      <c r="AP2024" s="83" t="n"/>
      <c r="AQ2024" s="83" t="n"/>
      <c r="AR2024" s="83" t="n"/>
    </row>
    <row r="2025">
      <c r="D2025" s="83" t="n"/>
      <c r="E2025" s="83" t="n"/>
      <c r="F2025" s="83" t="n"/>
      <c r="G2025" s="83" t="n"/>
      <c r="H2025" s="83" t="n"/>
      <c r="I2025" s="83" t="n"/>
      <c r="J2025" s="83" t="n"/>
      <c r="K2025" s="83" t="n"/>
      <c r="L2025" s="83" t="n"/>
      <c r="M2025" s="83" t="n"/>
      <c r="N2025" s="83" t="n"/>
      <c r="O2025" s="83" t="n"/>
      <c r="P2025" s="83" t="n"/>
      <c r="Q2025" s="83" t="n"/>
      <c r="R2025" s="83" t="n"/>
      <c r="S2025" s="83" t="n"/>
      <c r="T2025" s="83" t="n"/>
      <c r="U2025" s="83" t="n"/>
      <c r="V2025" s="83" t="n"/>
      <c r="W2025" s="83" t="n"/>
      <c r="X2025" s="83" t="n"/>
      <c r="Y2025" s="83" t="n"/>
      <c r="Z2025" s="83" t="n"/>
      <c r="AA2025" s="83" t="n"/>
      <c r="AB2025" s="83" t="n"/>
      <c r="AC2025" s="83" t="n"/>
      <c r="AD2025" s="83" t="n"/>
      <c r="AE2025" s="83" t="n"/>
      <c r="AF2025" s="83" t="n"/>
      <c r="AG2025" s="83" t="n"/>
      <c r="AH2025" s="83" t="n"/>
      <c r="AI2025" s="83" t="n"/>
      <c r="AJ2025" s="83" t="n"/>
      <c r="AK2025" s="83" t="n"/>
      <c r="AL2025" s="83" t="n"/>
      <c r="AM2025" s="83" t="n"/>
      <c r="AN2025" s="83" t="n"/>
      <c r="AO2025" s="83" t="n"/>
      <c r="AP2025" s="83" t="n"/>
      <c r="AQ2025" s="83" t="n"/>
      <c r="AR2025" s="83" t="n"/>
    </row>
    <row r="2026">
      <c r="D2026" s="84" t="n"/>
      <c r="E2026" s="84" t="n"/>
      <c r="F2026" s="84" t="n"/>
      <c r="G2026" s="84" t="n"/>
      <c r="H2026" s="84" t="n"/>
      <c r="I2026" s="84" t="n"/>
      <c r="J2026" s="84" t="n"/>
      <c r="K2026" s="84" t="n"/>
      <c r="L2026" s="84" t="n"/>
      <c r="M2026" s="84" t="n"/>
      <c r="N2026" s="84" t="n"/>
      <c r="O2026" s="84" t="n"/>
      <c r="P2026" s="84" t="n"/>
      <c r="Q2026" s="84" t="n"/>
      <c r="R2026" s="84" t="n"/>
      <c r="S2026" s="84" t="n"/>
      <c r="T2026" s="84" t="n"/>
      <c r="U2026" s="84" t="n"/>
      <c r="V2026" s="84" t="n"/>
      <c r="W2026" s="84" t="n"/>
      <c r="X2026" s="84" t="n"/>
      <c r="Y2026" s="84" t="n"/>
      <c r="Z2026" s="84" t="n"/>
      <c r="AA2026" s="84" t="n"/>
      <c r="AB2026" s="84" t="n"/>
      <c r="AC2026" s="84" t="n"/>
      <c r="AD2026" s="84" t="n"/>
      <c r="AE2026" s="84" t="n"/>
      <c r="AF2026" s="84" t="n"/>
      <c r="AG2026" s="84" t="n"/>
      <c r="AH2026" s="84" t="n"/>
      <c r="AI2026" s="84" t="n"/>
      <c r="AJ2026" s="84" t="n"/>
      <c r="AK2026" s="84" t="n"/>
      <c r="AL2026" s="84" t="n"/>
      <c r="AM2026" s="84" t="n"/>
      <c r="AN2026" s="84" t="n"/>
      <c r="AO2026" s="84" t="n"/>
      <c r="AP2026" s="84" t="n"/>
      <c r="AQ2026" s="84" t="n"/>
      <c r="AR2026" s="84" t="n"/>
    </row>
    <row r="2027">
      <c r="D2027" s="80" t="n"/>
      <c r="E2027" s="80" t="n"/>
      <c r="F2027" s="80" t="n"/>
      <c r="G2027" s="80" t="n"/>
      <c r="H2027" s="80" t="n"/>
      <c r="I2027" s="80" t="n"/>
      <c r="J2027" s="80" t="n"/>
      <c r="K2027" s="80" t="n"/>
      <c r="L2027" s="80" t="n"/>
      <c r="M2027" s="80" t="n"/>
      <c r="N2027" s="80" t="n"/>
      <c r="O2027" s="80" t="n"/>
      <c r="P2027" s="80" t="n"/>
      <c r="Q2027" s="80" t="n"/>
      <c r="R2027" s="80" t="n"/>
      <c r="S2027" s="80" t="n"/>
      <c r="T2027" s="80" t="n"/>
      <c r="U2027" s="80" t="n"/>
      <c r="V2027" s="80" t="n"/>
      <c r="W2027" s="80" t="n"/>
      <c r="X2027" s="80" t="n"/>
      <c r="Y2027" s="80" t="n"/>
      <c r="Z2027" s="80" t="n"/>
      <c r="AA2027" s="80" t="n"/>
      <c r="AB2027" s="80" t="n"/>
      <c r="AC2027" s="80" t="n"/>
      <c r="AD2027" s="80" t="n"/>
      <c r="AE2027" s="80" t="n"/>
      <c r="AF2027" s="80" t="n"/>
      <c r="AG2027" s="80" t="n"/>
      <c r="AH2027" s="80" t="n"/>
      <c r="AI2027" s="80" t="n"/>
      <c r="AJ2027" s="80" t="n"/>
      <c r="AK2027" s="80" t="n"/>
      <c r="AL2027" s="80" t="n"/>
      <c r="AM2027" s="80" t="n"/>
      <c r="AN2027" s="80" t="n"/>
      <c r="AO2027" s="80" t="n"/>
      <c r="AP2027" s="80" t="n"/>
      <c r="AQ2027" s="80" t="n"/>
      <c r="AR2027" s="80" t="n"/>
    </row>
    <row r="2028">
      <c r="D2028" s="80" t="n"/>
      <c r="E2028" s="80" t="n"/>
      <c r="F2028" s="80" t="n"/>
      <c r="G2028" s="80" t="n"/>
      <c r="H2028" s="80" t="n"/>
      <c r="I2028" s="80" t="n"/>
      <c r="J2028" s="80" t="n"/>
      <c r="K2028" s="80" t="n"/>
      <c r="L2028" s="80" t="n"/>
      <c r="M2028" s="80" t="n"/>
      <c r="N2028" s="80" t="n"/>
      <c r="O2028" s="80" t="n"/>
      <c r="P2028" s="80" t="n"/>
      <c r="Q2028" s="80" t="n"/>
      <c r="R2028" s="80" t="n"/>
      <c r="S2028" s="80" t="n"/>
      <c r="T2028" s="80" t="n"/>
      <c r="U2028" s="80" t="n"/>
      <c r="V2028" s="80" t="n"/>
      <c r="W2028" s="80" t="n"/>
      <c r="X2028" s="80" t="n"/>
      <c r="Y2028" s="80" t="n"/>
      <c r="Z2028" s="80" t="n"/>
      <c r="AA2028" s="80" t="n"/>
      <c r="AB2028" s="80" t="n"/>
      <c r="AC2028" s="80" t="n"/>
      <c r="AD2028" s="80" t="n"/>
      <c r="AE2028" s="80" t="n"/>
      <c r="AF2028" s="80" t="n"/>
      <c r="AG2028" s="80" t="n"/>
      <c r="AH2028" s="80" t="n"/>
      <c r="AI2028" s="80" t="n"/>
      <c r="AJ2028" s="80" t="n"/>
      <c r="AK2028" s="80" t="n"/>
      <c r="AL2028" s="80" t="n"/>
      <c r="AM2028" s="80" t="n"/>
      <c r="AN2028" s="80" t="n"/>
      <c r="AO2028" s="80" t="n"/>
      <c r="AP2028" s="80" t="n"/>
      <c r="AQ2028" s="80" t="n"/>
      <c r="AR2028" s="80" t="n"/>
    </row>
    <row r="2029">
      <c r="D2029" s="80" t="n"/>
      <c r="E2029" s="80" t="n"/>
      <c r="F2029" s="80" t="n"/>
      <c r="G2029" s="80" t="n"/>
      <c r="H2029" s="80" t="n"/>
      <c r="I2029" s="80" t="n"/>
      <c r="J2029" s="80" t="n"/>
      <c r="K2029" s="80" t="n"/>
      <c r="L2029" s="80" t="n"/>
      <c r="M2029" s="80" t="n"/>
      <c r="N2029" s="80" t="n"/>
      <c r="O2029" s="80" t="n"/>
      <c r="P2029" s="80" t="n"/>
      <c r="Q2029" s="80" t="n"/>
      <c r="R2029" s="80" t="n"/>
      <c r="S2029" s="80" t="n"/>
      <c r="T2029" s="80" t="n"/>
      <c r="U2029" s="80" t="n"/>
      <c r="V2029" s="80" t="n"/>
      <c r="W2029" s="80" t="n"/>
      <c r="X2029" s="80" t="n"/>
      <c r="Y2029" s="80" t="n"/>
      <c r="Z2029" s="80" t="n"/>
      <c r="AA2029" s="80" t="n"/>
      <c r="AB2029" s="80" t="n"/>
      <c r="AC2029" s="80" t="n"/>
      <c r="AD2029" s="80" t="n"/>
      <c r="AE2029" s="80" t="n"/>
      <c r="AF2029" s="80" t="n"/>
      <c r="AG2029" s="80" t="n"/>
      <c r="AH2029" s="80" t="n"/>
      <c r="AI2029" s="80" t="n"/>
      <c r="AJ2029" s="80" t="n"/>
      <c r="AK2029" s="80" t="n"/>
      <c r="AL2029" s="80" t="n"/>
      <c r="AM2029" s="80" t="n"/>
      <c r="AN2029" s="80" t="n"/>
      <c r="AO2029" s="80" t="n"/>
      <c r="AP2029" s="80" t="n"/>
      <c r="AQ2029" s="80" t="n"/>
      <c r="AR2029" s="80" t="n"/>
    </row>
    <row r="2030">
      <c r="D2030" s="80" t="n"/>
      <c r="E2030" s="80" t="n"/>
      <c r="F2030" s="80" t="n"/>
      <c r="G2030" s="80" t="n"/>
      <c r="H2030" s="80" t="n"/>
      <c r="I2030" s="80" t="n"/>
      <c r="J2030" s="80" t="n"/>
      <c r="K2030" s="80" t="n"/>
      <c r="L2030" s="80" t="n"/>
      <c r="M2030" s="80" t="n"/>
      <c r="N2030" s="80" t="n"/>
      <c r="O2030" s="80" t="n"/>
      <c r="P2030" s="80" t="n"/>
      <c r="Q2030" s="80" t="n"/>
      <c r="R2030" s="80" t="n"/>
      <c r="S2030" s="80" t="n"/>
      <c r="T2030" s="80" t="n"/>
      <c r="U2030" s="80" t="n"/>
      <c r="V2030" s="80" t="n"/>
      <c r="W2030" s="80" t="n"/>
      <c r="X2030" s="80" t="n"/>
      <c r="Y2030" s="80" t="n"/>
      <c r="Z2030" s="80" t="n"/>
      <c r="AA2030" s="80" t="n"/>
      <c r="AB2030" s="80" t="n"/>
      <c r="AC2030" s="80" t="n"/>
      <c r="AD2030" s="80" t="n"/>
      <c r="AE2030" s="80" t="n"/>
      <c r="AF2030" s="80" t="n"/>
      <c r="AG2030" s="80" t="n"/>
      <c r="AH2030" s="80" t="n"/>
      <c r="AI2030" s="80" t="n"/>
      <c r="AJ2030" s="80" t="n"/>
      <c r="AK2030" s="80" t="n"/>
      <c r="AL2030" s="80" t="n"/>
      <c r="AM2030" s="80" t="n"/>
      <c r="AN2030" s="80" t="n"/>
      <c r="AO2030" s="80" t="n"/>
      <c r="AP2030" s="80" t="n"/>
      <c r="AQ2030" s="80" t="n"/>
      <c r="AR2030" s="80" t="n"/>
    </row>
    <row r="2031">
      <c r="A2031" s="2">
        <f>IF($A2024="","","   projections")</f>
        <v/>
      </c>
      <c r="B2031" s="41">
        <f>IF($A2024="",0,COUNT($E2032:$AR2032))</f>
        <v/>
      </c>
      <c r="C2031" s="81">
        <f>IF($B2031=0,0,MAX($E2032:$AR2032))</f>
        <v/>
      </c>
      <c r="D2031" s="82">
        <f>BDS($A2024,'Field Check'!$C$6,"headers=y","startcol=1","endcol=7","dir=h")</f>
        <v/>
      </c>
      <c r="E2031" s="83" t="n"/>
      <c r="F2031" s="83" t="n"/>
      <c r="G2031" s="83" t="n"/>
      <c r="H2031" s="83" t="n"/>
      <c r="I2031" s="83" t="n"/>
      <c r="J2031" s="83" t="n"/>
      <c r="K2031" s="83" t="n"/>
      <c r="L2031" s="83" t="n"/>
      <c r="M2031" s="83" t="n"/>
      <c r="N2031" s="83" t="n"/>
      <c r="O2031" s="83" t="n"/>
      <c r="P2031" s="83" t="n"/>
      <c r="Q2031" s="83" t="n"/>
      <c r="R2031" s="83" t="n"/>
      <c r="S2031" s="83" t="n"/>
      <c r="T2031" s="83" t="n"/>
      <c r="U2031" s="83" t="n"/>
      <c r="V2031" s="83" t="n"/>
      <c r="W2031" s="83" t="n"/>
      <c r="X2031" s="83" t="n"/>
      <c r="Y2031" s="83" t="n"/>
      <c r="Z2031" s="83" t="n"/>
      <c r="AA2031" s="83" t="n"/>
      <c r="AB2031" s="83" t="n"/>
      <c r="AC2031" s="83" t="n"/>
      <c r="AD2031" s="83" t="n"/>
      <c r="AE2031" s="83" t="n"/>
      <c r="AF2031" s="83" t="n"/>
      <c r="AG2031" s="83" t="n"/>
      <c r="AH2031" s="83" t="n"/>
      <c r="AI2031" s="83" t="n"/>
      <c r="AJ2031" s="83" t="n"/>
      <c r="AK2031" s="83" t="n"/>
      <c r="AL2031" s="83" t="n"/>
      <c r="AM2031" s="83" t="n"/>
      <c r="AN2031" s="83" t="n"/>
      <c r="AO2031" s="83" t="n"/>
      <c r="AP2031" s="83" t="n"/>
      <c r="AQ2031" s="83" t="n"/>
      <c r="AR2031" s="83" t="n"/>
    </row>
    <row r="2032">
      <c r="D2032" s="83" t="n"/>
      <c r="E2032" s="83" t="n"/>
      <c r="F2032" s="83" t="n"/>
      <c r="G2032" s="83" t="n"/>
      <c r="H2032" s="83" t="n"/>
      <c r="I2032" s="83" t="n"/>
      <c r="J2032" s="83" t="n"/>
      <c r="K2032" s="83" t="n"/>
      <c r="L2032" s="83" t="n"/>
      <c r="M2032" s="83" t="n"/>
      <c r="N2032" s="83" t="n"/>
      <c r="O2032" s="83" t="n"/>
      <c r="P2032" s="83" t="n"/>
      <c r="Q2032" s="83" t="n"/>
      <c r="R2032" s="83" t="n"/>
      <c r="S2032" s="83" t="n"/>
      <c r="T2032" s="83" t="n"/>
      <c r="U2032" s="83" t="n"/>
      <c r="V2032" s="83" t="n"/>
      <c r="W2032" s="83" t="n"/>
      <c r="X2032" s="83" t="n"/>
      <c r="Y2032" s="83" t="n"/>
      <c r="Z2032" s="83" t="n"/>
      <c r="AA2032" s="83" t="n"/>
      <c r="AB2032" s="83" t="n"/>
      <c r="AC2032" s="83" t="n"/>
      <c r="AD2032" s="83" t="n"/>
      <c r="AE2032" s="83" t="n"/>
      <c r="AF2032" s="83" t="n"/>
      <c r="AG2032" s="83" t="n"/>
      <c r="AH2032" s="83" t="n"/>
      <c r="AI2032" s="83" t="n"/>
      <c r="AJ2032" s="83" t="n"/>
      <c r="AK2032" s="83" t="n"/>
      <c r="AL2032" s="83" t="n"/>
      <c r="AM2032" s="83" t="n"/>
      <c r="AN2032" s="83" t="n"/>
      <c r="AO2032" s="83" t="n"/>
      <c r="AP2032" s="83" t="n"/>
      <c r="AQ2032" s="83" t="n"/>
      <c r="AR2032" s="83" t="n"/>
    </row>
    <row r="2033">
      <c r="D2033" s="84" t="n"/>
      <c r="E2033" s="84" t="n"/>
      <c r="F2033" s="84" t="n"/>
      <c r="G2033" s="84" t="n"/>
      <c r="H2033" s="84" t="n"/>
      <c r="I2033" s="84" t="n"/>
      <c r="J2033" s="84" t="n"/>
      <c r="K2033" s="84" t="n"/>
      <c r="L2033" s="84" t="n"/>
      <c r="M2033" s="84" t="n"/>
      <c r="N2033" s="84" t="n"/>
      <c r="O2033" s="84" t="n"/>
      <c r="P2033" s="84" t="n"/>
      <c r="Q2033" s="84" t="n"/>
      <c r="R2033" s="84" t="n"/>
      <c r="S2033" s="84" t="n"/>
      <c r="T2033" s="84" t="n"/>
      <c r="U2033" s="84" t="n"/>
      <c r="V2033" s="84" t="n"/>
      <c r="W2033" s="84" t="n"/>
      <c r="X2033" s="84" t="n"/>
      <c r="Y2033" s="84" t="n"/>
      <c r="Z2033" s="84" t="n"/>
      <c r="AA2033" s="84" t="n"/>
      <c r="AB2033" s="84" t="n"/>
      <c r="AC2033" s="84" t="n"/>
      <c r="AD2033" s="84" t="n"/>
      <c r="AE2033" s="84" t="n"/>
      <c r="AF2033" s="84" t="n"/>
      <c r="AG2033" s="84" t="n"/>
      <c r="AH2033" s="84" t="n"/>
      <c r="AI2033" s="84" t="n"/>
      <c r="AJ2033" s="84" t="n"/>
      <c r="AK2033" s="84" t="n"/>
      <c r="AL2033" s="84" t="n"/>
      <c r="AM2033" s="84" t="n"/>
      <c r="AN2033" s="84" t="n"/>
      <c r="AO2033" s="84" t="n"/>
      <c r="AP2033" s="84" t="n"/>
      <c r="AQ2033" s="84" t="n"/>
      <c r="AR2033" s="84" t="n"/>
    </row>
    <row r="2034">
      <c r="D2034" s="80" t="n"/>
      <c r="E2034" s="80" t="n"/>
      <c r="F2034" s="80" t="n"/>
      <c r="G2034" s="80" t="n"/>
      <c r="H2034" s="80" t="n"/>
      <c r="I2034" s="80" t="n"/>
      <c r="J2034" s="80" t="n"/>
      <c r="K2034" s="80" t="n"/>
      <c r="L2034" s="80" t="n"/>
      <c r="M2034" s="80" t="n"/>
      <c r="N2034" s="80" t="n"/>
      <c r="O2034" s="80" t="n"/>
      <c r="P2034" s="80" t="n"/>
      <c r="Q2034" s="80" t="n"/>
      <c r="R2034" s="80" t="n"/>
      <c r="S2034" s="80" t="n"/>
      <c r="T2034" s="80" t="n"/>
      <c r="U2034" s="80" t="n"/>
      <c r="V2034" s="80" t="n"/>
      <c r="W2034" s="80" t="n"/>
      <c r="X2034" s="80" t="n"/>
      <c r="Y2034" s="80" t="n"/>
      <c r="Z2034" s="80" t="n"/>
      <c r="AA2034" s="80" t="n"/>
      <c r="AB2034" s="80" t="n"/>
      <c r="AC2034" s="80" t="n"/>
      <c r="AD2034" s="80" t="n"/>
      <c r="AE2034" s="80" t="n"/>
      <c r="AF2034" s="80" t="n"/>
      <c r="AG2034" s="80" t="n"/>
      <c r="AH2034" s="80" t="n"/>
      <c r="AI2034" s="80" t="n"/>
      <c r="AJ2034" s="80" t="n"/>
      <c r="AK2034" s="80" t="n"/>
      <c r="AL2034" s="80" t="n"/>
      <c r="AM2034" s="80" t="n"/>
      <c r="AN2034" s="80" t="n"/>
      <c r="AO2034" s="80" t="n"/>
      <c r="AP2034" s="80" t="n"/>
      <c r="AQ2034" s="80" t="n"/>
      <c r="AR2034" s="80" t="n"/>
    </row>
    <row r="2035">
      <c r="D2035" s="80" t="n"/>
      <c r="E2035" s="80" t="n"/>
      <c r="F2035" s="80" t="n"/>
      <c r="G2035" s="80" t="n"/>
      <c r="H2035" s="80" t="n"/>
      <c r="I2035" s="80" t="n"/>
      <c r="J2035" s="80" t="n"/>
      <c r="K2035" s="80" t="n"/>
      <c r="L2035" s="80" t="n"/>
      <c r="M2035" s="80" t="n"/>
      <c r="N2035" s="80" t="n"/>
      <c r="O2035" s="80" t="n"/>
      <c r="P2035" s="80" t="n"/>
      <c r="Q2035" s="80" t="n"/>
      <c r="R2035" s="80" t="n"/>
      <c r="S2035" s="80" t="n"/>
      <c r="T2035" s="80" t="n"/>
      <c r="U2035" s="80" t="n"/>
      <c r="V2035" s="80" t="n"/>
      <c r="W2035" s="80" t="n"/>
      <c r="X2035" s="80" t="n"/>
      <c r="Y2035" s="80" t="n"/>
      <c r="Z2035" s="80" t="n"/>
      <c r="AA2035" s="80" t="n"/>
      <c r="AB2035" s="80" t="n"/>
      <c r="AC2035" s="80" t="n"/>
      <c r="AD2035" s="80" t="n"/>
      <c r="AE2035" s="80" t="n"/>
      <c r="AF2035" s="80" t="n"/>
      <c r="AG2035" s="80" t="n"/>
      <c r="AH2035" s="80" t="n"/>
      <c r="AI2035" s="80" t="n"/>
      <c r="AJ2035" s="80" t="n"/>
      <c r="AK2035" s="80" t="n"/>
      <c r="AL2035" s="80" t="n"/>
      <c r="AM2035" s="80" t="n"/>
      <c r="AN2035" s="80" t="n"/>
      <c r="AO2035" s="80" t="n"/>
      <c r="AP2035" s="80" t="n"/>
      <c r="AQ2035" s="80" t="n"/>
      <c r="AR2035" s="80" t="n"/>
    </row>
    <row r="2036">
      <c r="D2036" s="80" t="n"/>
      <c r="E2036" s="80" t="n"/>
      <c r="F2036" s="80" t="n"/>
      <c r="G2036" s="80" t="n"/>
      <c r="H2036" s="80" t="n"/>
      <c r="I2036" s="80" t="n"/>
      <c r="J2036" s="80" t="n"/>
      <c r="K2036" s="80" t="n"/>
      <c r="L2036" s="80" t="n"/>
      <c r="M2036" s="80" t="n"/>
      <c r="N2036" s="80" t="n"/>
      <c r="O2036" s="80" t="n"/>
      <c r="P2036" s="80" t="n"/>
      <c r="Q2036" s="80" t="n"/>
      <c r="R2036" s="80" t="n"/>
      <c r="S2036" s="80" t="n"/>
      <c r="T2036" s="80" t="n"/>
      <c r="U2036" s="80" t="n"/>
      <c r="V2036" s="80" t="n"/>
      <c r="W2036" s="80" t="n"/>
      <c r="X2036" s="80" t="n"/>
      <c r="Y2036" s="80" t="n"/>
      <c r="Z2036" s="80" t="n"/>
      <c r="AA2036" s="80" t="n"/>
      <c r="AB2036" s="80" t="n"/>
      <c r="AC2036" s="80" t="n"/>
      <c r="AD2036" s="80" t="n"/>
      <c r="AE2036" s="80" t="n"/>
      <c r="AF2036" s="80" t="n"/>
      <c r="AG2036" s="80" t="n"/>
      <c r="AH2036" s="80" t="n"/>
      <c r="AI2036" s="80" t="n"/>
      <c r="AJ2036" s="80" t="n"/>
      <c r="AK2036" s="80" t="n"/>
      <c r="AL2036" s="80" t="n"/>
      <c r="AM2036" s="80" t="n"/>
      <c r="AN2036" s="80" t="n"/>
      <c r="AO2036" s="80" t="n"/>
      <c r="AP2036" s="80" t="n"/>
      <c r="AQ2036" s="80" t="n"/>
      <c r="AR2036" s="80" t="n"/>
    </row>
    <row r="2037">
      <c r="D2037" s="80" t="n"/>
      <c r="E2037" s="80" t="n"/>
      <c r="F2037" s="80" t="n"/>
      <c r="G2037" s="80" t="n"/>
      <c r="H2037" s="80" t="n"/>
      <c r="I2037" s="80" t="n"/>
      <c r="J2037" s="80" t="n"/>
      <c r="K2037" s="80" t="n"/>
      <c r="L2037" s="80" t="n"/>
      <c r="M2037" s="80" t="n"/>
      <c r="N2037" s="80" t="n"/>
      <c r="O2037" s="80" t="n"/>
      <c r="P2037" s="80" t="n"/>
      <c r="Q2037" s="80" t="n"/>
      <c r="R2037" s="80" t="n"/>
      <c r="S2037" s="80" t="n"/>
      <c r="T2037" s="80" t="n"/>
      <c r="U2037" s="80" t="n"/>
      <c r="V2037" s="80" t="n"/>
      <c r="W2037" s="80" t="n"/>
      <c r="X2037" s="80" t="n"/>
      <c r="Y2037" s="80" t="n"/>
      <c r="Z2037" s="80" t="n"/>
      <c r="AA2037" s="80" t="n"/>
      <c r="AB2037" s="80" t="n"/>
      <c r="AC2037" s="80" t="n"/>
      <c r="AD2037" s="80" t="n"/>
      <c r="AE2037" s="80" t="n"/>
      <c r="AF2037" s="80" t="n"/>
      <c r="AG2037" s="80" t="n"/>
      <c r="AH2037" s="80" t="n"/>
      <c r="AI2037" s="80" t="n"/>
      <c r="AJ2037" s="80" t="n"/>
      <c r="AK2037" s="80" t="n"/>
      <c r="AL2037" s="80" t="n"/>
      <c r="AM2037" s="80" t="n"/>
      <c r="AN2037" s="80" t="n"/>
      <c r="AO2037" s="80" t="n"/>
      <c r="AP2037" s="80" t="n"/>
      <c r="AQ2037" s="80" t="n"/>
      <c r="AR2037" s="80" t="n"/>
    </row>
    <row r="2039">
      <c r="A2039" s="6">
        <f>IF(HSTECH!$C$42="","",HSTECH!$C$42)</f>
        <v/>
      </c>
      <c r="B2039" s="41">
        <f>IF($A2039="",0,COUNT($E2040:$AR2040))</f>
        <v/>
      </c>
      <c r="C2039" s="81">
        <f>IF($B2039=0,0,MAX($E2040:$AR2040))</f>
        <v/>
      </c>
      <c r="D2039" s="82">
        <f>BDS($A2039,'Field Check'!$C$7,"headers=y","startcol=1","endcol=7","dir=h","DVD_START_DT",Summary!$C$18,"DVD_END_DT",Summary!$D$18)</f>
        <v/>
      </c>
      <c r="E2039" s="83" t="n"/>
      <c r="F2039" s="83" t="n"/>
      <c r="G2039" s="83" t="n"/>
      <c r="H2039" s="83" t="n"/>
      <c r="I2039" s="83" t="n"/>
      <c r="J2039" s="83" t="n"/>
      <c r="K2039" s="83" t="n"/>
      <c r="L2039" s="83" t="n"/>
      <c r="M2039" s="83" t="n"/>
      <c r="N2039" s="83" t="n"/>
      <c r="O2039" s="83" t="n"/>
      <c r="P2039" s="83" t="n"/>
      <c r="Q2039" s="83" t="n"/>
      <c r="R2039" s="83" t="n"/>
      <c r="S2039" s="83" t="n"/>
      <c r="T2039" s="83" t="n"/>
      <c r="U2039" s="83" t="n"/>
      <c r="V2039" s="83" t="n"/>
      <c r="W2039" s="83" t="n"/>
      <c r="X2039" s="83" t="n"/>
      <c r="Y2039" s="83" t="n"/>
      <c r="Z2039" s="83" t="n"/>
      <c r="AA2039" s="83" t="n"/>
      <c r="AB2039" s="83" t="n"/>
      <c r="AC2039" s="83" t="n"/>
      <c r="AD2039" s="83" t="n"/>
      <c r="AE2039" s="83" t="n"/>
      <c r="AF2039" s="83" t="n"/>
      <c r="AG2039" s="83" t="n"/>
      <c r="AH2039" s="83" t="n"/>
      <c r="AI2039" s="83" t="n"/>
      <c r="AJ2039" s="83" t="n"/>
      <c r="AK2039" s="83" t="n"/>
      <c r="AL2039" s="83" t="n"/>
      <c r="AM2039" s="83" t="n"/>
      <c r="AN2039" s="83" t="n"/>
      <c r="AO2039" s="83" t="n"/>
      <c r="AP2039" s="83" t="n"/>
      <c r="AQ2039" s="83" t="n"/>
      <c r="AR2039" s="83" t="n"/>
    </row>
    <row r="2040">
      <c r="D2040" s="83" t="n"/>
      <c r="E2040" s="83" t="n"/>
      <c r="F2040" s="83" t="n"/>
      <c r="G2040" s="83" t="n"/>
      <c r="H2040" s="83" t="n"/>
      <c r="I2040" s="83" t="n"/>
      <c r="J2040" s="83" t="n"/>
      <c r="K2040" s="83" t="n"/>
      <c r="L2040" s="83" t="n"/>
      <c r="M2040" s="83" t="n"/>
      <c r="N2040" s="83" t="n"/>
      <c r="O2040" s="83" t="n"/>
      <c r="P2040" s="83" t="n"/>
      <c r="Q2040" s="83" t="n"/>
      <c r="R2040" s="83" t="n"/>
      <c r="S2040" s="83" t="n"/>
      <c r="T2040" s="83" t="n"/>
      <c r="U2040" s="83" t="n"/>
      <c r="V2040" s="83" t="n"/>
      <c r="W2040" s="83" t="n"/>
      <c r="X2040" s="83" t="n"/>
      <c r="Y2040" s="83" t="n"/>
      <c r="Z2040" s="83" t="n"/>
      <c r="AA2040" s="83" t="n"/>
      <c r="AB2040" s="83" t="n"/>
      <c r="AC2040" s="83" t="n"/>
      <c r="AD2040" s="83" t="n"/>
      <c r="AE2040" s="83" t="n"/>
      <c r="AF2040" s="83" t="n"/>
      <c r="AG2040" s="83" t="n"/>
      <c r="AH2040" s="83" t="n"/>
      <c r="AI2040" s="83" t="n"/>
      <c r="AJ2040" s="83" t="n"/>
      <c r="AK2040" s="83" t="n"/>
      <c r="AL2040" s="83" t="n"/>
      <c r="AM2040" s="83" t="n"/>
      <c r="AN2040" s="83" t="n"/>
      <c r="AO2040" s="83" t="n"/>
      <c r="AP2040" s="83" t="n"/>
      <c r="AQ2040" s="83" t="n"/>
      <c r="AR2040" s="83" t="n"/>
    </row>
    <row r="2041">
      <c r="D2041" s="84" t="n"/>
      <c r="E2041" s="84" t="n"/>
      <c r="F2041" s="84" t="n"/>
      <c r="G2041" s="84" t="n"/>
      <c r="H2041" s="84" t="n"/>
      <c r="I2041" s="84" t="n"/>
      <c r="J2041" s="84" t="n"/>
      <c r="K2041" s="84" t="n"/>
      <c r="L2041" s="84" t="n"/>
      <c r="M2041" s="84" t="n"/>
      <c r="N2041" s="84" t="n"/>
      <c r="O2041" s="84" t="n"/>
      <c r="P2041" s="84" t="n"/>
      <c r="Q2041" s="84" t="n"/>
      <c r="R2041" s="84" t="n"/>
      <c r="S2041" s="84" t="n"/>
      <c r="T2041" s="84" t="n"/>
      <c r="U2041" s="84" t="n"/>
      <c r="V2041" s="84" t="n"/>
      <c r="W2041" s="84" t="n"/>
      <c r="X2041" s="84" t="n"/>
      <c r="Y2041" s="84" t="n"/>
      <c r="Z2041" s="84" t="n"/>
      <c r="AA2041" s="84" t="n"/>
      <c r="AB2041" s="84" t="n"/>
      <c r="AC2041" s="84" t="n"/>
      <c r="AD2041" s="84" t="n"/>
      <c r="AE2041" s="84" t="n"/>
      <c r="AF2041" s="84" t="n"/>
      <c r="AG2041" s="84" t="n"/>
      <c r="AH2041" s="84" t="n"/>
      <c r="AI2041" s="84" t="n"/>
      <c r="AJ2041" s="84" t="n"/>
      <c r="AK2041" s="84" t="n"/>
      <c r="AL2041" s="84" t="n"/>
      <c r="AM2041" s="84" t="n"/>
      <c r="AN2041" s="84" t="n"/>
      <c r="AO2041" s="84" t="n"/>
      <c r="AP2041" s="84" t="n"/>
      <c r="AQ2041" s="84" t="n"/>
      <c r="AR2041" s="84" t="n"/>
    </row>
    <row r="2042">
      <c r="D2042" s="80" t="n"/>
      <c r="E2042" s="80" t="n"/>
      <c r="F2042" s="80" t="n"/>
      <c r="G2042" s="80" t="n"/>
      <c r="H2042" s="80" t="n"/>
      <c r="I2042" s="80" t="n"/>
      <c r="J2042" s="80" t="n"/>
      <c r="K2042" s="80" t="n"/>
      <c r="L2042" s="80" t="n"/>
      <c r="M2042" s="80" t="n"/>
      <c r="N2042" s="80" t="n"/>
      <c r="O2042" s="80" t="n"/>
      <c r="P2042" s="80" t="n"/>
      <c r="Q2042" s="80" t="n"/>
      <c r="R2042" s="80" t="n"/>
      <c r="S2042" s="80" t="n"/>
      <c r="T2042" s="80" t="n"/>
      <c r="U2042" s="80" t="n"/>
      <c r="V2042" s="80" t="n"/>
      <c r="W2042" s="80" t="n"/>
      <c r="X2042" s="80" t="n"/>
      <c r="Y2042" s="80" t="n"/>
      <c r="Z2042" s="80" t="n"/>
      <c r="AA2042" s="80" t="n"/>
      <c r="AB2042" s="80" t="n"/>
      <c r="AC2042" s="80" t="n"/>
      <c r="AD2042" s="80" t="n"/>
      <c r="AE2042" s="80" t="n"/>
      <c r="AF2042" s="80" t="n"/>
      <c r="AG2042" s="80" t="n"/>
      <c r="AH2042" s="80" t="n"/>
      <c r="AI2042" s="80" t="n"/>
      <c r="AJ2042" s="80" t="n"/>
      <c r="AK2042" s="80" t="n"/>
      <c r="AL2042" s="80" t="n"/>
      <c r="AM2042" s="80" t="n"/>
      <c r="AN2042" s="80" t="n"/>
      <c r="AO2042" s="80" t="n"/>
      <c r="AP2042" s="80" t="n"/>
      <c r="AQ2042" s="80" t="n"/>
      <c r="AR2042" s="80" t="n"/>
    </row>
    <row r="2043">
      <c r="D2043" s="80" t="n"/>
      <c r="E2043" s="80" t="n"/>
      <c r="F2043" s="80" t="n"/>
      <c r="G2043" s="80" t="n"/>
      <c r="H2043" s="80" t="n"/>
      <c r="I2043" s="80" t="n"/>
      <c r="J2043" s="80" t="n"/>
      <c r="K2043" s="80" t="n"/>
      <c r="L2043" s="80" t="n"/>
      <c r="M2043" s="80" t="n"/>
      <c r="N2043" s="80" t="n"/>
      <c r="O2043" s="80" t="n"/>
      <c r="P2043" s="80" t="n"/>
      <c r="Q2043" s="80" t="n"/>
      <c r="R2043" s="80" t="n"/>
      <c r="S2043" s="80" t="n"/>
      <c r="T2043" s="80" t="n"/>
      <c r="U2043" s="80" t="n"/>
      <c r="V2043" s="80" t="n"/>
      <c r="W2043" s="80" t="n"/>
      <c r="X2043" s="80" t="n"/>
      <c r="Y2043" s="80" t="n"/>
      <c r="Z2043" s="80" t="n"/>
      <c r="AA2043" s="80" t="n"/>
      <c r="AB2043" s="80" t="n"/>
      <c r="AC2043" s="80" t="n"/>
      <c r="AD2043" s="80" t="n"/>
      <c r="AE2043" s="80" t="n"/>
      <c r="AF2043" s="80" t="n"/>
      <c r="AG2043" s="80" t="n"/>
      <c r="AH2043" s="80" t="n"/>
      <c r="AI2043" s="80" t="n"/>
      <c r="AJ2043" s="80" t="n"/>
      <c r="AK2043" s="80" t="n"/>
      <c r="AL2043" s="80" t="n"/>
      <c r="AM2043" s="80" t="n"/>
      <c r="AN2043" s="80" t="n"/>
      <c r="AO2043" s="80" t="n"/>
      <c r="AP2043" s="80" t="n"/>
      <c r="AQ2043" s="80" t="n"/>
      <c r="AR2043" s="80" t="n"/>
    </row>
    <row r="2044">
      <c r="D2044" s="80" t="n"/>
      <c r="E2044" s="80" t="n"/>
      <c r="F2044" s="80" t="n"/>
      <c r="G2044" s="80" t="n"/>
      <c r="H2044" s="80" t="n"/>
      <c r="I2044" s="80" t="n"/>
      <c r="J2044" s="80" t="n"/>
      <c r="K2044" s="80" t="n"/>
      <c r="L2044" s="80" t="n"/>
      <c r="M2044" s="80" t="n"/>
      <c r="N2044" s="80" t="n"/>
      <c r="O2044" s="80" t="n"/>
      <c r="P2044" s="80" t="n"/>
      <c r="Q2044" s="80" t="n"/>
      <c r="R2044" s="80" t="n"/>
      <c r="S2044" s="80" t="n"/>
      <c r="T2044" s="80" t="n"/>
      <c r="U2044" s="80" t="n"/>
      <c r="V2044" s="80" t="n"/>
      <c r="W2044" s="80" t="n"/>
      <c r="X2044" s="80" t="n"/>
      <c r="Y2044" s="80" t="n"/>
      <c r="Z2044" s="80" t="n"/>
      <c r="AA2044" s="80" t="n"/>
      <c r="AB2044" s="80" t="n"/>
      <c r="AC2044" s="80" t="n"/>
      <c r="AD2044" s="80" t="n"/>
      <c r="AE2044" s="80" t="n"/>
      <c r="AF2044" s="80" t="n"/>
      <c r="AG2044" s="80" t="n"/>
      <c r="AH2044" s="80" t="n"/>
      <c r="AI2044" s="80" t="n"/>
      <c r="AJ2044" s="80" t="n"/>
      <c r="AK2044" s="80" t="n"/>
      <c r="AL2044" s="80" t="n"/>
      <c r="AM2044" s="80" t="n"/>
      <c r="AN2044" s="80" t="n"/>
      <c r="AO2044" s="80" t="n"/>
      <c r="AP2044" s="80" t="n"/>
      <c r="AQ2044" s="80" t="n"/>
      <c r="AR2044" s="80" t="n"/>
    </row>
    <row r="2045">
      <c r="D2045" s="80" t="n"/>
      <c r="E2045" s="80" t="n"/>
      <c r="F2045" s="80" t="n"/>
      <c r="G2045" s="80" t="n"/>
      <c r="H2045" s="80" t="n"/>
      <c r="I2045" s="80" t="n"/>
      <c r="J2045" s="80" t="n"/>
      <c r="K2045" s="80" t="n"/>
      <c r="L2045" s="80" t="n"/>
      <c r="M2045" s="80" t="n"/>
      <c r="N2045" s="80" t="n"/>
      <c r="O2045" s="80" t="n"/>
      <c r="P2045" s="80" t="n"/>
      <c r="Q2045" s="80" t="n"/>
      <c r="R2045" s="80" t="n"/>
      <c r="S2045" s="80" t="n"/>
      <c r="T2045" s="80" t="n"/>
      <c r="U2045" s="80" t="n"/>
      <c r="V2045" s="80" t="n"/>
      <c r="W2045" s="80" t="n"/>
      <c r="X2045" s="80" t="n"/>
      <c r="Y2045" s="80" t="n"/>
      <c r="Z2045" s="80" t="n"/>
      <c r="AA2045" s="80" t="n"/>
      <c r="AB2045" s="80" t="n"/>
      <c r="AC2045" s="80" t="n"/>
      <c r="AD2045" s="80" t="n"/>
      <c r="AE2045" s="80" t="n"/>
      <c r="AF2045" s="80" t="n"/>
      <c r="AG2045" s="80" t="n"/>
      <c r="AH2045" s="80" t="n"/>
      <c r="AI2045" s="80" t="n"/>
      <c r="AJ2045" s="80" t="n"/>
      <c r="AK2045" s="80" t="n"/>
      <c r="AL2045" s="80" t="n"/>
      <c r="AM2045" s="80" t="n"/>
      <c r="AN2045" s="80" t="n"/>
      <c r="AO2045" s="80" t="n"/>
      <c r="AP2045" s="80" t="n"/>
      <c r="AQ2045" s="80" t="n"/>
      <c r="AR2045" s="80" t="n"/>
    </row>
    <row r="2046">
      <c r="A2046" s="2">
        <f>IF($A2039="","","   projections")</f>
        <v/>
      </c>
      <c r="B2046" s="41">
        <f>IF($A2039="",0,COUNT($E2047:$AR2047))</f>
        <v/>
      </c>
      <c r="C2046" s="81">
        <f>IF($B2046=0,0,MAX($E2047:$AR2047))</f>
        <v/>
      </c>
      <c r="D2046" s="82">
        <f>BDS($A2039,'Field Check'!$C$6,"headers=y","startcol=1","endcol=7","dir=h")</f>
        <v/>
      </c>
      <c r="E2046" s="83" t="n"/>
      <c r="F2046" s="83" t="n"/>
      <c r="G2046" s="83" t="n"/>
      <c r="H2046" s="83" t="n"/>
      <c r="I2046" s="83" t="n"/>
      <c r="J2046" s="83" t="n"/>
      <c r="K2046" s="83" t="n"/>
      <c r="L2046" s="83" t="n"/>
      <c r="M2046" s="83" t="n"/>
      <c r="N2046" s="83" t="n"/>
      <c r="O2046" s="83" t="n"/>
      <c r="P2046" s="83" t="n"/>
      <c r="Q2046" s="83" t="n"/>
      <c r="R2046" s="83" t="n"/>
      <c r="S2046" s="83" t="n"/>
      <c r="T2046" s="83" t="n"/>
      <c r="U2046" s="83" t="n"/>
      <c r="V2046" s="83" t="n"/>
      <c r="W2046" s="83" t="n"/>
      <c r="X2046" s="83" t="n"/>
      <c r="Y2046" s="83" t="n"/>
      <c r="Z2046" s="83" t="n"/>
      <c r="AA2046" s="83" t="n"/>
      <c r="AB2046" s="83" t="n"/>
      <c r="AC2046" s="83" t="n"/>
      <c r="AD2046" s="83" t="n"/>
      <c r="AE2046" s="83" t="n"/>
      <c r="AF2046" s="83" t="n"/>
      <c r="AG2046" s="83" t="n"/>
      <c r="AH2046" s="83" t="n"/>
      <c r="AI2046" s="83" t="n"/>
      <c r="AJ2046" s="83" t="n"/>
      <c r="AK2046" s="83" t="n"/>
      <c r="AL2046" s="83" t="n"/>
      <c r="AM2046" s="83" t="n"/>
      <c r="AN2046" s="83" t="n"/>
      <c r="AO2046" s="83" t="n"/>
      <c r="AP2046" s="83" t="n"/>
      <c r="AQ2046" s="83" t="n"/>
      <c r="AR2046" s="83" t="n"/>
    </row>
    <row r="2047">
      <c r="D2047" s="83" t="n"/>
      <c r="E2047" s="83" t="n"/>
      <c r="F2047" s="83" t="n"/>
      <c r="G2047" s="83" t="n"/>
      <c r="H2047" s="83" t="n"/>
      <c r="I2047" s="83" t="n"/>
      <c r="J2047" s="83" t="n"/>
      <c r="K2047" s="83" t="n"/>
      <c r="L2047" s="83" t="n"/>
      <c r="M2047" s="83" t="n"/>
      <c r="N2047" s="83" t="n"/>
      <c r="O2047" s="83" t="n"/>
      <c r="P2047" s="83" t="n"/>
      <c r="Q2047" s="83" t="n"/>
      <c r="R2047" s="83" t="n"/>
      <c r="S2047" s="83" t="n"/>
      <c r="T2047" s="83" t="n"/>
      <c r="U2047" s="83" t="n"/>
      <c r="V2047" s="83" t="n"/>
      <c r="W2047" s="83" t="n"/>
      <c r="X2047" s="83" t="n"/>
      <c r="Y2047" s="83" t="n"/>
      <c r="Z2047" s="83" t="n"/>
      <c r="AA2047" s="83" t="n"/>
      <c r="AB2047" s="83" t="n"/>
      <c r="AC2047" s="83" t="n"/>
      <c r="AD2047" s="83" t="n"/>
      <c r="AE2047" s="83" t="n"/>
      <c r="AF2047" s="83" t="n"/>
      <c r="AG2047" s="83" t="n"/>
      <c r="AH2047" s="83" t="n"/>
      <c r="AI2047" s="83" t="n"/>
      <c r="AJ2047" s="83" t="n"/>
      <c r="AK2047" s="83" t="n"/>
      <c r="AL2047" s="83" t="n"/>
      <c r="AM2047" s="83" t="n"/>
      <c r="AN2047" s="83" t="n"/>
      <c r="AO2047" s="83" t="n"/>
      <c r="AP2047" s="83" t="n"/>
      <c r="AQ2047" s="83" t="n"/>
      <c r="AR2047" s="83" t="n"/>
    </row>
    <row r="2048">
      <c r="D2048" s="84" t="n"/>
      <c r="E2048" s="84" t="n"/>
      <c r="F2048" s="84" t="n"/>
      <c r="G2048" s="84" t="n"/>
      <c r="H2048" s="84" t="n"/>
      <c r="I2048" s="84" t="n"/>
      <c r="J2048" s="84" t="n"/>
      <c r="K2048" s="84" t="n"/>
      <c r="L2048" s="84" t="n"/>
      <c r="M2048" s="84" t="n"/>
      <c r="N2048" s="84" t="n"/>
      <c r="O2048" s="84" t="n"/>
      <c r="P2048" s="84" t="n"/>
      <c r="Q2048" s="84" t="n"/>
      <c r="R2048" s="84" t="n"/>
      <c r="S2048" s="84" t="n"/>
      <c r="T2048" s="84" t="n"/>
      <c r="U2048" s="84" t="n"/>
      <c r="V2048" s="84" t="n"/>
      <c r="W2048" s="84" t="n"/>
      <c r="X2048" s="84" t="n"/>
      <c r="Y2048" s="84" t="n"/>
      <c r="Z2048" s="84" t="n"/>
      <c r="AA2048" s="84" t="n"/>
      <c r="AB2048" s="84" t="n"/>
      <c r="AC2048" s="84" t="n"/>
      <c r="AD2048" s="84" t="n"/>
      <c r="AE2048" s="84" t="n"/>
      <c r="AF2048" s="84" t="n"/>
      <c r="AG2048" s="84" t="n"/>
      <c r="AH2048" s="84" t="n"/>
      <c r="AI2048" s="84" t="n"/>
      <c r="AJ2048" s="84" t="n"/>
      <c r="AK2048" s="84" t="n"/>
      <c r="AL2048" s="84" t="n"/>
      <c r="AM2048" s="84" t="n"/>
      <c r="AN2048" s="84" t="n"/>
      <c r="AO2048" s="84" t="n"/>
      <c r="AP2048" s="84" t="n"/>
      <c r="AQ2048" s="84" t="n"/>
      <c r="AR2048" s="84" t="n"/>
    </row>
    <row r="2049">
      <c r="D2049" s="80" t="n"/>
      <c r="E2049" s="80" t="n"/>
      <c r="F2049" s="80" t="n"/>
      <c r="G2049" s="80" t="n"/>
      <c r="H2049" s="80" t="n"/>
      <c r="I2049" s="80" t="n"/>
      <c r="J2049" s="80" t="n"/>
      <c r="K2049" s="80" t="n"/>
      <c r="L2049" s="80" t="n"/>
      <c r="M2049" s="80" t="n"/>
      <c r="N2049" s="80" t="n"/>
      <c r="O2049" s="80" t="n"/>
      <c r="P2049" s="80" t="n"/>
      <c r="Q2049" s="80" t="n"/>
      <c r="R2049" s="80" t="n"/>
      <c r="S2049" s="80" t="n"/>
      <c r="T2049" s="80" t="n"/>
      <c r="U2049" s="80" t="n"/>
      <c r="V2049" s="80" t="n"/>
      <c r="W2049" s="80" t="n"/>
      <c r="X2049" s="80" t="n"/>
      <c r="Y2049" s="80" t="n"/>
      <c r="Z2049" s="80" t="n"/>
      <c r="AA2049" s="80" t="n"/>
      <c r="AB2049" s="80" t="n"/>
      <c r="AC2049" s="80" t="n"/>
      <c r="AD2049" s="80" t="n"/>
      <c r="AE2049" s="80" t="n"/>
      <c r="AF2049" s="80" t="n"/>
      <c r="AG2049" s="80" t="n"/>
      <c r="AH2049" s="80" t="n"/>
      <c r="AI2049" s="80" t="n"/>
      <c r="AJ2049" s="80" t="n"/>
      <c r="AK2049" s="80" t="n"/>
      <c r="AL2049" s="80" t="n"/>
      <c r="AM2049" s="80" t="n"/>
      <c r="AN2049" s="80" t="n"/>
      <c r="AO2049" s="80" t="n"/>
      <c r="AP2049" s="80" t="n"/>
      <c r="AQ2049" s="80" t="n"/>
      <c r="AR2049" s="80" t="n"/>
    </row>
    <row r="2050">
      <c r="D2050" s="80" t="n"/>
      <c r="E2050" s="80" t="n"/>
      <c r="F2050" s="80" t="n"/>
      <c r="G2050" s="80" t="n"/>
      <c r="H2050" s="80" t="n"/>
      <c r="I2050" s="80" t="n"/>
      <c r="J2050" s="80" t="n"/>
      <c r="K2050" s="80" t="n"/>
      <c r="L2050" s="80" t="n"/>
      <c r="M2050" s="80" t="n"/>
      <c r="N2050" s="80" t="n"/>
      <c r="O2050" s="80" t="n"/>
      <c r="P2050" s="80" t="n"/>
      <c r="Q2050" s="80" t="n"/>
      <c r="R2050" s="80" t="n"/>
      <c r="S2050" s="80" t="n"/>
      <c r="T2050" s="80" t="n"/>
      <c r="U2050" s="80" t="n"/>
      <c r="V2050" s="80" t="n"/>
      <c r="W2050" s="80" t="n"/>
      <c r="X2050" s="80" t="n"/>
      <c r="Y2050" s="80" t="n"/>
      <c r="Z2050" s="80" t="n"/>
      <c r="AA2050" s="80" t="n"/>
      <c r="AB2050" s="80" t="n"/>
      <c r="AC2050" s="80" t="n"/>
      <c r="AD2050" s="80" t="n"/>
      <c r="AE2050" s="80" t="n"/>
      <c r="AF2050" s="80" t="n"/>
      <c r="AG2050" s="80" t="n"/>
      <c r="AH2050" s="80" t="n"/>
      <c r="AI2050" s="80" t="n"/>
      <c r="AJ2050" s="80" t="n"/>
      <c r="AK2050" s="80" t="n"/>
      <c r="AL2050" s="80" t="n"/>
      <c r="AM2050" s="80" t="n"/>
      <c r="AN2050" s="80" t="n"/>
      <c r="AO2050" s="80" t="n"/>
      <c r="AP2050" s="80" t="n"/>
      <c r="AQ2050" s="80" t="n"/>
      <c r="AR2050" s="80" t="n"/>
    </row>
    <row r="2051">
      <c r="D2051" s="80" t="n"/>
      <c r="E2051" s="80" t="n"/>
      <c r="F2051" s="80" t="n"/>
      <c r="G2051" s="80" t="n"/>
      <c r="H2051" s="80" t="n"/>
      <c r="I2051" s="80" t="n"/>
      <c r="J2051" s="80" t="n"/>
      <c r="K2051" s="80" t="n"/>
      <c r="L2051" s="80" t="n"/>
      <c r="M2051" s="80" t="n"/>
      <c r="N2051" s="80" t="n"/>
      <c r="O2051" s="80" t="n"/>
      <c r="P2051" s="80" t="n"/>
      <c r="Q2051" s="80" t="n"/>
      <c r="R2051" s="80" t="n"/>
      <c r="S2051" s="80" t="n"/>
      <c r="T2051" s="80" t="n"/>
      <c r="U2051" s="80" t="n"/>
      <c r="V2051" s="80" t="n"/>
      <c r="W2051" s="80" t="n"/>
      <c r="X2051" s="80" t="n"/>
      <c r="Y2051" s="80" t="n"/>
      <c r="Z2051" s="80" t="n"/>
      <c r="AA2051" s="80" t="n"/>
      <c r="AB2051" s="80" t="n"/>
      <c r="AC2051" s="80" t="n"/>
      <c r="AD2051" s="80" t="n"/>
      <c r="AE2051" s="80" t="n"/>
      <c r="AF2051" s="80" t="n"/>
      <c r="AG2051" s="80" t="n"/>
      <c r="AH2051" s="80" t="n"/>
      <c r="AI2051" s="80" t="n"/>
      <c r="AJ2051" s="80" t="n"/>
      <c r="AK2051" s="80" t="n"/>
      <c r="AL2051" s="80" t="n"/>
      <c r="AM2051" s="80" t="n"/>
      <c r="AN2051" s="80" t="n"/>
      <c r="AO2051" s="80" t="n"/>
      <c r="AP2051" s="80" t="n"/>
      <c r="AQ2051" s="80" t="n"/>
      <c r="AR2051" s="80" t="n"/>
    </row>
    <row r="2052">
      <c r="D2052" s="80" t="n"/>
      <c r="E2052" s="80" t="n"/>
      <c r="F2052" s="80" t="n"/>
      <c r="G2052" s="80" t="n"/>
      <c r="H2052" s="80" t="n"/>
      <c r="I2052" s="80" t="n"/>
      <c r="J2052" s="80" t="n"/>
      <c r="K2052" s="80" t="n"/>
      <c r="L2052" s="80" t="n"/>
      <c r="M2052" s="80" t="n"/>
      <c r="N2052" s="80" t="n"/>
      <c r="O2052" s="80" t="n"/>
      <c r="P2052" s="80" t="n"/>
      <c r="Q2052" s="80" t="n"/>
      <c r="R2052" s="80" t="n"/>
      <c r="S2052" s="80" t="n"/>
      <c r="T2052" s="80" t="n"/>
      <c r="U2052" s="80" t="n"/>
      <c r="V2052" s="80" t="n"/>
      <c r="W2052" s="80" t="n"/>
      <c r="X2052" s="80" t="n"/>
      <c r="Y2052" s="80" t="n"/>
      <c r="Z2052" s="80" t="n"/>
      <c r="AA2052" s="80" t="n"/>
      <c r="AB2052" s="80" t="n"/>
      <c r="AC2052" s="80" t="n"/>
      <c r="AD2052" s="80" t="n"/>
      <c r="AE2052" s="80" t="n"/>
      <c r="AF2052" s="80" t="n"/>
      <c r="AG2052" s="80" t="n"/>
      <c r="AH2052" s="80" t="n"/>
      <c r="AI2052" s="80" t="n"/>
      <c r="AJ2052" s="80" t="n"/>
      <c r="AK2052" s="80" t="n"/>
      <c r="AL2052" s="80" t="n"/>
      <c r="AM2052" s="80" t="n"/>
      <c r="AN2052" s="80" t="n"/>
      <c r="AO2052" s="80" t="n"/>
      <c r="AP2052" s="80" t="n"/>
      <c r="AQ2052" s="80" t="n"/>
      <c r="AR2052" s="80" t="n"/>
    </row>
    <row r="2054">
      <c r="A2054" s="6">
        <f>IF(HSTECH!$C$43="","",HSTECH!$C$43)</f>
        <v/>
      </c>
      <c r="B2054" s="41">
        <f>IF($A2054="",0,COUNT($E2055:$AR2055))</f>
        <v/>
      </c>
      <c r="C2054" s="81">
        <f>IF($B2054=0,0,MAX($E2055:$AR2055))</f>
        <v/>
      </c>
      <c r="D2054" s="82">
        <f>BDS($A2054,'Field Check'!$C$7,"headers=y","startcol=1","endcol=7","dir=h","DVD_START_DT",Summary!$C$18,"DVD_END_DT",Summary!$D$18)</f>
        <v/>
      </c>
      <c r="E2054" s="83" t="n"/>
      <c r="F2054" s="83" t="n"/>
      <c r="G2054" s="83" t="n"/>
      <c r="H2054" s="83" t="n"/>
      <c r="I2054" s="83" t="n"/>
      <c r="J2054" s="83" t="n"/>
      <c r="K2054" s="83" t="n"/>
      <c r="L2054" s="83" t="n"/>
      <c r="M2054" s="83" t="n"/>
      <c r="N2054" s="83" t="n"/>
      <c r="O2054" s="83" t="n"/>
      <c r="P2054" s="83" t="n"/>
      <c r="Q2054" s="83" t="n"/>
      <c r="R2054" s="83" t="n"/>
      <c r="S2054" s="83" t="n"/>
      <c r="T2054" s="83" t="n"/>
      <c r="U2054" s="83" t="n"/>
      <c r="V2054" s="83" t="n"/>
      <c r="W2054" s="83" t="n"/>
      <c r="X2054" s="83" t="n"/>
      <c r="Y2054" s="83" t="n"/>
      <c r="Z2054" s="83" t="n"/>
      <c r="AA2054" s="83" t="n"/>
      <c r="AB2054" s="83" t="n"/>
      <c r="AC2054" s="83" t="n"/>
      <c r="AD2054" s="83" t="n"/>
      <c r="AE2054" s="83" t="n"/>
      <c r="AF2054" s="83" t="n"/>
      <c r="AG2054" s="83" t="n"/>
      <c r="AH2054" s="83" t="n"/>
      <c r="AI2054" s="83" t="n"/>
      <c r="AJ2054" s="83" t="n"/>
      <c r="AK2054" s="83" t="n"/>
      <c r="AL2054" s="83" t="n"/>
      <c r="AM2054" s="83" t="n"/>
      <c r="AN2054" s="83" t="n"/>
      <c r="AO2054" s="83" t="n"/>
      <c r="AP2054" s="83" t="n"/>
      <c r="AQ2054" s="83" t="n"/>
      <c r="AR2054" s="83" t="n"/>
    </row>
    <row r="2055">
      <c r="D2055" s="83" t="n"/>
      <c r="E2055" s="83" t="n"/>
      <c r="F2055" s="83" t="n"/>
      <c r="G2055" s="83" t="n"/>
      <c r="H2055" s="83" t="n"/>
      <c r="I2055" s="83" t="n"/>
      <c r="J2055" s="83" t="n"/>
      <c r="K2055" s="83" t="n"/>
      <c r="L2055" s="83" t="n"/>
      <c r="M2055" s="83" t="n"/>
      <c r="N2055" s="83" t="n"/>
      <c r="O2055" s="83" t="n"/>
      <c r="P2055" s="83" t="n"/>
      <c r="Q2055" s="83" t="n"/>
      <c r="R2055" s="83" t="n"/>
      <c r="S2055" s="83" t="n"/>
      <c r="T2055" s="83" t="n"/>
      <c r="U2055" s="83" t="n"/>
      <c r="V2055" s="83" t="n"/>
      <c r="W2055" s="83" t="n"/>
      <c r="X2055" s="83" t="n"/>
      <c r="Y2055" s="83" t="n"/>
      <c r="Z2055" s="83" t="n"/>
      <c r="AA2055" s="83" t="n"/>
      <c r="AB2055" s="83" t="n"/>
      <c r="AC2055" s="83" t="n"/>
      <c r="AD2055" s="83" t="n"/>
      <c r="AE2055" s="83" t="n"/>
      <c r="AF2055" s="83" t="n"/>
      <c r="AG2055" s="83" t="n"/>
      <c r="AH2055" s="83" t="n"/>
      <c r="AI2055" s="83" t="n"/>
      <c r="AJ2055" s="83" t="n"/>
      <c r="AK2055" s="83" t="n"/>
      <c r="AL2055" s="83" t="n"/>
      <c r="AM2055" s="83" t="n"/>
      <c r="AN2055" s="83" t="n"/>
      <c r="AO2055" s="83" t="n"/>
      <c r="AP2055" s="83" t="n"/>
      <c r="AQ2055" s="83" t="n"/>
      <c r="AR2055" s="83" t="n"/>
    </row>
    <row r="2056">
      <c r="D2056" s="84" t="n"/>
      <c r="E2056" s="84" t="n"/>
      <c r="F2056" s="84" t="n"/>
      <c r="G2056" s="84" t="n"/>
      <c r="H2056" s="84" t="n"/>
      <c r="I2056" s="84" t="n"/>
      <c r="J2056" s="84" t="n"/>
      <c r="K2056" s="84" t="n"/>
      <c r="L2056" s="84" t="n"/>
      <c r="M2056" s="84" t="n"/>
      <c r="N2056" s="84" t="n"/>
      <c r="O2056" s="84" t="n"/>
      <c r="P2056" s="84" t="n"/>
      <c r="Q2056" s="84" t="n"/>
      <c r="R2056" s="84" t="n"/>
      <c r="S2056" s="84" t="n"/>
      <c r="T2056" s="84" t="n"/>
      <c r="U2056" s="84" t="n"/>
      <c r="V2056" s="84" t="n"/>
      <c r="W2056" s="84" t="n"/>
      <c r="X2056" s="84" t="n"/>
      <c r="Y2056" s="84" t="n"/>
      <c r="Z2056" s="84" t="n"/>
      <c r="AA2056" s="84" t="n"/>
      <c r="AB2056" s="84" t="n"/>
      <c r="AC2056" s="84" t="n"/>
      <c r="AD2056" s="84" t="n"/>
      <c r="AE2056" s="84" t="n"/>
      <c r="AF2056" s="84" t="n"/>
      <c r="AG2056" s="84" t="n"/>
      <c r="AH2056" s="84" t="n"/>
      <c r="AI2056" s="84" t="n"/>
      <c r="AJ2056" s="84" t="n"/>
      <c r="AK2056" s="84" t="n"/>
      <c r="AL2056" s="84" t="n"/>
      <c r="AM2056" s="84" t="n"/>
      <c r="AN2056" s="84" t="n"/>
      <c r="AO2056" s="84" t="n"/>
      <c r="AP2056" s="84" t="n"/>
      <c r="AQ2056" s="84" t="n"/>
      <c r="AR2056" s="84" t="n"/>
    </row>
    <row r="2057">
      <c r="D2057" s="80" t="n"/>
      <c r="E2057" s="80" t="n"/>
      <c r="F2057" s="80" t="n"/>
      <c r="G2057" s="80" t="n"/>
      <c r="H2057" s="80" t="n"/>
      <c r="I2057" s="80" t="n"/>
      <c r="J2057" s="80" t="n"/>
      <c r="K2057" s="80" t="n"/>
      <c r="L2057" s="80" t="n"/>
      <c r="M2057" s="80" t="n"/>
      <c r="N2057" s="80" t="n"/>
      <c r="O2057" s="80" t="n"/>
      <c r="P2057" s="80" t="n"/>
      <c r="Q2057" s="80" t="n"/>
      <c r="R2057" s="80" t="n"/>
      <c r="S2057" s="80" t="n"/>
      <c r="T2057" s="80" t="n"/>
      <c r="U2057" s="80" t="n"/>
      <c r="V2057" s="80" t="n"/>
      <c r="W2057" s="80" t="n"/>
      <c r="X2057" s="80" t="n"/>
      <c r="Y2057" s="80" t="n"/>
      <c r="Z2057" s="80" t="n"/>
      <c r="AA2057" s="80" t="n"/>
      <c r="AB2057" s="80" t="n"/>
      <c r="AC2057" s="80" t="n"/>
      <c r="AD2057" s="80" t="n"/>
      <c r="AE2057" s="80" t="n"/>
      <c r="AF2057" s="80" t="n"/>
      <c r="AG2057" s="80" t="n"/>
      <c r="AH2057" s="80" t="n"/>
      <c r="AI2057" s="80" t="n"/>
      <c r="AJ2057" s="80" t="n"/>
      <c r="AK2057" s="80" t="n"/>
      <c r="AL2057" s="80" t="n"/>
      <c r="AM2057" s="80" t="n"/>
      <c r="AN2057" s="80" t="n"/>
      <c r="AO2057" s="80" t="n"/>
      <c r="AP2057" s="80" t="n"/>
      <c r="AQ2057" s="80" t="n"/>
      <c r="AR2057" s="80" t="n"/>
    </row>
    <row r="2058">
      <c r="D2058" s="80" t="n"/>
      <c r="E2058" s="80" t="n"/>
      <c r="F2058" s="80" t="n"/>
      <c r="G2058" s="80" t="n"/>
      <c r="H2058" s="80" t="n"/>
      <c r="I2058" s="80" t="n"/>
      <c r="J2058" s="80" t="n"/>
      <c r="K2058" s="80" t="n"/>
      <c r="L2058" s="80" t="n"/>
      <c r="M2058" s="80" t="n"/>
      <c r="N2058" s="80" t="n"/>
      <c r="O2058" s="80" t="n"/>
      <c r="P2058" s="80" t="n"/>
      <c r="Q2058" s="80" t="n"/>
      <c r="R2058" s="80" t="n"/>
      <c r="S2058" s="80" t="n"/>
      <c r="T2058" s="80" t="n"/>
      <c r="U2058" s="80" t="n"/>
      <c r="V2058" s="80" t="n"/>
      <c r="W2058" s="80" t="n"/>
      <c r="X2058" s="80" t="n"/>
      <c r="Y2058" s="80" t="n"/>
      <c r="Z2058" s="80" t="n"/>
      <c r="AA2058" s="80" t="n"/>
      <c r="AB2058" s="80" t="n"/>
      <c r="AC2058" s="80" t="n"/>
      <c r="AD2058" s="80" t="n"/>
      <c r="AE2058" s="80" t="n"/>
      <c r="AF2058" s="80" t="n"/>
      <c r="AG2058" s="80" t="n"/>
      <c r="AH2058" s="80" t="n"/>
      <c r="AI2058" s="80" t="n"/>
      <c r="AJ2058" s="80" t="n"/>
      <c r="AK2058" s="80" t="n"/>
      <c r="AL2058" s="80" t="n"/>
      <c r="AM2058" s="80" t="n"/>
      <c r="AN2058" s="80" t="n"/>
      <c r="AO2058" s="80" t="n"/>
      <c r="AP2058" s="80" t="n"/>
      <c r="AQ2058" s="80" t="n"/>
      <c r="AR2058" s="80" t="n"/>
    </row>
    <row r="2059">
      <c r="D2059" s="80" t="n"/>
      <c r="E2059" s="80" t="n"/>
      <c r="F2059" s="80" t="n"/>
      <c r="G2059" s="80" t="n"/>
      <c r="H2059" s="80" t="n"/>
      <c r="I2059" s="80" t="n"/>
      <c r="J2059" s="80" t="n"/>
      <c r="K2059" s="80" t="n"/>
      <c r="L2059" s="80" t="n"/>
      <c r="M2059" s="80" t="n"/>
      <c r="N2059" s="80" t="n"/>
      <c r="O2059" s="80" t="n"/>
      <c r="P2059" s="80" t="n"/>
      <c r="Q2059" s="80" t="n"/>
      <c r="R2059" s="80" t="n"/>
      <c r="S2059" s="80" t="n"/>
      <c r="T2059" s="80" t="n"/>
      <c r="U2059" s="80" t="n"/>
      <c r="V2059" s="80" t="n"/>
      <c r="W2059" s="80" t="n"/>
      <c r="X2059" s="80" t="n"/>
      <c r="Y2059" s="80" t="n"/>
      <c r="Z2059" s="80" t="n"/>
      <c r="AA2059" s="80" t="n"/>
      <c r="AB2059" s="80" t="n"/>
      <c r="AC2059" s="80" t="n"/>
      <c r="AD2059" s="80" t="n"/>
      <c r="AE2059" s="80" t="n"/>
      <c r="AF2059" s="80" t="n"/>
      <c r="AG2059" s="80" t="n"/>
      <c r="AH2059" s="80" t="n"/>
      <c r="AI2059" s="80" t="n"/>
      <c r="AJ2059" s="80" t="n"/>
      <c r="AK2059" s="80" t="n"/>
      <c r="AL2059" s="80" t="n"/>
      <c r="AM2059" s="80" t="n"/>
      <c r="AN2059" s="80" t="n"/>
      <c r="AO2059" s="80" t="n"/>
      <c r="AP2059" s="80" t="n"/>
      <c r="AQ2059" s="80" t="n"/>
      <c r="AR2059" s="80" t="n"/>
    </row>
    <row r="2060">
      <c r="D2060" s="80" t="n"/>
      <c r="E2060" s="80" t="n"/>
      <c r="F2060" s="80" t="n"/>
      <c r="G2060" s="80" t="n"/>
      <c r="H2060" s="80" t="n"/>
      <c r="I2060" s="80" t="n"/>
      <c r="J2060" s="80" t="n"/>
      <c r="K2060" s="80" t="n"/>
      <c r="L2060" s="80" t="n"/>
      <c r="M2060" s="80" t="n"/>
      <c r="N2060" s="80" t="n"/>
      <c r="O2060" s="80" t="n"/>
      <c r="P2060" s="80" t="n"/>
      <c r="Q2060" s="80" t="n"/>
      <c r="R2060" s="80" t="n"/>
      <c r="S2060" s="80" t="n"/>
      <c r="T2060" s="80" t="n"/>
      <c r="U2060" s="80" t="n"/>
      <c r="V2060" s="80" t="n"/>
      <c r="W2060" s="80" t="n"/>
      <c r="X2060" s="80" t="n"/>
      <c r="Y2060" s="80" t="n"/>
      <c r="Z2060" s="80" t="n"/>
      <c r="AA2060" s="80" t="n"/>
      <c r="AB2060" s="80" t="n"/>
      <c r="AC2060" s="80" t="n"/>
      <c r="AD2060" s="80" t="n"/>
      <c r="AE2060" s="80" t="n"/>
      <c r="AF2060" s="80" t="n"/>
      <c r="AG2060" s="80" t="n"/>
      <c r="AH2060" s="80" t="n"/>
      <c r="AI2060" s="80" t="n"/>
      <c r="AJ2060" s="80" t="n"/>
      <c r="AK2060" s="80" t="n"/>
      <c r="AL2060" s="80" t="n"/>
      <c r="AM2060" s="80" t="n"/>
      <c r="AN2060" s="80" t="n"/>
      <c r="AO2060" s="80" t="n"/>
      <c r="AP2060" s="80" t="n"/>
      <c r="AQ2060" s="80" t="n"/>
      <c r="AR2060" s="80" t="n"/>
    </row>
    <row r="2061">
      <c r="A2061" s="2">
        <f>IF($A2054="","","   projections")</f>
        <v/>
      </c>
      <c r="B2061" s="41">
        <f>IF($A2054="",0,COUNT($E2062:$AR2062))</f>
        <v/>
      </c>
      <c r="C2061" s="81">
        <f>IF($B2061=0,0,MAX($E2062:$AR2062))</f>
        <v/>
      </c>
      <c r="D2061" s="82">
        <f>BDS($A2054,'Field Check'!$C$6,"headers=y","startcol=1","endcol=7","dir=h")</f>
        <v/>
      </c>
      <c r="E2061" s="83" t="n"/>
      <c r="F2061" s="83" t="n"/>
      <c r="G2061" s="83" t="n"/>
      <c r="H2061" s="83" t="n"/>
      <c r="I2061" s="83" t="n"/>
      <c r="J2061" s="83" t="n"/>
      <c r="K2061" s="83" t="n"/>
      <c r="L2061" s="83" t="n"/>
      <c r="M2061" s="83" t="n"/>
      <c r="N2061" s="83" t="n"/>
      <c r="O2061" s="83" t="n"/>
      <c r="P2061" s="83" t="n"/>
      <c r="Q2061" s="83" t="n"/>
      <c r="R2061" s="83" t="n"/>
      <c r="S2061" s="83" t="n"/>
      <c r="T2061" s="83" t="n"/>
      <c r="U2061" s="83" t="n"/>
      <c r="V2061" s="83" t="n"/>
      <c r="W2061" s="83" t="n"/>
      <c r="X2061" s="83" t="n"/>
      <c r="Y2061" s="83" t="n"/>
      <c r="Z2061" s="83" t="n"/>
      <c r="AA2061" s="83" t="n"/>
      <c r="AB2061" s="83" t="n"/>
      <c r="AC2061" s="83" t="n"/>
      <c r="AD2061" s="83" t="n"/>
      <c r="AE2061" s="83" t="n"/>
      <c r="AF2061" s="83" t="n"/>
      <c r="AG2061" s="83" t="n"/>
      <c r="AH2061" s="83" t="n"/>
      <c r="AI2061" s="83" t="n"/>
      <c r="AJ2061" s="83" t="n"/>
      <c r="AK2061" s="83" t="n"/>
      <c r="AL2061" s="83" t="n"/>
      <c r="AM2061" s="83" t="n"/>
      <c r="AN2061" s="83" t="n"/>
      <c r="AO2061" s="83" t="n"/>
      <c r="AP2061" s="83" t="n"/>
      <c r="AQ2061" s="83" t="n"/>
      <c r="AR2061" s="83" t="n"/>
    </row>
    <row r="2062">
      <c r="D2062" s="83" t="n"/>
      <c r="E2062" s="83" t="n"/>
      <c r="F2062" s="83" t="n"/>
      <c r="G2062" s="83" t="n"/>
      <c r="H2062" s="83" t="n"/>
      <c r="I2062" s="83" t="n"/>
      <c r="J2062" s="83" t="n"/>
      <c r="K2062" s="83" t="n"/>
      <c r="L2062" s="83" t="n"/>
      <c r="M2062" s="83" t="n"/>
      <c r="N2062" s="83" t="n"/>
      <c r="O2062" s="83" t="n"/>
      <c r="P2062" s="83" t="n"/>
      <c r="Q2062" s="83" t="n"/>
      <c r="R2062" s="83" t="n"/>
      <c r="S2062" s="83" t="n"/>
      <c r="T2062" s="83" t="n"/>
      <c r="U2062" s="83" t="n"/>
      <c r="V2062" s="83" t="n"/>
      <c r="W2062" s="83" t="n"/>
      <c r="X2062" s="83" t="n"/>
      <c r="Y2062" s="83" t="n"/>
      <c r="Z2062" s="83" t="n"/>
      <c r="AA2062" s="83" t="n"/>
      <c r="AB2062" s="83" t="n"/>
      <c r="AC2062" s="83" t="n"/>
      <c r="AD2062" s="83" t="n"/>
      <c r="AE2062" s="83" t="n"/>
      <c r="AF2062" s="83" t="n"/>
      <c r="AG2062" s="83" t="n"/>
      <c r="AH2062" s="83" t="n"/>
      <c r="AI2062" s="83" t="n"/>
      <c r="AJ2062" s="83" t="n"/>
      <c r="AK2062" s="83" t="n"/>
      <c r="AL2062" s="83" t="n"/>
      <c r="AM2062" s="83" t="n"/>
      <c r="AN2062" s="83" t="n"/>
      <c r="AO2062" s="83" t="n"/>
      <c r="AP2062" s="83" t="n"/>
      <c r="AQ2062" s="83" t="n"/>
      <c r="AR2062" s="83" t="n"/>
    </row>
    <row r="2063">
      <c r="D2063" s="84" t="n"/>
      <c r="E2063" s="84" t="n"/>
      <c r="F2063" s="84" t="n"/>
      <c r="G2063" s="84" t="n"/>
      <c r="H2063" s="84" t="n"/>
      <c r="I2063" s="84" t="n"/>
      <c r="J2063" s="84" t="n"/>
      <c r="K2063" s="84" t="n"/>
      <c r="L2063" s="84" t="n"/>
      <c r="M2063" s="84" t="n"/>
      <c r="N2063" s="84" t="n"/>
      <c r="O2063" s="84" t="n"/>
      <c r="P2063" s="84" t="n"/>
      <c r="Q2063" s="84" t="n"/>
      <c r="R2063" s="84" t="n"/>
      <c r="S2063" s="84" t="n"/>
      <c r="T2063" s="84" t="n"/>
      <c r="U2063" s="84" t="n"/>
      <c r="V2063" s="84" t="n"/>
      <c r="W2063" s="84" t="n"/>
      <c r="X2063" s="84" t="n"/>
      <c r="Y2063" s="84" t="n"/>
      <c r="Z2063" s="84" t="n"/>
      <c r="AA2063" s="84" t="n"/>
      <c r="AB2063" s="84" t="n"/>
      <c r="AC2063" s="84" t="n"/>
      <c r="AD2063" s="84" t="n"/>
      <c r="AE2063" s="84" t="n"/>
      <c r="AF2063" s="84" t="n"/>
      <c r="AG2063" s="84" t="n"/>
      <c r="AH2063" s="84" t="n"/>
      <c r="AI2063" s="84" t="n"/>
      <c r="AJ2063" s="84" t="n"/>
      <c r="AK2063" s="84" t="n"/>
      <c r="AL2063" s="84" t="n"/>
      <c r="AM2063" s="84" t="n"/>
      <c r="AN2063" s="84" t="n"/>
      <c r="AO2063" s="84" t="n"/>
      <c r="AP2063" s="84" t="n"/>
      <c r="AQ2063" s="84" t="n"/>
      <c r="AR2063" s="84" t="n"/>
    </row>
    <row r="2064">
      <c r="D2064" s="80" t="n"/>
      <c r="E2064" s="80" t="n"/>
      <c r="F2064" s="80" t="n"/>
      <c r="G2064" s="80" t="n"/>
      <c r="H2064" s="80" t="n"/>
      <c r="I2064" s="80" t="n"/>
      <c r="J2064" s="80" t="n"/>
      <c r="K2064" s="80" t="n"/>
      <c r="L2064" s="80" t="n"/>
      <c r="M2064" s="80" t="n"/>
      <c r="N2064" s="80" t="n"/>
      <c r="O2064" s="80" t="n"/>
      <c r="P2064" s="80" t="n"/>
      <c r="Q2064" s="80" t="n"/>
      <c r="R2064" s="80" t="n"/>
      <c r="S2064" s="80" t="n"/>
      <c r="T2064" s="80" t="n"/>
      <c r="U2064" s="80" t="n"/>
      <c r="V2064" s="80" t="n"/>
      <c r="W2064" s="80" t="n"/>
      <c r="X2064" s="80" t="n"/>
      <c r="Y2064" s="80" t="n"/>
      <c r="Z2064" s="80" t="n"/>
      <c r="AA2064" s="80" t="n"/>
      <c r="AB2064" s="80" t="n"/>
      <c r="AC2064" s="80" t="n"/>
      <c r="AD2064" s="80" t="n"/>
      <c r="AE2064" s="80" t="n"/>
      <c r="AF2064" s="80" t="n"/>
      <c r="AG2064" s="80" t="n"/>
      <c r="AH2064" s="80" t="n"/>
      <c r="AI2064" s="80" t="n"/>
      <c r="AJ2064" s="80" t="n"/>
      <c r="AK2064" s="80" t="n"/>
      <c r="AL2064" s="80" t="n"/>
      <c r="AM2064" s="80" t="n"/>
      <c r="AN2064" s="80" t="n"/>
      <c r="AO2064" s="80" t="n"/>
      <c r="AP2064" s="80" t="n"/>
      <c r="AQ2064" s="80" t="n"/>
      <c r="AR2064" s="80" t="n"/>
    </row>
    <row r="2065">
      <c r="D2065" s="80" t="n"/>
      <c r="E2065" s="80" t="n"/>
      <c r="F2065" s="80" t="n"/>
      <c r="G2065" s="80" t="n"/>
      <c r="H2065" s="80" t="n"/>
      <c r="I2065" s="80" t="n"/>
      <c r="J2065" s="80" t="n"/>
      <c r="K2065" s="80" t="n"/>
      <c r="L2065" s="80" t="n"/>
      <c r="M2065" s="80" t="n"/>
      <c r="N2065" s="80" t="n"/>
      <c r="O2065" s="80" t="n"/>
      <c r="P2065" s="80" t="n"/>
      <c r="Q2065" s="80" t="n"/>
      <c r="R2065" s="80" t="n"/>
      <c r="S2065" s="80" t="n"/>
      <c r="T2065" s="80" t="n"/>
      <c r="U2065" s="80" t="n"/>
      <c r="V2065" s="80" t="n"/>
      <c r="W2065" s="80" t="n"/>
      <c r="X2065" s="80" t="n"/>
      <c r="Y2065" s="80" t="n"/>
      <c r="Z2065" s="80" t="n"/>
      <c r="AA2065" s="80" t="n"/>
      <c r="AB2065" s="80" t="n"/>
      <c r="AC2065" s="80" t="n"/>
      <c r="AD2065" s="80" t="n"/>
      <c r="AE2065" s="80" t="n"/>
      <c r="AF2065" s="80" t="n"/>
      <c r="AG2065" s="80" t="n"/>
      <c r="AH2065" s="80" t="n"/>
      <c r="AI2065" s="80" t="n"/>
      <c r="AJ2065" s="80" t="n"/>
      <c r="AK2065" s="80" t="n"/>
      <c r="AL2065" s="80" t="n"/>
      <c r="AM2065" s="80" t="n"/>
      <c r="AN2065" s="80" t="n"/>
      <c r="AO2065" s="80" t="n"/>
      <c r="AP2065" s="80" t="n"/>
      <c r="AQ2065" s="80" t="n"/>
      <c r="AR2065" s="80" t="n"/>
    </row>
    <row r="2066">
      <c r="D2066" s="80" t="n"/>
      <c r="E2066" s="80" t="n"/>
      <c r="F2066" s="80" t="n"/>
      <c r="G2066" s="80" t="n"/>
      <c r="H2066" s="80" t="n"/>
      <c r="I2066" s="80" t="n"/>
      <c r="J2066" s="80" t="n"/>
      <c r="K2066" s="80" t="n"/>
      <c r="L2066" s="80" t="n"/>
      <c r="M2066" s="80" t="n"/>
      <c r="N2066" s="80" t="n"/>
      <c r="O2066" s="80" t="n"/>
      <c r="P2066" s="80" t="n"/>
      <c r="Q2066" s="80" t="n"/>
      <c r="R2066" s="80" t="n"/>
      <c r="S2066" s="80" t="n"/>
      <c r="T2066" s="80" t="n"/>
      <c r="U2066" s="80" t="n"/>
      <c r="V2066" s="80" t="n"/>
      <c r="W2066" s="80" t="n"/>
      <c r="X2066" s="80" t="n"/>
      <c r="Y2066" s="80" t="n"/>
      <c r="Z2066" s="80" t="n"/>
      <c r="AA2066" s="80" t="n"/>
      <c r="AB2066" s="80" t="n"/>
      <c r="AC2066" s="80" t="n"/>
      <c r="AD2066" s="80" t="n"/>
      <c r="AE2066" s="80" t="n"/>
      <c r="AF2066" s="80" t="n"/>
      <c r="AG2066" s="80" t="n"/>
      <c r="AH2066" s="80" t="n"/>
      <c r="AI2066" s="80" t="n"/>
      <c r="AJ2066" s="80" t="n"/>
      <c r="AK2066" s="80" t="n"/>
      <c r="AL2066" s="80" t="n"/>
      <c r="AM2066" s="80" t="n"/>
      <c r="AN2066" s="80" t="n"/>
      <c r="AO2066" s="80" t="n"/>
      <c r="AP2066" s="80" t="n"/>
      <c r="AQ2066" s="80" t="n"/>
      <c r="AR2066" s="80" t="n"/>
    </row>
    <row r="2067">
      <c r="D2067" s="80" t="n"/>
      <c r="E2067" s="80" t="n"/>
      <c r="F2067" s="80" t="n"/>
      <c r="G2067" s="80" t="n"/>
      <c r="H2067" s="80" t="n"/>
      <c r="I2067" s="80" t="n"/>
      <c r="J2067" s="80" t="n"/>
      <c r="K2067" s="80" t="n"/>
      <c r="L2067" s="80" t="n"/>
      <c r="M2067" s="80" t="n"/>
      <c r="N2067" s="80" t="n"/>
      <c r="O2067" s="80" t="n"/>
      <c r="P2067" s="80" t="n"/>
      <c r="Q2067" s="80" t="n"/>
      <c r="R2067" s="80" t="n"/>
      <c r="S2067" s="80" t="n"/>
      <c r="T2067" s="80" t="n"/>
      <c r="U2067" s="80" t="n"/>
      <c r="V2067" s="80" t="n"/>
      <c r="W2067" s="80" t="n"/>
      <c r="X2067" s="80" t="n"/>
      <c r="Y2067" s="80" t="n"/>
      <c r="Z2067" s="80" t="n"/>
      <c r="AA2067" s="80" t="n"/>
      <c r="AB2067" s="80" t="n"/>
      <c r="AC2067" s="80" t="n"/>
      <c r="AD2067" s="80" t="n"/>
      <c r="AE2067" s="80" t="n"/>
      <c r="AF2067" s="80" t="n"/>
      <c r="AG2067" s="80" t="n"/>
      <c r="AH2067" s="80" t="n"/>
      <c r="AI2067" s="80" t="n"/>
      <c r="AJ2067" s="80" t="n"/>
      <c r="AK2067" s="80" t="n"/>
      <c r="AL2067" s="80" t="n"/>
      <c r="AM2067" s="80" t="n"/>
      <c r="AN2067" s="80" t="n"/>
      <c r="AO2067" s="80" t="n"/>
      <c r="AP2067" s="80" t="n"/>
      <c r="AQ2067" s="80" t="n"/>
      <c r="AR2067" s="80" t="n"/>
    </row>
    <row r="2069">
      <c r="A2069" s="6">
        <f>IF(HSTECH!$C$44="","",HSTECH!$C$44)</f>
        <v/>
      </c>
      <c r="B2069" s="41">
        <f>IF($A2069="",0,COUNT($E2070:$AR2070))</f>
        <v/>
      </c>
      <c r="C2069" s="81">
        <f>IF($B2069=0,0,MAX($E2070:$AR2070))</f>
        <v/>
      </c>
      <c r="D2069" s="82">
        <f>BDS($A2069,'Field Check'!$C$7,"headers=y","startcol=1","endcol=7","dir=h","DVD_START_DT",Summary!$C$18,"DVD_END_DT",Summary!$D$18)</f>
        <v/>
      </c>
      <c r="E2069" s="83" t="n"/>
      <c r="F2069" s="83" t="n"/>
      <c r="G2069" s="83" t="n"/>
      <c r="H2069" s="83" t="n"/>
      <c r="I2069" s="83" t="n"/>
      <c r="J2069" s="83" t="n"/>
      <c r="K2069" s="83" t="n"/>
      <c r="L2069" s="83" t="n"/>
      <c r="M2069" s="83" t="n"/>
      <c r="N2069" s="83" t="n"/>
      <c r="O2069" s="83" t="n"/>
      <c r="P2069" s="83" t="n"/>
      <c r="Q2069" s="83" t="n"/>
      <c r="R2069" s="83" t="n"/>
      <c r="S2069" s="83" t="n"/>
      <c r="T2069" s="83" t="n"/>
      <c r="U2069" s="83" t="n"/>
      <c r="V2069" s="83" t="n"/>
      <c r="W2069" s="83" t="n"/>
      <c r="X2069" s="83" t="n"/>
      <c r="Y2069" s="83" t="n"/>
      <c r="Z2069" s="83" t="n"/>
      <c r="AA2069" s="83" t="n"/>
      <c r="AB2069" s="83" t="n"/>
      <c r="AC2069" s="83" t="n"/>
      <c r="AD2069" s="83" t="n"/>
      <c r="AE2069" s="83" t="n"/>
      <c r="AF2069" s="83" t="n"/>
      <c r="AG2069" s="83" t="n"/>
      <c r="AH2069" s="83" t="n"/>
      <c r="AI2069" s="83" t="n"/>
      <c r="AJ2069" s="83" t="n"/>
      <c r="AK2069" s="83" t="n"/>
      <c r="AL2069" s="83" t="n"/>
      <c r="AM2069" s="83" t="n"/>
      <c r="AN2069" s="83" t="n"/>
      <c r="AO2069" s="83" t="n"/>
      <c r="AP2069" s="83" t="n"/>
      <c r="AQ2069" s="83" t="n"/>
      <c r="AR2069" s="83" t="n"/>
    </row>
    <row r="2070">
      <c r="D2070" s="83" t="n"/>
      <c r="E2070" s="83" t="n"/>
      <c r="F2070" s="83" t="n"/>
      <c r="G2070" s="83" t="n"/>
      <c r="H2070" s="83" t="n"/>
      <c r="I2070" s="83" t="n"/>
      <c r="J2070" s="83" t="n"/>
      <c r="K2070" s="83" t="n"/>
      <c r="L2070" s="83" t="n"/>
      <c r="M2070" s="83" t="n"/>
      <c r="N2070" s="83" t="n"/>
      <c r="O2070" s="83" t="n"/>
      <c r="P2070" s="83" t="n"/>
      <c r="Q2070" s="83" t="n"/>
      <c r="R2070" s="83" t="n"/>
      <c r="S2070" s="83" t="n"/>
      <c r="T2070" s="83" t="n"/>
      <c r="U2070" s="83" t="n"/>
      <c r="V2070" s="83" t="n"/>
      <c r="W2070" s="83" t="n"/>
      <c r="X2070" s="83" t="n"/>
      <c r="Y2070" s="83" t="n"/>
      <c r="Z2070" s="83" t="n"/>
      <c r="AA2070" s="83" t="n"/>
      <c r="AB2070" s="83" t="n"/>
      <c r="AC2070" s="83" t="n"/>
      <c r="AD2070" s="83" t="n"/>
      <c r="AE2070" s="83" t="n"/>
      <c r="AF2070" s="83" t="n"/>
      <c r="AG2070" s="83" t="n"/>
      <c r="AH2070" s="83" t="n"/>
      <c r="AI2070" s="83" t="n"/>
      <c r="AJ2070" s="83" t="n"/>
      <c r="AK2070" s="83" t="n"/>
      <c r="AL2070" s="83" t="n"/>
      <c r="AM2070" s="83" t="n"/>
      <c r="AN2070" s="83" t="n"/>
      <c r="AO2070" s="83" t="n"/>
      <c r="AP2070" s="83" t="n"/>
      <c r="AQ2070" s="83" t="n"/>
      <c r="AR2070" s="83" t="n"/>
    </row>
    <row r="2071">
      <c r="D2071" s="84" t="n"/>
      <c r="E2071" s="84" t="n"/>
      <c r="F2071" s="84" t="n"/>
      <c r="G2071" s="84" t="n"/>
      <c r="H2071" s="84" t="n"/>
      <c r="I2071" s="84" t="n"/>
      <c r="J2071" s="84" t="n"/>
      <c r="K2071" s="84" t="n"/>
      <c r="L2071" s="84" t="n"/>
      <c r="M2071" s="84" t="n"/>
      <c r="N2071" s="84" t="n"/>
      <c r="O2071" s="84" t="n"/>
      <c r="P2071" s="84" t="n"/>
      <c r="Q2071" s="84" t="n"/>
      <c r="R2071" s="84" t="n"/>
      <c r="S2071" s="84" t="n"/>
      <c r="T2071" s="84" t="n"/>
      <c r="U2071" s="84" t="n"/>
      <c r="V2071" s="84" t="n"/>
      <c r="W2071" s="84" t="n"/>
      <c r="X2071" s="84" t="n"/>
      <c r="Y2071" s="84" t="n"/>
      <c r="Z2071" s="84" t="n"/>
      <c r="AA2071" s="84" t="n"/>
      <c r="AB2071" s="84" t="n"/>
      <c r="AC2071" s="84" t="n"/>
      <c r="AD2071" s="84" t="n"/>
      <c r="AE2071" s="84" t="n"/>
      <c r="AF2071" s="84" t="n"/>
      <c r="AG2071" s="84" t="n"/>
      <c r="AH2071" s="84" t="n"/>
      <c r="AI2071" s="84" t="n"/>
      <c r="AJ2071" s="84" t="n"/>
      <c r="AK2071" s="84" t="n"/>
      <c r="AL2071" s="84" t="n"/>
      <c r="AM2071" s="84" t="n"/>
      <c r="AN2071" s="84" t="n"/>
      <c r="AO2071" s="84" t="n"/>
      <c r="AP2071" s="84" t="n"/>
      <c r="AQ2071" s="84" t="n"/>
      <c r="AR2071" s="84" t="n"/>
    </row>
    <row r="2072">
      <c r="D2072" s="80" t="n"/>
      <c r="E2072" s="80" t="n"/>
      <c r="F2072" s="80" t="n"/>
      <c r="G2072" s="80" t="n"/>
      <c r="H2072" s="80" t="n"/>
      <c r="I2072" s="80" t="n"/>
      <c r="J2072" s="80" t="n"/>
      <c r="K2072" s="80" t="n"/>
      <c r="L2072" s="80" t="n"/>
      <c r="M2072" s="80" t="n"/>
      <c r="N2072" s="80" t="n"/>
      <c r="O2072" s="80" t="n"/>
      <c r="P2072" s="80" t="n"/>
      <c r="Q2072" s="80" t="n"/>
      <c r="R2072" s="80" t="n"/>
      <c r="S2072" s="80" t="n"/>
      <c r="T2072" s="80" t="n"/>
      <c r="U2072" s="80" t="n"/>
      <c r="V2072" s="80" t="n"/>
      <c r="W2072" s="80" t="n"/>
      <c r="X2072" s="80" t="n"/>
      <c r="Y2072" s="80" t="n"/>
      <c r="Z2072" s="80" t="n"/>
      <c r="AA2072" s="80" t="n"/>
      <c r="AB2072" s="80" t="n"/>
      <c r="AC2072" s="80" t="n"/>
      <c r="AD2072" s="80" t="n"/>
      <c r="AE2072" s="80" t="n"/>
      <c r="AF2072" s="80" t="n"/>
      <c r="AG2072" s="80" t="n"/>
      <c r="AH2072" s="80" t="n"/>
      <c r="AI2072" s="80" t="n"/>
      <c r="AJ2072" s="80" t="n"/>
      <c r="AK2072" s="80" t="n"/>
      <c r="AL2072" s="80" t="n"/>
      <c r="AM2072" s="80" t="n"/>
      <c r="AN2072" s="80" t="n"/>
      <c r="AO2072" s="80" t="n"/>
      <c r="AP2072" s="80" t="n"/>
      <c r="AQ2072" s="80" t="n"/>
      <c r="AR2072" s="80" t="n"/>
    </row>
    <row r="2073">
      <c r="D2073" s="80" t="n"/>
      <c r="E2073" s="80" t="n"/>
      <c r="F2073" s="80" t="n"/>
      <c r="G2073" s="80" t="n"/>
      <c r="H2073" s="80" t="n"/>
      <c r="I2073" s="80" t="n"/>
      <c r="J2073" s="80" t="n"/>
      <c r="K2073" s="80" t="n"/>
      <c r="L2073" s="80" t="n"/>
      <c r="M2073" s="80" t="n"/>
      <c r="N2073" s="80" t="n"/>
      <c r="O2073" s="80" t="n"/>
      <c r="P2073" s="80" t="n"/>
      <c r="Q2073" s="80" t="n"/>
      <c r="R2073" s="80" t="n"/>
      <c r="S2073" s="80" t="n"/>
      <c r="T2073" s="80" t="n"/>
      <c r="U2073" s="80" t="n"/>
      <c r="V2073" s="80" t="n"/>
      <c r="W2073" s="80" t="n"/>
      <c r="X2073" s="80" t="n"/>
      <c r="Y2073" s="80" t="n"/>
      <c r="Z2073" s="80" t="n"/>
      <c r="AA2073" s="80" t="n"/>
      <c r="AB2073" s="80" t="n"/>
      <c r="AC2073" s="80" t="n"/>
      <c r="AD2073" s="80" t="n"/>
      <c r="AE2073" s="80" t="n"/>
      <c r="AF2073" s="80" t="n"/>
      <c r="AG2073" s="80" t="n"/>
      <c r="AH2073" s="80" t="n"/>
      <c r="AI2073" s="80" t="n"/>
      <c r="AJ2073" s="80" t="n"/>
      <c r="AK2073" s="80" t="n"/>
      <c r="AL2073" s="80" t="n"/>
      <c r="AM2073" s="80" t="n"/>
      <c r="AN2073" s="80" t="n"/>
      <c r="AO2073" s="80" t="n"/>
      <c r="AP2073" s="80" t="n"/>
      <c r="AQ2073" s="80" t="n"/>
      <c r="AR2073" s="80" t="n"/>
    </row>
    <row r="2074">
      <c r="D2074" s="80" t="n"/>
      <c r="E2074" s="80" t="n"/>
      <c r="F2074" s="80" t="n"/>
      <c r="G2074" s="80" t="n"/>
      <c r="H2074" s="80" t="n"/>
      <c r="I2074" s="80" t="n"/>
      <c r="J2074" s="80" t="n"/>
      <c r="K2074" s="80" t="n"/>
      <c r="L2074" s="80" t="n"/>
      <c r="M2074" s="80" t="n"/>
      <c r="N2074" s="80" t="n"/>
      <c r="O2074" s="80" t="n"/>
      <c r="P2074" s="80" t="n"/>
      <c r="Q2074" s="80" t="n"/>
      <c r="R2074" s="80" t="n"/>
      <c r="S2074" s="80" t="n"/>
      <c r="T2074" s="80" t="n"/>
      <c r="U2074" s="80" t="n"/>
      <c r="V2074" s="80" t="n"/>
      <c r="W2074" s="80" t="n"/>
      <c r="X2074" s="80" t="n"/>
      <c r="Y2074" s="80" t="n"/>
      <c r="Z2074" s="80" t="n"/>
      <c r="AA2074" s="80" t="n"/>
      <c r="AB2074" s="80" t="n"/>
      <c r="AC2074" s="80" t="n"/>
      <c r="AD2074" s="80" t="n"/>
      <c r="AE2074" s="80" t="n"/>
      <c r="AF2074" s="80" t="n"/>
      <c r="AG2074" s="80" t="n"/>
      <c r="AH2074" s="80" t="n"/>
      <c r="AI2074" s="80" t="n"/>
      <c r="AJ2074" s="80" t="n"/>
      <c r="AK2074" s="80" t="n"/>
      <c r="AL2074" s="80" t="n"/>
      <c r="AM2074" s="80" t="n"/>
      <c r="AN2074" s="80" t="n"/>
      <c r="AO2074" s="80" t="n"/>
      <c r="AP2074" s="80" t="n"/>
      <c r="AQ2074" s="80" t="n"/>
      <c r="AR2074" s="80" t="n"/>
    </row>
    <row r="2075">
      <c r="D2075" s="80" t="n"/>
      <c r="E2075" s="80" t="n"/>
      <c r="F2075" s="80" t="n"/>
      <c r="G2075" s="80" t="n"/>
      <c r="H2075" s="80" t="n"/>
      <c r="I2075" s="80" t="n"/>
      <c r="J2075" s="80" t="n"/>
      <c r="K2075" s="80" t="n"/>
      <c r="L2075" s="80" t="n"/>
      <c r="M2075" s="80" t="n"/>
      <c r="N2075" s="80" t="n"/>
      <c r="O2075" s="80" t="n"/>
      <c r="P2075" s="80" t="n"/>
      <c r="Q2075" s="80" t="n"/>
      <c r="R2075" s="80" t="n"/>
      <c r="S2075" s="80" t="n"/>
      <c r="T2075" s="80" t="n"/>
      <c r="U2075" s="80" t="n"/>
      <c r="V2075" s="80" t="n"/>
      <c r="W2075" s="80" t="n"/>
      <c r="X2075" s="80" t="n"/>
      <c r="Y2075" s="80" t="n"/>
      <c r="Z2075" s="80" t="n"/>
      <c r="AA2075" s="80" t="n"/>
      <c r="AB2075" s="80" t="n"/>
      <c r="AC2075" s="80" t="n"/>
      <c r="AD2075" s="80" t="n"/>
      <c r="AE2075" s="80" t="n"/>
      <c r="AF2075" s="80" t="n"/>
      <c r="AG2075" s="80" t="n"/>
      <c r="AH2075" s="80" t="n"/>
      <c r="AI2075" s="80" t="n"/>
      <c r="AJ2075" s="80" t="n"/>
      <c r="AK2075" s="80" t="n"/>
      <c r="AL2075" s="80" t="n"/>
      <c r="AM2075" s="80" t="n"/>
      <c r="AN2075" s="80" t="n"/>
      <c r="AO2075" s="80" t="n"/>
      <c r="AP2075" s="80" t="n"/>
      <c r="AQ2075" s="80" t="n"/>
      <c r="AR2075" s="80" t="n"/>
    </row>
    <row r="2076">
      <c r="A2076" s="2">
        <f>IF($A2069="","","   projections")</f>
        <v/>
      </c>
      <c r="B2076" s="41">
        <f>IF($A2069="",0,COUNT($E2077:$AR2077))</f>
        <v/>
      </c>
      <c r="C2076" s="81">
        <f>IF($B2076=0,0,MAX($E2077:$AR2077))</f>
        <v/>
      </c>
      <c r="D2076" s="82">
        <f>BDS($A2069,'Field Check'!$C$6,"headers=y","startcol=1","endcol=7","dir=h")</f>
        <v/>
      </c>
      <c r="E2076" s="83" t="n"/>
      <c r="F2076" s="83" t="n"/>
      <c r="G2076" s="83" t="n"/>
      <c r="H2076" s="83" t="n"/>
      <c r="I2076" s="83" t="n"/>
      <c r="J2076" s="83" t="n"/>
      <c r="K2076" s="83" t="n"/>
      <c r="L2076" s="83" t="n"/>
      <c r="M2076" s="83" t="n"/>
      <c r="N2076" s="83" t="n"/>
      <c r="O2076" s="83" t="n"/>
      <c r="P2076" s="83" t="n"/>
      <c r="Q2076" s="83" t="n"/>
      <c r="R2076" s="83" t="n"/>
      <c r="S2076" s="83" t="n"/>
      <c r="T2076" s="83" t="n"/>
      <c r="U2076" s="83" t="n"/>
      <c r="V2076" s="83" t="n"/>
      <c r="W2076" s="83" t="n"/>
      <c r="X2076" s="83" t="n"/>
      <c r="Y2076" s="83" t="n"/>
      <c r="Z2076" s="83" t="n"/>
      <c r="AA2076" s="83" t="n"/>
      <c r="AB2076" s="83" t="n"/>
      <c r="AC2076" s="83" t="n"/>
      <c r="AD2076" s="83" t="n"/>
      <c r="AE2076" s="83" t="n"/>
      <c r="AF2076" s="83" t="n"/>
      <c r="AG2076" s="83" t="n"/>
      <c r="AH2076" s="83" t="n"/>
      <c r="AI2076" s="83" t="n"/>
      <c r="AJ2076" s="83" t="n"/>
      <c r="AK2076" s="83" t="n"/>
      <c r="AL2076" s="83" t="n"/>
      <c r="AM2076" s="83" t="n"/>
      <c r="AN2076" s="83" t="n"/>
      <c r="AO2076" s="83" t="n"/>
      <c r="AP2076" s="83" t="n"/>
      <c r="AQ2076" s="83" t="n"/>
      <c r="AR2076" s="83" t="n"/>
    </row>
    <row r="2077">
      <c r="D2077" s="83" t="n"/>
      <c r="E2077" s="83" t="n"/>
      <c r="F2077" s="83" t="n"/>
      <c r="G2077" s="83" t="n"/>
      <c r="H2077" s="83" t="n"/>
      <c r="I2077" s="83" t="n"/>
      <c r="J2077" s="83" t="n"/>
      <c r="K2077" s="83" t="n"/>
      <c r="L2077" s="83" t="n"/>
      <c r="M2077" s="83" t="n"/>
      <c r="N2077" s="83" t="n"/>
      <c r="O2077" s="83" t="n"/>
      <c r="P2077" s="83" t="n"/>
      <c r="Q2077" s="83" t="n"/>
      <c r="R2077" s="83" t="n"/>
      <c r="S2077" s="83" t="n"/>
      <c r="T2077" s="83" t="n"/>
      <c r="U2077" s="83" t="n"/>
      <c r="V2077" s="83" t="n"/>
      <c r="W2077" s="83" t="n"/>
      <c r="X2077" s="83" t="n"/>
      <c r="Y2077" s="83" t="n"/>
      <c r="Z2077" s="83" t="n"/>
      <c r="AA2077" s="83" t="n"/>
      <c r="AB2077" s="83" t="n"/>
      <c r="AC2077" s="83" t="n"/>
      <c r="AD2077" s="83" t="n"/>
      <c r="AE2077" s="83" t="n"/>
      <c r="AF2077" s="83" t="n"/>
      <c r="AG2077" s="83" t="n"/>
      <c r="AH2077" s="83" t="n"/>
      <c r="AI2077" s="83" t="n"/>
      <c r="AJ2077" s="83" t="n"/>
      <c r="AK2077" s="83" t="n"/>
      <c r="AL2077" s="83" t="n"/>
      <c r="AM2077" s="83" t="n"/>
      <c r="AN2077" s="83" t="n"/>
      <c r="AO2077" s="83" t="n"/>
      <c r="AP2077" s="83" t="n"/>
      <c r="AQ2077" s="83" t="n"/>
      <c r="AR2077" s="83" t="n"/>
    </row>
    <row r="2078">
      <c r="D2078" s="84" t="n"/>
      <c r="E2078" s="84" t="n"/>
      <c r="F2078" s="84" t="n"/>
      <c r="G2078" s="84" t="n"/>
      <c r="H2078" s="84" t="n"/>
      <c r="I2078" s="84" t="n"/>
      <c r="J2078" s="84" t="n"/>
      <c r="K2078" s="84" t="n"/>
      <c r="L2078" s="84" t="n"/>
      <c r="M2078" s="84" t="n"/>
      <c r="N2078" s="84" t="n"/>
      <c r="O2078" s="84" t="n"/>
      <c r="P2078" s="84" t="n"/>
      <c r="Q2078" s="84" t="n"/>
      <c r="R2078" s="84" t="n"/>
      <c r="S2078" s="84" t="n"/>
      <c r="T2078" s="84" t="n"/>
      <c r="U2078" s="84" t="n"/>
      <c r="V2078" s="84" t="n"/>
      <c r="W2078" s="84" t="n"/>
      <c r="X2078" s="84" t="n"/>
      <c r="Y2078" s="84" t="n"/>
      <c r="Z2078" s="84" t="n"/>
      <c r="AA2078" s="84" t="n"/>
      <c r="AB2078" s="84" t="n"/>
      <c r="AC2078" s="84" t="n"/>
      <c r="AD2078" s="84" t="n"/>
      <c r="AE2078" s="84" t="n"/>
      <c r="AF2078" s="84" t="n"/>
      <c r="AG2078" s="84" t="n"/>
      <c r="AH2078" s="84" t="n"/>
      <c r="AI2078" s="84" t="n"/>
      <c r="AJ2078" s="84" t="n"/>
      <c r="AK2078" s="84" t="n"/>
      <c r="AL2078" s="84" t="n"/>
      <c r="AM2078" s="84" t="n"/>
      <c r="AN2078" s="84" t="n"/>
      <c r="AO2078" s="84" t="n"/>
      <c r="AP2078" s="84" t="n"/>
      <c r="AQ2078" s="84" t="n"/>
      <c r="AR2078" s="84" t="n"/>
    </row>
    <row r="2079">
      <c r="D2079" s="80" t="n"/>
      <c r="E2079" s="80" t="n"/>
      <c r="F2079" s="80" t="n"/>
      <c r="G2079" s="80" t="n"/>
      <c r="H2079" s="80" t="n"/>
      <c r="I2079" s="80" t="n"/>
      <c r="J2079" s="80" t="n"/>
      <c r="K2079" s="80" t="n"/>
      <c r="L2079" s="80" t="n"/>
      <c r="M2079" s="80" t="n"/>
      <c r="N2079" s="80" t="n"/>
      <c r="O2079" s="80" t="n"/>
      <c r="P2079" s="80" t="n"/>
      <c r="Q2079" s="80" t="n"/>
      <c r="R2079" s="80" t="n"/>
      <c r="S2079" s="80" t="n"/>
      <c r="T2079" s="80" t="n"/>
      <c r="U2079" s="80" t="n"/>
      <c r="V2079" s="80" t="n"/>
      <c r="W2079" s="80" t="n"/>
      <c r="X2079" s="80" t="n"/>
      <c r="Y2079" s="80" t="n"/>
      <c r="Z2079" s="80" t="n"/>
      <c r="AA2079" s="80" t="n"/>
      <c r="AB2079" s="80" t="n"/>
      <c r="AC2079" s="80" t="n"/>
      <c r="AD2079" s="80" t="n"/>
      <c r="AE2079" s="80" t="n"/>
      <c r="AF2079" s="80" t="n"/>
      <c r="AG2079" s="80" t="n"/>
      <c r="AH2079" s="80" t="n"/>
      <c r="AI2079" s="80" t="n"/>
      <c r="AJ2079" s="80" t="n"/>
      <c r="AK2079" s="80" t="n"/>
      <c r="AL2079" s="80" t="n"/>
      <c r="AM2079" s="80" t="n"/>
      <c r="AN2079" s="80" t="n"/>
      <c r="AO2079" s="80" t="n"/>
      <c r="AP2079" s="80" t="n"/>
      <c r="AQ2079" s="80" t="n"/>
      <c r="AR2079" s="80" t="n"/>
    </row>
    <row r="2080">
      <c r="D2080" s="80" t="n"/>
      <c r="E2080" s="80" t="n"/>
      <c r="F2080" s="80" t="n"/>
      <c r="G2080" s="80" t="n"/>
      <c r="H2080" s="80" t="n"/>
      <c r="I2080" s="80" t="n"/>
      <c r="J2080" s="80" t="n"/>
      <c r="K2080" s="80" t="n"/>
      <c r="L2080" s="80" t="n"/>
      <c r="M2080" s="80" t="n"/>
      <c r="N2080" s="80" t="n"/>
      <c r="O2080" s="80" t="n"/>
      <c r="P2080" s="80" t="n"/>
      <c r="Q2080" s="80" t="n"/>
      <c r="R2080" s="80" t="n"/>
      <c r="S2080" s="80" t="n"/>
      <c r="T2080" s="80" t="n"/>
      <c r="U2080" s="80" t="n"/>
      <c r="V2080" s="80" t="n"/>
      <c r="W2080" s="80" t="n"/>
      <c r="X2080" s="80" t="n"/>
      <c r="Y2080" s="80" t="n"/>
      <c r="Z2080" s="80" t="n"/>
      <c r="AA2080" s="80" t="n"/>
      <c r="AB2080" s="80" t="n"/>
      <c r="AC2080" s="80" t="n"/>
      <c r="AD2080" s="80" t="n"/>
      <c r="AE2080" s="80" t="n"/>
      <c r="AF2080" s="80" t="n"/>
      <c r="AG2080" s="80" t="n"/>
      <c r="AH2080" s="80" t="n"/>
      <c r="AI2080" s="80" t="n"/>
      <c r="AJ2080" s="80" t="n"/>
      <c r="AK2080" s="80" t="n"/>
      <c r="AL2080" s="80" t="n"/>
      <c r="AM2080" s="80" t="n"/>
      <c r="AN2080" s="80" t="n"/>
      <c r="AO2080" s="80" t="n"/>
      <c r="AP2080" s="80" t="n"/>
      <c r="AQ2080" s="80" t="n"/>
      <c r="AR2080" s="80" t="n"/>
    </row>
    <row r="2081">
      <c r="D2081" s="80" t="n"/>
      <c r="E2081" s="80" t="n"/>
      <c r="F2081" s="80" t="n"/>
      <c r="G2081" s="80" t="n"/>
      <c r="H2081" s="80" t="n"/>
      <c r="I2081" s="80" t="n"/>
      <c r="J2081" s="80" t="n"/>
      <c r="K2081" s="80" t="n"/>
      <c r="L2081" s="80" t="n"/>
      <c r="M2081" s="80" t="n"/>
      <c r="N2081" s="80" t="n"/>
      <c r="O2081" s="80" t="n"/>
      <c r="P2081" s="80" t="n"/>
      <c r="Q2081" s="80" t="n"/>
      <c r="R2081" s="80" t="n"/>
      <c r="S2081" s="80" t="n"/>
      <c r="T2081" s="80" t="n"/>
      <c r="U2081" s="80" t="n"/>
      <c r="V2081" s="80" t="n"/>
      <c r="W2081" s="80" t="n"/>
      <c r="X2081" s="80" t="n"/>
      <c r="Y2081" s="80" t="n"/>
      <c r="Z2081" s="80" t="n"/>
      <c r="AA2081" s="80" t="n"/>
      <c r="AB2081" s="80" t="n"/>
      <c r="AC2081" s="80" t="n"/>
      <c r="AD2081" s="80" t="n"/>
      <c r="AE2081" s="80" t="n"/>
      <c r="AF2081" s="80" t="n"/>
      <c r="AG2081" s="80" t="n"/>
      <c r="AH2081" s="80" t="n"/>
      <c r="AI2081" s="80" t="n"/>
      <c r="AJ2081" s="80" t="n"/>
      <c r="AK2081" s="80" t="n"/>
      <c r="AL2081" s="80" t="n"/>
      <c r="AM2081" s="80" t="n"/>
      <c r="AN2081" s="80" t="n"/>
      <c r="AO2081" s="80" t="n"/>
      <c r="AP2081" s="80" t="n"/>
      <c r="AQ2081" s="80" t="n"/>
      <c r="AR2081" s="80" t="n"/>
    </row>
    <row r="2082">
      <c r="D2082" s="80" t="n"/>
      <c r="E2082" s="80" t="n"/>
      <c r="F2082" s="80" t="n"/>
      <c r="G2082" s="80" t="n"/>
      <c r="H2082" s="80" t="n"/>
      <c r="I2082" s="80" t="n"/>
      <c r="J2082" s="80" t="n"/>
      <c r="K2082" s="80" t="n"/>
      <c r="L2082" s="80" t="n"/>
      <c r="M2082" s="80" t="n"/>
      <c r="N2082" s="80" t="n"/>
      <c r="O2082" s="80" t="n"/>
      <c r="P2082" s="80" t="n"/>
      <c r="Q2082" s="80" t="n"/>
      <c r="R2082" s="80" t="n"/>
      <c r="S2082" s="80" t="n"/>
      <c r="T2082" s="80" t="n"/>
      <c r="U2082" s="80" t="n"/>
      <c r="V2082" s="80" t="n"/>
      <c r="W2082" s="80" t="n"/>
      <c r="X2082" s="80" t="n"/>
      <c r="Y2082" s="80" t="n"/>
      <c r="Z2082" s="80" t="n"/>
      <c r="AA2082" s="80" t="n"/>
      <c r="AB2082" s="80" t="n"/>
      <c r="AC2082" s="80" t="n"/>
      <c r="AD2082" s="80" t="n"/>
      <c r="AE2082" s="80" t="n"/>
      <c r="AF2082" s="80" t="n"/>
      <c r="AG2082" s="80" t="n"/>
      <c r="AH2082" s="80" t="n"/>
      <c r="AI2082" s="80" t="n"/>
      <c r="AJ2082" s="80" t="n"/>
      <c r="AK2082" s="80" t="n"/>
      <c r="AL2082" s="80" t="n"/>
      <c r="AM2082" s="80" t="n"/>
      <c r="AN2082" s="80" t="n"/>
      <c r="AO2082" s="80" t="n"/>
      <c r="AP2082" s="80" t="n"/>
      <c r="AQ2082" s="80" t="n"/>
      <c r="AR2082" s="80" t="n"/>
    </row>
    <row r="2084">
      <c r="A2084" s="6">
        <f>IF(HSTECH!$C$45="","",HSTECH!$C$45)</f>
        <v/>
      </c>
      <c r="B2084" s="41">
        <f>IF($A2084="",0,COUNT($E2085:$AR2085))</f>
        <v/>
      </c>
      <c r="C2084" s="81">
        <f>IF($B2084=0,0,MAX($E2085:$AR2085))</f>
        <v/>
      </c>
      <c r="D2084" s="82">
        <f>BDS($A2084,'Field Check'!$C$7,"headers=y","startcol=1","endcol=7","dir=h","DVD_START_DT",Summary!$C$18,"DVD_END_DT",Summary!$D$18)</f>
        <v/>
      </c>
      <c r="E2084" s="83" t="n"/>
      <c r="F2084" s="83" t="n"/>
      <c r="G2084" s="83" t="n"/>
      <c r="H2084" s="83" t="n"/>
      <c r="I2084" s="83" t="n"/>
      <c r="J2084" s="83" t="n"/>
      <c r="K2084" s="83" t="n"/>
      <c r="L2084" s="83" t="n"/>
      <c r="M2084" s="83" t="n"/>
      <c r="N2084" s="83" t="n"/>
      <c r="O2084" s="83" t="n"/>
      <c r="P2084" s="83" t="n"/>
      <c r="Q2084" s="83" t="n"/>
      <c r="R2084" s="83" t="n"/>
      <c r="S2084" s="83" t="n"/>
      <c r="T2084" s="83" t="n"/>
      <c r="U2084" s="83" t="n"/>
      <c r="V2084" s="83" t="n"/>
      <c r="W2084" s="83" t="n"/>
      <c r="X2084" s="83" t="n"/>
      <c r="Y2084" s="83" t="n"/>
      <c r="Z2084" s="83" t="n"/>
      <c r="AA2084" s="83" t="n"/>
      <c r="AB2084" s="83" t="n"/>
      <c r="AC2084" s="83" t="n"/>
      <c r="AD2084" s="83" t="n"/>
      <c r="AE2084" s="83" t="n"/>
      <c r="AF2084" s="83" t="n"/>
      <c r="AG2084" s="83" t="n"/>
      <c r="AH2084" s="83" t="n"/>
      <c r="AI2084" s="83" t="n"/>
      <c r="AJ2084" s="83" t="n"/>
      <c r="AK2084" s="83" t="n"/>
      <c r="AL2084" s="83" t="n"/>
      <c r="AM2084" s="83" t="n"/>
      <c r="AN2084" s="83" t="n"/>
      <c r="AO2084" s="83" t="n"/>
      <c r="AP2084" s="83" t="n"/>
      <c r="AQ2084" s="83" t="n"/>
      <c r="AR2084" s="83" t="n"/>
    </row>
    <row r="2085">
      <c r="D2085" s="83" t="n"/>
      <c r="E2085" s="83" t="n"/>
      <c r="F2085" s="83" t="n"/>
      <c r="G2085" s="83" t="n"/>
      <c r="H2085" s="83" t="n"/>
      <c r="I2085" s="83" t="n"/>
      <c r="J2085" s="83" t="n"/>
      <c r="K2085" s="83" t="n"/>
      <c r="L2085" s="83" t="n"/>
      <c r="M2085" s="83" t="n"/>
      <c r="N2085" s="83" t="n"/>
      <c r="O2085" s="83" t="n"/>
      <c r="P2085" s="83" t="n"/>
      <c r="Q2085" s="83" t="n"/>
      <c r="R2085" s="83" t="n"/>
      <c r="S2085" s="83" t="n"/>
      <c r="T2085" s="83" t="n"/>
      <c r="U2085" s="83" t="n"/>
      <c r="V2085" s="83" t="n"/>
      <c r="W2085" s="83" t="n"/>
      <c r="X2085" s="83" t="n"/>
      <c r="Y2085" s="83" t="n"/>
      <c r="Z2085" s="83" t="n"/>
      <c r="AA2085" s="83" t="n"/>
      <c r="AB2085" s="83" t="n"/>
      <c r="AC2085" s="83" t="n"/>
      <c r="AD2085" s="83" t="n"/>
      <c r="AE2085" s="83" t="n"/>
      <c r="AF2085" s="83" t="n"/>
      <c r="AG2085" s="83" t="n"/>
      <c r="AH2085" s="83" t="n"/>
      <c r="AI2085" s="83" t="n"/>
      <c r="AJ2085" s="83" t="n"/>
      <c r="AK2085" s="83" t="n"/>
      <c r="AL2085" s="83" t="n"/>
      <c r="AM2085" s="83" t="n"/>
      <c r="AN2085" s="83" t="n"/>
      <c r="AO2085" s="83" t="n"/>
      <c r="AP2085" s="83" t="n"/>
      <c r="AQ2085" s="83" t="n"/>
      <c r="AR2085" s="83" t="n"/>
    </row>
    <row r="2086">
      <c r="D2086" s="84" t="n"/>
      <c r="E2086" s="84" t="n"/>
      <c r="F2086" s="84" t="n"/>
      <c r="G2086" s="84" t="n"/>
      <c r="H2086" s="84" t="n"/>
      <c r="I2086" s="84" t="n"/>
      <c r="J2086" s="84" t="n"/>
      <c r="K2086" s="84" t="n"/>
      <c r="L2086" s="84" t="n"/>
      <c r="M2086" s="84" t="n"/>
      <c r="N2086" s="84" t="n"/>
      <c r="O2086" s="84" t="n"/>
      <c r="P2086" s="84" t="n"/>
      <c r="Q2086" s="84" t="n"/>
      <c r="R2086" s="84" t="n"/>
      <c r="S2086" s="84" t="n"/>
      <c r="T2086" s="84" t="n"/>
      <c r="U2086" s="84" t="n"/>
      <c r="V2086" s="84" t="n"/>
      <c r="W2086" s="84" t="n"/>
      <c r="X2086" s="84" t="n"/>
      <c r="Y2086" s="84" t="n"/>
      <c r="Z2086" s="84" t="n"/>
      <c r="AA2086" s="84" t="n"/>
      <c r="AB2086" s="84" t="n"/>
      <c r="AC2086" s="84" t="n"/>
      <c r="AD2086" s="84" t="n"/>
      <c r="AE2086" s="84" t="n"/>
      <c r="AF2086" s="84" t="n"/>
      <c r="AG2086" s="84" t="n"/>
      <c r="AH2086" s="84" t="n"/>
      <c r="AI2086" s="84" t="n"/>
      <c r="AJ2086" s="84" t="n"/>
      <c r="AK2086" s="84" t="n"/>
      <c r="AL2086" s="84" t="n"/>
      <c r="AM2086" s="84" t="n"/>
      <c r="AN2086" s="84" t="n"/>
      <c r="AO2086" s="84" t="n"/>
      <c r="AP2086" s="84" t="n"/>
      <c r="AQ2086" s="84" t="n"/>
      <c r="AR2086" s="84" t="n"/>
    </row>
    <row r="2087">
      <c r="D2087" s="80" t="n"/>
      <c r="E2087" s="80" t="n"/>
      <c r="F2087" s="80" t="n"/>
      <c r="G2087" s="80" t="n"/>
      <c r="H2087" s="80" t="n"/>
      <c r="I2087" s="80" t="n"/>
      <c r="J2087" s="80" t="n"/>
      <c r="K2087" s="80" t="n"/>
      <c r="L2087" s="80" t="n"/>
      <c r="M2087" s="80" t="n"/>
      <c r="N2087" s="80" t="n"/>
      <c r="O2087" s="80" t="n"/>
      <c r="P2087" s="80" t="n"/>
      <c r="Q2087" s="80" t="n"/>
      <c r="R2087" s="80" t="n"/>
      <c r="S2087" s="80" t="n"/>
      <c r="T2087" s="80" t="n"/>
      <c r="U2087" s="80" t="n"/>
      <c r="V2087" s="80" t="n"/>
      <c r="W2087" s="80" t="n"/>
      <c r="X2087" s="80" t="n"/>
      <c r="Y2087" s="80" t="n"/>
      <c r="Z2087" s="80" t="n"/>
      <c r="AA2087" s="80" t="n"/>
      <c r="AB2087" s="80" t="n"/>
      <c r="AC2087" s="80" t="n"/>
      <c r="AD2087" s="80" t="n"/>
      <c r="AE2087" s="80" t="n"/>
      <c r="AF2087" s="80" t="n"/>
      <c r="AG2087" s="80" t="n"/>
      <c r="AH2087" s="80" t="n"/>
      <c r="AI2087" s="80" t="n"/>
      <c r="AJ2087" s="80" t="n"/>
      <c r="AK2087" s="80" t="n"/>
      <c r="AL2087" s="80" t="n"/>
      <c r="AM2087" s="80" t="n"/>
      <c r="AN2087" s="80" t="n"/>
      <c r="AO2087" s="80" t="n"/>
      <c r="AP2087" s="80" t="n"/>
      <c r="AQ2087" s="80" t="n"/>
      <c r="AR2087" s="80" t="n"/>
    </row>
    <row r="2088">
      <c r="D2088" s="80" t="n"/>
      <c r="E2088" s="80" t="n"/>
      <c r="F2088" s="80" t="n"/>
      <c r="G2088" s="80" t="n"/>
      <c r="H2088" s="80" t="n"/>
      <c r="I2088" s="80" t="n"/>
      <c r="J2088" s="80" t="n"/>
      <c r="K2088" s="80" t="n"/>
      <c r="L2088" s="80" t="n"/>
      <c r="M2088" s="80" t="n"/>
      <c r="N2088" s="80" t="n"/>
      <c r="O2088" s="80" t="n"/>
      <c r="P2088" s="80" t="n"/>
      <c r="Q2088" s="80" t="n"/>
      <c r="R2088" s="80" t="n"/>
      <c r="S2088" s="80" t="n"/>
      <c r="T2088" s="80" t="n"/>
      <c r="U2088" s="80" t="n"/>
      <c r="V2088" s="80" t="n"/>
      <c r="W2088" s="80" t="n"/>
      <c r="X2088" s="80" t="n"/>
      <c r="Y2088" s="80" t="n"/>
      <c r="Z2088" s="80" t="n"/>
      <c r="AA2088" s="80" t="n"/>
      <c r="AB2088" s="80" t="n"/>
      <c r="AC2088" s="80" t="n"/>
      <c r="AD2088" s="80" t="n"/>
      <c r="AE2088" s="80" t="n"/>
      <c r="AF2088" s="80" t="n"/>
      <c r="AG2088" s="80" t="n"/>
      <c r="AH2088" s="80" t="n"/>
      <c r="AI2088" s="80" t="n"/>
      <c r="AJ2088" s="80" t="n"/>
      <c r="AK2088" s="80" t="n"/>
      <c r="AL2088" s="80" t="n"/>
      <c r="AM2088" s="80" t="n"/>
      <c r="AN2088" s="80" t="n"/>
      <c r="AO2088" s="80" t="n"/>
      <c r="AP2088" s="80" t="n"/>
      <c r="AQ2088" s="80" t="n"/>
      <c r="AR2088" s="80" t="n"/>
    </row>
    <row r="2089">
      <c r="D2089" s="80" t="n"/>
      <c r="E2089" s="80" t="n"/>
      <c r="F2089" s="80" t="n"/>
      <c r="G2089" s="80" t="n"/>
      <c r="H2089" s="80" t="n"/>
      <c r="I2089" s="80" t="n"/>
      <c r="J2089" s="80" t="n"/>
      <c r="K2089" s="80" t="n"/>
      <c r="L2089" s="80" t="n"/>
      <c r="M2089" s="80" t="n"/>
      <c r="N2089" s="80" t="n"/>
      <c r="O2089" s="80" t="n"/>
      <c r="P2089" s="80" t="n"/>
      <c r="Q2089" s="80" t="n"/>
      <c r="R2089" s="80" t="n"/>
      <c r="S2089" s="80" t="n"/>
      <c r="T2089" s="80" t="n"/>
      <c r="U2089" s="80" t="n"/>
      <c r="V2089" s="80" t="n"/>
      <c r="W2089" s="80" t="n"/>
      <c r="X2089" s="80" t="n"/>
      <c r="Y2089" s="80" t="n"/>
      <c r="Z2089" s="80" t="n"/>
      <c r="AA2089" s="80" t="n"/>
      <c r="AB2089" s="80" t="n"/>
      <c r="AC2089" s="80" t="n"/>
      <c r="AD2089" s="80" t="n"/>
      <c r="AE2089" s="80" t="n"/>
      <c r="AF2089" s="80" t="n"/>
      <c r="AG2089" s="80" t="n"/>
      <c r="AH2089" s="80" t="n"/>
      <c r="AI2089" s="80" t="n"/>
      <c r="AJ2089" s="80" t="n"/>
      <c r="AK2089" s="80" t="n"/>
      <c r="AL2089" s="80" t="n"/>
      <c r="AM2089" s="80" t="n"/>
      <c r="AN2089" s="80" t="n"/>
      <c r="AO2089" s="80" t="n"/>
      <c r="AP2089" s="80" t="n"/>
      <c r="AQ2089" s="80" t="n"/>
      <c r="AR2089" s="80" t="n"/>
    </row>
    <row r="2090">
      <c r="D2090" s="80" t="n"/>
      <c r="E2090" s="80" t="n"/>
      <c r="F2090" s="80" t="n"/>
      <c r="G2090" s="80" t="n"/>
      <c r="H2090" s="80" t="n"/>
      <c r="I2090" s="80" t="n"/>
      <c r="J2090" s="80" t="n"/>
      <c r="K2090" s="80" t="n"/>
      <c r="L2090" s="80" t="n"/>
      <c r="M2090" s="80" t="n"/>
      <c r="N2090" s="80" t="n"/>
      <c r="O2090" s="80" t="n"/>
      <c r="P2090" s="80" t="n"/>
      <c r="Q2090" s="80" t="n"/>
      <c r="R2090" s="80" t="n"/>
      <c r="S2090" s="80" t="n"/>
      <c r="T2090" s="80" t="n"/>
      <c r="U2090" s="80" t="n"/>
      <c r="V2090" s="80" t="n"/>
      <c r="W2090" s="80" t="n"/>
      <c r="X2090" s="80" t="n"/>
      <c r="Y2090" s="80" t="n"/>
      <c r="Z2090" s="80" t="n"/>
      <c r="AA2090" s="80" t="n"/>
      <c r="AB2090" s="80" t="n"/>
      <c r="AC2090" s="80" t="n"/>
      <c r="AD2090" s="80" t="n"/>
      <c r="AE2090" s="80" t="n"/>
      <c r="AF2090" s="80" t="n"/>
      <c r="AG2090" s="80" t="n"/>
      <c r="AH2090" s="80" t="n"/>
      <c r="AI2090" s="80" t="n"/>
      <c r="AJ2090" s="80" t="n"/>
      <c r="AK2090" s="80" t="n"/>
      <c r="AL2090" s="80" t="n"/>
      <c r="AM2090" s="80" t="n"/>
      <c r="AN2090" s="80" t="n"/>
      <c r="AO2090" s="80" t="n"/>
      <c r="AP2090" s="80" t="n"/>
      <c r="AQ2090" s="80" t="n"/>
      <c r="AR2090" s="80" t="n"/>
    </row>
    <row r="2091">
      <c r="A2091" s="2">
        <f>IF($A2084="","","   projections")</f>
        <v/>
      </c>
      <c r="B2091" s="41">
        <f>IF($A2084="",0,COUNT($E2092:$AR2092))</f>
        <v/>
      </c>
      <c r="C2091" s="81">
        <f>IF($B2091=0,0,MAX($E2092:$AR2092))</f>
        <v/>
      </c>
      <c r="D2091" s="82">
        <f>BDS($A2084,'Field Check'!$C$6,"headers=y","startcol=1","endcol=7","dir=h")</f>
        <v/>
      </c>
      <c r="E2091" s="83" t="n"/>
      <c r="F2091" s="83" t="n"/>
      <c r="G2091" s="83" t="n"/>
      <c r="H2091" s="83" t="n"/>
      <c r="I2091" s="83" t="n"/>
      <c r="J2091" s="83" t="n"/>
      <c r="K2091" s="83" t="n"/>
      <c r="L2091" s="83" t="n"/>
      <c r="M2091" s="83" t="n"/>
      <c r="N2091" s="83" t="n"/>
      <c r="O2091" s="83" t="n"/>
      <c r="P2091" s="83" t="n"/>
      <c r="Q2091" s="83" t="n"/>
      <c r="R2091" s="83" t="n"/>
      <c r="S2091" s="83" t="n"/>
      <c r="T2091" s="83" t="n"/>
      <c r="U2091" s="83" t="n"/>
      <c r="V2091" s="83" t="n"/>
      <c r="W2091" s="83" t="n"/>
      <c r="X2091" s="83" t="n"/>
      <c r="Y2091" s="83" t="n"/>
      <c r="Z2091" s="83" t="n"/>
      <c r="AA2091" s="83" t="n"/>
      <c r="AB2091" s="83" t="n"/>
      <c r="AC2091" s="83" t="n"/>
      <c r="AD2091" s="83" t="n"/>
      <c r="AE2091" s="83" t="n"/>
      <c r="AF2091" s="83" t="n"/>
      <c r="AG2091" s="83" t="n"/>
      <c r="AH2091" s="83" t="n"/>
      <c r="AI2091" s="83" t="n"/>
      <c r="AJ2091" s="83" t="n"/>
      <c r="AK2091" s="83" t="n"/>
      <c r="AL2091" s="83" t="n"/>
      <c r="AM2091" s="83" t="n"/>
      <c r="AN2091" s="83" t="n"/>
      <c r="AO2091" s="83" t="n"/>
      <c r="AP2091" s="83" t="n"/>
      <c r="AQ2091" s="83" t="n"/>
      <c r="AR2091" s="83" t="n"/>
    </row>
    <row r="2092">
      <c r="D2092" s="83" t="n"/>
      <c r="E2092" s="83" t="n"/>
      <c r="F2092" s="83" t="n"/>
      <c r="G2092" s="83" t="n"/>
      <c r="H2092" s="83" t="n"/>
      <c r="I2092" s="83" t="n"/>
      <c r="J2092" s="83" t="n"/>
      <c r="K2092" s="83" t="n"/>
      <c r="L2092" s="83" t="n"/>
      <c r="M2092" s="83" t="n"/>
      <c r="N2092" s="83" t="n"/>
      <c r="O2092" s="83" t="n"/>
      <c r="P2092" s="83" t="n"/>
      <c r="Q2092" s="83" t="n"/>
      <c r="R2092" s="83" t="n"/>
      <c r="S2092" s="83" t="n"/>
      <c r="T2092" s="83" t="n"/>
      <c r="U2092" s="83" t="n"/>
      <c r="V2092" s="83" t="n"/>
      <c r="W2092" s="83" t="n"/>
      <c r="X2092" s="83" t="n"/>
      <c r="Y2092" s="83" t="n"/>
      <c r="Z2092" s="83" t="n"/>
      <c r="AA2092" s="83" t="n"/>
      <c r="AB2092" s="83" t="n"/>
      <c r="AC2092" s="83" t="n"/>
      <c r="AD2092" s="83" t="n"/>
      <c r="AE2092" s="83" t="n"/>
      <c r="AF2092" s="83" t="n"/>
      <c r="AG2092" s="83" t="n"/>
      <c r="AH2092" s="83" t="n"/>
      <c r="AI2092" s="83" t="n"/>
      <c r="AJ2092" s="83" t="n"/>
      <c r="AK2092" s="83" t="n"/>
      <c r="AL2092" s="83" t="n"/>
      <c r="AM2092" s="83" t="n"/>
      <c r="AN2092" s="83" t="n"/>
      <c r="AO2092" s="83" t="n"/>
      <c r="AP2092" s="83" t="n"/>
      <c r="AQ2092" s="83" t="n"/>
      <c r="AR2092" s="83" t="n"/>
    </row>
    <row r="2093">
      <c r="D2093" s="84" t="n"/>
      <c r="E2093" s="84" t="n"/>
      <c r="F2093" s="84" t="n"/>
      <c r="G2093" s="84" t="n"/>
      <c r="H2093" s="84" t="n"/>
      <c r="I2093" s="84" t="n"/>
      <c r="J2093" s="84" t="n"/>
      <c r="K2093" s="84" t="n"/>
      <c r="L2093" s="84" t="n"/>
      <c r="M2093" s="84" t="n"/>
      <c r="N2093" s="84" t="n"/>
      <c r="O2093" s="84" t="n"/>
      <c r="P2093" s="84" t="n"/>
      <c r="Q2093" s="84" t="n"/>
      <c r="R2093" s="84" t="n"/>
      <c r="S2093" s="84" t="n"/>
      <c r="T2093" s="84" t="n"/>
      <c r="U2093" s="84" t="n"/>
      <c r="V2093" s="84" t="n"/>
      <c r="W2093" s="84" t="n"/>
      <c r="X2093" s="84" t="n"/>
      <c r="Y2093" s="84" t="n"/>
      <c r="Z2093" s="84" t="n"/>
      <c r="AA2093" s="84" t="n"/>
      <c r="AB2093" s="84" t="n"/>
      <c r="AC2093" s="84" t="n"/>
      <c r="AD2093" s="84" t="n"/>
      <c r="AE2093" s="84" t="n"/>
      <c r="AF2093" s="84" t="n"/>
      <c r="AG2093" s="84" t="n"/>
      <c r="AH2093" s="84" t="n"/>
      <c r="AI2093" s="84" t="n"/>
      <c r="AJ2093" s="84" t="n"/>
      <c r="AK2093" s="84" t="n"/>
      <c r="AL2093" s="84" t="n"/>
      <c r="AM2093" s="84" t="n"/>
      <c r="AN2093" s="84" t="n"/>
      <c r="AO2093" s="84" t="n"/>
      <c r="AP2093" s="84" t="n"/>
      <c r="AQ2093" s="84" t="n"/>
      <c r="AR2093" s="84" t="n"/>
    </row>
    <row r="2094">
      <c r="D2094" s="80" t="n"/>
      <c r="E2094" s="80" t="n"/>
      <c r="F2094" s="80" t="n"/>
      <c r="G2094" s="80" t="n"/>
      <c r="H2094" s="80" t="n"/>
      <c r="I2094" s="80" t="n"/>
      <c r="J2094" s="80" t="n"/>
      <c r="K2094" s="80" t="n"/>
      <c r="L2094" s="80" t="n"/>
      <c r="M2094" s="80" t="n"/>
      <c r="N2094" s="80" t="n"/>
      <c r="O2094" s="80" t="n"/>
      <c r="P2094" s="80" t="n"/>
      <c r="Q2094" s="80" t="n"/>
      <c r="R2094" s="80" t="n"/>
      <c r="S2094" s="80" t="n"/>
      <c r="T2094" s="80" t="n"/>
      <c r="U2094" s="80" t="n"/>
      <c r="V2094" s="80" t="n"/>
      <c r="W2094" s="80" t="n"/>
      <c r="X2094" s="80" t="n"/>
      <c r="Y2094" s="80" t="n"/>
      <c r="Z2094" s="80" t="n"/>
      <c r="AA2094" s="80" t="n"/>
      <c r="AB2094" s="80" t="n"/>
      <c r="AC2094" s="80" t="n"/>
      <c r="AD2094" s="80" t="n"/>
      <c r="AE2094" s="80" t="n"/>
      <c r="AF2094" s="80" t="n"/>
      <c r="AG2094" s="80" t="n"/>
      <c r="AH2094" s="80" t="n"/>
      <c r="AI2094" s="80" t="n"/>
      <c r="AJ2094" s="80" t="n"/>
      <c r="AK2094" s="80" t="n"/>
      <c r="AL2094" s="80" t="n"/>
      <c r="AM2094" s="80" t="n"/>
      <c r="AN2094" s="80" t="n"/>
      <c r="AO2094" s="80" t="n"/>
      <c r="AP2094" s="80" t="n"/>
      <c r="AQ2094" s="80" t="n"/>
      <c r="AR2094" s="80" t="n"/>
    </row>
    <row r="2095">
      <c r="D2095" s="80" t="n"/>
      <c r="E2095" s="80" t="n"/>
      <c r="F2095" s="80" t="n"/>
      <c r="G2095" s="80" t="n"/>
      <c r="H2095" s="80" t="n"/>
      <c r="I2095" s="80" t="n"/>
      <c r="J2095" s="80" t="n"/>
      <c r="K2095" s="80" t="n"/>
      <c r="L2095" s="80" t="n"/>
      <c r="M2095" s="80" t="n"/>
      <c r="N2095" s="80" t="n"/>
      <c r="O2095" s="80" t="n"/>
      <c r="P2095" s="80" t="n"/>
      <c r="Q2095" s="80" t="n"/>
      <c r="R2095" s="80" t="n"/>
      <c r="S2095" s="80" t="n"/>
      <c r="T2095" s="80" t="n"/>
      <c r="U2095" s="80" t="n"/>
      <c r="V2095" s="80" t="n"/>
      <c r="W2095" s="80" t="n"/>
      <c r="X2095" s="80" t="n"/>
      <c r="Y2095" s="80" t="n"/>
      <c r="Z2095" s="80" t="n"/>
      <c r="AA2095" s="80" t="n"/>
      <c r="AB2095" s="80" t="n"/>
      <c r="AC2095" s="80" t="n"/>
      <c r="AD2095" s="80" t="n"/>
      <c r="AE2095" s="80" t="n"/>
      <c r="AF2095" s="80" t="n"/>
      <c r="AG2095" s="80" t="n"/>
      <c r="AH2095" s="80" t="n"/>
      <c r="AI2095" s="80" t="n"/>
      <c r="AJ2095" s="80" t="n"/>
      <c r="AK2095" s="80" t="n"/>
      <c r="AL2095" s="80" t="n"/>
      <c r="AM2095" s="80" t="n"/>
      <c r="AN2095" s="80" t="n"/>
      <c r="AO2095" s="80" t="n"/>
      <c r="AP2095" s="80" t="n"/>
      <c r="AQ2095" s="80" t="n"/>
      <c r="AR2095" s="80" t="n"/>
    </row>
    <row r="2096">
      <c r="D2096" s="80" t="n"/>
      <c r="E2096" s="80" t="n"/>
      <c r="F2096" s="80" t="n"/>
      <c r="G2096" s="80" t="n"/>
      <c r="H2096" s="80" t="n"/>
      <c r="I2096" s="80" t="n"/>
      <c r="J2096" s="80" t="n"/>
      <c r="K2096" s="80" t="n"/>
      <c r="L2096" s="80" t="n"/>
      <c r="M2096" s="80" t="n"/>
      <c r="N2096" s="80" t="n"/>
      <c r="O2096" s="80" t="n"/>
      <c r="P2096" s="80" t="n"/>
      <c r="Q2096" s="80" t="n"/>
      <c r="R2096" s="80" t="n"/>
      <c r="S2096" s="80" t="n"/>
      <c r="T2096" s="80" t="n"/>
      <c r="U2096" s="80" t="n"/>
      <c r="V2096" s="80" t="n"/>
      <c r="W2096" s="80" t="n"/>
      <c r="X2096" s="80" t="n"/>
      <c r="Y2096" s="80" t="n"/>
      <c r="Z2096" s="80" t="n"/>
      <c r="AA2096" s="80" t="n"/>
      <c r="AB2096" s="80" t="n"/>
      <c r="AC2096" s="80" t="n"/>
      <c r="AD2096" s="80" t="n"/>
      <c r="AE2096" s="80" t="n"/>
      <c r="AF2096" s="80" t="n"/>
      <c r="AG2096" s="80" t="n"/>
      <c r="AH2096" s="80" t="n"/>
      <c r="AI2096" s="80" t="n"/>
      <c r="AJ2096" s="80" t="n"/>
      <c r="AK2096" s="80" t="n"/>
      <c r="AL2096" s="80" t="n"/>
      <c r="AM2096" s="80" t="n"/>
      <c r="AN2096" s="80" t="n"/>
      <c r="AO2096" s="80" t="n"/>
      <c r="AP2096" s="80" t="n"/>
      <c r="AQ2096" s="80" t="n"/>
      <c r="AR2096" s="80" t="n"/>
    </row>
    <row r="2097">
      <c r="D2097" s="80" t="n"/>
      <c r="E2097" s="80" t="n"/>
      <c r="F2097" s="80" t="n"/>
      <c r="G2097" s="80" t="n"/>
      <c r="H2097" s="80" t="n"/>
      <c r="I2097" s="80" t="n"/>
      <c r="J2097" s="80" t="n"/>
      <c r="K2097" s="80" t="n"/>
      <c r="L2097" s="80" t="n"/>
      <c r="M2097" s="80" t="n"/>
      <c r="N2097" s="80" t="n"/>
      <c r="O2097" s="80" t="n"/>
      <c r="P2097" s="80" t="n"/>
      <c r="Q2097" s="80" t="n"/>
      <c r="R2097" s="80" t="n"/>
      <c r="S2097" s="80" t="n"/>
      <c r="T2097" s="80" t="n"/>
      <c r="U2097" s="80" t="n"/>
      <c r="V2097" s="80" t="n"/>
      <c r="W2097" s="80" t="n"/>
      <c r="X2097" s="80" t="n"/>
      <c r="Y2097" s="80" t="n"/>
      <c r="Z2097" s="80" t="n"/>
      <c r="AA2097" s="80" t="n"/>
      <c r="AB2097" s="80" t="n"/>
      <c r="AC2097" s="80" t="n"/>
      <c r="AD2097" s="80" t="n"/>
      <c r="AE2097" s="80" t="n"/>
      <c r="AF2097" s="80" t="n"/>
      <c r="AG2097" s="80" t="n"/>
      <c r="AH2097" s="80" t="n"/>
      <c r="AI2097" s="80" t="n"/>
      <c r="AJ2097" s="80" t="n"/>
      <c r="AK2097" s="80" t="n"/>
      <c r="AL2097" s="80" t="n"/>
      <c r="AM2097" s="80" t="n"/>
      <c r="AN2097" s="80" t="n"/>
      <c r="AO2097" s="80" t="n"/>
      <c r="AP2097" s="80" t="n"/>
      <c r="AQ2097" s="80" t="n"/>
      <c r="AR2097" s="80" t="n"/>
    </row>
    <row r="2099">
      <c r="A2099" s="6">
        <f>IF(HSTECH!$C$46="","",HSTECH!$C$46)</f>
        <v/>
      </c>
      <c r="B2099" s="41">
        <f>IF($A2099="",0,COUNT($E2100:$AR2100))</f>
        <v/>
      </c>
      <c r="C2099" s="81">
        <f>IF($B2099=0,0,MAX($E2100:$AR2100))</f>
        <v/>
      </c>
      <c r="D2099" s="82">
        <f>BDS($A2099,'Field Check'!$C$7,"headers=y","startcol=1","endcol=7","dir=h","DVD_START_DT",Summary!$C$18,"DVD_END_DT",Summary!$D$18)</f>
        <v/>
      </c>
      <c r="E2099" s="83" t="n"/>
      <c r="F2099" s="83" t="n"/>
      <c r="G2099" s="83" t="n"/>
      <c r="H2099" s="83" t="n"/>
      <c r="I2099" s="83" t="n"/>
      <c r="J2099" s="83" t="n"/>
      <c r="K2099" s="83" t="n"/>
      <c r="L2099" s="83" t="n"/>
      <c r="M2099" s="83" t="n"/>
      <c r="N2099" s="83" t="n"/>
      <c r="O2099" s="83" t="n"/>
      <c r="P2099" s="83" t="n"/>
      <c r="Q2099" s="83" t="n"/>
      <c r="R2099" s="83" t="n"/>
      <c r="S2099" s="83" t="n"/>
      <c r="T2099" s="83" t="n"/>
      <c r="U2099" s="83" t="n"/>
      <c r="V2099" s="83" t="n"/>
      <c r="W2099" s="83" t="n"/>
      <c r="X2099" s="83" t="n"/>
      <c r="Y2099" s="83" t="n"/>
      <c r="Z2099" s="83" t="n"/>
      <c r="AA2099" s="83" t="n"/>
      <c r="AB2099" s="83" t="n"/>
      <c r="AC2099" s="83" t="n"/>
      <c r="AD2099" s="83" t="n"/>
      <c r="AE2099" s="83" t="n"/>
      <c r="AF2099" s="83" t="n"/>
      <c r="AG2099" s="83" t="n"/>
      <c r="AH2099" s="83" t="n"/>
      <c r="AI2099" s="83" t="n"/>
      <c r="AJ2099" s="83" t="n"/>
      <c r="AK2099" s="83" t="n"/>
      <c r="AL2099" s="83" t="n"/>
      <c r="AM2099" s="83" t="n"/>
      <c r="AN2099" s="83" t="n"/>
      <c r="AO2099" s="83" t="n"/>
      <c r="AP2099" s="83" t="n"/>
      <c r="AQ2099" s="83" t="n"/>
      <c r="AR2099" s="83" t="n"/>
    </row>
    <row r="2100">
      <c r="D2100" s="83" t="n"/>
      <c r="E2100" s="83" t="n"/>
      <c r="F2100" s="83" t="n"/>
      <c r="G2100" s="83" t="n"/>
      <c r="H2100" s="83" t="n"/>
      <c r="I2100" s="83" t="n"/>
      <c r="J2100" s="83" t="n"/>
      <c r="K2100" s="83" t="n"/>
      <c r="L2100" s="83" t="n"/>
      <c r="M2100" s="83" t="n"/>
      <c r="N2100" s="83" t="n"/>
      <c r="O2100" s="83" t="n"/>
      <c r="P2100" s="83" t="n"/>
      <c r="Q2100" s="83" t="n"/>
      <c r="R2100" s="83" t="n"/>
      <c r="S2100" s="83" t="n"/>
      <c r="T2100" s="83" t="n"/>
      <c r="U2100" s="83" t="n"/>
      <c r="V2100" s="83" t="n"/>
      <c r="W2100" s="83" t="n"/>
      <c r="X2100" s="83" t="n"/>
      <c r="Y2100" s="83" t="n"/>
      <c r="Z2100" s="83" t="n"/>
      <c r="AA2100" s="83" t="n"/>
      <c r="AB2100" s="83" t="n"/>
      <c r="AC2100" s="83" t="n"/>
      <c r="AD2100" s="83" t="n"/>
      <c r="AE2100" s="83" t="n"/>
      <c r="AF2100" s="83" t="n"/>
      <c r="AG2100" s="83" t="n"/>
      <c r="AH2100" s="83" t="n"/>
      <c r="AI2100" s="83" t="n"/>
      <c r="AJ2100" s="83" t="n"/>
      <c r="AK2100" s="83" t="n"/>
      <c r="AL2100" s="83" t="n"/>
      <c r="AM2100" s="83" t="n"/>
      <c r="AN2100" s="83" t="n"/>
      <c r="AO2100" s="83" t="n"/>
      <c r="AP2100" s="83" t="n"/>
      <c r="AQ2100" s="83" t="n"/>
      <c r="AR2100" s="83" t="n"/>
    </row>
    <row r="2101">
      <c r="D2101" s="84" t="n"/>
      <c r="E2101" s="84" t="n"/>
      <c r="F2101" s="84" t="n"/>
      <c r="G2101" s="84" t="n"/>
      <c r="H2101" s="84" t="n"/>
      <c r="I2101" s="84" t="n"/>
      <c r="J2101" s="84" t="n"/>
      <c r="K2101" s="84" t="n"/>
      <c r="L2101" s="84" t="n"/>
      <c r="M2101" s="84" t="n"/>
      <c r="N2101" s="84" t="n"/>
      <c r="O2101" s="84" t="n"/>
      <c r="P2101" s="84" t="n"/>
      <c r="Q2101" s="84" t="n"/>
      <c r="R2101" s="84" t="n"/>
      <c r="S2101" s="84" t="n"/>
      <c r="T2101" s="84" t="n"/>
      <c r="U2101" s="84" t="n"/>
      <c r="V2101" s="84" t="n"/>
      <c r="W2101" s="84" t="n"/>
      <c r="X2101" s="84" t="n"/>
      <c r="Y2101" s="84" t="n"/>
      <c r="Z2101" s="84" t="n"/>
      <c r="AA2101" s="84" t="n"/>
      <c r="AB2101" s="84" t="n"/>
      <c r="AC2101" s="84" t="n"/>
      <c r="AD2101" s="84" t="n"/>
      <c r="AE2101" s="84" t="n"/>
      <c r="AF2101" s="84" t="n"/>
      <c r="AG2101" s="84" t="n"/>
      <c r="AH2101" s="84" t="n"/>
      <c r="AI2101" s="84" t="n"/>
      <c r="AJ2101" s="84" t="n"/>
      <c r="AK2101" s="84" t="n"/>
      <c r="AL2101" s="84" t="n"/>
      <c r="AM2101" s="84" t="n"/>
      <c r="AN2101" s="84" t="n"/>
      <c r="AO2101" s="84" t="n"/>
      <c r="AP2101" s="84" t="n"/>
      <c r="AQ2101" s="84" t="n"/>
      <c r="AR2101" s="84" t="n"/>
    </row>
    <row r="2102">
      <c r="D2102" s="80" t="n"/>
      <c r="E2102" s="80" t="n"/>
      <c r="F2102" s="80" t="n"/>
      <c r="G2102" s="80" t="n"/>
      <c r="H2102" s="80" t="n"/>
      <c r="I2102" s="80" t="n"/>
      <c r="J2102" s="80" t="n"/>
      <c r="K2102" s="80" t="n"/>
      <c r="L2102" s="80" t="n"/>
      <c r="M2102" s="80" t="n"/>
      <c r="N2102" s="80" t="n"/>
      <c r="O2102" s="80" t="n"/>
      <c r="P2102" s="80" t="n"/>
      <c r="Q2102" s="80" t="n"/>
      <c r="R2102" s="80" t="n"/>
      <c r="S2102" s="80" t="n"/>
      <c r="T2102" s="80" t="n"/>
      <c r="U2102" s="80" t="n"/>
      <c r="V2102" s="80" t="n"/>
      <c r="W2102" s="80" t="n"/>
      <c r="X2102" s="80" t="n"/>
      <c r="Y2102" s="80" t="n"/>
      <c r="Z2102" s="80" t="n"/>
      <c r="AA2102" s="80" t="n"/>
      <c r="AB2102" s="80" t="n"/>
      <c r="AC2102" s="80" t="n"/>
      <c r="AD2102" s="80" t="n"/>
      <c r="AE2102" s="80" t="n"/>
      <c r="AF2102" s="80" t="n"/>
      <c r="AG2102" s="80" t="n"/>
      <c r="AH2102" s="80" t="n"/>
      <c r="AI2102" s="80" t="n"/>
      <c r="AJ2102" s="80" t="n"/>
      <c r="AK2102" s="80" t="n"/>
      <c r="AL2102" s="80" t="n"/>
      <c r="AM2102" s="80" t="n"/>
      <c r="AN2102" s="80" t="n"/>
      <c r="AO2102" s="80" t="n"/>
      <c r="AP2102" s="80" t="n"/>
      <c r="AQ2102" s="80" t="n"/>
      <c r="AR2102" s="80" t="n"/>
    </row>
    <row r="2103">
      <c r="D2103" s="80" t="n"/>
      <c r="E2103" s="80" t="n"/>
      <c r="F2103" s="80" t="n"/>
      <c r="G2103" s="80" t="n"/>
      <c r="H2103" s="80" t="n"/>
      <c r="I2103" s="80" t="n"/>
      <c r="J2103" s="80" t="n"/>
      <c r="K2103" s="80" t="n"/>
      <c r="L2103" s="80" t="n"/>
      <c r="M2103" s="80" t="n"/>
      <c r="N2103" s="80" t="n"/>
      <c r="O2103" s="80" t="n"/>
      <c r="P2103" s="80" t="n"/>
      <c r="Q2103" s="80" t="n"/>
      <c r="R2103" s="80" t="n"/>
      <c r="S2103" s="80" t="n"/>
      <c r="T2103" s="80" t="n"/>
      <c r="U2103" s="80" t="n"/>
      <c r="V2103" s="80" t="n"/>
      <c r="W2103" s="80" t="n"/>
      <c r="X2103" s="80" t="n"/>
      <c r="Y2103" s="80" t="n"/>
      <c r="Z2103" s="80" t="n"/>
      <c r="AA2103" s="80" t="n"/>
      <c r="AB2103" s="80" t="n"/>
      <c r="AC2103" s="80" t="n"/>
      <c r="AD2103" s="80" t="n"/>
      <c r="AE2103" s="80" t="n"/>
      <c r="AF2103" s="80" t="n"/>
      <c r="AG2103" s="80" t="n"/>
      <c r="AH2103" s="80" t="n"/>
      <c r="AI2103" s="80" t="n"/>
      <c r="AJ2103" s="80" t="n"/>
      <c r="AK2103" s="80" t="n"/>
      <c r="AL2103" s="80" t="n"/>
      <c r="AM2103" s="80" t="n"/>
      <c r="AN2103" s="80" t="n"/>
      <c r="AO2103" s="80" t="n"/>
      <c r="AP2103" s="80" t="n"/>
      <c r="AQ2103" s="80" t="n"/>
      <c r="AR2103" s="80" t="n"/>
    </row>
    <row r="2104">
      <c r="D2104" s="80" t="n"/>
      <c r="E2104" s="80" t="n"/>
      <c r="F2104" s="80" t="n"/>
      <c r="G2104" s="80" t="n"/>
      <c r="H2104" s="80" t="n"/>
      <c r="I2104" s="80" t="n"/>
      <c r="J2104" s="80" t="n"/>
      <c r="K2104" s="80" t="n"/>
      <c r="L2104" s="80" t="n"/>
      <c r="M2104" s="80" t="n"/>
      <c r="N2104" s="80" t="n"/>
      <c r="O2104" s="80" t="n"/>
      <c r="P2104" s="80" t="n"/>
      <c r="Q2104" s="80" t="n"/>
      <c r="R2104" s="80" t="n"/>
      <c r="S2104" s="80" t="n"/>
      <c r="T2104" s="80" t="n"/>
      <c r="U2104" s="80" t="n"/>
      <c r="V2104" s="80" t="n"/>
      <c r="W2104" s="80" t="n"/>
      <c r="X2104" s="80" t="n"/>
      <c r="Y2104" s="80" t="n"/>
      <c r="Z2104" s="80" t="n"/>
      <c r="AA2104" s="80" t="n"/>
      <c r="AB2104" s="80" t="n"/>
      <c r="AC2104" s="80" t="n"/>
      <c r="AD2104" s="80" t="n"/>
      <c r="AE2104" s="80" t="n"/>
      <c r="AF2104" s="80" t="n"/>
      <c r="AG2104" s="80" t="n"/>
      <c r="AH2104" s="80" t="n"/>
      <c r="AI2104" s="80" t="n"/>
      <c r="AJ2104" s="80" t="n"/>
      <c r="AK2104" s="80" t="n"/>
      <c r="AL2104" s="80" t="n"/>
      <c r="AM2104" s="80" t="n"/>
      <c r="AN2104" s="80" t="n"/>
      <c r="AO2104" s="80" t="n"/>
      <c r="AP2104" s="80" t="n"/>
      <c r="AQ2104" s="80" t="n"/>
      <c r="AR2104" s="80" t="n"/>
    </row>
    <row r="2105">
      <c r="D2105" s="80" t="n"/>
      <c r="E2105" s="80" t="n"/>
      <c r="F2105" s="80" t="n"/>
      <c r="G2105" s="80" t="n"/>
      <c r="H2105" s="80" t="n"/>
      <c r="I2105" s="80" t="n"/>
      <c r="J2105" s="80" t="n"/>
      <c r="K2105" s="80" t="n"/>
      <c r="L2105" s="80" t="n"/>
      <c r="M2105" s="80" t="n"/>
      <c r="N2105" s="80" t="n"/>
      <c r="O2105" s="80" t="n"/>
      <c r="P2105" s="80" t="n"/>
      <c r="Q2105" s="80" t="n"/>
      <c r="R2105" s="80" t="n"/>
      <c r="S2105" s="80" t="n"/>
      <c r="T2105" s="80" t="n"/>
      <c r="U2105" s="80" t="n"/>
      <c r="V2105" s="80" t="n"/>
      <c r="W2105" s="80" t="n"/>
      <c r="X2105" s="80" t="n"/>
      <c r="Y2105" s="80" t="n"/>
      <c r="Z2105" s="80" t="n"/>
      <c r="AA2105" s="80" t="n"/>
      <c r="AB2105" s="80" t="n"/>
      <c r="AC2105" s="80" t="n"/>
      <c r="AD2105" s="80" t="n"/>
      <c r="AE2105" s="80" t="n"/>
      <c r="AF2105" s="80" t="n"/>
      <c r="AG2105" s="80" t="n"/>
      <c r="AH2105" s="80" t="n"/>
      <c r="AI2105" s="80" t="n"/>
      <c r="AJ2105" s="80" t="n"/>
      <c r="AK2105" s="80" t="n"/>
      <c r="AL2105" s="80" t="n"/>
      <c r="AM2105" s="80" t="n"/>
      <c r="AN2105" s="80" t="n"/>
      <c r="AO2105" s="80" t="n"/>
      <c r="AP2105" s="80" t="n"/>
      <c r="AQ2105" s="80" t="n"/>
      <c r="AR2105" s="80" t="n"/>
    </row>
    <row r="2106">
      <c r="A2106" s="2">
        <f>IF($A2099="","","   projections")</f>
        <v/>
      </c>
      <c r="B2106" s="41">
        <f>IF($A2099="",0,COUNT($E2107:$AR2107))</f>
        <v/>
      </c>
      <c r="C2106" s="81">
        <f>IF($B2106=0,0,MAX($E2107:$AR2107))</f>
        <v/>
      </c>
      <c r="D2106" s="82">
        <f>BDS($A2099,'Field Check'!$C$6,"headers=y","startcol=1","endcol=7","dir=h")</f>
        <v/>
      </c>
      <c r="E2106" s="83" t="n"/>
      <c r="F2106" s="83" t="n"/>
      <c r="G2106" s="83" t="n"/>
      <c r="H2106" s="83" t="n"/>
      <c r="I2106" s="83" t="n"/>
      <c r="J2106" s="83" t="n"/>
      <c r="K2106" s="83" t="n"/>
      <c r="L2106" s="83" t="n"/>
      <c r="M2106" s="83" t="n"/>
      <c r="N2106" s="83" t="n"/>
      <c r="O2106" s="83" t="n"/>
      <c r="P2106" s="83" t="n"/>
      <c r="Q2106" s="83" t="n"/>
      <c r="R2106" s="83" t="n"/>
      <c r="S2106" s="83" t="n"/>
      <c r="T2106" s="83" t="n"/>
      <c r="U2106" s="83" t="n"/>
      <c r="V2106" s="83" t="n"/>
      <c r="W2106" s="83" t="n"/>
      <c r="X2106" s="83" t="n"/>
      <c r="Y2106" s="83" t="n"/>
      <c r="Z2106" s="83" t="n"/>
      <c r="AA2106" s="83" t="n"/>
      <c r="AB2106" s="83" t="n"/>
      <c r="AC2106" s="83" t="n"/>
      <c r="AD2106" s="83" t="n"/>
      <c r="AE2106" s="83" t="n"/>
      <c r="AF2106" s="83" t="n"/>
      <c r="AG2106" s="83" t="n"/>
      <c r="AH2106" s="83" t="n"/>
      <c r="AI2106" s="83" t="n"/>
      <c r="AJ2106" s="83" t="n"/>
      <c r="AK2106" s="83" t="n"/>
      <c r="AL2106" s="83" t="n"/>
      <c r="AM2106" s="83" t="n"/>
      <c r="AN2106" s="83" t="n"/>
      <c r="AO2106" s="83" t="n"/>
      <c r="AP2106" s="83" t="n"/>
      <c r="AQ2106" s="83" t="n"/>
      <c r="AR2106" s="83" t="n"/>
    </row>
    <row r="2107">
      <c r="D2107" s="83" t="n"/>
      <c r="E2107" s="83" t="n"/>
      <c r="F2107" s="83" t="n"/>
      <c r="G2107" s="83" t="n"/>
      <c r="H2107" s="83" t="n"/>
      <c r="I2107" s="83" t="n"/>
      <c r="J2107" s="83" t="n"/>
      <c r="K2107" s="83" t="n"/>
      <c r="L2107" s="83" t="n"/>
      <c r="M2107" s="83" t="n"/>
      <c r="N2107" s="83" t="n"/>
      <c r="O2107" s="83" t="n"/>
      <c r="P2107" s="83" t="n"/>
      <c r="Q2107" s="83" t="n"/>
      <c r="R2107" s="83" t="n"/>
      <c r="S2107" s="83" t="n"/>
      <c r="T2107" s="83" t="n"/>
      <c r="U2107" s="83" t="n"/>
      <c r="V2107" s="83" t="n"/>
      <c r="W2107" s="83" t="n"/>
      <c r="X2107" s="83" t="n"/>
      <c r="Y2107" s="83" t="n"/>
      <c r="Z2107" s="83" t="n"/>
      <c r="AA2107" s="83" t="n"/>
      <c r="AB2107" s="83" t="n"/>
      <c r="AC2107" s="83" t="n"/>
      <c r="AD2107" s="83" t="n"/>
      <c r="AE2107" s="83" t="n"/>
      <c r="AF2107" s="83" t="n"/>
      <c r="AG2107" s="83" t="n"/>
      <c r="AH2107" s="83" t="n"/>
      <c r="AI2107" s="83" t="n"/>
      <c r="AJ2107" s="83" t="n"/>
      <c r="AK2107" s="83" t="n"/>
      <c r="AL2107" s="83" t="n"/>
      <c r="AM2107" s="83" t="n"/>
      <c r="AN2107" s="83" t="n"/>
      <c r="AO2107" s="83" t="n"/>
      <c r="AP2107" s="83" t="n"/>
      <c r="AQ2107" s="83" t="n"/>
      <c r="AR2107" s="83" t="n"/>
    </row>
    <row r="2108">
      <c r="D2108" s="84" t="n"/>
      <c r="E2108" s="84" t="n"/>
      <c r="F2108" s="84" t="n"/>
      <c r="G2108" s="84" t="n"/>
      <c r="H2108" s="84" t="n"/>
      <c r="I2108" s="84" t="n"/>
      <c r="J2108" s="84" t="n"/>
      <c r="K2108" s="84" t="n"/>
      <c r="L2108" s="84" t="n"/>
      <c r="M2108" s="84" t="n"/>
      <c r="N2108" s="84" t="n"/>
      <c r="O2108" s="84" t="n"/>
      <c r="P2108" s="84" t="n"/>
      <c r="Q2108" s="84" t="n"/>
      <c r="R2108" s="84" t="n"/>
      <c r="S2108" s="84" t="n"/>
      <c r="T2108" s="84" t="n"/>
      <c r="U2108" s="84" t="n"/>
      <c r="V2108" s="84" t="n"/>
      <c r="W2108" s="84" t="n"/>
      <c r="X2108" s="84" t="n"/>
      <c r="Y2108" s="84" t="n"/>
      <c r="Z2108" s="84" t="n"/>
      <c r="AA2108" s="84" t="n"/>
      <c r="AB2108" s="84" t="n"/>
      <c r="AC2108" s="84" t="n"/>
      <c r="AD2108" s="84" t="n"/>
      <c r="AE2108" s="84" t="n"/>
      <c r="AF2108" s="84" t="n"/>
      <c r="AG2108" s="84" t="n"/>
      <c r="AH2108" s="84" t="n"/>
      <c r="AI2108" s="84" t="n"/>
      <c r="AJ2108" s="84" t="n"/>
      <c r="AK2108" s="84" t="n"/>
      <c r="AL2108" s="84" t="n"/>
      <c r="AM2108" s="84" t="n"/>
      <c r="AN2108" s="84" t="n"/>
      <c r="AO2108" s="84" t="n"/>
      <c r="AP2108" s="84" t="n"/>
      <c r="AQ2108" s="84" t="n"/>
      <c r="AR2108" s="84" t="n"/>
    </row>
    <row r="2109">
      <c r="D2109" s="80" t="n"/>
      <c r="E2109" s="80" t="n"/>
      <c r="F2109" s="80" t="n"/>
      <c r="G2109" s="80" t="n"/>
      <c r="H2109" s="80" t="n"/>
      <c r="I2109" s="80" t="n"/>
      <c r="J2109" s="80" t="n"/>
      <c r="K2109" s="80" t="n"/>
      <c r="L2109" s="80" t="n"/>
      <c r="M2109" s="80" t="n"/>
      <c r="N2109" s="80" t="n"/>
      <c r="O2109" s="80" t="n"/>
      <c r="P2109" s="80" t="n"/>
      <c r="Q2109" s="80" t="n"/>
      <c r="R2109" s="80" t="n"/>
      <c r="S2109" s="80" t="n"/>
      <c r="T2109" s="80" t="n"/>
      <c r="U2109" s="80" t="n"/>
      <c r="V2109" s="80" t="n"/>
      <c r="W2109" s="80" t="n"/>
      <c r="X2109" s="80" t="n"/>
      <c r="Y2109" s="80" t="n"/>
      <c r="Z2109" s="80" t="n"/>
      <c r="AA2109" s="80" t="n"/>
      <c r="AB2109" s="80" t="n"/>
      <c r="AC2109" s="80" t="n"/>
      <c r="AD2109" s="80" t="n"/>
      <c r="AE2109" s="80" t="n"/>
      <c r="AF2109" s="80" t="n"/>
      <c r="AG2109" s="80" t="n"/>
      <c r="AH2109" s="80" t="n"/>
      <c r="AI2109" s="80" t="n"/>
      <c r="AJ2109" s="80" t="n"/>
      <c r="AK2109" s="80" t="n"/>
      <c r="AL2109" s="80" t="n"/>
      <c r="AM2109" s="80" t="n"/>
      <c r="AN2109" s="80" t="n"/>
      <c r="AO2109" s="80" t="n"/>
      <c r="AP2109" s="80" t="n"/>
      <c r="AQ2109" s="80" t="n"/>
      <c r="AR2109" s="80" t="n"/>
    </row>
    <row r="2110">
      <c r="D2110" s="80" t="n"/>
      <c r="E2110" s="80" t="n"/>
      <c r="F2110" s="80" t="n"/>
      <c r="G2110" s="80" t="n"/>
      <c r="H2110" s="80" t="n"/>
      <c r="I2110" s="80" t="n"/>
      <c r="J2110" s="80" t="n"/>
      <c r="K2110" s="80" t="n"/>
      <c r="L2110" s="80" t="n"/>
      <c r="M2110" s="80" t="n"/>
      <c r="N2110" s="80" t="n"/>
      <c r="O2110" s="80" t="n"/>
      <c r="P2110" s="80" t="n"/>
      <c r="Q2110" s="80" t="n"/>
      <c r="R2110" s="80" t="n"/>
      <c r="S2110" s="80" t="n"/>
      <c r="T2110" s="80" t="n"/>
      <c r="U2110" s="80" t="n"/>
      <c r="V2110" s="80" t="n"/>
      <c r="W2110" s="80" t="n"/>
      <c r="X2110" s="80" t="n"/>
      <c r="Y2110" s="80" t="n"/>
      <c r="Z2110" s="80" t="n"/>
      <c r="AA2110" s="80" t="n"/>
      <c r="AB2110" s="80" t="n"/>
      <c r="AC2110" s="80" t="n"/>
      <c r="AD2110" s="80" t="n"/>
      <c r="AE2110" s="80" t="n"/>
      <c r="AF2110" s="80" t="n"/>
      <c r="AG2110" s="80" t="n"/>
      <c r="AH2110" s="80" t="n"/>
      <c r="AI2110" s="80" t="n"/>
      <c r="AJ2110" s="80" t="n"/>
      <c r="AK2110" s="80" t="n"/>
      <c r="AL2110" s="80" t="n"/>
      <c r="AM2110" s="80" t="n"/>
      <c r="AN2110" s="80" t="n"/>
      <c r="AO2110" s="80" t="n"/>
      <c r="AP2110" s="80" t="n"/>
      <c r="AQ2110" s="80" t="n"/>
      <c r="AR2110" s="80" t="n"/>
    </row>
    <row r="2111">
      <c r="D2111" s="80" t="n"/>
      <c r="E2111" s="80" t="n"/>
      <c r="F2111" s="80" t="n"/>
      <c r="G2111" s="80" t="n"/>
      <c r="H2111" s="80" t="n"/>
      <c r="I2111" s="80" t="n"/>
      <c r="J2111" s="80" t="n"/>
      <c r="K2111" s="80" t="n"/>
      <c r="L2111" s="80" t="n"/>
      <c r="M2111" s="80" t="n"/>
      <c r="N2111" s="80" t="n"/>
      <c r="O2111" s="80" t="n"/>
      <c r="P2111" s="80" t="n"/>
      <c r="Q2111" s="80" t="n"/>
      <c r="R2111" s="80" t="n"/>
      <c r="S2111" s="80" t="n"/>
      <c r="T2111" s="80" t="n"/>
      <c r="U2111" s="80" t="n"/>
      <c r="V2111" s="80" t="n"/>
      <c r="W2111" s="80" t="n"/>
      <c r="X2111" s="80" t="n"/>
      <c r="Y2111" s="80" t="n"/>
      <c r="Z2111" s="80" t="n"/>
      <c r="AA2111" s="80" t="n"/>
      <c r="AB2111" s="80" t="n"/>
      <c r="AC2111" s="80" t="n"/>
      <c r="AD2111" s="80" t="n"/>
      <c r="AE2111" s="80" t="n"/>
      <c r="AF2111" s="80" t="n"/>
      <c r="AG2111" s="80" t="n"/>
      <c r="AH2111" s="80" t="n"/>
      <c r="AI2111" s="80" t="n"/>
      <c r="AJ2111" s="80" t="n"/>
      <c r="AK2111" s="80" t="n"/>
      <c r="AL2111" s="80" t="n"/>
      <c r="AM2111" s="80" t="n"/>
      <c r="AN2111" s="80" t="n"/>
      <c r="AO2111" s="80" t="n"/>
      <c r="AP2111" s="80" t="n"/>
      <c r="AQ2111" s="80" t="n"/>
      <c r="AR2111" s="80" t="n"/>
    </row>
    <row r="2112">
      <c r="D2112" s="80" t="n"/>
      <c r="E2112" s="80" t="n"/>
      <c r="F2112" s="80" t="n"/>
      <c r="G2112" s="80" t="n"/>
      <c r="H2112" s="80" t="n"/>
      <c r="I2112" s="80" t="n"/>
      <c r="J2112" s="80" t="n"/>
      <c r="K2112" s="80" t="n"/>
      <c r="L2112" s="80" t="n"/>
      <c r="M2112" s="80" t="n"/>
      <c r="N2112" s="80" t="n"/>
      <c r="O2112" s="80" t="n"/>
      <c r="P2112" s="80" t="n"/>
      <c r="Q2112" s="80" t="n"/>
      <c r="R2112" s="80" t="n"/>
      <c r="S2112" s="80" t="n"/>
      <c r="T2112" s="80" t="n"/>
      <c r="U2112" s="80" t="n"/>
      <c r="V2112" s="80" t="n"/>
      <c r="W2112" s="80" t="n"/>
      <c r="X2112" s="80" t="n"/>
      <c r="Y2112" s="80" t="n"/>
      <c r="Z2112" s="80" t="n"/>
      <c r="AA2112" s="80" t="n"/>
      <c r="AB2112" s="80" t="n"/>
      <c r="AC2112" s="80" t="n"/>
      <c r="AD2112" s="80" t="n"/>
      <c r="AE2112" s="80" t="n"/>
      <c r="AF2112" s="80" t="n"/>
      <c r="AG2112" s="80" t="n"/>
      <c r="AH2112" s="80" t="n"/>
      <c r="AI2112" s="80" t="n"/>
      <c r="AJ2112" s="80" t="n"/>
      <c r="AK2112" s="80" t="n"/>
      <c r="AL2112" s="80" t="n"/>
      <c r="AM2112" s="80" t="n"/>
      <c r="AN2112" s="80" t="n"/>
      <c r="AO2112" s="80" t="n"/>
      <c r="AP2112" s="80" t="n"/>
      <c r="AQ2112" s="80" t="n"/>
      <c r="AR2112" s="80" t="n"/>
    </row>
    <row r="2116">
      <c r="A2116" s="3" t="inlineStr">
        <is>
          <t>Hang Seng China Enterprises (HSCEI)</t>
        </is>
      </c>
      <c r="B2116" s="4" t="n"/>
      <c r="C2116" s="4" t="n"/>
      <c r="D2116" s="4" t="n"/>
      <c r="F2116" s="2">
        <f>SUMPRODUCT($B$2119:$B$3018)&amp;" events read   |   "&amp;COUNTA($AS$2119:$CF$3018)&amp;" events beyond the window (must be 0 - if not, the window needs widening)"</f>
        <v/>
      </c>
    </row>
    <row r="2117">
      <c r="A2117" s="17" t="inlineStr">
        <is>
          <t>Ticker</t>
        </is>
      </c>
      <c r="B2117" s="17" t="inlineStr">
        <is>
          <t>Events</t>
        </is>
      </c>
      <c r="C2117" s="17" t="inlineStr">
        <is>
          <t>Last ex</t>
        </is>
      </c>
      <c r="D2117" s="17" t="inlineStr">
        <is>
          <t>Bloomberg spill -&gt;</t>
        </is>
      </c>
    </row>
    <row r="2119">
      <c r="A2119" s="6">
        <f>IF(HSCEI!$C$7="","",HSCEI!$C$7)</f>
        <v/>
      </c>
      <c r="B2119" s="41">
        <f>IF($A2119="",0,COUNT($E2120:$AR2120))</f>
        <v/>
      </c>
      <c r="C2119" s="81">
        <f>IF($B2119=0,0,MAX($E2120:$AR2120))</f>
        <v/>
      </c>
      <c r="D2119" s="82">
        <f>BDS($A2119,'Field Check'!$C$7,"headers=y","startcol=1","endcol=7","dir=h","DVD_START_DT",Summary!$C$18,"DVD_END_DT",Summary!$D$18)</f>
        <v/>
      </c>
      <c r="E2119" s="83" t="n"/>
      <c r="F2119" s="83" t="n"/>
      <c r="G2119" s="83" t="n"/>
      <c r="H2119" s="83" t="n"/>
      <c r="I2119" s="83" t="n"/>
      <c r="J2119" s="83" t="n"/>
      <c r="K2119" s="83" t="n"/>
      <c r="L2119" s="83" t="n"/>
      <c r="M2119" s="83" t="n"/>
      <c r="N2119" s="83" t="n"/>
      <c r="O2119" s="83" t="n"/>
      <c r="P2119" s="83" t="n"/>
      <c r="Q2119" s="83" t="n"/>
      <c r="R2119" s="83" t="n"/>
      <c r="S2119" s="83" t="n"/>
      <c r="T2119" s="83" t="n"/>
      <c r="U2119" s="83" t="n"/>
      <c r="V2119" s="83" t="n"/>
      <c r="W2119" s="83" t="n"/>
      <c r="X2119" s="83" t="n"/>
      <c r="Y2119" s="83" t="n"/>
      <c r="Z2119" s="83" t="n"/>
      <c r="AA2119" s="83" t="n"/>
      <c r="AB2119" s="83" t="n"/>
      <c r="AC2119" s="83" t="n"/>
      <c r="AD2119" s="83" t="n"/>
      <c r="AE2119" s="83" t="n"/>
      <c r="AF2119" s="83" t="n"/>
      <c r="AG2119" s="83" t="n"/>
      <c r="AH2119" s="83" t="n"/>
      <c r="AI2119" s="83" t="n"/>
      <c r="AJ2119" s="83" t="n"/>
      <c r="AK2119" s="83" t="n"/>
      <c r="AL2119" s="83" t="n"/>
      <c r="AM2119" s="83" t="n"/>
      <c r="AN2119" s="83" t="n"/>
      <c r="AO2119" s="83" t="n"/>
      <c r="AP2119" s="83" t="n"/>
      <c r="AQ2119" s="83" t="n"/>
      <c r="AR2119" s="83" t="n"/>
    </row>
    <row r="2120">
      <c r="D2120" s="83" t="n"/>
      <c r="E2120" s="83" t="n"/>
      <c r="F2120" s="83" t="n"/>
      <c r="G2120" s="83" t="n"/>
      <c r="H2120" s="83" t="n"/>
      <c r="I2120" s="83" t="n"/>
      <c r="J2120" s="83" t="n"/>
      <c r="K2120" s="83" t="n"/>
      <c r="L2120" s="83" t="n"/>
      <c r="M2120" s="83" t="n"/>
      <c r="N2120" s="83" t="n"/>
      <c r="O2120" s="83" t="n"/>
      <c r="P2120" s="83" t="n"/>
      <c r="Q2120" s="83" t="n"/>
      <c r="R2120" s="83" t="n"/>
      <c r="S2120" s="83" t="n"/>
      <c r="T2120" s="83" t="n"/>
      <c r="U2120" s="83" t="n"/>
      <c r="V2120" s="83" t="n"/>
      <c r="W2120" s="83" t="n"/>
      <c r="X2120" s="83" t="n"/>
      <c r="Y2120" s="83" t="n"/>
      <c r="Z2120" s="83" t="n"/>
      <c r="AA2120" s="83" t="n"/>
      <c r="AB2120" s="83" t="n"/>
      <c r="AC2120" s="83" t="n"/>
      <c r="AD2120" s="83" t="n"/>
      <c r="AE2120" s="83" t="n"/>
      <c r="AF2120" s="83" t="n"/>
      <c r="AG2120" s="83" t="n"/>
      <c r="AH2120" s="83" t="n"/>
      <c r="AI2120" s="83" t="n"/>
      <c r="AJ2120" s="83" t="n"/>
      <c r="AK2120" s="83" t="n"/>
      <c r="AL2120" s="83" t="n"/>
      <c r="AM2120" s="83" t="n"/>
      <c r="AN2120" s="83" t="n"/>
      <c r="AO2120" s="83" t="n"/>
      <c r="AP2120" s="83" t="n"/>
      <c r="AQ2120" s="83" t="n"/>
      <c r="AR2120" s="83" t="n"/>
    </row>
    <row r="2121">
      <c r="D2121" s="84" t="n"/>
      <c r="E2121" s="84" t="n"/>
      <c r="F2121" s="84" t="n"/>
      <c r="G2121" s="84" t="n"/>
      <c r="H2121" s="84" t="n"/>
      <c r="I2121" s="84" t="n"/>
      <c r="J2121" s="84" t="n"/>
      <c r="K2121" s="84" t="n"/>
      <c r="L2121" s="84" t="n"/>
      <c r="M2121" s="84" t="n"/>
      <c r="N2121" s="84" t="n"/>
      <c r="O2121" s="84" t="n"/>
      <c r="P2121" s="84" t="n"/>
      <c r="Q2121" s="84" t="n"/>
      <c r="R2121" s="84" t="n"/>
      <c r="S2121" s="84" t="n"/>
      <c r="T2121" s="84" t="n"/>
      <c r="U2121" s="84" t="n"/>
      <c r="V2121" s="84" t="n"/>
      <c r="W2121" s="84" t="n"/>
      <c r="X2121" s="84" t="n"/>
      <c r="Y2121" s="84" t="n"/>
      <c r="Z2121" s="84" t="n"/>
      <c r="AA2121" s="84" t="n"/>
      <c r="AB2121" s="84" t="n"/>
      <c r="AC2121" s="84" t="n"/>
      <c r="AD2121" s="84" t="n"/>
      <c r="AE2121" s="84" t="n"/>
      <c r="AF2121" s="84" t="n"/>
      <c r="AG2121" s="84" t="n"/>
      <c r="AH2121" s="84" t="n"/>
      <c r="AI2121" s="84" t="n"/>
      <c r="AJ2121" s="84" t="n"/>
      <c r="AK2121" s="84" t="n"/>
      <c r="AL2121" s="84" t="n"/>
      <c r="AM2121" s="84" t="n"/>
      <c r="AN2121" s="84" t="n"/>
      <c r="AO2121" s="84" t="n"/>
      <c r="AP2121" s="84" t="n"/>
      <c r="AQ2121" s="84" t="n"/>
      <c r="AR2121" s="84" t="n"/>
    </row>
    <row r="2122">
      <c r="D2122" s="80" t="n"/>
      <c r="E2122" s="80" t="n"/>
      <c r="F2122" s="80" t="n"/>
      <c r="G2122" s="80" t="n"/>
      <c r="H2122" s="80" t="n"/>
      <c r="I2122" s="80" t="n"/>
      <c r="J2122" s="80" t="n"/>
      <c r="K2122" s="80" t="n"/>
      <c r="L2122" s="80" t="n"/>
      <c r="M2122" s="80" t="n"/>
      <c r="N2122" s="80" t="n"/>
      <c r="O2122" s="80" t="n"/>
      <c r="P2122" s="80" t="n"/>
      <c r="Q2122" s="80" t="n"/>
      <c r="R2122" s="80" t="n"/>
      <c r="S2122" s="80" t="n"/>
      <c r="T2122" s="80" t="n"/>
      <c r="U2122" s="80" t="n"/>
      <c r="V2122" s="80" t="n"/>
      <c r="W2122" s="80" t="n"/>
      <c r="X2122" s="80" t="n"/>
      <c r="Y2122" s="80" t="n"/>
      <c r="Z2122" s="80" t="n"/>
      <c r="AA2122" s="80" t="n"/>
      <c r="AB2122" s="80" t="n"/>
      <c r="AC2122" s="80" t="n"/>
      <c r="AD2122" s="80" t="n"/>
      <c r="AE2122" s="80" t="n"/>
      <c r="AF2122" s="80" t="n"/>
      <c r="AG2122" s="80" t="n"/>
      <c r="AH2122" s="80" t="n"/>
      <c r="AI2122" s="80" t="n"/>
      <c r="AJ2122" s="80" t="n"/>
      <c r="AK2122" s="80" t="n"/>
      <c r="AL2122" s="80" t="n"/>
      <c r="AM2122" s="80" t="n"/>
      <c r="AN2122" s="80" t="n"/>
      <c r="AO2122" s="80" t="n"/>
      <c r="AP2122" s="80" t="n"/>
      <c r="AQ2122" s="80" t="n"/>
      <c r="AR2122" s="80" t="n"/>
    </row>
    <row r="2123">
      <c r="D2123" s="80" t="n"/>
      <c r="E2123" s="80" t="n"/>
      <c r="F2123" s="80" t="n"/>
      <c r="G2123" s="80" t="n"/>
      <c r="H2123" s="80" t="n"/>
      <c r="I2123" s="80" t="n"/>
      <c r="J2123" s="80" t="n"/>
      <c r="K2123" s="80" t="n"/>
      <c r="L2123" s="80" t="n"/>
      <c r="M2123" s="80" t="n"/>
      <c r="N2123" s="80" t="n"/>
      <c r="O2123" s="80" t="n"/>
      <c r="P2123" s="80" t="n"/>
      <c r="Q2123" s="80" t="n"/>
      <c r="R2123" s="80" t="n"/>
      <c r="S2123" s="80" t="n"/>
      <c r="T2123" s="80" t="n"/>
      <c r="U2123" s="80" t="n"/>
      <c r="V2123" s="80" t="n"/>
      <c r="W2123" s="80" t="n"/>
      <c r="X2123" s="80" t="n"/>
      <c r="Y2123" s="80" t="n"/>
      <c r="Z2123" s="80" t="n"/>
      <c r="AA2123" s="80" t="n"/>
      <c r="AB2123" s="80" t="n"/>
      <c r="AC2123" s="80" t="n"/>
      <c r="AD2123" s="80" t="n"/>
      <c r="AE2123" s="80" t="n"/>
      <c r="AF2123" s="80" t="n"/>
      <c r="AG2123" s="80" t="n"/>
      <c r="AH2123" s="80" t="n"/>
      <c r="AI2123" s="80" t="n"/>
      <c r="AJ2123" s="80" t="n"/>
      <c r="AK2123" s="80" t="n"/>
      <c r="AL2123" s="80" t="n"/>
      <c r="AM2123" s="80" t="n"/>
      <c r="AN2123" s="80" t="n"/>
      <c r="AO2123" s="80" t="n"/>
      <c r="AP2123" s="80" t="n"/>
      <c r="AQ2123" s="80" t="n"/>
      <c r="AR2123" s="80" t="n"/>
    </row>
    <row r="2124">
      <c r="D2124" s="80" t="n"/>
      <c r="E2124" s="80" t="n"/>
      <c r="F2124" s="80" t="n"/>
      <c r="G2124" s="80" t="n"/>
      <c r="H2124" s="80" t="n"/>
      <c r="I2124" s="80" t="n"/>
      <c r="J2124" s="80" t="n"/>
      <c r="K2124" s="80" t="n"/>
      <c r="L2124" s="80" t="n"/>
      <c r="M2124" s="80" t="n"/>
      <c r="N2124" s="80" t="n"/>
      <c r="O2124" s="80" t="n"/>
      <c r="P2124" s="80" t="n"/>
      <c r="Q2124" s="80" t="n"/>
      <c r="R2124" s="80" t="n"/>
      <c r="S2124" s="80" t="n"/>
      <c r="T2124" s="80" t="n"/>
      <c r="U2124" s="80" t="n"/>
      <c r="V2124" s="80" t="n"/>
      <c r="W2124" s="80" t="n"/>
      <c r="X2124" s="80" t="n"/>
      <c r="Y2124" s="80" t="n"/>
      <c r="Z2124" s="80" t="n"/>
      <c r="AA2124" s="80" t="n"/>
      <c r="AB2124" s="80" t="n"/>
      <c r="AC2124" s="80" t="n"/>
      <c r="AD2124" s="80" t="n"/>
      <c r="AE2124" s="80" t="n"/>
      <c r="AF2124" s="80" t="n"/>
      <c r="AG2124" s="80" t="n"/>
      <c r="AH2124" s="80" t="n"/>
      <c r="AI2124" s="80" t="n"/>
      <c r="AJ2124" s="80" t="n"/>
      <c r="AK2124" s="80" t="n"/>
      <c r="AL2124" s="80" t="n"/>
      <c r="AM2124" s="80" t="n"/>
      <c r="AN2124" s="80" t="n"/>
      <c r="AO2124" s="80" t="n"/>
      <c r="AP2124" s="80" t="n"/>
      <c r="AQ2124" s="80" t="n"/>
      <c r="AR2124" s="80" t="n"/>
    </row>
    <row r="2125">
      <c r="D2125" s="80" t="n"/>
      <c r="E2125" s="80" t="n"/>
      <c r="F2125" s="80" t="n"/>
      <c r="G2125" s="80" t="n"/>
      <c r="H2125" s="80" t="n"/>
      <c r="I2125" s="80" t="n"/>
      <c r="J2125" s="80" t="n"/>
      <c r="K2125" s="80" t="n"/>
      <c r="L2125" s="80" t="n"/>
      <c r="M2125" s="80" t="n"/>
      <c r="N2125" s="80" t="n"/>
      <c r="O2125" s="80" t="n"/>
      <c r="P2125" s="80" t="n"/>
      <c r="Q2125" s="80" t="n"/>
      <c r="R2125" s="80" t="n"/>
      <c r="S2125" s="80" t="n"/>
      <c r="T2125" s="80" t="n"/>
      <c r="U2125" s="80" t="n"/>
      <c r="V2125" s="80" t="n"/>
      <c r="W2125" s="80" t="n"/>
      <c r="X2125" s="80" t="n"/>
      <c r="Y2125" s="80" t="n"/>
      <c r="Z2125" s="80" t="n"/>
      <c r="AA2125" s="80" t="n"/>
      <c r="AB2125" s="80" t="n"/>
      <c r="AC2125" s="80" t="n"/>
      <c r="AD2125" s="80" t="n"/>
      <c r="AE2125" s="80" t="n"/>
      <c r="AF2125" s="80" t="n"/>
      <c r="AG2125" s="80" t="n"/>
      <c r="AH2125" s="80" t="n"/>
      <c r="AI2125" s="80" t="n"/>
      <c r="AJ2125" s="80" t="n"/>
      <c r="AK2125" s="80" t="n"/>
      <c r="AL2125" s="80" t="n"/>
      <c r="AM2125" s="80" t="n"/>
      <c r="AN2125" s="80" t="n"/>
      <c r="AO2125" s="80" t="n"/>
      <c r="AP2125" s="80" t="n"/>
      <c r="AQ2125" s="80" t="n"/>
      <c r="AR2125" s="80" t="n"/>
    </row>
    <row r="2126">
      <c r="A2126" s="2">
        <f>IF($A2119="","","   projections")</f>
        <v/>
      </c>
      <c r="B2126" s="41">
        <f>IF($A2119="",0,COUNT($E2127:$AR2127))</f>
        <v/>
      </c>
      <c r="C2126" s="81">
        <f>IF($B2126=0,0,MAX($E2127:$AR2127))</f>
        <v/>
      </c>
      <c r="D2126" s="82">
        <f>BDS($A2119,'Field Check'!$C$6,"headers=y","startcol=1","endcol=7","dir=h")</f>
        <v/>
      </c>
      <c r="E2126" s="83" t="n"/>
      <c r="F2126" s="83" t="n"/>
      <c r="G2126" s="83" t="n"/>
      <c r="H2126" s="83" t="n"/>
      <c r="I2126" s="83" t="n"/>
      <c r="J2126" s="83" t="n"/>
      <c r="K2126" s="83" t="n"/>
      <c r="L2126" s="83" t="n"/>
      <c r="M2126" s="83" t="n"/>
      <c r="N2126" s="83" t="n"/>
      <c r="O2126" s="83" t="n"/>
      <c r="P2126" s="83" t="n"/>
      <c r="Q2126" s="83" t="n"/>
      <c r="R2126" s="83" t="n"/>
      <c r="S2126" s="83" t="n"/>
      <c r="T2126" s="83" t="n"/>
      <c r="U2126" s="83" t="n"/>
      <c r="V2126" s="83" t="n"/>
      <c r="W2126" s="83" t="n"/>
      <c r="X2126" s="83" t="n"/>
      <c r="Y2126" s="83" t="n"/>
      <c r="Z2126" s="83" t="n"/>
      <c r="AA2126" s="83" t="n"/>
      <c r="AB2126" s="83" t="n"/>
      <c r="AC2126" s="83" t="n"/>
      <c r="AD2126" s="83" t="n"/>
      <c r="AE2126" s="83" t="n"/>
      <c r="AF2126" s="83" t="n"/>
      <c r="AG2126" s="83" t="n"/>
      <c r="AH2126" s="83" t="n"/>
      <c r="AI2126" s="83" t="n"/>
      <c r="AJ2126" s="83" t="n"/>
      <c r="AK2126" s="83" t="n"/>
      <c r="AL2126" s="83" t="n"/>
      <c r="AM2126" s="83" t="n"/>
      <c r="AN2126" s="83" t="n"/>
      <c r="AO2126" s="83" t="n"/>
      <c r="AP2126" s="83" t="n"/>
      <c r="AQ2126" s="83" t="n"/>
      <c r="AR2126" s="83" t="n"/>
    </row>
    <row r="2127">
      <c r="D2127" s="83" t="n"/>
      <c r="E2127" s="83" t="n"/>
      <c r="F2127" s="83" t="n"/>
      <c r="G2127" s="83" t="n"/>
      <c r="H2127" s="83" t="n"/>
      <c r="I2127" s="83" t="n"/>
      <c r="J2127" s="83" t="n"/>
      <c r="K2127" s="83" t="n"/>
      <c r="L2127" s="83" t="n"/>
      <c r="M2127" s="83" t="n"/>
      <c r="N2127" s="83" t="n"/>
      <c r="O2127" s="83" t="n"/>
      <c r="P2127" s="83" t="n"/>
      <c r="Q2127" s="83" t="n"/>
      <c r="R2127" s="83" t="n"/>
      <c r="S2127" s="83" t="n"/>
      <c r="T2127" s="83" t="n"/>
      <c r="U2127" s="83" t="n"/>
      <c r="V2127" s="83" t="n"/>
      <c r="W2127" s="83" t="n"/>
      <c r="X2127" s="83" t="n"/>
      <c r="Y2127" s="83" t="n"/>
      <c r="Z2127" s="83" t="n"/>
      <c r="AA2127" s="83" t="n"/>
      <c r="AB2127" s="83" t="n"/>
      <c r="AC2127" s="83" t="n"/>
      <c r="AD2127" s="83" t="n"/>
      <c r="AE2127" s="83" t="n"/>
      <c r="AF2127" s="83" t="n"/>
      <c r="AG2127" s="83" t="n"/>
      <c r="AH2127" s="83" t="n"/>
      <c r="AI2127" s="83" t="n"/>
      <c r="AJ2127" s="83" t="n"/>
      <c r="AK2127" s="83" t="n"/>
      <c r="AL2127" s="83" t="n"/>
      <c r="AM2127" s="83" t="n"/>
      <c r="AN2127" s="83" t="n"/>
      <c r="AO2127" s="83" t="n"/>
      <c r="AP2127" s="83" t="n"/>
      <c r="AQ2127" s="83" t="n"/>
      <c r="AR2127" s="83" t="n"/>
    </row>
    <row r="2128">
      <c r="D2128" s="84" t="n"/>
      <c r="E2128" s="84" t="n"/>
      <c r="F2128" s="84" t="n"/>
      <c r="G2128" s="84" t="n"/>
      <c r="H2128" s="84" t="n"/>
      <c r="I2128" s="84" t="n"/>
      <c r="J2128" s="84" t="n"/>
      <c r="K2128" s="84" t="n"/>
      <c r="L2128" s="84" t="n"/>
      <c r="M2128" s="84" t="n"/>
      <c r="N2128" s="84" t="n"/>
      <c r="O2128" s="84" t="n"/>
      <c r="P2128" s="84" t="n"/>
      <c r="Q2128" s="84" t="n"/>
      <c r="R2128" s="84" t="n"/>
      <c r="S2128" s="84" t="n"/>
      <c r="T2128" s="84" t="n"/>
      <c r="U2128" s="84" t="n"/>
      <c r="V2128" s="84" t="n"/>
      <c r="W2128" s="84" t="n"/>
      <c r="X2128" s="84" t="n"/>
      <c r="Y2128" s="84" t="n"/>
      <c r="Z2128" s="84" t="n"/>
      <c r="AA2128" s="84" t="n"/>
      <c r="AB2128" s="84" t="n"/>
      <c r="AC2128" s="84" t="n"/>
      <c r="AD2128" s="84" t="n"/>
      <c r="AE2128" s="84" t="n"/>
      <c r="AF2128" s="84" t="n"/>
      <c r="AG2128" s="84" t="n"/>
      <c r="AH2128" s="84" t="n"/>
      <c r="AI2128" s="84" t="n"/>
      <c r="AJ2128" s="84" t="n"/>
      <c r="AK2128" s="84" t="n"/>
      <c r="AL2128" s="84" t="n"/>
      <c r="AM2128" s="84" t="n"/>
      <c r="AN2128" s="84" t="n"/>
      <c r="AO2128" s="84" t="n"/>
      <c r="AP2128" s="84" t="n"/>
      <c r="AQ2128" s="84" t="n"/>
      <c r="AR2128" s="84" t="n"/>
    </row>
    <row r="2129">
      <c r="D2129" s="80" t="n"/>
      <c r="E2129" s="80" t="n"/>
      <c r="F2129" s="80" t="n"/>
      <c r="G2129" s="80" t="n"/>
      <c r="H2129" s="80" t="n"/>
      <c r="I2129" s="80" t="n"/>
      <c r="J2129" s="80" t="n"/>
      <c r="K2129" s="80" t="n"/>
      <c r="L2129" s="80" t="n"/>
      <c r="M2129" s="80" t="n"/>
      <c r="N2129" s="80" t="n"/>
      <c r="O2129" s="80" t="n"/>
      <c r="P2129" s="80" t="n"/>
      <c r="Q2129" s="80" t="n"/>
      <c r="R2129" s="80" t="n"/>
      <c r="S2129" s="80" t="n"/>
      <c r="T2129" s="80" t="n"/>
      <c r="U2129" s="80" t="n"/>
      <c r="V2129" s="80" t="n"/>
      <c r="W2129" s="80" t="n"/>
      <c r="X2129" s="80" t="n"/>
      <c r="Y2129" s="80" t="n"/>
      <c r="Z2129" s="80" t="n"/>
      <c r="AA2129" s="80" t="n"/>
      <c r="AB2129" s="80" t="n"/>
      <c r="AC2129" s="80" t="n"/>
      <c r="AD2129" s="80" t="n"/>
      <c r="AE2129" s="80" t="n"/>
      <c r="AF2129" s="80" t="n"/>
      <c r="AG2129" s="80" t="n"/>
      <c r="AH2129" s="80" t="n"/>
      <c r="AI2129" s="80" t="n"/>
      <c r="AJ2129" s="80" t="n"/>
      <c r="AK2129" s="80" t="n"/>
      <c r="AL2129" s="80" t="n"/>
      <c r="AM2129" s="80" t="n"/>
      <c r="AN2129" s="80" t="n"/>
      <c r="AO2129" s="80" t="n"/>
      <c r="AP2129" s="80" t="n"/>
      <c r="AQ2129" s="80" t="n"/>
      <c r="AR2129" s="80" t="n"/>
    </row>
    <row r="2130">
      <c r="D2130" s="80" t="n"/>
      <c r="E2130" s="80" t="n"/>
      <c r="F2130" s="80" t="n"/>
      <c r="G2130" s="80" t="n"/>
      <c r="H2130" s="80" t="n"/>
      <c r="I2130" s="80" t="n"/>
      <c r="J2130" s="80" t="n"/>
      <c r="K2130" s="80" t="n"/>
      <c r="L2130" s="80" t="n"/>
      <c r="M2130" s="80" t="n"/>
      <c r="N2130" s="80" t="n"/>
      <c r="O2130" s="80" t="n"/>
      <c r="P2130" s="80" t="n"/>
      <c r="Q2130" s="80" t="n"/>
      <c r="R2130" s="80" t="n"/>
      <c r="S2130" s="80" t="n"/>
      <c r="T2130" s="80" t="n"/>
      <c r="U2130" s="80" t="n"/>
      <c r="V2130" s="80" t="n"/>
      <c r="W2130" s="80" t="n"/>
      <c r="X2130" s="80" t="n"/>
      <c r="Y2130" s="80" t="n"/>
      <c r="Z2130" s="80" t="n"/>
      <c r="AA2130" s="80" t="n"/>
      <c r="AB2130" s="80" t="n"/>
      <c r="AC2130" s="80" t="n"/>
      <c r="AD2130" s="80" t="n"/>
      <c r="AE2130" s="80" t="n"/>
      <c r="AF2130" s="80" t="n"/>
      <c r="AG2130" s="80" t="n"/>
      <c r="AH2130" s="80" t="n"/>
      <c r="AI2130" s="80" t="n"/>
      <c r="AJ2130" s="80" t="n"/>
      <c r="AK2130" s="80" t="n"/>
      <c r="AL2130" s="80" t="n"/>
      <c r="AM2130" s="80" t="n"/>
      <c r="AN2130" s="80" t="n"/>
      <c r="AO2130" s="80" t="n"/>
      <c r="AP2130" s="80" t="n"/>
      <c r="AQ2130" s="80" t="n"/>
      <c r="AR2130" s="80" t="n"/>
    </row>
    <row r="2131">
      <c r="D2131" s="80" t="n"/>
      <c r="E2131" s="80" t="n"/>
      <c r="F2131" s="80" t="n"/>
      <c r="G2131" s="80" t="n"/>
      <c r="H2131" s="80" t="n"/>
      <c r="I2131" s="80" t="n"/>
      <c r="J2131" s="80" t="n"/>
      <c r="K2131" s="80" t="n"/>
      <c r="L2131" s="80" t="n"/>
      <c r="M2131" s="80" t="n"/>
      <c r="N2131" s="80" t="n"/>
      <c r="O2131" s="80" t="n"/>
      <c r="P2131" s="80" t="n"/>
      <c r="Q2131" s="80" t="n"/>
      <c r="R2131" s="80" t="n"/>
      <c r="S2131" s="80" t="n"/>
      <c r="T2131" s="80" t="n"/>
      <c r="U2131" s="80" t="n"/>
      <c r="V2131" s="80" t="n"/>
      <c r="W2131" s="80" t="n"/>
      <c r="X2131" s="80" t="n"/>
      <c r="Y2131" s="80" t="n"/>
      <c r="Z2131" s="80" t="n"/>
      <c r="AA2131" s="80" t="n"/>
      <c r="AB2131" s="80" t="n"/>
      <c r="AC2131" s="80" t="n"/>
      <c r="AD2131" s="80" t="n"/>
      <c r="AE2131" s="80" t="n"/>
      <c r="AF2131" s="80" t="n"/>
      <c r="AG2131" s="80" t="n"/>
      <c r="AH2131" s="80" t="n"/>
      <c r="AI2131" s="80" t="n"/>
      <c r="AJ2131" s="80" t="n"/>
      <c r="AK2131" s="80" t="n"/>
      <c r="AL2131" s="80" t="n"/>
      <c r="AM2131" s="80" t="n"/>
      <c r="AN2131" s="80" t="n"/>
      <c r="AO2131" s="80" t="n"/>
      <c r="AP2131" s="80" t="n"/>
      <c r="AQ2131" s="80" t="n"/>
      <c r="AR2131" s="80" t="n"/>
    </row>
    <row r="2132">
      <c r="D2132" s="80" t="n"/>
      <c r="E2132" s="80" t="n"/>
      <c r="F2132" s="80" t="n"/>
      <c r="G2132" s="80" t="n"/>
      <c r="H2132" s="80" t="n"/>
      <c r="I2132" s="80" t="n"/>
      <c r="J2132" s="80" t="n"/>
      <c r="K2132" s="80" t="n"/>
      <c r="L2132" s="80" t="n"/>
      <c r="M2132" s="80" t="n"/>
      <c r="N2132" s="80" t="n"/>
      <c r="O2132" s="80" t="n"/>
      <c r="P2132" s="80" t="n"/>
      <c r="Q2132" s="80" t="n"/>
      <c r="R2132" s="80" t="n"/>
      <c r="S2132" s="80" t="n"/>
      <c r="T2132" s="80" t="n"/>
      <c r="U2132" s="80" t="n"/>
      <c r="V2132" s="80" t="n"/>
      <c r="W2132" s="80" t="n"/>
      <c r="X2132" s="80" t="n"/>
      <c r="Y2132" s="80" t="n"/>
      <c r="Z2132" s="80" t="n"/>
      <c r="AA2132" s="80" t="n"/>
      <c r="AB2132" s="80" t="n"/>
      <c r="AC2132" s="80" t="n"/>
      <c r="AD2132" s="80" t="n"/>
      <c r="AE2132" s="80" t="n"/>
      <c r="AF2132" s="80" t="n"/>
      <c r="AG2132" s="80" t="n"/>
      <c r="AH2132" s="80" t="n"/>
      <c r="AI2132" s="80" t="n"/>
      <c r="AJ2132" s="80" t="n"/>
      <c r="AK2132" s="80" t="n"/>
      <c r="AL2132" s="80" t="n"/>
      <c r="AM2132" s="80" t="n"/>
      <c r="AN2132" s="80" t="n"/>
      <c r="AO2132" s="80" t="n"/>
      <c r="AP2132" s="80" t="n"/>
      <c r="AQ2132" s="80" t="n"/>
      <c r="AR2132" s="80" t="n"/>
    </row>
    <row r="2134">
      <c r="A2134" s="6">
        <f>IF(HSCEI!$C$8="","",HSCEI!$C$8)</f>
        <v/>
      </c>
      <c r="B2134" s="41">
        <f>IF($A2134="",0,COUNT($E2135:$AR2135))</f>
        <v/>
      </c>
      <c r="C2134" s="81">
        <f>IF($B2134=0,0,MAX($E2135:$AR2135))</f>
        <v/>
      </c>
      <c r="D2134" s="82">
        <f>BDS($A2134,'Field Check'!$C$7,"headers=y","startcol=1","endcol=7","dir=h","DVD_START_DT",Summary!$C$18,"DVD_END_DT",Summary!$D$18)</f>
        <v/>
      </c>
      <c r="E2134" s="83" t="n"/>
      <c r="F2134" s="83" t="n"/>
      <c r="G2134" s="83" t="n"/>
      <c r="H2134" s="83" t="n"/>
      <c r="I2134" s="83" t="n"/>
      <c r="J2134" s="83" t="n"/>
      <c r="K2134" s="83" t="n"/>
      <c r="L2134" s="83" t="n"/>
      <c r="M2134" s="83" t="n"/>
      <c r="N2134" s="83" t="n"/>
      <c r="O2134" s="83" t="n"/>
      <c r="P2134" s="83" t="n"/>
      <c r="Q2134" s="83" t="n"/>
      <c r="R2134" s="83" t="n"/>
      <c r="S2134" s="83" t="n"/>
      <c r="T2134" s="83" t="n"/>
      <c r="U2134" s="83" t="n"/>
      <c r="V2134" s="83" t="n"/>
      <c r="W2134" s="83" t="n"/>
      <c r="X2134" s="83" t="n"/>
      <c r="Y2134" s="83" t="n"/>
      <c r="Z2134" s="83" t="n"/>
      <c r="AA2134" s="83" t="n"/>
      <c r="AB2134" s="83" t="n"/>
      <c r="AC2134" s="83" t="n"/>
      <c r="AD2134" s="83" t="n"/>
      <c r="AE2134" s="83" t="n"/>
      <c r="AF2134" s="83" t="n"/>
      <c r="AG2134" s="83" t="n"/>
      <c r="AH2134" s="83" t="n"/>
      <c r="AI2134" s="83" t="n"/>
      <c r="AJ2134" s="83" t="n"/>
      <c r="AK2134" s="83" t="n"/>
      <c r="AL2134" s="83" t="n"/>
      <c r="AM2134" s="83" t="n"/>
      <c r="AN2134" s="83" t="n"/>
      <c r="AO2134" s="83" t="n"/>
      <c r="AP2134" s="83" t="n"/>
      <c r="AQ2134" s="83" t="n"/>
      <c r="AR2134" s="83" t="n"/>
    </row>
    <row r="2135">
      <c r="D2135" s="83" t="n"/>
      <c r="E2135" s="83" t="n"/>
      <c r="F2135" s="83" t="n"/>
      <c r="G2135" s="83" t="n"/>
      <c r="H2135" s="83" t="n"/>
      <c r="I2135" s="83" t="n"/>
      <c r="J2135" s="83" t="n"/>
      <c r="K2135" s="83" t="n"/>
      <c r="L2135" s="83" t="n"/>
      <c r="M2135" s="83" t="n"/>
      <c r="N2135" s="83" t="n"/>
      <c r="O2135" s="83" t="n"/>
      <c r="P2135" s="83" t="n"/>
      <c r="Q2135" s="83" t="n"/>
      <c r="R2135" s="83" t="n"/>
      <c r="S2135" s="83" t="n"/>
      <c r="T2135" s="83" t="n"/>
      <c r="U2135" s="83" t="n"/>
      <c r="V2135" s="83" t="n"/>
      <c r="W2135" s="83" t="n"/>
      <c r="X2135" s="83" t="n"/>
      <c r="Y2135" s="83" t="n"/>
      <c r="Z2135" s="83" t="n"/>
      <c r="AA2135" s="83" t="n"/>
      <c r="AB2135" s="83" t="n"/>
      <c r="AC2135" s="83" t="n"/>
      <c r="AD2135" s="83" t="n"/>
      <c r="AE2135" s="83" t="n"/>
      <c r="AF2135" s="83" t="n"/>
      <c r="AG2135" s="83" t="n"/>
      <c r="AH2135" s="83" t="n"/>
      <c r="AI2135" s="83" t="n"/>
      <c r="AJ2135" s="83" t="n"/>
      <c r="AK2135" s="83" t="n"/>
      <c r="AL2135" s="83" t="n"/>
      <c r="AM2135" s="83" t="n"/>
      <c r="AN2135" s="83" t="n"/>
      <c r="AO2135" s="83" t="n"/>
      <c r="AP2135" s="83" t="n"/>
      <c r="AQ2135" s="83" t="n"/>
      <c r="AR2135" s="83" t="n"/>
    </row>
    <row r="2136">
      <c r="D2136" s="84" t="n"/>
      <c r="E2136" s="84" t="n"/>
      <c r="F2136" s="84" t="n"/>
      <c r="G2136" s="84" t="n"/>
      <c r="H2136" s="84" t="n"/>
      <c r="I2136" s="84" t="n"/>
      <c r="J2136" s="84" t="n"/>
      <c r="K2136" s="84" t="n"/>
      <c r="L2136" s="84" t="n"/>
      <c r="M2136" s="84" t="n"/>
      <c r="N2136" s="84" t="n"/>
      <c r="O2136" s="84" t="n"/>
      <c r="P2136" s="84" t="n"/>
      <c r="Q2136" s="84" t="n"/>
      <c r="R2136" s="84" t="n"/>
      <c r="S2136" s="84" t="n"/>
      <c r="T2136" s="84" t="n"/>
      <c r="U2136" s="84" t="n"/>
      <c r="V2136" s="84" t="n"/>
      <c r="W2136" s="84" t="n"/>
      <c r="X2136" s="84" t="n"/>
      <c r="Y2136" s="84" t="n"/>
      <c r="Z2136" s="84" t="n"/>
      <c r="AA2136" s="84" t="n"/>
      <c r="AB2136" s="84" t="n"/>
      <c r="AC2136" s="84" t="n"/>
      <c r="AD2136" s="84" t="n"/>
      <c r="AE2136" s="84" t="n"/>
      <c r="AF2136" s="84" t="n"/>
      <c r="AG2136" s="84" t="n"/>
      <c r="AH2136" s="84" t="n"/>
      <c r="AI2136" s="84" t="n"/>
      <c r="AJ2136" s="84" t="n"/>
      <c r="AK2136" s="84" t="n"/>
      <c r="AL2136" s="84" t="n"/>
      <c r="AM2136" s="84" t="n"/>
      <c r="AN2136" s="84" t="n"/>
      <c r="AO2136" s="84" t="n"/>
      <c r="AP2136" s="84" t="n"/>
      <c r="AQ2136" s="84" t="n"/>
      <c r="AR2136" s="84" t="n"/>
    </row>
    <row r="2137">
      <c r="D2137" s="80" t="n"/>
      <c r="E2137" s="80" t="n"/>
      <c r="F2137" s="80" t="n"/>
      <c r="G2137" s="80" t="n"/>
      <c r="H2137" s="80" t="n"/>
      <c r="I2137" s="80" t="n"/>
      <c r="J2137" s="80" t="n"/>
      <c r="K2137" s="80" t="n"/>
      <c r="L2137" s="80" t="n"/>
      <c r="M2137" s="80" t="n"/>
      <c r="N2137" s="80" t="n"/>
      <c r="O2137" s="80" t="n"/>
      <c r="P2137" s="80" t="n"/>
      <c r="Q2137" s="80" t="n"/>
      <c r="R2137" s="80" t="n"/>
      <c r="S2137" s="80" t="n"/>
      <c r="T2137" s="80" t="n"/>
      <c r="U2137" s="80" t="n"/>
      <c r="V2137" s="80" t="n"/>
      <c r="W2137" s="80" t="n"/>
      <c r="X2137" s="80" t="n"/>
      <c r="Y2137" s="80" t="n"/>
      <c r="Z2137" s="80" t="n"/>
      <c r="AA2137" s="80" t="n"/>
      <c r="AB2137" s="80" t="n"/>
      <c r="AC2137" s="80" t="n"/>
      <c r="AD2137" s="80" t="n"/>
      <c r="AE2137" s="80" t="n"/>
      <c r="AF2137" s="80" t="n"/>
      <c r="AG2137" s="80" t="n"/>
      <c r="AH2137" s="80" t="n"/>
      <c r="AI2137" s="80" t="n"/>
      <c r="AJ2137" s="80" t="n"/>
      <c r="AK2137" s="80" t="n"/>
      <c r="AL2137" s="80" t="n"/>
      <c r="AM2137" s="80" t="n"/>
      <c r="AN2137" s="80" t="n"/>
      <c r="AO2137" s="80" t="n"/>
      <c r="AP2137" s="80" t="n"/>
      <c r="AQ2137" s="80" t="n"/>
      <c r="AR2137" s="80" t="n"/>
    </row>
    <row r="2138">
      <c r="D2138" s="80" t="n"/>
      <c r="E2138" s="80" t="n"/>
      <c r="F2138" s="80" t="n"/>
      <c r="G2138" s="80" t="n"/>
      <c r="H2138" s="80" t="n"/>
      <c r="I2138" s="80" t="n"/>
      <c r="J2138" s="80" t="n"/>
      <c r="K2138" s="80" t="n"/>
      <c r="L2138" s="80" t="n"/>
      <c r="M2138" s="80" t="n"/>
      <c r="N2138" s="80" t="n"/>
      <c r="O2138" s="80" t="n"/>
      <c r="P2138" s="80" t="n"/>
      <c r="Q2138" s="80" t="n"/>
      <c r="R2138" s="80" t="n"/>
      <c r="S2138" s="80" t="n"/>
      <c r="T2138" s="80" t="n"/>
      <c r="U2138" s="80" t="n"/>
      <c r="V2138" s="80" t="n"/>
      <c r="W2138" s="80" t="n"/>
      <c r="X2138" s="80" t="n"/>
      <c r="Y2138" s="80" t="n"/>
      <c r="Z2138" s="80" t="n"/>
      <c r="AA2138" s="80" t="n"/>
      <c r="AB2138" s="80" t="n"/>
      <c r="AC2138" s="80" t="n"/>
      <c r="AD2138" s="80" t="n"/>
      <c r="AE2138" s="80" t="n"/>
      <c r="AF2138" s="80" t="n"/>
      <c r="AG2138" s="80" t="n"/>
      <c r="AH2138" s="80" t="n"/>
      <c r="AI2138" s="80" t="n"/>
      <c r="AJ2138" s="80" t="n"/>
      <c r="AK2138" s="80" t="n"/>
      <c r="AL2138" s="80" t="n"/>
      <c r="AM2138" s="80" t="n"/>
      <c r="AN2138" s="80" t="n"/>
      <c r="AO2138" s="80" t="n"/>
      <c r="AP2138" s="80" t="n"/>
      <c r="AQ2138" s="80" t="n"/>
      <c r="AR2138" s="80" t="n"/>
    </row>
    <row r="2139">
      <c r="D2139" s="80" t="n"/>
      <c r="E2139" s="80" t="n"/>
      <c r="F2139" s="80" t="n"/>
      <c r="G2139" s="80" t="n"/>
      <c r="H2139" s="80" t="n"/>
      <c r="I2139" s="80" t="n"/>
      <c r="J2139" s="80" t="n"/>
      <c r="K2139" s="80" t="n"/>
      <c r="L2139" s="80" t="n"/>
      <c r="M2139" s="80" t="n"/>
      <c r="N2139" s="80" t="n"/>
      <c r="O2139" s="80" t="n"/>
      <c r="P2139" s="80" t="n"/>
      <c r="Q2139" s="80" t="n"/>
      <c r="R2139" s="80" t="n"/>
      <c r="S2139" s="80" t="n"/>
      <c r="T2139" s="80" t="n"/>
      <c r="U2139" s="80" t="n"/>
      <c r="V2139" s="80" t="n"/>
      <c r="W2139" s="80" t="n"/>
      <c r="X2139" s="80" t="n"/>
      <c r="Y2139" s="80" t="n"/>
      <c r="Z2139" s="80" t="n"/>
      <c r="AA2139" s="80" t="n"/>
      <c r="AB2139" s="80" t="n"/>
      <c r="AC2139" s="80" t="n"/>
      <c r="AD2139" s="80" t="n"/>
      <c r="AE2139" s="80" t="n"/>
      <c r="AF2139" s="80" t="n"/>
      <c r="AG2139" s="80" t="n"/>
      <c r="AH2139" s="80" t="n"/>
      <c r="AI2139" s="80" t="n"/>
      <c r="AJ2139" s="80" t="n"/>
      <c r="AK2139" s="80" t="n"/>
      <c r="AL2139" s="80" t="n"/>
      <c r="AM2139" s="80" t="n"/>
      <c r="AN2139" s="80" t="n"/>
      <c r="AO2139" s="80" t="n"/>
      <c r="AP2139" s="80" t="n"/>
      <c r="AQ2139" s="80" t="n"/>
      <c r="AR2139" s="80" t="n"/>
    </row>
    <row r="2140">
      <c r="D2140" s="80" t="n"/>
      <c r="E2140" s="80" t="n"/>
      <c r="F2140" s="80" t="n"/>
      <c r="G2140" s="80" t="n"/>
      <c r="H2140" s="80" t="n"/>
      <c r="I2140" s="80" t="n"/>
      <c r="J2140" s="80" t="n"/>
      <c r="K2140" s="80" t="n"/>
      <c r="L2140" s="80" t="n"/>
      <c r="M2140" s="80" t="n"/>
      <c r="N2140" s="80" t="n"/>
      <c r="O2140" s="80" t="n"/>
      <c r="P2140" s="80" t="n"/>
      <c r="Q2140" s="80" t="n"/>
      <c r="R2140" s="80" t="n"/>
      <c r="S2140" s="80" t="n"/>
      <c r="T2140" s="80" t="n"/>
      <c r="U2140" s="80" t="n"/>
      <c r="V2140" s="80" t="n"/>
      <c r="W2140" s="80" t="n"/>
      <c r="X2140" s="80" t="n"/>
      <c r="Y2140" s="80" t="n"/>
      <c r="Z2140" s="80" t="n"/>
      <c r="AA2140" s="80" t="n"/>
      <c r="AB2140" s="80" t="n"/>
      <c r="AC2140" s="80" t="n"/>
      <c r="AD2140" s="80" t="n"/>
      <c r="AE2140" s="80" t="n"/>
      <c r="AF2140" s="80" t="n"/>
      <c r="AG2140" s="80" t="n"/>
      <c r="AH2140" s="80" t="n"/>
      <c r="AI2140" s="80" t="n"/>
      <c r="AJ2140" s="80" t="n"/>
      <c r="AK2140" s="80" t="n"/>
      <c r="AL2140" s="80" t="n"/>
      <c r="AM2140" s="80" t="n"/>
      <c r="AN2140" s="80" t="n"/>
      <c r="AO2140" s="80" t="n"/>
      <c r="AP2140" s="80" t="n"/>
      <c r="AQ2140" s="80" t="n"/>
      <c r="AR2140" s="80" t="n"/>
    </row>
    <row r="2141">
      <c r="A2141" s="2">
        <f>IF($A2134="","","   projections")</f>
        <v/>
      </c>
      <c r="B2141" s="41">
        <f>IF($A2134="",0,COUNT($E2142:$AR2142))</f>
        <v/>
      </c>
      <c r="C2141" s="81">
        <f>IF($B2141=0,0,MAX($E2142:$AR2142))</f>
        <v/>
      </c>
      <c r="D2141" s="82">
        <f>BDS($A2134,'Field Check'!$C$6,"headers=y","startcol=1","endcol=7","dir=h")</f>
        <v/>
      </c>
      <c r="E2141" s="83" t="n"/>
      <c r="F2141" s="83" t="n"/>
      <c r="G2141" s="83" t="n"/>
      <c r="H2141" s="83" t="n"/>
      <c r="I2141" s="83" t="n"/>
      <c r="J2141" s="83" t="n"/>
      <c r="K2141" s="83" t="n"/>
      <c r="L2141" s="83" t="n"/>
      <c r="M2141" s="83" t="n"/>
      <c r="N2141" s="83" t="n"/>
      <c r="O2141" s="83" t="n"/>
      <c r="P2141" s="83" t="n"/>
      <c r="Q2141" s="83" t="n"/>
      <c r="R2141" s="83" t="n"/>
      <c r="S2141" s="83" t="n"/>
      <c r="T2141" s="83" t="n"/>
      <c r="U2141" s="83" t="n"/>
      <c r="V2141" s="83" t="n"/>
      <c r="W2141" s="83" t="n"/>
      <c r="X2141" s="83" t="n"/>
      <c r="Y2141" s="83" t="n"/>
      <c r="Z2141" s="83" t="n"/>
      <c r="AA2141" s="83" t="n"/>
      <c r="AB2141" s="83" t="n"/>
      <c r="AC2141" s="83" t="n"/>
      <c r="AD2141" s="83" t="n"/>
      <c r="AE2141" s="83" t="n"/>
      <c r="AF2141" s="83" t="n"/>
      <c r="AG2141" s="83" t="n"/>
      <c r="AH2141" s="83" t="n"/>
      <c r="AI2141" s="83" t="n"/>
      <c r="AJ2141" s="83" t="n"/>
      <c r="AK2141" s="83" t="n"/>
      <c r="AL2141" s="83" t="n"/>
      <c r="AM2141" s="83" t="n"/>
      <c r="AN2141" s="83" t="n"/>
      <c r="AO2141" s="83" t="n"/>
      <c r="AP2141" s="83" t="n"/>
      <c r="AQ2141" s="83" t="n"/>
      <c r="AR2141" s="83" t="n"/>
    </row>
    <row r="2142">
      <c r="D2142" s="83" t="n"/>
      <c r="E2142" s="83" t="n"/>
      <c r="F2142" s="83" t="n"/>
      <c r="G2142" s="83" t="n"/>
      <c r="H2142" s="83" t="n"/>
      <c r="I2142" s="83" t="n"/>
      <c r="J2142" s="83" t="n"/>
      <c r="K2142" s="83" t="n"/>
      <c r="L2142" s="83" t="n"/>
      <c r="M2142" s="83" t="n"/>
      <c r="N2142" s="83" t="n"/>
      <c r="O2142" s="83" t="n"/>
      <c r="P2142" s="83" t="n"/>
      <c r="Q2142" s="83" t="n"/>
      <c r="R2142" s="83" t="n"/>
      <c r="S2142" s="83" t="n"/>
      <c r="T2142" s="83" t="n"/>
      <c r="U2142" s="83" t="n"/>
      <c r="V2142" s="83" t="n"/>
      <c r="W2142" s="83" t="n"/>
      <c r="X2142" s="83" t="n"/>
      <c r="Y2142" s="83" t="n"/>
      <c r="Z2142" s="83" t="n"/>
      <c r="AA2142" s="83" t="n"/>
      <c r="AB2142" s="83" t="n"/>
      <c r="AC2142" s="83" t="n"/>
      <c r="AD2142" s="83" t="n"/>
      <c r="AE2142" s="83" t="n"/>
      <c r="AF2142" s="83" t="n"/>
      <c r="AG2142" s="83" t="n"/>
      <c r="AH2142" s="83" t="n"/>
      <c r="AI2142" s="83" t="n"/>
      <c r="AJ2142" s="83" t="n"/>
      <c r="AK2142" s="83" t="n"/>
      <c r="AL2142" s="83" t="n"/>
      <c r="AM2142" s="83" t="n"/>
      <c r="AN2142" s="83" t="n"/>
      <c r="AO2142" s="83" t="n"/>
      <c r="AP2142" s="83" t="n"/>
      <c r="AQ2142" s="83" t="n"/>
      <c r="AR2142" s="83" t="n"/>
    </row>
    <row r="2143">
      <c r="D2143" s="84" t="n"/>
      <c r="E2143" s="84" t="n"/>
      <c r="F2143" s="84" t="n"/>
      <c r="G2143" s="84" t="n"/>
      <c r="H2143" s="84" t="n"/>
      <c r="I2143" s="84" t="n"/>
      <c r="J2143" s="84" t="n"/>
      <c r="K2143" s="84" t="n"/>
      <c r="L2143" s="84" t="n"/>
      <c r="M2143" s="84" t="n"/>
      <c r="N2143" s="84" t="n"/>
      <c r="O2143" s="84" t="n"/>
      <c r="P2143" s="84" t="n"/>
      <c r="Q2143" s="84" t="n"/>
      <c r="R2143" s="84" t="n"/>
      <c r="S2143" s="84" t="n"/>
      <c r="T2143" s="84" t="n"/>
      <c r="U2143" s="84" t="n"/>
      <c r="V2143" s="84" t="n"/>
      <c r="W2143" s="84" t="n"/>
      <c r="X2143" s="84" t="n"/>
      <c r="Y2143" s="84" t="n"/>
      <c r="Z2143" s="84" t="n"/>
      <c r="AA2143" s="84" t="n"/>
      <c r="AB2143" s="84" t="n"/>
      <c r="AC2143" s="84" t="n"/>
      <c r="AD2143" s="84" t="n"/>
      <c r="AE2143" s="84" t="n"/>
      <c r="AF2143" s="84" t="n"/>
      <c r="AG2143" s="84" t="n"/>
      <c r="AH2143" s="84" t="n"/>
      <c r="AI2143" s="84" t="n"/>
      <c r="AJ2143" s="84" t="n"/>
      <c r="AK2143" s="84" t="n"/>
      <c r="AL2143" s="84" t="n"/>
      <c r="AM2143" s="84" t="n"/>
      <c r="AN2143" s="84" t="n"/>
      <c r="AO2143" s="84" t="n"/>
      <c r="AP2143" s="84" t="n"/>
      <c r="AQ2143" s="84" t="n"/>
      <c r="AR2143" s="84" t="n"/>
    </row>
    <row r="2144">
      <c r="D2144" s="80" t="n"/>
      <c r="E2144" s="80" t="n"/>
      <c r="F2144" s="80" t="n"/>
      <c r="G2144" s="80" t="n"/>
      <c r="H2144" s="80" t="n"/>
      <c r="I2144" s="80" t="n"/>
      <c r="J2144" s="80" t="n"/>
      <c r="K2144" s="80" t="n"/>
      <c r="L2144" s="80" t="n"/>
      <c r="M2144" s="80" t="n"/>
      <c r="N2144" s="80" t="n"/>
      <c r="O2144" s="80" t="n"/>
      <c r="P2144" s="80" t="n"/>
      <c r="Q2144" s="80" t="n"/>
      <c r="R2144" s="80" t="n"/>
      <c r="S2144" s="80" t="n"/>
      <c r="T2144" s="80" t="n"/>
      <c r="U2144" s="80" t="n"/>
      <c r="V2144" s="80" t="n"/>
      <c r="W2144" s="80" t="n"/>
      <c r="X2144" s="80" t="n"/>
      <c r="Y2144" s="80" t="n"/>
      <c r="Z2144" s="80" t="n"/>
      <c r="AA2144" s="80" t="n"/>
      <c r="AB2144" s="80" t="n"/>
      <c r="AC2144" s="80" t="n"/>
      <c r="AD2144" s="80" t="n"/>
      <c r="AE2144" s="80" t="n"/>
      <c r="AF2144" s="80" t="n"/>
      <c r="AG2144" s="80" t="n"/>
      <c r="AH2144" s="80" t="n"/>
      <c r="AI2144" s="80" t="n"/>
      <c r="AJ2144" s="80" t="n"/>
      <c r="AK2144" s="80" t="n"/>
      <c r="AL2144" s="80" t="n"/>
      <c r="AM2144" s="80" t="n"/>
      <c r="AN2144" s="80" t="n"/>
      <c r="AO2144" s="80" t="n"/>
      <c r="AP2144" s="80" t="n"/>
      <c r="AQ2144" s="80" t="n"/>
      <c r="AR2144" s="80" t="n"/>
    </row>
    <row r="2145">
      <c r="D2145" s="80" t="n"/>
      <c r="E2145" s="80" t="n"/>
      <c r="F2145" s="80" t="n"/>
      <c r="G2145" s="80" t="n"/>
      <c r="H2145" s="80" t="n"/>
      <c r="I2145" s="80" t="n"/>
      <c r="J2145" s="80" t="n"/>
      <c r="K2145" s="80" t="n"/>
      <c r="L2145" s="80" t="n"/>
      <c r="M2145" s="80" t="n"/>
      <c r="N2145" s="80" t="n"/>
      <c r="O2145" s="80" t="n"/>
      <c r="P2145" s="80" t="n"/>
      <c r="Q2145" s="80" t="n"/>
      <c r="R2145" s="80" t="n"/>
      <c r="S2145" s="80" t="n"/>
      <c r="T2145" s="80" t="n"/>
      <c r="U2145" s="80" t="n"/>
      <c r="V2145" s="80" t="n"/>
      <c r="W2145" s="80" t="n"/>
      <c r="X2145" s="80" t="n"/>
      <c r="Y2145" s="80" t="n"/>
      <c r="Z2145" s="80" t="n"/>
      <c r="AA2145" s="80" t="n"/>
      <c r="AB2145" s="80" t="n"/>
      <c r="AC2145" s="80" t="n"/>
      <c r="AD2145" s="80" t="n"/>
      <c r="AE2145" s="80" t="n"/>
      <c r="AF2145" s="80" t="n"/>
      <c r="AG2145" s="80" t="n"/>
      <c r="AH2145" s="80" t="n"/>
      <c r="AI2145" s="80" t="n"/>
      <c r="AJ2145" s="80" t="n"/>
      <c r="AK2145" s="80" t="n"/>
      <c r="AL2145" s="80" t="n"/>
      <c r="AM2145" s="80" t="n"/>
      <c r="AN2145" s="80" t="n"/>
      <c r="AO2145" s="80" t="n"/>
      <c r="AP2145" s="80" t="n"/>
      <c r="AQ2145" s="80" t="n"/>
      <c r="AR2145" s="80" t="n"/>
    </row>
    <row r="2146">
      <c r="D2146" s="80" t="n"/>
      <c r="E2146" s="80" t="n"/>
      <c r="F2146" s="80" t="n"/>
      <c r="G2146" s="80" t="n"/>
      <c r="H2146" s="80" t="n"/>
      <c r="I2146" s="80" t="n"/>
      <c r="J2146" s="80" t="n"/>
      <c r="K2146" s="80" t="n"/>
      <c r="L2146" s="80" t="n"/>
      <c r="M2146" s="80" t="n"/>
      <c r="N2146" s="80" t="n"/>
      <c r="O2146" s="80" t="n"/>
      <c r="P2146" s="80" t="n"/>
      <c r="Q2146" s="80" t="n"/>
      <c r="R2146" s="80" t="n"/>
      <c r="S2146" s="80" t="n"/>
      <c r="T2146" s="80" t="n"/>
      <c r="U2146" s="80" t="n"/>
      <c r="V2146" s="80" t="n"/>
      <c r="W2146" s="80" t="n"/>
      <c r="X2146" s="80" t="n"/>
      <c r="Y2146" s="80" t="n"/>
      <c r="Z2146" s="80" t="n"/>
      <c r="AA2146" s="80" t="n"/>
      <c r="AB2146" s="80" t="n"/>
      <c r="AC2146" s="80" t="n"/>
      <c r="AD2146" s="80" t="n"/>
      <c r="AE2146" s="80" t="n"/>
      <c r="AF2146" s="80" t="n"/>
      <c r="AG2146" s="80" t="n"/>
      <c r="AH2146" s="80" t="n"/>
      <c r="AI2146" s="80" t="n"/>
      <c r="AJ2146" s="80" t="n"/>
      <c r="AK2146" s="80" t="n"/>
      <c r="AL2146" s="80" t="n"/>
      <c r="AM2146" s="80" t="n"/>
      <c r="AN2146" s="80" t="n"/>
      <c r="AO2146" s="80" t="n"/>
      <c r="AP2146" s="80" t="n"/>
      <c r="AQ2146" s="80" t="n"/>
      <c r="AR2146" s="80" t="n"/>
    </row>
    <row r="2147">
      <c r="D2147" s="80" t="n"/>
      <c r="E2147" s="80" t="n"/>
      <c r="F2147" s="80" t="n"/>
      <c r="G2147" s="80" t="n"/>
      <c r="H2147" s="80" t="n"/>
      <c r="I2147" s="80" t="n"/>
      <c r="J2147" s="80" t="n"/>
      <c r="K2147" s="80" t="n"/>
      <c r="L2147" s="80" t="n"/>
      <c r="M2147" s="80" t="n"/>
      <c r="N2147" s="80" t="n"/>
      <c r="O2147" s="80" t="n"/>
      <c r="P2147" s="80" t="n"/>
      <c r="Q2147" s="80" t="n"/>
      <c r="R2147" s="80" t="n"/>
      <c r="S2147" s="80" t="n"/>
      <c r="T2147" s="80" t="n"/>
      <c r="U2147" s="80" t="n"/>
      <c r="V2147" s="80" t="n"/>
      <c r="W2147" s="80" t="n"/>
      <c r="X2147" s="80" t="n"/>
      <c r="Y2147" s="80" t="n"/>
      <c r="Z2147" s="80" t="n"/>
      <c r="AA2147" s="80" t="n"/>
      <c r="AB2147" s="80" t="n"/>
      <c r="AC2147" s="80" t="n"/>
      <c r="AD2147" s="80" t="n"/>
      <c r="AE2147" s="80" t="n"/>
      <c r="AF2147" s="80" t="n"/>
      <c r="AG2147" s="80" t="n"/>
      <c r="AH2147" s="80" t="n"/>
      <c r="AI2147" s="80" t="n"/>
      <c r="AJ2147" s="80" t="n"/>
      <c r="AK2147" s="80" t="n"/>
      <c r="AL2147" s="80" t="n"/>
      <c r="AM2147" s="80" t="n"/>
      <c r="AN2147" s="80" t="n"/>
      <c r="AO2147" s="80" t="n"/>
      <c r="AP2147" s="80" t="n"/>
      <c r="AQ2147" s="80" t="n"/>
      <c r="AR2147" s="80" t="n"/>
    </row>
    <row r="2149">
      <c r="A2149" s="6">
        <f>IF(HSCEI!$C$9="","",HSCEI!$C$9)</f>
        <v/>
      </c>
      <c r="B2149" s="41">
        <f>IF($A2149="",0,COUNT($E2150:$AR2150))</f>
        <v/>
      </c>
      <c r="C2149" s="81">
        <f>IF($B2149=0,0,MAX($E2150:$AR2150))</f>
        <v/>
      </c>
      <c r="D2149" s="82">
        <f>BDS($A2149,'Field Check'!$C$7,"headers=y","startcol=1","endcol=7","dir=h","DVD_START_DT",Summary!$C$18,"DVD_END_DT",Summary!$D$18)</f>
        <v/>
      </c>
      <c r="E2149" s="83" t="n"/>
      <c r="F2149" s="83" t="n"/>
      <c r="G2149" s="83" t="n"/>
      <c r="H2149" s="83" t="n"/>
      <c r="I2149" s="83" t="n"/>
      <c r="J2149" s="83" t="n"/>
      <c r="K2149" s="83" t="n"/>
      <c r="L2149" s="83" t="n"/>
      <c r="M2149" s="83" t="n"/>
      <c r="N2149" s="83" t="n"/>
      <c r="O2149" s="83" t="n"/>
      <c r="P2149" s="83" t="n"/>
      <c r="Q2149" s="83" t="n"/>
      <c r="R2149" s="83" t="n"/>
      <c r="S2149" s="83" t="n"/>
      <c r="T2149" s="83" t="n"/>
      <c r="U2149" s="83" t="n"/>
      <c r="V2149" s="83" t="n"/>
      <c r="W2149" s="83" t="n"/>
      <c r="X2149" s="83" t="n"/>
      <c r="Y2149" s="83" t="n"/>
      <c r="Z2149" s="83" t="n"/>
      <c r="AA2149" s="83" t="n"/>
      <c r="AB2149" s="83" t="n"/>
      <c r="AC2149" s="83" t="n"/>
      <c r="AD2149" s="83" t="n"/>
      <c r="AE2149" s="83" t="n"/>
      <c r="AF2149" s="83" t="n"/>
      <c r="AG2149" s="83" t="n"/>
      <c r="AH2149" s="83" t="n"/>
      <c r="AI2149" s="83" t="n"/>
      <c r="AJ2149" s="83" t="n"/>
      <c r="AK2149" s="83" t="n"/>
      <c r="AL2149" s="83" t="n"/>
      <c r="AM2149" s="83" t="n"/>
      <c r="AN2149" s="83" t="n"/>
      <c r="AO2149" s="83" t="n"/>
      <c r="AP2149" s="83" t="n"/>
      <c r="AQ2149" s="83" t="n"/>
      <c r="AR2149" s="83" t="n"/>
    </row>
    <row r="2150">
      <c r="D2150" s="83" t="n"/>
      <c r="E2150" s="83" t="n"/>
      <c r="F2150" s="83" t="n"/>
      <c r="G2150" s="83" t="n"/>
      <c r="H2150" s="83" t="n"/>
      <c r="I2150" s="83" t="n"/>
      <c r="J2150" s="83" t="n"/>
      <c r="K2150" s="83" t="n"/>
      <c r="L2150" s="83" t="n"/>
      <c r="M2150" s="83" t="n"/>
      <c r="N2150" s="83" t="n"/>
      <c r="O2150" s="83" t="n"/>
      <c r="P2150" s="83" t="n"/>
      <c r="Q2150" s="83" t="n"/>
      <c r="R2150" s="83" t="n"/>
      <c r="S2150" s="83" t="n"/>
      <c r="T2150" s="83" t="n"/>
      <c r="U2150" s="83" t="n"/>
      <c r="V2150" s="83" t="n"/>
      <c r="W2150" s="83" t="n"/>
      <c r="X2150" s="83" t="n"/>
      <c r="Y2150" s="83" t="n"/>
      <c r="Z2150" s="83" t="n"/>
      <c r="AA2150" s="83" t="n"/>
      <c r="AB2150" s="83" t="n"/>
      <c r="AC2150" s="83" t="n"/>
      <c r="AD2150" s="83" t="n"/>
      <c r="AE2150" s="83" t="n"/>
      <c r="AF2150" s="83" t="n"/>
      <c r="AG2150" s="83" t="n"/>
      <c r="AH2150" s="83" t="n"/>
      <c r="AI2150" s="83" t="n"/>
      <c r="AJ2150" s="83" t="n"/>
      <c r="AK2150" s="83" t="n"/>
      <c r="AL2150" s="83" t="n"/>
      <c r="AM2150" s="83" t="n"/>
      <c r="AN2150" s="83" t="n"/>
      <c r="AO2150" s="83" t="n"/>
      <c r="AP2150" s="83" t="n"/>
      <c r="AQ2150" s="83" t="n"/>
      <c r="AR2150" s="83" t="n"/>
    </row>
    <row r="2151">
      <c r="D2151" s="84" t="n"/>
      <c r="E2151" s="84" t="n"/>
      <c r="F2151" s="84" t="n"/>
      <c r="G2151" s="84" t="n"/>
      <c r="H2151" s="84" t="n"/>
      <c r="I2151" s="84" t="n"/>
      <c r="J2151" s="84" t="n"/>
      <c r="K2151" s="84" t="n"/>
      <c r="L2151" s="84" t="n"/>
      <c r="M2151" s="84" t="n"/>
      <c r="N2151" s="84" t="n"/>
      <c r="O2151" s="84" t="n"/>
      <c r="P2151" s="84" t="n"/>
      <c r="Q2151" s="84" t="n"/>
      <c r="R2151" s="84" t="n"/>
      <c r="S2151" s="84" t="n"/>
      <c r="T2151" s="84" t="n"/>
      <c r="U2151" s="84" t="n"/>
      <c r="V2151" s="84" t="n"/>
      <c r="W2151" s="84" t="n"/>
      <c r="X2151" s="84" t="n"/>
      <c r="Y2151" s="84" t="n"/>
      <c r="Z2151" s="84" t="n"/>
      <c r="AA2151" s="84" t="n"/>
      <c r="AB2151" s="84" t="n"/>
      <c r="AC2151" s="84" t="n"/>
      <c r="AD2151" s="84" t="n"/>
      <c r="AE2151" s="84" t="n"/>
      <c r="AF2151" s="84" t="n"/>
      <c r="AG2151" s="84" t="n"/>
      <c r="AH2151" s="84" t="n"/>
      <c r="AI2151" s="84" t="n"/>
      <c r="AJ2151" s="84" t="n"/>
      <c r="AK2151" s="84" t="n"/>
      <c r="AL2151" s="84" t="n"/>
      <c r="AM2151" s="84" t="n"/>
      <c r="AN2151" s="84" t="n"/>
      <c r="AO2151" s="84" t="n"/>
      <c r="AP2151" s="84" t="n"/>
      <c r="AQ2151" s="84" t="n"/>
      <c r="AR2151" s="84" t="n"/>
    </row>
    <row r="2152">
      <c r="D2152" s="80" t="n"/>
      <c r="E2152" s="80" t="n"/>
      <c r="F2152" s="80" t="n"/>
      <c r="G2152" s="80" t="n"/>
      <c r="H2152" s="80" t="n"/>
      <c r="I2152" s="80" t="n"/>
      <c r="J2152" s="80" t="n"/>
      <c r="K2152" s="80" t="n"/>
      <c r="L2152" s="80" t="n"/>
      <c r="M2152" s="80" t="n"/>
      <c r="N2152" s="80" t="n"/>
      <c r="O2152" s="80" t="n"/>
      <c r="P2152" s="80" t="n"/>
      <c r="Q2152" s="80" t="n"/>
      <c r="R2152" s="80" t="n"/>
      <c r="S2152" s="80" t="n"/>
      <c r="T2152" s="80" t="n"/>
      <c r="U2152" s="80" t="n"/>
      <c r="V2152" s="80" t="n"/>
      <c r="W2152" s="80" t="n"/>
      <c r="X2152" s="80" t="n"/>
      <c r="Y2152" s="80" t="n"/>
      <c r="Z2152" s="80" t="n"/>
      <c r="AA2152" s="80" t="n"/>
      <c r="AB2152" s="80" t="n"/>
      <c r="AC2152" s="80" t="n"/>
      <c r="AD2152" s="80" t="n"/>
      <c r="AE2152" s="80" t="n"/>
      <c r="AF2152" s="80" t="n"/>
      <c r="AG2152" s="80" t="n"/>
      <c r="AH2152" s="80" t="n"/>
      <c r="AI2152" s="80" t="n"/>
      <c r="AJ2152" s="80" t="n"/>
      <c r="AK2152" s="80" t="n"/>
      <c r="AL2152" s="80" t="n"/>
      <c r="AM2152" s="80" t="n"/>
      <c r="AN2152" s="80" t="n"/>
      <c r="AO2152" s="80" t="n"/>
      <c r="AP2152" s="80" t="n"/>
      <c r="AQ2152" s="80" t="n"/>
      <c r="AR2152" s="80" t="n"/>
    </row>
    <row r="2153">
      <c r="D2153" s="80" t="n"/>
      <c r="E2153" s="80" t="n"/>
      <c r="F2153" s="80" t="n"/>
      <c r="G2153" s="80" t="n"/>
      <c r="H2153" s="80" t="n"/>
      <c r="I2153" s="80" t="n"/>
      <c r="J2153" s="80" t="n"/>
      <c r="K2153" s="80" t="n"/>
      <c r="L2153" s="80" t="n"/>
      <c r="M2153" s="80" t="n"/>
      <c r="N2153" s="80" t="n"/>
      <c r="O2153" s="80" t="n"/>
      <c r="P2153" s="80" t="n"/>
      <c r="Q2153" s="80" t="n"/>
      <c r="R2153" s="80" t="n"/>
      <c r="S2153" s="80" t="n"/>
      <c r="T2153" s="80" t="n"/>
      <c r="U2153" s="80" t="n"/>
      <c r="V2153" s="80" t="n"/>
      <c r="W2153" s="80" t="n"/>
      <c r="X2153" s="80" t="n"/>
      <c r="Y2153" s="80" t="n"/>
      <c r="Z2153" s="80" t="n"/>
      <c r="AA2153" s="80" t="n"/>
      <c r="AB2153" s="80" t="n"/>
      <c r="AC2153" s="80" t="n"/>
      <c r="AD2153" s="80" t="n"/>
      <c r="AE2153" s="80" t="n"/>
      <c r="AF2153" s="80" t="n"/>
      <c r="AG2153" s="80" t="n"/>
      <c r="AH2153" s="80" t="n"/>
      <c r="AI2153" s="80" t="n"/>
      <c r="AJ2153" s="80" t="n"/>
      <c r="AK2153" s="80" t="n"/>
      <c r="AL2153" s="80" t="n"/>
      <c r="AM2153" s="80" t="n"/>
      <c r="AN2153" s="80" t="n"/>
      <c r="AO2153" s="80" t="n"/>
      <c r="AP2153" s="80" t="n"/>
      <c r="AQ2153" s="80" t="n"/>
      <c r="AR2153" s="80" t="n"/>
    </row>
    <row r="2154">
      <c r="D2154" s="80" t="n"/>
      <c r="E2154" s="80" t="n"/>
      <c r="F2154" s="80" t="n"/>
      <c r="G2154" s="80" t="n"/>
      <c r="H2154" s="80" t="n"/>
      <c r="I2154" s="80" t="n"/>
      <c r="J2154" s="80" t="n"/>
      <c r="K2154" s="80" t="n"/>
      <c r="L2154" s="80" t="n"/>
      <c r="M2154" s="80" t="n"/>
      <c r="N2154" s="80" t="n"/>
      <c r="O2154" s="80" t="n"/>
      <c r="P2154" s="80" t="n"/>
      <c r="Q2154" s="80" t="n"/>
      <c r="R2154" s="80" t="n"/>
      <c r="S2154" s="80" t="n"/>
      <c r="T2154" s="80" t="n"/>
      <c r="U2154" s="80" t="n"/>
      <c r="V2154" s="80" t="n"/>
      <c r="W2154" s="80" t="n"/>
      <c r="X2154" s="80" t="n"/>
      <c r="Y2154" s="80" t="n"/>
      <c r="Z2154" s="80" t="n"/>
      <c r="AA2154" s="80" t="n"/>
      <c r="AB2154" s="80" t="n"/>
      <c r="AC2154" s="80" t="n"/>
      <c r="AD2154" s="80" t="n"/>
      <c r="AE2154" s="80" t="n"/>
      <c r="AF2154" s="80" t="n"/>
      <c r="AG2154" s="80" t="n"/>
      <c r="AH2154" s="80" t="n"/>
      <c r="AI2154" s="80" t="n"/>
      <c r="AJ2154" s="80" t="n"/>
      <c r="AK2154" s="80" t="n"/>
      <c r="AL2154" s="80" t="n"/>
      <c r="AM2154" s="80" t="n"/>
      <c r="AN2154" s="80" t="n"/>
      <c r="AO2154" s="80" t="n"/>
      <c r="AP2154" s="80" t="n"/>
      <c r="AQ2154" s="80" t="n"/>
      <c r="AR2154" s="80" t="n"/>
    </row>
    <row r="2155">
      <c r="D2155" s="80" t="n"/>
      <c r="E2155" s="80" t="n"/>
      <c r="F2155" s="80" t="n"/>
      <c r="G2155" s="80" t="n"/>
      <c r="H2155" s="80" t="n"/>
      <c r="I2155" s="80" t="n"/>
      <c r="J2155" s="80" t="n"/>
      <c r="K2155" s="80" t="n"/>
      <c r="L2155" s="80" t="n"/>
      <c r="M2155" s="80" t="n"/>
      <c r="N2155" s="80" t="n"/>
      <c r="O2155" s="80" t="n"/>
      <c r="P2155" s="80" t="n"/>
      <c r="Q2155" s="80" t="n"/>
      <c r="R2155" s="80" t="n"/>
      <c r="S2155" s="80" t="n"/>
      <c r="T2155" s="80" t="n"/>
      <c r="U2155" s="80" t="n"/>
      <c r="V2155" s="80" t="n"/>
      <c r="W2155" s="80" t="n"/>
      <c r="X2155" s="80" t="n"/>
      <c r="Y2155" s="80" t="n"/>
      <c r="Z2155" s="80" t="n"/>
      <c r="AA2155" s="80" t="n"/>
      <c r="AB2155" s="80" t="n"/>
      <c r="AC2155" s="80" t="n"/>
      <c r="AD2155" s="80" t="n"/>
      <c r="AE2155" s="80" t="n"/>
      <c r="AF2155" s="80" t="n"/>
      <c r="AG2155" s="80" t="n"/>
      <c r="AH2155" s="80" t="n"/>
      <c r="AI2155" s="80" t="n"/>
      <c r="AJ2155" s="80" t="n"/>
      <c r="AK2155" s="80" t="n"/>
      <c r="AL2155" s="80" t="n"/>
      <c r="AM2155" s="80" t="n"/>
      <c r="AN2155" s="80" t="n"/>
      <c r="AO2155" s="80" t="n"/>
      <c r="AP2155" s="80" t="n"/>
      <c r="AQ2155" s="80" t="n"/>
      <c r="AR2155" s="80" t="n"/>
    </row>
    <row r="2156">
      <c r="A2156" s="2">
        <f>IF($A2149="","","   projections")</f>
        <v/>
      </c>
      <c r="B2156" s="41">
        <f>IF($A2149="",0,COUNT($E2157:$AR2157))</f>
        <v/>
      </c>
      <c r="C2156" s="81">
        <f>IF($B2156=0,0,MAX($E2157:$AR2157))</f>
        <v/>
      </c>
      <c r="D2156" s="82">
        <f>BDS($A2149,'Field Check'!$C$6,"headers=y","startcol=1","endcol=7","dir=h")</f>
        <v/>
      </c>
      <c r="E2156" s="83" t="n"/>
      <c r="F2156" s="83" t="n"/>
      <c r="G2156" s="83" t="n"/>
      <c r="H2156" s="83" t="n"/>
      <c r="I2156" s="83" t="n"/>
      <c r="J2156" s="83" t="n"/>
      <c r="K2156" s="83" t="n"/>
      <c r="L2156" s="83" t="n"/>
      <c r="M2156" s="83" t="n"/>
      <c r="N2156" s="83" t="n"/>
      <c r="O2156" s="83" t="n"/>
      <c r="P2156" s="83" t="n"/>
      <c r="Q2156" s="83" t="n"/>
      <c r="R2156" s="83" t="n"/>
      <c r="S2156" s="83" t="n"/>
      <c r="T2156" s="83" t="n"/>
      <c r="U2156" s="83" t="n"/>
      <c r="V2156" s="83" t="n"/>
      <c r="W2156" s="83" t="n"/>
      <c r="X2156" s="83" t="n"/>
      <c r="Y2156" s="83" t="n"/>
      <c r="Z2156" s="83" t="n"/>
      <c r="AA2156" s="83" t="n"/>
      <c r="AB2156" s="83" t="n"/>
      <c r="AC2156" s="83" t="n"/>
      <c r="AD2156" s="83" t="n"/>
      <c r="AE2156" s="83" t="n"/>
      <c r="AF2156" s="83" t="n"/>
      <c r="AG2156" s="83" t="n"/>
      <c r="AH2156" s="83" t="n"/>
      <c r="AI2156" s="83" t="n"/>
      <c r="AJ2156" s="83" t="n"/>
      <c r="AK2156" s="83" t="n"/>
      <c r="AL2156" s="83" t="n"/>
      <c r="AM2156" s="83" t="n"/>
      <c r="AN2156" s="83" t="n"/>
      <c r="AO2156" s="83" t="n"/>
      <c r="AP2156" s="83" t="n"/>
      <c r="AQ2156" s="83" t="n"/>
      <c r="AR2156" s="83" t="n"/>
    </row>
    <row r="2157">
      <c r="D2157" s="83" t="n"/>
      <c r="E2157" s="83" t="n"/>
      <c r="F2157" s="83" t="n"/>
      <c r="G2157" s="83" t="n"/>
      <c r="H2157" s="83" t="n"/>
      <c r="I2157" s="83" t="n"/>
      <c r="J2157" s="83" t="n"/>
      <c r="K2157" s="83" t="n"/>
      <c r="L2157" s="83" t="n"/>
      <c r="M2157" s="83" t="n"/>
      <c r="N2157" s="83" t="n"/>
      <c r="O2157" s="83" t="n"/>
      <c r="P2157" s="83" t="n"/>
      <c r="Q2157" s="83" t="n"/>
      <c r="R2157" s="83" t="n"/>
      <c r="S2157" s="83" t="n"/>
      <c r="T2157" s="83" t="n"/>
      <c r="U2157" s="83" t="n"/>
      <c r="V2157" s="83" t="n"/>
      <c r="W2157" s="83" t="n"/>
      <c r="X2157" s="83" t="n"/>
      <c r="Y2157" s="83" t="n"/>
      <c r="Z2157" s="83" t="n"/>
      <c r="AA2157" s="83" t="n"/>
      <c r="AB2157" s="83" t="n"/>
      <c r="AC2157" s="83" t="n"/>
      <c r="AD2157" s="83" t="n"/>
      <c r="AE2157" s="83" t="n"/>
      <c r="AF2157" s="83" t="n"/>
      <c r="AG2157" s="83" t="n"/>
      <c r="AH2157" s="83" t="n"/>
      <c r="AI2157" s="83" t="n"/>
      <c r="AJ2157" s="83" t="n"/>
      <c r="AK2157" s="83" t="n"/>
      <c r="AL2157" s="83" t="n"/>
      <c r="AM2157" s="83" t="n"/>
      <c r="AN2157" s="83" t="n"/>
      <c r="AO2157" s="83" t="n"/>
      <c r="AP2157" s="83" t="n"/>
      <c r="AQ2157" s="83" t="n"/>
      <c r="AR2157" s="83" t="n"/>
    </row>
    <row r="2158">
      <c r="D2158" s="84" t="n"/>
      <c r="E2158" s="84" t="n"/>
      <c r="F2158" s="84" t="n"/>
      <c r="G2158" s="84" t="n"/>
      <c r="H2158" s="84" t="n"/>
      <c r="I2158" s="84" t="n"/>
      <c r="J2158" s="84" t="n"/>
      <c r="K2158" s="84" t="n"/>
      <c r="L2158" s="84" t="n"/>
      <c r="M2158" s="84" t="n"/>
      <c r="N2158" s="84" t="n"/>
      <c r="O2158" s="84" t="n"/>
      <c r="P2158" s="84" t="n"/>
      <c r="Q2158" s="84" t="n"/>
      <c r="R2158" s="84" t="n"/>
      <c r="S2158" s="84" t="n"/>
      <c r="T2158" s="84" t="n"/>
      <c r="U2158" s="84" t="n"/>
      <c r="V2158" s="84" t="n"/>
      <c r="W2158" s="84" t="n"/>
      <c r="X2158" s="84" t="n"/>
      <c r="Y2158" s="84" t="n"/>
      <c r="Z2158" s="84" t="n"/>
      <c r="AA2158" s="84" t="n"/>
      <c r="AB2158" s="84" t="n"/>
      <c r="AC2158" s="84" t="n"/>
      <c r="AD2158" s="84" t="n"/>
      <c r="AE2158" s="84" t="n"/>
      <c r="AF2158" s="84" t="n"/>
      <c r="AG2158" s="84" t="n"/>
      <c r="AH2158" s="84" t="n"/>
      <c r="AI2158" s="84" t="n"/>
      <c r="AJ2158" s="84" t="n"/>
      <c r="AK2158" s="84" t="n"/>
      <c r="AL2158" s="84" t="n"/>
      <c r="AM2158" s="84" t="n"/>
      <c r="AN2158" s="84" t="n"/>
      <c r="AO2158" s="84" t="n"/>
      <c r="AP2158" s="84" t="n"/>
      <c r="AQ2158" s="84" t="n"/>
      <c r="AR2158" s="84" t="n"/>
    </row>
    <row r="2159">
      <c r="D2159" s="80" t="n"/>
      <c r="E2159" s="80" t="n"/>
      <c r="F2159" s="80" t="n"/>
      <c r="G2159" s="80" t="n"/>
      <c r="H2159" s="80" t="n"/>
      <c r="I2159" s="80" t="n"/>
      <c r="J2159" s="80" t="n"/>
      <c r="K2159" s="80" t="n"/>
      <c r="L2159" s="80" t="n"/>
      <c r="M2159" s="80" t="n"/>
      <c r="N2159" s="80" t="n"/>
      <c r="O2159" s="80" t="n"/>
      <c r="P2159" s="80" t="n"/>
      <c r="Q2159" s="80" t="n"/>
      <c r="R2159" s="80" t="n"/>
      <c r="S2159" s="80" t="n"/>
      <c r="T2159" s="80" t="n"/>
      <c r="U2159" s="80" t="n"/>
      <c r="V2159" s="80" t="n"/>
      <c r="W2159" s="80" t="n"/>
      <c r="X2159" s="80" t="n"/>
      <c r="Y2159" s="80" t="n"/>
      <c r="Z2159" s="80" t="n"/>
      <c r="AA2159" s="80" t="n"/>
      <c r="AB2159" s="80" t="n"/>
      <c r="AC2159" s="80" t="n"/>
      <c r="AD2159" s="80" t="n"/>
      <c r="AE2159" s="80" t="n"/>
      <c r="AF2159" s="80" t="n"/>
      <c r="AG2159" s="80" t="n"/>
      <c r="AH2159" s="80" t="n"/>
      <c r="AI2159" s="80" t="n"/>
      <c r="AJ2159" s="80" t="n"/>
      <c r="AK2159" s="80" t="n"/>
      <c r="AL2159" s="80" t="n"/>
      <c r="AM2159" s="80" t="n"/>
      <c r="AN2159" s="80" t="n"/>
      <c r="AO2159" s="80" t="n"/>
      <c r="AP2159" s="80" t="n"/>
      <c r="AQ2159" s="80" t="n"/>
      <c r="AR2159" s="80" t="n"/>
    </row>
    <row r="2160">
      <c r="D2160" s="80" t="n"/>
      <c r="E2160" s="80" t="n"/>
      <c r="F2160" s="80" t="n"/>
      <c r="G2160" s="80" t="n"/>
      <c r="H2160" s="80" t="n"/>
      <c r="I2160" s="80" t="n"/>
      <c r="J2160" s="80" t="n"/>
      <c r="K2160" s="80" t="n"/>
      <c r="L2160" s="80" t="n"/>
      <c r="M2160" s="80" t="n"/>
      <c r="N2160" s="80" t="n"/>
      <c r="O2160" s="80" t="n"/>
      <c r="P2160" s="80" t="n"/>
      <c r="Q2160" s="80" t="n"/>
      <c r="R2160" s="80" t="n"/>
      <c r="S2160" s="80" t="n"/>
      <c r="T2160" s="80" t="n"/>
      <c r="U2160" s="80" t="n"/>
      <c r="V2160" s="80" t="n"/>
      <c r="W2160" s="80" t="n"/>
      <c r="X2160" s="80" t="n"/>
      <c r="Y2160" s="80" t="n"/>
      <c r="Z2160" s="80" t="n"/>
      <c r="AA2160" s="80" t="n"/>
      <c r="AB2160" s="80" t="n"/>
      <c r="AC2160" s="80" t="n"/>
      <c r="AD2160" s="80" t="n"/>
      <c r="AE2160" s="80" t="n"/>
      <c r="AF2160" s="80" t="n"/>
      <c r="AG2160" s="80" t="n"/>
      <c r="AH2160" s="80" t="n"/>
      <c r="AI2160" s="80" t="n"/>
      <c r="AJ2160" s="80" t="n"/>
      <c r="AK2160" s="80" t="n"/>
      <c r="AL2160" s="80" t="n"/>
      <c r="AM2160" s="80" t="n"/>
      <c r="AN2160" s="80" t="n"/>
      <c r="AO2160" s="80" t="n"/>
      <c r="AP2160" s="80" t="n"/>
      <c r="AQ2160" s="80" t="n"/>
      <c r="AR2160" s="80" t="n"/>
    </row>
    <row r="2161">
      <c r="D2161" s="80" t="n"/>
      <c r="E2161" s="80" t="n"/>
      <c r="F2161" s="80" t="n"/>
      <c r="G2161" s="80" t="n"/>
      <c r="H2161" s="80" t="n"/>
      <c r="I2161" s="80" t="n"/>
      <c r="J2161" s="80" t="n"/>
      <c r="K2161" s="80" t="n"/>
      <c r="L2161" s="80" t="n"/>
      <c r="M2161" s="80" t="n"/>
      <c r="N2161" s="80" t="n"/>
      <c r="O2161" s="80" t="n"/>
      <c r="P2161" s="80" t="n"/>
      <c r="Q2161" s="80" t="n"/>
      <c r="R2161" s="80" t="n"/>
      <c r="S2161" s="80" t="n"/>
      <c r="T2161" s="80" t="n"/>
      <c r="U2161" s="80" t="n"/>
      <c r="V2161" s="80" t="n"/>
      <c r="W2161" s="80" t="n"/>
      <c r="X2161" s="80" t="n"/>
      <c r="Y2161" s="80" t="n"/>
      <c r="Z2161" s="80" t="n"/>
      <c r="AA2161" s="80" t="n"/>
      <c r="AB2161" s="80" t="n"/>
      <c r="AC2161" s="80" t="n"/>
      <c r="AD2161" s="80" t="n"/>
      <c r="AE2161" s="80" t="n"/>
      <c r="AF2161" s="80" t="n"/>
      <c r="AG2161" s="80" t="n"/>
      <c r="AH2161" s="80" t="n"/>
      <c r="AI2161" s="80" t="n"/>
      <c r="AJ2161" s="80" t="n"/>
      <c r="AK2161" s="80" t="n"/>
      <c r="AL2161" s="80" t="n"/>
      <c r="AM2161" s="80" t="n"/>
      <c r="AN2161" s="80" t="n"/>
      <c r="AO2161" s="80" t="n"/>
      <c r="AP2161" s="80" t="n"/>
      <c r="AQ2161" s="80" t="n"/>
      <c r="AR2161" s="80" t="n"/>
    </row>
    <row r="2162">
      <c r="D2162" s="80" t="n"/>
      <c r="E2162" s="80" t="n"/>
      <c r="F2162" s="80" t="n"/>
      <c r="G2162" s="80" t="n"/>
      <c r="H2162" s="80" t="n"/>
      <c r="I2162" s="80" t="n"/>
      <c r="J2162" s="80" t="n"/>
      <c r="K2162" s="80" t="n"/>
      <c r="L2162" s="80" t="n"/>
      <c r="M2162" s="80" t="n"/>
      <c r="N2162" s="80" t="n"/>
      <c r="O2162" s="80" t="n"/>
      <c r="P2162" s="80" t="n"/>
      <c r="Q2162" s="80" t="n"/>
      <c r="R2162" s="80" t="n"/>
      <c r="S2162" s="80" t="n"/>
      <c r="T2162" s="80" t="n"/>
      <c r="U2162" s="80" t="n"/>
      <c r="V2162" s="80" t="n"/>
      <c r="W2162" s="80" t="n"/>
      <c r="X2162" s="80" t="n"/>
      <c r="Y2162" s="80" t="n"/>
      <c r="Z2162" s="80" t="n"/>
      <c r="AA2162" s="80" t="n"/>
      <c r="AB2162" s="80" t="n"/>
      <c r="AC2162" s="80" t="n"/>
      <c r="AD2162" s="80" t="n"/>
      <c r="AE2162" s="80" t="n"/>
      <c r="AF2162" s="80" t="n"/>
      <c r="AG2162" s="80" t="n"/>
      <c r="AH2162" s="80" t="n"/>
      <c r="AI2162" s="80" t="n"/>
      <c r="AJ2162" s="80" t="n"/>
      <c r="AK2162" s="80" t="n"/>
      <c r="AL2162" s="80" t="n"/>
      <c r="AM2162" s="80" t="n"/>
      <c r="AN2162" s="80" t="n"/>
      <c r="AO2162" s="80" t="n"/>
      <c r="AP2162" s="80" t="n"/>
      <c r="AQ2162" s="80" t="n"/>
      <c r="AR2162" s="80" t="n"/>
    </row>
    <row r="2164">
      <c r="A2164" s="6">
        <f>IF(HSCEI!$C$10="","",HSCEI!$C$10)</f>
        <v/>
      </c>
      <c r="B2164" s="41">
        <f>IF($A2164="",0,COUNT($E2165:$AR2165))</f>
        <v/>
      </c>
      <c r="C2164" s="81">
        <f>IF($B2164=0,0,MAX($E2165:$AR2165))</f>
        <v/>
      </c>
      <c r="D2164" s="82">
        <f>BDS($A2164,'Field Check'!$C$7,"headers=y","startcol=1","endcol=7","dir=h","DVD_START_DT",Summary!$C$18,"DVD_END_DT",Summary!$D$18)</f>
        <v/>
      </c>
      <c r="E2164" s="83" t="n"/>
      <c r="F2164" s="83" t="n"/>
      <c r="G2164" s="83" t="n"/>
      <c r="H2164" s="83" t="n"/>
      <c r="I2164" s="83" t="n"/>
      <c r="J2164" s="83" t="n"/>
      <c r="K2164" s="83" t="n"/>
      <c r="L2164" s="83" t="n"/>
      <c r="M2164" s="83" t="n"/>
      <c r="N2164" s="83" t="n"/>
      <c r="O2164" s="83" t="n"/>
      <c r="P2164" s="83" t="n"/>
      <c r="Q2164" s="83" t="n"/>
      <c r="R2164" s="83" t="n"/>
      <c r="S2164" s="83" t="n"/>
      <c r="T2164" s="83" t="n"/>
      <c r="U2164" s="83" t="n"/>
      <c r="V2164" s="83" t="n"/>
      <c r="W2164" s="83" t="n"/>
      <c r="X2164" s="83" t="n"/>
      <c r="Y2164" s="83" t="n"/>
      <c r="Z2164" s="83" t="n"/>
      <c r="AA2164" s="83" t="n"/>
      <c r="AB2164" s="83" t="n"/>
      <c r="AC2164" s="83" t="n"/>
      <c r="AD2164" s="83" t="n"/>
      <c r="AE2164" s="83" t="n"/>
      <c r="AF2164" s="83" t="n"/>
      <c r="AG2164" s="83" t="n"/>
      <c r="AH2164" s="83" t="n"/>
      <c r="AI2164" s="83" t="n"/>
      <c r="AJ2164" s="83" t="n"/>
      <c r="AK2164" s="83" t="n"/>
      <c r="AL2164" s="83" t="n"/>
      <c r="AM2164" s="83" t="n"/>
      <c r="AN2164" s="83" t="n"/>
      <c r="AO2164" s="83" t="n"/>
      <c r="AP2164" s="83" t="n"/>
      <c r="AQ2164" s="83" t="n"/>
      <c r="AR2164" s="83" t="n"/>
    </row>
    <row r="2165">
      <c r="D2165" s="83" t="n"/>
      <c r="E2165" s="83" t="n"/>
      <c r="F2165" s="83" t="n"/>
      <c r="G2165" s="83" t="n"/>
      <c r="H2165" s="83" t="n"/>
      <c r="I2165" s="83" t="n"/>
      <c r="J2165" s="83" t="n"/>
      <c r="K2165" s="83" t="n"/>
      <c r="L2165" s="83" t="n"/>
      <c r="M2165" s="83" t="n"/>
      <c r="N2165" s="83" t="n"/>
      <c r="O2165" s="83" t="n"/>
      <c r="P2165" s="83" t="n"/>
      <c r="Q2165" s="83" t="n"/>
      <c r="R2165" s="83" t="n"/>
      <c r="S2165" s="83" t="n"/>
      <c r="T2165" s="83" t="n"/>
      <c r="U2165" s="83" t="n"/>
      <c r="V2165" s="83" t="n"/>
      <c r="W2165" s="83" t="n"/>
      <c r="X2165" s="83" t="n"/>
      <c r="Y2165" s="83" t="n"/>
      <c r="Z2165" s="83" t="n"/>
      <c r="AA2165" s="83" t="n"/>
      <c r="AB2165" s="83" t="n"/>
      <c r="AC2165" s="83" t="n"/>
      <c r="AD2165" s="83" t="n"/>
      <c r="AE2165" s="83" t="n"/>
      <c r="AF2165" s="83" t="n"/>
      <c r="AG2165" s="83" t="n"/>
      <c r="AH2165" s="83" t="n"/>
      <c r="AI2165" s="83" t="n"/>
      <c r="AJ2165" s="83" t="n"/>
      <c r="AK2165" s="83" t="n"/>
      <c r="AL2165" s="83" t="n"/>
      <c r="AM2165" s="83" t="n"/>
      <c r="AN2165" s="83" t="n"/>
      <c r="AO2165" s="83" t="n"/>
      <c r="AP2165" s="83" t="n"/>
      <c r="AQ2165" s="83" t="n"/>
      <c r="AR2165" s="83" t="n"/>
    </row>
    <row r="2166">
      <c r="D2166" s="84" t="n"/>
      <c r="E2166" s="84" t="n"/>
      <c r="F2166" s="84" t="n"/>
      <c r="G2166" s="84" t="n"/>
      <c r="H2166" s="84" t="n"/>
      <c r="I2166" s="84" t="n"/>
      <c r="J2166" s="84" t="n"/>
      <c r="K2166" s="84" t="n"/>
      <c r="L2166" s="84" t="n"/>
      <c r="M2166" s="84" t="n"/>
      <c r="N2166" s="84" t="n"/>
      <c r="O2166" s="84" t="n"/>
      <c r="P2166" s="84" t="n"/>
      <c r="Q2166" s="84" t="n"/>
      <c r="R2166" s="84" t="n"/>
      <c r="S2166" s="84" t="n"/>
      <c r="T2166" s="84" t="n"/>
      <c r="U2166" s="84" t="n"/>
      <c r="V2166" s="84" t="n"/>
      <c r="W2166" s="84" t="n"/>
      <c r="X2166" s="84" t="n"/>
      <c r="Y2166" s="84" t="n"/>
      <c r="Z2166" s="84" t="n"/>
      <c r="AA2166" s="84" t="n"/>
      <c r="AB2166" s="84" t="n"/>
      <c r="AC2166" s="84" t="n"/>
      <c r="AD2166" s="84" t="n"/>
      <c r="AE2166" s="84" t="n"/>
      <c r="AF2166" s="84" t="n"/>
      <c r="AG2166" s="84" t="n"/>
      <c r="AH2166" s="84" t="n"/>
      <c r="AI2166" s="84" t="n"/>
      <c r="AJ2166" s="84" t="n"/>
      <c r="AK2166" s="84" t="n"/>
      <c r="AL2166" s="84" t="n"/>
      <c r="AM2166" s="84" t="n"/>
      <c r="AN2166" s="84" t="n"/>
      <c r="AO2166" s="84" t="n"/>
      <c r="AP2166" s="84" t="n"/>
      <c r="AQ2166" s="84" t="n"/>
      <c r="AR2166" s="84" t="n"/>
    </row>
    <row r="2167">
      <c r="D2167" s="80" t="n"/>
      <c r="E2167" s="80" t="n"/>
      <c r="F2167" s="80" t="n"/>
      <c r="G2167" s="80" t="n"/>
      <c r="H2167" s="80" t="n"/>
      <c r="I2167" s="80" t="n"/>
      <c r="J2167" s="80" t="n"/>
      <c r="K2167" s="80" t="n"/>
      <c r="L2167" s="80" t="n"/>
      <c r="M2167" s="80" t="n"/>
      <c r="N2167" s="80" t="n"/>
      <c r="O2167" s="80" t="n"/>
      <c r="P2167" s="80" t="n"/>
      <c r="Q2167" s="80" t="n"/>
      <c r="R2167" s="80" t="n"/>
      <c r="S2167" s="80" t="n"/>
      <c r="T2167" s="80" t="n"/>
      <c r="U2167" s="80" t="n"/>
      <c r="V2167" s="80" t="n"/>
      <c r="W2167" s="80" t="n"/>
      <c r="X2167" s="80" t="n"/>
      <c r="Y2167" s="80" t="n"/>
      <c r="Z2167" s="80" t="n"/>
      <c r="AA2167" s="80" t="n"/>
      <c r="AB2167" s="80" t="n"/>
      <c r="AC2167" s="80" t="n"/>
      <c r="AD2167" s="80" t="n"/>
      <c r="AE2167" s="80" t="n"/>
      <c r="AF2167" s="80" t="n"/>
      <c r="AG2167" s="80" t="n"/>
      <c r="AH2167" s="80" t="n"/>
      <c r="AI2167" s="80" t="n"/>
      <c r="AJ2167" s="80" t="n"/>
      <c r="AK2167" s="80" t="n"/>
      <c r="AL2167" s="80" t="n"/>
      <c r="AM2167" s="80" t="n"/>
      <c r="AN2167" s="80" t="n"/>
      <c r="AO2167" s="80" t="n"/>
      <c r="AP2167" s="80" t="n"/>
      <c r="AQ2167" s="80" t="n"/>
      <c r="AR2167" s="80" t="n"/>
    </row>
    <row r="2168">
      <c r="D2168" s="80" t="n"/>
      <c r="E2168" s="80" t="n"/>
      <c r="F2168" s="80" t="n"/>
      <c r="G2168" s="80" t="n"/>
      <c r="H2168" s="80" t="n"/>
      <c r="I2168" s="80" t="n"/>
      <c r="J2168" s="80" t="n"/>
      <c r="K2168" s="80" t="n"/>
      <c r="L2168" s="80" t="n"/>
      <c r="M2168" s="80" t="n"/>
      <c r="N2168" s="80" t="n"/>
      <c r="O2168" s="80" t="n"/>
      <c r="P2168" s="80" t="n"/>
      <c r="Q2168" s="80" t="n"/>
      <c r="R2168" s="80" t="n"/>
      <c r="S2168" s="80" t="n"/>
      <c r="T2168" s="80" t="n"/>
      <c r="U2168" s="80" t="n"/>
      <c r="V2168" s="80" t="n"/>
      <c r="W2168" s="80" t="n"/>
      <c r="X2168" s="80" t="n"/>
      <c r="Y2168" s="80" t="n"/>
      <c r="Z2168" s="80" t="n"/>
      <c r="AA2168" s="80" t="n"/>
      <c r="AB2168" s="80" t="n"/>
      <c r="AC2168" s="80" t="n"/>
      <c r="AD2168" s="80" t="n"/>
      <c r="AE2168" s="80" t="n"/>
      <c r="AF2168" s="80" t="n"/>
      <c r="AG2168" s="80" t="n"/>
      <c r="AH2168" s="80" t="n"/>
      <c r="AI2168" s="80" t="n"/>
      <c r="AJ2168" s="80" t="n"/>
      <c r="AK2168" s="80" t="n"/>
      <c r="AL2168" s="80" t="n"/>
      <c r="AM2168" s="80" t="n"/>
      <c r="AN2168" s="80" t="n"/>
      <c r="AO2168" s="80" t="n"/>
      <c r="AP2168" s="80" t="n"/>
      <c r="AQ2168" s="80" t="n"/>
      <c r="AR2168" s="80" t="n"/>
    </row>
    <row r="2169">
      <c r="D2169" s="80" t="n"/>
      <c r="E2169" s="80" t="n"/>
      <c r="F2169" s="80" t="n"/>
      <c r="G2169" s="80" t="n"/>
      <c r="H2169" s="80" t="n"/>
      <c r="I2169" s="80" t="n"/>
      <c r="J2169" s="80" t="n"/>
      <c r="K2169" s="80" t="n"/>
      <c r="L2169" s="80" t="n"/>
      <c r="M2169" s="80" t="n"/>
      <c r="N2169" s="80" t="n"/>
      <c r="O2169" s="80" t="n"/>
      <c r="P2169" s="80" t="n"/>
      <c r="Q2169" s="80" t="n"/>
      <c r="R2169" s="80" t="n"/>
      <c r="S2169" s="80" t="n"/>
      <c r="T2169" s="80" t="n"/>
      <c r="U2169" s="80" t="n"/>
      <c r="V2169" s="80" t="n"/>
      <c r="W2169" s="80" t="n"/>
      <c r="X2169" s="80" t="n"/>
      <c r="Y2169" s="80" t="n"/>
      <c r="Z2169" s="80" t="n"/>
      <c r="AA2169" s="80" t="n"/>
      <c r="AB2169" s="80" t="n"/>
      <c r="AC2169" s="80" t="n"/>
      <c r="AD2169" s="80" t="n"/>
      <c r="AE2169" s="80" t="n"/>
      <c r="AF2169" s="80" t="n"/>
      <c r="AG2169" s="80" t="n"/>
      <c r="AH2169" s="80" t="n"/>
      <c r="AI2169" s="80" t="n"/>
      <c r="AJ2169" s="80" t="n"/>
      <c r="AK2169" s="80" t="n"/>
      <c r="AL2169" s="80" t="n"/>
      <c r="AM2169" s="80" t="n"/>
      <c r="AN2169" s="80" t="n"/>
      <c r="AO2169" s="80" t="n"/>
      <c r="AP2169" s="80" t="n"/>
      <c r="AQ2169" s="80" t="n"/>
      <c r="AR2169" s="80" t="n"/>
    </row>
    <row r="2170">
      <c r="D2170" s="80" t="n"/>
      <c r="E2170" s="80" t="n"/>
      <c r="F2170" s="80" t="n"/>
      <c r="G2170" s="80" t="n"/>
      <c r="H2170" s="80" t="n"/>
      <c r="I2170" s="80" t="n"/>
      <c r="J2170" s="80" t="n"/>
      <c r="K2170" s="80" t="n"/>
      <c r="L2170" s="80" t="n"/>
      <c r="M2170" s="80" t="n"/>
      <c r="N2170" s="80" t="n"/>
      <c r="O2170" s="80" t="n"/>
      <c r="P2170" s="80" t="n"/>
      <c r="Q2170" s="80" t="n"/>
      <c r="R2170" s="80" t="n"/>
      <c r="S2170" s="80" t="n"/>
      <c r="T2170" s="80" t="n"/>
      <c r="U2170" s="80" t="n"/>
      <c r="V2170" s="80" t="n"/>
      <c r="W2170" s="80" t="n"/>
      <c r="X2170" s="80" t="n"/>
      <c r="Y2170" s="80" t="n"/>
      <c r="Z2170" s="80" t="n"/>
      <c r="AA2170" s="80" t="n"/>
      <c r="AB2170" s="80" t="n"/>
      <c r="AC2170" s="80" t="n"/>
      <c r="AD2170" s="80" t="n"/>
      <c r="AE2170" s="80" t="n"/>
      <c r="AF2170" s="80" t="n"/>
      <c r="AG2170" s="80" t="n"/>
      <c r="AH2170" s="80" t="n"/>
      <c r="AI2170" s="80" t="n"/>
      <c r="AJ2170" s="80" t="n"/>
      <c r="AK2170" s="80" t="n"/>
      <c r="AL2170" s="80" t="n"/>
      <c r="AM2170" s="80" t="n"/>
      <c r="AN2170" s="80" t="n"/>
      <c r="AO2170" s="80" t="n"/>
      <c r="AP2170" s="80" t="n"/>
      <c r="AQ2170" s="80" t="n"/>
      <c r="AR2170" s="80" t="n"/>
    </row>
    <row r="2171">
      <c r="A2171" s="2">
        <f>IF($A2164="","","   projections")</f>
        <v/>
      </c>
      <c r="B2171" s="41">
        <f>IF($A2164="",0,COUNT($E2172:$AR2172))</f>
        <v/>
      </c>
      <c r="C2171" s="81">
        <f>IF($B2171=0,0,MAX($E2172:$AR2172))</f>
        <v/>
      </c>
      <c r="D2171" s="82">
        <f>BDS($A2164,'Field Check'!$C$6,"headers=y","startcol=1","endcol=7","dir=h")</f>
        <v/>
      </c>
      <c r="E2171" s="83" t="n"/>
      <c r="F2171" s="83" t="n"/>
      <c r="G2171" s="83" t="n"/>
      <c r="H2171" s="83" t="n"/>
      <c r="I2171" s="83" t="n"/>
      <c r="J2171" s="83" t="n"/>
      <c r="K2171" s="83" t="n"/>
      <c r="L2171" s="83" t="n"/>
      <c r="M2171" s="83" t="n"/>
      <c r="N2171" s="83" t="n"/>
      <c r="O2171" s="83" t="n"/>
      <c r="P2171" s="83" t="n"/>
      <c r="Q2171" s="83" t="n"/>
      <c r="R2171" s="83" t="n"/>
      <c r="S2171" s="83" t="n"/>
      <c r="T2171" s="83" t="n"/>
      <c r="U2171" s="83" t="n"/>
      <c r="V2171" s="83" t="n"/>
      <c r="W2171" s="83" t="n"/>
      <c r="X2171" s="83" t="n"/>
      <c r="Y2171" s="83" t="n"/>
      <c r="Z2171" s="83" t="n"/>
      <c r="AA2171" s="83" t="n"/>
      <c r="AB2171" s="83" t="n"/>
      <c r="AC2171" s="83" t="n"/>
      <c r="AD2171" s="83" t="n"/>
      <c r="AE2171" s="83" t="n"/>
      <c r="AF2171" s="83" t="n"/>
      <c r="AG2171" s="83" t="n"/>
      <c r="AH2171" s="83" t="n"/>
      <c r="AI2171" s="83" t="n"/>
      <c r="AJ2171" s="83" t="n"/>
      <c r="AK2171" s="83" t="n"/>
      <c r="AL2171" s="83" t="n"/>
      <c r="AM2171" s="83" t="n"/>
      <c r="AN2171" s="83" t="n"/>
      <c r="AO2171" s="83" t="n"/>
      <c r="AP2171" s="83" t="n"/>
      <c r="AQ2171" s="83" t="n"/>
      <c r="AR2171" s="83" t="n"/>
    </row>
    <row r="2172">
      <c r="D2172" s="83" t="n"/>
      <c r="E2172" s="83" t="n"/>
      <c r="F2172" s="83" t="n"/>
      <c r="G2172" s="83" t="n"/>
      <c r="H2172" s="83" t="n"/>
      <c r="I2172" s="83" t="n"/>
      <c r="J2172" s="83" t="n"/>
      <c r="K2172" s="83" t="n"/>
      <c r="L2172" s="83" t="n"/>
      <c r="M2172" s="83" t="n"/>
      <c r="N2172" s="83" t="n"/>
      <c r="O2172" s="83" t="n"/>
      <c r="P2172" s="83" t="n"/>
      <c r="Q2172" s="83" t="n"/>
      <c r="R2172" s="83" t="n"/>
      <c r="S2172" s="83" t="n"/>
      <c r="T2172" s="83" t="n"/>
      <c r="U2172" s="83" t="n"/>
      <c r="V2172" s="83" t="n"/>
      <c r="W2172" s="83" t="n"/>
      <c r="X2172" s="83" t="n"/>
      <c r="Y2172" s="83" t="n"/>
      <c r="Z2172" s="83" t="n"/>
      <c r="AA2172" s="83" t="n"/>
      <c r="AB2172" s="83" t="n"/>
      <c r="AC2172" s="83" t="n"/>
      <c r="AD2172" s="83" t="n"/>
      <c r="AE2172" s="83" t="n"/>
      <c r="AF2172" s="83" t="n"/>
      <c r="AG2172" s="83" t="n"/>
      <c r="AH2172" s="83" t="n"/>
      <c r="AI2172" s="83" t="n"/>
      <c r="AJ2172" s="83" t="n"/>
      <c r="AK2172" s="83" t="n"/>
      <c r="AL2172" s="83" t="n"/>
      <c r="AM2172" s="83" t="n"/>
      <c r="AN2172" s="83" t="n"/>
      <c r="AO2172" s="83" t="n"/>
      <c r="AP2172" s="83" t="n"/>
      <c r="AQ2172" s="83" t="n"/>
      <c r="AR2172" s="83" t="n"/>
    </row>
    <row r="2173">
      <c r="D2173" s="84" t="n"/>
      <c r="E2173" s="84" t="n"/>
      <c r="F2173" s="84" t="n"/>
      <c r="G2173" s="84" t="n"/>
      <c r="H2173" s="84" t="n"/>
      <c r="I2173" s="84" t="n"/>
      <c r="J2173" s="84" t="n"/>
      <c r="K2173" s="84" t="n"/>
      <c r="L2173" s="84" t="n"/>
      <c r="M2173" s="84" t="n"/>
      <c r="N2173" s="84" t="n"/>
      <c r="O2173" s="84" t="n"/>
      <c r="P2173" s="84" t="n"/>
      <c r="Q2173" s="84" t="n"/>
      <c r="R2173" s="84" t="n"/>
      <c r="S2173" s="84" t="n"/>
      <c r="T2173" s="84" t="n"/>
      <c r="U2173" s="84" t="n"/>
      <c r="V2173" s="84" t="n"/>
      <c r="W2173" s="84" t="n"/>
      <c r="X2173" s="84" t="n"/>
      <c r="Y2173" s="84" t="n"/>
      <c r="Z2173" s="84" t="n"/>
      <c r="AA2173" s="84" t="n"/>
      <c r="AB2173" s="84" t="n"/>
      <c r="AC2173" s="84" t="n"/>
      <c r="AD2173" s="84" t="n"/>
      <c r="AE2173" s="84" t="n"/>
      <c r="AF2173" s="84" t="n"/>
      <c r="AG2173" s="84" t="n"/>
      <c r="AH2173" s="84" t="n"/>
      <c r="AI2173" s="84" t="n"/>
      <c r="AJ2173" s="84" t="n"/>
      <c r="AK2173" s="84" t="n"/>
      <c r="AL2173" s="84" t="n"/>
      <c r="AM2173" s="84" t="n"/>
      <c r="AN2173" s="84" t="n"/>
      <c r="AO2173" s="84" t="n"/>
      <c r="AP2173" s="84" t="n"/>
      <c r="AQ2173" s="84" t="n"/>
      <c r="AR2173" s="84" t="n"/>
    </row>
    <row r="2174">
      <c r="D2174" s="80" t="n"/>
      <c r="E2174" s="80" t="n"/>
      <c r="F2174" s="80" t="n"/>
      <c r="G2174" s="80" t="n"/>
      <c r="H2174" s="80" t="n"/>
      <c r="I2174" s="80" t="n"/>
      <c r="J2174" s="80" t="n"/>
      <c r="K2174" s="80" t="n"/>
      <c r="L2174" s="80" t="n"/>
      <c r="M2174" s="80" t="n"/>
      <c r="N2174" s="80" t="n"/>
      <c r="O2174" s="80" t="n"/>
      <c r="P2174" s="80" t="n"/>
      <c r="Q2174" s="80" t="n"/>
      <c r="R2174" s="80" t="n"/>
      <c r="S2174" s="80" t="n"/>
      <c r="T2174" s="80" t="n"/>
      <c r="U2174" s="80" t="n"/>
      <c r="V2174" s="80" t="n"/>
      <c r="W2174" s="80" t="n"/>
      <c r="X2174" s="80" t="n"/>
      <c r="Y2174" s="80" t="n"/>
      <c r="Z2174" s="80" t="n"/>
      <c r="AA2174" s="80" t="n"/>
      <c r="AB2174" s="80" t="n"/>
      <c r="AC2174" s="80" t="n"/>
      <c r="AD2174" s="80" t="n"/>
      <c r="AE2174" s="80" t="n"/>
      <c r="AF2174" s="80" t="n"/>
      <c r="AG2174" s="80" t="n"/>
      <c r="AH2174" s="80" t="n"/>
      <c r="AI2174" s="80" t="n"/>
      <c r="AJ2174" s="80" t="n"/>
      <c r="AK2174" s="80" t="n"/>
      <c r="AL2174" s="80" t="n"/>
      <c r="AM2174" s="80" t="n"/>
      <c r="AN2174" s="80" t="n"/>
      <c r="AO2174" s="80" t="n"/>
      <c r="AP2174" s="80" t="n"/>
      <c r="AQ2174" s="80" t="n"/>
      <c r="AR2174" s="80" t="n"/>
    </row>
    <row r="2175">
      <c r="D2175" s="80" t="n"/>
      <c r="E2175" s="80" t="n"/>
      <c r="F2175" s="80" t="n"/>
      <c r="G2175" s="80" t="n"/>
      <c r="H2175" s="80" t="n"/>
      <c r="I2175" s="80" t="n"/>
      <c r="J2175" s="80" t="n"/>
      <c r="K2175" s="80" t="n"/>
      <c r="L2175" s="80" t="n"/>
      <c r="M2175" s="80" t="n"/>
      <c r="N2175" s="80" t="n"/>
      <c r="O2175" s="80" t="n"/>
      <c r="P2175" s="80" t="n"/>
      <c r="Q2175" s="80" t="n"/>
      <c r="R2175" s="80" t="n"/>
      <c r="S2175" s="80" t="n"/>
      <c r="T2175" s="80" t="n"/>
      <c r="U2175" s="80" t="n"/>
      <c r="V2175" s="80" t="n"/>
      <c r="W2175" s="80" t="n"/>
      <c r="X2175" s="80" t="n"/>
      <c r="Y2175" s="80" t="n"/>
      <c r="Z2175" s="80" t="n"/>
      <c r="AA2175" s="80" t="n"/>
      <c r="AB2175" s="80" t="n"/>
      <c r="AC2175" s="80" t="n"/>
      <c r="AD2175" s="80" t="n"/>
      <c r="AE2175" s="80" t="n"/>
      <c r="AF2175" s="80" t="n"/>
      <c r="AG2175" s="80" t="n"/>
      <c r="AH2175" s="80" t="n"/>
      <c r="AI2175" s="80" t="n"/>
      <c r="AJ2175" s="80" t="n"/>
      <c r="AK2175" s="80" t="n"/>
      <c r="AL2175" s="80" t="n"/>
      <c r="AM2175" s="80" t="n"/>
      <c r="AN2175" s="80" t="n"/>
      <c r="AO2175" s="80" t="n"/>
      <c r="AP2175" s="80" t="n"/>
      <c r="AQ2175" s="80" t="n"/>
      <c r="AR2175" s="80" t="n"/>
    </row>
    <row r="2176">
      <c r="D2176" s="80" t="n"/>
      <c r="E2176" s="80" t="n"/>
      <c r="F2176" s="80" t="n"/>
      <c r="G2176" s="80" t="n"/>
      <c r="H2176" s="80" t="n"/>
      <c r="I2176" s="80" t="n"/>
      <c r="J2176" s="80" t="n"/>
      <c r="K2176" s="80" t="n"/>
      <c r="L2176" s="80" t="n"/>
      <c r="M2176" s="80" t="n"/>
      <c r="N2176" s="80" t="n"/>
      <c r="O2176" s="80" t="n"/>
      <c r="P2176" s="80" t="n"/>
      <c r="Q2176" s="80" t="n"/>
      <c r="R2176" s="80" t="n"/>
      <c r="S2176" s="80" t="n"/>
      <c r="T2176" s="80" t="n"/>
      <c r="U2176" s="80" t="n"/>
      <c r="V2176" s="80" t="n"/>
      <c r="W2176" s="80" t="n"/>
      <c r="X2176" s="80" t="n"/>
      <c r="Y2176" s="80" t="n"/>
      <c r="Z2176" s="80" t="n"/>
      <c r="AA2176" s="80" t="n"/>
      <c r="AB2176" s="80" t="n"/>
      <c r="AC2176" s="80" t="n"/>
      <c r="AD2176" s="80" t="n"/>
      <c r="AE2176" s="80" t="n"/>
      <c r="AF2176" s="80" t="n"/>
      <c r="AG2176" s="80" t="n"/>
      <c r="AH2176" s="80" t="n"/>
      <c r="AI2176" s="80" t="n"/>
      <c r="AJ2176" s="80" t="n"/>
      <c r="AK2176" s="80" t="n"/>
      <c r="AL2176" s="80" t="n"/>
      <c r="AM2176" s="80" t="n"/>
      <c r="AN2176" s="80" t="n"/>
      <c r="AO2176" s="80" t="n"/>
      <c r="AP2176" s="80" t="n"/>
      <c r="AQ2176" s="80" t="n"/>
      <c r="AR2176" s="80" t="n"/>
    </row>
    <row r="2177">
      <c r="D2177" s="80" t="n"/>
      <c r="E2177" s="80" t="n"/>
      <c r="F2177" s="80" t="n"/>
      <c r="G2177" s="80" t="n"/>
      <c r="H2177" s="80" t="n"/>
      <c r="I2177" s="80" t="n"/>
      <c r="J2177" s="80" t="n"/>
      <c r="K2177" s="80" t="n"/>
      <c r="L2177" s="80" t="n"/>
      <c r="M2177" s="80" t="n"/>
      <c r="N2177" s="80" t="n"/>
      <c r="O2177" s="80" t="n"/>
      <c r="P2177" s="80" t="n"/>
      <c r="Q2177" s="80" t="n"/>
      <c r="R2177" s="80" t="n"/>
      <c r="S2177" s="80" t="n"/>
      <c r="T2177" s="80" t="n"/>
      <c r="U2177" s="80" t="n"/>
      <c r="V2177" s="80" t="n"/>
      <c r="W2177" s="80" t="n"/>
      <c r="X2177" s="80" t="n"/>
      <c r="Y2177" s="80" t="n"/>
      <c r="Z2177" s="80" t="n"/>
      <c r="AA2177" s="80" t="n"/>
      <c r="AB2177" s="80" t="n"/>
      <c r="AC2177" s="80" t="n"/>
      <c r="AD2177" s="80" t="n"/>
      <c r="AE2177" s="80" t="n"/>
      <c r="AF2177" s="80" t="n"/>
      <c r="AG2177" s="80" t="n"/>
      <c r="AH2177" s="80" t="n"/>
      <c r="AI2177" s="80" t="n"/>
      <c r="AJ2177" s="80" t="n"/>
      <c r="AK2177" s="80" t="n"/>
      <c r="AL2177" s="80" t="n"/>
      <c r="AM2177" s="80" t="n"/>
      <c r="AN2177" s="80" t="n"/>
      <c r="AO2177" s="80" t="n"/>
      <c r="AP2177" s="80" t="n"/>
      <c r="AQ2177" s="80" t="n"/>
      <c r="AR2177" s="80" t="n"/>
    </row>
    <row r="2179">
      <c r="A2179" s="6">
        <f>IF(HSCEI!$C$11="","",HSCEI!$C$11)</f>
        <v/>
      </c>
      <c r="B2179" s="41">
        <f>IF($A2179="",0,COUNT($E2180:$AR2180))</f>
        <v/>
      </c>
      <c r="C2179" s="81">
        <f>IF($B2179=0,0,MAX($E2180:$AR2180))</f>
        <v/>
      </c>
      <c r="D2179" s="82">
        <f>BDS($A2179,'Field Check'!$C$7,"headers=y","startcol=1","endcol=7","dir=h","DVD_START_DT",Summary!$C$18,"DVD_END_DT",Summary!$D$18)</f>
        <v/>
      </c>
      <c r="E2179" s="83" t="n"/>
      <c r="F2179" s="83" t="n"/>
      <c r="G2179" s="83" t="n"/>
      <c r="H2179" s="83" t="n"/>
      <c r="I2179" s="83" t="n"/>
      <c r="J2179" s="83" t="n"/>
      <c r="K2179" s="83" t="n"/>
      <c r="L2179" s="83" t="n"/>
      <c r="M2179" s="83" t="n"/>
      <c r="N2179" s="83" t="n"/>
      <c r="O2179" s="83" t="n"/>
      <c r="P2179" s="83" t="n"/>
      <c r="Q2179" s="83" t="n"/>
      <c r="R2179" s="83" t="n"/>
      <c r="S2179" s="83" t="n"/>
      <c r="T2179" s="83" t="n"/>
      <c r="U2179" s="83" t="n"/>
      <c r="V2179" s="83" t="n"/>
      <c r="W2179" s="83" t="n"/>
      <c r="X2179" s="83" t="n"/>
      <c r="Y2179" s="83" t="n"/>
      <c r="Z2179" s="83" t="n"/>
      <c r="AA2179" s="83" t="n"/>
      <c r="AB2179" s="83" t="n"/>
      <c r="AC2179" s="83" t="n"/>
      <c r="AD2179" s="83" t="n"/>
      <c r="AE2179" s="83" t="n"/>
      <c r="AF2179" s="83" t="n"/>
      <c r="AG2179" s="83" t="n"/>
      <c r="AH2179" s="83" t="n"/>
      <c r="AI2179" s="83" t="n"/>
      <c r="AJ2179" s="83" t="n"/>
      <c r="AK2179" s="83" t="n"/>
      <c r="AL2179" s="83" t="n"/>
      <c r="AM2179" s="83" t="n"/>
      <c r="AN2179" s="83" t="n"/>
      <c r="AO2179" s="83" t="n"/>
      <c r="AP2179" s="83" t="n"/>
      <c r="AQ2179" s="83" t="n"/>
      <c r="AR2179" s="83" t="n"/>
    </row>
    <row r="2180">
      <c r="D2180" s="83" t="n"/>
      <c r="E2180" s="83" t="n"/>
      <c r="F2180" s="83" t="n"/>
      <c r="G2180" s="83" t="n"/>
      <c r="H2180" s="83" t="n"/>
      <c r="I2180" s="83" t="n"/>
      <c r="J2180" s="83" t="n"/>
      <c r="K2180" s="83" t="n"/>
      <c r="L2180" s="83" t="n"/>
      <c r="M2180" s="83" t="n"/>
      <c r="N2180" s="83" t="n"/>
      <c r="O2180" s="83" t="n"/>
      <c r="P2180" s="83" t="n"/>
      <c r="Q2180" s="83" t="n"/>
      <c r="R2180" s="83" t="n"/>
      <c r="S2180" s="83" t="n"/>
      <c r="T2180" s="83" t="n"/>
      <c r="U2180" s="83" t="n"/>
      <c r="V2180" s="83" t="n"/>
      <c r="W2180" s="83" t="n"/>
      <c r="X2180" s="83" t="n"/>
      <c r="Y2180" s="83" t="n"/>
      <c r="Z2180" s="83" t="n"/>
      <c r="AA2180" s="83" t="n"/>
      <c r="AB2180" s="83" t="n"/>
      <c r="AC2180" s="83" t="n"/>
      <c r="AD2180" s="83" t="n"/>
      <c r="AE2180" s="83" t="n"/>
      <c r="AF2180" s="83" t="n"/>
      <c r="AG2180" s="83" t="n"/>
      <c r="AH2180" s="83" t="n"/>
      <c r="AI2180" s="83" t="n"/>
      <c r="AJ2180" s="83" t="n"/>
      <c r="AK2180" s="83" t="n"/>
      <c r="AL2180" s="83" t="n"/>
      <c r="AM2180" s="83" t="n"/>
      <c r="AN2180" s="83" t="n"/>
      <c r="AO2180" s="83" t="n"/>
      <c r="AP2180" s="83" t="n"/>
      <c r="AQ2180" s="83" t="n"/>
      <c r="AR2180" s="83" t="n"/>
    </row>
    <row r="2181">
      <c r="D2181" s="84" t="n"/>
      <c r="E2181" s="84" t="n"/>
      <c r="F2181" s="84" t="n"/>
      <c r="G2181" s="84" t="n"/>
      <c r="H2181" s="84" t="n"/>
      <c r="I2181" s="84" t="n"/>
      <c r="J2181" s="84" t="n"/>
      <c r="K2181" s="84" t="n"/>
      <c r="L2181" s="84" t="n"/>
      <c r="M2181" s="84" t="n"/>
      <c r="N2181" s="84" t="n"/>
      <c r="O2181" s="84" t="n"/>
      <c r="P2181" s="84" t="n"/>
      <c r="Q2181" s="84" t="n"/>
      <c r="R2181" s="84" t="n"/>
      <c r="S2181" s="84" t="n"/>
      <c r="T2181" s="84" t="n"/>
      <c r="U2181" s="84" t="n"/>
      <c r="V2181" s="84" t="n"/>
      <c r="W2181" s="84" t="n"/>
      <c r="X2181" s="84" t="n"/>
      <c r="Y2181" s="84" t="n"/>
      <c r="Z2181" s="84" t="n"/>
      <c r="AA2181" s="84" t="n"/>
      <c r="AB2181" s="84" t="n"/>
      <c r="AC2181" s="84" t="n"/>
      <c r="AD2181" s="84" t="n"/>
      <c r="AE2181" s="84" t="n"/>
      <c r="AF2181" s="84" t="n"/>
      <c r="AG2181" s="84" t="n"/>
      <c r="AH2181" s="84" t="n"/>
      <c r="AI2181" s="84" t="n"/>
      <c r="AJ2181" s="84" t="n"/>
      <c r="AK2181" s="84" t="n"/>
      <c r="AL2181" s="84" t="n"/>
      <c r="AM2181" s="84" t="n"/>
      <c r="AN2181" s="84" t="n"/>
      <c r="AO2181" s="84" t="n"/>
      <c r="AP2181" s="84" t="n"/>
      <c r="AQ2181" s="84" t="n"/>
      <c r="AR2181" s="84" t="n"/>
    </row>
    <row r="2182">
      <c r="D2182" s="80" t="n"/>
      <c r="E2182" s="80" t="n"/>
      <c r="F2182" s="80" t="n"/>
      <c r="G2182" s="80" t="n"/>
      <c r="H2182" s="80" t="n"/>
      <c r="I2182" s="80" t="n"/>
      <c r="J2182" s="80" t="n"/>
      <c r="K2182" s="80" t="n"/>
      <c r="L2182" s="80" t="n"/>
      <c r="M2182" s="80" t="n"/>
      <c r="N2182" s="80" t="n"/>
      <c r="O2182" s="80" t="n"/>
      <c r="P2182" s="80" t="n"/>
      <c r="Q2182" s="80" t="n"/>
      <c r="R2182" s="80" t="n"/>
      <c r="S2182" s="80" t="n"/>
      <c r="T2182" s="80" t="n"/>
      <c r="U2182" s="80" t="n"/>
      <c r="V2182" s="80" t="n"/>
      <c r="W2182" s="80" t="n"/>
      <c r="X2182" s="80" t="n"/>
      <c r="Y2182" s="80" t="n"/>
      <c r="Z2182" s="80" t="n"/>
      <c r="AA2182" s="80" t="n"/>
      <c r="AB2182" s="80" t="n"/>
      <c r="AC2182" s="80" t="n"/>
      <c r="AD2182" s="80" t="n"/>
      <c r="AE2182" s="80" t="n"/>
      <c r="AF2182" s="80" t="n"/>
      <c r="AG2182" s="80" t="n"/>
      <c r="AH2182" s="80" t="n"/>
      <c r="AI2182" s="80" t="n"/>
      <c r="AJ2182" s="80" t="n"/>
      <c r="AK2182" s="80" t="n"/>
      <c r="AL2182" s="80" t="n"/>
      <c r="AM2182" s="80" t="n"/>
      <c r="AN2182" s="80" t="n"/>
      <c r="AO2182" s="80" t="n"/>
      <c r="AP2182" s="80" t="n"/>
      <c r="AQ2182" s="80" t="n"/>
      <c r="AR2182" s="80" t="n"/>
    </row>
    <row r="2183">
      <c r="D2183" s="80" t="n"/>
      <c r="E2183" s="80" t="n"/>
      <c r="F2183" s="80" t="n"/>
      <c r="G2183" s="80" t="n"/>
      <c r="H2183" s="80" t="n"/>
      <c r="I2183" s="80" t="n"/>
      <c r="J2183" s="80" t="n"/>
      <c r="K2183" s="80" t="n"/>
      <c r="L2183" s="80" t="n"/>
      <c r="M2183" s="80" t="n"/>
      <c r="N2183" s="80" t="n"/>
      <c r="O2183" s="80" t="n"/>
      <c r="P2183" s="80" t="n"/>
      <c r="Q2183" s="80" t="n"/>
      <c r="R2183" s="80" t="n"/>
      <c r="S2183" s="80" t="n"/>
      <c r="T2183" s="80" t="n"/>
      <c r="U2183" s="80" t="n"/>
      <c r="V2183" s="80" t="n"/>
      <c r="W2183" s="80" t="n"/>
      <c r="X2183" s="80" t="n"/>
      <c r="Y2183" s="80" t="n"/>
      <c r="Z2183" s="80" t="n"/>
      <c r="AA2183" s="80" t="n"/>
      <c r="AB2183" s="80" t="n"/>
      <c r="AC2183" s="80" t="n"/>
      <c r="AD2183" s="80" t="n"/>
      <c r="AE2183" s="80" t="n"/>
      <c r="AF2183" s="80" t="n"/>
      <c r="AG2183" s="80" t="n"/>
      <c r="AH2183" s="80" t="n"/>
      <c r="AI2183" s="80" t="n"/>
      <c r="AJ2183" s="80" t="n"/>
      <c r="AK2183" s="80" t="n"/>
      <c r="AL2183" s="80" t="n"/>
      <c r="AM2183" s="80" t="n"/>
      <c r="AN2183" s="80" t="n"/>
      <c r="AO2183" s="80" t="n"/>
      <c r="AP2183" s="80" t="n"/>
      <c r="AQ2183" s="80" t="n"/>
      <c r="AR2183" s="80" t="n"/>
    </row>
    <row r="2184">
      <c r="D2184" s="80" t="n"/>
      <c r="E2184" s="80" t="n"/>
      <c r="F2184" s="80" t="n"/>
      <c r="G2184" s="80" t="n"/>
      <c r="H2184" s="80" t="n"/>
      <c r="I2184" s="80" t="n"/>
      <c r="J2184" s="80" t="n"/>
      <c r="K2184" s="80" t="n"/>
      <c r="L2184" s="80" t="n"/>
      <c r="M2184" s="80" t="n"/>
      <c r="N2184" s="80" t="n"/>
      <c r="O2184" s="80" t="n"/>
      <c r="P2184" s="80" t="n"/>
      <c r="Q2184" s="80" t="n"/>
      <c r="R2184" s="80" t="n"/>
      <c r="S2184" s="80" t="n"/>
      <c r="T2184" s="80" t="n"/>
      <c r="U2184" s="80" t="n"/>
      <c r="V2184" s="80" t="n"/>
      <c r="W2184" s="80" t="n"/>
      <c r="X2184" s="80" t="n"/>
      <c r="Y2184" s="80" t="n"/>
      <c r="Z2184" s="80" t="n"/>
      <c r="AA2184" s="80" t="n"/>
      <c r="AB2184" s="80" t="n"/>
      <c r="AC2184" s="80" t="n"/>
      <c r="AD2184" s="80" t="n"/>
      <c r="AE2184" s="80" t="n"/>
      <c r="AF2184" s="80" t="n"/>
      <c r="AG2184" s="80" t="n"/>
      <c r="AH2184" s="80" t="n"/>
      <c r="AI2184" s="80" t="n"/>
      <c r="AJ2184" s="80" t="n"/>
      <c r="AK2184" s="80" t="n"/>
      <c r="AL2184" s="80" t="n"/>
      <c r="AM2184" s="80" t="n"/>
      <c r="AN2184" s="80" t="n"/>
      <c r="AO2184" s="80" t="n"/>
      <c r="AP2184" s="80" t="n"/>
      <c r="AQ2184" s="80" t="n"/>
      <c r="AR2184" s="80" t="n"/>
    </row>
    <row r="2185">
      <c r="D2185" s="80" t="n"/>
      <c r="E2185" s="80" t="n"/>
      <c r="F2185" s="80" t="n"/>
      <c r="G2185" s="80" t="n"/>
      <c r="H2185" s="80" t="n"/>
      <c r="I2185" s="80" t="n"/>
      <c r="J2185" s="80" t="n"/>
      <c r="K2185" s="80" t="n"/>
      <c r="L2185" s="80" t="n"/>
      <c r="M2185" s="80" t="n"/>
      <c r="N2185" s="80" t="n"/>
      <c r="O2185" s="80" t="n"/>
      <c r="P2185" s="80" t="n"/>
      <c r="Q2185" s="80" t="n"/>
      <c r="R2185" s="80" t="n"/>
      <c r="S2185" s="80" t="n"/>
      <c r="T2185" s="80" t="n"/>
      <c r="U2185" s="80" t="n"/>
      <c r="V2185" s="80" t="n"/>
      <c r="W2185" s="80" t="n"/>
      <c r="X2185" s="80" t="n"/>
      <c r="Y2185" s="80" t="n"/>
      <c r="Z2185" s="80" t="n"/>
      <c r="AA2185" s="80" t="n"/>
      <c r="AB2185" s="80" t="n"/>
      <c r="AC2185" s="80" t="n"/>
      <c r="AD2185" s="80" t="n"/>
      <c r="AE2185" s="80" t="n"/>
      <c r="AF2185" s="80" t="n"/>
      <c r="AG2185" s="80" t="n"/>
      <c r="AH2185" s="80" t="n"/>
      <c r="AI2185" s="80" t="n"/>
      <c r="AJ2185" s="80" t="n"/>
      <c r="AK2185" s="80" t="n"/>
      <c r="AL2185" s="80" t="n"/>
      <c r="AM2185" s="80" t="n"/>
      <c r="AN2185" s="80" t="n"/>
      <c r="AO2185" s="80" t="n"/>
      <c r="AP2185" s="80" t="n"/>
      <c r="AQ2185" s="80" t="n"/>
      <c r="AR2185" s="80" t="n"/>
    </row>
    <row r="2186">
      <c r="A2186" s="2">
        <f>IF($A2179="","","   projections")</f>
        <v/>
      </c>
      <c r="B2186" s="41">
        <f>IF($A2179="",0,COUNT($E2187:$AR2187))</f>
        <v/>
      </c>
      <c r="C2186" s="81">
        <f>IF($B2186=0,0,MAX($E2187:$AR2187))</f>
        <v/>
      </c>
      <c r="D2186" s="82">
        <f>BDS($A2179,'Field Check'!$C$6,"headers=y","startcol=1","endcol=7","dir=h")</f>
        <v/>
      </c>
      <c r="E2186" s="83" t="n"/>
      <c r="F2186" s="83" t="n"/>
      <c r="G2186" s="83" t="n"/>
      <c r="H2186" s="83" t="n"/>
      <c r="I2186" s="83" t="n"/>
      <c r="J2186" s="83" t="n"/>
      <c r="K2186" s="83" t="n"/>
      <c r="L2186" s="83" t="n"/>
      <c r="M2186" s="83" t="n"/>
      <c r="N2186" s="83" t="n"/>
      <c r="O2186" s="83" t="n"/>
      <c r="P2186" s="83" t="n"/>
      <c r="Q2186" s="83" t="n"/>
      <c r="R2186" s="83" t="n"/>
      <c r="S2186" s="83" t="n"/>
      <c r="T2186" s="83" t="n"/>
      <c r="U2186" s="83" t="n"/>
      <c r="V2186" s="83" t="n"/>
      <c r="W2186" s="83" t="n"/>
      <c r="X2186" s="83" t="n"/>
      <c r="Y2186" s="83" t="n"/>
      <c r="Z2186" s="83" t="n"/>
      <c r="AA2186" s="83" t="n"/>
      <c r="AB2186" s="83" t="n"/>
      <c r="AC2186" s="83" t="n"/>
      <c r="AD2186" s="83" t="n"/>
      <c r="AE2186" s="83" t="n"/>
      <c r="AF2186" s="83" t="n"/>
      <c r="AG2186" s="83" t="n"/>
      <c r="AH2186" s="83" t="n"/>
      <c r="AI2186" s="83" t="n"/>
      <c r="AJ2186" s="83" t="n"/>
      <c r="AK2186" s="83" t="n"/>
      <c r="AL2186" s="83" t="n"/>
      <c r="AM2186" s="83" t="n"/>
      <c r="AN2186" s="83" t="n"/>
      <c r="AO2186" s="83" t="n"/>
      <c r="AP2186" s="83" t="n"/>
      <c r="AQ2186" s="83" t="n"/>
      <c r="AR2186" s="83" t="n"/>
    </row>
    <row r="2187">
      <c r="D2187" s="83" t="n"/>
      <c r="E2187" s="83" t="n"/>
      <c r="F2187" s="83" t="n"/>
      <c r="G2187" s="83" t="n"/>
      <c r="H2187" s="83" t="n"/>
      <c r="I2187" s="83" t="n"/>
      <c r="J2187" s="83" t="n"/>
      <c r="K2187" s="83" t="n"/>
      <c r="L2187" s="83" t="n"/>
      <c r="M2187" s="83" t="n"/>
      <c r="N2187" s="83" t="n"/>
      <c r="O2187" s="83" t="n"/>
      <c r="P2187" s="83" t="n"/>
      <c r="Q2187" s="83" t="n"/>
      <c r="R2187" s="83" t="n"/>
      <c r="S2187" s="83" t="n"/>
      <c r="T2187" s="83" t="n"/>
      <c r="U2187" s="83" t="n"/>
      <c r="V2187" s="83" t="n"/>
      <c r="W2187" s="83" t="n"/>
      <c r="X2187" s="83" t="n"/>
      <c r="Y2187" s="83" t="n"/>
      <c r="Z2187" s="83" t="n"/>
      <c r="AA2187" s="83" t="n"/>
      <c r="AB2187" s="83" t="n"/>
      <c r="AC2187" s="83" t="n"/>
      <c r="AD2187" s="83" t="n"/>
      <c r="AE2187" s="83" t="n"/>
      <c r="AF2187" s="83" t="n"/>
      <c r="AG2187" s="83" t="n"/>
      <c r="AH2187" s="83" t="n"/>
      <c r="AI2187" s="83" t="n"/>
      <c r="AJ2187" s="83" t="n"/>
      <c r="AK2187" s="83" t="n"/>
      <c r="AL2187" s="83" t="n"/>
      <c r="AM2187" s="83" t="n"/>
      <c r="AN2187" s="83" t="n"/>
      <c r="AO2187" s="83" t="n"/>
      <c r="AP2187" s="83" t="n"/>
      <c r="AQ2187" s="83" t="n"/>
      <c r="AR2187" s="83" t="n"/>
    </row>
    <row r="2188">
      <c r="D2188" s="84" t="n"/>
      <c r="E2188" s="84" t="n"/>
      <c r="F2188" s="84" t="n"/>
      <c r="G2188" s="84" t="n"/>
      <c r="H2188" s="84" t="n"/>
      <c r="I2188" s="84" t="n"/>
      <c r="J2188" s="84" t="n"/>
      <c r="K2188" s="84" t="n"/>
      <c r="L2188" s="84" t="n"/>
      <c r="M2188" s="84" t="n"/>
      <c r="N2188" s="84" t="n"/>
      <c r="O2188" s="84" t="n"/>
      <c r="P2188" s="84" t="n"/>
      <c r="Q2188" s="84" t="n"/>
      <c r="R2188" s="84" t="n"/>
      <c r="S2188" s="84" t="n"/>
      <c r="T2188" s="84" t="n"/>
      <c r="U2188" s="84" t="n"/>
      <c r="V2188" s="84" t="n"/>
      <c r="W2188" s="84" t="n"/>
      <c r="X2188" s="84" t="n"/>
      <c r="Y2188" s="84" t="n"/>
      <c r="Z2188" s="84" t="n"/>
      <c r="AA2188" s="84" t="n"/>
      <c r="AB2188" s="84" t="n"/>
      <c r="AC2188" s="84" t="n"/>
      <c r="AD2188" s="84" t="n"/>
      <c r="AE2188" s="84" t="n"/>
      <c r="AF2188" s="84" t="n"/>
      <c r="AG2188" s="84" t="n"/>
      <c r="AH2188" s="84" t="n"/>
      <c r="AI2188" s="84" t="n"/>
      <c r="AJ2188" s="84" t="n"/>
      <c r="AK2188" s="84" t="n"/>
      <c r="AL2188" s="84" t="n"/>
      <c r="AM2188" s="84" t="n"/>
      <c r="AN2188" s="84" t="n"/>
      <c r="AO2188" s="84" t="n"/>
      <c r="AP2188" s="84" t="n"/>
      <c r="AQ2188" s="84" t="n"/>
      <c r="AR2188" s="84" t="n"/>
    </row>
    <row r="2189">
      <c r="D2189" s="80" t="n"/>
      <c r="E2189" s="80" t="n"/>
      <c r="F2189" s="80" t="n"/>
      <c r="G2189" s="80" t="n"/>
      <c r="H2189" s="80" t="n"/>
      <c r="I2189" s="80" t="n"/>
      <c r="J2189" s="80" t="n"/>
      <c r="K2189" s="80" t="n"/>
      <c r="L2189" s="80" t="n"/>
      <c r="M2189" s="80" t="n"/>
      <c r="N2189" s="80" t="n"/>
      <c r="O2189" s="80" t="n"/>
      <c r="P2189" s="80" t="n"/>
      <c r="Q2189" s="80" t="n"/>
      <c r="R2189" s="80" t="n"/>
      <c r="S2189" s="80" t="n"/>
      <c r="T2189" s="80" t="n"/>
      <c r="U2189" s="80" t="n"/>
      <c r="V2189" s="80" t="n"/>
      <c r="W2189" s="80" t="n"/>
      <c r="X2189" s="80" t="n"/>
      <c r="Y2189" s="80" t="n"/>
      <c r="Z2189" s="80" t="n"/>
      <c r="AA2189" s="80" t="n"/>
      <c r="AB2189" s="80" t="n"/>
      <c r="AC2189" s="80" t="n"/>
      <c r="AD2189" s="80" t="n"/>
      <c r="AE2189" s="80" t="n"/>
      <c r="AF2189" s="80" t="n"/>
      <c r="AG2189" s="80" t="n"/>
      <c r="AH2189" s="80" t="n"/>
      <c r="AI2189" s="80" t="n"/>
      <c r="AJ2189" s="80" t="n"/>
      <c r="AK2189" s="80" t="n"/>
      <c r="AL2189" s="80" t="n"/>
      <c r="AM2189" s="80" t="n"/>
      <c r="AN2189" s="80" t="n"/>
      <c r="AO2189" s="80" t="n"/>
      <c r="AP2189" s="80" t="n"/>
      <c r="AQ2189" s="80" t="n"/>
      <c r="AR2189" s="80" t="n"/>
    </row>
    <row r="2190">
      <c r="D2190" s="80" t="n"/>
      <c r="E2190" s="80" t="n"/>
      <c r="F2190" s="80" t="n"/>
      <c r="G2190" s="80" t="n"/>
      <c r="H2190" s="80" t="n"/>
      <c r="I2190" s="80" t="n"/>
      <c r="J2190" s="80" t="n"/>
      <c r="K2190" s="80" t="n"/>
      <c r="L2190" s="80" t="n"/>
      <c r="M2190" s="80" t="n"/>
      <c r="N2190" s="80" t="n"/>
      <c r="O2190" s="80" t="n"/>
      <c r="P2190" s="80" t="n"/>
      <c r="Q2190" s="80" t="n"/>
      <c r="R2190" s="80" t="n"/>
      <c r="S2190" s="80" t="n"/>
      <c r="T2190" s="80" t="n"/>
      <c r="U2190" s="80" t="n"/>
      <c r="V2190" s="80" t="n"/>
      <c r="W2190" s="80" t="n"/>
      <c r="X2190" s="80" t="n"/>
      <c r="Y2190" s="80" t="n"/>
      <c r="Z2190" s="80" t="n"/>
      <c r="AA2190" s="80" t="n"/>
      <c r="AB2190" s="80" t="n"/>
      <c r="AC2190" s="80" t="n"/>
      <c r="AD2190" s="80" t="n"/>
      <c r="AE2190" s="80" t="n"/>
      <c r="AF2190" s="80" t="n"/>
      <c r="AG2190" s="80" t="n"/>
      <c r="AH2190" s="80" t="n"/>
      <c r="AI2190" s="80" t="n"/>
      <c r="AJ2190" s="80" t="n"/>
      <c r="AK2190" s="80" t="n"/>
      <c r="AL2190" s="80" t="n"/>
      <c r="AM2190" s="80" t="n"/>
      <c r="AN2190" s="80" t="n"/>
      <c r="AO2190" s="80" t="n"/>
      <c r="AP2190" s="80" t="n"/>
      <c r="AQ2190" s="80" t="n"/>
      <c r="AR2190" s="80" t="n"/>
    </row>
    <row r="2191">
      <c r="D2191" s="80" t="n"/>
      <c r="E2191" s="80" t="n"/>
      <c r="F2191" s="80" t="n"/>
      <c r="G2191" s="80" t="n"/>
      <c r="H2191" s="80" t="n"/>
      <c r="I2191" s="80" t="n"/>
      <c r="J2191" s="80" t="n"/>
      <c r="K2191" s="80" t="n"/>
      <c r="L2191" s="80" t="n"/>
      <c r="M2191" s="80" t="n"/>
      <c r="N2191" s="80" t="n"/>
      <c r="O2191" s="80" t="n"/>
      <c r="P2191" s="80" t="n"/>
      <c r="Q2191" s="80" t="n"/>
      <c r="R2191" s="80" t="n"/>
      <c r="S2191" s="80" t="n"/>
      <c r="T2191" s="80" t="n"/>
      <c r="U2191" s="80" t="n"/>
      <c r="V2191" s="80" t="n"/>
      <c r="W2191" s="80" t="n"/>
      <c r="X2191" s="80" t="n"/>
      <c r="Y2191" s="80" t="n"/>
      <c r="Z2191" s="80" t="n"/>
      <c r="AA2191" s="80" t="n"/>
      <c r="AB2191" s="80" t="n"/>
      <c r="AC2191" s="80" t="n"/>
      <c r="AD2191" s="80" t="n"/>
      <c r="AE2191" s="80" t="n"/>
      <c r="AF2191" s="80" t="n"/>
      <c r="AG2191" s="80" t="n"/>
      <c r="AH2191" s="80" t="n"/>
      <c r="AI2191" s="80" t="n"/>
      <c r="AJ2191" s="80" t="n"/>
      <c r="AK2191" s="80" t="n"/>
      <c r="AL2191" s="80" t="n"/>
      <c r="AM2191" s="80" t="n"/>
      <c r="AN2191" s="80" t="n"/>
      <c r="AO2191" s="80" t="n"/>
      <c r="AP2191" s="80" t="n"/>
      <c r="AQ2191" s="80" t="n"/>
      <c r="AR2191" s="80" t="n"/>
    </row>
    <row r="2192">
      <c r="D2192" s="80" t="n"/>
      <c r="E2192" s="80" t="n"/>
      <c r="F2192" s="80" t="n"/>
      <c r="G2192" s="80" t="n"/>
      <c r="H2192" s="80" t="n"/>
      <c r="I2192" s="80" t="n"/>
      <c r="J2192" s="80" t="n"/>
      <c r="K2192" s="80" t="n"/>
      <c r="L2192" s="80" t="n"/>
      <c r="M2192" s="80" t="n"/>
      <c r="N2192" s="80" t="n"/>
      <c r="O2192" s="80" t="n"/>
      <c r="P2192" s="80" t="n"/>
      <c r="Q2192" s="80" t="n"/>
      <c r="R2192" s="80" t="n"/>
      <c r="S2192" s="80" t="n"/>
      <c r="T2192" s="80" t="n"/>
      <c r="U2192" s="80" t="n"/>
      <c r="V2192" s="80" t="n"/>
      <c r="W2192" s="80" t="n"/>
      <c r="X2192" s="80" t="n"/>
      <c r="Y2192" s="80" t="n"/>
      <c r="Z2192" s="80" t="n"/>
      <c r="AA2192" s="80" t="n"/>
      <c r="AB2192" s="80" t="n"/>
      <c r="AC2192" s="80" t="n"/>
      <c r="AD2192" s="80" t="n"/>
      <c r="AE2192" s="80" t="n"/>
      <c r="AF2192" s="80" t="n"/>
      <c r="AG2192" s="80" t="n"/>
      <c r="AH2192" s="80" t="n"/>
      <c r="AI2192" s="80" t="n"/>
      <c r="AJ2192" s="80" t="n"/>
      <c r="AK2192" s="80" t="n"/>
      <c r="AL2192" s="80" t="n"/>
      <c r="AM2192" s="80" t="n"/>
      <c r="AN2192" s="80" t="n"/>
      <c r="AO2192" s="80" t="n"/>
      <c r="AP2192" s="80" t="n"/>
      <c r="AQ2192" s="80" t="n"/>
      <c r="AR2192" s="80" t="n"/>
    </row>
    <row r="2194">
      <c r="A2194" s="6">
        <f>IF(HSCEI!$C$12="","",HSCEI!$C$12)</f>
        <v/>
      </c>
      <c r="B2194" s="41">
        <f>IF($A2194="",0,COUNT($E2195:$AR2195))</f>
        <v/>
      </c>
      <c r="C2194" s="81">
        <f>IF($B2194=0,0,MAX($E2195:$AR2195))</f>
        <v/>
      </c>
      <c r="D2194" s="82">
        <f>BDS($A2194,'Field Check'!$C$7,"headers=y","startcol=1","endcol=7","dir=h","DVD_START_DT",Summary!$C$18,"DVD_END_DT",Summary!$D$18)</f>
        <v/>
      </c>
      <c r="E2194" s="83" t="n"/>
      <c r="F2194" s="83" t="n"/>
      <c r="G2194" s="83" t="n"/>
      <c r="H2194" s="83" t="n"/>
      <c r="I2194" s="83" t="n"/>
      <c r="J2194" s="83" t="n"/>
      <c r="K2194" s="83" t="n"/>
      <c r="L2194" s="83" t="n"/>
      <c r="M2194" s="83" t="n"/>
      <c r="N2194" s="83" t="n"/>
      <c r="O2194" s="83" t="n"/>
      <c r="P2194" s="83" t="n"/>
      <c r="Q2194" s="83" t="n"/>
      <c r="R2194" s="83" t="n"/>
      <c r="S2194" s="83" t="n"/>
      <c r="T2194" s="83" t="n"/>
      <c r="U2194" s="83" t="n"/>
      <c r="V2194" s="83" t="n"/>
      <c r="W2194" s="83" t="n"/>
      <c r="X2194" s="83" t="n"/>
      <c r="Y2194" s="83" t="n"/>
      <c r="Z2194" s="83" t="n"/>
      <c r="AA2194" s="83" t="n"/>
      <c r="AB2194" s="83" t="n"/>
      <c r="AC2194" s="83" t="n"/>
      <c r="AD2194" s="83" t="n"/>
      <c r="AE2194" s="83" t="n"/>
      <c r="AF2194" s="83" t="n"/>
      <c r="AG2194" s="83" t="n"/>
      <c r="AH2194" s="83" t="n"/>
      <c r="AI2194" s="83" t="n"/>
      <c r="AJ2194" s="83" t="n"/>
      <c r="AK2194" s="83" t="n"/>
      <c r="AL2194" s="83" t="n"/>
      <c r="AM2194" s="83" t="n"/>
      <c r="AN2194" s="83" t="n"/>
      <c r="AO2194" s="83" t="n"/>
      <c r="AP2194" s="83" t="n"/>
      <c r="AQ2194" s="83" t="n"/>
      <c r="AR2194" s="83" t="n"/>
    </row>
    <row r="2195">
      <c r="D2195" s="83" t="n"/>
      <c r="E2195" s="83" t="n"/>
      <c r="F2195" s="83" t="n"/>
      <c r="G2195" s="83" t="n"/>
      <c r="H2195" s="83" t="n"/>
      <c r="I2195" s="83" t="n"/>
      <c r="J2195" s="83" t="n"/>
      <c r="K2195" s="83" t="n"/>
      <c r="L2195" s="83" t="n"/>
      <c r="M2195" s="83" t="n"/>
      <c r="N2195" s="83" t="n"/>
      <c r="O2195" s="83" t="n"/>
      <c r="P2195" s="83" t="n"/>
      <c r="Q2195" s="83" t="n"/>
      <c r="R2195" s="83" t="n"/>
      <c r="S2195" s="83" t="n"/>
      <c r="T2195" s="83" t="n"/>
      <c r="U2195" s="83" t="n"/>
      <c r="V2195" s="83" t="n"/>
      <c r="W2195" s="83" t="n"/>
      <c r="X2195" s="83" t="n"/>
      <c r="Y2195" s="83" t="n"/>
      <c r="Z2195" s="83" t="n"/>
      <c r="AA2195" s="83" t="n"/>
      <c r="AB2195" s="83" t="n"/>
      <c r="AC2195" s="83" t="n"/>
      <c r="AD2195" s="83" t="n"/>
      <c r="AE2195" s="83" t="n"/>
      <c r="AF2195" s="83" t="n"/>
      <c r="AG2195" s="83" t="n"/>
      <c r="AH2195" s="83" t="n"/>
      <c r="AI2195" s="83" t="n"/>
      <c r="AJ2195" s="83" t="n"/>
      <c r="AK2195" s="83" t="n"/>
      <c r="AL2195" s="83" t="n"/>
      <c r="AM2195" s="83" t="n"/>
      <c r="AN2195" s="83" t="n"/>
      <c r="AO2195" s="83" t="n"/>
      <c r="AP2195" s="83" t="n"/>
      <c r="AQ2195" s="83" t="n"/>
      <c r="AR2195" s="83" t="n"/>
    </row>
    <row r="2196">
      <c r="D2196" s="84" t="n"/>
      <c r="E2196" s="84" t="n"/>
      <c r="F2196" s="84" t="n"/>
      <c r="G2196" s="84" t="n"/>
      <c r="H2196" s="84" t="n"/>
      <c r="I2196" s="84" t="n"/>
      <c r="J2196" s="84" t="n"/>
      <c r="K2196" s="84" t="n"/>
      <c r="L2196" s="84" t="n"/>
      <c r="M2196" s="84" t="n"/>
      <c r="N2196" s="84" t="n"/>
      <c r="O2196" s="84" t="n"/>
      <c r="P2196" s="84" t="n"/>
      <c r="Q2196" s="84" t="n"/>
      <c r="R2196" s="84" t="n"/>
      <c r="S2196" s="84" t="n"/>
      <c r="T2196" s="84" t="n"/>
      <c r="U2196" s="84" t="n"/>
      <c r="V2196" s="84" t="n"/>
      <c r="W2196" s="84" t="n"/>
      <c r="X2196" s="84" t="n"/>
      <c r="Y2196" s="84" t="n"/>
      <c r="Z2196" s="84" t="n"/>
      <c r="AA2196" s="84" t="n"/>
      <c r="AB2196" s="84" t="n"/>
      <c r="AC2196" s="84" t="n"/>
      <c r="AD2196" s="84" t="n"/>
      <c r="AE2196" s="84" t="n"/>
      <c r="AF2196" s="84" t="n"/>
      <c r="AG2196" s="84" t="n"/>
      <c r="AH2196" s="84" t="n"/>
      <c r="AI2196" s="84" t="n"/>
      <c r="AJ2196" s="84" t="n"/>
      <c r="AK2196" s="84" t="n"/>
      <c r="AL2196" s="84" t="n"/>
      <c r="AM2196" s="84" t="n"/>
      <c r="AN2196" s="84" t="n"/>
      <c r="AO2196" s="84" t="n"/>
      <c r="AP2196" s="84" t="n"/>
      <c r="AQ2196" s="84" t="n"/>
      <c r="AR2196" s="84" t="n"/>
    </row>
    <row r="2197">
      <c r="D2197" s="80" t="n"/>
      <c r="E2197" s="80" t="n"/>
      <c r="F2197" s="80" t="n"/>
      <c r="G2197" s="80" t="n"/>
      <c r="H2197" s="80" t="n"/>
      <c r="I2197" s="80" t="n"/>
      <c r="J2197" s="80" t="n"/>
      <c r="K2197" s="80" t="n"/>
      <c r="L2197" s="80" t="n"/>
      <c r="M2197" s="80" t="n"/>
      <c r="N2197" s="80" t="n"/>
      <c r="O2197" s="80" t="n"/>
      <c r="P2197" s="80" t="n"/>
      <c r="Q2197" s="80" t="n"/>
      <c r="R2197" s="80" t="n"/>
      <c r="S2197" s="80" t="n"/>
      <c r="T2197" s="80" t="n"/>
      <c r="U2197" s="80" t="n"/>
      <c r="V2197" s="80" t="n"/>
      <c r="W2197" s="80" t="n"/>
      <c r="X2197" s="80" t="n"/>
      <c r="Y2197" s="80" t="n"/>
      <c r="Z2197" s="80" t="n"/>
      <c r="AA2197" s="80" t="n"/>
      <c r="AB2197" s="80" t="n"/>
      <c r="AC2197" s="80" t="n"/>
      <c r="AD2197" s="80" t="n"/>
      <c r="AE2197" s="80" t="n"/>
      <c r="AF2197" s="80" t="n"/>
      <c r="AG2197" s="80" t="n"/>
      <c r="AH2197" s="80" t="n"/>
      <c r="AI2197" s="80" t="n"/>
      <c r="AJ2197" s="80" t="n"/>
      <c r="AK2197" s="80" t="n"/>
      <c r="AL2197" s="80" t="n"/>
      <c r="AM2197" s="80" t="n"/>
      <c r="AN2197" s="80" t="n"/>
      <c r="AO2197" s="80" t="n"/>
      <c r="AP2197" s="80" t="n"/>
      <c r="AQ2197" s="80" t="n"/>
      <c r="AR2197" s="80" t="n"/>
    </row>
    <row r="2198">
      <c r="D2198" s="80" t="n"/>
      <c r="E2198" s="80" t="n"/>
      <c r="F2198" s="80" t="n"/>
      <c r="G2198" s="80" t="n"/>
      <c r="H2198" s="80" t="n"/>
      <c r="I2198" s="80" t="n"/>
      <c r="J2198" s="80" t="n"/>
      <c r="K2198" s="80" t="n"/>
      <c r="L2198" s="80" t="n"/>
      <c r="M2198" s="80" t="n"/>
      <c r="N2198" s="80" t="n"/>
      <c r="O2198" s="80" t="n"/>
      <c r="P2198" s="80" t="n"/>
      <c r="Q2198" s="80" t="n"/>
      <c r="R2198" s="80" t="n"/>
      <c r="S2198" s="80" t="n"/>
      <c r="T2198" s="80" t="n"/>
      <c r="U2198" s="80" t="n"/>
      <c r="V2198" s="80" t="n"/>
      <c r="W2198" s="80" t="n"/>
      <c r="X2198" s="80" t="n"/>
      <c r="Y2198" s="80" t="n"/>
      <c r="Z2198" s="80" t="n"/>
      <c r="AA2198" s="80" t="n"/>
      <c r="AB2198" s="80" t="n"/>
      <c r="AC2198" s="80" t="n"/>
      <c r="AD2198" s="80" t="n"/>
      <c r="AE2198" s="80" t="n"/>
      <c r="AF2198" s="80" t="n"/>
      <c r="AG2198" s="80" t="n"/>
      <c r="AH2198" s="80" t="n"/>
      <c r="AI2198" s="80" t="n"/>
      <c r="AJ2198" s="80" t="n"/>
      <c r="AK2198" s="80" t="n"/>
      <c r="AL2198" s="80" t="n"/>
      <c r="AM2198" s="80" t="n"/>
      <c r="AN2198" s="80" t="n"/>
      <c r="AO2198" s="80" t="n"/>
      <c r="AP2198" s="80" t="n"/>
      <c r="AQ2198" s="80" t="n"/>
      <c r="AR2198" s="80" t="n"/>
    </row>
    <row r="2199">
      <c r="D2199" s="80" t="n"/>
      <c r="E2199" s="80" t="n"/>
      <c r="F2199" s="80" t="n"/>
      <c r="G2199" s="80" t="n"/>
      <c r="H2199" s="80" t="n"/>
      <c r="I2199" s="80" t="n"/>
      <c r="J2199" s="80" t="n"/>
      <c r="K2199" s="80" t="n"/>
      <c r="L2199" s="80" t="n"/>
      <c r="M2199" s="80" t="n"/>
      <c r="N2199" s="80" t="n"/>
      <c r="O2199" s="80" t="n"/>
      <c r="P2199" s="80" t="n"/>
      <c r="Q2199" s="80" t="n"/>
      <c r="R2199" s="80" t="n"/>
      <c r="S2199" s="80" t="n"/>
      <c r="T2199" s="80" t="n"/>
      <c r="U2199" s="80" t="n"/>
      <c r="V2199" s="80" t="n"/>
      <c r="W2199" s="80" t="n"/>
      <c r="X2199" s="80" t="n"/>
      <c r="Y2199" s="80" t="n"/>
      <c r="Z2199" s="80" t="n"/>
      <c r="AA2199" s="80" t="n"/>
      <c r="AB2199" s="80" t="n"/>
      <c r="AC2199" s="80" t="n"/>
      <c r="AD2199" s="80" t="n"/>
      <c r="AE2199" s="80" t="n"/>
      <c r="AF2199" s="80" t="n"/>
      <c r="AG2199" s="80" t="n"/>
      <c r="AH2199" s="80" t="n"/>
      <c r="AI2199" s="80" t="n"/>
      <c r="AJ2199" s="80" t="n"/>
      <c r="AK2199" s="80" t="n"/>
      <c r="AL2199" s="80" t="n"/>
      <c r="AM2199" s="80" t="n"/>
      <c r="AN2199" s="80" t="n"/>
      <c r="AO2199" s="80" t="n"/>
      <c r="AP2199" s="80" t="n"/>
      <c r="AQ2199" s="80" t="n"/>
      <c r="AR2199" s="80" t="n"/>
    </row>
    <row r="2200">
      <c r="D2200" s="80" t="n"/>
      <c r="E2200" s="80" t="n"/>
      <c r="F2200" s="80" t="n"/>
      <c r="G2200" s="80" t="n"/>
      <c r="H2200" s="80" t="n"/>
      <c r="I2200" s="80" t="n"/>
      <c r="J2200" s="80" t="n"/>
      <c r="K2200" s="80" t="n"/>
      <c r="L2200" s="80" t="n"/>
      <c r="M2200" s="80" t="n"/>
      <c r="N2200" s="80" t="n"/>
      <c r="O2200" s="80" t="n"/>
      <c r="P2200" s="80" t="n"/>
      <c r="Q2200" s="80" t="n"/>
      <c r="R2200" s="80" t="n"/>
      <c r="S2200" s="80" t="n"/>
      <c r="T2200" s="80" t="n"/>
      <c r="U2200" s="80" t="n"/>
      <c r="V2200" s="80" t="n"/>
      <c r="W2200" s="80" t="n"/>
      <c r="X2200" s="80" t="n"/>
      <c r="Y2200" s="80" t="n"/>
      <c r="Z2200" s="80" t="n"/>
      <c r="AA2200" s="80" t="n"/>
      <c r="AB2200" s="80" t="n"/>
      <c r="AC2200" s="80" t="n"/>
      <c r="AD2200" s="80" t="n"/>
      <c r="AE2200" s="80" t="n"/>
      <c r="AF2200" s="80" t="n"/>
      <c r="AG2200" s="80" t="n"/>
      <c r="AH2200" s="80" t="n"/>
      <c r="AI2200" s="80" t="n"/>
      <c r="AJ2200" s="80" t="n"/>
      <c r="AK2200" s="80" t="n"/>
      <c r="AL2200" s="80" t="n"/>
      <c r="AM2200" s="80" t="n"/>
      <c r="AN2200" s="80" t="n"/>
      <c r="AO2200" s="80" t="n"/>
      <c r="AP2200" s="80" t="n"/>
      <c r="AQ2200" s="80" t="n"/>
      <c r="AR2200" s="80" t="n"/>
    </row>
    <row r="2201">
      <c r="A2201" s="2">
        <f>IF($A2194="","","   projections")</f>
        <v/>
      </c>
      <c r="B2201" s="41">
        <f>IF($A2194="",0,COUNT($E2202:$AR2202))</f>
        <v/>
      </c>
      <c r="C2201" s="81">
        <f>IF($B2201=0,0,MAX($E2202:$AR2202))</f>
        <v/>
      </c>
      <c r="D2201" s="82">
        <f>BDS($A2194,'Field Check'!$C$6,"headers=y","startcol=1","endcol=7","dir=h")</f>
        <v/>
      </c>
      <c r="E2201" s="83" t="n"/>
      <c r="F2201" s="83" t="n"/>
      <c r="G2201" s="83" t="n"/>
      <c r="H2201" s="83" t="n"/>
      <c r="I2201" s="83" t="n"/>
      <c r="J2201" s="83" t="n"/>
      <c r="K2201" s="83" t="n"/>
      <c r="L2201" s="83" t="n"/>
      <c r="M2201" s="83" t="n"/>
      <c r="N2201" s="83" t="n"/>
      <c r="O2201" s="83" t="n"/>
      <c r="P2201" s="83" t="n"/>
      <c r="Q2201" s="83" t="n"/>
      <c r="R2201" s="83" t="n"/>
      <c r="S2201" s="83" t="n"/>
      <c r="T2201" s="83" t="n"/>
      <c r="U2201" s="83" t="n"/>
      <c r="V2201" s="83" t="n"/>
      <c r="W2201" s="83" t="n"/>
      <c r="X2201" s="83" t="n"/>
      <c r="Y2201" s="83" t="n"/>
      <c r="Z2201" s="83" t="n"/>
      <c r="AA2201" s="83" t="n"/>
      <c r="AB2201" s="83" t="n"/>
      <c r="AC2201" s="83" t="n"/>
      <c r="AD2201" s="83" t="n"/>
      <c r="AE2201" s="83" t="n"/>
      <c r="AF2201" s="83" t="n"/>
      <c r="AG2201" s="83" t="n"/>
      <c r="AH2201" s="83" t="n"/>
      <c r="AI2201" s="83" t="n"/>
      <c r="AJ2201" s="83" t="n"/>
      <c r="AK2201" s="83" t="n"/>
      <c r="AL2201" s="83" t="n"/>
      <c r="AM2201" s="83" t="n"/>
      <c r="AN2201" s="83" t="n"/>
      <c r="AO2201" s="83" t="n"/>
      <c r="AP2201" s="83" t="n"/>
      <c r="AQ2201" s="83" t="n"/>
      <c r="AR2201" s="83" t="n"/>
    </row>
    <row r="2202">
      <c r="D2202" s="83" t="n"/>
      <c r="E2202" s="83" t="n"/>
      <c r="F2202" s="83" t="n"/>
      <c r="G2202" s="83" t="n"/>
      <c r="H2202" s="83" t="n"/>
      <c r="I2202" s="83" t="n"/>
      <c r="J2202" s="83" t="n"/>
      <c r="K2202" s="83" t="n"/>
      <c r="L2202" s="83" t="n"/>
      <c r="M2202" s="83" t="n"/>
      <c r="N2202" s="83" t="n"/>
      <c r="O2202" s="83" t="n"/>
      <c r="P2202" s="83" t="n"/>
      <c r="Q2202" s="83" t="n"/>
      <c r="R2202" s="83" t="n"/>
      <c r="S2202" s="83" t="n"/>
      <c r="T2202" s="83" t="n"/>
      <c r="U2202" s="83" t="n"/>
      <c r="V2202" s="83" t="n"/>
      <c r="W2202" s="83" t="n"/>
      <c r="X2202" s="83" t="n"/>
      <c r="Y2202" s="83" t="n"/>
      <c r="Z2202" s="83" t="n"/>
      <c r="AA2202" s="83" t="n"/>
      <c r="AB2202" s="83" t="n"/>
      <c r="AC2202" s="83" t="n"/>
      <c r="AD2202" s="83" t="n"/>
      <c r="AE2202" s="83" t="n"/>
      <c r="AF2202" s="83" t="n"/>
      <c r="AG2202" s="83" t="n"/>
      <c r="AH2202" s="83" t="n"/>
      <c r="AI2202" s="83" t="n"/>
      <c r="AJ2202" s="83" t="n"/>
      <c r="AK2202" s="83" t="n"/>
      <c r="AL2202" s="83" t="n"/>
      <c r="AM2202" s="83" t="n"/>
      <c r="AN2202" s="83" t="n"/>
      <c r="AO2202" s="83" t="n"/>
      <c r="AP2202" s="83" t="n"/>
      <c r="AQ2202" s="83" t="n"/>
      <c r="AR2202" s="83" t="n"/>
    </row>
    <row r="2203">
      <c r="D2203" s="84" t="n"/>
      <c r="E2203" s="84" t="n"/>
      <c r="F2203" s="84" t="n"/>
      <c r="G2203" s="84" t="n"/>
      <c r="H2203" s="84" t="n"/>
      <c r="I2203" s="84" t="n"/>
      <c r="J2203" s="84" t="n"/>
      <c r="K2203" s="84" t="n"/>
      <c r="L2203" s="84" t="n"/>
      <c r="M2203" s="84" t="n"/>
      <c r="N2203" s="84" t="n"/>
      <c r="O2203" s="84" t="n"/>
      <c r="P2203" s="84" t="n"/>
      <c r="Q2203" s="84" t="n"/>
      <c r="R2203" s="84" t="n"/>
      <c r="S2203" s="84" t="n"/>
      <c r="T2203" s="84" t="n"/>
      <c r="U2203" s="84" t="n"/>
      <c r="V2203" s="84" t="n"/>
      <c r="W2203" s="84" t="n"/>
      <c r="X2203" s="84" t="n"/>
      <c r="Y2203" s="84" t="n"/>
      <c r="Z2203" s="84" t="n"/>
      <c r="AA2203" s="84" t="n"/>
      <c r="AB2203" s="84" t="n"/>
      <c r="AC2203" s="84" t="n"/>
      <c r="AD2203" s="84" t="n"/>
      <c r="AE2203" s="84" t="n"/>
      <c r="AF2203" s="84" t="n"/>
      <c r="AG2203" s="84" t="n"/>
      <c r="AH2203" s="84" t="n"/>
      <c r="AI2203" s="84" t="n"/>
      <c r="AJ2203" s="84" t="n"/>
      <c r="AK2203" s="84" t="n"/>
      <c r="AL2203" s="84" t="n"/>
      <c r="AM2203" s="84" t="n"/>
      <c r="AN2203" s="84" t="n"/>
      <c r="AO2203" s="84" t="n"/>
      <c r="AP2203" s="84" t="n"/>
      <c r="AQ2203" s="84" t="n"/>
      <c r="AR2203" s="84" t="n"/>
    </row>
    <row r="2204">
      <c r="D2204" s="80" t="n"/>
      <c r="E2204" s="80" t="n"/>
      <c r="F2204" s="80" t="n"/>
      <c r="G2204" s="80" t="n"/>
      <c r="H2204" s="80" t="n"/>
      <c r="I2204" s="80" t="n"/>
      <c r="J2204" s="80" t="n"/>
      <c r="K2204" s="80" t="n"/>
      <c r="L2204" s="80" t="n"/>
      <c r="M2204" s="80" t="n"/>
      <c r="N2204" s="80" t="n"/>
      <c r="O2204" s="80" t="n"/>
      <c r="P2204" s="80" t="n"/>
      <c r="Q2204" s="80" t="n"/>
      <c r="R2204" s="80" t="n"/>
      <c r="S2204" s="80" t="n"/>
      <c r="T2204" s="80" t="n"/>
      <c r="U2204" s="80" t="n"/>
      <c r="V2204" s="80" t="n"/>
      <c r="W2204" s="80" t="n"/>
      <c r="X2204" s="80" t="n"/>
      <c r="Y2204" s="80" t="n"/>
      <c r="Z2204" s="80" t="n"/>
      <c r="AA2204" s="80" t="n"/>
      <c r="AB2204" s="80" t="n"/>
      <c r="AC2204" s="80" t="n"/>
      <c r="AD2204" s="80" t="n"/>
      <c r="AE2204" s="80" t="n"/>
      <c r="AF2204" s="80" t="n"/>
      <c r="AG2204" s="80" t="n"/>
      <c r="AH2204" s="80" t="n"/>
      <c r="AI2204" s="80" t="n"/>
      <c r="AJ2204" s="80" t="n"/>
      <c r="AK2204" s="80" t="n"/>
      <c r="AL2204" s="80" t="n"/>
      <c r="AM2204" s="80" t="n"/>
      <c r="AN2204" s="80" t="n"/>
      <c r="AO2204" s="80" t="n"/>
      <c r="AP2204" s="80" t="n"/>
      <c r="AQ2204" s="80" t="n"/>
      <c r="AR2204" s="80" t="n"/>
    </row>
    <row r="2205">
      <c r="D2205" s="80" t="n"/>
      <c r="E2205" s="80" t="n"/>
      <c r="F2205" s="80" t="n"/>
      <c r="G2205" s="80" t="n"/>
      <c r="H2205" s="80" t="n"/>
      <c r="I2205" s="80" t="n"/>
      <c r="J2205" s="80" t="n"/>
      <c r="K2205" s="80" t="n"/>
      <c r="L2205" s="80" t="n"/>
      <c r="M2205" s="80" t="n"/>
      <c r="N2205" s="80" t="n"/>
      <c r="O2205" s="80" t="n"/>
      <c r="P2205" s="80" t="n"/>
      <c r="Q2205" s="80" t="n"/>
      <c r="R2205" s="80" t="n"/>
      <c r="S2205" s="80" t="n"/>
      <c r="T2205" s="80" t="n"/>
      <c r="U2205" s="80" t="n"/>
      <c r="V2205" s="80" t="n"/>
      <c r="W2205" s="80" t="n"/>
      <c r="X2205" s="80" t="n"/>
      <c r="Y2205" s="80" t="n"/>
      <c r="Z2205" s="80" t="n"/>
      <c r="AA2205" s="80" t="n"/>
      <c r="AB2205" s="80" t="n"/>
      <c r="AC2205" s="80" t="n"/>
      <c r="AD2205" s="80" t="n"/>
      <c r="AE2205" s="80" t="n"/>
      <c r="AF2205" s="80" t="n"/>
      <c r="AG2205" s="80" t="n"/>
      <c r="AH2205" s="80" t="n"/>
      <c r="AI2205" s="80" t="n"/>
      <c r="AJ2205" s="80" t="n"/>
      <c r="AK2205" s="80" t="n"/>
      <c r="AL2205" s="80" t="n"/>
      <c r="AM2205" s="80" t="n"/>
      <c r="AN2205" s="80" t="n"/>
      <c r="AO2205" s="80" t="n"/>
      <c r="AP2205" s="80" t="n"/>
      <c r="AQ2205" s="80" t="n"/>
      <c r="AR2205" s="80" t="n"/>
    </row>
    <row r="2206">
      <c r="D2206" s="80" t="n"/>
      <c r="E2206" s="80" t="n"/>
      <c r="F2206" s="80" t="n"/>
      <c r="G2206" s="80" t="n"/>
      <c r="H2206" s="80" t="n"/>
      <c r="I2206" s="80" t="n"/>
      <c r="J2206" s="80" t="n"/>
      <c r="K2206" s="80" t="n"/>
      <c r="L2206" s="80" t="n"/>
      <c r="M2206" s="80" t="n"/>
      <c r="N2206" s="80" t="n"/>
      <c r="O2206" s="80" t="n"/>
      <c r="P2206" s="80" t="n"/>
      <c r="Q2206" s="80" t="n"/>
      <c r="R2206" s="80" t="n"/>
      <c r="S2206" s="80" t="n"/>
      <c r="T2206" s="80" t="n"/>
      <c r="U2206" s="80" t="n"/>
      <c r="V2206" s="80" t="n"/>
      <c r="W2206" s="80" t="n"/>
      <c r="X2206" s="80" t="n"/>
      <c r="Y2206" s="80" t="n"/>
      <c r="Z2206" s="80" t="n"/>
      <c r="AA2206" s="80" t="n"/>
      <c r="AB2206" s="80" t="n"/>
      <c r="AC2206" s="80" t="n"/>
      <c r="AD2206" s="80" t="n"/>
      <c r="AE2206" s="80" t="n"/>
      <c r="AF2206" s="80" t="n"/>
      <c r="AG2206" s="80" t="n"/>
      <c r="AH2206" s="80" t="n"/>
      <c r="AI2206" s="80" t="n"/>
      <c r="AJ2206" s="80" t="n"/>
      <c r="AK2206" s="80" t="n"/>
      <c r="AL2206" s="80" t="n"/>
      <c r="AM2206" s="80" t="n"/>
      <c r="AN2206" s="80" t="n"/>
      <c r="AO2206" s="80" t="n"/>
      <c r="AP2206" s="80" t="n"/>
      <c r="AQ2206" s="80" t="n"/>
      <c r="AR2206" s="80" t="n"/>
    </row>
    <row r="2207">
      <c r="D2207" s="80" t="n"/>
      <c r="E2207" s="80" t="n"/>
      <c r="F2207" s="80" t="n"/>
      <c r="G2207" s="80" t="n"/>
      <c r="H2207" s="80" t="n"/>
      <c r="I2207" s="80" t="n"/>
      <c r="J2207" s="80" t="n"/>
      <c r="K2207" s="80" t="n"/>
      <c r="L2207" s="80" t="n"/>
      <c r="M2207" s="80" t="n"/>
      <c r="N2207" s="80" t="n"/>
      <c r="O2207" s="80" t="n"/>
      <c r="P2207" s="80" t="n"/>
      <c r="Q2207" s="80" t="n"/>
      <c r="R2207" s="80" t="n"/>
      <c r="S2207" s="80" t="n"/>
      <c r="T2207" s="80" t="n"/>
      <c r="U2207" s="80" t="n"/>
      <c r="V2207" s="80" t="n"/>
      <c r="W2207" s="80" t="n"/>
      <c r="X2207" s="80" t="n"/>
      <c r="Y2207" s="80" t="n"/>
      <c r="Z2207" s="80" t="n"/>
      <c r="AA2207" s="80" t="n"/>
      <c r="AB2207" s="80" t="n"/>
      <c r="AC2207" s="80" t="n"/>
      <c r="AD2207" s="80" t="n"/>
      <c r="AE2207" s="80" t="n"/>
      <c r="AF2207" s="80" t="n"/>
      <c r="AG2207" s="80" t="n"/>
      <c r="AH2207" s="80" t="n"/>
      <c r="AI2207" s="80" t="n"/>
      <c r="AJ2207" s="80" t="n"/>
      <c r="AK2207" s="80" t="n"/>
      <c r="AL2207" s="80" t="n"/>
      <c r="AM2207" s="80" t="n"/>
      <c r="AN2207" s="80" t="n"/>
      <c r="AO2207" s="80" t="n"/>
      <c r="AP2207" s="80" t="n"/>
      <c r="AQ2207" s="80" t="n"/>
      <c r="AR2207" s="80" t="n"/>
    </row>
    <row r="2209">
      <c r="A2209" s="6">
        <f>IF(HSCEI!$C$13="","",HSCEI!$C$13)</f>
        <v/>
      </c>
      <c r="B2209" s="41">
        <f>IF($A2209="",0,COUNT($E2210:$AR2210))</f>
        <v/>
      </c>
      <c r="C2209" s="81">
        <f>IF($B2209=0,0,MAX($E2210:$AR2210))</f>
        <v/>
      </c>
      <c r="D2209" s="82">
        <f>BDS($A2209,'Field Check'!$C$7,"headers=y","startcol=1","endcol=7","dir=h","DVD_START_DT",Summary!$C$18,"DVD_END_DT",Summary!$D$18)</f>
        <v/>
      </c>
      <c r="E2209" s="83" t="n"/>
      <c r="F2209" s="83" t="n"/>
      <c r="G2209" s="83" t="n"/>
      <c r="H2209" s="83" t="n"/>
      <c r="I2209" s="83" t="n"/>
      <c r="J2209" s="83" t="n"/>
      <c r="K2209" s="83" t="n"/>
      <c r="L2209" s="83" t="n"/>
      <c r="M2209" s="83" t="n"/>
      <c r="N2209" s="83" t="n"/>
      <c r="O2209" s="83" t="n"/>
      <c r="P2209" s="83" t="n"/>
      <c r="Q2209" s="83" t="n"/>
      <c r="R2209" s="83" t="n"/>
      <c r="S2209" s="83" t="n"/>
      <c r="T2209" s="83" t="n"/>
      <c r="U2209" s="83" t="n"/>
      <c r="V2209" s="83" t="n"/>
      <c r="W2209" s="83" t="n"/>
      <c r="X2209" s="83" t="n"/>
      <c r="Y2209" s="83" t="n"/>
      <c r="Z2209" s="83" t="n"/>
      <c r="AA2209" s="83" t="n"/>
      <c r="AB2209" s="83" t="n"/>
      <c r="AC2209" s="83" t="n"/>
      <c r="AD2209" s="83" t="n"/>
      <c r="AE2209" s="83" t="n"/>
      <c r="AF2209" s="83" t="n"/>
      <c r="AG2209" s="83" t="n"/>
      <c r="AH2209" s="83" t="n"/>
      <c r="AI2209" s="83" t="n"/>
      <c r="AJ2209" s="83" t="n"/>
      <c r="AK2209" s="83" t="n"/>
      <c r="AL2209" s="83" t="n"/>
      <c r="AM2209" s="83" t="n"/>
      <c r="AN2209" s="83" t="n"/>
      <c r="AO2209" s="83" t="n"/>
      <c r="AP2209" s="83" t="n"/>
      <c r="AQ2209" s="83" t="n"/>
      <c r="AR2209" s="83" t="n"/>
    </row>
    <row r="2210">
      <c r="D2210" s="83" t="n"/>
      <c r="E2210" s="83" t="n"/>
      <c r="F2210" s="83" t="n"/>
      <c r="G2210" s="83" t="n"/>
      <c r="H2210" s="83" t="n"/>
      <c r="I2210" s="83" t="n"/>
      <c r="J2210" s="83" t="n"/>
      <c r="K2210" s="83" t="n"/>
      <c r="L2210" s="83" t="n"/>
      <c r="M2210" s="83" t="n"/>
      <c r="N2210" s="83" t="n"/>
      <c r="O2210" s="83" t="n"/>
      <c r="P2210" s="83" t="n"/>
      <c r="Q2210" s="83" t="n"/>
      <c r="R2210" s="83" t="n"/>
      <c r="S2210" s="83" t="n"/>
      <c r="T2210" s="83" t="n"/>
      <c r="U2210" s="83" t="n"/>
      <c r="V2210" s="83" t="n"/>
      <c r="W2210" s="83" t="n"/>
      <c r="X2210" s="83" t="n"/>
      <c r="Y2210" s="83" t="n"/>
      <c r="Z2210" s="83" t="n"/>
      <c r="AA2210" s="83" t="n"/>
      <c r="AB2210" s="83" t="n"/>
      <c r="AC2210" s="83" t="n"/>
      <c r="AD2210" s="83" t="n"/>
      <c r="AE2210" s="83" t="n"/>
      <c r="AF2210" s="83" t="n"/>
      <c r="AG2210" s="83" t="n"/>
      <c r="AH2210" s="83" t="n"/>
      <c r="AI2210" s="83" t="n"/>
      <c r="AJ2210" s="83" t="n"/>
      <c r="AK2210" s="83" t="n"/>
      <c r="AL2210" s="83" t="n"/>
      <c r="AM2210" s="83" t="n"/>
      <c r="AN2210" s="83" t="n"/>
      <c r="AO2210" s="83" t="n"/>
      <c r="AP2210" s="83" t="n"/>
      <c r="AQ2210" s="83" t="n"/>
      <c r="AR2210" s="83" t="n"/>
    </row>
    <row r="2211">
      <c r="D2211" s="84" t="n"/>
      <c r="E2211" s="84" t="n"/>
      <c r="F2211" s="84" t="n"/>
      <c r="G2211" s="84" t="n"/>
      <c r="H2211" s="84" t="n"/>
      <c r="I2211" s="84" t="n"/>
      <c r="J2211" s="84" t="n"/>
      <c r="K2211" s="84" t="n"/>
      <c r="L2211" s="84" t="n"/>
      <c r="M2211" s="84" t="n"/>
      <c r="N2211" s="84" t="n"/>
      <c r="O2211" s="84" t="n"/>
      <c r="P2211" s="84" t="n"/>
      <c r="Q2211" s="84" t="n"/>
      <c r="R2211" s="84" t="n"/>
      <c r="S2211" s="84" t="n"/>
      <c r="T2211" s="84" t="n"/>
      <c r="U2211" s="84" t="n"/>
      <c r="V2211" s="84" t="n"/>
      <c r="W2211" s="84" t="n"/>
      <c r="X2211" s="84" t="n"/>
      <c r="Y2211" s="84" t="n"/>
      <c r="Z2211" s="84" t="n"/>
      <c r="AA2211" s="84" t="n"/>
      <c r="AB2211" s="84" t="n"/>
      <c r="AC2211" s="84" t="n"/>
      <c r="AD2211" s="84" t="n"/>
      <c r="AE2211" s="84" t="n"/>
      <c r="AF2211" s="84" t="n"/>
      <c r="AG2211" s="84" t="n"/>
      <c r="AH2211" s="84" t="n"/>
      <c r="AI2211" s="84" t="n"/>
      <c r="AJ2211" s="84" t="n"/>
      <c r="AK2211" s="84" t="n"/>
      <c r="AL2211" s="84" t="n"/>
      <c r="AM2211" s="84" t="n"/>
      <c r="AN2211" s="84" t="n"/>
      <c r="AO2211" s="84" t="n"/>
      <c r="AP2211" s="84" t="n"/>
      <c r="AQ2211" s="84" t="n"/>
      <c r="AR2211" s="84" t="n"/>
    </row>
    <row r="2212">
      <c r="D2212" s="80" t="n"/>
      <c r="E2212" s="80" t="n"/>
      <c r="F2212" s="80" t="n"/>
      <c r="G2212" s="80" t="n"/>
      <c r="H2212" s="80" t="n"/>
      <c r="I2212" s="80" t="n"/>
      <c r="J2212" s="80" t="n"/>
      <c r="K2212" s="80" t="n"/>
      <c r="L2212" s="80" t="n"/>
      <c r="M2212" s="80" t="n"/>
      <c r="N2212" s="80" t="n"/>
      <c r="O2212" s="80" t="n"/>
      <c r="P2212" s="80" t="n"/>
      <c r="Q2212" s="80" t="n"/>
      <c r="R2212" s="80" t="n"/>
      <c r="S2212" s="80" t="n"/>
      <c r="T2212" s="80" t="n"/>
      <c r="U2212" s="80" t="n"/>
      <c r="V2212" s="80" t="n"/>
      <c r="W2212" s="80" t="n"/>
      <c r="X2212" s="80" t="n"/>
      <c r="Y2212" s="80" t="n"/>
      <c r="Z2212" s="80" t="n"/>
      <c r="AA2212" s="80" t="n"/>
      <c r="AB2212" s="80" t="n"/>
      <c r="AC2212" s="80" t="n"/>
      <c r="AD2212" s="80" t="n"/>
      <c r="AE2212" s="80" t="n"/>
      <c r="AF2212" s="80" t="n"/>
      <c r="AG2212" s="80" t="n"/>
      <c r="AH2212" s="80" t="n"/>
      <c r="AI2212" s="80" t="n"/>
      <c r="AJ2212" s="80" t="n"/>
      <c r="AK2212" s="80" t="n"/>
      <c r="AL2212" s="80" t="n"/>
      <c r="AM2212" s="80" t="n"/>
      <c r="AN2212" s="80" t="n"/>
      <c r="AO2212" s="80" t="n"/>
      <c r="AP2212" s="80" t="n"/>
      <c r="AQ2212" s="80" t="n"/>
      <c r="AR2212" s="80" t="n"/>
    </row>
    <row r="2213">
      <c r="D2213" s="80" t="n"/>
      <c r="E2213" s="80" t="n"/>
      <c r="F2213" s="80" t="n"/>
      <c r="G2213" s="80" t="n"/>
      <c r="H2213" s="80" t="n"/>
      <c r="I2213" s="80" t="n"/>
      <c r="J2213" s="80" t="n"/>
      <c r="K2213" s="80" t="n"/>
      <c r="L2213" s="80" t="n"/>
      <c r="M2213" s="80" t="n"/>
      <c r="N2213" s="80" t="n"/>
      <c r="O2213" s="80" t="n"/>
      <c r="P2213" s="80" t="n"/>
      <c r="Q2213" s="80" t="n"/>
      <c r="R2213" s="80" t="n"/>
      <c r="S2213" s="80" t="n"/>
      <c r="T2213" s="80" t="n"/>
      <c r="U2213" s="80" t="n"/>
      <c r="V2213" s="80" t="n"/>
      <c r="W2213" s="80" t="n"/>
      <c r="X2213" s="80" t="n"/>
      <c r="Y2213" s="80" t="n"/>
      <c r="Z2213" s="80" t="n"/>
      <c r="AA2213" s="80" t="n"/>
      <c r="AB2213" s="80" t="n"/>
      <c r="AC2213" s="80" t="n"/>
      <c r="AD2213" s="80" t="n"/>
      <c r="AE2213" s="80" t="n"/>
      <c r="AF2213" s="80" t="n"/>
      <c r="AG2213" s="80" t="n"/>
      <c r="AH2213" s="80" t="n"/>
      <c r="AI2213" s="80" t="n"/>
      <c r="AJ2213" s="80" t="n"/>
      <c r="AK2213" s="80" t="n"/>
      <c r="AL2213" s="80" t="n"/>
      <c r="AM2213" s="80" t="n"/>
      <c r="AN2213" s="80" t="n"/>
      <c r="AO2213" s="80" t="n"/>
      <c r="AP2213" s="80" t="n"/>
      <c r="AQ2213" s="80" t="n"/>
      <c r="AR2213" s="80" t="n"/>
    </row>
    <row r="2214">
      <c r="D2214" s="80" t="n"/>
      <c r="E2214" s="80" t="n"/>
      <c r="F2214" s="80" t="n"/>
      <c r="G2214" s="80" t="n"/>
      <c r="H2214" s="80" t="n"/>
      <c r="I2214" s="80" t="n"/>
      <c r="J2214" s="80" t="n"/>
      <c r="K2214" s="80" t="n"/>
      <c r="L2214" s="80" t="n"/>
      <c r="M2214" s="80" t="n"/>
      <c r="N2214" s="80" t="n"/>
      <c r="O2214" s="80" t="n"/>
      <c r="P2214" s="80" t="n"/>
      <c r="Q2214" s="80" t="n"/>
      <c r="R2214" s="80" t="n"/>
      <c r="S2214" s="80" t="n"/>
      <c r="T2214" s="80" t="n"/>
      <c r="U2214" s="80" t="n"/>
      <c r="V2214" s="80" t="n"/>
      <c r="W2214" s="80" t="n"/>
      <c r="X2214" s="80" t="n"/>
      <c r="Y2214" s="80" t="n"/>
      <c r="Z2214" s="80" t="n"/>
      <c r="AA2214" s="80" t="n"/>
      <c r="AB2214" s="80" t="n"/>
      <c r="AC2214" s="80" t="n"/>
      <c r="AD2214" s="80" t="n"/>
      <c r="AE2214" s="80" t="n"/>
      <c r="AF2214" s="80" t="n"/>
      <c r="AG2214" s="80" t="n"/>
      <c r="AH2214" s="80" t="n"/>
      <c r="AI2214" s="80" t="n"/>
      <c r="AJ2214" s="80" t="n"/>
      <c r="AK2214" s="80" t="n"/>
      <c r="AL2214" s="80" t="n"/>
      <c r="AM2214" s="80" t="n"/>
      <c r="AN2214" s="80" t="n"/>
      <c r="AO2214" s="80" t="n"/>
      <c r="AP2214" s="80" t="n"/>
      <c r="AQ2214" s="80" t="n"/>
      <c r="AR2214" s="80" t="n"/>
    </row>
    <row r="2215">
      <c r="D2215" s="80" t="n"/>
      <c r="E2215" s="80" t="n"/>
      <c r="F2215" s="80" t="n"/>
      <c r="G2215" s="80" t="n"/>
      <c r="H2215" s="80" t="n"/>
      <c r="I2215" s="80" t="n"/>
      <c r="J2215" s="80" t="n"/>
      <c r="K2215" s="80" t="n"/>
      <c r="L2215" s="80" t="n"/>
      <c r="M2215" s="80" t="n"/>
      <c r="N2215" s="80" t="n"/>
      <c r="O2215" s="80" t="n"/>
      <c r="P2215" s="80" t="n"/>
      <c r="Q2215" s="80" t="n"/>
      <c r="R2215" s="80" t="n"/>
      <c r="S2215" s="80" t="n"/>
      <c r="T2215" s="80" t="n"/>
      <c r="U2215" s="80" t="n"/>
      <c r="V2215" s="80" t="n"/>
      <c r="W2215" s="80" t="n"/>
      <c r="X2215" s="80" t="n"/>
      <c r="Y2215" s="80" t="n"/>
      <c r="Z2215" s="80" t="n"/>
      <c r="AA2215" s="80" t="n"/>
      <c r="AB2215" s="80" t="n"/>
      <c r="AC2215" s="80" t="n"/>
      <c r="AD2215" s="80" t="n"/>
      <c r="AE2215" s="80" t="n"/>
      <c r="AF2215" s="80" t="n"/>
      <c r="AG2215" s="80" t="n"/>
      <c r="AH2215" s="80" t="n"/>
      <c r="AI2215" s="80" t="n"/>
      <c r="AJ2215" s="80" t="n"/>
      <c r="AK2215" s="80" t="n"/>
      <c r="AL2215" s="80" t="n"/>
      <c r="AM2215" s="80" t="n"/>
      <c r="AN2215" s="80" t="n"/>
      <c r="AO2215" s="80" t="n"/>
      <c r="AP2215" s="80" t="n"/>
      <c r="AQ2215" s="80" t="n"/>
      <c r="AR2215" s="80" t="n"/>
    </row>
    <row r="2216">
      <c r="A2216" s="2">
        <f>IF($A2209="","","   projections")</f>
        <v/>
      </c>
      <c r="B2216" s="41">
        <f>IF($A2209="",0,COUNT($E2217:$AR2217))</f>
        <v/>
      </c>
      <c r="C2216" s="81">
        <f>IF($B2216=0,0,MAX($E2217:$AR2217))</f>
        <v/>
      </c>
      <c r="D2216" s="82">
        <f>BDS($A2209,'Field Check'!$C$6,"headers=y","startcol=1","endcol=7","dir=h")</f>
        <v/>
      </c>
      <c r="E2216" s="83" t="n"/>
      <c r="F2216" s="83" t="n"/>
      <c r="G2216" s="83" t="n"/>
      <c r="H2216" s="83" t="n"/>
      <c r="I2216" s="83" t="n"/>
      <c r="J2216" s="83" t="n"/>
      <c r="K2216" s="83" t="n"/>
      <c r="L2216" s="83" t="n"/>
      <c r="M2216" s="83" t="n"/>
      <c r="N2216" s="83" t="n"/>
      <c r="O2216" s="83" t="n"/>
      <c r="P2216" s="83" t="n"/>
      <c r="Q2216" s="83" t="n"/>
      <c r="R2216" s="83" t="n"/>
      <c r="S2216" s="83" t="n"/>
      <c r="T2216" s="83" t="n"/>
      <c r="U2216" s="83" t="n"/>
      <c r="V2216" s="83" t="n"/>
      <c r="W2216" s="83" t="n"/>
      <c r="X2216" s="83" t="n"/>
      <c r="Y2216" s="83" t="n"/>
      <c r="Z2216" s="83" t="n"/>
      <c r="AA2216" s="83" t="n"/>
      <c r="AB2216" s="83" t="n"/>
      <c r="AC2216" s="83" t="n"/>
      <c r="AD2216" s="83" t="n"/>
      <c r="AE2216" s="83" t="n"/>
      <c r="AF2216" s="83" t="n"/>
      <c r="AG2216" s="83" t="n"/>
      <c r="AH2216" s="83" t="n"/>
      <c r="AI2216" s="83" t="n"/>
      <c r="AJ2216" s="83" t="n"/>
      <c r="AK2216" s="83" t="n"/>
      <c r="AL2216" s="83" t="n"/>
      <c r="AM2216" s="83" t="n"/>
      <c r="AN2216" s="83" t="n"/>
      <c r="AO2216" s="83" t="n"/>
      <c r="AP2216" s="83" t="n"/>
      <c r="AQ2216" s="83" t="n"/>
      <c r="AR2216" s="83" t="n"/>
    </row>
    <row r="2217">
      <c r="D2217" s="83" t="n"/>
      <c r="E2217" s="83" t="n"/>
      <c r="F2217" s="83" t="n"/>
      <c r="G2217" s="83" t="n"/>
      <c r="H2217" s="83" t="n"/>
      <c r="I2217" s="83" t="n"/>
      <c r="J2217" s="83" t="n"/>
      <c r="K2217" s="83" t="n"/>
      <c r="L2217" s="83" t="n"/>
      <c r="M2217" s="83" t="n"/>
      <c r="N2217" s="83" t="n"/>
      <c r="O2217" s="83" t="n"/>
      <c r="P2217" s="83" t="n"/>
      <c r="Q2217" s="83" t="n"/>
      <c r="R2217" s="83" t="n"/>
      <c r="S2217" s="83" t="n"/>
      <c r="T2217" s="83" t="n"/>
      <c r="U2217" s="83" t="n"/>
      <c r="V2217" s="83" t="n"/>
      <c r="W2217" s="83" t="n"/>
      <c r="X2217" s="83" t="n"/>
      <c r="Y2217" s="83" t="n"/>
      <c r="Z2217" s="83" t="n"/>
      <c r="AA2217" s="83" t="n"/>
      <c r="AB2217" s="83" t="n"/>
      <c r="AC2217" s="83" t="n"/>
      <c r="AD2217" s="83" t="n"/>
      <c r="AE2217" s="83" t="n"/>
      <c r="AF2217" s="83" t="n"/>
      <c r="AG2217" s="83" t="n"/>
      <c r="AH2217" s="83" t="n"/>
      <c r="AI2217" s="83" t="n"/>
      <c r="AJ2217" s="83" t="n"/>
      <c r="AK2217" s="83" t="n"/>
      <c r="AL2217" s="83" t="n"/>
      <c r="AM2217" s="83" t="n"/>
      <c r="AN2217" s="83" t="n"/>
      <c r="AO2217" s="83" t="n"/>
      <c r="AP2217" s="83" t="n"/>
      <c r="AQ2217" s="83" t="n"/>
      <c r="AR2217" s="83" t="n"/>
    </row>
    <row r="2218">
      <c r="D2218" s="84" t="n"/>
      <c r="E2218" s="84" t="n"/>
      <c r="F2218" s="84" t="n"/>
      <c r="G2218" s="84" t="n"/>
      <c r="H2218" s="84" t="n"/>
      <c r="I2218" s="84" t="n"/>
      <c r="J2218" s="84" t="n"/>
      <c r="K2218" s="84" t="n"/>
      <c r="L2218" s="84" t="n"/>
      <c r="M2218" s="84" t="n"/>
      <c r="N2218" s="84" t="n"/>
      <c r="O2218" s="84" t="n"/>
      <c r="P2218" s="84" t="n"/>
      <c r="Q2218" s="84" t="n"/>
      <c r="R2218" s="84" t="n"/>
      <c r="S2218" s="84" t="n"/>
      <c r="T2218" s="84" t="n"/>
      <c r="U2218" s="84" t="n"/>
      <c r="V2218" s="84" t="n"/>
      <c r="W2218" s="84" t="n"/>
      <c r="X2218" s="84" t="n"/>
      <c r="Y2218" s="84" t="n"/>
      <c r="Z2218" s="84" t="n"/>
      <c r="AA2218" s="84" t="n"/>
      <c r="AB2218" s="84" t="n"/>
      <c r="AC2218" s="84" t="n"/>
      <c r="AD2218" s="84" t="n"/>
      <c r="AE2218" s="84" t="n"/>
      <c r="AF2218" s="84" t="n"/>
      <c r="AG2218" s="84" t="n"/>
      <c r="AH2218" s="84" t="n"/>
      <c r="AI2218" s="84" t="n"/>
      <c r="AJ2218" s="84" t="n"/>
      <c r="AK2218" s="84" t="n"/>
      <c r="AL2218" s="84" t="n"/>
      <c r="AM2218" s="84" t="n"/>
      <c r="AN2218" s="84" t="n"/>
      <c r="AO2218" s="84" t="n"/>
      <c r="AP2218" s="84" t="n"/>
      <c r="AQ2218" s="84" t="n"/>
      <c r="AR2218" s="84" t="n"/>
    </row>
    <row r="2219">
      <c r="D2219" s="80" t="n"/>
      <c r="E2219" s="80" t="n"/>
      <c r="F2219" s="80" t="n"/>
      <c r="G2219" s="80" t="n"/>
      <c r="H2219" s="80" t="n"/>
      <c r="I2219" s="80" t="n"/>
      <c r="J2219" s="80" t="n"/>
      <c r="K2219" s="80" t="n"/>
      <c r="L2219" s="80" t="n"/>
      <c r="M2219" s="80" t="n"/>
      <c r="N2219" s="80" t="n"/>
      <c r="O2219" s="80" t="n"/>
      <c r="P2219" s="80" t="n"/>
      <c r="Q2219" s="80" t="n"/>
      <c r="R2219" s="80" t="n"/>
      <c r="S2219" s="80" t="n"/>
      <c r="T2219" s="80" t="n"/>
      <c r="U2219" s="80" t="n"/>
      <c r="V2219" s="80" t="n"/>
      <c r="W2219" s="80" t="n"/>
      <c r="X2219" s="80" t="n"/>
      <c r="Y2219" s="80" t="n"/>
      <c r="Z2219" s="80" t="n"/>
      <c r="AA2219" s="80" t="n"/>
      <c r="AB2219" s="80" t="n"/>
      <c r="AC2219" s="80" t="n"/>
      <c r="AD2219" s="80" t="n"/>
      <c r="AE2219" s="80" t="n"/>
      <c r="AF2219" s="80" t="n"/>
      <c r="AG2219" s="80" t="n"/>
      <c r="AH2219" s="80" t="n"/>
      <c r="AI2219" s="80" t="n"/>
      <c r="AJ2219" s="80" t="n"/>
      <c r="AK2219" s="80" t="n"/>
      <c r="AL2219" s="80" t="n"/>
      <c r="AM2219" s="80" t="n"/>
      <c r="AN2219" s="80" t="n"/>
      <c r="AO2219" s="80" t="n"/>
      <c r="AP2219" s="80" t="n"/>
      <c r="AQ2219" s="80" t="n"/>
      <c r="AR2219" s="80" t="n"/>
    </row>
    <row r="2220">
      <c r="D2220" s="80" t="n"/>
      <c r="E2220" s="80" t="n"/>
      <c r="F2220" s="80" t="n"/>
      <c r="G2220" s="80" t="n"/>
      <c r="H2220" s="80" t="n"/>
      <c r="I2220" s="80" t="n"/>
      <c r="J2220" s="80" t="n"/>
      <c r="K2220" s="80" t="n"/>
      <c r="L2220" s="80" t="n"/>
      <c r="M2220" s="80" t="n"/>
      <c r="N2220" s="80" t="n"/>
      <c r="O2220" s="80" t="n"/>
      <c r="P2220" s="80" t="n"/>
      <c r="Q2220" s="80" t="n"/>
      <c r="R2220" s="80" t="n"/>
      <c r="S2220" s="80" t="n"/>
      <c r="T2220" s="80" t="n"/>
      <c r="U2220" s="80" t="n"/>
      <c r="V2220" s="80" t="n"/>
      <c r="W2220" s="80" t="n"/>
      <c r="X2220" s="80" t="n"/>
      <c r="Y2220" s="80" t="n"/>
      <c r="Z2220" s="80" t="n"/>
      <c r="AA2220" s="80" t="n"/>
      <c r="AB2220" s="80" t="n"/>
      <c r="AC2220" s="80" t="n"/>
      <c r="AD2220" s="80" t="n"/>
      <c r="AE2220" s="80" t="n"/>
      <c r="AF2220" s="80" t="n"/>
      <c r="AG2220" s="80" t="n"/>
      <c r="AH2220" s="80" t="n"/>
      <c r="AI2220" s="80" t="n"/>
      <c r="AJ2220" s="80" t="n"/>
      <c r="AK2220" s="80" t="n"/>
      <c r="AL2220" s="80" t="n"/>
      <c r="AM2220" s="80" t="n"/>
      <c r="AN2220" s="80" t="n"/>
      <c r="AO2220" s="80" t="n"/>
      <c r="AP2220" s="80" t="n"/>
      <c r="AQ2220" s="80" t="n"/>
      <c r="AR2220" s="80" t="n"/>
    </row>
    <row r="2221">
      <c r="D2221" s="80" t="n"/>
      <c r="E2221" s="80" t="n"/>
      <c r="F2221" s="80" t="n"/>
      <c r="G2221" s="80" t="n"/>
      <c r="H2221" s="80" t="n"/>
      <c r="I2221" s="80" t="n"/>
      <c r="J2221" s="80" t="n"/>
      <c r="K2221" s="80" t="n"/>
      <c r="L2221" s="80" t="n"/>
      <c r="M2221" s="80" t="n"/>
      <c r="N2221" s="80" t="n"/>
      <c r="O2221" s="80" t="n"/>
      <c r="P2221" s="80" t="n"/>
      <c r="Q2221" s="80" t="n"/>
      <c r="R2221" s="80" t="n"/>
      <c r="S2221" s="80" t="n"/>
      <c r="T2221" s="80" t="n"/>
      <c r="U2221" s="80" t="n"/>
      <c r="V2221" s="80" t="n"/>
      <c r="W2221" s="80" t="n"/>
      <c r="X2221" s="80" t="n"/>
      <c r="Y2221" s="80" t="n"/>
      <c r="Z2221" s="80" t="n"/>
      <c r="AA2221" s="80" t="n"/>
      <c r="AB2221" s="80" t="n"/>
      <c r="AC2221" s="80" t="n"/>
      <c r="AD2221" s="80" t="n"/>
      <c r="AE2221" s="80" t="n"/>
      <c r="AF2221" s="80" t="n"/>
      <c r="AG2221" s="80" t="n"/>
      <c r="AH2221" s="80" t="n"/>
      <c r="AI2221" s="80" t="n"/>
      <c r="AJ2221" s="80" t="n"/>
      <c r="AK2221" s="80" t="n"/>
      <c r="AL2221" s="80" t="n"/>
      <c r="AM2221" s="80" t="n"/>
      <c r="AN2221" s="80" t="n"/>
      <c r="AO2221" s="80" t="n"/>
      <c r="AP2221" s="80" t="n"/>
      <c r="AQ2221" s="80" t="n"/>
      <c r="AR2221" s="80" t="n"/>
    </row>
    <row r="2222">
      <c r="D2222" s="80" t="n"/>
      <c r="E2222" s="80" t="n"/>
      <c r="F2222" s="80" t="n"/>
      <c r="G2222" s="80" t="n"/>
      <c r="H2222" s="80" t="n"/>
      <c r="I2222" s="80" t="n"/>
      <c r="J2222" s="80" t="n"/>
      <c r="K2222" s="80" t="n"/>
      <c r="L2222" s="80" t="n"/>
      <c r="M2222" s="80" t="n"/>
      <c r="N2222" s="80" t="n"/>
      <c r="O2222" s="80" t="n"/>
      <c r="P2222" s="80" t="n"/>
      <c r="Q2222" s="80" t="n"/>
      <c r="R2222" s="80" t="n"/>
      <c r="S2222" s="80" t="n"/>
      <c r="T2222" s="80" t="n"/>
      <c r="U2222" s="80" t="n"/>
      <c r="V2222" s="80" t="n"/>
      <c r="W2222" s="80" t="n"/>
      <c r="X2222" s="80" t="n"/>
      <c r="Y2222" s="80" t="n"/>
      <c r="Z2222" s="80" t="n"/>
      <c r="AA2222" s="80" t="n"/>
      <c r="AB2222" s="80" t="n"/>
      <c r="AC2222" s="80" t="n"/>
      <c r="AD2222" s="80" t="n"/>
      <c r="AE2222" s="80" t="n"/>
      <c r="AF2222" s="80" t="n"/>
      <c r="AG2222" s="80" t="n"/>
      <c r="AH2222" s="80" t="n"/>
      <c r="AI2222" s="80" t="n"/>
      <c r="AJ2222" s="80" t="n"/>
      <c r="AK2222" s="80" t="n"/>
      <c r="AL2222" s="80" t="n"/>
      <c r="AM2222" s="80" t="n"/>
      <c r="AN2222" s="80" t="n"/>
      <c r="AO2222" s="80" t="n"/>
      <c r="AP2222" s="80" t="n"/>
      <c r="AQ2222" s="80" t="n"/>
      <c r="AR2222" s="80" t="n"/>
    </row>
    <row r="2224">
      <c r="A2224" s="6">
        <f>IF(HSCEI!$C$14="","",HSCEI!$C$14)</f>
        <v/>
      </c>
      <c r="B2224" s="41">
        <f>IF($A2224="",0,COUNT($E2225:$AR2225))</f>
        <v/>
      </c>
      <c r="C2224" s="81">
        <f>IF($B2224=0,0,MAX($E2225:$AR2225))</f>
        <v/>
      </c>
      <c r="D2224" s="82">
        <f>BDS($A2224,'Field Check'!$C$7,"headers=y","startcol=1","endcol=7","dir=h","DVD_START_DT",Summary!$C$18,"DVD_END_DT",Summary!$D$18)</f>
        <v/>
      </c>
      <c r="E2224" s="83" t="n"/>
      <c r="F2224" s="83" t="n"/>
      <c r="G2224" s="83" t="n"/>
      <c r="H2224" s="83" t="n"/>
      <c r="I2224" s="83" t="n"/>
      <c r="J2224" s="83" t="n"/>
      <c r="K2224" s="83" t="n"/>
      <c r="L2224" s="83" t="n"/>
      <c r="M2224" s="83" t="n"/>
      <c r="N2224" s="83" t="n"/>
      <c r="O2224" s="83" t="n"/>
      <c r="P2224" s="83" t="n"/>
      <c r="Q2224" s="83" t="n"/>
      <c r="R2224" s="83" t="n"/>
      <c r="S2224" s="83" t="n"/>
      <c r="T2224" s="83" t="n"/>
      <c r="U2224" s="83" t="n"/>
      <c r="V2224" s="83" t="n"/>
      <c r="W2224" s="83" t="n"/>
      <c r="X2224" s="83" t="n"/>
      <c r="Y2224" s="83" t="n"/>
      <c r="Z2224" s="83" t="n"/>
      <c r="AA2224" s="83" t="n"/>
      <c r="AB2224" s="83" t="n"/>
      <c r="AC2224" s="83" t="n"/>
      <c r="AD2224" s="83" t="n"/>
      <c r="AE2224" s="83" t="n"/>
      <c r="AF2224" s="83" t="n"/>
      <c r="AG2224" s="83" t="n"/>
      <c r="AH2224" s="83" t="n"/>
      <c r="AI2224" s="83" t="n"/>
      <c r="AJ2224" s="83" t="n"/>
      <c r="AK2224" s="83" t="n"/>
      <c r="AL2224" s="83" t="n"/>
      <c r="AM2224" s="83" t="n"/>
      <c r="AN2224" s="83" t="n"/>
      <c r="AO2224" s="83" t="n"/>
      <c r="AP2224" s="83" t="n"/>
      <c r="AQ2224" s="83" t="n"/>
      <c r="AR2224" s="83" t="n"/>
    </row>
    <row r="2225">
      <c r="D2225" s="83" t="n"/>
      <c r="E2225" s="83" t="n"/>
      <c r="F2225" s="83" t="n"/>
      <c r="G2225" s="83" t="n"/>
      <c r="H2225" s="83" t="n"/>
      <c r="I2225" s="83" t="n"/>
      <c r="J2225" s="83" t="n"/>
      <c r="K2225" s="83" t="n"/>
      <c r="L2225" s="83" t="n"/>
      <c r="M2225" s="83" t="n"/>
      <c r="N2225" s="83" t="n"/>
      <c r="O2225" s="83" t="n"/>
      <c r="P2225" s="83" t="n"/>
      <c r="Q2225" s="83" t="n"/>
      <c r="R2225" s="83" t="n"/>
      <c r="S2225" s="83" t="n"/>
      <c r="T2225" s="83" t="n"/>
      <c r="U2225" s="83" t="n"/>
      <c r="V2225" s="83" t="n"/>
      <c r="W2225" s="83" t="n"/>
      <c r="X2225" s="83" t="n"/>
      <c r="Y2225" s="83" t="n"/>
      <c r="Z2225" s="83" t="n"/>
      <c r="AA2225" s="83" t="n"/>
      <c r="AB2225" s="83" t="n"/>
      <c r="AC2225" s="83" t="n"/>
      <c r="AD2225" s="83" t="n"/>
      <c r="AE2225" s="83" t="n"/>
      <c r="AF2225" s="83" t="n"/>
      <c r="AG2225" s="83" t="n"/>
      <c r="AH2225" s="83" t="n"/>
      <c r="AI2225" s="83" t="n"/>
      <c r="AJ2225" s="83" t="n"/>
      <c r="AK2225" s="83" t="n"/>
      <c r="AL2225" s="83" t="n"/>
      <c r="AM2225" s="83" t="n"/>
      <c r="AN2225" s="83" t="n"/>
      <c r="AO2225" s="83" t="n"/>
      <c r="AP2225" s="83" t="n"/>
      <c r="AQ2225" s="83" t="n"/>
      <c r="AR2225" s="83" t="n"/>
    </row>
    <row r="2226">
      <c r="D2226" s="84" t="n"/>
      <c r="E2226" s="84" t="n"/>
      <c r="F2226" s="84" t="n"/>
      <c r="G2226" s="84" t="n"/>
      <c r="H2226" s="84" t="n"/>
      <c r="I2226" s="84" t="n"/>
      <c r="J2226" s="84" t="n"/>
      <c r="K2226" s="84" t="n"/>
      <c r="L2226" s="84" t="n"/>
      <c r="M2226" s="84" t="n"/>
      <c r="N2226" s="84" t="n"/>
      <c r="O2226" s="84" t="n"/>
      <c r="P2226" s="84" t="n"/>
      <c r="Q2226" s="84" t="n"/>
      <c r="R2226" s="84" t="n"/>
      <c r="S2226" s="84" t="n"/>
      <c r="T2226" s="84" t="n"/>
      <c r="U2226" s="84" t="n"/>
      <c r="V2226" s="84" t="n"/>
      <c r="W2226" s="84" t="n"/>
      <c r="X2226" s="84" t="n"/>
      <c r="Y2226" s="84" t="n"/>
      <c r="Z2226" s="84" t="n"/>
      <c r="AA2226" s="84" t="n"/>
      <c r="AB2226" s="84" t="n"/>
      <c r="AC2226" s="84" t="n"/>
      <c r="AD2226" s="84" t="n"/>
      <c r="AE2226" s="84" t="n"/>
      <c r="AF2226" s="84" t="n"/>
      <c r="AG2226" s="84" t="n"/>
      <c r="AH2226" s="84" t="n"/>
      <c r="AI2226" s="84" t="n"/>
      <c r="AJ2226" s="84" t="n"/>
      <c r="AK2226" s="84" t="n"/>
      <c r="AL2226" s="84" t="n"/>
      <c r="AM2226" s="84" t="n"/>
      <c r="AN2226" s="84" t="n"/>
      <c r="AO2226" s="84" t="n"/>
      <c r="AP2226" s="84" t="n"/>
      <c r="AQ2226" s="84" t="n"/>
      <c r="AR2226" s="84" t="n"/>
    </row>
    <row r="2227">
      <c r="D2227" s="80" t="n"/>
      <c r="E2227" s="80" t="n"/>
      <c r="F2227" s="80" t="n"/>
      <c r="G2227" s="80" t="n"/>
      <c r="H2227" s="80" t="n"/>
      <c r="I2227" s="80" t="n"/>
      <c r="J2227" s="80" t="n"/>
      <c r="K2227" s="80" t="n"/>
      <c r="L2227" s="80" t="n"/>
      <c r="M2227" s="80" t="n"/>
      <c r="N2227" s="80" t="n"/>
      <c r="O2227" s="80" t="n"/>
      <c r="P2227" s="80" t="n"/>
      <c r="Q2227" s="80" t="n"/>
      <c r="R2227" s="80" t="n"/>
      <c r="S2227" s="80" t="n"/>
      <c r="T2227" s="80" t="n"/>
      <c r="U2227" s="80" t="n"/>
      <c r="V2227" s="80" t="n"/>
      <c r="W2227" s="80" t="n"/>
      <c r="X2227" s="80" t="n"/>
      <c r="Y2227" s="80" t="n"/>
      <c r="Z2227" s="80" t="n"/>
      <c r="AA2227" s="80" t="n"/>
      <c r="AB2227" s="80" t="n"/>
      <c r="AC2227" s="80" t="n"/>
      <c r="AD2227" s="80" t="n"/>
      <c r="AE2227" s="80" t="n"/>
      <c r="AF2227" s="80" t="n"/>
      <c r="AG2227" s="80" t="n"/>
      <c r="AH2227" s="80" t="n"/>
      <c r="AI2227" s="80" t="n"/>
      <c r="AJ2227" s="80" t="n"/>
      <c r="AK2227" s="80" t="n"/>
      <c r="AL2227" s="80" t="n"/>
      <c r="AM2227" s="80" t="n"/>
      <c r="AN2227" s="80" t="n"/>
      <c r="AO2227" s="80" t="n"/>
      <c r="AP2227" s="80" t="n"/>
      <c r="AQ2227" s="80" t="n"/>
      <c r="AR2227" s="80" t="n"/>
    </row>
    <row r="2228">
      <c r="D2228" s="80" t="n"/>
      <c r="E2228" s="80" t="n"/>
      <c r="F2228" s="80" t="n"/>
      <c r="G2228" s="80" t="n"/>
      <c r="H2228" s="80" t="n"/>
      <c r="I2228" s="80" t="n"/>
      <c r="J2228" s="80" t="n"/>
      <c r="K2228" s="80" t="n"/>
      <c r="L2228" s="80" t="n"/>
      <c r="M2228" s="80" t="n"/>
      <c r="N2228" s="80" t="n"/>
      <c r="O2228" s="80" t="n"/>
      <c r="P2228" s="80" t="n"/>
      <c r="Q2228" s="80" t="n"/>
      <c r="R2228" s="80" t="n"/>
      <c r="S2228" s="80" t="n"/>
      <c r="T2228" s="80" t="n"/>
      <c r="U2228" s="80" t="n"/>
      <c r="V2228" s="80" t="n"/>
      <c r="W2228" s="80" t="n"/>
      <c r="X2228" s="80" t="n"/>
      <c r="Y2228" s="80" t="n"/>
      <c r="Z2228" s="80" t="n"/>
      <c r="AA2228" s="80" t="n"/>
      <c r="AB2228" s="80" t="n"/>
      <c r="AC2228" s="80" t="n"/>
      <c r="AD2228" s="80" t="n"/>
      <c r="AE2228" s="80" t="n"/>
      <c r="AF2228" s="80" t="n"/>
      <c r="AG2228" s="80" t="n"/>
      <c r="AH2228" s="80" t="n"/>
      <c r="AI2228" s="80" t="n"/>
      <c r="AJ2228" s="80" t="n"/>
      <c r="AK2228" s="80" t="n"/>
      <c r="AL2228" s="80" t="n"/>
      <c r="AM2228" s="80" t="n"/>
      <c r="AN2228" s="80" t="n"/>
      <c r="AO2228" s="80" t="n"/>
      <c r="AP2228" s="80" t="n"/>
      <c r="AQ2228" s="80" t="n"/>
      <c r="AR2228" s="80" t="n"/>
    </row>
    <row r="2229">
      <c r="D2229" s="80" t="n"/>
      <c r="E2229" s="80" t="n"/>
      <c r="F2229" s="80" t="n"/>
      <c r="G2229" s="80" t="n"/>
      <c r="H2229" s="80" t="n"/>
      <c r="I2229" s="80" t="n"/>
      <c r="J2229" s="80" t="n"/>
      <c r="K2229" s="80" t="n"/>
      <c r="L2229" s="80" t="n"/>
      <c r="M2229" s="80" t="n"/>
      <c r="N2229" s="80" t="n"/>
      <c r="O2229" s="80" t="n"/>
      <c r="P2229" s="80" t="n"/>
      <c r="Q2229" s="80" t="n"/>
      <c r="R2229" s="80" t="n"/>
      <c r="S2229" s="80" t="n"/>
      <c r="T2229" s="80" t="n"/>
      <c r="U2229" s="80" t="n"/>
      <c r="V2229" s="80" t="n"/>
      <c r="W2229" s="80" t="n"/>
      <c r="X2229" s="80" t="n"/>
      <c r="Y2229" s="80" t="n"/>
      <c r="Z2229" s="80" t="n"/>
      <c r="AA2229" s="80" t="n"/>
      <c r="AB2229" s="80" t="n"/>
      <c r="AC2229" s="80" t="n"/>
      <c r="AD2229" s="80" t="n"/>
      <c r="AE2229" s="80" t="n"/>
      <c r="AF2229" s="80" t="n"/>
      <c r="AG2229" s="80" t="n"/>
      <c r="AH2229" s="80" t="n"/>
      <c r="AI2229" s="80" t="n"/>
      <c r="AJ2229" s="80" t="n"/>
      <c r="AK2229" s="80" t="n"/>
      <c r="AL2229" s="80" t="n"/>
      <c r="AM2229" s="80" t="n"/>
      <c r="AN2229" s="80" t="n"/>
      <c r="AO2229" s="80" t="n"/>
      <c r="AP2229" s="80" t="n"/>
      <c r="AQ2229" s="80" t="n"/>
      <c r="AR2229" s="80" t="n"/>
    </row>
    <row r="2230">
      <c r="D2230" s="80" t="n"/>
      <c r="E2230" s="80" t="n"/>
      <c r="F2230" s="80" t="n"/>
      <c r="G2230" s="80" t="n"/>
      <c r="H2230" s="80" t="n"/>
      <c r="I2230" s="80" t="n"/>
      <c r="J2230" s="80" t="n"/>
      <c r="K2230" s="80" t="n"/>
      <c r="L2230" s="80" t="n"/>
      <c r="M2230" s="80" t="n"/>
      <c r="N2230" s="80" t="n"/>
      <c r="O2230" s="80" t="n"/>
      <c r="P2230" s="80" t="n"/>
      <c r="Q2230" s="80" t="n"/>
      <c r="R2230" s="80" t="n"/>
      <c r="S2230" s="80" t="n"/>
      <c r="T2230" s="80" t="n"/>
      <c r="U2230" s="80" t="n"/>
      <c r="V2230" s="80" t="n"/>
      <c r="W2230" s="80" t="n"/>
      <c r="X2230" s="80" t="n"/>
      <c r="Y2230" s="80" t="n"/>
      <c r="Z2230" s="80" t="n"/>
      <c r="AA2230" s="80" t="n"/>
      <c r="AB2230" s="80" t="n"/>
      <c r="AC2230" s="80" t="n"/>
      <c r="AD2230" s="80" t="n"/>
      <c r="AE2230" s="80" t="n"/>
      <c r="AF2230" s="80" t="n"/>
      <c r="AG2230" s="80" t="n"/>
      <c r="AH2230" s="80" t="n"/>
      <c r="AI2230" s="80" t="n"/>
      <c r="AJ2230" s="80" t="n"/>
      <c r="AK2230" s="80" t="n"/>
      <c r="AL2230" s="80" t="n"/>
      <c r="AM2230" s="80" t="n"/>
      <c r="AN2230" s="80" t="n"/>
      <c r="AO2230" s="80" t="n"/>
      <c r="AP2230" s="80" t="n"/>
      <c r="AQ2230" s="80" t="n"/>
      <c r="AR2230" s="80" t="n"/>
    </row>
    <row r="2231">
      <c r="A2231" s="2">
        <f>IF($A2224="","","   projections")</f>
        <v/>
      </c>
      <c r="B2231" s="41">
        <f>IF($A2224="",0,COUNT($E2232:$AR2232))</f>
        <v/>
      </c>
      <c r="C2231" s="81">
        <f>IF($B2231=0,0,MAX($E2232:$AR2232))</f>
        <v/>
      </c>
      <c r="D2231" s="82">
        <f>BDS($A2224,'Field Check'!$C$6,"headers=y","startcol=1","endcol=7","dir=h")</f>
        <v/>
      </c>
      <c r="E2231" s="83" t="n"/>
      <c r="F2231" s="83" t="n"/>
      <c r="G2231" s="83" t="n"/>
      <c r="H2231" s="83" t="n"/>
      <c r="I2231" s="83" t="n"/>
      <c r="J2231" s="83" t="n"/>
      <c r="K2231" s="83" t="n"/>
      <c r="L2231" s="83" t="n"/>
      <c r="M2231" s="83" t="n"/>
      <c r="N2231" s="83" t="n"/>
      <c r="O2231" s="83" t="n"/>
      <c r="P2231" s="83" t="n"/>
      <c r="Q2231" s="83" t="n"/>
      <c r="R2231" s="83" t="n"/>
      <c r="S2231" s="83" t="n"/>
      <c r="T2231" s="83" t="n"/>
      <c r="U2231" s="83" t="n"/>
      <c r="V2231" s="83" t="n"/>
      <c r="W2231" s="83" t="n"/>
      <c r="X2231" s="83" t="n"/>
      <c r="Y2231" s="83" t="n"/>
      <c r="Z2231" s="83" t="n"/>
      <c r="AA2231" s="83" t="n"/>
      <c r="AB2231" s="83" t="n"/>
      <c r="AC2231" s="83" t="n"/>
      <c r="AD2231" s="83" t="n"/>
      <c r="AE2231" s="83" t="n"/>
      <c r="AF2231" s="83" t="n"/>
      <c r="AG2231" s="83" t="n"/>
      <c r="AH2231" s="83" t="n"/>
      <c r="AI2231" s="83" t="n"/>
      <c r="AJ2231" s="83" t="n"/>
      <c r="AK2231" s="83" t="n"/>
      <c r="AL2231" s="83" t="n"/>
      <c r="AM2231" s="83" t="n"/>
      <c r="AN2231" s="83" t="n"/>
      <c r="AO2231" s="83" t="n"/>
      <c r="AP2231" s="83" t="n"/>
      <c r="AQ2231" s="83" t="n"/>
      <c r="AR2231" s="83" t="n"/>
    </row>
    <row r="2232">
      <c r="D2232" s="83" t="n"/>
      <c r="E2232" s="83" t="n"/>
      <c r="F2232" s="83" t="n"/>
      <c r="G2232" s="83" t="n"/>
      <c r="H2232" s="83" t="n"/>
      <c r="I2232" s="83" t="n"/>
      <c r="J2232" s="83" t="n"/>
      <c r="K2232" s="83" t="n"/>
      <c r="L2232" s="83" t="n"/>
      <c r="M2232" s="83" t="n"/>
      <c r="N2232" s="83" t="n"/>
      <c r="O2232" s="83" t="n"/>
      <c r="P2232" s="83" t="n"/>
      <c r="Q2232" s="83" t="n"/>
      <c r="R2232" s="83" t="n"/>
      <c r="S2232" s="83" t="n"/>
      <c r="T2232" s="83" t="n"/>
      <c r="U2232" s="83" t="n"/>
      <c r="V2232" s="83" t="n"/>
      <c r="W2232" s="83" t="n"/>
      <c r="X2232" s="83" t="n"/>
      <c r="Y2232" s="83" t="n"/>
      <c r="Z2232" s="83" t="n"/>
      <c r="AA2232" s="83" t="n"/>
      <c r="AB2232" s="83" t="n"/>
      <c r="AC2232" s="83" t="n"/>
      <c r="AD2232" s="83" t="n"/>
      <c r="AE2232" s="83" t="n"/>
      <c r="AF2232" s="83" t="n"/>
      <c r="AG2232" s="83" t="n"/>
      <c r="AH2232" s="83" t="n"/>
      <c r="AI2232" s="83" t="n"/>
      <c r="AJ2232" s="83" t="n"/>
      <c r="AK2232" s="83" t="n"/>
      <c r="AL2232" s="83" t="n"/>
      <c r="AM2232" s="83" t="n"/>
      <c r="AN2232" s="83" t="n"/>
      <c r="AO2232" s="83" t="n"/>
      <c r="AP2232" s="83" t="n"/>
      <c r="AQ2232" s="83" t="n"/>
      <c r="AR2232" s="83" t="n"/>
    </row>
    <row r="2233">
      <c r="D2233" s="84" t="n"/>
      <c r="E2233" s="84" t="n"/>
      <c r="F2233" s="84" t="n"/>
      <c r="G2233" s="84" t="n"/>
      <c r="H2233" s="84" t="n"/>
      <c r="I2233" s="84" t="n"/>
      <c r="J2233" s="84" t="n"/>
      <c r="K2233" s="84" t="n"/>
      <c r="L2233" s="84" t="n"/>
      <c r="M2233" s="84" t="n"/>
      <c r="N2233" s="84" t="n"/>
      <c r="O2233" s="84" t="n"/>
      <c r="P2233" s="84" t="n"/>
      <c r="Q2233" s="84" t="n"/>
      <c r="R2233" s="84" t="n"/>
      <c r="S2233" s="84" t="n"/>
      <c r="T2233" s="84" t="n"/>
      <c r="U2233" s="84" t="n"/>
      <c r="V2233" s="84" t="n"/>
      <c r="W2233" s="84" t="n"/>
      <c r="X2233" s="84" t="n"/>
      <c r="Y2233" s="84" t="n"/>
      <c r="Z2233" s="84" t="n"/>
      <c r="AA2233" s="84" t="n"/>
      <c r="AB2233" s="84" t="n"/>
      <c r="AC2233" s="84" t="n"/>
      <c r="AD2233" s="84" t="n"/>
      <c r="AE2233" s="84" t="n"/>
      <c r="AF2233" s="84" t="n"/>
      <c r="AG2233" s="84" t="n"/>
      <c r="AH2233" s="84" t="n"/>
      <c r="AI2233" s="84" t="n"/>
      <c r="AJ2233" s="84" t="n"/>
      <c r="AK2233" s="84" t="n"/>
      <c r="AL2233" s="84" t="n"/>
      <c r="AM2233" s="84" t="n"/>
      <c r="AN2233" s="84" t="n"/>
      <c r="AO2233" s="84" t="n"/>
      <c r="AP2233" s="84" t="n"/>
      <c r="AQ2233" s="84" t="n"/>
      <c r="AR2233" s="84" t="n"/>
    </row>
    <row r="2234">
      <c r="D2234" s="80" t="n"/>
      <c r="E2234" s="80" t="n"/>
      <c r="F2234" s="80" t="n"/>
      <c r="G2234" s="80" t="n"/>
      <c r="H2234" s="80" t="n"/>
      <c r="I2234" s="80" t="n"/>
      <c r="J2234" s="80" t="n"/>
      <c r="K2234" s="80" t="n"/>
      <c r="L2234" s="80" t="n"/>
      <c r="M2234" s="80" t="n"/>
      <c r="N2234" s="80" t="n"/>
      <c r="O2234" s="80" t="n"/>
      <c r="P2234" s="80" t="n"/>
      <c r="Q2234" s="80" t="n"/>
      <c r="R2234" s="80" t="n"/>
      <c r="S2234" s="80" t="n"/>
      <c r="T2234" s="80" t="n"/>
      <c r="U2234" s="80" t="n"/>
      <c r="V2234" s="80" t="n"/>
      <c r="W2234" s="80" t="n"/>
      <c r="X2234" s="80" t="n"/>
      <c r="Y2234" s="80" t="n"/>
      <c r="Z2234" s="80" t="n"/>
      <c r="AA2234" s="80" t="n"/>
      <c r="AB2234" s="80" t="n"/>
      <c r="AC2234" s="80" t="n"/>
      <c r="AD2234" s="80" t="n"/>
      <c r="AE2234" s="80" t="n"/>
      <c r="AF2234" s="80" t="n"/>
      <c r="AG2234" s="80" t="n"/>
      <c r="AH2234" s="80" t="n"/>
      <c r="AI2234" s="80" t="n"/>
      <c r="AJ2234" s="80" t="n"/>
      <c r="AK2234" s="80" t="n"/>
      <c r="AL2234" s="80" t="n"/>
      <c r="AM2234" s="80" t="n"/>
      <c r="AN2234" s="80" t="n"/>
      <c r="AO2234" s="80" t="n"/>
      <c r="AP2234" s="80" t="n"/>
      <c r="AQ2234" s="80" t="n"/>
      <c r="AR2234" s="80" t="n"/>
    </row>
    <row r="2235">
      <c r="D2235" s="80" t="n"/>
      <c r="E2235" s="80" t="n"/>
      <c r="F2235" s="80" t="n"/>
      <c r="G2235" s="80" t="n"/>
      <c r="H2235" s="80" t="n"/>
      <c r="I2235" s="80" t="n"/>
      <c r="J2235" s="80" t="n"/>
      <c r="K2235" s="80" t="n"/>
      <c r="L2235" s="80" t="n"/>
      <c r="M2235" s="80" t="n"/>
      <c r="N2235" s="80" t="n"/>
      <c r="O2235" s="80" t="n"/>
      <c r="P2235" s="80" t="n"/>
      <c r="Q2235" s="80" t="n"/>
      <c r="R2235" s="80" t="n"/>
      <c r="S2235" s="80" t="n"/>
      <c r="T2235" s="80" t="n"/>
      <c r="U2235" s="80" t="n"/>
      <c r="V2235" s="80" t="n"/>
      <c r="W2235" s="80" t="n"/>
      <c r="X2235" s="80" t="n"/>
      <c r="Y2235" s="80" t="n"/>
      <c r="Z2235" s="80" t="n"/>
      <c r="AA2235" s="80" t="n"/>
      <c r="AB2235" s="80" t="n"/>
      <c r="AC2235" s="80" t="n"/>
      <c r="AD2235" s="80" t="n"/>
      <c r="AE2235" s="80" t="n"/>
      <c r="AF2235" s="80" t="n"/>
      <c r="AG2235" s="80" t="n"/>
      <c r="AH2235" s="80" t="n"/>
      <c r="AI2235" s="80" t="n"/>
      <c r="AJ2235" s="80" t="n"/>
      <c r="AK2235" s="80" t="n"/>
      <c r="AL2235" s="80" t="n"/>
      <c r="AM2235" s="80" t="n"/>
      <c r="AN2235" s="80" t="n"/>
      <c r="AO2235" s="80" t="n"/>
      <c r="AP2235" s="80" t="n"/>
      <c r="AQ2235" s="80" t="n"/>
      <c r="AR2235" s="80" t="n"/>
    </row>
    <row r="2236">
      <c r="D2236" s="80" t="n"/>
      <c r="E2236" s="80" t="n"/>
      <c r="F2236" s="80" t="n"/>
      <c r="G2236" s="80" t="n"/>
      <c r="H2236" s="80" t="n"/>
      <c r="I2236" s="80" t="n"/>
      <c r="J2236" s="80" t="n"/>
      <c r="K2236" s="80" t="n"/>
      <c r="L2236" s="80" t="n"/>
      <c r="M2236" s="80" t="n"/>
      <c r="N2236" s="80" t="n"/>
      <c r="O2236" s="80" t="n"/>
      <c r="P2236" s="80" t="n"/>
      <c r="Q2236" s="80" t="n"/>
      <c r="R2236" s="80" t="n"/>
      <c r="S2236" s="80" t="n"/>
      <c r="T2236" s="80" t="n"/>
      <c r="U2236" s="80" t="n"/>
      <c r="V2236" s="80" t="n"/>
      <c r="W2236" s="80" t="n"/>
      <c r="X2236" s="80" t="n"/>
      <c r="Y2236" s="80" t="n"/>
      <c r="Z2236" s="80" t="n"/>
      <c r="AA2236" s="80" t="n"/>
      <c r="AB2236" s="80" t="n"/>
      <c r="AC2236" s="80" t="n"/>
      <c r="AD2236" s="80" t="n"/>
      <c r="AE2236" s="80" t="n"/>
      <c r="AF2236" s="80" t="n"/>
      <c r="AG2236" s="80" t="n"/>
      <c r="AH2236" s="80" t="n"/>
      <c r="AI2236" s="80" t="n"/>
      <c r="AJ2236" s="80" t="n"/>
      <c r="AK2236" s="80" t="n"/>
      <c r="AL2236" s="80" t="n"/>
      <c r="AM2236" s="80" t="n"/>
      <c r="AN2236" s="80" t="n"/>
      <c r="AO2236" s="80" t="n"/>
      <c r="AP2236" s="80" t="n"/>
      <c r="AQ2236" s="80" t="n"/>
      <c r="AR2236" s="80" t="n"/>
    </row>
    <row r="2237">
      <c r="D2237" s="80" t="n"/>
      <c r="E2237" s="80" t="n"/>
      <c r="F2237" s="80" t="n"/>
      <c r="G2237" s="80" t="n"/>
      <c r="H2237" s="80" t="n"/>
      <c r="I2237" s="80" t="n"/>
      <c r="J2237" s="80" t="n"/>
      <c r="K2237" s="80" t="n"/>
      <c r="L2237" s="80" t="n"/>
      <c r="M2237" s="80" t="n"/>
      <c r="N2237" s="80" t="n"/>
      <c r="O2237" s="80" t="n"/>
      <c r="P2237" s="80" t="n"/>
      <c r="Q2237" s="80" t="n"/>
      <c r="R2237" s="80" t="n"/>
      <c r="S2237" s="80" t="n"/>
      <c r="T2237" s="80" t="n"/>
      <c r="U2237" s="80" t="n"/>
      <c r="V2237" s="80" t="n"/>
      <c r="W2237" s="80" t="n"/>
      <c r="X2237" s="80" t="n"/>
      <c r="Y2237" s="80" t="n"/>
      <c r="Z2237" s="80" t="n"/>
      <c r="AA2237" s="80" t="n"/>
      <c r="AB2237" s="80" t="n"/>
      <c r="AC2237" s="80" t="n"/>
      <c r="AD2237" s="80" t="n"/>
      <c r="AE2237" s="80" t="n"/>
      <c r="AF2237" s="80" t="n"/>
      <c r="AG2237" s="80" t="n"/>
      <c r="AH2237" s="80" t="n"/>
      <c r="AI2237" s="80" t="n"/>
      <c r="AJ2237" s="80" t="n"/>
      <c r="AK2237" s="80" t="n"/>
      <c r="AL2237" s="80" t="n"/>
      <c r="AM2237" s="80" t="n"/>
      <c r="AN2237" s="80" t="n"/>
      <c r="AO2237" s="80" t="n"/>
      <c r="AP2237" s="80" t="n"/>
      <c r="AQ2237" s="80" t="n"/>
      <c r="AR2237" s="80" t="n"/>
    </row>
    <row r="2239">
      <c r="A2239" s="6">
        <f>IF(HSCEI!$C$15="","",HSCEI!$C$15)</f>
        <v/>
      </c>
      <c r="B2239" s="41">
        <f>IF($A2239="",0,COUNT($E2240:$AR2240))</f>
        <v/>
      </c>
      <c r="C2239" s="81">
        <f>IF($B2239=0,0,MAX($E2240:$AR2240))</f>
        <v/>
      </c>
      <c r="D2239" s="82">
        <f>BDS($A2239,'Field Check'!$C$7,"headers=y","startcol=1","endcol=7","dir=h","DVD_START_DT",Summary!$C$18,"DVD_END_DT",Summary!$D$18)</f>
        <v/>
      </c>
      <c r="E2239" s="83" t="n"/>
      <c r="F2239" s="83" t="n"/>
      <c r="G2239" s="83" t="n"/>
      <c r="H2239" s="83" t="n"/>
      <c r="I2239" s="83" t="n"/>
      <c r="J2239" s="83" t="n"/>
      <c r="K2239" s="83" t="n"/>
      <c r="L2239" s="83" t="n"/>
      <c r="M2239" s="83" t="n"/>
      <c r="N2239" s="83" t="n"/>
      <c r="O2239" s="83" t="n"/>
      <c r="P2239" s="83" t="n"/>
      <c r="Q2239" s="83" t="n"/>
      <c r="R2239" s="83" t="n"/>
      <c r="S2239" s="83" t="n"/>
      <c r="T2239" s="83" t="n"/>
      <c r="U2239" s="83" t="n"/>
      <c r="V2239" s="83" t="n"/>
      <c r="W2239" s="83" t="n"/>
      <c r="X2239" s="83" t="n"/>
      <c r="Y2239" s="83" t="n"/>
      <c r="Z2239" s="83" t="n"/>
      <c r="AA2239" s="83" t="n"/>
      <c r="AB2239" s="83" t="n"/>
      <c r="AC2239" s="83" t="n"/>
      <c r="AD2239" s="83" t="n"/>
      <c r="AE2239" s="83" t="n"/>
      <c r="AF2239" s="83" t="n"/>
      <c r="AG2239" s="83" t="n"/>
      <c r="AH2239" s="83" t="n"/>
      <c r="AI2239" s="83" t="n"/>
      <c r="AJ2239" s="83" t="n"/>
      <c r="AK2239" s="83" t="n"/>
      <c r="AL2239" s="83" t="n"/>
      <c r="AM2239" s="83" t="n"/>
      <c r="AN2239" s="83" t="n"/>
      <c r="AO2239" s="83" t="n"/>
      <c r="AP2239" s="83" t="n"/>
      <c r="AQ2239" s="83" t="n"/>
      <c r="AR2239" s="83" t="n"/>
    </row>
    <row r="2240">
      <c r="D2240" s="83" t="n"/>
      <c r="E2240" s="83" t="n"/>
      <c r="F2240" s="83" t="n"/>
      <c r="G2240" s="83" t="n"/>
      <c r="H2240" s="83" t="n"/>
      <c r="I2240" s="83" t="n"/>
      <c r="J2240" s="83" t="n"/>
      <c r="K2240" s="83" t="n"/>
      <c r="L2240" s="83" t="n"/>
      <c r="M2240" s="83" t="n"/>
      <c r="N2240" s="83" t="n"/>
      <c r="O2240" s="83" t="n"/>
      <c r="P2240" s="83" t="n"/>
      <c r="Q2240" s="83" t="n"/>
      <c r="R2240" s="83" t="n"/>
      <c r="S2240" s="83" t="n"/>
      <c r="T2240" s="83" t="n"/>
      <c r="U2240" s="83" t="n"/>
      <c r="V2240" s="83" t="n"/>
      <c r="W2240" s="83" t="n"/>
      <c r="X2240" s="83" t="n"/>
      <c r="Y2240" s="83" t="n"/>
      <c r="Z2240" s="83" t="n"/>
      <c r="AA2240" s="83" t="n"/>
      <c r="AB2240" s="83" t="n"/>
      <c r="AC2240" s="83" t="n"/>
      <c r="AD2240" s="83" t="n"/>
      <c r="AE2240" s="83" t="n"/>
      <c r="AF2240" s="83" t="n"/>
      <c r="AG2240" s="83" t="n"/>
      <c r="AH2240" s="83" t="n"/>
      <c r="AI2240" s="83" t="n"/>
      <c r="AJ2240" s="83" t="n"/>
      <c r="AK2240" s="83" t="n"/>
      <c r="AL2240" s="83" t="n"/>
      <c r="AM2240" s="83" t="n"/>
      <c r="AN2240" s="83" t="n"/>
      <c r="AO2240" s="83" t="n"/>
      <c r="AP2240" s="83" t="n"/>
      <c r="AQ2240" s="83" t="n"/>
      <c r="AR2240" s="83" t="n"/>
    </row>
    <row r="2241">
      <c r="D2241" s="84" t="n"/>
      <c r="E2241" s="84" t="n"/>
      <c r="F2241" s="84" t="n"/>
      <c r="G2241" s="84" t="n"/>
      <c r="H2241" s="84" t="n"/>
      <c r="I2241" s="84" t="n"/>
      <c r="J2241" s="84" t="n"/>
      <c r="K2241" s="84" t="n"/>
      <c r="L2241" s="84" t="n"/>
      <c r="M2241" s="84" t="n"/>
      <c r="N2241" s="84" t="n"/>
      <c r="O2241" s="84" t="n"/>
      <c r="P2241" s="84" t="n"/>
      <c r="Q2241" s="84" t="n"/>
      <c r="R2241" s="84" t="n"/>
      <c r="S2241" s="84" t="n"/>
      <c r="T2241" s="84" t="n"/>
      <c r="U2241" s="84" t="n"/>
      <c r="V2241" s="84" t="n"/>
      <c r="W2241" s="84" t="n"/>
      <c r="X2241" s="84" t="n"/>
      <c r="Y2241" s="84" t="n"/>
      <c r="Z2241" s="84" t="n"/>
      <c r="AA2241" s="84" t="n"/>
      <c r="AB2241" s="84" t="n"/>
      <c r="AC2241" s="84" t="n"/>
      <c r="AD2241" s="84" t="n"/>
      <c r="AE2241" s="84" t="n"/>
      <c r="AF2241" s="84" t="n"/>
      <c r="AG2241" s="84" t="n"/>
      <c r="AH2241" s="84" t="n"/>
      <c r="AI2241" s="84" t="n"/>
      <c r="AJ2241" s="84" t="n"/>
      <c r="AK2241" s="84" t="n"/>
      <c r="AL2241" s="84" t="n"/>
      <c r="AM2241" s="84" t="n"/>
      <c r="AN2241" s="84" t="n"/>
      <c r="AO2241" s="84" t="n"/>
      <c r="AP2241" s="84" t="n"/>
      <c r="AQ2241" s="84" t="n"/>
      <c r="AR2241" s="84" t="n"/>
    </row>
    <row r="2242">
      <c r="D2242" s="80" t="n"/>
      <c r="E2242" s="80" t="n"/>
      <c r="F2242" s="80" t="n"/>
      <c r="G2242" s="80" t="n"/>
      <c r="H2242" s="80" t="n"/>
      <c r="I2242" s="80" t="n"/>
      <c r="J2242" s="80" t="n"/>
      <c r="K2242" s="80" t="n"/>
      <c r="L2242" s="80" t="n"/>
      <c r="M2242" s="80" t="n"/>
      <c r="N2242" s="80" t="n"/>
      <c r="O2242" s="80" t="n"/>
      <c r="P2242" s="80" t="n"/>
      <c r="Q2242" s="80" t="n"/>
      <c r="R2242" s="80" t="n"/>
      <c r="S2242" s="80" t="n"/>
      <c r="T2242" s="80" t="n"/>
      <c r="U2242" s="80" t="n"/>
      <c r="V2242" s="80" t="n"/>
      <c r="W2242" s="80" t="n"/>
      <c r="X2242" s="80" t="n"/>
      <c r="Y2242" s="80" t="n"/>
      <c r="Z2242" s="80" t="n"/>
      <c r="AA2242" s="80" t="n"/>
      <c r="AB2242" s="80" t="n"/>
      <c r="AC2242" s="80" t="n"/>
      <c r="AD2242" s="80" t="n"/>
      <c r="AE2242" s="80" t="n"/>
      <c r="AF2242" s="80" t="n"/>
      <c r="AG2242" s="80" t="n"/>
      <c r="AH2242" s="80" t="n"/>
      <c r="AI2242" s="80" t="n"/>
      <c r="AJ2242" s="80" t="n"/>
      <c r="AK2242" s="80" t="n"/>
      <c r="AL2242" s="80" t="n"/>
      <c r="AM2242" s="80" t="n"/>
      <c r="AN2242" s="80" t="n"/>
      <c r="AO2242" s="80" t="n"/>
      <c r="AP2242" s="80" t="n"/>
      <c r="AQ2242" s="80" t="n"/>
      <c r="AR2242" s="80" t="n"/>
    </row>
    <row r="2243">
      <c r="D2243" s="80" t="n"/>
      <c r="E2243" s="80" t="n"/>
      <c r="F2243" s="80" t="n"/>
      <c r="G2243" s="80" t="n"/>
      <c r="H2243" s="80" t="n"/>
      <c r="I2243" s="80" t="n"/>
      <c r="J2243" s="80" t="n"/>
      <c r="K2243" s="80" t="n"/>
      <c r="L2243" s="80" t="n"/>
      <c r="M2243" s="80" t="n"/>
      <c r="N2243" s="80" t="n"/>
      <c r="O2243" s="80" t="n"/>
      <c r="P2243" s="80" t="n"/>
      <c r="Q2243" s="80" t="n"/>
      <c r="R2243" s="80" t="n"/>
      <c r="S2243" s="80" t="n"/>
      <c r="T2243" s="80" t="n"/>
      <c r="U2243" s="80" t="n"/>
      <c r="V2243" s="80" t="n"/>
      <c r="W2243" s="80" t="n"/>
      <c r="X2243" s="80" t="n"/>
      <c r="Y2243" s="80" t="n"/>
      <c r="Z2243" s="80" t="n"/>
      <c r="AA2243" s="80" t="n"/>
      <c r="AB2243" s="80" t="n"/>
      <c r="AC2243" s="80" t="n"/>
      <c r="AD2243" s="80" t="n"/>
      <c r="AE2243" s="80" t="n"/>
      <c r="AF2243" s="80" t="n"/>
      <c r="AG2243" s="80" t="n"/>
      <c r="AH2243" s="80" t="n"/>
      <c r="AI2243" s="80" t="n"/>
      <c r="AJ2243" s="80" t="n"/>
      <c r="AK2243" s="80" t="n"/>
      <c r="AL2243" s="80" t="n"/>
      <c r="AM2243" s="80" t="n"/>
      <c r="AN2243" s="80" t="n"/>
      <c r="AO2243" s="80" t="n"/>
      <c r="AP2243" s="80" t="n"/>
      <c r="AQ2243" s="80" t="n"/>
      <c r="AR2243" s="80" t="n"/>
    </row>
    <row r="2244">
      <c r="D2244" s="80" t="n"/>
      <c r="E2244" s="80" t="n"/>
      <c r="F2244" s="80" t="n"/>
      <c r="G2244" s="80" t="n"/>
      <c r="H2244" s="80" t="n"/>
      <c r="I2244" s="80" t="n"/>
      <c r="J2244" s="80" t="n"/>
      <c r="K2244" s="80" t="n"/>
      <c r="L2244" s="80" t="n"/>
      <c r="M2244" s="80" t="n"/>
      <c r="N2244" s="80" t="n"/>
      <c r="O2244" s="80" t="n"/>
      <c r="P2244" s="80" t="n"/>
      <c r="Q2244" s="80" t="n"/>
      <c r="R2244" s="80" t="n"/>
      <c r="S2244" s="80" t="n"/>
      <c r="T2244" s="80" t="n"/>
      <c r="U2244" s="80" t="n"/>
      <c r="V2244" s="80" t="n"/>
      <c r="W2244" s="80" t="n"/>
      <c r="X2244" s="80" t="n"/>
      <c r="Y2244" s="80" t="n"/>
      <c r="Z2244" s="80" t="n"/>
      <c r="AA2244" s="80" t="n"/>
      <c r="AB2244" s="80" t="n"/>
      <c r="AC2244" s="80" t="n"/>
      <c r="AD2244" s="80" t="n"/>
      <c r="AE2244" s="80" t="n"/>
      <c r="AF2244" s="80" t="n"/>
      <c r="AG2244" s="80" t="n"/>
      <c r="AH2244" s="80" t="n"/>
      <c r="AI2244" s="80" t="n"/>
      <c r="AJ2244" s="80" t="n"/>
      <c r="AK2244" s="80" t="n"/>
      <c r="AL2244" s="80" t="n"/>
      <c r="AM2244" s="80" t="n"/>
      <c r="AN2244" s="80" t="n"/>
      <c r="AO2244" s="80" t="n"/>
      <c r="AP2244" s="80" t="n"/>
      <c r="AQ2244" s="80" t="n"/>
      <c r="AR2244" s="80" t="n"/>
    </row>
    <row r="2245">
      <c r="D2245" s="80" t="n"/>
      <c r="E2245" s="80" t="n"/>
      <c r="F2245" s="80" t="n"/>
      <c r="G2245" s="80" t="n"/>
      <c r="H2245" s="80" t="n"/>
      <c r="I2245" s="80" t="n"/>
      <c r="J2245" s="80" t="n"/>
      <c r="K2245" s="80" t="n"/>
      <c r="L2245" s="80" t="n"/>
      <c r="M2245" s="80" t="n"/>
      <c r="N2245" s="80" t="n"/>
      <c r="O2245" s="80" t="n"/>
      <c r="P2245" s="80" t="n"/>
      <c r="Q2245" s="80" t="n"/>
      <c r="R2245" s="80" t="n"/>
      <c r="S2245" s="80" t="n"/>
      <c r="T2245" s="80" t="n"/>
      <c r="U2245" s="80" t="n"/>
      <c r="V2245" s="80" t="n"/>
      <c r="W2245" s="80" t="n"/>
      <c r="X2245" s="80" t="n"/>
      <c r="Y2245" s="80" t="n"/>
      <c r="Z2245" s="80" t="n"/>
      <c r="AA2245" s="80" t="n"/>
      <c r="AB2245" s="80" t="n"/>
      <c r="AC2245" s="80" t="n"/>
      <c r="AD2245" s="80" t="n"/>
      <c r="AE2245" s="80" t="n"/>
      <c r="AF2245" s="80" t="n"/>
      <c r="AG2245" s="80" t="n"/>
      <c r="AH2245" s="80" t="n"/>
      <c r="AI2245" s="80" t="n"/>
      <c r="AJ2245" s="80" t="n"/>
      <c r="AK2245" s="80" t="n"/>
      <c r="AL2245" s="80" t="n"/>
      <c r="AM2245" s="80" t="n"/>
      <c r="AN2245" s="80" t="n"/>
      <c r="AO2245" s="80" t="n"/>
      <c r="AP2245" s="80" t="n"/>
      <c r="AQ2245" s="80" t="n"/>
      <c r="AR2245" s="80" t="n"/>
    </row>
    <row r="2246">
      <c r="A2246" s="2">
        <f>IF($A2239="","","   projections")</f>
        <v/>
      </c>
      <c r="B2246" s="41">
        <f>IF($A2239="",0,COUNT($E2247:$AR2247))</f>
        <v/>
      </c>
      <c r="C2246" s="81">
        <f>IF($B2246=0,0,MAX($E2247:$AR2247))</f>
        <v/>
      </c>
      <c r="D2246" s="82">
        <f>BDS($A2239,'Field Check'!$C$6,"headers=y","startcol=1","endcol=7","dir=h")</f>
        <v/>
      </c>
      <c r="E2246" s="83" t="n"/>
      <c r="F2246" s="83" t="n"/>
      <c r="G2246" s="83" t="n"/>
      <c r="H2246" s="83" t="n"/>
      <c r="I2246" s="83" t="n"/>
      <c r="J2246" s="83" t="n"/>
      <c r="K2246" s="83" t="n"/>
      <c r="L2246" s="83" t="n"/>
      <c r="M2246" s="83" t="n"/>
      <c r="N2246" s="83" t="n"/>
      <c r="O2246" s="83" t="n"/>
      <c r="P2246" s="83" t="n"/>
      <c r="Q2246" s="83" t="n"/>
      <c r="R2246" s="83" t="n"/>
      <c r="S2246" s="83" t="n"/>
      <c r="T2246" s="83" t="n"/>
      <c r="U2246" s="83" t="n"/>
      <c r="V2246" s="83" t="n"/>
      <c r="W2246" s="83" t="n"/>
      <c r="X2246" s="83" t="n"/>
      <c r="Y2246" s="83" t="n"/>
      <c r="Z2246" s="83" t="n"/>
      <c r="AA2246" s="83" t="n"/>
      <c r="AB2246" s="83" t="n"/>
      <c r="AC2246" s="83" t="n"/>
      <c r="AD2246" s="83" t="n"/>
      <c r="AE2246" s="83" t="n"/>
      <c r="AF2246" s="83" t="n"/>
      <c r="AG2246" s="83" t="n"/>
      <c r="AH2246" s="83" t="n"/>
      <c r="AI2246" s="83" t="n"/>
      <c r="AJ2246" s="83" t="n"/>
      <c r="AK2246" s="83" t="n"/>
      <c r="AL2246" s="83" t="n"/>
      <c r="AM2246" s="83" t="n"/>
      <c r="AN2246" s="83" t="n"/>
      <c r="AO2246" s="83" t="n"/>
      <c r="AP2246" s="83" t="n"/>
      <c r="AQ2246" s="83" t="n"/>
      <c r="AR2246" s="83" t="n"/>
    </row>
    <row r="2247">
      <c r="D2247" s="83" t="n"/>
      <c r="E2247" s="83" t="n"/>
      <c r="F2247" s="83" t="n"/>
      <c r="G2247" s="83" t="n"/>
      <c r="H2247" s="83" t="n"/>
      <c r="I2247" s="83" t="n"/>
      <c r="J2247" s="83" t="n"/>
      <c r="K2247" s="83" t="n"/>
      <c r="L2247" s="83" t="n"/>
      <c r="M2247" s="83" t="n"/>
      <c r="N2247" s="83" t="n"/>
      <c r="O2247" s="83" t="n"/>
      <c r="P2247" s="83" t="n"/>
      <c r="Q2247" s="83" t="n"/>
      <c r="R2247" s="83" t="n"/>
      <c r="S2247" s="83" t="n"/>
      <c r="T2247" s="83" t="n"/>
      <c r="U2247" s="83" t="n"/>
      <c r="V2247" s="83" t="n"/>
      <c r="W2247" s="83" t="n"/>
      <c r="X2247" s="83" t="n"/>
      <c r="Y2247" s="83" t="n"/>
      <c r="Z2247" s="83" t="n"/>
      <c r="AA2247" s="83" t="n"/>
      <c r="AB2247" s="83" t="n"/>
      <c r="AC2247" s="83" t="n"/>
      <c r="AD2247" s="83" t="n"/>
      <c r="AE2247" s="83" t="n"/>
      <c r="AF2247" s="83" t="n"/>
      <c r="AG2247" s="83" t="n"/>
      <c r="AH2247" s="83" t="n"/>
      <c r="AI2247" s="83" t="n"/>
      <c r="AJ2247" s="83" t="n"/>
      <c r="AK2247" s="83" t="n"/>
      <c r="AL2247" s="83" t="n"/>
      <c r="AM2247" s="83" t="n"/>
      <c r="AN2247" s="83" t="n"/>
      <c r="AO2247" s="83" t="n"/>
      <c r="AP2247" s="83" t="n"/>
      <c r="AQ2247" s="83" t="n"/>
      <c r="AR2247" s="83" t="n"/>
    </row>
    <row r="2248">
      <c r="D2248" s="84" t="n"/>
      <c r="E2248" s="84" t="n"/>
      <c r="F2248" s="84" t="n"/>
      <c r="G2248" s="84" t="n"/>
      <c r="H2248" s="84" t="n"/>
      <c r="I2248" s="84" t="n"/>
      <c r="J2248" s="84" t="n"/>
      <c r="K2248" s="84" t="n"/>
      <c r="L2248" s="84" t="n"/>
      <c r="M2248" s="84" t="n"/>
      <c r="N2248" s="84" t="n"/>
      <c r="O2248" s="84" t="n"/>
      <c r="P2248" s="84" t="n"/>
      <c r="Q2248" s="84" t="n"/>
      <c r="R2248" s="84" t="n"/>
      <c r="S2248" s="84" t="n"/>
      <c r="T2248" s="84" t="n"/>
      <c r="U2248" s="84" t="n"/>
      <c r="V2248" s="84" t="n"/>
      <c r="W2248" s="84" t="n"/>
      <c r="X2248" s="84" t="n"/>
      <c r="Y2248" s="84" t="n"/>
      <c r="Z2248" s="84" t="n"/>
      <c r="AA2248" s="84" t="n"/>
      <c r="AB2248" s="84" t="n"/>
      <c r="AC2248" s="84" t="n"/>
      <c r="AD2248" s="84" t="n"/>
      <c r="AE2248" s="84" t="n"/>
      <c r="AF2248" s="84" t="n"/>
      <c r="AG2248" s="84" t="n"/>
      <c r="AH2248" s="84" t="n"/>
      <c r="AI2248" s="84" t="n"/>
      <c r="AJ2248" s="84" t="n"/>
      <c r="AK2248" s="84" t="n"/>
      <c r="AL2248" s="84" t="n"/>
      <c r="AM2248" s="84" t="n"/>
      <c r="AN2248" s="84" t="n"/>
      <c r="AO2248" s="84" t="n"/>
      <c r="AP2248" s="84" t="n"/>
      <c r="AQ2248" s="84" t="n"/>
      <c r="AR2248" s="84" t="n"/>
    </row>
    <row r="2249">
      <c r="D2249" s="80" t="n"/>
      <c r="E2249" s="80" t="n"/>
      <c r="F2249" s="80" t="n"/>
      <c r="G2249" s="80" t="n"/>
      <c r="H2249" s="80" t="n"/>
      <c r="I2249" s="80" t="n"/>
      <c r="J2249" s="80" t="n"/>
      <c r="K2249" s="80" t="n"/>
      <c r="L2249" s="80" t="n"/>
      <c r="M2249" s="80" t="n"/>
      <c r="N2249" s="80" t="n"/>
      <c r="O2249" s="80" t="n"/>
      <c r="P2249" s="80" t="n"/>
      <c r="Q2249" s="80" t="n"/>
      <c r="R2249" s="80" t="n"/>
      <c r="S2249" s="80" t="n"/>
      <c r="T2249" s="80" t="n"/>
      <c r="U2249" s="80" t="n"/>
      <c r="V2249" s="80" t="n"/>
      <c r="W2249" s="80" t="n"/>
      <c r="X2249" s="80" t="n"/>
      <c r="Y2249" s="80" t="n"/>
      <c r="Z2249" s="80" t="n"/>
      <c r="AA2249" s="80" t="n"/>
      <c r="AB2249" s="80" t="n"/>
      <c r="AC2249" s="80" t="n"/>
      <c r="AD2249" s="80" t="n"/>
      <c r="AE2249" s="80" t="n"/>
      <c r="AF2249" s="80" t="n"/>
      <c r="AG2249" s="80" t="n"/>
      <c r="AH2249" s="80" t="n"/>
      <c r="AI2249" s="80" t="n"/>
      <c r="AJ2249" s="80" t="n"/>
      <c r="AK2249" s="80" t="n"/>
      <c r="AL2249" s="80" t="n"/>
      <c r="AM2249" s="80" t="n"/>
      <c r="AN2249" s="80" t="n"/>
      <c r="AO2249" s="80" t="n"/>
      <c r="AP2249" s="80" t="n"/>
      <c r="AQ2249" s="80" t="n"/>
      <c r="AR2249" s="80" t="n"/>
    </row>
    <row r="2250">
      <c r="D2250" s="80" t="n"/>
      <c r="E2250" s="80" t="n"/>
      <c r="F2250" s="80" t="n"/>
      <c r="G2250" s="80" t="n"/>
      <c r="H2250" s="80" t="n"/>
      <c r="I2250" s="80" t="n"/>
      <c r="J2250" s="80" t="n"/>
      <c r="K2250" s="80" t="n"/>
      <c r="L2250" s="80" t="n"/>
      <c r="M2250" s="80" t="n"/>
      <c r="N2250" s="80" t="n"/>
      <c r="O2250" s="80" t="n"/>
      <c r="P2250" s="80" t="n"/>
      <c r="Q2250" s="80" t="n"/>
      <c r="R2250" s="80" t="n"/>
      <c r="S2250" s="80" t="n"/>
      <c r="T2250" s="80" t="n"/>
      <c r="U2250" s="80" t="n"/>
      <c r="V2250" s="80" t="n"/>
      <c r="W2250" s="80" t="n"/>
      <c r="X2250" s="80" t="n"/>
      <c r="Y2250" s="80" t="n"/>
      <c r="Z2250" s="80" t="n"/>
      <c r="AA2250" s="80" t="n"/>
      <c r="AB2250" s="80" t="n"/>
      <c r="AC2250" s="80" t="n"/>
      <c r="AD2250" s="80" t="n"/>
      <c r="AE2250" s="80" t="n"/>
      <c r="AF2250" s="80" t="n"/>
      <c r="AG2250" s="80" t="n"/>
      <c r="AH2250" s="80" t="n"/>
      <c r="AI2250" s="80" t="n"/>
      <c r="AJ2250" s="80" t="n"/>
      <c r="AK2250" s="80" t="n"/>
      <c r="AL2250" s="80" t="n"/>
      <c r="AM2250" s="80" t="n"/>
      <c r="AN2250" s="80" t="n"/>
      <c r="AO2250" s="80" t="n"/>
      <c r="AP2250" s="80" t="n"/>
      <c r="AQ2250" s="80" t="n"/>
      <c r="AR2250" s="80" t="n"/>
    </row>
    <row r="2251">
      <c r="D2251" s="80" t="n"/>
      <c r="E2251" s="80" t="n"/>
      <c r="F2251" s="80" t="n"/>
      <c r="G2251" s="80" t="n"/>
      <c r="H2251" s="80" t="n"/>
      <c r="I2251" s="80" t="n"/>
      <c r="J2251" s="80" t="n"/>
      <c r="K2251" s="80" t="n"/>
      <c r="L2251" s="80" t="n"/>
      <c r="M2251" s="80" t="n"/>
      <c r="N2251" s="80" t="n"/>
      <c r="O2251" s="80" t="n"/>
      <c r="P2251" s="80" t="n"/>
      <c r="Q2251" s="80" t="n"/>
      <c r="R2251" s="80" t="n"/>
      <c r="S2251" s="80" t="n"/>
      <c r="T2251" s="80" t="n"/>
      <c r="U2251" s="80" t="n"/>
      <c r="V2251" s="80" t="n"/>
      <c r="W2251" s="80" t="n"/>
      <c r="X2251" s="80" t="n"/>
      <c r="Y2251" s="80" t="n"/>
      <c r="Z2251" s="80" t="n"/>
      <c r="AA2251" s="80" t="n"/>
      <c r="AB2251" s="80" t="n"/>
      <c r="AC2251" s="80" t="n"/>
      <c r="AD2251" s="80" t="n"/>
      <c r="AE2251" s="80" t="n"/>
      <c r="AF2251" s="80" t="n"/>
      <c r="AG2251" s="80" t="n"/>
      <c r="AH2251" s="80" t="n"/>
      <c r="AI2251" s="80" t="n"/>
      <c r="AJ2251" s="80" t="n"/>
      <c r="AK2251" s="80" t="n"/>
      <c r="AL2251" s="80" t="n"/>
      <c r="AM2251" s="80" t="n"/>
      <c r="AN2251" s="80" t="n"/>
      <c r="AO2251" s="80" t="n"/>
      <c r="AP2251" s="80" t="n"/>
      <c r="AQ2251" s="80" t="n"/>
      <c r="AR2251" s="80" t="n"/>
    </row>
    <row r="2252">
      <c r="D2252" s="80" t="n"/>
      <c r="E2252" s="80" t="n"/>
      <c r="F2252" s="80" t="n"/>
      <c r="G2252" s="80" t="n"/>
      <c r="H2252" s="80" t="n"/>
      <c r="I2252" s="80" t="n"/>
      <c r="J2252" s="80" t="n"/>
      <c r="K2252" s="80" t="n"/>
      <c r="L2252" s="80" t="n"/>
      <c r="M2252" s="80" t="n"/>
      <c r="N2252" s="80" t="n"/>
      <c r="O2252" s="80" t="n"/>
      <c r="P2252" s="80" t="n"/>
      <c r="Q2252" s="80" t="n"/>
      <c r="R2252" s="80" t="n"/>
      <c r="S2252" s="80" t="n"/>
      <c r="T2252" s="80" t="n"/>
      <c r="U2252" s="80" t="n"/>
      <c r="V2252" s="80" t="n"/>
      <c r="W2252" s="80" t="n"/>
      <c r="X2252" s="80" t="n"/>
      <c r="Y2252" s="80" t="n"/>
      <c r="Z2252" s="80" t="n"/>
      <c r="AA2252" s="80" t="n"/>
      <c r="AB2252" s="80" t="n"/>
      <c r="AC2252" s="80" t="n"/>
      <c r="AD2252" s="80" t="n"/>
      <c r="AE2252" s="80" t="n"/>
      <c r="AF2252" s="80" t="n"/>
      <c r="AG2252" s="80" t="n"/>
      <c r="AH2252" s="80" t="n"/>
      <c r="AI2252" s="80" t="n"/>
      <c r="AJ2252" s="80" t="n"/>
      <c r="AK2252" s="80" t="n"/>
      <c r="AL2252" s="80" t="n"/>
      <c r="AM2252" s="80" t="n"/>
      <c r="AN2252" s="80" t="n"/>
      <c r="AO2252" s="80" t="n"/>
      <c r="AP2252" s="80" t="n"/>
      <c r="AQ2252" s="80" t="n"/>
      <c r="AR2252" s="80" t="n"/>
    </row>
    <row r="2254">
      <c r="A2254" s="6">
        <f>IF(HSCEI!$C$16="","",HSCEI!$C$16)</f>
        <v/>
      </c>
      <c r="B2254" s="41">
        <f>IF($A2254="",0,COUNT($E2255:$AR2255))</f>
        <v/>
      </c>
      <c r="C2254" s="81">
        <f>IF($B2254=0,0,MAX($E2255:$AR2255))</f>
        <v/>
      </c>
      <c r="D2254" s="82">
        <f>BDS($A2254,'Field Check'!$C$7,"headers=y","startcol=1","endcol=7","dir=h","DVD_START_DT",Summary!$C$18,"DVD_END_DT",Summary!$D$18)</f>
        <v/>
      </c>
      <c r="E2254" s="83" t="n"/>
      <c r="F2254" s="83" t="n"/>
      <c r="G2254" s="83" t="n"/>
      <c r="H2254" s="83" t="n"/>
      <c r="I2254" s="83" t="n"/>
      <c r="J2254" s="83" t="n"/>
      <c r="K2254" s="83" t="n"/>
      <c r="L2254" s="83" t="n"/>
      <c r="M2254" s="83" t="n"/>
      <c r="N2254" s="83" t="n"/>
      <c r="O2254" s="83" t="n"/>
      <c r="P2254" s="83" t="n"/>
      <c r="Q2254" s="83" t="n"/>
      <c r="R2254" s="83" t="n"/>
      <c r="S2254" s="83" t="n"/>
      <c r="T2254" s="83" t="n"/>
      <c r="U2254" s="83" t="n"/>
      <c r="V2254" s="83" t="n"/>
      <c r="W2254" s="83" t="n"/>
      <c r="X2254" s="83" t="n"/>
      <c r="Y2254" s="83" t="n"/>
      <c r="Z2254" s="83" t="n"/>
      <c r="AA2254" s="83" t="n"/>
      <c r="AB2254" s="83" t="n"/>
      <c r="AC2254" s="83" t="n"/>
      <c r="AD2254" s="83" t="n"/>
      <c r="AE2254" s="83" t="n"/>
      <c r="AF2254" s="83" t="n"/>
      <c r="AG2254" s="83" t="n"/>
      <c r="AH2254" s="83" t="n"/>
      <c r="AI2254" s="83" t="n"/>
      <c r="AJ2254" s="83" t="n"/>
      <c r="AK2254" s="83" t="n"/>
      <c r="AL2254" s="83" t="n"/>
      <c r="AM2254" s="83" t="n"/>
      <c r="AN2254" s="83" t="n"/>
      <c r="AO2254" s="83" t="n"/>
      <c r="AP2254" s="83" t="n"/>
      <c r="AQ2254" s="83" t="n"/>
      <c r="AR2254" s="83" t="n"/>
    </row>
    <row r="2255">
      <c r="D2255" s="83" t="n"/>
      <c r="E2255" s="83" t="n"/>
      <c r="F2255" s="83" t="n"/>
      <c r="G2255" s="83" t="n"/>
      <c r="H2255" s="83" t="n"/>
      <c r="I2255" s="83" t="n"/>
      <c r="J2255" s="83" t="n"/>
      <c r="K2255" s="83" t="n"/>
      <c r="L2255" s="83" t="n"/>
      <c r="M2255" s="83" t="n"/>
      <c r="N2255" s="83" t="n"/>
      <c r="O2255" s="83" t="n"/>
      <c r="P2255" s="83" t="n"/>
      <c r="Q2255" s="83" t="n"/>
      <c r="R2255" s="83" t="n"/>
      <c r="S2255" s="83" t="n"/>
      <c r="T2255" s="83" t="n"/>
      <c r="U2255" s="83" t="n"/>
      <c r="V2255" s="83" t="n"/>
      <c r="W2255" s="83" t="n"/>
      <c r="X2255" s="83" t="n"/>
      <c r="Y2255" s="83" t="n"/>
      <c r="Z2255" s="83" t="n"/>
      <c r="AA2255" s="83" t="n"/>
      <c r="AB2255" s="83" t="n"/>
      <c r="AC2255" s="83" t="n"/>
      <c r="AD2255" s="83" t="n"/>
      <c r="AE2255" s="83" t="n"/>
      <c r="AF2255" s="83" t="n"/>
      <c r="AG2255" s="83" t="n"/>
      <c r="AH2255" s="83" t="n"/>
      <c r="AI2255" s="83" t="n"/>
      <c r="AJ2255" s="83" t="n"/>
      <c r="AK2255" s="83" t="n"/>
      <c r="AL2255" s="83" t="n"/>
      <c r="AM2255" s="83" t="n"/>
      <c r="AN2255" s="83" t="n"/>
      <c r="AO2255" s="83" t="n"/>
      <c r="AP2255" s="83" t="n"/>
      <c r="AQ2255" s="83" t="n"/>
      <c r="AR2255" s="83" t="n"/>
    </row>
    <row r="2256">
      <c r="D2256" s="84" t="n"/>
      <c r="E2256" s="84" t="n"/>
      <c r="F2256" s="84" t="n"/>
      <c r="G2256" s="84" t="n"/>
      <c r="H2256" s="84" t="n"/>
      <c r="I2256" s="84" t="n"/>
      <c r="J2256" s="84" t="n"/>
      <c r="K2256" s="84" t="n"/>
      <c r="L2256" s="84" t="n"/>
      <c r="M2256" s="84" t="n"/>
      <c r="N2256" s="84" t="n"/>
      <c r="O2256" s="84" t="n"/>
      <c r="P2256" s="84" t="n"/>
      <c r="Q2256" s="84" t="n"/>
      <c r="R2256" s="84" t="n"/>
      <c r="S2256" s="84" t="n"/>
      <c r="T2256" s="84" t="n"/>
      <c r="U2256" s="84" t="n"/>
      <c r="V2256" s="84" t="n"/>
      <c r="W2256" s="84" t="n"/>
      <c r="X2256" s="84" t="n"/>
      <c r="Y2256" s="84" t="n"/>
      <c r="Z2256" s="84" t="n"/>
      <c r="AA2256" s="84" t="n"/>
      <c r="AB2256" s="84" t="n"/>
      <c r="AC2256" s="84" t="n"/>
      <c r="AD2256" s="84" t="n"/>
      <c r="AE2256" s="84" t="n"/>
      <c r="AF2256" s="84" t="n"/>
      <c r="AG2256" s="84" t="n"/>
      <c r="AH2256" s="84" t="n"/>
      <c r="AI2256" s="84" t="n"/>
      <c r="AJ2256" s="84" t="n"/>
      <c r="AK2256" s="84" t="n"/>
      <c r="AL2256" s="84" t="n"/>
      <c r="AM2256" s="84" t="n"/>
      <c r="AN2256" s="84" t="n"/>
      <c r="AO2256" s="84" t="n"/>
      <c r="AP2256" s="84" t="n"/>
      <c r="AQ2256" s="84" t="n"/>
      <c r="AR2256" s="84" t="n"/>
    </row>
    <row r="2257">
      <c r="D2257" s="80" t="n"/>
      <c r="E2257" s="80" t="n"/>
      <c r="F2257" s="80" t="n"/>
      <c r="G2257" s="80" t="n"/>
      <c r="H2257" s="80" t="n"/>
      <c r="I2257" s="80" t="n"/>
      <c r="J2257" s="80" t="n"/>
      <c r="K2257" s="80" t="n"/>
      <c r="L2257" s="80" t="n"/>
      <c r="M2257" s="80" t="n"/>
      <c r="N2257" s="80" t="n"/>
      <c r="O2257" s="80" t="n"/>
      <c r="P2257" s="80" t="n"/>
      <c r="Q2257" s="80" t="n"/>
      <c r="R2257" s="80" t="n"/>
      <c r="S2257" s="80" t="n"/>
      <c r="T2257" s="80" t="n"/>
      <c r="U2257" s="80" t="n"/>
      <c r="V2257" s="80" t="n"/>
      <c r="W2257" s="80" t="n"/>
      <c r="X2257" s="80" t="n"/>
      <c r="Y2257" s="80" t="n"/>
      <c r="Z2257" s="80" t="n"/>
      <c r="AA2257" s="80" t="n"/>
      <c r="AB2257" s="80" t="n"/>
      <c r="AC2257" s="80" t="n"/>
      <c r="AD2257" s="80" t="n"/>
      <c r="AE2257" s="80" t="n"/>
      <c r="AF2257" s="80" t="n"/>
      <c r="AG2257" s="80" t="n"/>
      <c r="AH2257" s="80" t="n"/>
      <c r="AI2257" s="80" t="n"/>
      <c r="AJ2257" s="80" t="n"/>
      <c r="AK2257" s="80" t="n"/>
      <c r="AL2257" s="80" t="n"/>
      <c r="AM2257" s="80" t="n"/>
      <c r="AN2257" s="80" t="n"/>
      <c r="AO2257" s="80" t="n"/>
      <c r="AP2257" s="80" t="n"/>
      <c r="AQ2257" s="80" t="n"/>
      <c r="AR2257" s="80" t="n"/>
    </row>
    <row r="2258">
      <c r="D2258" s="80" t="n"/>
      <c r="E2258" s="80" t="n"/>
      <c r="F2258" s="80" t="n"/>
      <c r="G2258" s="80" t="n"/>
      <c r="H2258" s="80" t="n"/>
      <c r="I2258" s="80" t="n"/>
      <c r="J2258" s="80" t="n"/>
      <c r="K2258" s="80" t="n"/>
      <c r="L2258" s="80" t="n"/>
      <c r="M2258" s="80" t="n"/>
      <c r="N2258" s="80" t="n"/>
      <c r="O2258" s="80" t="n"/>
      <c r="P2258" s="80" t="n"/>
      <c r="Q2258" s="80" t="n"/>
      <c r="R2258" s="80" t="n"/>
      <c r="S2258" s="80" t="n"/>
      <c r="T2258" s="80" t="n"/>
      <c r="U2258" s="80" t="n"/>
      <c r="V2258" s="80" t="n"/>
      <c r="W2258" s="80" t="n"/>
      <c r="X2258" s="80" t="n"/>
      <c r="Y2258" s="80" t="n"/>
      <c r="Z2258" s="80" t="n"/>
      <c r="AA2258" s="80" t="n"/>
      <c r="AB2258" s="80" t="n"/>
      <c r="AC2258" s="80" t="n"/>
      <c r="AD2258" s="80" t="n"/>
      <c r="AE2258" s="80" t="n"/>
      <c r="AF2258" s="80" t="n"/>
      <c r="AG2258" s="80" t="n"/>
      <c r="AH2258" s="80" t="n"/>
      <c r="AI2258" s="80" t="n"/>
      <c r="AJ2258" s="80" t="n"/>
      <c r="AK2258" s="80" t="n"/>
      <c r="AL2258" s="80" t="n"/>
      <c r="AM2258" s="80" t="n"/>
      <c r="AN2258" s="80" t="n"/>
      <c r="AO2258" s="80" t="n"/>
      <c r="AP2258" s="80" t="n"/>
      <c r="AQ2258" s="80" t="n"/>
      <c r="AR2258" s="80" t="n"/>
    </row>
    <row r="2259">
      <c r="D2259" s="80" t="n"/>
      <c r="E2259" s="80" t="n"/>
      <c r="F2259" s="80" t="n"/>
      <c r="G2259" s="80" t="n"/>
      <c r="H2259" s="80" t="n"/>
      <c r="I2259" s="80" t="n"/>
      <c r="J2259" s="80" t="n"/>
      <c r="K2259" s="80" t="n"/>
      <c r="L2259" s="80" t="n"/>
      <c r="M2259" s="80" t="n"/>
      <c r="N2259" s="80" t="n"/>
      <c r="O2259" s="80" t="n"/>
      <c r="P2259" s="80" t="n"/>
      <c r="Q2259" s="80" t="n"/>
      <c r="R2259" s="80" t="n"/>
      <c r="S2259" s="80" t="n"/>
      <c r="T2259" s="80" t="n"/>
      <c r="U2259" s="80" t="n"/>
      <c r="V2259" s="80" t="n"/>
      <c r="W2259" s="80" t="n"/>
      <c r="X2259" s="80" t="n"/>
      <c r="Y2259" s="80" t="n"/>
      <c r="Z2259" s="80" t="n"/>
      <c r="AA2259" s="80" t="n"/>
      <c r="AB2259" s="80" t="n"/>
      <c r="AC2259" s="80" t="n"/>
      <c r="AD2259" s="80" t="n"/>
      <c r="AE2259" s="80" t="n"/>
      <c r="AF2259" s="80" t="n"/>
      <c r="AG2259" s="80" t="n"/>
      <c r="AH2259" s="80" t="n"/>
      <c r="AI2259" s="80" t="n"/>
      <c r="AJ2259" s="80" t="n"/>
      <c r="AK2259" s="80" t="n"/>
      <c r="AL2259" s="80" t="n"/>
      <c r="AM2259" s="80" t="n"/>
      <c r="AN2259" s="80" t="n"/>
      <c r="AO2259" s="80" t="n"/>
      <c r="AP2259" s="80" t="n"/>
      <c r="AQ2259" s="80" t="n"/>
      <c r="AR2259" s="80" t="n"/>
    </row>
    <row r="2260">
      <c r="D2260" s="80" t="n"/>
      <c r="E2260" s="80" t="n"/>
      <c r="F2260" s="80" t="n"/>
      <c r="G2260" s="80" t="n"/>
      <c r="H2260" s="80" t="n"/>
      <c r="I2260" s="80" t="n"/>
      <c r="J2260" s="80" t="n"/>
      <c r="K2260" s="80" t="n"/>
      <c r="L2260" s="80" t="n"/>
      <c r="M2260" s="80" t="n"/>
      <c r="N2260" s="80" t="n"/>
      <c r="O2260" s="80" t="n"/>
      <c r="P2260" s="80" t="n"/>
      <c r="Q2260" s="80" t="n"/>
      <c r="R2260" s="80" t="n"/>
      <c r="S2260" s="80" t="n"/>
      <c r="T2260" s="80" t="n"/>
      <c r="U2260" s="80" t="n"/>
      <c r="V2260" s="80" t="n"/>
      <c r="W2260" s="80" t="n"/>
      <c r="X2260" s="80" t="n"/>
      <c r="Y2260" s="80" t="n"/>
      <c r="Z2260" s="80" t="n"/>
      <c r="AA2260" s="80" t="n"/>
      <c r="AB2260" s="80" t="n"/>
      <c r="AC2260" s="80" t="n"/>
      <c r="AD2260" s="80" t="n"/>
      <c r="AE2260" s="80" t="n"/>
      <c r="AF2260" s="80" t="n"/>
      <c r="AG2260" s="80" t="n"/>
      <c r="AH2260" s="80" t="n"/>
      <c r="AI2260" s="80" t="n"/>
      <c r="AJ2260" s="80" t="n"/>
      <c r="AK2260" s="80" t="n"/>
      <c r="AL2260" s="80" t="n"/>
      <c r="AM2260" s="80" t="n"/>
      <c r="AN2260" s="80" t="n"/>
      <c r="AO2260" s="80" t="n"/>
      <c r="AP2260" s="80" t="n"/>
      <c r="AQ2260" s="80" t="n"/>
      <c r="AR2260" s="80" t="n"/>
    </row>
    <row r="2261">
      <c r="A2261" s="2">
        <f>IF($A2254="","","   projections")</f>
        <v/>
      </c>
      <c r="B2261" s="41">
        <f>IF($A2254="",0,COUNT($E2262:$AR2262))</f>
        <v/>
      </c>
      <c r="C2261" s="81">
        <f>IF($B2261=0,0,MAX($E2262:$AR2262))</f>
        <v/>
      </c>
      <c r="D2261" s="82">
        <f>BDS($A2254,'Field Check'!$C$6,"headers=y","startcol=1","endcol=7","dir=h")</f>
        <v/>
      </c>
      <c r="E2261" s="83" t="n"/>
      <c r="F2261" s="83" t="n"/>
      <c r="G2261" s="83" t="n"/>
      <c r="H2261" s="83" t="n"/>
      <c r="I2261" s="83" t="n"/>
      <c r="J2261" s="83" t="n"/>
      <c r="K2261" s="83" t="n"/>
      <c r="L2261" s="83" t="n"/>
      <c r="M2261" s="83" t="n"/>
      <c r="N2261" s="83" t="n"/>
      <c r="O2261" s="83" t="n"/>
      <c r="P2261" s="83" t="n"/>
      <c r="Q2261" s="83" t="n"/>
      <c r="R2261" s="83" t="n"/>
      <c r="S2261" s="83" t="n"/>
      <c r="T2261" s="83" t="n"/>
      <c r="U2261" s="83" t="n"/>
      <c r="V2261" s="83" t="n"/>
      <c r="W2261" s="83" t="n"/>
      <c r="X2261" s="83" t="n"/>
      <c r="Y2261" s="83" t="n"/>
      <c r="Z2261" s="83" t="n"/>
      <c r="AA2261" s="83" t="n"/>
      <c r="AB2261" s="83" t="n"/>
      <c r="AC2261" s="83" t="n"/>
      <c r="AD2261" s="83" t="n"/>
      <c r="AE2261" s="83" t="n"/>
      <c r="AF2261" s="83" t="n"/>
      <c r="AG2261" s="83" t="n"/>
      <c r="AH2261" s="83" t="n"/>
      <c r="AI2261" s="83" t="n"/>
      <c r="AJ2261" s="83" t="n"/>
      <c r="AK2261" s="83" t="n"/>
      <c r="AL2261" s="83" t="n"/>
      <c r="AM2261" s="83" t="n"/>
      <c r="AN2261" s="83" t="n"/>
      <c r="AO2261" s="83" t="n"/>
      <c r="AP2261" s="83" t="n"/>
      <c r="AQ2261" s="83" t="n"/>
      <c r="AR2261" s="83" t="n"/>
    </row>
    <row r="2262">
      <c r="D2262" s="83" t="n"/>
      <c r="E2262" s="83" t="n"/>
      <c r="F2262" s="83" t="n"/>
      <c r="G2262" s="83" t="n"/>
      <c r="H2262" s="83" t="n"/>
      <c r="I2262" s="83" t="n"/>
      <c r="J2262" s="83" t="n"/>
      <c r="K2262" s="83" t="n"/>
      <c r="L2262" s="83" t="n"/>
      <c r="M2262" s="83" t="n"/>
      <c r="N2262" s="83" t="n"/>
      <c r="O2262" s="83" t="n"/>
      <c r="P2262" s="83" t="n"/>
      <c r="Q2262" s="83" t="n"/>
      <c r="R2262" s="83" t="n"/>
      <c r="S2262" s="83" t="n"/>
      <c r="T2262" s="83" t="n"/>
      <c r="U2262" s="83" t="n"/>
      <c r="V2262" s="83" t="n"/>
      <c r="W2262" s="83" t="n"/>
      <c r="X2262" s="83" t="n"/>
      <c r="Y2262" s="83" t="n"/>
      <c r="Z2262" s="83" t="n"/>
      <c r="AA2262" s="83" t="n"/>
      <c r="AB2262" s="83" t="n"/>
      <c r="AC2262" s="83" t="n"/>
      <c r="AD2262" s="83" t="n"/>
      <c r="AE2262" s="83" t="n"/>
      <c r="AF2262" s="83" t="n"/>
      <c r="AG2262" s="83" t="n"/>
      <c r="AH2262" s="83" t="n"/>
      <c r="AI2262" s="83" t="n"/>
      <c r="AJ2262" s="83" t="n"/>
      <c r="AK2262" s="83" t="n"/>
      <c r="AL2262" s="83" t="n"/>
      <c r="AM2262" s="83" t="n"/>
      <c r="AN2262" s="83" t="n"/>
      <c r="AO2262" s="83" t="n"/>
      <c r="AP2262" s="83" t="n"/>
      <c r="AQ2262" s="83" t="n"/>
      <c r="AR2262" s="83" t="n"/>
    </row>
    <row r="2263">
      <c r="D2263" s="84" t="n"/>
      <c r="E2263" s="84" t="n"/>
      <c r="F2263" s="84" t="n"/>
      <c r="G2263" s="84" t="n"/>
      <c r="H2263" s="84" t="n"/>
      <c r="I2263" s="84" t="n"/>
      <c r="J2263" s="84" t="n"/>
      <c r="K2263" s="84" t="n"/>
      <c r="L2263" s="84" t="n"/>
      <c r="M2263" s="84" t="n"/>
      <c r="N2263" s="84" t="n"/>
      <c r="O2263" s="84" t="n"/>
      <c r="P2263" s="84" t="n"/>
      <c r="Q2263" s="84" t="n"/>
      <c r="R2263" s="84" t="n"/>
      <c r="S2263" s="84" t="n"/>
      <c r="T2263" s="84" t="n"/>
      <c r="U2263" s="84" t="n"/>
      <c r="V2263" s="84" t="n"/>
      <c r="W2263" s="84" t="n"/>
      <c r="X2263" s="84" t="n"/>
      <c r="Y2263" s="84" t="n"/>
      <c r="Z2263" s="84" t="n"/>
      <c r="AA2263" s="84" t="n"/>
      <c r="AB2263" s="84" t="n"/>
      <c r="AC2263" s="84" t="n"/>
      <c r="AD2263" s="84" t="n"/>
      <c r="AE2263" s="84" t="n"/>
      <c r="AF2263" s="84" t="n"/>
      <c r="AG2263" s="84" t="n"/>
      <c r="AH2263" s="84" t="n"/>
      <c r="AI2263" s="84" t="n"/>
      <c r="AJ2263" s="84" t="n"/>
      <c r="AK2263" s="84" t="n"/>
      <c r="AL2263" s="84" t="n"/>
      <c r="AM2263" s="84" t="n"/>
      <c r="AN2263" s="84" t="n"/>
      <c r="AO2263" s="84" t="n"/>
      <c r="AP2263" s="84" t="n"/>
      <c r="AQ2263" s="84" t="n"/>
      <c r="AR2263" s="84" t="n"/>
    </row>
    <row r="2264">
      <c r="D2264" s="80" t="n"/>
      <c r="E2264" s="80" t="n"/>
      <c r="F2264" s="80" t="n"/>
      <c r="G2264" s="80" t="n"/>
      <c r="H2264" s="80" t="n"/>
      <c r="I2264" s="80" t="n"/>
      <c r="J2264" s="80" t="n"/>
      <c r="K2264" s="80" t="n"/>
      <c r="L2264" s="80" t="n"/>
      <c r="M2264" s="80" t="n"/>
      <c r="N2264" s="80" t="n"/>
      <c r="O2264" s="80" t="n"/>
      <c r="P2264" s="80" t="n"/>
      <c r="Q2264" s="80" t="n"/>
      <c r="R2264" s="80" t="n"/>
      <c r="S2264" s="80" t="n"/>
      <c r="T2264" s="80" t="n"/>
      <c r="U2264" s="80" t="n"/>
      <c r="V2264" s="80" t="n"/>
      <c r="W2264" s="80" t="n"/>
      <c r="X2264" s="80" t="n"/>
      <c r="Y2264" s="80" t="n"/>
      <c r="Z2264" s="80" t="n"/>
      <c r="AA2264" s="80" t="n"/>
      <c r="AB2264" s="80" t="n"/>
      <c r="AC2264" s="80" t="n"/>
      <c r="AD2264" s="80" t="n"/>
      <c r="AE2264" s="80" t="n"/>
      <c r="AF2264" s="80" t="n"/>
      <c r="AG2264" s="80" t="n"/>
      <c r="AH2264" s="80" t="n"/>
      <c r="AI2264" s="80" t="n"/>
      <c r="AJ2264" s="80" t="n"/>
      <c r="AK2264" s="80" t="n"/>
      <c r="AL2264" s="80" t="n"/>
      <c r="AM2264" s="80" t="n"/>
      <c r="AN2264" s="80" t="n"/>
      <c r="AO2264" s="80" t="n"/>
      <c r="AP2264" s="80" t="n"/>
      <c r="AQ2264" s="80" t="n"/>
      <c r="AR2264" s="80" t="n"/>
    </row>
    <row r="2265">
      <c r="D2265" s="80" t="n"/>
      <c r="E2265" s="80" t="n"/>
      <c r="F2265" s="80" t="n"/>
      <c r="G2265" s="80" t="n"/>
      <c r="H2265" s="80" t="n"/>
      <c r="I2265" s="80" t="n"/>
      <c r="J2265" s="80" t="n"/>
      <c r="K2265" s="80" t="n"/>
      <c r="L2265" s="80" t="n"/>
      <c r="M2265" s="80" t="n"/>
      <c r="N2265" s="80" t="n"/>
      <c r="O2265" s="80" t="n"/>
      <c r="P2265" s="80" t="n"/>
      <c r="Q2265" s="80" t="n"/>
      <c r="R2265" s="80" t="n"/>
      <c r="S2265" s="80" t="n"/>
      <c r="T2265" s="80" t="n"/>
      <c r="U2265" s="80" t="n"/>
      <c r="V2265" s="80" t="n"/>
      <c r="W2265" s="80" t="n"/>
      <c r="X2265" s="80" t="n"/>
      <c r="Y2265" s="80" t="n"/>
      <c r="Z2265" s="80" t="n"/>
      <c r="AA2265" s="80" t="n"/>
      <c r="AB2265" s="80" t="n"/>
      <c r="AC2265" s="80" t="n"/>
      <c r="AD2265" s="80" t="n"/>
      <c r="AE2265" s="80" t="n"/>
      <c r="AF2265" s="80" t="n"/>
      <c r="AG2265" s="80" t="n"/>
      <c r="AH2265" s="80" t="n"/>
      <c r="AI2265" s="80" t="n"/>
      <c r="AJ2265" s="80" t="n"/>
      <c r="AK2265" s="80" t="n"/>
      <c r="AL2265" s="80" t="n"/>
      <c r="AM2265" s="80" t="n"/>
      <c r="AN2265" s="80" t="n"/>
      <c r="AO2265" s="80" t="n"/>
      <c r="AP2265" s="80" t="n"/>
      <c r="AQ2265" s="80" t="n"/>
      <c r="AR2265" s="80" t="n"/>
    </row>
    <row r="2266">
      <c r="D2266" s="80" t="n"/>
      <c r="E2266" s="80" t="n"/>
      <c r="F2266" s="80" t="n"/>
      <c r="G2266" s="80" t="n"/>
      <c r="H2266" s="80" t="n"/>
      <c r="I2266" s="80" t="n"/>
      <c r="J2266" s="80" t="n"/>
      <c r="K2266" s="80" t="n"/>
      <c r="L2266" s="80" t="n"/>
      <c r="M2266" s="80" t="n"/>
      <c r="N2266" s="80" t="n"/>
      <c r="O2266" s="80" t="n"/>
      <c r="P2266" s="80" t="n"/>
      <c r="Q2266" s="80" t="n"/>
      <c r="R2266" s="80" t="n"/>
      <c r="S2266" s="80" t="n"/>
      <c r="T2266" s="80" t="n"/>
      <c r="U2266" s="80" t="n"/>
      <c r="V2266" s="80" t="n"/>
      <c r="W2266" s="80" t="n"/>
      <c r="X2266" s="80" t="n"/>
      <c r="Y2266" s="80" t="n"/>
      <c r="Z2266" s="80" t="n"/>
      <c r="AA2266" s="80" t="n"/>
      <c r="AB2266" s="80" t="n"/>
      <c r="AC2266" s="80" t="n"/>
      <c r="AD2266" s="80" t="n"/>
      <c r="AE2266" s="80" t="n"/>
      <c r="AF2266" s="80" t="n"/>
      <c r="AG2266" s="80" t="n"/>
      <c r="AH2266" s="80" t="n"/>
      <c r="AI2266" s="80" t="n"/>
      <c r="AJ2266" s="80" t="n"/>
      <c r="AK2266" s="80" t="n"/>
      <c r="AL2266" s="80" t="n"/>
      <c r="AM2266" s="80" t="n"/>
      <c r="AN2266" s="80" t="n"/>
      <c r="AO2266" s="80" t="n"/>
      <c r="AP2266" s="80" t="n"/>
      <c r="AQ2266" s="80" t="n"/>
      <c r="AR2266" s="80" t="n"/>
    </row>
    <row r="2267">
      <c r="D2267" s="80" t="n"/>
      <c r="E2267" s="80" t="n"/>
      <c r="F2267" s="80" t="n"/>
      <c r="G2267" s="80" t="n"/>
      <c r="H2267" s="80" t="n"/>
      <c r="I2267" s="80" t="n"/>
      <c r="J2267" s="80" t="n"/>
      <c r="K2267" s="80" t="n"/>
      <c r="L2267" s="80" t="n"/>
      <c r="M2267" s="80" t="n"/>
      <c r="N2267" s="80" t="n"/>
      <c r="O2267" s="80" t="n"/>
      <c r="P2267" s="80" t="n"/>
      <c r="Q2267" s="80" t="n"/>
      <c r="R2267" s="80" t="n"/>
      <c r="S2267" s="80" t="n"/>
      <c r="T2267" s="80" t="n"/>
      <c r="U2267" s="80" t="n"/>
      <c r="V2267" s="80" t="n"/>
      <c r="W2267" s="80" t="n"/>
      <c r="X2267" s="80" t="n"/>
      <c r="Y2267" s="80" t="n"/>
      <c r="Z2267" s="80" t="n"/>
      <c r="AA2267" s="80" t="n"/>
      <c r="AB2267" s="80" t="n"/>
      <c r="AC2267" s="80" t="n"/>
      <c r="AD2267" s="80" t="n"/>
      <c r="AE2267" s="80" t="n"/>
      <c r="AF2267" s="80" t="n"/>
      <c r="AG2267" s="80" t="n"/>
      <c r="AH2267" s="80" t="n"/>
      <c r="AI2267" s="80" t="n"/>
      <c r="AJ2267" s="80" t="n"/>
      <c r="AK2267" s="80" t="n"/>
      <c r="AL2267" s="80" t="n"/>
      <c r="AM2267" s="80" t="n"/>
      <c r="AN2267" s="80" t="n"/>
      <c r="AO2267" s="80" t="n"/>
      <c r="AP2267" s="80" t="n"/>
      <c r="AQ2267" s="80" t="n"/>
      <c r="AR2267" s="80" t="n"/>
    </row>
    <row r="2269">
      <c r="A2269" s="6">
        <f>IF(HSCEI!$C$17="","",HSCEI!$C$17)</f>
        <v/>
      </c>
      <c r="B2269" s="41">
        <f>IF($A2269="",0,COUNT($E2270:$AR2270))</f>
        <v/>
      </c>
      <c r="C2269" s="81">
        <f>IF($B2269=0,0,MAX($E2270:$AR2270))</f>
        <v/>
      </c>
      <c r="D2269" s="82">
        <f>BDS($A2269,'Field Check'!$C$7,"headers=y","startcol=1","endcol=7","dir=h","DVD_START_DT",Summary!$C$18,"DVD_END_DT",Summary!$D$18)</f>
        <v/>
      </c>
      <c r="E2269" s="83" t="n"/>
      <c r="F2269" s="83" t="n"/>
      <c r="G2269" s="83" t="n"/>
      <c r="H2269" s="83" t="n"/>
      <c r="I2269" s="83" t="n"/>
      <c r="J2269" s="83" t="n"/>
      <c r="K2269" s="83" t="n"/>
      <c r="L2269" s="83" t="n"/>
      <c r="M2269" s="83" t="n"/>
      <c r="N2269" s="83" t="n"/>
      <c r="O2269" s="83" t="n"/>
      <c r="P2269" s="83" t="n"/>
      <c r="Q2269" s="83" t="n"/>
      <c r="R2269" s="83" t="n"/>
      <c r="S2269" s="83" t="n"/>
      <c r="T2269" s="83" t="n"/>
      <c r="U2269" s="83" t="n"/>
      <c r="V2269" s="83" t="n"/>
      <c r="W2269" s="83" t="n"/>
      <c r="X2269" s="83" t="n"/>
      <c r="Y2269" s="83" t="n"/>
      <c r="Z2269" s="83" t="n"/>
      <c r="AA2269" s="83" t="n"/>
      <c r="AB2269" s="83" t="n"/>
      <c r="AC2269" s="83" t="n"/>
      <c r="AD2269" s="83" t="n"/>
      <c r="AE2269" s="83" t="n"/>
      <c r="AF2269" s="83" t="n"/>
      <c r="AG2269" s="83" t="n"/>
      <c r="AH2269" s="83" t="n"/>
      <c r="AI2269" s="83" t="n"/>
      <c r="AJ2269" s="83" t="n"/>
      <c r="AK2269" s="83" t="n"/>
      <c r="AL2269" s="83" t="n"/>
      <c r="AM2269" s="83" t="n"/>
      <c r="AN2269" s="83" t="n"/>
      <c r="AO2269" s="83" t="n"/>
      <c r="AP2269" s="83" t="n"/>
      <c r="AQ2269" s="83" t="n"/>
      <c r="AR2269" s="83" t="n"/>
    </row>
    <row r="2270">
      <c r="D2270" s="83" t="n"/>
      <c r="E2270" s="83" t="n"/>
      <c r="F2270" s="83" t="n"/>
      <c r="G2270" s="83" t="n"/>
      <c r="H2270" s="83" t="n"/>
      <c r="I2270" s="83" t="n"/>
      <c r="J2270" s="83" t="n"/>
      <c r="K2270" s="83" t="n"/>
      <c r="L2270" s="83" t="n"/>
      <c r="M2270" s="83" t="n"/>
      <c r="N2270" s="83" t="n"/>
      <c r="O2270" s="83" t="n"/>
      <c r="P2270" s="83" t="n"/>
      <c r="Q2270" s="83" t="n"/>
      <c r="R2270" s="83" t="n"/>
      <c r="S2270" s="83" t="n"/>
      <c r="T2270" s="83" t="n"/>
      <c r="U2270" s="83" t="n"/>
      <c r="V2270" s="83" t="n"/>
      <c r="W2270" s="83" t="n"/>
      <c r="X2270" s="83" t="n"/>
      <c r="Y2270" s="83" t="n"/>
      <c r="Z2270" s="83" t="n"/>
      <c r="AA2270" s="83" t="n"/>
      <c r="AB2270" s="83" t="n"/>
      <c r="AC2270" s="83" t="n"/>
      <c r="AD2270" s="83" t="n"/>
      <c r="AE2270" s="83" t="n"/>
      <c r="AF2270" s="83" t="n"/>
      <c r="AG2270" s="83" t="n"/>
      <c r="AH2270" s="83" t="n"/>
      <c r="AI2270" s="83" t="n"/>
      <c r="AJ2270" s="83" t="n"/>
      <c r="AK2270" s="83" t="n"/>
      <c r="AL2270" s="83" t="n"/>
      <c r="AM2270" s="83" t="n"/>
      <c r="AN2270" s="83" t="n"/>
      <c r="AO2270" s="83" t="n"/>
      <c r="AP2270" s="83" t="n"/>
      <c r="AQ2270" s="83" t="n"/>
      <c r="AR2270" s="83" t="n"/>
    </row>
    <row r="2271">
      <c r="D2271" s="84" t="n"/>
      <c r="E2271" s="84" t="n"/>
      <c r="F2271" s="84" t="n"/>
      <c r="G2271" s="84" t="n"/>
      <c r="H2271" s="84" t="n"/>
      <c r="I2271" s="84" t="n"/>
      <c r="J2271" s="84" t="n"/>
      <c r="K2271" s="84" t="n"/>
      <c r="L2271" s="84" t="n"/>
      <c r="M2271" s="84" t="n"/>
      <c r="N2271" s="84" t="n"/>
      <c r="O2271" s="84" t="n"/>
      <c r="P2271" s="84" t="n"/>
      <c r="Q2271" s="84" t="n"/>
      <c r="R2271" s="84" t="n"/>
      <c r="S2271" s="84" t="n"/>
      <c r="T2271" s="84" t="n"/>
      <c r="U2271" s="84" t="n"/>
      <c r="V2271" s="84" t="n"/>
      <c r="W2271" s="84" t="n"/>
      <c r="X2271" s="84" t="n"/>
      <c r="Y2271" s="84" t="n"/>
      <c r="Z2271" s="84" t="n"/>
      <c r="AA2271" s="84" t="n"/>
      <c r="AB2271" s="84" t="n"/>
      <c r="AC2271" s="84" t="n"/>
      <c r="AD2271" s="84" t="n"/>
      <c r="AE2271" s="84" t="n"/>
      <c r="AF2271" s="84" t="n"/>
      <c r="AG2271" s="84" t="n"/>
      <c r="AH2271" s="84" t="n"/>
      <c r="AI2271" s="84" t="n"/>
      <c r="AJ2271" s="84" t="n"/>
      <c r="AK2271" s="84" t="n"/>
      <c r="AL2271" s="84" t="n"/>
      <c r="AM2271" s="84" t="n"/>
      <c r="AN2271" s="84" t="n"/>
      <c r="AO2271" s="84" t="n"/>
      <c r="AP2271" s="84" t="n"/>
      <c r="AQ2271" s="84" t="n"/>
      <c r="AR2271" s="84" t="n"/>
    </row>
    <row r="2272">
      <c r="D2272" s="80" t="n"/>
      <c r="E2272" s="80" t="n"/>
      <c r="F2272" s="80" t="n"/>
      <c r="G2272" s="80" t="n"/>
      <c r="H2272" s="80" t="n"/>
      <c r="I2272" s="80" t="n"/>
      <c r="J2272" s="80" t="n"/>
      <c r="K2272" s="80" t="n"/>
      <c r="L2272" s="80" t="n"/>
      <c r="M2272" s="80" t="n"/>
      <c r="N2272" s="80" t="n"/>
      <c r="O2272" s="80" t="n"/>
      <c r="P2272" s="80" t="n"/>
      <c r="Q2272" s="80" t="n"/>
      <c r="R2272" s="80" t="n"/>
      <c r="S2272" s="80" t="n"/>
      <c r="T2272" s="80" t="n"/>
      <c r="U2272" s="80" t="n"/>
      <c r="V2272" s="80" t="n"/>
      <c r="W2272" s="80" t="n"/>
      <c r="X2272" s="80" t="n"/>
      <c r="Y2272" s="80" t="n"/>
      <c r="Z2272" s="80" t="n"/>
      <c r="AA2272" s="80" t="n"/>
      <c r="AB2272" s="80" t="n"/>
      <c r="AC2272" s="80" t="n"/>
      <c r="AD2272" s="80" t="n"/>
      <c r="AE2272" s="80" t="n"/>
      <c r="AF2272" s="80" t="n"/>
      <c r="AG2272" s="80" t="n"/>
      <c r="AH2272" s="80" t="n"/>
      <c r="AI2272" s="80" t="n"/>
      <c r="AJ2272" s="80" t="n"/>
      <c r="AK2272" s="80" t="n"/>
      <c r="AL2272" s="80" t="n"/>
      <c r="AM2272" s="80" t="n"/>
      <c r="AN2272" s="80" t="n"/>
      <c r="AO2272" s="80" t="n"/>
      <c r="AP2272" s="80" t="n"/>
      <c r="AQ2272" s="80" t="n"/>
      <c r="AR2272" s="80" t="n"/>
    </row>
    <row r="2273">
      <c r="D2273" s="80" t="n"/>
      <c r="E2273" s="80" t="n"/>
      <c r="F2273" s="80" t="n"/>
      <c r="G2273" s="80" t="n"/>
      <c r="H2273" s="80" t="n"/>
      <c r="I2273" s="80" t="n"/>
      <c r="J2273" s="80" t="n"/>
      <c r="K2273" s="80" t="n"/>
      <c r="L2273" s="80" t="n"/>
      <c r="M2273" s="80" t="n"/>
      <c r="N2273" s="80" t="n"/>
      <c r="O2273" s="80" t="n"/>
      <c r="P2273" s="80" t="n"/>
      <c r="Q2273" s="80" t="n"/>
      <c r="R2273" s="80" t="n"/>
      <c r="S2273" s="80" t="n"/>
      <c r="T2273" s="80" t="n"/>
      <c r="U2273" s="80" t="n"/>
      <c r="V2273" s="80" t="n"/>
      <c r="W2273" s="80" t="n"/>
      <c r="X2273" s="80" t="n"/>
      <c r="Y2273" s="80" t="n"/>
      <c r="Z2273" s="80" t="n"/>
      <c r="AA2273" s="80" t="n"/>
      <c r="AB2273" s="80" t="n"/>
      <c r="AC2273" s="80" t="n"/>
      <c r="AD2273" s="80" t="n"/>
      <c r="AE2273" s="80" t="n"/>
      <c r="AF2273" s="80" t="n"/>
      <c r="AG2273" s="80" t="n"/>
      <c r="AH2273" s="80" t="n"/>
      <c r="AI2273" s="80" t="n"/>
      <c r="AJ2273" s="80" t="n"/>
      <c r="AK2273" s="80" t="n"/>
      <c r="AL2273" s="80" t="n"/>
      <c r="AM2273" s="80" t="n"/>
      <c r="AN2273" s="80" t="n"/>
      <c r="AO2273" s="80" t="n"/>
      <c r="AP2273" s="80" t="n"/>
      <c r="AQ2273" s="80" t="n"/>
      <c r="AR2273" s="80" t="n"/>
    </row>
    <row r="2274">
      <c r="D2274" s="80" t="n"/>
      <c r="E2274" s="80" t="n"/>
      <c r="F2274" s="80" t="n"/>
      <c r="G2274" s="80" t="n"/>
      <c r="H2274" s="80" t="n"/>
      <c r="I2274" s="80" t="n"/>
      <c r="J2274" s="80" t="n"/>
      <c r="K2274" s="80" t="n"/>
      <c r="L2274" s="80" t="n"/>
      <c r="M2274" s="80" t="n"/>
      <c r="N2274" s="80" t="n"/>
      <c r="O2274" s="80" t="n"/>
      <c r="P2274" s="80" t="n"/>
      <c r="Q2274" s="80" t="n"/>
      <c r="R2274" s="80" t="n"/>
      <c r="S2274" s="80" t="n"/>
      <c r="T2274" s="80" t="n"/>
      <c r="U2274" s="80" t="n"/>
      <c r="V2274" s="80" t="n"/>
      <c r="W2274" s="80" t="n"/>
      <c r="X2274" s="80" t="n"/>
      <c r="Y2274" s="80" t="n"/>
      <c r="Z2274" s="80" t="n"/>
      <c r="AA2274" s="80" t="n"/>
      <c r="AB2274" s="80" t="n"/>
      <c r="AC2274" s="80" t="n"/>
      <c r="AD2274" s="80" t="n"/>
      <c r="AE2274" s="80" t="n"/>
      <c r="AF2274" s="80" t="n"/>
      <c r="AG2274" s="80" t="n"/>
      <c r="AH2274" s="80" t="n"/>
      <c r="AI2274" s="80" t="n"/>
      <c r="AJ2274" s="80" t="n"/>
      <c r="AK2274" s="80" t="n"/>
      <c r="AL2274" s="80" t="n"/>
      <c r="AM2274" s="80" t="n"/>
      <c r="AN2274" s="80" t="n"/>
      <c r="AO2274" s="80" t="n"/>
      <c r="AP2274" s="80" t="n"/>
      <c r="AQ2274" s="80" t="n"/>
      <c r="AR2274" s="80" t="n"/>
    </row>
    <row r="2275">
      <c r="D2275" s="80" t="n"/>
      <c r="E2275" s="80" t="n"/>
      <c r="F2275" s="80" t="n"/>
      <c r="G2275" s="80" t="n"/>
      <c r="H2275" s="80" t="n"/>
      <c r="I2275" s="80" t="n"/>
      <c r="J2275" s="80" t="n"/>
      <c r="K2275" s="80" t="n"/>
      <c r="L2275" s="80" t="n"/>
      <c r="M2275" s="80" t="n"/>
      <c r="N2275" s="80" t="n"/>
      <c r="O2275" s="80" t="n"/>
      <c r="P2275" s="80" t="n"/>
      <c r="Q2275" s="80" t="n"/>
      <c r="R2275" s="80" t="n"/>
      <c r="S2275" s="80" t="n"/>
      <c r="T2275" s="80" t="n"/>
      <c r="U2275" s="80" t="n"/>
      <c r="V2275" s="80" t="n"/>
      <c r="W2275" s="80" t="n"/>
      <c r="X2275" s="80" t="n"/>
      <c r="Y2275" s="80" t="n"/>
      <c r="Z2275" s="80" t="n"/>
      <c r="AA2275" s="80" t="n"/>
      <c r="AB2275" s="80" t="n"/>
      <c r="AC2275" s="80" t="n"/>
      <c r="AD2275" s="80" t="n"/>
      <c r="AE2275" s="80" t="n"/>
      <c r="AF2275" s="80" t="n"/>
      <c r="AG2275" s="80" t="n"/>
      <c r="AH2275" s="80" t="n"/>
      <c r="AI2275" s="80" t="n"/>
      <c r="AJ2275" s="80" t="n"/>
      <c r="AK2275" s="80" t="n"/>
      <c r="AL2275" s="80" t="n"/>
      <c r="AM2275" s="80" t="n"/>
      <c r="AN2275" s="80" t="n"/>
      <c r="AO2275" s="80" t="n"/>
      <c r="AP2275" s="80" t="n"/>
      <c r="AQ2275" s="80" t="n"/>
      <c r="AR2275" s="80" t="n"/>
    </row>
    <row r="2276">
      <c r="A2276" s="2">
        <f>IF($A2269="","","   projections")</f>
        <v/>
      </c>
      <c r="B2276" s="41">
        <f>IF($A2269="",0,COUNT($E2277:$AR2277))</f>
        <v/>
      </c>
      <c r="C2276" s="81">
        <f>IF($B2276=0,0,MAX($E2277:$AR2277))</f>
        <v/>
      </c>
      <c r="D2276" s="82">
        <f>BDS($A2269,'Field Check'!$C$6,"headers=y","startcol=1","endcol=7","dir=h")</f>
        <v/>
      </c>
      <c r="E2276" s="83" t="n"/>
      <c r="F2276" s="83" t="n"/>
      <c r="G2276" s="83" t="n"/>
      <c r="H2276" s="83" t="n"/>
      <c r="I2276" s="83" t="n"/>
      <c r="J2276" s="83" t="n"/>
      <c r="K2276" s="83" t="n"/>
      <c r="L2276" s="83" t="n"/>
      <c r="M2276" s="83" t="n"/>
      <c r="N2276" s="83" t="n"/>
      <c r="O2276" s="83" t="n"/>
      <c r="P2276" s="83" t="n"/>
      <c r="Q2276" s="83" t="n"/>
      <c r="R2276" s="83" t="n"/>
      <c r="S2276" s="83" t="n"/>
      <c r="T2276" s="83" t="n"/>
      <c r="U2276" s="83" t="n"/>
      <c r="V2276" s="83" t="n"/>
      <c r="W2276" s="83" t="n"/>
      <c r="X2276" s="83" t="n"/>
      <c r="Y2276" s="83" t="n"/>
      <c r="Z2276" s="83" t="n"/>
      <c r="AA2276" s="83" t="n"/>
      <c r="AB2276" s="83" t="n"/>
      <c r="AC2276" s="83" t="n"/>
      <c r="AD2276" s="83" t="n"/>
      <c r="AE2276" s="83" t="n"/>
      <c r="AF2276" s="83" t="n"/>
      <c r="AG2276" s="83" t="n"/>
      <c r="AH2276" s="83" t="n"/>
      <c r="AI2276" s="83" t="n"/>
      <c r="AJ2276" s="83" t="n"/>
      <c r="AK2276" s="83" t="n"/>
      <c r="AL2276" s="83" t="n"/>
      <c r="AM2276" s="83" t="n"/>
      <c r="AN2276" s="83" t="n"/>
      <c r="AO2276" s="83" t="n"/>
      <c r="AP2276" s="83" t="n"/>
      <c r="AQ2276" s="83" t="n"/>
      <c r="AR2276" s="83" t="n"/>
    </row>
    <row r="2277">
      <c r="D2277" s="83" t="n"/>
      <c r="E2277" s="83" t="n"/>
      <c r="F2277" s="83" t="n"/>
      <c r="G2277" s="83" t="n"/>
      <c r="H2277" s="83" t="n"/>
      <c r="I2277" s="83" t="n"/>
      <c r="J2277" s="83" t="n"/>
      <c r="K2277" s="83" t="n"/>
      <c r="L2277" s="83" t="n"/>
      <c r="M2277" s="83" t="n"/>
      <c r="N2277" s="83" t="n"/>
      <c r="O2277" s="83" t="n"/>
      <c r="P2277" s="83" t="n"/>
      <c r="Q2277" s="83" t="n"/>
      <c r="R2277" s="83" t="n"/>
      <c r="S2277" s="83" t="n"/>
      <c r="T2277" s="83" t="n"/>
      <c r="U2277" s="83" t="n"/>
      <c r="V2277" s="83" t="n"/>
      <c r="W2277" s="83" t="n"/>
      <c r="X2277" s="83" t="n"/>
      <c r="Y2277" s="83" t="n"/>
      <c r="Z2277" s="83" t="n"/>
      <c r="AA2277" s="83" t="n"/>
      <c r="AB2277" s="83" t="n"/>
      <c r="AC2277" s="83" t="n"/>
      <c r="AD2277" s="83" t="n"/>
      <c r="AE2277" s="83" t="n"/>
      <c r="AF2277" s="83" t="n"/>
      <c r="AG2277" s="83" t="n"/>
      <c r="AH2277" s="83" t="n"/>
      <c r="AI2277" s="83" t="n"/>
      <c r="AJ2277" s="83" t="n"/>
      <c r="AK2277" s="83" t="n"/>
      <c r="AL2277" s="83" t="n"/>
      <c r="AM2277" s="83" t="n"/>
      <c r="AN2277" s="83" t="n"/>
      <c r="AO2277" s="83" t="n"/>
      <c r="AP2277" s="83" t="n"/>
      <c r="AQ2277" s="83" t="n"/>
      <c r="AR2277" s="83" t="n"/>
    </row>
    <row r="2278">
      <c r="D2278" s="84" t="n"/>
      <c r="E2278" s="84" t="n"/>
      <c r="F2278" s="84" t="n"/>
      <c r="G2278" s="84" t="n"/>
      <c r="H2278" s="84" t="n"/>
      <c r="I2278" s="84" t="n"/>
      <c r="J2278" s="84" t="n"/>
      <c r="K2278" s="84" t="n"/>
      <c r="L2278" s="84" t="n"/>
      <c r="M2278" s="84" t="n"/>
      <c r="N2278" s="84" t="n"/>
      <c r="O2278" s="84" t="n"/>
      <c r="P2278" s="84" t="n"/>
      <c r="Q2278" s="84" t="n"/>
      <c r="R2278" s="84" t="n"/>
      <c r="S2278" s="84" t="n"/>
      <c r="T2278" s="84" t="n"/>
      <c r="U2278" s="84" t="n"/>
      <c r="V2278" s="84" t="n"/>
      <c r="W2278" s="84" t="n"/>
      <c r="X2278" s="84" t="n"/>
      <c r="Y2278" s="84" t="n"/>
      <c r="Z2278" s="84" t="n"/>
      <c r="AA2278" s="84" t="n"/>
      <c r="AB2278" s="84" t="n"/>
      <c r="AC2278" s="84" t="n"/>
      <c r="AD2278" s="84" t="n"/>
      <c r="AE2278" s="84" t="n"/>
      <c r="AF2278" s="84" t="n"/>
      <c r="AG2278" s="84" t="n"/>
      <c r="AH2278" s="84" t="n"/>
      <c r="AI2278" s="84" t="n"/>
      <c r="AJ2278" s="84" t="n"/>
      <c r="AK2278" s="84" t="n"/>
      <c r="AL2278" s="84" t="n"/>
      <c r="AM2278" s="84" t="n"/>
      <c r="AN2278" s="84" t="n"/>
      <c r="AO2278" s="84" t="n"/>
      <c r="AP2278" s="84" t="n"/>
      <c r="AQ2278" s="84" t="n"/>
      <c r="AR2278" s="84" t="n"/>
    </row>
    <row r="2279">
      <c r="D2279" s="80" t="n"/>
      <c r="E2279" s="80" t="n"/>
      <c r="F2279" s="80" t="n"/>
      <c r="G2279" s="80" t="n"/>
      <c r="H2279" s="80" t="n"/>
      <c r="I2279" s="80" t="n"/>
      <c r="J2279" s="80" t="n"/>
      <c r="K2279" s="80" t="n"/>
      <c r="L2279" s="80" t="n"/>
      <c r="M2279" s="80" t="n"/>
      <c r="N2279" s="80" t="n"/>
      <c r="O2279" s="80" t="n"/>
      <c r="P2279" s="80" t="n"/>
      <c r="Q2279" s="80" t="n"/>
      <c r="R2279" s="80" t="n"/>
      <c r="S2279" s="80" t="n"/>
      <c r="T2279" s="80" t="n"/>
      <c r="U2279" s="80" t="n"/>
      <c r="V2279" s="80" t="n"/>
      <c r="W2279" s="80" t="n"/>
      <c r="X2279" s="80" t="n"/>
      <c r="Y2279" s="80" t="n"/>
      <c r="Z2279" s="80" t="n"/>
      <c r="AA2279" s="80" t="n"/>
      <c r="AB2279" s="80" t="n"/>
      <c r="AC2279" s="80" t="n"/>
      <c r="AD2279" s="80" t="n"/>
      <c r="AE2279" s="80" t="n"/>
      <c r="AF2279" s="80" t="n"/>
      <c r="AG2279" s="80" t="n"/>
      <c r="AH2279" s="80" t="n"/>
      <c r="AI2279" s="80" t="n"/>
      <c r="AJ2279" s="80" t="n"/>
      <c r="AK2279" s="80" t="n"/>
      <c r="AL2279" s="80" t="n"/>
      <c r="AM2279" s="80" t="n"/>
      <c r="AN2279" s="80" t="n"/>
      <c r="AO2279" s="80" t="n"/>
      <c r="AP2279" s="80" t="n"/>
      <c r="AQ2279" s="80" t="n"/>
      <c r="AR2279" s="80" t="n"/>
    </row>
    <row r="2280">
      <c r="D2280" s="80" t="n"/>
      <c r="E2280" s="80" t="n"/>
      <c r="F2280" s="80" t="n"/>
      <c r="G2280" s="80" t="n"/>
      <c r="H2280" s="80" t="n"/>
      <c r="I2280" s="80" t="n"/>
      <c r="J2280" s="80" t="n"/>
      <c r="K2280" s="80" t="n"/>
      <c r="L2280" s="80" t="n"/>
      <c r="M2280" s="80" t="n"/>
      <c r="N2280" s="80" t="n"/>
      <c r="O2280" s="80" t="n"/>
      <c r="P2280" s="80" t="n"/>
      <c r="Q2280" s="80" t="n"/>
      <c r="R2280" s="80" t="n"/>
      <c r="S2280" s="80" t="n"/>
      <c r="T2280" s="80" t="n"/>
      <c r="U2280" s="80" t="n"/>
      <c r="V2280" s="80" t="n"/>
      <c r="W2280" s="80" t="n"/>
      <c r="X2280" s="80" t="n"/>
      <c r="Y2280" s="80" t="n"/>
      <c r="Z2280" s="80" t="n"/>
      <c r="AA2280" s="80" t="n"/>
      <c r="AB2280" s="80" t="n"/>
      <c r="AC2280" s="80" t="n"/>
      <c r="AD2280" s="80" t="n"/>
      <c r="AE2280" s="80" t="n"/>
      <c r="AF2280" s="80" t="n"/>
      <c r="AG2280" s="80" t="n"/>
      <c r="AH2280" s="80" t="n"/>
      <c r="AI2280" s="80" t="n"/>
      <c r="AJ2280" s="80" t="n"/>
      <c r="AK2280" s="80" t="n"/>
      <c r="AL2280" s="80" t="n"/>
      <c r="AM2280" s="80" t="n"/>
      <c r="AN2280" s="80" t="n"/>
      <c r="AO2280" s="80" t="n"/>
      <c r="AP2280" s="80" t="n"/>
      <c r="AQ2280" s="80" t="n"/>
      <c r="AR2280" s="80" t="n"/>
    </row>
    <row r="2281">
      <c r="D2281" s="80" t="n"/>
      <c r="E2281" s="80" t="n"/>
      <c r="F2281" s="80" t="n"/>
      <c r="G2281" s="80" t="n"/>
      <c r="H2281" s="80" t="n"/>
      <c r="I2281" s="80" t="n"/>
      <c r="J2281" s="80" t="n"/>
      <c r="K2281" s="80" t="n"/>
      <c r="L2281" s="80" t="n"/>
      <c r="M2281" s="80" t="n"/>
      <c r="N2281" s="80" t="n"/>
      <c r="O2281" s="80" t="n"/>
      <c r="P2281" s="80" t="n"/>
      <c r="Q2281" s="80" t="n"/>
      <c r="R2281" s="80" t="n"/>
      <c r="S2281" s="80" t="n"/>
      <c r="T2281" s="80" t="n"/>
      <c r="U2281" s="80" t="n"/>
      <c r="V2281" s="80" t="n"/>
      <c r="W2281" s="80" t="n"/>
      <c r="X2281" s="80" t="n"/>
      <c r="Y2281" s="80" t="n"/>
      <c r="Z2281" s="80" t="n"/>
      <c r="AA2281" s="80" t="n"/>
      <c r="AB2281" s="80" t="n"/>
      <c r="AC2281" s="80" t="n"/>
      <c r="AD2281" s="80" t="n"/>
      <c r="AE2281" s="80" t="n"/>
      <c r="AF2281" s="80" t="n"/>
      <c r="AG2281" s="80" t="n"/>
      <c r="AH2281" s="80" t="n"/>
      <c r="AI2281" s="80" t="n"/>
      <c r="AJ2281" s="80" t="n"/>
      <c r="AK2281" s="80" t="n"/>
      <c r="AL2281" s="80" t="n"/>
      <c r="AM2281" s="80" t="n"/>
      <c r="AN2281" s="80" t="n"/>
      <c r="AO2281" s="80" t="n"/>
      <c r="AP2281" s="80" t="n"/>
      <c r="AQ2281" s="80" t="n"/>
      <c r="AR2281" s="80" t="n"/>
    </row>
    <row r="2282">
      <c r="D2282" s="80" t="n"/>
      <c r="E2282" s="80" t="n"/>
      <c r="F2282" s="80" t="n"/>
      <c r="G2282" s="80" t="n"/>
      <c r="H2282" s="80" t="n"/>
      <c r="I2282" s="80" t="n"/>
      <c r="J2282" s="80" t="n"/>
      <c r="K2282" s="80" t="n"/>
      <c r="L2282" s="80" t="n"/>
      <c r="M2282" s="80" t="n"/>
      <c r="N2282" s="80" t="n"/>
      <c r="O2282" s="80" t="n"/>
      <c r="P2282" s="80" t="n"/>
      <c r="Q2282" s="80" t="n"/>
      <c r="R2282" s="80" t="n"/>
      <c r="S2282" s="80" t="n"/>
      <c r="T2282" s="80" t="n"/>
      <c r="U2282" s="80" t="n"/>
      <c r="V2282" s="80" t="n"/>
      <c r="W2282" s="80" t="n"/>
      <c r="X2282" s="80" t="n"/>
      <c r="Y2282" s="80" t="n"/>
      <c r="Z2282" s="80" t="n"/>
      <c r="AA2282" s="80" t="n"/>
      <c r="AB2282" s="80" t="n"/>
      <c r="AC2282" s="80" t="n"/>
      <c r="AD2282" s="80" t="n"/>
      <c r="AE2282" s="80" t="n"/>
      <c r="AF2282" s="80" t="n"/>
      <c r="AG2282" s="80" t="n"/>
      <c r="AH2282" s="80" t="n"/>
      <c r="AI2282" s="80" t="n"/>
      <c r="AJ2282" s="80" t="n"/>
      <c r="AK2282" s="80" t="n"/>
      <c r="AL2282" s="80" t="n"/>
      <c r="AM2282" s="80" t="n"/>
      <c r="AN2282" s="80" t="n"/>
      <c r="AO2282" s="80" t="n"/>
      <c r="AP2282" s="80" t="n"/>
      <c r="AQ2282" s="80" t="n"/>
      <c r="AR2282" s="80" t="n"/>
    </row>
    <row r="2284">
      <c r="A2284" s="6">
        <f>IF(HSCEI!$C$18="","",HSCEI!$C$18)</f>
        <v/>
      </c>
      <c r="B2284" s="41">
        <f>IF($A2284="",0,COUNT($E2285:$AR2285))</f>
        <v/>
      </c>
      <c r="C2284" s="81">
        <f>IF($B2284=0,0,MAX($E2285:$AR2285))</f>
        <v/>
      </c>
      <c r="D2284" s="82">
        <f>BDS($A2284,'Field Check'!$C$7,"headers=y","startcol=1","endcol=7","dir=h","DVD_START_DT",Summary!$C$18,"DVD_END_DT",Summary!$D$18)</f>
        <v/>
      </c>
      <c r="E2284" s="83" t="n"/>
      <c r="F2284" s="83" t="n"/>
      <c r="G2284" s="83" t="n"/>
      <c r="H2284" s="83" t="n"/>
      <c r="I2284" s="83" t="n"/>
      <c r="J2284" s="83" t="n"/>
      <c r="K2284" s="83" t="n"/>
      <c r="L2284" s="83" t="n"/>
      <c r="M2284" s="83" t="n"/>
      <c r="N2284" s="83" t="n"/>
      <c r="O2284" s="83" t="n"/>
      <c r="P2284" s="83" t="n"/>
      <c r="Q2284" s="83" t="n"/>
      <c r="R2284" s="83" t="n"/>
      <c r="S2284" s="83" t="n"/>
      <c r="T2284" s="83" t="n"/>
      <c r="U2284" s="83" t="n"/>
      <c r="V2284" s="83" t="n"/>
      <c r="W2284" s="83" t="n"/>
      <c r="X2284" s="83" t="n"/>
      <c r="Y2284" s="83" t="n"/>
      <c r="Z2284" s="83" t="n"/>
      <c r="AA2284" s="83" t="n"/>
      <c r="AB2284" s="83" t="n"/>
      <c r="AC2284" s="83" t="n"/>
      <c r="AD2284" s="83" t="n"/>
      <c r="AE2284" s="83" t="n"/>
      <c r="AF2284" s="83" t="n"/>
      <c r="AG2284" s="83" t="n"/>
      <c r="AH2284" s="83" t="n"/>
      <c r="AI2284" s="83" t="n"/>
      <c r="AJ2284" s="83" t="n"/>
      <c r="AK2284" s="83" t="n"/>
      <c r="AL2284" s="83" t="n"/>
      <c r="AM2284" s="83" t="n"/>
      <c r="AN2284" s="83" t="n"/>
      <c r="AO2284" s="83" t="n"/>
      <c r="AP2284" s="83" t="n"/>
      <c r="AQ2284" s="83" t="n"/>
      <c r="AR2284" s="83" t="n"/>
    </row>
    <row r="2285">
      <c r="D2285" s="83" t="n"/>
      <c r="E2285" s="83" t="n"/>
      <c r="F2285" s="83" t="n"/>
      <c r="G2285" s="83" t="n"/>
      <c r="H2285" s="83" t="n"/>
      <c r="I2285" s="83" t="n"/>
      <c r="J2285" s="83" t="n"/>
      <c r="K2285" s="83" t="n"/>
      <c r="L2285" s="83" t="n"/>
      <c r="M2285" s="83" t="n"/>
      <c r="N2285" s="83" t="n"/>
      <c r="O2285" s="83" t="n"/>
      <c r="P2285" s="83" t="n"/>
      <c r="Q2285" s="83" t="n"/>
      <c r="R2285" s="83" t="n"/>
      <c r="S2285" s="83" t="n"/>
      <c r="T2285" s="83" t="n"/>
      <c r="U2285" s="83" t="n"/>
      <c r="V2285" s="83" t="n"/>
      <c r="W2285" s="83" t="n"/>
      <c r="X2285" s="83" t="n"/>
      <c r="Y2285" s="83" t="n"/>
      <c r="Z2285" s="83" t="n"/>
      <c r="AA2285" s="83" t="n"/>
      <c r="AB2285" s="83" t="n"/>
      <c r="AC2285" s="83" t="n"/>
      <c r="AD2285" s="83" t="n"/>
      <c r="AE2285" s="83" t="n"/>
      <c r="AF2285" s="83" t="n"/>
      <c r="AG2285" s="83" t="n"/>
      <c r="AH2285" s="83" t="n"/>
      <c r="AI2285" s="83" t="n"/>
      <c r="AJ2285" s="83" t="n"/>
      <c r="AK2285" s="83" t="n"/>
      <c r="AL2285" s="83" t="n"/>
      <c r="AM2285" s="83" t="n"/>
      <c r="AN2285" s="83" t="n"/>
      <c r="AO2285" s="83" t="n"/>
      <c r="AP2285" s="83" t="n"/>
      <c r="AQ2285" s="83" t="n"/>
      <c r="AR2285" s="83" t="n"/>
    </row>
    <row r="2286">
      <c r="D2286" s="84" t="n"/>
      <c r="E2286" s="84" t="n"/>
      <c r="F2286" s="84" t="n"/>
      <c r="G2286" s="84" t="n"/>
      <c r="H2286" s="84" t="n"/>
      <c r="I2286" s="84" t="n"/>
      <c r="J2286" s="84" t="n"/>
      <c r="K2286" s="84" t="n"/>
      <c r="L2286" s="84" t="n"/>
      <c r="M2286" s="84" t="n"/>
      <c r="N2286" s="84" t="n"/>
      <c r="O2286" s="84" t="n"/>
      <c r="P2286" s="84" t="n"/>
      <c r="Q2286" s="84" t="n"/>
      <c r="R2286" s="84" t="n"/>
      <c r="S2286" s="84" t="n"/>
      <c r="T2286" s="84" t="n"/>
      <c r="U2286" s="84" t="n"/>
      <c r="V2286" s="84" t="n"/>
      <c r="W2286" s="84" t="n"/>
      <c r="X2286" s="84" t="n"/>
      <c r="Y2286" s="84" t="n"/>
      <c r="Z2286" s="84" t="n"/>
      <c r="AA2286" s="84" t="n"/>
      <c r="AB2286" s="84" t="n"/>
      <c r="AC2286" s="84" t="n"/>
      <c r="AD2286" s="84" t="n"/>
      <c r="AE2286" s="84" t="n"/>
      <c r="AF2286" s="84" t="n"/>
      <c r="AG2286" s="84" t="n"/>
      <c r="AH2286" s="84" t="n"/>
      <c r="AI2286" s="84" t="n"/>
      <c r="AJ2286" s="84" t="n"/>
      <c r="AK2286" s="84" t="n"/>
      <c r="AL2286" s="84" t="n"/>
      <c r="AM2286" s="84" t="n"/>
      <c r="AN2286" s="84" t="n"/>
      <c r="AO2286" s="84" t="n"/>
      <c r="AP2286" s="84" t="n"/>
      <c r="AQ2286" s="84" t="n"/>
      <c r="AR2286" s="84" t="n"/>
    </row>
    <row r="2287">
      <c r="D2287" s="80" t="n"/>
      <c r="E2287" s="80" t="n"/>
      <c r="F2287" s="80" t="n"/>
      <c r="G2287" s="80" t="n"/>
      <c r="H2287" s="80" t="n"/>
      <c r="I2287" s="80" t="n"/>
      <c r="J2287" s="80" t="n"/>
      <c r="K2287" s="80" t="n"/>
      <c r="L2287" s="80" t="n"/>
      <c r="M2287" s="80" t="n"/>
      <c r="N2287" s="80" t="n"/>
      <c r="O2287" s="80" t="n"/>
      <c r="P2287" s="80" t="n"/>
      <c r="Q2287" s="80" t="n"/>
      <c r="R2287" s="80" t="n"/>
      <c r="S2287" s="80" t="n"/>
      <c r="T2287" s="80" t="n"/>
      <c r="U2287" s="80" t="n"/>
      <c r="V2287" s="80" t="n"/>
      <c r="W2287" s="80" t="n"/>
      <c r="X2287" s="80" t="n"/>
      <c r="Y2287" s="80" t="n"/>
      <c r="Z2287" s="80" t="n"/>
      <c r="AA2287" s="80" t="n"/>
      <c r="AB2287" s="80" t="n"/>
      <c r="AC2287" s="80" t="n"/>
      <c r="AD2287" s="80" t="n"/>
      <c r="AE2287" s="80" t="n"/>
      <c r="AF2287" s="80" t="n"/>
      <c r="AG2287" s="80" t="n"/>
      <c r="AH2287" s="80" t="n"/>
      <c r="AI2287" s="80" t="n"/>
      <c r="AJ2287" s="80" t="n"/>
      <c r="AK2287" s="80" t="n"/>
      <c r="AL2287" s="80" t="n"/>
      <c r="AM2287" s="80" t="n"/>
      <c r="AN2287" s="80" t="n"/>
      <c r="AO2287" s="80" t="n"/>
      <c r="AP2287" s="80" t="n"/>
      <c r="AQ2287" s="80" t="n"/>
      <c r="AR2287" s="80" t="n"/>
    </row>
    <row r="2288">
      <c r="D2288" s="80" t="n"/>
      <c r="E2288" s="80" t="n"/>
      <c r="F2288" s="80" t="n"/>
      <c r="G2288" s="80" t="n"/>
      <c r="H2288" s="80" t="n"/>
      <c r="I2288" s="80" t="n"/>
      <c r="J2288" s="80" t="n"/>
      <c r="K2288" s="80" t="n"/>
      <c r="L2288" s="80" t="n"/>
      <c r="M2288" s="80" t="n"/>
      <c r="N2288" s="80" t="n"/>
      <c r="O2288" s="80" t="n"/>
      <c r="P2288" s="80" t="n"/>
      <c r="Q2288" s="80" t="n"/>
      <c r="R2288" s="80" t="n"/>
      <c r="S2288" s="80" t="n"/>
      <c r="T2288" s="80" t="n"/>
      <c r="U2288" s="80" t="n"/>
      <c r="V2288" s="80" t="n"/>
      <c r="W2288" s="80" t="n"/>
      <c r="X2288" s="80" t="n"/>
      <c r="Y2288" s="80" t="n"/>
      <c r="Z2288" s="80" t="n"/>
      <c r="AA2288" s="80" t="n"/>
      <c r="AB2288" s="80" t="n"/>
      <c r="AC2288" s="80" t="n"/>
      <c r="AD2288" s="80" t="n"/>
      <c r="AE2288" s="80" t="n"/>
      <c r="AF2288" s="80" t="n"/>
      <c r="AG2288" s="80" t="n"/>
      <c r="AH2288" s="80" t="n"/>
      <c r="AI2288" s="80" t="n"/>
      <c r="AJ2288" s="80" t="n"/>
      <c r="AK2288" s="80" t="n"/>
      <c r="AL2288" s="80" t="n"/>
      <c r="AM2288" s="80" t="n"/>
      <c r="AN2288" s="80" t="n"/>
      <c r="AO2288" s="80" t="n"/>
      <c r="AP2288" s="80" t="n"/>
      <c r="AQ2288" s="80" t="n"/>
      <c r="AR2288" s="80" t="n"/>
    </row>
    <row r="2289">
      <c r="D2289" s="80" t="n"/>
      <c r="E2289" s="80" t="n"/>
      <c r="F2289" s="80" t="n"/>
      <c r="G2289" s="80" t="n"/>
      <c r="H2289" s="80" t="n"/>
      <c r="I2289" s="80" t="n"/>
      <c r="J2289" s="80" t="n"/>
      <c r="K2289" s="80" t="n"/>
      <c r="L2289" s="80" t="n"/>
      <c r="M2289" s="80" t="n"/>
      <c r="N2289" s="80" t="n"/>
      <c r="O2289" s="80" t="n"/>
      <c r="P2289" s="80" t="n"/>
      <c r="Q2289" s="80" t="n"/>
      <c r="R2289" s="80" t="n"/>
      <c r="S2289" s="80" t="n"/>
      <c r="T2289" s="80" t="n"/>
      <c r="U2289" s="80" t="n"/>
      <c r="V2289" s="80" t="n"/>
      <c r="W2289" s="80" t="n"/>
      <c r="X2289" s="80" t="n"/>
      <c r="Y2289" s="80" t="n"/>
      <c r="Z2289" s="80" t="n"/>
      <c r="AA2289" s="80" t="n"/>
      <c r="AB2289" s="80" t="n"/>
      <c r="AC2289" s="80" t="n"/>
      <c r="AD2289" s="80" t="n"/>
      <c r="AE2289" s="80" t="n"/>
      <c r="AF2289" s="80" t="n"/>
      <c r="AG2289" s="80" t="n"/>
      <c r="AH2289" s="80" t="n"/>
      <c r="AI2289" s="80" t="n"/>
      <c r="AJ2289" s="80" t="n"/>
      <c r="AK2289" s="80" t="n"/>
      <c r="AL2289" s="80" t="n"/>
      <c r="AM2289" s="80" t="n"/>
      <c r="AN2289" s="80" t="n"/>
      <c r="AO2289" s="80" t="n"/>
      <c r="AP2289" s="80" t="n"/>
      <c r="AQ2289" s="80" t="n"/>
      <c r="AR2289" s="80" t="n"/>
    </row>
    <row r="2290">
      <c r="D2290" s="80" t="n"/>
      <c r="E2290" s="80" t="n"/>
      <c r="F2290" s="80" t="n"/>
      <c r="G2290" s="80" t="n"/>
      <c r="H2290" s="80" t="n"/>
      <c r="I2290" s="80" t="n"/>
      <c r="J2290" s="80" t="n"/>
      <c r="K2290" s="80" t="n"/>
      <c r="L2290" s="80" t="n"/>
      <c r="M2290" s="80" t="n"/>
      <c r="N2290" s="80" t="n"/>
      <c r="O2290" s="80" t="n"/>
      <c r="P2290" s="80" t="n"/>
      <c r="Q2290" s="80" t="n"/>
      <c r="R2290" s="80" t="n"/>
      <c r="S2290" s="80" t="n"/>
      <c r="T2290" s="80" t="n"/>
      <c r="U2290" s="80" t="n"/>
      <c r="V2290" s="80" t="n"/>
      <c r="W2290" s="80" t="n"/>
      <c r="X2290" s="80" t="n"/>
      <c r="Y2290" s="80" t="n"/>
      <c r="Z2290" s="80" t="n"/>
      <c r="AA2290" s="80" t="n"/>
      <c r="AB2290" s="80" t="n"/>
      <c r="AC2290" s="80" t="n"/>
      <c r="AD2290" s="80" t="n"/>
      <c r="AE2290" s="80" t="n"/>
      <c r="AF2290" s="80" t="n"/>
      <c r="AG2290" s="80" t="n"/>
      <c r="AH2290" s="80" t="n"/>
      <c r="AI2290" s="80" t="n"/>
      <c r="AJ2290" s="80" t="n"/>
      <c r="AK2290" s="80" t="n"/>
      <c r="AL2290" s="80" t="n"/>
      <c r="AM2290" s="80" t="n"/>
      <c r="AN2290" s="80" t="n"/>
      <c r="AO2290" s="80" t="n"/>
      <c r="AP2290" s="80" t="n"/>
      <c r="AQ2290" s="80" t="n"/>
      <c r="AR2290" s="80" t="n"/>
    </row>
    <row r="2291">
      <c r="A2291" s="2">
        <f>IF($A2284="","","   projections")</f>
        <v/>
      </c>
      <c r="B2291" s="41">
        <f>IF($A2284="",0,COUNT($E2292:$AR2292))</f>
        <v/>
      </c>
      <c r="C2291" s="81">
        <f>IF($B2291=0,0,MAX($E2292:$AR2292))</f>
        <v/>
      </c>
      <c r="D2291" s="82">
        <f>BDS($A2284,'Field Check'!$C$6,"headers=y","startcol=1","endcol=7","dir=h")</f>
        <v/>
      </c>
      <c r="E2291" s="83" t="n"/>
      <c r="F2291" s="83" t="n"/>
      <c r="G2291" s="83" t="n"/>
      <c r="H2291" s="83" t="n"/>
      <c r="I2291" s="83" t="n"/>
      <c r="J2291" s="83" t="n"/>
      <c r="K2291" s="83" t="n"/>
      <c r="L2291" s="83" t="n"/>
      <c r="M2291" s="83" t="n"/>
      <c r="N2291" s="83" t="n"/>
      <c r="O2291" s="83" t="n"/>
      <c r="P2291" s="83" t="n"/>
      <c r="Q2291" s="83" t="n"/>
      <c r="R2291" s="83" t="n"/>
      <c r="S2291" s="83" t="n"/>
      <c r="T2291" s="83" t="n"/>
      <c r="U2291" s="83" t="n"/>
      <c r="V2291" s="83" t="n"/>
      <c r="W2291" s="83" t="n"/>
      <c r="X2291" s="83" t="n"/>
      <c r="Y2291" s="83" t="n"/>
      <c r="Z2291" s="83" t="n"/>
      <c r="AA2291" s="83" t="n"/>
      <c r="AB2291" s="83" t="n"/>
      <c r="AC2291" s="83" t="n"/>
      <c r="AD2291" s="83" t="n"/>
      <c r="AE2291" s="83" t="n"/>
      <c r="AF2291" s="83" t="n"/>
      <c r="AG2291" s="83" t="n"/>
      <c r="AH2291" s="83" t="n"/>
      <c r="AI2291" s="83" t="n"/>
      <c r="AJ2291" s="83" t="n"/>
      <c r="AK2291" s="83" t="n"/>
      <c r="AL2291" s="83" t="n"/>
      <c r="AM2291" s="83" t="n"/>
      <c r="AN2291" s="83" t="n"/>
      <c r="AO2291" s="83" t="n"/>
      <c r="AP2291" s="83" t="n"/>
      <c r="AQ2291" s="83" t="n"/>
      <c r="AR2291" s="83" t="n"/>
    </row>
    <row r="2292">
      <c r="D2292" s="83" t="n"/>
      <c r="E2292" s="83" t="n"/>
      <c r="F2292" s="83" t="n"/>
      <c r="G2292" s="83" t="n"/>
      <c r="H2292" s="83" t="n"/>
      <c r="I2292" s="83" t="n"/>
      <c r="J2292" s="83" t="n"/>
      <c r="K2292" s="83" t="n"/>
      <c r="L2292" s="83" t="n"/>
      <c r="M2292" s="83" t="n"/>
      <c r="N2292" s="83" t="n"/>
      <c r="O2292" s="83" t="n"/>
      <c r="P2292" s="83" t="n"/>
      <c r="Q2292" s="83" t="n"/>
      <c r="R2292" s="83" t="n"/>
      <c r="S2292" s="83" t="n"/>
      <c r="T2292" s="83" t="n"/>
      <c r="U2292" s="83" t="n"/>
      <c r="V2292" s="83" t="n"/>
      <c r="W2292" s="83" t="n"/>
      <c r="X2292" s="83" t="n"/>
      <c r="Y2292" s="83" t="n"/>
      <c r="Z2292" s="83" t="n"/>
      <c r="AA2292" s="83" t="n"/>
      <c r="AB2292" s="83" t="n"/>
      <c r="AC2292" s="83" t="n"/>
      <c r="AD2292" s="83" t="n"/>
      <c r="AE2292" s="83" t="n"/>
      <c r="AF2292" s="83" t="n"/>
      <c r="AG2292" s="83" t="n"/>
      <c r="AH2292" s="83" t="n"/>
      <c r="AI2292" s="83" t="n"/>
      <c r="AJ2292" s="83" t="n"/>
      <c r="AK2292" s="83" t="n"/>
      <c r="AL2292" s="83" t="n"/>
      <c r="AM2292" s="83" t="n"/>
      <c r="AN2292" s="83" t="n"/>
      <c r="AO2292" s="83" t="n"/>
      <c r="AP2292" s="83" t="n"/>
      <c r="AQ2292" s="83" t="n"/>
      <c r="AR2292" s="83" t="n"/>
    </row>
    <row r="2293">
      <c r="D2293" s="84" t="n"/>
      <c r="E2293" s="84" t="n"/>
      <c r="F2293" s="84" t="n"/>
      <c r="G2293" s="84" t="n"/>
      <c r="H2293" s="84" t="n"/>
      <c r="I2293" s="84" t="n"/>
      <c r="J2293" s="84" t="n"/>
      <c r="K2293" s="84" t="n"/>
      <c r="L2293" s="84" t="n"/>
      <c r="M2293" s="84" t="n"/>
      <c r="N2293" s="84" t="n"/>
      <c r="O2293" s="84" t="n"/>
      <c r="P2293" s="84" t="n"/>
      <c r="Q2293" s="84" t="n"/>
      <c r="R2293" s="84" t="n"/>
      <c r="S2293" s="84" t="n"/>
      <c r="T2293" s="84" t="n"/>
      <c r="U2293" s="84" t="n"/>
      <c r="V2293" s="84" t="n"/>
      <c r="W2293" s="84" t="n"/>
      <c r="X2293" s="84" t="n"/>
      <c r="Y2293" s="84" t="n"/>
      <c r="Z2293" s="84" t="n"/>
      <c r="AA2293" s="84" t="n"/>
      <c r="AB2293" s="84" t="n"/>
      <c r="AC2293" s="84" t="n"/>
      <c r="AD2293" s="84" t="n"/>
      <c r="AE2293" s="84" t="n"/>
      <c r="AF2293" s="84" t="n"/>
      <c r="AG2293" s="84" t="n"/>
      <c r="AH2293" s="84" t="n"/>
      <c r="AI2293" s="84" t="n"/>
      <c r="AJ2293" s="84" t="n"/>
      <c r="AK2293" s="84" t="n"/>
      <c r="AL2293" s="84" t="n"/>
      <c r="AM2293" s="84" t="n"/>
      <c r="AN2293" s="84" t="n"/>
      <c r="AO2293" s="84" t="n"/>
      <c r="AP2293" s="84" t="n"/>
      <c r="AQ2293" s="84" t="n"/>
      <c r="AR2293" s="84" t="n"/>
    </row>
    <row r="2294">
      <c r="D2294" s="80" t="n"/>
      <c r="E2294" s="80" t="n"/>
      <c r="F2294" s="80" t="n"/>
      <c r="G2294" s="80" t="n"/>
      <c r="H2294" s="80" t="n"/>
      <c r="I2294" s="80" t="n"/>
      <c r="J2294" s="80" t="n"/>
      <c r="K2294" s="80" t="n"/>
      <c r="L2294" s="80" t="n"/>
      <c r="M2294" s="80" t="n"/>
      <c r="N2294" s="80" t="n"/>
      <c r="O2294" s="80" t="n"/>
      <c r="P2294" s="80" t="n"/>
      <c r="Q2294" s="80" t="n"/>
      <c r="R2294" s="80" t="n"/>
      <c r="S2294" s="80" t="n"/>
      <c r="T2294" s="80" t="n"/>
      <c r="U2294" s="80" t="n"/>
      <c r="V2294" s="80" t="n"/>
      <c r="W2294" s="80" t="n"/>
      <c r="X2294" s="80" t="n"/>
      <c r="Y2294" s="80" t="n"/>
      <c r="Z2294" s="80" t="n"/>
      <c r="AA2294" s="80" t="n"/>
      <c r="AB2294" s="80" t="n"/>
      <c r="AC2294" s="80" t="n"/>
      <c r="AD2294" s="80" t="n"/>
      <c r="AE2294" s="80" t="n"/>
      <c r="AF2294" s="80" t="n"/>
      <c r="AG2294" s="80" t="n"/>
      <c r="AH2294" s="80" t="n"/>
      <c r="AI2294" s="80" t="n"/>
      <c r="AJ2294" s="80" t="n"/>
      <c r="AK2294" s="80" t="n"/>
      <c r="AL2294" s="80" t="n"/>
      <c r="AM2294" s="80" t="n"/>
      <c r="AN2294" s="80" t="n"/>
      <c r="AO2294" s="80" t="n"/>
      <c r="AP2294" s="80" t="n"/>
      <c r="AQ2294" s="80" t="n"/>
      <c r="AR2294" s="80" t="n"/>
    </row>
    <row r="2295">
      <c r="D2295" s="80" t="n"/>
      <c r="E2295" s="80" t="n"/>
      <c r="F2295" s="80" t="n"/>
      <c r="G2295" s="80" t="n"/>
      <c r="H2295" s="80" t="n"/>
      <c r="I2295" s="80" t="n"/>
      <c r="J2295" s="80" t="n"/>
      <c r="K2295" s="80" t="n"/>
      <c r="L2295" s="80" t="n"/>
      <c r="M2295" s="80" t="n"/>
      <c r="N2295" s="80" t="n"/>
      <c r="O2295" s="80" t="n"/>
      <c r="P2295" s="80" t="n"/>
      <c r="Q2295" s="80" t="n"/>
      <c r="R2295" s="80" t="n"/>
      <c r="S2295" s="80" t="n"/>
      <c r="T2295" s="80" t="n"/>
      <c r="U2295" s="80" t="n"/>
      <c r="V2295" s="80" t="n"/>
      <c r="W2295" s="80" t="n"/>
      <c r="X2295" s="80" t="n"/>
      <c r="Y2295" s="80" t="n"/>
      <c r="Z2295" s="80" t="n"/>
      <c r="AA2295" s="80" t="n"/>
      <c r="AB2295" s="80" t="n"/>
      <c r="AC2295" s="80" t="n"/>
      <c r="AD2295" s="80" t="n"/>
      <c r="AE2295" s="80" t="n"/>
      <c r="AF2295" s="80" t="n"/>
      <c r="AG2295" s="80" t="n"/>
      <c r="AH2295" s="80" t="n"/>
      <c r="AI2295" s="80" t="n"/>
      <c r="AJ2295" s="80" t="n"/>
      <c r="AK2295" s="80" t="n"/>
      <c r="AL2295" s="80" t="n"/>
      <c r="AM2295" s="80" t="n"/>
      <c r="AN2295" s="80" t="n"/>
      <c r="AO2295" s="80" t="n"/>
      <c r="AP2295" s="80" t="n"/>
      <c r="AQ2295" s="80" t="n"/>
      <c r="AR2295" s="80" t="n"/>
    </row>
    <row r="2296">
      <c r="D2296" s="80" t="n"/>
      <c r="E2296" s="80" t="n"/>
      <c r="F2296" s="80" t="n"/>
      <c r="G2296" s="80" t="n"/>
      <c r="H2296" s="80" t="n"/>
      <c r="I2296" s="80" t="n"/>
      <c r="J2296" s="80" t="n"/>
      <c r="K2296" s="80" t="n"/>
      <c r="L2296" s="80" t="n"/>
      <c r="M2296" s="80" t="n"/>
      <c r="N2296" s="80" t="n"/>
      <c r="O2296" s="80" t="n"/>
      <c r="P2296" s="80" t="n"/>
      <c r="Q2296" s="80" t="n"/>
      <c r="R2296" s="80" t="n"/>
      <c r="S2296" s="80" t="n"/>
      <c r="T2296" s="80" t="n"/>
      <c r="U2296" s="80" t="n"/>
      <c r="V2296" s="80" t="n"/>
      <c r="W2296" s="80" t="n"/>
      <c r="X2296" s="80" t="n"/>
      <c r="Y2296" s="80" t="n"/>
      <c r="Z2296" s="80" t="n"/>
      <c r="AA2296" s="80" t="n"/>
      <c r="AB2296" s="80" t="n"/>
      <c r="AC2296" s="80" t="n"/>
      <c r="AD2296" s="80" t="n"/>
      <c r="AE2296" s="80" t="n"/>
      <c r="AF2296" s="80" t="n"/>
      <c r="AG2296" s="80" t="n"/>
      <c r="AH2296" s="80" t="n"/>
      <c r="AI2296" s="80" t="n"/>
      <c r="AJ2296" s="80" t="n"/>
      <c r="AK2296" s="80" t="n"/>
      <c r="AL2296" s="80" t="n"/>
      <c r="AM2296" s="80" t="n"/>
      <c r="AN2296" s="80" t="n"/>
      <c r="AO2296" s="80" t="n"/>
      <c r="AP2296" s="80" t="n"/>
      <c r="AQ2296" s="80" t="n"/>
      <c r="AR2296" s="80" t="n"/>
    </row>
    <row r="2297">
      <c r="D2297" s="80" t="n"/>
      <c r="E2297" s="80" t="n"/>
      <c r="F2297" s="80" t="n"/>
      <c r="G2297" s="80" t="n"/>
      <c r="H2297" s="80" t="n"/>
      <c r="I2297" s="80" t="n"/>
      <c r="J2297" s="80" t="n"/>
      <c r="K2297" s="80" t="n"/>
      <c r="L2297" s="80" t="n"/>
      <c r="M2297" s="80" t="n"/>
      <c r="N2297" s="80" t="n"/>
      <c r="O2297" s="80" t="n"/>
      <c r="P2297" s="80" t="n"/>
      <c r="Q2297" s="80" t="n"/>
      <c r="R2297" s="80" t="n"/>
      <c r="S2297" s="80" t="n"/>
      <c r="T2297" s="80" t="n"/>
      <c r="U2297" s="80" t="n"/>
      <c r="V2297" s="80" t="n"/>
      <c r="W2297" s="80" t="n"/>
      <c r="X2297" s="80" t="n"/>
      <c r="Y2297" s="80" t="n"/>
      <c r="Z2297" s="80" t="n"/>
      <c r="AA2297" s="80" t="n"/>
      <c r="AB2297" s="80" t="n"/>
      <c r="AC2297" s="80" t="n"/>
      <c r="AD2297" s="80" t="n"/>
      <c r="AE2297" s="80" t="n"/>
      <c r="AF2297" s="80" t="n"/>
      <c r="AG2297" s="80" t="n"/>
      <c r="AH2297" s="80" t="n"/>
      <c r="AI2297" s="80" t="n"/>
      <c r="AJ2297" s="80" t="n"/>
      <c r="AK2297" s="80" t="n"/>
      <c r="AL2297" s="80" t="n"/>
      <c r="AM2297" s="80" t="n"/>
      <c r="AN2297" s="80" t="n"/>
      <c r="AO2297" s="80" t="n"/>
      <c r="AP2297" s="80" t="n"/>
      <c r="AQ2297" s="80" t="n"/>
      <c r="AR2297" s="80" t="n"/>
    </row>
    <row r="2299">
      <c r="A2299" s="6">
        <f>IF(HSCEI!$C$19="","",HSCEI!$C$19)</f>
        <v/>
      </c>
      <c r="B2299" s="41">
        <f>IF($A2299="",0,COUNT($E2300:$AR2300))</f>
        <v/>
      </c>
      <c r="C2299" s="81">
        <f>IF($B2299=0,0,MAX($E2300:$AR2300))</f>
        <v/>
      </c>
      <c r="D2299" s="82">
        <f>BDS($A2299,'Field Check'!$C$7,"headers=y","startcol=1","endcol=7","dir=h","DVD_START_DT",Summary!$C$18,"DVD_END_DT",Summary!$D$18)</f>
        <v/>
      </c>
      <c r="E2299" s="83" t="n"/>
      <c r="F2299" s="83" t="n"/>
      <c r="G2299" s="83" t="n"/>
      <c r="H2299" s="83" t="n"/>
      <c r="I2299" s="83" t="n"/>
      <c r="J2299" s="83" t="n"/>
      <c r="K2299" s="83" t="n"/>
      <c r="L2299" s="83" t="n"/>
      <c r="M2299" s="83" t="n"/>
      <c r="N2299" s="83" t="n"/>
      <c r="O2299" s="83" t="n"/>
      <c r="P2299" s="83" t="n"/>
      <c r="Q2299" s="83" t="n"/>
      <c r="R2299" s="83" t="n"/>
      <c r="S2299" s="83" t="n"/>
      <c r="T2299" s="83" t="n"/>
      <c r="U2299" s="83" t="n"/>
      <c r="V2299" s="83" t="n"/>
      <c r="W2299" s="83" t="n"/>
      <c r="X2299" s="83" t="n"/>
      <c r="Y2299" s="83" t="n"/>
      <c r="Z2299" s="83" t="n"/>
      <c r="AA2299" s="83" t="n"/>
      <c r="AB2299" s="83" t="n"/>
      <c r="AC2299" s="83" t="n"/>
      <c r="AD2299" s="83" t="n"/>
      <c r="AE2299" s="83" t="n"/>
      <c r="AF2299" s="83" t="n"/>
      <c r="AG2299" s="83" t="n"/>
      <c r="AH2299" s="83" t="n"/>
      <c r="AI2299" s="83" t="n"/>
      <c r="AJ2299" s="83" t="n"/>
      <c r="AK2299" s="83" t="n"/>
      <c r="AL2299" s="83" t="n"/>
      <c r="AM2299" s="83" t="n"/>
      <c r="AN2299" s="83" t="n"/>
      <c r="AO2299" s="83" t="n"/>
      <c r="AP2299" s="83" t="n"/>
      <c r="AQ2299" s="83" t="n"/>
      <c r="AR2299" s="83" t="n"/>
    </row>
    <row r="2300">
      <c r="D2300" s="83" t="n"/>
      <c r="E2300" s="83" t="n"/>
      <c r="F2300" s="83" t="n"/>
      <c r="G2300" s="83" t="n"/>
      <c r="H2300" s="83" t="n"/>
      <c r="I2300" s="83" t="n"/>
      <c r="J2300" s="83" t="n"/>
      <c r="K2300" s="83" t="n"/>
      <c r="L2300" s="83" t="n"/>
      <c r="M2300" s="83" t="n"/>
      <c r="N2300" s="83" t="n"/>
      <c r="O2300" s="83" t="n"/>
      <c r="P2300" s="83" t="n"/>
      <c r="Q2300" s="83" t="n"/>
      <c r="R2300" s="83" t="n"/>
      <c r="S2300" s="83" t="n"/>
      <c r="T2300" s="83" t="n"/>
      <c r="U2300" s="83" t="n"/>
      <c r="V2300" s="83" t="n"/>
      <c r="W2300" s="83" t="n"/>
      <c r="X2300" s="83" t="n"/>
      <c r="Y2300" s="83" t="n"/>
      <c r="Z2300" s="83" t="n"/>
      <c r="AA2300" s="83" t="n"/>
      <c r="AB2300" s="83" t="n"/>
      <c r="AC2300" s="83" t="n"/>
      <c r="AD2300" s="83" t="n"/>
      <c r="AE2300" s="83" t="n"/>
      <c r="AF2300" s="83" t="n"/>
      <c r="AG2300" s="83" t="n"/>
      <c r="AH2300" s="83" t="n"/>
      <c r="AI2300" s="83" t="n"/>
      <c r="AJ2300" s="83" t="n"/>
      <c r="AK2300" s="83" t="n"/>
      <c r="AL2300" s="83" t="n"/>
      <c r="AM2300" s="83" t="n"/>
      <c r="AN2300" s="83" t="n"/>
      <c r="AO2300" s="83" t="n"/>
      <c r="AP2300" s="83" t="n"/>
      <c r="AQ2300" s="83" t="n"/>
      <c r="AR2300" s="83" t="n"/>
    </row>
    <row r="2301">
      <c r="D2301" s="84" t="n"/>
      <c r="E2301" s="84" t="n"/>
      <c r="F2301" s="84" t="n"/>
      <c r="G2301" s="84" t="n"/>
      <c r="H2301" s="84" t="n"/>
      <c r="I2301" s="84" t="n"/>
      <c r="J2301" s="84" t="n"/>
      <c r="K2301" s="84" t="n"/>
      <c r="L2301" s="84" t="n"/>
      <c r="M2301" s="84" t="n"/>
      <c r="N2301" s="84" t="n"/>
      <c r="O2301" s="84" t="n"/>
      <c r="P2301" s="84" t="n"/>
      <c r="Q2301" s="84" t="n"/>
      <c r="R2301" s="84" t="n"/>
      <c r="S2301" s="84" t="n"/>
      <c r="T2301" s="84" t="n"/>
      <c r="U2301" s="84" t="n"/>
      <c r="V2301" s="84" t="n"/>
      <c r="W2301" s="84" t="n"/>
      <c r="X2301" s="84" t="n"/>
      <c r="Y2301" s="84" t="n"/>
      <c r="Z2301" s="84" t="n"/>
      <c r="AA2301" s="84" t="n"/>
      <c r="AB2301" s="84" t="n"/>
      <c r="AC2301" s="84" t="n"/>
      <c r="AD2301" s="84" t="n"/>
      <c r="AE2301" s="84" t="n"/>
      <c r="AF2301" s="84" t="n"/>
      <c r="AG2301" s="84" t="n"/>
      <c r="AH2301" s="84" t="n"/>
      <c r="AI2301" s="84" t="n"/>
      <c r="AJ2301" s="84" t="n"/>
      <c r="AK2301" s="84" t="n"/>
      <c r="AL2301" s="84" t="n"/>
      <c r="AM2301" s="84" t="n"/>
      <c r="AN2301" s="84" t="n"/>
      <c r="AO2301" s="84" t="n"/>
      <c r="AP2301" s="84" t="n"/>
      <c r="AQ2301" s="84" t="n"/>
      <c r="AR2301" s="84" t="n"/>
    </row>
    <row r="2302">
      <c r="D2302" s="80" t="n"/>
      <c r="E2302" s="80" t="n"/>
      <c r="F2302" s="80" t="n"/>
      <c r="G2302" s="80" t="n"/>
      <c r="H2302" s="80" t="n"/>
      <c r="I2302" s="80" t="n"/>
      <c r="J2302" s="80" t="n"/>
      <c r="K2302" s="80" t="n"/>
      <c r="L2302" s="80" t="n"/>
      <c r="M2302" s="80" t="n"/>
      <c r="N2302" s="80" t="n"/>
      <c r="O2302" s="80" t="n"/>
      <c r="P2302" s="80" t="n"/>
      <c r="Q2302" s="80" t="n"/>
      <c r="R2302" s="80" t="n"/>
      <c r="S2302" s="80" t="n"/>
      <c r="T2302" s="80" t="n"/>
      <c r="U2302" s="80" t="n"/>
      <c r="V2302" s="80" t="n"/>
      <c r="W2302" s="80" t="n"/>
      <c r="X2302" s="80" t="n"/>
      <c r="Y2302" s="80" t="n"/>
      <c r="Z2302" s="80" t="n"/>
      <c r="AA2302" s="80" t="n"/>
      <c r="AB2302" s="80" t="n"/>
      <c r="AC2302" s="80" t="n"/>
      <c r="AD2302" s="80" t="n"/>
      <c r="AE2302" s="80" t="n"/>
      <c r="AF2302" s="80" t="n"/>
      <c r="AG2302" s="80" t="n"/>
      <c r="AH2302" s="80" t="n"/>
      <c r="AI2302" s="80" t="n"/>
      <c r="AJ2302" s="80" t="n"/>
      <c r="AK2302" s="80" t="n"/>
      <c r="AL2302" s="80" t="n"/>
      <c r="AM2302" s="80" t="n"/>
      <c r="AN2302" s="80" t="n"/>
      <c r="AO2302" s="80" t="n"/>
      <c r="AP2302" s="80" t="n"/>
      <c r="AQ2302" s="80" t="n"/>
      <c r="AR2302" s="80" t="n"/>
    </row>
    <row r="2303">
      <c r="D2303" s="80" t="n"/>
      <c r="E2303" s="80" t="n"/>
      <c r="F2303" s="80" t="n"/>
      <c r="G2303" s="80" t="n"/>
      <c r="H2303" s="80" t="n"/>
      <c r="I2303" s="80" t="n"/>
      <c r="J2303" s="80" t="n"/>
      <c r="K2303" s="80" t="n"/>
      <c r="L2303" s="80" t="n"/>
      <c r="M2303" s="80" t="n"/>
      <c r="N2303" s="80" t="n"/>
      <c r="O2303" s="80" t="n"/>
      <c r="P2303" s="80" t="n"/>
      <c r="Q2303" s="80" t="n"/>
      <c r="R2303" s="80" t="n"/>
      <c r="S2303" s="80" t="n"/>
      <c r="T2303" s="80" t="n"/>
      <c r="U2303" s="80" t="n"/>
      <c r="V2303" s="80" t="n"/>
      <c r="W2303" s="80" t="n"/>
      <c r="X2303" s="80" t="n"/>
      <c r="Y2303" s="80" t="n"/>
      <c r="Z2303" s="80" t="n"/>
      <c r="AA2303" s="80" t="n"/>
      <c r="AB2303" s="80" t="n"/>
      <c r="AC2303" s="80" t="n"/>
      <c r="AD2303" s="80" t="n"/>
      <c r="AE2303" s="80" t="n"/>
      <c r="AF2303" s="80" t="n"/>
      <c r="AG2303" s="80" t="n"/>
      <c r="AH2303" s="80" t="n"/>
      <c r="AI2303" s="80" t="n"/>
      <c r="AJ2303" s="80" t="n"/>
      <c r="AK2303" s="80" t="n"/>
      <c r="AL2303" s="80" t="n"/>
      <c r="AM2303" s="80" t="n"/>
      <c r="AN2303" s="80" t="n"/>
      <c r="AO2303" s="80" t="n"/>
      <c r="AP2303" s="80" t="n"/>
      <c r="AQ2303" s="80" t="n"/>
      <c r="AR2303" s="80" t="n"/>
    </row>
    <row r="2304">
      <c r="D2304" s="80" t="n"/>
      <c r="E2304" s="80" t="n"/>
      <c r="F2304" s="80" t="n"/>
      <c r="G2304" s="80" t="n"/>
      <c r="H2304" s="80" t="n"/>
      <c r="I2304" s="80" t="n"/>
      <c r="J2304" s="80" t="n"/>
      <c r="K2304" s="80" t="n"/>
      <c r="L2304" s="80" t="n"/>
      <c r="M2304" s="80" t="n"/>
      <c r="N2304" s="80" t="n"/>
      <c r="O2304" s="80" t="n"/>
      <c r="P2304" s="80" t="n"/>
      <c r="Q2304" s="80" t="n"/>
      <c r="R2304" s="80" t="n"/>
      <c r="S2304" s="80" t="n"/>
      <c r="T2304" s="80" t="n"/>
      <c r="U2304" s="80" t="n"/>
      <c r="V2304" s="80" t="n"/>
      <c r="W2304" s="80" t="n"/>
      <c r="X2304" s="80" t="n"/>
      <c r="Y2304" s="80" t="n"/>
      <c r="Z2304" s="80" t="n"/>
      <c r="AA2304" s="80" t="n"/>
      <c r="AB2304" s="80" t="n"/>
      <c r="AC2304" s="80" t="n"/>
      <c r="AD2304" s="80" t="n"/>
      <c r="AE2304" s="80" t="n"/>
      <c r="AF2304" s="80" t="n"/>
      <c r="AG2304" s="80" t="n"/>
      <c r="AH2304" s="80" t="n"/>
      <c r="AI2304" s="80" t="n"/>
      <c r="AJ2304" s="80" t="n"/>
      <c r="AK2304" s="80" t="n"/>
      <c r="AL2304" s="80" t="n"/>
      <c r="AM2304" s="80" t="n"/>
      <c r="AN2304" s="80" t="n"/>
      <c r="AO2304" s="80" t="n"/>
      <c r="AP2304" s="80" t="n"/>
      <c r="AQ2304" s="80" t="n"/>
      <c r="AR2304" s="80" t="n"/>
    </row>
    <row r="2305">
      <c r="D2305" s="80" t="n"/>
      <c r="E2305" s="80" t="n"/>
      <c r="F2305" s="80" t="n"/>
      <c r="G2305" s="80" t="n"/>
      <c r="H2305" s="80" t="n"/>
      <c r="I2305" s="80" t="n"/>
      <c r="J2305" s="80" t="n"/>
      <c r="K2305" s="80" t="n"/>
      <c r="L2305" s="80" t="n"/>
      <c r="M2305" s="80" t="n"/>
      <c r="N2305" s="80" t="n"/>
      <c r="O2305" s="80" t="n"/>
      <c r="P2305" s="80" t="n"/>
      <c r="Q2305" s="80" t="n"/>
      <c r="R2305" s="80" t="n"/>
      <c r="S2305" s="80" t="n"/>
      <c r="T2305" s="80" t="n"/>
      <c r="U2305" s="80" t="n"/>
      <c r="V2305" s="80" t="n"/>
      <c r="W2305" s="80" t="n"/>
      <c r="X2305" s="80" t="n"/>
      <c r="Y2305" s="80" t="n"/>
      <c r="Z2305" s="80" t="n"/>
      <c r="AA2305" s="80" t="n"/>
      <c r="AB2305" s="80" t="n"/>
      <c r="AC2305" s="80" t="n"/>
      <c r="AD2305" s="80" t="n"/>
      <c r="AE2305" s="80" t="n"/>
      <c r="AF2305" s="80" t="n"/>
      <c r="AG2305" s="80" t="n"/>
      <c r="AH2305" s="80" t="n"/>
      <c r="AI2305" s="80" t="n"/>
      <c r="AJ2305" s="80" t="n"/>
      <c r="AK2305" s="80" t="n"/>
      <c r="AL2305" s="80" t="n"/>
      <c r="AM2305" s="80" t="n"/>
      <c r="AN2305" s="80" t="n"/>
      <c r="AO2305" s="80" t="n"/>
      <c r="AP2305" s="80" t="n"/>
      <c r="AQ2305" s="80" t="n"/>
      <c r="AR2305" s="80" t="n"/>
    </row>
    <row r="2306">
      <c r="A2306" s="2">
        <f>IF($A2299="","","   projections")</f>
        <v/>
      </c>
      <c r="B2306" s="41">
        <f>IF($A2299="",0,COUNT($E2307:$AR2307))</f>
        <v/>
      </c>
      <c r="C2306" s="81">
        <f>IF($B2306=0,0,MAX($E2307:$AR2307))</f>
        <v/>
      </c>
      <c r="D2306" s="82">
        <f>BDS($A2299,'Field Check'!$C$6,"headers=y","startcol=1","endcol=7","dir=h")</f>
        <v/>
      </c>
      <c r="E2306" s="83" t="n"/>
      <c r="F2306" s="83" t="n"/>
      <c r="G2306" s="83" t="n"/>
      <c r="H2306" s="83" t="n"/>
      <c r="I2306" s="83" t="n"/>
      <c r="J2306" s="83" t="n"/>
      <c r="K2306" s="83" t="n"/>
      <c r="L2306" s="83" t="n"/>
      <c r="M2306" s="83" t="n"/>
      <c r="N2306" s="83" t="n"/>
      <c r="O2306" s="83" t="n"/>
      <c r="P2306" s="83" t="n"/>
      <c r="Q2306" s="83" t="n"/>
      <c r="R2306" s="83" t="n"/>
      <c r="S2306" s="83" t="n"/>
      <c r="T2306" s="83" t="n"/>
      <c r="U2306" s="83" t="n"/>
      <c r="V2306" s="83" t="n"/>
      <c r="W2306" s="83" t="n"/>
      <c r="X2306" s="83" t="n"/>
      <c r="Y2306" s="83" t="n"/>
      <c r="Z2306" s="83" t="n"/>
      <c r="AA2306" s="83" t="n"/>
      <c r="AB2306" s="83" t="n"/>
      <c r="AC2306" s="83" t="n"/>
      <c r="AD2306" s="83" t="n"/>
      <c r="AE2306" s="83" t="n"/>
      <c r="AF2306" s="83" t="n"/>
      <c r="AG2306" s="83" t="n"/>
      <c r="AH2306" s="83" t="n"/>
      <c r="AI2306" s="83" t="n"/>
      <c r="AJ2306" s="83" t="n"/>
      <c r="AK2306" s="83" t="n"/>
      <c r="AL2306" s="83" t="n"/>
      <c r="AM2306" s="83" t="n"/>
      <c r="AN2306" s="83" t="n"/>
      <c r="AO2306" s="83" t="n"/>
      <c r="AP2306" s="83" t="n"/>
      <c r="AQ2306" s="83" t="n"/>
      <c r="AR2306" s="83" t="n"/>
    </row>
    <row r="2307">
      <c r="D2307" s="83" t="n"/>
      <c r="E2307" s="83" t="n"/>
      <c r="F2307" s="83" t="n"/>
      <c r="G2307" s="83" t="n"/>
      <c r="H2307" s="83" t="n"/>
      <c r="I2307" s="83" t="n"/>
      <c r="J2307" s="83" t="n"/>
      <c r="K2307" s="83" t="n"/>
      <c r="L2307" s="83" t="n"/>
      <c r="M2307" s="83" t="n"/>
      <c r="N2307" s="83" t="n"/>
      <c r="O2307" s="83" t="n"/>
      <c r="P2307" s="83" t="n"/>
      <c r="Q2307" s="83" t="n"/>
      <c r="R2307" s="83" t="n"/>
      <c r="S2307" s="83" t="n"/>
      <c r="T2307" s="83" t="n"/>
      <c r="U2307" s="83" t="n"/>
      <c r="V2307" s="83" t="n"/>
      <c r="W2307" s="83" t="n"/>
      <c r="X2307" s="83" t="n"/>
      <c r="Y2307" s="83" t="n"/>
      <c r="Z2307" s="83" t="n"/>
      <c r="AA2307" s="83" t="n"/>
      <c r="AB2307" s="83" t="n"/>
      <c r="AC2307" s="83" t="n"/>
      <c r="AD2307" s="83" t="n"/>
      <c r="AE2307" s="83" t="n"/>
      <c r="AF2307" s="83" t="n"/>
      <c r="AG2307" s="83" t="n"/>
      <c r="AH2307" s="83" t="n"/>
      <c r="AI2307" s="83" t="n"/>
      <c r="AJ2307" s="83" t="n"/>
      <c r="AK2307" s="83" t="n"/>
      <c r="AL2307" s="83" t="n"/>
      <c r="AM2307" s="83" t="n"/>
      <c r="AN2307" s="83" t="n"/>
      <c r="AO2307" s="83" t="n"/>
      <c r="AP2307" s="83" t="n"/>
      <c r="AQ2307" s="83" t="n"/>
      <c r="AR2307" s="83" t="n"/>
    </row>
    <row r="2308">
      <c r="D2308" s="84" t="n"/>
      <c r="E2308" s="84" t="n"/>
      <c r="F2308" s="84" t="n"/>
      <c r="G2308" s="84" t="n"/>
      <c r="H2308" s="84" t="n"/>
      <c r="I2308" s="84" t="n"/>
      <c r="J2308" s="84" t="n"/>
      <c r="K2308" s="84" t="n"/>
      <c r="L2308" s="84" t="n"/>
      <c r="M2308" s="84" t="n"/>
      <c r="N2308" s="84" t="n"/>
      <c r="O2308" s="84" t="n"/>
      <c r="P2308" s="84" t="n"/>
      <c r="Q2308" s="84" t="n"/>
      <c r="R2308" s="84" t="n"/>
      <c r="S2308" s="84" t="n"/>
      <c r="T2308" s="84" t="n"/>
      <c r="U2308" s="84" t="n"/>
      <c r="V2308" s="84" t="n"/>
      <c r="W2308" s="84" t="n"/>
      <c r="X2308" s="84" t="n"/>
      <c r="Y2308" s="84" t="n"/>
      <c r="Z2308" s="84" t="n"/>
      <c r="AA2308" s="84" t="n"/>
      <c r="AB2308" s="84" t="n"/>
      <c r="AC2308" s="84" t="n"/>
      <c r="AD2308" s="84" t="n"/>
      <c r="AE2308" s="84" t="n"/>
      <c r="AF2308" s="84" t="n"/>
      <c r="AG2308" s="84" t="n"/>
      <c r="AH2308" s="84" t="n"/>
      <c r="AI2308" s="84" t="n"/>
      <c r="AJ2308" s="84" t="n"/>
      <c r="AK2308" s="84" t="n"/>
      <c r="AL2308" s="84" t="n"/>
      <c r="AM2308" s="84" t="n"/>
      <c r="AN2308" s="84" t="n"/>
      <c r="AO2308" s="84" t="n"/>
      <c r="AP2308" s="84" t="n"/>
      <c r="AQ2308" s="84" t="n"/>
      <c r="AR2308" s="84" t="n"/>
    </row>
    <row r="2309">
      <c r="D2309" s="80" t="n"/>
      <c r="E2309" s="80" t="n"/>
      <c r="F2309" s="80" t="n"/>
      <c r="G2309" s="80" t="n"/>
      <c r="H2309" s="80" t="n"/>
      <c r="I2309" s="80" t="n"/>
      <c r="J2309" s="80" t="n"/>
      <c r="K2309" s="80" t="n"/>
      <c r="L2309" s="80" t="n"/>
      <c r="M2309" s="80" t="n"/>
      <c r="N2309" s="80" t="n"/>
      <c r="O2309" s="80" t="n"/>
      <c r="P2309" s="80" t="n"/>
      <c r="Q2309" s="80" t="n"/>
      <c r="R2309" s="80" t="n"/>
      <c r="S2309" s="80" t="n"/>
      <c r="T2309" s="80" t="n"/>
      <c r="U2309" s="80" t="n"/>
      <c r="V2309" s="80" t="n"/>
      <c r="W2309" s="80" t="n"/>
      <c r="X2309" s="80" t="n"/>
      <c r="Y2309" s="80" t="n"/>
      <c r="Z2309" s="80" t="n"/>
      <c r="AA2309" s="80" t="n"/>
      <c r="AB2309" s="80" t="n"/>
      <c r="AC2309" s="80" t="n"/>
      <c r="AD2309" s="80" t="n"/>
      <c r="AE2309" s="80" t="n"/>
      <c r="AF2309" s="80" t="n"/>
      <c r="AG2309" s="80" t="n"/>
      <c r="AH2309" s="80" t="n"/>
      <c r="AI2309" s="80" t="n"/>
      <c r="AJ2309" s="80" t="n"/>
      <c r="AK2309" s="80" t="n"/>
      <c r="AL2309" s="80" t="n"/>
      <c r="AM2309" s="80" t="n"/>
      <c r="AN2309" s="80" t="n"/>
      <c r="AO2309" s="80" t="n"/>
      <c r="AP2309" s="80" t="n"/>
      <c r="AQ2309" s="80" t="n"/>
      <c r="AR2309" s="80" t="n"/>
    </row>
    <row r="2310">
      <c r="D2310" s="80" t="n"/>
      <c r="E2310" s="80" t="n"/>
      <c r="F2310" s="80" t="n"/>
      <c r="G2310" s="80" t="n"/>
      <c r="H2310" s="80" t="n"/>
      <c r="I2310" s="80" t="n"/>
      <c r="J2310" s="80" t="n"/>
      <c r="K2310" s="80" t="n"/>
      <c r="L2310" s="80" t="n"/>
      <c r="M2310" s="80" t="n"/>
      <c r="N2310" s="80" t="n"/>
      <c r="O2310" s="80" t="n"/>
      <c r="P2310" s="80" t="n"/>
      <c r="Q2310" s="80" t="n"/>
      <c r="R2310" s="80" t="n"/>
      <c r="S2310" s="80" t="n"/>
      <c r="T2310" s="80" t="n"/>
      <c r="U2310" s="80" t="n"/>
      <c r="V2310" s="80" t="n"/>
      <c r="W2310" s="80" t="n"/>
      <c r="X2310" s="80" t="n"/>
      <c r="Y2310" s="80" t="n"/>
      <c r="Z2310" s="80" t="n"/>
      <c r="AA2310" s="80" t="n"/>
      <c r="AB2310" s="80" t="n"/>
      <c r="AC2310" s="80" t="n"/>
      <c r="AD2310" s="80" t="n"/>
      <c r="AE2310" s="80" t="n"/>
      <c r="AF2310" s="80" t="n"/>
      <c r="AG2310" s="80" t="n"/>
      <c r="AH2310" s="80" t="n"/>
      <c r="AI2310" s="80" t="n"/>
      <c r="AJ2310" s="80" t="n"/>
      <c r="AK2310" s="80" t="n"/>
      <c r="AL2310" s="80" t="n"/>
      <c r="AM2310" s="80" t="n"/>
      <c r="AN2310" s="80" t="n"/>
      <c r="AO2310" s="80" t="n"/>
      <c r="AP2310" s="80" t="n"/>
      <c r="AQ2310" s="80" t="n"/>
      <c r="AR2310" s="80" t="n"/>
    </row>
    <row r="2311">
      <c r="D2311" s="80" t="n"/>
      <c r="E2311" s="80" t="n"/>
      <c r="F2311" s="80" t="n"/>
      <c r="G2311" s="80" t="n"/>
      <c r="H2311" s="80" t="n"/>
      <c r="I2311" s="80" t="n"/>
      <c r="J2311" s="80" t="n"/>
      <c r="K2311" s="80" t="n"/>
      <c r="L2311" s="80" t="n"/>
      <c r="M2311" s="80" t="n"/>
      <c r="N2311" s="80" t="n"/>
      <c r="O2311" s="80" t="n"/>
      <c r="P2311" s="80" t="n"/>
      <c r="Q2311" s="80" t="n"/>
      <c r="R2311" s="80" t="n"/>
      <c r="S2311" s="80" t="n"/>
      <c r="T2311" s="80" t="n"/>
      <c r="U2311" s="80" t="n"/>
      <c r="V2311" s="80" t="n"/>
      <c r="W2311" s="80" t="n"/>
      <c r="X2311" s="80" t="n"/>
      <c r="Y2311" s="80" t="n"/>
      <c r="Z2311" s="80" t="n"/>
      <c r="AA2311" s="80" t="n"/>
      <c r="AB2311" s="80" t="n"/>
      <c r="AC2311" s="80" t="n"/>
      <c r="AD2311" s="80" t="n"/>
      <c r="AE2311" s="80" t="n"/>
      <c r="AF2311" s="80" t="n"/>
      <c r="AG2311" s="80" t="n"/>
      <c r="AH2311" s="80" t="n"/>
      <c r="AI2311" s="80" t="n"/>
      <c r="AJ2311" s="80" t="n"/>
      <c r="AK2311" s="80" t="n"/>
      <c r="AL2311" s="80" t="n"/>
      <c r="AM2311" s="80" t="n"/>
      <c r="AN2311" s="80" t="n"/>
      <c r="AO2311" s="80" t="n"/>
      <c r="AP2311" s="80" t="n"/>
      <c r="AQ2311" s="80" t="n"/>
      <c r="AR2311" s="80" t="n"/>
    </row>
    <row r="2312">
      <c r="D2312" s="80" t="n"/>
      <c r="E2312" s="80" t="n"/>
      <c r="F2312" s="80" t="n"/>
      <c r="G2312" s="80" t="n"/>
      <c r="H2312" s="80" t="n"/>
      <c r="I2312" s="80" t="n"/>
      <c r="J2312" s="80" t="n"/>
      <c r="K2312" s="80" t="n"/>
      <c r="L2312" s="80" t="n"/>
      <c r="M2312" s="80" t="n"/>
      <c r="N2312" s="80" t="n"/>
      <c r="O2312" s="80" t="n"/>
      <c r="P2312" s="80" t="n"/>
      <c r="Q2312" s="80" t="n"/>
      <c r="R2312" s="80" t="n"/>
      <c r="S2312" s="80" t="n"/>
      <c r="T2312" s="80" t="n"/>
      <c r="U2312" s="80" t="n"/>
      <c r="V2312" s="80" t="n"/>
      <c r="W2312" s="80" t="n"/>
      <c r="X2312" s="80" t="n"/>
      <c r="Y2312" s="80" t="n"/>
      <c r="Z2312" s="80" t="n"/>
      <c r="AA2312" s="80" t="n"/>
      <c r="AB2312" s="80" t="n"/>
      <c r="AC2312" s="80" t="n"/>
      <c r="AD2312" s="80" t="n"/>
      <c r="AE2312" s="80" t="n"/>
      <c r="AF2312" s="80" t="n"/>
      <c r="AG2312" s="80" t="n"/>
      <c r="AH2312" s="80" t="n"/>
      <c r="AI2312" s="80" t="n"/>
      <c r="AJ2312" s="80" t="n"/>
      <c r="AK2312" s="80" t="n"/>
      <c r="AL2312" s="80" t="n"/>
      <c r="AM2312" s="80" t="n"/>
      <c r="AN2312" s="80" t="n"/>
      <c r="AO2312" s="80" t="n"/>
      <c r="AP2312" s="80" t="n"/>
      <c r="AQ2312" s="80" t="n"/>
      <c r="AR2312" s="80" t="n"/>
    </row>
    <row r="2314">
      <c r="A2314" s="6">
        <f>IF(HSCEI!$C$20="","",HSCEI!$C$20)</f>
        <v/>
      </c>
      <c r="B2314" s="41">
        <f>IF($A2314="",0,COUNT($E2315:$AR2315))</f>
        <v/>
      </c>
      <c r="C2314" s="81">
        <f>IF($B2314=0,0,MAX($E2315:$AR2315))</f>
        <v/>
      </c>
      <c r="D2314" s="82">
        <f>BDS($A2314,'Field Check'!$C$7,"headers=y","startcol=1","endcol=7","dir=h","DVD_START_DT",Summary!$C$18,"DVD_END_DT",Summary!$D$18)</f>
        <v/>
      </c>
      <c r="E2314" s="83" t="n"/>
      <c r="F2314" s="83" t="n"/>
      <c r="G2314" s="83" t="n"/>
      <c r="H2314" s="83" t="n"/>
      <c r="I2314" s="83" t="n"/>
      <c r="J2314" s="83" t="n"/>
      <c r="K2314" s="83" t="n"/>
      <c r="L2314" s="83" t="n"/>
      <c r="M2314" s="83" t="n"/>
      <c r="N2314" s="83" t="n"/>
      <c r="O2314" s="83" t="n"/>
      <c r="P2314" s="83" t="n"/>
      <c r="Q2314" s="83" t="n"/>
      <c r="R2314" s="83" t="n"/>
      <c r="S2314" s="83" t="n"/>
      <c r="T2314" s="83" t="n"/>
      <c r="U2314" s="83" t="n"/>
      <c r="V2314" s="83" t="n"/>
      <c r="W2314" s="83" t="n"/>
      <c r="X2314" s="83" t="n"/>
      <c r="Y2314" s="83" t="n"/>
      <c r="Z2314" s="83" t="n"/>
      <c r="AA2314" s="83" t="n"/>
      <c r="AB2314" s="83" t="n"/>
      <c r="AC2314" s="83" t="n"/>
      <c r="AD2314" s="83" t="n"/>
      <c r="AE2314" s="83" t="n"/>
      <c r="AF2314" s="83" t="n"/>
      <c r="AG2314" s="83" t="n"/>
      <c r="AH2314" s="83" t="n"/>
      <c r="AI2314" s="83" t="n"/>
      <c r="AJ2314" s="83" t="n"/>
      <c r="AK2314" s="83" t="n"/>
      <c r="AL2314" s="83" t="n"/>
      <c r="AM2314" s="83" t="n"/>
      <c r="AN2314" s="83" t="n"/>
      <c r="AO2314" s="83" t="n"/>
      <c r="AP2314" s="83" t="n"/>
      <c r="AQ2314" s="83" t="n"/>
      <c r="AR2314" s="83" t="n"/>
    </row>
    <row r="2315">
      <c r="D2315" s="83" t="n"/>
      <c r="E2315" s="83" t="n"/>
      <c r="F2315" s="83" t="n"/>
      <c r="G2315" s="83" t="n"/>
      <c r="H2315" s="83" t="n"/>
      <c r="I2315" s="83" t="n"/>
      <c r="J2315" s="83" t="n"/>
      <c r="K2315" s="83" t="n"/>
      <c r="L2315" s="83" t="n"/>
      <c r="M2315" s="83" t="n"/>
      <c r="N2315" s="83" t="n"/>
      <c r="O2315" s="83" t="n"/>
      <c r="P2315" s="83" t="n"/>
      <c r="Q2315" s="83" t="n"/>
      <c r="R2315" s="83" t="n"/>
      <c r="S2315" s="83" t="n"/>
      <c r="T2315" s="83" t="n"/>
      <c r="U2315" s="83" t="n"/>
      <c r="V2315" s="83" t="n"/>
      <c r="W2315" s="83" t="n"/>
      <c r="X2315" s="83" t="n"/>
      <c r="Y2315" s="83" t="n"/>
      <c r="Z2315" s="83" t="n"/>
      <c r="AA2315" s="83" t="n"/>
      <c r="AB2315" s="83" t="n"/>
      <c r="AC2315" s="83" t="n"/>
      <c r="AD2315" s="83" t="n"/>
      <c r="AE2315" s="83" t="n"/>
      <c r="AF2315" s="83" t="n"/>
      <c r="AG2315" s="83" t="n"/>
      <c r="AH2315" s="83" t="n"/>
      <c r="AI2315" s="83" t="n"/>
      <c r="AJ2315" s="83" t="n"/>
      <c r="AK2315" s="83" t="n"/>
      <c r="AL2315" s="83" t="n"/>
      <c r="AM2315" s="83" t="n"/>
      <c r="AN2315" s="83" t="n"/>
      <c r="AO2315" s="83" t="n"/>
      <c r="AP2315" s="83" t="n"/>
      <c r="AQ2315" s="83" t="n"/>
      <c r="AR2315" s="83" t="n"/>
    </row>
    <row r="2316">
      <c r="D2316" s="84" t="n"/>
      <c r="E2316" s="84" t="n"/>
      <c r="F2316" s="84" t="n"/>
      <c r="G2316" s="84" t="n"/>
      <c r="H2316" s="84" t="n"/>
      <c r="I2316" s="84" t="n"/>
      <c r="J2316" s="84" t="n"/>
      <c r="K2316" s="84" t="n"/>
      <c r="L2316" s="84" t="n"/>
      <c r="M2316" s="84" t="n"/>
      <c r="N2316" s="84" t="n"/>
      <c r="O2316" s="84" t="n"/>
      <c r="P2316" s="84" t="n"/>
      <c r="Q2316" s="84" t="n"/>
      <c r="R2316" s="84" t="n"/>
      <c r="S2316" s="84" t="n"/>
      <c r="T2316" s="84" t="n"/>
      <c r="U2316" s="84" t="n"/>
      <c r="V2316" s="84" t="n"/>
      <c r="W2316" s="84" t="n"/>
      <c r="X2316" s="84" t="n"/>
      <c r="Y2316" s="84" t="n"/>
      <c r="Z2316" s="84" t="n"/>
      <c r="AA2316" s="84" t="n"/>
      <c r="AB2316" s="84" t="n"/>
      <c r="AC2316" s="84" t="n"/>
      <c r="AD2316" s="84" t="n"/>
      <c r="AE2316" s="84" t="n"/>
      <c r="AF2316" s="84" t="n"/>
      <c r="AG2316" s="84" t="n"/>
      <c r="AH2316" s="84" t="n"/>
      <c r="AI2316" s="84" t="n"/>
      <c r="AJ2316" s="84" t="n"/>
      <c r="AK2316" s="84" t="n"/>
      <c r="AL2316" s="84" t="n"/>
      <c r="AM2316" s="84" t="n"/>
      <c r="AN2316" s="84" t="n"/>
      <c r="AO2316" s="84" t="n"/>
      <c r="AP2316" s="84" t="n"/>
      <c r="AQ2316" s="84" t="n"/>
      <c r="AR2316" s="84" t="n"/>
    </row>
    <row r="2317">
      <c r="D2317" s="80" t="n"/>
      <c r="E2317" s="80" t="n"/>
      <c r="F2317" s="80" t="n"/>
      <c r="G2317" s="80" t="n"/>
      <c r="H2317" s="80" t="n"/>
      <c r="I2317" s="80" t="n"/>
      <c r="J2317" s="80" t="n"/>
      <c r="K2317" s="80" t="n"/>
      <c r="L2317" s="80" t="n"/>
      <c r="M2317" s="80" t="n"/>
      <c r="N2317" s="80" t="n"/>
      <c r="O2317" s="80" t="n"/>
      <c r="P2317" s="80" t="n"/>
      <c r="Q2317" s="80" t="n"/>
      <c r="R2317" s="80" t="n"/>
      <c r="S2317" s="80" t="n"/>
      <c r="T2317" s="80" t="n"/>
      <c r="U2317" s="80" t="n"/>
      <c r="V2317" s="80" t="n"/>
      <c r="W2317" s="80" t="n"/>
      <c r="X2317" s="80" t="n"/>
      <c r="Y2317" s="80" t="n"/>
      <c r="Z2317" s="80" t="n"/>
      <c r="AA2317" s="80" t="n"/>
      <c r="AB2317" s="80" t="n"/>
      <c r="AC2317" s="80" t="n"/>
      <c r="AD2317" s="80" t="n"/>
      <c r="AE2317" s="80" t="n"/>
      <c r="AF2317" s="80" t="n"/>
      <c r="AG2317" s="80" t="n"/>
      <c r="AH2317" s="80" t="n"/>
      <c r="AI2317" s="80" t="n"/>
      <c r="AJ2317" s="80" t="n"/>
      <c r="AK2317" s="80" t="n"/>
      <c r="AL2317" s="80" t="n"/>
      <c r="AM2317" s="80" t="n"/>
      <c r="AN2317" s="80" t="n"/>
      <c r="AO2317" s="80" t="n"/>
      <c r="AP2317" s="80" t="n"/>
      <c r="AQ2317" s="80" t="n"/>
      <c r="AR2317" s="80" t="n"/>
    </row>
    <row r="2318">
      <c r="D2318" s="80" t="n"/>
      <c r="E2318" s="80" t="n"/>
      <c r="F2318" s="80" t="n"/>
      <c r="G2318" s="80" t="n"/>
      <c r="H2318" s="80" t="n"/>
      <c r="I2318" s="80" t="n"/>
      <c r="J2318" s="80" t="n"/>
      <c r="K2318" s="80" t="n"/>
      <c r="L2318" s="80" t="n"/>
      <c r="M2318" s="80" t="n"/>
      <c r="N2318" s="80" t="n"/>
      <c r="O2318" s="80" t="n"/>
      <c r="P2318" s="80" t="n"/>
      <c r="Q2318" s="80" t="n"/>
      <c r="R2318" s="80" t="n"/>
      <c r="S2318" s="80" t="n"/>
      <c r="T2318" s="80" t="n"/>
      <c r="U2318" s="80" t="n"/>
      <c r="V2318" s="80" t="n"/>
      <c r="W2318" s="80" t="n"/>
      <c r="X2318" s="80" t="n"/>
      <c r="Y2318" s="80" t="n"/>
      <c r="Z2318" s="80" t="n"/>
      <c r="AA2318" s="80" t="n"/>
      <c r="AB2318" s="80" t="n"/>
      <c r="AC2318" s="80" t="n"/>
      <c r="AD2318" s="80" t="n"/>
      <c r="AE2318" s="80" t="n"/>
      <c r="AF2318" s="80" t="n"/>
      <c r="AG2318" s="80" t="n"/>
      <c r="AH2318" s="80" t="n"/>
      <c r="AI2318" s="80" t="n"/>
      <c r="AJ2318" s="80" t="n"/>
      <c r="AK2318" s="80" t="n"/>
      <c r="AL2318" s="80" t="n"/>
      <c r="AM2318" s="80" t="n"/>
      <c r="AN2318" s="80" t="n"/>
      <c r="AO2318" s="80" t="n"/>
      <c r="AP2318" s="80" t="n"/>
      <c r="AQ2318" s="80" t="n"/>
      <c r="AR2318" s="80" t="n"/>
    </row>
    <row r="2319">
      <c r="D2319" s="80" t="n"/>
      <c r="E2319" s="80" t="n"/>
      <c r="F2319" s="80" t="n"/>
      <c r="G2319" s="80" t="n"/>
      <c r="H2319" s="80" t="n"/>
      <c r="I2319" s="80" t="n"/>
      <c r="J2319" s="80" t="n"/>
      <c r="K2319" s="80" t="n"/>
      <c r="L2319" s="80" t="n"/>
      <c r="M2319" s="80" t="n"/>
      <c r="N2319" s="80" t="n"/>
      <c r="O2319" s="80" t="n"/>
      <c r="P2319" s="80" t="n"/>
      <c r="Q2319" s="80" t="n"/>
      <c r="R2319" s="80" t="n"/>
      <c r="S2319" s="80" t="n"/>
      <c r="T2319" s="80" t="n"/>
      <c r="U2319" s="80" t="n"/>
      <c r="V2319" s="80" t="n"/>
      <c r="W2319" s="80" t="n"/>
      <c r="X2319" s="80" t="n"/>
      <c r="Y2319" s="80" t="n"/>
      <c r="Z2319" s="80" t="n"/>
      <c r="AA2319" s="80" t="n"/>
      <c r="AB2319" s="80" t="n"/>
      <c r="AC2319" s="80" t="n"/>
      <c r="AD2319" s="80" t="n"/>
      <c r="AE2319" s="80" t="n"/>
      <c r="AF2319" s="80" t="n"/>
      <c r="AG2319" s="80" t="n"/>
      <c r="AH2319" s="80" t="n"/>
      <c r="AI2319" s="80" t="n"/>
      <c r="AJ2319" s="80" t="n"/>
      <c r="AK2319" s="80" t="n"/>
      <c r="AL2319" s="80" t="n"/>
      <c r="AM2319" s="80" t="n"/>
      <c r="AN2319" s="80" t="n"/>
      <c r="AO2319" s="80" t="n"/>
      <c r="AP2319" s="80" t="n"/>
      <c r="AQ2319" s="80" t="n"/>
      <c r="AR2319" s="80" t="n"/>
    </row>
    <row r="2320">
      <c r="D2320" s="80" t="n"/>
      <c r="E2320" s="80" t="n"/>
      <c r="F2320" s="80" t="n"/>
      <c r="G2320" s="80" t="n"/>
      <c r="H2320" s="80" t="n"/>
      <c r="I2320" s="80" t="n"/>
      <c r="J2320" s="80" t="n"/>
      <c r="K2320" s="80" t="n"/>
      <c r="L2320" s="80" t="n"/>
      <c r="M2320" s="80" t="n"/>
      <c r="N2320" s="80" t="n"/>
      <c r="O2320" s="80" t="n"/>
      <c r="P2320" s="80" t="n"/>
      <c r="Q2320" s="80" t="n"/>
      <c r="R2320" s="80" t="n"/>
      <c r="S2320" s="80" t="n"/>
      <c r="T2320" s="80" t="n"/>
      <c r="U2320" s="80" t="n"/>
      <c r="V2320" s="80" t="n"/>
      <c r="W2320" s="80" t="n"/>
      <c r="X2320" s="80" t="n"/>
      <c r="Y2320" s="80" t="n"/>
      <c r="Z2320" s="80" t="n"/>
      <c r="AA2320" s="80" t="n"/>
      <c r="AB2320" s="80" t="n"/>
      <c r="AC2320" s="80" t="n"/>
      <c r="AD2320" s="80" t="n"/>
      <c r="AE2320" s="80" t="n"/>
      <c r="AF2320" s="80" t="n"/>
      <c r="AG2320" s="80" t="n"/>
      <c r="AH2320" s="80" t="n"/>
      <c r="AI2320" s="80" t="n"/>
      <c r="AJ2320" s="80" t="n"/>
      <c r="AK2320" s="80" t="n"/>
      <c r="AL2320" s="80" t="n"/>
      <c r="AM2320" s="80" t="n"/>
      <c r="AN2320" s="80" t="n"/>
      <c r="AO2320" s="80" t="n"/>
      <c r="AP2320" s="80" t="n"/>
      <c r="AQ2320" s="80" t="n"/>
      <c r="AR2320" s="80" t="n"/>
    </row>
    <row r="2321">
      <c r="A2321" s="2">
        <f>IF($A2314="","","   projections")</f>
        <v/>
      </c>
      <c r="B2321" s="41">
        <f>IF($A2314="",0,COUNT($E2322:$AR2322))</f>
        <v/>
      </c>
      <c r="C2321" s="81">
        <f>IF($B2321=0,0,MAX($E2322:$AR2322))</f>
        <v/>
      </c>
      <c r="D2321" s="82">
        <f>BDS($A2314,'Field Check'!$C$6,"headers=y","startcol=1","endcol=7","dir=h")</f>
        <v/>
      </c>
      <c r="E2321" s="83" t="n"/>
      <c r="F2321" s="83" t="n"/>
      <c r="G2321" s="83" t="n"/>
      <c r="H2321" s="83" t="n"/>
      <c r="I2321" s="83" t="n"/>
      <c r="J2321" s="83" t="n"/>
      <c r="K2321" s="83" t="n"/>
      <c r="L2321" s="83" t="n"/>
      <c r="M2321" s="83" t="n"/>
      <c r="N2321" s="83" t="n"/>
      <c r="O2321" s="83" t="n"/>
      <c r="P2321" s="83" t="n"/>
      <c r="Q2321" s="83" t="n"/>
      <c r="R2321" s="83" t="n"/>
      <c r="S2321" s="83" t="n"/>
      <c r="T2321" s="83" t="n"/>
      <c r="U2321" s="83" t="n"/>
      <c r="V2321" s="83" t="n"/>
      <c r="W2321" s="83" t="n"/>
      <c r="X2321" s="83" t="n"/>
      <c r="Y2321" s="83" t="n"/>
      <c r="Z2321" s="83" t="n"/>
      <c r="AA2321" s="83" t="n"/>
      <c r="AB2321" s="83" t="n"/>
      <c r="AC2321" s="83" t="n"/>
      <c r="AD2321" s="83" t="n"/>
      <c r="AE2321" s="83" t="n"/>
      <c r="AF2321" s="83" t="n"/>
      <c r="AG2321" s="83" t="n"/>
      <c r="AH2321" s="83" t="n"/>
      <c r="AI2321" s="83" t="n"/>
      <c r="AJ2321" s="83" t="n"/>
      <c r="AK2321" s="83" t="n"/>
      <c r="AL2321" s="83" t="n"/>
      <c r="AM2321" s="83" t="n"/>
      <c r="AN2321" s="83" t="n"/>
      <c r="AO2321" s="83" t="n"/>
      <c r="AP2321" s="83" t="n"/>
      <c r="AQ2321" s="83" t="n"/>
      <c r="AR2321" s="83" t="n"/>
    </row>
    <row r="2322">
      <c r="D2322" s="83" t="n"/>
      <c r="E2322" s="83" t="n"/>
      <c r="F2322" s="83" t="n"/>
      <c r="G2322" s="83" t="n"/>
      <c r="H2322" s="83" t="n"/>
      <c r="I2322" s="83" t="n"/>
      <c r="J2322" s="83" t="n"/>
      <c r="K2322" s="83" t="n"/>
      <c r="L2322" s="83" t="n"/>
      <c r="M2322" s="83" t="n"/>
      <c r="N2322" s="83" t="n"/>
      <c r="O2322" s="83" t="n"/>
      <c r="P2322" s="83" t="n"/>
      <c r="Q2322" s="83" t="n"/>
      <c r="R2322" s="83" t="n"/>
      <c r="S2322" s="83" t="n"/>
      <c r="T2322" s="83" t="n"/>
      <c r="U2322" s="83" t="n"/>
      <c r="V2322" s="83" t="n"/>
      <c r="W2322" s="83" t="n"/>
      <c r="X2322" s="83" t="n"/>
      <c r="Y2322" s="83" t="n"/>
      <c r="Z2322" s="83" t="n"/>
      <c r="AA2322" s="83" t="n"/>
      <c r="AB2322" s="83" t="n"/>
      <c r="AC2322" s="83" t="n"/>
      <c r="AD2322" s="83" t="n"/>
      <c r="AE2322" s="83" t="n"/>
      <c r="AF2322" s="83" t="n"/>
      <c r="AG2322" s="83" t="n"/>
      <c r="AH2322" s="83" t="n"/>
      <c r="AI2322" s="83" t="n"/>
      <c r="AJ2322" s="83" t="n"/>
      <c r="AK2322" s="83" t="n"/>
      <c r="AL2322" s="83" t="n"/>
      <c r="AM2322" s="83" t="n"/>
      <c r="AN2322" s="83" t="n"/>
      <c r="AO2322" s="83" t="n"/>
      <c r="AP2322" s="83" t="n"/>
      <c r="AQ2322" s="83" t="n"/>
      <c r="AR2322" s="83" t="n"/>
    </row>
    <row r="2323">
      <c r="D2323" s="84" t="n"/>
      <c r="E2323" s="84" t="n"/>
      <c r="F2323" s="84" t="n"/>
      <c r="G2323" s="84" t="n"/>
      <c r="H2323" s="84" t="n"/>
      <c r="I2323" s="84" t="n"/>
      <c r="J2323" s="84" t="n"/>
      <c r="K2323" s="84" t="n"/>
      <c r="L2323" s="84" t="n"/>
      <c r="M2323" s="84" t="n"/>
      <c r="N2323" s="84" t="n"/>
      <c r="O2323" s="84" t="n"/>
      <c r="P2323" s="84" t="n"/>
      <c r="Q2323" s="84" t="n"/>
      <c r="R2323" s="84" t="n"/>
      <c r="S2323" s="84" t="n"/>
      <c r="T2323" s="84" t="n"/>
      <c r="U2323" s="84" t="n"/>
      <c r="V2323" s="84" t="n"/>
      <c r="W2323" s="84" t="n"/>
      <c r="X2323" s="84" t="n"/>
      <c r="Y2323" s="84" t="n"/>
      <c r="Z2323" s="84" t="n"/>
      <c r="AA2323" s="84" t="n"/>
      <c r="AB2323" s="84" t="n"/>
      <c r="AC2323" s="84" t="n"/>
      <c r="AD2323" s="84" t="n"/>
      <c r="AE2323" s="84" t="n"/>
      <c r="AF2323" s="84" t="n"/>
      <c r="AG2323" s="84" t="n"/>
      <c r="AH2323" s="84" t="n"/>
      <c r="AI2323" s="84" t="n"/>
      <c r="AJ2323" s="84" t="n"/>
      <c r="AK2323" s="84" t="n"/>
      <c r="AL2323" s="84" t="n"/>
      <c r="AM2323" s="84" t="n"/>
      <c r="AN2323" s="84" t="n"/>
      <c r="AO2323" s="84" t="n"/>
      <c r="AP2323" s="84" t="n"/>
      <c r="AQ2323" s="84" t="n"/>
      <c r="AR2323" s="84" t="n"/>
    </row>
    <row r="2324">
      <c r="D2324" s="80" t="n"/>
      <c r="E2324" s="80" t="n"/>
      <c r="F2324" s="80" t="n"/>
      <c r="G2324" s="80" t="n"/>
      <c r="H2324" s="80" t="n"/>
      <c r="I2324" s="80" t="n"/>
      <c r="J2324" s="80" t="n"/>
      <c r="K2324" s="80" t="n"/>
      <c r="L2324" s="80" t="n"/>
      <c r="M2324" s="80" t="n"/>
      <c r="N2324" s="80" t="n"/>
      <c r="O2324" s="80" t="n"/>
      <c r="P2324" s="80" t="n"/>
      <c r="Q2324" s="80" t="n"/>
      <c r="R2324" s="80" t="n"/>
      <c r="S2324" s="80" t="n"/>
      <c r="T2324" s="80" t="n"/>
      <c r="U2324" s="80" t="n"/>
      <c r="V2324" s="80" t="n"/>
      <c r="W2324" s="80" t="n"/>
      <c r="X2324" s="80" t="n"/>
      <c r="Y2324" s="80" t="n"/>
      <c r="Z2324" s="80" t="n"/>
      <c r="AA2324" s="80" t="n"/>
      <c r="AB2324" s="80" t="n"/>
      <c r="AC2324" s="80" t="n"/>
      <c r="AD2324" s="80" t="n"/>
      <c r="AE2324" s="80" t="n"/>
      <c r="AF2324" s="80" t="n"/>
      <c r="AG2324" s="80" t="n"/>
      <c r="AH2324" s="80" t="n"/>
      <c r="AI2324" s="80" t="n"/>
      <c r="AJ2324" s="80" t="n"/>
      <c r="AK2324" s="80" t="n"/>
      <c r="AL2324" s="80" t="n"/>
      <c r="AM2324" s="80" t="n"/>
      <c r="AN2324" s="80" t="n"/>
      <c r="AO2324" s="80" t="n"/>
      <c r="AP2324" s="80" t="n"/>
      <c r="AQ2324" s="80" t="n"/>
      <c r="AR2324" s="80" t="n"/>
    </row>
    <row r="2325">
      <c r="D2325" s="80" t="n"/>
      <c r="E2325" s="80" t="n"/>
      <c r="F2325" s="80" t="n"/>
      <c r="G2325" s="80" t="n"/>
      <c r="H2325" s="80" t="n"/>
      <c r="I2325" s="80" t="n"/>
      <c r="J2325" s="80" t="n"/>
      <c r="K2325" s="80" t="n"/>
      <c r="L2325" s="80" t="n"/>
      <c r="M2325" s="80" t="n"/>
      <c r="N2325" s="80" t="n"/>
      <c r="O2325" s="80" t="n"/>
      <c r="P2325" s="80" t="n"/>
      <c r="Q2325" s="80" t="n"/>
      <c r="R2325" s="80" t="n"/>
      <c r="S2325" s="80" t="n"/>
      <c r="T2325" s="80" t="n"/>
      <c r="U2325" s="80" t="n"/>
      <c r="V2325" s="80" t="n"/>
      <c r="W2325" s="80" t="n"/>
      <c r="X2325" s="80" t="n"/>
      <c r="Y2325" s="80" t="n"/>
      <c r="Z2325" s="80" t="n"/>
      <c r="AA2325" s="80" t="n"/>
      <c r="AB2325" s="80" t="n"/>
      <c r="AC2325" s="80" t="n"/>
      <c r="AD2325" s="80" t="n"/>
      <c r="AE2325" s="80" t="n"/>
      <c r="AF2325" s="80" t="n"/>
      <c r="AG2325" s="80" t="n"/>
      <c r="AH2325" s="80" t="n"/>
      <c r="AI2325" s="80" t="n"/>
      <c r="AJ2325" s="80" t="n"/>
      <c r="AK2325" s="80" t="n"/>
      <c r="AL2325" s="80" t="n"/>
      <c r="AM2325" s="80" t="n"/>
      <c r="AN2325" s="80" t="n"/>
      <c r="AO2325" s="80" t="n"/>
      <c r="AP2325" s="80" t="n"/>
      <c r="AQ2325" s="80" t="n"/>
      <c r="AR2325" s="80" t="n"/>
    </row>
    <row r="2326">
      <c r="D2326" s="80" t="n"/>
      <c r="E2326" s="80" t="n"/>
      <c r="F2326" s="80" t="n"/>
      <c r="G2326" s="80" t="n"/>
      <c r="H2326" s="80" t="n"/>
      <c r="I2326" s="80" t="n"/>
      <c r="J2326" s="80" t="n"/>
      <c r="K2326" s="80" t="n"/>
      <c r="L2326" s="80" t="n"/>
      <c r="M2326" s="80" t="n"/>
      <c r="N2326" s="80" t="n"/>
      <c r="O2326" s="80" t="n"/>
      <c r="P2326" s="80" t="n"/>
      <c r="Q2326" s="80" t="n"/>
      <c r="R2326" s="80" t="n"/>
      <c r="S2326" s="80" t="n"/>
      <c r="T2326" s="80" t="n"/>
      <c r="U2326" s="80" t="n"/>
      <c r="V2326" s="80" t="n"/>
      <c r="W2326" s="80" t="n"/>
      <c r="X2326" s="80" t="n"/>
      <c r="Y2326" s="80" t="n"/>
      <c r="Z2326" s="80" t="n"/>
      <c r="AA2326" s="80" t="n"/>
      <c r="AB2326" s="80" t="n"/>
      <c r="AC2326" s="80" t="n"/>
      <c r="AD2326" s="80" t="n"/>
      <c r="AE2326" s="80" t="n"/>
      <c r="AF2326" s="80" t="n"/>
      <c r="AG2326" s="80" t="n"/>
      <c r="AH2326" s="80" t="n"/>
      <c r="AI2326" s="80" t="n"/>
      <c r="AJ2326" s="80" t="n"/>
      <c r="AK2326" s="80" t="n"/>
      <c r="AL2326" s="80" t="n"/>
      <c r="AM2326" s="80" t="n"/>
      <c r="AN2326" s="80" t="n"/>
      <c r="AO2326" s="80" t="n"/>
      <c r="AP2326" s="80" t="n"/>
      <c r="AQ2326" s="80" t="n"/>
      <c r="AR2326" s="80" t="n"/>
    </row>
    <row r="2327">
      <c r="D2327" s="80" t="n"/>
      <c r="E2327" s="80" t="n"/>
      <c r="F2327" s="80" t="n"/>
      <c r="G2327" s="80" t="n"/>
      <c r="H2327" s="80" t="n"/>
      <c r="I2327" s="80" t="n"/>
      <c r="J2327" s="80" t="n"/>
      <c r="K2327" s="80" t="n"/>
      <c r="L2327" s="80" t="n"/>
      <c r="M2327" s="80" t="n"/>
      <c r="N2327" s="80" t="n"/>
      <c r="O2327" s="80" t="n"/>
      <c r="P2327" s="80" t="n"/>
      <c r="Q2327" s="80" t="n"/>
      <c r="R2327" s="80" t="n"/>
      <c r="S2327" s="80" t="n"/>
      <c r="T2327" s="80" t="n"/>
      <c r="U2327" s="80" t="n"/>
      <c r="V2327" s="80" t="n"/>
      <c r="W2327" s="80" t="n"/>
      <c r="X2327" s="80" t="n"/>
      <c r="Y2327" s="80" t="n"/>
      <c r="Z2327" s="80" t="n"/>
      <c r="AA2327" s="80" t="n"/>
      <c r="AB2327" s="80" t="n"/>
      <c r="AC2327" s="80" t="n"/>
      <c r="AD2327" s="80" t="n"/>
      <c r="AE2327" s="80" t="n"/>
      <c r="AF2327" s="80" t="n"/>
      <c r="AG2327" s="80" t="n"/>
      <c r="AH2327" s="80" t="n"/>
      <c r="AI2327" s="80" t="n"/>
      <c r="AJ2327" s="80" t="n"/>
      <c r="AK2327" s="80" t="n"/>
      <c r="AL2327" s="80" t="n"/>
      <c r="AM2327" s="80" t="n"/>
      <c r="AN2327" s="80" t="n"/>
      <c r="AO2327" s="80" t="n"/>
      <c r="AP2327" s="80" t="n"/>
      <c r="AQ2327" s="80" t="n"/>
      <c r="AR2327" s="80" t="n"/>
    </row>
    <row r="2329">
      <c r="A2329" s="6">
        <f>IF(HSCEI!$C$21="","",HSCEI!$C$21)</f>
        <v/>
      </c>
      <c r="B2329" s="41">
        <f>IF($A2329="",0,COUNT($E2330:$AR2330))</f>
        <v/>
      </c>
      <c r="C2329" s="81">
        <f>IF($B2329=0,0,MAX($E2330:$AR2330))</f>
        <v/>
      </c>
      <c r="D2329" s="82">
        <f>BDS($A2329,'Field Check'!$C$7,"headers=y","startcol=1","endcol=7","dir=h","DVD_START_DT",Summary!$C$18,"DVD_END_DT",Summary!$D$18)</f>
        <v/>
      </c>
      <c r="E2329" s="83" t="n"/>
      <c r="F2329" s="83" t="n"/>
      <c r="G2329" s="83" t="n"/>
      <c r="H2329" s="83" t="n"/>
      <c r="I2329" s="83" t="n"/>
      <c r="J2329" s="83" t="n"/>
      <c r="K2329" s="83" t="n"/>
      <c r="L2329" s="83" t="n"/>
      <c r="M2329" s="83" t="n"/>
      <c r="N2329" s="83" t="n"/>
      <c r="O2329" s="83" t="n"/>
      <c r="P2329" s="83" t="n"/>
      <c r="Q2329" s="83" t="n"/>
      <c r="R2329" s="83" t="n"/>
      <c r="S2329" s="83" t="n"/>
      <c r="T2329" s="83" t="n"/>
      <c r="U2329" s="83" t="n"/>
      <c r="V2329" s="83" t="n"/>
      <c r="W2329" s="83" t="n"/>
      <c r="X2329" s="83" t="n"/>
      <c r="Y2329" s="83" t="n"/>
      <c r="Z2329" s="83" t="n"/>
      <c r="AA2329" s="83" t="n"/>
      <c r="AB2329" s="83" t="n"/>
      <c r="AC2329" s="83" t="n"/>
      <c r="AD2329" s="83" t="n"/>
      <c r="AE2329" s="83" t="n"/>
      <c r="AF2329" s="83" t="n"/>
      <c r="AG2329" s="83" t="n"/>
      <c r="AH2329" s="83" t="n"/>
      <c r="AI2329" s="83" t="n"/>
      <c r="AJ2329" s="83" t="n"/>
      <c r="AK2329" s="83" t="n"/>
      <c r="AL2329" s="83" t="n"/>
      <c r="AM2329" s="83" t="n"/>
      <c r="AN2329" s="83" t="n"/>
      <c r="AO2329" s="83" t="n"/>
      <c r="AP2329" s="83" t="n"/>
      <c r="AQ2329" s="83" t="n"/>
      <c r="AR2329" s="83" t="n"/>
    </row>
    <row r="2330">
      <c r="D2330" s="83" t="n"/>
      <c r="E2330" s="83" t="n"/>
      <c r="F2330" s="83" t="n"/>
      <c r="G2330" s="83" t="n"/>
      <c r="H2330" s="83" t="n"/>
      <c r="I2330" s="83" t="n"/>
      <c r="J2330" s="83" t="n"/>
      <c r="K2330" s="83" t="n"/>
      <c r="L2330" s="83" t="n"/>
      <c r="M2330" s="83" t="n"/>
      <c r="N2330" s="83" t="n"/>
      <c r="O2330" s="83" t="n"/>
      <c r="P2330" s="83" t="n"/>
      <c r="Q2330" s="83" t="n"/>
      <c r="R2330" s="83" t="n"/>
      <c r="S2330" s="83" t="n"/>
      <c r="T2330" s="83" t="n"/>
      <c r="U2330" s="83" t="n"/>
      <c r="V2330" s="83" t="n"/>
      <c r="W2330" s="83" t="n"/>
      <c r="X2330" s="83" t="n"/>
      <c r="Y2330" s="83" t="n"/>
      <c r="Z2330" s="83" t="n"/>
      <c r="AA2330" s="83" t="n"/>
      <c r="AB2330" s="83" t="n"/>
      <c r="AC2330" s="83" t="n"/>
      <c r="AD2330" s="83" t="n"/>
      <c r="AE2330" s="83" t="n"/>
      <c r="AF2330" s="83" t="n"/>
      <c r="AG2330" s="83" t="n"/>
      <c r="AH2330" s="83" t="n"/>
      <c r="AI2330" s="83" t="n"/>
      <c r="AJ2330" s="83" t="n"/>
      <c r="AK2330" s="83" t="n"/>
      <c r="AL2330" s="83" t="n"/>
      <c r="AM2330" s="83" t="n"/>
      <c r="AN2330" s="83" t="n"/>
      <c r="AO2330" s="83" t="n"/>
      <c r="AP2330" s="83" t="n"/>
      <c r="AQ2330" s="83" t="n"/>
      <c r="AR2330" s="83" t="n"/>
    </row>
    <row r="2331">
      <c r="D2331" s="84" t="n"/>
      <c r="E2331" s="84" t="n"/>
      <c r="F2331" s="84" t="n"/>
      <c r="G2331" s="84" t="n"/>
      <c r="H2331" s="84" t="n"/>
      <c r="I2331" s="84" t="n"/>
      <c r="J2331" s="84" t="n"/>
      <c r="K2331" s="84" t="n"/>
      <c r="L2331" s="84" t="n"/>
      <c r="M2331" s="84" t="n"/>
      <c r="N2331" s="84" t="n"/>
      <c r="O2331" s="84" t="n"/>
      <c r="P2331" s="84" t="n"/>
      <c r="Q2331" s="84" t="n"/>
      <c r="R2331" s="84" t="n"/>
      <c r="S2331" s="84" t="n"/>
      <c r="T2331" s="84" t="n"/>
      <c r="U2331" s="84" t="n"/>
      <c r="V2331" s="84" t="n"/>
      <c r="W2331" s="84" t="n"/>
      <c r="X2331" s="84" t="n"/>
      <c r="Y2331" s="84" t="n"/>
      <c r="Z2331" s="84" t="n"/>
      <c r="AA2331" s="84" t="n"/>
      <c r="AB2331" s="84" t="n"/>
      <c r="AC2331" s="84" t="n"/>
      <c r="AD2331" s="84" t="n"/>
      <c r="AE2331" s="84" t="n"/>
      <c r="AF2331" s="84" t="n"/>
      <c r="AG2331" s="84" t="n"/>
      <c r="AH2331" s="84" t="n"/>
      <c r="AI2331" s="84" t="n"/>
      <c r="AJ2331" s="84" t="n"/>
      <c r="AK2331" s="84" t="n"/>
      <c r="AL2331" s="84" t="n"/>
      <c r="AM2331" s="84" t="n"/>
      <c r="AN2331" s="84" t="n"/>
      <c r="AO2331" s="84" t="n"/>
      <c r="AP2331" s="84" t="n"/>
      <c r="AQ2331" s="84" t="n"/>
      <c r="AR2331" s="84" t="n"/>
    </row>
    <row r="2332">
      <c r="D2332" s="80" t="n"/>
      <c r="E2332" s="80" t="n"/>
      <c r="F2332" s="80" t="n"/>
      <c r="G2332" s="80" t="n"/>
      <c r="H2332" s="80" t="n"/>
      <c r="I2332" s="80" t="n"/>
      <c r="J2332" s="80" t="n"/>
      <c r="K2332" s="80" t="n"/>
      <c r="L2332" s="80" t="n"/>
      <c r="M2332" s="80" t="n"/>
      <c r="N2332" s="80" t="n"/>
      <c r="O2332" s="80" t="n"/>
      <c r="P2332" s="80" t="n"/>
      <c r="Q2332" s="80" t="n"/>
      <c r="R2332" s="80" t="n"/>
      <c r="S2332" s="80" t="n"/>
      <c r="T2332" s="80" t="n"/>
      <c r="U2332" s="80" t="n"/>
      <c r="V2332" s="80" t="n"/>
      <c r="W2332" s="80" t="n"/>
      <c r="X2332" s="80" t="n"/>
      <c r="Y2332" s="80" t="n"/>
      <c r="Z2332" s="80" t="n"/>
      <c r="AA2332" s="80" t="n"/>
      <c r="AB2332" s="80" t="n"/>
      <c r="AC2332" s="80" t="n"/>
      <c r="AD2332" s="80" t="n"/>
      <c r="AE2332" s="80" t="n"/>
      <c r="AF2332" s="80" t="n"/>
      <c r="AG2332" s="80" t="n"/>
      <c r="AH2332" s="80" t="n"/>
      <c r="AI2332" s="80" t="n"/>
      <c r="AJ2332" s="80" t="n"/>
      <c r="AK2332" s="80" t="n"/>
      <c r="AL2332" s="80" t="n"/>
      <c r="AM2332" s="80" t="n"/>
      <c r="AN2332" s="80" t="n"/>
      <c r="AO2332" s="80" t="n"/>
      <c r="AP2332" s="80" t="n"/>
      <c r="AQ2332" s="80" t="n"/>
      <c r="AR2332" s="80" t="n"/>
    </row>
    <row r="2333">
      <c r="D2333" s="80" t="n"/>
      <c r="E2333" s="80" t="n"/>
      <c r="F2333" s="80" t="n"/>
      <c r="G2333" s="80" t="n"/>
      <c r="H2333" s="80" t="n"/>
      <c r="I2333" s="80" t="n"/>
      <c r="J2333" s="80" t="n"/>
      <c r="K2333" s="80" t="n"/>
      <c r="L2333" s="80" t="n"/>
      <c r="M2333" s="80" t="n"/>
      <c r="N2333" s="80" t="n"/>
      <c r="O2333" s="80" t="n"/>
      <c r="P2333" s="80" t="n"/>
      <c r="Q2333" s="80" t="n"/>
      <c r="R2333" s="80" t="n"/>
      <c r="S2333" s="80" t="n"/>
      <c r="T2333" s="80" t="n"/>
      <c r="U2333" s="80" t="n"/>
      <c r="V2333" s="80" t="n"/>
      <c r="W2333" s="80" t="n"/>
      <c r="X2333" s="80" t="n"/>
      <c r="Y2333" s="80" t="n"/>
      <c r="Z2333" s="80" t="n"/>
      <c r="AA2333" s="80" t="n"/>
      <c r="AB2333" s="80" t="n"/>
      <c r="AC2333" s="80" t="n"/>
      <c r="AD2333" s="80" t="n"/>
      <c r="AE2333" s="80" t="n"/>
      <c r="AF2333" s="80" t="n"/>
      <c r="AG2333" s="80" t="n"/>
      <c r="AH2333" s="80" t="n"/>
      <c r="AI2333" s="80" t="n"/>
      <c r="AJ2333" s="80" t="n"/>
      <c r="AK2333" s="80" t="n"/>
      <c r="AL2333" s="80" t="n"/>
      <c r="AM2333" s="80" t="n"/>
      <c r="AN2333" s="80" t="n"/>
      <c r="AO2333" s="80" t="n"/>
      <c r="AP2333" s="80" t="n"/>
      <c r="AQ2333" s="80" t="n"/>
      <c r="AR2333" s="80" t="n"/>
    </row>
    <row r="2334">
      <c r="D2334" s="80" t="n"/>
      <c r="E2334" s="80" t="n"/>
      <c r="F2334" s="80" t="n"/>
      <c r="G2334" s="80" t="n"/>
      <c r="H2334" s="80" t="n"/>
      <c r="I2334" s="80" t="n"/>
      <c r="J2334" s="80" t="n"/>
      <c r="K2334" s="80" t="n"/>
      <c r="L2334" s="80" t="n"/>
      <c r="M2334" s="80" t="n"/>
      <c r="N2334" s="80" t="n"/>
      <c r="O2334" s="80" t="n"/>
      <c r="P2334" s="80" t="n"/>
      <c r="Q2334" s="80" t="n"/>
      <c r="R2334" s="80" t="n"/>
      <c r="S2334" s="80" t="n"/>
      <c r="T2334" s="80" t="n"/>
      <c r="U2334" s="80" t="n"/>
      <c r="V2334" s="80" t="n"/>
      <c r="W2334" s="80" t="n"/>
      <c r="X2334" s="80" t="n"/>
      <c r="Y2334" s="80" t="n"/>
      <c r="Z2334" s="80" t="n"/>
      <c r="AA2334" s="80" t="n"/>
      <c r="AB2334" s="80" t="n"/>
      <c r="AC2334" s="80" t="n"/>
      <c r="AD2334" s="80" t="n"/>
      <c r="AE2334" s="80" t="n"/>
      <c r="AF2334" s="80" t="n"/>
      <c r="AG2334" s="80" t="n"/>
      <c r="AH2334" s="80" t="n"/>
      <c r="AI2334" s="80" t="n"/>
      <c r="AJ2334" s="80" t="n"/>
      <c r="AK2334" s="80" t="n"/>
      <c r="AL2334" s="80" t="n"/>
      <c r="AM2334" s="80" t="n"/>
      <c r="AN2334" s="80" t="n"/>
      <c r="AO2334" s="80" t="n"/>
      <c r="AP2334" s="80" t="n"/>
      <c r="AQ2334" s="80" t="n"/>
      <c r="AR2334" s="80" t="n"/>
    </row>
    <row r="2335">
      <c r="D2335" s="80" t="n"/>
      <c r="E2335" s="80" t="n"/>
      <c r="F2335" s="80" t="n"/>
      <c r="G2335" s="80" t="n"/>
      <c r="H2335" s="80" t="n"/>
      <c r="I2335" s="80" t="n"/>
      <c r="J2335" s="80" t="n"/>
      <c r="K2335" s="80" t="n"/>
      <c r="L2335" s="80" t="n"/>
      <c r="M2335" s="80" t="n"/>
      <c r="N2335" s="80" t="n"/>
      <c r="O2335" s="80" t="n"/>
      <c r="P2335" s="80" t="n"/>
      <c r="Q2335" s="80" t="n"/>
      <c r="R2335" s="80" t="n"/>
      <c r="S2335" s="80" t="n"/>
      <c r="T2335" s="80" t="n"/>
      <c r="U2335" s="80" t="n"/>
      <c r="V2335" s="80" t="n"/>
      <c r="W2335" s="80" t="n"/>
      <c r="X2335" s="80" t="n"/>
      <c r="Y2335" s="80" t="n"/>
      <c r="Z2335" s="80" t="n"/>
      <c r="AA2335" s="80" t="n"/>
      <c r="AB2335" s="80" t="n"/>
      <c r="AC2335" s="80" t="n"/>
      <c r="AD2335" s="80" t="n"/>
      <c r="AE2335" s="80" t="n"/>
      <c r="AF2335" s="80" t="n"/>
      <c r="AG2335" s="80" t="n"/>
      <c r="AH2335" s="80" t="n"/>
      <c r="AI2335" s="80" t="n"/>
      <c r="AJ2335" s="80" t="n"/>
      <c r="AK2335" s="80" t="n"/>
      <c r="AL2335" s="80" t="n"/>
      <c r="AM2335" s="80" t="n"/>
      <c r="AN2335" s="80" t="n"/>
      <c r="AO2335" s="80" t="n"/>
      <c r="AP2335" s="80" t="n"/>
      <c r="AQ2335" s="80" t="n"/>
      <c r="AR2335" s="80" t="n"/>
    </row>
    <row r="2336">
      <c r="A2336" s="2">
        <f>IF($A2329="","","   projections")</f>
        <v/>
      </c>
      <c r="B2336" s="41">
        <f>IF($A2329="",0,COUNT($E2337:$AR2337))</f>
        <v/>
      </c>
      <c r="C2336" s="81">
        <f>IF($B2336=0,0,MAX($E2337:$AR2337))</f>
        <v/>
      </c>
      <c r="D2336" s="82">
        <f>BDS($A2329,'Field Check'!$C$6,"headers=y","startcol=1","endcol=7","dir=h")</f>
        <v/>
      </c>
      <c r="E2336" s="83" t="n"/>
      <c r="F2336" s="83" t="n"/>
      <c r="G2336" s="83" t="n"/>
      <c r="H2336" s="83" t="n"/>
      <c r="I2336" s="83" t="n"/>
      <c r="J2336" s="83" t="n"/>
      <c r="K2336" s="83" t="n"/>
      <c r="L2336" s="83" t="n"/>
      <c r="M2336" s="83" t="n"/>
      <c r="N2336" s="83" t="n"/>
      <c r="O2336" s="83" t="n"/>
      <c r="P2336" s="83" t="n"/>
      <c r="Q2336" s="83" t="n"/>
      <c r="R2336" s="83" t="n"/>
      <c r="S2336" s="83" t="n"/>
      <c r="T2336" s="83" t="n"/>
      <c r="U2336" s="83" t="n"/>
      <c r="V2336" s="83" t="n"/>
      <c r="W2336" s="83" t="n"/>
      <c r="X2336" s="83" t="n"/>
      <c r="Y2336" s="83" t="n"/>
      <c r="Z2336" s="83" t="n"/>
      <c r="AA2336" s="83" t="n"/>
      <c r="AB2336" s="83" t="n"/>
      <c r="AC2336" s="83" t="n"/>
      <c r="AD2336" s="83" t="n"/>
      <c r="AE2336" s="83" t="n"/>
      <c r="AF2336" s="83" t="n"/>
      <c r="AG2336" s="83" t="n"/>
      <c r="AH2336" s="83" t="n"/>
      <c r="AI2336" s="83" t="n"/>
      <c r="AJ2336" s="83" t="n"/>
      <c r="AK2336" s="83" t="n"/>
      <c r="AL2336" s="83" t="n"/>
      <c r="AM2336" s="83" t="n"/>
      <c r="AN2336" s="83" t="n"/>
      <c r="AO2336" s="83" t="n"/>
      <c r="AP2336" s="83" t="n"/>
      <c r="AQ2336" s="83" t="n"/>
      <c r="AR2336" s="83" t="n"/>
    </row>
    <row r="2337">
      <c r="D2337" s="83" t="n"/>
      <c r="E2337" s="83" t="n"/>
      <c r="F2337" s="83" t="n"/>
      <c r="G2337" s="83" t="n"/>
      <c r="H2337" s="83" t="n"/>
      <c r="I2337" s="83" t="n"/>
      <c r="J2337" s="83" t="n"/>
      <c r="K2337" s="83" t="n"/>
      <c r="L2337" s="83" t="n"/>
      <c r="M2337" s="83" t="n"/>
      <c r="N2337" s="83" t="n"/>
      <c r="O2337" s="83" t="n"/>
      <c r="P2337" s="83" t="n"/>
      <c r="Q2337" s="83" t="n"/>
      <c r="R2337" s="83" t="n"/>
      <c r="S2337" s="83" t="n"/>
      <c r="T2337" s="83" t="n"/>
      <c r="U2337" s="83" t="n"/>
      <c r="V2337" s="83" t="n"/>
      <c r="W2337" s="83" t="n"/>
      <c r="X2337" s="83" t="n"/>
      <c r="Y2337" s="83" t="n"/>
      <c r="Z2337" s="83" t="n"/>
      <c r="AA2337" s="83" t="n"/>
      <c r="AB2337" s="83" t="n"/>
      <c r="AC2337" s="83" t="n"/>
      <c r="AD2337" s="83" t="n"/>
      <c r="AE2337" s="83" t="n"/>
      <c r="AF2337" s="83" t="n"/>
      <c r="AG2337" s="83" t="n"/>
      <c r="AH2337" s="83" t="n"/>
      <c r="AI2337" s="83" t="n"/>
      <c r="AJ2337" s="83" t="n"/>
      <c r="AK2337" s="83" t="n"/>
      <c r="AL2337" s="83" t="n"/>
      <c r="AM2337" s="83" t="n"/>
      <c r="AN2337" s="83" t="n"/>
      <c r="AO2337" s="83" t="n"/>
      <c r="AP2337" s="83" t="n"/>
      <c r="AQ2337" s="83" t="n"/>
      <c r="AR2337" s="83" t="n"/>
    </row>
    <row r="2338">
      <c r="D2338" s="84" t="n"/>
      <c r="E2338" s="84" t="n"/>
      <c r="F2338" s="84" t="n"/>
      <c r="G2338" s="84" t="n"/>
      <c r="H2338" s="84" t="n"/>
      <c r="I2338" s="84" t="n"/>
      <c r="J2338" s="84" t="n"/>
      <c r="K2338" s="84" t="n"/>
      <c r="L2338" s="84" t="n"/>
      <c r="M2338" s="84" t="n"/>
      <c r="N2338" s="84" t="n"/>
      <c r="O2338" s="84" t="n"/>
      <c r="P2338" s="84" t="n"/>
      <c r="Q2338" s="84" t="n"/>
      <c r="R2338" s="84" t="n"/>
      <c r="S2338" s="84" t="n"/>
      <c r="T2338" s="84" t="n"/>
      <c r="U2338" s="84" t="n"/>
      <c r="V2338" s="84" t="n"/>
      <c r="W2338" s="84" t="n"/>
      <c r="X2338" s="84" t="n"/>
      <c r="Y2338" s="84" t="n"/>
      <c r="Z2338" s="84" t="n"/>
      <c r="AA2338" s="84" t="n"/>
      <c r="AB2338" s="84" t="n"/>
      <c r="AC2338" s="84" t="n"/>
      <c r="AD2338" s="84" t="n"/>
      <c r="AE2338" s="84" t="n"/>
      <c r="AF2338" s="84" t="n"/>
      <c r="AG2338" s="84" t="n"/>
      <c r="AH2338" s="84" t="n"/>
      <c r="AI2338" s="84" t="n"/>
      <c r="AJ2338" s="84" t="n"/>
      <c r="AK2338" s="84" t="n"/>
      <c r="AL2338" s="84" t="n"/>
      <c r="AM2338" s="84" t="n"/>
      <c r="AN2338" s="84" t="n"/>
      <c r="AO2338" s="84" t="n"/>
      <c r="AP2338" s="84" t="n"/>
      <c r="AQ2338" s="84" t="n"/>
      <c r="AR2338" s="84" t="n"/>
    </row>
    <row r="2339">
      <c r="D2339" s="80" t="n"/>
      <c r="E2339" s="80" t="n"/>
      <c r="F2339" s="80" t="n"/>
      <c r="G2339" s="80" t="n"/>
      <c r="H2339" s="80" t="n"/>
      <c r="I2339" s="80" t="n"/>
      <c r="J2339" s="80" t="n"/>
      <c r="K2339" s="80" t="n"/>
      <c r="L2339" s="80" t="n"/>
      <c r="M2339" s="80" t="n"/>
      <c r="N2339" s="80" t="n"/>
      <c r="O2339" s="80" t="n"/>
      <c r="P2339" s="80" t="n"/>
      <c r="Q2339" s="80" t="n"/>
      <c r="R2339" s="80" t="n"/>
      <c r="S2339" s="80" t="n"/>
      <c r="T2339" s="80" t="n"/>
      <c r="U2339" s="80" t="n"/>
      <c r="V2339" s="80" t="n"/>
      <c r="W2339" s="80" t="n"/>
      <c r="X2339" s="80" t="n"/>
      <c r="Y2339" s="80" t="n"/>
      <c r="Z2339" s="80" t="n"/>
      <c r="AA2339" s="80" t="n"/>
      <c r="AB2339" s="80" t="n"/>
      <c r="AC2339" s="80" t="n"/>
      <c r="AD2339" s="80" t="n"/>
      <c r="AE2339" s="80" t="n"/>
      <c r="AF2339" s="80" t="n"/>
      <c r="AG2339" s="80" t="n"/>
      <c r="AH2339" s="80" t="n"/>
      <c r="AI2339" s="80" t="n"/>
      <c r="AJ2339" s="80" t="n"/>
      <c r="AK2339" s="80" t="n"/>
      <c r="AL2339" s="80" t="n"/>
      <c r="AM2339" s="80" t="n"/>
      <c r="AN2339" s="80" t="n"/>
      <c r="AO2339" s="80" t="n"/>
      <c r="AP2339" s="80" t="n"/>
      <c r="AQ2339" s="80" t="n"/>
      <c r="AR2339" s="80" t="n"/>
    </row>
    <row r="2340">
      <c r="D2340" s="80" t="n"/>
      <c r="E2340" s="80" t="n"/>
      <c r="F2340" s="80" t="n"/>
      <c r="G2340" s="80" t="n"/>
      <c r="H2340" s="80" t="n"/>
      <c r="I2340" s="80" t="n"/>
      <c r="J2340" s="80" t="n"/>
      <c r="K2340" s="80" t="n"/>
      <c r="L2340" s="80" t="n"/>
      <c r="M2340" s="80" t="n"/>
      <c r="N2340" s="80" t="n"/>
      <c r="O2340" s="80" t="n"/>
      <c r="P2340" s="80" t="n"/>
      <c r="Q2340" s="80" t="n"/>
      <c r="R2340" s="80" t="n"/>
      <c r="S2340" s="80" t="n"/>
      <c r="T2340" s="80" t="n"/>
      <c r="U2340" s="80" t="n"/>
      <c r="V2340" s="80" t="n"/>
      <c r="W2340" s="80" t="n"/>
      <c r="X2340" s="80" t="n"/>
      <c r="Y2340" s="80" t="n"/>
      <c r="Z2340" s="80" t="n"/>
      <c r="AA2340" s="80" t="n"/>
      <c r="AB2340" s="80" t="n"/>
      <c r="AC2340" s="80" t="n"/>
      <c r="AD2340" s="80" t="n"/>
      <c r="AE2340" s="80" t="n"/>
      <c r="AF2340" s="80" t="n"/>
      <c r="AG2340" s="80" t="n"/>
      <c r="AH2340" s="80" t="n"/>
      <c r="AI2340" s="80" t="n"/>
      <c r="AJ2340" s="80" t="n"/>
      <c r="AK2340" s="80" t="n"/>
      <c r="AL2340" s="80" t="n"/>
      <c r="AM2340" s="80" t="n"/>
      <c r="AN2340" s="80" t="n"/>
      <c r="AO2340" s="80" t="n"/>
      <c r="AP2340" s="80" t="n"/>
      <c r="AQ2340" s="80" t="n"/>
      <c r="AR2340" s="80" t="n"/>
    </row>
    <row r="2341">
      <c r="D2341" s="80" t="n"/>
      <c r="E2341" s="80" t="n"/>
      <c r="F2341" s="80" t="n"/>
      <c r="G2341" s="80" t="n"/>
      <c r="H2341" s="80" t="n"/>
      <c r="I2341" s="80" t="n"/>
      <c r="J2341" s="80" t="n"/>
      <c r="K2341" s="80" t="n"/>
      <c r="L2341" s="80" t="n"/>
      <c r="M2341" s="80" t="n"/>
      <c r="N2341" s="80" t="n"/>
      <c r="O2341" s="80" t="n"/>
      <c r="P2341" s="80" t="n"/>
      <c r="Q2341" s="80" t="n"/>
      <c r="R2341" s="80" t="n"/>
      <c r="S2341" s="80" t="n"/>
      <c r="T2341" s="80" t="n"/>
      <c r="U2341" s="80" t="n"/>
      <c r="V2341" s="80" t="n"/>
      <c r="W2341" s="80" t="n"/>
      <c r="X2341" s="80" t="n"/>
      <c r="Y2341" s="80" t="n"/>
      <c r="Z2341" s="80" t="n"/>
      <c r="AA2341" s="80" t="n"/>
      <c r="AB2341" s="80" t="n"/>
      <c r="AC2341" s="80" t="n"/>
      <c r="AD2341" s="80" t="n"/>
      <c r="AE2341" s="80" t="n"/>
      <c r="AF2341" s="80" t="n"/>
      <c r="AG2341" s="80" t="n"/>
      <c r="AH2341" s="80" t="n"/>
      <c r="AI2341" s="80" t="n"/>
      <c r="AJ2341" s="80" t="n"/>
      <c r="AK2341" s="80" t="n"/>
      <c r="AL2341" s="80" t="n"/>
      <c r="AM2341" s="80" t="n"/>
      <c r="AN2341" s="80" t="n"/>
      <c r="AO2341" s="80" t="n"/>
      <c r="AP2341" s="80" t="n"/>
      <c r="AQ2341" s="80" t="n"/>
      <c r="AR2341" s="80" t="n"/>
    </row>
    <row r="2342">
      <c r="D2342" s="80" t="n"/>
      <c r="E2342" s="80" t="n"/>
      <c r="F2342" s="80" t="n"/>
      <c r="G2342" s="80" t="n"/>
      <c r="H2342" s="80" t="n"/>
      <c r="I2342" s="80" t="n"/>
      <c r="J2342" s="80" t="n"/>
      <c r="K2342" s="80" t="n"/>
      <c r="L2342" s="80" t="n"/>
      <c r="M2342" s="80" t="n"/>
      <c r="N2342" s="80" t="n"/>
      <c r="O2342" s="80" t="n"/>
      <c r="P2342" s="80" t="n"/>
      <c r="Q2342" s="80" t="n"/>
      <c r="R2342" s="80" t="n"/>
      <c r="S2342" s="80" t="n"/>
      <c r="T2342" s="80" t="n"/>
      <c r="U2342" s="80" t="n"/>
      <c r="V2342" s="80" t="n"/>
      <c r="W2342" s="80" t="n"/>
      <c r="X2342" s="80" t="n"/>
      <c r="Y2342" s="80" t="n"/>
      <c r="Z2342" s="80" t="n"/>
      <c r="AA2342" s="80" t="n"/>
      <c r="AB2342" s="80" t="n"/>
      <c r="AC2342" s="80" t="n"/>
      <c r="AD2342" s="80" t="n"/>
      <c r="AE2342" s="80" t="n"/>
      <c r="AF2342" s="80" t="n"/>
      <c r="AG2342" s="80" t="n"/>
      <c r="AH2342" s="80" t="n"/>
      <c r="AI2342" s="80" t="n"/>
      <c r="AJ2342" s="80" t="n"/>
      <c r="AK2342" s="80" t="n"/>
      <c r="AL2342" s="80" t="n"/>
      <c r="AM2342" s="80" t="n"/>
      <c r="AN2342" s="80" t="n"/>
      <c r="AO2342" s="80" t="n"/>
      <c r="AP2342" s="80" t="n"/>
      <c r="AQ2342" s="80" t="n"/>
      <c r="AR2342" s="80" t="n"/>
    </row>
    <row r="2344">
      <c r="A2344" s="6">
        <f>IF(HSCEI!$C$22="","",HSCEI!$C$22)</f>
        <v/>
      </c>
      <c r="B2344" s="41">
        <f>IF($A2344="",0,COUNT($E2345:$AR2345))</f>
        <v/>
      </c>
      <c r="C2344" s="81">
        <f>IF($B2344=0,0,MAX($E2345:$AR2345))</f>
        <v/>
      </c>
      <c r="D2344" s="82">
        <f>BDS($A2344,'Field Check'!$C$7,"headers=y","startcol=1","endcol=7","dir=h","DVD_START_DT",Summary!$C$18,"DVD_END_DT",Summary!$D$18)</f>
        <v/>
      </c>
      <c r="E2344" s="83" t="n"/>
      <c r="F2344" s="83" t="n"/>
      <c r="G2344" s="83" t="n"/>
      <c r="H2344" s="83" t="n"/>
      <c r="I2344" s="83" t="n"/>
      <c r="J2344" s="83" t="n"/>
      <c r="K2344" s="83" t="n"/>
      <c r="L2344" s="83" t="n"/>
      <c r="M2344" s="83" t="n"/>
      <c r="N2344" s="83" t="n"/>
      <c r="O2344" s="83" t="n"/>
      <c r="P2344" s="83" t="n"/>
      <c r="Q2344" s="83" t="n"/>
      <c r="R2344" s="83" t="n"/>
      <c r="S2344" s="83" t="n"/>
      <c r="T2344" s="83" t="n"/>
      <c r="U2344" s="83" t="n"/>
      <c r="V2344" s="83" t="n"/>
      <c r="W2344" s="83" t="n"/>
      <c r="X2344" s="83" t="n"/>
      <c r="Y2344" s="83" t="n"/>
      <c r="Z2344" s="83" t="n"/>
      <c r="AA2344" s="83" t="n"/>
      <c r="AB2344" s="83" t="n"/>
      <c r="AC2344" s="83" t="n"/>
      <c r="AD2344" s="83" t="n"/>
      <c r="AE2344" s="83" t="n"/>
      <c r="AF2344" s="83" t="n"/>
      <c r="AG2344" s="83" t="n"/>
      <c r="AH2344" s="83" t="n"/>
      <c r="AI2344" s="83" t="n"/>
      <c r="AJ2344" s="83" t="n"/>
      <c r="AK2344" s="83" t="n"/>
      <c r="AL2344" s="83" t="n"/>
      <c r="AM2344" s="83" t="n"/>
      <c r="AN2344" s="83" t="n"/>
      <c r="AO2344" s="83" t="n"/>
      <c r="AP2344" s="83" t="n"/>
      <c r="AQ2344" s="83" t="n"/>
      <c r="AR2344" s="83" t="n"/>
    </row>
    <row r="2345">
      <c r="D2345" s="83" t="n"/>
      <c r="E2345" s="83" t="n"/>
      <c r="F2345" s="83" t="n"/>
      <c r="G2345" s="83" t="n"/>
      <c r="H2345" s="83" t="n"/>
      <c r="I2345" s="83" t="n"/>
      <c r="J2345" s="83" t="n"/>
      <c r="K2345" s="83" t="n"/>
      <c r="L2345" s="83" t="n"/>
      <c r="M2345" s="83" t="n"/>
      <c r="N2345" s="83" t="n"/>
      <c r="O2345" s="83" t="n"/>
      <c r="P2345" s="83" t="n"/>
      <c r="Q2345" s="83" t="n"/>
      <c r="R2345" s="83" t="n"/>
      <c r="S2345" s="83" t="n"/>
      <c r="T2345" s="83" t="n"/>
      <c r="U2345" s="83" t="n"/>
      <c r="V2345" s="83" t="n"/>
      <c r="W2345" s="83" t="n"/>
      <c r="X2345" s="83" t="n"/>
      <c r="Y2345" s="83" t="n"/>
      <c r="Z2345" s="83" t="n"/>
      <c r="AA2345" s="83" t="n"/>
      <c r="AB2345" s="83" t="n"/>
      <c r="AC2345" s="83" t="n"/>
      <c r="AD2345" s="83" t="n"/>
      <c r="AE2345" s="83" t="n"/>
      <c r="AF2345" s="83" t="n"/>
      <c r="AG2345" s="83" t="n"/>
      <c r="AH2345" s="83" t="n"/>
      <c r="AI2345" s="83" t="n"/>
      <c r="AJ2345" s="83" t="n"/>
      <c r="AK2345" s="83" t="n"/>
      <c r="AL2345" s="83" t="n"/>
      <c r="AM2345" s="83" t="n"/>
      <c r="AN2345" s="83" t="n"/>
      <c r="AO2345" s="83" t="n"/>
      <c r="AP2345" s="83" t="n"/>
      <c r="AQ2345" s="83" t="n"/>
      <c r="AR2345" s="83" t="n"/>
    </row>
    <row r="2346">
      <c r="D2346" s="84" t="n"/>
      <c r="E2346" s="84" t="n"/>
      <c r="F2346" s="84" t="n"/>
      <c r="G2346" s="84" t="n"/>
      <c r="H2346" s="84" t="n"/>
      <c r="I2346" s="84" t="n"/>
      <c r="J2346" s="84" t="n"/>
      <c r="K2346" s="84" t="n"/>
      <c r="L2346" s="84" t="n"/>
      <c r="M2346" s="84" t="n"/>
      <c r="N2346" s="84" t="n"/>
      <c r="O2346" s="84" t="n"/>
      <c r="P2346" s="84" t="n"/>
      <c r="Q2346" s="84" t="n"/>
      <c r="R2346" s="84" t="n"/>
      <c r="S2346" s="84" t="n"/>
      <c r="T2346" s="84" t="n"/>
      <c r="U2346" s="84" t="n"/>
      <c r="V2346" s="84" t="n"/>
      <c r="W2346" s="84" t="n"/>
      <c r="X2346" s="84" t="n"/>
      <c r="Y2346" s="84" t="n"/>
      <c r="Z2346" s="84" t="n"/>
      <c r="AA2346" s="84" t="n"/>
      <c r="AB2346" s="84" t="n"/>
      <c r="AC2346" s="84" t="n"/>
      <c r="AD2346" s="84" t="n"/>
      <c r="AE2346" s="84" t="n"/>
      <c r="AF2346" s="84" t="n"/>
      <c r="AG2346" s="84" t="n"/>
      <c r="AH2346" s="84" t="n"/>
      <c r="AI2346" s="84" t="n"/>
      <c r="AJ2346" s="84" t="n"/>
      <c r="AK2346" s="84" t="n"/>
      <c r="AL2346" s="84" t="n"/>
      <c r="AM2346" s="84" t="n"/>
      <c r="AN2346" s="84" t="n"/>
      <c r="AO2346" s="84" t="n"/>
      <c r="AP2346" s="84" t="n"/>
      <c r="AQ2346" s="84" t="n"/>
      <c r="AR2346" s="84" t="n"/>
    </row>
    <row r="2347">
      <c r="D2347" s="80" t="n"/>
      <c r="E2347" s="80" t="n"/>
      <c r="F2347" s="80" t="n"/>
      <c r="G2347" s="80" t="n"/>
      <c r="H2347" s="80" t="n"/>
      <c r="I2347" s="80" t="n"/>
      <c r="J2347" s="80" t="n"/>
      <c r="K2347" s="80" t="n"/>
      <c r="L2347" s="80" t="n"/>
      <c r="M2347" s="80" t="n"/>
      <c r="N2347" s="80" t="n"/>
      <c r="O2347" s="80" t="n"/>
      <c r="P2347" s="80" t="n"/>
      <c r="Q2347" s="80" t="n"/>
      <c r="R2347" s="80" t="n"/>
      <c r="S2347" s="80" t="n"/>
      <c r="T2347" s="80" t="n"/>
      <c r="U2347" s="80" t="n"/>
      <c r="V2347" s="80" t="n"/>
      <c r="W2347" s="80" t="n"/>
      <c r="X2347" s="80" t="n"/>
      <c r="Y2347" s="80" t="n"/>
      <c r="Z2347" s="80" t="n"/>
      <c r="AA2347" s="80" t="n"/>
      <c r="AB2347" s="80" t="n"/>
      <c r="AC2347" s="80" t="n"/>
      <c r="AD2347" s="80" t="n"/>
      <c r="AE2347" s="80" t="n"/>
      <c r="AF2347" s="80" t="n"/>
      <c r="AG2347" s="80" t="n"/>
      <c r="AH2347" s="80" t="n"/>
      <c r="AI2347" s="80" t="n"/>
      <c r="AJ2347" s="80" t="n"/>
      <c r="AK2347" s="80" t="n"/>
      <c r="AL2347" s="80" t="n"/>
      <c r="AM2347" s="80" t="n"/>
      <c r="AN2347" s="80" t="n"/>
      <c r="AO2347" s="80" t="n"/>
      <c r="AP2347" s="80" t="n"/>
      <c r="AQ2347" s="80" t="n"/>
      <c r="AR2347" s="80" t="n"/>
    </row>
    <row r="2348">
      <c r="D2348" s="80" t="n"/>
      <c r="E2348" s="80" t="n"/>
      <c r="F2348" s="80" t="n"/>
      <c r="G2348" s="80" t="n"/>
      <c r="H2348" s="80" t="n"/>
      <c r="I2348" s="80" t="n"/>
      <c r="J2348" s="80" t="n"/>
      <c r="K2348" s="80" t="n"/>
      <c r="L2348" s="80" t="n"/>
      <c r="M2348" s="80" t="n"/>
      <c r="N2348" s="80" t="n"/>
      <c r="O2348" s="80" t="n"/>
      <c r="P2348" s="80" t="n"/>
      <c r="Q2348" s="80" t="n"/>
      <c r="R2348" s="80" t="n"/>
      <c r="S2348" s="80" t="n"/>
      <c r="T2348" s="80" t="n"/>
      <c r="U2348" s="80" t="n"/>
      <c r="V2348" s="80" t="n"/>
      <c r="W2348" s="80" t="n"/>
      <c r="X2348" s="80" t="n"/>
      <c r="Y2348" s="80" t="n"/>
      <c r="Z2348" s="80" t="n"/>
      <c r="AA2348" s="80" t="n"/>
      <c r="AB2348" s="80" t="n"/>
      <c r="AC2348" s="80" t="n"/>
      <c r="AD2348" s="80" t="n"/>
      <c r="AE2348" s="80" t="n"/>
      <c r="AF2348" s="80" t="n"/>
      <c r="AG2348" s="80" t="n"/>
      <c r="AH2348" s="80" t="n"/>
      <c r="AI2348" s="80" t="n"/>
      <c r="AJ2348" s="80" t="n"/>
      <c r="AK2348" s="80" t="n"/>
      <c r="AL2348" s="80" t="n"/>
      <c r="AM2348" s="80" t="n"/>
      <c r="AN2348" s="80" t="n"/>
      <c r="AO2348" s="80" t="n"/>
      <c r="AP2348" s="80" t="n"/>
      <c r="AQ2348" s="80" t="n"/>
      <c r="AR2348" s="80" t="n"/>
    </row>
    <row r="2349">
      <c r="D2349" s="80" t="n"/>
      <c r="E2349" s="80" t="n"/>
      <c r="F2349" s="80" t="n"/>
      <c r="G2349" s="80" t="n"/>
      <c r="H2349" s="80" t="n"/>
      <c r="I2349" s="80" t="n"/>
      <c r="J2349" s="80" t="n"/>
      <c r="K2349" s="80" t="n"/>
      <c r="L2349" s="80" t="n"/>
      <c r="M2349" s="80" t="n"/>
      <c r="N2349" s="80" t="n"/>
      <c r="O2349" s="80" t="n"/>
      <c r="P2349" s="80" t="n"/>
      <c r="Q2349" s="80" t="n"/>
      <c r="R2349" s="80" t="n"/>
      <c r="S2349" s="80" t="n"/>
      <c r="T2349" s="80" t="n"/>
      <c r="U2349" s="80" t="n"/>
      <c r="V2349" s="80" t="n"/>
      <c r="W2349" s="80" t="n"/>
      <c r="X2349" s="80" t="n"/>
      <c r="Y2349" s="80" t="n"/>
      <c r="Z2349" s="80" t="n"/>
      <c r="AA2349" s="80" t="n"/>
      <c r="AB2349" s="80" t="n"/>
      <c r="AC2349" s="80" t="n"/>
      <c r="AD2349" s="80" t="n"/>
      <c r="AE2349" s="80" t="n"/>
      <c r="AF2349" s="80" t="n"/>
      <c r="AG2349" s="80" t="n"/>
      <c r="AH2349" s="80" t="n"/>
      <c r="AI2349" s="80" t="n"/>
      <c r="AJ2349" s="80" t="n"/>
      <c r="AK2349" s="80" t="n"/>
      <c r="AL2349" s="80" t="n"/>
      <c r="AM2349" s="80" t="n"/>
      <c r="AN2349" s="80" t="n"/>
      <c r="AO2349" s="80" t="n"/>
      <c r="AP2349" s="80" t="n"/>
      <c r="AQ2349" s="80" t="n"/>
      <c r="AR2349" s="80" t="n"/>
    </row>
    <row r="2350">
      <c r="D2350" s="80" t="n"/>
      <c r="E2350" s="80" t="n"/>
      <c r="F2350" s="80" t="n"/>
      <c r="G2350" s="80" t="n"/>
      <c r="H2350" s="80" t="n"/>
      <c r="I2350" s="80" t="n"/>
      <c r="J2350" s="80" t="n"/>
      <c r="K2350" s="80" t="n"/>
      <c r="L2350" s="80" t="n"/>
      <c r="M2350" s="80" t="n"/>
      <c r="N2350" s="80" t="n"/>
      <c r="O2350" s="80" t="n"/>
      <c r="P2350" s="80" t="n"/>
      <c r="Q2350" s="80" t="n"/>
      <c r="R2350" s="80" t="n"/>
      <c r="S2350" s="80" t="n"/>
      <c r="T2350" s="80" t="n"/>
      <c r="U2350" s="80" t="n"/>
      <c r="V2350" s="80" t="n"/>
      <c r="W2350" s="80" t="n"/>
      <c r="X2350" s="80" t="n"/>
      <c r="Y2350" s="80" t="n"/>
      <c r="Z2350" s="80" t="n"/>
      <c r="AA2350" s="80" t="n"/>
      <c r="AB2350" s="80" t="n"/>
      <c r="AC2350" s="80" t="n"/>
      <c r="AD2350" s="80" t="n"/>
      <c r="AE2350" s="80" t="n"/>
      <c r="AF2350" s="80" t="n"/>
      <c r="AG2350" s="80" t="n"/>
      <c r="AH2350" s="80" t="n"/>
      <c r="AI2350" s="80" t="n"/>
      <c r="AJ2350" s="80" t="n"/>
      <c r="AK2350" s="80" t="n"/>
      <c r="AL2350" s="80" t="n"/>
      <c r="AM2350" s="80" t="n"/>
      <c r="AN2350" s="80" t="n"/>
      <c r="AO2350" s="80" t="n"/>
      <c r="AP2350" s="80" t="n"/>
      <c r="AQ2350" s="80" t="n"/>
      <c r="AR2350" s="80" t="n"/>
    </row>
    <row r="2351">
      <c r="A2351" s="2">
        <f>IF($A2344="","","   projections")</f>
        <v/>
      </c>
      <c r="B2351" s="41">
        <f>IF($A2344="",0,COUNT($E2352:$AR2352))</f>
        <v/>
      </c>
      <c r="C2351" s="81">
        <f>IF($B2351=0,0,MAX($E2352:$AR2352))</f>
        <v/>
      </c>
      <c r="D2351" s="82">
        <f>BDS($A2344,'Field Check'!$C$6,"headers=y","startcol=1","endcol=7","dir=h")</f>
        <v/>
      </c>
      <c r="E2351" s="83" t="n"/>
      <c r="F2351" s="83" t="n"/>
      <c r="G2351" s="83" t="n"/>
      <c r="H2351" s="83" t="n"/>
      <c r="I2351" s="83" t="n"/>
      <c r="J2351" s="83" t="n"/>
      <c r="K2351" s="83" t="n"/>
      <c r="L2351" s="83" t="n"/>
      <c r="M2351" s="83" t="n"/>
      <c r="N2351" s="83" t="n"/>
      <c r="O2351" s="83" t="n"/>
      <c r="P2351" s="83" t="n"/>
      <c r="Q2351" s="83" t="n"/>
      <c r="R2351" s="83" t="n"/>
      <c r="S2351" s="83" t="n"/>
      <c r="T2351" s="83" t="n"/>
      <c r="U2351" s="83" t="n"/>
      <c r="V2351" s="83" t="n"/>
      <c r="W2351" s="83" t="n"/>
      <c r="X2351" s="83" t="n"/>
      <c r="Y2351" s="83" t="n"/>
      <c r="Z2351" s="83" t="n"/>
      <c r="AA2351" s="83" t="n"/>
      <c r="AB2351" s="83" t="n"/>
      <c r="AC2351" s="83" t="n"/>
      <c r="AD2351" s="83" t="n"/>
      <c r="AE2351" s="83" t="n"/>
      <c r="AF2351" s="83" t="n"/>
      <c r="AG2351" s="83" t="n"/>
      <c r="AH2351" s="83" t="n"/>
      <c r="AI2351" s="83" t="n"/>
      <c r="AJ2351" s="83" t="n"/>
      <c r="AK2351" s="83" t="n"/>
      <c r="AL2351" s="83" t="n"/>
      <c r="AM2351" s="83" t="n"/>
      <c r="AN2351" s="83" t="n"/>
      <c r="AO2351" s="83" t="n"/>
      <c r="AP2351" s="83" t="n"/>
      <c r="AQ2351" s="83" t="n"/>
      <c r="AR2351" s="83" t="n"/>
    </row>
    <row r="2352">
      <c r="D2352" s="83" t="n"/>
      <c r="E2352" s="83" t="n"/>
      <c r="F2352" s="83" t="n"/>
      <c r="G2352" s="83" t="n"/>
      <c r="H2352" s="83" t="n"/>
      <c r="I2352" s="83" t="n"/>
      <c r="J2352" s="83" t="n"/>
      <c r="K2352" s="83" t="n"/>
      <c r="L2352" s="83" t="n"/>
      <c r="M2352" s="83" t="n"/>
      <c r="N2352" s="83" t="n"/>
      <c r="O2352" s="83" t="n"/>
      <c r="P2352" s="83" t="n"/>
      <c r="Q2352" s="83" t="n"/>
      <c r="R2352" s="83" t="n"/>
      <c r="S2352" s="83" t="n"/>
      <c r="T2352" s="83" t="n"/>
      <c r="U2352" s="83" t="n"/>
      <c r="V2352" s="83" t="n"/>
      <c r="W2352" s="83" t="n"/>
      <c r="X2352" s="83" t="n"/>
      <c r="Y2352" s="83" t="n"/>
      <c r="Z2352" s="83" t="n"/>
      <c r="AA2352" s="83" t="n"/>
      <c r="AB2352" s="83" t="n"/>
      <c r="AC2352" s="83" t="n"/>
      <c r="AD2352" s="83" t="n"/>
      <c r="AE2352" s="83" t="n"/>
      <c r="AF2352" s="83" t="n"/>
      <c r="AG2352" s="83" t="n"/>
      <c r="AH2352" s="83" t="n"/>
      <c r="AI2352" s="83" t="n"/>
      <c r="AJ2352" s="83" t="n"/>
      <c r="AK2352" s="83" t="n"/>
      <c r="AL2352" s="83" t="n"/>
      <c r="AM2352" s="83" t="n"/>
      <c r="AN2352" s="83" t="n"/>
      <c r="AO2352" s="83" t="n"/>
      <c r="AP2352" s="83" t="n"/>
      <c r="AQ2352" s="83" t="n"/>
      <c r="AR2352" s="83" t="n"/>
    </row>
    <row r="2353">
      <c r="D2353" s="84" t="n"/>
      <c r="E2353" s="84" t="n"/>
      <c r="F2353" s="84" t="n"/>
      <c r="G2353" s="84" t="n"/>
      <c r="H2353" s="84" t="n"/>
      <c r="I2353" s="84" t="n"/>
      <c r="J2353" s="84" t="n"/>
      <c r="K2353" s="84" t="n"/>
      <c r="L2353" s="84" t="n"/>
      <c r="M2353" s="84" t="n"/>
      <c r="N2353" s="84" t="n"/>
      <c r="O2353" s="84" t="n"/>
      <c r="P2353" s="84" t="n"/>
      <c r="Q2353" s="84" t="n"/>
      <c r="R2353" s="84" t="n"/>
      <c r="S2353" s="84" t="n"/>
      <c r="T2353" s="84" t="n"/>
      <c r="U2353" s="84" t="n"/>
      <c r="V2353" s="84" t="n"/>
      <c r="W2353" s="84" t="n"/>
      <c r="X2353" s="84" t="n"/>
      <c r="Y2353" s="84" t="n"/>
      <c r="Z2353" s="84" t="n"/>
      <c r="AA2353" s="84" t="n"/>
      <c r="AB2353" s="84" t="n"/>
      <c r="AC2353" s="84" t="n"/>
      <c r="AD2353" s="84" t="n"/>
      <c r="AE2353" s="84" t="n"/>
      <c r="AF2353" s="84" t="n"/>
      <c r="AG2353" s="84" t="n"/>
      <c r="AH2353" s="84" t="n"/>
      <c r="AI2353" s="84" t="n"/>
      <c r="AJ2353" s="84" t="n"/>
      <c r="AK2353" s="84" t="n"/>
      <c r="AL2353" s="84" t="n"/>
      <c r="AM2353" s="84" t="n"/>
      <c r="AN2353" s="84" t="n"/>
      <c r="AO2353" s="84" t="n"/>
      <c r="AP2353" s="84" t="n"/>
      <c r="AQ2353" s="84" t="n"/>
      <c r="AR2353" s="84" t="n"/>
    </row>
    <row r="2354">
      <c r="D2354" s="80" t="n"/>
      <c r="E2354" s="80" t="n"/>
      <c r="F2354" s="80" t="n"/>
      <c r="G2354" s="80" t="n"/>
      <c r="H2354" s="80" t="n"/>
      <c r="I2354" s="80" t="n"/>
      <c r="J2354" s="80" t="n"/>
      <c r="K2354" s="80" t="n"/>
      <c r="L2354" s="80" t="n"/>
      <c r="M2354" s="80" t="n"/>
      <c r="N2354" s="80" t="n"/>
      <c r="O2354" s="80" t="n"/>
      <c r="P2354" s="80" t="n"/>
      <c r="Q2354" s="80" t="n"/>
      <c r="R2354" s="80" t="n"/>
      <c r="S2354" s="80" t="n"/>
      <c r="T2354" s="80" t="n"/>
      <c r="U2354" s="80" t="n"/>
      <c r="V2354" s="80" t="n"/>
      <c r="W2354" s="80" t="n"/>
      <c r="X2354" s="80" t="n"/>
      <c r="Y2354" s="80" t="n"/>
      <c r="Z2354" s="80" t="n"/>
      <c r="AA2354" s="80" t="n"/>
      <c r="AB2354" s="80" t="n"/>
      <c r="AC2354" s="80" t="n"/>
      <c r="AD2354" s="80" t="n"/>
      <c r="AE2354" s="80" t="n"/>
      <c r="AF2354" s="80" t="n"/>
      <c r="AG2354" s="80" t="n"/>
      <c r="AH2354" s="80" t="n"/>
      <c r="AI2354" s="80" t="n"/>
      <c r="AJ2354" s="80" t="n"/>
      <c r="AK2354" s="80" t="n"/>
      <c r="AL2354" s="80" t="n"/>
      <c r="AM2354" s="80" t="n"/>
      <c r="AN2354" s="80" t="n"/>
      <c r="AO2354" s="80" t="n"/>
      <c r="AP2354" s="80" t="n"/>
      <c r="AQ2354" s="80" t="n"/>
      <c r="AR2354" s="80" t="n"/>
    </row>
    <row r="2355">
      <c r="D2355" s="80" t="n"/>
      <c r="E2355" s="80" t="n"/>
      <c r="F2355" s="80" t="n"/>
      <c r="G2355" s="80" t="n"/>
      <c r="H2355" s="80" t="n"/>
      <c r="I2355" s="80" t="n"/>
      <c r="J2355" s="80" t="n"/>
      <c r="K2355" s="80" t="n"/>
      <c r="L2355" s="80" t="n"/>
      <c r="M2355" s="80" t="n"/>
      <c r="N2355" s="80" t="n"/>
      <c r="O2355" s="80" t="n"/>
      <c r="P2355" s="80" t="n"/>
      <c r="Q2355" s="80" t="n"/>
      <c r="R2355" s="80" t="n"/>
      <c r="S2355" s="80" t="n"/>
      <c r="T2355" s="80" t="n"/>
      <c r="U2355" s="80" t="n"/>
      <c r="V2355" s="80" t="n"/>
      <c r="W2355" s="80" t="n"/>
      <c r="X2355" s="80" t="n"/>
      <c r="Y2355" s="80" t="n"/>
      <c r="Z2355" s="80" t="n"/>
      <c r="AA2355" s="80" t="n"/>
      <c r="AB2355" s="80" t="n"/>
      <c r="AC2355" s="80" t="n"/>
      <c r="AD2355" s="80" t="n"/>
      <c r="AE2355" s="80" t="n"/>
      <c r="AF2355" s="80" t="n"/>
      <c r="AG2355" s="80" t="n"/>
      <c r="AH2355" s="80" t="n"/>
      <c r="AI2355" s="80" t="n"/>
      <c r="AJ2355" s="80" t="n"/>
      <c r="AK2355" s="80" t="n"/>
      <c r="AL2355" s="80" t="n"/>
      <c r="AM2355" s="80" t="n"/>
      <c r="AN2355" s="80" t="n"/>
      <c r="AO2355" s="80" t="n"/>
      <c r="AP2355" s="80" t="n"/>
      <c r="AQ2355" s="80" t="n"/>
      <c r="AR2355" s="80" t="n"/>
    </row>
    <row r="2356">
      <c r="D2356" s="80" t="n"/>
      <c r="E2356" s="80" t="n"/>
      <c r="F2356" s="80" t="n"/>
      <c r="G2356" s="80" t="n"/>
      <c r="H2356" s="80" t="n"/>
      <c r="I2356" s="80" t="n"/>
      <c r="J2356" s="80" t="n"/>
      <c r="K2356" s="80" t="n"/>
      <c r="L2356" s="80" t="n"/>
      <c r="M2356" s="80" t="n"/>
      <c r="N2356" s="80" t="n"/>
      <c r="O2356" s="80" t="n"/>
      <c r="P2356" s="80" t="n"/>
      <c r="Q2356" s="80" t="n"/>
      <c r="R2356" s="80" t="n"/>
      <c r="S2356" s="80" t="n"/>
      <c r="T2356" s="80" t="n"/>
      <c r="U2356" s="80" t="n"/>
      <c r="V2356" s="80" t="n"/>
      <c r="W2356" s="80" t="n"/>
      <c r="X2356" s="80" t="n"/>
      <c r="Y2356" s="80" t="n"/>
      <c r="Z2356" s="80" t="n"/>
      <c r="AA2356" s="80" t="n"/>
      <c r="AB2356" s="80" t="n"/>
      <c r="AC2356" s="80" t="n"/>
      <c r="AD2356" s="80" t="n"/>
      <c r="AE2356" s="80" t="n"/>
      <c r="AF2356" s="80" t="n"/>
      <c r="AG2356" s="80" t="n"/>
      <c r="AH2356" s="80" t="n"/>
      <c r="AI2356" s="80" t="n"/>
      <c r="AJ2356" s="80" t="n"/>
      <c r="AK2356" s="80" t="n"/>
      <c r="AL2356" s="80" t="n"/>
      <c r="AM2356" s="80" t="n"/>
      <c r="AN2356" s="80" t="n"/>
      <c r="AO2356" s="80" t="n"/>
      <c r="AP2356" s="80" t="n"/>
      <c r="AQ2356" s="80" t="n"/>
      <c r="AR2356" s="80" t="n"/>
    </row>
    <row r="2357">
      <c r="D2357" s="80" t="n"/>
      <c r="E2357" s="80" t="n"/>
      <c r="F2357" s="80" t="n"/>
      <c r="G2357" s="80" t="n"/>
      <c r="H2357" s="80" t="n"/>
      <c r="I2357" s="80" t="n"/>
      <c r="J2357" s="80" t="n"/>
      <c r="K2357" s="80" t="n"/>
      <c r="L2357" s="80" t="n"/>
      <c r="M2357" s="80" t="n"/>
      <c r="N2357" s="80" t="n"/>
      <c r="O2357" s="80" t="n"/>
      <c r="P2357" s="80" t="n"/>
      <c r="Q2357" s="80" t="n"/>
      <c r="R2357" s="80" t="n"/>
      <c r="S2357" s="80" t="n"/>
      <c r="T2357" s="80" t="n"/>
      <c r="U2357" s="80" t="n"/>
      <c r="V2357" s="80" t="n"/>
      <c r="W2357" s="80" t="n"/>
      <c r="X2357" s="80" t="n"/>
      <c r="Y2357" s="80" t="n"/>
      <c r="Z2357" s="80" t="n"/>
      <c r="AA2357" s="80" t="n"/>
      <c r="AB2357" s="80" t="n"/>
      <c r="AC2357" s="80" t="n"/>
      <c r="AD2357" s="80" t="n"/>
      <c r="AE2357" s="80" t="n"/>
      <c r="AF2357" s="80" t="n"/>
      <c r="AG2357" s="80" t="n"/>
      <c r="AH2357" s="80" t="n"/>
      <c r="AI2357" s="80" t="n"/>
      <c r="AJ2357" s="80" t="n"/>
      <c r="AK2357" s="80" t="n"/>
      <c r="AL2357" s="80" t="n"/>
      <c r="AM2357" s="80" t="n"/>
      <c r="AN2357" s="80" t="n"/>
      <c r="AO2357" s="80" t="n"/>
      <c r="AP2357" s="80" t="n"/>
      <c r="AQ2357" s="80" t="n"/>
      <c r="AR2357" s="80" t="n"/>
    </row>
    <row r="2359">
      <c r="A2359" s="6">
        <f>IF(HSCEI!$C$23="","",HSCEI!$C$23)</f>
        <v/>
      </c>
      <c r="B2359" s="41">
        <f>IF($A2359="",0,COUNT($E2360:$AR2360))</f>
        <v/>
      </c>
      <c r="C2359" s="81">
        <f>IF($B2359=0,0,MAX($E2360:$AR2360))</f>
        <v/>
      </c>
      <c r="D2359" s="82">
        <f>BDS($A2359,'Field Check'!$C$7,"headers=y","startcol=1","endcol=7","dir=h","DVD_START_DT",Summary!$C$18,"DVD_END_DT",Summary!$D$18)</f>
        <v/>
      </c>
      <c r="E2359" s="83" t="n"/>
      <c r="F2359" s="83" t="n"/>
      <c r="G2359" s="83" t="n"/>
      <c r="H2359" s="83" t="n"/>
      <c r="I2359" s="83" t="n"/>
      <c r="J2359" s="83" t="n"/>
      <c r="K2359" s="83" t="n"/>
      <c r="L2359" s="83" t="n"/>
      <c r="M2359" s="83" t="n"/>
      <c r="N2359" s="83" t="n"/>
      <c r="O2359" s="83" t="n"/>
      <c r="P2359" s="83" t="n"/>
      <c r="Q2359" s="83" t="n"/>
      <c r="R2359" s="83" t="n"/>
      <c r="S2359" s="83" t="n"/>
      <c r="T2359" s="83" t="n"/>
      <c r="U2359" s="83" t="n"/>
      <c r="V2359" s="83" t="n"/>
      <c r="W2359" s="83" t="n"/>
      <c r="X2359" s="83" t="n"/>
      <c r="Y2359" s="83" t="n"/>
      <c r="Z2359" s="83" t="n"/>
      <c r="AA2359" s="83" t="n"/>
      <c r="AB2359" s="83" t="n"/>
      <c r="AC2359" s="83" t="n"/>
      <c r="AD2359" s="83" t="n"/>
      <c r="AE2359" s="83" t="n"/>
      <c r="AF2359" s="83" t="n"/>
      <c r="AG2359" s="83" t="n"/>
      <c r="AH2359" s="83" t="n"/>
      <c r="AI2359" s="83" t="n"/>
      <c r="AJ2359" s="83" t="n"/>
      <c r="AK2359" s="83" t="n"/>
      <c r="AL2359" s="83" t="n"/>
      <c r="AM2359" s="83" t="n"/>
      <c r="AN2359" s="83" t="n"/>
      <c r="AO2359" s="83" t="n"/>
      <c r="AP2359" s="83" t="n"/>
      <c r="AQ2359" s="83" t="n"/>
      <c r="AR2359" s="83" t="n"/>
    </row>
    <row r="2360">
      <c r="D2360" s="83" t="n"/>
      <c r="E2360" s="83" t="n"/>
      <c r="F2360" s="83" t="n"/>
      <c r="G2360" s="83" t="n"/>
      <c r="H2360" s="83" t="n"/>
      <c r="I2360" s="83" t="n"/>
      <c r="J2360" s="83" t="n"/>
      <c r="K2360" s="83" t="n"/>
      <c r="L2360" s="83" t="n"/>
      <c r="M2360" s="83" t="n"/>
      <c r="N2360" s="83" t="n"/>
      <c r="O2360" s="83" t="n"/>
      <c r="P2360" s="83" t="n"/>
      <c r="Q2360" s="83" t="n"/>
      <c r="R2360" s="83" t="n"/>
      <c r="S2360" s="83" t="n"/>
      <c r="T2360" s="83" t="n"/>
      <c r="U2360" s="83" t="n"/>
      <c r="V2360" s="83" t="n"/>
      <c r="W2360" s="83" t="n"/>
      <c r="X2360" s="83" t="n"/>
      <c r="Y2360" s="83" t="n"/>
      <c r="Z2360" s="83" t="n"/>
      <c r="AA2360" s="83" t="n"/>
      <c r="AB2360" s="83" t="n"/>
      <c r="AC2360" s="83" t="n"/>
      <c r="AD2360" s="83" t="n"/>
      <c r="AE2360" s="83" t="n"/>
      <c r="AF2360" s="83" t="n"/>
      <c r="AG2360" s="83" t="n"/>
      <c r="AH2360" s="83" t="n"/>
      <c r="AI2360" s="83" t="n"/>
      <c r="AJ2360" s="83" t="n"/>
      <c r="AK2360" s="83" t="n"/>
      <c r="AL2360" s="83" t="n"/>
      <c r="AM2360" s="83" t="n"/>
      <c r="AN2360" s="83" t="n"/>
      <c r="AO2360" s="83" t="n"/>
      <c r="AP2360" s="83" t="n"/>
      <c r="AQ2360" s="83" t="n"/>
      <c r="AR2360" s="83" t="n"/>
    </row>
    <row r="2361">
      <c r="D2361" s="84" t="n"/>
      <c r="E2361" s="84" t="n"/>
      <c r="F2361" s="84" t="n"/>
      <c r="G2361" s="84" t="n"/>
      <c r="H2361" s="84" t="n"/>
      <c r="I2361" s="84" t="n"/>
      <c r="J2361" s="84" t="n"/>
      <c r="K2361" s="84" t="n"/>
      <c r="L2361" s="84" t="n"/>
      <c r="M2361" s="84" t="n"/>
      <c r="N2361" s="84" t="n"/>
      <c r="O2361" s="84" t="n"/>
      <c r="P2361" s="84" t="n"/>
      <c r="Q2361" s="84" t="n"/>
      <c r="R2361" s="84" t="n"/>
      <c r="S2361" s="84" t="n"/>
      <c r="T2361" s="84" t="n"/>
      <c r="U2361" s="84" t="n"/>
      <c r="V2361" s="84" t="n"/>
      <c r="W2361" s="84" t="n"/>
      <c r="X2361" s="84" t="n"/>
      <c r="Y2361" s="84" t="n"/>
      <c r="Z2361" s="84" t="n"/>
      <c r="AA2361" s="84" t="n"/>
      <c r="AB2361" s="84" t="n"/>
      <c r="AC2361" s="84" t="n"/>
      <c r="AD2361" s="84" t="n"/>
      <c r="AE2361" s="84" t="n"/>
      <c r="AF2361" s="84" t="n"/>
      <c r="AG2361" s="84" t="n"/>
      <c r="AH2361" s="84" t="n"/>
      <c r="AI2361" s="84" t="n"/>
      <c r="AJ2361" s="84" t="n"/>
      <c r="AK2361" s="84" t="n"/>
      <c r="AL2361" s="84" t="n"/>
      <c r="AM2361" s="84" t="n"/>
      <c r="AN2361" s="84" t="n"/>
      <c r="AO2361" s="84" t="n"/>
      <c r="AP2361" s="84" t="n"/>
      <c r="AQ2361" s="84" t="n"/>
      <c r="AR2361" s="84" t="n"/>
    </row>
    <row r="2362">
      <c r="D2362" s="80" t="n"/>
      <c r="E2362" s="80" t="n"/>
      <c r="F2362" s="80" t="n"/>
      <c r="G2362" s="80" t="n"/>
      <c r="H2362" s="80" t="n"/>
      <c r="I2362" s="80" t="n"/>
      <c r="J2362" s="80" t="n"/>
      <c r="K2362" s="80" t="n"/>
      <c r="L2362" s="80" t="n"/>
      <c r="M2362" s="80" t="n"/>
      <c r="N2362" s="80" t="n"/>
      <c r="O2362" s="80" t="n"/>
      <c r="P2362" s="80" t="n"/>
      <c r="Q2362" s="80" t="n"/>
      <c r="R2362" s="80" t="n"/>
      <c r="S2362" s="80" t="n"/>
      <c r="T2362" s="80" t="n"/>
      <c r="U2362" s="80" t="n"/>
      <c r="V2362" s="80" t="n"/>
      <c r="W2362" s="80" t="n"/>
      <c r="X2362" s="80" t="n"/>
      <c r="Y2362" s="80" t="n"/>
      <c r="Z2362" s="80" t="n"/>
      <c r="AA2362" s="80" t="n"/>
      <c r="AB2362" s="80" t="n"/>
      <c r="AC2362" s="80" t="n"/>
      <c r="AD2362" s="80" t="n"/>
      <c r="AE2362" s="80" t="n"/>
      <c r="AF2362" s="80" t="n"/>
      <c r="AG2362" s="80" t="n"/>
      <c r="AH2362" s="80" t="n"/>
      <c r="AI2362" s="80" t="n"/>
      <c r="AJ2362" s="80" t="n"/>
      <c r="AK2362" s="80" t="n"/>
      <c r="AL2362" s="80" t="n"/>
      <c r="AM2362" s="80" t="n"/>
      <c r="AN2362" s="80" t="n"/>
      <c r="AO2362" s="80" t="n"/>
      <c r="AP2362" s="80" t="n"/>
      <c r="AQ2362" s="80" t="n"/>
      <c r="AR2362" s="80" t="n"/>
    </row>
    <row r="2363">
      <c r="D2363" s="80" t="n"/>
      <c r="E2363" s="80" t="n"/>
      <c r="F2363" s="80" t="n"/>
      <c r="G2363" s="80" t="n"/>
      <c r="H2363" s="80" t="n"/>
      <c r="I2363" s="80" t="n"/>
      <c r="J2363" s="80" t="n"/>
      <c r="K2363" s="80" t="n"/>
      <c r="L2363" s="80" t="n"/>
      <c r="M2363" s="80" t="n"/>
      <c r="N2363" s="80" t="n"/>
      <c r="O2363" s="80" t="n"/>
      <c r="P2363" s="80" t="n"/>
      <c r="Q2363" s="80" t="n"/>
      <c r="R2363" s="80" t="n"/>
      <c r="S2363" s="80" t="n"/>
      <c r="T2363" s="80" t="n"/>
      <c r="U2363" s="80" t="n"/>
      <c r="V2363" s="80" t="n"/>
      <c r="W2363" s="80" t="n"/>
      <c r="X2363" s="80" t="n"/>
      <c r="Y2363" s="80" t="n"/>
      <c r="Z2363" s="80" t="n"/>
      <c r="AA2363" s="80" t="n"/>
      <c r="AB2363" s="80" t="n"/>
      <c r="AC2363" s="80" t="n"/>
      <c r="AD2363" s="80" t="n"/>
      <c r="AE2363" s="80" t="n"/>
      <c r="AF2363" s="80" t="n"/>
      <c r="AG2363" s="80" t="n"/>
      <c r="AH2363" s="80" t="n"/>
      <c r="AI2363" s="80" t="n"/>
      <c r="AJ2363" s="80" t="n"/>
      <c r="AK2363" s="80" t="n"/>
      <c r="AL2363" s="80" t="n"/>
      <c r="AM2363" s="80" t="n"/>
      <c r="AN2363" s="80" t="n"/>
      <c r="AO2363" s="80" t="n"/>
      <c r="AP2363" s="80" t="n"/>
      <c r="AQ2363" s="80" t="n"/>
      <c r="AR2363" s="80" t="n"/>
    </row>
    <row r="2364">
      <c r="D2364" s="80" t="n"/>
      <c r="E2364" s="80" t="n"/>
      <c r="F2364" s="80" t="n"/>
      <c r="G2364" s="80" t="n"/>
      <c r="H2364" s="80" t="n"/>
      <c r="I2364" s="80" t="n"/>
      <c r="J2364" s="80" t="n"/>
      <c r="K2364" s="80" t="n"/>
      <c r="L2364" s="80" t="n"/>
      <c r="M2364" s="80" t="n"/>
      <c r="N2364" s="80" t="n"/>
      <c r="O2364" s="80" t="n"/>
      <c r="P2364" s="80" t="n"/>
      <c r="Q2364" s="80" t="n"/>
      <c r="R2364" s="80" t="n"/>
      <c r="S2364" s="80" t="n"/>
      <c r="T2364" s="80" t="n"/>
      <c r="U2364" s="80" t="n"/>
      <c r="V2364" s="80" t="n"/>
      <c r="W2364" s="80" t="n"/>
      <c r="X2364" s="80" t="n"/>
      <c r="Y2364" s="80" t="n"/>
      <c r="Z2364" s="80" t="n"/>
      <c r="AA2364" s="80" t="n"/>
      <c r="AB2364" s="80" t="n"/>
      <c r="AC2364" s="80" t="n"/>
      <c r="AD2364" s="80" t="n"/>
      <c r="AE2364" s="80" t="n"/>
      <c r="AF2364" s="80" t="n"/>
      <c r="AG2364" s="80" t="n"/>
      <c r="AH2364" s="80" t="n"/>
      <c r="AI2364" s="80" t="n"/>
      <c r="AJ2364" s="80" t="n"/>
      <c r="AK2364" s="80" t="n"/>
      <c r="AL2364" s="80" t="n"/>
      <c r="AM2364" s="80" t="n"/>
      <c r="AN2364" s="80" t="n"/>
      <c r="AO2364" s="80" t="n"/>
      <c r="AP2364" s="80" t="n"/>
      <c r="AQ2364" s="80" t="n"/>
      <c r="AR2364" s="80" t="n"/>
    </row>
    <row r="2365">
      <c r="D2365" s="80" t="n"/>
      <c r="E2365" s="80" t="n"/>
      <c r="F2365" s="80" t="n"/>
      <c r="G2365" s="80" t="n"/>
      <c r="H2365" s="80" t="n"/>
      <c r="I2365" s="80" t="n"/>
      <c r="J2365" s="80" t="n"/>
      <c r="K2365" s="80" t="n"/>
      <c r="L2365" s="80" t="n"/>
      <c r="M2365" s="80" t="n"/>
      <c r="N2365" s="80" t="n"/>
      <c r="O2365" s="80" t="n"/>
      <c r="P2365" s="80" t="n"/>
      <c r="Q2365" s="80" t="n"/>
      <c r="R2365" s="80" t="n"/>
      <c r="S2365" s="80" t="n"/>
      <c r="T2365" s="80" t="n"/>
      <c r="U2365" s="80" t="n"/>
      <c r="V2365" s="80" t="n"/>
      <c r="W2365" s="80" t="n"/>
      <c r="X2365" s="80" t="n"/>
      <c r="Y2365" s="80" t="n"/>
      <c r="Z2365" s="80" t="n"/>
      <c r="AA2365" s="80" t="n"/>
      <c r="AB2365" s="80" t="n"/>
      <c r="AC2365" s="80" t="n"/>
      <c r="AD2365" s="80" t="n"/>
      <c r="AE2365" s="80" t="n"/>
      <c r="AF2365" s="80" t="n"/>
      <c r="AG2365" s="80" t="n"/>
      <c r="AH2365" s="80" t="n"/>
      <c r="AI2365" s="80" t="n"/>
      <c r="AJ2365" s="80" t="n"/>
      <c r="AK2365" s="80" t="n"/>
      <c r="AL2365" s="80" t="n"/>
      <c r="AM2365" s="80" t="n"/>
      <c r="AN2365" s="80" t="n"/>
      <c r="AO2365" s="80" t="n"/>
      <c r="AP2365" s="80" t="n"/>
      <c r="AQ2365" s="80" t="n"/>
      <c r="AR2365" s="80" t="n"/>
    </row>
    <row r="2366">
      <c r="A2366" s="2">
        <f>IF($A2359="","","   projections")</f>
        <v/>
      </c>
      <c r="B2366" s="41">
        <f>IF($A2359="",0,COUNT($E2367:$AR2367))</f>
        <v/>
      </c>
      <c r="C2366" s="81">
        <f>IF($B2366=0,0,MAX($E2367:$AR2367))</f>
        <v/>
      </c>
      <c r="D2366" s="82">
        <f>BDS($A2359,'Field Check'!$C$6,"headers=y","startcol=1","endcol=7","dir=h")</f>
        <v/>
      </c>
      <c r="E2366" s="83" t="n"/>
      <c r="F2366" s="83" t="n"/>
      <c r="G2366" s="83" t="n"/>
      <c r="H2366" s="83" t="n"/>
      <c r="I2366" s="83" t="n"/>
      <c r="J2366" s="83" t="n"/>
      <c r="K2366" s="83" t="n"/>
      <c r="L2366" s="83" t="n"/>
      <c r="M2366" s="83" t="n"/>
      <c r="N2366" s="83" t="n"/>
      <c r="O2366" s="83" t="n"/>
      <c r="P2366" s="83" t="n"/>
      <c r="Q2366" s="83" t="n"/>
      <c r="R2366" s="83" t="n"/>
      <c r="S2366" s="83" t="n"/>
      <c r="T2366" s="83" t="n"/>
      <c r="U2366" s="83" t="n"/>
      <c r="V2366" s="83" t="n"/>
      <c r="W2366" s="83" t="n"/>
      <c r="X2366" s="83" t="n"/>
      <c r="Y2366" s="83" t="n"/>
      <c r="Z2366" s="83" t="n"/>
      <c r="AA2366" s="83" t="n"/>
      <c r="AB2366" s="83" t="n"/>
      <c r="AC2366" s="83" t="n"/>
      <c r="AD2366" s="83" t="n"/>
      <c r="AE2366" s="83" t="n"/>
      <c r="AF2366" s="83" t="n"/>
      <c r="AG2366" s="83" t="n"/>
      <c r="AH2366" s="83" t="n"/>
      <c r="AI2366" s="83" t="n"/>
      <c r="AJ2366" s="83" t="n"/>
      <c r="AK2366" s="83" t="n"/>
      <c r="AL2366" s="83" t="n"/>
      <c r="AM2366" s="83" t="n"/>
      <c r="AN2366" s="83" t="n"/>
      <c r="AO2366" s="83" t="n"/>
      <c r="AP2366" s="83" t="n"/>
      <c r="AQ2366" s="83" t="n"/>
      <c r="AR2366" s="83" t="n"/>
    </row>
    <row r="2367">
      <c r="D2367" s="83" t="n"/>
      <c r="E2367" s="83" t="n"/>
      <c r="F2367" s="83" t="n"/>
      <c r="G2367" s="83" t="n"/>
      <c r="H2367" s="83" t="n"/>
      <c r="I2367" s="83" t="n"/>
      <c r="J2367" s="83" t="n"/>
      <c r="K2367" s="83" t="n"/>
      <c r="L2367" s="83" t="n"/>
      <c r="M2367" s="83" t="n"/>
      <c r="N2367" s="83" t="n"/>
      <c r="O2367" s="83" t="n"/>
      <c r="P2367" s="83" t="n"/>
      <c r="Q2367" s="83" t="n"/>
      <c r="R2367" s="83" t="n"/>
      <c r="S2367" s="83" t="n"/>
      <c r="T2367" s="83" t="n"/>
      <c r="U2367" s="83" t="n"/>
      <c r="V2367" s="83" t="n"/>
      <c r="W2367" s="83" t="n"/>
      <c r="X2367" s="83" t="n"/>
      <c r="Y2367" s="83" t="n"/>
      <c r="Z2367" s="83" t="n"/>
      <c r="AA2367" s="83" t="n"/>
      <c r="AB2367" s="83" t="n"/>
      <c r="AC2367" s="83" t="n"/>
      <c r="AD2367" s="83" t="n"/>
      <c r="AE2367" s="83" t="n"/>
      <c r="AF2367" s="83" t="n"/>
      <c r="AG2367" s="83" t="n"/>
      <c r="AH2367" s="83" t="n"/>
      <c r="AI2367" s="83" t="n"/>
      <c r="AJ2367" s="83" t="n"/>
      <c r="AK2367" s="83" t="n"/>
      <c r="AL2367" s="83" t="n"/>
      <c r="AM2367" s="83" t="n"/>
      <c r="AN2367" s="83" t="n"/>
      <c r="AO2367" s="83" t="n"/>
      <c r="AP2367" s="83" t="n"/>
      <c r="AQ2367" s="83" t="n"/>
      <c r="AR2367" s="83" t="n"/>
    </row>
    <row r="2368">
      <c r="D2368" s="84" t="n"/>
      <c r="E2368" s="84" t="n"/>
      <c r="F2368" s="84" t="n"/>
      <c r="G2368" s="84" t="n"/>
      <c r="H2368" s="84" t="n"/>
      <c r="I2368" s="84" t="n"/>
      <c r="J2368" s="84" t="n"/>
      <c r="K2368" s="84" t="n"/>
      <c r="L2368" s="84" t="n"/>
      <c r="M2368" s="84" t="n"/>
      <c r="N2368" s="84" t="n"/>
      <c r="O2368" s="84" t="n"/>
      <c r="P2368" s="84" t="n"/>
      <c r="Q2368" s="84" t="n"/>
      <c r="R2368" s="84" t="n"/>
      <c r="S2368" s="84" t="n"/>
      <c r="T2368" s="84" t="n"/>
      <c r="U2368" s="84" t="n"/>
      <c r="V2368" s="84" t="n"/>
      <c r="W2368" s="84" t="n"/>
      <c r="X2368" s="84" t="n"/>
      <c r="Y2368" s="84" t="n"/>
      <c r="Z2368" s="84" t="n"/>
      <c r="AA2368" s="84" t="n"/>
      <c r="AB2368" s="84" t="n"/>
      <c r="AC2368" s="84" t="n"/>
      <c r="AD2368" s="84" t="n"/>
      <c r="AE2368" s="84" t="n"/>
      <c r="AF2368" s="84" t="n"/>
      <c r="AG2368" s="84" t="n"/>
      <c r="AH2368" s="84" t="n"/>
      <c r="AI2368" s="84" t="n"/>
      <c r="AJ2368" s="84" t="n"/>
      <c r="AK2368" s="84" t="n"/>
      <c r="AL2368" s="84" t="n"/>
      <c r="AM2368" s="84" t="n"/>
      <c r="AN2368" s="84" t="n"/>
      <c r="AO2368" s="84" t="n"/>
      <c r="AP2368" s="84" t="n"/>
      <c r="AQ2368" s="84" t="n"/>
      <c r="AR2368" s="84" t="n"/>
    </row>
    <row r="2369">
      <c r="D2369" s="80" t="n"/>
      <c r="E2369" s="80" t="n"/>
      <c r="F2369" s="80" t="n"/>
      <c r="G2369" s="80" t="n"/>
      <c r="H2369" s="80" t="n"/>
      <c r="I2369" s="80" t="n"/>
      <c r="J2369" s="80" t="n"/>
      <c r="K2369" s="80" t="n"/>
      <c r="L2369" s="80" t="n"/>
      <c r="M2369" s="80" t="n"/>
      <c r="N2369" s="80" t="n"/>
      <c r="O2369" s="80" t="n"/>
      <c r="P2369" s="80" t="n"/>
      <c r="Q2369" s="80" t="n"/>
      <c r="R2369" s="80" t="n"/>
      <c r="S2369" s="80" t="n"/>
      <c r="T2369" s="80" t="n"/>
      <c r="U2369" s="80" t="n"/>
      <c r="V2369" s="80" t="n"/>
      <c r="W2369" s="80" t="n"/>
      <c r="X2369" s="80" t="n"/>
      <c r="Y2369" s="80" t="n"/>
      <c r="Z2369" s="80" t="n"/>
      <c r="AA2369" s="80" t="n"/>
      <c r="AB2369" s="80" t="n"/>
      <c r="AC2369" s="80" t="n"/>
      <c r="AD2369" s="80" t="n"/>
      <c r="AE2369" s="80" t="n"/>
      <c r="AF2369" s="80" t="n"/>
      <c r="AG2369" s="80" t="n"/>
      <c r="AH2369" s="80" t="n"/>
      <c r="AI2369" s="80" t="n"/>
      <c r="AJ2369" s="80" t="n"/>
      <c r="AK2369" s="80" t="n"/>
      <c r="AL2369" s="80" t="n"/>
      <c r="AM2369" s="80" t="n"/>
      <c r="AN2369" s="80" t="n"/>
      <c r="AO2369" s="80" t="n"/>
      <c r="AP2369" s="80" t="n"/>
      <c r="AQ2369" s="80" t="n"/>
      <c r="AR2369" s="80" t="n"/>
    </row>
    <row r="2370">
      <c r="D2370" s="80" t="n"/>
      <c r="E2370" s="80" t="n"/>
      <c r="F2370" s="80" t="n"/>
      <c r="G2370" s="80" t="n"/>
      <c r="H2370" s="80" t="n"/>
      <c r="I2370" s="80" t="n"/>
      <c r="J2370" s="80" t="n"/>
      <c r="K2370" s="80" t="n"/>
      <c r="L2370" s="80" t="n"/>
      <c r="M2370" s="80" t="n"/>
      <c r="N2370" s="80" t="n"/>
      <c r="O2370" s="80" t="n"/>
      <c r="P2370" s="80" t="n"/>
      <c r="Q2370" s="80" t="n"/>
      <c r="R2370" s="80" t="n"/>
      <c r="S2370" s="80" t="n"/>
      <c r="T2370" s="80" t="n"/>
      <c r="U2370" s="80" t="n"/>
      <c r="V2370" s="80" t="n"/>
      <c r="W2370" s="80" t="n"/>
      <c r="X2370" s="80" t="n"/>
      <c r="Y2370" s="80" t="n"/>
      <c r="Z2370" s="80" t="n"/>
      <c r="AA2370" s="80" t="n"/>
      <c r="AB2370" s="80" t="n"/>
      <c r="AC2370" s="80" t="n"/>
      <c r="AD2370" s="80" t="n"/>
      <c r="AE2370" s="80" t="n"/>
      <c r="AF2370" s="80" t="n"/>
      <c r="AG2370" s="80" t="n"/>
      <c r="AH2370" s="80" t="n"/>
      <c r="AI2370" s="80" t="n"/>
      <c r="AJ2370" s="80" t="n"/>
      <c r="AK2370" s="80" t="n"/>
      <c r="AL2370" s="80" t="n"/>
      <c r="AM2370" s="80" t="n"/>
      <c r="AN2370" s="80" t="n"/>
      <c r="AO2370" s="80" t="n"/>
      <c r="AP2370" s="80" t="n"/>
      <c r="AQ2370" s="80" t="n"/>
      <c r="AR2370" s="80" t="n"/>
    </row>
    <row r="2371">
      <c r="D2371" s="80" t="n"/>
      <c r="E2371" s="80" t="n"/>
      <c r="F2371" s="80" t="n"/>
      <c r="G2371" s="80" t="n"/>
      <c r="H2371" s="80" t="n"/>
      <c r="I2371" s="80" t="n"/>
      <c r="J2371" s="80" t="n"/>
      <c r="K2371" s="80" t="n"/>
      <c r="L2371" s="80" t="n"/>
      <c r="M2371" s="80" t="n"/>
      <c r="N2371" s="80" t="n"/>
      <c r="O2371" s="80" t="n"/>
      <c r="P2371" s="80" t="n"/>
      <c r="Q2371" s="80" t="n"/>
      <c r="R2371" s="80" t="n"/>
      <c r="S2371" s="80" t="n"/>
      <c r="T2371" s="80" t="n"/>
      <c r="U2371" s="80" t="n"/>
      <c r="V2371" s="80" t="n"/>
      <c r="W2371" s="80" t="n"/>
      <c r="X2371" s="80" t="n"/>
      <c r="Y2371" s="80" t="n"/>
      <c r="Z2371" s="80" t="n"/>
      <c r="AA2371" s="80" t="n"/>
      <c r="AB2371" s="80" t="n"/>
      <c r="AC2371" s="80" t="n"/>
      <c r="AD2371" s="80" t="n"/>
      <c r="AE2371" s="80" t="n"/>
      <c r="AF2371" s="80" t="n"/>
      <c r="AG2371" s="80" t="n"/>
      <c r="AH2371" s="80" t="n"/>
      <c r="AI2371" s="80" t="n"/>
      <c r="AJ2371" s="80" t="n"/>
      <c r="AK2371" s="80" t="n"/>
      <c r="AL2371" s="80" t="n"/>
      <c r="AM2371" s="80" t="n"/>
      <c r="AN2371" s="80" t="n"/>
      <c r="AO2371" s="80" t="n"/>
      <c r="AP2371" s="80" t="n"/>
      <c r="AQ2371" s="80" t="n"/>
      <c r="AR2371" s="80" t="n"/>
    </row>
    <row r="2372">
      <c r="D2372" s="80" t="n"/>
      <c r="E2372" s="80" t="n"/>
      <c r="F2372" s="80" t="n"/>
      <c r="G2372" s="80" t="n"/>
      <c r="H2372" s="80" t="n"/>
      <c r="I2372" s="80" t="n"/>
      <c r="J2372" s="80" t="n"/>
      <c r="K2372" s="80" t="n"/>
      <c r="L2372" s="80" t="n"/>
      <c r="M2372" s="80" t="n"/>
      <c r="N2372" s="80" t="n"/>
      <c r="O2372" s="80" t="n"/>
      <c r="P2372" s="80" t="n"/>
      <c r="Q2372" s="80" t="n"/>
      <c r="R2372" s="80" t="n"/>
      <c r="S2372" s="80" t="n"/>
      <c r="T2372" s="80" t="n"/>
      <c r="U2372" s="80" t="n"/>
      <c r="V2372" s="80" t="n"/>
      <c r="W2372" s="80" t="n"/>
      <c r="X2372" s="80" t="n"/>
      <c r="Y2372" s="80" t="n"/>
      <c r="Z2372" s="80" t="n"/>
      <c r="AA2372" s="80" t="n"/>
      <c r="AB2372" s="80" t="n"/>
      <c r="AC2372" s="80" t="n"/>
      <c r="AD2372" s="80" t="n"/>
      <c r="AE2372" s="80" t="n"/>
      <c r="AF2372" s="80" t="n"/>
      <c r="AG2372" s="80" t="n"/>
      <c r="AH2372" s="80" t="n"/>
      <c r="AI2372" s="80" t="n"/>
      <c r="AJ2372" s="80" t="n"/>
      <c r="AK2372" s="80" t="n"/>
      <c r="AL2372" s="80" t="n"/>
      <c r="AM2372" s="80" t="n"/>
      <c r="AN2372" s="80" t="n"/>
      <c r="AO2372" s="80" t="n"/>
      <c r="AP2372" s="80" t="n"/>
      <c r="AQ2372" s="80" t="n"/>
      <c r="AR2372" s="80" t="n"/>
    </row>
    <row r="2374">
      <c r="A2374" s="6">
        <f>IF(HSCEI!$C$24="","",HSCEI!$C$24)</f>
        <v/>
      </c>
      <c r="B2374" s="41">
        <f>IF($A2374="",0,COUNT($E2375:$AR2375))</f>
        <v/>
      </c>
      <c r="C2374" s="81">
        <f>IF($B2374=0,0,MAX($E2375:$AR2375))</f>
        <v/>
      </c>
      <c r="D2374" s="82">
        <f>BDS($A2374,'Field Check'!$C$7,"headers=y","startcol=1","endcol=7","dir=h","DVD_START_DT",Summary!$C$18,"DVD_END_DT",Summary!$D$18)</f>
        <v/>
      </c>
      <c r="E2374" s="83" t="n"/>
      <c r="F2374" s="83" t="n"/>
      <c r="G2374" s="83" t="n"/>
      <c r="H2374" s="83" t="n"/>
      <c r="I2374" s="83" t="n"/>
      <c r="J2374" s="83" t="n"/>
      <c r="K2374" s="83" t="n"/>
      <c r="L2374" s="83" t="n"/>
      <c r="M2374" s="83" t="n"/>
      <c r="N2374" s="83" t="n"/>
      <c r="O2374" s="83" t="n"/>
      <c r="P2374" s="83" t="n"/>
      <c r="Q2374" s="83" t="n"/>
      <c r="R2374" s="83" t="n"/>
      <c r="S2374" s="83" t="n"/>
      <c r="T2374" s="83" t="n"/>
      <c r="U2374" s="83" t="n"/>
      <c r="V2374" s="83" t="n"/>
      <c r="W2374" s="83" t="n"/>
      <c r="X2374" s="83" t="n"/>
      <c r="Y2374" s="83" t="n"/>
      <c r="Z2374" s="83" t="n"/>
      <c r="AA2374" s="83" t="n"/>
      <c r="AB2374" s="83" t="n"/>
      <c r="AC2374" s="83" t="n"/>
      <c r="AD2374" s="83" t="n"/>
      <c r="AE2374" s="83" t="n"/>
      <c r="AF2374" s="83" t="n"/>
      <c r="AG2374" s="83" t="n"/>
      <c r="AH2374" s="83" t="n"/>
      <c r="AI2374" s="83" t="n"/>
      <c r="AJ2374" s="83" t="n"/>
      <c r="AK2374" s="83" t="n"/>
      <c r="AL2374" s="83" t="n"/>
      <c r="AM2374" s="83" t="n"/>
      <c r="AN2374" s="83" t="n"/>
      <c r="AO2374" s="83" t="n"/>
      <c r="AP2374" s="83" t="n"/>
      <c r="AQ2374" s="83" t="n"/>
      <c r="AR2374" s="83" t="n"/>
    </row>
    <row r="2375">
      <c r="D2375" s="83" t="n"/>
      <c r="E2375" s="83" t="n"/>
      <c r="F2375" s="83" t="n"/>
      <c r="G2375" s="83" t="n"/>
      <c r="H2375" s="83" t="n"/>
      <c r="I2375" s="83" t="n"/>
      <c r="J2375" s="83" t="n"/>
      <c r="K2375" s="83" t="n"/>
      <c r="L2375" s="83" t="n"/>
      <c r="M2375" s="83" t="n"/>
      <c r="N2375" s="83" t="n"/>
      <c r="O2375" s="83" t="n"/>
      <c r="P2375" s="83" t="n"/>
      <c r="Q2375" s="83" t="n"/>
      <c r="R2375" s="83" t="n"/>
      <c r="S2375" s="83" t="n"/>
      <c r="T2375" s="83" t="n"/>
      <c r="U2375" s="83" t="n"/>
      <c r="V2375" s="83" t="n"/>
      <c r="W2375" s="83" t="n"/>
      <c r="X2375" s="83" t="n"/>
      <c r="Y2375" s="83" t="n"/>
      <c r="Z2375" s="83" t="n"/>
      <c r="AA2375" s="83" t="n"/>
      <c r="AB2375" s="83" t="n"/>
      <c r="AC2375" s="83" t="n"/>
      <c r="AD2375" s="83" t="n"/>
      <c r="AE2375" s="83" t="n"/>
      <c r="AF2375" s="83" t="n"/>
      <c r="AG2375" s="83" t="n"/>
      <c r="AH2375" s="83" t="n"/>
      <c r="AI2375" s="83" t="n"/>
      <c r="AJ2375" s="83" t="n"/>
      <c r="AK2375" s="83" t="n"/>
      <c r="AL2375" s="83" t="n"/>
      <c r="AM2375" s="83" t="n"/>
      <c r="AN2375" s="83" t="n"/>
      <c r="AO2375" s="83" t="n"/>
      <c r="AP2375" s="83" t="n"/>
      <c r="AQ2375" s="83" t="n"/>
      <c r="AR2375" s="83" t="n"/>
    </row>
    <row r="2376">
      <c r="D2376" s="84" t="n"/>
      <c r="E2376" s="84" t="n"/>
      <c r="F2376" s="84" t="n"/>
      <c r="G2376" s="84" t="n"/>
      <c r="H2376" s="84" t="n"/>
      <c r="I2376" s="84" t="n"/>
      <c r="J2376" s="84" t="n"/>
      <c r="K2376" s="84" t="n"/>
      <c r="L2376" s="84" t="n"/>
      <c r="M2376" s="84" t="n"/>
      <c r="N2376" s="84" t="n"/>
      <c r="O2376" s="84" t="n"/>
      <c r="P2376" s="84" t="n"/>
      <c r="Q2376" s="84" t="n"/>
      <c r="R2376" s="84" t="n"/>
      <c r="S2376" s="84" t="n"/>
      <c r="T2376" s="84" t="n"/>
      <c r="U2376" s="84" t="n"/>
      <c r="V2376" s="84" t="n"/>
      <c r="W2376" s="84" t="n"/>
      <c r="X2376" s="84" t="n"/>
      <c r="Y2376" s="84" t="n"/>
      <c r="Z2376" s="84" t="n"/>
      <c r="AA2376" s="84" t="n"/>
      <c r="AB2376" s="84" t="n"/>
      <c r="AC2376" s="84" t="n"/>
      <c r="AD2376" s="84" t="n"/>
      <c r="AE2376" s="84" t="n"/>
      <c r="AF2376" s="84" t="n"/>
      <c r="AG2376" s="84" t="n"/>
      <c r="AH2376" s="84" t="n"/>
      <c r="AI2376" s="84" t="n"/>
      <c r="AJ2376" s="84" t="n"/>
      <c r="AK2376" s="84" t="n"/>
      <c r="AL2376" s="84" t="n"/>
      <c r="AM2376" s="84" t="n"/>
      <c r="AN2376" s="84" t="n"/>
      <c r="AO2376" s="84" t="n"/>
      <c r="AP2376" s="84" t="n"/>
      <c r="AQ2376" s="84" t="n"/>
      <c r="AR2376" s="84" t="n"/>
    </row>
    <row r="2377">
      <c r="D2377" s="80" t="n"/>
      <c r="E2377" s="80" t="n"/>
      <c r="F2377" s="80" t="n"/>
      <c r="G2377" s="80" t="n"/>
      <c r="H2377" s="80" t="n"/>
      <c r="I2377" s="80" t="n"/>
      <c r="J2377" s="80" t="n"/>
      <c r="K2377" s="80" t="n"/>
      <c r="L2377" s="80" t="n"/>
      <c r="M2377" s="80" t="n"/>
      <c r="N2377" s="80" t="n"/>
      <c r="O2377" s="80" t="n"/>
      <c r="P2377" s="80" t="n"/>
      <c r="Q2377" s="80" t="n"/>
      <c r="R2377" s="80" t="n"/>
      <c r="S2377" s="80" t="n"/>
      <c r="T2377" s="80" t="n"/>
      <c r="U2377" s="80" t="n"/>
      <c r="V2377" s="80" t="n"/>
      <c r="W2377" s="80" t="n"/>
      <c r="X2377" s="80" t="n"/>
      <c r="Y2377" s="80" t="n"/>
      <c r="Z2377" s="80" t="n"/>
      <c r="AA2377" s="80" t="n"/>
      <c r="AB2377" s="80" t="n"/>
      <c r="AC2377" s="80" t="n"/>
      <c r="AD2377" s="80" t="n"/>
      <c r="AE2377" s="80" t="n"/>
      <c r="AF2377" s="80" t="n"/>
      <c r="AG2377" s="80" t="n"/>
      <c r="AH2377" s="80" t="n"/>
      <c r="AI2377" s="80" t="n"/>
      <c r="AJ2377" s="80" t="n"/>
      <c r="AK2377" s="80" t="n"/>
      <c r="AL2377" s="80" t="n"/>
      <c r="AM2377" s="80" t="n"/>
      <c r="AN2377" s="80" t="n"/>
      <c r="AO2377" s="80" t="n"/>
      <c r="AP2377" s="80" t="n"/>
      <c r="AQ2377" s="80" t="n"/>
      <c r="AR2377" s="80" t="n"/>
    </row>
    <row r="2378">
      <c r="D2378" s="80" t="n"/>
      <c r="E2378" s="80" t="n"/>
      <c r="F2378" s="80" t="n"/>
      <c r="G2378" s="80" t="n"/>
      <c r="H2378" s="80" t="n"/>
      <c r="I2378" s="80" t="n"/>
      <c r="J2378" s="80" t="n"/>
      <c r="K2378" s="80" t="n"/>
      <c r="L2378" s="80" t="n"/>
      <c r="M2378" s="80" t="n"/>
      <c r="N2378" s="80" t="n"/>
      <c r="O2378" s="80" t="n"/>
      <c r="P2378" s="80" t="n"/>
      <c r="Q2378" s="80" t="n"/>
      <c r="R2378" s="80" t="n"/>
      <c r="S2378" s="80" t="n"/>
      <c r="T2378" s="80" t="n"/>
      <c r="U2378" s="80" t="n"/>
      <c r="V2378" s="80" t="n"/>
      <c r="W2378" s="80" t="n"/>
      <c r="X2378" s="80" t="n"/>
      <c r="Y2378" s="80" t="n"/>
      <c r="Z2378" s="80" t="n"/>
      <c r="AA2378" s="80" t="n"/>
      <c r="AB2378" s="80" t="n"/>
      <c r="AC2378" s="80" t="n"/>
      <c r="AD2378" s="80" t="n"/>
      <c r="AE2378" s="80" t="n"/>
      <c r="AF2378" s="80" t="n"/>
      <c r="AG2378" s="80" t="n"/>
      <c r="AH2378" s="80" t="n"/>
      <c r="AI2378" s="80" t="n"/>
      <c r="AJ2378" s="80" t="n"/>
      <c r="AK2378" s="80" t="n"/>
      <c r="AL2378" s="80" t="n"/>
      <c r="AM2378" s="80" t="n"/>
      <c r="AN2378" s="80" t="n"/>
      <c r="AO2378" s="80" t="n"/>
      <c r="AP2378" s="80" t="n"/>
      <c r="AQ2378" s="80" t="n"/>
      <c r="AR2378" s="80" t="n"/>
    </row>
    <row r="2379">
      <c r="D2379" s="80" t="n"/>
      <c r="E2379" s="80" t="n"/>
      <c r="F2379" s="80" t="n"/>
      <c r="G2379" s="80" t="n"/>
      <c r="H2379" s="80" t="n"/>
      <c r="I2379" s="80" t="n"/>
      <c r="J2379" s="80" t="n"/>
      <c r="K2379" s="80" t="n"/>
      <c r="L2379" s="80" t="n"/>
      <c r="M2379" s="80" t="n"/>
      <c r="N2379" s="80" t="n"/>
      <c r="O2379" s="80" t="n"/>
      <c r="P2379" s="80" t="n"/>
      <c r="Q2379" s="80" t="n"/>
      <c r="R2379" s="80" t="n"/>
      <c r="S2379" s="80" t="n"/>
      <c r="T2379" s="80" t="n"/>
      <c r="U2379" s="80" t="n"/>
      <c r="V2379" s="80" t="n"/>
      <c r="W2379" s="80" t="n"/>
      <c r="X2379" s="80" t="n"/>
      <c r="Y2379" s="80" t="n"/>
      <c r="Z2379" s="80" t="n"/>
      <c r="AA2379" s="80" t="n"/>
      <c r="AB2379" s="80" t="n"/>
      <c r="AC2379" s="80" t="n"/>
      <c r="AD2379" s="80" t="n"/>
      <c r="AE2379" s="80" t="n"/>
      <c r="AF2379" s="80" t="n"/>
      <c r="AG2379" s="80" t="n"/>
      <c r="AH2379" s="80" t="n"/>
      <c r="AI2379" s="80" t="n"/>
      <c r="AJ2379" s="80" t="n"/>
      <c r="AK2379" s="80" t="n"/>
      <c r="AL2379" s="80" t="n"/>
      <c r="AM2379" s="80" t="n"/>
      <c r="AN2379" s="80" t="n"/>
      <c r="AO2379" s="80" t="n"/>
      <c r="AP2379" s="80" t="n"/>
      <c r="AQ2379" s="80" t="n"/>
      <c r="AR2379" s="80" t="n"/>
    </row>
    <row r="2380">
      <c r="D2380" s="80" t="n"/>
      <c r="E2380" s="80" t="n"/>
      <c r="F2380" s="80" t="n"/>
      <c r="G2380" s="80" t="n"/>
      <c r="H2380" s="80" t="n"/>
      <c r="I2380" s="80" t="n"/>
      <c r="J2380" s="80" t="n"/>
      <c r="K2380" s="80" t="n"/>
      <c r="L2380" s="80" t="n"/>
      <c r="M2380" s="80" t="n"/>
      <c r="N2380" s="80" t="n"/>
      <c r="O2380" s="80" t="n"/>
      <c r="P2380" s="80" t="n"/>
      <c r="Q2380" s="80" t="n"/>
      <c r="R2380" s="80" t="n"/>
      <c r="S2380" s="80" t="n"/>
      <c r="T2380" s="80" t="n"/>
      <c r="U2380" s="80" t="n"/>
      <c r="V2380" s="80" t="n"/>
      <c r="W2380" s="80" t="n"/>
      <c r="X2380" s="80" t="n"/>
      <c r="Y2380" s="80" t="n"/>
      <c r="Z2380" s="80" t="n"/>
      <c r="AA2380" s="80" t="n"/>
      <c r="AB2380" s="80" t="n"/>
      <c r="AC2380" s="80" t="n"/>
      <c r="AD2380" s="80" t="n"/>
      <c r="AE2380" s="80" t="n"/>
      <c r="AF2380" s="80" t="n"/>
      <c r="AG2380" s="80" t="n"/>
      <c r="AH2380" s="80" t="n"/>
      <c r="AI2380" s="80" t="n"/>
      <c r="AJ2380" s="80" t="n"/>
      <c r="AK2380" s="80" t="n"/>
      <c r="AL2380" s="80" t="n"/>
      <c r="AM2380" s="80" t="n"/>
      <c r="AN2380" s="80" t="n"/>
      <c r="AO2380" s="80" t="n"/>
      <c r="AP2380" s="80" t="n"/>
      <c r="AQ2380" s="80" t="n"/>
      <c r="AR2380" s="80" t="n"/>
    </row>
    <row r="2381">
      <c r="A2381" s="2">
        <f>IF($A2374="","","   projections")</f>
        <v/>
      </c>
      <c r="B2381" s="41">
        <f>IF($A2374="",0,COUNT($E2382:$AR2382))</f>
        <v/>
      </c>
      <c r="C2381" s="81">
        <f>IF($B2381=0,0,MAX($E2382:$AR2382))</f>
        <v/>
      </c>
      <c r="D2381" s="82">
        <f>BDS($A2374,'Field Check'!$C$6,"headers=y","startcol=1","endcol=7","dir=h")</f>
        <v/>
      </c>
      <c r="E2381" s="83" t="n"/>
      <c r="F2381" s="83" t="n"/>
      <c r="G2381" s="83" t="n"/>
      <c r="H2381" s="83" t="n"/>
      <c r="I2381" s="83" t="n"/>
      <c r="J2381" s="83" t="n"/>
      <c r="K2381" s="83" t="n"/>
      <c r="L2381" s="83" t="n"/>
      <c r="M2381" s="83" t="n"/>
      <c r="N2381" s="83" t="n"/>
      <c r="O2381" s="83" t="n"/>
      <c r="P2381" s="83" t="n"/>
      <c r="Q2381" s="83" t="n"/>
      <c r="R2381" s="83" t="n"/>
      <c r="S2381" s="83" t="n"/>
      <c r="T2381" s="83" t="n"/>
      <c r="U2381" s="83" t="n"/>
      <c r="V2381" s="83" t="n"/>
      <c r="W2381" s="83" t="n"/>
      <c r="X2381" s="83" t="n"/>
      <c r="Y2381" s="83" t="n"/>
      <c r="Z2381" s="83" t="n"/>
      <c r="AA2381" s="83" t="n"/>
      <c r="AB2381" s="83" t="n"/>
      <c r="AC2381" s="83" t="n"/>
      <c r="AD2381" s="83" t="n"/>
      <c r="AE2381" s="83" t="n"/>
      <c r="AF2381" s="83" t="n"/>
      <c r="AG2381" s="83" t="n"/>
      <c r="AH2381" s="83" t="n"/>
      <c r="AI2381" s="83" t="n"/>
      <c r="AJ2381" s="83" t="n"/>
      <c r="AK2381" s="83" t="n"/>
      <c r="AL2381" s="83" t="n"/>
      <c r="AM2381" s="83" t="n"/>
      <c r="AN2381" s="83" t="n"/>
      <c r="AO2381" s="83" t="n"/>
      <c r="AP2381" s="83" t="n"/>
      <c r="AQ2381" s="83" t="n"/>
      <c r="AR2381" s="83" t="n"/>
    </row>
    <row r="2382">
      <c r="D2382" s="83" t="n"/>
      <c r="E2382" s="83" t="n"/>
      <c r="F2382" s="83" t="n"/>
      <c r="G2382" s="83" t="n"/>
      <c r="H2382" s="83" t="n"/>
      <c r="I2382" s="83" t="n"/>
      <c r="J2382" s="83" t="n"/>
      <c r="K2382" s="83" t="n"/>
      <c r="L2382" s="83" t="n"/>
      <c r="M2382" s="83" t="n"/>
      <c r="N2382" s="83" t="n"/>
      <c r="O2382" s="83" t="n"/>
      <c r="P2382" s="83" t="n"/>
      <c r="Q2382" s="83" t="n"/>
      <c r="R2382" s="83" t="n"/>
      <c r="S2382" s="83" t="n"/>
      <c r="T2382" s="83" t="n"/>
      <c r="U2382" s="83" t="n"/>
      <c r="V2382" s="83" t="n"/>
      <c r="W2382" s="83" t="n"/>
      <c r="X2382" s="83" t="n"/>
      <c r="Y2382" s="83" t="n"/>
      <c r="Z2382" s="83" t="n"/>
      <c r="AA2382" s="83" t="n"/>
      <c r="AB2382" s="83" t="n"/>
      <c r="AC2382" s="83" t="n"/>
      <c r="AD2382" s="83" t="n"/>
      <c r="AE2382" s="83" t="n"/>
      <c r="AF2382" s="83" t="n"/>
      <c r="AG2382" s="83" t="n"/>
      <c r="AH2382" s="83" t="n"/>
      <c r="AI2382" s="83" t="n"/>
      <c r="AJ2382" s="83" t="n"/>
      <c r="AK2382" s="83" t="n"/>
      <c r="AL2382" s="83" t="n"/>
      <c r="AM2382" s="83" t="n"/>
      <c r="AN2382" s="83" t="n"/>
      <c r="AO2382" s="83" t="n"/>
      <c r="AP2382" s="83" t="n"/>
      <c r="AQ2382" s="83" t="n"/>
      <c r="AR2382" s="83" t="n"/>
    </row>
    <row r="2383">
      <c r="D2383" s="84" t="n"/>
      <c r="E2383" s="84" t="n"/>
      <c r="F2383" s="84" t="n"/>
      <c r="G2383" s="84" t="n"/>
      <c r="H2383" s="84" t="n"/>
      <c r="I2383" s="84" t="n"/>
      <c r="J2383" s="84" t="n"/>
      <c r="K2383" s="84" t="n"/>
      <c r="L2383" s="84" t="n"/>
      <c r="M2383" s="84" t="n"/>
      <c r="N2383" s="84" t="n"/>
      <c r="O2383" s="84" t="n"/>
      <c r="P2383" s="84" t="n"/>
      <c r="Q2383" s="84" t="n"/>
      <c r="R2383" s="84" t="n"/>
      <c r="S2383" s="84" t="n"/>
      <c r="T2383" s="84" t="n"/>
      <c r="U2383" s="84" t="n"/>
      <c r="V2383" s="84" t="n"/>
      <c r="W2383" s="84" t="n"/>
      <c r="X2383" s="84" t="n"/>
      <c r="Y2383" s="84" t="n"/>
      <c r="Z2383" s="84" t="n"/>
      <c r="AA2383" s="84" t="n"/>
      <c r="AB2383" s="84" t="n"/>
      <c r="AC2383" s="84" t="n"/>
      <c r="AD2383" s="84" t="n"/>
      <c r="AE2383" s="84" t="n"/>
      <c r="AF2383" s="84" t="n"/>
      <c r="AG2383" s="84" t="n"/>
      <c r="AH2383" s="84" t="n"/>
      <c r="AI2383" s="84" t="n"/>
      <c r="AJ2383" s="84" t="n"/>
      <c r="AK2383" s="84" t="n"/>
      <c r="AL2383" s="84" t="n"/>
      <c r="AM2383" s="84" t="n"/>
      <c r="AN2383" s="84" t="n"/>
      <c r="AO2383" s="84" t="n"/>
      <c r="AP2383" s="84" t="n"/>
      <c r="AQ2383" s="84" t="n"/>
      <c r="AR2383" s="84" t="n"/>
    </row>
    <row r="2384">
      <c r="D2384" s="80" t="n"/>
      <c r="E2384" s="80" t="n"/>
      <c r="F2384" s="80" t="n"/>
      <c r="G2384" s="80" t="n"/>
      <c r="H2384" s="80" t="n"/>
      <c r="I2384" s="80" t="n"/>
      <c r="J2384" s="80" t="n"/>
      <c r="K2384" s="80" t="n"/>
      <c r="L2384" s="80" t="n"/>
      <c r="M2384" s="80" t="n"/>
      <c r="N2384" s="80" t="n"/>
      <c r="O2384" s="80" t="n"/>
      <c r="P2384" s="80" t="n"/>
      <c r="Q2384" s="80" t="n"/>
      <c r="R2384" s="80" t="n"/>
      <c r="S2384" s="80" t="n"/>
      <c r="T2384" s="80" t="n"/>
      <c r="U2384" s="80" t="n"/>
      <c r="V2384" s="80" t="n"/>
      <c r="W2384" s="80" t="n"/>
      <c r="X2384" s="80" t="n"/>
      <c r="Y2384" s="80" t="n"/>
      <c r="Z2384" s="80" t="n"/>
      <c r="AA2384" s="80" t="n"/>
      <c r="AB2384" s="80" t="n"/>
      <c r="AC2384" s="80" t="n"/>
      <c r="AD2384" s="80" t="n"/>
      <c r="AE2384" s="80" t="n"/>
      <c r="AF2384" s="80" t="n"/>
      <c r="AG2384" s="80" t="n"/>
      <c r="AH2384" s="80" t="n"/>
      <c r="AI2384" s="80" t="n"/>
      <c r="AJ2384" s="80" t="n"/>
      <c r="AK2384" s="80" t="n"/>
      <c r="AL2384" s="80" t="n"/>
      <c r="AM2384" s="80" t="n"/>
      <c r="AN2384" s="80" t="n"/>
      <c r="AO2384" s="80" t="n"/>
      <c r="AP2384" s="80" t="n"/>
      <c r="AQ2384" s="80" t="n"/>
      <c r="AR2384" s="80" t="n"/>
    </row>
    <row r="2385">
      <c r="D2385" s="80" t="n"/>
      <c r="E2385" s="80" t="n"/>
      <c r="F2385" s="80" t="n"/>
      <c r="G2385" s="80" t="n"/>
      <c r="H2385" s="80" t="n"/>
      <c r="I2385" s="80" t="n"/>
      <c r="J2385" s="80" t="n"/>
      <c r="K2385" s="80" t="n"/>
      <c r="L2385" s="80" t="n"/>
      <c r="M2385" s="80" t="n"/>
      <c r="N2385" s="80" t="n"/>
      <c r="O2385" s="80" t="n"/>
      <c r="P2385" s="80" t="n"/>
      <c r="Q2385" s="80" t="n"/>
      <c r="R2385" s="80" t="n"/>
      <c r="S2385" s="80" t="n"/>
      <c r="T2385" s="80" t="n"/>
      <c r="U2385" s="80" t="n"/>
      <c r="V2385" s="80" t="n"/>
      <c r="W2385" s="80" t="n"/>
      <c r="X2385" s="80" t="n"/>
      <c r="Y2385" s="80" t="n"/>
      <c r="Z2385" s="80" t="n"/>
      <c r="AA2385" s="80" t="n"/>
      <c r="AB2385" s="80" t="n"/>
      <c r="AC2385" s="80" t="n"/>
      <c r="AD2385" s="80" t="n"/>
      <c r="AE2385" s="80" t="n"/>
      <c r="AF2385" s="80" t="n"/>
      <c r="AG2385" s="80" t="n"/>
      <c r="AH2385" s="80" t="n"/>
      <c r="AI2385" s="80" t="n"/>
      <c r="AJ2385" s="80" t="n"/>
      <c r="AK2385" s="80" t="n"/>
      <c r="AL2385" s="80" t="n"/>
      <c r="AM2385" s="80" t="n"/>
      <c r="AN2385" s="80" t="n"/>
      <c r="AO2385" s="80" t="n"/>
      <c r="AP2385" s="80" t="n"/>
      <c r="AQ2385" s="80" t="n"/>
      <c r="AR2385" s="80" t="n"/>
    </row>
    <row r="2386">
      <c r="D2386" s="80" t="n"/>
      <c r="E2386" s="80" t="n"/>
      <c r="F2386" s="80" t="n"/>
      <c r="G2386" s="80" t="n"/>
      <c r="H2386" s="80" t="n"/>
      <c r="I2386" s="80" t="n"/>
      <c r="J2386" s="80" t="n"/>
      <c r="K2386" s="80" t="n"/>
      <c r="L2386" s="80" t="n"/>
      <c r="M2386" s="80" t="n"/>
      <c r="N2386" s="80" t="n"/>
      <c r="O2386" s="80" t="n"/>
      <c r="P2386" s="80" t="n"/>
      <c r="Q2386" s="80" t="n"/>
      <c r="R2386" s="80" t="n"/>
      <c r="S2386" s="80" t="n"/>
      <c r="T2386" s="80" t="n"/>
      <c r="U2386" s="80" t="n"/>
      <c r="V2386" s="80" t="n"/>
      <c r="W2386" s="80" t="n"/>
      <c r="X2386" s="80" t="n"/>
      <c r="Y2386" s="80" t="n"/>
      <c r="Z2386" s="80" t="n"/>
      <c r="AA2386" s="80" t="n"/>
      <c r="AB2386" s="80" t="n"/>
      <c r="AC2386" s="80" t="n"/>
      <c r="AD2386" s="80" t="n"/>
      <c r="AE2386" s="80" t="n"/>
      <c r="AF2386" s="80" t="n"/>
      <c r="AG2386" s="80" t="n"/>
      <c r="AH2386" s="80" t="n"/>
      <c r="AI2386" s="80" t="n"/>
      <c r="AJ2386" s="80" t="n"/>
      <c r="AK2386" s="80" t="n"/>
      <c r="AL2386" s="80" t="n"/>
      <c r="AM2386" s="80" t="n"/>
      <c r="AN2386" s="80" t="n"/>
      <c r="AO2386" s="80" t="n"/>
      <c r="AP2386" s="80" t="n"/>
      <c r="AQ2386" s="80" t="n"/>
      <c r="AR2386" s="80" t="n"/>
    </row>
    <row r="2387">
      <c r="D2387" s="80" t="n"/>
      <c r="E2387" s="80" t="n"/>
      <c r="F2387" s="80" t="n"/>
      <c r="G2387" s="80" t="n"/>
      <c r="H2387" s="80" t="n"/>
      <c r="I2387" s="80" t="n"/>
      <c r="J2387" s="80" t="n"/>
      <c r="K2387" s="80" t="n"/>
      <c r="L2387" s="80" t="n"/>
      <c r="M2387" s="80" t="n"/>
      <c r="N2387" s="80" t="n"/>
      <c r="O2387" s="80" t="n"/>
      <c r="P2387" s="80" t="n"/>
      <c r="Q2387" s="80" t="n"/>
      <c r="R2387" s="80" t="n"/>
      <c r="S2387" s="80" t="n"/>
      <c r="T2387" s="80" t="n"/>
      <c r="U2387" s="80" t="n"/>
      <c r="V2387" s="80" t="n"/>
      <c r="W2387" s="80" t="n"/>
      <c r="X2387" s="80" t="n"/>
      <c r="Y2387" s="80" t="n"/>
      <c r="Z2387" s="80" t="n"/>
      <c r="AA2387" s="80" t="n"/>
      <c r="AB2387" s="80" t="n"/>
      <c r="AC2387" s="80" t="n"/>
      <c r="AD2387" s="80" t="n"/>
      <c r="AE2387" s="80" t="n"/>
      <c r="AF2387" s="80" t="n"/>
      <c r="AG2387" s="80" t="n"/>
      <c r="AH2387" s="80" t="n"/>
      <c r="AI2387" s="80" t="n"/>
      <c r="AJ2387" s="80" t="n"/>
      <c r="AK2387" s="80" t="n"/>
      <c r="AL2387" s="80" t="n"/>
      <c r="AM2387" s="80" t="n"/>
      <c r="AN2387" s="80" t="n"/>
      <c r="AO2387" s="80" t="n"/>
      <c r="AP2387" s="80" t="n"/>
      <c r="AQ2387" s="80" t="n"/>
      <c r="AR2387" s="80" t="n"/>
    </row>
    <row r="2389">
      <c r="A2389" s="6">
        <f>IF(HSCEI!$C$25="","",HSCEI!$C$25)</f>
        <v/>
      </c>
      <c r="B2389" s="41">
        <f>IF($A2389="",0,COUNT($E2390:$AR2390))</f>
        <v/>
      </c>
      <c r="C2389" s="81">
        <f>IF($B2389=0,0,MAX($E2390:$AR2390))</f>
        <v/>
      </c>
      <c r="D2389" s="82">
        <f>BDS($A2389,'Field Check'!$C$7,"headers=y","startcol=1","endcol=7","dir=h","DVD_START_DT",Summary!$C$18,"DVD_END_DT",Summary!$D$18)</f>
        <v/>
      </c>
      <c r="E2389" s="83" t="n"/>
      <c r="F2389" s="83" t="n"/>
      <c r="G2389" s="83" t="n"/>
      <c r="H2389" s="83" t="n"/>
      <c r="I2389" s="83" t="n"/>
      <c r="J2389" s="83" t="n"/>
      <c r="K2389" s="83" t="n"/>
      <c r="L2389" s="83" t="n"/>
      <c r="M2389" s="83" t="n"/>
      <c r="N2389" s="83" t="n"/>
      <c r="O2389" s="83" t="n"/>
      <c r="P2389" s="83" t="n"/>
      <c r="Q2389" s="83" t="n"/>
      <c r="R2389" s="83" t="n"/>
      <c r="S2389" s="83" t="n"/>
      <c r="T2389" s="83" t="n"/>
      <c r="U2389" s="83" t="n"/>
      <c r="V2389" s="83" t="n"/>
      <c r="W2389" s="83" t="n"/>
      <c r="X2389" s="83" t="n"/>
      <c r="Y2389" s="83" t="n"/>
      <c r="Z2389" s="83" t="n"/>
      <c r="AA2389" s="83" t="n"/>
      <c r="AB2389" s="83" t="n"/>
      <c r="AC2389" s="83" t="n"/>
      <c r="AD2389" s="83" t="n"/>
      <c r="AE2389" s="83" t="n"/>
      <c r="AF2389" s="83" t="n"/>
      <c r="AG2389" s="83" t="n"/>
      <c r="AH2389" s="83" t="n"/>
      <c r="AI2389" s="83" t="n"/>
      <c r="AJ2389" s="83" t="n"/>
      <c r="AK2389" s="83" t="n"/>
      <c r="AL2389" s="83" t="n"/>
      <c r="AM2389" s="83" t="n"/>
      <c r="AN2389" s="83" t="n"/>
      <c r="AO2389" s="83" t="n"/>
      <c r="AP2389" s="83" t="n"/>
      <c r="AQ2389" s="83" t="n"/>
      <c r="AR2389" s="83" t="n"/>
    </row>
    <row r="2390">
      <c r="D2390" s="83" t="n"/>
      <c r="E2390" s="83" t="n"/>
      <c r="F2390" s="83" t="n"/>
      <c r="G2390" s="83" t="n"/>
      <c r="H2390" s="83" t="n"/>
      <c r="I2390" s="83" t="n"/>
      <c r="J2390" s="83" t="n"/>
      <c r="K2390" s="83" t="n"/>
      <c r="L2390" s="83" t="n"/>
      <c r="M2390" s="83" t="n"/>
      <c r="N2390" s="83" t="n"/>
      <c r="O2390" s="83" t="n"/>
      <c r="P2390" s="83" t="n"/>
      <c r="Q2390" s="83" t="n"/>
      <c r="R2390" s="83" t="n"/>
      <c r="S2390" s="83" t="n"/>
      <c r="T2390" s="83" t="n"/>
      <c r="U2390" s="83" t="n"/>
      <c r="V2390" s="83" t="n"/>
      <c r="W2390" s="83" t="n"/>
      <c r="X2390" s="83" t="n"/>
      <c r="Y2390" s="83" t="n"/>
      <c r="Z2390" s="83" t="n"/>
      <c r="AA2390" s="83" t="n"/>
      <c r="AB2390" s="83" t="n"/>
      <c r="AC2390" s="83" t="n"/>
      <c r="AD2390" s="83" t="n"/>
      <c r="AE2390" s="83" t="n"/>
      <c r="AF2390" s="83" t="n"/>
      <c r="AG2390" s="83" t="n"/>
      <c r="AH2390" s="83" t="n"/>
      <c r="AI2390" s="83" t="n"/>
      <c r="AJ2390" s="83" t="n"/>
      <c r="AK2390" s="83" t="n"/>
      <c r="AL2390" s="83" t="n"/>
      <c r="AM2390" s="83" t="n"/>
      <c r="AN2390" s="83" t="n"/>
      <c r="AO2390" s="83" t="n"/>
      <c r="AP2390" s="83" t="n"/>
      <c r="AQ2390" s="83" t="n"/>
      <c r="AR2390" s="83" t="n"/>
    </row>
    <row r="2391">
      <c r="D2391" s="84" t="n"/>
      <c r="E2391" s="84" t="n"/>
      <c r="F2391" s="84" t="n"/>
      <c r="G2391" s="84" t="n"/>
      <c r="H2391" s="84" t="n"/>
      <c r="I2391" s="84" t="n"/>
      <c r="J2391" s="84" t="n"/>
      <c r="K2391" s="84" t="n"/>
      <c r="L2391" s="84" t="n"/>
      <c r="M2391" s="84" t="n"/>
      <c r="N2391" s="84" t="n"/>
      <c r="O2391" s="84" t="n"/>
      <c r="P2391" s="84" t="n"/>
      <c r="Q2391" s="84" t="n"/>
      <c r="R2391" s="84" t="n"/>
      <c r="S2391" s="84" t="n"/>
      <c r="T2391" s="84" t="n"/>
      <c r="U2391" s="84" t="n"/>
      <c r="V2391" s="84" t="n"/>
      <c r="W2391" s="84" t="n"/>
      <c r="X2391" s="84" t="n"/>
      <c r="Y2391" s="84" t="n"/>
      <c r="Z2391" s="84" t="n"/>
      <c r="AA2391" s="84" t="n"/>
      <c r="AB2391" s="84" t="n"/>
      <c r="AC2391" s="84" t="n"/>
      <c r="AD2391" s="84" t="n"/>
      <c r="AE2391" s="84" t="n"/>
      <c r="AF2391" s="84" t="n"/>
      <c r="AG2391" s="84" t="n"/>
      <c r="AH2391" s="84" t="n"/>
      <c r="AI2391" s="84" t="n"/>
      <c r="AJ2391" s="84" t="n"/>
      <c r="AK2391" s="84" t="n"/>
      <c r="AL2391" s="84" t="n"/>
      <c r="AM2391" s="84" t="n"/>
      <c r="AN2391" s="84" t="n"/>
      <c r="AO2391" s="84" t="n"/>
      <c r="AP2391" s="84" t="n"/>
      <c r="AQ2391" s="84" t="n"/>
      <c r="AR2391" s="84" t="n"/>
    </row>
    <row r="2392">
      <c r="D2392" s="80" t="n"/>
      <c r="E2392" s="80" t="n"/>
      <c r="F2392" s="80" t="n"/>
      <c r="G2392" s="80" t="n"/>
      <c r="H2392" s="80" t="n"/>
      <c r="I2392" s="80" t="n"/>
      <c r="J2392" s="80" t="n"/>
      <c r="K2392" s="80" t="n"/>
      <c r="L2392" s="80" t="n"/>
      <c r="M2392" s="80" t="n"/>
      <c r="N2392" s="80" t="n"/>
      <c r="O2392" s="80" t="n"/>
      <c r="P2392" s="80" t="n"/>
      <c r="Q2392" s="80" t="n"/>
      <c r="R2392" s="80" t="n"/>
      <c r="S2392" s="80" t="n"/>
      <c r="T2392" s="80" t="n"/>
      <c r="U2392" s="80" t="n"/>
      <c r="V2392" s="80" t="n"/>
      <c r="W2392" s="80" t="n"/>
      <c r="X2392" s="80" t="n"/>
      <c r="Y2392" s="80" t="n"/>
      <c r="Z2392" s="80" t="n"/>
      <c r="AA2392" s="80" t="n"/>
      <c r="AB2392" s="80" t="n"/>
      <c r="AC2392" s="80" t="n"/>
      <c r="AD2392" s="80" t="n"/>
      <c r="AE2392" s="80" t="n"/>
      <c r="AF2392" s="80" t="n"/>
      <c r="AG2392" s="80" t="n"/>
      <c r="AH2392" s="80" t="n"/>
      <c r="AI2392" s="80" t="n"/>
      <c r="AJ2392" s="80" t="n"/>
      <c r="AK2392" s="80" t="n"/>
      <c r="AL2392" s="80" t="n"/>
      <c r="AM2392" s="80" t="n"/>
      <c r="AN2392" s="80" t="n"/>
      <c r="AO2392" s="80" t="n"/>
      <c r="AP2392" s="80" t="n"/>
      <c r="AQ2392" s="80" t="n"/>
      <c r="AR2392" s="80" t="n"/>
    </row>
    <row r="2393">
      <c r="D2393" s="80" t="n"/>
      <c r="E2393" s="80" t="n"/>
      <c r="F2393" s="80" t="n"/>
      <c r="G2393" s="80" t="n"/>
      <c r="H2393" s="80" t="n"/>
      <c r="I2393" s="80" t="n"/>
      <c r="J2393" s="80" t="n"/>
      <c r="K2393" s="80" t="n"/>
      <c r="L2393" s="80" t="n"/>
      <c r="M2393" s="80" t="n"/>
      <c r="N2393" s="80" t="n"/>
      <c r="O2393" s="80" t="n"/>
      <c r="P2393" s="80" t="n"/>
      <c r="Q2393" s="80" t="n"/>
      <c r="R2393" s="80" t="n"/>
      <c r="S2393" s="80" t="n"/>
      <c r="T2393" s="80" t="n"/>
      <c r="U2393" s="80" t="n"/>
      <c r="V2393" s="80" t="n"/>
      <c r="W2393" s="80" t="n"/>
      <c r="X2393" s="80" t="n"/>
      <c r="Y2393" s="80" t="n"/>
      <c r="Z2393" s="80" t="n"/>
      <c r="AA2393" s="80" t="n"/>
      <c r="AB2393" s="80" t="n"/>
      <c r="AC2393" s="80" t="n"/>
      <c r="AD2393" s="80" t="n"/>
      <c r="AE2393" s="80" t="n"/>
      <c r="AF2393" s="80" t="n"/>
      <c r="AG2393" s="80" t="n"/>
      <c r="AH2393" s="80" t="n"/>
      <c r="AI2393" s="80" t="n"/>
      <c r="AJ2393" s="80" t="n"/>
      <c r="AK2393" s="80" t="n"/>
      <c r="AL2393" s="80" t="n"/>
      <c r="AM2393" s="80" t="n"/>
      <c r="AN2393" s="80" t="n"/>
      <c r="AO2393" s="80" t="n"/>
      <c r="AP2393" s="80" t="n"/>
      <c r="AQ2393" s="80" t="n"/>
      <c r="AR2393" s="80" t="n"/>
    </row>
    <row r="2394">
      <c r="D2394" s="80" t="n"/>
      <c r="E2394" s="80" t="n"/>
      <c r="F2394" s="80" t="n"/>
      <c r="G2394" s="80" t="n"/>
      <c r="H2394" s="80" t="n"/>
      <c r="I2394" s="80" t="n"/>
      <c r="J2394" s="80" t="n"/>
      <c r="K2394" s="80" t="n"/>
      <c r="L2394" s="80" t="n"/>
      <c r="M2394" s="80" t="n"/>
      <c r="N2394" s="80" t="n"/>
      <c r="O2394" s="80" t="n"/>
      <c r="P2394" s="80" t="n"/>
      <c r="Q2394" s="80" t="n"/>
      <c r="R2394" s="80" t="n"/>
      <c r="S2394" s="80" t="n"/>
      <c r="T2394" s="80" t="n"/>
      <c r="U2394" s="80" t="n"/>
      <c r="V2394" s="80" t="n"/>
      <c r="W2394" s="80" t="n"/>
      <c r="X2394" s="80" t="n"/>
      <c r="Y2394" s="80" t="n"/>
      <c r="Z2394" s="80" t="n"/>
      <c r="AA2394" s="80" t="n"/>
      <c r="AB2394" s="80" t="n"/>
      <c r="AC2394" s="80" t="n"/>
      <c r="AD2394" s="80" t="n"/>
      <c r="AE2394" s="80" t="n"/>
      <c r="AF2394" s="80" t="n"/>
      <c r="AG2394" s="80" t="n"/>
      <c r="AH2394" s="80" t="n"/>
      <c r="AI2394" s="80" t="n"/>
      <c r="AJ2394" s="80" t="n"/>
      <c r="AK2394" s="80" t="n"/>
      <c r="AL2394" s="80" t="n"/>
      <c r="AM2394" s="80" t="n"/>
      <c r="AN2394" s="80" t="n"/>
      <c r="AO2394" s="80" t="n"/>
      <c r="AP2394" s="80" t="n"/>
      <c r="AQ2394" s="80" t="n"/>
      <c r="AR2394" s="80" t="n"/>
    </row>
    <row r="2395">
      <c r="D2395" s="80" t="n"/>
      <c r="E2395" s="80" t="n"/>
      <c r="F2395" s="80" t="n"/>
      <c r="G2395" s="80" t="n"/>
      <c r="H2395" s="80" t="n"/>
      <c r="I2395" s="80" t="n"/>
      <c r="J2395" s="80" t="n"/>
      <c r="K2395" s="80" t="n"/>
      <c r="L2395" s="80" t="n"/>
      <c r="M2395" s="80" t="n"/>
      <c r="N2395" s="80" t="n"/>
      <c r="O2395" s="80" t="n"/>
      <c r="P2395" s="80" t="n"/>
      <c r="Q2395" s="80" t="n"/>
      <c r="R2395" s="80" t="n"/>
      <c r="S2395" s="80" t="n"/>
      <c r="T2395" s="80" t="n"/>
      <c r="U2395" s="80" t="n"/>
      <c r="V2395" s="80" t="n"/>
      <c r="W2395" s="80" t="n"/>
      <c r="X2395" s="80" t="n"/>
      <c r="Y2395" s="80" t="n"/>
      <c r="Z2395" s="80" t="n"/>
      <c r="AA2395" s="80" t="n"/>
      <c r="AB2395" s="80" t="n"/>
      <c r="AC2395" s="80" t="n"/>
      <c r="AD2395" s="80" t="n"/>
      <c r="AE2395" s="80" t="n"/>
      <c r="AF2395" s="80" t="n"/>
      <c r="AG2395" s="80" t="n"/>
      <c r="AH2395" s="80" t="n"/>
      <c r="AI2395" s="80" t="n"/>
      <c r="AJ2395" s="80" t="n"/>
      <c r="AK2395" s="80" t="n"/>
      <c r="AL2395" s="80" t="n"/>
      <c r="AM2395" s="80" t="n"/>
      <c r="AN2395" s="80" t="n"/>
      <c r="AO2395" s="80" t="n"/>
      <c r="AP2395" s="80" t="n"/>
      <c r="AQ2395" s="80" t="n"/>
      <c r="AR2395" s="80" t="n"/>
    </row>
    <row r="2396">
      <c r="A2396" s="2">
        <f>IF($A2389="","","   projections")</f>
        <v/>
      </c>
      <c r="B2396" s="41">
        <f>IF($A2389="",0,COUNT($E2397:$AR2397))</f>
        <v/>
      </c>
      <c r="C2396" s="81">
        <f>IF($B2396=0,0,MAX($E2397:$AR2397))</f>
        <v/>
      </c>
      <c r="D2396" s="82">
        <f>BDS($A2389,'Field Check'!$C$6,"headers=y","startcol=1","endcol=7","dir=h")</f>
        <v/>
      </c>
      <c r="E2396" s="83" t="n"/>
      <c r="F2396" s="83" t="n"/>
      <c r="G2396" s="83" t="n"/>
      <c r="H2396" s="83" t="n"/>
      <c r="I2396" s="83" t="n"/>
      <c r="J2396" s="83" t="n"/>
      <c r="K2396" s="83" t="n"/>
      <c r="L2396" s="83" t="n"/>
      <c r="M2396" s="83" t="n"/>
      <c r="N2396" s="83" t="n"/>
      <c r="O2396" s="83" t="n"/>
      <c r="P2396" s="83" t="n"/>
      <c r="Q2396" s="83" t="n"/>
      <c r="R2396" s="83" t="n"/>
      <c r="S2396" s="83" t="n"/>
      <c r="T2396" s="83" t="n"/>
      <c r="U2396" s="83" t="n"/>
      <c r="V2396" s="83" t="n"/>
      <c r="W2396" s="83" t="n"/>
      <c r="X2396" s="83" t="n"/>
      <c r="Y2396" s="83" t="n"/>
      <c r="Z2396" s="83" t="n"/>
      <c r="AA2396" s="83" t="n"/>
      <c r="AB2396" s="83" t="n"/>
      <c r="AC2396" s="83" t="n"/>
      <c r="AD2396" s="83" t="n"/>
      <c r="AE2396" s="83" t="n"/>
      <c r="AF2396" s="83" t="n"/>
      <c r="AG2396" s="83" t="n"/>
      <c r="AH2396" s="83" t="n"/>
      <c r="AI2396" s="83" t="n"/>
      <c r="AJ2396" s="83" t="n"/>
      <c r="AK2396" s="83" t="n"/>
      <c r="AL2396" s="83" t="n"/>
      <c r="AM2396" s="83" t="n"/>
      <c r="AN2396" s="83" t="n"/>
      <c r="AO2396" s="83" t="n"/>
      <c r="AP2396" s="83" t="n"/>
      <c r="AQ2396" s="83" t="n"/>
      <c r="AR2396" s="83" t="n"/>
    </row>
    <row r="2397">
      <c r="D2397" s="83" t="n"/>
      <c r="E2397" s="83" t="n"/>
      <c r="F2397" s="83" t="n"/>
      <c r="G2397" s="83" t="n"/>
      <c r="H2397" s="83" t="n"/>
      <c r="I2397" s="83" t="n"/>
      <c r="J2397" s="83" t="n"/>
      <c r="K2397" s="83" t="n"/>
      <c r="L2397" s="83" t="n"/>
      <c r="M2397" s="83" t="n"/>
      <c r="N2397" s="83" t="n"/>
      <c r="O2397" s="83" t="n"/>
      <c r="P2397" s="83" t="n"/>
      <c r="Q2397" s="83" t="n"/>
      <c r="R2397" s="83" t="n"/>
      <c r="S2397" s="83" t="n"/>
      <c r="T2397" s="83" t="n"/>
      <c r="U2397" s="83" t="n"/>
      <c r="V2397" s="83" t="n"/>
      <c r="W2397" s="83" t="n"/>
      <c r="X2397" s="83" t="n"/>
      <c r="Y2397" s="83" t="n"/>
      <c r="Z2397" s="83" t="n"/>
      <c r="AA2397" s="83" t="n"/>
      <c r="AB2397" s="83" t="n"/>
      <c r="AC2397" s="83" t="n"/>
      <c r="AD2397" s="83" t="n"/>
      <c r="AE2397" s="83" t="n"/>
      <c r="AF2397" s="83" t="n"/>
      <c r="AG2397" s="83" t="n"/>
      <c r="AH2397" s="83" t="n"/>
      <c r="AI2397" s="83" t="n"/>
      <c r="AJ2397" s="83" t="n"/>
      <c r="AK2397" s="83" t="n"/>
      <c r="AL2397" s="83" t="n"/>
      <c r="AM2397" s="83" t="n"/>
      <c r="AN2397" s="83" t="n"/>
      <c r="AO2397" s="83" t="n"/>
      <c r="AP2397" s="83" t="n"/>
      <c r="AQ2397" s="83" t="n"/>
      <c r="AR2397" s="83" t="n"/>
    </row>
    <row r="2398">
      <c r="D2398" s="84" t="n"/>
      <c r="E2398" s="84" t="n"/>
      <c r="F2398" s="84" t="n"/>
      <c r="G2398" s="84" t="n"/>
      <c r="H2398" s="84" t="n"/>
      <c r="I2398" s="84" t="n"/>
      <c r="J2398" s="84" t="n"/>
      <c r="K2398" s="84" t="n"/>
      <c r="L2398" s="84" t="n"/>
      <c r="M2398" s="84" t="n"/>
      <c r="N2398" s="84" t="n"/>
      <c r="O2398" s="84" t="n"/>
      <c r="P2398" s="84" t="n"/>
      <c r="Q2398" s="84" t="n"/>
      <c r="R2398" s="84" t="n"/>
      <c r="S2398" s="84" t="n"/>
      <c r="T2398" s="84" t="n"/>
      <c r="U2398" s="84" t="n"/>
      <c r="V2398" s="84" t="n"/>
      <c r="W2398" s="84" t="n"/>
      <c r="X2398" s="84" t="n"/>
      <c r="Y2398" s="84" t="n"/>
      <c r="Z2398" s="84" t="n"/>
      <c r="AA2398" s="84" t="n"/>
      <c r="AB2398" s="84" t="n"/>
      <c r="AC2398" s="84" t="n"/>
      <c r="AD2398" s="84" t="n"/>
      <c r="AE2398" s="84" t="n"/>
      <c r="AF2398" s="84" t="n"/>
      <c r="AG2398" s="84" t="n"/>
      <c r="AH2398" s="84" t="n"/>
      <c r="AI2398" s="84" t="n"/>
      <c r="AJ2398" s="84" t="n"/>
      <c r="AK2398" s="84" t="n"/>
      <c r="AL2398" s="84" t="n"/>
      <c r="AM2398" s="84" t="n"/>
      <c r="AN2398" s="84" t="n"/>
      <c r="AO2398" s="84" t="n"/>
      <c r="AP2398" s="84" t="n"/>
      <c r="AQ2398" s="84" t="n"/>
      <c r="AR2398" s="84" t="n"/>
    </row>
    <row r="2399">
      <c r="D2399" s="80" t="n"/>
      <c r="E2399" s="80" t="n"/>
      <c r="F2399" s="80" t="n"/>
      <c r="G2399" s="80" t="n"/>
      <c r="H2399" s="80" t="n"/>
      <c r="I2399" s="80" t="n"/>
      <c r="J2399" s="80" t="n"/>
      <c r="K2399" s="80" t="n"/>
      <c r="L2399" s="80" t="n"/>
      <c r="M2399" s="80" t="n"/>
      <c r="N2399" s="80" t="n"/>
      <c r="O2399" s="80" t="n"/>
      <c r="P2399" s="80" t="n"/>
      <c r="Q2399" s="80" t="n"/>
      <c r="R2399" s="80" t="n"/>
      <c r="S2399" s="80" t="n"/>
      <c r="T2399" s="80" t="n"/>
      <c r="U2399" s="80" t="n"/>
      <c r="V2399" s="80" t="n"/>
      <c r="W2399" s="80" t="n"/>
      <c r="X2399" s="80" t="n"/>
      <c r="Y2399" s="80" t="n"/>
      <c r="Z2399" s="80" t="n"/>
      <c r="AA2399" s="80" t="n"/>
      <c r="AB2399" s="80" t="n"/>
      <c r="AC2399" s="80" t="n"/>
      <c r="AD2399" s="80" t="n"/>
      <c r="AE2399" s="80" t="n"/>
      <c r="AF2399" s="80" t="n"/>
      <c r="AG2399" s="80" t="n"/>
      <c r="AH2399" s="80" t="n"/>
      <c r="AI2399" s="80" t="n"/>
      <c r="AJ2399" s="80" t="n"/>
      <c r="AK2399" s="80" t="n"/>
      <c r="AL2399" s="80" t="n"/>
      <c r="AM2399" s="80" t="n"/>
      <c r="AN2399" s="80" t="n"/>
      <c r="AO2399" s="80" t="n"/>
      <c r="AP2399" s="80" t="n"/>
      <c r="AQ2399" s="80" t="n"/>
      <c r="AR2399" s="80" t="n"/>
    </row>
    <row r="2400">
      <c r="D2400" s="80" t="n"/>
      <c r="E2400" s="80" t="n"/>
      <c r="F2400" s="80" t="n"/>
      <c r="G2400" s="80" t="n"/>
      <c r="H2400" s="80" t="n"/>
      <c r="I2400" s="80" t="n"/>
      <c r="J2400" s="80" t="n"/>
      <c r="K2400" s="80" t="n"/>
      <c r="L2400" s="80" t="n"/>
      <c r="M2400" s="80" t="n"/>
      <c r="N2400" s="80" t="n"/>
      <c r="O2400" s="80" t="n"/>
      <c r="P2400" s="80" t="n"/>
      <c r="Q2400" s="80" t="n"/>
      <c r="R2400" s="80" t="n"/>
      <c r="S2400" s="80" t="n"/>
      <c r="T2400" s="80" t="n"/>
      <c r="U2400" s="80" t="n"/>
      <c r="V2400" s="80" t="n"/>
      <c r="W2400" s="80" t="n"/>
      <c r="X2400" s="80" t="n"/>
      <c r="Y2400" s="80" t="n"/>
      <c r="Z2400" s="80" t="n"/>
      <c r="AA2400" s="80" t="n"/>
      <c r="AB2400" s="80" t="n"/>
      <c r="AC2400" s="80" t="n"/>
      <c r="AD2400" s="80" t="n"/>
      <c r="AE2400" s="80" t="n"/>
      <c r="AF2400" s="80" t="n"/>
      <c r="AG2400" s="80" t="n"/>
      <c r="AH2400" s="80" t="n"/>
      <c r="AI2400" s="80" t="n"/>
      <c r="AJ2400" s="80" t="n"/>
      <c r="AK2400" s="80" t="n"/>
      <c r="AL2400" s="80" t="n"/>
      <c r="AM2400" s="80" t="n"/>
      <c r="AN2400" s="80" t="n"/>
      <c r="AO2400" s="80" t="n"/>
      <c r="AP2400" s="80" t="n"/>
      <c r="AQ2400" s="80" t="n"/>
      <c r="AR2400" s="80" t="n"/>
    </row>
    <row r="2401">
      <c r="D2401" s="80" t="n"/>
      <c r="E2401" s="80" t="n"/>
      <c r="F2401" s="80" t="n"/>
      <c r="G2401" s="80" t="n"/>
      <c r="H2401" s="80" t="n"/>
      <c r="I2401" s="80" t="n"/>
      <c r="J2401" s="80" t="n"/>
      <c r="K2401" s="80" t="n"/>
      <c r="L2401" s="80" t="n"/>
      <c r="M2401" s="80" t="n"/>
      <c r="N2401" s="80" t="n"/>
      <c r="O2401" s="80" t="n"/>
      <c r="P2401" s="80" t="n"/>
      <c r="Q2401" s="80" t="n"/>
      <c r="R2401" s="80" t="n"/>
      <c r="S2401" s="80" t="n"/>
      <c r="T2401" s="80" t="n"/>
      <c r="U2401" s="80" t="n"/>
      <c r="V2401" s="80" t="n"/>
      <c r="W2401" s="80" t="n"/>
      <c r="X2401" s="80" t="n"/>
      <c r="Y2401" s="80" t="n"/>
      <c r="Z2401" s="80" t="n"/>
      <c r="AA2401" s="80" t="n"/>
      <c r="AB2401" s="80" t="n"/>
      <c r="AC2401" s="80" t="n"/>
      <c r="AD2401" s="80" t="n"/>
      <c r="AE2401" s="80" t="n"/>
      <c r="AF2401" s="80" t="n"/>
      <c r="AG2401" s="80" t="n"/>
      <c r="AH2401" s="80" t="n"/>
      <c r="AI2401" s="80" t="n"/>
      <c r="AJ2401" s="80" t="n"/>
      <c r="AK2401" s="80" t="n"/>
      <c r="AL2401" s="80" t="n"/>
      <c r="AM2401" s="80" t="n"/>
      <c r="AN2401" s="80" t="n"/>
      <c r="AO2401" s="80" t="n"/>
      <c r="AP2401" s="80" t="n"/>
      <c r="AQ2401" s="80" t="n"/>
      <c r="AR2401" s="80" t="n"/>
    </row>
    <row r="2402">
      <c r="D2402" s="80" t="n"/>
      <c r="E2402" s="80" t="n"/>
      <c r="F2402" s="80" t="n"/>
      <c r="G2402" s="80" t="n"/>
      <c r="H2402" s="80" t="n"/>
      <c r="I2402" s="80" t="n"/>
      <c r="J2402" s="80" t="n"/>
      <c r="K2402" s="80" t="n"/>
      <c r="L2402" s="80" t="n"/>
      <c r="M2402" s="80" t="n"/>
      <c r="N2402" s="80" t="n"/>
      <c r="O2402" s="80" t="n"/>
      <c r="P2402" s="80" t="n"/>
      <c r="Q2402" s="80" t="n"/>
      <c r="R2402" s="80" t="n"/>
      <c r="S2402" s="80" t="n"/>
      <c r="T2402" s="80" t="n"/>
      <c r="U2402" s="80" t="n"/>
      <c r="V2402" s="80" t="n"/>
      <c r="W2402" s="80" t="n"/>
      <c r="X2402" s="80" t="n"/>
      <c r="Y2402" s="80" t="n"/>
      <c r="Z2402" s="80" t="n"/>
      <c r="AA2402" s="80" t="n"/>
      <c r="AB2402" s="80" t="n"/>
      <c r="AC2402" s="80" t="n"/>
      <c r="AD2402" s="80" t="n"/>
      <c r="AE2402" s="80" t="n"/>
      <c r="AF2402" s="80" t="n"/>
      <c r="AG2402" s="80" t="n"/>
      <c r="AH2402" s="80" t="n"/>
      <c r="AI2402" s="80" t="n"/>
      <c r="AJ2402" s="80" t="n"/>
      <c r="AK2402" s="80" t="n"/>
      <c r="AL2402" s="80" t="n"/>
      <c r="AM2402" s="80" t="n"/>
      <c r="AN2402" s="80" t="n"/>
      <c r="AO2402" s="80" t="n"/>
      <c r="AP2402" s="80" t="n"/>
      <c r="AQ2402" s="80" t="n"/>
      <c r="AR2402" s="80" t="n"/>
    </row>
    <row r="2404">
      <c r="A2404" s="6">
        <f>IF(HSCEI!$C$26="","",HSCEI!$C$26)</f>
        <v/>
      </c>
      <c r="B2404" s="41">
        <f>IF($A2404="",0,COUNT($E2405:$AR2405))</f>
        <v/>
      </c>
      <c r="C2404" s="81">
        <f>IF($B2404=0,0,MAX($E2405:$AR2405))</f>
        <v/>
      </c>
      <c r="D2404" s="82">
        <f>BDS($A2404,'Field Check'!$C$7,"headers=y","startcol=1","endcol=7","dir=h","DVD_START_DT",Summary!$C$18,"DVD_END_DT",Summary!$D$18)</f>
        <v/>
      </c>
      <c r="E2404" s="83" t="n"/>
      <c r="F2404" s="83" t="n"/>
      <c r="G2404" s="83" t="n"/>
      <c r="H2404" s="83" t="n"/>
      <c r="I2404" s="83" t="n"/>
      <c r="J2404" s="83" t="n"/>
      <c r="K2404" s="83" t="n"/>
      <c r="L2404" s="83" t="n"/>
      <c r="M2404" s="83" t="n"/>
      <c r="N2404" s="83" t="n"/>
      <c r="O2404" s="83" t="n"/>
      <c r="P2404" s="83" t="n"/>
      <c r="Q2404" s="83" t="n"/>
      <c r="R2404" s="83" t="n"/>
      <c r="S2404" s="83" t="n"/>
      <c r="T2404" s="83" t="n"/>
      <c r="U2404" s="83" t="n"/>
      <c r="V2404" s="83" t="n"/>
      <c r="W2404" s="83" t="n"/>
      <c r="X2404" s="83" t="n"/>
      <c r="Y2404" s="83" t="n"/>
      <c r="Z2404" s="83" t="n"/>
      <c r="AA2404" s="83" t="n"/>
      <c r="AB2404" s="83" t="n"/>
      <c r="AC2404" s="83" t="n"/>
      <c r="AD2404" s="83" t="n"/>
      <c r="AE2404" s="83" t="n"/>
      <c r="AF2404" s="83" t="n"/>
      <c r="AG2404" s="83" t="n"/>
      <c r="AH2404" s="83" t="n"/>
      <c r="AI2404" s="83" t="n"/>
      <c r="AJ2404" s="83" t="n"/>
      <c r="AK2404" s="83" t="n"/>
      <c r="AL2404" s="83" t="n"/>
      <c r="AM2404" s="83" t="n"/>
      <c r="AN2404" s="83" t="n"/>
      <c r="AO2404" s="83" t="n"/>
      <c r="AP2404" s="83" t="n"/>
      <c r="AQ2404" s="83" t="n"/>
      <c r="AR2404" s="83" t="n"/>
    </row>
    <row r="2405">
      <c r="D2405" s="83" t="n"/>
      <c r="E2405" s="83" t="n"/>
      <c r="F2405" s="83" t="n"/>
      <c r="G2405" s="83" t="n"/>
      <c r="H2405" s="83" t="n"/>
      <c r="I2405" s="83" t="n"/>
      <c r="J2405" s="83" t="n"/>
      <c r="K2405" s="83" t="n"/>
      <c r="L2405" s="83" t="n"/>
      <c r="M2405" s="83" t="n"/>
      <c r="N2405" s="83" t="n"/>
      <c r="O2405" s="83" t="n"/>
      <c r="P2405" s="83" t="n"/>
      <c r="Q2405" s="83" t="n"/>
      <c r="R2405" s="83" t="n"/>
      <c r="S2405" s="83" t="n"/>
      <c r="T2405" s="83" t="n"/>
      <c r="U2405" s="83" t="n"/>
      <c r="V2405" s="83" t="n"/>
      <c r="W2405" s="83" t="n"/>
      <c r="X2405" s="83" t="n"/>
      <c r="Y2405" s="83" t="n"/>
      <c r="Z2405" s="83" t="n"/>
      <c r="AA2405" s="83" t="n"/>
      <c r="AB2405" s="83" t="n"/>
      <c r="AC2405" s="83" t="n"/>
      <c r="AD2405" s="83" t="n"/>
      <c r="AE2405" s="83" t="n"/>
      <c r="AF2405" s="83" t="n"/>
      <c r="AG2405" s="83" t="n"/>
      <c r="AH2405" s="83" t="n"/>
      <c r="AI2405" s="83" t="n"/>
      <c r="AJ2405" s="83" t="n"/>
      <c r="AK2405" s="83" t="n"/>
      <c r="AL2405" s="83" t="n"/>
      <c r="AM2405" s="83" t="n"/>
      <c r="AN2405" s="83" t="n"/>
      <c r="AO2405" s="83" t="n"/>
      <c r="AP2405" s="83" t="n"/>
      <c r="AQ2405" s="83" t="n"/>
      <c r="AR2405" s="83" t="n"/>
    </row>
    <row r="2406">
      <c r="D2406" s="84" t="n"/>
      <c r="E2406" s="84" t="n"/>
      <c r="F2406" s="84" t="n"/>
      <c r="G2406" s="84" t="n"/>
      <c r="H2406" s="84" t="n"/>
      <c r="I2406" s="84" t="n"/>
      <c r="J2406" s="84" t="n"/>
      <c r="K2406" s="84" t="n"/>
      <c r="L2406" s="84" t="n"/>
      <c r="M2406" s="84" t="n"/>
      <c r="N2406" s="84" t="n"/>
      <c r="O2406" s="84" t="n"/>
      <c r="P2406" s="84" t="n"/>
      <c r="Q2406" s="84" t="n"/>
      <c r="R2406" s="84" t="n"/>
      <c r="S2406" s="84" t="n"/>
      <c r="T2406" s="84" t="n"/>
      <c r="U2406" s="84" t="n"/>
      <c r="V2406" s="84" t="n"/>
      <c r="W2406" s="84" t="n"/>
      <c r="X2406" s="84" t="n"/>
      <c r="Y2406" s="84" t="n"/>
      <c r="Z2406" s="84" t="n"/>
      <c r="AA2406" s="84" t="n"/>
      <c r="AB2406" s="84" t="n"/>
      <c r="AC2406" s="84" t="n"/>
      <c r="AD2406" s="84" t="n"/>
      <c r="AE2406" s="84" t="n"/>
      <c r="AF2406" s="84" t="n"/>
      <c r="AG2406" s="84" t="n"/>
      <c r="AH2406" s="84" t="n"/>
      <c r="AI2406" s="84" t="n"/>
      <c r="AJ2406" s="84" t="n"/>
      <c r="AK2406" s="84" t="n"/>
      <c r="AL2406" s="84" t="n"/>
      <c r="AM2406" s="84" t="n"/>
      <c r="AN2406" s="84" t="n"/>
      <c r="AO2406" s="84" t="n"/>
      <c r="AP2406" s="84" t="n"/>
      <c r="AQ2406" s="84" t="n"/>
      <c r="AR2406" s="84" t="n"/>
    </row>
    <row r="2407">
      <c r="D2407" s="80" t="n"/>
      <c r="E2407" s="80" t="n"/>
      <c r="F2407" s="80" t="n"/>
      <c r="G2407" s="80" t="n"/>
      <c r="H2407" s="80" t="n"/>
      <c r="I2407" s="80" t="n"/>
      <c r="J2407" s="80" t="n"/>
      <c r="K2407" s="80" t="n"/>
      <c r="L2407" s="80" t="n"/>
      <c r="M2407" s="80" t="n"/>
      <c r="N2407" s="80" t="n"/>
      <c r="O2407" s="80" t="n"/>
      <c r="P2407" s="80" t="n"/>
      <c r="Q2407" s="80" t="n"/>
      <c r="R2407" s="80" t="n"/>
      <c r="S2407" s="80" t="n"/>
      <c r="T2407" s="80" t="n"/>
      <c r="U2407" s="80" t="n"/>
      <c r="V2407" s="80" t="n"/>
      <c r="W2407" s="80" t="n"/>
      <c r="X2407" s="80" t="n"/>
      <c r="Y2407" s="80" t="n"/>
      <c r="Z2407" s="80" t="n"/>
      <c r="AA2407" s="80" t="n"/>
      <c r="AB2407" s="80" t="n"/>
      <c r="AC2407" s="80" t="n"/>
      <c r="AD2407" s="80" t="n"/>
      <c r="AE2407" s="80" t="n"/>
      <c r="AF2407" s="80" t="n"/>
      <c r="AG2407" s="80" t="n"/>
      <c r="AH2407" s="80" t="n"/>
      <c r="AI2407" s="80" t="n"/>
      <c r="AJ2407" s="80" t="n"/>
      <c r="AK2407" s="80" t="n"/>
      <c r="AL2407" s="80" t="n"/>
      <c r="AM2407" s="80" t="n"/>
      <c r="AN2407" s="80" t="n"/>
      <c r="AO2407" s="80" t="n"/>
      <c r="AP2407" s="80" t="n"/>
      <c r="AQ2407" s="80" t="n"/>
      <c r="AR2407" s="80" t="n"/>
    </row>
    <row r="2408">
      <c r="D2408" s="80" t="n"/>
      <c r="E2408" s="80" t="n"/>
      <c r="F2408" s="80" t="n"/>
      <c r="G2408" s="80" t="n"/>
      <c r="H2408" s="80" t="n"/>
      <c r="I2408" s="80" t="n"/>
      <c r="J2408" s="80" t="n"/>
      <c r="K2408" s="80" t="n"/>
      <c r="L2408" s="80" t="n"/>
      <c r="M2408" s="80" t="n"/>
      <c r="N2408" s="80" t="n"/>
      <c r="O2408" s="80" t="n"/>
      <c r="P2408" s="80" t="n"/>
      <c r="Q2408" s="80" t="n"/>
      <c r="R2408" s="80" t="n"/>
      <c r="S2408" s="80" t="n"/>
      <c r="T2408" s="80" t="n"/>
      <c r="U2408" s="80" t="n"/>
      <c r="V2408" s="80" t="n"/>
      <c r="W2408" s="80" t="n"/>
      <c r="X2408" s="80" t="n"/>
      <c r="Y2408" s="80" t="n"/>
      <c r="Z2408" s="80" t="n"/>
      <c r="AA2408" s="80" t="n"/>
      <c r="AB2408" s="80" t="n"/>
      <c r="AC2408" s="80" t="n"/>
      <c r="AD2408" s="80" t="n"/>
      <c r="AE2408" s="80" t="n"/>
      <c r="AF2408" s="80" t="n"/>
      <c r="AG2408" s="80" t="n"/>
      <c r="AH2408" s="80" t="n"/>
      <c r="AI2408" s="80" t="n"/>
      <c r="AJ2408" s="80" t="n"/>
      <c r="AK2408" s="80" t="n"/>
      <c r="AL2408" s="80" t="n"/>
      <c r="AM2408" s="80" t="n"/>
      <c r="AN2408" s="80" t="n"/>
      <c r="AO2408" s="80" t="n"/>
      <c r="AP2408" s="80" t="n"/>
      <c r="AQ2408" s="80" t="n"/>
      <c r="AR2408" s="80" t="n"/>
    </row>
    <row r="2409">
      <c r="D2409" s="80" t="n"/>
      <c r="E2409" s="80" t="n"/>
      <c r="F2409" s="80" t="n"/>
      <c r="G2409" s="80" t="n"/>
      <c r="H2409" s="80" t="n"/>
      <c r="I2409" s="80" t="n"/>
      <c r="J2409" s="80" t="n"/>
      <c r="K2409" s="80" t="n"/>
      <c r="L2409" s="80" t="n"/>
      <c r="M2409" s="80" t="n"/>
      <c r="N2409" s="80" t="n"/>
      <c r="O2409" s="80" t="n"/>
      <c r="P2409" s="80" t="n"/>
      <c r="Q2409" s="80" t="n"/>
      <c r="R2409" s="80" t="n"/>
      <c r="S2409" s="80" t="n"/>
      <c r="T2409" s="80" t="n"/>
      <c r="U2409" s="80" t="n"/>
      <c r="V2409" s="80" t="n"/>
      <c r="W2409" s="80" t="n"/>
      <c r="X2409" s="80" t="n"/>
      <c r="Y2409" s="80" t="n"/>
      <c r="Z2409" s="80" t="n"/>
      <c r="AA2409" s="80" t="n"/>
      <c r="AB2409" s="80" t="n"/>
      <c r="AC2409" s="80" t="n"/>
      <c r="AD2409" s="80" t="n"/>
      <c r="AE2409" s="80" t="n"/>
      <c r="AF2409" s="80" t="n"/>
      <c r="AG2409" s="80" t="n"/>
      <c r="AH2409" s="80" t="n"/>
      <c r="AI2409" s="80" t="n"/>
      <c r="AJ2409" s="80" t="n"/>
      <c r="AK2409" s="80" t="n"/>
      <c r="AL2409" s="80" t="n"/>
      <c r="AM2409" s="80" t="n"/>
      <c r="AN2409" s="80" t="n"/>
      <c r="AO2409" s="80" t="n"/>
      <c r="AP2409" s="80" t="n"/>
      <c r="AQ2409" s="80" t="n"/>
      <c r="AR2409" s="80" t="n"/>
    </row>
    <row r="2410">
      <c r="D2410" s="80" t="n"/>
      <c r="E2410" s="80" t="n"/>
      <c r="F2410" s="80" t="n"/>
      <c r="G2410" s="80" t="n"/>
      <c r="H2410" s="80" t="n"/>
      <c r="I2410" s="80" t="n"/>
      <c r="J2410" s="80" t="n"/>
      <c r="K2410" s="80" t="n"/>
      <c r="L2410" s="80" t="n"/>
      <c r="M2410" s="80" t="n"/>
      <c r="N2410" s="80" t="n"/>
      <c r="O2410" s="80" t="n"/>
      <c r="P2410" s="80" t="n"/>
      <c r="Q2410" s="80" t="n"/>
      <c r="R2410" s="80" t="n"/>
      <c r="S2410" s="80" t="n"/>
      <c r="T2410" s="80" t="n"/>
      <c r="U2410" s="80" t="n"/>
      <c r="V2410" s="80" t="n"/>
      <c r="W2410" s="80" t="n"/>
      <c r="X2410" s="80" t="n"/>
      <c r="Y2410" s="80" t="n"/>
      <c r="Z2410" s="80" t="n"/>
      <c r="AA2410" s="80" t="n"/>
      <c r="AB2410" s="80" t="n"/>
      <c r="AC2410" s="80" t="n"/>
      <c r="AD2410" s="80" t="n"/>
      <c r="AE2410" s="80" t="n"/>
      <c r="AF2410" s="80" t="n"/>
      <c r="AG2410" s="80" t="n"/>
      <c r="AH2410" s="80" t="n"/>
      <c r="AI2410" s="80" t="n"/>
      <c r="AJ2410" s="80" t="n"/>
      <c r="AK2410" s="80" t="n"/>
      <c r="AL2410" s="80" t="n"/>
      <c r="AM2410" s="80" t="n"/>
      <c r="AN2410" s="80" t="n"/>
      <c r="AO2410" s="80" t="n"/>
      <c r="AP2410" s="80" t="n"/>
      <c r="AQ2410" s="80" t="n"/>
      <c r="AR2410" s="80" t="n"/>
    </row>
    <row r="2411">
      <c r="A2411" s="2">
        <f>IF($A2404="","","   projections")</f>
        <v/>
      </c>
      <c r="B2411" s="41">
        <f>IF($A2404="",0,COUNT($E2412:$AR2412))</f>
        <v/>
      </c>
      <c r="C2411" s="81">
        <f>IF($B2411=0,0,MAX($E2412:$AR2412))</f>
        <v/>
      </c>
      <c r="D2411" s="82">
        <f>BDS($A2404,'Field Check'!$C$6,"headers=y","startcol=1","endcol=7","dir=h")</f>
        <v/>
      </c>
      <c r="E2411" s="83" t="n"/>
      <c r="F2411" s="83" t="n"/>
      <c r="G2411" s="83" t="n"/>
      <c r="H2411" s="83" t="n"/>
      <c r="I2411" s="83" t="n"/>
      <c r="J2411" s="83" t="n"/>
      <c r="K2411" s="83" t="n"/>
      <c r="L2411" s="83" t="n"/>
      <c r="M2411" s="83" t="n"/>
      <c r="N2411" s="83" t="n"/>
      <c r="O2411" s="83" t="n"/>
      <c r="P2411" s="83" t="n"/>
      <c r="Q2411" s="83" t="n"/>
      <c r="R2411" s="83" t="n"/>
      <c r="S2411" s="83" t="n"/>
      <c r="T2411" s="83" t="n"/>
      <c r="U2411" s="83" t="n"/>
      <c r="V2411" s="83" t="n"/>
      <c r="W2411" s="83" t="n"/>
      <c r="X2411" s="83" t="n"/>
      <c r="Y2411" s="83" t="n"/>
      <c r="Z2411" s="83" t="n"/>
      <c r="AA2411" s="83" t="n"/>
      <c r="AB2411" s="83" t="n"/>
      <c r="AC2411" s="83" t="n"/>
      <c r="AD2411" s="83" t="n"/>
      <c r="AE2411" s="83" t="n"/>
      <c r="AF2411" s="83" t="n"/>
      <c r="AG2411" s="83" t="n"/>
      <c r="AH2411" s="83" t="n"/>
      <c r="AI2411" s="83" t="n"/>
      <c r="AJ2411" s="83" t="n"/>
      <c r="AK2411" s="83" t="n"/>
      <c r="AL2411" s="83" t="n"/>
      <c r="AM2411" s="83" t="n"/>
      <c r="AN2411" s="83" t="n"/>
      <c r="AO2411" s="83" t="n"/>
      <c r="AP2411" s="83" t="n"/>
      <c r="AQ2411" s="83" t="n"/>
      <c r="AR2411" s="83" t="n"/>
    </row>
    <row r="2412">
      <c r="D2412" s="83" t="n"/>
      <c r="E2412" s="83" t="n"/>
      <c r="F2412" s="83" t="n"/>
      <c r="G2412" s="83" t="n"/>
      <c r="H2412" s="83" t="n"/>
      <c r="I2412" s="83" t="n"/>
      <c r="J2412" s="83" t="n"/>
      <c r="K2412" s="83" t="n"/>
      <c r="L2412" s="83" t="n"/>
      <c r="M2412" s="83" t="n"/>
      <c r="N2412" s="83" t="n"/>
      <c r="O2412" s="83" t="n"/>
      <c r="P2412" s="83" t="n"/>
      <c r="Q2412" s="83" t="n"/>
      <c r="R2412" s="83" t="n"/>
      <c r="S2412" s="83" t="n"/>
      <c r="T2412" s="83" t="n"/>
      <c r="U2412" s="83" t="n"/>
      <c r="V2412" s="83" t="n"/>
      <c r="W2412" s="83" t="n"/>
      <c r="X2412" s="83" t="n"/>
      <c r="Y2412" s="83" t="n"/>
      <c r="Z2412" s="83" t="n"/>
      <c r="AA2412" s="83" t="n"/>
      <c r="AB2412" s="83" t="n"/>
      <c r="AC2412" s="83" t="n"/>
      <c r="AD2412" s="83" t="n"/>
      <c r="AE2412" s="83" t="n"/>
      <c r="AF2412" s="83" t="n"/>
      <c r="AG2412" s="83" t="n"/>
      <c r="AH2412" s="83" t="n"/>
      <c r="AI2412" s="83" t="n"/>
      <c r="AJ2412" s="83" t="n"/>
      <c r="AK2412" s="83" t="n"/>
      <c r="AL2412" s="83" t="n"/>
      <c r="AM2412" s="83" t="n"/>
      <c r="AN2412" s="83" t="n"/>
      <c r="AO2412" s="83" t="n"/>
      <c r="AP2412" s="83" t="n"/>
      <c r="AQ2412" s="83" t="n"/>
      <c r="AR2412" s="83" t="n"/>
    </row>
    <row r="2413">
      <c r="D2413" s="84" t="n"/>
      <c r="E2413" s="84" t="n"/>
      <c r="F2413" s="84" t="n"/>
      <c r="G2413" s="84" t="n"/>
      <c r="H2413" s="84" t="n"/>
      <c r="I2413" s="84" t="n"/>
      <c r="J2413" s="84" t="n"/>
      <c r="K2413" s="84" t="n"/>
      <c r="L2413" s="84" t="n"/>
      <c r="M2413" s="84" t="n"/>
      <c r="N2413" s="84" t="n"/>
      <c r="O2413" s="84" t="n"/>
      <c r="P2413" s="84" t="n"/>
      <c r="Q2413" s="84" t="n"/>
      <c r="R2413" s="84" t="n"/>
      <c r="S2413" s="84" t="n"/>
      <c r="T2413" s="84" t="n"/>
      <c r="U2413" s="84" t="n"/>
      <c r="V2413" s="84" t="n"/>
      <c r="W2413" s="84" t="n"/>
      <c r="X2413" s="84" t="n"/>
      <c r="Y2413" s="84" t="n"/>
      <c r="Z2413" s="84" t="n"/>
      <c r="AA2413" s="84" t="n"/>
      <c r="AB2413" s="84" t="n"/>
      <c r="AC2413" s="84" t="n"/>
      <c r="AD2413" s="84" t="n"/>
      <c r="AE2413" s="84" t="n"/>
      <c r="AF2413" s="84" t="n"/>
      <c r="AG2413" s="84" t="n"/>
      <c r="AH2413" s="84" t="n"/>
      <c r="AI2413" s="84" t="n"/>
      <c r="AJ2413" s="84" t="n"/>
      <c r="AK2413" s="84" t="n"/>
      <c r="AL2413" s="84" t="n"/>
      <c r="AM2413" s="84" t="n"/>
      <c r="AN2413" s="84" t="n"/>
      <c r="AO2413" s="84" t="n"/>
      <c r="AP2413" s="84" t="n"/>
      <c r="AQ2413" s="84" t="n"/>
      <c r="AR2413" s="84" t="n"/>
    </row>
    <row r="2414">
      <c r="D2414" s="80" t="n"/>
      <c r="E2414" s="80" t="n"/>
      <c r="F2414" s="80" t="n"/>
      <c r="G2414" s="80" t="n"/>
      <c r="H2414" s="80" t="n"/>
      <c r="I2414" s="80" t="n"/>
      <c r="J2414" s="80" t="n"/>
      <c r="K2414" s="80" t="n"/>
      <c r="L2414" s="80" t="n"/>
      <c r="M2414" s="80" t="n"/>
      <c r="N2414" s="80" t="n"/>
      <c r="O2414" s="80" t="n"/>
      <c r="P2414" s="80" t="n"/>
      <c r="Q2414" s="80" t="n"/>
      <c r="R2414" s="80" t="n"/>
      <c r="S2414" s="80" t="n"/>
      <c r="T2414" s="80" t="n"/>
      <c r="U2414" s="80" t="n"/>
      <c r="V2414" s="80" t="n"/>
      <c r="W2414" s="80" t="n"/>
      <c r="X2414" s="80" t="n"/>
      <c r="Y2414" s="80" t="n"/>
      <c r="Z2414" s="80" t="n"/>
      <c r="AA2414" s="80" t="n"/>
      <c r="AB2414" s="80" t="n"/>
      <c r="AC2414" s="80" t="n"/>
      <c r="AD2414" s="80" t="n"/>
      <c r="AE2414" s="80" t="n"/>
      <c r="AF2414" s="80" t="n"/>
      <c r="AG2414" s="80" t="n"/>
      <c r="AH2414" s="80" t="n"/>
      <c r="AI2414" s="80" t="n"/>
      <c r="AJ2414" s="80" t="n"/>
      <c r="AK2414" s="80" t="n"/>
      <c r="AL2414" s="80" t="n"/>
      <c r="AM2414" s="80" t="n"/>
      <c r="AN2414" s="80" t="n"/>
      <c r="AO2414" s="80" t="n"/>
      <c r="AP2414" s="80" t="n"/>
      <c r="AQ2414" s="80" t="n"/>
      <c r="AR2414" s="80" t="n"/>
    </row>
    <row r="2415">
      <c r="D2415" s="80" t="n"/>
      <c r="E2415" s="80" t="n"/>
      <c r="F2415" s="80" t="n"/>
      <c r="G2415" s="80" t="n"/>
      <c r="H2415" s="80" t="n"/>
      <c r="I2415" s="80" t="n"/>
      <c r="J2415" s="80" t="n"/>
      <c r="K2415" s="80" t="n"/>
      <c r="L2415" s="80" t="n"/>
      <c r="M2415" s="80" t="n"/>
      <c r="N2415" s="80" t="n"/>
      <c r="O2415" s="80" t="n"/>
      <c r="P2415" s="80" t="n"/>
      <c r="Q2415" s="80" t="n"/>
      <c r="R2415" s="80" t="n"/>
      <c r="S2415" s="80" t="n"/>
      <c r="T2415" s="80" t="n"/>
      <c r="U2415" s="80" t="n"/>
      <c r="V2415" s="80" t="n"/>
      <c r="W2415" s="80" t="n"/>
      <c r="X2415" s="80" t="n"/>
      <c r="Y2415" s="80" t="n"/>
      <c r="Z2415" s="80" t="n"/>
      <c r="AA2415" s="80" t="n"/>
      <c r="AB2415" s="80" t="n"/>
      <c r="AC2415" s="80" t="n"/>
      <c r="AD2415" s="80" t="n"/>
      <c r="AE2415" s="80" t="n"/>
      <c r="AF2415" s="80" t="n"/>
      <c r="AG2415" s="80" t="n"/>
      <c r="AH2415" s="80" t="n"/>
      <c r="AI2415" s="80" t="n"/>
      <c r="AJ2415" s="80" t="n"/>
      <c r="AK2415" s="80" t="n"/>
      <c r="AL2415" s="80" t="n"/>
      <c r="AM2415" s="80" t="n"/>
      <c r="AN2415" s="80" t="n"/>
      <c r="AO2415" s="80" t="n"/>
      <c r="AP2415" s="80" t="n"/>
      <c r="AQ2415" s="80" t="n"/>
      <c r="AR2415" s="80" t="n"/>
    </row>
    <row r="2416">
      <c r="D2416" s="80" t="n"/>
      <c r="E2416" s="80" t="n"/>
      <c r="F2416" s="80" t="n"/>
      <c r="G2416" s="80" t="n"/>
      <c r="H2416" s="80" t="n"/>
      <c r="I2416" s="80" t="n"/>
      <c r="J2416" s="80" t="n"/>
      <c r="K2416" s="80" t="n"/>
      <c r="L2416" s="80" t="n"/>
      <c r="M2416" s="80" t="n"/>
      <c r="N2416" s="80" t="n"/>
      <c r="O2416" s="80" t="n"/>
      <c r="P2416" s="80" t="n"/>
      <c r="Q2416" s="80" t="n"/>
      <c r="R2416" s="80" t="n"/>
      <c r="S2416" s="80" t="n"/>
      <c r="T2416" s="80" t="n"/>
      <c r="U2416" s="80" t="n"/>
      <c r="V2416" s="80" t="n"/>
      <c r="W2416" s="80" t="n"/>
      <c r="X2416" s="80" t="n"/>
      <c r="Y2416" s="80" t="n"/>
      <c r="Z2416" s="80" t="n"/>
      <c r="AA2416" s="80" t="n"/>
      <c r="AB2416" s="80" t="n"/>
      <c r="AC2416" s="80" t="n"/>
      <c r="AD2416" s="80" t="n"/>
      <c r="AE2416" s="80" t="n"/>
      <c r="AF2416" s="80" t="n"/>
      <c r="AG2416" s="80" t="n"/>
      <c r="AH2416" s="80" t="n"/>
      <c r="AI2416" s="80" t="n"/>
      <c r="AJ2416" s="80" t="n"/>
      <c r="AK2416" s="80" t="n"/>
      <c r="AL2416" s="80" t="n"/>
      <c r="AM2416" s="80" t="n"/>
      <c r="AN2416" s="80" t="n"/>
      <c r="AO2416" s="80" t="n"/>
      <c r="AP2416" s="80" t="n"/>
      <c r="AQ2416" s="80" t="n"/>
      <c r="AR2416" s="80" t="n"/>
    </row>
    <row r="2417">
      <c r="D2417" s="80" t="n"/>
      <c r="E2417" s="80" t="n"/>
      <c r="F2417" s="80" t="n"/>
      <c r="G2417" s="80" t="n"/>
      <c r="H2417" s="80" t="n"/>
      <c r="I2417" s="80" t="n"/>
      <c r="J2417" s="80" t="n"/>
      <c r="K2417" s="80" t="n"/>
      <c r="L2417" s="80" t="n"/>
      <c r="M2417" s="80" t="n"/>
      <c r="N2417" s="80" t="n"/>
      <c r="O2417" s="80" t="n"/>
      <c r="P2417" s="80" t="n"/>
      <c r="Q2417" s="80" t="n"/>
      <c r="R2417" s="80" t="n"/>
      <c r="S2417" s="80" t="n"/>
      <c r="T2417" s="80" t="n"/>
      <c r="U2417" s="80" t="n"/>
      <c r="V2417" s="80" t="n"/>
      <c r="W2417" s="80" t="n"/>
      <c r="X2417" s="80" t="n"/>
      <c r="Y2417" s="80" t="n"/>
      <c r="Z2417" s="80" t="n"/>
      <c r="AA2417" s="80" t="n"/>
      <c r="AB2417" s="80" t="n"/>
      <c r="AC2417" s="80" t="n"/>
      <c r="AD2417" s="80" t="n"/>
      <c r="AE2417" s="80" t="n"/>
      <c r="AF2417" s="80" t="n"/>
      <c r="AG2417" s="80" t="n"/>
      <c r="AH2417" s="80" t="n"/>
      <c r="AI2417" s="80" t="n"/>
      <c r="AJ2417" s="80" t="n"/>
      <c r="AK2417" s="80" t="n"/>
      <c r="AL2417" s="80" t="n"/>
      <c r="AM2417" s="80" t="n"/>
      <c r="AN2417" s="80" t="n"/>
      <c r="AO2417" s="80" t="n"/>
      <c r="AP2417" s="80" t="n"/>
      <c r="AQ2417" s="80" t="n"/>
      <c r="AR2417" s="80" t="n"/>
    </row>
    <row r="2419">
      <c r="A2419" s="6">
        <f>IF(HSCEI!$C$27="","",HSCEI!$C$27)</f>
        <v/>
      </c>
      <c r="B2419" s="41">
        <f>IF($A2419="",0,COUNT($E2420:$AR2420))</f>
        <v/>
      </c>
      <c r="C2419" s="81">
        <f>IF($B2419=0,0,MAX($E2420:$AR2420))</f>
        <v/>
      </c>
      <c r="D2419" s="82">
        <f>BDS($A2419,'Field Check'!$C$7,"headers=y","startcol=1","endcol=7","dir=h","DVD_START_DT",Summary!$C$18,"DVD_END_DT",Summary!$D$18)</f>
        <v/>
      </c>
      <c r="E2419" s="83" t="n"/>
      <c r="F2419" s="83" t="n"/>
      <c r="G2419" s="83" t="n"/>
      <c r="H2419" s="83" t="n"/>
      <c r="I2419" s="83" t="n"/>
      <c r="J2419" s="83" t="n"/>
      <c r="K2419" s="83" t="n"/>
      <c r="L2419" s="83" t="n"/>
      <c r="M2419" s="83" t="n"/>
      <c r="N2419" s="83" t="n"/>
      <c r="O2419" s="83" t="n"/>
      <c r="P2419" s="83" t="n"/>
      <c r="Q2419" s="83" t="n"/>
      <c r="R2419" s="83" t="n"/>
      <c r="S2419" s="83" t="n"/>
      <c r="T2419" s="83" t="n"/>
      <c r="U2419" s="83" t="n"/>
      <c r="V2419" s="83" t="n"/>
      <c r="W2419" s="83" t="n"/>
      <c r="X2419" s="83" t="n"/>
      <c r="Y2419" s="83" t="n"/>
      <c r="Z2419" s="83" t="n"/>
      <c r="AA2419" s="83" t="n"/>
      <c r="AB2419" s="83" t="n"/>
      <c r="AC2419" s="83" t="n"/>
      <c r="AD2419" s="83" t="n"/>
      <c r="AE2419" s="83" t="n"/>
      <c r="AF2419" s="83" t="n"/>
      <c r="AG2419" s="83" t="n"/>
      <c r="AH2419" s="83" t="n"/>
      <c r="AI2419" s="83" t="n"/>
      <c r="AJ2419" s="83" t="n"/>
      <c r="AK2419" s="83" t="n"/>
      <c r="AL2419" s="83" t="n"/>
      <c r="AM2419" s="83" t="n"/>
      <c r="AN2419" s="83" t="n"/>
      <c r="AO2419" s="83" t="n"/>
      <c r="AP2419" s="83" t="n"/>
      <c r="AQ2419" s="83" t="n"/>
      <c r="AR2419" s="83" t="n"/>
    </row>
    <row r="2420">
      <c r="D2420" s="83" t="n"/>
      <c r="E2420" s="83" t="n"/>
      <c r="F2420" s="83" t="n"/>
      <c r="G2420" s="83" t="n"/>
      <c r="H2420" s="83" t="n"/>
      <c r="I2420" s="83" t="n"/>
      <c r="J2420" s="83" t="n"/>
      <c r="K2420" s="83" t="n"/>
      <c r="L2420" s="83" t="n"/>
      <c r="M2420" s="83" t="n"/>
      <c r="N2420" s="83" t="n"/>
      <c r="O2420" s="83" t="n"/>
      <c r="P2420" s="83" t="n"/>
      <c r="Q2420" s="83" t="n"/>
      <c r="R2420" s="83" t="n"/>
      <c r="S2420" s="83" t="n"/>
      <c r="T2420" s="83" t="n"/>
      <c r="U2420" s="83" t="n"/>
      <c r="V2420" s="83" t="n"/>
      <c r="W2420" s="83" t="n"/>
      <c r="X2420" s="83" t="n"/>
      <c r="Y2420" s="83" t="n"/>
      <c r="Z2420" s="83" t="n"/>
      <c r="AA2420" s="83" t="n"/>
      <c r="AB2420" s="83" t="n"/>
      <c r="AC2420" s="83" t="n"/>
      <c r="AD2420" s="83" t="n"/>
      <c r="AE2420" s="83" t="n"/>
      <c r="AF2420" s="83" t="n"/>
      <c r="AG2420" s="83" t="n"/>
      <c r="AH2420" s="83" t="n"/>
      <c r="AI2420" s="83" t="n"/>
      <c r="AJ2420" s="83" t="n"/>
      <c r="AK2420" s="83" t="n"/>
      <c r="AL2420" s="83" t="n"/>
      <c r="AM2420" s="83" t="n"/>
      <c r="AN2420" s="83" t="n"/>
      <c r="AO2420" s="83" t="n"/>
      <c r="AP2420" s="83" t="n"/>
      <c r="AQ2420" s="83" t="n"/>
      <c r="AR2420" s="83" t="n"/>
    </row>
    <row r="2421">
      <c r="D2421" s="84" t="n"/>
      <c r="E2421" s="84" t="n"/>
      <c r="F2421" s="84" t="n"/>
      <c r="G2421" s="84" t="n"/>
      <c r="H2421" s="84" t="n"/>
      <c r="I2421" s="84" t="n"/>
      <c r="J2421" s="84" t="n"/>
      <c r="K2421" s="84" t="n"/>
      <c r="L2421" s="84" t="n"/>
      <c r="M2421" s="84" t="n"/>
      <c r="N2421" s="84" t="n"/>
      <c r="O2421" s="84" t="n"/>
      <c r="P2421" s="84" t="n"/>
      <c r="Q2421" s="84" t="n"/>
      <c r="R2421" s="84" t="n"/>
      <c r="S2421" s="84" t="n"/>
      <c r="T2421" s="84" t="n"/>
      <c r="U2421" s="84" t="n"/>
      <c r="V2421" s="84" t="n"/>
      <c r="W2421" s="84" t="n"/>
      <c r="X2421" s="84" t="n"/>
      <c r="Y2421" s="84" t="n"/>
      <c r="Z2421" s="84" t="n"/>
      <c r="AA2421" s="84" t="n"/>
      <c r="AB2421" s="84" t="n"/>
      <c r="AC2421" s="84" t="n"/>
      <c r="AD2421" s="84" t="n"/>
      <c r="AE2421" s="84" t="n"/>
      <c r="AF2421" s="84" t="n"/>
      <c r="AG2421" s="84" t="n"/>
      <c r="AH2421" s="84" t="n"/>
      <c r="AI2421" s="84" t="n"/>
      <c r="AJ2421" s="84" t="n"/>
      <c r="AK2421" s="84" t="n"/>
      <c r="AL2421" s="84" t="n"/>
      <c r="AM2421" s="84" t="n"/>
      <c r="AN2421" s="84" t="n"/>
      <c r="AO2421" s="84" t="n"/>
      <c r="AP2421" s="84" t="n"/>
      <c r="AQ2421" s="84" t="n"/>
      <c r="AR2421" s="84" t="n"/>
    </row>
    <row r="2422">
      <c r="D2422" s="80" t="n"/>
      <c r="E2422" s="80" t="n"/>
      <c r="F2422" s="80" t="n"/>
      <c r="G2422" s="80" t="n"/>
      <c r="H2422" s="80" t="n"/>
      <c r="I2422" s="80" t="n"/>
      <c r="J2422" s="80" t="n"/>
      <c r="K2422" s="80" t="n"/>
      <c r="L2422" s="80" t="n"/>
      <c r="M2422" s="80" t="n"/>
      <c r="N2422" s="80" t="n"/>
      <c r="O2422" s="80" t="n"/>
      <c r="P2422" s="80" t="n"/>
      <c r="Q2422" s="80" t="n"/>
      <c r="R2422" s="80" t="n"/>
      <c r="S2422" s="80" t="n"/>
      <c r="T2422" s="80" t="n"/>
      <c r="U2422" s="80" t="n"/>
      <c r="V2422" s="80" t="n"/>
      <c r="W2422" s="80" t="n"/>
      <c r="X2422" s="80" t="n"/>
      <c r="Y2422" s="80" t="n"/>
      <c r="Z2422" s="80" t="n"/>
      <c r="AA2422" s="80" t="n"/>
      <c r="AB2422" s="80" t="n"/>
      <c r="AC2422" s="80" t="n"/>
      <c r="AD2422" s="80" t="n"/>
      <c r="AE2422" s="80" t="n"/>
      <c r="AF2422" s="80" t="n"/>
      <c r="AG2422" s="80" t="n"/>
      <c r="AH2422" s="80" t="n"/>
      <c r="AI2422" s="80" t="n"/>
      <c r="AJ2422" s="80" t="n"/>
      <c r="AK2422" s="80" t="n"/>
      <c r="AL2422" s="80" t="n"/>
      <c r="AM2422" s="80" t="n"/>
      <c r="AN2422" s="80" t="n"/>
      <c r="AO2422" s="80" t="n"/>
      <c r="AP2422" s="80" t="n"/>
      <c r="AQ2422" s="80" t="n"/>
      <c r="AR2422" s="80" t="n"/>
    </row>
    <row r="2423">
      <c r="D2423" s="80" t="n"/>
      <c r="E2423" s="80" t="n"/>
      <c r="F2423" s="80" t="n"/>
      <c r="G2423" s="80" t="n"/>
      <c r="H2423" s="80" t="n"/>
      <c r="I2423" s="80" t="n"/>
      <c r="J2423" s="80" t="n"/>
      <c r="K2423" s="80" t="n"/>
      <c r="L2423" s="80" t="n"/>
      <c r="M2423" s="80" t="n"/>
      <c r="N2423" s="80" t="n"/>
      <c r="O2423" s="80" t="n"/>
      <c r="P2423" s="80" t="n"/>
      <c r="Q2423" s="80" t="n"/>
      <c r="R2423" s="80" t="n"/>
      <c r="S2423" s="80" t="n"/>
      <c r="T2423" s="80" t="n"/>
      <c r="U2423" s="80" t="n"/>
      <c r="V2423" s="80" t="n"/>
      <c r="W2423" s="80" t="n"/>
      <c r="X2423" s="80" t="n"/>
      <c r="Y2423" s="80" t="n"/>
      <c r="Z2423" s="80" t="n"/>
      <c r="AA2423" s="80" t="n"/>
      <c r="AB2423" s="80" t="n"/>
      <c r="AC2423" s="80" t="n"/>
      <c r="AD2423" s="80" t="n"/>
      <c r="AE2423" s="80" t="n"/>
      <c r="AF2423" s="80" t="n"/>
      <c r="AG2423" s="80" t="n"/>
      <c r="AH2423" s="80" t="n"/>
      <c r="AI2423" s="80" t="n"/>
      <c r="AJ2423" s="80" t="n"/>
      <c r="AK2423" s="80" t="n"/>
      <c r="AL2423" s="80" t="n"/>
      <c r="AM2423" s="80" t="n"/>
      <c r="AN2423" s="80" t="n"/>
      <c r="AO2423" s="80" t="n"/>
      <c r="AP2423" s="80" t="n"/>
      <c r="AQ2423" s="80" t="n"/>
      <c r="AR2423" s="80" t="n"/>
    </row>
    <row r="2424">
      <c r="D2424" s="80" t="n"/>
      <c r="E2424" s="80" t="n"/>
      <c r="F2424" s="80" t="n"/>
      <c r="G2424" s="80" t="n"/>
      <c r="H2424" s="80" t="n"/>
      <c r="I2424" s="80" t="n"/>
      <c r="J2424" s="80" t="n"/>
      <c r="K2424" s="80" t="n"/>
      <c r="L2424" s="80" t="n"/>
      <c r="M2424" s="80" t="n"/>
      <c r="N2424" s="80" t="n"/>
      <c r="O2424" s="80" t="n"/>
      <c r="P2424" s="80" t="n"/>
      <c r="Q2424" s="80" t="n"/>
      <c r="R2424" s="80" t="n"/>
      <c r="S2424" s="80" t="n"/>
      <c r="T2424" s="80" t="n"/>
      <c r="U2424" s="80" t="n"/>
      <c r="V2424" s="80" t="n"/>
      <c r="W2424" s="80" t="n"/>
      <c r="X2424" s="80" t="n"/>
      <c r="Y2424" s="80" t="n"/>
      <c r="Z2424" s="80" t="n"/>
      <c r="AA2424" s="80" t="n"/>
      <c r="AB2424" s="80" t="n"/>
      <c r="AC2424" s="80" t="n"/>
      <c r="AD2424" s="80" t="n"/>
      <c r="AE2424" s="80" t="n"/>
      <c r="AF2424" s="80" t="n"/>
      <c r="AG2424" s="80" t="n"/>
      <c r="AH2424" s="80" t="n"/>
      <c r="AI2424" s="80" t="n"/>
      <c r="AJ2424" s="80" t="n"/>
      <c r="AK2424" s="80" t="n"/>
      <c r="AL2424" s="80" t="n"/>
      <c r="AM2424" s="80" t="n"/>
      <c r="AN2424" s="80" t="n"/>
      <c r="AO2424" s="80" t="n"/>
      <c r="AP2424" s="80" t="n"/>
      <c r="AQ2424" s="80" t="n"/>
      <c r="AR2424" s="80" t="n"/>
    </row>
    <row r="2425">
      <c r="D2425" s="80" t="n"/>
      <c r="E2425" s="80" t="n"/>
      <c r="F2425" s="80" t="n"/>
      <c r="G2425" s="80" t="n"/>
      <c r="H2425" s="80" t="n"/>
      <c r="I2425" s="80" t="n"/>
      <c r="J2425" s="80" t="n"/>
      <c r="K2425" s="80" t="n"/>
      <c r="L2425" s="80" t="n"/>
      <c r="M2425" s="80" t="n"/>
      <c r="N2425" s="80" t="n"/>
      <c r="O2425" s="80" t="n"/>
      <c r="P2425" s="80" t="n"/>
      <c r="Q2425" s="80" t="n"/>
      <c r="R2425" s="80" t="n"/>
      <c r="S2425" s="80" t="n"/>
      <c r="T2425" s="80" t="n"/>
      <c r="U2425" s="80" t="n"/>
      <c r="V2425" s="80" t="n"/>
      <c r="W2425" s="80" t="n"/>
      <c r="X2425" s="80" t="n"/>
      <c r="Y2425" s="80" t="n"/>
      <c r="Z2425" s="80" t="n"/>
      <c r="AA2425" s="80" t="n"/>
      <c r="AB2425" s="80" t="n"/>
      <c r="AC2425" s="80" t="n"/>
      <c r="AD2425" s="80" t="n"/>
      <c r="AE2425" s="80" t="n"/>
      <c r="AF2425" s="80" t="n"/>
      <c r="AG2425" s="80" t="n"/>
      <c r="AH2425" s="80" t="n"/>
      <c r="AI2425" s="80" t="n"/>
      <c r="AJ2425" s="80" t="n"/>
      <c r="AK2425" s="80" t="n"/>
      <c r="AL2425" s="80" t="n"/>
      <c r="AM2425" s="80" t="n"/>
      <c r="AN2425" s="80" t="n"/>
      <c r="AO2425" s="80" t="n"/>
      <c r="AP2425" s="80" t="n"/>
      <c r="AQ2425" s="80" t="n"/>
      <c r="AR2425" s="80" t="n"/>
    </row>
    <row r="2426">
      <c r="A2426" s="2">
        <f>IF($A2419="","","   projections")</f>
        <v/>
      </c>
      <c r="B2426" s="41">
        <f>IF($A2419="",0,COUNT($E2427:$AR2427))</f>
        <v/>
      </c>
      <c r="C2426" s="81">
        <f>IF($B2426=0,0,MAX($E2427:$AR2427))</f>
        <v/>
      </c>
      <c r="D2426" s="82">
        <f>BDS($A2419,'Field Check'!$C$6,"headers=y","startcol=1","endcol=7","dir=h")</f>
        <v/>
      </c>
      <c r="E2426" s="83" t="n"/>
      <c r="F2426" s="83" t="n"/>
      <c r="G2426" s="83" t="n"/>
      <c r="H2426" s="83" t="n"/>
      <c r="I2426" s="83" t="n"/>
      <c r="J2426" s="83" t="n"/>
      <c r="K2426" s="83" t="n"/>
      <c r="L2426" s="83" t="n"/>
      <c r="M2426" s="83" t="n"/>
      <c r="N2426" s="83" t="n"/>
      <c r="O2426" s="83" t="n"/>
      <c r="P2426" s="83" t="n"/>
      <c r="Q2426" s="83" t="n"/>
      <c r="R2426" s="83" t="n"/>
      <c r="S2426" s="83" t="n"/>
      <c r="T2426" s="83" t="n"/>
      <c r="U2426" s="83" t="n"/>
      <c r="V2426" s="83" t="n"/>
      <c r="W2426" s="83" t="n"/>
      <c r="X2426" s="83" t="n"/>
      <c r="Y2426" s="83" t="n"/>
      <c r="Z2426" s="83" t="n"/>
      <c r="AA2426" s="83" t="n"/>
      <c r="AB2426" s="83" t="n"/>
      <c r="AC2426" s="83" t="n"/>
      <c r="AD2426" s="83" t="n"/>
      <c r="AE2426" s="83" t="n"/>
      <c r="AF2426" s="83" t="n"/>
      <c r="AG2426" s="83" t="n"/>
      <c r="AH2426" s="83" t="n"/>
      <c r="AI2426" s="83" t="n"/>
      <c r="AJ2426" s="83" t="n"/>
      <c r="AK2426" s="83" t="n"/>
      <c r="AL2426" s="83" t="n"/>
      <c r="AM2426" s="83" t="n"/>
      <c r="AN2426" s="83" t="n"/>
      <c r="AO2426" s="83" t="n"/>
      <c r="AP2426" s="83" t="n"/>
      <c r="AQ2426" s="83" t="n"/>
      <c r="AR2426" s="83" t="n"/>
    </row>
    <row r="2427">
      <c r="D2427" s="83" t="n"/>
      <c r="E2427" s="83" t="n"/>
      <c r="F2427" s="83" t="n"/>
      <c r="G2427" s="83" t="n"/>
      <c r="H2427" s="83" t="n"/>
      <c r="I2427" s="83" t="n"/>
      <c r="J2427" s="83" t="n"/>
      <c r="K2427" s="83" t="n"/>
      <c r="L2427" s="83" t="n"/>
      <c r="M2427" s="83" t="n"/>
      <c r="N2427" s="83" t="n"/>
      <c r="O2427" s="83" t="n"/>
      <c r="P2427" s="83" t="n"/>
      <c r="Q2427" s="83" t="n"/>
      <c r="R2427" s="83" t="n"/>
      <c r="S2427" s="83" t="n"/>
      <c r="T2427" s="83" t="n"/>
      <c r="U2427" s="83" t="n"/>
      <c r="V2427" s="83" t="n"/>
      <c r="W2427" s="83" t="n"/>
      <c r="X2427" s="83" t="n"/>
      <c r="Y2427" s="83" t="n"/>
      <c r="Z2427" s="83" t="n"/>
      <c r="AA2427" s="83" t="n"/>
      <c r="AB2427" s="83" t="n"/>
      <c r="AC2427" s="83" t="n"/>
      <c r="AD2427" s="83" t="n"/>
      <c r="AE2427" s="83" t="n"/>
      <c r="AF2427" s="83" t="n"/>
      <c r="AG2427" s="83" t="n"/>
      <c r="AH2427" s="83" t="n"/>
      <c r="AI2427" s="83" t="n"/>
      <c r="AJ2427" s="83" t="n"/>
      <c r="AK2427" s="83" t="n"/>
      <c r="AL2427" s="83" t="n"/>
      <c r="AM2427" s="83" t="n"/>
      <c r="AN2427" s="83" t="n"/>
      <c r="AO2427" s="83" t="n"/>
      <c r="AP2427" s="83" t="n"/>
      <c r="AQ2427" s="83" t="n"/>
      <c r="AR2427" s="83" t="n"/>
    </row>
    <row r="2428">
      <c r="D2428" s="84" t="n"/>
      <c r="E2428" s="84" t="n"/>
      <c r="F2428" s="84" t="n"/>
      <c r="G2428" s="84" t="n"/>
      <c r="H2428" s="84" t="n"/>
      <c r="I2428" s="84" t="n"/>
      <c r="J2428" s="84" t="n"/>
      <c r="K2428" s="84" t="n"/>
      <c r="L2428" s="84" t="n"/>
      <c r="M2428" s="84" t="n"/>
      <c r="N2428" s="84" t="n"/>
      <c r="O2428" s="84" t="n"/>
      <c r="P2428" s="84" t="n"/>
      <c r="Q2428" s="84" t="n"/>
      <c r="R2428" s="84" t="n"/>
      <c r="S2428" s="84" t="n"/>
      <c r="T2428" s="84" t="n"/>
      <c r="U2428" s="84" t="n"/>
      <c r="V2428" s="84" t="n"/>
      <c r="W2428" s="84" t="n"/>
      <c r="X2428" s="84" t="n"/>
      <c r="Y2428" s="84" t="n"/>
      <c r="Z2428" s="84" t="n"/>
      <c r="AA2428" s="84" t="n"/>
      <c r="AB2428" s="84" t="n"/>
      <c r="AC2428" s="84" t="n"/>
      <c r="AD2428" s="84" t="n"/>
      <c r="AE2428" s="84" t="n"/>
      <c r="AF2428" s="84" t="n"/>
      <c r="AG2428" s="84" t="n"/>
      <c r="AH2428" s="84" t="n"/>
      <c r="AI2428" s="84" t="n"/>
      <c r="AJ2428" s="84" t="n"/>
      <c r="AK2428" s="84" t="n"/>
      <c r="AL2428" s="84" t="n"/>
      <c r="AM2428" s="84" t="n"/>
      <c r="AN2428" s="84" t="n"/>
      <c r="AO2428" s="84" t="n"/>
      <c r="AP2428" s="84" t="n"/>
      <c r="AQ2428" s="84" t="n"/>
      <c r="AR2428" s="84" t="n"/>
    </row>
    <row r="2429">
      <c r="D2429" s="80" t="n"/>
      <c r="E2429" s="80" t="n"/>
      <c r="F2429" s="80" t="n"/>
      <c r="G2429" s="80" t="n"/>
      <c r="H2429" s="80" t="n"/>
      <c r="I2429" s="80" t="n"/>
      <c r="J2429" s="80" t="n"/>
      <c r="K2429" s="80" t="n"/>
      <c r="L2429" s="80" t="n"/>
      <c r="M2429" s="80" t="n"/>
      <c r="N2429" s="80" t="n"/>
      <c r="O2429" s="80" t="n"/>
      <c r="P2429" s="80" t="n"/>
      <c r="Q2429" s="80" t="n"/>
      <c r="R2429" s="80" t="n"/>
      <c r="S2429" s="80" t="n"/>
      <c r="T2429" s="80" t="n"/>
      <c r="U2429" s="80" t="n"/>
      <c r="V2429" s="80" t="n"/>
      <c r="W2429" s="80" t="n"/>
      <c r="X2429" s="80" t="n"/>
      <c r="Y2429" s="80" t="n"/>
      <c r="Z2429" s="80" t="n"/>
      <c r="AA2429" s="80" t="n"/>
      <c r="AB2429" s="80" t="n"/>
      <c r="AC2429" s="80" t="n"/>
      <c r="AD2429" s="80" t="n"/>
      <c r="AE2429" s="80" t="n"/>
      <c r="AF2429" s="80" t="n"/>
      <c r="AG2429" s="80" t="n"/>
      <c r="AH2429" s="80" t="n"/>
      <c r="AI2429" s="80" t="n"/>
      <c r="AJ2429" s="80" t="n"/>
      <c r="AK2429" s="80" t="n"/>
      <c r="AL2429" s="80" t="n"/>
      <c r="AM2429" s="80" t="n"/>
      <c r="AN2429" s="80" t="n"/>
      <c r="AO2429" s="80" t="n"/>
      <c r="AP2429" s="80" t="n"/>
      <c r="AQ2429" s="80" t="n"/>
      <c r="AR2429" s="80" t="n"/>
    </row>
    <row r="2430">
      <c r="D2430" s="80" t="n"/>
      <c r="E2430" s="80" t="n"/>
      <c r="F2430" s="80" t="n"/>
      <c r="G2430" s="80" t="n"/>
      <c r="H2430" s="80" t="n"/>
      <c r="I2430" s="80" t="n"/>
      <c r="J2430" s="80" t="n"/>
      <c r="K2430" s="80" t="n"/>
      <c r="L2430" s="80" t="n"/>
      <c r="M2430" s="80" t="n"/>
      <c r="N2430" s="80" t="n"/>
      <c r="O2430" s="80" t="n"/>
      <c r="P2430" s="80" t="n"/>
      <c r="Q2430" s="80" t="n"/>
      <c r="R2430" s="80" t="n"/>
      <c r="S2430" s="80" t="n"/>
      <c r="T2430" s="80" t="n"/>
      <c r="U2430" s="80" t="n"/>
      <c r="V2430" s="80" t="n"/>
      <c r="W2430" s="80" t="n"/>
      <c r="X2430" s="80" t="n"/>
      <c r="Y2430" s="80" t="n"/>
      <c r="Z2430" s="80" t="n"/>
      <c r="AA2430" s="80" t="n"/>
      <c r="AB2430" s="80" t="n"/>
      <c r="AC2430" s="80" t="n"/>
      <c r="AD2430" s="80" t="n"/>
      <c r="AE2430" s="80" t="n"/>
      <c r="AF2430" s="80" t="n"/>
      <c r="AG2430" s="80" t="n"/>
      <c r="AH2430" s="80" t="n"/>
      <c r="AI2430" s="80" t="n"/>
      <c r="AJ2430" s="80" t="n"/>
      <c r="AK2430" s="80" t="n"/>
      <c r="AL2430" s="80" t="n"/>
      <c r="AM2430" s="80" t="n"/>
      <c r="AN2430" s="80" t="n"/>
      <c r="AO2430" s="80" t="n"/>
      <c r="AP2430" s="80" t="n"/>
      <c r="AQ2430" s="80" t="n"/>
      <c r="AR2430" s="80" t="n"/>
    </row>
    <row r="2431">
      <c r="D2431" s="80" t="n"/>
      <c r="E2431" s="80" t="n"/>
      <c r="F2431" s="80" t="n"/>
      <c r="G2431" s="80" t="n"/>
      <c r="H2431" s="80" t="n"/>
      <c r="I2431" s="80" t="n"/>
      <c r="J2431" s="80" t="n"/>
      <c r="K2431" s="80" t="n"/>
      <c r="L2431" s="80" t="n"/>
      <c r="M2431" s="80" t="n"/>
      <c r="N2431" s="80" t="n"/>
      <c r="O2431" s="80" t="n"/>
      <c r="P2431" s="80" t="n"/>
      <c r="Q2431" s="80" t="n"/>
      <c r="R2431" s="80" t="n"/>
      <c r="S2431" s="80" t="n"/>
      <c r="T2431" s="80" t="n"/>
      <c r="U2431" s="80" t="n"/>
      <c r="V2431" s="80" t="n"/>
      <c r="W2431" s="80" t="n"/>
      <c r="X2431" s="80" t="n"/>
      <c r="Y2431" s="80" t="n"/>
      <c r="Z2431" s="80" t="n"/>
      <c r="AA2431" s="80" t="n"/>
      <c r="AB2431" s="80" t="n"/>
      <c r="AC2431" s="80" t="n"/>
      <c r="AD2431" s="80" t="n"/>
      <c r="AE2431" s="80" t="n"/>
      <c r="AF2431" s="80" t="n"/>
      <c r="AG2431" s="80" t="n"/>
      <c r="AH2431" s="80" t="n"/>
      <c r="AI2431" s="80" t="n"/>
      <c r="AJ2431" s="80" t="n"/>
      <c r="AK2431" s="80" t="n"/>
      <c r="AL2431" s="80" t="n"/>
      <c r="AM2431" s="80" t="n"/>
      <c r="AN2431" s="80" t="n"/>
      <c r="AO2431" s="80" t="n"/>
      <c r="AP2431" s="80" t="n"/>
      <c r="AQ2431" s="80" t="n"/>
      <c r="AR2431" s="80" t="n"/>
    </row>
    <row r="2432">
      <c r="D2432" s="80" t="n"/>
      <c r="E2432" s="80" t="n"/>
      <c r="F2432" s="80" t="n"/>
      <c r="G2432" s="80" t="n"/>
      <c r="H2432" s="80" t="n"/>
      <c r="I2432" s="80" t="n"/>
      <c r="J2432" s="80" t="n"/>
      <c r="K2432" s="80" t="n"/>
      <c r="L2432" s="80" t="n"/>
      <c r="M2432" s="80" t="n"/>
      <c r="N2432" s="80" t="n"/>
      <c r="O2432" s="80" t="n"/>
      <c r="P2432" s="80" t="n"/>
      <c r="Q2432" s="80" t="n"/>
      <c r="R2432" s="80" t="n"/>
      <c r="S2432" s="80" t="n"/>
      <c r="T2432" s="80" t="n"/>
      <c r="U2432" s="80" t="n"/>
      <c r="V2432" s="80" t="n"/>
      <c r="W2432" s="80" t="n"/>
      <c r="X2432" s="80" t="n"/>
      <c r="Y2432" s="80" t="n"/>
      <c r="Z2432" s="80" t="n"/>
      <c r="AA2432" s="80" t="n"/>
      <c r="AB2432" s="80" t="n"/>
      <c r="AC2432" s="80" t="n"/>
      <c r="AD2432" s="80" t="n"/>
      <c r="AE2432" s="80" t="n"/>
      <c r="AF2432" s="80" t="n"/>
      <c r="AG2432" s="80" t="n"/>
      <c r="AH2432" s="80" t="n"/>
      <c r="AI2432" s="80" t="n"/>
      <c r="AJ2432" s="80" t="n"/>
      <c r="AK2432" s="80" t="n"/>
      <c r="AL2432" s="80" t="n"/>
      <c r="AM2432" s="80" t="n"/>
      <c r="AN2432" s="80" t="n"/>
      <c r="AO2432" s="80" t="n"/>
      <c r="AP2432" s="80" t="n"/>
      <c r="AQ2432" s="80" t="n"/>
      <c r="AR2432" s="80" t="n"/>
    </row>
    <row r="2434">
      <c r="A2434" s="6">
        <f>IF(HSCEI!$C$28="","",HSCEI!$C$28)</f>
        <v/>
      </c>
      <c r="B2434" s="41">
        <f>IF($A2434="",0,COUNT($E2435:$AR2435))</f>
        <v/>
      </c>
      <c r="C2434" s="81">
        <f>IF($B2434=0,0,MAX($E2435:$AR2435))</f>
        <v/>
      </c>
      <c r="D2434" s="82">
        <f>BDS($A2434,'Field Check'!$C$7,"headers=y","startcol=1","endcol=7","dir=h","DVD_START_DT",Summary!$C$18,"DVD_END_DT",Summary!$D$18)</f>
        <v/>
      </c>
      <c r="E2434" s="83" t="n"/>
      <c r="F2434" s="83" t="n"/>
      <c r="G2434" s="83" t="n"/>
      <c r="H2434" s="83" t="n"/>
      <c r="I2434" s="83" t="n"/>
      <c r="J2434" s="83" t="n"/>
      <c r="K2434" s="83" t="n"/>
      <c r="L2434" s="83" t="n"/>
      <c r="M2434" s="83" t="n"/>
      <c r="N2434" s="83" t="n"/>
      <c r="O2434" s="83" t="n"/>
      <c r="P2434" s="83" t="n"/>
      <c r="Q2434" s="83" t="n"/>
      <c r="R2434" s="83" t="n"/>
      <c r="S2434" s="83" t="n"/>
      <c r="T2434" s="83" t="n"/>
      <c r="U2434" s="83" t="n"/>
      <c r="V2434" s="83" t="n"/>
      <c r="W2434" s="83" t="n"/>
      <c r="X2434" s="83" t="n"/>
      <c r="Y2434" s="83" t="n"/>
      <c r="Z2434" s="83" t="n"/>
      <c r="AA2434" s="83" t="n"/>
      <c r="AB2434" s="83" t="n"/>
      <c r="AC2434" s="83" t="n"/>
      <c r="AD2434" s="83" t="n"/>
      <c r="AE2434" s="83" t="n"/>
      <c r="AF2434" s="83" t="n"/>
      <c r="AG2434" s="83" t="n"/>
      <c r="AH2434" s="83" t="n"/>
      <c r="AI2434" s="83" t="n"/>
      <c r="AJ2434" s="83" t="n"/>
      <c r="AK2434" s="83" t="n"/>
      <c r="AL2434" s="83" t="n"/>
      <c r="AM2434" s="83" t="n"/>
      <c r="AN2434" s="83" t="n"/>
      <c r="AO2434" s="83" t="n"/>
      <c r="AP2434" s="83" t="n"/>
      <c r="AQ2434" s="83" t="n"/>
      <c r="AR2434" s="83" t="n"/>
    </row>
    <row r="2435">
      <c r="D2435" s="83" t="n"/>
      <c r="E2435" s="83" t="n"/>
      <c r="F2435" s="83" t="n"/>
      <c r="G2435" s="83" t="n"/>
      <c r="H2435" s="83" t="n"/>
      <c r="I2435" s="83" t="n"/>
      <c r="J2435" s="83" t="n"/>
      <c r="K2435" s="83" t="n"/>
      <c r="L2435" s="83" t="n"/>
      <c r="M2435" s="83" t="n"/>
      <c r="N2435" s="83" t="n"/>
      <c r="O2435" s="83" t="n"/>
      <c r="P2435" s="83" t="n"/>
      <c r="Q2435" s="83" t="n"/>
      <c r="R2435" s="83" t="n"/>
      <c r="S2435" s="83" t="n"/>
      <c r="T2435" s="83" t="n"/>
      <c r="U2435" s="83" t="n"/>
      <c r="V2435" s="83" t="n"/>
      <c r="W2435" s="83" t="n"/>
      <c r="X2435" s="83" t="n"/>
      <c r="Y2435" s="83" t="n"/>
      <c r="Z2435" s="83" t="n"/>
      <c r="AA2435" s="83" t="n"/>
      <c r="AB2435" s="83" t="n"/>
      <c r="AC2435" s="83" t="n"/>
      <c r="AD2435" s="83" t="n"/>
      <c r="AE2435" s="83" t="n"/>
      <c r="AF2435" s="83" t="n"/>
      <c r="AG2435" s="83" t="n"/>
      <c r="AH2435" s="83" t="n"/>
      <c r="AI2435" s="83" t="n"/>
      <c r="AJ2435" s="83" t="n"/>
      <c r="AK2435" s="83" t="n"/>
      <c r="AL2435" s="83" t="n"/>
      <c r="AM2435" s="83" t="n"/>
      <c r="AN2435" s="83" t="n"/>
      <c r="AO2435" s="83" t="n"/>
      <c r="AP2435" s="83" t="n"/>
      <c r="AQ2435" s="83" t="n"/>
      <c r="AR2435" s="83" t="n"/>
    </row>
    <row r="2436">
      <c r="D2436" s="84" t="n"/>
      <c r="E2436" s="84" t="n"/>
      <c r="F2436" s="84" t="n"/>
      <c r="G2436" s="84" t="n"/>
      <c r="H2436" s="84" t="n"/>
      <c r="I2436" s="84" t="n"/>
      <c r="J2436" s="84" t="n"/>
      <c r="K2436" s="84" t="n"/>
      <c r="L2436" s="84" t="n"/>
      <c r="M2436" s="84" t="n"/>
      <c r="N2436" s="84" t="n"/>
      <c r="O2436" s="84" t="n"/>
      <c r="P2436" s="84" t="n"/>
      <c r="Q2436" s="84" t="n"/>
      <c r="R2436" s="84" t="n"/>
      <c r="S2436" s="84" t="n"/>
      <c r="T2436" s="84" t="n"/>
      <c r="U2436" s="84" t="n"/>
      <c r="V2436" s="84" t="n"/>
      <c r="W2436" s="84" t="n"/>
      <c r="X2436" s="84" t="n"/>
      <c r="Y2436" s="84" t="n"/>
      <c r="Z2436" s="84" t="n"/>
      <c r="AA2436" s="84" t="n"/>
      <c r="AB2436" s="84" t="n"/>
      <c r="AC2436" s="84" t="n"/>
      <c r="AD2436" s="84" t="n"/>
      <c r="AE2436" s="84" t="n"/>
      <c r="AF2436" s="84" t="n"/>
      <c r="AG2436" s="84" t="n"/>
      <c r="AH2436" s="84" t="n"/>
      <c r="AI2436" s="84" t="n"/>
      <c r="AJ2436" s="84" t="n"/>
      <c r="AK2436" s="84" t="n"/>
      <c r="AL2436" s="84" t="n"/>
      <c r="AM2436" s="84" t="n"/>
      <c r="AN2436" s="84" t="n"/>
      <c r="AO2436" s="84" t="n"/>
      <c r="AP2436" s="84" t="n"/>
      <c r="AQ2436" s="84" t="n"/>
      <c r="AR2436" s="84" t="n"/>
    </row>
    <row r="2437">
      <c r="D2437" s="80" t="n"/>
      <c r="E2437" s="80" t="n"/>
      <c r="F2437" s="80" t="n"/>
      <c r="G2437" s="80" t="n"/>
      <c r="H2437" s="80" t="n"/>
      <c r="I2437" s="80" t="n"/>
      <c r="J2437" s="80" t="n"/>
      <c r="K2437" s="80" t="n"/>
      <c r="L2437" s="80" t="n"/>
      <c r="M2437" s="80" t="n"/>
      <c r="N2437" s="80" t="n"/>
      <c r="O2437" s="80" t="n"/>
      <c r="P2437" s="80" t="n"/>
      <c r="Q2437" s="80" t="n"/>
      <c r="R2437" s="80" t="n"/>
      <c r="S2437" s="80" t="n"/>
      <c r="T2437" s="80" t="n"/>
      <c r="U2437" s="80" t="n"/>
      <c r="V2437" s="80" t="n"/>
      <c r="W2437" s="80" t="n"/>
      <c r="X2437" s="80" t="n"/>
      <c r="Y2437" s="80" t="n"/>
      <c r="Z2437" s="80" t="n"/>
      <c r="AA2437" s="80" t="n"/>
      <c r="AB2437" s="80" t="n"/>
      <c r="AC2437" s="80" t="n"/>
      <c r="AD2437" s="80" t="n"/>
      <c r="AE2437" s="80" t="n"/>
      <c r="AF2437" s="80" t="n"/>
      <c r="AG2437" s="80" t="n"/>
      <c r="AH2437" s="80" t="n"/>
      <c r="AI2437" s="80" t="n"/>
      <c r="AJ2437" s="80" t="n"/>
      <c r="AK2437" s="80" t="n"/>
      <c r="AL2437" s="80" t="n"/>
      <c r="AM2437" s="80" t="n"/>
      <c r="AN2437" s="80" t="n"/>
      <c r="AO2437" s="80" t="n"/>
      <c r="AP2437" s="80" t="n"/>
      <c r="AQ2437" s="80" t="n"/>
      <c r="AR2437" s="80" t="n"/>
    </row>
    <row r="2438">
      <c r="D2438" s="80" t="n"/>
      <c r="E2438" s="80" t="n"/>
      <c r="F2438" s="80" t="n"/>
      <c r="G2438" s="80" t="n"/>
      <c r="H2438" s="80" t="n"/>
      <c r="I2438" s="80" t="n"/>
      <c r="J2438" s="80" t="n"/>
      <c r="K2438" s="80" t="n"/>
      <c r="L2438" s="80" t="n"/>
      <c r="M2438" s="80" t="n"/>
      <c r="N2438" s="80" t="n"/>
      <c r="O2438" s="80" t="n"/>
      <c r="P2438" s="80" t="n"/>
      <c r="Q2438" s="80" t="n"/>
      <c r="R2438" s="80" t="n"/>
      <c r="S2438" s="80" t="n"/>
      <c r="T2438" s="80" t="n"/>
      <c r="U2438" s="80" t="n"/>
      <c r="V2438" s="80" t="n"/>
      <c r="W2438" s="80" t="n"/>
      <c r="X2438" s="80" t="n"/>
      <c r="Y2438" s="80" t="n"/>
      <c r="Z2438" s="80" t="n"/>
      <c r="AA2438" s="80" t="n"/>
      <c r="AB2438" s="80" t="n"/>
      <c r="AC2438" s="80" t="n"/>
      <c r="AD2438" s="80" t="n"/>
      <c r="AE2438" s="80" t="n"/>
      <c r="AF2438" s="80" t="n"/>
      <c r="AG2438" s="80" t="n"/>
      <c r="AH2438" s="80" t="n"/>
      <c r="AI2438" s="80" t="n"/>
      <c r="AJ2438" s="80" t="n"/>
      <c r="AK2438" s="80" t="n"/>
      <c r="AL2438" s="80" t="n"/>
      <c r="AM2438" s="80" t="n"/>
      <c r="AN2438" s="80" t="n"/>
      <c r="AO2438" s="80" t="n"/>
      <c r="AP2438" s="80" t="n"/>
      <c r="AQ2438" s="80" t="n"/>
      <c r="AR2438" s="80" t="n"/>
    </row>
    <row r="2439">
      <c r="D2439" s="80" t="n"/>
      <c r="E2439" s="80" t="n"/>
      <c r="F2439" s="80" t="n"/>
      <c r="G2439" s="80" t="n"/>
      <c r="H2439" s="80" t="n"/>
      <c r="I2439" s="80" t="n"/>
      <c r="J2439" s="80" t="n"/>
      <c r="K2439" s="80" t="n"/>
      <c r="L2439" s="80" t="n"/>
      <c r="M2439" s="80" t="n"/>
      <c r="N2439" s="80" t="n"/>
      <c r="O2439" s="80" t="n"/>
      <c r="P2439" s="80" t="n"/>
      <c r="Q2439" s="80" t="n"/>
      <c r="R2439" s="80" t="n"/>
      <c r="S2439" s="80" t="n"/>
      <c r="T2439" s="80" t="n"/>
      <c r="U2439" s="80" t="n"/>
      <c r="V2439" s="80" t="n"/>
      <c r="W2439" s="80" t="n"/>
      <c r="X2439" s="80" t="n"/>
      <c r="Y2439" s="80" t="n"/>
      <c r="Z2439" s="80" t="n"/>
      <c r="AA2439" s="80" t="n"/>
      <c r="AB2439" s="80" t="n"/>
      <c r="AC2439" s="80" t="n"/>
      <c r="AD2439" s="80" t="n"/>
      <c r="AE2439" s="80" t="n"/>
      <c r="AF2439" s="80" t="n"/>
      <c r="AG2439" s="80" t="n"/>
      <c r="AH2439" s="80" t="n"/>
      <c r="AI2439" s="80" t="n"/>
      <c r="AJ2439" s="80" t="n"/>
      <c r="AK2439" s="80" t="n"/>
      <c r="AL2439" s="80" t="n"/>
      <c r="AM2439" s="80" t="n"/>
      <c r="AN2439" s="80" t="n"/>
      <c r="AO2439" s="80" t="n"/>
      <c r="AP2439" s="80" t="n"/>
      <c r="AQ2439" s="80" t="n"/>
      <c r="AR2439" s="80" t="n"/>
    </row>
    <row r="2440">
      <c r="D2440" s="80" t="n"/>
      <c r="E2440" s="80" t="n"/>
      <c r="F2440" s="80" t="n"/>
      <c r="G2440" s="80" t="n"/>
      <c r="H2440" s="80" t="n"/>
      <c r="I2440" s="80" t="n"/>
      <c r="J2440" s="80" t="n"/>
      <c r="K2440" s="80" t="n"/>
      <c r="L2440" s="80" t="n"/>
      <c r="M2440" s="80" t="n"/>
      <c r="N2440" s="80" t="n"/>
      <c r="O2440" s="80" t="n"/>
      <c r="P2440" s="80" t="n"/>
      <c r="Q2440" s="80" t="n"/>
      <c r="R2440" s="80" t="n"/>
      <c r="S2440" s="80" t="n"/>
      <c r="T2440" s="80" t="n"/>
      <c r="U2440" s="80" t="n"/>
      <c r="V2440" s="80" t="n"/>
      <c r="W2440" s="80" t="n"/>
      <c r="X2440" s="80" t="n"/>
      <c r="Y2440" s="80" t="n"/>
      <c r="Z2440" s="80" t="n"/>
      <c r="AA2440" s="80" t="n"/>
      <c r="AB2440" s="80" t="n"/>
      <c r="AC2440" s="80" t="n"/>
      <c r="AD2440" s="80" t="n"/>
      <c r="AE2440" s="80" t="n"/>
      <c r="AF2440" s="80" t="n"/>
      <c r="AG2440" s="80" t="n"/>
      <c r="AH2440" s="80" t="n"/>
      <c r="AI2440" s="80" t="n"/>
      <c r="AJ2440" s="80" t="n"/>
      <c r="AK2440" s="80" t="n"/>
      <c r="AL2440" s="80" t="n"/>
      <c r="AM2440" s="80" t="n"/>
      <c r="AN2440" s="80" t="n"/>
      <c r="AO2440" s="80" t="n"/>
      <c r="AP2440" s="80" t="n"/>
      <c r="AQ2440" s="80" t="n"/>
      <c r="AR2440" s="80" t="n"/>
    </row>
    <row r="2441">
      <c r="A2441" s="2">
        <f>IF($A2434="","","   projections")</f>
        <v/>
      </c>
      <c r="B2441" s="41">
        <f>IF($A2434="",0,COUNT($E2442:$AR2442))</f>
        <v/>
      </c>
      <c r="C2441" s="81">
        <f>IF($B2441=0,0,MAX($E2442:$AR2442))</f>
        <v/>
      </c>
      <c r="D2441" s="82">
        <f>BDS($A2434,'Field Check'!$C$6,"headers=y","startcol=1","endcol=7","dir=h")</f>
        <v/>
      </c>
      <c r="E2441" s="83" t="n"/>
      <c r="F2441" s="83" t="n"/>
      <c r="G2441" s="83" t="n"/>
      <c r="H2441" s="83" t="n"/>
      <c r="I2441" s="83" t="n"/>
      <c r="J2441" s="83" t="n"/>
      <c r="K2441" s="83" t="n"/>
      <c r="L2441" s="83" t="n"/>
      <c r="M2441" s="83" t="n"/>
      <c r="N2441" s="83" t="n"/>
      <c r="O2441" s="83" t="n"/>
      <c r="P2441" s="83" t="n"/>
      <c r="Q2441" s="83" t="n"/>
      <c r="R2441" s="83" t="n"/>
      <c r="S2441" s="83" t="n"/>
      <c r="T2441" s="83" t="n"/>
      <c r="U2441" s="83" t="n"/>
      <c r="V2441" s="83" t="n"/>
      <c r="W2441" s="83" t="n"/>
      <c r="X2441" s="83" t="n"/>
      <c r="Y2441" s="83" t="n"/>
      <c r="Z2441" s="83" t="n"/>
      <c r="AA2441" s="83" t="n"/>
      <c r="AB2441" s="83" t="n"/>
      <c r="AC2441" s="83" t="n"/>
      <c r="AD2441" s="83" t="n"/>
      <c r="AE2441" s="83" t="n"/>
      <c r="AF2441" s="83" t="n"/>
      <c r="AG2441" s="83" t="n"/>
      <c r="AH2441" s="83" t="n"/>
      <c r="AI2441" s="83" t="n"/>
      <c r="AJ2441" s="83" t="n"/>
      <c r="AK2441" s="83" t="n"/>
      <c r="AL2441" s="83" t="n"/>
      <c r="AM2441" s="83" t="n"/>
      <c r="AN2441" s="83" t="n"/>
      <c r="AO2441" s="83" t="n"/>
      <c r="AP2441" s="83" t="n"/>
      <c r="AQ2441" s="83" t="n"/>
      <c r="AR2441" s="83" t="n"/>
    </row>
    <row r="2442">
      <c r="D2442" s="83" t="n"/>
      <c r="E2442" s="83" t="n"/>
      <c r="F2442" s="83" t="n"/>
      <c r="G2442" s="83" t="n"/>
      <c r="H2442" s="83" t="n"/>
      <c r="I2442" s="83" t="n"/>
      <c r="J2442" s="83" t="n"/>
      <c r="K2442" s="83" t="n"/>
      <c r="L2442" s="83" t="n"/>
      <c r="M2442" s="83" t="n"/>
      <c r="N2442" s="83" t="n"/>
      <c r="O2442" s="83" t="n"/>
      <c r="P2442" s="83" t="n"/>
      <c r="Q2442" s="83" t="n"/>
      <c r="R2442" s="83" t="n"/>
      <c r="S2442" s="83" t="n"/>
      <c r="T2442" s="83" t="n"/>
      <c r="U2442" s="83" t="n"/>
      <c r="V2442" s="83" t="n"/>
      <c r="W2442" s="83" t="n"/>
      <c r="X2442" s="83" t="n"/>
      <c r="Y2442" s="83" t="n"/>
      <c r="Z2442" s="83" t="n"/>
      <c r="AA2442" s="83" t="n"/>
      <c r="AB2442" s="83" t="n"/>
      <c r="AC2442" s="83" t="n"/>
      <c r="AD2442" s="83" t="n"/>
      <c r="AE2442" s="83" t="n"/>
      <c r="AF2442" s="83" t="n"/>
      <c r="AG2442" s="83" t="n"/>
      <c r="AH2442" s="83" t="n"/>
      <c r="AI2442" s="83" t="n"/>
      <c r="AJ2442" s="83" t="n"/>
      <c r="AK2442" s="83" t="n"/>
      <c r="AL2442" s="83" t="n"/>
      <c r="AM2442" s="83" t="n"/>
      <c r="AN2442" s="83" t="n"/>
      <c r="AO2442" s="83" t="n"/>
      <c r="AP2442" s="83" t="n"/>
      <c r="AQ2442" s="83" t="n"/>
      <c r="AR2442" s="83" t="n"/>
    </row>
    <row r="2443">
      <c r="D2443" s="84" t="n"/>
      <c r="E2443" s="84" t="n"/>
      <c r="F2443" s="84" t="n"/>
      <c r="G2443" s="84" t="n"/>
      <c r="H2443" s="84" t="n"/>
      <c r="I2443" s="84" t="n"/>
      <c r="J2443" s="84" t="n"/>
      <c r="K2443" s="84" t="n"/>
      <c r="L2443" s="84" t="n"/>
      <c r="M2443" s="84" t="n"/>
      <c r="N2443" s="84" t="n"/>
      <c r="O2443" s="84" t="n"/>
      <c r="P2443" s="84" t="n"/>
      <c r="Q2443" s="84" t="n"/>
      <c r="R2443" s="84" t="n"/>
      <c r="S2443" s="84" t="n"/>
      <c r="T2443" s="84" t="n"/>
      <c r="U2443" s="84" t="n"/>
      <c r="V2443" s="84" t="n"/>
      <c r="W2443" s="84" t="n"/>
      <c r="X2443" s="84" t="n"/>
      <c r="Y2443" s="84" t="n"/>
      <c r="Z2443" s="84" t="n"/>
      <c r="AA2443" s="84" t="n"/>
      <c r="AB2443" s="84" t="n"/>
      <c r="AC2443" s="84" t="n"/>
      <c r="AD2443" s="84" t="n"/>
      <c r="AE2443" s="84" t="n"/>
      <c r="AF2443" s="84" t="n"/>
      <c r="AG2443" s="84" t="n"/>
      <c r="AH2443" s="84" t="n"/>
      <c r="AI2443" s="84" t="n"/>
      <c r="AJ2443" s="84" t="n"/>
      <c r="AK2443" s="84" t="n"/>
      <c r="AL2443" s="84" t="n"/>
      <c r="AM2443" s="84" t="n"/>
      <c r="AN2443" s="84" t="n"/>
      <c r="AO2443" s="84" t="n"/>
      <c r="AP2443" s="84" t="n"/>
      <c r="AQ2443" s="84" t="n"/>
      <c r="AR2443" s="84" t="n"/>
    </row>
    <row r="2444">
      <c r="D2444" s="80" t="n"/>
      <c r="E2444" s="80" t="n"/>
      <c r="F2444" s="80" t="n"/>
      <c r="G2444" s="80" t="n"/>
      <c r="H2444" s="80" t="n"/>
      <c r="I2444" s="80" t="n"/>
      <c r="J2444" s="80" t="n"/>
      <c r="K2444" s="80" t="n"/>
      <c r="L2444" s="80" t="n"/>
      <c r="M2444" s="80" t="n"/>
      <c r="N2444" s="80" t="n"/>
      <c r="O2444" s="80" t="n"/>
      <c r="P2444" s="80" t="n"/>
      <c r="Q2444" s="80" t="n"/>
      <c r="R2444" s="80" t="n"/>
      <c r="S2444" s="80" t="n"/>
      <c r="T2444" s="80" t="n"/>
      <c r="U2444" s="80" t="n"/>
      <c r="V2444" s="80" t="n"/>
      <c r="W2444" s="80" t="n"/>
      <c r="X2444" s="80" t="n"/>
      <c r="Y2444" s="80" t="n"/>
      <c r="Z2444" s="80" t="n"/>
      <c r="AA2444" s="80" t="n"/>
      <c r="AB2444" s="80" t="n"/>
      <c r="AC2444" s="80" t="n"/>
      <c r="AD2444" s="80" t="n"/>
      <c r="AE2444" s="80" t="n"/>
      <c r="AF2444" s="80" t="n"/>
      <c r="AG2444" s="80" t="n"/>
      <c r="AH2444" s="80" t="n"/>
      <c r="AI2444" s="80" t="n"/>
      <c r="AJ2444" s="80" t="n"/>
      <c r="AK2444" s="80" t="n"/>
      <c r="AL2444" s="80" t="n"/>
      <c r="AM2444" s="80" t="n"/>
      <c r="AN2444" s="80" t="n"/>
      <c r="AO2444" s="80" t="n"/>
      <c r="AP2444" s="80" t="n"/>
      <c r="AQ2444" s="80" t="n"/>
      <c r="AR2444" s="80" t="n"/>
    </row>
    <row r="2445">
      <c r="D2445" s="80" t="n"/>
      <c r="E2445" s="80" t="n"/>
      <c r="F2445" s="80" t="n"/>
      <c r="G2445" s="80" t="n"/>
      <c r="H2445" s="80" t="n"/>
      <c r="I2445" s="80" t="n"/>
      <c r="J2445" s="80" t="n"/>
      <c r="K2445" s="80" t="n"/>
      <c r="L2445" s="80" t="n"/>
      <c r="M2445" s="80" t="n"/>
      <c r="N2445" s="80" t="n"/>
      <c r="O2445" s="80" t="n"/>
      <c r="P2445" s="80" t="n"/>
      <c r="Q2445" s="80" t="n"/>
      <c r="R2445" s="80" t="n"/>
      <c r="S2445" s="80" t="n"/>
      <c r="T2445" s="80" t="n"/>
      <c r="U2445" s="80" t="n"/>
      <c r="V2445" s="80" t="n"/>
      <c r="W2445" s="80" t="n"/>
      <c r="X2445" s="80" t="n"/>
      <c r="Y2445" s="80" t="n"/>
      <c r="Z2445" s="80" t="n"/>
      <c r="AA2445" s="80" t="n"/>
      <c r="AB2445" s="80" t="n"/>
      <c r="AC2445" s="80" t="n"/>
      <c r="AD2445" s="80" t="n"/>
      <c r="AE2445" s="80" t="n"/>
      <c r="AF2445" s="80" t="n"/>
      <c r="AG2445" s="80" t="n"/>
      <c r="AH2445" s="80" t="n"/>
      <c r="AI2445" s="80" t="n"/>
      <c r="AJ2445" s="80" t="n"/>
      <c r="AK2445" s="80" t="n"/>
      <c r="AL2445" s="80" t="n"/>
      <c r="AM2445" s="80" t="n"/>
      <c r="AN2445" s="80" t="n"/>
      <c r="AO2445" s="80" t="n"/>
      <c r="AP2445" s="80" t="n"/>
      <c r="AQ2445" s="80" t="n"/>
      <c r="AR2445" s="80" t="n"/>
    </row>
    <row r="2446">
      <c r="D2446" s="80" t="n"/>
      <c r="E2446" s="80" t="n"/>
      <c r="F2446" s="80" t="n"/>
      <c r="G2446" s="80" t="n"/>
      <c r="H2446" s="80" t="n"/>
      <c r="I2446" s="80" t="n"/>
      <c r="J2446" s="80" t="n"/>
      <c r="K2446" s="80" t="n"/>
      <c r="L2446" s="80" t="n"/>
      <c r="M2446" s="80" t="n"/>
      <c r="N2446" s="80" t="n"/>
      <c r="O2446" s="80" t="n"/>
      <c r="P2446" s="80" t="n"/>
      <c r="Q2446" s="80" t="n"/>
      <c r="R2446" s="80" t="n"/>
      <c r="S2446" s="80" t="n"/>
      <c r="T2446" s="80" t="n"/>
      <c r="U2446" s="80" t="n"/>
      <c r="V2446" s="80" t="n"/>
      <c r="W2446" s="80" t="n"/>
      <c r="X2446" s="80" t="n"/>
      <c r="Y2446" s="80" t="n"/>
      <c r="Z2446" s="80" t="n"/>
      <c r="AA2446" s="80" t="n"/>
      <c r="AB2446" s="80" t="n"/>
      <c r="AC2446" s="80" t="n"/>
      <c r="AD2446" s="80" t="n"/>
      <c r="AE2446" s="80" t="n"/>
      <c r="AF2446" s="80" t="n"/>
      <c r="AG2446" s="80" t="n"/>
      <c r="AH2446" s="80" t="n"/>
      <c r="AI2446" s="80" t="n"/>
      <c r="AJ2446" s="80" t="n"/>
      <c r="AK2446" s="80" t="n"/>
      <c r="AL2446" s="80" t="n"/>
      <c r="AM2446" s="80" t="n"/>
      <c r="AN2446" s="80" t="n"/>
      <c r="AO2446" s="80" t="n"/>
      <c r="AP2446" s="80" t="n"/>
      <c r="AQ2446" s="80" t="n"/>
      <c r="AR2446" s="80" t="n"/>
    </row>
    <row r="2447">
      <c r="D2447" s="80" t="n"/>
      <c r="E2447" s="80" t="n"/>
      <c r="F2447" s="80" t="n"/>
      <c r="G2447" s="80" t="n"/>
      <c r="H2447" s="80" t="n"/>
      <c r="I2447" s="80" t="n"/>
      <c r="J2447" s="80" t="n"/>
      <c r="K2447" s="80" t="n"/>
      <c r="L2447" s="80" t="n"/>
      <c r="M2447" s="80" t="n"/>
      <c r="N2447" s="80" t="n"/>
      <c r="O2447" s="80" t="n"/>
      <c r="P2447" s="80" t="n"/>
      <c r="Q2447" s="80" t="n"/>
      <c r="R2447" s="80" t="n"/>
      <c r="S2447" s="80" t="n"/>
      <c r="T2447" s="80" t="n"/>
      <c r="U2447" s="80" t="n"/>
      <c r="V2447" s="80" t="n"/>
      <c r="W2447" s="80" t="n"/>
      <c r="X2447" s="80" t="n"/>
      <c r="Y2447" s="80" t="n"/>
      <c r="Z2447" s="80" t="n"/>
      <c r="AA2447" s="80" t="n"/>
      <c r="AB2447" s="80" t="n"/>
      <c r="AC2447" s="80" t="n"/>
      <c r="AD2447" s="80" t="n"/>
      <c r="AE2447" s="80" t="n"/>
      <c r="AF2447" s="80" t="n"/>
      <c r="AG2447" s="80" t="n"/>
      <c r="AH2447" s="80" t="n"/>
      <c r="AI2447" s="80" t="n"/>
      <c r="AJ2447" s="80" t="n"/>
      <c r="AK2447" s="80" t="n"/>
      <c r="AL2447" s="80" t="n"/>
      <c r="AM2447" s="80" t="n"/>
      <c r="AN2447" s="80" t="n"/>
      <c r="AO2447" s="80" t="n"/>
      <c r="AP2447" s="80" t="n"/>
      <c r="AQ2447" s="80" t="n"/>
      <c r="AR2447" s="80" t="n"/>
    </row>
    <row r="2449">
      <c r="A2449" s="6">
        <f>IF(HSCEI!$C$29="","",HSCEI!$C$29)</f>
        <v/>
      </c>
      <c r="B2449" s="41">
        <f>IF($A2449="",0,COUNT($E2450:$AR2450))</f>
        <v/>
      </c>
      <c r="C2449" s="81">
        <f>IF($B2449=0,0,MAX($E2450:$AR2450))</f>
        <v/>
      </c>
      <c r="D2449" s="82">
        <f>BDS($A2449,'Field Check'!$C$7,"headers=y","startcol=1","endcol=7","dir=h","DVD_START_DT",Summary!$C$18,"DVD_END_DT",Summary!$D$18)</f>
        <v/>
      </c>
      <c r="E2449" s="83" t="n"/>
      <c r="F2449" s="83" t="n"/>
      <c r="G2449" s="83" t="n"/>
      <c r="H2449" s="83" t="n"/>
      <c r="I2449" s="83" t="n"/>
      <c r="J2449" s="83" t="n"/>
      <c r="K2449" s="83" t="n"/>
      <c r="L2449" s="83" t="n"/>
      <c r="M2449" s="83" t="n"/>
      <c r="N2449" s="83" t="n"/>
      <c r="O2449" s="83" t="n"/>
      <c r="P2449" s="83" t="n"/>
      <c r="Q2449" s="83" t="n"/>
      <c r="R2449" s="83" t="n"/>
      <c r="S2449" s="83" t="n"/>
      <c r="T2449" s="83" t="n"/>
      <c r="U2449" s="83" t="n"/>
      <c r="V2449" s="83" t="n"/>
      <c r="W2449" s="83" t="n"/>
      <c r="X2449" s="83" t="n"/>
      <c r="Y2449" s="83" t="n"/>
      <c r="Z2449" s="83" t="n"/>
      <c r="AA2449" s="83" t="n"/>
      <c r="AB2449" s="83" t="n"/>
      <c r="AC2449" s="83" t="n"/>
      <c r="AD2449" s="83" t="n"/>
      <c r="AE2449" s="83" t="n"/>
      <c r="AF2449" s="83" t="n"/>
      <c r="AG2449" s="83" t="n"/>
      <c r="AH2449" s="83" t="n"/>
      <c r="AI2449" s="83" t="n"/>
      <c r="AJ2449" s="83" t="n"/>
      <c r="AK2449" s="83" t="n"/>
      <c r="AL2449" s="83" t="n"/>
      <c r="AM2449" s="83" t="n"/>
      <c r="AN2449" s="83" t="n"/>
      <c r="AO2449" s="83" t="n"/>
      <c r="AP2449" s="83" t="n"/>
      <c r="AQ2449" s="83" t="n"/>
      <c r="AR2449" s="83" t="n"/>
    </row>
    <row r="2450">
      <c r="D2450" s="83" t="n"/>
      <c r="E2450" s="83" t="n"/>
      <c r="F2450" s="83" t="n"/>
      <c r="G2450" s="83" t="n"/>
      <c r="H2450" s="83" t="n"/>
      <c r="I2450" s="83" t="n"/>
      <c r="J2450" s="83" t="n"/>
      <c r="K2450" s="83" t="n"/>
      <c r="L2450" s="83" t="n"/>
      <c r="M2450" s="83" t="n"/>
      <c r="N2450" s="83" t="n"/>
      <c r="O2450" s="83" t="n"/>
      <c r="P2450" s="83" t="n"/>
      <c r="Q2450" s="83" t="n"/>
      <c r="R2450" s="83" t="n"/>
      <c r="S2450" s="83" t="n"/>
      <c r="T2450" s="83" t="n"/>
      <c r="U2450" s="83" t="n"/>
      <c r="V2450" s="83" t="n"/>
      <c r="W2450" s="83" t="n"/>
      <c r="X2450" s="83" t="n"/>
      <c r="Y2450" s="83" t="n"/>
      <c r="Z2450" s="83" t="n"/>
      <c r="AA2450" s="83" t="n"/>
      <c r="AB2450" s="83" t="n"/>
      <c r="AC2450" s="83" t="n"/>
      <c r="AD2450" s="83" t="n"/>
      <c r="AE2450" s="83" t="n"/>
      <c r="AF2450" s="83" t="n"/>
      <c r="AG2450" s="83" t="n"/>
      <c r="AH2450" s="83" t="n"/>
      <c r="AI2450" s="83" t="n"/>
      <c r="AJ2450" s="83" t="n"/>
      <c r="AK2450" s="83" t="n"/>
      <c r="AL2450" s="83" t="n"/>
      <c r="AM2450" s="83" t="n"/>
      <c r="AN2450" s="83" t="n"/>
      <c r="AO2450" s="83" t="n"/>
      <c r="AP2450" s="83" t="n"/>
      <c r="AQ2450" s="83" t="n"/>
      <c r="AR2450" s="83" t="n"/>
    </row>
    <row r="2451">
      <c r="D2451" s="84" t="n"/>
      <c r="E2451" s="84" t="n"/>
      <c r="F2451" s="84" t="n"/>
      <c r="G2451" s="84" t="n"/>
      <c r="H2451" s="84" t="n"/>
      <c r="I2451" s="84" t="n"/>
      <c r="J2451" s="84" t="n"/>
      <c r="K2451" s="84" t="n"/>
      <c r="L2451" s="84" t="n"/>
      <c r="M2451" s="84" t="n"/>
      <c r="N2451" s="84" t="n"/>
      <c r="O2451" s="84" t="n"/>
      <c r="P2451" s="84" t="n"/>
      <c r="Q2451" s="84" t="n"/>
      <c r="R2451" s="84" t="n"/>
      <c r="S2451" s="84" t="n"/>
      <c r="T2451" s="84" t="n"/>
      <c r="U2451" s="84" t="n"/>
      <c r="V2451" s="84" t="n"/>
      <c r="W2451" s="84" t="n"/>
      <c r="X2451" s="84" t="n"/>
      <c r="Y2451" s="84" t="n"/>
      <c r="Z2451" s="84" t="n"/>
      <c r="AA2451" s="84" t="n"/>
      <c r="AB2451" s="84" t="n"/>
      <c r="AC2451" s="84" t="n"/>
      <c r="AD2451" s="84" t="n"/>
      <c r="AE2451" s="84" t="n"/>
      <c r="AF2451" s="84" t="n"/>
      <c r="AG2451" s="84" t="n"/>
      <c r="AH2451" s="84" t="n"/>
      <c r="AI2451" s="84" t="n"/>
      <c r="AJ2451" s="84" t="n"/>
      <c r="AK2451" s="84" t="n"/>
      <c r="AL2451" s="84" t="n"/>
      <c r="AM2451" s="84" t="n"/>
      <c r="AN2451" s="84" t="n"/>
      <c r="AO2451" s="84" t="n"/>
      <c r="AP2451" s="84" t="n"/>
      <c r="AQ2451" s="84" t="n"/>
      <c r="AR2451" s="84" t="n"/>
    </row>
    <row r="2452">
      <c r="D2452" s="80" t="n"/>
      <c r="E2452" s="80" t="n"/>
      <c r="F2452" s="80" t="n"/>
      <c r="G2452" s="80" t="n"/>
      <c r="H2452" s="80" t="n"/>
      <c r="I2452" s="80" t="n"/>
      <c r="J2452" s="80" t="n"/>
      <c r="K2452" s="80" t="n"/>
      <c r="L2452" s="80" t="n"/>
      <c r="M2452" s="80" t="n"/>
      <c r="N2452" s="80" t="n"/>
      <c r="O2452" s="80" t="n"/>
      <c r="P2452" s="80" t="n"/>
      <c r="Q2452" s="80" t="n"/>
      <c r="R2452" s="80" t="n"/>
      <c r="S2452" s="80" t="n"/>
      <c r="T2452" s="80" t="n"/>
      <c r="U2452" s="80" t="n"/>
      <c r="V2452" s="80" t="n"/>
      <c r="W2452" s="80" t="n"/>
      <c r="X2452" s="80" t="n"/>
      <c r="Y2452" s="80" t="n"/>
      <c r="Z2452" s="80" t="n"/>
      <c r="AA2452" s="80" t="n"/>
      <c r="AB2452" s="80" t="n"/>
      <c r="AC2452" s="80" t="n"/>
      <c r="AD2452" s="80" t="n"/>
      <c r="AE2452" s="80" t="n"/>
      <c r="AF2452" s="80" t="n"/>
      <c r="AG2452" s="80" t="n"/>
      <c r="AH2452" s="80" t="n"/>
      <c r="AI2452" s="80" t="n"/>
      <c r="AJ2452" s="80" t="n"/>
      <c r="AK2452" s="80" t="n"/>
      <c r="AL2452" s="80" t="n"/>
      <c r="AM2452" s="80" t="n"/>
      <c r="AN2452" s="80" t="n"/>
      <c r="AO2452" s="80" t="n"/>
      <c r="AP2452" s="80" t="n"/>
      <c r="AQ2452" s="80" t="n"/>
      <c r="AR2452" s="80" t="n"/>
    </row>
    <row r="2453">
      <c r="D2453" s="80" t="n"/>
      <c r="E2453" s="80" t="n"/>
      <c r="F2453" s="80" t="n"/>
      <c r="G2453" s="80" t="n"/>
      <c r="H2453" s="80" t="n"/>
      <c r="I2453" s="80" t="n"/>
      <c r="J2453" s="80" t="n"/>
      <c r="K2453" s="80" t="n"/>
      <c r="L2453" s="80" t="n"/>
      <c r="M2453" s="80" t="n"/>
      <c r="N2453" s="80" t="n"/>
      <c r="O2453" s="80" t="n"/>
      <c r="P2453" s="80" t="n"/>
      <c r="Q2453" s="80" t="n"/>
      <c r="R2453" s="80" t="n"/>
      <c r="S2453" s="80" t="n"/>
      <c r="T2453" s="80" t="n"/>
      <c r="U2453" s="80" t="n"/>
      <c r="V2453" s="80" t="n"/>
      <c r="W2453" s="80" t="n"/>
      <c r="X2453" s="80" t="n"/>
      <c r="Y2453" s="80" t="n"/>
      <c r="Z2453" s="80" t="n"/>
      <c r="AA2453" s="80" t="n"/>
      <c r="AB2453" s="80" t="n"/>
      <c r="AC2453" s="80" t="n"/>
      <c r="AD2453" s="80" t="n"/>
      <c r="AE2453" s="80" t="n"/>
      <c r="AF2453" s="80" t="n"/>
      <c r="AG2453" s="80" t="n"/>
      <c r="AH2453" s="80" t="n"/>
      <c r="AI2453" s="80" t="n"/>
      <c r="AJ2453" s="80" t="n"/>
      <c r="AK2453" s="80" t="n"/>
      <c r="AL2453" s="80" t="n"/>
      <c r="AM2453" s="80" t="n"/>
      <c r="AN2453" s="80" t="n"/>
      <c r="AO2453" s="80" t="n"/>
      <c r="AP2453" s="80" t="n"/>
      <c r="AQ2453" s="80" t="n"/>
      <c r="AR2453" s="80" t="n"/>
    </row>
    <row r="2454">
      <c r="D2454" s="80" t="n"/>
      <c r="E2454" s="80" t="n"/>
      <c r="F2454" s="80" t="n"/>
      <c r="G2454" s="80" t="n"/>
      <c r="H2454" s="80" t="n"/>
      <c r="I2454" s="80" t="n"/>
      <c r="J2454" s="80" t="n"/>
      <c r="K2454" s="80" t="n"/>
      <c r="L2454" s="80" t="n"/>
      <c r="M2454" s="80" t="n"/>
      <c r="N2454" s="80" t="n"/>
      <c r="O2454" s="80" t="n"/>
      <c r="P2454" s="80" t="n"/>
      <c r="Q2454" s="80" t="n"/>
      <c r="R2454" s="80" t="n"/>
      <c r="S2454" s="80" t="n"/>
      <c r="T2454" s="80" t="n"/>
      <c r="U2454" s="80" t="n"/>
      <c r="V2454" s="80" t="n"/>
      <c r="W2454" s="80" t="n"/>
      <c r="X2454" s="80" t="n"/>
      <c r="Y2454" s="80" t="n"/>
      <c r="Z2454" s="80" t="n"/>
      <c r="AA2454" s="80" t="n"/>
      <c r="AB2454" s="80" t="n"/>
      <c r="AC2454" s="80" t="n"/>
      <c r="AD2454" s="80" t="n"/>
      <c r="AE2454" s="80" t="n"/>
      <c r="AF2454" s="80" t="n"/>
      <c r="AG2454" s="80" t="n"/>
      <c r="AH2454" s="80" t="n"/>
      <c r="AI2454" s="80" t="n"/>
      <c r="AJ2454" s="80" t="n"/>
      <c r="AK2454" s="80" t="n"/>
      <c r="AL2454" s="80" t="n"/>
      <c r="AM2454" s="80" t="n"/>
      <c r="AN2454" s="80" t="n"/>
      <c r="AO2454" s="80" t="n"/>
      <c r="AP2454" s="80" t="n"/>
      <c r="AQ2454" s="80" t="n"/>
      <c r="AR2454" s="80" t="n"/>
    </row>
    <row r="2455">
      <c r="D2455" s="80" t="n"/>
      <c r="E2455" s="80" t="n"/>
      <c r="F2455" s="80" t="n"/>
      <c r="G2455" s="80" t="n"/>
      <c r="H2455" s="80" t="n"/>
      <c r="I2455" s="80" t="n"/>
      <c r="J2455" s="80" t="n"/>
      <c r="K2455" s="80" t="n"/>
      <c r="L2455" s="80" t="n"/>
      <c r="M2455" s="80" t="n"/>
      <c r="N2455" s="80" t="n"/>
      <c r="O2455" s="80" t="n"/>
      <c r="P2455" s="80" t="n"/>
      <c r="Q2455" s="80" t="n"/>
      <c r="R2455" s="80" t="n"/>
      <c r="S2455" s="80" t="n"/>
      <c r="T2455" s="80" t="n"/>
      <c r="U2455" s="80" t="n"/>
      <c r="V2455" s="80" t="n"/>
      <c r="W2455" s="80" t="n"/>
      <c r="X2455" s="80" t="n"/>
      <c r="Y2455" s="80" t="n"/>
      <c r="Z2455" s="80" t="n"/>
      <c r="AA2455" s="80" t="n"/>
      <c r="AB2455" s="80" t="n"/>
      <c r="AC2455" s="80" t="n"/>
      <c r="AD2455" s="80" t="n"/>
      <c r="AE2455" s="80" t="n"/>
      <c r="AF2455" s="80" t="n"/>
      <c r="AG2455" s="80" t="n"/>
      <c r="AH2455" s="80" t="n"/>
      <c r="AI2455" s="80" t="n"/>
      <c r="AJ2455" s="80" t="n"/>
      <c r="AK2455" s="80" t="n"/>
      <c r="AL2455" s="80" t="n"/>
      <c r="AM2455" s="80" t="n"/>
      <c r="AN2455" s="80" t="n"/>
      <c r="AO2455" s="80" t="n"/>
      <c r="AP2455" s="80" t="n"/>
      <c r="AQ2455" s="80" t="n"/>
      <c r="AR2455" s="80" t="n"/>
    </row>
    <row r="2456">
      <c r="A2456" s="2">
        <f>IF($A2449="","","   projections")</f>
        <v/>
      </c>
      <c r="B2456" s="41">
        <f>IF($A2449="",0,COUNT($E2457:$AR2457))</f>
        <v/>
      </c>
      <c r="C2456" s="81">
        <f>IF($B2456=0,0,MAX($E2457:$AR2457))</f>
        <v/>
      </c>
      <c r="D2456" s="82">
        <f>BDS($A2449,'Field Check'!$C$6,"headers=y","startcol=1","endcol=7","dir=h")</f>
        <v/>
      </c>
      <c r="E2456" s="83" t="n"/>
      <c r="F2456" s="83" t="n"/>
      <c r="G2456" s="83" t="n"/>
      <c r="H2456" s="83" t="n"/>
      <c r="I2456" s="83" t="n"/>
      <c r="J2456" s="83" t="n"/>
      <c r="K2456" s="83" t="n"/>
      <c r="L2456" s="83" t="n"/>
      <c r="M2456" s="83" t="n"/>
      <c r="N2456" s="83" t="n"/>
      <c r="O2456" s="83" t="n"/>
      <c r="P2456" s="83" t="n"/>
      <c r="Q2456" s="83" t="n"/>
      <c r="R2456" s="83" t="n"/>
      <c r="S2456" s="83" t="n"/>
      <c r="T2456" s="83" t="n"/>
      <c r="U2456" s="83" t="n"/>
      <c r="V2456" s="83" t="n"/>
      <c r="W2456" s="83" t="n"/>
      <c r="X2456" s="83" t="n"/>
      <c r="Y2456" s="83" t="n"/>
      <c r="Z2456" s="83" t="n"/>
      <c r="AA2456" s="83" t="n"/>
      <c r="AB2456" s="83" t="n"/>
      <c r="AC2456" s="83" t="n"/>
      <c r="AD2456" s="83" t="n"/>
      <c r="AE2456" s="83" t="n"/>
      <c r="AF2456" s="83" t="n"/>
      <c r="AG2456" s="83" t="n"/>
      <c r="AH2456" s="83" t="n"/>
      <c r="AI2456" s="83" t="n"/>
      <c r="AJ2456" s="83" t="n"/>
      <c r="AK2456" s="83" t="n"/>
      <c r="AL2456" s="83" t="n"/>
      <c r="AM2456" s="83" t="n"/>
      <c r="AN2456" s="83" t="n"/>
      <c r="AO2456" s="83" t="n"/>
      <c r="AP2456" s="83" t="n"/>
      <c r="AQ2456" s="83" t="n"/>
      <c r="AR2456" s="83" t="n"/>
    </row>
    <row r="2457">
      <c r="D2457" s="83" t="n"/>
      <c r="E2457" s="83" t="n"/>
      <c r="F2457" s="83" t="n"/>
      <c r="G2457" s="83" t="n"/>
      <c r="H2457" s="83" t="n"/>
      <c r="I2457" s="83" t="n"/>
      <c r="J2457" s="83" t="n"/>
      <c r="K2457" s="83" t="n"/>
      <c r="L2457" s="83" t="n"/>
      <c r="M2457" s="83" t="n"/>
      <c r="N2457" s="83" t="n"/>
      <c r="O2457" s="83" t="n"/>
      <c r="P2457" s="83" t="n"/>
      <c r="Q2457" s="83" t="n"/>
      <c r="R2457" s="83" t="n"/>
      <c r="S2457" s="83" t="n"/>
      <c r="T2457" s="83" t="n"/>
      <c r="U2457" s="83" t="n"/>
      <c r="V2457" s="83" t="n"/>
      <c r="W2457" s="83" t="n"/>
      <c r="X2457" s="83" t="n"/>
      <c r="Y2457" s="83" t="n"/>
      <c r="Z2457" s="83" t="n"/>
      <c r="AA2457" s="83" t="n"/>
      <c r="AB2457" s="83" t="n"/>
      <c r="AC2457" s="83" t="n"/>
      <c r="AD2457" s="83" t="n"/>
      <c r="AE2457" s="83" t="n"/>
      <c r="AF2457" s="83" t="n"/>
      <c r="AG2457" s="83" t="n"/>
      <c r="AH2457" s="83" t="n"/>
      <c r="AI2457" s="83" t="n"/>
      <c r="AJ2457" s="83" t="n"/>
      <c r="AK2457" s="83" t="n"/>
      <c r="AL2457" s="83" t="n"/>
      <c r="AM2457" s="83" t="n"/>
      <c r="AN2457" s="83" t="n"/>
      <c r="AO2457" s="83" t="n"/>
      <c r="AP2457" s="83" t="n"/>
      <c r="AQ2457" s="83" t="n"/>
      <c r="AR2457" s="83" t="n"/>
    </row>
    <row r="2458">
      <c r="D2458" s="84" t="n"/>
      <c r="E2458" s="84" t="n"/>
      <c r="F2458" s="84" t="n"/>
      <c r="G2458" s="84" t="n"/>
      <c r="H2458" s="84" t="n"/>
      <c r="I2458" s="84" t="n"/>
      <c r="J2458" s="84" t="n"/>
      <c r="K2458" s="84" t="n"/>
      <c r="L2458" s="84" t="n"/>
      <c r="M2458" s="84" t="n"/>
      <c r="N2458" s="84" t="n"/>
      <c r="O2458" s="84" t="n"/>
      <c r="P2458" s="84" t="n"/>
      <c r="Q2458" s="84" t="n"/>
      <c r="R2458" s="84" t="n"/>
      <c r="S2458" s="84" t="n"/>
      <c r="T2458" s="84" t="n"/>
      <c r="U2458" s="84" t="n"/>
      <c r="V2458" s="84" t="n"/>
      <c r="W2458" s="84" t="n"/>
      <c r="X2458" s="84" t="n"/>
      <c r="Y2458" s="84" t="n"/>
      <c r="Z2458" s="84" t="n"/>
      <c r="AA2458" s="84" t="n"/>
      <c r="AB2458" s="84" t="n"/>
      <c r="AC2458" s="84" t="n"/>
      <c r="AD2458" s="84" t="n"/>
      <c r="AE2458" s="84" t="n"/>
      <c r="AF2458" s="84" t="n"/>
      <c r="AG2458" s="84" t="n"/>
      <c r="AH2458" s="84" t="n"/>
      <c r="AI2458" s="84" t="n"/>
      <c r="AJ2458" s="84" t="n"/>
      <c r="AK2458" s="84" t="n"/>
      <c r="AL2458" s="84" t="n"/>
      <c r="AM2458" s="84" t="n"/>
      <c r="AN2458" s="84" t="n"/>
      <c r="AO2458" s="84" t="n"/>
      <c r="AP2458" s="84" t="n"/>
      <c r="AQ2458" s="84" t="n"/>
      <c r="AR2458" s="84" t="n"/>
    </row>
    <row r="2459">
      <c r="D2459" s="80" t="n"/>
      <c r="E2459" s="80" t="n"/>
      <c r="F2459" s="80" t="n"/>
      <c r="G2459" s="80" t="n"/>
      <c r="H2459" s="80" t="n"/>
      <c r="I2459" s="80" t="n"/>
      <c r="J2459" s="80" t="n"/>
      <c r="K2459" s="80" t="n"/>
      <c r="L2459" s="80" t="n"/>
      <c r="M2459" s="80" t="n"/>
      <c r="N2459" s="80" t="n"/>
      <c r="O2459" s="80" t="n"/>
      <c r="P2459" s="80" t="n"/>
      <c r="Q2459" s="80" t="n"/>
      <c r="R2459" s="80" t="n"/>
      <c r="S2459" s="80" t="n"/>
      <c r="T2459" s="80" t="n"/>
      <c r="U2459" s="80" t="n"/>
      <c r="V2459" s="80" t="n"/>
      <c r="W2459" s="80" t="n"/>
      <c r="X2459" s="80" t="n"/>
      <c r="Y2459" s="80" t="n"/>
      <c r="Z2459" s="80" t="n"/>
      <c r="AA2459" s="80" t="n"/>
      <c r="AB2459" s="80" t="n"/>
      <c r="AC2459" s="80" t="n"/>
      <c r="AD2459" s="80" t="n"/>
      <c r="AE2459" s="80" t="n"/>
      <c r="AF2459" s="80" t="n"/>
      <c r="AG2459" s="80" t="n"/>
      <c r="AH2459" s="80" t="n"/>
      <c r="AI2459" s="80" t="n"/>
      <c r="AJ2459" s="80" t="n"/>
      <c r="AK2459" s="80" t="n"/>
      <c r="AL2459" s="80" t="n"/>
      <c r="AM2459" s="80" t="n"/>
      <c r="AN2459" s="80" t="n"/>
      <c r="AO2459" s="80" t="n"/>
      <c r="AP2459" s="80" t="n"/>
      <c r="AQ2459" s="80" t="n"/>
      <c r="AR2459" s="80" t="n"/>
    </row>
    <row r="2460">
      <c r="D2460" s="80" t="n"/>
      <c r="E2460" s="80" t="n"/>
      <c r="F2460" s="80" t="n"/>
      <c r="G2460" s="80" t="n"/>
      <c r="H2460" s="80" t="n"/>
      <c r="I2460" s="80" t="n"/>
      <c r="J2460" s="80" t="n"/>
      <c r="K2460" s="80" t="n"/>
      <c r="L2460" s="80" t="n"/>
      <c r="M2460" s="80" t="n"/>
      <c r="N2460" s="80" t="n"/>
      <c r="O2460" s="80" t="n"/>
      <c r="P2460" s="80" t="n"/>
      <c r="Q2460" s="80" t="n"/>
      <c r="R2460" s="80" t="n"/>
      <c r="S2460" s="80" t="n"/>
      <c r="T2460" s="80" t="n"/>
      <c r="U2460" s="80" t="n"/>
      <c r="V2460" s="80" t="n"/>
      <c r="W2460" s="80" t="n"/>
      <c r="X2460" s="80" t="n"/>
      <c r="Y2460" s="80" t="n"/>
      <c r="Z2460" s="80" t="n"/>
      <c r="AA2460" s="80" t="n"/>
      <c r="AB2460" s="80" t="n"/>
      <c r="AC2460" s="80" t="n"/>
      <c r="AD2460" s="80" t="n"/>
      <c r="AE2460" s="80" t="n"/>
      <c r="AF2460" s="80" t="n"/>
      <c r="AG2460" s="80" t="n"/>
      <c r="AH2460" s="80" t="n"/>
      <c r="AI2460" s="80" t="n"/>
      <c r="AJ2460" s="80" t="n"/>
      <c r="AK2460" s="80" t="n"/>
      <c r="AL2460" s="80" t="n"/>
      <c r="AM2460" s="80" t="n"/>
      <c r="AN2460" s="80" t="n"/>
      <c r="AO2460" s="80" t="n"/>
      <c r="AP2460" s="80" t="n"/>
      <c r="AQ2460" s="80" t="n"/>
      <c r="AR2460" s="80" t="n"/>
    </row>
    <row r="2461">
      <c r="D2461" s="80" t="n"/>
      <c r="E2461" s="80" t="n"/>
      <c r="F2461" s="80" t="n"/>
      <c r="G2461" s="80" t="n"/>
      <c r="H2461" s="80" t="n"/>
      <c r="I2461" s="80" t="n"/>
      <c r="J2461" s="80" t="n"/>
      <c r="K2461" s="80" t="n"/>
      <c r="L2461" s="80" t="n"/>
      <c r="M2461" s="80" t="n"/>
      <c r="N2461" s="80" t="n"/>
      <c r="O2461" s="80" t="n"/>
      <c r="P2461" s="80" t="n"/>
      <c r="Q2461" s="80" t="n"/>
      <c r="R2461" s="80" t="n"/>
      <c r="S2461" s="80" t="n"/>
      <c r="T2461" s="80" t="n"/>
      <c r="U2461" s="80" t="n"/>
      <c r="V2461" s="80" t="n"/>
      <c r="W2461" s="80" t="n"/>
      <c r="X2461" s="80" t="n"/>
      <c r="Y2461" s="80" t="n"/>
      <c r="Z2461" s="80" t="n"/>
      <c r="AA2461" s="80" t="n"/>
      <c r="AB2461" s="80" t="n"/>
      <c r="AC2461" s="80" t="n"/>
      <c r="AD2461" s="80" t="n"/>
      <c r="AE2461" s="80" t="n"/>
      <c r="AF2461" s="80" t="n"/>
      <c r="AG2461" s="80" t="n"/>
      <c r="AH2461" s="80" t="n"/>
      <c r="AI2461" s="80" t="n"/>
      <c r="AJ2461" s="80" t="n"/>
      <c r="AK2461" s="80" t="n"/>
      <c r="AL2461" s="80" t="n"/>
      <c r="AM2461" s="80" t="n"/>
      <c r="AN2461" s="80" t="n"/>
      <c r="AO2461" s="80" t="n"/>
      <c r="AP2461" s="80" t="n"/>
      <c r="AQ2461" s="80" t="n"/>
      <c r="AR2461" s="80" t="n"/>
    </row>
    <row r="2462">
      <c r="D2462" s="80" t="n"/>
      <c r="E2462" s="80" t="n"/>
      <c r="F2462" s="80" t="n"/>
      <c r="G2462" s="80" t="n"/>
      <c r="H2462" s="80" t="n"/>
      <c r="I2462" s="80" t="n"/>
      <c r="J2462" s="80" t="n"/>
      <c r="K2462" s="80" t="n"/>
      <c r="L2462" s="80" t="n"/>
      <c r="M2462" s="80" t="n"/>
      <c r="N2462" s="80" t="n"/>
      <c r="O2462" s="80" t="n"/>
      <c r="P2462" s="80" t="n"/>
      <c r="Q2462" s="80" t="n"/>
      <c r="R2462" s="80" t="n"/>
      <c r="S2462" s="80" t="n"/>
      <c r="T2462" s="80" t="n"/>
      <c r="U2462" s="80" t="n"/>
      <c r="V2462" s="80" t="n"/>
      <c r="W2462" s="80" t="n"/>
      <c r="X2462" s="80" t="n"/>
      <c r="Y2462" s="80" t="n"/>
      <c r="Z2462" s="80" t="n"/>
      <c r="AA2462" s="80" t="n"/>
      <c r="AB2462" s="80" t="n"/>
      <c r="AC2462" s="80" t="n"/>
      <c r="AD2462" s="80" t="n"/>
      <c r="AE2462" s="80" t="n"/>
      <c r="AF2462" s="80" t="n"/>
      <c r="AG2462" s="80" t="n"/>
      <c r="AH2462" s="80" t="n"/>
      <c r="AI2462" s="80" t="n"/>
      <c r="AJ2462" s="80" t="n"/>
      <c r="AK2462" s="80" t="n"/>
      <c r="AL2462" s="80" t="n"/>
      <c r="AM2462" s="80" t="n"/>
      <c r="AN2462" s="80" t="n"/>
      <c r="AO2462" s="80" t="n"/>
      <c r="AP2462" s="80" t="n"/>
      <c r="AQ2462" s="80" t="n"/>
      <c r="AR2462" s="80" t="n"/>
    </row>
    <row r="2464">
      <c r="A2464" s="6">
        <f>IF(HSCEI!$C$30="","",HSCEI!$C$30)</f>
        <v/>
      </c>
      <c r="B2464" s="41">
        <f>IF($A2464="",0,COUNT($E2465:$AR2465))</f>
        <v/>
      </c>
      <c r="C2464" s="81">
        <f>IF($B2464=0,0,MAX($E2465:$AR2465))</f>
        <v/>
      </c>
      <c r="D2464" s="82">
        <f>BDS($A2464,'Field Check'!$C$7,"headers=y","startcol=1","endcol=7","dir=h","DVD_START_DT",Summary!$C$18,"DVD_END_DT",Summary!$D$18)</f>
        <v/>
      </c>
      <c r="E2464" s="83" t="n"/>
      <c r="F2464" s="83" t="n"/>
      <c r="G2464" s="83" t="n"/>
      <c r="H2464" s="83" t="n"/>
      <c r="I2464" s="83" t="n"/>
      <c r="J2464" s="83" t="n"/>
      <c r="K2464" s="83" t="n"/>
      <c r="L2464" s="83" t="n"/>
      <c r="M2464" s="83" t="n"/>
      <c r="N2464" s="83" t="n"/>
      <c r="O2464" s="83" t="n"/>
      <c r="P2464" s="83" t="n"/>
      <c r="Q2464" s="83" t="n"/>
      <c r="R2464" s="83" t="n"/>
      <c r="S2464" s="83" t="n"/>
      <c r="T2464" s="83" t="n"/>
      <c r="U2464" s="83" t="n"/>
      <c r="V2464" s="83" t="n"/>
      <c r="W2464" s="83" t="n"/>
      <c r="X2464" s="83" t="n"/>
      <c r="Y2464" s="83" t="n"/>
      <c r="Z2464" s="83" t="n"/>
      <c r="AA2464" s="83" t="n"/>
      <c r="AB2464" s="83" t="n"/>
      <c r="AC2464" s="83" t="n"/>
      <c r="AD2464" s="83" t="n"/>
      <c r="AE2464" s="83" t="n"/>
      <c r="AF2464" s="83" t="n"/>
      <c r="AG2464" s="83" t="n"/>
      <c r="AH2464" s="83" t="n"/>
      <c r="AI2464" s="83" t="n"/>
      <c r="AJ2464" s="83" t="n"/>
      <c r="AK2464" s="83" t="n"/>
      <c r="AL2464" s="83" t="n"/>
      <c r="AM2464" s="83" t="n"/>
      <c r="AN2464" s="83" t="n"/>
      <c r="AO2464" s="83" t="n"/>
      <c r="AP2464" s="83" t="n"/>
      <c r="AQ2464" s="83" t="n"/>
      <c r="AR2464" s="83" t="n"/>
    </row>
    <row r="2465">
      <c r="D2465" s="83" t="n"/>
      <c r="E2465" s="83" t="n"/>
      <c r="F2465" s="83" t="n"/>
      <c r="G2465" s="83" t="n"/>
      <c r="H2465" s="83" t="n"/>
      <c r="I2465" s="83" t="n"/>
      <c r="J2465" s="83" t="n"/>
      <c r="K2465" s="83" t="n"/>
      <c r="L2465" s="83" t="n"/>
      <c r="M2465" s="83" t="n"/>
      <c r="N2465" s="83" t="n"/>
      <c r="O2465" s="83" t="n"/>
      <c r="P2465" s="83" t="n"/>
      <c r="Q2465" s="83" t="n"/>
      <c r="R2465" s="83" t="n"/>
      <c r="S2465" s="83" t="n"/>
      <c r="T2465" s="83" t="n"/>
      <c r="U2465" s="83" t="n"/>
      <c r="V2465" s="83" t="n"/>
      <c r="W2465" s="83" t="n"/>
      <c r="X2465" s="83" t="n"/>
      <c r="Y2465" s="83" t="n"/>
      <c r="Z2465" s="83" t="n"/>
      <c r="AA2465" s="83" t="n"/>
      <c r="AB2465" s="83" t="n"/>
      <c r="AC2465" s="83" t="n"/>
      <c r="AD2465" s="83" t="n"/>
      <c r="AE2465" s="83" t="n"/>
      <c r="AF2465" s="83" t="n"/>
      <c r="AG2465" s="83" t="n"/>
      <c r="AH2465" s="83" t="n"/>
      <c r="AI2465" s="83" t="n"/>
      <c r="AJ2465" s="83" t="n"/>
      <c r="AK2465" s="83" t="n"/>
      <c r="AL2465" s="83" t="n"/>
      <c r="AM2465" s="83" t="n"/>
      <c r="AN2465" s="83" t="n"/>
      <c r="AO2465" s="83" t="n"/>
      <c r="AP2465" s="83" t="n"/>
      <c r="AQ2465" s="83" t="n"/>
      <c r="AR2465" s="83" t="n"/>
    </row>
    <row r="2466">
      <c r="D2466" s="84" t="n"/>
      <c r="E2466" s="84" t="n"/>
      <c r="F2466" s="84" t="n"/>
      <c r="G2466" s="84" t="n"/>
      <c r="H2466" s="84" t="n"/>
      <c r="I2466" s="84" t="n"/>
      <c r="J2466" s="84" t="n"/>
      <c r="K2466" s="84" t="n"/>
      <c r="L2466" s="84" t="n"/>
      <c r="M2466" s="84" t="n"/>
      <c r="N2466" s="84" t="n"/>
      <c r="O2466" s="84" t="n"/>
      <c r="P2466" s="84" t="n"/>
      <c r="Q2466" s="84" t="n"/>
      <c r="R2466" s="84" t="n"/>
      <c r="S2466" s="84" t="n"/>
      <c r="T2466" s="84" t="n"/>
      <c r="U2466" s="84" t="n"/>
      <c r="V2466" s="84" t="n"/>
      <c r="W2466" s="84" t="n"/>
      <c r="X2466" s="84" t="n"/>
      <c r="Y2466" s="84" t="n"/>
      <c r="Z2466" s="84" t="n"/>
      <c r="AA2466" s="84" t="n"/>
      <c r="AB2466" s="84" t="n"/>
      <c r="AC2466" s="84" t="n"/>
      <c r="AD2466" s="84" t="n"/>
      <c r="AE2466" s="84" t="n"/>
      <c r="AF2466" s="84" t="n"/>
      <c r="AG2466" s="84" t="n"/>
      <c r="AH2466" s="84" t="n"/>
      <c r="AI2466" s="84" t="n"/>
      <c r="AJ2466" s="84" t="n"/>
      <c r="AK2466" s="84" t="n"/>
      <c r="AL2466" s="84" t="n"/>
      <c r="AM2466" s="84" t="n"/>
      <c r="AN2466" s="84" t="n"/>
      <c r="AO2466" s="84" t="n"/>
      <c r="AP2466" s="84" t="n"/>
      <c r="AQ2466" s="84" t="n"/>
      <c r="AR2466" s="84" t="n"/>
    </row>
    <row r="2467">
      <c r="D2467" s="80" t="n"/>
      <c r="E2467" s="80" t="n"/>
      <c r="F2467" s="80" t="n"/>
      <c r="G2467" s="80" t="n"/>
      <c r="H2467" s="80" t="n"/>
      <c r="I2467" s="80" t="n"/>
      <c r="J2467" s="80" t="n"/>
      <c r="K2467" s="80" t="n"/>
      <c r="L2467" s="80" t="n"/>
      <c r="M2467" s="80" t="n"/>
      <c r="N2467" s="80" t="n"/>
      <c r="O2467" s="80" t="n"/>
      <c r="P2467" s="80" t="n"/>
      <c r="Q2467" s="80" t="n"/>
      <c r="R2467" s="80" t="n"/>
      <c r="S2467" s="80" t="n"/>
      <c r="T2467" s="80" t="n"/>
      <c r="U2467" s="80" t="n"/>
      <c r="V2467" s="80" t="n"/>
      <c r="W2467" s="80" t="n"/>
      <c r="X2467" s="80" t="n"/>
      <c r="Y2467" s="80" t="n"/>
      <c r="Z2467" s="80" t="n"/>
      <c r="AA2467" s="80" t="n"/>
      <c r="AB2467" s="80" t="n"/>
      <c r="AC2467" s="80" t="n"/>
      <c r="AD2467" s="80" t="n"/>
      <c r="AE2467" s="80" t="n"/>
      <c r="AF2467" s="80" t="n"/>
      <c r="AG2467" s="80" t="n"/>
      <c r="AH2467" s="80" t="n"/>
      <c r="AI2467" s="80" t="n"/>
      <c r="AJ2467" s="80" t="n"/>
      <c r="AK2467" s="80" t="n"/>
      <c r="AL2467" s="80" t="n"/>
      <c r="AM2467" s="80" t="n"/>
      <c r="AN2467" s="80" t="n"/>
      <c r="AO2467" s="80" t="n"/>
      <c r="AP2467" s="80" t="n"/>
      <c r="AQ2467" s="80" t="n"/>
      <c r="AR2467" s="80" t="n"/>
    </row>
    <row r="2468">
      <c r="D2468" s="80" t="n"/>
      <c r="E2468" s="80" t="n"/>
      <c r="F2468" s="80" t="n"/>
      <c r="G2468" s="80" t="n"/>
      <c r="H2468" s="80" t="n"/>
      <c r="I2468" s="80" t="n"/>
      <c r="J2468" s="80" t="n"/>
      <c r="K2468" s="80" t="n"/>
      <c r="L2468" s="80" t="n"/>
      <c r="M2468" s="80" t="n"/>
      <c r="N2468" s="80" t="n"/>
      <c r="O2468" s="80" t="n"/>
      <c r="P2468" s="80" t="n"/>
      <c r="Q2468" s="80" t="n"/>
      <c r="R2468" s="80" t="n"/>
      <c r="S2468" s="80" t="n"/>
      <c r="T2468" s="80" t="n"/>
      <c r="U2468" s="80" t="n"/>
      <c r="V2468" s="80" t="n"/>
      <c r="W2468" s="80" t="n"/>
      <c r="X2468" s="80" t="n"/>
      <c r="Y2468" s="80" t="n"/>
      <c r="Z2468" s="80" t="n"/>
      <c r="AA2468" s="80" t="n"/>
      <c r="AB2468" s="80" t="n"/>
      <c r="AC2468" s="80" t="n"/>
      <c r="AD2468" s="80" t="n"/>
      <c r="AE2468" s="80" t="n"/>
      <c r="AF2468" s="80" t="n"/>
      <c r="AG2468" s="80" t="n"/>
      <c r="AH2468" s="80" t="n"/>
      <c r="AI2468" s="80" t="n"/>
      <c r="AJ2468" s="80" t="n"/>
      <c r="AK2468" s="80" t="n"/>
      <c r="AL2468" s="80" t="n"/>
      <c r="AM2468" s="80" t="n"/>
      <c r="AN2468" s="80" t="n"/>
      <c r="AO2468" s="80" t="n"/>
      <c r="AP2468" s="80" t="n"/>
      <c r="AQ2468" s="80" t="n"/>
      <c r="AR2468" s="80" t="n"/>
    </row>
    <row r="2469">
      <c r="D2469" s="80" t="n"/>
      <c r="E2469" s="80" t="n"/>
      <c r="F2469" s="80" t="n"/>
      <c r="G2469" s="80" t="n"/>
      <c r="H2469" s="80" t="n"/>
      <c r="I2469" s="80" t="n"/>
      <c r="J2469" s="80" t="n"/>
      <c r="K2469" s="80" t="n"/>
      <c r="L2469" s="80" t="n"/>
      <c r="M2469" s="80" t="n"/>
      <c r="N2469" s="80" t="n"/>
      <c r="O2469" s="80" t="n"/>
      <c r="P2469" s="80" t="n"/>
      <c r="Q2469" s="80" t="n"/>
      <c r="R2469" s="80" t="n"/>
      <c r="S2469" s="80" t="n"/>
      <c r="T2469" s="80" t="n"/>
      <c r="U2469" s="80" t="n"/>
      <c r="V2469" s="80" t="n"/>
      <c r="W2469" s="80" t="n"/>
      <c r="X2469" s="80" t="n"/>
      <c r="Y2469" s="80" t="n"/>
      <c r="Z2469" s="80" t="n"/>
      <c r="AA2469" s="80" t="n"/>
      <c r="AB2469" s="80" t="n"/>
      <c r="AC2469" s="80" t="n"/>
      <c r="AD2469" s="80" t="n"/>
      <c r="AE2469" s="80" t="n"/>
      <c r="AF2469" s="80" t="n"/>
      <c r="AG2469" s="80" t="n"/>
      <c r="AH2469" s="80" t="n"/>
      <c r="AI2469" s="80" t="n"/>
      <c r="AJ2469" s="80" t="n"/>
      <c r="AK2469" s="80" t="n"/>
      <c r="AL2469" s="80" t="n"/>
      <c r="AM2469" s="80" t="n"/>
      <c r="AN2469" s="80" t="n"/>
      <c r="AO2469" s="80" t="n"/>
      <c r="AP2469" s="80" t="n"/>
      <c r="AQ2469" s="80" t="n"/>
      <c r="AR2469" s="80" t="n"/>
    </row>
    <row r="2470">
      <c r="D2470" s="80" t="n"/>
      <c r="E2470" s="80" t="n"/>
      <c r="F2470" s="80" t="n"/>
      <c r="G2470" s="80" t="n"/>
      <c r="H2470" s="80" t="n"/>
      <c r="I2470" s="80" t="n"/>
      <c r="J2470" s="80" t="n"/>
      <c r="K2470" s="80" t="n"/>
      <c r="L2470" s="80" t="n"/>
      <c r="M2470" s="80" t="n"/>
      <c r="N2470" s="80" t="n"/>
      <c r="O2470" s="80" t="n"/>
      <c r="P2470" s="80" t="n"/>
      <c r="Q2470" s="80" t="n"/>
      <c r="R2470" s="80" t="n"/>
      <c r="S2470" s="80" t="n"/>
      <c r="T2470" s="80" t="n"/>
      <c r="U2470" s="80" t="n"/>
      <c r="V2470" s="80" t="n"/>
      <c r="W2470" s="80" t="n"/>
      <c r="X2470" s="80" t="n"/>
      <c r="Y2470" s="80" t="n"/>
      <c r="Z2470" s="80" t="n"/>
      <c r="AA2470" s="80" t="n"/>
      <c r="AB2470" s="80" t="n"/>
      <c r="AC2470" s="80" t="n"/>
      <c r="AD2470" s="80" t="n"/>
      <c r="AE2470" s="80" t="n"/>
      <c r="AF2470" s="80" t="n"/>
      <c r="AG2470" s="80" t="n"/>
      <c r="AH2470" s="80" t="n"/>
      <c r="AI2470" s="80" t="n"/>
      <c r="AJ2470" s="80" t="n"/>
      <c r="AK2470" s="80" t="n"/>
      <c r="AL2470" s="80" t="n"/>
      <c r="AM2470" s="80" t="n"/>
      <c r="AN2470" s="80" t="n"/>
      <c r="AO2470" s="80" t="n"/>
      <c r="AP2470" s="80" t="n"/>
      <c r="AQ2470" s="80" t="n"/>
      <c r="AR2470" s="80" t="n"/>
    </row>
    <row r="2471">
      <c r="A2471" s="2">
        <f>IF($A2464="","","   projections")</f>
        <v/>
      </c>
      <c r="B2471" s="41">
        <f>IF($A2464="",0,COUNT($E2472:$AR2472))</f>
        <v/>
      </c>
      <c r="C2471" s="81">
        <f>IF($B2471=0,0,MAX($E2472:$AR2472))</f>
        <v/>
      </c>
      <c r="D2471" s="82">
        <f>BDS($A2464,'Field Check'!$C$6,"headers=y","startcol=1","endcol=7","dir=h")</f>
        <v/>
      </c>
      <c r="E2471" s="83" t="n"/>
      <c r="F2471" s="83" t="n"/>
      <c r="G2471" s="83" t="n"/>
      <c r="H2471" s="83" t="n"/>
      <c r="I2471" s="83" t="n"/>
      <c r="J2471" s="83" t="n"/>
      <c r="K2471" s="83" t="n"/>
      <c r="L2471" s="83" t="n"/>
      <c r="M2471" s="83" t="n"/>
      <c r="N2471" s="83" t="n"/>
      <c r="O2471" s="83" t="n"/>
      <c r="P2471" s="83" t="n"/>
      <c r="Q2471" s="83" t="n"/>
      <c r="R2471" s="83" t="n"/>
      <c r="S2471" s="83" t="n"/>
      <c r="T2471" s="83" t="n"/>
      <c r="U2471" s="83" t="n"/>
      <c r="V2471" s="83" t="n"/>
      <c r="W2471" s="83" t="n"/>
      <c r="X2471" s="83" t="n"/>
      <c r="Y2471" s="83" t="n"/>
      <c r="Z2471" s="83" t="n"/>
      <c r="AA2471" s="83" t="n"/>
      <c r="AB2471" s="83" t="n"/>
      <c r="AC2471" s="83" t="n"/>
      <c r="AD2471" s="83" t="n"/>
      <c r="AE2471" s="83" t="n"/>
      <c r="AF2471" s="83" t="n"/>
      <c r="AG2471" s="83" t="n"/>
      <c r="AH2471" s="83" t="n"/>
      <c r="AI2471" s="83" t="n"/>
      <c r="AJ2471" s="83" t="n"/>
      <c r="AK2471" s="83" t="n"/>
      <c r="AL2471" s="83" t="n"/>
      <c r="AM2471" s="83" t="n"/>
      <c r="AN2471" s="83" t="n"/>
      <c r="AO2471" s="83" t="n"/>
      <c r="AP2471" s="83" t="n"/>
      <c r="AQ2471" s="83" t="n"/>
      <c r="AR2471" s="83" t="n"/>
    </row>
    <row r="2472">
      <c r="D2472" s="83" t="n"/>
      <c r="E2472" s="83" t="n"/>
      <c r="F2472" s="83" t="n"/>
      <c r="G2472" s="83" t="n"/>
      <c r="H2472" s="83" t="n"/>
      <c r="I2472" s="83" t="n"/>
      <c r="J2472" s="83" t="n"/>
      <c r="K2472" s="83" t="n"/>
      <c r="L2472" s="83" t="n"/>
      <c r="M2472" s="83" t="n"/>
      <c r="N2472" s="83" t="n"/>
      <c r="O2472" s="83" t="n"/>
      <c r="P2472" s="83" t="n"/>
      <c r="Q2472" s="83" t="n"/>
      <c r="R2472" s="83" t="n"/>
      <c r="S2472" s="83" t="n"/>
      <c r="T2472" s="83" t="n"/>
      <c r="U2472" s="83" t="n"/>
      <c r="V2472" s="83" t="n"/>
      <c r="W2472" s="83" t="n"/>
      <c r="X2472" s="83" t="n"/>
      <c r="Y2472" s="83" t="n"/>
      <c r="Z2472" s="83" t="n"/>
      <c r="AA2472" s="83" t="n"/>
      <c r="AB2472" s="83" t="n"/>
      <c r="AC2472" s="83" t="n"/>
      <c r="AD2472" s="83" t="n"/>
      <c r="AE2472" s="83" t="n"/>
      <c r="AF2472" s="83" t="n"/>
      <c r="AG2472" s="83" t="n"/>
      <c r="AH2472" s="83" t="n"/>
      <c r="AI2472" s="83" t="n"/>
      <c r="AJ2472" s="83" t="n"/>
      <c r="AK2472" s="83" t="n"/>
      <c r="AL2472" s="83" t="n"/>
      <c r="AM2472" s="83" t="n"/>
      <c r="AN2472" s="83" t="n"/>
      <c r="AO2472" s="83" t="n"/>
      <c r="AP2472" s="83" t="n"/>
      <c r="AQ2472" s="83" t="n"/>
      <c r="AR2472" s="83" t="n"/>
    </row>
    <row r="2473">
      <c r="D2473" s="84" t="n"/>
      <c r="E2473" s="84" t="n"/>
      <c r="F2473" s="84" t="n"/>
      <c r="G2473" s="84" t="n"/>
      <c r="H2473" s="84" t="n"/>
      <c r="I2473" s="84" t="n"/>
      <c r="J2473" s="84" t="n"/>
      <c r="K2473" s="84" t="n"/>
      <c r="L2473" s="84" t="n"/>
      <c r="M2473" s="84" t="n"/>
      <c r="N2473" s="84" t="n"/>
      <c r="O2473" s="84" t="n"/>
      <c r="P2473" s="84" t="n"/>
      <c r="Q2473" s="84" t="n"/>
      <c r="R2473" s="84" t="n"/>
      <c r="S2473" s="84" t="n"/>
      <c r="T2473" s="84" t="n"/>
      <c r="U2473" s="84" t="n"/>
      <c r="V2473" s="84" t="n"/>
      <c r="W2473" s="84" t="n"/>
      <c r="X2473" s="84" t="n"/>
      <c r="Y2473" s="84" t="n"/>
      <c r="Z2473" s="84" t="n"/>
      <c r="AA2473" s="84" t="n"/>
      <c r="AB2473" s="84" t="n"/>
      <c r="AC2473" s="84" t="n"/>
      <c r="AD2473" s="84" t="n"/>
      <c r="AE2473" s="84" t="n"/>
      <c r="AF2473" s="84" t="n"/>
      <c r="AG2473" s="84" t="n"/>
      <c r="AH2473" s="84" t="n"/>
      <c r="AI2473" s="84" t="n"/>
      <c r="AJ2473" s="84" t="n"/>
      <c r="AK2473" s="84" t="n"/>
      <c r="AL2473" s="84" t="n"/>
      <c r="AM2473" s="84" t="n"/>
      <c r="AN2473" s="84" t="n"/>
      <c r="AO2473" s="84" t="n"/>
      <c r="AP2473" s="84" t="n"/>
      <c r="AQ2473" s="84" t="n"/>
      <c r="AR2473" s="84" t="n"/>
    </row>
    <row r="2474">
      <c r="D2474" s="80" t="n"/>
      <c r="E2474" s="80" t="n"/>
      <c r="F2474" s="80" t="n"/>
      <c r="G2474" s="80" t="n"/>
      <c r="H2474" s="80" t="n"/>
      <c r="I2474" s="80" t="n"/>
      <c r="J2474" s="80" t="n"/>
      <c r="K2474" s="80" t="n"/>
      <c r="L2474" s="80" t="n"/>
      <c r="M2474" s="80" t="n"/>
      <c r="N2474" s="80" t="n"/>
      <c r="O2474" s="80" t="n"/>
      <c r="P2474" s="80" t="n"/>
      <c r="Q2474" s="80" t="n"/>
      <c r="R2474" s="80" t="n"/>
      <c r="S2474" s="80" t="n"/>
      <c r="T2474" s="80" t="n"/>
      <c r="U2474" s="80" t="n"/>
      <c r="V2474" s="80" t="n"/>
      <c r="W2474" s="80" t="n"/>
      <c r="X2474" s="80" t="n"/>
      <c r="Y2474" s="80" t="n"/>
      <c r="Z2474" s="80" t="n"/>
      <c r="AA2474" s="80" t="n"/>
      <c r="AB2474" s="80" t="n"/>
      <c r="AC2474" s="80" t="n"/>
      <c r="AD2474" s="80" t="n"/>
      <c r="AE2474" s="80" t="n"/>
      <c r="AF2474" s="80" t="n"/>
      <c r="AG2474" s="80" t="n"/>
      <c r="AH2474" s="80" t="n"/>
      <c r="AI2474" s="80" t="n"/>
      <c r="AJ2474" s="80" t="n"/>
      <c r="AK2474" s="80" t="n"/>
      <c r="AL2474" s="80" t="n"/>
      <c r="AM2474" s="80" t="n"/>
      <c r="AN2474" s="80" t="n"/>
      <c r="AO2474" s="80" t="n"/>
      <c r="AP2474" s="80" t="n"/>
      <c r="AQ2474" s="80" t="n"/>
      <c r="AR2474" s="80" t="n"/>
    </row>
    <row r="2475">
      <c r="D2475" s="80" t="n"/>
      <c r="E2475" s="80" t="n"/>
      <c r="F2475" s="80" t="n"/>
      <c r="G2475" s="80" t="n"/>
      <c r="H2475" s="80" t="n"/>
      <c r="I2475" s="80" t="n"/>
      <c r="J2475" s="80" t="n"/>
      <c r="K2475" s="80" t="n"/>
      <c r="L2475" s="80" t="n"/>
      <c r="M2475" s="80" t="n"/>
      <c r="N2475" s="80" t="n"/>
      <c r="O2475" s="80" t="n"/>
      <c r="P2475" s="80" t="n"/>
      <c r="Q2475" s="80" t="n"/>
      <c r="R2475" s="80" t="n"/>
      <c r="S2475" s="80" t="n"/>
      <c r="T2475" s="80" t="n"/>
      <c r="U2475" s="80" t="n"/>
      <c r="V2475" s="80" t="n"/>
      <c r="W2475" s="80" t="n"/>
      <c r="X2475" s="80" t="n"/>
      <c r="Y2475" s="80" t="n"/>
      <c r="Z2475" s="80" t="n"/>
      <c r="AA2475" s="80" t="n"/>
      <c r="AB2475" s="80" t="n"/>
      <c r="AC2475" s="80" t="n"/>
      <c r="AD2475" s="80" t="n"/>
      <c r="AE2475" s="80" t="n"/>
      <c r="AF2475" s="80" t="n"/>
      <c r="AG2475" s="80" t="n"/>
      <c r="AH2475" s="80" t="n"/>
      <c r="AI2475" s="80" t="n"/>
      <c r="AJ2475" s="80" t="n"/>
      <c r="AK2475" s="80" t="n"/>
      <c r="AL2475" s="80" t="n"/>
      <c r="AM2475" s="80" t="n"/>
      <c r="AN2475" s="80" t="n"/>
      <c r="AO2475" s="80" t="n"/>
      <c r="AP2475" s="80" t="n"/>
      <c r="AQ2475" s="80" t="n"/>
      <c r="AR2475" s="80" t="n"/>
    </row>
    <row r="2476">
      <c r="D2476" s="80" t="n"/>
      <c r="E2476" s="80" t="n"/>
      <c r="F2476" s="80" t="n"/>
      <c r="G2476" s="80" t="n"/>
      <c r="H2476" s="80" t="n"/>
      <c r="I2476" s="80" t="n"/>
      <c r="J2476" s="80" t="n"/>
      <c r="K2476" s="80" t="n"/>
      <c r="L2476" s="80" t="n"/>
      <c r="M2476" s="80" t="n"/>
      <c r="N2476" s="80" t="n"/>
      <c r="O2476" s="80" t="n"/>
      <c r="P2476" s="80" t="n"/>
      <c r="Q2476" s="80" t="n"/>
      <c r="R2476" s="80" t="n"/>
      <c r="S2476" s="80" t="n"/>
      <c r="T2476" s="80" t="n"/>
      <c r="U2476" s="80" t="n"/>
      <c r="V2476" s="80" t="n"/>
      <c r="W2476" s="80" t="n"/>
      <c r="X2476" s="80" t="n"/>
      <c r="Y2476" s="80" t="n"/>
      <c r="Z2476" s="80" t="n"/>
      <c r="AA2476" s="80" t="n"/>
      <c r="AB2476" s="80" t="n"/>
      <c r="AC2476" s="80" t="n"/>
      <c r="AD2476" s="80" t="n"/>
      <c r="AE2476" s="80" t="n"/>
      <c r="AF2476" s="80" t="n"/>
      <c r="AG2476" s="80" t="n"/>
      <c r="AH2476" s="80" t="n"/>
      <c r="AI2476" s="80" t="n"/>
      <c r="AJ2476" s="80" t="n"/>
      <c r="AK2476" s="80" t="n"/>
      <c r="AL2476" s="80" t="n"/>
      <c r="AM2476" s="80" t="n"/>
      <c r="AN2476" s="80" t="n"/>
      <c r="AO2476" s="80" t="n"/>
      <c r="AP2476" s="80" t="n"/>
      <c r="AQ2476" s="80" t="n"/>
      <c r="AR2476" s="80" t="n"/>
    </row>
    <row r="2477">
      <c r="D2477" s="80" t="n"/>
      <c r="E2477" s="80" t="n"/>
      <c r="F2477" s="80" t="n"/>
      <c r="G2477" s="80" t="n"/>
      <c r="H2477" s="80" t="n"/>
      <c r="I2477" s="80" t="n"/>
      <c r="J2477" s="80" t="n"/>
      <c r="K2477" s="80" t="n"/>
      <c r="L2477" s="80" t="n"/>
      <c r="M2477" s="80" t="n"/>
      <c r="N2477" s="80" t="n"/>
      <c r="O2477" s="80" t="n"/>
      <c r="P2477" s="80" t="n"/>
      <c r="Q2477" s="80" t="n"/>
      <c r="R2477" s="80" t="n"/>
      <c r="S2477" s="80" t="n"/>
      <c r="T2477" s="80" t="n"/>
      <c r="U2477" s="80" t="n"/>
      <c r="V2477" s="80" t="n"/>
      <c r="W2477" s="80" t="n"/>
      <c r="X2477" s="80" t="n"/>
      <c r="Y2477" s="80" t="n"/>
      <c r="Z2477" s="80" t="n"/>
      <c r="AA2477" s="80" t="n"/>
      <c r="AB2477" s="80" t="n"/>
      <c r="AC2477" s="80" t="n"/>
      <c r="AD2477" s="80" t="n"/>
      <c r="AE2477" s="80" t="n"/>
      <c r="AF2477" s="80" t="n"/>
      <c r="AG2477" s="80" t="n"/>
      <c r="AH2477" s="80" t="n"/>
      <c r="AI2477" s="80" t="n"/>
      <c r="AJ2477" s="80" t="n"/>
      <c r="AK2477" s="80" t="n"/>
      <c r="AL2477" s="80" t="n"/>
      <c r="AM2477" s="80" t="n"/>
      <c r="AN2477" s="80" t="n"/>
      <c r="AO2477" s="80" t="n"/>
      <c r="AP2477" s="80" t="n"/>
      <c r="AQ2477" s="80" t="n"/>
      <c r="AR2477" s="80" t="n"/>
    </row>
    <row r="2479">
      <c r="A2479" s="6">
        <f>IF(HSCEI!$C$31="","",HSCEI!$C$31)</f>
        <v/>
      </c>
      <c r="B2479" s="41">
        <f>IF($A2479="",0,COUNT($E2480:$AR2480))</f>
        <v/>
      </c>
      <c r="C2479" s="81">
        <f>IF($B2479=0,0,MAX($E2480:$AR2480))</f>
        <v/>
      </c>
      <c r="D2479" s="82">
        <f>BDS($A2479,'Field Check'!$C$7,"headers=y","startcol=1","endcol=7","dir=h","DVD_START_DT",Summary!$C$18,"DVD_END_DT",Summary!$D$18)</f>
        <v/>
      </c>
      <c r="E2479" s="83" t="n"/>
      <c r="F2479" s="83" t="n"/>
      <c r="G2479" s="83" t="n"/>
      <c r="H2479" s="83" t="n"/>
      <c r="I2479" s="83" t="n"/>
      <c r="J2479" s="83" t="n"/>
      <c r="K2479" s="83" t="n"/>
      <c r="L2479" s="83" t="n"/>
      <c r="M2479" s="83" t="n"/>
      <c r="N2479" s="83" t="n"/>
      <c r="O2479" s="83" t="n"/>
      <c r="P2479" s="83" t="n"/>
      <c r="Q2479" s="83" t="n"/>
      <c r="R2479" s="83" t="n"/>
      <c r="S2479" s="83" t="n"/>
      <c r="T2479" s="83" t="n"/>
      <c r="U2479" s="83" t="n"/>
      <c r="V2479" s="83" t="n"/>
      <c r="W2479" s="83" t="n"/>
      <c r="X2479" s="83" t="n"/>
      <c r="Y2479" s="83" t="n"/>
      <c r="Z2479" s="83" t="n"/>
      <c r="AA2479" s="83" t="n"/>
      <c r="AB2479" s="83" t="n"/>
      <c r="AC2479" s="83" t="n"/>
      <c r="AD2479" s="83" t="n"/>
      <c r="AE2479" s="83" t="n"/>
      <c r="AF2479" s="83" t="n"/>
      <c r="AG2479" s="83" t="n"/>
      <c r="AH2479" s="83" t="n"/>
      <c r="AI2479" s="83" t="n"/>
      <c r="AJ2479" s="83" t="n"/>
      <c r="AK2479" s="83" t="n"/>
      <c r="AL2479" s="83" t="n"/>
      <c r="AM2479" s="83" t="n"/>
      <c r="AN2479" s="83" t="n"/>
      <c r="AO2479" s="83" t="n"/>
      <c r="AP2479" s="83" t="n"/>
      <c r="AQ2479" s="83" t="n"/>
      <c r="AR2479" s="83" t="n"/>
    </row>
    <row r="2480">
      <c r="D2480" s="83" t="n"/>
      <c r="E2480" s="83" t="n"/>
      <c r="F2480" s="83" t="n"/>
      <c r="G2480" s="83" t="n"/>
      <c r="H2480" s="83" t="n"/>
      <c r="I2480" s="83" t="n"/>
      <c r="J2480" s="83" t="n"/>
      <c r="K2480" s="83" t="n"/>
      <c r="L2480" s="83" t="n"/>
      <c r="M2480" s="83" t="n"/>
      <c r="N2480" s="83" t="n"/>
      <c r="O2480" s="83" t="n"/>
      <c r="P2480" s="83" t="n"/>
      <c r="Q2480" s="83" t="n"/>
      <c r="R2480" s="83" t="n"/>
      <c r="S2480" s="83" t="n"/>
      <c r="T2480" s="83" t="n"/>
      <c r="U2480" s="83" t="n"/>
      <c r="V2480" s="83" t="n"/>
      <c r="W2480" s="83" t="n"/>
      <c r="X2480" s="83" t="n"/>
      <c r="Y2480" s="83" t="n"/>
      <c r="Z2480" s="83" t="n"/>
      <c r="AA2480" s="83" t="n"/>
      <c r="AB2480" s="83" t="n"/>
      <c r="AC2480" s="83" t="n"/>
      <c r="AD2480" s="83" t="n"/>
      <c r="AE2480" s="83" t="n"/>
      <c r="AF2480" s="83" t="n"/>
      <c r="AG2480" s="83" t="n"/>
      <c r="AH2480" s="83" t="n"/>
      <c r="AI2480" s="83" t="n"/>
      <c r="AJ2480" s="83" t="n"/>
      <c r="AK2480" s="83" t="n"/>
      <c r="AL2480" s="83" t="n"/>
      <c r="AM2480" s="83" t="n"/>
      <c r="AN2480" s="83" t="n"/>
      <c r="AO2480" s="83" t="n"/>
      <c r="AP2480" s="83" t="n"/>
      <c r="AQ2480" s="83" t="n"/>
      <c r="AR2480" s="83" t="n"/>
    </row>
    <row r="2481">
      <c r="D2481" s="84" t="n"/>
      <c r="E2481" s="84" t="n"/>
      <c r="F2481" s="84" t="n"/>
      <c r="G2481" s="84" t="n"/>
      <c r="H2481" s="84" t="n"/>
      <c r="I2481" s="84" t="n"/>
      <c r="J2481" s="84" t="n"/>
      <c r="K2481" s="84" t="n"/>
      <c r="L2481" s="84" t="n"/>
      <c r="M2481" s="84" t="n"/>
      <c r="N2481" s="84" t="n"/>
      <c r="O2481" s="84" t="n"/>
      <c r="P2481" s="84" t="n"/>
      <c r="Q2481" s="84" t="n"/>
      <c r="R2481" s="84" t="n"/>
      <c r="S2481" s="84" t="n"/>
      <c r="T2481" s="84" t="n"/>
      <c r="U2481" s="84" t="n"/>
      <c r="V2481" s="84" t="n"/>
      <c r="W2481" s="84" t="n"/>
      <c r="X2481" s="84" t="n"/>
      <c r="Y2481" s="84" t="n"/>
      <c r="Z2481" s="84" t="n"/>
      <c r="AA2481" s="84" t="n"/>
      <c r="AB2481" s="84" t="n"/>
      <c r="AC2481" s="84" t="n"/>
      <c r="AD2481" s="84" t="n"/>
      <c r="AE2481" s="84" t="n"/>
      <c r="AF2481" s="84" t="n"/>
      <c r="AG2481" s="84" t="n"/>
      <c r="AH2481" s="84" t="n"/>
      <c r="AI2481" s="84" t="n"/>
      <c r="AJ2481" s="84" t="n"/>
      <c r="AK2481" s="84" t="n"/>
      <c r="AL2481" s="84" t="n"/>
      <c r="AM2481" s="84" t="n"/>
      <c r="AN2481" s="84" t="n"/>
      <c r="AO2481" s="84" t="n"/>
      <c r="AP2481" s="84" t="n"/>
      <c r="AQ2481" s="84" t="n"/>
      <c r="AR2481" s="84" t="n"/>
    </row>
    <row r="2482">
      <c r="D2482" s="80" t="n"/>
      <c r="E2482" s="80" t="n"/>
      <c r="F2482" s="80" t="n"/>
      <c r="G2482" s="80" t="n"/>
      <c r="H2482" s="80" t="n"/>
      <c r="I2482" s="80" t="n"/>
      <c r="J2482" s="80" t="n"/>
      <c r="K2482" s="80" t="n"/>
      <c r="L2482" s="80" t="n"/>
      <c r="M2482" s="80" t="n"/>
      <c r="N2482" s="80" t="n"/>
      <c r="O2482" s="80" t="n"/>
      <c r="P2482" s="80" t="n"/>
      <c r="Q2482" s="80" t="n"/>
      <c r="R2482" s="80" t="n"/>
      <c r="S2482" s="80" t="n"/>
      <c r="T2482" s="80" t="n"/>
      <c r="U2482" s="80" t="n"/>
      <c r="V2482" s="80" t="n"/>
      <c r="W2482" s="80" t="n"/>
      <c r="X2482" s="80" t="n"/>
      <c r="Y2482" s="80" t="n"/>
      <c r="Z2482" s="80" t="n"/>
      <c r="AA2482" s="80" t="n"/>
      <c r="AB2482" s="80" t="n"/>
      <c r="AC2482" s="80" t="n"/>
      <c r="AD2482" s="80" t="n"/>
      <c r="AE2482" s="80" t="n"/>
      <c r="AF2482" s="80" t="n"/>
      <c r="AG2482" s="80" t="n"/>
      <c r="AH2482" s="80" t="n"/>
      <c r="AI2482" s="80" t="n"/>
      <c r="AJ2482" s="80" t="n"/>
      <c r="AK2482" s="80" t="n"/>
      <c r="AL2482" s="80" t="n"/>
      <c r="AM2482" s="80" t="n"/>
      <c r="AN2482" s="80" t="n"/>
      <c r="AO2482" s="80" t="n"/>
      <c r="AP2482" s="80" t="n"/>
      <c r="AQ2482" s="80" t="n"/>
      <c r="AR2482" s="80" t="n"/>
    </row>
    <row r="2483">
      <c r="D2483" s="80" t="n"/>
      <c r="E2483" s="80" t="n"/>
      <c r="F2483" s="80" t="n"/>
      <c r="G2483" s="80" t="n"/>
      <c r="H2483" s="80" t="n"/>
      <c r="I2483" s="80" t="n"/>
      <c r="J2483" s="80" t="n"/>
      <c r="K2483" s="80" t="n"/>
      <c r="L2483" s="80" t="n"/>
      <c r="M2483" s="80" t="n"/>
      <c r="N2483" s="80" t="n"/>
      <c r="O2483" s="80" t="n"/>
      <c r="P2483" s="80" t="n"/>
      <c r="Q2483" s="80" t="n"/>
      <c r="R2483" s="80" t="n"/>
      <c r="S2483" s="80" t="n"/>
      <c r="T2483" s="80" t="n"/>
      <c r="U2483" s="80" t="n"/>
      <c r="V2483" s="80" t="n"/>
      <c r="W2483" s="80" t="n"/>
      <c r="X2483" s="80" t="n"/>
      <c r="Y2483" s="80" t="n"/>
      <c r="Z2483" s="80" t="n"/>
      <c r="AA2483" s="80" t="n"/>
      <c r="AB2483" s="80" t="n"/>
      <c r="AC2483" s="80" t="n"/>
      <c r="AD2483" s="80" t="n"/>
      <c r="AE2483" s="80" t="n"/>
      <c r="AF2483" s="80" t="n"/>
      <c r="AG2483" s="80" t="n"/>
      <c r="AH2483" s="80" t="n"/>
      <c r="AI2483" s="80" t="n"/>
      <c r="AJ2483" s="80" t="n"/>
      <c r="AK2483" s="80" t="n"/>
      <c r="AL2483" s="80" t="n"/>
      <c r="AM2483" s="80" t="n"/>
      <c r="AN2483" s="80" t="n"/>
      <c r="AO2483" s="80" t="n"/>
      <c r="AP2483" s="80" t="n"/>
      <c r="AQ2483" s="80" t="n"/>
      <c r="AR2483" s="80" t="n"/>
    </row>
    <row r="2484">
      <c r="D2484" s="80" t="n"/>
      <c r="E2484" s="80" t="n"/>
      <c r="F2484" s="80" t="n"/>
      <c r="G2484" s="80" t="n"/>
      <c r="H2484" s="80" t="n"/>
      <c r="I2484" s="80" t="n"/>
      <c r="J2484" s="80" t="n"/>
      <c r="K2484" s="80" t="n"/>
      <c r="L2484" s="80" t="n"/>
      <c r="M2484" s="80" t="n"/>
      <c r="N2484" s="80" t="n"/>
      <c r="O2484" s="80" t="n"/>
      <c r="P2484" s="80" t="n"/>
      <c r="Q2484" s="80" t="n"/>
      <c r="R2484" s="80" t="n"/>
      <c r="S2484" s="80" t="n"/>
      <c r="T2484" s="80" t="n"/>
      <c r="U2484" s="80" t="n"/>
      <c r="V2484" s="80" t="n"/>
      <c r="W2484" s="80" t="n"/>
      <c r="X2484" s="80" t="n"/>
      <c r="Y2484" s="80" t="n"/>
      <c r="Z2484" s="80" t="n"/>
      <c r="AA2484" s="80" t="n"/>
      <c r="AB2484" s="80" t="n"/>
      <c r="AC2484" s="80" t="n"/>
      <c r="AD2484" s="80" t="n"/>
      <c r="AE2484" s="80" t="n"/>
      <c r="AF2484" s="80" t="n"/>
      <c r="AG2484" s="80" t="n"/>
      <c r="AH2484" s="80" t="n"/>
      <c r="AI2484" s="80" t="n"/>
      <c r="AJ2484" s="80" t="n"/>
      <c r="AK2484" s="80" t="n"/>
      <c r="AL2484" s="80" t="n"/>
      <c r="AM2484" s="80" t="n"/>
      <c r="AN2484" s="80" t="n"/>
      <c r="AO2484" s="80" t="n"/>
      <c r="AP2484" s="80" t="n"/>
      <c r="AQ2484" s="80" t="n"/>
      <c r="AR2484" s="80" t="n"/>
    </row>
    <row r="2485">
      <c r="D2485" s="80" t="n"/>
      <c r="E2485" s="80" t="n"/>
      <c r="F2485" s="80" t="n"/>
      <c r="G2485" s="80" t="n"/>
      <c r="H2485" s="80" t="n"/>
      <c r="I2485" s="80" t="n"/>
      <c r="J2485" s="80" t="n"/>
      <c r="K2485" s="80" t="n"/>
      <c r="L2485" s="80" t="n"/>
      <c r="M2485" s="80" t="n"/>
      <c r="N2485" s="80" t="n"/>
      <c r="O2485" s="80" t="n"/>
      <c r="P2485" s="80" t="n"/>
      <c r="Q2485" s="80" t="n"/>
      <c r="R2485" s="80" t="n"/>
      <c r="S2485" s="80" t="n"/>
      <c r="T2485" s="80" t="n"/>
      <c r="U2485" s="80" t="n"/>
      <c r="V2485" s="80" t="n"/>
      <c r="W2485" s="80" t="n"/>
      <c r="X2485" s="80" t="n"/>
      <c r="Y2485" s="80" t="n"/>
      <c r="Z2485" s="80" t="n"/>
      <c r="AA2485" s="80" t="n"/>
      <c r="AB2485" s="80" t="n"/>
      <c r="AC2485" s="80" t="n"/>
      <c r="AD2485" s="80" t="n"/>
      <c r="AE2485" s="80" t="n"/>
      <c r="AF2485" s="80" t="n"/>
      <c r="AG2485" s="80" t="n"/>
      <c r="AH2485" s="80" t="n"/>
      <c r="AI2485" s="80" t="n"/>
      <c r="AJ2485" s="80" t="n"/>
      <c r="AK2485" s="80" t="n"/>
      <c r="AL2485" s="80" t="n"/>
      <c r="AM2485" s="80" t="n"/>
      <c r="AN2485" s="80" t="n"/>
      <c r="AO2485" s="80" t="n"/>
      <c r="AP2485" s="80" t="n"/>
      <c r="AQ2485" s="80" t="n"/>
      <c r="AR2485" s="80" t="n"/>
    </row>
    <row r="2486">
      <c r="A2486" s="2">
        <f>IF($A2479="","","   projections")</f>
        <v/>
      </c>
      <c r="B2486" s="41">
        <f>IF($A2479="",0,COUNT($E2487:$AR2487))</f>
        <v/>
      </c>
      <c r="C2486" s="81">
        <f>IF($B2486=0,0,MAX($E2487:$AR2487))</f>
        <v/>
      </c>
      <c r="D2486" s="82">
        <f>BDS($A2479,'Field Check'!$C$6,"headers=y","startcol=1","endcol=7","dir=h")</f>
        <v/>
      </c>
      <c r="E2486" s="83" t="n"/>
      <c r="F2486" s="83" t="n"/>
      <c r="G2486" s="83" t="n"/>
      <c r="H2486" s="83" t="n"/>
      <c r="I2486" s="83" t="n"/>
      <c r="J2486" s="83" t="n"/>
      <c r="K2486" s="83" t="n"/>
      <c r="L2486" s="83" t="n"/>
      <c r="M2486" s="83" t="n"/>
      <c r="N2486" s="83" t="n"/>
      <c r="O2486" s="83" t="n"/>
      <c r="P2486" s="83" t="n"/>
      <c r="Q2486" s="83" t="n"/>
      <c r="R2486" s="83" t="n"/>
      <c r="S2486" s="83" t="n"/>
      <c r="T2486" s="83" t="n"/>
      <c r="U2486" s="83" t="n"/>
      <c r="V2486" s="83" t="n"/>
      <c r="W2486" s="83" t="n"/>
      <c r="X2486" s="83" t="n"/>
      <c r="Y2486" s="83" t="n"/>
      <c r="Z2486" s="83" t="n"/>
      <c r="AA2486" s="83" t="n"/>
      <c r="AB2486" s="83" t="n"/>
      <c r="AC2486" s="83" t="n"/>
      <c r="AD2486" s="83" t="n"/>
      <c r="AE2486" s="83" t="n"/>
      <c r="AF2486" s="83" t="n"/>
      <c r="AG2486" s="83" t="n"/>
      <c r="AH2486" s="83" t="n"/>
      <c r="AI2486" s="83" t="n"/>
      <c r="AJ2486" s="83" t="n"/>
      <c r="AK2486" s="83" t="n"/>
      <c r="AL2486" s="83" t="n"/>
      <c r="AM2486" s="83" t="n"/>
      <c r="AN2486" s="83" t="n"/>
      <c r="AO2486" s="83" t="n"/>
      <c r="AP2486" s="83" t="n"/>
      <c r="AQ2486" s="83" t="n"/>
      <c r="AR2486" s="83" t="n"/>
    </row>
    <row r="2487">
      <c r="D2487" s="83" t="n"/>
      <c r="E2487" s="83" t="n"/>
      <c r="F2487" s="83" t="n"/>
      <c r="G2487" s="83" t="n"/>
      <c r="H2487" s="83" t="n"/>
      <c r="I2487" s="83" t="n"/>
      <c r="J2487" s="83" t="n"/>
      <c r="K2487" s="83" t="n"/>
      <c r="L2487" s="83" t="n"/>
      <c r="M2487" s="83" t="n"/>
      <c r="N2487" s="83" t="n"/>
      <c r="O2487" s="83" t="n"/>
      <c r="P2487" s="83" t="n"/>
      <c r="Q2487" s="83" t="n"/>
      <c r="R2487" s="83" t="n"/>
      <c r="S2487" s="83" t="n"/>
      <c r="T2487" s="83" t="n"/>
      <c r="U2487" s="83" t="n"/>
      <c r="V2487" s="83" t="n"/>
      <c r="W2487" s="83" t="n"/>
      <c r="X2487" s="83" t="n"/>
      <c r="Y2487" s="83" t="n"/>
      <c r="Z2487" s="83" t="n"/>
      <c r="AA2487" s="83" t="n"/>
      <c r="AB2487" s="83" t="n"/>
      <c r="AC2487" s="83" t="n"/>
      <c r="AD2487" s="83" t="n"/>
      <c r="AE2487" s="83" t="n"/>
      <c r="AF2487" s="83" t="n"/>
      <c r="AG2487" s="83" t="n"/>
      <c r="AH2487" s="83" t="n"/>
      <c r="AI2487" s="83" t="n"/>
      <c r="AJ2487" s="83" t="n"/>
      <c r="AK2487" s="83" t="n"/>
      <c r="AL2487" s="83" t="n"/>
      <c r="AM2487" s="83" t="n"/>
      <c r="AN2487" s="83" t="n"/>
      <c r="AO2487" s="83" t="n"/>
      <c r="AP2487" s="83" t="n"/>
      <c r="AQ2487" s="83" t="n"/>
      <c r="AR2487" s="83" t="n"/>
    </row>
    <row r="2488">
      <c r="D2488" s="84" t="n"/>
      <c r="E2488" s="84" t="n"/>
      <c r="F2488" s="84" t="n"/>
      <c r="G2488" s="84" t="n"/>
      <c r="H2488" s="84" t="n"/>
      <c r="I2488" s="84" t="n"/>
      <c r="J2488" s="84" t="n"/>
      <c r="K2488" s="84" t="n"/>
      <c r="L2488" s="84" t="n"/>
      <c r="M2488" s="84" t="n"/>
      <c r="N2488" s="84" t="n"/>
      <c r="O2488" s="84" t="n"/>
      <c r="P2488" s="84" t="n"/>
      <c r="Q2488" s="84" t="n"/>
      <c r="R2488" s="84" t="n"/>
      <c r="S2488" s="84" t="n"/>
      <c r="T2488" s="84" t="n"/>
      <c r="U2488" s="84" t="n"/>
      <c r="V2488" s="84" t="n"/>
      <c r="W2488" s="84" t="n"/>
      <c r="X2488" s="84" t="n"/>
      <c r="Y2488" s="84" t="n"/>
      <c r="Z2488" s="84" t="n"/>
      <c r="AA2488" s="84" t="n"/>
      <c r="AB2488" s="84" t="n"/>
      <c r="AC2488" s="84" t="n"/>
      <c r="AD2488" s="84" t="n"/>
      <c r="AE2488" s="84" t="n"/>
      <c r="AF2488" s="84" t="n"/>
      <c r="AG2488" s="84" t="n"/>
      <c r="AH2488" s="84" t="n"/>
      <c r="AI2488" s="84" t="n"/>
      <c r="AJ2488" s="84" t="n"/>
      <c r="AK2488" s="84" t="n"/>
      <c r="AL2488" s="84" t="n"/>
      <c r="AM2488" s="84" t="n"/>
      <c r="AN2488" s="84" t="n"/>
      <c r="AO2488" s="84" t="n"/>
      <c r="AP2488" s="84" t="n"/>
      <c r="AQ2488" s="84" t="n"/>
      <c r="AR2488" s="84" t="n"/>
    </row>
    <row r="2489">
      <c r="D2489" s="80" t="n"/>
      <c r="E2489" s="80" t="n"/>
      <c r="F2489" s="80" t="n"/>
      <c r="G2489" s="80" t="n"/>
      <c r="H2489" s="80" t="n"/>
      <c r="I2489" s="80" t="n"/>
      <c r="J2489" s="80" t="n"/>
      <c r="K2489" s="80" t="n"/>
      <c r="L2489" s="80" t="n"/>
      <c r="M2489" s="80" t="n"/>
      <c r="N2489" s="80" t="n"/>
      <c r="O2489" s="80" t="n"/>
      <c r="P2489" s="80" t="n"/>
      <c r="Q2489" s="80" t="n"/>
      <c r="R2489" s="80" t="n"/>
      <c r="S2489" s="80" t="n"/>
      <c r="T2489" s="80" t="n"/>
      <c r="U2489" s="80" t="n"/>
      <c r="V2489" s="80" t="n"/>
      <c r="W2489" s="80" t="n"/>
      <c r="X2489" s="80" t="n"/>
      <c r="Y2489" s="80" t="n"/>
      <c r="Z2489" s="80" t="n"/>
      <c r="AA2489" s="80" t="n"/>
      <c r="AB2489" s="80" t="n"/>
      <c r="AC2489" s="80" t="n"/>
      <c r="AD2489" s="80" t="n"/>
      <c r="AE2489" s="80" t="n"/>
      <c r="AF2489" s="80" t="n"/>
      <c r="AG2489" s="80" t="n"/>
      <c r="AH2489" s="80" t="n"/>
      <c r="AI2489" s="80" t="n"/>
      <c r="AJ2489" s="80" t="n"/>
      <c r="AK2489" s="80" t="n"/>
      <c r="AL2489" s="80" t="n"/>
      <c r="AM2489" s="80" t="n"/>
      <c r="AN2489" s="80" t="n"/>
      <c r="AO2489" s="80" t="n"/>
      <c r="AP2489" s="80" t="n"/>
      <c r="AQ2489" s="80" t="n"/>
      <c r="AR2489" s="80" t="n"/>
    </row>
    <row r="2490">
      <c r="D2490" s="80" t="n"/>
      <c r="E2490" s="80" t="n"/>
      <c r="F2490" s="80" t="n"/>
      <c r="G2490" s="80" t="n"/>
      <c r="H2490" s="80" t="n"/>
      <c r="I2490" s="80" t="n"/>
      <c r="J2490" s="80" t="n"/>
      <c r="K2490" s="80" t="n"/>
      <c r="L2490" s="80" t="n"/>
      <c r="M2490" s="80" t="n"/>
      <c r="N2490" s="80" t="n"/>
      <c r="O2490" s="80" t="n"/>
      <c r="P2490" s="80" t="n"/>
      <c r="Q2490" s="80" t="n"/>
      <c r="R2490" s="80" t="n"/>
      <c r="S2490" s="80" t="n"/>
      <c r="T2490" s="80" t="n"/>
      <c r="U2490" s="80" t="n"/>
      <c r="V2490" s="80" t="n"/>
      <c r="W2490" s="80" t="n"/>
      <c r="X2490" s="80" t="n"/>
      <c r="Y2490" s="80" t="n"/>
      <c r="Z2490" s="80" t="n"/>
      <c r="AA2490" s="80" t="n"/>
      <c r="AB2490" s="80" t="n"/>
      <c r="AC2490" s="80" t="n"/>
      <c r="AD2490" s="80" t="n"/>
      <c r="AE2490" s="80" t="n"/>
      <c r="AF2490" s="80" t="n"/>
      <c r="AG2490" s="80" t="n"/>
      <c r="AH2490" s="80" t="n"/>
      <c r="AI2490" s="80" t="n"/>
      <c r="AJ2490" s="80" t="n"/>
      <c r="AK2490" s="80" t="n"/>
      <c r="AL2490" s="80" t="n"/>
      <c r="AM2490" s="80" t="n"/>
      <c r="AN2490" s="80" t="n"/>
      <c r="AO2490" s="80" t="n"/>
      <c r="AP2490" s="80" t="n"/>
      <c r="AQ2490" s="80" t="n"/>
      <c r="AR2490" s="80" t="n"/>
    </row>
    <row r="2491">
      <c r="D2491" s="80" t="n"/>
      <c r="E2491" s="80" t="n"/>
      <c r="F2491" s="80" t="n"/>
      <c r="G2491" s="80" t="n"/>
      <c r="H2491" s="80" t="n"/>
      <c r="I2491" s="80" t="n"/>
      <c r="J2491" s="80" t="n"/>
      <c r="K2491" s="80" t="n"/>
      <c r="L2491" s="80" t="n"/>
      <c r="M2491" s="80" t="n"/>
      <c r="N2491" s="80" t="n"/>
      <c r="O2491" s="80" t="n"/>
      <c r="P2491" s="80" t="n"/>
      <c r="Q2491" s="80" t="n"/>
      <c r="R2491" s="80" t="n"/>
      <c r="S2491" s="80" t="n"/>
      <c r="T2491" s="80" t="n"/>
      <c r="U2491" s="80" t="n"/>
      <c r="V2491" s="80" t="n"/>
      <c r="W2491" s="80" t="n"/>
      <c r="X2491" s="80" t="n"/>
      <c r="Y2491" s="80" t="n"/>
      <c r="Z2491" s="80" t="n"/>
      <c r="AA2491" s="80" t="n"/>
      <c r="AB2491" s="80" t="n"/>
      <c r="AC2491" s="80" t="n"/>
      <c r="AD2491" s="80" t="n"/>
      <c r="AE2491" s="80" t="n"/>
      <c r="AF2491" s="80" t="n"/>
      <c r="AG2491" s="80" t="n"/>
      <c r="AH2491" s="80" t="n"/>
      <c r="AI2491" s="80" t="n"/>
      <c r="AJ2491" s="80" t="n"/>
      <c r="AK2491" s="80" t="n"/>
      <c r="AL2491" s="80" t="n"/>
      <c r="AM2491" s="80" t="n"/>
      <c r="AN2491" s="80" t="n"/>
      <c r="AO2491" s="80" t="n"/>
      <c r="AP2491" s="80" t="n"/>
      <c r="AQ2491" s="80" t="n"/>
      <c r="AR2491" s="80" t="n"/>
    </row>
    <row r="2492">
      <c r="D2492" s="80" t="n"/>
      <c r="E2492" s="80" t="n"/>
      <c r="F2492" s="80" t="n"/>
      <c r="G2492" s="80" t="n"/>
      <c r="H2492" s="80" t="n"/>
      <c r="I2492" s="80" t="n"/>
      <c r="J2492" s="80" t="n"/>
      <c r="K2492" s="80" t="n"/>
      <c r="L2492" s="80" t="n"/>
      <c r="M2492" s="80" t="n"/>
      <c r="N2492" s="80" t="n"/>
      <c r="O2492" s="80" t="n"/>
      <c r="P2492" s="80" t="n"/>
      <c r="Q2492" s="80" t="n"/>
      <c r="R2492" s="80" t="n"/>
      <c r="S2492" s="80" t="n"/>
      <c r="T2492" s="80" t="n"/>
      <c r="U2492" s="80" t="n"/>
      <c r="V2492" s="80" t="n"/>
      <c r="W2492" s="80" t="n"/>
      <c r="X2492" s="80" t="n"/>
      <c r="Y2492" s="80" t="n"/>
      <c r="Z2492" s="80" t="n"/>
      <c r="AA2492" s="80" t="n"/>
      <c r="AB2492" s="80" t="n"/>
      <c r="AC2492" s="80" t="n"/>
      <c r="AD2492" s="80" t="n"/>
      <c r="AE2492" s="80" t="n"/>
      <c r="AF2492" s="80" t="n"/>
      <c r="AG2492" s="80" t="n"/>
      <c r="AH2492" s="80" t="n"/>
      <c r="AI2492" s="80" t="n"/>
      <c r="AJ2492" s="80" t="n"/>
      <c r="AK2492" s="80" t="n"/>
      <c r="AL2492" s="80" t="n"/>
      <c r="AM2492" s="80" t="n"/>
      <c r="AN2492" s="80" t="n"/>
      <c r="AO2492" s="80" t="n"/>
      <c r="AP2492" s="80" t="n"/>
      <c r="AQ2492" s="80" t="n"/>
      <c r="AR2492" s="80" t="n"/>
    </row>
    <row r="2494">
      <c r="A2494" s="6">
        <f>IF(HSCEI!$C$32="","",HSCEI!$C$32)</f>
        <v/>
      </c>
      <c r="B2494" s="41">
        <f>IF($A2494="",0,COUNT($E2495:$AR2495))</f>
        <v/>
      </c>
      <c r="C2494" s="81">
        <f>IF($B2494=0,0,MAX($E2495:$AR2495))</f>
        <v/>
      </c>
      <c r="D2494" s="82">
        <f>BDS($A2494,'Field Check'!$C$7,"headers=y","startcol=1","endcol=7","dir=h","DVD_START_DT",Summary!$C$18,"DVD_END_DT",Summary!$D$18)</f>
        <v/>
      </c>
      <c r="E2494" s="83" t="n"/>
      <c r="F2494" s="83" t="n"/>
      <c r="G2494" s="83" t="n"/>
      <c r="H2494" s="83" t="n"/>
      <c r="I2494" s="83" t="n"/>
      <c r="J2494" s="83" t="n"/>
      <c r="K2494" s="83" t="n"/>
      <c r="L2494" s="83" t="n"/>
      <c r="M2494" s="83" t="n"/>
      <c r="N2494" s="83" t="n"/>
      <c r="O2494" s="83" t="n"/>
      <c r="P2494" s="83" t="n"/>
      <c r="Q2494" s="83" t="n"/>
      <c r="R2494" s="83" t="n"/>
      <c r="S2494" s="83" t="n"/>
      <c r="T2494" s="83" t="n"/>
      <c r="U2494" s="83" t="n"/>
      <c r="V2494" s="83" t="n"/>
      <c r="W2494" s="83" t="n"/>
      <c r="X2494" s="83" t="n"/>
      <c r="Y2494" s="83" t="n"/>
      <c r="Z2494" s="83" t="n"/>
      <c r="AA2494" s="83" t="n"/>
      <c r="AB2494" s="83" t="n"/>
      <c r="AC2494" s="83" t="n"/>
      <c r="AD2494" s="83" t="n"/>
      <c r="AE2494" s="83" t="n"/>
      <c r="AF2494" s="83" t="n"/>
      <c r="AG2494" s="83" t="n"/>
      <c r="AH2494" s="83" t="n"/>
      <c r="AI2494" s="83" t="n"/>
      <c r="AJ2494" s="83" t="n"/>
      <c r="AK2494" s="83" t="n"/>
      <c r="AL2494" s="83" t="n"/>
      <c r="AM2494" s="83" t="n"/>
      <c r="AN2494" s="83" t="n"/>
      <c r="AO2494" s="83" t="n"/>
      <c r="AP2494" s="83" t="n"/>
      <c r="AQ2494" s="83" t="n"/>
      <c r="AR2494" s="83" t="n"/>
    </row>
    <row r="2495">
      <c r="D2495" s="83" t="n"/>
      <c r="E2495" s="83" t="n"/>
      <c r="F2495" s="83" t="n"/>
      <c r="G2495" s="83" t="n"/>
      <c r="H2495" s="83" t="n"/>
      <c r="I2495" s="83" t="n"/>
      <c r="J2495" s="83" t="n"/>
      <c r="K2495" s="83" t="n"/>
      <c r="L2495" s="83" t="n"/>
      <c r="M2495" s="83" t="n"/>
      <c r="N2495" s="83" t="n"/>
      <c r="O2495" s="83" t="n"/>
      <c r="P2495" s="83" t="n"/>
      <c r="Q2495" s="83" t="n"/>
      <c r="R2495" s="83" t="n"/>
      <c r="S2495" s="83" t="n"/>
      <c r="T2495" s="83" t="n"/>
      <c r="U2495" s="83" t="n"/>
      <c r="V2495" s="83" t="n"/>
      <c r="W2495" s="83" t="n"/>
      <c r="X2495" s="83" t="n"/>
      <c r="Y2495" s="83" t="n"/>
      <c r="Z2495" s="83" t="n"/>
      <c r="AA2495" s="83" t="n"/>
      <c r="AB2495" s="83" t="n"/>
      <c r="AC2495" s="83" t="n"/>
      <c r="AD2495" s="83" t="n"/>
      <c r="AE2495" s="83" t="n"/>
      <c r="AF2495" s="83" t="n"/>
      <c r="AG2495" s="83" t="n"/>
      <c r="AH2495" s="83" t="n"/>
      <c r="AI2495" s="83" t="n"/>
      <c r="AJ2495" s="83" t="n"/>
      <c r="AK2495" s="83" t="n"/>
      <c r="AL2495" s="83" t="n"/>
      <c r="AM2495" s="83" t="n"/>
      <c r="AN2495" s="83" t="n"/>
      <c r="AO2495" s="83" t="n"/>
      <c r="AP2495" s="83" t="n"/>
      <c r="AQ2495" s="83" t="n"/>
      <c r="AR2495" s="83" t="n"/>
    </row>
    <row r="2496">
      <c r="D2496" s="84" t="n"/>
      <c r="E2496" s="84" t="n"/>
      <c r="F2496" s="84" t="n"/>
      <c r="G2496" s="84" t="n"/>
      <c r="H2496" s="84" t="n"/>
      <c r="I2496" s="84" t="n"/>
      <c r="J2496" s="84" t="n"/>
      <c r="K2496" s="84" t="n"/>
      <c r="L2496" s="84" t="n"/>
      <c r="M2496" s="84" t="n"/>
      <c r="N2496" s="84" t="n"/>
      <c r="O2496" s="84" t="n"/>
      <c r="P2496" s="84" t="n"/>
      <c r="Q2496" s="84" t="n"/>
      <c r="R2496" s="84" t="n"/>
      <c r="S2496" s="84" t="n"/>
      <c r="T2496" s="84" t="n"/>
      <c r="U2496" s="84" t="n"/>
      <c r="V2496" s="84" t="n"/>
      <c r="W2496" s="84" t="n"/>
      <c r="X2496" s="84" t="n"/>
      <c r="Y2496" s="84" t="n"/>
      <c r="Z2496" s="84" t="n"/>
      <c r="AA2496" s="84" t="n"/>
      <c r="AB2496" s="84" t="n"/>
      <c r="AC2496" s="84" t="n"/>
      <c r="AD2496" s="84" t="n"/>
      <c r="AE2496" s="84" t="n"/>
      <c r="AF2496" s="84" t="n"/>
      <c r="AG2496" s="84" t="n"/>
      <c r="AH2496" s="84" t="n"/>
      <c r="AI2496" s="84" t="n"/>
      <c r="AJ2496" s="84" t="n"/>
      <c r="AK2496" s="84" t="n"/>
      <c r="AL2496" s="84" t="n"/>
      <c r="AM2496" s="84" t="n"/>
      <c r="AN2496" s="84" t="n"/>
      <c r="AO2496" s="84" t="n"/>
      <c r="AP2496" s="84" t="n"/>
      <c r="AQ2496" s="84" t="n"/>
      <c r="AR2496" s="84" t="n"/>
    </row>
    <row r="2497">
      <c r="D2497" s="80" t="n"/>
      <c r="E2497" s="80" t="n"/>
      <c r="F2497" s="80" t="n"/>
      <c r="G2497" s="80" t="n"/>
      <c r="H2497" s="80" t="n"/>
      <c r="I2497" s="80" t="n"/>
      <c r="J2497" s="80" t="n"/>
      <c r="K2497" s="80" t="n"/>
      <c r="L2497" s="80" t="n"/>
      <c r="M2497" s="80" t="n"/>
      <c r="N2497" s="80" t="n"/>
      <c r="O2497" s="80" t="n"/>
      <c r="P2497" s="80" t="n"/>
      <c r="Q2497" s="80" t="n"/>
      <c r="R2497" s="80" t="n"/>
      <c r="S2497" s="80" t="n"/>
      <c r="T2497" s="80" t="n"/>
      <c r="U2497" s="80" t="n"/>
      <c r="V2497" s="80" t="n"/>
      <c r="W2497" s="80" t="n"/>
      <c r="X2497" s="80" t="n"/>
      <c r="Y2497" s="80" t="n"/>
      <c r="Z2497" s="80" t="n"/>
      <c r="AA2497" s="80" t="n"/>
      <c r="AB2497" s="80" t="n"/>
      <c r="AC2497" s="80" t="n"/>
      <c r="AD2497" s="80" t="n"/>
      <c r="AE2497" s="80" t="n"/>
      <c r="AF2497" s="80" t="n"/>
      <c r="AG2497" s="80" t="n"/>
      <c r="AH2497" s="80" t="n"/>
      <c r="AI2497" s="80" t="n"/>
      <c r="AJ2497" s="80" t="n"/>
      <c r="AK2497" s="80" t="n"/>
      <c r="AL2497" s="80" t="n"/>
      <c r="AM2497" s="80" t="n"/>
      <c r="AN2497" s="80" t="n"/>
      <c r="AO2497" s="80" t="n"/>
      <c r="AP2497" s="80" t="n"/>
      <c r="AQ2497" s="80" t="n"/>
      <c r="AR2497" s="80" t="n"/>
    </row>
    <row r="2498">
      <c r="D2498" s="80" t="n"/>
      <c r="E2498" s="80" t="n"/>
      <c r="F2498" s="80" t="n"/>
      <c r="G2498" s="80" t="n"/>
      <c r="H2498" s="80" t="n"/>
      <c r="I2498" s="80" t="n"/>
      <c r="J2498" s="80" t="n"/>
      <c r="K2498" s="80" t="n"/>
      <c r="L2498" s="80" t="n"/>
      <c r="M2498" s="80" t="n"/>
      <c r="N2498" s="80" t="n"/>
      <c r="O2498" s="80" t="n"/>
      <c r="P2498" s="80" t="n"/>
      <c r="Q2498" s="80" t="n"/>
      <c r="R2498" s="80" t="n"/>
      <c r="S2498" s="80" t="n"/>
      <c r="T2498" s="80" t="n"/>
      <c r="U2498" s="80" t="n"/>
      <c r="V2498" s="80" t="n"/>
      <c r="W2498" s="80" t="n"/>
      <c r="X2498" s="80" t="n"/>
      <c r="Y2498" s="80" t="n"/>
      <c r="Z2498" s="80" t="n"/>
      <c r="AA2498" s="80" t="n"/>
      <c r="AB2498" s="80" t="n"/>
      <c r="AC2498" s="80" t="n"/>
      <c r="AD2498" s="80" t="n"/>
      <c r="AE2498" s="80" t="n"/>
      <c r="AF2498" s="80" t="n"/>
      <c r="AG2498" s="80" t="n"/>
      <c r="AH2498" s="80" t="n"/>
      <c r="AI2498" s="80" t="n"/>
      <c r="AJ2498" s="80" t="n"/>
      <c r="AK2498" s="80" t="n"/>
      <c r="AL2498" s="80" t="n"/>
      <c r="AM2498" s="80" t="n"/>
      <c r="AN2498" s="80" t="n"/>
      <c r="AO2498" s="80" t="n"/>
      <c r="AP2498" s="80" t="n"/>
      <c r="AQ2498" s="80" t="n"/>
      <c r="AR2498" s="80" t="n"/>
    </row>
    <row r="2499">
      <c r="D2499" s="80" t="n"/>
      <c r="E2499" s="80" t="n"/>
      <c r="F2499" s="80" t="n"/>
      <c r="G2499" s="80" t="n"/>
      <c r="H2499" s="80" t="n"/>
      <c r="I2499" s="80" t="n"/>
      <c r="J2499" s="80" t="n"/>
      <c r="K2499" s="80" t="n"/>
      <c r="L2499" s="80" t="n"/>
      <c r="M2499" s="80" t="n"/>
      <c r="N2499" s="80" t="n"/>
      <c r="O2499" s="80" t="n"/>
      <c r="P2499" s="80" t="n"/>
      <c r="Q2499" s="80" t="n"/>
      <c r="R2499" s="80" t="n"/>
      <c r="S2499" s="80" t="n"/>
      <c r="T2499" s="80" t="n"/>
      <c r="U2499" s="80" t="n"/>
      <c r="V2499" s="80" t="n"/>
      <c r="W2499" s="80" t="n"/>
      <c r="X2499" s="80" t="n"/>
      <c r="Y2499" s="80" t="n"/>
      <c r="Z2499" s="80" t="n"/>
      <c r="AA2499" s="80" t="n"/>
      <c r="AB2499" s="80" t="n"/>
      <c r="AC2499" s="80" t="n"/>
      <c r="AD2499" s="80" t="n"/>
      <c r="AE2499" s="80" t="n"/>
      <c r="AF2499" s="80" t="n"/>
      <c r="AG2499" s="80" t="n"/>
      <c r="AH2499" s="80" t="n"/>
      <c r="AI2499" s="80" t="n"/>
      <c r="AJ2499" s="80" t="n"/>
      <c r="AK2499" s="80" t="n"/>
      <c r="AL2499" s="80" t="n"/>
      <c r="AM2499" s="80" t="n"/>
      <c r="AN2499" s="80" t="n"/>
      <c r="AO2499" s="80" t="n"/>
      <c r="AP2499" s="80" t="n"/>
      <c r="AQ2499" s="80" t="n"/>
      <c r="AR2499" s="80" t="n"/>
    </row>
    <row r="2500">
      <c r="D2500" s="80" t="n"/>
      <c r="E2500" s="80" t="n"/>
      <c r="F2500" s="80" t="n"/>
      <c r="G2500" s="80" t="n"/>
      <c r="H2500" s="80" t="n"/>
      <c r="I2500" s="80" t="n"/>
      <c r="J2500" s="80" t="n"/>
      <c r="K2500" s="80" t="n"/>
      <c r="L2500" s="80" t="n"/>
      <c r="M2500" s="80" t="n"/>
      <c r="N2500" s="80" t="n"/>
      <c r="O2500" s="80" t="n"/>
      <c r="P2500" s="80" t="n"/>
      <c r="Q2500" s="80" t="n"/>
      <c r="R2500" s="80" t="n"/>
      <c r="S2500" s="80" t="n"/>
      <c r="T2500" s="80" t="n"/>
      <c r="U2500" s="80" t="n"/>
      <c r="V2500" s="80" t="n"/>
      <c r="W2500" s="80" t="n"/>
      <c r="X2500" s="80" t="n"/>
      <c r="Y2500" s="80" t="n"/>
      <c r="Z2500" s="80" t="n"/>
      <c r="AA2500" s="80" t="n"/>
      <c r="AB2500" s="80" t="n"/>
      <c r="AC2500" s="80" t="n"/>
      <c r="AD2500" s="80" t="n"/>
      <c r="AE2500" s="80" t="n"/>
      <c r="AF2500" s="80" t="n"/>
      <c r="AG2500" s="80" t="n"/>
      <c r="AH2500" s="80" t="n"/>
      <c r="AI2500" s="80" t="n"/>
      <c r="AJ2500" s="80" t="n"/>
      <c r="AK2500" s="80" t="n"/>
      <c r="AL2500" s="80" t="n"/>
      <c r="AM2500" s="80" t="n"/>
      <c r="AN2500" s="80" t="n"/>
      <c r="AO2500" s="80" t="n"/>
      <c r="AP2500" s="80" t="n"/>
      <c r="AQ2500" s="80" t="n"/>
      <c r="AR2500" s="80" t="n"/>
    </row>
    <row r="2501">
      <c r="A2501" s="2">
        <f>IF($A2494="","","   projections")</f>
        <v/>
      </c>
      <c r="B2501" s="41">
        <f>IF($A2494="",0,COUNT($E2502:$AR2502))</f>
        <v/>
      </c>
      <c r="C2501" s="81">
        <f>IF($B2501=0,0,MAX($E2502:$AR2502))</f>
        <v/>
      </c>
      <c r="D2501" s="82">
        <f>BDS($A2494,'Field Check'!$C$6,"headers=y","startcol=1","endcol=7","dir=h")</f>
        <v/>
      </c>
      <c r="E2501" s="83" t="n"/>
      <c r="F2501" s="83" t="n"/>
      <c r="G2501" s="83" t="n"/>
      <c r="H2501" s="83" t="n"/>
      <c r="I2501" s="83" t="n"/>
      <c r="J2501" s="83" t="n"/>
      <c r="K2501" s="83" t="n"/>
      <c r="L2501" s="83" t="n"/>
      <c r="M2501" s="83" t="n"/>
      <c r="N2501" s="83" t="n"/>
      <c r="O2501" s="83" t="n"/>
      <c r="P2501" s="83" t="n"/>
      <c r="Q2501" s="83" t="n"/>
      <c r="R2501" s="83" t="n"/>
      <c r="S2501" s="83" t="n"/>
      <c r="T2501" s="83" t="n"/>
      <c r="U2501" s="83" t="n"/>
      <c r="V2501" s="83" t="n"/>
      <c r="W2501" s="83" t="n"/>
      <c r="X2501" s="83" t="n"/>
      <c r="Y2501" s="83" t="n"/>
      <c r="Z2501" s="83" t="n"/>
      <c r="AA2501" s="83" t="n"/>
      <c r="AB2501" s="83" t="n"/>
      <c r="AC2501" s="83" t="n"/>
      <c r="AD2501" s="83" t="n"/>
      <c r="AE2501" s="83" t="n"/>
      <c r="AF2501" s="83" t="n"/>
      <c r="AG2501" s="83" t="n"/>
      <c r="AH2501" s="83" t="n"/>
      <c r="AI2501" s="83" t="n"/>
      <c r="AJ2501" s="83" t="n"/>
      <c r="AK2501" s="83" t="n"/>
      <c r="AL2501" s="83" t="n"/>
      <c r="AM2501" s="83" t="n"/>
      <c r="AN2501" s="83" t="n"/>
      <c r="AO2501" s="83" t="n"/>
      <c r="AP2501" s="83" t="n"/>
      <c r="AQ2501" s="83" t="n"/>
      <c r="AR2501" s="83" t="n"/>
    </row>
    <row r="2502">
      <c r="D2502" s="83" t="n"/>
      <c r="E2502" s="83" t="n"/>
      <c r="F2502" s="83" t="n"/>
      <c r="G2502" s="83" t="n"/>
      <c r="H2502" s="83" t="n"/>
      <c r="I2502" s="83" t="n"/>
      <c r="J2502" s="83" t="n"/>
      <c r="K2502" s="83" t="n"/>
      <c r="L2502" s="83" t="n"/>
      <c r="M2502" s="83" t="n"/>
      <c r="N2502" s="83" t="n"/>
      <c r="O2502" s="83" t="n"/>
      <c r="P2502" s="83" t="n"/>
      <c r="Q2502" s="83" t="n"/>
      <c r="R2502" s="83" t="n"/>
      <c r="S2502" s="83" t="n"/>
      <c r="T2502" s="83" t="n"/>
      <c r="U2502" s="83" t="n"/>
      <c r="V2502" s="83" t="n"/>
      <c r="W2502" s="83" t="n"/>
      <c r="X2502" s="83" t="n"/>
      <c r="Y2502" s="83" t="n"/>
      <c r="Z2502" s="83" t="n"/>
      <c r="AA2502" s="83" t="n"/>
      <c r="AB2502" s="83" t="n"/>
      <c r="AC2502" s="83" t="n"/>
      <c r="AD2502" s="83" t="n"/>
      <c r="AE2502" s="83" t="n"/>
      <c r="AF2502" s="83" t="n"/>
      <c r="AG2502" s="83" t="n"/>
      <c r="AH2502" s="83" t="n"/>
      <c r="AI2502" s="83" t="n"/>
      <c r="AJ2502" s="83" t="n"/>
      <c r="AK2502" s="83" t="n"/>
      <c r="AL2502" s="83" t="n"/>
      <c r="AM2502" s="83" t="n"/>
      <c r="AN2502" s="83" t="n"/>
      <c r="AO2502" s="83" t="n"/>
      <c r="AP2502" s="83" t="n"/>
      <c r="AQ2502" s="83" t="n"/>
      <c r="AR2502" s="83" t="n"/>
    </row>
    <row r="2503">
      <c r="D2503" s="84" t="n"/>
      <c r="E2503" s="84" t="n"/>
      <c r="F2503" s="84" t="n"/>
      <c r="G2503" s="84" t="n"/>
      <c r="H2503" s="84" t="n"/>
      <c r="I2503" s="84" t="n"/>
      <c r="J2503" s="84" t="n"/>
      <c r="K2503" s="84" t="n"/>
      <c r="L2503" s="84" t="n"/>
      <c r="M2503" s="84" t="n"/>
      <c r="N2503" s="84" t="n"/>
      <c r="O2503" s="84" t="n"/>
      <c r="P2503" s="84" t="n"/>
      <c r="Q2503" s="84" t="n"/>
      <c r="R2503" s="84" t="n"/>
      <c r="S2503" s="84" t="n"/>
      <c r="T2503" s="84" t="n"/>
      <c r="U2503" s="84" t="n"/>
      <c r="V2503" s="84" t="n"/>
      <c r="W2503" s="84" t="n"/>
      <c r="X2503" s="84" t="n"/>
      <c r="Y2503" s="84" t="n"/>
      <c r="Z2503" s="84" t="n"/>
      <c r="AA2503" s="84" t="n"/>
      <c r="AB2503" s="84" t="n"/>
      <c r="AC2503" s="84" t="n"/>
      <c r="AD2503" s="84" t="n"/>
      <c r="AE2503" s="84" t="n"/>
      <c r="AF2503" s="84" t="n"/>
      <c r="AG2503" s="84" t="n"/>
      <c r="AH2503" s="84" t="n"/>
      <c r="AI2503" s="84" t="n"/>
      <c r="AJ2503" s="84" t="n"/>
      <c r="AK2503" s="84" t="n"/>
      <c r="AL2503" s="84" t="n"/>
      <c r="AM2503" s="84" t="n"/>
      <c r="AN2503" s="84" t="n"/>
      <c r="AO2503" s="84" t="n"/>
      <c r="AP2503" s="84" t="n"/>
      <c r="AQ2503" s="84" t="n"/>
      <c r="AR2503" s="84" t="n"/>
    </row>
    <row r="2504">
      <c r="D2504" s="80" t="n"/>
      <c r="E2504" s="80" t="n"/>
      <c r="F2504" s="80" t="n"/>
      <c r="G2504" s="80" t="n"/>
      <c r="H2504" s="80" t="n"/>
      <c r="I2504" s="80" t="n"/>
      <c r="J2504" s="80" t="n"/>
      <c r="K2504" s="80" t="n"/>
      <c r="L2504" s="80" t="n"/>
      <c r="M2504" s="80" t="n"/>
      <c r="N2504" s="80" t="n"/>
      <c r="O2504" s="80" t="n"/>
      <c r="P2504" s="80" t="n"/>
      <c r="Q2504" s="80" t="n"/>
      <c r="R2504" s="80" t="n"/>
      <c r="S2504" s="80" t="n"/>
      <c r="T2504" s="80" t="n"/>
      <c r="U2504" s="80" t="n"/>
      <c r="V2504" s="80" t="n"/>
      <c r="W2504" s="80" t="n"/>
      <c r="X2504" s="80" t="n"/>
      <c r="Y2504" s="80" t="n"/>
      <c r="Z2504" s="80" t="n"/>
      <c r="AA2504" s="80" t="n"/>
      <c r="AB2504" s="80" t="n"/>
      <c r="AC2504" s="80" t="n"/>
      <c r="AD2504" s="80" t="n"/>
      <c r="AE2504" s="80" t="n"/>
      <c r="AF2504" s="80" t="n"/>
      <c r="AG2504" s="80" t="n"/>
      <c r="AH2504" s="80" t="n"/>
      <c r="AI2504" s="80" t="n"/>
      <c r="AJ2504" s="80" t="n"/>
      <c r="AK2504" s="80" t="n"/>
      <c r="AL2504" s="80" t="n"/>
      <c r="AM2504" s="80" t="n"/>
      <c r="AN2504" s="80" t="n"/>
      <c r="AO2504" s="80" t="n"/>
      <c r="AP2504" s="80" t="n"/>
      <c r="AQ2504" s="80" t="n"/>
      <c r="AR2504" s="80" t="n"/>
    </row>
    <row r="2505">
      <c r="D2505" s="80" t="n"/>
      <c r="E2505" s="80" t="n"/>
      <c r="F2505" s="80" t="n"/>
      <c r="G2505" s="80" t="n"/>
      <c r="H2505" s="80" t="n"/>
      <c r="I2505" s="80" t="n"/>
      <c r="J2505" s="80" t="n"/>
      <c r="K2505" s="80" t="n"/>
      <c r="L2505" s="80" t="n"/>
      <c r="M2505" s="80" t="n"/>
      <c r="N2505" s="80" t="n"/>
      <c r="O2505" s="80" t="n"/>
      <c r="P2505" s="80" t="n"/>
      <c r="Q2505" s="80" t="n"/>
      <c r="R2505" s="80" t="n"/>
      <c r="S2505" s="80" t="n"/>
      <c r="T2505" s="80" t="n"/>
      <c r="U2505" s="80" t="n"/>
      <c r="V2505" s="80" t="n"/>
      <c r="W2505" s="80" t="n"/>
      <c r="X2505" s="80" t="n"/>
      <c r="Y2505" s="80" t="n"/>
      <c r="Z2505" s="80" t="n"/>
      <c r="AA2505" s="80" t="n"/>
      <c r="AB2505" s="80" t="n"/>
      <c r="AC2505" s="80" t="n"/>
      <c r="AD2505" s="80" t="n"/>
      <c r="AE2505" s="80" t="n"/>
      <c r="AF2505" s="80" t="n"/>
      <c r="AG2505" s="80" t="n"/>
      <c r="AH2505" s="80" t="n"/>
      <c r="AI2505" s="80" t="n"/>
      <c r="AJ2505" s="80" t="n"/>
      <c r="AK2505" s="80" t="n"/>
      <c r="AL2505" s="80" t="n"/>
      <c r="AM2505" s="80" t="n"/>
      <c r="AN2505" s="80" t="n"/>
      <c r="AO2505" s="80" t="n"/>
      <c r="AP2505" s="80" t="n"/>
      <c r="AQ2505" s="80" t="n"/>
      <c r="AR2505" s="80" t="n"/>
    </row>
    <row r="2506">
      <c r="D2506" s="80" t="n"/>
      <c r="E2506" s="80" t="n"/>
      <c r="F2506" s="80" t="n"/>
      <c r="G2506" s="80" t="n"/>
      <c r="H2506" s="80" t="n"/>
      <c r="I2506" s="80" t="n"/>
      <c r="J2506" s="80" t="n"/>
      <c r="K2506" s="80" t="n"/>
      <c r="L2506" s="80" t="n"/>
      <c r="M2506" s="80" t="n"/>
      <c r="N2506" s="80" t="n"/>
      <c r="O2506" s="80" t="n"/>
      <c r="P2506" s="80" t="n"/>
      <c r="Q2506" s="80" t="n"/>
      <c r="R2506" s="80" t="n"/>
      <c r="S2506" s="80" t="n"/>
      <c r="T2506" s="80" t="n"/>
      <c r="U2506" s="80" t="n"/>
      <c r="V2506" s="80" t="n"/>
      <c r="W2506" s="80" t="n"/>
      <c r="X2506" s="80" t="n"/>
      <c r="Y2506" s="80" t="n"/>
      <c r="Z2506" s="80" t="n"/>
      <c r="AA2506" s="80" t="n"/>
      <c r="AB2506" s="80" t="n"/>
      <c r="AC2506" s="80" t="n"/>
      <c r="AD2506" s="80" t="n"/>
      <c r="AE2506" s="80" t="n"/>
      <c r="AF2506" s="80" t="n"/>
      <c r="AG2506" s="80" t="n"/>
      <c r="AH2506" s="80" t="n"/>
      <c r="AI2506" s="80" t="n"/>
      <c r="AJ2506" s="80" t="n"/>
      <c r="AK2506" s="80" t="n"/>
      <c r="AL2506" s="80" t="n"/>
      <c r="AM2506" s="80" t="n"/>
      <c r="AN2506" s="80" t="n"/>
      <c r="AO2506" s="80" t="n"/>
      <c r="AP2506" s="80" t="n"/>
      <c r="AQ2506" s="80" t="n"/>
      <c r="AR2506" s="80" t="n"/>
    </row>
    <row r="2507">
      <c r="D2507" s="80" t="n"/>
      <c r="E2507" s="80" t="n"/>
      <c r="F2507" s="80" t="n"/>
      <c r="G2507" s="80" t="n"/>
      <c r="H2507" s="80" t="n"/>
      <c r="I2507" s="80" t="n"/>
      <c r="J2507" s="80" t="n"/>
      <c r="K2507" s="80" t="n"/>
      <c r="L2507" s="80" t="n"/>
      <c r="M2507" s="80" t="n"/>
      <c r="N2507" s="80" t="n"/>
      <c r="O2507" s="80" t="n"/>
      <c r="P2507" s="80" t="n"/>
      <c r="Q2507" s="80" t="n"/>
      <c r="R2507" s="80" t="n"/>
      <c r="S2507" s="80" t="n"/>
      <c r="T2507" s="80" t="n"/>
      <c r="U2507" s="80" t="n"/>
      <c r="V2507" s="80" t="n"/>
      <c r="W2507" s="80" t="n"/>
      <c r="X2507" s="80" t="n"/>
      <c r="Y2507" s="80" t="n"/>
      <c r="Z2507" s="80" t="n"/>
      <c r="AA2507" s="80" t="n"/>
      <c r="AB2507" s="80" t="n"/>
      <c r="AC2507" s="80" t="n"/>
      <c r="AD2507" s="80" t="n"/>
      <c r="AE2507" s="80" t="n"/>
      <c r="AF2507" s="80" t="n"/>
      <c r="AG2507" s="80" t="n"/>
      <c r="AH2507" s="80" t="n"/>
      <c r="AI2507" s="80" t="n"/>
      <c r="AJ2507" s="80" t="n"/>
      <c r="AK2507" s="80" t="n"/>
      <c r="AL2507" s="80" t="n"/>
      <c r="AM2507" s="80" t="n"/>
      <c r="AN2507" s="80" t="n"/>
      <c r="AO2507" s="80" t="n"/>
      <c r="AP2507" s="80" t="n"/>
      <c r="AQ2507" s="80" t="n"/>
      <c r="AR2507" s="80" t="n"/>
    </row>
    <row r="2509">
      <c r="A2509" s="6">
        <f>IF(HSCEI!$C$33="","",HSCEI!$C$33)</f>
        <v/>
      </c>
      <c r="B2509" s="41">
        <f>IF($A2509="",0,COUNT($E2510:$AR2510))</f>
        <v/>
      </c>
      <c r="C2509" s="81">
        <f>IF($B2509=0,0,MAX($E2510:$AR2510))</f>
        <v/>
      </c>
      <c r="D2509" s="82">
        <f>BDS($A2509,'Field Check'!$C$7,"headers=y","startcol=1","endcol=7","dir=h","DVD_START_DT",Summary!$C$18,"DVD_END_DT",Summary!$D$18)</f>
        <v/>
      </c>
      <c r="E2509" s="83" t="n"/>
      <c r="F2509" s="83" t="n"/>
      <c r="G2509" s="83" t="n"/>
      <c r="H2509" s="83" t="n"/>
      <c r="I2509" s="83" t="n"/>
      <c r="J2509" s="83" t="n"/>
      <c r="K2509" s="83" t="n"/>
      <c r="L2509" s="83" t="n"/>
      <c r="M2509" s="83" t="n"/>
      <c r="N2509" s="83" t="n"/>
      <c r="O2509" s="83" t="n"/>
      <c r="P2509" s="83" t="n"/>
      <c r="Q2509" s="83" t="n"/>
      <c r="R2509" s="83" t="n"/>
      <c r="S2509" s="83" t="n"/>
      <c r="T2509" s="83" t="n"/>
      <c r="U2509" s="83" t="n"/>
      <c r="V2509" s="83" t="n"/>
      <c r="W2509" s="83" t="n"/>
      <c r="X2509" s="83" t="n"/>
      <c r="Y2509" s="83" t="n"/>
      <c r="Z2509" s="83" t="n"/>
      <c r="AA2509" s="83" t="n"/>
      <c r="AB2509" s="83" t="n"/>
      <c r="AC2509" s="83" t="n"/>
      <c r="AD2509" s="83" t="n"/>
      <c r="AE2509" s="83" t="n"/>
      <c r="AF2509" s="83" t="n"/>
      <c r="AG2509" s="83" t="n"/>
      <c r="AH2509" s="83" t="n"/>
      <c r="AI2509" s="83" t="n"/>
      <c r="AJ2509" s="83" t="n"/>
      <c r="AK2509" s="83" t="n"/>
      <c r="AL2509" s="83" t="n"/>
      <c r="AM2509" s="83" t="n"/>
      <c r="AN2509" s="83" t="n"/>
      <c r="AO2509" s="83" t="n"/>
      <c r="AP2509" s="83" t="n"/>
      <c r="AQ2509" s="83" t="n"/>
      <c r="AR2509" s="83" t="n"/>
    </row>
    <row r="2510">
      <c r="D2510" s="83" t="n"/>
      <c r="E2510" s="83" t="n"/>
      <c r="F2510" s="83" t="n"/>
      <c r="G2510" s="83" t="n"/>
      <c r="H2510" s="83" t="n"/>
      <c r="I2510" s="83" t="n"/>
      <c r="J2510" s="83" t="n"/>
      <c r="K2510" s="83" t="n"/>
      <c r="L2510" s="83" t="n"/>
      <c r="M2510" s="83" t="n"/>
      <c r="N2510" s="83" t="n"/>
      <c r="O2510" s="83" t="n"/>
      <c r="P2510" s="83" t="n"/>
      <c r="Q2510" s="83" t="n"/>
      <c r="R2510" s="83" t="n"/>
      <c r="S2510" s="83" t="n"/>
      <c r="T2510" s="83" t="n"/>
      <c r="U2510" s="83" t="n"/>
      <c r="V2510" s="83" t="n"/>
      <c r="W2510" s="83" t="n"/>
      <c r="X2510" s="83" t="n"/>
      <c r="Y2510" s="83" t="n"/>
      <c r="Z2510" s="83" t="n"/>
      <c r="AA2510" s="83" t="n"/>
      <c r="AB2510" s="83" t="n"/>
      <c r="AC2510" s="83" t="n"/>
      <c r="AD2510" s="83" t="n"/>
      <c r="AE2510" s="83" t="n"/>
      <c r="AF2510" s="83" t="n"/>
      <c r="AG2510" s="83" t="n"/>
      <c r="AH2510" s="83" t="n"/>
      <c r="AI2510" s="83" t="n"/>
      <c r="AJ2510" s="83" t="n"/>
      <c r="AK2510" s="83" t="n"/>
      <c r="AL2510" s="83" t="n"/>
      <c r="AM2510" s="83" t="n"/>
      <c r="AN2510" s="83" t="n"/>
      <c r="AO2510" s="83" t="n"/>
      <c r="AP2510" s="83" t="n"/>
      <c r="AQ2510" s="83" t="n"/>
      <c r="AR2510" s="83" t="n"/>
    </row>
    <row r="2511">
      <c r="D2511" s="84" t="n"/>
      <c r="E2511" s="84" t="n"/>
      <c r="F2511" s="84" t="n"/>
      <c r="G2511" s="84" t="n"/>
      <c r="H2511" s="84" t="n"/>
      <c r="I2511" s="84" t="n"/>
      <c r="J2511" s="84" t="n"/>
      <c r="K2511" s="84" t="n"/>
      <c r="L2511" s="84" t="n"/>
      <c r="M2511" s="84" t="n"/>
      <c r="N2511" s="84" t="n"/>
      <c r="O2511" s="84" t="n"/>
      <c r="P2511" s="84" t="n"/>
      <c r="Q2511" s="84" t="n"/>
      <c r="R2511" s="84" t="n"/>
      <c r="S2511" s="84" t="n"/>
      <c r="T2511" s="84" t="n"/>
      <c r="U2511" s="84" t="n"/>
      <c r="V2511" s="84" t="n"/>
      <c r="W2511" s="84" t="n"/>
      <c r="X2511" s="84" t="n"/>
      <c r="Y2511" s="84" t="n"/>
      <c r="Z2511" s="84" t="n"/>
      <c r="AA2511" s="84" t="n"/>
      <c r="AB2511" s="84" t="n"/>
      <c r="AC2511" s="84" t="n"/>
      <c r="AD2511" s="84" t="n"/>
      <c r="AE2511" s="84" t="n"/>
      <c r="AF2511" s="84" t="n"/>
      <c r="AG2511" s="84" t="n"/>
      <c r="AH2511" s="84" t="n"/>
      <c r="AI2511" s="84" t="n"/>
      <c r="AJ2511" s="84" t="n"/>
      <c r="AK2511" s="84" t="n"/>
      <c r="AL2511" s="84" t="n"/>
      <c r="AM2511" s="84" t="n"/>
      <c r="AN2511" s="84" t="n"/>
      <c r="AO2511" s="84" t="n"/>
      <c r="AP2511" s="84" t="n"/>
      <c r="AQ2511" s="84" t="n"/>
      <c r="AR2511" s="84" t="n"/>
    </row>
    <row r="2512">
      <c r="D2512" s="80" t="n"/>
      <c r="E2512" s="80" t="n"/>
      <c r="F2512" s="80" t="n"/>
      <c r="G2512" s="80" t="n"/>
      <c r="H2512" s="80" t="n"/>
      <c r="I2512" s="80" t="n"/>
      <c r="J2512" s="80" t="n"/>
      <c r="K2512" s="80" t="n"/>
      <c r="L2512" s="80" t="n"/>
      <c r="M2512" s="80" t="n"/>
      <c r="N2512" s="80" t="n"/>
      <c r="O2512" s="80" t="n"/>
      <c r="P2512" s="80" t="n"/>
      <c r="Q2512" s="80" t="n"/>
      <c r="R2512" s="80" t="n"/>
      <c r="S2512" s="80" t="n"/>
      <c r="T2512" s="80" t="n"/>
      <c r="U2512" s="80" t="n"/>
      <c r="V2512" s="80" t="n"/>
      <c r="W2512" s="80" t="n"/>
      <c r="X2512" s="80" t="n"/>
      <c r="Y2512" s="80" t="n"/>
      <c r="Z2512" s="80" t="n"/>
      <c r="AA2512" s="80" t="n"/>
      <c r="AB2512" s="80" t="n"/>
      <c r="AC2512" s="80" t="n"/>
      <c r="AD2512" s="80" t="n"/>
      <c r="AE2512" s="80" t="n"/>
      <c r="AF2512" s="80" t="n"/>
      <c r="AG2512" s="80" t="n"/>
      <c r="AH2512" s="80" t="n"/>
      <c r="AI2512" s="80" t="n"/>
      <c r="AJ2512" s="80" t="n"/>
      <c r="AK2512" s="80" t="n"/>
      <c r="AL2512" s="80" t="n"/>
      <c r="AM2512" s="80" t="n"/>
      <c r="AN2512" s="80" t="n"/>
      <c r="AO2512" s="80" t="n"/>
      <c r="AP2512" s="80" t="n"/>
      <c r="AQ2512" s="80" t="n"/>
      <c r="AR2512" s="80" t="n"/>
    </row>
    <row r="2513">
      <c r="D2513" s="80" t="n"/>
      <c r="E2513" s="80" t="n"/>
      <c r="F2513" s="80" t="n"/>
      <c r="G2513" s="80" t="n"/>
      <c r="H2513" s="80" t="n"/>
      <c r="I2513" s="80" t="n"/>
      <c r="J2513" s="80" t="n"/>
      <c r="K2513" s="80" t="n"/>
      <c r="L2513" s="80" t="n"/>
      <c r="M2513" s="80" t="n"/>
      <c r="N2513" s="80" t="n"/>
      <c r="O2513" s="80" t="n"/>
      <c r="P2513" s="80" t="n"/>
      <c r="Q2513" s="80" t="n"/>
      <c r="R2513" s="80" t="n"/>
      <c r="S2513" s="80" t="n"/>
      <c r="T2513" s="80" t="n"/>
      <c r="U2513" s="80" t="n"/>
      <c r="V2513" s="80" t="n"/>
      <c r="W2513" s="80" t="n"/>
      <c r="X2513" s="80" t="n"/>
      <c r="Y2513" s="80" t="n"/>
      <c r="Z2513" s="80" t="n"/>
      <c r="AA2513" s="80" t="n"/>
      <c r="AB2513" s="80" t="n"/>
      <c r="AC2513" s="80" t="n"/>
      <c r="AD2513" s="80" t="n"/>
      <c r="AE2513" s="80" t="n"/>
      <c r="AF2513" s="80" t="n"/>
      <c r="AG2513" s="80" t="n"/>
      <c r="AH2513" s="80" t="n"/>
      <c r="AI2513" s="80" t="n"/>
      <c r="AJ2513" s="80" t="n"/>
      <c r="AK2513" s="80" t="n"/>
      <c r="AL2513" s="80" t="n"/>
      <c r="AM2513" s="80" t="n"/>
      <c r="AN2513" s="80" t="n"/>
      <c r="AO2513" s="80" t="n"/>
      <c r="AP2513" s="80" t="n"/>
      <c r="AQ2513" s="80" t="n"/>
      <c r="AR2513" s="80" t="n"/>
    </row>
    <row r="2514">
      <c r="D2514" s="80" t="n"/>
      <c r="E2514" s="80" t="n"/>
      <c r="F2514" s="80" t="n"/>
      <c r="G2514" s="80" t="n"/>
      <c r="H2514" s="80" t="n"/>
      <c r="I2514" s="80" t="n"/>
      <c r="J2514" s="80" t="n"/>
      <c r="K2514" s="80" t="n"/>
      <c r="L2514" s="80" t="n"/>
      <c r="M2514" s="80" t="n"/>
      <c r="N2514" s="80" t="n"/>
      <c r="O2514" s="80" t="n"/>
      <c r="P2514" s="80" t="n"/>
      <c r="Q2514" s="80" t="n"/>
      <c r="R2514" s="80" t="n"/>
      <c r="S2514" s="80" t="n"/>
      <c r="T2514" s="80" t="n"/>
      <c r="U2514" s="80" t="n"/>
      <c r="V2514" s="80" t="n"/>
      <c r="W2514" s="80" t="n"/>
      <c r="X2514" s="80" t="n"/>
      <c r="Y2514" s="80" t="n"/>
      <c r="Z2514" s="80" t="n"/>
      <c r="AA2514" s="80" t="n"/>
      <c r="AB2514" s="80" t="n"/>
      <c r="AC2514" s="80" t="n"/>
      <c r="AD2514" s="80" t="n"/>
      <c r="AE2514" s="80" t="n"/>
      <c r="AF2514" s="80" t="n"/>
      <c r="AG2514" s="80" t="n"/>
      <c r="AH2514" s="80" t="n"/>
      <c r="AI2514" s="80" t="n"/>
      <c r="AJ2514" s="80" t="n"/>
      <c r="AK2514" s="80" t="n"/>
      <c r="AL2514" s="80" t="n"/>
      <c r="AM2514" s="80" t="n"/>
      <c r="AN2514" s="80" t="n"/>
      <c r="AO2514" s="80" t="n"/>
      <c r="AP2514" s="80" t="n"/>
      <c r="AQ2514" s="80" t="n"/>
      <c r="AR2514" s="80" t="n"/>
    </row>
    <row r="2515">
      <c r="D2515" s="80" t="n"/>
      <c r="E2515" s="80" t="n"/>
      <c r="F2515" s="80" t="n"/>
      <c r="G2515" s="80" t="n"/>
      <c r="H2515" s="80" t="n"/>
      <c r="I2515" s="80" t="n"/>
      <c r="J2515" s="80" t="n"/>
      <c r="K2515" s="80" t="n"/>
      <c r="L2515" s="80" t="n"/>
      <c r="M2515" s="80" t="n"/>
      <c r="N2515" s="80" t="n"/>
      <c r="O2515" s="80" t="n"/>
      <c r="P2515" s="80" t="n"/>
      <c r="Q2515" s="80" t="n"/>
      <c r="R2515" s="80" t="n"/>
      <c r="S2515" s="80" t="n"/>
      <c r="T2515" s="80" t="n"/>
      <c r="U2515" s="80" t="n"/>
      <c r="V2515" s="80" t="n"/>
      <c r="W2515" s="80" t="n"/>
      <c r="X2515" s="80" t="n"/>
      <c r="Y2515" s="80" t="n"/>
      <c r="Z2515" s="80" t="n"/>
      <c r="AA2515" s="80" t="n"/>
      <c r="AB2515" s="80" t="n"/>
      <c r="AC2515" s="80" t="n"/>
      <c r="AD2515" s="80" t="n"/>
      <c r="AE2515" s="80" t="n"/>
      <c r="AF2515" s="80" t="n"/>
      <c r="AG2515" s="80" t="n"/>
      <c r="AH2515" s="80" t="n"/>
      <c r="AI2515" s="80" t="n"/>
      <c r="AJ2515" s="80" t="n"/>
      <c r="AK2515" s="80" t="n"/>
      <c r="AL2515" s="80" t="n"/>
      <c r="AM2515" s="80" t="n"/>
      <c r="AN2515" s="80" t="n"/>
      <c r="AO2515" s="80" t="n"/>
      <c r="AP2515" s="80" t="n"/>
      <c r="AQ2515" s="80" t="n"/>
      <c r="AR2515" s="80" t="n"/>
    </row>
    <row r="2516">
      <c r="A2516" s="2">
        <f>IF($A2509="","","   projections")</f>
        <v/>
      </c>
      <c r="B2516" s="41">
        <f>IF($A2509="",0,COUNT($E2517:$AR2517))</f>
        <v/>
      </c>
      <c r="C2516" s="81">
        <f>IF($B2516=0,0,MAX($E2517:$AR2517))</f>
        <v/>
      </c>
      <c r="D2516" s="82">
        <f>BDS($A2509,'Field Check'!$C$6,"headers=y","startcol=1","endcol=7","dir=h")</f>
        <v/>
      </c>
      <c r="E2516" s="83" t="n"/>
      <c r="F2516" s="83" t="n"/>
      <c r="G2516" s="83" t="n"/>
      <c r="H2516" s="83" t="n"/>
      <c r="I2516" s="83" t="n"/>
      <c r="J2516" s="83" t="n"/>
      <c r="K2516" s="83" t="n"/>
      <c r="L2516" s="83" t="n"/>
      <c r="M2516" s="83" t="n"/>
      <c r="N2516" s="83" t="n"/>
      <c r="O2516" s="83" t="n"/>
      <c r="P2516" s="83" t="n"/>
      <c r="Q2516" s="83" t="n"/>
      <c r="R2516" s="83" t="n"/>
      <c r="S2516" s="83" t="n"/>
      <c r="T2516" s="83" t="n"/>
      <c r="U2516" s="83" t="n"/>
      <c r="V2516" s="83" t="n"/>
      <c r="W2516" s="83" t="n"/>
      <c r="X2516" s="83" t="n"/>
      <c r="Y2516" s="83" t="n"/>
      <c r="Z2516" s="83" t="n"/>
      <c r="AA2516" s="83" t="n"/>
      <c r="AB2516" s="83" t="n"/>
      <c r="AC2516" s="83" t="n"/>
      <c r="AD2516" s="83" t="n"/>
      <c r="AE2516" s="83" t="n"/>
      <c r="AF2516" s="83" t="n"/>
      <c r="AG2516" s="83" t="n"/>
      <c r="AH2516" s="83" t="n"/>
      <c r="AI2516" s="83" t="n"/>
      <c r="AJ2516" s="83" t="n"/>
      <c r="AK2516" s="83" t="n"/>
      <c r="AL2516" s="83" t="n"/>
      <c r="AM2516" s="83" t="n"/>
      <c r="AN2516" s="83" t="n"/>
      <c r="AO2516" s="83" t="n"/>
      <c r="AP2516" s="83" t="n"/>
      <c r="AQ2516" s="83" t="n"/>
      <c r="AR2516" s="83" t="n"/>
    </row>
    <row r="2517">
      <c r="D2517" s="83" t="n"/>
      <c r="E2517" s="83" t="n"/>
      <c r="F2517" s="83" t="n"/>
      <c r="G2517" s="83" t="n"/>
      <c r="H2517" s="83" t="n"/>
      <c r="I2517" s="83" t="n"/>
      <c r="J2517" s="83" t="n"/>
      <c r="K2517" s="83" t="n"/>
      <c r="L2517" s="83" t="n"/>
      <c r="M2517" s="83" t="n"/>
      <c r="N2517" s="83" t="n"/>
      <c r="O2517" s="83" t="n"/>
      <c r="P2517" s="83" t="n"/>
      <c r="Q2517" s="83" t="n"/>
      <c r="R2517" s="83" t="n"/>
      <c r="S2517" s="83" t="n"/>
      <c r="T2517" s="83" t="n"/>
      <c r="U2517" s="83" t="n"/>
      <c r="V2517" s="83" t="n"/>
      <c r="W2517" s="83" t="n"/>
      <c r="X2517" s="83" t="n"/>
      <c r="Y2517" s="83" t="n"/>
      <c r="Z2517" s="83" t="n"/>
      <c r="AA2517" s="83" t="n"/>
      <c r="AB2517" s="83" t="n"/>
      <c r="AC2517" s="83" t="n"/>
      <c r="AD2517" s="83" t="n"/>
      <c r="AE2517" s="83" t="n"/>
      <c r="AF2517" s="83" t="n"/>
      <c r="AG2517" s="83" t="n"/>
      <c r="AH2517" s="83" t="n"/>
      <c r="AI2517" s="83" t="n"/>
      <c r="AJ2517" s="83" t="n"/>
      <c r="AK2517" s="83" t="n"/>
      <c r="AL2517" s="83" t="n"/>
      <c r="AM2517" s="83" t="n"/>
      <c r="AN2517" s="83" t="n"/>
      <c r="AO2517" s="83" t="n"/>
      <c r="AP2517" s="83" t="n"/>
      <c r="AQ2517" s="83" t="n"/>
      <c r="AR2517" s="83" t="n"/>
    </row>
    <row r="2518">
      <c r="D2518" s="84" t="n"/>
      <c r="E2518" s="84" t="n"/>
      <c r="F2518" s="84" t="n"/>
      <c r="G2518" s="84" t="n"/>
      <c r="H2518" s="84" t="n"/>
      <c r="I2518" s="84" t="n"/>
      <c r="J2518" s="84" t="n"/>
      <c r="K2518" s="84" t="n"/>
      <c r="L2518" s="84" t="n"/>
      <c r="M2518" s="84" t="n"/>
      <c r="N2518" s="84" t="n"/>
      <c r="O2518" s="84" t="n"/>
      <c r="P2518" s="84" t="n"/>
      <c r="Q2518" s="84" t="n"/>
      <c r="R2518" s="84" t="n"/>
      <c r="S2518" s="84" t="n"/>
      <c r="T2518" s="84" t="n"/>
      <c r="U2518" s="84" t="n"/>
      <c r="V2518" s="84" t="n"/>
      <c r="W2518" s="84" t="n"/>
      <c r="X2518" s="84" t="n"/>
      <c r="Y2518" s="84" t="n"/>
      <c r="Z2518" s="84" t="n"/>
      <c r="AA2518" s="84" t="n"/>
      <c r="AB2518" s="84" t="n"/>
      <c r="AC2518" s="84" t="n"/>
      <c r="AD2518" s="84" t="n"/>
      <c r="AE2518" s="84" t="n"/>
      <c r="AF2518" s="84" t="n"/>
      <c r="AG2518" s="84" t="n"/>
      <c r="AH2518" s="84" t="n"/>
      <c r="AI2518" s="84" t="n"/>
      <c r="AJ2518" s="84" t="n"/>
      <c r="AK2518" s="84" t="n"/>
      <c r="AL2518" s="84" t="n"/>
      <c r="AM2518" s="84" t="n"/>
      <c r="AN2518" s="84" t="n"/>
      <c r="AO2518" s="84" t="n"/>
      <c r="AP2518" s="84" t="n"/>
      <c r="AQ2518" s="84" t="n"/>
      <c r="AR2518" s="84" t="n"/>
    </row>
    <row r="2519">
      <c r="D2519" s="80" t="n"/>
      <c r="E2519" s="80" t="n"/>
      <c r="F2519" s="80" t="n"/>
      <c r="G2519" s="80" t="n"/>
      <c r="H2519" s="80" t="n"/>
      <c r="I2519" s="80" t="n"/>
      <c r="J2519" s="80" t="n"/>
      <c r="K2519" s="80" t="n"/>
      <c r="L2519" s="80" t="n"/>
      <c r="M2519" s="80" t="n"/>
      <c r="N2519" s="80" t="n"/>
      <c r="O2519" s="80" t="n"/>
      <c r="P2519" s="80" t="n"/>
      <c r="Q2519" s="80" t="n"/>
      <c r="R2519" s="80" t="n"/>
      <c r="S2519" s="80" t="n"/>
      <c r="T2519" s="80" t="n"/>
      <c r="U2519" s="80" t="n"/>
      <c r="V2519" s="80" t="n"/>
      <c r="W2519" s="80" t="n"/>
      <c r="X2519" s="80" t="n"/>
      <c r="Y2519" s="80" t="n"/>
      <c r="Z2519" s="80" t="n"/>
      <c r="AA2519" s="80" t="n"/>
      <c r="AB2519" s="80" t="n"/>
      <c r="AC2519" s="80" t="n"/>
      <c r="AD2519" s="80" t="n"/>
      <c r="AE2519" s="80" t="n"/>
      <c r="AF2519" s="80" t="n"/>
      <c r="AG2519" s="80" t="n"/>
      <c r="AH2519" s="80" t="n"/>
      <c r="AI2519" s="80" t="n"/>
      <c r="AJ2519" s="80" t="n"/>
      <c r="AK2519" s="80" t="n"/>
      <c r="AL2519" s="80" t="n"/>
      <c r="AM2519" s="80" t="n"/>
      <c r="AN2519" s="80" t="n"/>
      <c r="AO2519" s="80" t="n"/>
      <c r="AP2519" s="80" t="n"/>
      <c r="AQ2519" s="80" t="n"/>
      <c r="AR2519" s="80" t="n"/>
    </row>
    <row r="2520">
      <c r="D2520" s="80" t="n"/>
      <c r="E2520" s="80" t="n"/>
      <c r="F2520" s="80" t="n"/>
      <c r="G2520" s="80" t="n"/>
      <c r="H2520" s="80" t="n"/>
      <c r="I2520" s="80" t="n"/>
      <c r="J2520" s="80" t="n"/>
      <c r="K2520" s="80" t="n"/>
      <c r="L2520" s="80" t="n"/>
      <c r="M2520" s="80" t="n"/>
      <c r="N2520" s="80" t="n"/>
      <c r="O2520" s="80" t="n"/>
      <c r="P2520" s="80" t="n"/>
      <c r="Q2520" s="80" t="n"/>
      <c r="R2520" s="80" t="n"/>
      <c r="S2520" s="80" t="n"/>
      <c r="T2520" s="80" t="n"/>
      <c r="U2520" s="80" t="n"/>
      <c r="V2520" s="80" t="n"/>
      <c r="W2520" s="80" t="n"/>
      <c r="X2520" s="80" t="n"/>
      <c r="Y2520" s="80" t="n"/>
      <c r="Z2520" s="80" t="n"/>
      <c r="AA2520" s="80" t="n"/>
      <c r="AB2520" s="80" t="n"/>
      <c r="AC2520" s="80" t="n"/>
      <c r="AD2520" s="80" t="n"/>
      <c r="AE2520" s="80" t="n"/>
      <c r="AF2520" s="80" t="n"/>
      <c r="AG2520" s="80" t="n"/>
      <c r="AH2520" s="80" t="n"/>
      <c r="AI2520" s="80" t="n"/>
      <c r="AJ2520" s="80" t="n"/>
      <c r="AK2520" s="80" t="n"/>
      <c r="AL2520" s="80" t="n"/>
      <c r="AM2520" s="80" t="n"/>
      <c r="AN2520" s="80" t="n"/>
      <c r="AO2520" s="80" t="n"/>
      <c r="AP2520" s="80" t="n"/>
      <c r="AQ2520" s="80" t="n"/>
      <c r="AR2520" s="80" t="n"/>
    </row>
    <row r="2521">
      <c r="D2521" s="80" t="n"/>
      <c r="E2521" s="80" t="n"/>
      <c r="F2521" s="80" t="n"/>
      <c r="G2521" s="80" t="n"/>
      <c r="H2521" s="80" t="n"/>
      <c r="I2521" s="80" t="n"/>
      <c r="J2521" s="80" t="n"/>
      <c r="K2521" s="80" t="n"/>
      <c r="L2521" s="80" t="n"/>
      <c r="M2521" s="80" t="n"/>
      <c r="N2521" s="80" t="n"/>
      <c r="O2521" s="80" t="n"/>
      <c r="P2521" s="80" t="n"/>
      <c r="Q2521" s="80" t="n"/>
      <c r="R2521" s="80" t="n"/>
      <c r="S2521" s="80" t="n"/>
      <c r="T2521" s="80" t="n"/>
      <c r="U2521" s="80" t="n"/>
      <c r="V2521" s="80" t="n"/>
      <c r="W2521" s="80" t="n"/>
      <c r="X2521" s="80" t="n"/>
      <c r="Y2521" s="80" t="n"/>
      <c r="Z2521" s="80" t="n"/>
      <c r="AA2521" s="80" t="n"/>
      <c r="AB2521" s="80" t="n"/>
      <c r="AC2521" s="80" t="n"/>
      <c r="AD2521" s="80" t="n"/>
      <c r="AE2521" s="80" t="n"/>
      <c r="AF2521" s="80" t="n"/>
      <c r="AG2521" s="80" t="n"/>
      <c r="AH2521" s="80" t="n"/>
      <c r="AI2521" s="80" t="n"/>
      <c r="AJ2521" s="80" t="n"/>
      <c r="AK2521" s="80" t="n"/>
      <c r="AL2521" s="80" t="n"/>
      <c r="AM2521" s="80" t="n"/>
      <c r="AN2521" s="80" t="n"/>
      <c r="AO2521" s="80" t="n"/>
      <c r="AP2521" s="80" t="n"/>
      <c r="AQ2521" s="80" t="n"/>
      <c r="AR2521" s="80" t="n"/>
    </row>
    <row r="2522">
      <c r="D2522" s="80" t="n"/>
      <c r="E2522" s="80" t="n"/>
      <c r="F2522" s="80" t="n"/>
      <c r="G2522" s="80" t="n"/>
      <c r="H2522" s="80" t="n"/>
      <c r="I2522" s="80" t="n"/>
      <c r="J2522" s="80" t="n"/>
      <c r="K2522" s="80" t="n"/>
      <c r="L2522" s="80" t="n"/>
      <c r="M2522" s="80" t="n"/>
      <c r="N2522" s="80" t="n"/>
      <c r="O2522" s="80" t="n"/>
      <c r="P2522" s="80" t="n"/>
      <c r="Q2522" s="80" t="n"/>
      <c r="R2522" s="80" t="n"/>
      <c r="S2522" s="80" t="n"/>
      <c r="T2522" s="80" t="n"/>
      <c r="U2522" s="80" t="n"/>
      <c r="V2522" s="80" t="n"/>
      <c r="W2522" s="80" t="n"/>
      <c r="X2522" s="80" t="n"/>
      <c r="Y2522" s="80" t="n"/>
      <c r="Z2522" s="80" t="n"/>
      <c r="AA2522" s="80" t="n"/>
      <c r="AB2522" s="80" t="n"/>
      <c r="AC2522" s="80" t="n"/>
      <c r="AD2522" s="80" t="n"/>
      <c r="AE2522" s="80" t="n"/>
      <c r="AF2522" s="80" t="n"/>
      <c r="AG2522" s="80" t="n"/>
      <c r="AH2522" s="80" t="n"/>
      <c r="AI2522" s="80" t="n"/>
      <c r="AJ2522" s="80" t="n"/>
      <c r="AK2522" s="80" t="n"/>
      <c r="AL2522" s="80" t="n"/>
      <c r="AM2522" s="80" t="n"/>
      <c r="AN2522" s="80" t="n"/>
      <c r="AO2522" s="80" t="n"/>
      <c r="AP2522" s="80" t="n"/>
      <c r="AQ2522" s="80" t="n"/>
      <c r="AR2522" s="80" t="n"/>
    </row>
    <row r="2524">
      <c r="A2524" s="6">
        <f>IF(HSCEI!$C$34="","",HSCEI!$C$34)</f>
        <v/>
      </c>
      <c r="B2524" s="41">
        <f>IF($A2524="",0,COUNT($E2525:$AR2525))</f>
        <v/>
      </c>
      <c r="C2524" s="81">
        <f>IF($B2524=0,0,MAX($E2525:$AR2525))</f>
        <v/>
      </c>
      <c r="D2524" s="82">
        <f>BDS($A2524,'Field Check'!$C$7,"headers=y","startcol=1","endcol=7","dir=h","DVD_START_DT",Summary!$C$18,"DVD_END_DT",Summary!$D$18)</f>
        <v/>
      </c>
      <c r="E2524" s="83" t="n"/>
      <c r="F2524" s="83" t="n"/>
      <c r="G2524" s="83" t="n"/>
      <c r="H2524" s="83" t="n"/>
      <c r="I2524" s="83" t="n"/>
      <c r="J2524" s="83" t="n"/>
      <c r="K2524" s="83" t="n"/>
      <c r="L2524" s="83" t="n"/>
      <c r="M2524" s="83" t="n"/>
      <c r="N2524" s="83" t="n"/>
      <c r="O2524" s="83" t="n"/>
      <c r="P2524" s="83" t="n"/>
      <c r="Q2524" s="83" t="n"/>
      <c r="R2524" s="83" t="n"/>
      <c r="S2524" s="83" t="n"/>
      <c r="T2524" s="83" t="n"/>
      <c r="U2524" s="83" t="n"/>
      <c r="V2524" s="83" t="n"/>
      <c r="W2524" s="83" t="n"/>
      <c r="X2524" s="83" t="n"/>
      <c r="Y2524" s="83" t="n"/>
      <c r="Z2524" s="83" t="n"/>
      <c r="AA2524" s="83" t="n"/>
      <c r="AB2524" s="83" t="n"/>
      <c r="AC2524" s="83" t="n"/>
      <c r="AD2524" s="83" t="n"/>
      <c r="AE2524" s="83" t="n"/>
      <c r="AF2524" s="83" t="n"/>
      <c r="AG2524" s="83" t="n"/>
      <c r="AH2524" s="83" t="n"/>
      <c r="AI2524" s="83" t="n"/>
      <c r="AJ2524" s="83" t="n"/>
      <c r="AK2524" s="83" t="n"/>
      <c r="AL2524" s="83" t="n"/>
      <c r="AM2524" s="83" t="n"/>
      <c r="AN2524" s="83" t="n"/>
      <c r="AO2524" s="83" t="n"/>
      <c r="AP2524" s="83" t="n"/>
      <c r="AQ2524" s="83" t="n"/>
      <c r="AR2524" s="83" t="n"/>
    </row>
    <row r="2525">
      <c r="D2525" s="83" t="n"/>
      <c r="E2525" s="83" t="n"/>
      <c r="F2525" s="83" t="n"/>
      <c r="G2525" s="83" t="n"/>
      <c r="H2525" s="83" t="n"/>
      <c r="I2525" s="83" t="n"/>
      <c r="J2525" s="83" t="n"/>
      <c r="K2525" s="83" t="n"/>
      <c r="L2525" s="83" t="n"/>
      <c r="M2525" s="83" t="n"/>
      <c r="N2525" s="83" t="n"/>
      <c r="O2525" s="83" t="n"/>
      <c r="P2525" s="83" t="n"/>
      <c r="Q2525" s="83" t="n"/>
      <c r="R2525" s="83" t="n"/>
      <c r="S2525" s="83" t="n"/>
      <c r="T2525" s="83" t="n"/>
      <c r="U2525" s="83" t="n"/>
      <c r="V2525" s="83" t="n"/>
      <c r="W2525" s="83" t="n"/>
      <c r="X2525" s="83" t="n"/>
      <c r="Y2525" s="83" t="n"/>
      <c r="Z2525" s="83" t="n"/>
      <c r="AA2525" s="83" t="n"/>
      <c r="AB2525" s="83" t="n"/>
      <c r="AC2525" s="83" t="n"/>
      <c r="AD2525" s="83" t="n"/>
      <c r="AE2525" s="83" t="n"/>
      <c r="AF2525" s="83" t="n"/>
      <c r="AG2525" s="83" t="n"/>
      <c r="AH2525" s="83" t="n"/>
      <c r="AI2525" s="83" t="n"/>
      <c r="AJ2525" s="83" t="n"/>
      <c r="AK2525" s="83" t="n"/>
      <c r="AL2525" s="83" t="n"/>
      <c r="AM2525" s="83" t="n"/>
      <c r="AN2525" s="83" t="n"/>
      <c r="AO2525" s="83" t="n"/>
      <c r="AP2525" s="83" t="n"/>
      <c r="AQ2525" s="83" t="n"/>
      <c r="AR2525" s="83" t="n"/>
    </row>
    <row r="2526">
      <c r="D2526" s="84" t="n"/>
      <c r="E2526" s="84" t="n"/>
      <c r="F2526" s="84" t="n"/>
      <c r="G2526" s="84" t="n"/>
      <c r="H2526" s="84" t="n"/>
      <c r="I2526" s="84" t="n"/>
      <c r="J2526" s="84" t="n"/>
      <c r="K2526" s="84" t="n"/>
      <c r="L2526" s="84" t="n"/>
      <c r="M2526" s="84" t="n"/>
      <c r="N2526" s="84" t="n"/>
      <c r="O2526" s="84" t="n"/>
      <c r="P2526" s="84" t="n"/>
      <c r="Q2526" s="84" t="n"/>
      <c r="R2526" s="84" t="n"/>
      <c r="S2526" s="84" t="n"/>
      <c r="T2526" s="84" t="n"/>
      <c r="U2526" s="84" t="n"/>
      <c r="V2526" s="84" t="n"/>
      <c r="W2526" s="84" t="n"/>
      <c r="X2526" s="84" t="n"/>
      <c r="Y2526" s="84" t="n"/>
      <c r="Z2526" s="84" t="n"/>
      <c r="AA2526" s="84" t="n"/>
      <c r="AB2526" s="84" t="n"/>
      <c r="AC2526" s="84" t="n"/>
      <c r="AD2526" s="84" t="n"/>
      <c r="AE2526" s="84" t="n"/>
      <c r="AF2526" s="84" t="n"/>
      <c r="AG2526" s="84" t="n"/>
      <c r="AH2526" s="84" t="n"/>
      <c r="AI2526" s="84" t="n"/>
      <c r="AJ2526" s="84" t="n"/>
      <c r="AK2526" s="84" t="n"/>
      <c r="AL2526" s="84" t="n"/>
      <c r="AM2526" s="84" t="n"/>
      <c r="AN2526" s="84" t="n"/>
      <c r="AO2526" s="84" t="n"/>
      <c r="AP2526" s="84" t="n"/>
      <c r="AQ2526" s="84" t="n"/>
      <c r="AR2526" s="84" t="n"/>
    </row>
    <row r="2527">
      <c r="D2527" s="80" t="n"/>
      <c r="E2527" s="80" t="n"/>
      <c r="F2527" s="80" t="n"/>
      <c r="G2527" s="80" t="n"/>
      <c r="H2527" s="80" t="n"/>
      <c r="I2527" s="80" t="n"/>
      <c r="J2527" s="80" t="n"/>
      <c r="K2527" s="80" t="n"/>
      <c r="L2527" s="80" t="n"/>
      <c r="M2527" s="80" t="n"/>
      <c r="N2527" s="80" t="n"/>
      <c r="O2527" s="80" t="n"/>
      <c r="P2527" s="80" t="n"/>
      <c r="Q2527" s="80" t="n"/>
      <c r="R2527" s="80" t="n"/>
      <c r="S2527" s="80" t="n"/>
      <c r="T2527" s="80" t="n"/>
      <c r="U2527" s="80" t="n"/>
      <c r="V2527" s="80" t="n"/>
      <c r="W2527" s="80" t="n"/>
      <c r="X2527" s="80" t="n"/>
      <c r="Y2527" s="80" t="n"/>
      <c r="Z2527" s="80" t="n"/>
      <c r="AA2527" s="80" t="n"/>
      <c r="AB2527" s="80" t="n"/>
      <c r="AC2527" s="80" t="n"/>
      <c r="AD2527" s="80" t="n"/>
      <c r="AE2527" s="80" t="n"/>
      <c r="AF2527" s="80" t="n"/>
      <c r="AG2527" s="80" t="n"/>
      <c r="AH2527" s="80" t="n"/>
      <c r="AI2527" s="80" t="n"/>
      <c r="AJ2527" s="80" t="n"/>
      <c r="AK2527" s="80" t="n"/>
      <c r="AL2527" s="80" t="n"/>
      <c r="AM2527" s="80" t="n"/>
      <c r="AN2527" s="80" t="n"/>
      <c r="AO2527" s="80" t="n"/>
      <c r="AP2527" s="80" t="n"/>
      <c r="AQ2527" s="80" t="n"/>
      <c r="AR2527" s="80" t="n"/>
    </row>
    <row r="2528">
      <c r="D2528" s="80" t="n"/>
      <c r="E2528" s="80" t="n"/>
      <c r="F2528" s="80" t="n"/>
      <c r="G2528" s="80" t="n"/>
      <c r="H2528" s="80" t="n"/>
      <c r="I2528" s="80" t="n"/>
      <c r="J2528" s="80" t="n"/>
      <c r="K2528" s="80" t="n"/>
      <c r="L2528" s="80" t="n"/>
      <c r="M2528" s="80" t="n"/>
      <c r="N2528" s="80" t="n"/>
      <c r="O2528" s="80" t="n"/>
      <c r="P2528" s="80" t="n"/>
      <c r="Q2528" s="80" t="n"/>
      <c r="R2528" s="80" t="n"/>
      <c r="S2528" s="80" t="n"/>
      <c r="T2528" s="80" t="n"/>
      <c r="U2528" s="80" t="n"/>
      <c r="V2528" s="80" t="n"/>
      <c r="W2528" s="80" t="n"/>
      <c r="X2528" s="80" t="n"/>
      <c r="Y2528" s="80" t="n"/>
      <c r="Z2528" s="80" t="n"/>
      <c r="AA2528" s="80" t="n"/>
      <c r="AB2528" s="80" t="n"/>
      <c r="AC2528" s="80" t="n"/>
      <c r="AD2528" s="80" t="n"/>
      <c r="AE2528" s="80" t="n"/>
      <c r="AF2528" s="80" t="n"/>
      <c r="AG2528" s="80" t="n"/>
      <c r="AH2528" s="80" t="n"/>
      <c r="AI2528" s="80" t="n"/>
      <c r="AJ2528" s="80" t="n"/>
      <c r="AK2528" s="80" t="n"/>
      <c r="AL2528" s="80" t="n"/>
      <c r="AM2528" s="80" t="n"/>
      <c r="AN2528" s="80" t="n"/>
      <c r="AO2528" s="80" t="n"/>
      <c r="AP2528" s="80" t="n"/>
      <c r="AQ2528" s="80" t="n"/>
      <c r="AR2528" s="80" t="n"/>
    </row>
    <row r="2529">
      <c r="D2529" s="80" t="n"/>
      <c r="E2529" s="80" t="n"/>
      <c r="F2529" s="80" t="n"/>
      <c r="G2529" s="80" t="n"/>
      <c r="H2529" s="80" t="n"/>
      <c r="I2529" s="80" t="n"/>
      <c r="J2529" s="80" t="n"/>
      <c r="K2529" s="80" t="n"/>
      <c r="L2529" s="80" t="n"/>
      <c r="M2529" s="80" t="n"/>
      <c r="N2529" s="80" t="n"/>
      <c r="O2529" s="80" t="n"/>
      <c r="P2529" s="80" t="n"/>
      <c r="Q2529" s="80" t="n"/>
      <c r="R2529" s="80" t="n"/>
      <c r="S2529" s="80" t="n"/>
      <c r="T2529" s="80" t="n"/>
      <c r="U2529" s="80" t="n"/>
      <c r="V2529" s="80" t="n"/>
      <c r="W2529" s="80" t="n"/>
      <c r="X2529" s="80" t="n"/>
      <c r="Y2529" s="80" t="n"/>
      <c r="Z2529" s="80" t="n"/>
      <c r="AA2529" s="80" t="n"/>
      <c r="AB2529" s="80" t="n"/>
      <c r="AC2529" s="80" t="n"/>
      <c r="AD2529" s="80" t="n"/>
      <c r="AE2529" s="80" t="n"/>
      <c r="AF2529" s="80" t="n"/>
      <c r="AG2529" s="80" t="n"/>
      <c r="AH2529" s="80" t="n"/>
      <c r="AI2529" s="80" t="n"/>
      <c r="AJ2529" s="80" t="n"/>
      <c r="AK2529" s="80" t="n"/>
      <c r="AL2529" s="80" t="n"/>
      <c r="AM2529" s="80" t="n"/>
      <c r="AN2529" s="80" t="n"/>
      <c r="AO2529" s="80" t="n"/>
      <c r="AP2529" s="80" t="n"/>
      <c r="AQ2529" s="80" t="n"/>
      <c r="AR2529" s="80" t="n"/>
    </row>
    <row r="2530">
      <c r="D2530" s="80" t="n"/>
      <c r="E2530" s="80" t="n"/>
      <c r="F2530" s="80" t="n"/>
      <c r="G2530" s="80" t="n"/>
      <c r="H2530" s="80" t="n"/>
      <c r="I2530" s="80" t="n"/>
      <c r="J2530" s="80" t="n"/>
      <c r="K2530" s="80" t="n"/>
      <c r="L2530" s="80" t="n"/>
      <c r="M2530" s="80" t="n"/>
      <c r="N2530" s="80" t="n"/>
      <c r="O2530" s="80" t="n"/>
      <c r="P2530" s="80" t="n"/>
      <c r="Q2530" s="80" t="n"/>
      <c r="R2530" s="80" t="n"/>
      <c r="S2530" s="80" t="n"/>
      <c r="T2530" s="80" t="n"/>
      <c r="U2530" s="80" t="n"/>
      <c r="V2530" s="80" t="n"/>
      <c r="W2530" s="80" t="n"/>
      <c r="X2530" s="80" t="n"/>
      <c r="Y2530" s="80" t="n"/>
      <c r="Z2530" s="80" t="n"/>
      <c r="AA2530" s="80" t="n"/>
      <c r="AB2530" s="80" t="n"/>
      <c r="AC2530" s="80" t="n"/>
      <c r="AD2530" s="80" t="n"/>
      <c r="AE2530" s="80" t="n"/>
      <c r="AF2530" s="80" t="n"/>
      <c r="AG2530" s="80" t="n"/>
      <c r="AH2530" s="80" t="n"/>
      <c r="AI2530" s="80" t="n"/>
      <c r="AJ2530" s="80" t="n"/>
      <c r="AK2530" s="80" t="n"/>
      <c r="AL2530" s="80" t="n"/>
      <c r="AM2530" s="80" t="n"/>
      <c r="AN2530" s="80" t="n"/>
      <c r="AO2530" s="80" t="n"/>
      <c r="AP2530" s="80" t="n"/>
      <c r="AQ2530" s="80" t="n"/>
      <c r="AR2530" s="80" t="n"/>
    </row>
    <row r="2531">
      <c r="A2531" s="2">
        <f>IF($A2524="","","   projections")</f>
        <v/>
      </c>
      <c r="B2531" s="41">
        <f>IF($A2524="",0,COUNT($E2532:$AR2532))</f>
        <v/>
      </c>
      <c r="C2531" s="81">
        <f>IF($B2531=0,0,MAX($E2532:$AR2532))</f>
        <v/>
      </c>
      <c r="D2531" s="82">
        <f>BDS($A2524,'Field Check'!$C$6,"headers=y","startcol=1","endcol=7","dir=h")</f>
        <v/>
      </c>
      <c r="E2531" s="83" t="n"/>
      <c r="F2531" s="83" t="n"/>
      <c r="G2531" s="83" t="n"/>
      <c r="H2531" s="83" t="n"/>
      <c r="I2531" s="83" t="n"/>
      <c r="J2531" s="83" t="n"/>
      <c r="K2531" s="83" t="n"/>
      <c r="L2531" s="83" t="n"/>
      <c r="M2531" s="83" t="n"/>
      <c r="N2531" s="83" t="n"/>
      <c r="O2531" s="83" t="n"/>
      <c r="P2531" s="83" t="n"/>
      <c r="Q2531" s="83" t="n"/>
      <c r="R2531" s="83" t="n"/>
      <c r="S2531" s="83" t="n"/>
      <c r="T2531" s="83" t="n"/>
      <c r="U2531" s="83" t="n"/>
      <c r="V2531" s="83" t="n"/>
      <c r="W2531" s="83" t="n"/>
      <c r="X2531" s="83" t="n"/>
      <c r="Y2531" s="83" t="n"/>
      <c r="Z2531" s="83" t="n"/>
      <c r="AA2531" s="83" t="n"/>
      <c r="AB2531" s="83" t="n"/>
      <c r="AC2531" s="83" t="n"/>
      <c r="AD2531" s="83" t="n"/>
      <c r="AE2531" s="83" t="n"/>
      <c r="AF2531" s="83" t="n"/>
      <c r="AG2531" s="83" t="n"/>
      <c r="AH2531" s="83" t="n"/>
      <c r="AI2531" s="83" t="n"/>
      <c r="AJ2531" s="83" t="n"/>
      <c r="AK2531" s="83" t="n"/>
      <c r="AL2531" s="83" t="n"/>
      <c r="AM2531" s="83" t="n"/>
      <c r="AN2531" s="83" t="n"/>
      <c r="AO2531" s="83" t="n"/>
      <c r="AP2531" s="83" t="n"/>
      <c r="AQ2531" s="83" t="n"/>
      <c r="AR2531" s="83" t="n"/>
    </row>
    <row r="2532">
      <c r="D2532" s="83" t="n"/>
      <c r="E2532" s="83" t="n"/>
      <c r="F2532" s="83" t="n"/>
      <c r="G2532" s="83" t="n"/>
      <c r="H2532" s="83" t="n"/>
      <c r="I2532" s="83" t="n"/>
      <c r="J2532" s="83" t="n"/>
      <c r="K2532" s="83" t="n"/>
      <c r="L2532" s="83" t="n"/>
      <c r="M2532" s="83" t="n"/>
      <c r="N2532" s="83" t="n"/>
      <c r="O2532" s="83" t="n"/>
      <c r="P2532" s="83" t="n"/>
      <c r="Q2532" s="83" t="n"/>
      <c r="R2532" s="83" t="n"/>
      <c r="S2532" s="83" t="n"/>
      <c r="T2532" s="83" t="n"/>
      <c r="U2532" s="83" t="n"/>
      <c r="V2532" s="83" t="n"/>
      <c r="W2532" s="83" t="n"/>
      <c r="X2532" s="83" t="n"/>
      <c r="Y2532" s="83" t="n"/>
      <c r="Z2532" s="83" t="n"/>
      <c r="AA2532" s="83" t="n"/>
      <c r="AB2532" s="83" t="n"/>
      <c r="AC2532" s="83" t="n"/>
      <c r="AD2532" s="83" t="n"/>
      <c r="AE2532" s="83" t="n"/>
      <c r="AF2532" s="83" t="n"/>
      <c r="AG2532" s="83" t="n"/>
      <c r="AH2532" s="83" t="n"/>
      <c r="AI2532" s="83" t="n"/>
      <c r="AJ2532" s="83" t="n"/>
      <c r="AK2532" s="83" t="n"/>
      <c r="AL2532" s="83" t="n"/>
      <c r="AM2532" s="83" t="n"/>
      <c r="AN2532" s="83" t="n"/>
      <c r="AO2532" s="83" t="n"/>
      <c r="AP2532" s="83" t="n"/>
      <c r="AQ2532" s="83" t="n"/>
      <c r="AR2532" s="83" t="n"/>
    </row>
    <row r="2533">
      <c r="D2533" s="84" t="n"/>
      <c r="E2533" s="84" t="n"/>
      <c r="F2533" s="84" t="n"/>
      <c r="G2533" s="84" t="n"/>
      <c r="H2533" s="84" t="n"/>
      <c r="I2533" s="84" t="n"/>
      <c r="J2533" s="84" t="n"/>
      <c r="K2533" s="84" t="n"/>
      <c r="L2533" s="84" t="n"/>
      <c r="M2533" s="84" t="n"/>
      <c r="N2533" s="84" t="n"/>
      <c r="O2533" s="84" t="n"/>
      <c r="P2533" s="84" t="n"/>
      <c r="Q2533" s="84" t="n"/>
      <c r="R2533" s="84" t="n"/>
      <c r="S2533" s="84" t="n"/>
      <c r="T2533" s="84" t="n"/>
      <c r="U2533" s="84" t="n"/>
      <c r="V2533" s="84" t="n"/>
      <c r="W2533" s="84" t="n"/>
      <c r="X2533" s="84" t="n"/>
      <c r="Y2533" s="84" t="n"/>
      <c r="Z2533" s="84" t="n"/>
      <c r="AA2533" s="84" t="n"/>
      <c r="AB2533" s="84" t="n"/>
      <c r="AC2533" s="84" t="n"/>
      <c r="AD2533" s="84" t="n"/>
      <c r="AE2533" s="84" t="n"/>
      <c r="AF2533" s="84" t="n"/>
      <c r="AG2533" s="84" t="n"/>
      <c r="AH2533" s="84" t="n"/>
      <c r="AI2533" s="84" t="n"/>
      <c r="AJ2533" s="84" t="n"/>
      <c r="AK2533" s="84" t="n"/>
      <c r="AL2533" s="84" t="n"/>
      <c r="AM2533" s="84" t="n"/>
      <c r="AN2533" s="84" t="n"/>
      <c r="AO2533" s="84" t="n"/>
      <c r="AP2533" s="84" t="n"/>
      <c r="AQ2533" s="84" t="n"/>
      <c r="AR2533" s="84" t="n"/>
    </row>
    <row r="2534">
      <c r="D2534" s="80" t="n"/>
      <c r="E2534" s="80" t="n"/>
      <c r="F2534" s="80" t="n"/>
      <c r="G2534" s="80" t="n"/>
      <c r="H2534" s="80" t="n"/>
      <c r="I2534" s="80" t="n"/>
      <c r="J2534" s="80" t="n"/>
      <c r="K2534" s="80" t="n"/>
      <c r="L2534" s="80" t="n"/>
      <c r="M2534" s="80" t="n"/>
      <c r="N2534" s="80" t="n"/>
      <c r="O2534" s="80" t="n"/>
      <c r="P2534" s="80" t="n"/>
      <c r="Q2534" s="80" t="n"/>
      <c r="R2534" s="80" t="n"/>
      <c r="S2534" s="80" t="n"/>
      <c r="T2534" s="80" t="n"/>
      <c r="U2534" s="80" t="n"/>
      <c r="V2534" s="80" t="n"/>
      <c r="W2534" s="80" t="n"/>
      <c r="X2534" s="80" t="n"/>
      <c r="Y2534" s="80" t="n"/>
      <c r="Z2534" s="80" t="n"/>
      <c r="AA2534" s="80" t="n"/>
      <c r="AB2534" s="80" t="n"/>
      <c r="AC2534" s="80" t="n"/>
      <c r="AD2534" s="80" t="n"/>
      <c r="AE2534" s="80" t="n"/>
      <c r="AF2534" s="80" t="n"/>
      <c r="AG2534" s="80" t="n"/>
      <c r="AH2534" s="80" t="n"/>
      <c r="AI2534" s="80" t="n"/>
      <c r="AJ2534" s="80" t="n"/>
      <c r="AK2534" s="80" t="n"/>
      <c r="AL2534" s="80" t="n"/>
      <c r="AM2534" s="80" t="n"/>
      <c r="AN2534" s="80" t="n"/>
      <c r="AO2534" s="80" t="n"/>
      <c r="AP2534" s="80" t="n"/>
      <c r="AQ2534" s="80" t="n"/>
      <c r="AR2534" s="80" t="n"/>
    </row>
    <row r="2535">
      <c r="D2535" s="80" t="n"/>
      <c r="E2535" s="80" t="n"/>
      <c r="F2535" s="80" t="n"/>
      <c r="G2535" s="80" t="n"/>
      <c r="H2535" s="80" t="n"/>
      <c r="I2535" s="80" t="n"/>
      <c r="J2535" s="80" t="n"/>
      <c r="K2535" s="80" t="n"/>
      <c r="L2535" s="80" t="n"/>
      <c r="M2535" s="80" t="n"/>
      <c r="N2535" s="80" t="n"/>
      <c r="O2535" s="80" t="n"/>
      <c r="P2535" s="80" t="n"/>
      <c r="Q2535" s="80" t="n"/>
      <c r="R2535" s="80" t="n"/>
      <c r="S2535" s="80" t="n"/>
      <c r="T2535" s="80" t="n"/>
      <c r="U2535" s="80" t="n"/>
      <c r="V2535" s="80" t="n"/>
      <c r="W2535" s="80" t="n"/>
      <c r="X2535" s="80" t="n"/>
      <c r="Y2535" s="80" t="n"/>
      <c r="Z2535" s="80" t="n"/>
      <c r="AA2535" s="80" t="n"/>
      <c r="AB2535" s="80" t="n"/>
      <c r="AC2535" s="80" t="n"/>
      <c r="AD2535" s="80" t="n"/>
      <c r="AE2535" s="80" t="n"/>
      <c r="AF2535" s="80" t="n"/>
      <c r="AG2535" s="80" t="n"/>
      <c r="AH2535" s="80" t="n"/>
      <c r="AI2535" s="80" t="n"/>
      <c r="AJ2535" s="80" t="n"/>
      <c r="AK2535" s="80" t="n"/>
      <c r="AL2535" s="80" t="n"/>
      <c r="AM2535" s="80" t="n"/>
      <c r="AN2535" s="80" t="n"/>
      <c r="AO2535" s="80" t="n"/>
      <c r="AP2535" s="80" t="n"/>
      <c r="AQ2535" s="80" t="n"/>
      <c r="AR2535" s="80" t="n"/>
    </row>
    <row r="2536">
      <c r="D2536" s="80" t="n"/>
      <c r="E2536" s="80" t="n"/>
      <c r="F2536" s="80" t="n"/>
      <c r="G2536" s="80" t="n"/>
      <c r="H2536" s="80" t="n"/>
      <c r="I2536" s="80" t="n"/>
      <c r="J2536" s="80" t="n"/>
      <c r="K2536" s="80" t="n"/>
      <c r="L2536" s="80" t="n"/>
      <c r="M2536" s="80" t="n"/>
      <c r="N2536" s="80" t="n"/>
      <c r="O2536" s="80" t="n"/>
      <c r="P2536" s="80" t="n"/>
      <c r="Q2536" s="80" t="n"/>
      <c r="R2536" s="80" t="n"/>
      <c r="S2536" s="80" t="n"/>
      <c r="T2536" s="80" t="n"/>
      <c r="U2536" s="80" t="n"/>
      <c r="V2536" s="80" t="n"/>
      <c r="W2536" s="80" t="n"/>
      <c r="X2536" s="80" t="n"/>
      <c r="Y2536" s="80" t="n"/>
      <c r="Z2536" s="80" t="n"/>
      <c r="AA2536" s="80" t="n"/>
      <c r="AB2536" s="80" t="n"/>
      <c r="AC2536" s="80" t="n"/>
      <c r="AD2536" s="80" t="n"/>
      <c r="AE2536" s="80" t="n"/>
      <c r="AF2536" s="80" t="n"/>
      <c r="AG2536" s="80" t="n"/>
      <c r="AH2536" s="80" t="n"/>
      <c r="AI2536" s="80" t="n"/>
      <c r="AJ2536" s="80" t="n"/>
      <c r="AK2536" s="80" t="n"/>
      <c r="AL2536" s="80" t="n"/>
      <c r="AM2536" s="80" t="n"/>
      <c r="AN2536" s="80" t="n"/>
      <c r="AO2536" s="80" t="n"/>
      <c r="AP2536" s="80" t="n"/>
      <c r="AQ2536" s="80" t="n"/>
      <c r="AR2536" s="80" t="n"/>
    </row>
    <row r="2537">
      <c r="D2537" s="80" t="n"/>
      <c r="E2537" s="80" t="n"/>
      <c r="F2537" s="80" t="n"/>
      <c r="G2537" s="80" t="n"/>
      <c r="H2537" s="80" t="n"/>
      <c r="I2537" s="80" t="n"/>
      <c r="J2537" s="80" t="n"/>
      <c r="K2537" s="80" t="n"/>
      <c r="L2537" s="80" t="n"/>
      <c r="M2537" s="80" t="n"/>
      <c r="N2537" s="80" t="n"/>
      <c r="O2537" s="80" t="n"/>
      <c r="P2537" s="80" t="n"/>
      <c r="Q2537" s="80" t="n"/>
      <c r="R2537" s="80" t="n"/>
      <c r="S2537" s="80" t="n"/>
      <c r="T2537" s="80" t="n"/>
      <c r="U2537" s="80" t="n"/>
      <c r="V2537" s="80" t="n"/>
      <c r="W2537" s="80" t="n"/>
      <c r="X2537" s="80" t="n"/>
      <c r="Y2537" s="80" t="n"/>
      <c r="Z2537" s="80" t="n"/>
      <c r="AA2537" s="80" t="n"/>
      <c r="AB2537" s="80" t="n"/>
      <c r="AC2537" s="80" t="n"/>
      <c r="AD2537" s="80" t="n"/>
      <c r="AE2537" s="80" t="n"/>
      <c r="AF2537" s="80" t="n"/>
      <c r="AG2537" s="80" t="n"/>
      <c r="AH2537" s="80" t="n"/>
      <c r="AI2537" s="80" t="n"/>
      <c r="AJ2537" s="80" t="n"/>
      <c r="AK2537" s="80" t="n"/>
      <c r="AL2537" s="80" t="n"/>
      <c r="AM2537" s="80" t="n"/>
      <c r="AN2537" s="80" t="n"/>
      <c r="AO2537" s="80" t="n"/>
      <c r="AP2537" s="80" t="n"/>
      <c r="AQ2537" s="80" t="n"/>
      <c r="AR2537" s="80" t="n"/>
    </row>
    <row r="2539">
      <c r="A2539" s="6">
        <f>IF(HSCEI!$C$35="","",HSCEI!$C$35)</f>
        <v/>
      </c>
      <c r="B2539" s="41">
        <f>IF($A2539="",0,COUNT($E2540:$AR2540))</f>
        <v/>
      </c>
      <c r="C2539" s="81">
        <f>IF($B2539=0,0,MAX($E2540:$AR2540))</f>
        <v/>
      </c>
      <c r="D2539" s="82">
        <f>BDS($A2539,'Field Check'!$C$7,"headers=y","startcol=1","endcol=7","dir=h","DVD_START_DT",Summary!$C$18,"DVD_END_DT",Summary!$D$18)</f>
        <v/>
      </c>
      <c r="E2539" s="83" t="n"/>
      <c r="F2539" s="83" t="n"/>
      <c r="G2539" s="83" t="n"/>
      <c r="H2539" s="83" t="n"/>
      <c r="I2539" s="83" t="n"/>
      <c r="J2539" s="83" t="n"/>
      <c r="K2539" s="83" t="n"/>
      <c r="L2539" s="83" t="n"/>
      <c r="M2539" s="83" t="n"/>
      <c r="N2539" s="83" t="n"/>
      <c r="O2539" s="83" t="n"/>
      <c r="P2539" s="83" t="n"/>
      <c r="Q2539" s="83" t="n"/>
      <c r="R2539" s="83" t="n"/>
      <c r="S2539" s="83" t="n"/>
      <c r="T2539" s="83" t="n"/>
      <c r="U2539" s="83" t="n"/>
      <c r="V2539" s="83" t="n"/>
      <c r="W2539" s="83" t="n"/>
      <c r="X2539" s="83" t="n"/>
      <c r="Y2539" s="83" t="n"/>
      <c r="Z2539" s="83" t="n"/>
      <c r="AA2539" s="83" t="n"/>
      <c r="AB2539" s="83" t="n"/>
      <c r="AC2539" s="83" t="n"/>
      <c r="AD2539" s="83" t="n"/>
      <c r="AE2539" s="83" t="n"/>
      <c r="AF2539" s="83" t="n"/>
      <c r="AG2539" s="83" t="n"/>
      <c r="AH2539" s="83" t="n"/>
      <c r="AI2539" s="83" t="n"/>
      <c r="AJ2539" s="83" t="n"/>
      <c r="AK2539" s="83" t="n"/>
      <c r="AL2539" s="83" t="n"/>
      <c r="AM2539" s="83" t="n"/>
      <c r="AN2539" s="83" t="n"/>
      <c r="AO2539" s="83" t="n"/>
      <c r="AP2539" s="83" t="n"/>
      <c r="AQ2539" s="83" t="n"/>
      <c r="AR2539" s="83" t="n"/>
    </row>
    <row r="2540">
      <c r="D2540" s="83" t="n"/>
      <c r="E2540" s="83" t="n"/>
      <c r="F2540" s="83" t="n"/>
      <c r="G2540" s="83" t="n"/>
      <c r="H2540" s="83" t="n"/>
      <c r="I2540" s="83" t="n"/>
      <c r="J2540" s="83" t="n"/>
      <c r="K2540" s="83" t="n"/>
      <c r="L2540" s="83" t="n"/>
      <c r="M2540" s="83" t="n"/>
      <c r="N2540" s="83" t="n"/>
      <c r="O2540" s="83" t="n"/>
      <c r="P2540" s="83" t="n"/>
      <c r="Q2540" s="83" t="n"/>
      <c r="R2540" s="83" t="n"/>
      <c r="S2540" s="83" t="n"/>
      <c r="T2540" s="83" t="n"/>
      <c r="U2540" s="83" t="n"/>
      <c r="V2540" s="83" t="n"/>
      <c r="W2540" s="83" t="n"/>
      <c r="X2540" s="83" t="n"/>
      <c r="Y2540" s="83" t="n"/>
      <c r="Z2540" s="83" t="n"/>
      <c r="AA2540" s="83" t="n"/>
      <c r="AB2540" s="83" t="n"/>
      <c r="AC2540" s="83" t="n"/>
      <c r="AD2540" s="83" t="n"/>
      <c r="AE2540" s="83" t="n"/>
      <c r="AF2540" s="83" t="n"/>
      <c r="AG2540" s="83" t="n"/>
      <c r="AH2540" s="83" t="n"/>
      <c r="AI2540" s="83" t="n"/>
      <c r="AJ2540" s="83" t="n"/>
      <c r="AK2540" s="83" t="n"/>
      <c r="AL2540" s="83" t="n"/>
      <c r="AM2540" s="83" t="n"/>
      <c r="AN2540" s="83" t="n"/>
      <c r="AO2540" s="83" t="n"/>
      <c r="AP2540" s="83" t="n"/>
      <c r="AQ2540" s="83" t="n"/>
      <c r="AR2540" s="83" t="n"/>
    </row>
    <row r="2541">
      <c r="D2541" s="84" t="n"/>
      <c r="E2541" s="84" t="n"/>
      <c r="F2541" s="84" t="n"/>
      <c r="G2541" s="84" t="n"/>
      <c r="H2541" s="84" t="n"/>
      <c r="I2541" s="84" t="n"/>
      <c r="J2541" s="84" t="n"/>
      <c r="K2541" s="84" t="n"/>
      <c r="L2541" s="84" t="n"/>
      <c r="M2541" s="84" t="n"/>
      <c r="N2541" s="84" t="n"/>
      <c r="O2541" s="84" t="n"/>
      <c r="P2541" s="84" t="n"/>
      <c r="Q2541" s="84" t="n"/>
      <c r="R2541" s="84" t="n"/>
      <c r="S2541" s="84" t="n"/>
      <c r="T2541" s="84" t="n"/>
      <c r="U2541" s="84" t="n"/>
      <c r="V2541" s="84" t="n"/>
      <c r="W2541" s="84" t="n"/>
      <c r="X2541" s="84" t="n"/>
      <c r="Y2541" s="84" t="n"/>
      <c r="Z2541" s="84" t="n"/>
      <c r="AA2541" s="84" t="n"/>
      <c r="AB2541" s="84" t="n"/>
      <c r="AC2541" s="84" t="n"/>
      <c r="AD2541" s="84" t="n"/>
      <c r="AE2541" s="84" t="n"/>
      <c r="AF2541" s="84" t="n"/>
      <c r="AG2541" s="84" t="n"/>
      <c r="AH2541" s="84" t="n"/>
      <c r="AI2541" s="84" t="n"/>
      <c r="AJ2541" s="84" t="n"/>
      <c r="AK2541" s="84" t="n"/>
      <c r="AL2541" s="84" t="n"/>
      <c r="AM2541" s="84" t="n"/>
      <c r="AN2541" s="84" t="n"/>
      <c r="AO2541" s="84" t="n"/>
      <c r="AP2541" s="84" t="n"/>
      <c r="AQ2541" s="84" t="n"/>
      <c r="AR2541" s="84" t="n"/>
    </row>
    <row r="2542">
      <c r="D2542" s="80" t="n"/>
      <c r="E2542" s="80" t="n"/>
      <c r="F2542" s="80" t="n"/>
      <c r="G2542" s="80" t="n"/>
      <c r="H2542" s="80" t="n"/>
      <c r="I2542" s="80" t="n"/>
      <c r="J2542" s="80" t="n"/>
      <c r="K2542" s="80" t="n"/>
      <c r="L2542" s="80" t="n"/>
      <c r="M2542" s="80" t="n"/>
      <c r="N2542" s="80" t="n"/>
      <c r="O2542" s="80" t="n"/>
      <c r="P2542" s="80" t="n"/>
      <c r="Q2542" s="80" t="n"/>
      <c r="R2542" s="80" t="n"/>
      <c r="S2542" s="80" t="n"/>
      <c r="T2542" s="80" t="n"/>
      <c r="U2542" s="80" t="n"/>
      <c r="V2542" s="80" t="n"/>
      <c r="W2542" s="80" t="n"/>
      <c r="X2542" s="80" t="n"/>
      <c r="Y2542" s="80" t="n"/>
      <c r="Z2542" s="80" t="n"/>
      <c r="AA2542" s="80" t="n"/>
      <c r="AB2542" s="80" t="n"/>
      <c r="AC2542" s="80" t="n"/>
      <c r="AD2542" s="80" t="n"/>
      <c r="AE2542" s="80" t="n"/>
      <c r="AF2542" s="80" t="n"/>
      <c r="AG2542" s="80" t="n"/>
      <c r="AH2542" s="80" t="n"/>
      <c r="AI2542" s="80" t="n"/>
      <c r="AJ2542" s="80" t="n"/>
      <c r="AK2542" s="80" t="n"/>
      <c r="AL2542" s="80" t="n"/>
      <c r="AM2542" s="80" t="n"/>
      <c r="AN2542" s="80" t="n"/>
      <c r="AO2542" s="80" t="n"/>
      <c r="AP2542" s="80" t="n"/>
      <c r="AQ2542" s="80" t="n"/>
      <c r="AR2542" s="80" t="n"/>
    </row>
    <row r="2543">
      <c r="D2543" s="80" t="n"/>
      <c r="E2543" s="80" t="n"/>
      <c r="F2543" s="80" t="n"/>
      <c r="G2543" s="80" t="n"/>
      <c r="H2543" s="80" t="n"/>
      <c r="I2543" s="80" t="n"/>
      <c r="J2543" s="80" t="n"/>
      <c r="K2543" s="80" t="n"/>
      <c r="L2543" s="80" t="n"/>
      <c r="M2543" s="80" t="n"/>
      <c r="N2543" s="80" t="n"/>
      <c r="O2543" s="80" t="n"/>
      <c r="P2543" s="80" t="n"/>
      <c r="Q2543" s="80" t="n"/>
      <c r="R2543" s="80" t="n"/>
      <c r="S2543" s="80" t="n"/>
      <c r="T2543" s="80" t="n"/>
      <c r="U2543" s="80" t="n"/>
      <c r="V2543" s="80" t="n"/>
      <c r="W2543" s="80" t="n"/>
      <c r="X2543" s="80" t="n"/>
      <c r="Y2543" s="80" t="n"/>
      <c r="Z2543" s="80" t="n"/>
      <c r="AA2543" s="80" t="n"/>
      <c r="AB2543" s="80" t="n"/>
      <c r="AC2543" s="80" t="n"/>
      <c r="AD2543" s="80" t="n"/>
      <c r="AE2543" s="80" t="n"/>
      <c r="AF2543" s="80" t="n"/>
      <c r="AG2543" s="80" t="n"/>
      <c r="AH2543" s="80" t="n"/>
      <c r="AI2543" s="80" t="n"/>
      <c r="AJ2543" s="80" t="n"/>
      <c r="AK2543" s="80" t="n"/>
      <c r="AL2543" s="80" t="n"/>
      <c r="AM2543" s="80" t="n"/>
      <c r="AN2543" s="80" t="n"/>
      <c r="AO2543" s="80" t="n"/>
      <c r="AP2543" s="80" t="n"/>
      <c r="AQ2543" s="80" t="n"/>
      <c r="AR2543" s="80" t="n"/>
    </row>
    <row r="2544">
      <c r="D2544" s="80" t="n"/>
      <c r="E2544" s="80" t="n"/>
      <c r="F2544" s="80" t="n"/>
      <c r="G2544" s="80" t="n"/>
      <c r="H2544" s="80" t="n"/>
      <c r="I2544" s="80" t="n"/>
      <c r="J2544" s="80" t="n"/>
      <c r="K2544" s="80" t="n"/>
      <c r="L2544" s="80" t="n"/>
      <c r="M2544" s="80" t="n"/>
      <c r="N2544" s="80" t="n"/>
      <c r="O2544" s="80" t="n"/>
      <c r="P2544" s="80" t="n"/>
      <c r="Q2544" s="80" t="n"/>
      <c r="R2544" s="80" t="n"/>
      <c r="S2544" s="80" t="n"/>
      <c r="T2544" s="80" t="n"/>
      <c r="U2544" s="80" t="n"/>
      <c r="V2544" s="80" t="n"/>
      <c r="W2544" s="80" t="n"/>
      <c r="X2544" s="80" t="n"/>
      <c r="Y2544" s="80" t="n"/>
      <c r="Z2544" s="80" t="n"/>
      <c r="AA2544" s="80" t="n"/>
      <c r="AB2544" s="80" t="n"/>
      <c r="AC2544" s="80" t="n"/>
      <c r="AD2544" s="80" t="n"/>
      <c r="AE2544" s="80" t="n"/>
      <c r="AF2544" s="80" t="n"/>
      <c r="AG2544" s="80" t="n"/>
      <c r="AH2544" s="80" t="n"/>
      <c r="AI2544" s="80" t="n"/>
      <c r="AJ2544" s="80" t="n"/>
      <c r="AK2544" s="80" t="n"/>
      <c r="AL2544" s="80" t="n"/>
      <c r="AM2544" s="80" t="n"/>
      <c r="AN2544" s="80" t="n"/>
      <c r="AO2544" s="80" t="n"/>
      <c r="AP2544" s="80" t="n"/>
      <c r="AQ2544" s="80" t="n"/>
      <c r="AR2544" s="80" t="n"/>
    </row>
    <row r="2545">
      <c r="D2545" s="80" t="n"/>
      <c r="E2545" s="80" t="n"/>
      <c r="F2545" s="80" t="n"/>
      <c r="G2545" s="80" t="n"/>
      <c r="H2545" s="80" t="n"/>
      <c r="I2545" s="80" t="n"/>
      <c r="J2545" s="80" t="n"/>
      <c r="K2545" s="80" t="n"/>
      <c r="L2545" s="80" t="n"/>
      <c r="M2545" s="80" t="n"/>
      <c r="N2545" s="80" t="n"/>
      <c r="O2545" s="80" t="n"/>
      <c r="P2545" s="80" t="n"/>
      <c r="Q2545" s="80" t="n"/>
      <c r="R2545" s="80" t="n"/>
      <c r="S2545" s="80" t="n"/>
      <c r="T2545" s="80" t="n"/>
      <c r="U2545" s="80" t="n"/>
      <c r="V2545" s="80" t="n"/>
      <c r="W2545" s="80" t="n"/>
      <c r="X2545" s="80" t="n"/>
      <c r="Y2545" s="80" t="n"/>
      <c r="Z2545" s="80" t="n"/>
      <c r="AA2545" s="80" t="n"/>
      <c r="AB2545" s="80" t="n"/>
      <c r="AC2545" s="80" t="n"/>
      <c r="AD2545" s="80" t="n"/>
      <c r="AE2545" s="80" t="n"/>
      <c r="AF2545" s="80" t="n"/>
      <c r="AG2545" s="80" t="n"/>
      <c r="AH2545" s="80" t="n"/>
      <c r="AI2545" s="80" t="n"/>
      <c r="AJ2545" s="80" t="n"/>
      <c r="AK2545" s="80" t="n"/>
      <c r="AL2545" s="80" t="n"/>
      <c r="AM2545" s="80" t="n"/>
      <c r="AN2545" s="80" t="n"/>
      <c r="AO2545" s="80" t="n"/>
      <c r="AP2545" s="80" t="n"/>
      <c r="AQ2545" s="80" t="n"/>
      <c r="AR2545" s="80" t="n"/>
    </row>
    <row r="2546">
      <c r="A2546" s="2">
        <f>IF($A2539="","","   projections")</f>
        <v/>
      </c>
      <c r="B2546" s="41">
        <f>IF($A2539="",0,COUNT($E2547:$AR2547))</f>
        <v/>
      </c>
      <c r="C2546" s="81">
        <f>IF($B2546=0,0,MAX($E2547:$AR2547))</f>
        <v/>
      </c>
      <c r="D2546" s="82">
        <f>BDS($A2539,'Field Check'!$C$6,"headers=y","startcol=1","endcol=7","dir=h")</f>
        <v/>
      </c>
      <c r="E2546" s="83" t="n"/>
      <c r="F2546" s="83" t="n"/>
      <c r="G2546" s="83" t="n"/>
      <c r="H2546" s="83" t="n"/>
      <c r="I2546" s="83" t="n"/>
      <c r="J2546" s="83" t="n"/>
      <c r="K2546" s="83" t="n"/>
      <c r="L2546" s="83" t="n"/>
      <c r="M2546" s="83" t="n"/>
      <c r="N2546" s="83" t="n"/>
      <c r="O2546" s="83" t="n"/>
      <c r="P2546" s="83" t="n"/>
      <c r="Q2546" s="83" t="n"/>
      <c r="R2546" s="83" t="n"/>
      <c r="S2546" s="83" t="n"/>
      <c r="T2546" s="83" t="n"/>
      <c r="U2546" s="83" t="n"/>
      <c r="V2546" s="83" t="n"/>
      <c r="W2546" s="83" t="n"/>
      <c r="X2546" s="83" t="n"/>
      <c r="Y2546" s="83" t="n"/>
      <c r="Z2546" s="83" t="n"/>
      <c r="AA2546" s="83" t="n"/>
      <c r="AB2546" s="83" t="n"/>
      <c r="AC2546" s="83" t="n"/>
      <c r="AD2546" s="83" t="n"/>
      <c r="AE2546" s="83" t="n"/>
      <c r="AF2546" s="83" t="n"/>
      <c r="AG2546" s="83" t="n"/>
      <c r="AH2546" s="83" t="n"/>
      <c r="AI2546" s="83" t="n"/>
      <c r="AJ2546" s="83" t="n"/>
      <c r="AK2546" s="83" t="n"/>
      <c r="AL2546" s="83" t="n"/>
      <c r="AM2546" s="83" t="n"/>
      <c r="AN2546" s="83" t="n"/>
      <c r="AO2546" s="83" t="n"/>
      <c r="AP2546" s="83" t="n"/>
      <c r="AQ2546" s="83" t="n"/>
      <c r="AR2546" s="83" t="n"/>
    </row>
    <row r="2547">
      <c r="D2547" s="83" t="n"/>
      <c r="E2547" s="83" t="n"/>
      <c r="F2547" s="83" t="n"/>
      <c r="G2547" s="83" t="n"/>
      <c r="H2547" s="83" t="n"/>
      <c r="I2547" s="83" t="n"/>
      <c r="J2547" s="83" t="n"/>
      <c r="K2547" s="83" t="n"/>
      <c r="L2547" s="83" t="n"/>
      <c r="M2547" s="83" t="n"/>
      <c r="N2547" s="83" t="n"/>
      <c r="O2547" s="83" t="n"/>
      <c r="P2547" s="83" t="n"/>
      <c r="Q2547" s="83" t="n"/>
      <c r="R2547" s="83" t="n"/>
      <c r="S2547" s="83" t="n"/>
      <c r="T2547" s="83" t="n"/>
      <c r="U2547" s="83" t="n"/>
      <c r="V2547" s="83" t="n"/>
      <c r="W2547" s="83" t="n"/>
      <c r="X2547" s="83" t="n"/>
      <c r="Y2547" s="83" t="n"/>
      <c r="Z2547" s="83" t="n"/>
      <c r="AA2547" s="83" t="n"/>
      <c r="AB2547" s="83" t="n"/>
      <c r="AC2547" s="83" t="n"/>
      <c r="AD2547" s="83" t="n"/>
      <c r="AE2547" s="83" t="n"/>
      <c r="AF2547" s="83" t="n"/>
      <c r="AG2547" s="83" t="n"/>
      <c r="AH2547" s="83" t="n"/>
      <c r="AI2547" s="83" t="n"/>
      <c r="AJ2547" s="83" t="n"/>
      <c r="AK2547" s="83" t="n"/>
      <c r="AL2547" s="83" t="n"/>
      <c r="AM2547" s="83" t="n"/>
      <c r="AN2547" s="83" t="n"/>
      <c r="AO2547" s="83" t="n"/>
      <c r="AP2547" s="83" t="n"/>
      <c r="AQ2547" s="83" t="n"/>
      <c r="AR2547" s="83" t="n"/>
    </row>
    <row r="2548">
      <c r="D2548" s="84" t="n"/>
      <c r="E2548" s="84" t="n"/>
      <c r="F2548" s="84" t="n"/>
      <c r="G2548" s="84" t="n"/>
      <c r="H2548" s="84" t="n"/>
      <c r="I2548" s="84" t="n"/>
      <c r="J2548" s="84" t="n"/>
      <c r="K2548" s="84" t="n"/>
      <c r="L2548" s="84" t="n"/>
      <c r="M2548" s="84" t="n"/>
      <c r="N2548" s="84" t="n"/>
      <c r="O2548" s="84" t="n"/>
      <c r="P2548" s="84" t="n"/>
      <c r="Q2548" s="84" t="n"/>
      <c r="R2548" s="84" t="n"/>
      <c r="S2548" s="84" t="n"/>
      <c r="T2548" s="84" t="n"/>
      <c r="U2548" s="84" t="n"/>
      <c r="V2548" s="84" t="n"/>
      <c r="W2548" s="84" t="n"/>
      <c r="X2548" s="84" t="n"/>
      <c r="Y2548" s="84" t="n"/>
      <c r="Z2548" s="84" t="n"/>
      <c r="AA2548" s="84" t="n"/>
      <c r="AB2548" s="84" t="n"/>
      <c r="AC2548" s="84" t="n"/>
      <c r="AD2548" s="84" t="n"/>
      <c r="AE2548" s="84" t="n"/>
      <c r="AF2548" s="84" t="n"/>
      <c r="AG2548" s="84" t="n"/>
      <c r="AH2548" s="84" t="n"/>
      <c r="AI2548" s="84" t="n"/>
      <c r="AJ2548" s="84" t="n"/>
      <c r="AK2548" s="84" t="n"/>
      <c r="AL2548" s="84" t="n"/>
      <c r="AM2548" s="84" t="n"/>
      <c r="AN2548" s="84" t="n"/>
      <c r="AO2548" s="84" t="n"/>
      <c r="AP2548" s="84" t="n"/>
      <c r="AQ2548" s="84" t="n"/>
      <c r="AR2548" s="84" t="n"/>
    </row>
    <row r="2549">
      <c r="D2549" s="80" t="n"/>
      <c r="E2549" s="80" t="n"/>
      <c r="F2549" s="80" t="n"/>
      <c r="G2549" s="80" t="n"/>
      <c r="H2549" s="80" t="n"/>
      <c r="I2549" s="80" t="n"/>
      <c r="J2549" s="80" t="n"/>
      <c r="K2549" s="80" t="n"/>
      <c r="L2549" s="80" t="n"/>
      <c r="M2549" s="80" t="n"/>
      <c r="N2549" s="80" t="n"/>
      <c r="O2549" s="80" t="n"/>
      <c r="P2549" s="80" t="n"/>
      <c r="Q2549" s="80" t="n"/>
      <c r="R2549" s="80" t="n"/>
      <c r="S2549" s="80" t="n"/>
      <c r="T2549" s="80" t="n"/>
      <c r="U2549" s="80" t="n"/>
      <c r="V2549" s="80" t="n"/>
      <c r="W2549" s="80" t="n"/>
      <c r="X2549" s="80" t="n"/>
      <c r="Y2549" s="80" t="n"/>
      <c r="Z2549" s="80" t="n"/>
      <c r="AA2549" s="80" t="n"/>
      <c r="AB2549" s="80" t="n"/>
      <c r="AC2549" s="80" t="n"/>
      <c r="AD2549" s="80" t="n"/>
      <c r="AE2549" s="80" t="n"/>
      <c r="AF2549" s="80" t="n"/>
      <c r="AG2549" s="80" t="n"/>
      <c r="AH2549" s="80" t="n"/>
      <c r="AI2549" s="80" t="n"/>
      <c r="AJ2549" s="80" t="n"/>
      <c r="AK2549" s="80" t="n"/>
      <c r="AL2549" s="80" t="n"/>
      <c r="AM2549" s="80" t="n"/>
      <c r="AN2549" s="80" t="n"/>
      <c r="AO2549" s="80" t="n"/>
      <c r="AP2549" s="80" t="n"/>
      <c r="AQ2549" s="80" t="n"/>
      <c r="AR2549" s="80" t="n"/>
    </row>
    <row r="2550">
      <c r="D2550" s="80" t="n"/>
      <c r="E2550" s="80" t="n"/>
      <c r="F2550" s="80" t="n"/>
      <c r="G2550" s="80" t="n"/>
      <c r="H2550" s="80" t="n"/>
      <c r="I2550" s="80" t="n"/>
      <c r="J2550" s="80" t="n"/>
      <c r="K2550" s="80" t="n"/>
      <c r="L2550" s="80" t="n"/>
      <c r="M2550" s="80" t="n"/>
      <c r="N2550" s="80" t="n"/>
      <c r="O2550" s="80" t="n"/>
      <c r="P2550" s="80" t="n"/>
      <c r="Q2550" s="80" t="n"/>
      <c r="R2550" s="80" t="n"/>
      <c r="S2550" s="80" t="n"/>
      <c r="T2550" s="80" t="n"/>
      <c r="U2550" s="80" t="n"/>
      <c r="V2550" s="80" t="n"/>
      <c r="W2550" s="80" t="n"/>
      <c r="X2550" s="80" t="n"/>
      <c r="Y2550" s="80" t="n"/>
      <c r="Z2550" s="80" t="n"/>
      <c r="AA2550" s="80" t="n"/>
      <c r="AB2550" s="80" t="n"/>
      <c r="AC2550" s="80" t="n"/>
      <c r="AD2550" s="80" t="n"/>
      <c r="AE2550" s="80" t="n"/>
      <c r="AF2550" s="80" t="n"/>
      <c r="AG2550" s="80" t="n"/>
      <c r="AH2550" s="80" t="n"/>
      <c r="AI2550" s="80" t="n"/>
      <c r="AJ2550" s="80" t="n"/>
      <c r="AK2550" s="80" t="n"/>
      <c r="AL2550" s="80" t="n"/>
      <c r="AM2550" s="80" t="n"/>
      <c r="AN2550" s="80" t="n"/>
      <c r="AO2550" s="80" t="n"/>
      <c r="AP2550" s="80" t="n"/>
      <c r="AQ2550" s="80" t="n"/>
      <c r="AR2550" s="80" t="n"/>
    </row>
    <row r="2551">
      <c r="D2551" s="80" t="n"/>
      <c r="E2551" s="80" t="n"/>
      <c r="F2551" s="80" t="n"/>
      <c r="G2551" s="80" t="n"/>
      <c r="H2551" s="80" t="n"/>
      <c r="I2551" s="80" t="n"/>
      <c r="J2551" s="80" t="n"/>
      <c r="K2551" s="80" t="n"/>
      <c r="L2551" s="80" t="n"/>
      <c r="M2551" s="80" t="n"/>
      <c r="N2551" s="80" t="n"/>
      <c r="O2551" s="80" t="n"/>
      <c r="P2551" s="80" t="n"/>
      <c r="Q2551" s="80" t="n"/>
      <c r="R2551" s="80" t="n"/>
      <c r="S2551" s="80" t="n"/>
      <c r="T2551" s="80" t="n"/>
      <c r="U2551" s="80" t="n"/>
      <c r="V2551" s="80" t="n"/>
      <c r="W2551" s="80" t="n"/>
      <c r="X2551" s="80" t="n"/>
      <c r="Y2551" s="80" t="n"/>
      <c r="Z2551" s="80" t="n"/>
      <c r="AA2551" s="80" t="n"/>
      <c r="AB2551" s="80" t="n"/>
      <c r="AC2551" s="80" t="n"/>
      <c r="AD2551" s="80" t="n"/>
      <c r="AE2551" s="80" t="n"/>
      <c r="AF2551" s="80" t="n"/>
      <c r="AG2551" s="80" t="n"/>
      <c r="AH2551" s="80" t="n"/>
      <c r="AI2551" s="80" t="n"/>
      <c r="AJ2551" s="80" t="n"/>
      <c r="AK2551" s="80" t="n"/>
      <c r="AL2551" s="80" t="n"/>
      <c r="AM2551" s="80" t="n"/>
      <c r="AN2551" s="80" t="n"/>
      <c r="AO2551" s="80" t="n"/>
      <c r="AP2551" s="80" t="n"/>
      <c r="AQ2551" s="80" t="n"/>
      <c r="AR2551" s="80" t="n"/>
    </row>
    <row r="2552">
      <c r="D2552" s="80" t="n"/>
      <c r="E2552" s="80" t="n"/>
      <c r="F2552" s="80" t="n"/>
      <c r="G2552" s="80" t="n"/>
      <c r="H2552" s="80" t="n"/>
      <c r="I2552" s="80" t="n"/>
      <c r="J2552" s="80" t="n"/>
      <c r="K2552" s="80" t="n"/>
      <c r="L2552" s="80" t="n"/>
      <c r="M2552" s="80" t="n"/>
      <c r="N2552" s="80" t="n"/>
      <c r="O2552" s="80" t="n"/>
      <c r="P2552" s="80" t="n"/>
      <c r="Q2552" s="80" t="n"/>
      <c r="R2552" s="80" t="n"/>
      <c r="S2552" s="80" t="n"/>
      <c r="T2552" s="80" t="n"/>
      <c r="U2552" s="80" t="n"/>
      <c r="V2552" s="80" t="n"/>
      <c r="W2552" s="80" t="n"/>
      <c r="X2552" s="80" t="n"/>
      <c r="Y2552" s="80" t="n"/>
      <c r="Z2552" s="80" t="n"/>
      <c r="AA2552" s="80" t="n"/>
      <c r="AB2552" s="80" t="n"/>
      <c r="AC2552" s="80" t="n"/>
      <c r="AD2552" s="80" t="n"/>
      <c r="AE2552" s="80" t="n"/>
      <c r="AF2552" s="80" t="n"/>
      <c r="AG2552" s="80" t="n"/>
      <c r="AH2552" s="80" t="n"/>
      <c r="AI2552" s="80" t="n"/>
      <c r="AJ2552" s="80" t="n"/>
      <c r="AK2552" s="80" t="n"/>
      <c r="AL2552" s="80" t="n"/>
      <c r="AM2552" s="80" t="n"/>
      <c r="AN2552" s="80" t="n"/>
      <c r="AO2552" s="80" t="n"/>
      <c r="AP2552" s="80" t="n"/>
      <c r="AQ2552" s="80" t="n"/>
      <c r="AR2552" s="80" t="n"/>
    </row>
    <row r="2554">
      <c r="A2554" s="6">
        <f>IF(HSCEI!$C$36="","",HSCEI!$C$36)</f>
        <v/>
      </c>
      <c r="B2554" s="41">
        <f>IF($A2554="",0,COUNT($E2555:$AR2555))</f>
        <v/>
      </c>
      <c r="C2554" s="81">
        <f>IF($B2554=0,0,MAX($E2555:$AR2555))</f>
        <v/>
      </c>
      <c r="D2554" s="82">
        <f>BDS($A2554,'Field Check'!$C$7,"headers=y","startcol=1","endcol=7","dir=h","DVD_START_DT",Summary!$C$18,"DVD_END_DT",Summary!$D$18)</f>
        <v/>
      </c>
      <c r="E2554" s="83" t="n"/>
      <c r="F2554" s="83" t="n"/>
      <c r="G2554" s="83" t="n"/>
      <c r="H2554" s="83" t="n"/>
      <c r="I2554" s="83" t="n"/>
      <c r="J2554" s="83" t="n"/>
      <c r="K2554" s="83" t="n"/>
      <c r="L2554" s="83" t="n"/>
      <c r="M2554" s="83" t="n"/>
      <c r="N2554" s="83" t="n"/>
      <c r="O2554" s="83" t="n"/>
      <c r="P2554" s="83" t="n"/>
      <c r="Q2554" s="83" t="n"/>
      <c r="R2554" s="83" t="n"/>
      <c r="S2554" s="83" t="n"/>
      <c r="T2554" s="83" t="n"/>
      <c r="U2554" s="83" t="n"/>
      <c r="V2554" s="83" t="n"/>
      <c r="W2554" s="83" t="n"/>
      <c r="X2554" s="83" t="n"/>
      <c r="Y2554" s="83" t="n"/>
      <c r="Z2554" s="83" t="n"/>
      <c r="AA2554" s="83" t="n"/>
      <c r="AB2554" s="83" t="n"/>
      <c r="AC2554" s="83" t="n"/>
      <c r="AD2554" s="83" t="n"/>
      <c r="AE2554" s="83" t="n"/>
      <c r="AF2554" s="83" t="n"/>
      <c r="AG2554" s="83" t="n"/>
      <c r="AH2554" s="83" t="n"/>
      <c r="AI2554" s="83" t="n"/>
      <c r="AJ2554" s="83" t="n"/>
      <c r="AK2554" s="83" t="n"/>
      <c r="AL2554" s="83" t="n"/>
      <c r="AM2554" s="83" t="n"/>
      <c r="AN2554" s="83" t="n"/>
      <c r="AO2554" s="83" t="n"/>
      <c r="AP2554" s="83" t="n"/>
      <c r="AQ2554" s="83" t="n"/>
      <c r="AR2554" s="83" t="n"/>
    </row>
    <row r="2555">
      <c r="D2555" s="83" t="n"/>
      <c r="E2555" s="83" t="n"/>
      <c r="F2555" s="83" t="n"/>
      <c r="G2555" s="83" t="n"/>
      <c r="H2555" s="83" t="n"/>
      <c r="I2555" s="83" t="n"/>
      <c r="J2555" s="83" t="n"/>
      <c r="K2555" s="83" t="n"/>
      <c r="L2555" s="83" t="n"/>
      <c r="M2555" s="83" t="n"/>
      <c r="N2555" s="83" t="n"/>
      <c r="O2555" s="83" t="n"/>
      <c r="P2555" s="83" t="n"/>
      <c r="Q2555" s="83" t="n"/>
      <c r="R2555" s="83" t="n"/>
      <c r="S2555" s="83" t="n"/>
      <c r="T2555" s="83" t="n"/>
      <c r="U2555" s="83" t="n"/>
      <c r="V2555" s="83" t="n"/>
      <c r="W2555" s="83" t="n"/>
      <c r="X2555" s="83" t="n"/>
      <c r="Y2555" s="83" t="n"/>
      <c r="Z2555" s="83" t="n"/>
      <c r="AA2555" s="83" t="n"/>
      <c r="AB2555" s="83" t="n"/>
      <c r="AC2555" s="83" t="n"/>
      <c r="AD2555" s="83" t="n"/>
      <c r="AE2555" s="83" t="n"/>
      <c r="AF2555" s="83" t="n"/>
      <c r="AG2555" s="83" t="n"/>
      <c r="AH2555" s="83" t="n"/>
      <c r="AI2555" s="83" t="n"/>
      <c r="AJ2555" s="83" t="n"/>
      <c r="AK2555" s="83" t="n"/>
      <c r="AL2555" s="83" t="n"/>
      <c r="AM2555" s="83" t="n"/>
      <c r="AN2555" s="83" t="n"/>
      <c r="AO2555" s="83" t="n"/>
      <c r="AP2555" s="83" t="n"/>
      <c r="AQ2555" s="83" t="n"/>
      <c r="AR2555" s="83" t="n"/>
    </row>
    <row r="2556">
      <c r="D2556" s="84" t="n"/>
      <c r="E2556" s="84" t="n"/>
      <c r="F2556" s="84" t="n"/>
      <c r="G2556" s="84" t="n"/>
      <c r="H2556" s="84" t="n"/>
      <c r="I2556" s="84" t="n"/>
      <c r="J2556" s="84" t="n"/>
      <c r="K2556" s="84" t="n"/>
      <c r="L2556" s="84" t="n"/>
      <c r="M2556" s="84" t="n"/>
      <c r="N2556" s="84" t="n"/>
      <c r="O2556" s="84" t="n"/>
      <c r="P2556" s="84" t="n"/>
      <c r="Q2556" s="84" t="n"/>
      <c r="R2556" s="84" t="n"/>
      <c r="S2556" s="84" t="n"/>
      <c r="T2556" s="84" t="n"/>
      <c r="U2556" s="84" t="n"/>
      <c r="V2556" s="84" t="n"/>
      <c r="W2556" s="84" t="n"/>
      <c r="X2556" s="84" t="n"/>
      <c r="Y2556" s="84" t="n"/>
      <c r="Z2556" s="84" t="n"/>
      <c r="AA2556" s="84" t="n"/>
      <c r="AB2556" s="84" t="n"/>
      <c r="AC2556" s="84" t="n"/>
      <c r="AD2556" s="84" t="n"/>
      <c r="AE2556" s="84" t="n"/>
      <c r="AF2556" s="84" t="n"/>
      <c r="AG2556" s="84" t="n"/>
      <c r="AH2556" s="84" t="n"/>
      <c r="AI2556" s="84" t="n"/>
      <c r="AJ2556" s="84" t="n"/>
      <c r="AK2556" s="84" t="n"/>
      <c r="AL2556" s="84" t="n"/>
      <c r="AM2556" s="84" t="n"/>
      <c r="AN2556" s="84" t="n"/>
      <c r="AO2556" s="84" t="n"/>
      <c r="AP2556" s="84" t="n"/>
      <c r="AQ2556" s="84" t="n"/>
      <c r="AR2556" s="84" t="n"/>
    </row>
    <row r="2557">
      <c r="D2557" s="80" t="n"/>
      <c r="E2557" s="80" t="n"/>
      <c r="F2557" s="80" t="n"/>
      <c r="G2557" s="80" t="n"/>
      <c r="H2557" s="80" t="n"/>
      <c r="I2557" s="80" t="n"/>
      <c r="J2557" s="80" t="n"/>
      <c r="K2557" s="80" t="n"/>
      <c r="L2557" s="80" t="n"/>
      <c r="M2557" s="80" t="n"/>
      <c r="N2557" s="80" t="n"/>
      <c r="O2557" s="80" t="n"/>
      <c r="P2557" s="80" t="n"/>
      <c r="Q2557" s="80" t="n"/>
      <c r="R2557" s="80" t="n"/>
      <c r="S2557" s="80" t="n"/>
      <c r="T2557" s="80" t="n"/>
      <c r="U2557" s="80" t="n"/>
      <c r="V2557" s="80" t="n"/>
      <c r="W2557" s="80" t="n"/>
      <c r="X2557" s="80" t="n"/>
      <c r="Y2557" s="80" t="n"/>
      <c r="Z2557" s="80" t="n"/>
      <c r="AA2557" s="80" t="n"/>
      <c r="AB2557" s="80" t="n"/>
      <c r="AC2557" s="80" t="n"/>
      <c r="AD2557" s="80" t="n"/>
      <c r="AE2557" s="80" t="n"/>
      <c r="AF2557" s="80" t="n"/>
      <c r="AG2557" s="80" t="n"/>
      <c r="AH2557" s="80" t="n"/>
      <c r="AI2557" s="80" t="n"/>
      <c r="AJ2557" s="80" t="n"/>
      <c r="AK2557" s="80" t="n"/>
      <c r="AL2557" s="80" t="n"/>
      <c r="AM2557" s="80" t="n"/>
      <c r="AN2557" s="80" t="n"/>
      <c r="AO2557" s="80" t="n"/>
      <c r="AP2557" s="80" t="n"/>
      <c r="AQ2557" s="80" t="n"/>
      <c r="AR2557" s="80" t="n"/>
    </row>
    <row r="2558">
      <c r="D2558" s="80" t="n"/>
      <c r="E2558" s="80" t="n"/>
      <c r="F2558" s="80" t="n"/>
      <c r="G2558" s="80" t="n"/>
      <c r="H2558" s="80" t="n"/>
      <c r="I2558" s="80" t="n"/>
      <c r="J2558" s="80" t="n"/>
      <c r="K2558" s="80" t="n"/>
      <c r="L2558" s="80" t="n"/>
      <c r="M2558" s="80" t="n"/>
      <c r="N2558" s="80" t="n"/>
      <c r="O2558" s="80" t="n"/>
      <c r="P2558" s="80" t="n"/>
      <c r="Q2558" s="80" t="n"/>
      <c r="R2558" s="80" t="n"/>
      <c r="S2558" s="80" t="n"/>
      <c r="T2558" s="80" t="n"/>
      <c r="U2558" s="80" t="n"/>
      <c r="V2558" s="80" t="n"/>
      <c r="W2558" s="80" t="n"/>
      <c r="X2558" s="80" t="n"/>
      <c r="Y2558" s="80" t="n"/>
      <c r="Z2558" s="80" t="n"/>
      <c r="AA2558" s="80" t="n"/>
      <c r="AB2558" s="80" t="n"/>
      <c r="AC2558" s="80" t="n"/>
      <c r="AD2558" s="80" t="n"/>
      <c r="AE2558" s="80" t="n"/>
      <c r="AF2558" s="80" t="n"/>
      <c r="AG2558" s="80" t="n"/>
      <c r="AH2558" s="80" t="n"/>
      <c r="AI2558" s="80" t="n"/>
      <c r="AJ2558" s="80" t="n"/>
      <c r="AK2558" s="80" t="n"/>
      <c r="AL2558" s="80" t="n"/>
      <c r="AM2558" s="80" t="n"/>
      <c r="AN2558" s="80" t="n"/>
      <c r="AO2558" s="80" t="n"/>
      <c r="AP2558" s="80" t="n"/>
      <c r="AQ2558" s="80" t="n"/>
      <c r="AR2558" s="80" t="n"/>
    </row>
    <row r="2559">
      <c r="D2559" s="80" t="n"/>
      <c r="E2559" s="80" t="n"/>
      <c r="F2559" s="80" t="n"/>
      <c r="G2559" s="80" t="n"/>
      <c r="H2559" s="80" t="n"/>
      <c r="I2559" s="80" t="n"/>
      <c r="J2559" s="80" t="n"/>
      <c r="K2559" s="80" t="n"/>
      <c r="L2559" s="80" t="n"/>
      <c r="M2559" s="80" t="n"/>
      <c r="N2559" s="80" t="n"/>
      <c r="O2559" s="80" t="n"/>
      <c r="P2559" s="80" t="n"/>
      <c r="Q2559" s="80" t="n"/>
      <c r="R2559" s="80" t="n"/>
      <c r="S2559" s="80" t="n"/>
      <c r="T2559" s="80" t="n"/>
      <c r="U2559" s="80" t="n"/>
      <c r="V2559" s="80" t="n"/>
      <c r="W2559" s="80" t="n"/>
      <c r="X2559" s="80" t="n"/>
      <c r="Y2559" s="80" t="n"/>
      <c r="Z2559" s="80" t="n"/>
      <c r="AA2559" s="80" t="n"/>
      <c r="AB2559" s="80" t="n"/>
      <c r="AC2559" s="80" t="n"/>
      <c r="AD2559" s="80" t="n"/>
      <c r="AE2559" s="80" t="n"/>
      <c r="AF2559" s="80" t="n"/>
      <c r="AG2559" s="80" t="n"/>
      <c r="AH2559" s="80" t="n"/>
      <c r="AI2559" s="80" t="n"/>
      <c r="AJ2559" s="80" t="n"/>
      <c r="AK2559" s="80" t="n"/>
      <c r="AL2559" s="80" t="n"/>
      <c r="AM2559" s="80" t="n"/>
      <c r="AN2559" s="80" t="n"/>
      <c r="AO2559" s="80" t="n"/>
      <c r="AP2559" s="80" t="n"/>
      <c r="AQ2559" s="80" t="n"/>
      <c r="AR2559" s="80" t="n"/>
    </row>
    <row r="2560">
      <c r="D2560" s="80" t="n"/>
      <c r="E2560" s="80" t="n"/>
      <c r="F2560" s="80" t="n"/>
      <c r="G2560" s="80" t="n"/>
      <c r="H2560" s="80" t="n"/>
      <c r="I2560" s="80" t="n"/>
      <c r="J2560" s="80" t="n"/>
      <c r="K2560" s="80" t="n"/>
      <c r="L2560" s="80" t="n"/>
      <c r="M2560" s="80" t="n"/>
      <c r="N2560" s="80" t="n"/>
      <c r="O2560" s="80" t="n"/>
      <c r="P2560" s="80" t="n"/>
      <c r="Q2560" s="80" t="n"/>
      <c r="R2560" s="80" t="n"/>
      <c r="S2560" s="80" t="n"/>
      <c r="T2560" s="80" t="n"/>
      <c r="U2560" s="80" t="n"/>
      <c r="V2560" s="80" t="n"/>
      <c r="W2560" s="80" t="n"/>
      <c r="X2560" s="80" t="n"/>
      <c r="Y2560" s="80" t="n"/>
      <c r="Z2560" s="80" t="n"/>
      <c r="AA2560" s="80" t="n"/>
      <c r="AB2560" s="80" t="n"/>
      <c r="AC2560" s="80" t="n"/>
      <c r="AD2560" s="80" t="n"/>
      <c r="AE2560" s="80" t="n"/>
      <c r="AF2560" s="80" t="n"/>
      <c r="AG2560" s="80" t="n"/>
      <c r="AH2560" s="80" t="n"/>
      <c r="AI2560" s="80" t="n"/>
      <c r="AJ2560" s="80" t="n"/>
      <c r="AK2560" s="80" t="n"/>
      <c r="AL2560" s="80" t="n"/>
      <c r="AM2560" s="80" t="n"/>
      <c r="AN2560" s="80" t="n"/>
      <c r="AO2560" s="80" t="n"/>
      <c r="AP2560" s="80" t="n"/>
      <c r="AQ2560" s="80" t="n"/>
      <c r="AR2560" s="80" t="n"/>
    </row>
    <row r="2561">
      <c r="A2561" s="2">
        <f>IF($A2554="","","   projections")</f>
        <v/>
      </c>
      <c r="B2561" s="41">
        <f>IF($A2554="",0,COUNT($E2562:$AR2562))</f>
        <v/>
      </c>
      <c r="C2561" s="81">
        <f>IF($B2561=0,0,MAX($E2562:$AR2562))</f>
        <v/>
      </c>
      <c r="D2561" s="82">
        <f>BDS($A2554,'Field Check'!$C$6,"headers=y","startcol=1","endcol=7","dir=h")</f>
        <v/>
      </c>
      <c r="E2561" s="83" t="n"/>
      <c r="F2561" s="83" t="n"/>
      <c r="G2561" s="83" t="n"/>
      <c r="H2561" s="83" t="n"/>
      <c r="I2561" s="83" t="n"/>
      <c r="J2561" s="83" t="n"/>
      <c r="K2561" s="83" t="n"/>
      <c r="L2561" s="83" t="n"/>
      <c r="M2561" s="83" t="n"/>
      <c r="N2561" s="83" t="n"/>
      <c r="O2561" s="83" t="n"/>
      <c r="P2561" s="83" t="n"/>
      <c r="Q2561" s="83" t="n"/>
      <c r="R2561" s="83" t="n"/>
      <c r="S2561" s="83" t="n"/>
      <c r="T2561" s="83" t="n"/>
      <c r="U2561" s="83" t="n"/>
      <c r="V2561" s="83" t="n"/>
      <c r="W2561" s="83" t="n"/>
      <c r="X2561" s="83" t="n"/>
      <c r="Y2561" s="83" t="n"/>
      <c r="Z2561" s="83" t="n"/>
      <c r="AA2561" s="83" t="n"/>
      <c r="AB2561" s="83" t="n"/>
      <c r="AC2561" s="83" t="n"/>
      <c r="AD2561" s="83" t="n"/>
      <c r="AE2561" s="83" t="n"/>
      <c r="AF2561" s="83" t="n"/>
      <c r="AG2561" s="83" t="n"/>
      <c r="AH2561" s="83" t="n"/>
      <c r="AI2561" s="83" t="n"/>
      <c r="AJ2561" s="83" t="n"/>
      <c r="AK2561" s="83" t="n"/>
      <c r="AL2561" s="83" t="n"/>
      <c r="AM2561" s="83" t="n"/>
      <c r="AN2561" s="83" t="n"/>
      <c r="AO2561" s="83" t="n"/>
      <c r="AP2561" s="83" t="n"/>
      <c r="AQ2561" s="83" t="n"/>
      <c r="AR2561" s="83" t="n"/>
    </row>
    <row r="2562">
      <c r="D2562" s="83" t="n"/>
      <c r="E2562" s="83" t="n"/>
      <c r="F2562" s="83" t="n"/>
      <c r="G2562" s="83" t="n"/>
      <c r="H2562" s="83" t="n"/>
      <c r="I2562" s="83" t="n"/>
      <c r="J2562" s="83" t="n"/>
      <c r="K2562" s="83" t="n"/>
      <c r="L2562" s="83" t="n"/>
      <c r="M2562" s="83" t="n"/>
      <c r="N2562" s="83" t="n"/>
      <c r="O2562" s="83" t="n"/>
      <c r="P2562" s="83" t="n"/>
      <c r="Q2562" s="83" t="n"/>
      <c r="R2562" s="83" t="n"/>
      <c r="S2562" s="83" t="n"/>
      <c r="T2562" s="83" t="n"/>
      <c r="U2562" s="83" t="n"/>
      <c r="V2562" s="83" t="n"/>
      <c r="W2562" s="83" t="n"/>
      <c r="X2562" s="83" t="n"/>
      <c r="Y2562" s="83" t="n"/>
      <c r="Z2562" s="83" t="n"/>
      <c r="AA2562" s="83" t="n"/>
      <c r="AB2562" s="83" t="n"/>
      <c r="AC2562" s="83" t="n"/>
      <c r="AD2562" s="83" t="n"/>
      <c r="AE2562" s="83" t="n"/>
      <c r="AF2562" s="83" t="n"/>
      <c r="AG2562" s="83" t="n"/>
      <c r="AH2562" s="83" t="n"/>
      <c r="AI2562" s="83" t="n"/>
      <c r="AJ2562" s="83" t="n"/>
      <c r="AK2562" s="83" t="n"/>
      <c r="AL2562" s="83" t="n"/>
      <c r="AM2562" s="83" t="n"/>
      <c r="AN2562" s="83" t="n"/>
      <c r="AO2562" s="83" t="n"/>
      <c r="AP2562" s="83" t="n"/>
      <c r="AQ2562" s="83" t="n"/>
      <c r="AR2562" s="83" t="n"/>
    </row>
    <row r="2563">
      <c r="D2563" s="84" t="n"/>
      <c r="E2563" s="84" t="n"/>
      <c r="F2563" s="84" t="n"/>
      <c r="G2563" s="84" t="n"/>
      <c r="H2563" s="84" t="n"/>
      <c r="I2563" s="84" t="n"/>
      <c r="J2563" s="84" t="n"/>
      <c r="K2563" s="84" t="n"/>
      <c r="L2563" s="84" t="n"/>
      <c r="M2563" s="84" t="n"/>
      <c r="N2563" s="84" t="n"/>
      <c r="O2563" s="84" t="n"/>
      <c r="P2563" s="84" t="n"/>
      <c r="Q2563" s="84" t="n"/>
      <c r="R2563" s="84" t="n"/>
      <c r="S2563" s="84" t="n"/>
      <c r="T2563" s="84" t="n"/>
      <c r="U2563" s="84" t="n"/>
      <c r="V2563" s="84" t="n"/>
      <c r="W2563" s="84" t="n"/>
      <c r="X2563" s="84" t="n"/>
      <c r="Y2563" s="84" t="n"/>
      <c r="Z2563" s="84" t="n"/>
      <c r="AA2563" s="84" t="n"/>
      <c r="AB2563" s="84" t="n"/>
      <c r="AC2563" s="84" t="n"/>
      <c r="AD2563" s="84" t="n"/>
      <c r="AE2563" s="84" t="n"/>
      <c r="AF2563" s="84" t="n"/>
      <c r="AG2563" s="84" t="n"/>
      <c r="AH2563" s="84" t="n"/>
      <c r="AI2563" s="84" t="n"/>
      <c r="AJ2563" s="84" t="n"/>
      <c r="AK2563" s="84" t="n"/>
      <c r="AL2563" s="84" t="n"/>
      <c r="AM2563" s="84" t="n"/>
      <c r="AN2563" s="84" t="n"/>
      <c r="AO2563" s="84" t="n"/>
      <c r="AP2563" s="84" t="n"/>
      <c r="AQ2563" s="84" t="n"/>
      <c r="AR2563" s="84" t="n"/>
    </row>
    <row r="2564">
      <c r="D2564" s="80" t="n"/>
      <c r="E2564" s="80" t="n"/>
      <c r="F2564" s="80" t="n"/>
      <c r="G2564" s="80" t="n"/>
      <c r="H2564" s="80" t="n"/>
      <c r="I2564" s="80" t="n"/>
      <c r="J2564" s="80" t="n"/>
      <c r="K2564" s="80" t="n"/>
      <c r="L2564" s="80" t="n"/>
      <c r="M2564" s="80" t="n"/>
      <c r="N2564" s="80" t="n"/>
      <c r="O2564" s="80" t="n"/>
      <c r="P2564" s="80" t="n"/>
      <c r="Q2564" s="80" t="n"/>
      <c r="R2564" s="80" t="n"/>
      <c r="S2564" s="80" t="n"/>
      <c r="T2564" s="80" t="n"/>
      <c r="U2564" s="80" t="n"/>
      <c r="V2564" s="80" t="n"/>
      <c r="W2564" s="80" t="n"/>
      <c r="X2564" s="80" t="n"/>
      <c r="Y2564" s="80" t="n"/>
      <c r="Z2564" s="80" t="n"/>
      <c r="AA2564" s="80" t="n"/>
      <c r="AB2564" s="80" t="n"/>
      <c r="AC2564" s="80" t="n"/>
      <c r="AD2564" s="80" t="n"/>
      <c r="AE2564" s="80" t="n"/>
      <c r="AF2564" s="80" t="n"/>
      <c r="AG2564" s="80" t="n"/>
      <c r="AH2564" s="80" t="n"/>
      <c r="AI2564" s="80" t="n"/>
      <c r="AJ2564" s="80" t="n"/>
      <c r="AK2564" s="80" t="n"/>
      <c r="AL2564" s="80" t="n"/>
      <c r="AM2564" s="80" t="n"/>
      <c r="AN2564" s="80" t="n"/>
      <c r="AO2564" s="80" t="n"/>
      <c r="AP2564" s="80" t="n"/>
      <c r="AQ2564" s="80" t="n"/>
      <c r="AR2564" s="80" t="n"/>
    </row>
    <row r="2565">
      <c r="D2565" s="80" t="n"/>
      <c r="E2565" s="80" t="n"/>
      <c r="F2565" s="80" t="n"/>
      <c r="G2565" s="80" t="n"/>
      <c r="H2565" s="80" t="n"/>
      <c r="I2565" s="80" t="n"/>
      <c r="J2565" s="80" t="n"/>
      <c r="K2565" s="80" t="n"/>
      <c r="L2565" s="80" t="n"/>
      <c r="M2565" s="80" t="n"/>
      <c r="N2565" s="80" t="n"/>
      <c r="O2565" s="80" t="n"/>
      <c r="P2565" s="80" t="n"/>
      <c r="Q2565" s="80" t="n"/>
      <c r="R2565" s="80" t="n"/>
      <c r="S2565" s="80" t="n"/>
      <c r="T2565" s="80" t="n"/>
      <c r="U2565" s="80" t="n"/>
      <c r="V2565" s="80" t="n"/>
      <c r="W2565" s="80" t="n"/>
      <c r="X2565" s="80" t="n"/>
      <c r="Y2565" s="80" t="n"/>
      <c r="Z2565" s="80" t="n"/>
      <c r="AA2565" s="80" t="n"/>
      <c r="AB2565" s="80" t="n"/>
      <c r="AC2565" s="80" t="n"/>
      <c r="AD2565" s="80" t="n"/>
      <c r="AE2565" s="80" t="n"/>
      <c r="AF2565" s="80" t="n"/>
      <c r="AG2565" s="80" t="n"/>
      <c r="AH2565" s="80" t="n"/>
      <c r="AI2565" s="80" t="n"/>
      <c r="AJ2565" s="80" t="n"/>
      <c r="AK2565" s="80" t="n"/>
      <c r="AL2565" s="80" t="n"/>
      <c r="AM2565" s="80" t="n"/>
      <c r="AN2565" s="80" t="n"/>
      <c r="AO2565" s="80" t="n"/>
      <c r="AP2565" s="80" t="n"/>
      <c r="AQ2565" s="80" t="n"/>
      <c r="AR2565" s="80" t="n"/>
    </row>
    <row r="2566">
      <c r="D2566" s="80" t="n"/>
      <c r="E2566" s="80" t="n"/>
      <c r="F2566" s="80" t="n"/>
      <c r="G2566" s="80" t="n"/>
      <c r="H2566" s="80" t="n"/>
      <c r="I2566" s="80" t="n"/>
      <c r="J2566" s="80" t="n"/>
      <c r="K2566" s="80" t="n"/>
      <c r="L2566" s="80" t="n"/>
      <c r="M2566" s="80" t="n"/>
      <c r="N2566" s="80" t="n"/>
      <c r="O2566" s="80" t="n"/>
      <c r="P2566" s="80" t="n"/>
      <c r="Q2566" s="80" t="n"/>
      <c r="R2566" s="80" t="n"/>
      <c r="S2566" s="80" t="n"/>
      <c r="T2566" s="80" t="n"/>
      <c r="U2566" s="80" t="n"/>
      <c r="V2566" s="80" t="n"/>
      <c r="W2566" s="80" t="n"/>
      <c r="X2566" s="80" t="n"/>
      <c r="Y2566" s="80" t="n"/>
      <c r="Z2566" s="80" t="n"/>
      <c r="AA2566" s="80" t="n"/>
      <c r="AB2566" s="80" t="n"/>
      <c r="AC2566" s="80" t="n"/>
      <c r="AD2566" s="80" t="n"/>
      <c r="AE2566" s="80" t="n"/>
      <c r="AF2566" s="80" t="n"/>
      <c r="AG2566" s="80" t="n"/>
      <c r="AH2566" s="80" t="n"/>
      <c r="AI2566" s="80" t="n"/>
      <c r="AJ2566" s="80" t="n"/>
      <c r="AK2566" s="80" t="n"/>
      <c r="AL2566" s="80" t="n"/>
      <c r="AM2566" s="80" t="n"/>
      <c r="AN2566" s="80" t="n"/>
      <c r="AO2566" s="80" t="n"/>
      <c r="AP2566" s="80" t="n"/>
      <c r="AQ2566" s="80" t="n"/>
      <c r="AR2566" s="80" t="n"/>
    </row>
    <row r="2567">
      <c r="D2567" s="80" t="n"/>
      <c r="E2567" s="80" t="n"/>
      <c r="F2567" s="80" t="n"/>
      <c r="G2567" s="80" t="n"/>
      <c r="H2567" s="80" t="n"/>
      <c r="I2567" s="80" t="n"/>
      <c r="J2567" s="80" t="n"/>
      <c r="K2567" s="80" t="n"/>
      <c r="L2567" s="80" t="n"/>
      <c r="M2567" s="80" t="n"/>
      <c r="N2567" s="80" t="n"/>
      <c r="O2567" s="80" t="n"/>
      <c r="P2567" s="80" t="n"/>
      <c r="Q2567" s="80" t="n"/>
      <c r="R2567" s="80" t="n"/>
      <c r="S2567" s="80" t="n"/>
      <c r="T2567" s="80" t="n"/>
      <c r="U2567" s="80" t="n"/>
      <c r="V2567" s="80" t="n"/>
      <c r="W2567" s="80" t="n"/>
      <c r="X2567" s="80" t="n"/>
      <c r="Y2567" s="80" t="n"/>
      <c r="Z2567" s="80" t="n"/>
      <c r="AA2567" s="80" t="n"/>
      <c r="AB2567" s="80" t="n"/>
      <c r="AC2567" s="80" t="n"/>
      <c r="AD2567" s="80" t="n"/>
      <c r="AE2567" s="80" t="n"/>
      <c r="AF2567" s="80" t="n"/>
      <c r="AG2567" s="80" t="n"/>
      <c r="AH2567" s="80" t="n"/>
      <c r="AI2567" s="80" t="n"/>
      <c r="AJ2567" s="80" t="n"/>
      <c r="AK2567" s="80" t="n"/>
      <c r="AL2567" s="80" t="n"/>
      <c r="AM2567" s="80" t="n"/>
      <c r="AN2567" s="80" t="n"/>
      <c r="AO2567" s="80" t="n"/>
      <c r="AP2567" s="80" t="n"/>
      <c r="AQ2567" s="80" t="n"/>
      <c r="AR2567" s="80" t="n"/>
    </row>
    <row r="2569">
      <c r="A2569" s="6">
        <f>IF(HSCEI!$C$37="","",HSCEI!$C$37)</f>
        <v/>
      </c>
      <c r="B2569" s="41">
        <f>IF($A2569="",0,COUNT($E2570:$AR2570))</f>
        <v/>
      </c>
      <c r="C2569" s="81">
        <f>IF($B2569=0,0,MAX($E2570:$AR2570))</f>
        <v/>
      </c>
      <c r="D2569" s="82">
        <f>BDS($A2569,'Field Check'!$C$7,"headers=y","startcol=1","endcol=7","dir=h","DVD_START_DT",Summary!$C$18,"DVD_END_DT",Summary!$D$18)</f>
        <v/>
      </c>
      <c r="E2569" s="83" t="n"/>
      <c r="F2569" s="83" t="n"/>
      <c r="G2569" s="83" t="n"/>
      <c r="H2569" s="83" t="n"/>
      <c r="I2569" s="83" t="n"/>
      <c r="J2569" s="83" t="n"/>
      <c r="K2569" s="83" t="n"/>
      <c r="L2569" s="83" t="n"/>
      <c r="M2569" s="83" t="n"/>
      <c r="N2569" s="83" t="n"/>
      <c r="O2569" s="83" t="n"/>
      <c r="P2569" s="83" t="n"/>
      <c r="Q2569" s="83" t="n"/>
      <c r="R2569" s="83" t="n"/>
      <c r="S2569" s="83" t="n"/>
      <c r="T2569" s="83" t="n"/>
      <c r="U2569" s="83" t="n"/>
      <c r="V2569" s="83" t="n"/>
      <c r="W2569" s="83" t="n"/>
      <c r="X2569" s="83" t="n"/>
      <c r="Y2569" s="83" t="n"/>
      <c r="Z2569" s="83" t="n"/>
      <c r="AA2569" s="83" t="n"/>
      <c r="AB2569" s="83" t="n"/>
      <c r="AC2569" s="83" t="n"/>
      <c r="AD2569" s="83" t="n"/>
      <c r="AE2569" s="83" t="n"/>
      <c r="AF2569" s="83" t="n"/>
      <c r="AG2569" s="83" t="n"/>
      <c r="AH2569" s="83" t="n"/>
      <c r="AI2569" s="83" t="n"/>
      <c r="AJ2569" s="83" t="n"/>
      <c r="AK2569" s="83" t="n"/>
      <c r="AL2569" s="83" t="n"/>
      <c r="AM2569" s="83" t="n"/>
      <c r="AN2569" s="83" t="n"/>
      <c r="AO2569" s="83" t="n"/>
      <c r="AP2569" s="83" t="n"/>
      <c r="AQ2569" s="83" t="n"/>
      <c r="AR2569" s="83" t="n"/>
    </row>
    <row r="2570">
      <c r="D2570" s="83" t="n"/>
      <c r="E2570" s="83" t="n"/>
      <c r="F2570" s="83" t="n"/>
      <c r="G2570" s="83" t="n"/>
      <c r="H2570" s="83" t="n"/>
      <c r="I2570" s="83" t="n"/>
      <c r="J2570" s="83" t="n"/>
      <c r="K2570" s="83" t="n"/>
      <c r="L2570" s="83" t="n"/>
      <c r="M2570" s="83" t="n"/>
      <c r="N2570" s="83" t="n"/>
      <c r="O2570" s="83" t="n"/>
      <c r="P2570" s="83" t="n"/>
      <c r="Q2570" s="83" t="n"/>
      <c r="R2570" s="83" t="n"/>
      <c r="S2570" s="83" t="n"/>
      <c r="T2570" s="83" t="n"/>
      <c r="U2570" s="83" t="n"/>
      <c r="V2570" s="83" t="n"/>
      <c r="W2570" s="83" t="n"/>
      <c r="X2570" s="83" t="n"/>
      <c r="Y2570" s="83" t="n"/>
      <c r="Z2570" s="83" t="n"/>
      <c r="AA2570" s="83" t="n"/>
      <c r="AB2570" s="83" t="n"/>
      <c r="AC2570" s="83" t="n"/>
      <c r="AD2570" s="83" t="n"/>
      <c r="AE2570" s="83" t="n"/>
      <c r="AF2570" s="83" t="n"/>
      <c r="AG2570" s="83" t="n"/>
      <c r="AH2570" s="83" t="n"/>
      <c r="AI2570" s="83" t="n"/>
      <c r="AJ2570" s="83" t="n"/>
      <c r="AK2570" s="83" t="n"/>
      <c r="AL2570" s="83" t="n"/>
      <c r="AM2570" s="83" t="n"/>
      <c r="AN2570" s="83" t="n"/>
      <c r="AO2570" s="83" t="n"/>
      <c r="AP2570" s="83" t="n"/>
      <c r="AQ2570" s="83" t="n"/>
      <c r="AR2570" s="83" t="n"/>
    </row>
    <row r="2571">
      <c r="D2571" s="84" t="n"/>
      <c r="E2571" s="84" t="n"/>
      <c r="F2571" s="84" t="n"/>
      <c r="G2571" s="84" t="n"/>
      <c r="H2571" s="84" t="n"/>
      <c r="I2571" s="84" t="n"/>
      <c r="J2571" s="84" t="n"/>
      <c r="K2571" s="84" t="n"/>
      <c r="L2571" s="84" t="n"/>
      <c r="M2571" s="84" t="n"/>
      <c r="N2571" s="84" t="n"/>
      <c r="O2571" s="84" t="n"/>
      <c r="P2571" s="84" t="n"/>
      <c r="Q2571" s="84" t="n"/>
      <c r="R2571" s="84" t="n"/>
      <c r="S2571" s="84" t="n"/>
      <c r="T2571" s="84" t="n"/>
      <c r="U2571" s="84" t="n"/>
      <c r="V2571" s="84" t="n"/>
      <c r="W2571" s="84" t="n"/>
      <c r="X2571" s="84" t="n"/>
      <c r="Y2571" s="84" t="n"/>
      <c r="Z2571" s="84" t="n"/>
      <c r="AA2571" s="84" t="n"/>
      <c r="AB2571" s="84" t="n"/>
      <c r="AC2571" s="84" t="n"/>
      <c r="AD2571" s="84" t="n"/>
      <c r="AE2571" s="84" t="n"/>
      <c r="AF2571" s="84" t="n"/>
      <c r="AG2571" s="84" t="n"/>
      <c r="AH2571" s="84" t="n"/>
      <c r="AI2571" s="84" t="n"/>
      <c r="AJ2571" s="84" t="n"/>
      <c r="AK2571" s="84" t="n"/>
      <c r="AL2571" s="84" t="n"/>
      <c r="AM2571" s="84" t="n"/>
      <c r="AN2571" s="84" t="n"/>
      <c r="AO2571" s="84" t="n"/>
      <c r="AP2571" s="84" t="n"/>
      <c r="AQ2571" s="84" t="n"/>
      <c r="AR2571" s="84" t="n"/>
    </row>
    <row r="2572">
      <c r="D2572" s="80" t="n"/>
      <c r="E2572" s="80" t="n"/>
      <c r="F2572" s="80" t="n"/>
      <c r="G2572" s="80" t="n"/>
      <c r="H2572" s="80" t="n"/>
      <c r="I2572" s="80" t="n"/>
      <c r="J2572" s="80" t="n"/>
      <c r="K2572" s="80" t="n"/>
      <c r="L2572" s="80" t="n"/>
      <c r="M2572" s="80" t="n"/>
      <c r="N2572" s="80" t="n"/>
      <c r="O2572" s="80" t="n"/>
      <c r="P2572" s="80" t="n"/>
      <c r="Q2572" s="80" t="n"/>
      <c r="R2572" s="80" t="n"/>
      <c r="S2572" s="80" t="n"/>
      <c r="T2572" s="80" t="n"/>
      <c r="U2572" s="80" t="n"/>
      <c r="V2572" s="80" t="n"/>
      <c r="W2572" s="80" t="n"/>
      <c r="X2572" s="80" t="n"/>
      <c r="Y2572" s="80" t="n"/>
      <c r="Z2572" s="80" t="n"/>
      <c r="AA2572" s="80" t="n"/>
      <c r="AB2572" s="80" t="n"/>
      <c r="AC2572" s="80" t="n"/>
      <c r="AD2572" s="80" t="n"/>
      <c r="AE2572" s="80" t="n"/>
      <c r="AF2572" s="80" t="n"/>
      <c r="AG2572" s="80" t="n"/>
      <c r="AH2572" s="80" t="n"/>
      <c r="AI2572" s="80" t="n"/>
      <c r="AJ2572" s="80" t="n"/>
      <c r="AK2572" s="80" t="n"/>
      <c r="AL2572" s="80" t="n"/>
      <c r="AM2572" s="80" t="n"/>
      <c r="AN2572" s="80" t="n"/>
      <c r="AO2572" s="80" t="n"/>
      <c r="AP2572" s="80" t="n"/>
      <c r="AQ2572" s="80" t="n"/>
      <c r="AR2572" s="80" t="n"/>
    </row>
    <row r="2573">
      <c r="D2573" s="80" t="n"/>
      <c r="E2573" s="80" t="n"/>
      <c r="F2573" s="80" t="n"/>
      <c r="G2573" s="80" t="n"/>
      <c r="H2573" s="80" t="n"/>
      <c r="I2573" s="80" t="n"/>
      <c r="J2573" s="80" t="n"/>
      <c r="K2573" s="80" t="n"/>
      <c r="L2573" s="80" t="n"/>
      <c r="M2573" s="80" t="n"/>
      <c r="N2573" s="80" t="n"/>
      <c r="O2573" s="80" t="n"/>
      <c r="P2573" s="80" t="n"/>
      <c r="Q2573" s="80" t="n"/>
      <c r="R2573" s="80" t="n"/>
      <c r="S2573" s="80" t="n"/>
      <c r="T2573" s="80" t="n"/>
      <c r="U2573" s="80" t="n"/>
      <c r="V2573" s="80" t="n"/>
      <c r="W2573" s="80" t="n"/>
      <c r="X2573" s="80" t="n"/>
      <c r="Y2573" s="80" t="n"/>
      <c r="Z2573" s="80" t="n"/>
      <c r="AA2573" s="80" t="n"/>
      <c r="AB2573" s="80" t="n"/>
      <c r="AC2573" s="80" t="n"/>
      <c r="AD2573" s="80" t="n"/>
      <c r="AE2573" s="80" t="n"/>
      <c r="AF2573" s="80" t="n"/>
      <c r="AG2573" s="80" t="n"/>
      <c r="AH2573" s="80" t="n"/>
      <c r="AI2573" s="80" t="n"/>
      <c r="AJ2573" s="80" t="n"/>
      <c r="AK2573" s="80" t="n"/>
      <c r="AL2573" s="80" t="n"/>
      <c r="AM2573" s="80" t="n"/>
      <c r="AN2573" s="80" t="n"/>
      <c r="AO2573" s="80" t="n"/>
      <c r="AP2573" s="80" t="n"/>
      <c r="AQ2573" s="80" t="n"/>
      <c r="AR2573" s="80" t="n"/>
    </row>
    <row r="2574">
      <c r="D2574" s="80" t="n"/>
      <c r="E2574" s="80" t="n"/>
      <c r="F2574" s="80" t="n"/>
      <c r="G2574" s="80" t="n"/>
      <c r="H2574" s="80" t="n"/>
      <c r="I2574" s="80" t="n"/>
      <c r="J2574" s="80" t="n"/>
      <c r="K2574" s="80" t="n"/>
      <c r="L2574" s="80" t="n"/>
      <c r="M2574" s="80" t="n"/>
      <c r="N2574" s="80" t="n"/>
      <c r="O2574" s="80" t="n"/>
      <c r="P2574" s="80" t="n"/>
      <c r="Q2574" s="80" t="n"/>
      <c r="R2574" s="80" t="n"/>
      <c r="S2574" s="80" t="n"/>
      <c r="T2574" s="80" t="n"/>
      <c r="U2574" s="80" t="n"/>
      <c r="V2574" s="80" t="n"/>
      <c r="W2574" s="80" t="n"/>
      <c r="X2574" s="80" t="n"/>
      <c r="Y2574" s="80" t="n"/>
      <c r="Z2574" s="80" t="n"/>
      <c r="AA2574" s="80" t="n"/>
      <c r="AB2574" s="80" t="n"/>
      <c r="AC2574" s="80" t="n"/>
      <c r="AD2574" s="80" t="n"/>
      <c r="AE2574" s="80" t="n"/>
      <c r="AF2574" s="80" t="n"/>
      <c r="AG2574" s="80" t="n"/>
      <c r="AH2574" s="80" t="n"/>
      <c r="AI2574" s="80" t="n"/>
      <c r="AJ2574" s="80" t="n"/>
      <c r="AK2574" s="80" t="n"/>
      <c r="AL2574" s="80" t="n"/>
      <c r="AM2574" s="80" t="n"/>
      <c r="AN2574" s="80" t="n"/>
      <c r="AO2574" s="80" t="n"/>
      <c r="AP2574" s="80" t="n"/>
      <c r="AQ2574" s="80" t="n"/>
      <c r="AR2574" s="80" t="n"/>
    </row>
    <row r="2575">
      <c r="D2575" s="80" t="n"/>
      <c r="E2575" s="80" t="n"/>
      <c r="F2575" s="80" t="n"/>
      <c r="G2575" s="80" t="n"/>
      <c r="H2575" s="80" t="n"/>
      <c r="I2575" s="80" t="n"/>
      <c r="J2575" s="80" t="n"/>
      <c r="K2575" s="80" t="n"/>
      <c r="L2575" s="80" t="n"/>
      <c r="M2575" s="80" t="n"/>
      <c r="N2575" s="80" t="n"/>
      <c r="O2575" s="80" t="n"/>
      <c r="P2575" s="80" t="n"/>
      <c r="Q2575" s="80" t="n"/>
      <c r="R2575" s="80" t="n"/>
      <c r="S2575" s="80" t="n"/>
      <c r="T2575" s="80" t="n"/>
      <c r="U2575" s="80" t="n"/>
      <c r="V2575" s="80" t="n"/>
      <c r="W2575" s="80" t="n"/>
      <c r="X2575" s="80" t="n"/>
      <c r="Y2575" s="80" t="n"/>
      <c r="Z2575" s="80" t="n"/>
      <c r="AA2575" s="80" t="n"/>
      <c r="AB2575" s="80" t="n"/>
      <c r="AC2575" s="80" t="n"/>
      <c r="AD2575" s="80" t="n"/>
      <c r="AE2575" s="80" t="n"/>
      <c r="AF2575" s="80" t="n"/>
      <c r="AG2575" s="80" t="n"/>
      <c r="AH2575" s="80" t="n"/>
      <c r="AI2575" s="80" t="n"/>
      <c r="AJ2575" s="80" t="n"/>
      <c r="AK2575" s="80" t="n"/>
      <c r="AL2575" s="80" t="n"/>
      <c r="AM2575" s="80" t="n"/>
      <c r="AN2575" s="80" t="n"/>
      <c r="AO2575" s="80" t="n"/>
      <c r="AP2575" s="80" t="n"/>
      <c r="AQ2575" s="80" t="n"/>
      <c r="AR2575" s="80" t="n"/>
    </row>
    <row r="2576">
      <c r="A2576" s="2">
        <f>IF($A2569="","","   projections")</f>
        <v/>
      </c>
      <c r="B2576" s="41">
        <f>IF($A2569="",0,COUNT($E2577:$AR2577))</f>
        <v/>
      </c>
      <c r="C2576" s="81">
        <f>IF($B2576=0,0,MAX($E2577:$AR2577))</f>
        <v/>
      </c>
      <c r="D2576" s="82">
        <f>BDS($A2569,'Field Check'!$C$6,"headers=y","startcol=1","endcol=7","dir=h")</f>
        <v/>
      </c>
      <c r="E2576" s="83" t="n"/>
      <c r="F2576" s="83" t="n"/>
      <c r="G2576" s="83" t="n"/>
      <c r="H2576" s="83" t="n"/>
      <c r="I2576" s="83" t="n"/>
      <c r="J2576" s="83" t="n"/>
      <c r="K2576" s="83" t="n"/>
      <c r="L2576" s="83" t="n"/>
      <c r="M2576" s="83" t="n"/>
      <c r="N2576" s="83" t="n"/>
      <c r="O2576" s="83" t="n"/>
      <c r="P2576" s="83" t="n"/>
      <c r="Q2576" s="83" t="n"/>
      <c r="R2576" s="83" t="n"/>
      <c r="S2576" s="83" t="n"/>
      <c r="T2576" s="83" t="n"/>
      <c r="U2576" s="83" t="n"/>
      <c r="V2576" s="83" t="n"/>
      <c r="W2576" s="83" t="n"/>
      <c r="X2576" s="83" t="n"/>
      <c r="Y2576" s="83" t="n"/>
      <c r="Z2576" s="83" t="n"/>
      <c r="AA2576" s="83" t="n"/>
      <c r="AB2576" s="83" t="n"/>
      <c r="AC2576" s="83" t="n"/>
      <c r="AD2576" s="83" t="n"/>
      <c r="AE2576" s="83" t="n"/>
      <c r="AF2576" s="83" t="n"/>
      <c r="AG2576" s="83" t="n"/>
      <c r="AH2576" s="83" t="n"/>
      <c r="AI2576" s="83" t="n"/>
      <c r="AJ2576" s="83" t="n"/>
      <c r="AK2576" s="83" t="n"/>
      <c r="AL2576" s="83" t="n"/>
      <c r="AM2576" s="83" t="n"/>
      <c r="AN2576" s="83" t="n"/>
      <c r="AO2576" s="83" t="n"/>
      <c r="AP2576" s="83" t="n"/>
      <c r="AQ2576" s="83" t="n"/>
      <c r="AR2576" s="83" t="n"/>
    </row>
    <row r="2577">
      <c r="D2577" s="83" t="n"/>
      <c r="E2577" s="83" t="n"/>
      <c r="F2577" s="83" t="n"/>
      <c r="G2577" s="83" t="n"/>
      <c r="H2577" s="83" t="n"/>
      <c r="I2577" s="83" t="n"/>
      <c r="J2577" s="83" t="n"/>
      <c r="K2577" s="83" t="n"/>
      <c r="L2577" s="83" t="n"/>
      <c r="M2577" s="83" t="n"/>
      <c r="N2577" s="83" t="n"/>
      <c r="O2577" s="83" t="n"/>
      <c r="P2577" s="83" t="n"/>
      <c r="Q2577" s="83" t="n"/>
      <c r="R2577" s="83" t="n"/>
      <c r="S2577" s="83" t="n"/>
      <c r="T2577" s="83" t="n"/>
      <c r="U2577" s="83" t="n"/>
      <c r="V2577" s="83" t="n"/>
      <c r="W2577" s="83" t="n"/>
      <c r="X2577" s="83" t="n"/>
      <c r="Y2577" s="83" t="n"/>
      <c r="Z2577" s="83" t="n"/>
      <c r="AA2577" s="83" t="n"/>
      <c r="AB2577" s="83" t="n"/>
      <c r="AC2577" s="83" t="n"/>
      <c r="AD2577" s="83" t="n"/>
      <c r="AE2577" s="83" t="n"/>
      <c r="AF2577" s="83" t="n"/>
      <c r="AG2577" s="83" t="n"/>
      <c r="AH2577" s="83" t="n"/>
      <c r="AI2577" s="83" t="n"/>
      <c r="AJ2577" s="83" t="n"/>
      <c r="AK2577" s="83" t="n"/>
      <c r="AL2577" s="83" t="n"/>
      <c r="AM2577" s="83" t="n"/>
      <c r="AN2577" s="83" t="n"/>
      <c r="AO2577" s="83" t="n"/>
      <c r="AP2577" s="83" t="n"/>
      <c r="AQ2577" s="83" t="n"/>
      <c r="AR2577" s="83" t="n"/>
    </row>
    <row r="2578">
      <c r="D2578" s="84" t="n"/>
      <c r="E2578" s="84" t="n"/>
      <c r="F2578" s="84" t="n"/>
      <c r="G2578" s="84" t="n"/>
      <c r="H2578" s="84" t="n"/>
      <c r="I2578" s="84" t="n"/>
      <c r="J2578" s="84" t="n"/>
      <c r="K2578" s="84" t="n"/>
      <c r="L2578" s="84" t="n"/>
      <c r="M2578" s="84" t="n"/>
      <c r="N2578" s="84" t="n"/>
      <c r="O2578" s="84" t="n"/>
      <c r="P2578" s="84" t="n"/>
      <c r="Q2578" s="84" t="n"/>
      <c r="R2578" s="84" t="n"/>
      <c r="S2578" s="84" t="n"/>
      <c r="T2578" s="84" t="n"/>
      <c r="U2578" s="84" t="n"/>
      <c r="V2578" s="84" t="n"/>
      <c r="W2578" s="84" t="n"/>
      <c r="X2578" s="84" t="n"/>
      <c r="Y2578" s="84" t="n"/>
      <c r="Z2578" s="84" t="n"/>
      <c r="AA2578" s="84" t="n"/>
      <c r="AB2578" s="84" t="n"/>
      <c r="AC2578" s="84" t="n"/>
      <c r="AD2578" s="84" t="n"/>
      <c r="AE2578" s="84" t="n"/>
      <c r="AF2578" s="84" t="n"/>
      <c r="AG2578" s="84" t="n"/>
      <c r="AH2578" s="84" t="n"/>
      <c r="AI2578" s="84" t="n"/>
      <c r="AJ2578" s="84" t="n"/>
      <c r="AK2578" s="84" t="n"/>
      <c r="AL2578" s="84" t="n"/>
      <c r="AM2578" s="84" t="n"/>
      <c r="AN2578" s="84" t="n"/>
      <c r="AO2578" s="84" t="n"/>
      <c r="AP2578" s="84" t="n"/>
      <c r="AQ2578" s="84" t="n"/>
      <c r="AR2578" s="84" t="n"/>
    </row>
    <row r="2579">
      <c r="D2579" s="80" t="n"/>
      <c r="E2579" s="80" t="n"/>
      <c r="F2579" s="80" t="n"/>
      <c r="G2579" s="80" t="n"/>
      <c r="H2579" s="80" t="n"/>
      <c r="I2579" s="80" t="n"/>
      <c r="J2579" s="80" t="n"/>
      <c r="K2579" s="80" t="n"/>
      <c r="L2579" s="80" t="n"/>
      <c r="M2579" s="80" t="n"/>
      <c r="N2579" s="80" t="n"/>
      <c r="O2579" s="80" t="n"/>
      <c r="P2579" s="80" t="n"/>
      <c r="Q2579" s="80" t="n"/>
      <c r="R2579" s="80" t="n"/>
      <c r="S2579" s="80" t="n"/>
      <c r="T2579" s="80" t="n"/>
      <c r="U2579" s="80" t="n"/>
      <c r="V2579" s="80" t="n"/>
      <c r="W2579" s="80" t="n"/>
      <c r="X2579" s="80" t="n"/>
      <c r="Y2579" s="80" t="n"/>
      <c r="Z2579" s="80" t="n"/>
      <c r="AA2579" s="80" t="n"/>
      <c r="AB2579" s="80" t="n"/>
      <c r="AC2579" s="80" t="n"/>
      <c r="AD2579" s="80" t="n"/>
      <c r="AE2579" s="80" t="n"/>
      <c r="AF2579" s="80" t="n"/>
      <c r="AG2579" s="80" t="n"/>
      <c r="AH2579" s="80" t="n"/>
      <c r="AI2579" s="80" t="n"/>
      <c r="AJ2579" s="80" t="n"/>
      <c r="AK2579" s="80" t="n"/>
      <c r="AL2579" s="80" t="n"/>
      <c r="AM2579" s="80" t="n"/>
      <c r="AN2579" s="80" t="n"/>
      <c r="AO2579" s="80" t="n"/>
      <c r="AP2579" s="80" t="n"/>
      <c r="AQ2579" s="80" t="n"/>
      <c r="AR2579" s="80" t="n"/>
    </row>
    <row r="2580">
      <c r="D2580" s="80" t="n"/>
      <c r="E2580" s="80" t="n"/>
      <c r="F2580" s="80" t="n"/>
      <c r="G2580" s="80" t="n"/>
      <c r="H2580" s="80" t="n"/>
      <c r="I2580" s="80" t="n"/>
      <c r="J2580" s="80" t="n"/>
      <c r="K2580" s="80" t="n"/>
      <c r="L2580" s="80" t="n"/>
      <c r="M2580" s="80" t="n"/>
      <c r="N2580" s="80" t="n"/>
      <c r="O2580" s="80" t="n"/>
      <c r="P2580" s="80" t="n"/>
      <c r="Q2580" s="80" t="n"/>
      <c r="R2580" s="80" t="n"/>
      <c r="S2580" s="80" t="n"/>
      <c r="T2580" s="80" t="n"/>
      <c r="U2580" s="80" t="n"/>
      <c r="V2580" s="80" t="n"/>
      <c r="W2580" s="80" t="n"/>
      <c r="X2580" s="80" t="n"/>
      <c r="Y2580" s="80" t="n"/>
      <c r="Z2580" s="80" t="n"/>
      <c r="AA2580" s="80" t="n"/>
      <c r="AB2580" s="80" t="n"/>
      <c r="AC2580" s="80" t="n"/>
      <c r="AD2580" s="80" t="n"/>
      <c r="AE2580" s="80" t="n"/>
      <c r="AF2580" s="80" t="n"/>
      <c r="AG2580" s="80" t="n"/>
      <c r="AH2580" s="80" t="n"/>
      <c r="AI2580" s="80" t="n"/>
      <c r="AJ2580" s="80" t="n"/>
      <c r="AK2580" s="80" t="n"/>
      <c r="AL2580" s="80" t="n"/>
      <c r="AM2580" s="80" t="n"/>
      <c r="AN2580" s="80" t="n"/>
      <c r="AO2580" s="80" t="n"/>
      <c r="AP2580" s="80" t="n"/>
      <c r="AQ2580" s="80" t="n"/>
      <c r="AR2580" s="80" t="n"/>
    </row>
    <row r="2581">
      <c r="D2581" s="80" t="n"/>
      <c r="E2581" s="80" t="n"/>
      <c r="F2581" s="80" t="n"/>
      <c r="G2581" s="80" t="n"/>
      <c r="H2581" s="80" t="n"/>
      <c r="I2581" s="80" t="n"/>
      <c r="J2581" s="80" t="n"/>
      <c r="K2581" s="80" t="n"/>
      <c r="L2581" s="80" t="n"/>
      <c r="M2581" s="80" t="n"/>
      <c r="N2581" s="80" t="n"/>
      <c r="O2581" s="80" t="n"/>
      <c r="P2581" s="80" t="n"/>
      <c r="Q2581" s="80" t="n"/>
      <c r="R2581" s="80" t="n"/>
      <c r="S2581" s="80" t="n"/>
      <c r="T2581" s="80" t="n"/>
      <c r="U2581" s="80" t="n"/>
      <c r="V2581" s="80" t="n"/>
      <c r="W2581" s="80" t="n"/>
      <c r="X2581" s="80" t="n"/>
      <c r="Y2581" s="80" t="n"/>
      <c r="Z2581" s="80" t="n"/>
      <c r="AA2581" s="80" t="n"/>
      <c r="AB2581" s="80" t="n"/>
      <c r="AC2581" s="80" t="n"/>
      <c r="AD2581" s="80" t="n"/>
      <c r="AE2581" s="80" t="n"/>
      <c r="AF2581" s="80" t="n"/>
      <c r="AG2581" s="80" t="n"/>
      <c r="AH2581" s="80" t="n"/>
      <c r="AI2581" s="80" t="n"/>
      <c r="AJ2581" s="80" t="n"/>
      <c r="AK2581" s="80" t="n"/>
      <c r="AL2581" s="80" t="n"/>
      <c r="AM2581" s="80" t="n"/>
      <c r="AN2581" s="80" t="n"/>
      <c r="AO2581" s="80" t="n"/>
      <c r="AP2581" s="80" t="n"/>
      <c r="AQ2581" s="80" t="n"/>
      <c r="AR2581" s="80" t="n"/>
    </row>
    <row r="2582">
      <c r="D2582" s="80" t="n"/>
      <c r="E2582" s="80" t="n"/>
      <c r="F2582" s="80" t="n"/>
      <c r="G2582" s="80" t="n"/>
      <c r="H2582" s="80" t="n"/>
      <c r="I2582" s="80" t="n"/>
      <c r="J2582" s="80" t="n"/>
      <c r="K2582" s="80" t="n"/>
      <c r="L2582" s="80" t="n"/>
      <c r="M2582" s="80" t="n"/>
      <c r="N2582" s="80" t="n"/>
      <c r="O2582" s="80" t="n"/>
      <c r="P2582" s="80" t="n"/>
      <c r="Q2582" s="80" t="n"/>
      <c r="R2582" s="80" t="n"/>
      <c r="S2582" s="80" t="n"/>
      <c r="T2582" s="80" t="n"/>
      <c r="U2582" s="80" t="n"/>
      <c r="V2582" s="80" t="n"/>
      <c r="W2582" s="80" t="n"/>
      <c r="X2582" s="80" t="n"/>
      <c r="Y2582" s="80" t="n"/>
      <c r="Z2582" s="80" t="n"/>
      <c r="AA2582" s="80" t="n"/>
      <c r="AB2582" s="80" t="n"/>
      <c r="AC2582" s="80" t="n"/>
      <c r="AD2582" s="80" t="n"/>
      <c r="AE2582" s="80" t="n"/>
      <c r="AF2582" s="80" t="n"/>
      <c r="AG2582" s="80" t="n"/>
      <c r="AH2582" s="80" t="n"/>
      <c r="AI2582" s="80" t="n"/>
      <c r="AJ2582" s="80" t="n"/>
      <c r="AK2582" s="80" t="n"/>
      <c r="AL2582" s="80" t="n"/>
      <c r="AM2582" s="80" t="n"/>
      <c r="AN2582" s="80" t="n"/>
      <c r="AO2582" s="80" t="n"/>
      <c r="AP2582" s="80" t="n"/>
      <c r="AQ2582" s="80" t="n"/>
      <c r="AR2582" s="80" t="n"/>
    </row>
    <row r="2584">
      <c r="A2584" s="6">
        <f>IF(HSCEI!$C$38="","",HSCEI!$C$38)</f>
        <v/>
      </c>
      <c r="B2584" s="41">
        <f>IF($A2584="",0,COUNT($E2585:$AR2585))</f>
        <v/>
      </c>
      <c r="C2584" s="81">
        <f>IF($B2584=0,0,MAX($E2585:$AR2585))</f>
        <v/>
      </c>
      <c r="D2584" s="82">
        <f>BDS($A2584,'Field Check'!$C$7,"headers=y","startcol=1","endcol=7","dir=h","DVD_START_DT",Summary!$C$18,"DVD_END_DT",Summary!$D$18)</f>
        <v/>
      </c>
      <c r="E2584" s="83" t="n"/>
      <c r="F2584" s="83" t="n"/>
      <c r="G2584" s="83" t="n"/>
      <c r="H2584" s="83" t="n"/>
      <c r="I2584" s="83" t="n"/>
      <c r="J2584" s="83" t="n"/>
      <c r="K2584" s="83" t="n"/>
      <c r="L2584" s="83" t="n"/>
      <c r="M2584" s="83" t="n"/>
      <c r="N2584" s="83" t="n"/>
      <c r="O2584" s="83" t="n"/>
      <c r="P2584" s="83" t="n"/>
      <c r="Q2584" s="83" t="n"/>
      <c r="R2584" s="83" t="n"/>
      <c r="S2584" s="83" t="n"/>
      <c r="T2584" s="83" t="n"/>
      <c r="U2584" s="83" t="n"/>
      <c r="V2584" s="83" t="n"/>
      <c r="W2584" s="83" t="n"/>
      <c r="X2584" s="83" t="n"/>
      <c r="Y2584" s="83" t="n"/>
      <c r="Z2584" s="83" t="n"/>
      <c r="AA2584" s="83" t="n"/>
      <c r="AB2584" s="83" t="n"/>
      <c r="AC2584" s="83" t="n"/>
      <c r="AD2584" s="83" t="n"/>
      <c r="AE2584" s="83" t="n"/>
      <c r="AF2584" s="83" t="n"/>
      <c r="AG2584" s="83" t="n"/>
      <c r="AH2584" s="83" t="n"/>
      <c r="AI2584" s="83" t="n"/>
      <c r="AJ2584" s="83" t="n"/>
      <c r="AK2584" s="83" t="n"/>
      <c r="AL2584" s="83" t="n"/>
      <c r="AM2584" s="83" t="n"/>
      <c r="AN2584" s="83" t="n"/>
      <c r="AO2584" s="83" t="n"/>
      <c r="AP2584" s="83" t="n"/>
      <c r="AQ2584" s="83" t="n"/>
      <c r="AR2584" s="83" t="n"/>
    </row>
    <row r="2585">
      <c r="D2585" s="83" t="n"/>
      <c r="E2585" s="83" t="n"/>
      <c r="F2585" s="83" t="n"/>
      <c r="G2585" s="83" t="n"/>
      <c r="H2585" s="83" t="n"/>
      <c r="I2585" s="83" t="n"/>
      <c r="J2585" s="83" t="n"/>
      <c r="K2585" s="83" t="n"/>
      <c r="L2585" s="83" t="n"/>
      <c r="M2585" s="83" t="n"/>
      <c r="N2585" s="83" t="n"/>
      <c r="O2585" s="83" t="n"/>
      <c r="P2585" s="83" t="n"/>
      <c r="Q2585" s="83" t="n"/>
      <c r="R2585" s="83" t="n"/>
      <c r="S2585" s="83" t="n"/>
      <c r="T2585" s="83" t="n"/>
      <c r="U2585" s="83" t="n"/>
      <c r="V2585" s="83" t="n"/>
      <c r="W2585" s="83" t="n"/>
      <c r="X2585" s="83" t="n"/>
      <c r="Y2585" s="83" t="n"/>
      <c r="Z2585" s="83" t="n"/>
      <c r="AA2585" s="83" t="n"/>
      <c r="AB2585" s="83" t="n"/>
      <c r="AC2585" s="83" t="n"/>
      <c r="AD2585" s="83" t="n"/>
      <c r="AE2585" s="83" t="n"/>
      <c r="AF2585" s="83" t="n"/>
      <c r="AG2585" s="83" t="n"/>
      <c r="AH2585" s="83" t="n"/>
      <c r="AI2585" s="83" t="n"/>
      <c r="AJ2585" s="83" t="n"/>
      <c r="AK2585" s="83" t="n"/>
      <c r="AL2585" s="83" t="n"/>
      <c r="AM2585" s="83" t="n"/>
      <c r="AN2585" s="83" t="n"/>
      <c r="AO2585" s="83" t="n"/>
      <c r="AP2585" s="83" t="n"/>
      <c r="AQ2585" s="83" t="n"/>
      <c r="AR2585" s="83" t="n"/>
    </row>
    <row r="2586">
      <c r="D2586" s="84" t="n"/>
      <c r="E2586" s="84" t="n"/>
      <c r="F2586" s="84" t="n"/>
      <c r="G2586" s="84" t="n"/>
      <c r="H2586" s="84" t="n"/>
      <c r="I2586" s="84" t="n"/>
      <c r="J2586" s="84" t="n"/>
      <c r="K2586" s="84" t="n"/>
      <c r="L2586" s="84" t="n"/>
      <c r="M2586" s="84" t="n"/>
      <c r="N2586" s="84" t="n"/>
      <c r="O2586" s="84" t="n"/>
      <c r="P2586" s="84" t="n"/>
      <c r="Q2586" s="84" t="n"/>
      <c r="R2586" s="84" t="n"/>
      <c r="S2586" s="84" t="n"/>
      <c r="T2586" s="84" t="n"/>
      <c r="U2586" s="84" t="n"/>
      <c r="V2586" s="84" t="n"/>
      <c r="W2586" s="84" t="n"/>
      <c r="X2586" s="84" t="n"/>
      <c r="Y2586" s="84" t="n"/>
      <c r="Z2586" s="84" t="n"/>
      <c r="AA2586" s="84" t="n"/>
      <c r="AB2586" s="84" t="n"/>
      <c r="AC2586" s="84" t="n"/>
      <c r="AD2586" s="84" t="n"/>
      <c r="AE2586" s="84" t="n"/>
      <c r="AF2586" s="84" t="n"/>
      <c r="AG2586" s="84" t="n"/>
      <c r="AH2586" s="84" t="n"/>
      <c r="AI2586" s="84" t="n"/>
      <c r="AJ2586" s="84" t="n"/>
      <c r="AK2586" s="84" t="n"/>
      <c r="AL2586" s="84" t="n"/>
      <c r="AM2586" s="84" t="n"/>
      <c r="AN2586" s="84" t="n"/>
      <c r="AO2586" s="84" t="n"/>
      <c r="AP2586" s="84" t="n"/>
      <c r="AQ2586" s="84" t="n"/>
      <c r="AR2586" s="84" t="n"/>
    </row>
    <row r="2587">
      <c r="D2587" s="80" t="n"/>
      <c r="E2587" s="80" t="n"/>
      <c r="F2587" s="80" t="n"/>
      <c r="G2587" s="80" t="n"/>
      <c r="H2587" s="80" t="n"/>
      <c r="I2587" s="80" t="n"/>
      <c r="J2587" s="80" t="n"/>
      <c r="K2587" s="80" t="n"/>
      <c r="L2587" s="80" t="n"/>
      <c r="M2587" s="80" t="n"/>
      <c r="N2587" s="80" t="n"/>
      <c r="O2587" s="80" t="n"/>
      <c r="P2587" s="80" t="n"/>
      <c r="Q2587" s="80" t="n"/>
      <c r="R2587" s="80" t="n"/>
      <c r="S2587" s="80" t="n"/>
      <c r="T2587" s="80" t="n"/>
      <c r="U2587" s="80" t="n"/>
      <c r="V2587" s="80" t="n"/>
      <c r="W2587" s="80" t="n"/>
      <c r="X2587" s="80" t="n"/>
      <c r="Y2587" s="80" t="n"/>
      <c r="Z2587" s="80" t="n"/>
      <c r="AA2587" s="80" t="n"/>
      <c r="AB2587" s="80" t="n"/>
      <c r="AC2587" s="80" t="n"/>
      <c r="AD2587" s="80" t="n"/>
      <c r="AE2587" s="80" t="n"/>
      <c r="AF2587" s="80" t="n"/>
      <c r="AG2587" s="80" t="n"/>
      <c r="AH2587" s="80" t="n"/>
      <c r="AI2587" s="80" t="n"/>
      <c r="AJ2587" s="80" t="n"/>
      <c r="AK2587" s="80" t="n"/>
      <c r="AL2587" s="80" t="n"/>
      <c r="AM2587" s="80" t="n"/>
      <c r="AN2587" s="80" t="n"/>
      <c r="AO2587" s="80" t="n"/>
      <c r="AP2587" s="80" t="n"/>
      <c r="AQ2587" s="80" t="n"/>
      <c r="AR2587" s="80" t="n"/>
    </row>
    <row r="2588">
      <c r="D2588" s="80" t="n"/>
      <c r="E2588" s="80" t="n"/>
      <c r="F2588" s="80" t="n"/>
      <c r="G2588" s="80" t="n"/>
      <c r="H2588" s="80" t="n"/>
      <c r="I2588" s="80" t="n"/>
      <c r="J2588" s="80" t="n"/>
      <c r="K2588" s="80" t="n"/>
      <c r="L2588" s="80" t="n"/>
      <c r="M2588" s="80" t="n"/>
      <c r="N2588" s="80" t="n"/>
      <c r="O2588" s="80" t="n"/>
      <c r="P2588" s="80" t="n"/>
      <c r="Q2588" s="80" t="n"/>
      <c r="R2588" s="80" t="n"/>
      <c r="S2588" s="80" t="n"/>
      <c r="T2588" s="80" t="n"/>
      <c r="U2588" s="80" t="n"/>
      <c r="V2588" s="80" t="n"/>
      <c r="W2588" s="80" t="n"/>
      <c r="X2588" s="80" t="n"/>
      <c r="Y2588" s="80" t="n"/>
      <c r="Z2588" s="80" t="n"/>
      <c r="AA2588" s="80" t="n"/>
      <c r="AB2588" s="80" t="n"/>
      <c r="AC2588" s="80" t="n"/>
      <c r="AD2588" s="80" t="n"/>
      <c r="AE2588" s="80" t="n"/>
      <c r="AF2588" s="80" t="n"/>
      <c r="AG2588" s="80" t="n"/>
      <c r="AH2588" s="80" t="n"/>
      <c r="AI2588" s="80" t="n"/>
      <c r="AJ2588" s="80" t="n"/>
      <c r="AK2588" s="80" t="n"/>
      <c r="AL2588" s="80" t="n"/>
      <c r="AM2588" s="80" t="n"/>
      <c r="AN2588" s="80" t="n"/>
      <c r="AO2588" s="80" t="n"/>
      <c r="AP2588" s="80" t="n"/>
      <c r="AQ2588" s="80" t="n"/>
      <c r="AR2588" s="80" t="n"/>
    </row>
    <row r="2589">
      <c r="D2589" s="80" t="n"/>
      <c r="E2589" s="80" t="n"/>
      <c r="F2589" s="80" t="n"/>
      <c r="G2589" s="80" t="n"/>
      <c r="H2589" s="80" t="n"/>
      <c r="I2589" s="80" t="n"/>
      <c r="J2589" s="80" t="n"/>
      <c r="K2589" s="80" t="n"/>
      <c r="L2589" s="80" t="n"/>
      <c r="M2589" s="80" t="n"/>
      <c r="N2589" s="80" t="n"/>
      <c r="O2589" s="80" t="n"/>
      <c r="P2589" s="80" t="n"/>
      <c r="Q2589" s="80" t="n"/>
      <c r="R2589" s="80" t="n"/>
      <c r="S2589" s="80" t="n"/>
      <c r="T2589" s="80" t="n"/>
      <c r="U2589" s="80" t="n"/>
      <c r="V2589" s="80" t="n"/>
      <c r="W2589" s="80" t="n"/>
      <c r="X2589" s="80" t="n"/>
      <c r="Y2589" s="80" t="n"/>
      <c r="Z2589" s="80" t="n"/>
      <c r="AA2589" s="80" t="n"/>
      <c r="AB2589" s="80" t="n"/>
      <c r="AC2589" s="80" t="n"/>
      <c r="AD2589" s="80" t="n"/>
      <c r="AE2589" s="80" t="n"/>
      <c r="AF2589" s="80" t="n"/>
      <c r="AG2589" s="80" t="n"/>
      <c r="AH2589" s="80" t="n"/>
      <c r="AI2589" s="80" t="n"/>
      <c r="AJ2589" s="80" t="n"/>
      <c r="AK2589" s="80" t="n"/>
      <c r="AL2589" s="80" t="n"/>
      <c r="AM2589" s="80" t="n"/>
      <c r="AN2589" s="80" t="n"/>
      <c r="AO2589" s="80" t="n"/>
      <c r="AP2589" s="80" t="n"/>
      <c r="AQ2589" s="80" t="n"/>
      <c r="AR2589" s="80" t="n"/>
    </row>
    <row r="2590">
      <c r="D2590" s="80" t="n"/>
      <c r="E2590" s="80" t="n"/>
      <c r="F2590" s="80" t="n"/>
      <c r="G2590" s="80" t="n"/>
      <c r="H2590" s="80" t="n"/>
      <c r="I2590" s="80" t="n"/>
      <c r="J2590" s="80" t="n"/>
      <c r="K2590" s="80" t="n"/>
      <c r="L2590" s="80" t="n"/>
      <c r="M2590" s="80" t="n"/>
      <c r="N2590" s="80" t="n"/>
      <c r="O2590" s="80" t="n"/>
      <c r="P2590" s="80" t="n"/>
      <c r="Q2590" s="80" t="n"/>
      <c r="R2590" s="80" t="n"/>
      <c r="S2590" s="80" t="n"/>
      <c r="T2590" s="80" t="n"/>
      <c r="U2590" s="80" t="n"/>
      <c r="V2590" s="80" t="n"/>
      <c r="W2590" s="80" t="n"/>
      <c r="X2590" s="80" t="n"/>
      <c r="Y2590" s="80" t="n"/>
      <c r="Z2590" s="80" t="n"/>
      <c r="AA2590" s="80" t="n"/>
      <c r="AB2590" s="80" t="n"/>
      <c r="AC2590" s="80" t="n"/>
      <c r="AD2590" s="80" t="n"/>
      <c r="AE2590" s="80" t="n"/>
      <c r="AF2590" s="80" t="n"/>
      <c r="AG2590" s="80" t="n"/>
      <c r="AH2590" s="80" t="n"/>
      <c r="AI2590" s="80" t="n"/>
      <c r="AJ2590" s="80" t="n"/>
      <c r="AK2590" s="80" t="n"/>
      <c r="AL2590" s="80" t="n"/>
      <c r="AM2590" s="80" t="n"/>
      <c r="AN2590" s="80" t="n"/>
      <c r="AO2590" s="80" t="n"/>
      <c r="AP2590" s="80" t="n"/>
      <c r="AQ2590" s="80" t="n"/>
      <c r="AR2590" s="80" t="n"/>
    </row>
    <row r="2591">
      <c r="A2591" s="2">
        <f>IF($A2584="","","   projections")</f>
        <v/>
      </c>
      <c r="B2591" s="41">
        <f>IF($A2584="",0,COUNT($E2592:$AR2592))</f>
        <v/>
      </c>
      <c r="C2591" s="81">
        <f>IF($B2591=0,0,MAX($E2592:$AR2592))</f>
        <v/>
      </c>
      <c r="D2591" s="82">
        <f>BDS($A2584,'Field Check'!$C$6,"headers=y","startcol=1","endcol=7","dir=h")</f>
        <v/>
      </c>
      <c r="E2591" s="83" t="n"/>
      <c r="F2591" s="83" t="n"/>
      <c r="G2591" s="83" t="n"/>
      <c r="H2591" s="83" t="n"/>
      <c r="I2591" s="83" t="n"/>
      <c r="J2591" s="83" t="n"/>
      <c r="K2591" s="83" t="n"/>
      <c r="L2591" s="83" t="n"/>
      <c r="M2591" s="83" t="n"/>
      <c r="N2591" s="83" t="n"/>
      <c r="O2591" s="83" t="n"/>
      <c r="P2591" s="83" t="n"/>
      <c r="Q2591" s="83" t="n"/>
      <c r="R2591" s="83" t="n"/>
      <c r="S2591" s="83" t="n"/>
      <c r="T2591" s="83" t="n"/>
      <c r="U2591" s="83" t="n"/>
      <c r="V2591" s="83" t="n"/>
      <c r="W2591" s="83" t="n"/>
      <c r="X2591" s="83" t="n"/>
      <c r="Y2591" s="83" t="n"/>
      <c r="Z2591" s="83" t="n"/>
      <c r="AA2591" s="83" t="n"/>
      <c r="AB2591" s="83" t="n"/>
      <c r="AC2591" s="83" t="n"/>
      <c r="AD2591" s="83" t="n"/>
      <c r="AE2591" s="83" t="n"/>
      <c r="AF2591" s="83" t="n"/>
      <c r="AG2591" s="83" t="n"/>
      <c r="AH2591" s="83" t="n"/>
      <c r="AI2591" s="83" t="n"/>
      <c r="AJ2591" s="83" t="n"/>
      <c r="AK2591" s="83" t="n"/>
      <c r="AL2591" s="83" t="n"/>
      <c r="AM2591" s="83" t="n"/>
      <c r="AN2591" s="83" t="n"/>
      <c r="AO2591" s="83" t="n"/>
      <c r="AP2591" s="83" t="n"/>
      <c r="AQ2591" s="83" t="n"/>
      <c r="AR2591" s="83" t="n"/>
    </row>
    <row r="2592">
      <c r="D2592" s="83" t="n"/>
      <c r="E2592" s="83" t="n"/>
      <c r="F2592" s="83" t="n"/>
      <c r="G2592" s="83" t="n"/>
      <c r="H2592" s="83" t="n"/>
      <c r="I2592" s="83" t="n"/>
      <c r="J2592" s="83" t="n"/>
      <c r="K2592" s="83" t="n"/>
      <c r="L2592" s="83" t="n"/>
      <c r="M2592" s="83" t="n"/>
      <c r="N2592" s="83" t="n"/>
      <c r="O2592" s="83" t="n"/>
      <c r="P2592" s="83" t="n"/>
      <c r="Q2592" s="83" t="n"/>
      <c r="R2592" s="83" t="n"/>
      <c r="S2592" s="83" t="n"/>
      <c r="T2592" s="83" t="n"/>
      <c r="U2592" s="83" t="n"/>
      <c r="V2592" s="83" t="n"/>
      <c r="W2592" s="83" t="n"/>
      <c r="X2592" s="83" t="n"/>
      <c r="Y2592" s="83" t="n"/>
      <c r="Z2592" s="83" t="n"/>
      <c r="AA2592" s="83" t="n"/>
      <c r="AB2592" s="83" t="n"/>
      <c r="AC2592" s="83" t="n"/>
      <c r="AD2592" s="83" t="n"/>
      <c r="AE2592" s="83" t="n"/>
      <c r="AF2592" s="83" t="n"/>
      <c r="AG2592" s="83" t="n"/>
      <c r="AH2592" s="83" t="n"/>
      <c r="AI2592" s="83" t="n"/>
      <c r="AJ2592" s="83" t="n"/>
      <c r="AK2592" s="83" t="n"/>
      <c r="AL2592" s="83" t="n"/>
      <c r="AM2592" s="83" t="n"/>
      <c r="AN2592" s="83" t="n"/>
      <c r="AO2592" s="83" t="n"/>
      <c r="AP2592" s="83" t="n"/>
      <c r="AQ2592" s="83" t="n"/>
      <c r="AR2592" s="83" t="n"/>
    </row>
    <row r="2593">
      <c r="D2593" s="84" t="n"/>
      <c r="E2593" s="84" t="n"/>
      <c r="F2593" s="84" t="n"/>
      <c r="G2593" s="84" t="n"/>
      <c r="H2593" s="84" t="n"/>
      <c r="I2593" s="84" t="n"/>
      <c r="J2593" s="84" t="n"/>
      <c r="K2593" s="84" t="n"/>
      <c r="L2593" s="84" t="n"/>
      <c r="M2593" s="84" t="n"/>
      <c r="N2593" s="84" t="n"/>
      <c r="O2593" s="84" t="n"/>
      <c r="P2593" s="84" t="n"/>
      <c r="Q2593" s="84" t="n"/>
      <c r="R2593" s="84" t="n"/>
      <c r="S2593" s="84" t="n"/>
      <c r="T2593" s="84" t="n"/>
      <c r="U2593" s="84" t="n"/>
      <c r="V2593" s="84" t="n"/>
      <c r="W2593" s="84" t="n"/>
      <c r="X2593" s="84" t="n"/>
      <c r="Y2593" s="84" t="n"/>
      <c r="Z2593" s="84" t="n"/>
      <c r="AA2593" s="84" t="n"/>
      <c r="AB2593" s="84" t="n"/>
      <c r="AC2593" s="84" t="n"/>
      <c r="AD2593" s="84" t="n"/>
      <c r="AE2593" s="84" t="n"/>
      <c r="AF2593" s="84" t="n"/>
      <c r="AG2593" s="84" t="n"/>
      <c r="AH2593" s="84" t="n"/>
      <c r="AI2593" s="84" t="n"/>
      <c r="AJ2593" s="84" t="n"/>
      <c r="AK2593" s="84" t="n"/>
      <c r="AL2593" s="84" t="n"/>
      <c r="AM2593" s="84" t="n"/>
      <c r="AN2593" s="84" t="n"/>
      <c r="AO2593" s="84" t="n"/>
      <c r="AP2593" s="84" t="n"/>
      <c r="AQ2593" s="84" t="n"/>
      <c r="AR2593" s="84" t="n"/>
    </row>
    <row r="2594">
      <c r="D2594" s="80" t="n"/>
      <c r="E2594" s="80" t="n"/>
      <c r="F2594" s="80" t="n"/>
      <c r="G2594" s="80" t="n"/>
      <c r="H2594" s="80" t="n"/>
      <c r="I2594" s="80" t="n"/>
      <c r="J2594" s="80" t="n"/>
      <c r="K2594" s="80" t="n"/>
      <c r="L2594" s="80" t="n"/>
      <c r="M2594" s="80" t="n"/>
      <c r="N2594" s="80" t="n"/>
      <c r="O2594" s="80" t="n"/>
      <c r="P2594" s="80" t="n"/>
      <c r="Q2594" s="80" t="n"/>
      <c r="R2594" s="80" t="n"/>
      <c r="S2594" s="80" t="n"/>
      <c r="T2594" s="80" t="n"/>
      <c r="U2594" s="80" t="n"/>
      <c r="V2594" s="80" t="n"/>
      <c r="W2594" s="80" t="n"/>
      <c r="X2594" s="80" t="n"/>
      <c r="Y2594" s="80" t="n"/>
      <c r="Z2594" s="80" t="n"/>
      <c r="AA2594" s="80" t="n"/>
      <c r="AB2594" s="80" t="n"/>
      <c r="AC2594" s="80" t="n"/>
      <c r="AD2594" s="80" t="n"/>
      <c r="AE2594" s="80" t="n"/>
      <c r="AF2594" s="80" t="n"/>
      <c r="AG2594" s="80" t="n"/>
      <c r="AH2594" s="80" t="n"/>
      <c r="AI2594" s="80" t="n"/>
      <c r="AJ2594" s="80" t="n"/>
      <c r="AK2594" s="80" t="n"/>
      <c r="AL2594" s="80" t="n"/>
      <c r="AM2594" s="80" t="n"/>
      <c r="AN2594" s="80" t="n"/>
      <c r="AO2594" s="80" t="n"/>
      <c r="AP2594" s="80" t="n"/>
      <c r="AQ2594" s="80" t="n"/>
      <c r="AR2594" s="80" t="n"/>
    </row>
    <row r="2595">
      <c r="D2595" s="80" t="n"/>
      <c r="E2595" s="80" t="n"/>
      <c r="F2595" s="80" t="n"/>
      <c r="G2595" s="80" t="n"/>
      <c r="H2595" s="80" t="n"/>
      <c r="I2595" s="80" t="n"/>
      <c r="J2595" s="80" t="n"/>
      <c r="K2595" s="80" t="n"/>
      <c r="L2595" s="80" t="n"/>
      <c r="M2595" s="80" t="n"/>
      <c r="N2595" s="80" t="n"/>
      <c r="O2595" s="80" t="n"/>
      <c r="P2595" s="80" t="n"/>
      <c r="Q2595" s="80" t="n"/>
      <c r="R2595" s="80" t="n"/>
      <c r="S2595" s="80" t="n"/>
      <c r="T2595" s="80" t="n"/>
      <c r="U2595" s="80" t="n"/>
      <c r="V2595" s="80" t="n"/>
      <c r="W2595" s="80" t="n"/>
      <c r="X2595" s="80" t="n"/>
      <c r="Y2595" s="80" t="n"/>
      <c r="Z2595" s="80" t="n"/>
      <c r="AA2595" s="80" t="n"/>
      <c r="AB2595" s="80" t="n"/>
      <c r="AC2595" s="80" t="n"/>
      <c r="AD2595" s="80" t="n"/>
      <c r="AE2595" s="80" t="n"/>
      <c r="AF2595" s="80" t="n"/>
      <c r="AG2595" s="80" t="n"/>
      <c r="AH2595" s="80" t="n"/>
      <c r="AI2595" s="80" t="n"/>
      <c r="AJ2595" s="80" t="n"/>
      <c r="AK2595" s="80" t="n"/>
      <c r="AL2595" s="80" t="n"/>
      <c r="AM2595" s="80" t="n"/>
      <c r="AN2595" s="80" t="n"/>
      <c r="AO2595" s="80" t="n"/>
      <c r="AP2595" s="80" t="n"/>
      <c r="AQ2595" s="80" t="n"/>
      <c r="AR2595" s="80" t="n"/>
    </row>
    <row r="2596">
      <c r="D2596" s="80" t="n"/>
      <c r="E2596" s="80" t="n"/>
      <c r="F2596" s="80" t="n"/>
      <c r="G2596" s="80" t="n"/>
      <c r="H2596" s="80" t="n"/>
      <c r="I2596" s="80" t="n"/>
      <c r="J2596" s="80" t="n"/>
      <c r="K2596" s="80" t="n"/>
      <c r="L2596" s="80" t="n"/>
      <c r="M2596" s="80" t="n"/>
      <c r="N2596" s="80" t="n"/>
      <c r="O2596" s="80" t="n"/>
      <c r="P2596" s="80" t="n"/>
      <c r="Q2596" s="80" t="n"/>
      <c r="R2596" s="80" t="n"/>
      <c r="S2596" s="80" t="n"/>
      <c r="T2596" s="80" t="n"/>
      <c r="U2596" s="80" t="n"/>
      <c r="V2596" s="80" t="n"/>
      <c r="W2596" s="80" t="n"/>
      <c r="X2596" s="80" t="n"/>
      <c r="Y2596" s="80" t="n"/>
      <c r="Z2596" s="80" t="n"/>
      <c r="AA2596" s="80" t="n"/>
      <c r="AB2596" s="80" t="n"/>
      <c r="AC2596" s="80" t="n"/>
      <c r="AD2596" s="80" t="n"/>
      <c r="AE2596" s="80" t="n"/>
      <c r="AF2596" s="80" t="n"/>
      <c r="AG2596" s="80" t="n"/>
      <c r="AH2596" s="80" t="n"/>
      <c r="AI2596" s="80" t="n"/>
      <c r="AJ2596" s="80" t="n"/>
      <c r="AK2596" s="80" t="n"/>
      <c r="AL2596" s="80" t="n"/>
      <c r="AM2596" s="80" t="n"/>
      <c r="AN2596" s="80" t="n"/>
      <c r="AO2596" s="80" t="n"/>
      <c r="AP2596" s="80" t="n"/>
      <c r="AQ2596" s="80" t="n"/>
      <c r="AR2596" s="80" t="n"/>
    </row>
    <row r="2597">
      <c r="D2597" s="80" t="n"/>
      <c r="E2597" s="80" t="n"/>
      <c r="F2597" s="80" t="n"/>
      <c r="G2597" s="80" t="n"/>
      <c r="H2597" s="80" t="n"/>
      <c r="I2597" s="80" t="n"/>
      <c r="J2597" s="80" t="n"/>
      <c r="K2597" s="80" t="n"/>
      <c r="L2597" s="80" t="n"/>
      <c r="M2597" s="80" t="n"/>
      <c r="N2597" s="80" t="n"/>
      <c r="O2597" s="80" t="n"/>
      <c r="P2597" s="80" t="n"/>
      <c r="Q2597" s="80" t="n"/>
      <c r="R2597" s="80" t="n"/>
      <c r="S2597" s="80" t="n"/>
      <c r="T2597" s="80" t="n"/>
      <c r="U2597" s="80" t="n"/>
      <c r="V2597" s="80" t="n"/>
      <c r="W2597" s="80" t="n"/>
      <c r="X2597" s="80" t="n"/>
      <c r="Y2597" s="80" t="n"/>
      <c r="Z2597" s="80" t="n"/>
      <c r="AA2597" s="80" t="n"/>
      <c r="AB2597" s="80" t="n"/>
      <c r="AC2597" s="80" t="n"/>
      <c r="AD2597" s="80" t="n"/>
      <c r="AE2597" s="80" t="n"/>
      <c r="AF2597" s="80" t="n"/>
      <c r="AG2597" s="80" t="n"/>
      <c r="AH2597" s="80" t="n"/>
      <c r="AI2597" s="80" t="n"/>
      <c r="AJ2597" s="80" t="n"/>
      <c r="AK2597" s="80" t="n"/>
      <c r="AL2597" s="80" t="n"/>
      <c r="AM2597" s="80" t="n"/>
      <c r="AN2597" s="80" t="n"/>
      <c r="AO2597" s="80" t="n"/>
      <c r="AP2597" s="80" t="n"/>
      <c r="AQ2597" s="80" t="n"/>
      <c r="AR2597" s="80" t="n"/>
    </row>
    <row r="2599">
      <c r="A2599" s="6">
        <f>IF(HSCEI!$C$39="","",HSCEI!$C$39)</f>
        <v/>
      </c>
      <c r="B2599" s="41">
        <f>IF($A2599="",0,COUNT($E2600:$AR2600))</f>
        <v/>
      </c>
      <c r="C2599" s="81">
        <f>IF($B2599=0,0,MAX($E2600:$AR2600))</f>
        <v/>
      </c>
      <c r="D2599" s="82">
        <f>BDS($A2599,'Field Check'!$C$7,"headers=y","startcol=1","endcol=7","dir=h","DVD_START_DT",Summary!$C$18,"DVD_END_DT",Summary!$D$18)</f>
        <v/>
      </c>
      <c r="E2599" s="83" t="n"/>
      <c r="F2599" s="83" t="n"/>
      <c r="G2599" s="83" t="n"/>
      <c r="H2599" s="83" t="n"/>
      <c r="I2599" s="83" t="n"/>
      <c r="J2599" s="83" t="n"/>
      <c r="K2599" s="83" t="n"/>
      <c r="L2599" s="83" t="n"/>
      <c r="M2599" s="83" t="n"/>
      <c r="N2599" s="83" t="n"/>
      <c r="O2599" s="83" t="n"/>
      <c r="P2599" s="83" t="n"/>
      <c r="Q2599" s="83" t="n"/>
      <c r="R2599" s="83" t="n"/>
      <c r="S2599" s="83" t="n"/>
      <c r="T2599" s="83" t="n"/>
      <c r="U2599" s="83" t="n"/>
      <c r="V2599" s="83" t="n"/>
      <c r="W2599" s="83" t="n"/>
      <c r="X2599" s="83" t="n"/>
      <c r="Y2599" s="83" t="n"/>
      <c r="Z2599" s="83" t="n"/>
      <c r="AA2599" s="83" t="n"/>
      <c r="AB2599" s="83" t="n"/>
      <c r="AC2599" s="83" t="n"/>
      <c r="AD2599" s="83" t="n"/>
      <c r="AE2599" s="83" t="n"/>
      <c r="AF2599" s="83" t="n"/>
      <c r="AG2599" s="83" t="n"/>
      <c r="AH2599" s="83" t="n"/>
      <c r="AI2599" s="83" t="n"/>
      <c r="AJ2599" s="83" t="n"/>
      <c r="AK2599" s="83" t="n"/>
      <c r="AL2599" s="83" t="n"/>
      <c r="AM2599" s="83" t="n"/>
      <c r="AN2599" s="83" t="n"/>
      <c r="AO2599" s="83" t="n"/>
      <c r="AP2599" s="83" t="n"/>
      <c r="AQ2599" s="83" t="n"/>
      <c r="AR2599" s="83" t="n"/>
    </row>
    <row r="2600">
      <c r="D2600" s="83" t="n"/>
      <c r="E2600" s="83" t="n"/>
      <c r="F2600" s="83" t="n"/>
      <c r="G2600" s="83" t="n"/>
      <c r="H2600" s="83" t="n"/>
      <c r="I2600" s="83" t="n"/>
      <c r="J2600" s="83" t="n"/>
      <c r="K2600" s="83" t="n"/>
      <c r="L2600" s="83" t="n"/>
      <c r="M2600" s="83" t="n"/>
      <c r="N2600" s="83" t="n"/>
      <c r="O2600" s="83" t="n"/>
      <c r="P2600" s="83" t="n"/>
      <c r="Q2600" s="83" t="n"/>
      <c r="R2600" s="83" t="n"/>
      <c r="S2600" s="83" t="n"/>
      <c r="T2600" s="83" t="n"/>
      <c r="U2600" s="83" t="n"/>
      <c r="V2600" s="83" t="n"/>
      <c r="W2600" s="83" t="n"/>
      <c r="X2600" s="83" t="n"/>
      <c r="Y2600" s="83" t="n"/>
      <c r="Z2600" s="83" t="n"/>
      <c r="AA2600" s="83" t="n"/>
      <c r="AB2600" s="83" t="n"/>
      <c r="AC2600" s="83" t="n"/>
      <c r="AD2600" s="83" t="n"/>
      <c r="AE2600" s="83" t="n"/>
      <c r="AF2600" s="83" t="n"/>
      <c r="AG2600" s="83" t="n"/>
      <c r="AH2600" s="83" t="n"/>
      <c r="AI2600" s="83" t="n"/>
      <c r="AJ2600" s="83" t="n"/>
      <c r="AK2600" s="83" t="n"/>
      <c r="AL2600" s="83" t="n"/>
      <c r="AM2600" s="83" t="n"/>
      <c r="AN2600" s="83" t="n"/>
      <c r="AO2600" s="83" t="n"/>
      <c r="AP2600" s="83" t="n"/>
      <c r="AQ2600" s="83" t="n"/>
      <c r="AR2600" s="83" t="n"/>
    </row>
    <row r="2601">
      <c r="D2601" s="84" t="n"/>
      <c r="E2601" s="84" t="n"/>
      <c r="F2601" s="84" t="n"/>
      <c r="G2601" s="84" t="n"/>
      <c r="H2601" s="84" t="n"/>
      <c r="I2601" s="84" t="n"/>
      <c r="J2601" s="84" t="n"/>
      <c r="K2601" s="84" t="n"/>
      <c r="L2601" s="84" t="n"/>
      <c r="M2601" s="84" t="n"/>
      <c r="N2601" s="84" t="n"/>
      <c r="O2601" s="84" t="n"/>
      <c r="P2601" s="84" t="n"/>
      <c r="Q2601" s="84" t="n"/>
      <c r="R2601" s="84" t="n"/>
      <c r="S2601" s="84" t="n"/>
      <c r="T2601" s="84" t="n"/>
      <c r="U2601" s="84" t="n"/>
      <c r="V2601" s="84" t="n"/>
      <c r="W2601" s="84" t="n"/>
      <c r="X2601" s="84" t="n"/>
      <c r="Y2601" s="84" t="n"/>
      <c r="Z2601" s="84" t="n"/>
      <c r="AA2601" s="84" t="n"/>
      <c r="AB2601" s="84" t="n"/>
      <c r="AC2601" s="84" t="n"/>
      <c r="AD2601" s="84" t="n"/>
      <c r="AE2601" s="84" t="n"/>
      <c r="AF2601" s="84" t="n"/>
      <c r="AG2601" s="84" t="n"/>
      <c r="AH2601" s="84" t="n"/>
      <c r="AI2601" s="84" t="n"/>
      <c r="AJ2601" s="84" t="n"/>
      <c r="AK2601" s="84" t="n"/>
      <c r="AL2601" s="84" t="n"/>
      <c r="AM2601" s="84" t="n"/>
      <c r="AN2601" s="84" t="n"/>
      <c r="AO2601" s="84" t="n"/>
      <c r="AP2601" s="84" t="n"/>
      <c r="AQ2601" s="84" t="n"/>
      <c r="AR2601" s="84" t="n"/>
    </row>
    <row r="2602">
      <c r="D2602" s="80" t="n"/>
      <c r="E2602" s="80" t="n"/>
      <c r="F2602" s="80" t="n"/>
      <c r="G2602" s="80" t="n"/>
      <c r="H2602" s="80" t="n"/>
      <c r="I2602" s="80" t="n"/>
      <c r="J2602" s="80" t="n"/>
      <c r="K2602" s="80" t="n"/>
      <c r="L2602" s="80" t="n"/>
      <c r="M2602" s="80" t="n"/>
      <c r="N2602" s="80" t="n"/>
      <c r="O2602" s="80" t="n"/>
      <c r="P2602" s="80" t="n"/>
      <c r="Q2602" s="80" t="n"/>
      <c r="R2602" s="80" t="n"/>
      <c r="S2602" s="80" t="n"/>
      <c r="T2602" s="80" t="n"/>
      <c r="U2602" s="80" t="n"/>
      <c r="V2602" s="80" t="n"/>
      <c r="W2602" s="80" t="n"/>
      <c r="X2602" s="80" t="n"/>
      <c r="Y2602" s="80" t="n"/>
      <c r="Z2602" s="80" t="n"/>
      <c r="AA2602" s="80" t="n"/>
      <c r="AB2602" s="80" t="n"/>
      <c r="AC2602" s="80" t="n"/>
      <c r="AD2602" s="80" t="n"/>
      <c r="AE2602" s="80" t="n"/>
      <c r="AF2602" s="80" t="n"/>
      <c r="AG2602" s="80" t="n"/>
      <c r="AH2602" s="80" t="n"/>
      <c r="AI2602" s="80" t="n"/>
      <c r="AJ2602" s="80" t="n"/>
      <c r="AK2602" s="80" t="n"/>
      <c r="AL2602" s="80" t="n"/>
      <c r="AM2602" s="80" t="n"/>
      <c r="AN2602" s="80" t="n"/>
      <c r="AO2602" s="80" t="n"/>
      <c r="AP2602" s="80" t="n"/>
      <c r="AQ2602" s="80" t="n"/>
      <c r="AR2602" s="80" t="n"/>
    </row>
    <row r="2603">
      <c r="D2603" s="80" t="n"/>
      <c r="E2603" s="80" t="n"/>
      <c r="F2603" s="80" t="n"/>
      <c r="G2603" s="80" t="n"/>
      <c r="H2603" s="80" t="n"/>
      <c r="I2603" s="80" t="n"/>
      <c r="J2603" s="80" t="n"/>
      <c r="K2603" s="80" t="n"/>
      <c r="L2603" s="80" t="n"/>
      <c r="M2603" s="80" t="n"/>
      <c r="N2603" s="80" t="n"/>
      <c r="O2603" s="80" t="n"/>
      <c r="P2603" s="80" t="n"/>
      <c r="Q2603" s="80" t="n"/>
      <c r="R2603" s="80" t="n"/>
      <c r="S2603" s="80" t="n"/>
      <c r="T2603" s="80" t="n"/>
      <c r="U2603" s="80" t="n"/>
      <c r="V2603" s="80" t="n"/>
      <c r="W2603" s="80" t="n"/>
      <c r="X2603" s="80" t="n"/>
      <c r="Y2603" s="80" t="n"/>
      <c r="Z2603" s="80" t="n"/>
      <c r="AA2603" s="80" t="n"/>
      <c r="AB2603" s="80" t="n"/>
      <c r="AC2603" s="80" t="n"/>
      <c r="AD2603" s="80" t="n"/>
      <c r="AE2603" s="80" t="n"/>
      <c r="AF2603" s="80" t="n"/>
      <c r="AG2603" s="80" t="n"/>
      <c r="AH2603" s="80" t="n"/>
      <c r="AI2603" s="80" t="n"/>
      <c r="AJ2603" s="80" t="n"/>
      <c r="AK2603" s="80" t="n"/>
      <c r="AL2603" s="80" t="n"/>
      <c r="AM2603" s="80" t="n"/>
      <c r="AN2603" s="80" t="n"/>
      <c r="AO2603" s="80" t="n"/>
      <c r="AP2603" s="80" t="n"/>
      <c r="AQ2603" s="80" t="n"/>
      <c r="AR2603" s="80" t="n"/>
    </row>
    <row r="2604">
      <c r="D2604" s="80" t="n"/>
      <c r="E2604" s="80" t="n"/>
      <c r="F2604" s="80" t="n"/>
      <c r="G2604" s="80" t="n"/>
      <c r="H2604" s="80" t="n"/>
      <c r="I2604" s="80" t="n"/>
      <c r="J2604" s="80" t="n"/>
      <c r="K2604" s="80" t="n"/>
      <c r="L2604" s="80" t="n"/>
      <c r="M2604" s="80" t="n"/>
      <c r="N2604" s="80" t="n"/>
      <c r="O2604" s="80" t="n"/>
      <c r="P2604" s="80" t="n"/>
      <c r="Q2604" s="80" t="n"/>
      <c r="R2604" s="80" t="n"/>
      <c r="S2604" s="80" t="n"/>
      <c r="T2604" s="80" t="n"/>
      <c r="U2604" s="80" t="n"/>
      <c r="V2604" s="80" t="n"/>
      <c r="W2604" s="80" t="n"/>
      <c r="X2604" s="80" t="n"/>
      <c r="Y2604" s="80" t="n"/>
      <c r="Z2604" s="80" t="n"/>
      <c r="AA2604" s="80" t="n"/>
      <c r="AB2604" s="80" t="n"/>
      <c r="AC2604" s="80" t="n"/>
      <c r="AD2604" s="80" t="n"/>
      <c r="AE2604" s="80" t="n"/>
      <c r="AF2604" s="80" t="n"/>
      <c r="AG2604" s="80" t="n"/>
      <c r="AH2604" s="80" t="n"/>
      <c r="AI2604" s="80" t="n"/>
      <c r="AJ2604" s="80" t="n"/>
      <c r="AK2604" s="80" t="n"/>
      <c r="AL2604" s="80" t="n"/>
      <c r="AM2604" s="80" t="n"/>
      <c r="AN2604" s="80" t="n"/>
      <c r="AO2604" s="80" t="n"/>
      <c r="AP2604" s="80" t="n"/>
      <c r="AQ2604" s="80" t="n"/>
      <c r="AR2604" s="80" t="n"/>
    </row>
    <row r="2605">
      <c r="D2605" s="80" t="n"/>
      <c r="E2605" s="80" t="n"/>
      <c r="F2605" s="80" t="n"/>
      <c r="G2605" s="80" t="n"/>
      <c r="H2605" s="80" t="n"/>
      <c r="I2605" s="80" t="n"/>
      <c r="J2605" s="80" t="n"/>
      <c r="K2605" s="80" t="n"/>
      <c r="L2605" s="80" t="n"/>
      <c r="M2605" s="80" t="n"/>
      <c r="N2605" s="80" t="n"/>
      <c r="O2605" s="80" t="n"/>
      <c r="P2605" s="80" t="n"/>
      <c r="Q2605" s="80" t="n"/>
      <c r="R2605" s="80" t="n"/>
      <c r="S2605" s="80" t="n"/>
      <c r="T2605" s="80" t="n"/>
      <c r="U2605" s="80" t="n"/>
      <c r="V2605" s="80" t="n"/>
      <c r="W2605" s="80" t="n"/>
      <c r="X2605" s="80" t="n"/>
      <c r="Y2605" s="80" t="n"/>
      <c r="Z2605" s="80" t="n"/>
      <c r="AA2605" s="80" t="n"/>
      <c r="AB2605" s="80" t="n"/>
      <c r="AC2605" s="80" t="n"/>
      <c r="AD2605" s="80" t="n"/>
      <c r="AE2605" s="80" t="n"/>
      <c r="AF2605" s="80" t="n"/>
      <c r="AG2605" s="80" t="n"/>
      <c r="AH2605" s="80" t="n"/>
      <c r="AI2605" s="80" t="n"/>
      <c r="AJ2605" s="80" t="n"/>
      <c r="AK2605" s="80" t="n"/>
      <c r="AL2605" s="80" t="n"/>
      <c r="AM2605" s="80" t="n"/>
      <c r="AN2605" s="80" t="n"/>
      <c r="AO2605" s="80" t="n"/>
      <c r="AP2605" s="80" t="n"/>
      <c r="AQ2605" s="80" t="n"/>
      <c r="AR2605" s="80" t="n"/>
    </row>
    <row r="2606">
      <c r="A2606" s="2">
        <f>IF($A2599="","","   projections")</f>
        <v/>
      </c>
      <c r="B2606" s="41">
        <f>IF($A2599="",0,COUNT($E2607:$AR2607))</f>
        <v/>
      </c>
      <c r="C2606" s="81">
        <f>IF($B2606=0,0,MAX($E2607:$AR2607))</f>
        <v/>
      </c>
      <c r="D2606" s="82">
        <f>BDS($A2599,'Field Check'!$C$6,"headers=y","startcol=1","endcol=7","dir=h")</f>
        <v/>
      </c>
      <c r="E2606" s="83" t="n"/>
      <c r="F2606" s="83" t="n"/>
      <c r="G2606" s="83" t="n"/>
      <c r="H2606" s="83" t="n"/>
      <c r="I2606" s="83" t="n"/>
      <c r="J2606" s="83" t="n"/>
      <c r="K2606" s="83" t="n"/>
      <c r="L2606" s="83" t="n"/>
      <c r="M2606" s="83" t="n"/>
      <c r="N2606" s="83" t="n"/>
      <c r="O2606" s="83" t="n"/>
      <c r="P2606" s="83" t="n"/>
      <c r="Q2606" s="83" t="n"/>
      <c r="R2606" s="83" t="n"/>
      <c r="S2606" s="83" t="n"/>
      <c r="T2606" s="83" t="n"/>
      <c r="U2606" s="83" t="n"/>
      <c r="V2606" s="83" t="n"/>
      <c r="W2606" s="83" t="n"/>
      <c r="X2606" s="83" t="n"/>
      <c r="Y2606" s="83" t="n"/>
      <c r="Z2606" s="83" t="n"/>
      <c r="AA2606" s="83" t="n"/>
      <c r="AB2606" s="83" t="n"/>
      <c r="AC2606" s="83" t="n"/>
      <c r="AD2606" s="83" t="n"/>
      <c r="AE2606" s="83" t="n"/>
      <c r="AF2606" s="83" t="n"/>
      <c r="AG2606" s="83" t="n"/>
      <c r="AH2606" s="83" t="n"/>
      <c r="AI2606" s="83" t="n"/>
      <c r="AJ2606" s="83" t="n"/>
      <c r="AK2606" s="83" t="n"/>
      <c r="AL2606" s="83" t="n"/>
      <c r="AM2606" s="83" t="n"/>
      <c r="AN2606" s="83" t="n"/>
      <c r="AO2606" s="83" t="n"/>
      <c r="AP2606" s="83" t="n"/>
      <c r="AQ2606" s="83" t="n"/>
      <c r="AR2606" s="83" t="n"/>
    </row>
    <row r="2607">
      <c r="D2607" s="83" t="n"/>
      <c r="E2607" s="83" t="n"/>
      <c r="F2607" s="83" t="n"/>
      <c r="G2607" s="83" t="n"/>
      <c r="H2607" s="83" t="n"/>
      <c r="I2607" s="83" t="n"/>
      <c r="J2607" s="83" t="n"/>
      <c r="K2607" s="83" t="n"/>
      <c r="L2607" s="83" t="n"/>
      <c r="M2607" s="83" t="n"/>
      <c r="N2607" s="83" t="n"/>
      <c r="O2607" s="83" t="n"/>
      <c r="P2607" s="83" t="n"/>
      <c r="Q2607" s="83" t="n"/>
      <c r="R2607" s="83" t="n"/>
      <c r="S2607" s="83" t="n"/>
      <c r="T2607" s="83" t="n"/>
      <c r="U2607" s="83" t="n"/>
      <c r="V2607" s="83" t="n"/>
      <c r="W2607" s="83" t="n"/>
      <c r="X2607" s="83" t="n"/>
      <c r="Y2607" s="83" t="n"/>
      <c r="Z2607" s="83" t="n"/>
      <c r="AA2607" s="83" t="n"/>
      <c r="AB2607" s="83" t="n"/>
      <c r="AC2607" s="83" t="n"/>
      <c r="AD2607" s="83" t="n"/>
      <c r="AE2607" s="83" t="n"/>
      <c r="AF2607" s="83" t="n"/>
      <c r="AG2607" s="83" t="n"/>
      <c r="AH2607" s="83" t="n"/>
      <c r="AI2607" s="83" t="n"/>
      <c r="AJ2607" s="83" t="n"/>
      <c r="AK2607" s="83" t="n"/>
      <c r="AL2607" s="83" t="n"/>
      <c r="AM2607" s="83" t="n"/>
      <c r="AN2607" s="83" t="n"/>
      <c r="AO2607" s="83" t="n"/>
      <c r="AP2607" s="83" t="n"/>
      <c r="AQ2607" s="83" t="n"/>
      <c r="AR2607" s="83" t="n"/>
    </row>
    <row r="2608">
      <c r="D2608" s="84" t="n"/>
      <c r="E2608" s="84" t="n"/>
      <c r="F2608" s="84" t="n"/>
      <c r="G2608" s="84" t="n"/>
      <c r="H2608" s="84" t="n"/>
      <c r="I2608" s="84" t="n"/>
      <c r="J2608" s="84" t="n"/>
      <c r="K2608" s="84" t="n"/>
      <c r="L2608" s="84" t="n"/>
      <c r="M2608" s="84" t="n"/>
      <c r="N2608" s="84" t="n"/>
      <c r="O2608" s="84" t="n"/>
      <c r="P2608" s="84" t="n"/>
      <c r="Q2608" s="84" t="n"/>
      <c r="R2608" s="84" t="n"/>
      <c r="S2608" s="84" t="n"/>
      <c r="T2608" s="84" t="n"/>
      <c r="U2608" s="84" t="n"/>
      <c r="V2608" s="84" t="n"/>
      <c r="W2608" s="84" t="n"/>
      <c r="X2608" s="84" t="n"/>
      <c r="Y2608" s="84" t="n"/>
      <c r="Z2608" s="84" t="n"/>
      <c r="AA2608" s="84" t="n"/>
      <c r="AB2608" s="84" t="n"/>
      <c r="AC2608" s="84" t="n"/>
      <c r="AD2608" s="84" t="n"/>
      <c r="AE2608" s="84" t="n"/>
      <c r="AF2608" s="84" t="n"/>
      <c r="AG2608" s="84" t="n"/>
      <c r="AH2608" s="84" t="n"/>
      <c r="AI2608" s="84" t="n"/>
      <c r="AJ2608" s="84" t="n"/>
      <c r="AK2608" s="84" t="n"/>
      <c r="AL2608" s="84" t="n"/>
      <c r="AM2608" s="84" t="n"/>
      <c r="AN2608" s="84" t="n"/>
      <c r="AO2608" s="84" t="n"/>
      <c r="AP2608" s="84" t="n"/>
      <c r="AQ2608" s="84" t="n"/>
      <c r="AR2608" s="84" t="n"/>
    </row>
    <row r="2609">
      <c r="D2609" s="80" t="n"/>
      <c r="E2609" s="80" t="n"/>
      <c r="F2609" s="80" t="n"/>
      <c r="G2609" s="80" t="n"/>
      <c r="H2609" s="80" t="n"/>
      <c r="I2609" s="80" t="n"/>
      <c r="J2609" s="80" t="n"/>
      <c r="K2609" s="80" t="n"/>
      <c r="L2609" s="80" t="n"/>
      <c r="M2609" s="80" t="n"/>
      <c r="N2609" s="80" t="n"/>
      <c r="O2609" s="80" t="n"/>
      <c r="P2609" s="80" t="n"/>
      <c r="Q2609" s="80" t="n"/>
      <c r="R2609" s="80" t="n"/>
      <c r="S2609" s="80" t="n"/>
      <c r="T2609" s="80" t="n"/>
      <c r="U2609" s="80" t="n"/>
      <c r="V2609" s="80" t="n"/>
      <c r="W2609" s="80" t="n"/>
      <c r="X2609" s="80" t="n"/>
      <c r="Y2609" s="80" t="n"/>
      <c r="Z2609" s="80" t="n"/>
      <c r="AA2609" s="80" t="n"/>
      <c r="AB2609" s="80" t="n"/>
      <c r="AC2609" s="80" t="n"/>
      <c r="AD2609" s="80" t="n"/>
      <c r="AE2609" s="80" t="n"/>
      <c r="AF2609" s="80" t="n"/>
      <c r="AG2609" s="80" t="n"/>
      <c r="AH2609" s="80" t="n"/>
      <c r="AI2609" s="80" t="n"/>
      <c r="AJ2609" s="80" t="n"/>
      <c r="AK2609" s="80" t="n"/>
      <c r="AL2609" s="80" t="n"/>
      <c r="AM2609" s="80" t="n"/>
      <c r="AN2609" s="80" t="n"/>
      <c r="AO2609" s="80" t="n"/>
      <c r="AP2609" s="80" t="n"/>
      <c r="AQ2609" s="80" t="n"/>
      <c r="AR2609" s="80" t="n"/>
    </row>
    <row r="2610">
      <c r="D2610" s="80" t="n"/>
      <c r="E2610" s="80" t="n"/>
      <c r="F2610" s="80" t="n"/>
      <c r="G2610" s="80" t="n"/>
      <c r="H2610" s="80" t="n"/>
      <c r="I2610" s="80" t="n"/>
      <c r="J2610" s="80" t="n"/>
      <c r="K2610" s="80" t="n"/>
      <c r="L2610" s="80" t="n"/>
      <c r="M2610" s="80" t="n"/>
      <c r="N2610" s="80" t="n"/>
      <c r="O2610" s="80" t="n"/>
      <c r="P2610" s="80" t="n"/>
      <c r="Q2610" s="80" t="n"/>
      <c r="R2610" s="80" t="n"/>
      <c r="S2610" s="80" t="n"/>
      <c r="T2610" s="80" t="n"/>
      <c r="U2610" s="80" t="n"/>
      <c r="V2610" s="80" t="n"/>
      <c r="W2610" s="80" t="n"/>
      <c r="X2610" s="80" t="n"/>
      <c r="Y2610" s="80" t="n"/>
      <c r="Z2610" s="80" t="n"/>
      <c r="AA2610" s="80" t="n"/>
      <c r="AB2610" s="80" t="n"/>
      <c r="AC2610" s="80" t="n"/>
      <c r="AD2610" s="80" t="n"/>
      <c r="AE2610" s="80" t="n"/>
      <c r="AF2610" s="80" t="n"/>
      <c r="AG2610" s="80" t="n"/>
      <c r="AH2610" s="80" t="n"/>
      <c r="AI2610" s="80" t="n"/>
      <c r="AJ2610" s="80" t="n"/>
      <c r="AK2610" s="80" t="n"/>
      <c r="AL2610" s="80" t="n"/>
      <c r="AM2610" s="80" t="n"/>
      <c r="AN2610" s="80" t="n"/>
      <c r="AO2610" s="80" t="n"/>
      <c r="AP2610" s="80" t="n"/>
      <c r="AQ2610" s="80" t="n"/>
      <c r="AR2610" s="80" t="n"/>
    </row>
    <row r="2611">
      <c r="D2611" s="80" t="n"/>
      <c r="E2611" s="80" t="n"/>
      <c r="F2611" s="80" t="n"/>
      <c r="G2611" s="80" t="n"/>
      <c r="H2611" s="80" t="n"/>
      <c r="I2611" s="80" t="n"/>
      <c r="J2611" s="80" t="n"/>
      <c r="K2611" s="80" t="n"/>
      <c r="L2611" s="80" t="n"/>
      <c r="M2611" s="80" t="n"/>
      <c r="N2611" s="80" t="n"/>
      <c r="O2611" s="80" t="n"/>
      <c r="P2611" s="80" t="n"/>
      <c r="Q2611" s="80" t="n"/>
      <c r="R2611" s="80" t="n"/>
      <c r="S2611" s="80" t="n"/>
      <c r="T2611" s="80" t="n"/>
      <c r="U2611" s="80" t="n"/>
      <c r="V2611" s="80" t="n"/>
      <c r="W2611" s="80" t="n"/>
      <c r="X2611" s="80" t="n"/>
      <c r="Y2611" s="80" t="n"/>
      <c r="Z2611" s="80" t="n"/>
      <c r="AA2611" s="80" t="n"/>
      <c r="AB2611" s="80" t="n"/>
      <c r="AC2611" s="80" t="n"/>
      <c r="AD2611" s="80" t="n"/>
      <c r="AE2611" s="80" t="n"/>
      <c r="AF2611" s="80" t="n"/>
      <c r="AG2611" s="80" t="n"/>
      <c r="AH2611" s="80" t="n"/>
      <c r="AI2611" s="80" t="n"/>
      <c r="AJ2611" s="80" t="n"/>
      <c r="AK2611" s="80" t="n"/>
      <c r="AL2611" s="80" t="n"/>
      <c r="AM2611" s="80" t="n"/>
      <c r="AN2611" s="80" t="n"/>
      <c r="AO2611" s="80" t="n"/>
      <c r="AP2611" s="80" t="n"/>
      <c r="AQ2611" s="80" t="n"/>
      <c r="AR2611" s="80" t="n"/>
    </row>
    <row r="2612">
      <c r="D2612" s="80" t="n"/>
      <c r="E2612" s="80" t="n"/>
      <c r="F2612" s="80" t="n"/>
      <c r="G2612" s="80" t="n"/>
      <c r="H2612" s="80" t="n"/>
      <c r="I2612" s="80" t="n"/>
      <c r="J2612" s="80" t="n"/>
      <c r="K2612" s="80" t="n"/>
      <c r="L2612" s="80" t="n"/>
      <c r="M2612" s="80" t="n"/>
      <c r="N2612" s="80" t="n"/>
      <c r="O2612" s="80" t="n"/>
      <c r="P2612" s="80" t="n"/>
      <c r="Q2612" s="80" t="n"/>
      <c r="R2612" s="80" t="n"/>
      <c r="S2612" s="80" t="n"/>
      <c r="T2612" s="80" t="n"/>
      <c r="U2612" s="80" t="n"/>
      <c r="V2612" s="80" t="n"/>
      <c r="W2612" s="80" t="n"/>
      <c r="X2612" s="80" t="n"/>
      <c r="Y2612" s="80" t="n"/>
      <c r="Z2612" s="80" t="n"/>
      <c r="AA2612" s="80" t="n"/>
      <c r="AB2612" s="80" t="n"/>
      <c r="AC2612" s="80" t="n"/>
      <c r="AD2612" s="80" t="n"/>
      <c r="AE2612" s="80" t="n"/>
      <c r="AF2612" s="80" t="n"/>
      <c r="AG2612" s="80" t="n"/>
      <c r="AH2612" s="80" t="n"/>
      <c r="AI2612" s="80" t="n"/>
      <c r="AJ2612" s="80" t="n"/>
      <c r="AK2612" s="80" t="n"/>
      <c r="AL2612" s="80" t="n"/>
      <c r="AM2612" s="80" t="n"/>
      <c r="AN2612" s="80" t="n"/>
      <c r="AO2612" s="80" t="n"/>
      <c r="AP2612" s="80" t="n"/>
      <c r="AQ2612" s="80" t="n"/>
      <c r="AR2612" s="80" t="n"/>
    </row>
    <row r="2614">
      <c r="A2614" s="6">
        <f>IF(HSCEI!$C$40="","",HSCEI!$C$40)</f>
        <v/>
      </c>
      <c r="B2614" s="41">
        <f>IF($A2614="",0,COUNT($E2615:$AR2615))</f>
        <v/>
      </c>
      <c r="C2614" s="81">
        <f>IF($B2614=0,0,MAX($E2615:$AR2615))</f>
        <v/>
      </c>
      <c r="D2614" s="82">
        <f>BDS($A2614,'Field Check'!$C$7,"headers=y","startcol=1","endcol=7","dir=h","DVD_START_DT",Summary!$C$18,"DVD_END_DT",Summary!$D$18)</f>
        <v/>
      </c>
      <c r="E2614" s="83" t="n"/>
      <c r="F2614" s="83" t="n"/>
      <c r="G2614" s="83" t="n"/>
      <c r="H2614" s="83" t="n"/>
      <c r="I2614" s="83" t="n"/>
      <c r="J2614" s="83" t="n"/>
      <c r="K2614" s="83" t="n"/>
      <c r="L2614" s="83" t="n"/>
      <c r="M2614" s="83" t="n"/>
      <c r="N2614" s="83" t="n"/>
      <c r="O2614" s="83" t="n"/>
      <c r="P2614" s="83" t="n"/>
      <c r="Q2614" s="83" t="n"/>
      <c r="R2614" s="83" t="n"/>
      <c r="S2614" s="83" t="n"/>
      <c r="T2614" s="83" t="n"/>
      <c r="U2614" s="83" t="n"/>
      <c r="V2614" s="83" t="n"/>
      <c r="W2614" s="83" t="n"/>
      <c r="X2614" s="83" t="n"/>
      <c r="Y2614" s="83" t="n"/>
      <c r="Z2614" s="83" t="n"/>
      <c r="AA2614" s="83" t="n"/>
      <c r="AB2614" s="83" t="n"/>
      <c r="AC2614" s="83" t="n"/>
      <c r="AD2614" s="83" t="n"/>
      <c r="AE2614" s="83" t="n"/>
      <c r="AF2614" s="83" t="n"/>
      <c r="AG2614" s="83" t="n"/>
      <c r="AH2614" s="83" t="n"/>
      <c r="AI2614" s="83" t="n"/>
      <c r="AJ2614" s="83" t="n"/>
      <c r="AK2614" s="83" t="n"/>
      <c r="AL2614" s="83" t="n"/>
      <c r="AM2614" s="83" t="n"/>
      <c r="AN2614" s="83" t="n"/>
      <c r="AO2614" s="83" t="n"/>
      <c r="AP2614" s="83" t="n"/>
      <c r="AQ2614" s="83" t="n"/>
      <c r="AR2614" s="83" t="n"/>
    </row>
    <row r="2615">
      <c r="D2615" s="83" t="n"/>
      <c r="E2615" s="83" t="n"/>
      <c r="F2615" s="83" t="n"/>
      <c r="G2615" s="83" t="n"/>
      <c r="H2615" s="83" t="n"/>
      <c r="I2615" s="83" t="n"/>
      <c r="J2615" s="83" t="n"/>
      <c r="K2615" s="83" t="n"/>
      <c r="L2615" s="83" t="n"/>
      <c r="M2615" s="83" t="n"/>
      <c r="N2615" s="83" t="n"/>
      <c r="O2615" s="83" t="n"/>
      <c r="P2615" s="83" t="n"/>
      <c r="Q2615" s="83" t="n"/>
      <c r="R2615" s="83" t="n"/>
      <c r="S2615" s="83" t="n"/>
      <c r="T2615" s="83" t="n"/>
      <c r="U2615" s="83" t="n"/>
      <c r="V2615" s="83" t="n"/>
      <c r="W2615" s="83" t="n"/>
      <c r="X2615" s="83" t="n"/>
      <c r="Y2615" s="83" t="n"/>
      <c r="Z2615" s="83" t="n"/>
      <c r="AA2615" s="83" t="n"/>
      <c r="AB2615" s="83" t="n"/>
      <c r="AC2615" s="83" t="n"/>
      <c r="AD2615" s="83" t="n"/>
      <c r="AE2615" s="83" t="n"/>
      <c r="AF2615" s="83" t="n"/>
      <c r="AG2615" s="83" t="n"/>
      <c r="AH2615" s="83" t="n"/>
      <c r="AI2615" s="83" t="n"/>
      <c r="AJ2615" s="83" t="n"/>
      <c r="AK2615" s="83" t="n"/>
      <c r="AL2615" s="83" t="n"/>
      <c r="AM2615" s="83" t="n"/>
      <c r="AN2615" s="83" t="n"/>
      <c r="AO2615" s="83" t="n"/>
      <c r="AP2615" s="83" t="n"/>
      <c r="AQ2615" s="83" t="n"/>
      <c r="AR2615" s="83" t="n"/>
    </row>
    <row r="2616">
      <c r="D2616" s="84" t="n"/>
      <c r="E2616" s="84" t="n"/>
      <c r="F2616" s="84" t="n"/>
      <c r="G2616" s="84" t="n"/>
      <c r="H2616" s="84" t="n"/>
      <c r="I2616" s="84" t="n"/>
      <c r="J2616" s="84" t="n"/>
      <c r="K2616" s="84" t="n"/>
      <c r="L2616" s="84" t="n"/>
      <c r="M2616" s="84" t="n"/>
      <c r="N2616" s="84" t="n"/>
      <c r="O2616" s="84" t="n"/>
      <c r="P2616" s="84" t="n"/>
      <c r="Q2616" s="84" t="n"/>
      <c r="R2616" s="84" t="n"/>
      <c r="S2616" s="84" t="n"/>
      <c r="T2616" s="84" t="n"/>
      <c r="U2616" s="84" t="n"/>
      <c r="V2616" s="84" t="n"/>
      <c r="W2616" s="84" t="n"/>
      <c r="X2616" s="84" t="n"/>
      <c r="Y2616" s="84" t="n"/>
      <c r="Z2616" s="84" t="n"/>
      <c r="AA2616" s="84" t="n"/>
      <c r="AB2616" s="84" t="n"/>
      <c r="AC2616" s="84" t="n"/>
      <c r="AD2616" s="84" t="n"/>
      <c r="AE2616" s="84" t="n"/>
      <c r="AF2616" s="84" t="n"/>
      <c r="AG2616" s="84" t="n"/>
      <c r="AH2616" s="84" t="n"/>
      <c r="AI2616" s="84" t="n"/>
      <c r="AJ2616" s="84" t="n"/>
      <c r="AK2616" s="84" t="n"/>
      <c r="AL2616" s="84" t="n"/>
      <c r="AM2616" s="84" t="n"/>
      <c r="AN2616" s="84" t="n"/>
      <c r="AO2616" s="84" t="n"/>
      <c r="AP2616" s="84" t="n"/>
      <c r="AQ2616" s="84" t="n"/>
      <c r="AR2616" s="84" t="n"/>
    </row>
    <row r="2617">
      <c r="D2617" s="80" t="n"/>
      <c r="E2617" s="80" t="n"/>
      <c r="F2617" s="80" t="n"/>
      <c r="G2617" s="80" t="n"/>
      <c r="H2617" s="80" t="n"/>
      <c r="I2617" s="80" t="n"/>
      <c r="J2617" s="80" t="n"/>
      <c r="K2617" s="80" t="n"/>
      <c r="L2617" s="80" t="n"/>
      <c r="M2617" s="80" t="n"/>
      <c r="N2617" s="80" t="n"/>
      <c r="O2617" s="80" t="n"/>
      <c r="P2617" s="80" t="n"/>
      <c r="Q2617" s="80" t="n"/>
      <c r="R2617" s="80" t="n"/>
      <c r="S2617" s="80" t="n"/>
      <c r="T2617" s="80" t="n"/>
      <c r="U2617" s="80" t="n"/>
      <c r="V2617" s="80" t="n"/>
      <c r="W2617" s="80" t="n"/>
      <c r="X2617" s="80" t="n"/>
      <c r="Y2617" s="80" t="n"/>
      <c r="Z2617" s="80" t="n"/>
      <c r="AA2617" s="80" t="n"/>
      <c r="AB2617" s="80" t="n"/>
      <c r="AC2617" s="80" t="n"/>
      <c r="AD2617" s="80" t="n"/>
      <c r="AE2617" s="80" t="n"/>
      <c r="AF2617" s="80" t="n"/>
      <c r="AG2617" s="80" t="n"/>
      <c r="AH2617" s="80" t="n"/>
      <c r="AI2617" s="80" t="n"/>
      <c r="AJ2617" s="80" t="n"/>
      <c r="AK2617" s="80" t="n"/>
      <c r="AL2617" s="80" t="n"/>
      <c r="AM2617" s="80" t="n"/>
      <c r="AN2617" s="80" t="n"/>
      <c r="AO2617" s="80" t="n"/>
      <c r="AP2617" s="80" t="n"/>
      <c r="AQ2617" s="80" t="n"/>
      <c r="AR2617" s="80" t="n"/>
    </row>
    <row r="2618">
      <c r="D2618" s="80" t="n"/>
      <c r="E2618" s="80" t="n"/>
      <c r="F2618" s="80" t="n"/>
      <c r="G2618" s="80" t="n"/>
      <c r="H2618" s="80" t="n"/>
      <c r="I2618" s="80" t="n"/>
      <c r="J2618" s="80" t="n"/>
      <c r="K2618" s="80" t="n"/>
      <c r="L2618" s="80" t="n"/>
      <c r="M2618" s="80" t="n"/>
      <c r="N2618" s="80" t="n"/>
      <c r="O2618" s="80" t="n"/>
      <c r="P2618" s="80" t="n"/>
      <c r="Q2618" s="80" t="n"/>
      <c r="R2618" s="80" t="n"/>
      <c r="S2618" s="80" t="n"/>
      <c r="T2618" s="80" t="n"/>
      <c r="U2618" s="80" t="n"/>
      <c r="V2618" s="80" t="n"/>
      <c r="W2618" s="80" t="n"/>
      <c r="X2618" s="80" t="n"/>
      <c r="Y2618" s="80" t="n"/>
      <c r="Z2618" s="80" t="n"/>
      <c r="AA2618" s="80" t="n"/>
      <c r="AB2618" s="80" t="n"/>
      <c r="AC2618" s="80" t="n"/>
      <c r="AD2618" s="80" t="n"/>
      <c r="AE2618" s="80" t="n"/>
      <c r="AF2618" s="80" t="n"/>
      <c r="AG2618" s="80" t="n"/>
      <c r="AH2618" s="80" t="n"/>
      <c r="AI2618" s="80" t="n"/>
      <c r="AJ2618" s="80" t="n"/>
      <c r="AK2618" s="80" t="n"/>
      <c r="AL2618" s="80" t="n"/>
      <c r="AM2618" s="80" t="n"/>
      <c r="AN2618" s="80" t="n"/>
      <c r="AO2618" s="80" t="n"/>
      <c r="AP2618" s="80" t="n"/>
      <c r="AQ2618" s="80" t="n"/>
      <c r="AR2618" s="80" t="n"/>
    </row>
    <row r="2619">
      <c r="D2619" s="80" t="n"/>
      <c r="E2619" s="80" t="n"/>
      <c r="F2619" s="80" t="n"/>
      <c r="G2619" s="80" t="n"/>
      <c r="H2619" s="80" t="n"/>
      <c r="I2619" s="80" t="n"/>
      <c r="J2619" s="80" t="n"/>
      <c r="K2619" s="80" t="n"/>
      <c r="L2619" s="80" t="n"/>
      <c r="M2619" s="80" t="n"/>
      <c r="N2619" s="80" t="n"/>
      <c r="O2619" s="80" t="n"/>
      <c r="P2619" s="80" t="n"/>
      <c r="Q2619" s="80" t="n"/>
      <c r="R2619" s="80" t="n"/>
      <c r="S2619" s="80" t="n"/>
      <c r="T2619" s="80" t="n"/>
      <c r="U2619" s="80" t="n"/>
      <c r="V2619" s="80" t="n"/>
      <c r="W2619" s="80" t="n"/>
      <c r="X2619" s="80" t="n"/>
      <c r="Y2619" s="80" t="n"/>
      <c r="Z2619" s="80" t="n"/>
      <c r="AA2619" s="80" t="n"/>
      <c r="AB2619" s="80" t="n"/>
      <c r="AC2619" s="80" t="n"/>
      <c r="AD2619" s="80" t="n"/>
      <c r="AE2619" s="80" t="n"/>
      <c r="AF2619" s="80" t="n"/>
      <c r="AG2619" s="80" t="n"/>
      <c r="AH2619" s="80" t="n"/>
      <c r="AI2619" s="80" t="n"/>
      <c r="AJ2619" s="80" t="n"/>
      <c r="AK2619" s="80" t="n"/>
      <c r="AL2619" s="80" t="n"/>
      <c r="AM2619" s="80" t="n"/>
      <c r="AN2619" s="80" t="n"/>
      <c r="AO2619" s="80" t="n"/>
      <c r="AP2619" s="80" t="n"/>
      <c r="AQ2619" s="80" t="n"/>
      <c r="AR2619" s="80" t="n"/>
    </row>
    <row r="2620">
      <c r="D2620" s="80" t="n"/>
      <c r="E2620" s="80" t="n"/>
      <c r="F2620" s="80" t="n"/>
      <c r="G2620" s="80" t="n"/>
      <c r="H2620" s="80" t="n"/>
      <c r="I2620" s="80" t="n"/>
      <c r="J2620" s="80" t="n"/>
      <c r="K2620" s="80" t="n"/>
      <c r="L2620" s="80" t="n"/>
      <c r="M2620" s="80" t="n"/>
      <c r="N2620" s="80" t="n"/>
      <c r="O2620" s="80" t="n"/>
      <c r="P2620" s="80" t="n"/>
      <c r="Q2620" s="80" t="n"/>
      <c r="R2620" s="80" t="n"/>
      <c r="S2620" s="80" t="n"/>
      <c r="T2620" s="80" t="n"/>
      <c r="U2620" s="80" t="n"/>
      <c r="V2620" s="80" t="n"/>
      <c r="W2620" s="80" t="n"/>
      <c r="X2620" s="80" t="n"/>
      <c r="Y2620" s="80" t="n"/>
      <c r="Z2620" s="80" t="n"/>
      <c r="AA2620" s="80" t="n"/>
      <c r="AB2620" s="80" t="n"/>
      <c r="AC2620" s="80" t="n"/>
      <c r="AD2620" s="80" t="n"/>
      <c r="AE2620" s="80" t="n"/>
      <c r="AF2620" s="80" t="n"/>
      <c r="AG2620" s="80" t="n"/>
      <c r="AH2620" s="80" t="n"/>
      <c r="AI2620" s="80" t="n"/>
      <c r="AJ2620" s="80" t="n"/>
      <c r="AK2620" s="80" t="n"/>
      <c r="AL2620" s="80" t="n"/>
      <c r="AM2620" s="80" t="n"/>
      <c r="AN2620" s="80" t="n"/>
      <c r="AO2620" s="80" t="n"/>
      <c r="AP2620" s="80" t="n"/>
      <c r="AQ2620" s="80" t="n"/>
      <c r="AR2620" s="80" t="n"/>
    </row>
    <row r="2621">
      <c r="A2621" s="2">
        <f>IF($A2614="","","   projections")</f>
        <v/>
      </c>
      <c r="B2621" s="41">
        <f>IF($A2614="",0,COUNT($E2622:$AR2622))</f>
        <v/>
      </c>
      <c r="C2621" s="81">
        <f>IF($B2621=0,0,MAX($E2622:$AR2622))</f>
        <v/>
      </c>
      <c r="D2621" s="82">
        <f>BDS($A2614,'Field Check'!$C$6,"headers=y","startcol=1","endcol=7","dir=h")</f>
        <v/>
      </c>
      <c r="E2621" s="83" t="n"/>
      <c r="F2621" s="83" t="n"/>
      <c r="G2621" s="83" t="n"/>
      <c r="H2621" s="83" t="n"/>
      <c r="I2621" s="83" t="n"/>
      <c r="J2621" s="83" t="n"/>
      <c r="K2621" s="83" t="n"/>
      <c r="L2621" s="83" t="n"/>
      <c r="M2621" s="83" t="n"/>
      <c r="N2621" s="83" t="n"/>
      <c r="O2621" s="83" t="n"/>
      <c r="P2621" s="83" t="n"/>
      <c r="Q2621" s="83" t="n"/>
      <c r="R2621" s="83" t="n"/>
      <c r="S2621" s="83" t="n"/>
      <c r="T2621" s="83" t="n"/>
      <c r="U2621" s="83" t="n"/>
      <c r="V2621" s="83" t="n"/>
      <c r="W2621" s="83" t="n"/>
      <c r="X2621" s="83" t="n"/>
      <c r="Y2621" s="83" t="n"/>
      <c r="Z2621" s="83" t="n"/>
      <c r="AA2621" s="83" t="n"/>
      <c r="AB2621" s="83" t="n"/>
      <c r="AC2621" s="83" t="n"/>
      <c r="AD2621" s="83" t="n"/>
      <c r="AE2621" s="83" t="n"/>
      <c r="AF2621" s="83" t="n"/>
      <c r="AG2621" s="83" t="n"/>
      <c r="AH2621" s="83" t="n"/>
      <c r="AI2621" s="83" t="n"/>
      <c r="AJ2621" s="83" t="n"/>
      <c r="AK2621" s="83" t="n"/>
      <c r="AL2621" s="83" t="n"/>
      <c r="AM2621" s="83" t="n"/>
      <c r="AN2621" s="83" t="n"/>
      <c r="AO2621" s="83" t="n"/>
      <c r="AP2621" s="83" t="n"/>
      <c r="AQ2621" s="83" t="n"/>
      <c r="AR2621" s="83" t="n"/>
    </row>
    <row r="2622">
      <c r="D2622" s="83" t="n"/>
      <c r="E2622" s="83" t="n"/>
      <c r="F2622" s="83" t="n"/>
      <c r="G2622" s="83" t="n"/>
      <c r="H2622" s="83" t="n"/>
      <c r="I2622" s="83" t="n"/>
      <c r="J2622" s="83" t="n"/>
      <c r="K2622" s="83" t="n"/>
      <c r="L2622" s="83" t="n"/>
      <c r="M2622" s="83" t="n"/>
      <c r="N2622" s="83" t="n"/>
      <c r="O2622" s="83" t="n"/>
      <c r="P2622" s="83" t="n"/>
      <c r="Q2622" s="83" t="n"/>
      <c r="R2622" s="83" t="n"/>
      <c r="S2622" s="83" t="n"/>
      <c r="T2622" s="83" t="n"/>
      <c r="U2622" s="83" t="n"/>
      <c r="V2622" s="83" t="n"/>
      <c r="W2622" s="83" t="n"/>
      <c r="X2622" s="83" t="n"/>
      <c r="Y2622" s="83" t="n"/>
      <c r="Z2622" s="83" t="n"/>
      <c r="AA2622" s="83" t="n"/>
      <c r="AB2622" s="83" t="n"/>
      <c r="AC2622" s="83" t="n"/>
      <c r="AD2622" s="83" t="n"/>
      <c r="AE2622" s="83" t="n"/>
      <c r="AF2622" s="83" t="n"/>
      <c r="AG2622" s="83" t="n"/>
      <c r="AH2622" s="83" t="n"/>
      <c r="AI2622" s="83" t="n"/>
      <c r="AJ2622" s="83" t="n"/>
      <c r="AK2622" s="83" t="n"/>
      <c r="AL2622" s="83" t="n"/>
      <c r="AM2622" s="83" t="n"/>
      <c r="AN2622" s="83" t="n"/>
      <c r="AO2622" s="83" t="n"/>
      <c r="AP2622" s="83" t="n"/>
      <c r="AQ2622" s="83" t="n"/>
      <c r="AR2622" s="83" t="n"/>
    </row>
    <row r="2623">
      <c r="D2623" s="84" t="n"/>
      <c r="E2623" s="84" t="n"/>
      <c r="F2623" s="84" t="n"/>
      <c r="G2623" s="84" t="n"/>
      <c r="H2623" s="84" t="n"/>
      <c r="I2623" s="84" t="n"/>
      <c r="J2623" s="84" t="n"/>
      <c r="K2623" s="84" t="n"/>
      <c r="L2623" s="84" t="n"/>
      <c r="M2623" s="84" t="n"/>
      <c r="N2623" s="84" t="n"/>
      <c r="O2623" s="84" t="n"/>
      <c r="P2623" s="84" t="n"/>
      <c r="Q2623" s="84" t="n"/>
      <c r="R2623" s="84" t="n"/>
      <c r="S2623" s="84" t="n"/>
      <c r="T2623" s="84" t="n"/>
      <c r="U2623" s="84" t="n"/>
      <c r="V2623" s="84" t="n"/>
      <c r="W2623" s="84" t="n"/>
      <c r="X2623" s="84" t="n"/>
      <c r="Y2623" s="84" t="n"/>
      <c r="Z2623" s="84" t="n"/>
      <c r="AA2623" s="84" t="n"/>
      <c r="AB2623" s="84" t="n"/>
      <c r="AC2623" s="84" t="n"/>
      <c r="AD2623" s="84" t="n"/>
      <c r="AE2623" s="84" t="n"/>
      <c r="AF2623" s="84" t="n"/>
      <c r="AG2623" s="84" t="n"/>
      <c r="AH2623" s="84" t="n"/>
      <c r="AI2623" s="84" t="n"/>
      <c r="AJ2623" s="84" t="n"/>
      <c r="AK2623" s="84" t="n"/>
      <c r="AL2623" s="84" t="n"/>
      <c r="AM2623" s="84" t="n"/>
      <c r="AN2623" s="84" t="n"/>
      <c r="AO2623" s="84" t="n"/>
      <c r="AP2623" s="84" t="n"/>
      <c r="AQ2623" s="84" t="n"/>
      <c r="AR2623" s="84" t="n"/>
    </row>
    <row r="2624">
      <c r="D2624" s="80" t="n"/>
      <c r="E2624" s="80" t="n"/>
      <c r="F2624" s="80" t="n"/>
      <c r="G2624" s="80" t="n"/>
      <c r="H2624" s="80" t="n"/>
      <c r="I2624" s="80" t="n"/>
      <c r="J2624" s="80" t="n"/>
      <c r="K2624" s="80" t="n"/>
      <c r="L2624" s="80" t="n"/>
      <c r="M2624" s="80" t="n"/>
      <c r="N2624" s="80" t="n"/>
      <c r="O2624" s="80" t="n"/>
      <c r="P2624" s="80" t="n"/>
      <c r="Q2624" s="80" t="n"/>
      <c r="R2624" s="80" t="n"/>
      <c r="S2624" s="80" t="n"/>
      <c r="T2624" s="80" t="n"/>
      <c r="U2624" s="80" t="n"/>
      <c r="V2624" s="80" t="n"/>
      <c r="W2624" s="80" t="n"/>
      <c r="X2624" s="80" t="n"/>
      <c r="Y2624" s="80" t="n"/>
      <c r="Z2624" s="80" t="n"/>
      <c r="AA2624" s="80" t="n"/>
      <c r="AB2624" s="80" t="n"/>
      <c r="AC2624" s="80" t="n"/>
      <c r="AD2624" s="80" t="n"/>
      <c r="AE2624" s="80" t="n"/>
      <c r="AF2624" s="80" t="n"/>
      <c r="AG2624" s="80" t="n"/>
      <c r="AH2624" s="80" t="n"/>
      <c r="AI2624" s="80" t="n"/>
      <c r="AJ2624" s="80" t="n"/>
      <c r="AK2624" s="80" t="n"/>
      <c r="AL2624" s="80" t="n"/>
      <c r="AM2624" s="80" t="n"/>
      <c r="AN2624" s="80" t="n"/>
      <c r="AO2624" s="80" t="n"/>
      <c r="AP2624" s="80" t="n"/>
      <c r="AQ2624" s="80" t="n"/>
      <c r="AR2624" s="80" t="n"/>
    </row>
    <row r="2625">
      <c r="D2625" s="80" t="n"/>
      <c r="E2625" s="80" t="n"/>
      <c r="F2625" s="80" t="n"/>
      <c r="G2625" s="80" t="n"/>
      <c r="H2625" s="80" t="n"/>
      <c r="I2625" s="80" t="n"/>
      <c r="J2625" s="80" t="n"/>
      <c r="K2625" s="80" t="n"/>
      <c r="L2625" s="80" t="n"/>
      <c r="M2625" s="80" t="n"/>
      <c r="N2625" s="80" t="n"/>
      <c r="O2625" s="80" t="n"/>
      <c r="P2625" s="80" t="n"/>
      <c r="Q2625" s="80" t="n"/>
      <c r="R2625" s="80" t="n"/>
      <c r="S2625" s="80" t="n"/>
      <c r="T2625" s="80" t="n"/>
      <c r="U2625" s="80" t="n"/>
      <c r="V2625" s="80" t="n"/>
      <c r="W2625" s="80" t="n"/>
      <c r="X2625" s="80" t="n"/>
      <c r="Y2625" s="80" t="n"/>
      <c r="Z2625" s="80" t="n"/>
      <c r="AA2625" s="80" t="n"/>
      <c r="AB2625" s="80" t="n"/>
      <c r="AC2625" s="80" t="n"/>
      <c r="AD2625" s="80" t="n"/>
      <c r="AE2625" s="80" t="n"/>
      <c r="AF2625" s="80" t="n"/>
      <c r="AG2625" s="80" t="n"/>
      <c r="AH2625" s="80" t="n"/>
      <c r="AI2625" s="80" t="n"/>
      <c r="AJ2625" s="80" t="n"/>
      <c r="AK2625" s="80" t="n"/>
      <c r="AL2625" s="80" t="n"/>
      <c r="AM2625" s="80" t="n"/>
      <c r="AN2625" s="80" t="n"/>
      <c r="AO2625" s="80" t="n"/>
      <c r="AP2625" s="80" t="n"/>
      <c r="AQ2625" s="80" t="n"/>
      <c r="AR2625" s="80" t="n"/>
    </row>
    <row r="2626">
      <c r="D2626" s="80" t="n"/>
      <c r="E2626" s="80" t="n"/>
      <c r="F2626" s="80" t="n"/>
      <c r="G2626" s="80" t="n"/>
      <c r="H2626" s="80" t="n"/>
      <c r="I2626" s="80" t="n"/>
      <c r="J2626" s="80" t="n"/>
      <c r="K2626" s="80" t="n"/>
      <c r="L2626" s="80" t="n"/>
      <c r="M2626" s="80" t="n"/>
      <c r="N2626" s="80" t="n"/>
      <c r="O2626" s="80" t="n"/>
      <c r="P2626" s="80" t="n"/>
      <c r="Q2626" s="80" t="n"/>
      <c r="R2626" s="80" t="n"/>
      <c r="S2626" s="80" t="n"/>
      <c r="T2626" s="80" t="n"/>
      <c r="U2626" s="80" t="n"/>
      <c r="V2626" s="80" t="n"/>
      <c r="W2626" s="80" t="n"/>
      <c r="X2626" s="80" t="n"/>
      <c r="Y2626" s="80" t="n"/>
      <c r="Z2626" s="80" t="n"/>
      <c r="AA2626" s="80" t="n"/>
      <c r="AB2626" s="80" t="n"/>
      <c r="AC2626" s="80" t="n"/>
      <c r="AD2626" s="80" t="n"/>
      <c r="AE2626" s="80" t="n"/>
      <c r="AF2626" s="80" t="n"/>
      <c r="AG2626" s="80" t="n"/>
      <c r="AH2626" s="80" t="n"/>
      <c r="AI2626" s="80" t="n"/>
      <c r="AJ2626" s="80" t="n"/>
      <c r="AK2626" s="80" t="n"/>
      <c r="AL2626" s="80" t="n"/>
      <c r="AM2626" s="80" t="n"/>
      <c r="AN2626" s="80" t="n"/>
      <c r="AO2626" s="80" t="n"/>
      <c r="AP2626" s="80" t="n"/>
      <c r="AQ2626" s="80" t="n"/>
      <c r="AR2626" s="80" t="n"/>
    </row>
    <row r="2627">
      <c r="D2627" s="80" t="n"/>
      <c r="E2627" s="80" t="n"/>
      <c r="F2627" s="80" t="n"/>
      <c r="G2627" s="80" t="n"/>
      <c r="H2627" s="80" t="n"/>
      <c r="I2627" s="80" t="n"/>
      <c r="J2627" s="80" t="n"/>
      <c r="K2627" s="80" t="n"/>
      <c r="L2627" s="80" t="n"/>
      <c r="M2627" s="80" t="n"/>
      <c r="N2627" s="80" t="n"/>
      <c r="O2627" s="80" t="n"/>
      <c r="P2627" s="80" t="n"/>
      <c r="Q2627" s="80" t="n"/>
      <c r="R2627" s="80" t="n"/>
      <c r="S2627" s="80" t="n"/>
      <c r="T2627" s="80" t="n"/>
      <c r="U2627" s="80" t="n"/>
      <c r="V2627" s="80" t="n"/>
      <c r="W2627" s="80" t="n"/>
      <c r="X2627" s="80" t="n"/>
      <c r="Y2627" s="80" t="n"/>
      <c r="Z2627" s="80" t="n"/>
      <c r="AA2627" s="80" t="n"/>
      <c r="AB2627" s="80" t="n"/>
      <c r="AC2627" s="80" t="n"/>
      <c r="AD2627" s="80" t="n"/>
      <c r="AE2627" s="80" t="n"/>
      <c r="AF2627" s="80" t="n"/>
      <c r="AG2627" s="80" t="n"/>
      <c r="AH2627" s="80" t="n"/>
      <c r="AI2627" s="80" t="n"/>
      <c r="AJ2627" s="80" t="n"/>
      <c r="AK2627" s="80" t="n"/>
      <c r="AL2627" s="80" t="n"/>
      <c r="AM2627" s="80" t="n"/>
      <c r="AN2627" s="80" t="n"/>
      <c r="AO2627" s="80" t="n"/>
      <c r="AP2627" s="80" t="n"/>
      <c r="AQ2627" s="80" t="n"/>
      <c r="AR2627" s="80" t="n"/>
    </row>
    <row r="2629">
      <c r="A2629" s="6">
        <f>IF(HSCEI!$C$41="","",HSCEI!$C$41)</f>
        <v/>
      </c>
      <c r="B2629" s="41">
        <f>IF($A2629="",0,COUNT($E2630:$AR2630))</f>
        <v/>
      </c>
      <c r="C2629" s="81">
        <f>IF($B2629=0,0,MAX($E2630:$AR2630))</f>
        <v/>
      </c>
      <c r="D2629" s="82">
        <f>BDS($A2629,'Field Check'!$C$7,"headers=y","startcol=1","endcol=7","dir=h","DVD_START_DT",Summary!$C$18,"DVD_END_DT",Summary!$D$18)</f>
        <v/>
      </c>
      <c r="E2629" s="83" t="n"/>
      <c r="F2629" s="83" t="n"/>
      <c r="G2629" s="83" t="n"/>
      <c r="H2629" s="83" t="n"/>
      <c r="I2629" s="83" t="n"/>
      <c r="J2629" s="83" t="n"/>
      <c r="K2629" s="83" t="n"/>
      <c r="L2629" s="83" t="n"/>
      <c r="M2629" s="83" t="n"/>
      <c r="N2629" s="83" t="n"/>
      <c r="O2629" s="83" t="n"/>
      <c r="P2629" s="83" t="n"/>
      <c r="Q2629" s="83" t="n"/>
      <c r="R2629" s="83" t="n"/>
      <c r="S2629" s="83" t="n"/>
      <c r="T2629" s="83" t="n"/>
      <c r="U2629" s="83" t="n"/>
      <c r="V2629" s="83" t="n"/>
      <c r="W2629" s="83" t="n"/>
      <c r="X2629" s="83" t="n"/>
      <c r="Y2629" s="83" t="n"/>
      <c r="Z2629" s="83" t="n"/>
      <c r="AA2629" s="83" t="n"/>
      <c r="AB2629" s="83" t="n"/>
      <c r="AC2629" s="83" t="n"/>
      <c r="AD2629" s="83" t="n"/>
      <c r="AE2629" s="83" t="n"/>
      <c r="AF2629" s="83" t="n"/>
      <c r="AG2629" s="83" t="n"/>
      <c r="AH2629" s="83" t="n"/>
      <c r="AI2629" s="83" t="n"/>
      <c r="AJ2629" s="83" t="n"/>
      <c r="AK2629" s="83" t="n"/>
      <c r="AL2629" s="83" t="n"/>
      <c r="AM2629" s="83" t="n"/>
      <c r="AN2629" s="83" t="n"/>
      <c r="AO2629" s="83" t="n"/>
      <c r="AP2629" s="83" t="n"/>
      <c r="AQ2629" s="83" t="n"/>
      <c r="AR2629" s="83" t="n"/>
    </row>
    <row r="2630">
      <c r="D2630" s="83" t="n"/>
      <c r="E2630" s="83" t="n"/>
      <c r="F2630" s="83" t="n"/>
      <c r="G2630" s="83" t="n"/>
      <c r="H2630" s="83" t="n"/>
      <c r="I2630" s="83" t="n"/>
      <c r="J2630" s="83" t="n"/>
      <c r="K2630" s="83" t="n"/>
      <c r="L2630" s="83" t="n"/>
      <c r="M2630" s="83" t="n"/>
      <c r="N2630" s="83" t="n"/>
      <c r="O2630" s="83" t="n"/>
      <c r="P2630" s="83" t="n"/>
      <c r="Q2630" s="83" t="n"/>
      <c r="R2630" s="83" t="n"/>
      <c r="S2630" s="83" t="n"/>
      <c r="T2630" s="83" t="n"/>
      <c r="U2630" s="83" t="n"/>
      <c r="V2630" s="83" t="n"/>
      <c r="W2630" s="83" t="n"/>
      <c r="X2630" s="83" t="n"/>
      <c r="Y2630" s="83" t="n"/>
      <c r="Z2630" s="83" t="n"/>
      <c r="AA2630" s="83" t="n"/>
      <c r="AB2630" s="83" t="n"/>
      <c r="AC2630" s="83" t="n"/>
      <c r="AD2630" s="83" t="n"/>
      <c r="AE2630" s="83" t="n"/>
      <c r="AF2630" s="83" t="n"/>
      <c r="AG2630" s="83" t="n"/>
      <c r="AH2630" s="83" t="n"/>
      <c r="AI2630" s="83" t="n"/>
      <c r="AJ2630" s="83" t="n"/>
      <c r="AK2630" s="83" t="n"/>
      <c r="AL2630" s="83" t="n"/>
      <c r="AM2630" s="83" t="n"/>
      <c r="AN2630" s="83" t="n"/>
      <c r="AO2630" s="83" t="n"/>
      <c r="AP2630" s="83" t="n"/>
      <c r="AQ2630" s="83" t="n"/>
      <c r="AR2630" s="83" t="n"/>
    </row>
    <row r="2631">
      <c r="D2631" s="84" t="n"/>
      <c r="E2631" s="84" t="n"/>
      <c r="F2631" s="84" t="n"/>
      <c r="G2631" s="84" t="n"/>
      <c r="H2631" s="84" t="n"/>
      <c r="I2631" s="84" t="n"/>
      <c r="J2631" s="84" t="n"/>
      <c r="K2631" s="84" t="n"/>
      <c r="L2631" s="84" t="n"/>
      <c r="M2631" s="84" t="n"/>
      <c r="N2631" s="84" t="n"/>
      <c r="O2631" s="84" t="n"/>
      <c r="P2631" s="84" t="n"/>
      <c r="Q2631" s="84" t="n"/>
      <c r="R2631" s="84" t="n"/>
      <c r="S2631" s="84" t="n"/>
      <c r="T2631" s="84" t="n"/>
      <c r="U2631" s="84" t="n"/>
      <c r="V2631" s="84" t="n"/>
      <c r="W2631" s="84" t="n"/>
      <c r="X2631" s="84" t="n"/>
      <c r="Y2631" s="84" t="n"/>
      <c r="Z2631" s="84" t="n"/>
      <c r="AA2631" s="84" t="n"/>
      <c r="AB2631" s="84" t="n"/>
      <c r="AC2631" s="84" t="n"/>
      <c r="AD2631" s="84" t="n"/>
      <c r="AE2631" s="84" t="n"/>
      <c r="AF2631" s="84" t="n"/>
      <c r="AG2631" s="84" t="n"/>
      <c r="AH2631" s="84" t="n"/>
      <c r="AI2631" s="84" t="n"/>
      <c r="AJ2631" s="84" t="n"/>
      <c r="AK2631" s="84" t="n"/>
      <c r="AL2631" s="84" t="n"/>
      <c r="AM2631" s="84" t="n"/>
      <c r="AN2631" s="84" t="n"/>
      <c r="AO2631" s="84" t="n"/>
      <c r="AP2631" s="84" t="n"/>
      <c r="AQ2631" s="84" t="n"/>
      <c r="AR2631" s="84" t="n"/>
    </row>
    <row r="2632">
      <c r="D2632" s="80" t="n"/>
      <c r="E2632" s="80" t="n"/>
      <c r="F2632" s="80" t="n"/>
      <c r="G2632" s="80" t="n"/>
      <c r="H2632" s="80" t="n"/>
      <c r="I2632" s="80" t="n"/>
      <c r="J2632" s="80" t="n"/>
      <c r="K2632" s="80" t="n"/>
      <c r="L2632" s="80" t="n"/>
      <c r="M2632" s="80" t="n"/>
      <c r="N2632" s="80" t="n"/>
      <c r="O2632" s="80" t="n"/>
      <c r="P2632" s="80" t="n"/>
      <c r="Q2632" s="80" t="n"/>
      <c r="R2632" s="80" t="n"/>
      <c r="S2632" s="80" t="n"/>
      <c r="T2632" s="80" t="n"/>
      <c r="U2632" s="80" t="n"/>
      <c r="V2632" s="80" t="n"/>
      <c r="W2632" s="80" t="n"/>
      <c r="X2632" s="80" t="n"/>
      <c r="Y2632" s="80" t="n"/>
      <c r="Z2632" s="80" t="n"/>
      <c r="AA2632" s="80" t="n"/>
      <c r="AB2632" s="80" t="n"/>
      <c r="AC2632" s="80" t="n"/>
      <c r="AD2632" s="80" t="n"/>
      <c r="AE2632" s="80" t="n"/>
      <c r="AF2632" s="80" t="n"/>
      <c r="AG2632" s="80" t="n"/>
      <c r="AH2632" s="80" t="n"/>
      <c r="AI2632" s="80" t="n"/>
      <c r="AJ2632" s="80" t="n"/>
      <c r="AK2632" s="80" t="n"/>
      <c r="AL2632" s="80" t="n"/>
      <c r="AM2632" s="80" t="n"/>
      <c r="AN2632" s="80" t="n"/>
      <c r="AO2632" s="80" t="n"/>
      <c r="AP2632" s="80" t="n"/>
      <c r="AQ2632" s="80" t="n"/>
      <c r="AR2632" s="80" t="n"/>
    </row>
    <row r="2633">
      <c r="D2633" s="80" t="n"/>
      <c r="E2633" s="80" t="n"/>
      <c r="F2633" s="80" t="n"/>
      <c r="G2633" s="80" t="n"/>
      <c r="H2633" s="80" t="n"/>
      <c r="I2633" s="80" t="n"/>
      <c r="J2633" s="80" t="n"/>
      <c r="K2633" s="80" t="n"/>
      <c r="L2633" s="80" t="n"/>
      <c r="M2633" s="80" t="n"/>
      <c r="N2633" s="80" t="n"/>
      <c r="O2633" s="80" t="n"/>
      <c r="P2633" s="80" t="n"/>
      <c r="Q2633" s="80" t="n"/>
      <c r="R2633" s="80" t="n"/>
      <c r="S2633" s="80" t="n"/>
      <c r="T2633" s="80" t="n"/>
      <c r="U2633" s="80" t="n"/>
      <c r="V2633" s="80" t="n"/>
      <c r="W2633" s="80" t="n"/>
      <c r="X2633" s="80" t="n"/>
      <c r="Y2633" s="80" t="n"/>
      <c r="Z2633" s="80" t="n"/>
      <c r="AA2633" s="80" t="n"/>
      <c r="AB2633" s="80" t="n"/>
      <c r="AC2633" s="80" t="n"/>
      <c r="AD2633" s="80" t="n"/>
      <c r="AE2633" s="80" t="n"/>
      <c r="AF2633" s="80" t="n"/>
      <c r="AG2633" s="80" t="n"/>
      <c r="AH2633" s="80" t="n"/>
      <c r="AI2633" s="80" t="n"/>
      <c r="AJ2633" s="80" t="n"/>
      <c r="AK2633" s="80" t="n"/>
      <c r="AL2633" s="80" t="n"/>
      <c r="AM2633" s="80" t="n"/>
      <c r="AN2633" s="80" t="n"/>
      <c r="AO2633" s="80" t="n"/>
      <c r="AP2633" s="80" t="n"/>
      <c r="AQ2633" s="80" t="n"/>
      <c r="AR2633" s="80" t="n"/>
    </row>
    <row r="2634">
      <c r="D2634" s="80" t="n"/>
      <c r="E2634" s="80" t="n"/>
      <c r="F2634" s="80" t="n"/>
      <c r="G2634" s="80" t="n"/>
      <c r="H2634" s="80" t="n"/>
      <c r="I2634" s="80" t="n"/>
      <c r="J2634" s="80" t="n"/>
      <c r="K2634" s="80" t="n"/>
      <c r="L2634" s="80" t="n"/>
      <c r="M2634" s="80" t="n"/>
      <c r="N2634" s="80" t="n"/>
      <c r="O2634" s="80" t="n"/>
      <c r="P2634" s="80" t="n"/>
      <c r="Q2634" s="80" t="n"/>
      <c r="R2634" s="80" t="n"/>
      <c r="S2634" s="80" t="n"/>
      <c r="T2634" s="80" t="n"/>
      <c r="U2634" s="80" t="n"/>
      <c r="V2634" s="80" t="n"/>
      <c r="W2634" s="80" t="n"/>
      <c r="X2634" s="80" t="n"/>
      <c r="Y2634" s="80" t="n"/>
      <c r="Z2634" s="80" t="n"/>
      <c r="AA2634" s="80" t="n"/>
      <c r="AB2634" s="80" t="n"/>
      <c r="AC2634" s="80" t="n"/>
      <c r="AD2634" s="80" t="n"/>
      <c r="AE2634" s="80" t="n"/>
      <c r="AF2634" s="80" t="n"/>
      <c r="AG2634" s="80" t="n"/>
      <c r="AH2634" s="80" t="n"/>
      <c r="AI2634" s="80" t="n"/>
      <c r="AJ2634" s="80" t="n"/>
      <c r="AK2634" s="80" t="n"/>
      <c r="AL2634" s="80" t="n"/>
      <c r="AM2634" s="80" t="n"/>
      <c r="AN2634" s="80" t="n"/>
      <c r="AO2634" s="80" t="n"/>
      <c r="AP2634" s="80" t="n"/>
      <c r="AQ2634" s="80" t="n"/>
      <c r="AR2634" s="80" t="n"/>
    </row>
    <row r="2635">
      <c r="D2635" s="80" t="n"/>
      <c r="E2635" s="80" t="n"/>
      <c r="F2635" s="80" t="n"/>
      <c r="G2635" s="80" t="n"/>
      <c r="H2635" s="80" t="n"/>
      <c r="I2635" s="80" t="n"/>
      <c r="J2635" s="80" t="n"/>
      <c r="K2635" s="80" t="n"/>
      <c r="L2635" s="80" t="n"/>
      <c r="M2635" s="80" t="n"/>
      <c r="N2635" s="80" t="n"/>
      <c r="O2635" s="80" t="n"/>
      <c r="P2635" s="80" t="n"/>
      <c r="Q2635" s="80" t="n"/>
      <c r="R2635" s="80" t="n"/>
      <c r="S2635" s="80" t="n"/>
      <c r="T2635" s="80" t="n"/>
      <c r="U2635" s="80" t="n"/>
      <c r="V2635" s="80" t="n"/>
      <c r="W2635" s="80" t="n"/>
      <c r="X2635" s="80" t="n"/>
      <c r="Y2635" s="80" t="n"/>
      <c r="Z2635" s="80" t="n"/>
      <c r="AA2635" s="80" t="n"/>
      <c r="AB2635" s="80" t="n"/>
      <c r="AC2635" s="80" t="n"/>
      <c r="AD2635" s="80" t="n"/>
      <c r="AE2635" s="80" t="n"/>
      <c r="AF2635" s="80" t="n"/>
      <c r="AG2635" s="80" t="n"/>
      <c r="AH2635" s="80" t="n"/>
      <c r="AI2635" s="80" t="n"/>
      <c r="AJ2635" s="80" t="n"/>
      <c r="AK2635" s="80" t="n"/>
      <c r="AL2635" s="80" t="n"/>
      <c r="AM2635" s="80" t="n"/>
      <c r="AN2635" s="80" t="n"/>
      <c r="AO2635" s="80" t="n"/>
      <c r="AP2635" s="80" t="n"/>
      <c r="AQ2635" s="80" t="n"/>
      <c r="AR2635" s="80" t="n"/>
    </row>
    <row r="2636">
      <c r="A2636" s="2">
        <f>IF($A2629="","","   projections")</f>
        <v/>
      </c>
      <c r="B2636" s="41">
        <f>IF($A2629="",0,COUNT($E2637:$AR2637))</f>
        <v/>
      </c>
      <c r="C2636" s="81">
        <f>IF($B2636=0,0,MAX($E2637:$AR2637))</f>
        <v/>
      </c>
      <c r="D2636" s="82">
        <f>BDS($A2629,'Field Check'!$C$6,"headers=y","startcol=1","endcol=7","dir=h")</f>
        <v/>
      </c>
      <c r="E2636" s="83" t="n"/>
      <c r="F2636" s="83" t="n"/>
      <c r="G2636" s="83" t="n"/>
      <c r="H2636" s="83" t="n"/>
      <c r="I2636" s="83" t="n"/>
      <c r="J2636" s="83" t="n"/>
      <c r="K2636" s="83" t="n"/>
      <c r="L2636" s="83" t="n"/>
      <c r="M2636" s="83" t="n"/>
      <c r="N2636" s="83" t="n"/>
      <c r="O2636" s="83" t="n"/>
      <c r="P2636" s="83" t="n"/>
      <c r="Q2636" s="83" t="n"/>
      <c r="R2636" s="83" t="n"/>
      <c r="S2636" s="83" t="n"/>
      <c r="T2636" s="83" t="n"/>
      <c r="U2636" s="83" t="n"/>
      <c r="V2636" s="83" t="n"/>
      <c r="W2636" s="83" t="n"/>
      <c r="X2636" s="83" t="n"/>
      <c r="Y2636" s="83" t="n"/>
      <c r="Z2636" s="83" t="n"/>
      <c r="AA2636" s="83" t="n"/>
      <c r="AB2636" s="83" t="n"/>
      <c r="AC2636" s="83" t="n"/>
      <c r="AD2636" s="83" t="n"/>
      <c r="AE2636" s="83" t="n"/>
      <c r="AF2636" s="83" t="n"/>
      <c r="AG2636" s="83" t="n"/>
      <c r="AH2636" s="83" t="n"/>
      <c r="AI2636" s="83" t="n"/>
      <c r="AJ2636" s="83" t="n"/>
      <c r="AK2636" s="83" t="n"/>
      <c r="AL2636" s="83" t="n"/>
      <c r="AM2636" s="83" t="n"/>
      <c r="AN2636" s="83" t="n"/>
      <c r="AO2636" s="83" t="n"/>
      <c r="AP2636" s="83" t="n"/>
      <c r="AQ2636" s="83" t="n"/>
      <c r="AR2636" s="83" t="n"/>
    </row>
    <row r="2637">
      <c r="D2637" s="83" t="n"/>
      <c r="E2637" s="83" t="n"/>
      <c r="F2637" s="83" t="n"/>
      <c r="G2637" s="83" t="n"/>
      <c r="H2637" s="83" t="n"/>
      <c r="I2637" s="83" t="n"/>
      <c r="J2637" s="83" t="n"/>
      <c r="K2637" s="83" t="n"/>
      <c r="L2637" s="83" t="n"/>
      <c r="M2637" s="83" t="n"/>
      <c r="N2637" s="83" t="n"/>
      <c r="O2637" s="83" t="n"/>
      <c r="P2637" s="83" t="n"/>
      <c r="Q2637" s="83" t="n"/>
      <c r="R2637" s="83" t="n"/>
      <c r="S2637" s="83" t="n"/>
      <c r="T2637" s="83" t="n"/>
      <c r="U2637" s="83" t="n"/>
      <c r="V2637" s="83" t="n"/>
      <c r="W2637" s="83" t="n"/>
      <c r="X2637" s="83" t="n"/>
      <c r="Y2637" s="83" t="n"/>
      <c r="Z2637" s="83" t="n"/>
      <c r="AA2637" s="83" t="n"/>
      <c r="AB2637" s="83" t="n"/>
      <c r="AC2637" s="83" t="n"/>
      <c r="AD2637" s="83" t="n"/>
      <c r="AE2637" s="83" t="n"/>
      <c r="AF2637" s="83" t="n"/>
      <c r="AG2637" s="83" t="n"/>
      <c r="AH2637" s="83" t="n"/>
      <c r="AI2637" s="83" t="n"/>
      <c r="AJ2637" s="83" t="n"/>
      <c r="AK2637" s="83" t="n"/>
      <c r="AL2637" s="83" t="n"/>
      <c r="AM2637" s="83" t="n"/>
      <c r="AN2637" s="83" t="n"/>
      <c r="AO2637" s="83" t="n"/>
      <c r="AP2637" s="83" t="n"/>
      <c r="AQ2637" s="83" t="n"/>
      <c r="AR2637" s="83" t="n"/>
    </row>
    <row r="2638">
      <c r="D2638" s="84" t="n"/>
      <c r="E2638" s="84" t="n"/>
      <c r="F2638" s="84" t="n"/>
      <c r="G2638" s="84" t="n"/>
      <c r="H2638" s="84" t="n"/>
      <c r="I2638" s="84" t="n"/>
      <c r="J2638" s="84" t="n"/>
      <c r="K2638" s="84" t="n"/>
      <c r="L2638" s="84" t="n"/>
      <c r="M2638" s="84" t="n"/>
      <c r="N2638" s="84" t="n"/>
      <c r="O2638" s="84" t="n"/>
      <c r="P2638" s="84" t="n"/>
      <c r="Q2638" s="84" t="n"/>
      <c r="R2638" s="84" t="n"/>
      <c r="S2638" s="84" t="n"/>
      <c r="T2638" s="84" t="n"/>
      <c r="U2638" s="84" t="n"/>
      <c r="V2638" s="84" t="n"/>
      <c r="W2638" s="84" t="n"/>
      <c r="X2638" s="84" t="n"/>
      <c r="Y2638" s="84" t="n"/>
      <c r="Z2638" s="84" t="n"/>
      <c r="AA2638" s="84" t="n"/>
      <c r="AB2638" s="84" t="n"/>
      <c r="AC2638" s="84" t="n"/>
      <c r="AD2638" s="84" t="n"/>
      <c r="AE2638" s="84" t="n"/>
      <c r="AF2638" s="84" t="n"/>
      <c r="AG2638" s="84" t="n"/>
      <c r="AH2638" s="84" t="n"/>
      <c r="AI2638" s="84" t="n"/>
      <c r="AJ2638" s="84" t="n"/>
      <c r="AK2638" s="84" t="n"/>
      <c r="AL2638" s="84" t="n"/>
      <c r="AM2638" s="84" t="n"/>
      <c r="AN2638" s="84" t="n"/>
      <c r="AO2638" s="84" t="n"/>
      <c r="AP2638" s="84" t="n"/>
      <c r="AQ2638" s="84" t="n"/>
      <c r="AR2638" s="84" t="n"/>
    </row>
    <row r="2639">
      <c r="D2639" s="80" t="n"/>
      <c r="E2639" s="80" t="n"/>
      <c r="F2639" s="80" t="n"/>
      <c r="G2639" s="80" t="n"/>
      <c r="H2639" s="80" t="n"/>
      <c r="I2639" s="80" t="n"/>
      <c r="J2639" s="80" t="n"/>
      <c r="K2639" s="80" t="n"/>
      <c r="L2639" s="80" t="n"/>
      <c r="M2639" s="80" t="n"/>
      <c r="N2639" s="80" t="n"/>
      <c r="O2639" s="80" t="n"/>
      <c r="P2639" s="80" t="n"/>
      <c r="Q2639" s="80" t="n"/>
      <c r="R2639" s="80" t="n"/>
      <c r="S2639" s="80" t="n"/>
      <c r="T2639" s="80" t="n"/>
      <c r="U2639" s="80" t="n"/>
      <c r="V2639" s="80" t="n"/>
      <c r="W2639" s="80" t="n"/>
      <c r="X2639" s="80" t="n"/>
      <c r="Y2639" s="80" t="n"/>
      <c r="Z2639" s="80" t="n"/>
      <c r="AA2639" s="80" t="n"/>
      <c r="AB2639" s="80" t="n"/>
      <c r="AC2639" s="80" t="n"/>
      <c r="AD2639" s="80" t="n"/>
      <c r="AE2639" s="80" t="n"/>
      <c r="AF2639" s="80" t="n"/>
      <c r="AG2639" s="80" t="n"/>
      <c r="AH2639" s="80" t="n"/>
      <c r="AI2639" s="80" t="n"/>
      <c r="AJ2639" s="80" t="n"/>
      <c r="AK2639" s="80" t="n"/>
      <c r="AL2639" s="80" t="n"/>
      <c r="AM2639" s="80" t="n"/>
      <c r="AN2639" s="80" t="n"/>
      <c r="AO2639" s="80" t="n"/>
      <c r="AP2639" s="80" t="n"/>
      <c r="AQ2639" s="80" t="n"/>
      <c r="AR2639" s="80" t="n"/>
    </row>
    <row r="2640">
      <c r="D2640" s="80" t="n"/>
      <c r="E2640" s="80" t="n"/>
      <c r="F2640" s="80" t="n"/>
      <c r="G2640" s="80" t="n"/>
      <c r="H2640" s="80" t="n"/>
      <c r="I2640" s="80" t="n"/>
      <c r="J2640" s="80" t="n"/>
      <c r="K2640" s="80" t="n"/>
      <c r="L2640" s="80" t="n"/>
      <c r="M2640" s="80" t="n"/>
      <c r="N2640" s="80" t="n"/>
      <c r="O2640" s="80" t="n"/>
      <c r="P2640" s="80" t="n"/>
      <c r="Q2640" s="80" t="n"/>
      <c r="R2640" s="80" t="n"/>
      <c r="S2640" s="80" t="n"/>
      <c r="T2640" s="80" t="n"/>
      <c r="U2640" s="80" t="n"/>
      <c r="V2640" s="80" t="n"/>
      <c r="W2640" s="80" t="n"/>
      <c r="X2640" s="80" t="n"/>
      <c r="Y2640" s="80" t="n"/>
      <c r="Z2640" s="80" t="n"/>
      <c r="AA2640" s="80" t="n"/>
      <c r="AB2640" s="80" t="n"/>
      <c r="AC2640" s="80" t="n"/>
      <c r="AD2640" s="80" t="n"/>
      <c r="AE2640" s="80" t="n"/>
      <c r="AF2640" s="80" t="n"/>
      <c r="AG2640" s="80" t="n"/>
      <c r="AH2640" s="80" t="n"/>
      <c r="AI2640" s="80" t="n"/>
      <c r="AJ2640" s="80" t="n"/>
      <c r="AK2640" s="80" t="n"/>
      <c r="AL2640" s="80" t="n"/>
      <c r="AM2640" s="80" t="n"/>
      <c r="AN2640" s="80" t="n"/>
      <c r="AO2640" s="80" t="n"/>
      <c r="AP2640" s="80" t="n"/>
      <c r="AQ2640" s="80" t="n"/>
      <c r="AR2640" s="80" t="n"/>
    </row>
    <row r="2641">
      <c r="D2641" s="80" t="n"/>
      <c r="E2641" s="80" t="n"/>
      <c r="F2641" s="80" t="n"/>
      <c r="G2641" s="80" t="n"/>
      <c r="H2641" s="80" t="n"/>
      <c r="I2641" s="80" t="n"/>
      <c r="J2641" s="80" t="n"/>
      <c r="K2641" s="80" t="n"/>
      <c r="L2641" s="80" t="n"/>
      <c r="M2641" s="80" t="n"/>
      <c r="N2641" s="80" t="n"/>
      <c r="O2641" s="80" t="n"/>
      <c r="P2641" s="80" t="n"/>
      <c r="Q2641" s="80" t="n"/>
      <c r="R2641" s="80" t="n"/>
      <c r="S2641" s="80" t="n"/>
      <c r="T2641" s="80" t="n"/>
      <c r="U2641" s="80" t="n"/>
      <c r="V2641" s="80" t="n"/>
      <c r="W2641" s="80" t="n"/>
      <c r="X2641" s="80" t="n"/>
      <c r="Y2641" s="80" t="n"/>
      <c r="Z2641" s="80" t="n"/>
      <c r="AA2641" s="80" t="n"/>
      <c r="AB2641" s="80" t="n"/>
      <c r="AC2641" s="80" t="n"/>
      <c r="AD2641" s="80" t="n"/>
      <c r="AE2641" s="80" t="n"/>
      <c r="AF2641" s="80" t="n"/>
      <c r="AG2641" s="80" t="n"/>
      <c r="AH2641" s="80" t="n"/>
      <c r="AI2641" s="80" t="n"/>
      <c r="AJ2641" s="80" t="n"/>
      <c r="AK2641" s="80" t="n"/>
      <c r="AL2641" s="80" t="n"/>
      <c r="AM2641" s="80" t="n"/>
      <c r="AN2641" s="80" t="n"/>
      <c r="AO2641" s="80" t="n"/>
      <c r="AP2641" s="80" t="n"/>
      <c r="AQ2641" s="80" t="n"/>
      <c r="AR2641" s="80" t="n"/>
    </row>
    <row r="2642">
      <c r="D2642" s="80" t="n"/>
      <c r="E2642" s="80" t="n"/>
      <c r="F2642" s="80" t="n"/>
      <c r="G2642" s="80" t="n"/>
      <c r="H2642" s="80" t="n"/>
      <c r="I2642" s="80" t="n"/>
      <c r="J2642" s="80" t="n"/>
      <c r="K2642" s="80" t="n"/>
      <c r="L2642" s="80" t="n"/>
      <c r="M2642" s="80" t="n"/>
      <c r="N2642" s="80" t="n"/>
      <c r="O2642" s="80" t="n"/>
      <c r="P2642" s="80" t="n"/>
      <c r="Q2642" s="80" t="n"/>
      <c r="R2642" s="80" t="n"/>
      <c r="S2642" s="80" t="n"/>
      <c r="T2642" s="80" t="n"/>
      <c r="U2642" s="80" t="n"/>
      <c r="V2642" s="80" t="n"/>
      <c r="W2642" s="80" t="n"/>
      <c r="X2642" s="80" t="n"/>
      <c r="Y2642" s="80" t="n"/>
      <c r="Z2642" s="80" t="n"/>
      <c r="AA2642" s="80" t="n"/>
      <c r="AB2642" s="80" t="n"/>
      <c r="AC2642" s="80" t="n"/>
      <c r="AD2642" s="80" t="n"/>
      <c r="AE2642" s="80" t="n"/>
      <c r="AF2642" s="80" t="n"/>
      <c r="AG2642" s="80" t="n"/>
      <c r="AH2642" s="80" t="n"/>
      <c r="AI2642" s="80" t="n"/>
      <c r="AJ2642" s="80" t="n"/>
      <c r="AK2642" s="80" t="n"/>
      <c r="AL2642" s="80" t="n"/>
      <c r="AM2642" s="80" t="n"/>
      <c r="AN2642" s="80" t="n"/>
      <c r="AO2642" s="80" t="n"/>
      <c r="AP2642" s="80" t="n"/>
      <c r="AQ2642" s="80" t="n"/>
      <c r="AR2642" s="80" t="n"/>
    </row>
    <row r="2644">
      <c r="A2644" s="6">
        <f>IF(HSCEI!$C$42="","",HSCEI!$C$42)</f>
        <v/>
      </c>
      <c r="B2644" s="41">
        <f>IF($A2644="",0,COUNT($E2645:$AR2645))</f>
        <v/>
      </c>
      <c r="C2644" s="81">
        <f>IF($B2644=0,0,MAX($E2645:$AR2645))</f>
        <v/>
      </c>
      <c r="D2644" s="82">
        <f>BDS($A2644,'Field Check'!$C$7,"headers=y","startcol=1","endcol=7","dir=h","DVD_START_DT",Summary!$C$18,"DVD_END_DT",Summary!$D$18)</f>
        <v/>
      </c>
      <c r="E2644" s="83" t="n"/>
      <c r="F2644" s="83" t="n"/>
      <c r="G2644" s="83" t="n"/>
      <c r="H2644" s="83" t="n"/>
      <c r="I2644" s="83" t="n"/>
      <c r="J2644" s="83" t="n"/>
      <c r="K2644" s="83" t="n"/>
      <c r="L2644" s="83" t="n"/>
      <c r="M2644" s="83" t="n"/>
      <c r="N2644" s="83" t="n"/>
      <c r="O2644" s="83" t="n"/>
      <c r="P2644" s="83" t="n"/>
      <c r="Q2644" s="83" t="n"/>
      <c r="R2644" s="83" t="n"/>
      <c r="S2644" s="83" t="n"/>
      <c r="T2644" s="83" t="n"/>
      <c r="U2644" s="83" t="n"/>
      <c r="V2644" s="83" t="n"/>
      <c r="W2644" s="83" t="n"/>
      <c r="X2644" s="83" t="n"/>
      <c r="Y2644" s="83" t="n"/>
      <c r="Z2644" s="83" t="n"/>
      <c r="AA2644" s="83" t="n"/>
      <c r="AB2644" s="83" t="n"/>
      <c r="AC2644" s="83" t="n"/>
      <c r="AD2644" s="83" t="n"/>
      <c r="AE2644" s="83" t="n"/>
      <c r="AF2644" s="83" t="n"/>
      <c r="AG2644" s="83" t="n"/>
      <c r="AH2644" s="83" t="n"/>
      <c r="AI2644" s="83" t="n"/>
      <c r="AJ2644" s="83" t="n"/>
      <c r="AK2644" s="83" t="n"/>
      <c r="AL2644" s="83" t="n"/>
      <c r="AM2644" s="83" t="n"/>
      <c r="AN2644" s="83" t="n"/>
      <c r="AO2644" s="83" t="n"/>
      <c r="AP2644" s="83" t="n"/>
      <c r="AQ2644" s="83" t="n"/>
      <c r="AR2644" s="83" t="n"/>
    </row>
    <row r="2645">
      <c r="D2645" s="83" t="n"/>
      <c r="E2645" s="83" t="n"/>
      <c r="F2645" s="83" t="n"/>
      <c r="G2645" s="83" t="n"/>
      <c r="H2645" s="83" t="n"/>
      <c r="I2645" s="83" t="n"/>
      <c r="J2645" s="83" t="n"/>
      <c r="K2645" s="83" t="n"/>
      <c r="L2645" s="83" t="n"/>
      <c r="M2645" s="83" t="n"/>
      <c r="N2645" s="83" t="n"/>
      <c r="O2645" s="83" t="n"/>
      <c r="P2645" s="83" t="n"/>
      <c r="Q2645" s="83" t="n"/>
      <c r="R2645" s="83" t="n"/>
      <c r="S2645" s="83" t="n"/>
      <c r="T2645" s="83" t="n"/>
      <c r="U2645" s="83" t="n"/>
      <c r="V2645" s="83" t="n"/>
      <c r="W2645" s="83" t="n"/>
      <c r="X2645" s="83" t="n"/>
      <c r="Y2645" s="83" t="n"/>
      <c r="Z2645" s="83" t="n"/>
      <c r="AA2645" s="83" t="n"/>
      <c r="AB2645" s="83" t="n"/>
      <c r="AC2645" s="83" t="n"/>
      <c r="AD2645" s="83" t="n"/>
      <c r="AE2645" s="83" t="n"/>
      <c r="AF2645" s="83" t="n"/>
      <c r="AG2645" s="83" t="n"/>
      <c r="AH2645" s="83" t="n"/>
      <c r="AI2645" s="83" t="n"/>
      <c r="AJ2645" s="83" t="n"/>
      <c r="AK2645" s="83" t="n"/>
      <c r="AL2645" s="83" t="n"/>
      <c r="AM2645" s="83" t="n"/>
      <c r="AN2645" s="83" t="n"/>
      <c r="AO2645" s="83" t="n"/>
      <c r="AP2645" s="83" t="n"/>
      <c r="AQ2645" s="83" t="n"/>
      <c r="AR2645" s="83" t="n"/>
    </row>
    <row r="2646">
      <c r="D2646" s="84" t="n"/>
      <c r="E2646" s="84" t="n"/>
      <c r="F2646" s="84" t="n"/>
      <c r="G2646" s="84" t="n"/>
      <c r="H2646" s="84" t="n"/>
      <c r="I2646" s="84" t="n"/>
      <c r="J2646" s="84" t="n"/>
      <c r="K2646" s="84" t="n"/>
      <c r="L2646" s="84" t="n"/>
      <c r="M2646" s="84" t="n"/>
      <c r="N2646" s="84" t="n"/>
      <c r="O2646" s="84" t="n"/>
      <c r="P2646" s="84" t="n"/>
      <c r="Q2646" s="84" t="n"/>
      <c r="R2646" s="84" t="n"/>
      <c r="S2646" s="84" t="n"/>
      <c r="T2646" s="84" t="n"/>
      <c r="U2646" s="84" t="n"/>
      <c r="V2646" s="84" t="n"/>
      <c r="W2646" s="84" t="n"/>
      <c r="X2646" s="84" t="n"/>
      <c r="Y2646" s="84" t="n"/>
      <c r="Z2646" s="84" t="n"/>
      <c r="AA2646" s="84" t="n"/>
      <c r="AB2646" s="84" t="n"/>
      <c r="AC2646" s="84" t="n"/>
      <c r="AD2646" s="84" t="n"/>
      <c r="AE2646" s="84" t="n"/>
      <c r="AF2646" s="84" t="n"/>
      <c r="AG2646" s="84" t="n"/>
      <c r="AH2646" s="84" t="n"/>
      <c r="AI2646" s="84" t="n"/>
      <c r="AJ2646" s="84" t="n"/>
      <c r="AK2646" s="84" t="n"/>
      <c r="AL2646" s="84" t="n"/>
      <c r="AM2646" s="84" t="n"/>
      <c r="AN2646" s="84" t="n"/>
      <c r="AO2646" s="84" t="n"/>
      <c r="AP2646" s="84" t="n"/>
      <c r="AQ2646" s="84" t="n"/>
      <c r="AR2646" s="84" t="n"/>
    </row>
    <row r="2647">
      <c r="D2647" s="80" t="n"/>
      <c r="E2647" s="80" t="n"/>
      <c r="F2647" s="80" t="n"/>
      <c r="G2647" s="80" t="n"/>
      <c r="H2647" s="80" t="n"/>
      <c r="I2647" s="80" t="n"/>
      <c r="J2647" s="80" t="n"/>
      <c r="K2647" s="80" t="n"/>
      <c r="L2647" s="80" t="n"/>
      <c r="M2647" s="80" t="n"/>
      <c r="N2647" s="80" t="n"/>
      <c r="O2647" s="80" t="n"/>
      <c r="P2647" s="80" t="n"/>
      <c r="Q2647" s="80" t="n"/>
      <c r="R2647" s="80" t="n"/>
      <c r="S2647" s="80" t="n"/>
      <c r="T2647" s="80" t="n"/>
      <c r="U2647" s="80" t="n"/>
      <c r="V2647" s="80" t="n"/>
      <c r="W2647" s="80" t="n"/>
      <c r="X2647" s="80" t="n"/>
      <c r="Y2647" s="80" t="n"/>
      <c r="Z2647" s="80" t="n"/>
      <c r="AA2647" s="80" t="n"/>
      <c r="AB2647" s="80" t="n"/>
      <c r="AC2647" s="80" t="n"/>
      <c r="AD2647" s="80" t="n"/>
      <c r="AE2647" s="80" t="n"/>
      <c r="AF2647" s="80" t="n"/>
      <c r="AG2647" s="80" t="n"/>
      <c r="AH2647" s="80" t="n"/>
      <c r="AI2647" s="80" t="n"/>
      <c r="AJ2647" s="80" t="n"/>
      <c r="AK2647" s="80" t="n"/>
      <c r="AL2647" s="80" t="n"/>
      <c r="AM2647" s="80" t="n"/>
      <c r="AN2647" s="80" t="n"/>
      <c r="AO2647" s="80" t="n"/>
      <c r="AP2647" s="80" t="n"/>
      <c r="AQ2647" s="80" t="n"/>
      <c r="AR2647" s="80" t="n"/>
    </row>
    <row r="2648">
      <c r="D2648" s="80" t="n"/>
      <c r="E2648" s="80" t="n"/>
      <c r="F2648" s="80" t="n"/>
      <c r="G2648" s="80" t="n"/>
      <c r="H2648" s="80" t="n"/>
      <c r="I2648" s="80" t="n"/>
      <c r="J2648" s="80" t="n"/>
      <c r="K2648" s="80" t="n"/>
      <c r="L2648" s="80" t="n"/>
      <c r="M2648" s="80" t="n"/>
      <c r="N2648" s="80" t="n"/>
      <c r="O2648" s="80" t="n"/>
      <c r="P2648" s="80" t="n"/>
      <c r="Q2648" s="80" t="n"/>
      <c r="R2648" s="80" t="n"/>
      <c r="S2648" s="80" t="n"/>
      <c r="T2648" s="80" t="n"/>
      <c r="U2648" s="80" t="n"/>
      <c r="V2648" s="80" t="n"/>
      <c r="W2648" s="80" t="n"/>
      <c r="X2648" s="80" t="n"/>
      <c r="Y2648" s="80" t="n"/>
      <c r="Z2648" s="80" t="n"/>
      <c r="AA2648" s="80" t="n"/>
      <c r="AB2648" s="80" t="n"/>
      <c r="AC2648" s="80" t="n"/>
      <c r="AD2648" s="80" t="n"/>
      <c r="AE2648" s="80" t="n"/>
      <c r="AF2648" s="80" t="n"/>
      <c r="AG2648" s="80" t="n"/>
      <c r="AH2648" s="80" t="n"/>
      <c r="AI2648" s="80" t="n"/>
      <c r="AJ2648" s="80" t="n"/>
      <c r="AK2648" s="80" t="n"/>
      <c r="AL2648" s="80" t="n"/>
      <c r="AM2648" s="80" t="n"/>
      <c r="AN2648" s="80" t="n"/>
      <c r="AO2648" s="80" t="n"/>
      <c r="AP2648" s="80" t="n"/>
      <c r="AQ2648" s="80" t="n"/>
      <c r="AR2648" s="80" t="n"/>
    </row>
    <row r="2649">
      <c r="D2649" s="80" t="n"/>
      <c r="E2649" s="80" t="n"/>
      <c r="F2649" s="80" t="n"/>
      <c r="G2649" s="80" t="n"/>
      <c r="H2649" s="80" t="n"/>
      <c r="I2649" s="80" t="n"/>
      <c r="J2649" s="80" t="n"/>
      <c r="K2649" s="80" t="n"/>
      <c r="L2649" s="80" t="n"/>
      <c r="M2649" s="80" t="n"/>
      <c r="N2649" s="80" t="n"/>
      <c r="O2649" s="80" t="n"/>
      <c r="P2649" s="80" t="n"/>
      <c r="Q2649" s="80" t="n"/>
      <c r="R2649" s="80" t="n"/>
      <c r="S2649" s="80" t="n"/>
      <c r="T2649" s="80" t="n"/>
      <c r="U2649" s="80" t="n"/>
      <c r="V2649" s="80" t="n"/>
      <c r="W2649" s="80" t="n"/>
      <c r="X2649" s="80" t="n"/>
      <c r="Y2649" s="80" t="n"/>
      <c r="Z2649" s="80" t="n"/>
      <c r="AA2649" s="80" t="n"/>
      <c r="AB2649" s="80" t="n"/>
      <c r="AC2649" s="80" t="n"/>
      <c r="AD2649" s="80" t="n"/>
      <c r="AE2649" s="80" t="n"/>
      <c r="AF2649" s="80" t="n"/>
      <c r="AG2649" s="80" t="n"/>
      <c r="AH2649" s="80" t="n"/>
      <c r="AI2649" s="80" t="n"/>
      <c r="AJ2649" s="80" t="n"/>
      <c r="AK2649" s="80" t="n"/>
      <c r="AL2649" s="80" t="n"/>
      <c r="AM2649" s="80" t="n"/>
      <c r="AN2649" s="80" t="n"/>
      <c r="AO2649" s="80" t="n"/>
      <c r="AP2649" s="80" t="n"/>
      <c r="AQ2649" s="80" t="n"/>
      <c r="AR2649" s="80" t="n"/>
    </row>
    <row r="2650">
      <c r="D2650" s="80" t="n"/>
      <c r="E2650" s="80" t="n"/>
      <c r="F2650" s="80" t="n"/>
      <c r="G2650" s="80" t="n"/>
      <c r="H2650" s="80" t="n"/>
      <c r="I2650" s="80" t="n"/>
      <c r="J2650" s="80" t="n"/>
      <c r="K2650" s="80" t="n"/>
      <c r="L2650" s="80" t="n"/>
      <c r="M2650" s="80" t="n"/>
      <c r="N2650" s="80" t="n"/>
      <c r="O2650" s="80" t="n"/>
      <c r="P2650" s="80" t="n"/>
      <c r="Q2650" s="80" t="n"/>
      <c r="R2650" s="80" t="n"/>
      <c r="S2650" s="80" t="n"/>
      <c r="T2650" s="80" t="n"/>
      <c r="U2650" s="80" t="n"/>
      <c r="V2650" s="80" t="n"/>
      <c r="W2650" s="80" t="n"/>
      <c r="X2650" s="80" t="n"/>
      <c r="Y2650" s="80" t="n"/>
      <c r="Z2650" s="80" t="n"/>
      <c r="AA2650" s="80" t="n"/>
      <c r="AB2650" s="80" t="n"/>
      <c r="AC2650" s="80" t="n"/>
      <c r="AD2650" s="80" t="n"/>
      <c r="AE2650" s="80" t="n"/>
      <c r="AF2650" s="80" t="n"/>
      <c r="AG2650" s="80" t="n"/>
      <c r="AH2650" s="80" t="n"/>
      <c r="AI2650" s="80" t="n"/>
      <c r="AJ2650" s="80" t="n"/>
      <c r="AK2650" s="80" t="n"/>
      <c r="AL2650" s="80" t="n"/>
      <c r="AM2650" s="80" t="n"/>
      <c r="AN2650" s="80" t="n"/>
      <c r="AO2650" s="80" t="n"/>
      <c r="AP2650" s="80" t="n"/>
      <c r="AQ2650" s="80" t="n"/>
      <c r="AR2650" s="80" t="n"/>
    </row>
    <row r="2651">
      <c r="A2651" s="2">
        <f>IF($A2644="","","   projections")</f>
        <v/>
      </c>
      <c r="B2651" s="41">
        <f>IF($A2644="",0,COUNT($E2652:$AR2652))</f>
        <v/>
      </c>
      <c r="C2651" s="81">
        <f>IF($B2651=0,0,MAX($E2652:$AR2652))</f>
        <v/>
      </c>
      <c r="D2651" s="82">
        <f>BDS($A2644,'Field Check'!$C$6,"headers=y","startcol=1","endcol=7","dir=h")</f>
        <v/>
      </c>
      <c r="E2651" s="83" t="n"/>
      <c r="F2651" s="83" t="n"/>
      <c r="G2651" s="83" t="n"/>
      <c r="H2651" s="83" t="n"/>
      <c r="I2651" s="83" t="n"/>
      <c r="J2651" s="83" t="n"/>
      <c r="K2651" s="83" t="n"/>
      <c r="L2651" s="83" t="n"/>
      <c r="M2651" s="83" t="n"/>
      <c r="N2651" s="83" t="n"/>
      <c r="O2651" s="83" t="n"/>
      <c r="P2651" s="83" t="n"/>
      <c r="Q2651" s="83" t="n"/>
      <c r="R2651" s="83" t="n"/>
      <c r="S2651" s="83" t="n"/>
      <c r="T2651" s="83" t="n"/>
      <c r="U2651" s="83" t="n"/>
      <c r="V2651" s="83" t="n"/>
      <c r="W2651" s="83" t="n"/>
      <c r="X2651" s="83" t="n"/>
      <c r="Y2651" s="83" t="n"/>
      <c r="Z2651" s="83" t="n"/>
      <c r="AA2651" s="83" t="n"/>
      <c r="AB2651" s="83" t="n"/>
      <c r="AC2651" s="83" t="n"/>
      <c r="AD2651" s="83" t="n"/>
      <c r="AE2651" s="83" t="n"/>
      <c r="AF2651" s="83" t="n"/>
      <c r="AG2651" s="83" t="n"/>
      <c r="AH2651" s="83" t="n"/>
      <c r="AI2651" s="83" t="n"/>
      <c r="AJ2651" s="83" t="n"/>
      <c r="AK2651" s="83" t="n"/>
      <c r="AL2651" s="83" t="n"/>
      <c r="AM2651" s="83" t="n"/>
      <c r="AN2651" s="83" t="n"/>
      <c r="AO2651" s="83" t="n"/>
      <c r="AP2651" s="83" t="n"/>
      <c r="AQ2651" s="83" t="n"/>
      <c r="AR2651" s="83" t="n"/>
    </row>
    <row r="2652">
      <c r="D2652" s="83" t="n"/>
      <c r="E2652" s="83" t="n"/>
      <c r="F2652" s="83" t="n"/>
      <c r="G2652" s="83" t="n"/>
      <c r="H2652" s="83" t="n"/>
      <c r="I2652" s="83" t="n"/>
      <c r="J2652" s="83" t="n"/>
      <c r="K2652" s="83" t="n"/>
      <c r="L2652" s="83" t="n"/>
      <c r="M2652" s="83" t="n"/>
      <c r="N2652" s="83" t="n"/>
      <c r="O2652" s="83" t="n"/>
      <c r="P2652" s="83" t="n"/>
      <c r="Q2652" s="83" t="n"/>
      <c r="R2652" s="83" t="n"/>
      <c r="S2652" s="83" t="n"/>
      <c r="T2652" s="83" t="n"/>
      <c r="U2652" s="83" t="n"/>
      <c r="V2652" s="83" t="n"/>
      <c r="W2652" s="83" t="n"/>
      <c r="X2652" s="83" t="n"/>
      <c r="Y2652" s="83" t="n"/>
      <c r="Z2652" s="83" t="n"/>
      <c r="AA2652" s="83" t="n"/>
      <c r="AB2652" s="83" t="n"/>
      <c r="AC2652" s="83" t="n"/>
      <c r="AD2652" s="83" t="n"/>
      <c r="AE2652" s="83" t="n"/>
      <c r="AF2652" s="83" t="n"/>
      <c r="AG2652" s="83" t="n"/>
      <c r="AH2652" s="83" t="n"/>
      <c r="AI2652" s="83" t="n"/>
      <c r="AJ2652" s="83" t="n"/>
      <c r="AK2652" s="83" t="n"/>
      <c r="AL2652" s="83" t="n"/>
      <c r="AM2652" s="83" t="n"/>
      <c r="AN2652" s="83" t="n"/>
      <c r="AO2652" s="83" t="n"/>
      <c r="AP2652" s="83" t="n"/>
      <c r="AQ2652" s="83" t="n"/>
      <c r="AR2652" s="83" t="n"/>
    </row>
    <row r="2653">
      <c r="D2653" s="84" t="n"/>
      <c r="E2653" s="84" t="n"/>
      <c r="F2653" s="84" t="n"/>
      <c r="G2653" s="84" t="n"/>
      <c r="H2653" s="84" t="n"/>
      <c r="I2653" s="84" t="n"/>
      <c r="J2653" s="84" t="n"/>
      <c r="K2653" s="84" t="n"/>
      <c r="L2653" s="84" t="n"/>
      <c r="M2653" s="84" t="n"/>
      <c r="N2653" s="84" t="n"/>
      <c r="O2653" s="84" t="n"/>
      <c r="P2653" s="84" t="n"/>
      <c r="Q2653" s="84" t="n"/>
      <c r="R2653" s="84" t="n"/>
      <c r="S2653" s="84" t="n"/>
      <c r="T2653" s="84" t="n"/>
      <c r="U2653" s="84" t="n"/>
      <c r="V2653" s="84" t="n"/>
      <c r="W2653" s="84" t="n"/>
      <c r="X2653" s="84" t="n"/>
      <c r="Y2653" s="84" t="n"/>
      <c r="Z2653" s="84" t="n"/>
      <c r="AA2653" s="84" t="n"/>
      <c r="AB2653" s="84" t="n"/>
      <c r="AC2653" s="84" t="n"/>
      <c r="AD2653" s="84" t="n"/>
      <c r="AE2653" s="84" t="n"/>
      <c r="AF2653" s="84" t="n"/>
      <c r="AG2653" s="84" t="n"/>
      <c r="AH2653" s="84" t="n"/>
      <c r="AI2653" s="84" t="n"/>
      <c r="AJ2653" s="84" t="n"/>
      <c r="AK2653" s="84" t="n"/>
      <c r="AL2653" s="84" t="n"/>
      <c r="AM2653" s="84" t="n"/>
      <c r="AN2653" s="84" t="n"/>
      <c r="AO2653" s="84" t="n"/>
      <c r="AP2653" s="84" t="n"/>
      <c r="AQ2653" s="84" t="n"/>
      <c r="AR2653" s="84" t="n"/>
    </row>
    <row r="2654">
      <c r="D2654" s="80" t="n"/>
      <c r="E2654" s="80" t="n"/>
      <c r="F2654" s="80" t="n"/>
      <c r="G2654" s="80" t="n"/>
      <c r="H2654" s="80" t="n"/>
      <c r="I2654" s="80" t="n"/>
      <c r="J2654" s="80" t="n"/>
      <c r="K2654" s="80" t="n"/>
      <c r="L2654" s="80" t="n"/>
      <c r="M2654" s="80" t="n"/>
      <c r="N2654" s="80" t="n"/>
      <c r="O2654" s="80" t="n"/>
      <c r="P2654" s="80" t="n"/>
      <c r="Q2654" s="80" t="n"/>
      <c r="R2654" s="80" t="n"/>
      <c r="S2654" s="80" t="n"/>
      <c r="T2654" s="80" t="n"/>
      <c r="U2654" s="80" t="n"/>
      <c r="V2654" s="80" t="n"/>
      <c r="W2654" s="80" t="n"/>
      <c r="X2654" s="80" t="n"/>
      <c r="Y2654" s="80" t="n"/>
      <c r="Z2654" s="80" t="n"/>
      <c r="AA2654" s="80" t="n"/>
      <c r="AB2654" s="80" t="n"/>
      <c r="AC2654" s="80" t="n"/>
      <c r="AD2654" s="80" t="n"/>
      <c r="AE2654" s="80" t="n"/>
      <c r="AF2654" s="80" t="n"/>
      <c r="AG2654" s="80" t="n"/>
      <c r="AH2654" s="80" t="n"/>
      <c r="AI2654" s="80" t="n"/>
      <c r="AJ2654" s="80" t="n"/>
      <c r="AK2654" s="80" t="n"/>
      <c r="AL2654" s="80" t="n"/>
      <c r="AM2654" s="80" t="n"/>
      <c r="AN2654" s="80" t="n"/>
      <c r="AO2654" s="80" t="n"/>
      <c r="AP2654" s="80" t="n"/>
      <c r="AQ2654" s="80" t="n"/>
      <c r="AR2654" s="80" t="n"/>
    </row>
    <row r="2655">
      <c r="D2655" s="80" t="n"/>
      <c r="E2655" s="80" t="n"/>
      <c r="F2655" s="80" t="n"/>
      <c r="G2655" s="80" t="n"/>
      <c r="H2655" s="80" t="n"/>
      <c r="I2655" s="80" t="n"/>
      <c r="J2655" s="80" t="n"/>
      <c r="K2655" s="80" t="n"/>
      <c r="L2655" s="80" t="n"/>
      <c r="M2655" s="80" t="n"/>
      <c r="N2655" s="80" t="n"/>
      <c r="O2655" s="80" t="n"/>
      <c r="P2655" s="80" t="n"/>
      <c r="Q2655" s="80" t="n"/>
      <c r="R2655" s="80" t="n"/>
      <c r="S2655" s="80" t="n"/>
      <c r="T2655" s="80" t="n"/>
      <c r="U2655" s="80" t="n"/>
      <c r="V2655" s="80" t="n"/>
      <c r="W2655" s="80" t="n"/>
      <c r="X2655" s="80" t="n"/>
      <c r="Y2655" s="80" t="n"/>
      <c r="Z2655" s="80" t="n"/>
      <c r="AA2655" s="80" t="n"/>
      <c r="AB2655" s="80" t="n"/>
      <c r="AC2655" s="80" t="n"/>
      <c r="AD2655" s="80" t="n"/>
      <c r="AE2655" s="80" t="n"/>
      <c r="AF2655" s="80" t="n"/>
      <c r="AG2655" s="80" t="n"/>
      <c r="AH2655" s="80" t="n"/>
      <c r="AI2655" s="80" t="n"/>
      <c r="AJ2655" s="80" t="n"/>
      <c r="AK2655" s="80" t="n"/>
      <c r="AL2655" s="80" t="n"/>
      <c r="AM2655" s="80" t="n"/>
      <c r="AN2655" s="80" t="n"/>
      <c r="AO2655" s="80" t="n"/>
      <c r="AP2655" s="80" t="n"/>
      <c r="AQ2655" s="80" t="n"/>
      <c r="AR2655" s="80" t="n"/>
    </row>
    <row r="2656">
      <c r="D2656" s="80" t="n"/>
      <c r="E2656" s="80" t="n"/>
      <c r="F2656" s="80" t="n"/>
      <c r="G2656" s="80" t="n"/>
      <c r="H2656" s="80" t="n"/>
      <c r="I2656" s="80" t="n"/>
      <c r="J2656" s="80" t="n"/>
      <c r="K2656" s="80" t="n"/>
      <c r="L2656" s="80" t="n"/>
      <c r="M2656" s="80" t="n"/>
      <c r="N2656" s="80" t="n"/>
      <c r="O2656" s="80" t="n"/>
      <c r="P2656" s="80" t="n"/>
      <c r="Q2656" s="80" t="n"/>
      <c r="R2656" s="80" t="n"/>
      <c r="S2656" s="80" t="n"/>
      <c r="T2656" s="80" t="n"/>
      <c r="U2656" s="80" t="n"/>
      <c r="V2656" s="80" t="n"/>
      <c r="W2656" s="80" t="n"/>
      <c r="X2656" s="80" t="n"/>
      <c r="Y2656" s="80" t="n"/>
      <c r="Z2656" s="80" t="n"/>
      <c r="AA2656" s="80" t="n"/>
      <c r="AB2656" s="80" t="n"/>
      <c r="AC2656" s="80" t="n"/>
      <c r="AD2656" s="80" t="n"/>
      <c r="AE2656" s="80" t="n"/>
      <c r="AF2656" s="80" t="n"/>
      <c r="AG2656" s="80" t="n"/>
      <c r="AH2656" s="80" t="n"/>
      <c r="AI2656" s="80" t="n"/>
      <c r="AJ2656" s="80" t="n"/>
      <c r="AK2656" s="80" t="n"/>
      <c r="AL2656" s="80" t="n"/>
      <c r="AM2656" s="80" t="n"/>
      <c r="AN2656" s="80" t="n"/>
      <c r="AO2656" s="80" t="n"/>
      <c r="AP2656" s="80" t="n"/>
      <c r="AQ2656" s="80" t="n"/>
      <c r="AR2656" s="80" t="n"/>
    </row>
    <row r="2657">
      <c r="D2657" s="80" t="n"/>
      <c r="E2657" s="80" t="n"/>
      <c r="F2657" s="80" t="n"/>
      <c r="G2657" s="80" t="n"/>
      <c r="H2657" s="80" t="n"/>
      <c r="I2657" s="80" t="n"/>
      <c r="J2657" s="80" t="n"/>
      <c r="K2657" s="80" t="n"/>
      <c r="L2657" s="80" t="n"/>
      <c r="M2657" s="80" t="n"/>
      <c r="N2657" s="80" t="n"/>
      <c r="O2657" s="80" t="n"/>
      <c r="P2657" s="80" t="n"/>
      <c r="Q2657" s="80" t="n"/>
      <c r="R2657" s="80" t="n"/>
      <c r="S2657" s="80" t="n"/>
      <c r="T2657" s="80" t="n"/>
      <c r="U2657" s="80" t="n"/>
      <c r="V2657" s="80" t="n"/>
      <c r="W2657" s="80" t="n"/>
      <c r="X2657" s="80" t="n"/>
      <c r="Y2657" s="80" t="n"/>
      <c r="Z2657" s="80" t="n"/>
      <c r="AA2657" s="80" t="n"/>
      <c r="AB2657" s="80" t="n"/>
      <c r="AC2657" s="80" t="n"/>
      <c r="AD2657" s="80" t="n"/>
      <c r="AE2657" s="80" t="n"/>
      <c r="AF2657" s="80" t="n"/>
      <c r="AG2657" s="80" t="n"/>
      <c r="AH2657" s="80" t="n"/>
      <c r="AI2657" s="80" t="n"/>
      <c r="AJ2657" s="80" t="n"/>
      <c r="AK2657" s="80" t="n"/>
      <c r="AL2657" s="80" t="n"/>
      <c r="AM2657" s="80" t="n"/>
      <c r="AN2657" s="80" t="n"/>
      <c r="AO2657" s="80" t="n"/>
      <c r="AP2657" s="80" t="n"/>
      <c r="AQ2657" s="80" t="n"/>
      <c r="AR2657" s="80" t="n"/>
    </row>
    <row r="2659">
      <c r="A2659" s="6">
        <f>IF(HSCEI!$C$43="","",HSCEI!$C$43)</f>
        <v/>
      </c>
      <c r="B2659" s="41">
        <f>IF($A2659="",0,COUNT($E2660:$AR2660))</f>
        <v/>
      </c>
      <c r="C2659" s="81">
        <f>IF($B2659=0,0,MAX($E2660:$AR2660))</f>
        <v/>
      </c>
      <c r="D2659" s="82">
        <f>BDS($A2659,'Field Check'!$C$7,"headers=y","startcol=1","endcol=7","dir=h","DVD_START_DT",Summary!$C$18,"DVD_END_DT",Summary!$D$18)</f>
        <v/>
      </c>
      <c r="E2659" s="83" t="n"/>
      <c r="F2659" s="83" t="n"/>
      <c r="G2659" s="83" t="n"/>
      <c r="H2659" s="83" t="n"/>
      <c r="I2659" s="83" t="n"/>
      <c r="J2659" s="83" t="n"/>
      <c r="K2659" s="83" t="n"/>
      <c r="L2659" s="83" t="n"/>
      <c r="M2659" s="83" t="n"/>
      <c r="N2659" s="83" t="n"/>
      <c r="O2659" s="83" t="n"/>
      <c r="P2659" s="83" t="n"/>
      <c r="Q2659" s="83" t="n"/>
      <c r="R2659" s="83" t="n"/>
      <c r="S2659" s="83" t="n"/>
      <c r="T2659" s="83" t="n"/>
      <c r="U2659" s="83" t="n"/>
      <c r="V2659" s="83" t="n"/>
      <c r="W2659" s="83" t="n"/>
      <c r="X2659" s="83" t="n"/>
      <c r="Y2659" s="83" t="n"/>
      <c r="Z2659" s="83" t="n"/>
      <c r="AA2659" s="83" t="n"/>
      <c r="AB2659" s="83" t="n"/>
      <c r="AC2659" s="83" t="n"/>
      <c r="AD2659" s="83" t="n"/>
      <c r="AE2659" s="83" t="n"/>
      <c r="AF2659" s="83" t="n"/>
      <c r="AG2659" s="83" t="n"/>
      <c r="AH2659" s="83" t="n"/>
      <c r="AI2659" s="83" t="n"/>
      <c r="AJ2659" s="83" t="n"/>
      <c r="AK2659" s="83" t="n"/>
      <c r="AL2659" s="83" t="n"/>
      <c r="AM2659" s="83" t="n"/>
      <c r="AN2659" s="83" t="n"/>
      <c r="AO2659" s="83" t="n"/>
      <c r="AP2659" s="83" t="n"/>
      <c r="AQ2659" s="83" t="n"/>
      <c r="AR2659" s="83" t="n"/>
    </row>
    <row r="2660">
      <c r="D2660" s="83" t="n"/>
      <c r="E2660" s="83" t="n"/>
      <c r="F2660" s="83" t="n"/>
      <c r="G2660" s="83" t="n"/>
      <c r="H2660" s="83" t="n"/>
      <c r="I2660" s="83" t="n"/>
      <c r="J2660" s="83" t="n"/>
      <c r="K2660" s="83" t="n"/>
      <c r="L2660" s="83" t="n"/>
      <c r="M2660" s="83" t="n"/>
      <c r="N2660" s="83" t="n"/>
      <c r="O2660" s="83" t="n"/>
      <c r="P2660" s="83" t="n"/>
      <c r="Q2660" s="83" t="n"/>
      <c r="R2660" s="83" t="n"/>
      <c r="S2660" s="83" t="n"/>
      <c r="T2660" s="83" t="n"/>
      <c r="U2660" s="83" t="n"/>
      <c r="V2660" s="83" t="n"/>
      <c r="W2660" s="83" t="n"/>
      <c r="X2660" s="83" t="n"/>
      <c r="Y2660" s="83" t="n"/>
      <c r="Z2660" s="83" t="n"/>
      <c r="AA2660" s="83" t="n"/>
      <c r="AB2660" s="83" t="n"/>
      <c r="AC2660" s="83" t="n"/>
      <c r="AD2660" s="83" t="n"/>
      <c r="AE2660" s="83" t="n"/>
      <c r="AF2660" s="83" t="n"/>
      <c r="AG2660" s="83" t="n"/>
      <c r="AH2660" s="83" t="n"/>
      <c r="AI2660" s="83" t="n"/>
      <c r="AJ2660" s="83" t="n"/>
      <c r="AK2660" s="83" t="n"/>
      <c r="AL2660" s="83" t="n"/>
      <c r="AM2660" s="83" t="n"/>
      <c r="AN2660" s="83" t="n"/>
      <c r="AO2660" s="83" t="n"/>
      <c r="AP2660" s="83" t="n"/>
      <c r="AQ2660" s="83" t="n"/>
      <c r="AR2660" s="83" t="n"/>
    </row>
    <row r="2661">
      <c r="D2661" s="84" t="n"/>
      <c r="E2661" s="84" t="n"/>
      <c r="F2661" s="84" t="n"/>
      <c r="G2661" s="84" t="n"/>
      <c r="H2661" s="84" t="n"/>
      <c r="I2661" s="84" t="n"/>
      <c r="J2661" s="84" t="n"/>
      <c r="K2661" s="84" t="n"/>
      <c r="L2661" s="84" t="n"/>
      <c r="M2661" s="84" t="n"/>
      <c r="N2661" s="84" t="n"/>
      <c r="O2661" s="84" t="n"/>
      <c r="P2661" s="84" t="n"/>
      <c r="Q2661" s="84" t="n"/>
      <c r="R2661" s="84" t="n"/>
      <c r="S2661" s="84" t="n"/>
      <c r="T2661" s="84" t="n"/>
      <c r="U2661" s="84" t="n"/>
      <c r="V2661" s="84" t="n"/>
      <c r="W2661" s="84" t="n"/>
      <c r="X2661" s="84" t="n"/>
      <c r="Y2661" s="84" t="n"/>
      <c r="Z2661" s="84" t="n"/>
      <c r="AA2661" s="84" t="n"/>
      <c r="AB2661" s="84" t="n"/>
      <c r="AC2661" s="84" t="n"/>
      <c r="AD2661" s="84" t="n"/>
      <c r="AE2661" s="84" t="n"/>
      <c r="AF2661" s="84" t="n"/>
      <c r="AG2661" s="84" t="n"/>
      <c r="AH2661" s="84" t="n"/>
      <c r="AI2661" s="84" t="n"/>
      <c r="AJ2661" s="84" t="n"/>
      <c r="AK2661" s="84" t="n"/>
      <c r="AL2661" s="84" t="n"/>
      <c r="AM2661" s="84" t="n"/>
      <c r="AN2661" s="84" t="n"/>
      <c r="AO2661" s="84" t="n"/>
      <c r="AP2661" s="84" t="n"/>
      <c r="AQ2661" s="84" t="n"/>
      <c r="AR2661" s="84" t="n"/>
    </row>
    <row r="2662">
      <c r="D2662" s="80" t="n"/>
      <c r="E2662" s="80" t="n"/>
      <c r="F2662" s="80" t="n"/>
      <c r="G2662" s="80" t="n"/>
      <c r="H2662" s="80" t="n"/>
      <c r="I2662" s="80" t="n"/>
      <c r="J2662" s="80" t="n"/>
      <c r="K2662" s="80" t="n"/>
      <c r="L2662" s="80" t="n"/>
      <c r="M2662" s="80" t="n"/>
      <c r="N2662" s="80" t="n"/>
      <c r="O2662" s="80" t="n"/>
      <c r="P2662" s="80" t="n"/>
      <c r="Q2662" s="80" t="n"/>
      <c r="R2662" s="80" t="n"/>
      <c r="S2662" s="80" t="n"/>
      <c r="T2662" s="80" t="n"/>
      <c r="U2662" s="80" t="n"/>
      <c r="V2662" s="80" t="n"/>
      <c r="W2662" s="80" t="n"/>
      <c r="X2662" s="80" t="n"/>
      <c r="Y2662" s="80" t="n"/>
      <c r="Z2662" s="80" t="n"/>
      <c r="AA2662" s="80" t="n"/>
      <c r="AB2662" s="80" t="n"/>
      <c r="AC2662" s="80" t="n"/>
      <c r="AD2662" s="80" t="n"/>
      <c r="AE2662" s="80" t="n"/>
      <c r="AF2662" s="80" t="n"/>
      <c r="AG2662" s="80" t="n"/>
      <c r="AH2662" s="80" t="n"/>
      <c r="AI2662" s="80" t="n"/>
      <c r="AJ2662" s="80" t="n"/>
      <c r="AK2662" s="80" t="n"/>
      <c r="AL2662" s="80" t="n"/>
      <c r="AM2662" s="80" t="n"/>
      <c r="AN2662" s="80" t="n"/>
      <c r="AO2662" s="80" t="n"/>
      <c r="AP2662" s="80" t="n"/>
      <c r="AQ2662" s="80" t="n"/>
      <c r="AR2662" s="80" t="n"/>
    </row>
    <row r="2663">
      <c r="D2663" s="80" t="n"/>
      <c r="E2663" s="80" t="n"/>
      <c r="F2663" s="80" t="n"/>
      <c r="G2663" s="80" t="n"/>
      <c r="H2663" s="80" t="n"/>
      <c r="I2663" s="80" t="n"/>
      <c r="J2663" s="80" t="n"/>
      <c r="K2663" s="80" t="n"/>
      <c r="L2663" s="80" t="n"/>
      <c r="M2663" s="80" t="n"/>
      <c r="N2663" s="80" t="n"/>
      <c r="O2663" s="80" t="n"/>
      <c r="P2663" s="80" t="n"/>
      <c r="Q2663" s="80" t="n"/>
      <c r="R2663" s="80" t="n"/>
      <c r="S2663" s="80" t="n"/>
      <c r="T2663" s="80" t="n"/>
      <c r="U2663" s="80" t="n"/>
      <c r="V2663" s="80" t="n"/>
      <c r="W2663" s="80" t="n"/>
      <c r="X2663" s="80" t="n"/>
      <c r="Y2663" s="80" t="n"/>
      <c r="Z2663" s="80" t="n"/>
      <c r="AA2663" s="80" t="n"/>
      <c r="AB2663" s="80" t="n"/>
      <c r="AC2663" s="80" t="n"/>
      <c r="AD2663" s="80" t="n"/>
      <c r="AE2663" s="80" t="n"/>
      <c r="AF2663" s="80" t="n"/>
      <c r="AG2663" s="80" t="n"/>
      <c r="AH2663" s="80" t="n"/>
      <c r="AI2663" s="80" t="n"/>
      <c r="AJ2663" s="80" t="n"/>
      <c r="AK2663" s="80" t="n"/>
      <c r="AL2663" s="80" t="n"/>
      <c r="AM2663" s="80" t="n"/>
      <c r="AN2663" s="80" t="n"/>
      <c r="AO2663" s="80" t="n"/>
      <c r="AP2663" s="80" t="n"/>
      <c r="AQ2663" s="80" t="n"/>
      <c r="AR2663" s="80" t="n"/>
    </row>
    <row r="2664">
      <c r="D2664" s="80" t="n"/>
      <c r="E2664" s="80" t="n"/>
      <c r="F2664" s="80" t="n"/>
      <c r="G2664" s="80" t="n"/>
      <c r="H2664" s="80" t="n"/>
      <c r="I2664" s="80" t="n"/>
      <c r="J2664" s="80" t="n"/>
      <c r="K2664" s="80" t="n"/>
      <c r="L2664" s="80" t="n"/>
      <c r="M2664" s="80" t="n"/>
      <c r="N2664" s="80" t="n"/>
      <c r="O2664" s="80" t="n"/>
      <c r="P2664" s="80" t="n"/>
      <c r="Q2664" s="80" t="n"/>
      <c r="R2664" s="80" t="n"/>
      <c r="S2664" s="80" t="n"/>
      <c r="T2664" s="80" t="n"/>
      <c r="U2664" s="80" t="n"/>
      <c r="V2664" s="80" t="n"/>
      <c r="W2664" s="80" t="n"/>
      <c r="X2664" s="80" t="n"/>
      <c r="Y2664" s="80" t="n"/>
      <c r="Z2664" s="80" t="n"/>
      <c r="AA2664" s="80" t="n"/>
      <c r="AB2664" s="80" t="n"/>
      <c r="AC2664" s="80" t="n"/>
      <c r="AD2664" s="80" t="n"/>
      <c r="AE2664" s="80" t="n"/>
      <c r="AF2664" s="80" t="n"/>
      <c r="AG2664" s="80" t="n"/>
      <c r="AH2664" s="80" t="n"/>
      <c r="AI2664" s="80" t="n"/>
      <c r="AJ2664" s="80" t="n"/>
      <c r="AK2664" s="80" t="n"/>
      <c r="AL2664" s="80" t="n"/>
      <c r="AM2664" s="80" t="n"/>
      <c r="AN2664" s="80" t="n"/>
      <c r="AO2664" s="80" t="n"/>
      <c r="AP2664" s="80" t="n"/>
      <c r="AQ2664" s="80" t="n"/>
      <c r="AR2664" s="80" t="n"/>
    </row>
    <row r="2665">
      <c r="D2665" s="80" t="n"/>
      <c r="E2665" s="80" t="n"/>
      <c r="F2665" s="80" t="n"/>
      <c r="G2665" s="80" t="n"/>
      <c r="H2665" s="80" t="n"/>
      <c r="I2665" s="80" t="n"/>
      <c r="J2665" s="80" t="n"/>
      <c r="K2665" s="80" t="n"/>
      <c r="L2665" s="80" t="n"/>
      <c r="M2665" s="80" t="n"/>
      <c r="N2665" s="80" t="n"/>
      <c r="O2665" s="80" t="n"/>
      <c r="P2665" s="80" t="n"/>
      <c r="Q2665" s="80" t="n"/>
      <c r="R2665" s="80" t="n"/>
      <c r="S2665" s="80" t="n"/>
      <c r="T2665" s="80" t="n"/>
      <c r="U2665" s="80" t="n"/>
      <c r="V2665" s="80" t="n"/>
      <c r="W2665" s="80" t="n"/>
      <c r="X2665" s="80" t="n"/>
      <c r="Y2665" s="80" t="n"/>
      <c r="Z2665" s="80" t="n"/>
      <c r="AA2665" s="80" t="n"/>
      <c r="AB2665" s="80" t="n"/>
      <c r="AC2665" s="80" t="n"/>
      <c r="AD2665" s="80" t="n"/>
      <c r="AE2665" s="80" t="n"/>
      <c r="AF2665" s="80" t="n"/>
      <c r="AG2665" s="80" t="n"/>
      <c r="AH2665" s="80" t="n"/>
      <c r="AI2665" s="80" t="n"/>
      <c r="AJ2665" s="80" t="n"/>
      <c r="AK2665" s="80" t="n"/>
      <c r="AL2665" s="80" t="n"/>
      <c r="AM2665" s="80" t="n"/>
      <c r="AN2665" s="80" t="n"/>
      <c r="AO2665" s="80" t="n"/>
      <c r="AP2665" s="80" t="n"/>
      <c r="AQ2665" s="80" t="n"/>
      <c r="AR2665" s="80" t="n"/>
    </row>
    <row r="2666">
      <c r="A2666" s="2">
        <f>IF($A2659="","","   projections")</f>
        <v/>
      </c>
      <c r="B2666" s="41">
        <f>IF($A2659="",0,COUNT($E2667:$AR2667))</f>
        <v/>
      </c>
      <c r="C2666" s="81">
        <f>IF($B2666=0,0,MAX($E2667:$AR2667))</f>
        <v/>
      </c>
      <c r="D2666" s="82">
        <f>BDS($A2659,'Field Check'!$C$6,"headers=y","startcol=1","endcol=7","dir=h")</f>
        <v/>
      </c>
      <c r="E2666" s="83" t="n"/>
      <c r="F2666" s="83" t="n"/>
      <c r="G2666" s="83" t="n"/>
      <c r="H2666" s="83" t="n"/>
      <c r="I2666" s="83" t="n"/>
      <c r="J2666" s="83" t="n"/>
      <c r="K2666" s="83" t="n"/>
      <c r="L2666" s="83" t="n"/>
      <c r="M2666" s="83" t="n"/>
      <c r="N2666" s="83" t="n"/>
      <c r="O2666" s="83" t="n"/>
      <c r="P2666" s="83" t="n"/>
      <c r="Q2666" s="83" t="n"/>
      <c r="R2666" s="83" t="n"/>
      <c r="S2666" s="83" t="n"/>
      <c r="T2666" s="83" t="n"/>
      <c r="U2666" s="83" t="n"/>
      <c r="V2666" s="83" t="n"/>
      <c r="W2666" s="83" t="n"/>
      <c r="X2666" s="83" t="n"/>
      <c r="Y2666" s="83" t="n"/>
      <c r="Z2666" s="83" t="n"/>
      <c r="AA2666" s="83" t="n"/>
      <c r="AB2666" s="83" t="n"/>
      <c r="AC2666" s="83" t="n"/>
      <c r="AD2666" s="83" t="n"/>
      <c r="AE2666" s="83" t="n"/>
      <c r="AF2666" s="83" t="n"/>
      <c r="AG2666" s="83" t="n"/>
      <c r="AH2666" s="83" t="n"/>
      <c r="AI2666" s="83" t="n"/>
      <c r="AJ2666" s="83" t="n"/>
      <c r="AK2666" s="83" t="n"/>
      <c r="AL2666" s="83" t="n"/>
      <c r="AM2666" s="83" t="n"/>
      <c r="AN2666" s="83" t="n"/>
      <c r="AO2666" s="83" t="n"/>
      <c r="AP2666" s="83" t="n"/>
      <c r="AQ2666" s="83" t="n"/>
      <c r="AR2666" s="83" t="n"/>
    </row>
    <row r="2667">
      <c r="D2667" s="83" t="n"/>
      <c r="E2667" s="83" t="n"/>
      <c r="F2667" s="83" t="n"/>
      <c r="G2667" s="83" t="n"/>
      <c r="H2667" s="83" t="n"/>
      <c r="I2667" s="83" t="n"/>
      <c r="J2667" s="83" t="n"/>
      <c r="K2667" s="83" t="n"/>
      <c r="L2667" s="83" t="n"/>
      <c r="M2667" s="83" t="n"/>
      <c r="N2667" s="83" t="n"/>
      <c r="O2667" s="83" t="n"/>
      <c r="P2667" s="83" t="n"/>
      <c r="Q2667" s="83" t="n"/>
      <c r="R2667" s="83" t="n"/>
      <c r="S2667" s="83" t="n"/>
      <c r="T2667" s="83" t="n"/>
      <c r="U2667" s="83" t="n"/>
      <c r="V2667" s="83" t="n"/>
      <c r="W2667" s="83" t="n"/>
      <c r="X2667" s="83" t="n"/>
      <c r="Y2667" s="83" t="n"/>
      <c r="Z2667" s="83" t="n"/>
      <c r="AA2667" s="83" t="n"/>
      <c r="AB2667" s="83" t="n"/>
      <c r="AC2667" s="83" t="n"/>
      <c r="AD2667" s="83" t="n"/>
      <c r="AE2667" s="83" t="n"/>
      <c r="AF2667" s="83" t="n"/>
      <c r="AG2667" s="83" t="n"/>
      <c r="AH2667" s="83" t="n"/>
      <c r="AI2667" s="83" t="n"/>
      <c r="AJ2667" s="83" t="n"/>
      <c r="AK2667" s="83" t="n"/>
      <c r="AL2667" s="83" t="n"/>
      <c r="AM2667" s="83" t="n"/>
      <c r="AN2667" s="83" t="n"/>
      <c r="AO2667" s="83" t="n"/>
      <c r="AP2667" s="83" t="n"/>
      <c r="AQ2667" s="83" t="n"/>
      <c r="AR2667" s="83" t="n"/>
    </row>
    <row r="2668">
      <c r="D2668" s="84" t="n"/>
      <c r="E2668" s="84" t="n"/>
      <c r="F2668" s="84" t="n"/>
      <c r="G2668" s="84" t="n"/>
      <c r="H2668" s="84" t="n"/>
      <c r="I2668" s="84" t="n"/>
      <c r="J2668" s="84" t="n"/>
      <c r="K2668" s="84" t="n"/>
      <c r="L2668" s="84" t="n"/>
      <c r="M2668" s="84" t="n"/>
      <c r="N2668" s="84" t="n"/>
      <c r="O2668" s="84" t="n"/>
      <c r="P2668" s="84" t="n"/>
      <c r="Q2668" s="84" t="n"/>
      <c r="R2668" s="84" t="n"/>
      <c r="S2668" s="84" t="n"/>
      <c r="T2668" s="84" t="n"/>
      <c r="U2668" s="84" t="n"/>
      <c r="V2668" s="84" t="n"/>
      <c r="W2668" s="84" t="n"/>
      <c r="X2668" s="84" t="n"/>
      <c r="Y2668" s="84" t="n"/>
      <c r="Z2668" s="84" t="n"/>
      <c r="AA2668" s="84" t="n"/>
      <c r="AB2668" s="84" t="n"/>
      <c r="AC2668" s="84" t="n"/>
      <c r="AD2668" s="84" t="n"/>
      <c r="AE2668" s="84" t="n"/>
      <c r="AF2668" s="84" t="n"/>
      <c r="AG2668" s="84" t="n"/>
      <c r="AH2668" s="84" t="n"/>
      <c r="AI2668" s="84" t="n"/>
      <c r="AJ2668" s="84" t="n"/>
      <c r="AK2668" s="84" t="n"/>
      <c r="AL2668" s="84" t="n"/>
      <c r="AM2668" s="84" t="n"/>
      <c r="AN2668" s="84" t="n"/>
      <c r="AO2668" s="84" t="n"/>
      <c r="AP2668" s="84" t="n"/>
      <c r="AQ2668" s="84" t="n"/>
      <c r="AR2668" s="84" t="n"/>
    </row>
    <row r="2669">
      <c r="D2669" s="80" t="n"/>
      <c r="E2669" s="80" t="n"/>
      <c r="F2669" s="80" t="n"/>
      <c r="G2669" s="80" t="n"/>
      <c r="H2669" s="80" t="n"/>
      <c r="I2669" s="80" t="n"/>
      <c r="J2669" s="80" t="n"/>
      <c r="K2669" s="80" t="n"/>
      <c r="L2669" s="80" t="n"/>
      <c r="M2669" s="80" t="n"/>
      <c r="N2669" s="80" t="n"/>
      <c r="O2669" s="80" t="n"/>
      <c r="P2669" s="80" t="n"/>
      <c r="Q2669" s="80" t="n"/>
      <c r="R2669" s="80" t="n"/>
      <c r="S2669" s="80" t="n"/>
      <c r="T2669" s="80" t="n"/>
      <c r="U2669" s="80" t="n"/>
      <c r="V2669" s="80" t="n"/>
      <c r="W2669" s="80" t="n"/>
      <c r="X2669" s="80" t="n"/>
      <c r="Y2669" s="80" t="n"/>
      <c r="Z2669" s="80" t="n"/>
      <c r="AA2669" s="80" t="n"/>
      <c r="AB2669" s="80" t="n"/>
      <c r="AC2669" s="80" t="n"/>
      <c r="AD2669" s="80" t="n"/>
      <c r="AE2669" s="80" t="n"/>
      <c r="AF2669" s="80" t="n"/>
      <c r="AG2669" s="80" t="n"/>
      <c r="AH2669" s="80" t="n"/>
      <c r="AI2669" s="80" t="n"/>
      <c r="AJ2669" s="80" t="n"/>
      <c r="AK2669" s="80" t="n"/>
      <c r="AL2669" s="80" t="n"/>
      <c r="AM2669" s="80" t="n"/>
      <c r="AN2669" s="80" t="n"/>
      <c r="AO2669" s="80" t="n"/>
      <c r="AP2669" s="80" t="n"/>
      <c r="AQ2669" s="80" t="n"/>
      <c r="AR2669" s="80" t="n"/>
    </row>
    <row r="2670">
      <c r="D2670" s="80" t="n"/>
      <c r="E2670" s="80" t="n"/>
      <c r="F2670" s="80" t="n"/>
      <c r="G2670" s="80" t="n"/>
      <c r="H2670" s="80" t="n"/>
      <c r="I2670" s="80" t="n"/>
      <c r="J2670" s="80" t="n"/>
      <c r="K2670" s="80" t="n"/>
      <c r="L2670" s="80" t="n"/>
      <c r="M2670" s="80" t="n"/>
      <c r="N2670" s="80" t="n"/>
      <c r="O2670" s="80" t="n"/>
      <c r="P2670" s="80" t="n"/>
      <c r="Q2670" s="80" t="n"/>
      <c r="R2670" s="80" t="n"/>
      <c r="S2670" s="80" t="n"/>
      <c r="T2670" s="80" t="n"/>
      <c r="U2670" s="80" t="n"/>
      <c r="V2670" s="80" t="n"/>
      <c r="W2670" s="80" t="n"/>
      <c r="X2670" s="80" t="n"/>
      <c r="Y2670" s="80" t="n"/>
      <c r="Z2670" s="80" t="n"/>
      <c r="AA2670" s="80" t="n"/>
      <c r="AB2670" s="80" t="n"/>
      <c r="AC2670" s="80" t="n"/>
      <c r="AD2670" s="80" t="n"/>
      <c r="AE2670" s="80" t="n"/>
      <c r="AF2670" s="80" t="n"/>
      <c r="AG2670" s="80" t="n"/>
      <c r="AH2670" s="80" t="n"/>
      <c r="AI2670" s="80" t="n"/>
      <c r="AJ2670" s="80" t="n"/>
      <c r="AK2670" s="80" t="n"/>
      <c r="AL2670" s="80" t="n"/>
      <c r="AM2670" s="80" t="n"/>
      <c r="AN2670" s="80" t="n"/>
      <c r="AO2670" s="80" t="n"/>
      <c r="AP2670" s="80" t="n"/>
      <c r="AQ2670" s="80" t="n"/>
      <c r="AR2670" s="80" t="n"/>
    </row>
    <row r="2671">
      <c r="D2671" s="80" t="n"/>
      <c r="E2671" s="80" t="n"/>
      <c r="F2671" s="80" t="n"/>
      <c r="G2671" s="80" t="n"/>
      <c r="H2671" s="80" t="n"/>
      <c r="I2671" s="80" t="n"/>
      <c r="J2671" s="80" t="n"/>
      <c r="K2671" s="80" t="n"/>
      <c r="L2671" s="80" t="n"/>
      <c r="M2671" s="80" t="n"/>
      <c r="N2671" s="80" t="n"/>
      <c r="O2671" s="80" t="n"/>
      <c r="P2671" s="80" t="n"/>
      <c r="Q2671" s="80" t="n"/>
      <c r="R2671" s="80" t="n"/>
      <c r="S2671" s="80" t="n"/>
      <c r="T2671" s="80" t="n"/>
      <c r="U2671" s="80" t="n"/>
      <c r="V2671" s="80" t="n"/>
      <c r="W2671" s="80" t="n"/>
      <c r="X2671" s="80" t="n"/>
      <c r="Y2671" s="80" t="n"/>
      <c r="Z2671" s="80" t="n"/>
      <c r="AA2671" s="80" t="n"/>
      <c r="AB2671" s="80" t="n"/>
      <c r="AC2671" s="80" t="n"/>
      <c r="AD2671" s="80" t="n"/>
      <c r="AE2671" s="80" t="n"/>
      <c r="AF2671" s="80" t="n"/>
      <c r="AG2671" s="80" t="n"/>
      <c r="AH2671" s="80" t="n"/>
      <c r="AI2671" s="80" t="n"/>
      <c r="AJ2671" s="80" t="n"/>
      <c r="AK2671" s="80" t="n"/>
      <c r="AL2671" s="80" t="n"/>
      <c r="AM2671" s="80" t="n"/>
      <c r="AN2671" s="80" t="n"/>
      <c r="AO2671" s="80" t="n"/>
      <c r="AP2671" s="80" t="n"/>
      <c r="AQ2671" s="80" t="n"/>
      <c r="AR2671" s="80" t="n"/>
    </row>
    <row r="2672">
      <c r="D2672" s="80" t="n"/>
      <c r="E2672" s="80" t="n"/>
      <c r="F2672" s="80" t="n"/>
      <c r="G2672" s="80" t="n"/>
      <c r="H2672" s="80" t="n"/>
      <c r="I2672" s="80" t="n"/>
      <c r="J2672" s="80" t="n"/>
      <c r="K2672" s="80" t="n"/>
      <c r="L2672" s="80" t="n"/>
      <c r="M2672" s="80" t="n"/>
      <c r="N2672" s="80" t="n"/>
      <c r="O2672" s="80" t="n"/>
      <c r="P2672" s="80" t="n"/>
      <c r="Q2672" s="80" t="n"/>
      <c r="R2672" s="80" t="n"/>
      <c r="S2672" s="80" t="n"/>
      <c r="T2672" s="80" t="n"/>
      <c r="U2672" s="80" t="n"/>
      <c r="V2672" s="80" t="n"/>
      <c r="W2672" s="80" t="n"/>
      <c r="X2672" s="80" t="n"/>
      <c r="Y2672" s="80" t="n"/>
      <c r="Z2672" s="80" t="n"/>
      <c r="AA2672" s="80" t="n"/>
      <c r="AB2672" s="80" t="n"/>
      <c r="AC2672" s="80" t="n"/>
      <c r="AD2672" s="80" t="n"/>
      <c r="AE2672" s="80" t="n"/>
      <c r="AF2672" s="80" t="n"/>
      <c r="AG2672" s="80" t="n"/>
      <c r="AH2672" s="80" t="n"/>
      <c r="AI2672" s="80" t="n"/>
      <c r="AJ2672" s="80" t="n"/>
      <c r="AK2672" s="80" t="n"/>
      <c r="AL2672" s="80" t="n"/>
      <c r="AM2672" s="80" t="n"/>
      <c r="AN2672" s="80" t="n"/>
      <c r="AO2672" s="80" t="n"/>
      <c r="AP2672" s="80" t="n"/>
      <c r="AQ2672" s="80" t="n"/>
      <c r="AR2672" s="80" t="n"/>
    </row>
    <row r="2674">
      <c r="A2674" s="6">
        <f>IF(HSCEI!$C$44="","",HSCEI!$C$44)</f>
        <v/>
      </c>
      <c r="B2674" s="41">
        <f>IF($A2674="",0,COUNT($E2675:$AR2675))</f>
        <v/>
      </c>
      <c r="C2674" s="81">
        <f>IF($B2674=0,0,MAX($E2675:$AR2675))</f>
        <v/>
      </c>
      <c r="D2674" s="82">
        <f>BDS($A2674,'Field Check'!$C$7,"headers=y","startcol=1","endcol=7","dir=h","DVD_START_DT",Summary!$C$18,"DVD_END_DT",Summary!$D$18)</f>
        <v/>
      </c>
      <c r="E2674" s="83" t="n"/>
      <c r="F2674" s="83" t="n"/>
      <c r="G2674" s="83" t="n"/>
      <c r="H2674" s="83" t="n"/>
      <c r="I2674" s="83" t="n"/>
      <c r="J2674" s="83" t="n"/>
      <c r="K2674" s="83" t="n"/>
      <c r="L2674" s="83" t="n"/>
      <c r="M2674" s="83" t="n"/>
      <c r="N2674" s="83" t="n"/>
      <c r="O2674" s="83" t="n"/>
      <c r="P2674" s="83" t="n"/>
      <c r="Q2674" s="83" t="n"/>
      <c r="R2674" s="83" t="n"/>
      <c r="S2674" s="83" t="n"/>
      <c r="T2674" s="83" t="n"/>
      <c r="U2674" s="83" t="n"/>
      <c r="V2674" s="83" t="n"/>
      <c r="W2674" s="83" t="n"/>
      <c r="X2674" s="83" t="n"/>
      <c r="Y2674" s="83" t="n"/>
      <c r="Z2674" s="83" t="n"/>
      <c r="AA2674" s="83" t="n"/>
      <c r="AB2674" s="83" t="n"/>
      <c r="AC2674" s="83" t="n"/>
      <c r="AD2674" s="83" t="n"/>
      <c r="AE2674" s="83" t="n"/>
      <c r="AF2674" s="83" t="n"/>
      <c r="AG2674" s="83" t="n"/>
      <c r="AH2674" s="83" t="n"/>
      <c r="AI2674" s="83" t="n"/>
      <c r="AJ2674" s="83" t="n"/>
      <c r="AK2674" s="83" t="n"/>
      <c r="AL2674" s="83" t="n"/>
      <c r="AM2674" s="83" t="n"/>
      <c r="AN2674" s="83" t="n"/>
      <c r="AO2674" s="83" t="n"/>
      <c r="AP2674" s="83" t="n"/>
      <c r="AQ2674" s="83" t="n"/>
      <c r="AR2674" s="83" t="n"/>
    </row>
    <row r="2675">
      <c r="D2675" s="83" t="n"/>
      <c r="E2675" s="83" t="n"/>
      <c r="F2675" s="83" t="n"/>
      <c r="G2675" s="83" t="n"/>
      <c r="H2675" s="83" t="n"/>
      <c r="I2675" s="83" t="n"/>
      <c r="J2675" s="83" t="n"/>
      <c r="K2675" s="83" t="n"/>
      <c r="L2675" s="83" t="n"/>
      <c r="M2675" s="83" t="n"/>
      <c r="N2675" s="83" t="n"/>
      <c r="O2675" s="83" t="n"/>
      <c r="P2675" s="83" t="n"/>
      <c r="Q2675" s="83" t="n"/>
      <c r="R2675" s="83" t="n"/>
      <c r="S2675" s="83" t="n"/>
      <c r="T2675" s="83" t="n"/>
      <c r="U2675" s="83" t="n"/>
      <c r="V2675" s="83" t="n"/>
      <c r="W2675" s="83" t="n"/>
      <c r="X2675" s="83" t="n"/>
      <c r="Y2675" s="83" t="n"/>
      <c r="Z2675" s="83" t="n"/>
      <c r="AA2675" s="83" t="n"/>
      <c r="AB2675" s="83" t="n"/>
      <c r="AC2675" s="83" t="n"/>
      <c r="AD2675" s="83" t="n"/>
      <c r="AE2675" s="83" t="n"/>
      <c r="AF2675" s="83" t="n"/>
      <c r="AG2675" s="83" t="n"/>
      <c r="AH2675" s="83" t="n"/>
      <c r="AI2675" s="83" t="n"/>
      <c r="AJ2675" s="83" t="n"/>
      <c r="AK2675" s="83" t="n"/>
      <c r="AL2675" s="83" t="n"/>
      <c r="AM2675" s="83" t="n"/>
      <c r="AN2675" s="83" t="n"/>
      <c r="AO2675" s="83" t="n"/>
      <c r="AP2675" s="83" t="n"/>
      <c r="AQ2675" s="83" t="n"/>
      <c r="AR2675" s="83" t="n"/>
    </row>
    <row r="2676">
      <c r="D2676" s="84" t="n"/>
      <c r="E2676" s="84" t="n"/>
      <c r="F2676" s="84" t="n"/>
      <c r="G2676" s="84" t="n"/>
      <c r="H2676" s="84" t="n"/>
      <c r="I2676" s="84" t="n"/>
      <c r="J2676" s="84" t="n"/>
      <c r="K2676" s="84" t="n"/>
      <c r="L2676" s="84" t="n"/>
      <c r="M2676" s="84" t="n"/>
      <c r="N2676" s="84" t="n"/>
      <c r="O2676" s="84" t="n"/>
      <c r="P2676" s="84" t="n"/>
      <c r="Q2676" s="84" t="n"/>
      <c r="R2676" s="84" t="n"/>
      <c r="S2676" s="84" t="n"/>
      <c r="T2676" s="84" t="n"/>
      <c r="U2676" s="84" t="n"/>
      <c r="V2676" s="84" t="n"/>
      <c r="W2676" s="84" t="n"/>
      <c r="X2676" s="84" t="n"/>
      <c r="Y2676" s="84" t="n"/>
      <c r="Z2676" s="84" t="n"/>
      <c r="AA2676" s="84" t="n"/>
      <c r="AB2676" s="84" t="n"/>
      <c r="AC2676" s="84" t="n"/>
      <c r="AD2676" s="84" t="n"/>
      <c r="AE2676" s="84" t="n"/>
      <c r="AF2676" s="84" t="n"/>
      <c r="AG2676" s="84" t="n"/>
      <c r="AH2676" s="84" t="n"/>
      <c r="AI2676" s="84" t="n"/>
      <c r="AJ2676" s="84" t="n"/>
      <c r="AK2676" s="84" t="n"/>
      <c r="AL2676" s="84" t="n"/>
      <c r="AM2676" s="84" t="n"/>
      <c r="AN2676" s="84" t="n"/>
      <c r="AO2676" s="84" t="n"/>
      <c r="AP2676" s="84" t="n"/>
      <c r="AQ2676" s="84" t="n"/>
      <c r="AR2676" s="84" t="n"/>
    </row>
    <row r="2677">
      <c r="D2677" s="80" t="n"/>
      <c r="E2677" s="80" t="n"/>
      <c r="F2677" s="80" t="n"/>
      <c r="G2677" s="80" t="n"/>
      <c r="H2677" s="80" t="n"/>
      <c r="I2677" s="80" t="n"/>
      <c r="J2677" s="80" t="n"/>
      <c r="K2677" s="80" t="n"/>
      <c r="L2677" s="80" t="n"/>
      <c r="M2677" s="80" t="n"/>
      <c r="N2677" s="80" t="n"/>
      <c r="O2677" s="80" t="n"/>
      <c r="P2677" s="80" t="n"/>
      <c r="Q2677" s="80" t="n"/>
      <c r="R2677" s="80" t="n"/>
      <c r="S2677" s="80" t="n"/>
      <c r="T2677" s="80" t="n"/>
      <c r="U2677" s="80" t="n"/>
      <c r="V2677" s="80" t="n"/>
      <c r="W2677" s="80" t="n"/>
      <c r="X2677" s="80" t="n"/>
      <c r="Y2677" s="80" t="n"/>
      <c r="Z2677" s="80" t="n"/>
      <c r="AA2677" s="80" t="n"/>
      <c r="AB2677" s="80" t="n"/>
      <c r="AC2677" s="80" t="n"/>
      <c r="AD2677" s="80" t="n"/>
      <c r="AE2677" s="80" t="n"/>
      <c r="AF2677" s="80" t="n"/>
      <c r="AG2677" s="80" t="n"/>
      <c r="AH2677" s="80" t="n"/>
      <c r="AI2677" s="80" t="n"/>
      <c r="AJ2677" s="80" t="n"/>
      <c r="AK2677" s="80" t="n"/>
      <c r="AL2677" s="80" t="n"/>
      <c r="AM2677" s="80" t="n"/>
      <c r="AN2677" s="80" t="n"/>
      <c r="AO2677" s="80" t="n"/>
      <c r="AP2677" s="80" t="n"/>
      <c r="AQ2677" s="80" t="n"/>
      <c r="AR2677" s="80" t="n"/>
    </row>
    <row r="2678">
      <c r="D2678" s="80" t="n"/>
      <c r="E2678" s="80" t="n"/>
      <c r="F2678" s="80" t="n"/>
      <c r="G2678" s="80" t="n"/>
      <c r="H2678" s="80" t="n"/>
      <c r="I2678" s="80" t="n"/>
      <c r="J2678" s="80" t="n"/>
      <c r="K2678" s="80" t="n"/>
      <c r="L2678" s="80" t="n"/>
      <c r="M2678" s="80" t="n"/>
      <c r="N2678" s="80" t="n"/>
      <c r="O2678" s="80" t="n"/>
      <c r="P2678" s="80" t="n"/>
      <c r="Q2678" s="80" t="n"/>
      <c r="R2678" s="80" t="n"/>
      <c r="S2678" s="80" t="n"/>
      <c r="T2678" s="80" t="n"/>
      <c r="U2678" s="80" t="n"/>
      <c r="V2678" s="80" t="n"/>
      <c r="W2678" s="80" t="n"/>
      <c r="X2678" s="80" t="n"/>
      <c r="Y2678" s="80" t="n"/>
      <c r="Z2678" s="80" t="n"/>
      <c r="AA2678" s="80" t="n"/>
      <c r="AB2678" s="80" t="n"/>
      <c r="AC2678" s="80" t="n"/>
      <c r="AD2678" s="80" t="n"/>
      <c r="AE2678" s="80" t="n"/>
      <c r="AF2678" s="80" t="n"/>
      <c r="AG2678" s="80" t="n"/>
      <c r="AH2678" s="80" t="n"/>
      <c r="AI2678" s="80" t="n"/>
      <c r="AJ2678" s="80" t="n"/>
      <c r="AK2678" s="80" t="n"/>
      <c r="AL2678" s="80" t="n"/>
      <c r="AM2678" s="80" t="n"/>
      <c r="AN2678" s="80" t="n"/>
      <c r="AO2678" s="80" t="n"/>
      <c r="AP2678" s="80" t="n"/>
      <c r="AQ2678" s="80" t="n"/>
      <c r="AR2678" s="80" t="n"/>
    </row>
    <row r="2679">
      <c r="D2679" s="80" t="n"/>
      <c r="E2679" s="80" t="n"/>
      <c r="F2679" s="80" t="n"/>
      <c r="G2679" s="80" t="n"/>
      <c r="H2679" s="80" t="n"/>
      <c r="I2679" s="80" t="n"/>
      <c r="J2679" s="80" t="n"/>
      <c r="K2679" s="80" t="n"/>
      <c r="L2679" s="80" t="n"/>
      <c r="M2679" s="80" t="n"/>
      <c r="N2679" s="80" t="n"/>
      <c r="O2679" s="80" t="n"/>
      <c r="P2679" s="80" t="n"/>
      <c r="Q2679" s="80" t="n"/>
      <c r="R2679" s="80" t="n"/>
      <c r="S2679" s="80" t="n"/>
      <c r="T2679" s="80" t="n"/>
      <c r="U2679" s="80" t="n"/>
      <c r="V2679" s="80" t="n"/>
      <c r="W2679" s="80" t="n"/>
      <c r="X2679" s="80" t="n"/>
      <c r="Y2679" s="80" t="n"/>
      <c r="Z2679" s="80" t="n"/>
      <c r="AA2679" s="80" t="n"/>
      <c r="AB2679" s="80" t="n"/>
      <c r="AC2679" s="80" t="n"/>
      <c r="AD2679" s="80" t="n"/>
      <c r="AE2679" s="80" t="n"/>
      <c r="AF2679" s="80" t="n"/>
      <c r="AG2679" s="80" t="n"/>
      <c r="AH2679" s="80" t="n"/>
      <c r="AI2679" s="80" t="n"/>
      <c r="AJ2679" s="80" t="n"/>
      <c r="AK2679" s="80" t="n"/>
      <c r="AL2679" s="80" t="n"/>
      <c r="AM2679" s="80" t="n"/>
      <c r="AN2679" s="80" t="n"/>
      <c r="AO2679" s="80" t="n"/>
      <c r="AP2679" s="80" t="n"/>
      <c r="AQ2679" s="80" t="n"/>
      <c r="AR2679" s="80" t="n"/>
    </row>
    <row r="2680">
      <c r="D2680" s="80" t="n"/>
      <c r="E2680" s="80" t="n"/>
      <c r="F2680" s="80" t="n"/>
      <c r="G2680" s="80" t="n"/>
      <c r="H2680" s="80" t="n"/>
      <c r="I2680" s="80" t="n"/>
      <c r="J2680" s="80" t="n"/>
      <c r="K2680" s="80" t="n"/>
      <c r="L2680" s="80" t="n"/>
      <c r="M2680" s="80" t="n"/>
      <c r="N2680" s="80" t="n"/>
      <c r="O2680" s="80" t="n"/>
      <c r="P2680" s="80" t="n"/>
      <c r="Q2680" s="80" t="n"/>
      <c r="R2680" s="80" t="n"/>
      <c r="S2680" s="80" t="n"/>
      <c r="T2680" s="80" t="n"/>
      <c r="U2680" s="80" t="n"/>
      <c r="V2680" s="80" t="n"/>
      <c r="W2680" s="80" t="n"/>
      <c r="X2680" s="80" t="n"/>
      <c r="Y2680" s="80" t="n"/>
      <c r="Z2680" s="80" t="n"/>
      <c r="AA2680" s="80" t="n"/>
      <c r="AB2680" s="80" t="n"/>
      <c r="AC2680" s="80" t="n"/>
      <c r="AD2680" s="80" t="n"/>
      <c r="AE2680" s="80" t="n"/>
      <c r="AF2680" s="80" t="n"/>
      <c r="AG2680" s="80" t="n"/>
      <c r="AH2680" s="80" t="n"/>
      <c r="AI2680" s="80" t="n"/>
      <c r="AJ2680" s="80" t="n"/>
      <c r="AK2680" s="80" t="n"/>
      <c r="AL2680" s="80" t="n"/>
      <c r="AM2680" s="80" t="n"/>
      <c r="AN2680" s="80" t="n"/>
      <c r="AO2680" s="80" t="n"/>
      <c r="AP2680" s="80" t="n"/>
      <c r="AQ2680" s="80" t="n"/>
      <c r="AR2680" s="80" t="n"/>
    </row>
    <row r="2681">
      <c r="A2681" s="2">
        <f>IF($A2674="","","   projections")</f>
        <v/>
      </c>
      <c r="B2681" s="41">
        <f>IF($A2674="",0,COUNT($E2682:$AR2682))</f>
        <v/>
      </c>
      <c r="C2681" s="81">
        <f>IF($B2681=0,0,MAX($E2682:$AR2682))</f>
        <v/>
      </c>
      <c r="D2681" s="82">
        <f>BDS($A2674,'Field Check'!$C$6,"headers=y","startcol=1","endcol=7","dir=h")</f>
        <v/>
      </c>
      <c r="E2681" s="83" t="n"/>
      <c r="F2681" s="83" t="n"/>
      <c r="G2681" s="83" t="n"/>
      <c r="H2681" s="83" t="n"/>
      <c r="I2681" s="83" t="n"/>
      <c r="J2681" s="83" t="n"/>
      <c r="K2681" s="83" t="n"/>
      <c r="L2681" s="83" t="n"/>
      <c r="M2681" s="83" t="n"/>
      <c r="N2681" s="83" t="n"/>
      <c r="O2681" s="83" t="n"/>
      <c r="P2681" s="83" t="n"/>
      <c r="Q2681" s="83" t="n"/>
      <c r="R2681" s="83" t="n"/>
      <c r="S2681" s="83" t="n"/>
      <c r="T2681" s="83" t="n"/>
      <c r="U2681" s="83" t="n"/>
      <c r="V2681" s="83" t="n"/>
      <c r="W2681" s="83" t="n"/>
      <c r="X2681" s="83" t="n"/>
      <c r="Y2681" s="83" t="n"/>
      <c r="Z2681" s="83" t="n"/>
      <c r="AA2681" s="83" t="n"/>
      <c r="AB2681" s="83" t="n"/>
      <c r="AC2681" s="83" t="n"/>
      <c r="AD2681" s="83" t="n"/>
      <c r="AE2681" s="83" t="n"/>
      <c r="AF2681" s="83" t="n"/>
      <c r="AG2681" s="83" t="n"/>
      <c r="AH2681" s="83" t="n"/>
      <c r="AI2681" s="83" t="n"/>
      <c r="AJ2681" s="83" t="n"/>
      <c r="AK2681" s="83" t="n"/>
      <c r="AL2681" s="83" t="n"/>
      <c r="AM2681" s="83" t="n"/>
      <c r="AN2681" s="83" t="n"/>
      <c r="AO2681" s="83" t="n"/>
      <c r="AP2681" s="83" t="n"/>
      <c r="AQ2681" s="83" t="n"/>
      <c r="AR2681" s="83" t="n"/>
    </row>
    <row r="2682">
      <c r="D2682" s="83" t="n"/>
      <c r="E2682" s="83" t="n"/>
      <c r="F2682" s="83" t="n"/>
      <c r="G2682" s="83" t="n"/>
      <c r="H2682" s="83" t="n"/>
      <c r="I2682" s="83" t="n"/>
      <c r="J2682" s="83" t="n"/>
      <c r="K2682" s="83" t="n"/>
      <c r="L2682" s="83" t="n"/>
      <c r="M2682" s="83" t="n"/>
      <c r="N2682" s="83" t="n"/>
      <c r="O2682" s="83" t="n"/>
      <c r="P2682" s="83" t="n"/>
      <c r="Q2682" s="83" t="n"/>
      <c r="R2682" s="83" t="n"/>
      <c r="S2682" s="83" t="n"/>
      <c r="T2682" s="83" t="n"/>
      <c r="U2682" s="83" t="n"/>
      <c r="V2682" s="83" t="n"/>
      <c r="W2682" s="83" t="n"/>
      <c r="X2682" s="83" t="n"/>
      <c r="Y2682" s="83" t="n"/>
      <c r="Z2682" s="83" t="n"/>
      <c r="AA2682" s="83" t="n"/>
      <c r="AB2682" s="83" t="n"/>
      <c r="AC2682" s="83" t="n"/>
      <c r="AD2682" s="83" t="n"/>
      <c r="AE2682" s="83" t="n"/>
      <c r="AF2682" s="83" t="n"/>
      <c r="AG2682" s="83" t="n"/>
      <c r="AH2682" s="83" t="n"/>
      <c r="AI2682" s="83" t="n"/>
      <c r="AJ2682" s="83" t="n"/>
      <c r="AK2682" s="83" t="n"/>
      <c r="AL2682" s="83" t="n"/>
      <c r="AM2682" s="83" t="n"/>
      <c r="AN2682" s="83" t="n"/>
      <c r="AO2682" s="83" t="n"/>
      <c r="AP2682" s="83" t="n"/>
      <c r="AQ2682" s="83" t="n"/>
      <c r="AR2682" s="83" t="n"/>
    </row>
    <row r="2683">
      <c r="D2683" s="84" t="n"/>
      <c r="E2683" s="84" t="n"/>
      <c r="F2683" s="84" t="n"/>
      <c r="G2683" s="84" t="n"/>
      <c r="H2683" s="84" t="n"/>
      <c r="I2683" s="84" t="n"/>
      <c r="J2683" s="84" t="n"/>
      <c r="K2683" s="84" t="n"/>
      <c r="L2683" s="84" t="n"/>
      <c r="M2683" s="84" t="n"/>
      <c r="N2683" s="84" t="n"/>
      <c r="O2683" s="84" t="n"/>
      <c r="P2683" s="84" t="n"/>
      <c r="Q2683" s="84" t="n"/>
      <c r="R2683" s="84" t="n"/>
      <c r="S2683" s="84" t="n"/>
      <c r="T2683" s="84" t="n"/>
      <c r="U2683" s="84" t="n"/>
      <c r="V2683" s="84" t="n"/>
      <c r="W2683" s="84" t="n"/>
      <c r="X2683" s="84" t="n"/>
      <c r="Y2683" s="84" t="n"/>
      <c r="Z2683" s="84" t="n"/>
      <c r="AA2683" s="84" t="n"/>
      <c r="AB2683" s="84" t="n"/>
      <c r="AC2683" s="84" t="n"/>
      <c r="AD2683" s="84" t="n"/>
      <c r="AE2683" s="84" t="n"/>
      <c r="AF2683" s="84" t="n"/>
      <c r="AG2683" s="84" t="n"/>
      <c r="AH2683" s="84" t="n"/>
      <c r="AI2683" s="84" t="n"/>
      <c r="AJ2683" s="84" t="n"/>
      <c r="AK2683" s="84" t="n"/>
      <c r="AL2683" s="84" t="n"/>
      <c r="AM2683" s="84" t="n"/>
      <c r="AN2683" s="84" t="n"/>
      <c r="AO2683" s="84" t="n"/>
      <c r="AP2683" s="84" t="n"/>
      <c r="AQ2683" s="84" t="n"/>
      <c r="AR2683" s="84" t="n"/>
    </row>
    <row r="2684">
      <c r="D2684" s="80" t="n"/>
      <c r="E2684" s="80" t="n"/>
      <c r="F2684" s="80" t="n"/>
      <c r="G2684" s="80" t="n"/>
      <c r="H2684" s="80" t="n"/>
      <c r="I2684" s="80" t="n"/>
      <c r="J2684" s="80" t="n"/>
      <c r="K2684" s="80" t="n"/>
      <c r="L2684" s="80" t="n"/>
      <c r="M2684" s="80" t="n"/>
      <c r="N2684" s="80" t="n"/>
      <c r="O2684" s="80" t="n"/>
      <c r="P2684" s="80" t="n"/>
      <c r="Q2684" s="80" t="n"/>
      <c r="R2684" s="80" t="n"/>
      <c r="S2684" s="80" t="n"/>
      <c r="T2684" s="80" t="n"/>
      <c r="U2684" s="80" t="n"/>
      <c r="V2684" s="80" t="n"/>
      <c r="W2684" s="80" t="n"/>
      <c r="X2684" s="80" t="n"/>
      <c r="Y2684" s="80" t="n"/>
      <c r="Z2684" s="80" t="n"/>
      <c r="AA2684" s="80" t="n"/>
      <c r="AB2684" s="80" t="n"/>
      <c r="AC2684" s="80" t="n"/>
      <c r="AD2684" s="80" t="n"/>
      <c r="AE2684" s="80" t="n"/>
      <c r="AF2684" s="80" t="n"/>
      <c r="AG2684" s="80" t="n"/>
      <c r="AH2684" s="80" t="n"/>
      <c r="AI2684" s="80" t="n"/>
      <c r="AJ2684" s="80" t="n"/>
      <c r="AK2684" s="80" t="n"/>
      <c r="AL2684" s="80" t="n"/>
      <c r="AM2684" s="80" t="n"/>
      <c r="AN2684" s="80" t="n"/>
      <c r="AO2684" s="80" t="n"/>
      <c r="AP2684" s="80" t="n"/>
      <c r="AQ2684" s="80" t="n"/>
      <c r="AR2684" s="80" t="n"/>
    </row>
    <row r="2685">
      <c r="D2685" s="80" t="n"/>
      <c r="E2685" s="80" t="n"/>
      <c r="F2685" s="80" t="n"/>
      <c r="G2685" s="80" t="n"/>
      <c r="H2685" s="80" t="n"/>
      <c r="I2685" s="80" t="n"/>
      <c r="J2685" s="80" t="n"/>
      <c r="K2685" s="80" t="n"/>
      <c r="L2685" s="80" t="n"/>
      <c r="M2685" s="80" t="n"/>
      <c r="N2685" s="80" t="n"/>
      <c r="O2685" s="80" t="n"/>
      <c r="P2685" s="80" t="n"/>
      <c r="Q2685" s="80" t="n"/>
      <c r="R2685" s="80" t="n"/>
      <c r="S2685" s="80" t="n"/>
      <c r="T2685" s="80" t="n"/>
      <c r="U2685" s="80" t="n"/>
      <c r="V2685" s="80" t="n"/>
      <c r="W2685" s="80" t="n"/>
      <c r="X2685" s="80" t="n"/>
      <c r="Y2685" s="80" t="n"/>
      <c r="Z2685" s="80" t="n"/>
      <c r="AA2685" s="80" t="n"/>
      <c r="AB2685" s="80" t="n"/>
      <c r="AC2685" s="80" t="n"/>
      <c r="AD2685" s="80" t="n"/>
      <c r="AE2685" s="80" t="n"/>
      <c r="AF2685" s="80" t="n"/>
      <c r="AG2685" s="80" t="n"/>
      <c r="AH2685" s="80" t="n"/>
      <c r="AI2685" s="80" t="n"/>
      <c r="AJ2685" s="80" t="n"/>
      <c r="AK2685" s="80" t="n"/>
      <c r="AL2685" s="80" t="n"/>
      <c r="AM2685" s="80" t="n"/>
      <c r="AN2685" s="80" t="n"/>
      <c r="AO2685" s="80" t="n"/>
      <c r="AP2685" s="80" t="n"/>
      <c r="AQ2685" s="80" t="n"/>
      <c r="AR2685" s="80" t="n"/>
    </row>
    <row r="2686">
      <c r="D2686" s="80" t="n"/>
      <c r="E2686" s="80" t="n"/>
      <c r="F2686" s="80" t="n"/>
      <c r="G2686" s="80" t="n"/>
      <c r="H2686" s="80" t="n"/>
      <c r="I2686" s="80" t="n"/>
      <c r="J2686" s="80" t="n"/>
      <c r="K2686" s="80" t="n"/>
      <c r="L2686" s="80" t="n"/>
      <c r="M2686" s="80" t="n"/>
      <c r="N2686" s="80" t="n"/>
      <c r="O2686" s="80" t="n"/>
      <c r="P2686" s="80" t="n"/>
      <c r="Q2686" s="80" t="n"/>
      <c r="R2686" s="80" t="n"/>
      <c r="S2686" s="80" t="n"/>
      <c r="T2686" s="80" t="n"/>
      <c r="U2686" s="80" t="n"/>
      <c r="V2686" s="80" t="n"/>
      <c r="W2686" s="80" t="n"/>
      <c r="X2686" s="80" t="n"/>
      <c r="Y2686" s="80" t="n"/>
      <c r="Z2686" s="80" t="n"/>
      <c r="AA2686" s="80" t="n"/>
      <c r="AB2686" s="80" t="n"/>
      <c r="AC2686" s="80" t="n"/>
      <c r="AD2686" s="80" t="n"/>
      <c r="AE2686" s="80" t="n"/>
      <c r="AF2686" s="80" t="n"/>
      <c r="AG2686" s="80" t="n"/>
      <c r="AH2686" s="80" t="n"/>
      <c r="AI2686" s="80" t="n"/>
      <c r="AJ2686" s="80" t="n"/>
      <c r="AK2686" s="80" t="n"/>
      <c r="AL2686" s="80" t="n"/>
      <c r="AM2686" s="80" t="n"/>
      <c r="AN2686" s="80" t="n"/>
      <c r="AO2686" s="80" t="n"/>
      <c r="AP2686" s="80" t="n"/>
      <c r="AQ2686" s="80" t="n"/>
      <c r="AR2686" s="80" t="n"/>
    </row>
    <row r="2687">
      <c r="D2687" s="80" t="n"/>
      <c r="E2687" s="80" t="n"/>
      <c r="F2687" s="80" t="n"/>
      <c r="G2687" s="80" t="n"/>
      <c r="H2687" s="80" t="n"/>
      <c r="I2687" s="80" t="n"/>
      <c r="J2687" s="80" t="n"/>
      <c r="K2687" s="80" t="n"/>
      <c r="L2687" s="80" t="n"/>
      <c r="M2687" s="80" t="n"/>
      <c r="N2687" s="80" t="n"/>
      <c r="O2687" s="80" t="n"/>
      <c r="P2687" s="80" t="n"/>
      <c r="Q2687" s="80" t="n"/>
      <c r="R2687" s="80" t="n"/>
      <c r="S2687" s="80" t="n"/>
      <c r="T2687" s="80" t="n"/>
      <c r="U2687" s="80" t="n"/>
      <c r="V2687" s="80" t="n"/>
      <c r="W2687" s="80" t="n"/>
      <c r="X2687" s="80" t="n"/>
      <c r="Y2687" s="80" t="n"/>
      <c r="Z2687" s="80" t="n"/>
      <c r="AA2687" s="80" t="n"/>
      <c r="AB2687" s="80" t="n"/>
      <c r="AC2687" s="80" t="n"/>
      <c r="AD2687" s="80" t="n"/>
      <c r="AE2687" s="80" t="n"/>
      <c r="AF2687" s="80" t="n"/>
      <c r="AG2687" s="80" t="n"/>
      <c r="AH2687" s="80" t="n"/>
      <c r="AI2687" s="80" t="n"/>
      <c r="AJ2687" s="80" t="n"/>
      <c r="AK2687" s="80" t="n"/>
      <c r="AL2687" s="80" t="n"/>
      <c r="AM2687" s="80" t="n"/>
      <c r="AN2687" s="80" t="n"/>
      <c r="AO2687" s="80" t="n"/>
      <c r="AP2687" s="80" t="n"/>
      <c r="AQ2687" s="80" t="n"/>
      <c r="AR2687" s="80" t="n"/>
    </row>
    <row r="2689">
      <c r="A2689" s="6">
        <f>IF(HSCEI!$C$45="","",HSCEI!$C$45)</f>
        <v/>
      </c>
      <c r="B2689" s="41">
        <f>IF($A2689="",0,COUNT($E2690:$AR2690))</f>
        <v/>
      </c>
      <c r="C2689" s="81">
        <f>IF($B2689=0,0,MAX($E2690:$AR2690))</f>
        <v/>
      </c>
      <c r="D2689" s="82">
        <f>BDS($A2689,'Field Check'!$C$7,"headers=y","startcol=1","endcol=7","dir=h","DVD_START_DT",Summary!$C$18,"DVD_END_DT",Summary!$D$18)</f>
        <v/>
      </c>
      <c r="E2689" s="83" t="n"/>
      <c r="F2689" s="83" t="n"/>
      <c r="G2689" s="83" t="n"/>
      <c r="H2689" s="83" t="n"/>
      <c r="I2689" s="83" t="n"/>
      <c r="J2689" s="83" t="n"/>
      <c r="K2689" s="83" t="n"/>
      <c r="L2689" s="83" t="n"/>
      <c r="M2689" s="83" t="n"/>
      <c r="N2689" s="83" t="n"/>
      <c r="O2689" s="83" t="n"/>
      <c r="P2689" s="83" t="n"/>
      <c r="Q2689" s="83" t="n"/>
      <c r="R2689" s="83" t="n"/>
      <c r="S2689" s="83" t="n"/>
      <c r="T2689" s="83" t="n"/>
      <c r="U2689" s="83" t="n"/>
      <c r="V2689" s="83" t="n"/>
      <c r="W2689" s="83" t="n"/>
      <c r="X2689" s="83" t="n"/>
      <c r="Y2689" s="83" t="n"/>
      <c r="Z2689" s="83" t="n"/>
      <c r="AA2689" s="83" t="n"/>
      <c r="AB2689" s="83" t="n"/>
      <c r="AC2689" s="83" t="n"/>
      <c r="AD2689" s="83" t="n"/>
      <c r="AE2689" s="83" t="n"/>
      <c r="AF2689" s="83" t="n"/>
      <c r="AG2689" s="83" t="n"/>
      <c r="AH2689" s="83" t="n"/>
      <c r="AI2689" s="83" t="n"/>
      <c r="AJ2689" s="83" t="n"/>
      <c r="AK2689" s="83" t="n"/>
      <c r="AL2689" s="83" t="n"/>
      <c r="AM2689" s="83" t="n"/>
      <c r="AN2689" s="83" t="n"/>
      <c r="AO2689" s="83" t="n"/>
      <c r="AP2689" s="83" t="n"/>
      <c r="AQ2689" s="83" t="n"/>
      <c r="AR2689" s="83" t="n"/>
    </row>
    <row r="2690">
      <c r="D2690" s="83" t="n"/>
      <c r="E2690" s="83" t="n"/>
      <c r="F2690" s="83" t="n"/>
      <c r="G2690" s="83" t="n"/>
      <c r="H2690" s="83" t="n"/>
      <c r="I2690" s="83" t="n"/>
      <c r="J2690" s="83" t="n"/>
      <c r="K2690" s="83" t="n"/>
      <c r="L2690" s="83" t="n"/>
      <c r="M2690" s="83" t="n"/>
      <c r="N2690" s="83" t="n"/>
      <c r="O2690" s="83" t="n"/>
      <c r="P2690" s="83" t="n"/>
      <c r="Q2690" s="83" t="n"/>
      <c r="R2690" s="83" t="n"/>
      <c r="S2690" s="83" t="n"/>
      <c r="T2690" s="83" t="n"/>
      <c r="U2690" s="83" t="n"/>
      <c r="V2690" s="83" t="n"/>
      <c r="W2690" s="83" t="n"/>
      <c r="X2690" s="83" t="n"/>
      <c r="Y2690" s="83" t="n"/>
      <c r="Z2690" s="83" t="n"/>
      <c r="AA2690" s="83" t="n"/>
      <c r="AB2690" s="83" t="n"/>
      <c r="AC2690" s="83" t="n"/>
      <c r="AD2690" s="83" t="n"/>
      <c r="AE2690" s="83" t="n"/>
      <c r="AF2690" s="83" t="n"/>
      <c r="AG2690" s="83" t="n"/>
      <c r="AH2690" s="83" t="n"/>
      <c r="AI2690" s="83" t="n"/>
      <c r="AJ2690" s="83" t="n"/>
      <c r="AK2690" s="83" t="n"/>
      <c r="AL2690" s="83" t="n"/>
      <c r="AM2690" s="83" t="n"/>
      <c r="AN2690" s="83" t="n"/>
      <c r="AO2690" s="83" t="n"/>
      <c r="AP2690" s="83" t="n"/>
      <c r="AQ2690" s="83" t="n"/>
      <c r="AR2690" s="83" t="n"/>
    </row>
    <row r="2691">
      <c r="D2691" s="84" t="n"/>
      <c r="E2691" s="84" t="n"/>
      <c r="F2691" s="84" t="n"/>
      <c r="G2691" s="84" t="n"/>
      <c r="H2691" s="84" t="n"/>
      <c r="I2691" s="84" t="n"/>
      <c r="J2691" s="84" t="n"/>
      <c r="K2691" s="84" t="n"/>
      <c r="L2691" s="84" t="n"/>
      <c r="M2691" s="84" t="n"/>
      <c r="N2691" s="84" t="n"/>
      <c r="O2691" s="84" t="n"/>
      <c r="P2691" s="84" t="n"/>
      <c r="Q2691" s="84" t="n"/>
      <c r="R2691" s="84" t="n"/>
      <c r="S2691" s="84" t="n"/>
      <c r="T2691" s="84" t="n"/>
      <c r="U2691" s="84" t="n"/>
      <c r="V2691" s="84" t="n"/>
      <c r="W2691" s="84" t="n"/>
      <c r="X2691" s="84" t="n"/>
      <c r="Y2691" s="84" t="n"/>
      <c r="Z2691" s="84" t="n"/>
      <c r="AA2691" s="84" t="n"/>
      <c r="AB2691" s="84" t="n"/>
      <c r="AC2691" s="84" t="n"/>
      <c r="AD2691" s="84" t="n"/>
      <c r="AE2691" s="84" t="n"/>
      <c r="AF2691" s="84" t="n"/>
      <c r="AG2691" s="84" t="n"/>
      <c r="AH2691" s="84" t="n"/>
      <c r="AI2691" s="84" t="n"/>
      <c r="AJ2691" s="84" t="n"/>
      <c r="AK2691" s="84" t="n"/>
      <c r="AL2691" s="84" t="n"/>
      <c r="AM2691" s="84" t="n"/>
      <c r="AN2691" s="84" t="n"/>
      <c r="AO2691" s="84" t="n"/>
      <c r="AP2691" s="84" t="n"/>
      <c r="AQ2691" s="84" t="n"/>
      <c r="AR2691" s="84" t="n"/>
    </row>
    <row r="2692">
      <c r="D2692" s="80" t="n"/>
      <c r="E2692" s="80" t="n"/>
      <c r="F2692" s="80" t="n"/>
      <c r="G2692" s="80" t="n"/>
      <c r="H2692" s="80" t="n"/>
      <c r="I2692" s="80" t="n"/>
      <c r="J2692" s="80" t="n"/>
      <c r="K2692" s="80" t="n"/>
      <c r="L2692" s="80" t="n"/>
      <c r="M2692" s="80" t="n"/>
      <c r="N2692" s="80" t="n"/>
      <c r="O2692" s="80" t="n"/>
      <c r="P2692" s="80" t="n"/>
      <c r="Q2692" s="80" t="n"/>
      <c r="R2692" s="80" t="n"/>
      <c r="S2692" s="80" t="n"/>
      <c r="T2692" s="80" t="n"/>
      <c r="U2692" s="80" t="n"/>
      <c r="V2692" s="80" t="n"/>
      <c r="W2692" s="80" t="n"/>
      <c r="X2692" s="80" t="n"/>
      <c r="Y2692" s="80" t="n"/>
      <c r="Z2692" s="80" t="n"/>
      <c r="AA2692" s="80" t="n"/>
      <c r="AB2692" s="80" t="n"/>
      <c r="AC2692" s="80" t="n"/>
      <c r="AD2692" s="80" t="n"/>
      <c r="AE2692" s="80" t="n"/>
      <c r="AF2692" s="80" t="n"/>
      <c r="AG2692" s="80" t="n"/>
      <c r="AH2692" s="80" t="n"/>
      <c r="AI2692" s="80" t="n"/>
      <c r="AJ2692" s="80" t="n"/>
      <c r="AK2692" s="80" t="n"/>
      <c r="AL2692" s="80" t="n"/>
      <c r="AM2692" s="80" t="n"/>
      <c r="AN2692" s="80" t="n"/>
      <c r="AO2692" s="80" t="n"/>
      <c r="AP2692" s="80" t="n"/>
      <c r="AQ2692" s="80" t="n"/>
      <c r="AR2692" s="80" t="n"/>
    </row>
    <row r="2693">
      <c r="D2693" s="80" t="n"/>
      <c r="E2693" s="80" t="n"/>
      <c r="F2693" s="80" t="n"/>
      <c r="G2693" s="80" t="n"/>
      <c r="H2693" s="80" t="n"/>
      <c r="I2693" s="80" t="n"/>
      <c r="J2693" s="80" t="n"/>
      <c r="K2693" s="80" t="n"/>
      <c r="L2693" s="80" t="n"/>
      <c r="M2693" s="80" t="n"/>
      <c r="N2693" s="80" t="n"/>
      <c r="O2693" s="80" t="n"/>
      <c r="P2693" s="80" t="n"/>
      <c r="Q2693" s="80" t="n"/>
      <c r="R2693" s="80" t="n"/>
      <c r="S2693" s="80" t="n"/>
      <c r="T2693" s="80" t="n"/>
      <c r="U2693" s="80" t="n"/>
      <c r="V2693" s="80" t="n"/>
      <c r="W2693" s="80" t="n"/>
      <c r="X2693" s="80" t="n"/>
      <c r="Y2693" s="80" t="n"/>
      <c r="Z2693" s="80" t="n"/>
      <c r="AA2693" s="80" t="n"/>
      <c r="AB2693" s="80" t="n"/>
      <c r="AC2693" s="80" t="n"/>
      <c r="AD2693" s="80" t="n"/>
      <c r="AE2693" s="80" t="n"/>
      <c r="AF2693" s="80" t="n"/>
      <c r="AG2693" s="80" t="n"/>
      <c r="AH2693" s="80" t="n"/>
      <c r="AI2693" s="80" t="n"/>
      <c r="AJ2693" s="80" t="n"/>
      <c r="AK2693" s="80" t="n"/>
      <c r="AL2693" s="80" t="n"/>
      <c r="AM2693" s="80" t="n"/>
      <c r="AN2693" s="80" t="n"/>
      <c r="AO2693" s="80" t="n"/>
      <c r="AP2693" s="80" t="n"/>
      <c r="AQ2693" s="80" t="n"/>
      <c r="AR2693" s="80" t="n"/>
    </row>
    <row r="2694">
      <c r="D2694" s="80" t="n"/>
      <c r="E2694" s="80" t="n"/>
      <c r="F2694" s="80" t="n"/>
      <c r="G2694" s="80" t="n"/>
      <c r="H2694" s="80" t="n"/>
      <c r="I2694" s="80" t="n"/>
      <c r="J2694" s="80" t="n"/>
      <c r="K2694" s="80" t="n"/>
      <c r="L2694" s="80" t="n"/>
      <c r="M2694" s="80" t="n"/>
      <c r="N2694" s="80" t="n"/>
      <c r="O2694" s="80" t="n"/>
      <c r="P2694" s="80" t="n"/>
      <c r="Q2694" s="80" t="n"/>
      <c r="R2694" s="80" t="n"/>
      <c r="S2694" s="80" t="n"/>
      <c r="T2694" s="80" t="n"/>
      <c r="U2694" s="80" t="n"/>
      <c r="V2694" s="80" t="n"/>
      <c r="W2694" s="80" t="n"/>
      <c r="X2694" s="80" t="n"/>
      <c r="Y2694" s="80" t="n"/>
      <c r="Z2694" s="80" t="n"/>
      <c r="AA2694" s="80" t="n"/>
      <c r="AB2694" s="80" t="n"/>
      <c r="AC2694" s="80" t="n"/>
      <c r="AD2694" s="80" t="n"/>
      <c r="AE2694" s="80" t="n"/>
      <c r="AF2694" s="80" t="n"/>
      <c r="AG2694" s="80" t="n"/>
      <c r="AH2694" s="80" t="n"/>
      <c r="AI2694" s="80" t="n"/>
      <c r="AJ2694" s="80" t="n"/>
      <c r="AK2694" s="80" t="n"/>
      <c r="AL2694" s="80" t="n"/>
      <c r="AM2694" s="80" t="n"/>
      <c r="AN2694" s="80" t="n"/>
      <c r="AO2694" s="80" t="n"/>
      <c r="AP2694" s="80" t="n"/>
      <c r="AQ2694" s="80" t="n"/>
      <c r="AR2694" s="80" t="n"/>
    </row>
    <row r="2695">
      <c r="D2695" s="80" t="n"/>
      <c r="E2695" s="80" t="n"/>
      <c r="F2695" s="80" t="n"/>
      <c r="G2695" s="80" t="n"/>
      <c r="H2695" s="80" t="n"/>
      <c r="I2695" s="80" t="n"/>
      <c r="J2695" s="80" t="n"/>
      <c r="K2695" s="80" t="n"/>
      <c r="L2695" s="80" t="n"/>
      <c r="M2695" s="80" t="n"/>
      <c r="N2695" s="80" t="n"/>
      <c r="O2695" s="80" t="n"/>
      <c r="P2695" s="80" t="n"/>
      <c r="Q2695" s="80" t="n"/>
      <c r="R2695" s="80" t="n"/>
      <c r="S2695" s="80" t="n"/>
      <c r="T2695" s="80" t="n"/>
      <c r="U2695" s="80" t="n"/>
      <c r="V2695" s="80" t="n"/>
      <c r="W2695" s="80" t="n"/>
      <c r="X2695" s="80" t="n"/>
      <c r="Y2695" s="80" t="n"/>
      <c r="Z2695" s="80" t="n"/>
      <c r="AA2695" s="80" t="n"/>
      <c r="AB2695" s="80" t="n"/>
      <c r="AC2695" s="80" t="n"/>
      <c r="AD2695" s="80" t="n"/>
      <c r="AE2695" s="80" t="n"/>
      <c r="AF2695" s="80" t="n"/>
      <c r="AG2695" s="80" t="n"/>
      <c r="AH2695" s="80" t="n"/>
      <c r="AI2695" s="80" t="n"/>
      <c r="AJ2695" s="80" t="n"/>
      <c r="AK2695" s="80" t="n"/>
      <c r="AL2695" s="80" t="n"/>
      <c r="AM2695" s="80" t="n"/>
      <c r="AN2695" s="80" t="n"/>
      <c r="AO2695" s="80" t="n"/>
      <c r="AP2695" s="80" t="n"/>
      <c r="AQ2695" s="80" t="n"/>
      <c r="AR2695" s="80" t="n"/>
    </row>
    <row r="2696">
      <c r="A2696" s="2">
        <f>IF($A2689="","","   projections")</f>
        <v/>
      </c>
      <c r="B2696" s="41">
        <f>IF($A2689="",0,COUNT($E2697:$AR2697))</f>
        <v/>
      </c>
      <c r="C2696" s="81">
        <f>IF($B2696=0,0,MAX($E2697:$AR2697))</f>
        <v/>
      </c>
      <c r="D2696" s="82">
        <f>BDS($A2689,'Field Check'!$C$6,"headers=y","startcol=1","endcol=7","dir=h")</f>
        <v/>
      </c>
      <c r="E2696" s="83" t="n"/>
      <c r="F2696" s="83" t="n"/>
      <c r="G2696" s="83" t="n"/>
      <c r="H2696" s="83" t="n"/>
      <c r="I2696" s="83" t="n"/>
      <c r="J2696" s="83" t="n"/>
      <c r="K2696" s="83" t="n"/>
      <c r="L2696" s="83" t="n"/>
      <c r="M2696" s="83" t="n"/>
      <c r="N2696" s="83" t="n"/>
      <c r="O2696" s="83" t="n"/>
      <c r="P2696" s="83" t="n"/>
      <c r="Q2696" s="83" t="n"/>
      <c r="R2696" s="83" t="n"/>
      <c r="S2696" s="83" t="n"/>
      <c r="T2696" s="83" t="n"/>
      <c r="U2696" s="83" t="n"/>
      <c r="V2696" s="83" t="n"/>
      <c r="W2696" s="83" t="n"/>
      <c r="X2696" s="83" t="n"/>
      <c r="Y2696" s="83" t="n"/>
      <c r="Z2696" s="83" t="n"/>
      <c r="AA2696" s="83" t="n"/>
      <c r="AB2696" s="83" t="n"/>
      <c r="AC2696" s="83" t="n"/>
      <c r="AD2696" s="83" t="n"/>
      <c r="AE2696" s="83" t="n"/>
      <c r="AF2696" s="83" t="n"/>
      <c r="AG2696" s="83" t="n"/>
      <c r="AH2696" s="83" t="n"/>
      <c r="AI2696" s="83" t="n"/>
      <c r="AJ2696" s="83" t="n"/>
      <c r="AK2696" s="83" t="n"/>
      <c r="AL2696" s="83" t="n"/>
      <c r="AM2696" s="83" t="n"/>
      <c r="AN2696" s="83" t="n"/>
      <c r="AO2696" s="83" t="n"/>
      <c r="AP2696" s="83" t="n"/>
      <c r="AQ2696" s="83" t="n"/>
      <c r="AR2696" s="83" t="n"/>
    </row>
    <row r="2697">
      <c r="D2697" s="83" t="n"/>
      <c r="E2697" s="83" t="n"/>
      <c r="F2697" s="83" t="n"/>
      <c r="G2697" s="83" t="n"/>
      <c r="H2697" s="83" t="n"/>
      <c r="I2697" s="83" t="n"/>
      <c r="J2697" s="83" t="n"/>
      <c r="K2697" s="83" t="n"/>
      <c r="L2697" s="83" t="n"/>
      <c r="M2697" s="83" t="n"/>
      <c r="N2697" s="83" t="n"/>
      <c r="O2697" s="83" t="n"/>
      <c r="P2697" s="83" t="n"/>
      <c r="Q2697" s="83" t="n"/>
      <c r="R2697" s="83" t="n"/>
      <c r="S2697" s="83" t="n"/>
      <c r="T2697" s="83" t="n"/>
      <c r="U2697" s="83" t="n"/>
      <c r="V2697" s="83" t="n"/>
      <c r="W2697" s="83" t="n"/>
      <c r="X2697" s="83" t="n"/>
      <c r="Y2697" s="83" t="n"/>
      <c r="Z2697" s="83" t="n"/>
      <c r="AA2697" s="83" t="n"/>
      <c r="AB2697" s="83" t="n"/>
      <c r="AC2697" s="83" t="n"/>
      <c r="AD2697" s="83" t="n"/>
      <c r="AE2697" s="83" t="n"/>
      <c r="AF2697" s="83" t="n"/>
      <c r="AG2697" s="83" t="n"/>
      <c r="AH2697" s="83" t="n"/>
      <c r="AI2697" s="83" t="n"/>
      <c r="AJ2697" s="83" t="n"/>
      <c r="AK2697" s="83" t="n"/>
      <c r="AL2697" s="83" t="n"/>
      <c r="AM2697" s="83" t="n"/>
      <c r="AN2697" s="83" t="n"/>
      <c r="AO2697" s="83" t="n"/>
      <c r="AP2697" s="83" t="n"/>
      <c r="AQ2697" s="83" t="n"/>
      <c r="AR2697" s="83" t="n"/>
    </row>
    <row r="2698">
      <c r="D2698" s="84" t="n"/>
      <c r="E2698" s="84" t="n"/>
      <c r="F2698" s="84" t="n"/>
      <c r="G2698" s="84" t="n"/>
      <c r="H2698" s="84" t="n"/>
      <c r="I2698" s="84" t="n"/>
      <c r="J2698" s="84" t="n"/>
      <c r="K2698" s="84" t="n"/>
      <c r="L2698" s="84" t="n"/>
      <c r="M2698" s="84" t="n"/>
      <c r="N2698" s="84" t="n"/>
      <c r="O2698" s="84" t="n"/>
      <c r="P2698" s="84" t="n"/>
      <c r="Q2698" s="84" t="n"/>
      <c r="R2698" s="84" t="n"/>
      <c r="S2698" s="84" t="n"/>
      <c r="T2698" s="84" t="n"/>
      <c r="U2698" s="84" t="n"/>
      <c r="V2698" s="84" t="n"/>
      <c r="W2698" s="84" t="n"/>
      <c r="X2698" s="84" t="n"/>
      <c r="Y2698" s="84" t="n"/>
      <c r="Z2698" s="84" t="n"/>
      <c r="AA2698" s="84" t="n"/>
      <c r="AB2698" s="84" t="n"/>
      <c r="AC2698" s="84" t="n"/>
      <c r="AD2698" s="84" t="n"/>
      <c r="AE2698" s="84" t="n"/>
      <c r="AF2698" s="84" t="n"/>
      <c r="AG2698" s="84" t="n"/>
      <c r="AH2698" s="84" t="n"/>
      <c r="AI2698" s="84" t="n"/>
      <c r="AJ2698" s="84" t="n"/>
      <c r="AK2698" s="84" t="n"/>
      <c r="AL2698" s="84" t="n"/>
      <c r="AM2698" s="84" t="n"/>
      <c r="AN2698" s="84" t="n"/>
      <c r="AO2698" s="84" t="n"/>
      <c r="AP2698" s="84" t="n"/>
      <c r="AQ2698" s="84" t="n"/>
      <c r="AR2698" s="84" t="n"/>
    </row>
    <row r="2699">
      <c r="D2699" s="80" t="n"/>
      <c r="E2699" s="80" t="n"/>
      <c r="F2699" s="80" t="n"/>
      <c r="G2699" s="80" t="n"/>
      <c r="H2699" s="80" t="n"/>
      <c r="I2699" s="80" t="n"/>
      <c r="J2699" s="80" t="n"/>
      <c r="K2699" s="80" t="n"/>
      <c r="L2699" s="80" t="n"/>
      <c r="M2699" s="80" t="n"/>
      <c r="N2699" s="80" t="n"/>
      <c r="O2699" s="80" t="n"/>
      <c r="P2699" s="80" t="n"/>
      <c r="Q2699" s="80" t="n"/>
      <c r="R2699" s="80" t="n"/>
      <c r="S2699" s="80" t="n"/>
      <c r="T2699" s="80" t="n"/>
      <c r="U2699" s="80" t="n"/>
      <c r="V2699" s="80" t="n"/>
      <c r="W2699" s="80" t="n"/>
      <c r="X2699" s="80" t="n"/>
      <c r="Y2699" s="80" t="n"/>
      <c r="Z2699" s="80" t="n"/>
      <c r="AA2699" s="80" t="n"/>
      <c r="AB2699" s="80" t="n"/>
      <c r="AC2699" s="80" t="n"/>
      <c r="AD2699" s="80" t="n"/>
      <c r="AE2699" s="80" t="n"/>
      <c r="AF2699" s="80" t="n"/>
      <c r="AG2699" s="80" t="n"/>
      <c r="AH2699" s="80" t="n"/>
      <c r="AI2699" s="80" t="n"/>
      <c r="AJ2699" s="80" t="n"/>
      <c r="AK2699" s="80" t="n"/>
      <c r="AL2699" s="80" t="n"/>
      <c r="AM2699" s="80" t="n"/>
      <c r="AN2699" s="80" t="n"/>
      <c r="AO2699" s="80" t="n"/>
      <c r="AP2699" s="80" t="n"/>
      <c r="AQ2699" s="80" t="n"/>
      <c r="AR2699" s="80" t="n"/>
    </row>
    <row r="2700">
      <c r="D2700" s="80" t="n"/>
      <c r="E2700" s="80" t="n"/>
      <c r="F2700" s="80" t="n"/>
      <c r="G2700" s="80" t="n"/>
      <c r="H2700" s="80" t="n"/>
      <c r="I2700" s="80" t="n"/>
      <c r="J2700" s="80" t="n"/>
      <c r="K2700" s="80" t="n"/>
      <c r="L2700" s="80" t="n"/>
      <c r="M2700" s="80" t="n"/>
      <c r="N2700" s="80" t="n"/>
      <c r="O2700" s="80" t="n"/>
      <c r="P2700" s="80" t="n"/>
      <c r="Q2700" s="80" t="n"/>
      <c r="R2700" s="80" t="n"/>
      <c r="S2700" s="80" t="n"/>
      <c r="T2700" s="80" t="n"/>
      <c r="U2700" s="80" t="n"/>
      <c r="V2700" s="80" t="n"/>
      <c r="W2700" s="80" t="n"/>
      <c r="X2700" s="80" t="n"/>
      <c r="Y2700" s="80" t="n"/>
      <c r="Z2700" s="80" t="n"/>
      <c r="AA2700" s="80" t="n"/>
      <c r="AB2700" s="80" t="n"/>
      <c r="AC2700" s="80" t="n"/>
      <c r="AD2700" s="80" t="n"/>
      <c r="AE2700" s="80" t="n"/>
      <c r="AF2700" s="80" t="n"/>
      <c r="AG2700" s="80" t="n"/>
      <c r="AH2700" s="80" t="n"/>
      <c r="AI2700" s="80" t="n"/>
      <c r="AJ2700" s="80" t="n"/>
      <c r="AK2700" s="80" t="n"/>
      <c r="AL2700" s="80" t="n"/>
      <c r="AM2700" s="80" t="n"/>
      <c r="AN2700" s="80" t="n"/>
      <c r="AO2700" s="80" t="n"/>
      <c r="AP2700" s="80" t="n"/>
      <c r="AQ2700" s="80" t="n"/>
      <c r="AR2700" s="80" t="n"/>
    </row>
    <row r="2701">
      <c r="D2701" s="80" t="n"/>
      <c r="E2701" s="80" t="n"/>
      <c r="F2701" s="80" t="n"/>
      <c r="G2701" s="80" t="n"/>
      <c r="H2701" s="80" t="n"/>
      <c r="I2701" s="80" t="n"/>
      <c r="J2701" s="80" t="n"/>
      <c r="K2701" s="80" t="n"/>
      <c r="L2701" s="80" t="n"/>
      <c r="M2701" s="80" t="n"/>
      <c r="N2701" s="80" t="n"/>
      <c r="O2701" s="80" t="n"/>
      <c r="P2701" s="80" t="n"/>
      <c r="Q2701" s="80" t="n"/>
      <c r="R2701" s="80" t="n"/>
      <c r="S2701" s="80" t="n"/>
      <c r="T2701" s="80" t="n"/>
      <c r="U2701" s="80" t="n"/>
      <c r="V2701" s="80" t="n"/>
      <c r="W2701" s="80" t="n"/>
      <c r="X2701" s="80" t="n"/>
      <c r="Y2701" s="80" t="n"/>
      <c r="Z2701" s="80" t="n"/>
      <c r="AA2701" s="80" t="n"/>
      <c r="AB2701" s="80" t="n"/>
      <c r="AC2701" s="80" t="n"/>
      <c r="AD2701" s="80" t="n"/>
      <c r="AE2701" s="80" t="n"/>
      <c r="AF2701" s="80" t="n"/>
      <c r="AG2701" s="80" t="n"/>
      <c r="AH2701" s="80" t="n"/>
      <c r="AI2701" s="80" t="n"/>
      <c r="AJ2701" s="80" t="n"/>
      <c r="AK2701" s="80" t="n"/>
      <c r="AL2701" s="80" t="n"/>
      <c r="AM2701" s="80" t="n"/>
      <c r="AN2701" s="80" t="n"/>
      <c r="AO2701" s="80" t="n"/>
      <c r="AP2701" s="80" t="n"/>
      <c r="AQ2701" s="80" t="n"/>
      <c r="AR2701" s="80" t="n"/>
    </row>
    <row r="2702">
      <c r="D2702" s="80" t="n"/>
      <c r="E2702" s="80" t="n"/>
      <c r="F2702" s="80" t="n"/>
      <c r="G2702" s="80" t="n"/>
      <c r="H2702" s="80" t="n"/>
      <c r="I2702" s="80" t="n"/>
      <c r="J2702" s="80" t="n"/>
      <c r="K2702" s="80" t="n"/>
      <c r="L2702" s="80" t="n"/>
      <c r="M2702" s="80" t="n"/>
      <c r="N2702" s="80" t="n"/>
      <c r="O2702" s="80" t="n"/>
      <c r="P2702" s="80" t="n"/>
      <c r="Q2702" s="80" t="n"/>
      <c r="R2702" s="80" t="n"/>
      <c r="S2702" s="80" t="n"/>
      <c r="T2702" s="80" t="n"/>
      <c r="U2702" s="80" t="n"/>
      <c r="V2702" s="80" t="n"/>
      <c r="W2702" s="80" t="n"/>
      <c r="X2702" s="80" t="n"/>
      <c r="Y2702" s="80" t="n"/>
      <c r="Z2702" s="80" t="n"/>
      <c r="AA2702" s="80" t="n"/>
      <c r="AB2702" s="80" t="n"/>
      <c r="AC2702" s="80" t="n"/>
      <c r="AD2702" s="80" t="n"/>
      <c r="AE2702" s="80" t="n"/>
      <c r="AF2702" s="80" t="n"/>
      <c r="AG2702" s="80" t="n"/>
      <c r="AH2702" s="80" t="n"/>
      <c r="AI2702" s="80" t="n"/>
      <c r="AJ2702" s="80" t="n"/>
      <c r="AK2702" s="80" t="n"/>
      <c r="AL2702" s="80" t="n"/>
      <c r="AM2702" s="80" t="n"/>
      <c r="AN2702" s="80" t="n"/>
      <c r="AO2702" s="80" t="n"/>
      <c r="AP2702" s="80" t="n"/>
      <c r="AQ2702" s="80" t="n"/>
      <c r="AR2702" s="80" t="n"/>
    </row>
    <row r="2704">
      <c r="A2704" s="6">
        <f>IF(HSCEI!$C$46="","",HSCEI!$C$46)</f>
        <v/>
      </c>
      <c r="B2704" s="41">
        <f>IF($A2704="",0,COUNT($E2705:$AR2705))</f>
        <v/>
      </c>
      <c r="C2704" s="81">
        <f>IF($B2704=0,0,MAX($E2705:$AR2705))</f>
        <v/>
      </c>
      <c r="D2704" s="82">
        <f>BDS($A2704,'Field Check'!$C$7,"headers=y","startcol=1","endcol=7","dir=h","DVD_START_DT",Summary!$C$18,"DVD_END_DT",Summary!$D$18)</f>
        <v/>
      </c>
      <c r="E2704" s="83" t="n"/>
      <c r="F2704" s="83" t="n"/>
      <c r="G2704" s="83" t="n"/>
      <c r="H2704" s="83" t="n"/>
      <c r="I2704" s="83" t="n"/>
      <c r="J2704" s="83" t="n"/>
      <c r="K2704" s="83" t="n"/>
      <c r="L2704" s="83" t="n"/>
      <c r="M2704" s="83" t="n"/>
      <c r="N2704" s="83" t="n"/>
      <c r="O2704" s="83" t="n"/>
      <c r="P2704" s="83" t="n"/>
      <c r="Q2704" s="83" t="n"/>
      <c r="R2704" s="83" t="n"/>
      <c r="S2704" s="83" t="n"/>
      <c r="T2704" s="83" t="n"/>
      <c r="U2704" s="83" t="n"/>
      <c r="V2704" s="83" t="n"/>
      <c r="W2704" s="83" t="n"/>
      <c r="X2704" s="83" t="n"/>
      <c r="Y2704" s="83" t="n"/>
      <c r="Z2704" s="83" t="n"/>
      <c r="AA2704" s="83" t="n"/>
      <c r="AB2704" s="83" t="n"/>
      <c r="AC2704" s="83" t="n"/>
      <c r="AD2704" s="83" t="n"/>
      <c r="AE2704" s="83" t="n"/>
      <c r="AF2704" s="83" t="n"/>
      <c r="AG2704" s="83" t="n"/>
      <c r="AH2704" s="83" t="n"/>
      <c r="AI2704" s="83" t="n"/>
      <c r="AJ2704" s="83" t="n"/>
      <c r="AK2704" s="83" t="n"/>
      <c r="AL2704" s="83" t="n"/>
      <c r="AM2704" s="83" t="n"/>
      <c r="AN2704" s="83" t="n"/>
      <c r="AO2704" s="83" t="n"/>
      <c r="AP2704" s="83" t="n"/>
      <c r="AQ2704" s="83" t="n"/>
      <c r="AR2704" s="83" t="n"/>
    </row>
    <row r="2705">
      <c r="D2705" s="83" t="n"/>
      <c r="E2705" s="83" t="n"/>
      <c r="F2705" s="83" t="n"/>
      <c r="G2705" s="83" t="n"/>
      <c r="H2705" s="83" t="n"/>
      <c r="I2705" s="83" t="n"/>
      <c r="J2705" s="83" t="n"/>
      <c r="K2705" s="83" t="n"/>
      <c r="L2705" s="83" t="n"/>
      <c r="M2705" s="83" t="n"/>
      <c r="N2705" s="83" t="n"/>
      <c r="O2705" s="83" t="n"/>
      <c r="P2705" s="83" t="n"/>
      <c r="Q2705" s="83" t="n"/>
      <c r="R2705" s="83" t="n"/>
      <c r="S2705" s="83" t="n"/>
      <c r="T2705" s="83" t="n"/>
      <c r="U2705" s="83" t="n"/>
      <c r="V2705" s="83" t="n"/>
      <c r="W2705" s="83" t="n"/>
      <c r="X2705" s="83" t="n"/>
      <c r="Y2705" s="83" t="n"/>
      <c r="Z2705" s="83" t="n"/>
      <c r="AA2705" s="83" t="n"/>
      <c r="AB2705" s="83" t="n"/>
      <c r="AC2705" s="83" t="n"/>
      <c r="AD2705" s="83" t="n"/>
      <c r="AE2705" s="83" t="n"/>
      <c r="AF2705" s="83" t="n"/>
      <c r="AG2705" s="83" t="n"/>
      <c r="AH2705" s="83" t="n"/>
      <c r="AI2705" s="83" t="n"/>
      <c r="AJ2705" s="83" t="n"/>
      <c r="AK2705" s="83" t="n"/>
      <c r="AL2705" s="83" t="n"/>
      <c r="AM2705" s="83" t="n"/>
      <c r="AN2705" s="83" t="n"/>
      <c r="AO2705" s="83" t="n"/>
      <c r="AP2705" s="83" t="n"/>
      <c r="AQ2705" s="83" t="n"/>
      <c r="AR2705" s="83" t="n"/>
    </row>
    <row r="2706">
      <c r="D2706" s="84" t="n"/>
      <c r="E2706" s="84" t="n"/>
      <c r="F2706" s="84" t="n"/>
      <c r="G2706" s="84" t="n"/>
      <c r="H2706" s="84" t="n"/>
      <c r="I2706" s="84" t="n"/>
      <c r="J2706" s="84" t="n"/>
      <c r="K2706" s="84" t="n"/>
      <c r="L2706" s="84" t="n"/>
      <c r="M2706" s="84" t="n"/>
      <c r="N2706" s="84" t="n"/>
      <c r="O2706" s="84" t="n"/>
      <c r="P2706" s="84" t="n"/>
      <c r="Q2706" s="84" t="n"/>
      <c r="R2706" s="84" t="n"/>
      <c r="S2706" s="84" t="n"/>
      <c r="T2706" s="84" t="n"/>
      <c r="U2706" s="84" t="n"/>
      <c r="V2706" s="84" t="n"/>
      <c r="W2706" s="84" t="n"/>
      <c r="X2706" s="84" t="n"/>
      <c r="Y2706" s="84" t="n"/>
      <c r="Z2706" s="84" t="n"/>
      <c r="AA2706" s="84" t="n"/>
      <c r="AB2706" s="84" t="n"/>
      <c r="AC2706" s="84" t="n"/>
      <c r="AD2706" s="84" t="n"/>
      <c r="AE2706" s="84" t="n"/>
      <c r="AF2706" s="84" t="n"/>
      <c r="AG2706" s="84" t="n"/>
      <c r="AH2706" s="84" t="n"/>
      <c r="AI2706" s="84" t="n"/>
      <c r="AJ2706" s="84" t="n"/>
      <c r="AK2706" s="84" t="n"/>
      <c r="AL2706" s="84" t="n"/>
      <c r="AM2706" s="84" t="n"/>
      <c r="AN2706" s="84" t="n"/>
      <c r="AO2706" s="84" t="n"/>
      <c r="AP2706" s="84" t="n"/>
      <c r="AQ2706" s="84" t="n"/>
      <c r="AR2706" s="84" t="n"/>
    </row>
    <row r="2707">
      <c r="D2707" s="80" t="n"/>
      <c r="E2707" s="80" t="n"/>
      <c r="F2707" s="80" t="n"/>
      <c r="G2707" s="80" t="n"/>
      <c r="H2707" s="80" t="n"/>
      <c r="I2707" s="80" t="n"/>
      <c r="J2707" s="80" t="n"/>
      <c r="K2707" s="80" t="n"/>
      <c r="L2707" s="80" t="n"/>
      <c r="M2707" s="80" t="n"/>
      <c r="N2707" s="80" t="n"/>
      <c r="O2707" s="80" t="n"/>
      <c r="P2707" s="80" t="n"/>
      <c r="Q2707" s="80" t="n"/>
      <c r="R2707" s="80" t="n"/>
      <c r="S2707" s="80" t="n"/>
      <c r="T2707" s="80" t="n"/>
      <c r="U2707" s="80" t="n"/>
      <c r="V2707" s="80" t="n"/>
      <c r="W2707" s="80" t="n"/>
      <c r="X2707" s="80" t="n"/>
      <c r="Y2707" s="80" t="n"/>
      <c r="Z2707" s="80" t="n"/>
      <c r="AA2707" s="80" t="n"/>
      <c r="AB2707" s="80" t="n"/>
      <c r="AC2707" s="80" t="n"/>
      <c r="AD2707" s="80" t="n"/>
      <c r="AE2707" s="80" t="n"/>
      <c r="AF2707" s="80" t="n"/>
      <c r="AG2707" s="80" t="n"/>
      <c r="AH2707" s="80" t="n"/>
      <c r="AI2707" s="80" t="n"/>
      <c r="AJ2707" s="80" t="n"/>
      <c r="AK2707" s="80" t="n"/>
      <c r="AL2707" s="80" t="n"/>
      <c r="AM2707" s="80" t="n"/>
      <c r="AN2707" s="80" t="n"/>
      <c r="AO2707" s="80" t="n"/>
      <c r="AP2707" s="80" t="n"/>
      <c r="AQ2707" s="80" t="n"/>
      <c r="AR2707" s="80" t="n"/>
    </row>
    <row r="2708">
      <c r="D2708" s="80" t="n"/>
      <c r="E2708" s="80" t="n"/>
      <c r="F2708" s="80" t="n"/>
      <c r="G2708" s="80" t="n"/>
      <c r="H2708" s="80" t="n"/>
      <c r="I2708" s="80" t="n"/>
      <c r="J2708" s="80" t="n"/>
      <c r="K2708" s="80" t="n"/>
      <c r="L2708" s="80" t="n"/>
      <c r="M2708" s="80" t="n"/>
      <c r="N2708" s="80" t="n"/>
      <c r="O2708" s="80" t="n"/>
      <c r="P2708" s="80" t="n"/>
      <c r="Q2708" s="80" t="n"/>
      <c r="R2708" s="80" t="n"/>
      <c r="S2708" s="80" t="n"/>
      <c r="T2708" s="80" t="n"/>
      <c r="U2708" s="80" t="n"/>
      <c r="V2708" s="80" t="n"/>
      <c r="W2708" s="80" t="n"/>
      <c r="X2708" s="80" t="n"/>
      <c r="Y2708" s="80" t="n"/>
      <c r="Z2708" s="80" t="n"/>
      <c r="AA2708" s="80" t="n"/>
      <c r="AB2708" s="80" t="n"/>
      <c r="AC2708" s="80" t="n"/>
      <c r="AD2708" s="80" t="n"/>
      <c r="AE2708" s="80" t="n"/>
      <c r="AF2708" s="80" t="n"/>
      <c r="AG2708" s="80" t="n"/>
      <c r="AH2708" s="80" t="n"/>
      <c r="AI2708" s="80" t="n"/>
      <c r="AJ2708" s="80" t="n"/>
      <c r="AK2708" s="80" t="n"/>
      <c r="AL2708" s="80" t="n"/>
      <c r="AM2708" s="80" t="n"/>
      <c r="AN2708" s="80" t="n"/>
      <c r="AO2708" s="80" t="n"/>
      <c r="AP2708" s="80" t="n"/>
      <c r="AQ2708" s="80" t="n"/>
      <c r="AR2708" s="80" t="n"/>
    </row>
    <row r="2709">
      <c r="D2709" s="80" t="n"/>
      <c r="E2709" s="80" t="n"/>
      <c r="F2709" s="80" t="n"/>
      <c r="G2709" s="80" t="n"/>
      <c r="H2709" s="80" t="n"/>
      <c r="I2709" s="80" t="n"/>
      <c r="J2709" s="80" t="n"/>
      <c r="K2709" s="80" t="n"/>
      <c r="L2709" s="80" t="n"/>
      <c r="M2709" s="80" t="n"/>
      <c r="N2709" s="80" t="n"/>
      <c r="O2709" s="80" t="n"/>
      <c r="P2709" s="80" t="n"/>
      <c r="Q2709" s="80" t="n"/>
      <c r="R2709" s="80" t="n"/>
      <c r="S2709" s="80" t="n"/>
      <c r="T2709" s="80" t="n"/>
      <c r="U2709" s="80" t="n"/>
      <c r="V2709" s="80" t="n"/>
      <c r="W2709" s="80" t="n"/>
      <c r="X2709" s="80" t="n"/>
      <c r="Y2709" s="80" t="n"/>
      <c r="Z2709" s="80" t="n"/>
      <c r="AA2709" s="80" t="n"/>
      <c r="AB2709" s="80" t="n"/>
      <c r="AC2709" s="80" t="n"/>
      <c r="AD2709" s="80" t="n"/>
      <c r="AE2709" s="80" t="n"/>
      <c r="AF2709" s="80" t="n"/>
      <c r="AG2709" s="80" t="n"/>
      <c r="AH2709" s="80" t="n"/>
      <c r="AI2709" s="80" t="n"/>
      <c r="AJ2709" s="80" t="n"/>
      <c r="AK2709" s="80" t="n"/>
      <c r="AL2709" s="80" t="n"/>
      <c r="AM2709" s="80" t="n"/>
      <c r="AN2709" s="80" t="n"/>
      <c r="AO2709" s="80" t="n"/>
      <c r="AP2709" s="80" t="n"/>
      <c r="AQ2709" s="80" t="n"/>
      <c r="AR2709" s="80" t="n"/>
    </row>
    <row r="2710">
      <c r="D2710" s="80" t="n"/>
      <c r="E2710" s="80" t="n"/>
      <c r="F2710" s="80" t="n"/>
      <c r="G2710" s="80" t="n"/>
      <c r="H2710" s="80" t="n"/>
      <c r="I2710" s="80" t="n"/>
      <c r="J2710" s="80" t="n"/>
      <c r="K2710" s="80" t="n"/>
      <c r="L2710" s="80" t="n"/>
      <c r="M2710" s="80" t="n"/>
      <c r="N2710" s="80" t="n"/>
      <c r="O2710" s="80" t="n"/>
      <c r="P2710" s="80" t="n"/>
      <c r="Q2710" s="80" t="n"/>
      <c r="R2710" s="80" t="n"/>
      <c r="S2710" s="80" t="n"/>
      <c r="T2710" s="80" t="n"/>
      <c r="U2710" s="80" t="n"/>
      <c r="V2710" s="80" t="n"/>
      <c r="W2710" s="80" t="n"/>
      <c r="X2710" s="80" t="n"/>
      <c r="Y2710" s="80" t="n"/>
      <c r="Z2710" s="80" t="n"/>
      <c r="AA2710" s="80" t="n"/>
      <c r="AB2710" s="80" t="n"/>
      <c r="AC2710" s="80" t="n"/>
      <c r="AD2710" s="80" t="n"/>
      <c r="AE2710" s="80" t="n"/>
      <c r="AF2710" s="80" t="n"/>
      <c r="AG2710" s="80" t="n"/>
      <c r="AH2710" s="80" t="n"/>
      <c r="AI2710" s="80" t="n"/>
      <c r="AJ2710" s="80" t="n"/>
      <c r="AK2710" s="80" t="n"/>
      <c r="AL2710" s="80" t="n"/>
      <c r="AM2710" s="80" t="n"/>
      <c r="AN2710" s="80" t="n"/>
      <c r="AO2710" s="80" t="n"/>
      <c r="AP2710" s="80" t="n"/>
      <c r="AQ2710" s="80" t="n"/>
      <c r="AR2710" s="80" t="n"/>
    </row>
    <row r="2711">
      <c r="A2711" s="2">
        <f>IF($A2704="","","   projections")</f>
        <v/>
      </c>
      <c r="B2711" s="41">
        <f>IF($A2704="",0,COUNT($E2712:$AR2712))</f>
        <v/>
      </c>
      <c r="C2711" s="81">
        <f>IF($B2711=0,0,MAX($E2712:$AR2712))</f>
        <v/>
      </c>
      <c r="D2711" s="82">
        <f>BDS($A2704,'Field Check'!$C$6,"headers=y","startcol=1","endcol=7","dir=h")</f>
        <v/>
      </c>
      <c r="E2711" s="83" t="n"/>
      <c r="F2711" s="83" t="n"/>
      <c r="G2711" s="83" t="n"/>
      <c r="H2711" s="83" t="n"/>
      <c r="I2711" s="83" t="n"/>
      <c r="J2711" s="83" t="n"/>
      <c r="K2711" s="83" t="n"/>
      <c r="L2711" s="83" t="n"/>
      <c r="M2711" s="83" t="n"/>
      <c r="N2711" s="83" t="n"/>
      <c r="O2711" s="83" t="n"/>
      <c r="P2711" s="83" t="n"/>
      <c r="Q2711" s="83" t="n"/>
      <c r="R2711" s="83" t="n"/>
      <c r="S2711" s="83" t="n"/>
      <c r="T2711" s="83" t="n"/>
      <c r="U2711" s="83" t="n"/>
      <c r="V2711" s="83" t="n"/>
      <c r="W2711" s="83" t="n"/>
      <c r="X2711" s="83" t="n"/>
      <c r="Y2711" s="83" t="n"/>
      <c r="Z2711" s="83" t="n"/>
      <c r="AA2711" s="83" t="n"/>
      <c r="AB2711" s="83" t="n"/>
      <c r="AC2711" s="83" t="n"/>
      <c r="AD2711" s="83" t="n"/>
      <c r="AE2711" s="83" t="n"/>
      <c r="AF2711" s="83" t="n"/>
      <c r="AG2711" s="83" t="n"/>
      <c r="AH2711" s="83" t="n"/>
      <c r="AI2711" s="83" t="n"/>
      <c r="AJ2711" s="83" t="n"/>
      <c r="AK2711" s="83" t="n"/>
      <c r="AL2711" s="83" t="n"/>
      <c r="AM2711" s="83" t="n"/>
      <c r="AN2711" s="83" t="n"/>
      <c r="AO2711" s="83" t="n"/>
      <c r="AP2711" s="83" t="n"/>
      <c r="AQ2711" s="83" t="n"/>
      <c r="AR2711" s="83" t="n"/>
    </row>
    <row r="2712">
      <c r="D2712" s="83" t="n"/>
      <c r="E2712" s="83" t="n"/>
      <c r="F2712" s="83" t="n"/>
      <c r="G2712" s="83" t="n"/>
      <c r="H2712" s="83" t="n"/>
      <c r="I2712" s="83" t="n"/>
      <c r="J2712" s="83" t="n"/>
      <c r="K2712" s="83" t="n"/>
      <c r="L2712" s="83" t="n"/>
      <c r="M2712" s="83" t="n"/>
      <c r="N2712" s="83" t="n"/>
      <c r="O2712" s="83" t="n"/>
      <c r="P2712" s="83" t="n"/>
      <c r="Q2712" s="83" t="n"/>
      <c r="R2712" s="83" t="n"/>
      <c r="S2712" s="83" t="n"/>
      <c r="T2712" s="83" t="n"/>
      <c r="U2712" s="83" t="n"/>
      <c r="V2712" s="83" t="n"/>
      <c r="W2712" s="83" t="n"/>
      <c r="X2712" s="83" t="n"/>
      <c r="Y2712" s="83" t="n"/>
      <c r="Z2712" s="83" t="n"/>
      <c r="AA2712" s="83" t="n"/>
      <c r="AB2712" s="83" t="n"/>
      <c r="AC2712" s="83" t="n"/>
      <c r="AD2712" s="83" t="n"/>
      <c r="AE2712" s="83" t="n"/>
      <c r="AF2712" s="83" t="n"/>
      <c r="AG2712" s="83" t="n"/>
      <c r="AH2712" s="83" t="n"/>
      <c r="AI2712" s="83" t="n"/>
      <c r="AJ2712" s="83" t="n"/>
      <c r="AK2712" s="83" t="n"/>
      <c r="AL2712" s="83" t="n"/>
      <c r="AM2712" s="83" t="n"/>
      <c r="AN2712" s="83" t="n"/>
      <c r="AO2712" s="83" t="n"/>
      <c r="AP2712" s="83" t="n"/>
      <c r="AQ2712" s="83" t="n"/>
      <c r="AR2712" s="83" t="n"/>
    </row>
    <row r="2713">
      <c r="D2713" s="84" t="n"/>
      <c r="E2713" s="84" t="n"/>
      <c r="F2713" s="84" t="n"/>
      <c r="G2713" s="84" t="n"/>
      <c r="H2713" s="84" t="n"/>
      <c r="I2713" s="84" t="n"/>
      <c r="J2713" s="84" t="n"/>
      <c r="K2713" s="84" t="n"/>
      <c r="L2713" s="84" t="n"/>
      <c r="M2713" s="84" t="n"/>
      <c r="N2713" s="84" t="n"/>
      <c r="O2713" s="84" t="n"/>
      <c r="P2713" s="84" t="n"/>
      <c r="Q2713" s="84" t="n"/>
      <c r="R2713" s="84" t="n"/>
      <c r="S2713" s="84" t="n"/>
      <c r="T2713" s="84" t="n"/>
      <c r="U2713" s="84" t="n"/>
      <c r="V2713" s="84" t="n"/>
      <c r="W2713" s="84" t="n"/>
      <c r="X2713" s="84" t="n"/>
      <c r="Y2713" s="84" t="n"/>
      <c r="Z2713" s="84" t="n"/>
      <c r="AA2713" s="84" t="n"/>
      <c r="AB2713" s="84" t="n"/>
      <c r="AC2713" s="84" t="n"/>
      <c r="AD2713" s="84" t="n"/>
      <c r="AE2713" s="84" t="n"/>
      <c r="AF2713" s="84" t="n"/>
      <c r="AG2713" s="84" t="n"/>
      <c r="AH2713" s="84" t="n"/>
      <c r="AI2713" s="84" t="n"/>
      <c r="AJ2713" s="84" t="n"/>
      <c r="AK2713" s="84" t="n"/>
      <c r="AL2713" s="84" t="n"/>
      <c r="AM2713" s="84" t="n"/>
      <c r="AN2713" s="84" t="n"/>
      <c r="AO2713" s="84" t="n"/>
      <c r="AP2713" s="84" t="n"/>
      <c r="AQ2713" s="84" t="n"/>
      <c r="AR2713" s="84" t="n"/>
    </row>
    <row r="2714">
      <c r="D2714" s="80" t="n"/>
      <c r="E2714" s="80" t="n"/>
      <c r="F2714" s="80" t="n"/>
      <c r="G2714" s="80" t="n"/>
      <c r="H2714" s="80" t="n"/>
      <c r="I2714" s="80" t="n"/>
      <c r="J2714" s="80" t="n"/>
      <c r="K2714" s="80" t="n"/>
      <c r="L2714" s="80" t="n"/>
      <c r="M2714" s="80" t="n"/>
      <c r="N2714" s="80" t="n"/>
      <c r="O2714" s="80" t="n"/>
      <c r="P2714" s="80" t="n"/>
      <c r="Q2714" s="80" t="n"/>
      <c r="R2714" s="80" t="n"/>
      <c r="S2714" s="80" t="n"/>
      <c r="T2714" s="80" t="n"/>
      <c r="U2714" s="80" t="n"/>
      <c r="V2714" s="80" t="n"/>
      <c r="W2714" s="80" t="n"/>
      <c r="X2714" s="80" t="n"/>
      <c r="Y2714" s="80" t="n"/>
      <c r="Z2714" s="80" t="n"/>
      <c r="AA2714" s="80" t="n"/>
      <c r="AB2714" s="80" t="n"/>
      <c r="AC2714" s="80" t="n"/>
      <c r="AD2714" s="80" t="n"/>
      <c r="AE2714" s="80" t="n"/>
      <c r="AF2714" s="80" t="n"/>
      <c r="AG2714" s="80" t="n"/>
      <c r="AH2714" s="80" t="n"/>
      <c r="AI2714" s="80" t="n"/>
      <c r="AJ2714" s="80" t="n"/>
      <c r="AK2714" s="80" t="n"/>
      <c r="AL2714" s="80" t="n"/>
      <c r="AM2714" s="80" t="n"/>
      <c r="AN2714" s="80" t="n"/>
      <c r="AO2714" s="80" t="n"/>
      <c r="AP2714" s="80" t="n"/>
      <c r="AQ2714" s="80" t="n"/>
      <c r="AR2714" s="80" t="n"/>
    </row>
    <row r="2715">
      <c r="D2715" s="80" t="n"/>
      <c r="E2715" s="80" t="n"/>
      <c r="F2715" s="80" t="n"/>
      <c r="G2715" s="80" t="n"/>
      <c r="H2715" s="80" t="n"/>
      <c r="I2715" s="80" t="n"/>
      <c r="J2715" s="80" t="n"/>
      <c r="K2715" s="80" t="n"/>
      <c r="L2715" s="80" t="n"/>
      <c r="M2715" s="80" t="n"/>
      <c r="N2715" s="80" t="n"/>
      <c r="O2715" s="80" t="n"/>
      <c r="P2715" s="80" t="n"/>
      <c r="Q2715" s="80" t="n"/>
      <c r="R2715" s="80" t="n"/>
      <c r="S2715" s="80" t="n"/>
      <c r="T2715" s="80" t="n"/>
      <c r="U2715" s="80" t="n"/>
      <c r="V2715" s="80" t="n"/>
      <c r="W2715" s="80" t="n"/>
      <c r="X2715" s="80" t="n"/>
      <c r="Y2715" s="80" t="n"/>
      <c r="Z2715" s="80" t="n"/>
      <c r="AA2715" s="80" t="n"/>
      <c r="AB2715" s="80" t="n"/>
      <c r="AC2715" s="80" t="n"/>
      <c r="AD2715" s="80" t="n"/>
      <c r="AE2715" s="80" t="n"/>
      <c r="AF2715" s="80" t="n"/>
      <c r="AG2715" s="80" t="n"/>
      <c r="AH2715" s="80" t="n"/>
      <c r="AI2715" s="80" t="n"/>
      <c r="AJ2715" s="80" t="n"/>
      <c r="AK2715" s="80" t="n"/>
      <c r="AL2715" s="80" t="n"/>
      <c r="AM2715" s="80" t="n"/>
      <c r="AN2715" s="80" t="n"/>
      <c r="AO2715" s="80" t="n"/>
      <c r="AP2715" s="80" t="n"/>
      <c r="AQ2715" s="80" t="n"/>
      <c r="AR2715" s="80" t="n"/>
    </row>
    <row r="2716">
      <c r="D2716" s="80" t="n"/>
      <c r="E2716" s="80" t="n"/>
      <c r="F2716" s="80" t="n"/>
      <c r="G2716" s="80" t="n"/>
      <c r="H2716" s="80" t="n"/>
      <c r="I2716" s="80" t="n"/>
      <c r="J2716" s="80" t="n"/>
      <c r="K2716" s="80" t="n"/>
      <c r="L2716" s="80" t="n"/>
      <c r="M2716" s="80" t="n"/>
      <c r="N2716" s="80" t="n"/>
      <c r="O2716" s="80" t="n"/>
      <c r="P2716" s="80" t="n"/>
      <c r="Q2716" s="80" t="n"/>
      <c r="R2716" s="80" t="n"/>
      <c r="S2716" s="80" t="n"/>
      <c r="T2716" s="80" t="n"/>
      <c r="U2716" s="80" t="n"/>
      <c r="V2716" s="80" t="n"/>
      <c r="W2716" s="80" t="n"/>
      <c r="X2716" s="80" t="n"/>
      <c r="Y2716" s="80" t="n"/>
      <c r="Z2716" s="80" t="n"/>
      <c r="AA2716" s="80" t="n"/>
      <c r="AB2716" s="80" t="n"/>
      <c r="AC2716" s="80" t="n"/>
      <c r="AD2716" s="80" t="n"/>
      <c r="AE2716" s="80" t="n"/>
      <c r="AF2716" s="80" t="n"/>
      <c r="AG2716" s="80" t="n"/>
      <c r="AH2716" s="80" t="n"/>
      <c r="AI2716" s="80" t="n"/>
      <c r="AJ2716" s="80" t="n"/>
      <c r="AK2716" s="80" t="n"/>
      <c r="AL2716" s="80" t="n"/>
      <c r="AM2716" s="80" t="n"/>
      <c r="AN2716" s="80" t="n"/>
      <c r="AO2716" s="80" t="n"/>
      <c r="AP2716" s="80" t="n"/>
      <c r="AQ2716" s="80" t="n"/>
      <c r="AR2716" s="80" t="n"/>
    </row>
    <row r="2717">
      <c r="D2717" s="80" t="n"/>
      <c r="E2717" s="80" t="n"/>
      <c r="F2717" s="80" t="n"/>
      <c r="G2717" s="80" t="n"/>
      <c r="H2717" s="80" t="n"/>
      <c r="I2717" s="80" t="n"/>
      <c r="J2717" s="80" t="n"/>
      <c r="K2717" s="80" t="n"/>
      <c r="L2717" s="80" t="n"/>
      <c r="M2717" s="80" t="n"/>
      <c r="N2717" s="80" t="n"/>
      <c r="O2717" s="80" t="n"/>
      <c r="P2717" s="80" t="n"/>
      <c r="Q2717" s="80" t="n"/>
      <c r="R2717" s="80" t="n"/>
      <c r="S2717" s="80" t="n"/>
      <c r="T2717" s="80" t="n"/>
      <c r="U2717" s="80" t="n"/>
      <c r="V2717" s="80" t="n"/>
      <c r="W2717" s="80" t="n"/>
      <c r="X2717" s="80" t="n"/>
      <c r="Y2717" s="80" t="n"/>
      <c r="Z2717" s="80" t="n"/>
      <c r="AA2717" s="80" t="n"/>
      <c r="AB2717" s="80" t="n"/>
      <c r="AC2717" s="80" t="n"/>
      <c r="AD2717" s="80" t="n"/>
      <c r="AE2717" s="80" t="n"/>
      <c r="AF2717" s="80" t="n"/>
      <c r="AG2717" s="80" t="n"/>
      <c r="AH2717" s="80" t="n"/>
      <c r="AI2717" s="80" t="n"/>
      <c r="AJ2717" s="80" t="n"/>
      <c r="AK2717" s="80" t="n"/>
      <c r="AL2717" s="80" t="n"/>
      <c r="AM2717" s="80" t="n"/>
      <c r="AN2717" s="80" t="n"/>
      <c r="AO2717" s="80" t="n"/>
      <c r="AP2717" s="80" t="n"/>
      <c r="AQ2717" s="80" t="n"/>
      <c r="AR2717" s="80" t="n"/>
    </row>
    <row r="2719">
      <c r="A2719" s="6">
        <f>IF(HSCEI!$C$47="","",HSCEI!$C$47)</f>
        <v/>
      </c>
      <c r="B2719" s="41">
        <f>IF($A2719="",0,COUNT($E2720:$AR2720))</f>
        <v/>
      </c>
      <c r="C2719" s="81">
        <f>IF($B2719=0,0,MAX($E2720:$AR2720))</f>
        <v/>
      </c>
      <c r="D2719" s="82">
        <f>BDS($A2719,'Field Check'!$C$7,"headers=y","startcol=1","endcol=7","dir=h","DVD_START_DT",Summary!$C$18,"DVD_END_DT",Summary!$D$18)</f>
        <v/>
      </c>
      <c r="E2719" s="83" t="n"/>
      <c r="F2719" s="83" t="n"/>
      <c r="G2719" s="83" t="n"/>
      <c r="H2719" s="83" t="n"/>
      <c r="I2719" s="83" t="n"/>
      <c r="J2719" s="83" t="n"/>
      <c r="K2719" s="83" t="n"/>
      <c r="L2719" s="83" t="n"/>
      <c r="M2719" s="83" t="n"/>
      <c r="N2719" s="83" t="n"/>
      <c r="O2719" s="83" t="n"/>
      <c r="P2719" s="83" t="n"/>
      <c r="Q2719" s="83" t="n"/>
      <c r="R2719" s="83" t="n"/>
      <c r="S2719" s="83" t="n"/>
      <c r="T2719" s="83" t="n"/>
      <c r="U2719" s="83" t="n"/>
      <c r="V2719" s="83" t="n"/>
      <c r="W2719" s="83" t="n"/>
      <c r="X2719" s="83" t="n"/>
      <c r="Y2719" s="83" t="n"/>
      <c r="Z2719" s="83" t="n"/>
      <c r="AA2719" s="83" t="n"/>
      <c r="AB2719" s="83" t="n"/>
      <c r="AC2719" s="83" t="n"/>
      <c r="AD2719" s="83" t="n"/>
      <c r="AE2719" s="83" t="n"/>
      <c r="AF2719" s="83" t="n"/>
      <c r="AG2719" s="83" t="n"/>
      <c r="AH2719" s="83" t="n"/>
      <c r="AI2719" s="83" t="n"/>
      <c r="AJ2719" s="83" t="n"/>
      <c r="AK2719" s="83" t="n"/>
      <c r="AL2719" s="83" t="n"/>
      <c r="AM2719" s="83" t="n"/>
      <c r="AN2719" s="83" t="n"/>
      <c r="AO2719" s="83" t="n"/>
      <c r="AP2719" s="83" t="n"/>
      <c r="AQ2719" s="83" t="n"/>
      <c r="AR2719" s="83" t="n"/>
    </row>
    <row r="2720">
      <c r="D2720" s="83" t="n"/>
      <c r="E2720" s="83" t="n"/>
      <c r="F2720" s="83" t="n"/>
      <c r="G2720" s="83" t="n"/>
      <c r="H2720" s="83" t="n"/>
      <c r="I2720" s="83" t="n"/>
      <c r="J2720" s="83" t="n"/>
      <c r="K2720" s="83" t="n"/>
      <c r="L2720" s="83" t="n"/>
      <c r="M2720" s="83" t="n"/>
      <c r="N2720" s="83" t="n"/>
      <c r="O2720" s="83" t="n"/>
      <c r="P2720" s="83" t="n"/>
      <c r="Q2720" s="83" t="n"/>
      <c r="R2720" s="83" t="n"/>
      <c r="S2720" s="83" t="n"/>
      <c r="T2720" s="83" t="n"/>
      <c r="U2720" s="83" t="n"/>
      <c r="V2720" s="83" t="n"/>
      <c r="W2720" s="83" t="n"/>
      <c r="X2720" s="83" t="n"/>
      <c r="Y2720" s="83" t="n"/>
      <c r="Z2720" s="83" t="n"/>
      <c r="AA2720" s="83" t="n"/>
      <c r="AB2720" s="83" t="n"/>
      <c r="AC2720" s="83" t="n"/>
      <c r="AD2720" s="83" t="n"/>
      <c r="AE2720" s="83" t="n"/>
      <c r="AF2720" s="83" t="n"/>
      <c r="AG2720" s="83" t="n"/>
      <c r="AH2720" s="83" t="n"/>
      <c r="AI2720" s="83" t="n"/>
      <c r="AJ2720" s="83" t="n"/>
      <c r="AK2720" s="83" t="n"/>
      <c r="AL2720" s="83" t="n"/>
      <c r="AM2720" s="83" t="n"/>
      <c r="AN2720" s="83" t="n"/>
      <c r="AO2720" s="83" t="n"/>
      <c r="AP2720" s="83" t="n"/>
      <c r="AQ2720" s="83" t="n"/>
      <c r="AR2720" s="83" t="n"/>
    </row>
    <row r="2721">
      <c r="D2721" s="84" t="n"/>
      <c r="E2721" s="84" t="n"/>
      <c r="F2721" s="84" t="n"/>
      <c r="G2721" s="84" t="n"/>
      <c r="H2721" s="84" t="n"/>
      <c r="I2721" s="84" t="n"/>
      <c r="J2721" s="84" t="n"/>
      <c r="K2721" s="84" t="n"/>
      <c r="L2721" s="84" t="n"/>
      <c r="M2721" s="84" t="n"/>
      <c r="N2721" s="84" t="n"/>
      <c r="O2721" s="84" t="n"/>
      <c r="P2721" s="84" t="n"/>
      <c r="Q2721" s="84" t="n"/>
      <c r="R2721" s="84" t="n"/>
      <c r="S2721" s="84" t="n"/>
      <c r="T2721" s="84" t="n"/>
      <c r="U2721" s="84" t="n"/>
      <c r="V2721" s="84" t="n"/>
      <c r="W2721" s="84" t="n"/>
      <c r="X2721" s="84" t="n"/>
      <c r="Y2721" s="84" t="n"/>
      <c r="Z2721" s="84" t="n"/>
      <c r="AA2721" s="84" t="n"/>
      <c r="AB2721" s="84" t="n"/>
      <c r="AC2721" s="84" t="n"/>
      <c r="AD2721" s="84" t="n"/>
      <c r="AE2721" s="84" t="n"/>
      <c r="AF2721" s="84" t="n"/>
      <c r="AG2721" s="84" t="n"/>
      <c r="AH2721" s="84" t="n"/>
      <c r="AI2721" s="84" t="n"/>
      <c r="AJ2721" s="84" t="n"/>
      <c r="AK2721" s="84" t="n"/>
      <c r="AL2721" s="84" t="n"/>
      <c r="AM2721" s="84" t="n"/>
      <c r="AN2721" s="84" t="n"/>
      <c r="AO2721" s="84" t="n"/>
      <c r="AP2721" s="84" t="n"/>
      <c r="AQ2721" s="84" t="n"/>
      <c r="AR2721" s="84" t="n"/>
    </row>
    <row r="2722">
      <c r="D2722" s="80" t="n"/>
      <c r="E2722" s="80" t="n"/>
      <c r="F2722" s="80" t="n"/>
      <c r="G2722" s="80" t="n"/>
      <c r="H2722" s="80" t="n"/>
      <c r="I2722" s="80" t="n"/>
      <c r="J2722" s="80" t="n"/>
      <c r="K2722" s="80" t="n"/>
      <c r="L2722" s="80" t="n"/>
      <c r="M2722" s="80" t="n"/>
      <c r="N2722" s="80" t="n"/>
      <c r="O2722" s="80" t="n"/>
      <c r="P2722" s="80" t="n"/>
      <c r="Q2722" s="80" t="n"/>
      <c r="R2722" s="80" t="n"/>
      <c r="S2722" s="80" t="n"/>
      <c r="T2722" s="80" t="n"/>
      <c r="U2722" s="80" t="n"/>
      <c r="V2722" s="80" t="n"/>
      <c r="W2722" s="80" t="n"/>
      <c r="X2722" s="80" t="n"/>
      <c r="Y2722" s="80" t="n"/>
      <c r="Z2722" s="80" t="n"/>
      <c r="AA2722" s="80" t="n"/>
      <c r="AB2722" s="80" t="n"/>
      <c r="AC2722" s="80" t="n"/>
      <c r="AD2722" s="80" t="n"/>
      <c r="AE2722" s="80" t="n"/>
      <c r="AF2722" s="80" t="n"/>
      <c r="AG2722" s="80" t="n"/>
      <c r="AH2722" s="80" t="n"/>
      <c r="AI2722" s="80" t="n"/>
      <c r="AJ2722" s="80" t="n"/>
      <c r="AK2722" s="80" t="n"/>
      <c r="AL2722" s="80" t="n"/>
      <c r="AM2722" s="80" t="n"/>
      <c r="AN2722" s="80" t="n"/>
      <c r="AO2722" s="80" t="n"/>
      <c r="AP2722" s="80" t="n"/>
      <c r="AQ2722" s="80" t="n"/>
      <c r="AR2722" s="80" t="n"/>
    </row>
    <row r="2723">
      <c r="D2723" s="80" t="n"/>
      <c r="E2723" s="80" t="n"/>
      <c r="F2723" s="80" t="n"/>
      <c r="G2723" s="80" t="n"/>
      <c r="H2723" s="80" t="n"/>
      <c r="I2723" s="80" t="n"/>
      <c r="J2723" s="80" t="n"/>
      <c r="K2723" s="80" t="n"/>
      <c r="L2723" s="80" t="n"/>
      <c r="M2723" s="80" t="n"/>
      <c r="N2723" s="80" t="n"/>
      <c r="O2723" s="80" t="n"/>
      <c r="P2723" s="80" t="n"/>
      <c r="Q2723" s="80" t="n"/>
      <c r="R2723" s="80" t="n"/>
      <c r="S2723" s="80" t="n"/>
      <c r="T2723" s="80" t="n"/>
      <c r="U2723" s="80" t="n"/>
      <c r="V2723" s="80" t="n"/>
      <c r="W2723" s="80" t="n"/>
      <c r="X2723" s="80" t="n"/>
      <c r="Y2723" s="80" t="n"/>
      <c r="Z2723" s="80" t="n"/>
      <c r="AA2723" s="80" t="n"/>
      <c r="AB2723" s="80" t="n"/>
      <c r="AC2723" s="80" t="n"/>
      <c r="AD2723" s="80" t="n"/>
      <c r="AE2723" s="80" t="n"/>
      <c r="AF2723" s="80" t="n"/>
      <c r="AG2723" s="80" t="n"/>
      <c r="AH2723" s="80" t="n"/>
      <c r="AI2723" s="80" t="n"/>
      <c r="AJ2723" s="80" t="n"/>
      <c r="AK2723" s="80" t="n"/>
      <c r="AL2723" s="80" t="n"/>
      <c r="AM2723" s="80" t="n"/>
      <c r="AN2723" s="80" t="n"/>
      <c r="AO2723" s="80" t="n"/>
      <c r="AP2723" s="80" t="n"/>
      <c r="AQ2723" s="80" t="n"/>
      <c r="AR2723" s="80" t="n"/>
    </row>
    <row r="2724">
      <c r="D2724" s="80" t="n"/>
      <c r="E2724" s="80" t="n"/>
      <c r="F2724" s="80" t="n"/>
      <c r="G2724" s="80" t="n"/>
      <c r="H2724" s="80" t="n"/>
      <c r="I2724" s="80" t="n"/>
      <c r="J2724" s="80" t="n"/>
      <c r="K2724" s="80" t="n"/>
      <c r="L2724" s="80" t="n"/>
      <c r="M2724" s="80" t="n"/>
      <c r="N2724" s="80" t="n"/>
      <c r="O2724" s="80" t="n"/>
      <c r="P2724" s="80" t="n"/>
      <c r="Q2724" s="80" t="n"/>
      <c r="R2724" s="80" t="n"/>
      <c r="S2724" s="80" t="n"/>
      <c r="T2724" s="80" t="n"/>
      <c r="U2724" s="80" t="n"/>
      <c r="V2724" s="80" t="n"/>
      <c r="W2724" s="80" t="n"/>
      <c r="X2724" s="80" t="n"/>
      <c r="Y2724" s="80" t="n"/>
      <c r="Z2724" s="80" t="n"/>
      <c r="AA2724" s="80" t="n"/>
      <c r="AB2724" s="80" t="n"/>
      <c r="AC2724" s="80" t="n"/>
      <c r="AD2724" s="80" t="n"/>
      <c r="AE2724" s="80" t="n"/>
      <c r="AF2724" s="80" t="n"/>
      <c r="AG2724" s="80" t="n"/>
      <c r="AH2724" s="80" t="n"/>
      <c r="AI2724" s="80" t="n"/>
      <c r="AJ2724" s="80" t="n"/>
      <c r="AK2724" s="80" t="n"/>
      <c r="AL2724" s="80" t="n"/>
      <c r="AM2724" s="80" t="n"/>
      <c r="AN2724" s="80" t="n"/>
      <c r="AO2724" s="80" t="n"/>
      <c r="AP2724" s="80" t="n"/>
      <c r="AQ2724" s="80" t="n"/>
      <c r="AR2724" s="80" t="n"/>
    </row>
    <row r="2725">
      <c r="D2725" s="80" t="n"/>
      <c r="E2725" s="80" t="n"/>
      <c r="F2725" s="80" t="n"/>
      <c r="G2725" s="80" t="n"/>
      <c r="H2725" s="80" t="n"/>
      <c r="I2725" s="80" t="n"/>
      <c r="J2725" s="80" t="n"/>
      <c r="K2725" s="80" t="n"/>
      <c r="L2725" s="80" t="n"/>
      <c r="M2725" s="80" t="n"/>
      <c r="N2725" s="80" t="n"/>
      <c r="O2725" s="80" t="n"/>
      <c r="P2725" s="80" t="n"/>
      <c r="Q2725" s="80" t="n"/>
      <c r="R2725" s="80" t="n"/>
      <c r="S2725" s="80" t="n"/>
      <c r="T2725" s="80" t="n"/>
      <c r="U2725" s="80" t="n"/>
      <c r="V2725" s="80" t="n"/>
      <c r="W2725" s="80" t="n"/>
      <c r="X2725" s="80" t="n"/>
      <c r="Y2725" s="80" t="n"/>
      <c r="Z2725" s="80" t="n"/>
      <c r="AA2725" s="80" t="n"/>
      <c r="AB2725" s="80" t="n"/>
      <c r="AC2725" s="80" t="n"/>
      <c r="AD2725" s="80" t="n"/>
      <c r="AE2725" s="80" t="n"/>
      <c r="AF2725" s="80" t="n"/>
      <c r="AG2725" s="80" t="n"/>
      <c r="AH2725" s="80" t="n"/>
      <c r="AI2725" s="80" t="n"/>
      <c r="AJ2725" s="80" t="n"/>
      <c r="AK2725" s="80" t="n"/>
      <c r="AL2725" s="80" t="n"/>
      <c r="AM2725" s="80" t="n"/>
      <c r="AN2725" s="80" t="n"/>
      <c r="AO2725" s="80" t="n"/>
      <c r="AP2725" s="80" t="n"/>
      <c r="AQ2725" s="80" t="n"/>
      <c r="AR2725" s="80" t="n"/>
    </row>
    <row r="2726">
      <c r="A2726" s="2">
        <f>IF($A2719="","","   projections")</f>
        <v/>
      </c>
      <c r="B2726" s="41">
        <f>IF($A2719="",0,COUNT($E2727:$AR2727))</f>
        <v/>
      </c>
      <c r="C2726" s="81">
        <f>IF($B2726=0,0,MAX($E2727:$AR2727))</f>
        <v/>
      </c>
      <c r="D2726" s="82">
        <f>BDS($A2719,'Field Check'!$C$6,"headers=y","startcol=1","endcol=7","dir=h")</f>
        <v/>
      </c>
      <c r="E2726" s="83" t="n"/>
      <c r="F2726" s="83" t="n"/>
      <c r="G2726" s="83" t="n"/>
      <c r="H2726" s="83" t="n"/>
      <c r="I2726" s="83" t="n"/>
      <c r="J2726" s="83" t="n"/>
      <c r="K2726" s="83" t="n"/>
      <c r="L2726" s="83" t="n"/>
      <c r="M2726" s="83" t="n"/>
      <c r="N2726" s="83" t="n"/>
      <c r="O2726" s="83" t="n"/>
      <c r="P2726" s="83" t="n"/>
      <c r="Q2726" s="83" t="n"/>
      <c r="R2726" s="83" t="n"/>
      <c r="S2726" s="83" t="n"/>
      <c r="T2726" s="83" t="n"/>
      <c r="U2726" s="83" t="n"/>
      <c r="V2726" s="83" t="n"/>
      <c r="W2726" s="83" t="n"/>
      <c r="X2726" s="83" t="n"/>
      <c r="Y2726" s="83" t="n"/>
      <c r="Z2726" s="83" t="n"/>
      <c r="AA2726" s="83" t="n"/>
      <c r="AB2726" s="83" t="n"/>
      <c r="AC2726" s="83" t="n"/>
      <c r="AD2726" s="83" t="n"/>
      <c r="AE2726" s="83" t="n"/>
      <c r="AF2726" s="83" t="n"/>
      <c r="AG2726" s="83" t="n"/>
      <c r="AH2726" s="83" t="n"/>
      <c r="AI2726" s="83" t="n"/>
      <c r="AJ2726" s="83" t="n"/>
      <c r="AK2726" s="83" t="n"/>
      <c r="AL2726" s="83" t="n"/>
      <c r="AM2726" s="83" t="n"/>
      <c r="AN2726" s="83" t="n"/>
      <c r="AO2726" s="83" t="n"/>
      <c r="AP2726" s="83" t="n"/>
      <c r="AQ2726" s="83" t="n"/>
      <c r="AR2726" s="83" t="n"/>
    </row>
    <row r="2727">
      <c r="D2727" s="83" t="n"/>
      <c r="E2727" s="83" t="n"/>
      <c r="F2727" s="83" t="n"/>
      <c r="G2727" s="83" t="n"/>
      <c r="H2727" s="83" t="n"/>
      <c r="I2727" s="83" t="n"/>
      <c r="J2727" s="83" t="n"/>
      <c r="K2727" s="83" t="n"/>
      <c r="L2727" s="83" t="n"/>
      <c r="M2727" s="83" t="n"/>
      <c r="N2727" s="83" t="n"/>
      <c r="O2727" s="83" t="n"/>
      <c r="P2727" s="83" t="n"/>
      <c r="Q2727" s="83" t="n"/>
      <c r="R2727" s="83" t="n"/>
      <c r="S2727" s="83" t="n"/>
      <c r="T2727" s="83" t="n"/>
      <c r="U2727" s="83" t="n"/>
      <c r="V2727" s="83" t="n"/>
      <c r="W2727" s="83" t="n"/>
      <c r="X2727" s="83" t="n"/>
      <c r="Y2727" s="83" t="n"/>
      <c r="Z2727" s="83" t="n"/>
      <c r="AA2727" s="83" t="n"/>
      <c r="AB2727" s="83" t="n"/>
      <c r="AC2727" s="83" t="n"/>
      <c r="AD2727" s="83" t="n"/>
      <c r="AE2727" s="83" t="n"/>
      <c r="AF2727" s="83" t="n"/>
      <c r="AG2727" s="83" t="n"/>
      <c r="AH2727" s="83" t="n"/>
      <c r="AI2727" s="83" t="n"/>
      <c r="AJ2727" s="83" t="n"/>
      <c r="AK2727" s="83" t="n"/>
      <c r="AL2727" s="83" t="n"/>
      <c r="AM2727" s="83" t="n"/>
      <c r="AN2727" s="83" t="n"/>
      <c r="AO2727" s="83" t="n"/>
      <c r="AP2727" s="83" t="n"/>
      <c r="AQ2727" s="83" t="n"/>
      <c r="AR2727" s="83" t="n"/>
    </row>
    <row r="2728">
      <c r="D2728" s="84" t="n"/>
      <c r="E2728" s="84" t="n"/>
      <c r="F2728" s="84" t="n"/>
      <c r="G2728" s="84" t="n"/>
      <c r="H2728" s="84" t="n"/>
      <c r="I2728" s="84" t="n"/>
      <c r="J2728" s="84" t="n"/>
      <c r="K2728" s="84" t="n"/>
      <c r="L2728" s="84" t="n"/>
      <c r="M2728" s="84" t="n"/>
      <c r="N2728" s="84" t="n"/>
      <c r="O2728" s="84" t="n"/>
      <c r="P2728" s="84" t="n"/>
      <c r="Q2728" s="84" t="n"/>
      <c r="R2728" s="84" t="n"/>
      <c r="S2728" s="84" t="n"/>
      <c r="T2728" s="84" t="n"/>
      <c r="U2728" s="84" t="n"/>
      <c r="V2728" s="84" t="n"/>
      <c r="W2728" s="84" t="n"/>
      <c r="X2728" s="84" t="n"/>
      <c r="Y2728" s="84" t="n"/>
      <c r="Z2728" s="84" t="n"/>
      <c r="AA2728" s="84" t="n"/>
      <c r="AB2728" s="84" t="n"/>
      <c r="AC2728" s="84" t="n"/>
      <c r="AD2728" s="84" t="n"/>
      <c r="AE2728" s="84" t="n"/>
      <c r="AF2728" s="84" t="n"/>
      <c r="AG2728" s="84" t="n"/>
      <c r="AH2728" s="84" t="n"/>
      <c r="AI2728" s="84" t="n"/>
      <c r="AJ2728" s="84" t="n"/>
      <c r="AK2728" s="84" t="n"/>
      <c r="AL2728" s="84" t="n"/>
      <c r="AM2728" s="84" t="n"/>
      <c r="AN2728" s="84" t="n"/>
      <c r="AO2728" s="84" t="n"/>
      <c r="AP2728" s="84" t="n"/>
      <c r="AQ2728" s="84" t="n"/>
      <c r="AR2728" s="84" t="n"/>
    </row>
    <row r="2729">
      <c r="D2729" s="80" t="n"/>
      <c r="E2729" s="80" t="n"/>
      <c r="F2729" s="80" t="n"/>
      <c r="G2729" s="80" t="n"/>
      <c r="H2729" s="80" t="n"/>
      <c r="I2729" s="80" t="n"/>
      <c r="J2729" s="80" t="n"/>
      <c r="K2729" s="80" t="n"/>
      <c r="L2729" s="80" t="n"/>
      <c r="M2729" s="80" t="n"/>
      <c r="N2729" s="80" t="n"/>
      <c r="O2729" s="80" t="n"/>
      <c r="P2729" s="80" t="n"/>
      <c r="Q2729" s="80" t="n"/>
      <c r="R2729" s="80" t="n"/>
      <c r="S2729" s="80" t="n"/>
      <c r="T2729" s="80" t="n"/>
      <c r="U2729" s="80" t="n"/>
      <c r="V2729" s="80" t="n"/>
      <c r="W2729" s="80" t="n"/>
      <c r="X2729" s="80" t="n"/>
      <c r="Y2729" s="80" t="n"/>
      <c r="Z2729" s="80" t="n"/>
      <c r="AA2729" s="80" t="n"/>
      <c r="AB2729" s="80" t="n"/>
      <c r="AC2729" s="80" t="n"/>
      <c r="AD2729" s="80" t="n"/>
      <c r="AE2729" s="80" t="n"/>
      <c r="AF2729" s="80" t="n"/>
      <c r="AG2729" s="80" t="n"/>
      <c r="AH2729" s="80" t="n"/>
      <c r="AI2729" s="80" t="n"/>
      <c r="AJ2729" s="80" t="n"/>
      <c r="AK2729" s="80" t="n"/>
      <c r="AL2729" s="80" t="n"/>
      <c r="AM2729" s="80" t="n"/>
      <c r="AN2729" s="80" t="n"/>
      <c r="AO2729" s="80" t="n"/>
      <c r="AP2729" s="80" t="n"/>
      <c r="AQ2729" s="80" t="n"/>
      <c r="AR2729" s="80" t="n"/>
    </row>
    <row r="2730">
      <c r="D2730" s="80" t="n"/>
      <c r="E2730" s="80" t="n"/>
      <c r="F2730" s="80" t="n"/>
      <c r="G2730" s="80" t="n"/>
      <c r="H2730" s="80" t="n"/>
      <c r="I2730" s="80" t="n"/>
      <c r="J2730" s="80" t="n"/>
      <c r="K2730" s="80" t="n"/>
      <c r="L2730" s="80" t="n"/>
      <c r="M2730" s="80" t="n"/>
      <c r="N2730" s="80" t="n"/>
      <c r="O2730" s="80" t="n"/>
      <c r="P2730" s="80" t="n"/>
      <c r="Q2730" s="80" t="n"/>
      <c r="R2730" s="80" t="n"/>
      <c r="S2730" s="80" t="n"/>
      <c r="T2730" s="80" t="n"/>
      <c r="U2730" s="80" t="n"/>
      <c r="V2730" s="80" t="n"/>
      <c r="W2730" s="80" t="n"/>
      <c r="X2730" s="80" t="n"/>
      <c r="Y2730" s="80" t="n"/>
      <c r="Z2730" s="80" t="n"/>
      <c r="AA2730" s="80" t="n"/>
      <c r="AB2730" s="80" t="n"/>
      <c r="AC2730" s="80" t="n"/>
      <c r="AD2730" s="80" t="n"/>
      <c r="AE2730" s="80" t="n"/>
      <c r="AF2730" s="80" t="n"/>
      <c r="AG2730" s="80" t="n"/>
      <c r="AH2730" s="80" t="n"/>
      <c r="AI2730" s="80" t="n"/>
      <c r="AJ2730" s="80" t="n"/>
      <c r="AK2730" s="80" t="n"/>
      <c r="AL2730" s="80" t="n"/>
      <c r="AM2730" s="80" t="n"/>
      <c r="AN2730" s="80" t="n"/>
      <c r="AO2730" s="80" t="n"/>
      <c r="AP2730" s="80" t="n"/>
      <c r="AQ2730" s="80" t="n"/>
      <c r="AR2730" s="80" t="n"/>
    </row>
    <row r="2731">
      <c r="D2731" s="80" t="n"/>
      <c r="E2731" s="80" t="n"/>
      <c r="F2731" s="80" t="n"/>
      <c r="G2731" s="80" t="n"/>
      <c r="H2731" s="80" t="n"/>
      <c r="I2731" s="80" t="n"/>
      <c r="J2731" s="80" t="n"/>
      <c r="K2731" s="80" t="n"/>
      <c r="L2731" s="80" t="n"/>
      <c r="M2731" s="80" t="n"/>
      <c r="N2731" s="80" t="n"/>
      <c r="O2731" s="80" t="n"/>
      <c r="P2731" s="80" t="n"/>
      <c r="Q2731" s="80" t="n"/>
      <c r="R2731" s="80" t="n"/>
      <c r="S2731" s="80" t="n"/>
      <c r="T2731" s="80" t="n"/>
      <c r="U2731" s="80" t="n"/>
      <c r="V2731" s="80" t="n"/>
      <c r="W2731" s="80" t="n"/>
      <c r="X2731" s="80" t="n"/>
      <c r="Y2731" s="80" t="n"/>
      <c r="Z2731" s="80" t="n"/>
      <c r="AA2731" s="80" t="n"/>
      <c r="AB2731" s="80" t="n"/>
      <c r="AC2731" s="80" t="n"/>
      <c r="AD2731" s="80" t="n"/>
      <c r="AE2731" s="80" t="n"/>
      <c r="AF2731" s="80" t="n"/>
      <c r="AG2731" s="80" t="n"/>
      <c r="AH2731" s="80" t="n"/>
      <c r="AI2731" s="80" t="n"/>
      <c r="AJ2731" s="80" t="n"/>
      <c r="AK2731" s="80" t="n"/>
      <c r="AL2731" s="80" t="n"/>
      <c r="AM2731" s="80" t="n"/>
      <c r="AN2731" s="80" t="n"/>
      <c r="AO2731" s="80" t="n"/>
      <c r="AP2731" s="80" t="n"/>
      <c r="AQ2731" s="80" t="n"/>
      <c r="AR2731" s="80" t="n"/>
    </row>
    <row r="2732">
      <c r="D2732" s="80" t="n"/>
      <c r="E2732" s="80" t="n"/>
      <c r="F2732" s="80" t="n"/>
      <c r="G2732" s="80" t="n"/>
      <c r="H2732" s="80" t="n"/>
      <c r="I2732" s="80" t="n"/>
      <c r="J2732" s="80" t="n"/>
      <c r="K2732" s="80" t="n"/>
      <c r="L2732" s="80" t="n"/>
      <c r="M2732" s="80" t="n"/>
      <c r="N2732" s="80" t="n"/>
      <c r="O2732" s="80" t="n"/>
      <c r="P2732" s="80" t="n"/>
      <c r="Q2732" s="80" t="n"/>
      <c r="R2732" s="80" t="n"/>
      <c r="S2732" s="80" t="n"/>
      <c r="T2732" s="80" t="n"/>
      <c r="U2732" s="80" t="n"/>
      <c r="V2732" s="80" t="n"/>
      <c r="W2732" s="80" t="n"/>
      <c r="X2732" s="80" t="n"/>
      <c r="Y2732" s="80" t="n"/>
      <c r="Z2732" s="80" t="n"/>
      <c r="AA2732" s="80" t="n"/>
      <c r="AB2732" s="80" t="n"/>
      <c r="AC2732" s="80" t="n"/>
      <c r="AD2732" s="80" t="n"/>
      <c r="AE2732" s="80" t="n"/>
      <c r="AF2732" s="80" t="n"/>
      <c r="AG2732" s="80" t="n"/>
      <c r="AH2732" s="80" t="n"/>
      <c r="AI2732" s="80" t="n"/>
      <c r="AJ2732" s="80" t="n"/>
      <c r="AK2732" s="80" t="n"/>
      <c r="AL2732" s="80" t="n"/>
      <c r="AM2732" s="80" t="n"/>
      <c r="AN2732" s="80" t="n"/>
      <c r="AO2732" s="80" t="n"/>
      <c r="AP2732" s="80" t="n"/>
      <c r="AQ2732" s="80" t="n"/>
      <c r="AR2732" s="80" t="n"/>
    </row>
    <row r="2734">
      <c r="A2734" s="6">
        <f>IF(HSCEI!$C$48="","",HSCEI!$C$48)</f>
        <v/>
      </c>
      <c r="B2734" s="41">
        <f>IF($A2734="",0,COUNT($E2735:$AR2735))</f>
        <v/>
      </c>
      <c r="C2734" s="81">
        <f>IF($B2734=0,0,MAX($E2735:$AR2735))</f>
        <v/>
      </c>
      <c r="D2734" s="82">
        <f>BDS($A2734,'Field Check'!$C$7,"headers=y","startcol=1","endcol=7","dir=h","DVD_START_DT",Summary!$C$18,"DVD_END_DT",Summary!$D$18)</f>
        <v/>
      </c>
      <c r="E2734" s="83" t="n"/>
      <c r="F2734" s="83" t="n"/>
      <c r="G2734" s="83" t="n"/>
      <c r="H2734" s="83" t="n"/>
      <c r="I2734" s="83" t="n"/>
      <c r="J2734" s="83" t="n"/>
      <c r="K2734" s="83" t="n"/>
      <c r="L2734" s="83" t="n"/>
      <c r="M2734" s="83" t="n"/>
      <c r="N2734" s="83" t="n"/>
      <c r="O2734" s="83" t="n"/>
      <c r="P2734" s="83" t="n"/>
      <c r="Q2734" s="83" t="n"/>
      <c r="R2734" s="83" t="n"/>
      <c r="S2734" s="83" t="n"/>
      <c r="T2734" s="83" t="n"/>
      <c r="U2734" s="83" t="n"/>
      <c r="V2734" s="83" t="n"/>
      <c r="W2734" s="83" t="n"/>
      <c r="X2734" s="83" t="n"/>
      <c r="Y2734" s="83" t="n"/>
      <c r="Z2734" s="83" t="n"/>
      <c r="AA2734" s="83" t="n"/>
      <c r="AB2734" s="83" t="n"/>
      <c r="AC2734" s="83" t="n"/>
      <c r="AD2734" s="83" t="n"/>
      <c r="AE2734" s="83" t="n"/>
      <c r="AF2734" s="83" t="n"/>
      <c r="AG2734" s="83" t="n"/>
      <c r="AH2734" s="83" t="n"/>
      <c r="AI2734" s="83" t="n"/>
      <c r="AJ2734" s="83" t="n"/>
      <c r="AK2734" s="83" t="n"/>
      <c r="AL2734" s="83" t="n"/>
      <c r="AM2734" s="83" t="n"/>
      <c r="AN2734" s="83" t="n"/>
      <c r="AO2734" s="83" t="n"/>
      <c r="AP2734" s="83" t="n"/>
      <c r="AQ2734" s="83" t="n"/>
      <c r="AR2734" s="83" t="n"/>
    </row>
    <row r="2735">
      <c r="D2735" s="83" t="n"/>
      <c r="E2735" s="83" t="n"/>
      <c r="F2735" s="83" t="n"/>
      <c r="G2735" s="83" t="n"/>
      <c r="H2735" s="83" t="n"/>
      <c r="I2735" s="83" t="n"/>
      <c r="J2735" s="83" t="n"/>
      <c r="K2735" s="83" t="n"/>
      <c r="L2735" s="83" t="n"/>
      <c r="M2735" s="83" t="n"/>
      <c r="N2735" s="83" t="n"/>
      <c r="O2735" s="83" t="n"/>
      <c r="P2735" s="83" t="n"/>
      <c r="Q2735" s="83" t="n"/>
      <c r="R2735" s="83" t="n"/>
      <c r="S2735" s="83" t="n"/>
      <c r="T2735" s="83" t="n"/>
      <c r="U2735" s="83" t="n"/>
      <c r="V2735" s="83" t="n"/>
      <c r="W2735" s="83" t="n"/>
      <c r="X2735" s="83" t="n"/>
      <c r="Y2735" s="83" t="n"/>
      <c r="Z2735" s="83" t="n"/>
      <c r="AA2735" s="83" t="n"/>
      <c r="AB2735" s="83" t="n"/>
      <c r="AC2735" s="83" t="n"/>
      <c r="AD2735" s="83" t="n"/>
      <c r="AE2735" s="83" t="n"/>
      <c r="AF2735" s="83" t="n"/>
      <c r="AG2735" s="83" t="n"/>
      <c r="AH2735" s="83" t="n"/>
      <c r="AI2735" s="83" t="n"/>
      <c r="AJ2735" s="83" t="n"/>
      <c r="AK2735" s="83" t="n"/>
      <c r="AL2735" s="83" t="n"/>
      <c r="AM2735" s="83" t="n"/>
      <c r="AN2735" s="83" t="n"/>
      <c r="AO2735" s="83" t="n"/>
      <c r="AP2735" s="83" t="n"/>
      <c r="AQ2735" s="83" t="n"/>
      <c r="AR2735" s="83" t="n"/>
    </row>
    <row r="2736">
      <c r="D2736" s="84" t="n"/>
      <c r="E2736" s="84" t="n"/>
      <c r="F2736" s="84" t="n"/>
      <c r="G2736" s="84" t="n"/>
      <c r="H2736" s="84" t="n"/>
      <c r="I2736" s="84" t="n"/>
      <c r="J2736" s="84" t="n"/>
      <c r="K2736" s="84" t="n"/>
      <c r="L2736" s="84" t="n"/>
      <c r="M2736" s="84" t="n"/>
      <c r="N2736" s="84" t="n"/>
      <c r="O2736" s="84" t="n"/>
      <c r="P2736" s="84" t="n"/>
      <c r="Q2736" s="84" t="n"/>
      <c r="R2736" s="84" t="n"/>
      <c r="S2736" s="84" t="n"/>
      <c r="T2736" s="84" t="n"/>
      <c r="U2736" s="84" t="n"/>
      <c r="V2736" s="84" t="n"/>
      <c r="W2736" s="84" t="n"/>
      <c r="X2736" s="84" t="n"/>
      <c r="Y2736" s="84" t="n"/>
      <c r="Z2736" s="84" t="n"/>
      <c r="AA2736" s="84" t="n"/>
      <c r="AB2736" s="84" t="n"/>
      <c r="AC2736" s="84" t="n"/>
      <c r="AD2736" s="84" t="n"/>
      <c r="AE2736" s="84" t="n"/>
      <c r="AF2736" s="84" t="n"/>
      <c r="AG2736" s="84" t="n"/>
      <c r="AH2736" s="84" t="n"/>
      <c r="AI2736" s="84" t="n"/>
      <c r="AJ2736" s="84" t="n"/>
      <c r="AK2736" s="84" t="n"/>
      <c r="AL2736" s="84" t="n"/>
      <c r="AM2736" s="84" t="n"/>
      <c r="AN2736" s="84" t="n"/>
      <c r="AO2736" s="84" t="n"/>
      <c r="AP2736" s="84" t="n"/>
      <c r="AQ2736" s="84" t="n"/>
      <c r="AR2736" s="84" t="n"/>
    </row>
    <row r="2737">
      <c r="D2737" s="80" t="n"/>
      <c r="E2737" s="80" t="n"/>
      <c r="F2737" s="80" t="n"/>
      <c r="G2737" s="80" t="n"/>
      <c r="H2737" s="80" t="n"/>
      <c r="I2737" s="80" t="n"/>
      <c r="J2737" s="80" t="n"/>
      <c r="K2737" s="80" t="n"/>
      <c r="L2737" s="80" t="n"/>
      <c r="M2737" s="80" t="n"/>
      <c r="N2737" s="80" t="n"/>
      <c r="O2737" s="80" t="n"/>
      <c r="P2737" s="80" t="n"/>
      <c r="Q2737" s="80" t="n"/>
      <c r="R2737" s="80" t="n"/>
      <c r="S2737" s="80" t="n"/>
      <c r="T2737" s="80" t="n"/>
      <c r="U2737" s="80" t="n"/>
      <c r="V2737" s="80" t="n"/>
      <c r="W2737" s="80" t="n"/>
      <c r="X2737" s="80" t="n"/>
      <c r="Y2737" s="80" t="n"/>
      <c r="Z2737" s="80" t="n"/>
      <c r="AA2737" s="80" t="n"/>
      <c r="AB2737" s="80" t="n"/>
      <c r="AC2737" s="80" t="n"/>
      <c r="AD2737" s="80" t="n"/>
      <c r="AE2737" s="80" t="n"/>
      <c r="AF2737" s="80" t="n"/>
      <c r="AG2737" s="80" t="n"/>
      <c r="AH2737" s="80" t="n"/>
      <c r="AI2737" s="80" t="n"/>
      <c r="AJ2737" s="80" t="n"/>
      <c r="AK2737" s="80" t="n"/>
      <c r="AL2737" s="80" t="n"/>
      <c r="AM2737" s="80" t="n"/>
      <c r="AN2737" s="80" t="n"/>
      <c r="AO2737" s="80" t="n"/>
      <c r="AP2737" s="80" t="n"/>
      <c r="AQ2737" s="80" t="n"/>
      <c r="AR2737" s="80" t="n"/>
    </row>
    <row r="2738">
      <c r="D2738" s="80" t="n"/>
      <c r="E2738" s="80" t="n"/>
      <c r="F2738" s="80" t="n"/>
      <c r="G2738" s="80" t="n"/>
      <c r="H2738" s="80" t="n"/>
      <c r="I2738" s="80" t="n"/>
      <c r="J2738" s="80" t="n"/>
      <c r="K2738" s="80" t="n"/>
      <c r="L2738" s="80" t="n"/>
      <c r="M2738" s="80" t="n"/>
      <c r="N2738" s="80" t="n"/>
      <c r="O2738" s="80" t="n"/>
      <c r="P2738" s="80" t="n"/>
      <c r="Q2738" s="80" t="n"/>
      <c r="R2738" s="80" t="n"/>
      <c r="S2738" s="80" t="n"/>
      <c r="T2738" s="80" t="n"/>
      <c r="U2738" s="80" t="n"/>
      <c r="V2738" s="80" t="n"/>
      <c r="W2738" s="80" t="n"/>
      <c r="X2738" s="80" t="n"/>
      <c r="Y2738" s="80" t="n"/>
      <c r="Z2738" s="80" t="n"/>
      <c r="AA2738" s="80" t="n"/>
      <c r="AB2738" s="80" t="n"/>
      <c r="AC2738" s="80" t="n"/>
      <c r="AD2738" s="80" t="n"/>
      <c r="AE2738" s="80" t="n"/>
      <c r="AF2738" s="80" t="n"/>
      <c r="AG2738" s="80" t="n"/>
      <c r="AH2738" s="80" t="n"/>
      <c r="AI2738" s="80" t="n"/>
      <c r="AJ2738" s="80" t="n"/>
      <c r="AK2738" s="80" t="n"/>
      <c r="AL2738" s="80" t="n"/>
      <c r="AM2738" s="80" t="n"/>
      <c r="AN2738" s="80" t="n"/>
      <c r="AO2738" s="80" t="n"/>
      <c r="AP2738" s="80" t="n"/>
      <c r="AQ2738" s="80" t="n"/>
      <c r="AR2738" s="80" t="n"/>
    </row>
    <row r="2739">
      <c r="D2739" s="80" t="n"/>
      <c r="E2739" s="80" t="n"/>
      <c r="F2739" s="80" t="n"/>
      <c r="G2739" s="80" t="n"/>
      <c r="H2739" s="80" t="n"/>
      <c r="I2739" s="80" t="n"/>
      <c r="J2739" s="80" t="n"/>
      <c r="K2739" s="80" t="n"/>
      <c r="L2739" s="80" t="n"/>
      <c r="M2739" s="80" t="n"/>
      <c r="N2739" s="80" t="n"/>
      <c r="O2739" s="80" t="n"/>
      <c r="P2739" s="80" t="n"/>
      <c r="Q2739" s="80" t="n"/>
      <c r="R2739" s="80" t="n"/>
      <c r="S2739" s="80" t="n"/>
      <c r="T2739" s="80" t="n"/>
      <c r="U2739" s="80" t="n"/>
      <c r="V2739" s="80" t="n"/>
      <c r="W2739" s="80" t="n"/>
      <c r="X2739" s="80" t="n"/>
      <c r="Y2739" s="80" t="n"/>
      <c r="Z2739" s="80" t="n"/>
      <c r="AA2739" s="80" t="n"/>
      <c r="AB2739" s="80" t="n"/>
      <c r="AC2739" s="80" t="n"/>
      <c r="AD2739" s="80" t="n"/>
      <c r="AE2739" s="80" t="n"/>
      <c r="AF2739" s="80" t="n"/>
      <c r="AG2739" s="80" t="n"/>
      <c r="AH2739" s="80" t="n"/>
      <c r="AI2739" s="80" t="n"/>
      <c r="AJ2739" s="80" t="n"/>
      <c r="AK2739" s="80" t="n"/>
      <c r="AL2739" s="80" t="n"/>
      <c r="AM2739" s="80" t="n"/>
      <c r="AN2739" s="80" t="n"/>
      <c r="AO2739" s="80" t="n"/>
      <c r="AP2739" s="80" t="n"/>
      <c r="AQ2739" s="80" t="n"/>
      <c r="AR2739" s="80" t="n"/>
    </row>
    <row r="2740">
      <c r="D2740" s="80" t="n"/>
      <c r="E2740" s="80" t="n"/>
      <c r="F2740" s="80" t="n"/>
      <c r="G2740" s="80" t="n"/>
      <c r="H2740" s="80" t="n"/>
      <c r="I2740" s="80" t="n"/>
      <c r="J2740" s="80" t="n"/>
      <c r="K2740" s="80" t="n"/>
      <c r="L2740" s="80" t="n"/>
      <c r="M2740" s="80" t="n"/>
      <c r="N2740" s="80" t="n"/>
      <c r="O2740" s="80" t="n"/>
      <c r="P2740" s="80" t="n"/>
      <c r="Q2740" s="80" t="n"/>
      <c r="R2740" s="80" t="n"/>
      <c r="S2740" s="80" t="n"/>
      <c r="T2740" s="80" t="n"/>
      <c r="U2740" s="80" t="n"/>
      <c r="V2740" s="80" t="n"/>
      <c r="W2740" s="80" t="n"/>
      <c r="X2740" s="80" t="n"/>
      <c r="Y2740" s="80" t="n"/>
      <c r="Z2740" s="80" t="n"/>
      <c r="AA2740" s="80" t="n"/>
      <c r="AB2740" s="80" t="n"/>
      <c r="AC2740" s="80" t="n"/>
      <c r="AD2740" s="80" t="n"/>
      <c r="AE2740" s="80" t="n"/>
      <c r="AF2740" s="80" t="n"/>
      <c r="AG2740" s="80" t="n"/>
      <c r="AH2740" s="80" t="n"/>
      <c r="AI2740" s="80" t="n"/>
      <c r="AJ2740" s="80" t="n"/>
      <c r="AK2740" s="80" t="n"/>
      <c r="AL2740" s="80" t="n"/>
      <c r="AM2740" s="80" t="n"/>
      <c r="AN2740" s="80" t="n"/>
      <c r="AO2740" s="80" t="n"/>
      <c r="AP2740" s="80" t="n"/>
      <c r="AQ2740" s="80" t="n"/>
      <c r="AR2740" s="80" t="n"/>
    </row>
    <row r="2741">
      <c r="A2741" s="2">
        <f>IF($A2734="","","   projections")</f>
        <v/>
      </c>
      <c r="B2741" s="41">
        <f>IF($A2734="",0,COUNT($E2742:$AR2742))</f>
        <v/>
      </c>
      <c r="C2741" s="81">
        <f>IF($B2741=0,0,MAX($E2742:$AR2742))</f>
        <v/>
      </c>
      <c r="D2741" s="82">
        <f>BDS($A2734,'Field Check'!$C$6,"headers=y","startcol=1","endcol=7","dir=h")</f>
        <v/>
      </c>
      <c r="E2741" s="83" t="n"/>
      <c r="F2741" s="83" t="n"/>
      <c r="G2741" s="83" t="n"/>
      <c r="H2741" s="83" t="n"/>
      <c r="I2741" s="83" t="n"/>
      <c r="J2741" s="83" t="n"/>
      <c r="K2741" s="83" t="n"/>
      <c r="L2741" s="83" t="n"/>
      <c r="M2741" s="83" t="n"/>
      <c r="N2741" s="83" t="n"/>
      <c r="O2741" s="83" t="n"/>
      <c r="P2741" s="83" t="n"/>
      <c r="Q2741" s="83" t="n"/>
      <c r="R2741" s="83" t="n"/>
      <c r="S2741" s="83" t="n"/>
      <c r="T2741" s="83" t="n"/>
      <c r="U2741" s="83" t="n"/>
      <c r="V2741" s="83" t="n"/>
      <c r="W2741" s="83" t="n"/>
      <c r="X2741" s="83" t="n"/>
      <c r="Y2741" s="83" t="n"/>
      <c r="Z2741" s="83" t="n"/>
      <c r="AA2741" s="83" t="n"/>
      <c r="AB2741" s="83" t="n"/>
      <c r="AC2741" s="83" t="n"/>
      <c r="AD2741" s="83" t="n"/>
      <c r="AE2741" s="83" t="n"/>
      <c r="AF2741" s="83" t="n"/>
      <c r="AG2741" s="83" t="n"/>
      <c r="AH2741" s="83" t="n"/>
      <c r="AI2741" s="83" t="n"/>
      <c r="AJ2741" s="83" t="n"/>
      <c r="AK2741" s="83" t="n"/>
      <c r="AL2741" s="83" t="n"/>
      <c r="AM2741" s="83" t="n"/>
      <c r="AN2741" s="83" t="n"/>
      <c r="AO2741" s="83" t="n"/>
      <c r="AP2741" s="83" t="n"/>
      <c r="AQ2741" s="83" t="n"/>
      <c r="AR2741" s="83" t="n"/>
    </row>
    <row r="2742">
      <c r="D2742" s="83" t="n"/>
      <c r="E2742" s="83" t="n"/>
      <c r="F2742" s="83" t="n"/>
      <c r="G2742" s="83" t="n"/>
      <c r="H2742" s="83" t="n"/>
      <c r="I2742" s="83" t="n"/>
      <c r="J2742" s="83" t="n"/>
      <c r="K2742" s="83" t="n"/>
      <c r="L2742" s="83" t="n"/>
      <c r="M2742" s="83" t="n"/>
      <c r="N2742" s="83" t="n"/>
      <c r="O2742" s="83" t="n"/>
      <c r="P2742" s="83" t="n"/>
      <c r="Q2742" s="83" t="n"/>
      <c r="R2742" s="83" t="n"/>
      <c r="S2742" s="83" t="n"/>
      <c r="T2742" s="83" t="n"/>
      <c r="U2742" s="83" t="n"/>
      <c r="V2742" s="83" t="n"/>
      <c r="W2742" s="83" t="n"/>
      <c r="X2742" s="83" t="n"/>
      <c r="Y2742" s="83" t="n"/>
      <c r="Z2742" s="83" t="n"/>
      <c r="AA2742" s="83" t="n"/>
      <c r="AB2742" s="83" t="n"/>
      <c r="AC2742" s="83" t="n"/>
      <c r="AD2742" s="83" t="n"/>
      <c r="AE2742" s="83" t="n"/>
      <c r="AF2742" s="83" t="n"/>
      <c r="AG2742" s="83" t="n"/>
      <c r="AH2742" s="83" t="n"/>
      <c r="AI2742" s="83" t="n"/>
      <c r="AJ2742" s="83" t="n"/>
      <c r="AK2742" s="83" t="n"/>
      <c r="AL2742" s="83" t="n"/>
      <c r="AM2742" s="83" t="n"/>
      <c r="AN2742" s="83" t="n"/>
      <c r="AO2742" s="83" t="n"/>
      <c r="AP2742" s="83" t="n"/>
      <c r="AQ2742" s="83" t="n"/>
      <c r="AR2742" s="83" t="n"/>
    </row>
    <row r="2743">
      <c r="D2743" s="84" t="n"/>
      <c r="E2743" s="84" t="n"/>
      <c r="F2743" s="84" t="n"/>
      <c r="G2743" s="84" t="n"/>
      <c r="H2743" s="84" t="n"/>
      <c r="I2743" s="84" t="n"/>
      <c r="J2743" s="84" t="n"/>
      <c r="K2743" s="84" t="n"/>
      <c r="L2743" s="84" t="n"/>
      <c r="M2743" s="84" t="n"/>
      <c r="N2743" s="84" t="n"/>
      <c r="O2743" s="84" t="n"/>
      <c r="P2743" s="84" t="n"/>
      <c r="Q2743" s="84" t="n"/>
      <c r="R2743" s="84" t="n"/>
      <c r="S2743" s="84" t="n"/>
      <c r="T2743" s="84" t="n"/>
      <c r="U2743" s="84" t="n"/>
      <c r="V2743" s="84" t="n"/>
      <c r="W2743" s="84" t="n"/>
      <c r="X2743" s="84" t="n"/>
      <c r="Y2743" s="84" t="n"/>
      <c r="Z2743" s="84" t="n"/>
      <c r="AA2743" s="84" t="n"/>
      <c r="AB2743" s="84" t="n"/>
      <c r="AC2743" s="84" t="n"/>
      <c r="AD2743" s="84" t="n"/>
      <c r="AE2743" s="84" t="n"/>
      <c r="AF2743" s="84" t="n"/>
      <c r="AG2743" s="84" t="n"/>
      <c r="AH2743" s="84" t="n"/>
      <c r="AI2743" s="84" t="n"/>
      <c r="AJ2743" s="84" t="n"/>
      <c r="AK2743" s="84" t="n"/>
      <c r="AL2743" s="84" t="n"/>
      <c r="AM2743" s="84" t="n"/>
      <c r="AN2743" s="84" t="n"/>
      <c r="AO2743" s="84" t="n"/>
      <c r="AP2743" s="84" t="n"/>
      <c r="AQ2743" s="84" t="n"/>
      <c r="AR2743" s="84" t="n"/>
    </row>
    <row r="2744">
      <c r="D2744" s="80" t="n"/>
      <c r="E2744" s="80" t="n"/>
      <c r="F2744" s="80" t="n"/>
      <c r="G2744" s="80" t="n"/>
      <c r="H2744" s="80" t="n"/>
      <c r="I2744" s="80" t="n"/>
      <c r="J2744" s="80" t="n"/>
      <c r="K2744" s="80" t="n"/>
      <c r="L2744" s="80" t="n"/>
      <c r="M2744" s="80" t="n"/>
      <c r="N2744" s="80" t="n"/>
      <c r="O2744" s="80" t="n"/>
      <c r="P2744" s="80" t="n"/>
      <c r="Q2744" s="80" t="n"/>
      <c r="R2744" s="80" t="n"/>
      <c r="S2744" s="80" t="n"/>
      <c r="T2744" s="80" t="n"/>
      <c r="U2744" s="80" t="n"/>
      <c r="V2744" s="80" t="n"/>
      <c r="W2744" s="80" t="n"/>
      <c r="X2744" s="80" t="n"/>
      <c r="Y2744" s="80" t="n"/>
      <c r="Z2744" s="80" t="n"/>
      <c r="AA2744" s="80" t="n"/>
      <c r="AB2744" s="80" t="n"/>
      <c r="AC2744" s="80" t="n"/>
      <c r="AD2744" s="80" t="n"/>
      <c r="AE2744" s="80" t="n"/>
      <c r="AF2744" s="80" t="n"/>
      <c r="AG2744" s="80" t="n"/>
      <c r="AH2744" s="80" t="n"/>
      <c r="AI2744" s="80" t="n"/>
      <c r="AJ2744" s="80" t="n"/>
      <c r="AK2744" s="80" t="n"/>
      <c r="AL2744" s="80" t="n"/>
      <c r="AM2744" s="80" t="n"/>
      <c r="AN2744" s="80" t="n"/>
      <c r="AO2744" s="80" t="n"/>
      <c r="AP2744" s="80" t="n"/>
      <c r="AQ2744" s="80" t="n"/>
      <c r="AR2744" s="80" t="n"/>
    </row>
    <row r="2745">
      <c r="D2745" s="80" t="n"/>
      <c r="E2745" s="80" t="n"/>
      <c r="F2745" s="80" t="n"/>
      <c r="G2745" s="80" t="n"/>
      <c r="H2745" s="80" t="n"/>
      <c r="I2745" s="80" t="n"/>
      <c r="J2745" s="80" t="n"/>
      <c r="K2745" s="80" t="n"/>
      <c r="L2745" s="80" t="n"/>
      <c r="M2745" s="80" t="n"/>
      <c r="N2745" s="80" t="n"/>
      <c r="O2745" s="80" t="n"/>
      <c r="P2745" s="80" t="n"/>
      <c r="Q2745" s="80" t="n"/>
      <c r="R2745" s="80" t="n"/>
      <c r="S2745" s="80" t="n"/>
      <c r="T2745" s="80" t="n"/>
      <c r="U2745" s="80" t="n"/>
      <c r="V2745" s="80" t="n"/>
      <c r="W2745" s="80" t="n"/>
      <c r="X2745" s="80" t="n"/>
      <c r="Y2745" s="80" t="n"/>
      <c r="Z2745" s="80" t="n"/>
      <c r="AA2745" s="80" t="n"/>
      <c r="AB2745" s="80" t="n"/>
      <c r="AC2745" s="80" t="n"/>
      <c r="AD2745" s="80" t="n"/>
      <c r="AE2745" s="80" t="n"/>
      <c r="AF2745" s="80" t="n"/>
      <c r="AG2745" s="80" t="n"/>
      <c r="AH2745" s="80" t="n"/>
      <c r="AI2745" s="80" t="n"/>
      <c r="AJ2745" s="80" t="n"/>
      <c r="AK2745" s="80" t="n"/>
      <c r="AL2745" s="80" t="n"/>
      <c r="AM2745" s="80" t="n"/>
      <c r="AN2745" s="80" t="n"/>
      <c r="AO2745" s="80" t="n"/>
      <c r="AP2745" s="80" t="n"/>
      <c r="AQ2745" s="80" t="n"/>
      <c r="AR2745" s="80" t="n"/>
    </row>
    <row r="2746">
      <c r="D2746" s="80" t="n"/>
      <c r="E2746" s="80" t="n"/>
      <c r="F2746" s="80" t="n"/>
      <c r="G2746" s="80" t="n"/>
      <c r="H2746" s="80" t="n"/>
      <c r="I2746" s="80" t="n"/>
      <c r="J2746" s="80" t="n"/>
      <c r="K2746" s="80" t="n"/>
      <c r="L2746" s="80" t="n"/>
      <c r="M2746" s="80" t="n"/>
      <c r="N2746" s="80" t="n"/>
      <c r="O2746" s="80" t="n"/>
      <c r="P2746" s="80" t="n"/>
      <c r="Q2746" s="80" t="n"/>
      <c r="R2746" s="80" t="n"/>
      <c r="S2746" s="80" t="n"/>
      <c r="T2746" s="80" t="n"/>
      <c r="U2746" s="80" t="n"/>
      <c r="V2746" s="80" t="n"/>
      <c r="W2746" s="80" t="n"/>
      <c r="X2746" s="80" t="n"/>
      <c r="Y2746" s="80" t="n"/>
      <c r="Z2746" s="80" t="n"/>
      <c r="AA2746" s="80" t="n"/>
      <c r="AB2746" s="80" t="n"/>
      <c r="AC2746" s="80" t="n"/>
      <c r="AD2746" s="80" t="n"/>
      <c r="AE2746" s="80" t="n"/>
      <c r="AF2746" s="80" t="n"/>
      <c r="AG2746" s="80" t="n"/>
      <c r="AH2746" s="80" t="n"/>
      <c r="AI2746" s="80" t="n"/>
      <c r="AJ2746" s="80" t="n"/>
      <c r="AK2746" s="80" t="n"/>
      <c r="AL2746" s="80" t="n"/>
      <c r="AM2746" s="80" t="n"/>
      <c r="AN2746" s="80" t="n"/>
      <c r="AO2746" s="80" t="n"/>
      <c r="AP2746" s="80" t="n"/>
      <c r="AQ2746" s="80" t="n"/>
      <c r="AR2746" s="80" t="n"/>
    </row>
    <row r="2747">
      <c r="D2747" s="80" t="n"/>
      <c r="E2747" s="80" t="n"/>
      <c r="F2747" s="80" t="n"/>
      <c r="G2747" s="80" t="n"/>
      <c r="H2747" s="80" t="n"/>
      <c r="I2747" s="80" t="n"/>
      <c r="J2747" s="80" t="n"/>
      <c r="K2747" s="80" t="n"/>
      <c r="L2747" s="80" t="n"/>
      <c r="M2747" s="80" t="n"/>
      <c r="N2747" s="80" t="n"/>
      <c r="O2747" s="80" t="n"/>
      <c r="P2747" s="80" t="n"/>
      <c r="Q2747" s="80" t="n"/>
      <c r="R2747" s="80" t="n"/>
      <c r="S2747" s="80" t="n"/>
      <c r="T2747" s="80" t="n"/>
      <c r="U2747" s="80" t="n"/>
      <c r="V2747" s="80" t="n"/>
      <c r="W2747" s="80" t="n"/>
      <c r="X2747" s="80" t="n"/>
      <c r="Y2747" s="80" t="n"/>
      <c r="Z2747" s="80" t="n"/>
      <c r="AA2747" s="80" t="n"/>
      <c r="AB2747" s="80" t="n"/>
      <c r="AC2747" s="80" t="n"/>
      <c r="AD2747" s="80" t="n"/>
      <c r="AE2747" s="80" t="n"/>
      <c r="AF2747" s="80" t="n"/>
      <c r="AG2747" s="80" t="n"/>
      <c r="AH2747" s="80" t="n"/>
      <c r="AI2747" s="80" t="n"/>
      <c r="AJ2747" s="80" t="n"/>
      <c r="AK2747" s="80" t="n"/>
      <c r="AL2747" s="80" t="n"/>
      <c r="AM2747" s="80" t="n"/>
      <c r="AN2747" s="80" t="n"/>
      <c r="AO2747" s="80" t="n"/>
      <c r="AP2747" s="80" t="n"/>
      <c r="AQ2747" s="80" t="n"/>
      <c r="AR2747" s="80" t="n"/>
    </row>
    <row r="2749">
      <c r="A2749" s="6">
        <f>IF(HSCEI!$C$49="","",HSCEI!$C$49)</f>
        <v/>
      </c>
      <c r="B2749" s="41">
        <f>IF($A2749="",0,COUNT($E2750:$AR2750))</f>
        <v/>
      </c>
      <c r="C2749" s="81">
        <f>IF($B2749=0,0,MAX($E2750:$AR2750))</f>
        <v/>
      </c>
      <c r="D2749" s="82">
        <f>BDS($A2749,'Field Check'!$C$7,"headers=y","startcol=1","endcol=7","dir=h","DVD_START_DT",Summary!$C$18,"DVD_END_DT",Summary!$D$18)</f>
        <v/>
      </c>
      <c r="E2749" s="83" t="n"/>
      <c r="F2749" s="83" t="n"/>
      <c r="G2749" s="83" t="n"/>
      <c r="H2749" s="83" t="n"/>
      <c r="I2749" s="83" t="n"/>
      <c r="J2749" s="83" t="n"/>
      <c r="K2749" s="83" t="n"/>
      <c r="L2749" s="83" t="n"/>
      <c r="M2749" s="83" t="n"/>
      <c r="N2749" s="83" t="n"/>
      <c r="O2749" s="83" t="n"/>
      <c r="P2749" s="83" t="n"/>
      <c r="Q2749" s="83" t="n"/>
      <c r="R2749" s="83" t="n"/>
      <c r="S2749" s="83" t="n"/>
      <c r="T2749" s="83" t="n"/>
      <c r="U2749" s="83" t="n"/>
      <c r="V2749" s="83" t="n"/>
      <c r="W2749" s="83" t="n"/>
      <c r="X2749" s="83" t="n"/>
      <c r="Y2749" s="83" t="n"/>
      <c r="Z2749" s="83" t="n"/>
      <c r="AA2749" s="83" t="n"/>
      <c r="AB2749" s="83" t="n"/>
      <c r="AC2749" s="83" t="n"/>
      <c r="AD2749" s="83" t="n"/>
      <c r="AE2749" s="83" t="n"/>
      <c r="AF2749" s="83" t="n"/>
      <c r="AG2749" s="83" t="n"/>
      <c r="AH2749" s="83" t="n"/>
      <c r="AI2749" s="83" t="n"/>
      <c r="AJ2749" s="83" t="n"/>
      <c r="AK2749" s="83" t="n"/>
      <c r="AL2749" s="83" t="n"/>
      <c r="AM2749" s="83" t="n"/>
      <c r="AN2749" s="83" t="n"/>
      <c r="AO2749" s="83" t="n"/>
      <c r="AP2749" s="83" t="n"/>
      <c r="AQ2749" s="83" t="n"/>
      <c r="AR2749" s="83" t="n"/>
    </row>
    <row r="2750">
      <c r="D2750" s="83" t="n"/>
      <c r="E2750" s="83" t="n"/>
      <c r="F2750" s="83" t="n"/>
      <c r="G2750" s="83" t="n"/>
      <c r="H2750" s="83" t="n"/>
      <c r="I2750" s="83" t="n"/>
      <c r="J2750" s="83" t="n"/>
      <c r="K2750" s="83" t="n"/>
      <c r="L2750" s="83" t="n"/>
      <c r="M2750" s="83" t="n"/>
      <c r="N2750" s="83" t="n"/>
      <c r="O2750" s="83" t="n"/>
      <c r="P2750" s="83" t="n"/>
      <c r="Q2750" s="83" t="n"/>
      <c r="R2750" s="83" t="n"/>
      <c r="S2750" s="83" t="n"/>
      <c r="T2750" s="83" t="n"/>
      <c r="U2750" s="83" t="n"/>
      <c r="V2750" s="83" t="n"/>
      <c r="W2750" s="83" t="n"/>
      <c r="X2750" s="83" t="n"/>
      <c r="Y2750" s="83" t="n"/>
      <c r="Z2750" s="83" t="n"/>
      <c r="AA2750" s="83" t="n"/>
      <c r="AB2750" s="83" t="n"/>
      <c r="AC2750" s="83" t="n"/>
      <c r="AD2750" s="83" t="n"/>
      <c r="AE2750" s="83" t="n"/>
      <c r="AF2750" s="83" t="n"/>
      <c r="AG2750" s="83" t="n"/>
      <c r="AH2750" s="83" t="n"/>
      <c r="AI2750" s="83" t="n"/>
      <c r="AJ2750" s="83" t="n"/>
      <c r="AK2750" s="83" t="n"/>
      <c r="AL2750" s="83" t="n"/>
      <c r="AM2750" s="83" t="n"/>
      <c r="AN2750" s="83" t="n"/>
      <c r="AO2750" s="83" t="n"/>
      <c r="AP2750" s="83" t="n"/>
      <c r="AQ2750" s="83" t="n"/>
      <c r="AR2750" s="83" t="n"/>
    </row>
    <row r="2751">
      <c r="D2751" s="84" t="n"/>
      <c r="E2751" s="84" t="n"/>
      <c r="F2751" s="84" t="n"/>
      <c r="G2751" s="84" t="n"/>
      <c r="H2751" s="84" t="n"/>
      <c r="I2751" s="84" t="n"/>
      <c r="J2751" s="84" t="n"/>
      <c r="K2751" s="84" t="n"/>
      <c r="L2751" s="84" t="n"/>
      <c r="M2751" s="84" t="n"/>
      <c r="N2751" s="84" t="n"/>
      <c r="O2751" s="84" t="n"/>
      <c r="P2751" s="84" t="n"/>
      <c r="Q2751" s="84" t="n"/>
      <c r="R2751" s="84" t="n"/>
      <c r="S2751" s="84" t="n"/>
      <c r="T2751" s="84" t="n"/>
      <c r="U2751" s="84" t="n"/>
      <c r="V2751" s="84" t="n"/>
      <c r="W2751" s="84" t="n"/>
      <c r="X2751" s="84" t="n"/>
      <c r="Y2751" s="84" t="n"/>
      <c r="Z2751" s="84" t="n"/>
      <c r="AA2751" s="84" t="n"/>
      <c r="AB2751" s="84" t="n"/>
      <c r="AC2751" s="84" t="n"/>
      <c r="AD2751" s="84" t="n"/>
      <c r="AE2751" s="84" t="n"/>
      <c r="AF2751" s="84" t="n"/>
      <c r="AG2751" s="84" t="n"/>
      <c r="AH2751" s="84" t="n"/>
      <c r="AI2751" s="84" t="n"/>
      <c r="AJ2751" s="84" t="n"/>
      <c r="AK2751" s="84" t="n"/>
      <c r="AL2751" s="84" t="n"/>
      <c r="AM2751" s="84" t="n"/>
      <c r="AN2751" s="84" t="n"/>
      <c r="AO2751" s="84" t="n"/>
      <c r="AP2751" s="84" t="n"/>
      <c r="AQ2751" s="84" t="n"/>
      <c r="AR2751" s="84" t="n"/>
    </row>
    <row r="2752">
      <c r="D2752" s="80" t="n"/>
      <c r="E2752" s="80" t="n"/>
      <c r="F2752" s="80" t="n"/>
      <c r="G2752" s="80" t="n"/>
      <c r="H2752" s="80" t="n"/>
      <c r="I2752" s="80" t="n"/>
      <c r="J2752" s="80" t="n"/>
      <c r="K2752" s="80" t="n"/>
      <c r="L2752" s="80" t="n"/>
      <c r="M2752" s="80" t="n"/>
      <c r="N2752" s="80" t="n"/>
      <c r="O2752" s="80" t="n"/>
      <c r="P2752" s="80" t="n"/>
      <c r="Q2752" s="80" t="n"/>
      <c r="R2752" s="80" t="n"/>
      <c r="S2752" s="80" t="n"/>
      <c r="T2752" s="80" t="n"/>
      <c r="U2752" s="80" t="n"/>
      <c r="V2752" s="80" t="n"/>
      <c r="W2752" s="80" t="n"/>
      <c r="X2752" s="80" t="n"/>
      <c r="Y2752" s="80" t="n"/>
      <c r="Z2752" s="80" t="n"/>
      <c r="AA2752" s="80" t="n"/>
      <c r="AB2752" s="80" t="n"/>
      <c r="AC2752" s="80" t="n"/>
      <c r="AD2752" s="80" t="n"/>
      <c r="AE2752" s="80" t="n"/>
      <c r="AF2752" s="80" t="n"/>
      <c r="AG2752" s="80" t="n"/>
      <c r="AH2752" s="80" t="n"/>
      <c r="AI2752" s="80" t="n"/>
      <c r="AJ2752" s="80" t="n"/>
      <c r="AK2752" s="80" t="n"/>
      <c r="AL2752" s="80" t="n"/>
      <c r="AM2752" s="80" t="n"/>
      <c r="AN2752" s="80" t="n"/>
      <c r="AO2752" s="80" t="n"/>
      <c r="AP2752" s="80" t="n"/>
      <c r="AQ2752" s="80" t="n"/>
      <c r="AR2752" s="80" t="n"/>
    </row>
    <row r="2753">
      <c r="D2753" s="80" t="n"/>
      <c r="E2753" s="80" t="n"/>
      <c r="F2753" s="80" t="n"/>
      <c r="G2753" s="80" t="n"/>
      <c r="H2753" s="80" t="n"/>
      <c r="I2753" s="80" t="n"/>
      <c r="J2753" s="80" t="n"/>
      <c r="K2753" s="80" t="n"/>
      <c r="L2753" s="80" t="n"/>
      <c r="M2753" s="80" t="n"/>
      <c r="N2753" s="80" t="n"/>
      <c r="O2753" s="80" t="n"/>
      <c r="P2753" s="80" t="n"/>
      <c r="Q2753" s="80" t="n"/>
      <c r="R2753" s="80" t="n"/>
      <c r="S2753" s="80" t="n"/>
      <c r="T2753" s="80" t="n"/>
      <c r="U2753" s="80" t="n"/>
      <c r="V2753" s="80" t="n"/>
      <c r="W2753" s="80" t="n"/>
      <c r="X2753" s="80" t="n"/>
      <c r="Y2753" s="80" t="n"/>
      <c r="Z2753" s="80" t="n"/>
      <c r="AA2753" s="80" t="n"/>
      <c r="AB2753" s="80" t="n"/>
      <c r="AC2753" s="80" t="n"/>
      <c r="AD2753" s="80" t="n"/>
      <c r="AE2753" s="80" t="n"/>
      <c r="AF2753" s="80" t="n"/>
      <c r="AG2753" s="80" t="n"/>
      <c r="AH2753" s="80" t="n"/>
      <c r="AI2753" s="80" t="n"/>
      <c r="AJ2753" s="80" t="n"/>
      <c r="AK2753" s="80" t="n"/>
      <c r="AL2753" s="80" t="n"/>
      <c r="AM2753" s="80" t="n"/>
      <c r="AN2753" s="80" t="n"/>
      <c r="AO2753" s="80" t="n"/>
      <c r="AP2753" s="80" t="n"/>
      <c r="AQ2753" s="80" t="n"/>
      <c r="AR2753" s="80" t="n"/>
    </row>
    <row r="2754">
      <c r="D2754" s="80" t="n"/>
      <c r="E2754" s="80" t="n"/>
      <c r="F2754" s="80" t="n"/>
      <c r="G2754" s="80" t="n"/>
      <c r="H2754" s="80" t="n"/>
      <c r="I2754" s="80" t="n"/>
      <c r="J2754" s="80" t="n"/>
      <c r="K2754" s="80" t="n"/>
      <c r="L2754" s="80" t="n"/>
      <c r="M2754" s="80" t="n"/>
      <c r="N2754" s="80" t="n"/>
      <c r="O2754" s="80" t="n"/>
      <c r="P2754" s="80" t="n"/>
      <c r="Q2754" s="80" t="n"/>
      <c r="R2754" s="80" t="n"/>
      <c r="S2754" s="80" t="n"/>
      <c r="T2754" s="80" t="n"/>
      <c r="U2754" s="80" t="n"/>
      <c r="V2754" s="80" t="n"/>
      <c r="W2754" s="80" t="n"/>
      <c r="X2754" s="80" t="n"/>
      <c r="Y2754" s="80" t="n"/>
      <c r="Z2754" s="80" t="n"/>
      <c r="AA2754" s="80" t="n"/>
      <c r="AB2754" s="80" t="n"/>
      <c r="AC2754" s="80" t="n"/>
      <c r="AD2754" s="80" t="n"/>
      <c r="AE2754" s="80" t="n"/>
      <c r="AF2754" s="80" t="n"/>
      <c r="AG2754" s="80" t="n"/>
      <c r="AH2754" s="80" t="n"/>
      <c r="AI2754" s="80" t="n"/>
      <c r="AJ2754" s="80" t="n"/>
      <c r="AK2754" s="80" t="n"/>
      <c r="AL2754" s="80" t="n"/>
      <c r="AM2754" s="80" t="n"/>
      <c r="AN2754" s="80" t="n"/>
      <c r="AO2754" s="80" t="n"/>
      <c r="AP2754" s="80" t="n"/>
      <c r="AQ2754" s="80" t="n"/>
      <c r="AR2754" s="80" t="n"/>
    </row>
    <row r="2755">
      <c r="D2755" s="80" t="n"/>
      <c r="E2755" s="80" t="n"/>
      <c r="F2755" s="80" t="n"/>
      <c r="G2755" s="80" t="n"/>
      <c r="H2755" s="80" t="n"/>
      <c r="I2755" s="80" t="n"/>
      <c r="J2755" s="80" t="n"/>
      <c r="K2755" s="80" t="n"/>
      <c r="L2755" s="80" t="n"/>
      <c r="M2755" s="80" t="n"/>
      <c r="N2755" s="80" t="n"/>
      <c r="O2755" s="80" t="n"/>
      <c r="P2755" s="80" t="n"/>
      <c r="Q2755" s="80" t="n"/>
      <c r="R2755" s="80" t="n"/>
      <c r="S2755" s="80" t="n"/>
      <c r="T2755" s="80" t="n"/>
      <c r="U2755" s="80" t="n"/>
      <c r="V2755" s="80" t="n"/>
      <c r="W2755" s="80" t="n"/>
      <c r="X2755" s="80" t="n"/>
      <c r="Y2755" s="80" t="n"/>
      <c r="Z2755" s="80" t="n"/>
      <c r="AA2755" s="80" t="n"/>
      <c r="AB2755" s="80" t="n"/>
      <c r="AC2755" s="80" t="n"/>
      <c r="AD2755" s="80" t="n"/>
      <c r="AE2755" s="80" t="n"/>
      <c r="AF2755" s="80" t="n"/>
      <c r="AG2755" s="80" t="n"/>
      <c r="AH2755" s="80" t="n"/>
      <c r="AI2755" s="80" t="n"/>
      <c r="AJ2755" s="80" t="n"/>
      <c r="AK2755" s="80" t="n"/>
      <c r="AL2755" s="80" t="n"/>
      <c r="AM2755" s="80" t="n"/>
      <c r="AN2755" s="80" t="n"/>
      <c r="AO2755" s="80" t="n"/>
      <c r="AP2755" s="80" t="n"/>
      <c r="AQ2755" s="80" t="n"/>
      <c r="AR2755" s="80" t="n"/>
    </row>
    <row r="2756">
      <c r="A2756" s="2">
        <f>IF($A2749="","","   projections")</f>
        <v/>
      </c>
      <c r="B2756" s="41">
        <f>IF($A2749="",0,COUNT($E2757:$AR2757))</f>
        <v/>
      </c>
      <c r="C2756" s="81">
        <f>IF($B2756=0,0,MAX($E2757:$AR2757))</f>
        <v/>
      </c>
      <c r="D2756" s="82">
        <f>BDS($A2749,'Field Check'!$C$6,"headers=y","startcol=1","endcol=7","dir=h")</f>
        <v/>
      </c>
      <c r="E2756" s="83" t="n"/>
      <c r="F2756" s="83" t="n"/>
      <c r="G2756" s="83" t="n"/>
      <c r="H2756" s="83" t="n"/>
      <c r="I2756" s="83" t="n"/>
      <c r="J2756" s="83" t="n"/>
      <c r="K2756" s="83" t="n"/>
      <c r="L2756" s="83" t="n"/>
      <c r="M2756" s="83" t="n"/>
      <c r="N2756" s="83" t="n"/>
      <c r="O2756" s="83" t="n"/>
      <c r="P2756" s="83" t="n"/>
      <c r="Q2756" s="83" t="n"/>
      <c r="R2756" s="83" t="n"/>
      <c r="S2756" s="83" t="n"/>
      <c r="T2756" s="83" t="n"/>
      <c r="U2756" s="83" t="n"/>
      <c r="V2756" s="83" t="n"/>
      <c r="W2756" s="83" t="n"/>
      <c r="X2756" s="83" t="n"/>
      <c r="Y2756" s="83" t="n"/>
      <c r="Z2756" s="83" t="n"/>
      <c r="AA2756" s="83" t="n"/>
      <c r="AB2756" s="83" t="n"/>
      <c r="AC2756" s="83" t="n"/>
      <c r="AD2756" s="83" t="n"/>
      <c r="AE2756" s="83" t="n"/>
      <c r="AF2756" s="83" t="n"/>
      <c r="AG2756" s="83" t="n"/>
      <c r="AH2756" s="83" t="n"/>
      <c r="AI2756" s="83" t="n"/>
      <c r="AJ2756" s="83" t="n"/>
      <c r="AK2756" s="83" t="n"/>
      <c r="AL2756" s="83" t="n"/>
      <c r="AM2756" s="83" t="n"/>
      <c r="AN2756" s="83" t="n"/>
      <c r="AO2756" s="83" t="n"/>
      <c r="AP2756" s="83" t="n"/>
      <c r="AQ2756" s="83" t="n"/>
      <c r="AR2756" s="83" t="n"/>
    </row>
    <row r="2757">
      <c r="D2757" s="83" t="n"/>
      <c r="E2757" s="83" t="n"/>
      <c r="F2757" s="83" t="n"/>
      <c r="G2757" s="83" t="n"/>
      <c r="H2757" s="83" t="n"/>
      <c r="I2757" s="83" t="n"/>
      <c r="J2757" s="83" t="n"/>
      <c r="K2757" s="83" t="n"/>
      <c r="L2757" s="83" t="n"/>
      <c r="M2757" s="83" t="n"/>
      <c r="N2757" s="83" t="n"/>
      <c r="O2757" s="83" t="n"/>
      <c r="P2757" s="83" t="n"/>
      <c r="Q2757" s="83" t="n"/>
      <c r="R2757" s="83" t="n"/>
      <c r="S2757" s="83" t="n"/>
      <c r="T2757" s="83" t="n"/>
      <c r="U2757" s="83" t="n"/>
      <c r="V2757" s="83" t="n"/>
      <c r="W2757" s="83" t="n"/>
      <c r="X2757" s="83" t="n"/>
      <c r="Y2757" s="83" t="n"/>
      <c r="Z2757" s="83" t="n"/>
      <c r="AA2757" s="83" t="n"/>
      <c r="AB2757" s="83" t="n"/>
      <c r="AC2757" s="83" t="n"/>
      <c r="AD2757" s="83" t="n"/>
      <c r="AE2757" s="83" t="n"/>
      <c r="AF2757" s="83" t="n"/>
      <c r="AG2757" s="83" t="n"/>
      <c r="AH2757" s="83" t="n"/>
      <c r="AI2757" s="83" t="n"/>
      <c r="AJ2757" s="83" t="n"/>
      <c r="AK2757" s="83" t="n"/>
      <c r="AL2757" s="83" t="n"/>
      <c r="AM2757" s="83" t="n"/>
      <c r="AN2757" s="83" t="n"/>
      <c r="AO2757" s="83" t="n"/>
      <c r="AP2757" s="83" t="n"/>
      <c r="AQ2757" s="83" t="n"/>
      <c r="AR2757" s="83" t="n"/>
    </row>
    <row r="2758">
      <c r="D2758" s="84" t="n"/>
      <c r="E2758" s="84" t="n"/>
      <c r="F2758" s="84" t="n"/>
      <c r="G2758" s="84" t="n"/>
      <c r="H2758" s="84" t="n"/>
      <c r="I2758" s="84" t="n"/>
      <c r="J2758" s="84" t="n"/>
      <c r="K2758" s="84" t="n"/>
      <c r="L2758" s="84" t="n"/>
      <c r="M2758" s="84" t="n"/>
      <c r="N2758" s="84" t="n"/>
      <c r="O2758" s="84" t="n"/>
      <c r="P2758" s="84" t="n"/>
      <c r="Q2758" s="84" t="n"/>
      <c r="R2758" s="84" t="n"/>
      <c r="S2758" s="84" t="n"/>
      <c r="T2758" s="84" t="n"/>
      <c r="U2758" s="84" t="n"/>
      <c r="V2758" s="84" t="n"/>
      <c r="W2758" s="84" t="n"/>
      <c r="X2758" s="84" t="n"/>
      <c r="Y2758" s="84" t="n"/>
      <c r="Z2758" s="84" t="n"/>
      <c r="AA2758" s="84" t="n"/>
      <c r="AB2758" s="84" t="n"/>
      <c r="AC2758" s="84" t="n"/>
      <c r="AD2758" s="84" t="n"/>
      <c r="AE2758" s="84" t="n"/>
      <c r="AF2758" s="84" t="n"/>
      <c r="AG2758" s="84" t="n"/>
      <c r="AH2758" s="84" t="n"/>
      <c r="AI2758" s="84" t="n"/>
      <c r="AJ2758" s="84" t="n"/>
      <c r="AK2758" s="84" t="n"/>
      <c r="AL2758" s="84" t="n"/>
      <c r="AM2758" s="84" t="n"/>
      <c r="AN2758" s="84" t="n"/>
      <c r="AO2758" s="84" t="n"/>
      <c r="AP2758" s="84" t="n"/>
      <c r="AQ2758" s="84" t="n"/>
      <c r="AR2758" s="84" t="n"/>
    </row>
    <row r="2759">
      <c r="D2759" s="80" t="n"/>
      <c r="E2759" s="80" t="n"/>
      <c r="F2759" s="80" t="n"/>
      <c r="G2759" s="80" t="n"/>
      <c r="H2759" s="80" t="n"/>
      <c r="I2759" s="80" t="n"/>
      <c r="J2759" s="80" t="n"/>
      <c r="K2759" s="80" t="n"/>
      <c r="L2759" s="80" t="n"/>
      <c r="M2759" s="80" t="n"/>
      <c r="N2759" s="80" t="n"/>
      <c r="O2759" s="80" t="n"/>
      <c r="P2759" s="80" t="n"/>
      <c r="Q2759" s="80" t="n"/>
      <c r="R2759" s="80" t="n"/>
      <c r="S2759" s="80" t="n"/>
      <c r="T2759" s="80" t="n"/>
      <c r="U2759" s="80" t="n"/>
      <c r="V2759" s="80" t="n"/>
      <c r="W2759" s="80" t="n"/>
      <c r="X2759" s="80" t="n"/>
      <c r="Y2759" s="80" t="n"/>
      <c r="Z2759" s="80" t="n"/>
      <c r="AA2759" s="80" t="n"/>
      <c r="AB2759" s="80" t="n"/>
      <c r="AC2759" s="80" t="n"/>
      <c r="AD2759" s="80" t="n"/>
      <c r="AE2759" s="80" t="n"/>
      <c r="AF2759" s="80" t="n"/>
      <c r="AG2759" s="80" t="n"/>
      <c r="AH2759" s="80" t="n"/>
      <c r="AI2759" s="80" t="n"/>
      <c r="AJ2759" s="80" t="n"/>
      <c r="AK2759" s="80" t="n"/>
      <c r="AL2759" s="80" t="n"/>
      <c r="AM2759" s="80" t="n"/>
      <c r="AN2759" s="80" t="n"/>
      <c r="AO2759" s="80" t="n"/>
      <c r="AP2759" s="80" t="n"/>
      <c r="AQ2759" s="80" t="n"/>
      <c r="AR2759" s="80" t="n"/>
    </row>
    <row r="2760">
      <c r="D2760" s="80" t="n"/>
      <c r="E2760" s="80" t="n"/>
      <c r="F2760" s="80" t="n"/>
      <c r="G2760" s="80" t="n"/>
      <c r="H2760" s="80" t="n"/>
      <c r="I2760" s="80" t="n"/>
      <c r="J2760" s="80" t="n"/>
      <c r="K2760" s="80" t="n"/>
      <c r="L2760" s="80" t="n"/>
      <c r="M2760" s="80" t="n"/>
      <c r="N2760" s="80" t="n"/>
      <c r="O2760" s="80" t="n"/>
      <c r="P2760" s="80" t="n"/>
      <c r="Q2760" s="80" t="n"/>
      <c r="R2760" s="80" t="n"/>
      <c r="S2760" s="80" t="n"/>
      <c r="T2760" s="80" t="n"/>
      <c r="U2760" s="80" t="n"/>
      <c r="V2760" s="80" t="n"/>
      <c r="W2760" s="80" t="n"/>
      <c r="X2760" s="80" t="n"/>
      <c r="Y2760" s="80" t="n"/>
      <c r="Z2760" s="80" t="n"/>
      <c r="AA2760" s="80" t="n"/>
      <c r="AB2760" s="80" t="n"/>
      <c r="AC2760" s="80" t="n"/>
      <c r="AD2760" s="80" t="n"/>
      <c r="AE2760" s="80" t="n"/>
      <c r="AF2760" s="80" t="n"/>
      <c r="AG2760" s="80" t="n"/>
      <c r="AH2760" s="80" t="n"/>
      <c r="AI2760" s="80" t="n"/>
      <c r="AJ2760" s="80" t="n"/>
      <c r="AK2760" s="80" t="n"/>
      <c r="AL2760" s="80" t="n"/>
      <c r="AM2760" s="80" t="n"/>
      <c r="AN2760" s="80" t="n"/>
      <c r="AO2760" s="80" t="n"/>
      <c r="AP2760" s="80" t="n"/>
      <c r="AQ2760" s="80" t="n"/>
      <c r="AR2760" s="80" t="n"/>
    </row>
    <row r="2761">
      <c r="D2761" s="80" t="n"/>
      <c r="E2761" s="80" t="n"/>
      <c r="F2761" s="80" t="n"/>
      <c r="G2761" s="80" t="n"/>
      <c r="H2761" s="80" t="n"/>
      <c r="I2761" s="80" t="n"/>
      <c r="J2761" s="80" t="n"/>
      <c r="K2761" s="80" t="n"/>
      <c r="L2761" s="80" t="n"/>
      <c r="M2761" s="80" t="n"/>
      <c r="N2761" s="80" t="n"/>
      <c r="O2761" s="80" t="n"/>
      <c r="P2761" s="80" t="n"/>
      <c r="Q2761" s="80" t="n"/>
      <c r="R2761" s="80" t="n"/>
      <c r="S2761" s="80" t="n"/>
      <c r="T2761" s="80" t="n"/>
      <c r="U2761" s="80" t="n"/>
      <c r="V2761" s="80" t="n"/>
      <c r="W2761" s="80" t="n"/>
      <c r="X2761" s="80" t="n"/>
      <c r="Y2761" s="80" t="n"/>
      <c r="Z2761" s="80" t="n"/>
      <c r="AA2761" s="80" t="n"/>
      <c r="AB2761" s="80" t="n"/>
      <c r="AC2761" s="80" t="n"/>
      <c r="AD2761" s="80" t="n"/>
      <c r="AE2761" s="80" t="n"/>
      <c r="AF2761" s="80" t="n"/>
      <c r="AG2761" s="80" t="n"/>
      <c r="AH2761" s="80" t="n"/>
      <c r="AI2761" s="80" t="n"/>
      <c r="AJ2761" s="80" t="n"/>
      <c r="AK2761" s="80" t="n"/>
      <c r="AL2761" s="80" t="n"/>
      <c r="AM2761" s="80" t="n"/>
      <c r="AN2761" s="80" t="n"/>
      <c r="AO2761" s="80" t="n"/>
      <c r="AP2761" s="80" t="n"/>
      <c r="AQ2761" s="80" t="n"/>
      <c r="AR2761" s="80" t="n"/>
    </row>
    <row r="2762">
      <c r="D2762" s="80" t="n"/>
      <c r="E2762" s="80" t="n"/>
      <c r="F2762" s="80" t="n"/>
      <c r="G2762" s="80" t="n"/>
      <c r="H2762" s="80" t="n"/>
      <c r="I2762" s="80" t="n"/>
      <c r="J2762" s="80" t="n"/>
      <c r="K2762" s="80" t="n"/>
      <c r="L2762" s="80" t="n"/>
      <c r="M2762" s="80" t="n"/>
      <c r="N2762" s="80" t="n"/>
      <c r="O2762" s="80" t="n"/>
      <c r="P2762" s="80" t="n"/>
      <c r="Q2762" s="80" t="n"/>
      <c r="R2762" s="80" t="n"/>
      <c r="S2762" s="80" t="n"/>
      <c r="T2762" s="80" t="n"/>
      <c r="U2762" s="80" t="n"/>
      <c r="V2762" s="80" t="n"/>
      <c r="W2762" s="80" t="n"/>
      <c r="X2762" s="80" t="n"/>
      <c r="Y2762" s="80" t="n"/>
      <c r="Z2762" s="80" t="n"/>
      <c r="AA2762" s="80" t="n"/>
      <c r="AB2762" s="80" t="n"/>
      <c r="AC2762" s="80" t="n"/>
      <c r="AD2762" s="80" t="n"/>
      <c r="AE2762" s="80" t="n"/>
      <c r="AF2762" s="80" t="n"/>
      <c r="AG2762" s="80" t="n"/>
      <c r="AH2762" s="80" t="n"/>
      <c r="AI2762" s="80" t="n"/>
      <c r="AJ2762" s="80" t="n"/>
      <c r="AK2762" s="80" t="n"/>
      <c r="AL2762" s="80" t="n"/>
      <c r="AM2762" s="80" t="n"/>
      <c r="AN2762" s="80" t="n"/>
      <c r="AO2762" s="80" t="n"/>
      <c r="AP2762" s="80" t="n"/>
      <c r="AQ2762" s="80" t="n"/>
      <c r="AR2762" s="80" t="n"/>
    </row>
    <row r="2764">
      <c r="A2764" s="6">
        <f>IF(HSCEI!$C$50="","",HSCEI!$C$50)</f>
        <v/>
      </c>
      <c r="B2764" s="41">
        <f>IF($A2764="",0,COUNT($E2765:$AR2765))</f>
        <v/>
      </c>
      <c r="C2764" s="81">
        <f>IF($B2764=0,0,MAX($E2765:$AR2765))</f>
        <v/>
      </c>
      <c r="D2764" s="82">
        <f>BDS($A2764,'Field Check'!$C$7,"headers=y","startcol=1","endcol=7","dir=h","DVD_START_DT",Summary!$C$18,"DVD_END_DT",Summary!$D$18)</f>
        <v/>
      </c>
      <c r="E2764" s="83" t="n"/>
      <c r="F2764" s="83" t="n"/>
      <c r="G2764" s="83" t="n"/>
      <c r="H2764" s="83" t="n"/>
      <c r="I2764" s="83" t="n"/>
      <c r="J2764" s="83" t="n"/>
      <c r="K2764" s="83" t="n"/>
      <c r="L2764" s="83" t="n"/>
      <c r="M2764" s="83" t="n"/>
      <c r="N2764" s="83" t="n"/>
      <c r="O2764" s="83" t="n"/>
      <c r="P2764" s="83" t="n"/>
      <c r="Q2764" s="83" t="n"/>
      <c r="R2764" s="83" t="n"/>
      <c r="S2764" s="83" t="n"/>
      <c r="T2764" s="83" t="n"/>
      <c r="U2764" s="83" t="n"/>
      <c r="V2764" s="83" t="n"/>
      <c r="W2764" s="83" t="n"/>
      <c r="X2764" s="83" t="n"/>
      <c r="Y2764" s="83" t="n"/>
      <c r="Z2764" s="83" t="n"/>
      <c r="AA2764" s="83" t="n"/>
      <c r="AB2764" s="83" t="n"/>
      <c r="AC2764" s="83" t="n"/>
      <c r="AD2764" s="83" t="n"/>
      <c r="AE2764" s="83" t="n"/>
      <c r="AF2764" s="83" t="n"/>
      <c r="AG2764" s="83" t="n"/>
      <c r="AH2764" s="83" t="n"/>
      <c r="AI2764" s="83" t="n"/>
      <c r="AJ2764" s="83" t="n"/>
      <c r="AK2764" s="83" t="n"/>
      <c r="AL2764" s="83" t="n"/>
      <c r="AM2764" s="83" t="n"/>
      <c r="AN2764" s="83" t="n"/>
      <c r="AO2764" s="83" t="n"/>
      <c r="AP2764" s="83" t="n"/>
      <c r="AQ2764" s="83" t="n"/>
      <c r="AR2764" s="83" t="n"/>
    </row>
    <row r="2765">
      <c r="D2765" s="83" t="n"/>
      <c r="E2765" s="83" t="n"/>
      <c r="F2765" s="83" t="n"/>
      <c r="G2765" s="83" t="n"/>
      <c r="H2765" s="83" t="n"/>
      <c r="I2765" s="83" t="n"/>
      <c r="J2765" s="83" t="n"/>
      <c r="K2765" s="83" t="n"/>
      <c r="L2765" s="83" t="n"/>
      <c r="M2765" s="83" t="n"/>
      <c r="N2765" s="83" t="n"/>
      <c r="O2765" s="83" t="n"/>
      <c r="P2765" s="83" t="n"/>
      <c r="Q2765" s="83" t="n"/>
      <c r="R2765" s="83" t="n"/>
      <c r="S2765" s="83" t="n"/>
      <c r="T2765" s="83" t="n"/>
      <c r="U2765" s="83" t="n"/>
      <c r="V2765" s="83" t="n"/>
      <c r="W2765" s="83" t="n"/>
      <c r="X2765" s="83" t="n"/>
      <c r="Y2765" s="83" t="n"/>
      <c r="Z2765" s="83" t="n"/>
      <c r="AA2765" s="83" t="n"/>
      <c r="AB2765" s="83" t="n"/>
      <c r="AC2765" s="83" t="n"/>
      <c r="AD2765" s="83" t="n"/>
      <c r="AE2765" s="83" t="n"/>
      <c r="AF2765" s="83" t="n"/>
      <c r="AG2765" s="83" t="n"/>
      <c r="AH2765" s="83" t="n"/>
      <c r="AI2765" s="83" t="n"/>
      <c r="AJ2765" s="83" t="n"/>
      <c r="AK2765" s="83" t="n"/>
      <c r="AL2765" s="83" t="n"/>
      <c r="AM2765" s="83" t="n"/>
      <c r="AN2765" s="83" t="n"/>
      <c r="AO2765" s="83" t="n"/>
      <c r="AP2765" s="83" t="n"/>
      <c r="AQ2765" s="83" t="n"/>
      <c r="AR2765" s="83" t="n"/>
    </row>
    <row r="2766">
      <c r="D2766" s="84" t="n"/>
      <c r="E2766" s="84" t="n"/>
      <c r="F2766" s="84" t="n"/>
      <c r="G2766" s="84" t="n"/>
      <c r="H2766" s="84" t="n"/>
      <c r="I2766" s="84" t="n"/>
      <c r="J2766" s="84" t="n"/>
      <c r="K2766" s="84" t="n"/>
      <c r="L2766" s="84" t="n"/>
      <c r="M2766" s="84" t="n"/>
      <c r="N2766" s="84" t="n"/>
      <c r="O2766" s="84" t="n"/>
      <c r="P2766" s="84" t="n"/>
      <c r="Q2766" s="84" t="n"/>
      <c r="R2766" s="84" t="n"/>
      <c r="S2766" s="84" t="n"/>
      <c r="T2766" s="84" t="n"/>
      <c r="U2766" s="84" t="n"/>
      <c r="V2766" s="84" t="n"/>
      <c r="W2766" s="84" t="n"/>
      <c r="X2766" s="84" t="n"/>
      <c r="Y2766" s="84" t="n"/>
      <c r="Z2766" s="84" t="n"/>
      <c r="AA2766" s="84" t="n"/>
      <c r="AB2766" s="84" t="n"/>
      <c r="AC2766" s="84" t="n"/>
      <c r="AD2766" s="84" t="n"/>
      <c r="AE2766" s="84" t="n"/>
      <c r="AF2766" s="84" t="n"/>
      <c r="AG2766" s="84" t="n"/>
      <c r="AH2766" s="84" t="n"/>
      <c r="AI2766" s="84" t="n"/>
      <c r="AJ2766" s="84" t="n"/>
      <c r="AK2766" s="84" t="n"/>
      <c r="AL2766" s="84" t="n"/>
      <c r="AM2766" s="84" t="n"/>
      <c r="AN2766" s="84" t="n"/>
      <c r="AO2766" s="84" t="n"/>
      <c r="AP2766" s="84" t="n"/>
      <c r="AQ2766" s="84" t="n"/>
      <c r="AR2766" s="84" t="n"/>
    </row>
    <row r="2767">
      <c r="D2767" s="80" t="n"/>
      <c r="E2767" s="80" t="n"/>
      <c r="F2767" s="80" t="n"/>
      <c r="G2767" s="80" t="n"/>
      <c r="H2767" s="80" t="n"/>
      <c r="I2767" s="80" t="n"/>
      <c r="J2767" s="80" t="n"/>
      <c r="K2767" s="80" t="n"/>
      <c r="L2767" s="80" t="n"/>
      <c r="M2767" s="80" t="n"/>
      <c r="N2767" s="80" t="n"/>
      <c r="O2767" s="80" t="n"/>
      <c r="P2767" s="80" t="n"/>
      <c r="Q2767" s="80" t="n"/>
      <c r="R2767" s="80" t="n"/>
      <c r="S2767" s="80" t="n"/>
      <c r="T2767" s="80" t="n"/>
      <c r="U2767" s="80" t="n"/>
      <c r="V2767" s="80" t="n"/>
      <c r="W2767" s="80" t="n"/>
      <c r="X2767" s="80" t="n"/>
      <c r="Y2767" s="80" t="n"/>
      <c r="Z2767" s="80" t="n"/>
      <c r="AA2767" s="80" t="n"/>
      <c r="AB2767" s="80" t="n"/>
      <c r="AC2767" s="80" t="n"/>
      <c r="AD2767" s="80" t="n"/>
      <c r="AE2767" s="80" t="n"/>
      <c r="AF2767" s="80" t="n"/>
      <c r="AG2767" s="80" t="n"/>
      <c r="AH2767" s="80" t="n"/>
      <c r="AI2767" s="80" t="n"/>
      <c r="AJ2767" s="80" t="n"/>
      <c r="AK2767" s="80" t="n"/>
      <c r="AL2767" s="80" t="n"/>
      <c r="AM2767" s="80" t="n"/>
      <c r="AN2767" s="80" t="n"/>
      <c r="AO2767" s="80" t="n"/>
      <c r="AP2767" s="80" t="n"/>
      <c r="AQ2767" s="80" t="n"/>
      <c r="AR2767" s="80" t="n"/>
    </row>
    <row r="2768">
      <c r="D2768" s="80" t="n"/>
      <c r="E2768" s="80" t="n"/>
      <c r="F2768" s="80" t="n"/>
      <c r="G2768" s="80" t="n"/>
      <c r="H2768" s="80" t="n"/>
      <c r="I2768" s="80" t="n"/>
      <c r="J2768" s="80" t="n"/>
      <c r="K2768" s="80" t="n"/>
      <c r="L2768" s="80" t="n"/>
      <c r="M2768" s="80" t="n"/>
      <c r="N2768" s="80" t="n"/>
      <c r="O2768" s="80" t="n"/>
      <c r="P2768" s="80" t="n"/>
      <c r="Q2768" s="80" t="n"/>
      <c r="R2768" s="80" t="n"/>
      <c r="S2768" s="80" t="n"/>
      <c r="T2768" s="80" t="n"/>
      <c r="U2768" s="80" t="n"/>
      <c r="V2768" s="80" t="n"/>
      <c r="W2768" s="80" t="n"/>
      <c r="X2768" s="80" t="n"/>
      <c r="Y2768" s="80" t="n"/>
      <c r="Z2768" s="80" t="n"/>
      <c r="AA2768" s="80" t="n"/>
      <c r="AB2768" s="80" t="n"/>
      <c r="AC2768" s="80" t="n"/>
      <c r="AD2768" s="80" t="n"/>
      <c r="AE2768" s="80" t="n"/>
      <c r="AF2768" s="80" t="n"/>
      <c r="AG2768" s="80" t="n"/>
      <c r="AH2768" s="80" t="n"/>
      <c r="AI2768" s="80" t="n"/>
      <c r="AJ2768" s="80" t="n"/>
      <c r="AK2768" s="80" t="n"/>
      <c r="AL2768" s="80" t="n"/>
      <c r="AM2768" s="80" t="n"/>
      <c r="AN2768" s="80" t="n"/>
      <c r="AO2768" s="80" t="n"/>
      <c r="AP2768" s="80" t="n"/>
      <c r="AQ2768" s="80" t="n"/>
      <c r="AR2768" s="80" t="n"/>
    </row>
    <row r="2769">
      <c r="D2769" s="80" t="n"/>
      <c r="E2769" s="80" t="n"/>
      <c r="F2769" s="80" t="n"/>
      <c r="G2769" s="80" t="n"/>
      <c r="H2769" s="80" t="n"/>
      <c r="I2769" s="80" t="n"/>
      <c r="J2769" s="80" t="n"/>
      <c r="K2769" s="80" t="n"/>
      <c r="L2769" s="80" t="n"/>
      <c r="M2769" s="80" t="n"/>
      <c r="N2769" s="80" t="n"/>
      <c r="O2769" s="80" t="n"/>
      <c r="P2769" s="80" t="n"/>
      <c r="Q2769" s="80" t="n"/>
      <c r="R2769" s="80" t="n"/>
      <c r="S2769" s="80" t="n"/>
      <c r="T2769" s="80" t="n"/>
      <c r="U2769" s="80" t="n"/>
      <c r="V2769" s="80" t="n"/>
      <c r="W2769" s="80" t="n"/>
      <c r="X2769" s="80" t="n"/>
      <c r="Y2769" s="80" t="n"/>
      <c r="Z2769" s="80" t="n"/>
      <c r="AA2769" s="80" t="n"/>
      <c r="AB2769" s="80" t="n"/>
      <c r="AC2769" s="80" t="n"/>
      <c r="AD2769" s="80" t="n"/>
      <c r="AE2769" s="80" t="n"/>
      <c r="AF2769" s="80" t="n"/>
      <c r="AG2769" s="80" t="n"/>
      <c r="AH2769" s="80" t="n"/>
      <c r="AI2769" s="80" t="n"/>
      <c r="AJ2769" s="80" t="n"/>
      <c r="AK2769" s="80" t="n"/>
      <c r="AL2769" s="80" t="n"/>
      <c r="AM2769" s="80" t="n"/>
      <c r="AN2769" s="80" t="n"/>
      <c r="AO2769" s="80" t="n"/>
      <c r="AP2769" s="80" t="n"/>
      <c r="AQ2769" s="80" t="n"/>
      <c r="AR2769" s="80" t="n"/>
    </row>
    <row r="2770">
      <c r="D2770" s="80" t="n"/>
      <c r="E2770" s="80" t="n"/>
      <c r="F2770" s="80" t="n"/>
      <c r="G2770" s="80" t="n"/>
      <c r="H2770" s="80" t="n"/>
      <c r="I2770" s="80" t="n"/>
      <c r="J2770" s="80" t="n"/>
      <c r="K2770" s="80" t="n"/>
      <c r="L2770" s="80" t="n"/>
      <c r="M2770" s="80" t="n"/>
      <c r="N2770" s="80" t="n"/>
      <c r="O2770" s="80" t="n"/>
      <c r="P2770" s="80" t="n"/>
      <c r="Q2770" s="80" t="n"/>
      <c r="R2770" s="80" t="n"/>
      <c r="S2770" s="80" t="n"/>
      <c r="T2770" s="80" t="n"/>
      <c r="U2770" s="80" t="n"/>
      <c r="V2770" s="80" t="n"/>
      <c r="W2770" s="80" t="n"/>
      <c r="X2770" s="80" t="n"/>
      <c r="Y2770" s="80" t="n"/>
      <c r="Z2770" s="80" t="n"/>
      <c r="AA2770" s="80" t="n"/>
      <c r="AB2770" s="80" t="n"/>
      <c r="AC2770" s="80" t="n"/>
      <c r="AD2770" s="80" t="n"/>
      <c r="AE2770" s="80" t="n"/>
      <c r="AF2770" s="80" t="n"/>
      <c r="AG2770" s="80" t="n"/>
      <c r="AH2770" s="80" t="n"/>
      <c r="AI2770" s="80" t="n"/>
      <c r="AJ2770" s="80" t="n"/>
      <c r="AK2770" s="80" t="n"/>
      <c r="AL2770" s="80" t="n"/>
      <c r="AM2770" s="80" t="n"/>
      <c r="AN2770" s="80" t="n"/>
      <c r="AO2770" s="80" t="n"/>
      <c r="AP2770" s="80" t="n"/>
      <c r="AQ2770" s="80" t="n"/>
      <c r="AR2770" s="80" t="n"/>
    </row>
    <row r="2771">
      <c r="A2771" s="2">
        <f>IF($A2764="","","   projections")</f>
        <v/>
      </c>
      <c r="B2771" s="41">
        <f>IF($A2764="",0,COUNT($E2772:$AR2772))</f>
        <v/>
      </c>
      <c r="C2771" s="81">
        <f>IF($B2771=0,0,MAX($E2772:$AR2772))</f>
        <v/>
      </c>
      <c r="D2771" s="82">
        <f>BDS($A2764,'Field Check'!$C$6,"headers=y","startcol=1","endcol=7","dir=h")</f>
        <v/>
      </c>
      <c r="E2771" s="83" t="n"/>
      <c r="F2771" s="83" t="n"/>
      <c r="G2771" s="83" t="n"/>
      <c r="H2771" s="83" t="n"/>
      <c r="I2771" s="83" t="n"/>
      <c r="J2771" s="83" t="n"/>
      <c r="K2771" s="83" t="n"/>
      <c r="L2771" s="83" t="n"/>
      <c r="M2771" s="83" t="n"/>
      <c r="N2771" s="83" t="n"/>
      <c r="O2771" s="83" t="n"/>
      <c r="P2771" s="83" t="n"/>
      <c r="Q2771" s="83" t="n"/>
      <c r="R2771" s="83" t="n"/>
      <c r="S2771" s="83" t="n"/>
      <c r="T2771" s="83" t="n"/>
      <c r="U2771" s="83" t="n"/>
      <c r="V2771" s="83" t="n"/>
      <c r="W2771" s="83" t="n"/>
      <c r="X2771" s="83" t="n"/>
      <c r="Y2771" s="83" t="n"/>
      <c r="Z2771" s="83" t="n"/>
      <c r="AA2771" s="83" t="n"/>
      <c r="AB2771" s="83" t="n"/>
      <c r="AC2771" s="83" t="n"/>
      <c r="AD2771" s="83" t="n"/>
      <c r="AE2771" s="83" t="n"/>
      <c r="AF2771" s="83" t="n"/>
      <c r="AG2771" s="83" t="n"/>
      <c r="AH2771" s="83" t="n"/>
      <c r="AI2771" s="83" t="n"/>
      <c r="AJ2771" s="83" t="n"/>
      <c r="AK2771" s="83" t="n"/>
      <c r="AL2771" s="83" t="n"/>
      <c r="AM2771" s="83" t="n"/>
      <c r="AN2771" s="83" t="n"/>
      <c r="AO2771" s="83" t="n"/>
      <c r="AP2771" s="83" t="n"/>
      <c r="AQ2771" s="83" t="n"/>
      <c r="AR2771" s="83" t="n"/>
    </row>
    <row r="2772">
      <c r="D2772" s="83" t="n"/>
      <c r="E2772" s="83" t="n"/>
      <c r="F2772" s="83" t="n"/>
      <c r="G2772" s="83" t="n"/>
      <c r="H2772" s="83" t="n"/>
      <c r="I2772" s="83" t="n"/>
      <c r="J2772" s="83" t="n"/>
      <c r="K2772" s="83" t="n"/>
      <c r="L2772" s="83" t="n"/>
      <c r="M2772" s="83" t="n"/>
      <c r="N2772" s="83" t="n"/>
      <c r="O2772" s="83" t="n"/>
      <c r="P2772" s="83" t="n"/>
      <c r="Q2772" s="83" t="n"/>
      <c r="R2772" s="83" t="n"/>
      <c r="S2772" s="83" t="n"/>
      <c r="T2772" s="83" t="n"/>
      <c r="U2772" s="83" t="n"/>
      <c r="V2772" s="83" t="n"/>
      <c r="W2772" s="83" t="n"/>
      <c r="X2772" s="83" t="n"/>
      <c r="Y2772" s="83" t="n"/>
      <c r="Z2772" s="83" t="n"/>
      <c r="AA2772" s="83" t="n"/>
      <c r="AB2772" s="83" t="n"/>
      <c r="AC2772" s="83" t="n"/>
      <c r="AD2772" s="83" t="n"/>
      <c r="AE2772" s="83" t="n"/>
      <c r="AF2772" s="83" t="n"/>
      <c r="AG2772" s="83" t="n"/>
      <c r="AH2772" s="83" t="n"/>
      <c r="AI2772" s="83" t="n"/>
      <c r="AJ2772" s="83" t="n"/>
      <c r="AK2772" s="83" t="n"/>
      <c r="AL2772" s="83" t="n"/>
      <c r="AM2772" s="83" t="n"/>
      <c r="AN2772" s="83" t="n"/>
      <c r="AO2772" s="83" t="n"/>
      <c r="AP2772" s="83" t="n"/>
      <c r="AQ2772" s="83" t="n"/>
      <c r="AR2772" s="83" t="n"/>
    </row>
    <row r="2773">
      <c r="D2773" s="84" t="n"/>
      <c r="E2773" s="84" t="n"/>
      <c r="F2773" s="84" t="n"/>
      <c r="G2773" s="84" t="n"/>
      <c r="H2773" s="84" t="n"/>
      <c r="I2773" s="84" t="n"/>
      <c r="J2773" s="84" t="n"/>
      <c r="K2773" s="84" t="n"/>
      <c r="L2773" s="84" t="n"/>
      <c r="M2773" s="84" t="n"/>
      <c r="N2773" s="84" t="n"/>
      <c r="O2773" s="84" t="n"/>
      <c r="P2773" s="84" t="n"/>
      <c r="Q2773" s="84" t="n"/>
      <c r="R2773" s="84" t="n"/>
      <c r="S2773" s="84" t="n"/>
      <c r="T2773" s="84" t="n"/>
      <c r="U2773" s="84" t="n"/>
      <c r="V2773" s="84" t="n"/>
      <c r="W2773" s="84" t="n"/>
      <c r="X2773" s="84" t="n"/>
      <c r="Y2773" s="84" t="n"/>
      <c r="Z2773" s="84" t="n"/>
      <c r="AA2773" s="84" t="n"/>
      <c r="AB2773" s="84" t="n"/>
      <c r="AC2773" s="84" t="n"/>
      <c r="AD2773" s="84" t="n"/>
      <c r="AE2773" s="84" t="n"/>
      <c r="AF2773" s="84" t="n"/>
      <c r="AG2773" s="84" t="n"/>
      <c r="AH2773" s="84" t="n"/>
      <c r="AI2773" s="84" t="n"/>
      <c r="AJ2773" s="84" t="n"/>
      <c r="AK2773" s="84" t="n"/>
      <c r="AL2773" s="84" t="n"/>
      <c r="AM2773" s="84" t="n"/>
      <c r="AN2773" s="84" t="n"/>
      <c r="AO2773" s="84" t="n"/>
      <c r="AP2773" s="84" t="n"/>
      <c r="AQ2773" s="84" t="n"/>
      <c r="AR2773" s="84" t="n"/>
    </row>
    <row r="2774">
      <c r="D2774" s="80" t="n"/>
      <c r="E2774" s="80" t="n"/>
      <c r="F2774" s="80" t="n"/>
      <c r="G2774" s="80" t="n"/>
      <c r="H2774" s="80" t="n"/>
      <c r="I2774" s="80" t="n"/>
      <c r="J2774" s="80" t="n"/>
      <c r="K2774" s="80" t="n"/>
      <c r="L2774" s="80" t="n"/>
      <c r="M2774" s="80" t="n"/>
      <c r="N2774" s="80" t="n"/>
      <c r="O2774" s="80" t="n"/>
      <c r="P2774" s="80" t="n"/>
      <c r="Q2774" s="80" t="n"/>
      <c r="R2774" s="80" t="n"/>
      <c r="S2774" s="80" t="n"/>
      <c r="T2774" s="80" t="n"/>
      <c r="U2774" s="80" t="n"/>
      <c r="V2774" s="80" t="n"/>
      <c r="W2774" s="80" t="n"/>
      <c r="X2774" s="80" t="n"/>
      <c r="Y2774" s="80" t="n"/>
      <c r="Z2774" s="80" t="n"/>
      <c r="AA2774" s="80" t="n"/>
      <c r="AB2774" s="80" t="n"/>
      <c r="AC2774" s="80" t="n"/>
      <c r="AD2774" s="80" t="n"/>
      <c r="AE2774" s="80" t="n"/>
      <c r="AF2774" s="80" t="n"/>
      <c r="AG2774" s="80" t="n"/>
      <c r="AH2774" s="80" t="n"/>
      <c r="AI2774" s="80" t="n"/>
      <c r="AJ2774" s="80" t="n"/>
      <c r="AK2774" s="80" t="n"/>
      <c r="AL2774" s="80" t="n"/>
      <c r="AM2774" s="80" t="n"/>
      <c r="AN2774" s="80" t="n"/>
      <c r="AO2774" s="80" t="n"/>
      <c r="AP2774" s="80" t="n"/>
      <c r="AQ2774" s="80" t="n"/>
      <c r="AR2774" s="80" t="n"/>
    </row>
    <row r="2775">
      <c r="D2775" s="80" t="n"/>
      <c r="E2775" s="80" t="n"/>
      <c r="F2775" s="80" t="n"/>
      <c r="G2775" s="80" t="n"/>
      <c r="H2775" s="80" t="n"/>
      <c r="I2775" s="80" t="n"/>
      <c r="J2775" s="80" t="n"/>
      <c r="K2775" s="80" t="n"/>
      <c r="L2775" s="80" t="n"/>
      <c r="M2775" s="80" t="n"/>
      <c r="N2775" s="80" t="n"/>
      <c r="O2775" s="80" t="n"/>
      <c r="P2775" s="80" t="n"/>
      <c r="Q2775" s="80" t="n"/>
      <c r="R2775" s="80" t="n"/>
      <c r="S2775" s="80" t="n"/>
      <c r="T2775" s="80" t="n"/>
      <c r="U2775" s="80" t="n"/>
      <c r="V2775" s="80" t="n"/>
      <c r="W2775" s="80" t="n"/>
      <c r="X2775" s="80" t="n"/>
      <c r="Y2775" s="80" t="n"/>
      <c r="Z2775" s="80" t="n"/>
      <c r="AA2775" s="80" t="n"/>
      <c r="AB2775" s="80" t="n"/>
      <c r="AC2775" s="80" t="n"/>
      <c r="AD2775" s="80" t="n"/>
      <c r="AE2775" s="80" t="n"/>
      <c r="AF2775" s="80" t="n"/>
      <c r="AG2775" s="80" t="n"/>
      <c r="AH2775" s="80" t="n"/>
      <c r="AI2775" s="80" t="n"/>
      <c r="AJ2775" s="80" t="n"/>
      <c r="AK2775" s="80" t="n"/>
      <c r="AL2775" s="80" t="n"/>
      <c r="AM2775" s="80" t="n"/>
      <c r="AN2775" s="80" t="n"/>
      <c r="AO2775" s="80" t="n"/>
      <c r="AP2775" s="80" t="n"/>
      <c r="AQ2775" s="80" t="n"/>
      <c r="AR2775" s="80" t="n"/>
    </row>
    <row r="2776">
      <c r="D2776" s="80" t="n"/>
      <c r="E2776" s="80" t="n"/>
      <c r="F2776" s="80" t="n"/>
      <c r="G2776" s="80" t="n"/>
      <c r="H2776" s="80" t="n"/>
      <c r="I2776" s="80" t="n"/>
      <c r="J2776" s="80" t="n"/>
      <c r="K2776" s="80" t="n"/>
      <c r="L2776" s="80" t="n"/>
      <c r="M2776" s="80" t="n"/>
      <c r="N2776" s="80" t="n"/>
      <c r="O2776" s="80" t="n"/>
      <c r="P2776" s="80" t="n"/>
      <c r="Q2776" s="80" t="n"/>
      <c r="R2776" s="80" t="n"/>
      <c r="S2776" s="80" t="n"/>
      <c r="T2776" s="80" t="n"/>
      <c r="U2776" s="80" t="n"/>
      <c r="V2776" s="80" t="n"/>
      <c r="W2776" s="80" t="n"/>
      <c r="X2776" s="80" t="n"/>
      <c r="Y2776" s="80" t="n"/>
      <c r="Z2776" s="80" t="n"/>
      <c r="AA2776" s="80" t="n"/>
      <c r="AB2776" s="80" t="n"/>
      <c r="AC2776" s="80" t="n"/>
      <c r="AD2776" s="80" t="n"/>
      <c r="AE2776" s="80" t="n"/>
      <c r="AF2776" s="80" t="n"/>
      <c r="AG2776" s="80" t="n"/>
      <c r="AH2776" s="80" t="n"/>
      <c r="AI2776" s="80" t="n"/>
      <c r="AJ2776" s="80" t="n"/>
      <c r="AK2776" s="80" t="n"/>
      <c r="AL2776" s="80" t="n"/>
      <c r="AM2776" s="80" t="n"/>
      <c r="AN2776" s="80" t="n"/>
      <c r="AO2776" s="80" t="n"/>
      <c r="AP2776" s="80" t="n"/>
      <c r="AQ2776" s="80" t="n"/>
      <c r="AR2776" s="80" t="n"/>
    </row>
    <row r="2777">
      <c r="D2777" s="80" t="n"/>
      <c r="E2777" s="80" t="n"/>
      <c r="F2777" s="80" t="n"/>
      <c r="G2777" s="80" t="n"/>
      <c r="H2777" s="80" t="n"/>
      <c r="I2777" s="80" t="n"/>
      <c r="J2777" s="80" t="n"/>
      <c r="K2777" s="80" t="n"/>
      <c r="L2777" s="80" t="n"/>
      <c r="M2777" s="80" t="n"/>
      <c r="N2777" s="80" t="n"/>
      <c r="O2777" s="80" t="n"/>
      <c r="P2777" s="80" t="n"/>
      <c r="Q2777" s="80" t="n"/>
      <c r="R2777" s="80" t="n"/>
      <c r="S2777" s="80" t="n"/>
      <c r="T2777" s="80" t="n"/>
      <c r="U2777" s="80" t="n"/>
      <c r="V2777" s="80" t="n"/>
      <c r="W2777" s="80" t="n"/>
      <c r="X2777" s="80" t="n"/>
      <c r="Y2777" s="80" t="n"/>
      <c r="Z2777" s="80" t="n"/>
      <c r="AA2777" s="80" t="n"/>
      <c r="AB2777" s="80" t="n"/>
      <c r="AC2777" s="80" t="n"/>
      <c r="AD2777" s="80" t="n"/>
      <c r="AE2777" s="80" t="n"/>
      <c r="AF2777" s="80" t="n"/>
      <c r="AG2777" s="80" t="n"/>
      <c r="AH2777" s="80" t="n"/>
      <c r="AI2777" s="80" t="n"/>
      <c r="AJ2777" s="80" t="n"/>
      <c r="AK2777" s="80" t="n"/>
      <c r="AL2777" s="80" t="n"/>
      <c r="AM2777" s="80" t="n"/>
      <c r="AN2777" s="80" t="n"/>
      <c r="AO2777" s="80" t="n"/>
      <c r="AP2777" s="80" t="n"/>
      <c r="AQ2777" s="80" t="n"/>
      <c r="AR2777" s="80" t="n"/>
    </row>
    <row r="2779">
      <c r="A2779" s="6">
        <f>IF(HSCEI!$C$51="","",HSCEI!$C$51)</f>
        <v/>
      </c>
      <c r="B2779" s="41">
        <f>IF($A2779="",0,COUNT($E2780:$AR2780))</f>
        <v/>
      </c>
      <c r="C2779" s="81">
        <f>IF($B2779=0,0,MAX($E2780:$AR2780))</f>
        <v/>
      </c>
      <c r="D2779" s="82">
        <f>BDS($A2779,'Field Check'!$C$7,"headers=y","startcol=1","endcol=7","dir=h","DVD_START_DT",Summary!$C$18,"DVD_END_DT",Summary!$D$18)</f>
        <v/>
      </c>
      <c r="E2779" s="83" t="n"/>
      <c r="F2779" s="83" t="n"/>
      <c r="G2779" s="83" t="n"/>
      <c r="H2779" s="83" t="n"/>
      <c r="I2779" s="83" t="n"/>
      <c r="J2779" s="83" t="n"/>
      <c r="K2779" s="83" t="n"/>
      <c r="L2779" s="83" t="n"/>
      <c r="M2779" s="83" t="n"/>
      <c r="N2779" s="83" t="n"/>
      <c r="O2779" s="83" t="n"/>
      <c r="P2779" s="83" t="n"/>
      <c r="Q2779" s="83" t="n"/>
      <c r="R2779" s="83" t="n"/>
      <c r="S2779" s="83" t="n"/>
      <c r="T2779" s="83" t="n"/>
      <c r="U2779" s="83" t="n"/>
      <c r="V2779" s="83" t="n"/>
      <c r="W2779" s="83" t="n"/>
      <c r="X2779" s="83" t="n"/>
      <c r="Y2779" s="83" t="n"/>
      <c r="Z2779" s="83" t="n"/>
      <c r="AA2779" s="83" t="n"/>
      <c r="AB2779" s="83" t="n"/>
      <c r="AC2779" s="83" t="n"/>
      <c r="AD2779" s="83" t="n"/>
      <c r="AE2779" s="83" t="n"/>
      <c r="AF2779" s="83" t="n"/>
      <c r="AG2779" s="83" t="n"/>
      <c r="AH2779" s="83" t="n"/>
      <c r="AI2779" s="83" t="n"/>
      <c r="AJ2779" s="83" t="n"/>
      <c r="AK2779" s="83" t="n"/>
      <c r="AL2779" s="83" t="n"/>
      <c r="AM2779" s="83" t="n"/>
      <c r="AN2779" s="83" t="n"/>
      <c r="AO2779" s="83" t="n"/>
      <c r="AP2779" s="83" t="n"/>
      <c r="AQ2779" s="83" t="n"/>
      <c r="AR2779" s="83" t="n"/>
    </row>
    <row r="2780">
      <c r="D2780" s="83" t="n"/>
      <c r="E2780" s="83" t="n"/>
      <c r="F2780" s="83" t="n"/>
      <c r="G2780" s="83" t="n"/>
      <c r="H2780" s="83" t="n"/>
      <c r="I2780" s="83" t="n"/>
      <c r="J2780" s="83" t="n"/>
      <c r="K2780" s="83" t="n"/>
      <c r="L2780" s="83" t="n"/>
      <c r="M2780" s="83" t="n"/>
      <c r="N2780" s="83" t="n"/>
      <c r="O2780" s="83" t="n"/>
      <c r="P2780" s="83" t="n"/>
      <c r="Q2780" s="83" t="n"/>
      <c r="R2780" s="83" t="n"/>
      <c r="S2780" s="83" t="n"/>
      <c r="T2780" s="83" t="n"/>
      <c r="U2780" s="83" t="n"/>
      <c r="V2780" s="83" t="n"/>
      <c r="W2780" s="83" t="n"/>
      <c r="X2780" s="83" t="n"/>
      <c r="Y2780" s="83" t="n"/>
      <c r="Z2780" s="83" t="n"/>
      <c r="AA2780" s="83" t="n"/>
      <c r="AB2780" s="83" t="n"/>
      <c r="AC2780" s="83" t="n"/>
      <c r="AD2780" s="83" t="n"/>
      <c r="AE2780" s="83" t="n"/>
      <c r="AF2780" s="83" t="n"/>
      <c r="AG2780" s="83" t="n"/>
      <c r="AH2780" s="83" t="n"/>
      <c r="AI2780" s="83" t="n"/>
      <c r="AJ2780" s="83" t="n"/>
      <c r="AK2780" s="83" t="n"/>
      <c r="AL2780" s="83" t="n"/>
      <c r="AM2780" s="83" t="n"/>
      <c r="AN2780" s="83" t="n"/>
      <c r="AO2780" s="83" t="n"/>
      <c r="AP2780" s="83" t="n"/>
      <c r="AQ2780" s="83" t="n"/>
      <c r="AR2780" s="83" t="n"/>
    </row>
    <row r="2781">
      <c r="D2781" s="84" t="n"/>
      <c r="E2781" s="84" t="n"/>
      <c r="F2781" s="84" t="n"/>
      <c r="G2781" s="84" t="n"/>
      <c r="H2781" s="84" t="n"/>
      <c r="I2781" s="84" t="n"/>
      <c r="J2781" s="84" t="n"/>
      <c r="K2781" s="84" t="n"/>
      <c r="L2781" s="84" t="n"/>
      <c r="M2781" s="84" t="n"/>
      <c r="N2781" s="84" t="n"/>
      <c r="O2781" s="84" t="n"/>
      <c r="P2781" s="84" t="n"/>
      <c r="Q2781" s="84" t="n"/>
      <c r="R2781" s="84" t="n"/>
      <c r="S2781" s="84" t="n"/>
      <c r="T2781" s="84" t="n"/>
      <c r="U2781" s="84" t="n"/>
      <c r="V2781" s="84" t="n"/>
      <c r="W2781" s="84" t="n"/>
      <c r="X2781" s="84" t="n"/>
      <c r="Y2781" s="84" t="n"/>
      <c r="Z2781" s="84" t="n"/>
      <c r="AA2781" s="84" t="n"/>
      <c r="AB2781" s="84" t="n"/>
      <c r="AC2781" s="84" t="n"/>
      <c r="AD2781" s="84" t="n"/>
      <c r="AE2781" s="84" t="n"/>
      <c r="AF2781" s="84" t="n"/>
      <c r="AG2781" s="84" t="n"/>
      <c r="AH2781" s="84" t="n"/>
      <c r="AI2781" s="84" t="n"/>
      <c r="AJ2781" s="84" t="n"/>
      <c r="AK2781" s="84" t="n"/>
      <c r="AL2781" s="84" t="n"/>
      <c r="AM2781" s="84" t="n"/>
      <c r="AN2781" s="84" t="n"/>
      <c r="AO2781" s="84" t="n"/>
      <c r="AP2781" s="84" t="n"/>
      <c r="AQ2781" s="84" t="n"/>
      <c r="AR2781" s="84" t="n"/>
    </row>
    <row r="2782">
      <c r="D2782" s="80" t="n"/>
      <c r="E2782" s="80" t="n"/>
      <c r="F2782" s="80" t="n"/>
      <c r="G2782" s="80" t="n"/>
      <c r="H2782" s="80" t="n"/>
      <c r="I2782" s="80" t="n"/>
      <c r="J2782" s="80" t="n"/>
      <c r="K2782" s="80" t="n"/>
      <c r="L2782" s="80" t="n"/>
      <c r="M2782" s="80" t="n"/>
      <c r="N2782" s="80" t="n"/>
      <c r="O2782" s="80" t="n"/>
      <c r="P2782" s="80" t="n"/>
      <c r="Q2782" s="80" t="n"/>
      <c r="R2782" s="80" t="n"/>
      <c r="S2782" s="80" t="n"/>
      <c r="T2782" s="80" t="n"/>
      <c r="U2782" s="80" t="n"/>
      <c r="V2782" s="80" t="n"/>
      <c r="W2782" s="80" t="n"/>
      <c r="X2782" s="80" t="n"/>
      <c r="Y2782" s="80" t="n"/>
      <c r="Z2782" s="80" t="n"/>
      <c r="AA2782" s="80" t="n"/>
      <c r="AB2782" s="80" t="n"/>
      <c r="AC2782" s="80" t="n"/>
      <c r="AD2782" s="80" t="n"/>
      <c r="AE2782" s="80" t="n"/>
      <c r="AF2782" s="80" t="n"/>
      <c r="AG2782" s="80" t="n"/>
      <c r="AH2782" s="80" t="n"/>
      <c r="AI2782" s="80" t="n"/>
      <c r="AJ2782" s="80" t="n"/>
      <c r="AK2782" s="80" t="n"/>
      <c r="AL2782" s="80" t="n"/>
      <c r="AM2782" s="80" t="n"/>
      <c r="AN2782" s="80" t="n"/>
      <c r="AO2782" s="80" t="n"/>
      <c r="AP2782" s="80" t="n"/>
      <c r="AQ2782" s="80" t="n"/>
      <c r="AR2782" s="80" t="n"/>
    </row>
    <row r="2783">
      <c r="D2783" s="80" t="n"/>
      <c r="E2783" s="80" t="n"/>
      <c r="F2783" s="80" t="n"/>
      <c r="G2783" s="80" t="n"/>
      <c r="H2783" s="80" t="n"/>
      <c r="I2783" s="80" t="n"/>
      <c r="J2783" s="80" t="n"/>
      <c r="K2783" s="80" t="n"/>
      <c r="L2783" s="80" t="n"/>
      <c r="M2783" s="80" t="n"/>
      <c r="N2783" s="80" t="n"/>
      <c r="O2783" s="80" t="n"/>
      <c r="P2783" s="80" t="n"/>
      <c r="Q2783" s="80" t="n"/>
      <c r="R2783" s="80" t="n"/>
      <c r="S2783" s="80" t="n"/>
      <c r="T2783" s="80" t="n"/>
      <c r="U2783" s="80" t="n"/>
      <c r="V2783" s="80" t="n"/>
      <c r="W2783" s="80" t="n"/>
      <c r="X2783" s="80" t="n"/>
      <c r="Y2783" s="80" t="n"/>
      <c r="Z2783" s="80" t="n"/>
      <c r="AA2783" s="80" t="n"/>
      <c r="AB2783" s="80" t="n"/>
      <c r="AC2783" s="80" t="n"/>
      <c r="AD2783" s="80" t="n"/>
      <c r="AE2783" s="80" t="n"/>
      <c r="AF2783" s="80" t="n"/>
      <c r="AG2783" s="80" t="n"/>
      <c r="AH2783" s="80" t="n"/>
      <c r="AI2783" s="80" t="n"/>
      <c r="AJ2783" s="80" t="n"/>
      <c r="AK2783" s="80" t="n"/>
      <c r="AL2783" s="80" t="n"/>
      <c r="AM2783" s="80" t="n"/>
      <c r="AN2783" s="80" t="n"/>
      <c r="AO2783" s="80" t="n"/>
      <c r="AP2783" s="80" t="n"/>
      <c r="AQ2783" s="80" t="n"/>
      <c r="AR2783" s="80" t="n"/>
    </row>
    <row r="2784">
      <c r="D2784" s="80" t="n"/>
      <c r="E2784" s="80" t="n"/>
      <c r="F2784" s="80" t="n"/>
      <c r="G2784" s="80" t="n"/>
      <c r="H2784" s="80" t="n"/>
      <c r="I2784" s="80" t="n"/>
      <c r="J2784" s="80" t="n"/>
      <c r="K2784" s="80" t="n"/>
      <c r="L2784" s="80" t="n"/>
      <c r="M2784" s="80" t="n"/>
      <c r="N2784" s="80" t="n"/>
      <c r="O2784" s="80" t="n"/>
      <c r="P2784" s="80" t="n"/>
      <c r="Q2784" s="80" t="n"/>
      <c r="R2784" s="80" t="n"/>
      <c r="S2784" s="80" t="n"/>
      <c r="T2784" s="80" t="n"/>
      <c r="U2784" s="80" t="n"/>
      <c r="V2784" s="80" t="n"/>
      <c r="W2784" s="80" t="n"/>
      <c r="X2784" s="80" t="n"/>
      <c r="Y2784" s="80" t="n"/>
      <c r="Z2784" s="80" t="n"/>
      <c r="AA2784" s="80" t="n"/>
      <c r="AB2784" s="80" t="n"/>
      <c r="AC2784" s="80" t="n"/>
      <c r="AD2784" s="80" t="n"/>
      <c r="AE2784" s="80" t="n"/>
      <c r="AF2784" s="80" t="n"/>
      <c r="AG2784" s="80" t="n"/>
      <c r="AH2784" s="80" t="n"/>
      <c r="AI2784" s="80" t="n"/>
      <c r="AJ2784" s="80" t="n"/>
      <c r="AK2784" s="80" t="n"/>
      <c r="AL2784" s="80" t="n"/>
      <c r="AM2784" s="80" t="n"/>
      <c r="AN2784" s="80" t="n"/>
      <c r="AO2784" s="80" t="n"/>
      <c r="AP2784" s="80" t="n"/>
      <c r="AQ2784" s="80" t="n"/>
      <c r="AR2784" s="80" t="n"/>
    </row>
    <row r="2785">
      <c r="D2785" s="80" t="n"/>
      <c r="E2785" s="80" t="n"/>
      <c r="F2785" s="80" t="n"/>
      <c r="G2785" s="80" t="n"/>
      <c r="H2785" s="80" t="n"/>
      <c r="I2785" s="80" t="n"/>
      <c r="J2785" s="80" t="n"/>
      <c r="K2785" s="80" t="n"/>
      <c r="L2785" s="80" t="n"/>
      <c r="M2785" s="80" t="n"/>
      <c r="N2785" s="80" t="n"/>
      <c r="O2785" s="80" t="n"/>
      <c r="P2785" s="80" t="n"/>
      <c r="Q2785" s="80" t="n"/>
      <c r="R2785" s="80" t="n"/>
      <c r="S2785" s="80" t="n"/>
      <c r="T2785" s="80" t="n"/>
      <c r="U2785" s="80" t="n"/>
      <c r="V2785" s="80" t="n"/>
      <c r="W2785" s="80" t="n"/>
      <c r="X2785" s="80" t="n"/>
      <c r="Y2785" s="80" t="n"/>
      <c r="Z2785" s="80" t="n"/>
      <c r="AA2785" s="80" t="n"/>
      <c r="AB2785" s="80" t="n"/>
      <c r="AC2785" s="80" t="n"/>
      <c r="AD2785" s="80" t="n"/>
      <c r="AE2785" s="80" t="n"/>
      <c r="AF2785" s="80" t="n"/>
      <c r="AG2785" s="80" t="n"/>
      <c r="AH2785" s="80" t="n"/>
      <c r="AI2785" s="80" t="n"/>
      <c r="AJ2785" s="80" t="n"/>
      <c r="AK2785" s="80" t="n"/>
      <c r="AL2785" s="80" t="n"/>
      <c r="AM2785" s="80" t="n"/>
      <c r="AN2785" s="80" t="n"/>
      <c r="AO2785" s="80" t="n"/>
      <c r="AP2785" s="80" t="n"/>
      <c r="AQ2785" s="80" t="n"/>
      <c r="AR2785" s="80" t="n"/>
    </row>
    <row r="2786">
      <c r="A2786" s="2">
        <f>IF($A2779="","","   projections")</f>
        <v/>
      </c>
      <c r="B2786" s="41">
        <f>IF($A2779="",0,COUNT($E2787:$AR2787))</f>
        <v/>
      </c>
      <c r="C2786" s="81">
        <f>IF($B2786=0,0,MAX($E2787:$AR2787))</f>
        <v/>
      </c>
      <c r="D2786" s="82">
        <f>BDS($A2779,'Field Check'!$C$6,"headers=y","startcol=1","endcol=7","dir=h")</f>
        <v/>
      </c>
      <c r="E2786" s="83" t="n"/>
      <c r="F2786" s="83" t="n"/>
      <c r="G2786" s="83" t="n"/>
      <c r="H2786" s="83" t="n"/>
      <c r="I2786" s="83" t="n"/>
      <c r="J2786" s="83" t="n"/>
      <c r="K2786" s="83" t="n"/>
      <c r="L2786" s="83" t="n"/>
      <c r="M2786" s="83" t="n"/>
      <c r="N2786" s="83" t="n"/>
      <c r="O2786" s="83" t="n"/>
      <c r="P2786" s="83" t="n"/>
      <c r="Q2786" s="83" t="n"/>
      <c r="R2786" s="83" t="n"/>
      <c r="S2786" s="83" t="n"/>
      <c r="T2786" s="83" t="n"/>
      <c r="U2786" s="83" t="n"/>
      <c r="V2786" s="83" t="n"/>
      <c r="W2786" s="83" t="n"/>
      <c r="X2786" s="83" t="n"/>
      <c r="Y2786" s="83" t="n"/>
      <c r="Z2786" s="83" t="n"/>
      <c r="AA2786" s="83" t="n"/>
      <c r="AB2786" s="83" t="n"/>
      <c r="AC2786" s="83" t="n"/>
      <c r="AD2786" s="83" t="n"/>
      <c r="AE2786" s="83" t="n"/>
      <c r="AF2786" s="83" t="n"/>
      <c r="AG2786" s="83" t="n"/>
      <c r="AH2786" s="83" t="n"/>
      <c r="AI2786" s="83" t="n"/>
      <c r="AJ2786" s="83" t="n"/>
      <c r="AK2786" s="83" t="n"/>
      <c r="AL2786" s="83" t="n"/>
      <c r="AM2786" s="83" t="n"/>
      <c r="AN2786" s="83" t="n"/>
      <c r="AO2786" s="83" t="n"/>
      <c r="AP2786" s="83" t="n"/>
      <c r="AQ2786" s="83" t="n"/>
      <c r="AR2786" s="83" t="n"/>
    </row>
    <row r="2787">
      <c r="D2787" s="83" t="n"/>
      <c r="E2787" s="83" t="n"/>
      <c r="F2787" s="83" t="n"/>
      <c r="G2787" s="83" t="n"/>
      <c r="H2787" s="83" t="n"/>
      <c r="I2787" s="83" t="n"/>
      <c r="J2787" s="83" t="n"/>
      <c r="K2787" s="83" t="n"/>
      <c r="L2787" s="83" t="n"/>
      <c r="M2787" s="83" t="n"/>
      <c r="N2787" s="83" t="n"/>
      <c r="O2787" s="83" t="n"/>
      <c r="P2787" s="83" t="n"/>
      <c r="Q2787" s="83" t="n"/>
      <c r="R2787" s="83" t="n"/>
      <c r="S2787" s="83" t="n"/>
      <c r="T2787" s="83" t="n"/>
      <c r="U2787" s="83" t="n"/>
      <c r="V2787" s="83" t="n"/>
      <c r="W2787" s="83" t="n"/>
      <c r="X2787" s="83" t="n"/>
      <c r="Y2787" s="83" t="n"/>
      <c r="Z2787" s="83" t="n"/>
      <c r="AA2787" s="83" t="n"/>
      <c r="AB2787" s="83" t="n"/>
      <c r="AC2787" s="83" t="n"/>
      <c r="AD2787" s="83" t="n"/>
      <c r="AE2787" s="83" t="n"/>
      <c r="AF2787" s="83" t="n"/>
      <c r="AG2787" s="83" t="n"/>
      <c r="AH2787" s="83" t="n"/>
      <c r="AI2787" s="83" t="n"/>
      <c r="AJ2787" s="83" t="n"/>
      <c r="AK2787" s="83" t="n"/>
      <c r="AL2787" s="83" t="n"/>
      <c r="AM2787" s="83" t="n"/>
      <c r="AN2787" s="83" t="n"/>
      <c r="AO2787" s="83" t="n"/>
      <c r="AP2787" s="83" t="n"/>
      <c r="AQ2787" s="83" t="n"/>
      <c r="AR2787" s="83" t="n"/>
    </row>
    <row r="2788">
      <c r="D2788" s="84" t="n"/>
      <c r="E2788" s="84" t="n"/>
      <c r="F2788" s="84" t="n"/>
      <c r="G2788" s="84" t="n"/>
      <c r="H2788" s="84" t="n"/>
      <c r="I2788" s="84" t="n"/>
      <c r="J2788" s="84" t="n"/>
      <c r="K2788" s="84" t="n"/>
      <c r="L2788" s="84" t="n"/>
      <c r="M2788" s="84" t="n"/>
      <c r="N2788" s="84" t="n"/>
      <c r="O2788" s="84" t="n"/>
      <c r="P2788" s="84" t="n"/>
      <c r="Q2788" s="84" t="n"/>
      <c r="R2788" s="84" t="n"/>
      <c r="S2788" s="84" t="n"/>
      <c r="T2788" s="84" t="n"/>
      <c r="U2788" s="84" t="n"/>
      <c r="V2788" s="84" t="n"/>
      <c r="W2788" s="84" t="n"/>
      <c r="X2788" s="84" t="n"/>
      <c r="Y2788" s="84" t="n"/>
      <c r="Z2788" s="84" t="n"/>
      <c r="AA2788" s="84" t="n"/>
      <c r="AB2788" s="84" t="n"/>
      <c r="AC2788" s="84" t="n"/>
      <c r="AD2788" s="84" t="n"/>
      <c r="AE2788" s="84" t="n"/>
      <c r="AF2788" s="84" t="n"/>
      <c r="AG2788" s="84" t="n"/>
      <c r="AH2788" s="84" t="n"/>
      <c r="AI2788" s="84" t="n"/>
      <c r="AJ2788" s="84" t="n"/>
      <c r="AK2788" s="84" t="n"/>
      <c r="AL2788" s="84" t="n"/>
      <c r="AM2788" s="84" t="n"/>
      <c r="AN2788" s="84" t="n"/>
      <c r="AO2788" s="84" t="n"/>
      <c r="AP2788" s="84" t="n"/>
      <c r="AQ2788" s="84" t="n"/>
      <c r="AR2788" s="84" t="n"/>
    </row>
    <row r="2789">
      <c r="D2789" s="80" t="n"/>
      <c r="E2789" s="80" t="n"/>
      <c r="F2789" s="80" t="n"/>
      <c r="G2789" s="80" t="n"/>
      <c r="H2789" s="80" t="n"/>
      <c r="I2789" s="80" t="n"/>
      <c r="J2789" s="80" t="n"/>
      <c r="K2789" s="80" t="n"/>
      <c r="L2789" s="80" t="n"/>
      <c r="M2789" s="80" t="n"/>
      <c r="N2789" s="80" t="n"/>
      <c r="O2789" s="80" t="n"/>
      <c r="P2789" s="80" t="n"/>
      <c r="Q2789" s="80" t="n"/>
      <c r="R2789" s="80" t="n"/>
      <c r="S2789" s="80" t="n"/>
      <c r="T2789" s="80" t="n"/>
      <c r="U2789" s="80" t="n"/>
      <c r="V2789" s="80" t="n"/>
      <c r="W2789" s="80" t="n"/>
      <c r="X2789" s="80" t="n"/>
      <c r="Y2789" s="80" t="n"/>
      <c r="Z2789" s="80" t="n"/>
      <c r="AA2789" s="80" t="n"/>
      <c r="AB2789" s="80" t="n"/>
      <c r="AC2789" s="80" t="n"/>
      <c r="AD2789" s="80" t="n"/>
      <c r="AE2789" s="80" t="n"/>
      <c r="AF2789" s="80" t="n"/>
      <c r="AG2789" s="80" t="n"/>
      <c r="AH2789" s="80" t="n"/>
      <c r="AI2789" s="80" t="n"/>
      <c r="AJ2789" s="80" t="n"/>
      <c r="AK2789" s="80" t="n"/>
      <c r="AL2789" s="80" t="n"/>
      <c r="AM2789" s="80" t="n"/>
      <c r="AN2789" s="80" t="n"/>
      <c r="AO2789" s="80" t="n"/>
      <c r="AP2789" s="80" t="n"/>
      <c r="AQ2789" s="80" t="n"/>
      <c r="AR2789" s="80" t="n"/>
    </row>
    <row r="2790">
      <c r="D2790" s="80" t="n"/>
      <c r="E2790" s="80" t="n"/>
      <c r="F2790" s="80" t="n"/>
      <c r="G2790" s="80" t="n"/>
      <c r="H2790" s="80" t="n"/>
      <c r="I2790" s="80" t="n"/>
      <c r="J2790" s="80" t="n"/>
      <c r="K2790" s="80" t="n"/>
      <c r="L2790" s="80" t="n"/>
      <c r="M2790" s="80" t="n"/>
      <c r="N2790" s="80" t="n"/>
      <c r="O2790" s="80" t="n"/>
      <c r="P2790" s="80" t="n"/>
      <c r="Q2790" s="80" t="n"/>
      <c r="R2790" s="80" t="n"/>
      <c r="S2790" s="80" t="n"/>
      <c r="T2790" s="80" t="n"/>
      <c r="U2790" s="80" t="n"/>
      <c r="V2790" s="80" t="n"/>
      <c r="W2790" s="80" t="n"/>
      <c r="X2790" s="80" t="n"/>
      <c r="Y2790" s="80" t="n"/>
      <c r="Z2790" s="80" t="n"/>
      <c r="AA2790" s="80" t="n"/>
      <c r="AB2790" s="80" t="n"/>
      <c r="AC2790" s="80" t="n"/>
      <c r="AD2790" s="80" t="n"/>
      <c r="AE2790" s="80" t="n"/>
      <c r="AF2790" s="80" t="n"/>
      <c r="AG2790" s="80" t="n"/>
      <c r="AH2790" s="80" t="n"/>
      <c r="AI2790" s="80" t="n"/>
      <c r="AJ2790" s="80" t="n"/>
      <c r="AK2790" s="80" t="n"/>
      <c r="AL2790" s="80" t="n"/>
      <c r="AM2790" s="80" t="n"/>
      <c r="AN2790" s="80" t="n"/>
      <c r="AO2790" s="80" t="n"/>
      <c r="AP2790" s="80" t="n"/>
      <c r="AQ2790" s="80" t="n"/>
      <c r="AR2790" s="80" t="n"/>
    </row>
    <row r="2791">
      <c r="D2791" s="80" t="n"/>
      <c r="E2791" s="80" t="n"/>
      <c r="F2791" s="80" t="n"/>
      <c r="G2791" s="80" t="n"/>
      <c r="H2791" s="80" t="n"/>
      <c r="I2791" s="80" t="n"/>
      <c r="J2791" s="80" t="n"/>
      <c r="K2791" s="80" t="n"/>
      <c r="L2791" s="80" t="n"/>
      <c r="M2791" s="80" t="n"/>
      <c r="N2791" s="80" t="n"/>
      <c r="O2791" s="80" t="n"/>
      <c r="P2791" s="80" t="n"/>
      <c r="Q2791" s="80" t="n"/>
      <c r="R2791" s="80" t="n"/>
      <c r="S2791" s="80" t="n"/>
      <c r="T2791" s="80" t="n"/>
      <c r="U2791" s="80" t="n"/>
      <c r="V2791" s="80" t="n"/>
      <c r="W2791" s="80" t="n"/>
      <c r="X2791" s="80" t="n"/>
      <c r="Y2791" s="80" t="n"/>
      <c r="Z2791" s="80" t="n"/>
      <c r="AA2791" s="80" t="n"/>
      <c r="AB2791" s="80" t="n"/>
      <c r="AC2791" s="80" t="n"/>
      <c r="AD2791" s="80" t="n"/>
      <c r="AE2791" s="80" t="n"/>
      <c r="AF2791" s="80" t="n"/>
      <c r="AG2791" s="80" t="n"/>
      <c r="AH2791" s="80" t="n"/>
      <c r="AI2791" s="80" t="n"/>
      <c r="AJ2791" s="80" t="n"/>
      <c r="AK2791" s="80" t="n"/>
      <c r="AL2791" s="80" t="n"/>
      <c r="AM2791" s="80" t="n"/>
      <c r="AN2791" s="80" t="n"/>
      <c r="AO2791" s="80" t="n"/>
      <c r="AP2791" s="80" t="n"/>
      <c r="AQ2791" s="80" t="n"/>
      <c r="AR2791" s="80" t="n"/>
    </row>
    <row r="2792">
      <c r="D2792" s="80" t="n"/>
      <c r="E2792" s="80" t="n"/>
      <c r="F2792" s="80" t="n"/>
      <c r="G2792" s="80" t="n"/>
      <c r="H2792" s="80" t="n"/>
      <c r="I2792" s="80" t="n"/>
      <c r="J2792" s="80" t="n"/>
      <c r="K2792" s="80" t="n"/>
      <c r="L2792" s="80" t="n"/>
      <c r="M2792" s="80" t="n"/>
      <c r="N2792" s="80" t="n"/>
      <c r="O2792" s="80" t="n"/>
      <c r="P2792" s="80" t="n"/>
      <c r="Q2792" s="80" t="n"/>
      <c r="R2792" s="80" t="n"/>
      <c r="S2792" s="80" t="n"/>
      <c r="T2792" s="80" t="n"/>
      <c r="U2792" s="80" t="n"/>
      <c r="V2792" s="80" t="n"/>
      <c r="W2792" s="80" t="n"/>
      <c r="X2792" s="80" t="n"/>
      <c r="Y2792" s="80" t="n"/>
      <c r="Z2792" s="80" t="n"/>
      <c r="AA2792" s="80" t="n"/>
      <c r="AB2792" s="80" t="n"/>
      <c r="AC2792" s="80" t="n"/>
      <c r="AD2792" s="80" t="n"/>
      <c r="AE2792" s="80" t="n"/>
      <c r="AF2792" s="80" t="n"/>
      <c r="AG2792" s="80" t="n"/>
      <c r="AH2792" s="80" t="n"/>
      <c r="AI2792" s="80" t="n"/>
      <c r="AJ2792" s="80" t="n"/>
      <c r="AK2792" s="80" t="n"/>
      <c r="AL2792" s="80" t="n"/>
      <c r="AM2792" s="80" t="n"/>
      <c r="AN2792" s="80" t="n"/>
      <c r="AO2792" s="80" t="n"/>
      <c r="AP2792" s="80" t="n"/>
      <c r="AQ2792" s="80" t="n"/>
      <c r="AR2792" s="80" t="n"/>
    </row>
    <row r="2794">
      <c r="A2794" s="6">
        <f>IF(HSCEI!$C$52="","",HSCEI!$C$52)</f>
        <v/>
      </c>
      <c r="B2794" s="41">
        <f>IF($A2794="",0,COUNT($E2795:$AR2795))</f>
        <v/>
      </c>
      <c r="C2794" s="81">
        <f>IF($B2794=0,0,MAX($E2795:$AR2795))</f>
        <v/>
      </c>
      <c r="D2794" s="82">
        <f>BDS($A2794,'Field Check'!$C$7,"headers=y","startcol=1","endcol=7","dir=h","DVD_START_DT",Summary!$C$18,"DVD_END_DT",Summary!$D$18)</f>
        <v/>
      </c>
      <c r="E2794" s="83" t="n"/>
      <c r="F2794" s="83" t="n"/>
      <c r="G2794" s="83" t="n"/>
      <c r="H2794" s="83" t="n"/>
      <c r="I2794" s="83" t="n"/>
      <c r="J2794" s="83" t="n"/>
      <c r="K2794" s="83" t="n"/>
      <c r="L2794" s="83" t="n"/>
      <c r="M2794" s="83" t="n"/>
      <c r="N2794" s="83" t="n"/>
      <c r="O2794" s="83" t="n"/>
      <c r="P2794" s="83" t="n"/>
      <c r="Q2794" s="83" t="n"/>
      <c r="R2794" s="83" t="n"/>
      <c r="S2794" s="83" t="n"/>
      <c r="T2794" s="83" t="n"/>
      <c r="U2794" s="83" t="n"/>
      <c r="V2794" s="83" t="n"/>
      <c r="W2794" s="83" t="n"/>
      <c r="X2794" s="83" t="n"/>
      <c r="Y2794" s="83" t="n"/>
      <c r="Z2794" s="83" t="n"/>
      <c r="AA2794" s="83" t="n"/>
      <c r="AB2794" s="83" t="n"/>
      <c r="AC2794" s="83" t="n"/>
      <c r="AD2794" s="83" t="n"/>
      <c r="AE2794" s="83" t="n"/>
      <c r="AF2794" s="83" t="n"/>
      <c r="AG2794" s="83" t="n"/>
      <c r="AH2794" s="83" t="n"/>
      <c r="AI2794" s="83" t="n"/>
      <c r="AJ2794" s="83" t="n"/>
      <c r="AK2794" s="83" t="n"/>
      <c r="AL2794" s="83" t="n"/>
      <c r="AM2794" s="83" t="n"/>
      <c r="AN2794" s="83" t="n"/>
      <c r="AO2794" s="83" t="n"/>
      <c r="AP2794" s="83" t="n"/>
      <c r="AQ2794" s="83" t="n"/>
      <c r="AR2794" s="83" t="n"/>
    </row>
    <row r="2795">
      <c r="D2795" s="83" t="n"/>
      <c r="E2795" s="83" t="n"/>
      <c r="F2795" s="83" t="n"/>
      <c r="G2795" s="83" t="n"/>
      <c r="H2795" s="83" t="n"/>
      <c r="I2795" s="83" t="n"/>
      <c r="J2795" s="83" t="n"/>
      <c r="K2795" s="83" t="n"/>
      <c r="L2795" s="83" t="n"/>
      <c r="M2795" s="83" t="n"/>
      <c r="N2795" s="83" t="n"/>
      <c r="O2795" s="83" t="n"/>
      <c r="P2795" s="83" t="n"/>
      <c r="Q2795" s="83" t="n"/>
      <c r="R2795" s="83" t="n"/>
      <c r="S2795" s="83" t="n"/>
      <c r="T2795" s="83" t="n"/>
      <c r="U2795" s="83" t="n"/>
      <c r="V2795" s="83" t="n"/>
      <c r="W2795" s="83" t="n"/>
      <c r="X2795" s="83" t="n"/>
      <c r="Y2795" s="83" t="n"/>
      <c r="Z2795" s="83" t="n"/>
      <c r="AA2795" s="83" t="n"/>
      <c r="AB2795" s="83" t="n"/>
      <c r="AC2795" s="83" t="n"/>
      <c r="AD2795" s="83" t="n"/>
      <c r="AE2795" s="83" t="n"/>
      <c r="AF2795" s="83" t="n"/>
      <c r="AG2795" s="83" t="n"/>
      <c r="AH2795" s="83" t="n"/>
      <c r="AI2795" s="83" t="n"/>
      <c r="AJ2795" s="83" t="n"/>
      <c r="AK2795" s="83" t="n"/>
      <c r="AL2795" s="83" t="n"/>
      <c r="AM2795" s="83" t="n"/>
      <c r="AN2795" s="83" t="n"/>
      <c r="AO2795" s="83" t="n"/>
      <c r="AP2795" s="83" t="n"/>
      <c r="AQ2795" s="83" t="n"/>
      <c r="AR2795" s="83" t="n"/>
    </row>
    <row r="2796">
      <c r="D2796" s="84" t="n"/>
      <c r="E2796" s="84" t="n"/>
      <c r="F2796" s="84" t="n"/>
      <c r="G2796" s="84" t="n"/>
      <c r="H2796" s="84" t="n"/>
      <c r="I2796" s="84" t="n"/>
      <c r="J2796" s="84" t="n"/>
      <c r="K2796" s="84" t="n"/>
      <c r="L2796" s="84" t="n"/>
      <c r="M2796" s="84" t="n"/>
      <c r="N2796" s="84" t="n"/>
      <c r="O2796" s="84" t="n"/>
      <c r="P2796" s="84" t="n"/>
      <c r="Q2796" s="84" t="n"/>
      <c r="R2796" s="84" t="n"/>
      <c r="S2796" s="84" t="n"/>
      <c r="T2796" s="84" t="n"/>
      <c r="U2796" s="84" t="n"/>
      <c r="V2796" s="84" t="n"/>
      <c r="W2796" s="84" t="n"/>
      <c r="X2796" s="84" t="n"/>
      <c r="Y2796" s="84" t="n"/>
      <c r="Z2796" s="84" t="n"/>
      <c r="AA2796" s="84" t="n"/>
      <c r="AB2796" s="84" t="n"/>
      <c r="AC2796" s="84" t="n"/>
      <c r="AD2796" s="84" t="n"/>
      <c r="AE2796" s="84" t="n"/>
      <c r="AF2796" s="84" t="n"/>
      <c r="AG2796" s="84" t="n"/>
      <c r="AH2796" s="84" t="n"/>
      <c r="AI2796" s="84" t="n"/>
      <c r="AJ2796" s="84" t="n"/>
      <c r="AK2796" s="84" t="n"/>
      <c r="AL2796" s="84" t="n"/>
      <c r="AM2796" s="84" t="n"/>
      <c r="AN2796" s="84" t="n"/>
      <c r="AO2796" s="84" t="n"/>
      <c r="AP2796" s="84" t="n"/>
      <c r="AQ2796" s="84" t="n"/>
      <c r="AR2796" s="84" t="n"/>
    </row>
    <row r="2797">
      <c r="D2797" s="80" t="n"/>
      <c r="E2797" s="80" t="n"/>
      <c r="F2797" s="80" t="n"/>
      <c r="G2797" s="80" t="n"/>
      <c r="H2797" s="80" t="n"/>
      <c r="I2797" s="80" t="n"/>
      <c r="J2797" s="80" t="n"/>
      <c r="K2797" s="80" t="n"/>
      <c r="L2797" s="80" t="n"/>
      <c r="M2797" s="80" t="n"/>
      <c r="N2797" s="80" t="n"/>
      <c r="O2797" s="80" t="n"/>
      <c r="P2797" s="80" t="n"/>
      <c r="Q2797" s="80" t="n"/>
      <c r="R2797" s="80" t="n"/>
      <c r="S2797" s="80" t="n"/>
      <c r="T2797" s="80" t="n"/>
      <c r="U2797" s="80" t="n"/>
      <c r="V2797" s="80" t="n"/>
      <c r="W2797" s="80" t="n"/>
      <c r="X2797" s="80" t="n"/>
      <c r="Y2797" s="80" t="n"/>
      <c r="Z2797" s="80" t="n"/>
      <c r="AA2797" s="80" t="n"/>
      <c r="AB2797" s="80" t="n"/>
      <c r="AC2797" s="80" t="n"/>
      <c r="AD2797" s="80" t="n"/>
      <c r="AE2797" s="80" t="n"/>
      <c r="AF2797" s="80" t="n"/>
      <c r="AG2797" s="80" t="n"/>
      <c r="AH2797" s="80" t="n"/>
      <c r="AI2797" s="80" t="n"/>
      <c r="AJ2797" s="80" t="n"/>
      <c r="AK2797" s="80" t="n"/>
      <c r="AL2797" s="80" t="n"/>
      <c r="AM2797" s="80" t="n"/>
      <c r="AN2797" s="80" t="n"/>
      <c r="AO2797" s="80" t="n"/>
      <c r="AP2797" s="80" t="n"/>
      <c r="AQ2797" s="80" t="n"/>
      <c r="AR2797" s="80" t="n"/>
    </row>
    <row r="2798">
      <c r="D2798" s="80" t="n"/>
      <c r="E2798" s="80" t="n"/>
      <c r="F2798" s="80" t="n"/>
      <c r="G2798" s="80" t="n"/>
      <c r="H2798" s="80" t="n"/>
      <c r="I2798" s="80" t="n"/>
      <c r="J2798" s="80" t="n"/>
      <c r="K2798" s="80" t="n"/>
      <c r="L2798" s="80" t="n"/>
      <c r="M2798" s="80" t="n"/>
      <c r="N2798" s="80" t="n"/>
      <c r="O2798" s="80" t="n"/>
      <c r="P2798" s="80" t="n"/>
      <c r="Q2798" s="80" t="n"/>
      <c r="R2798" s="80" t="n"/>
      <c r="S2798" s="80" t="n"/>
      <c r="T2798" s="80" t="n"/>
      <c r="U2798" s="80" t="n"/>
      <c r="V2798" s="80" t="n"/>
      <c r="W2798" s="80" t="n"/>
      <c r="X2798" s="80" t="n"/>
      <c r="Y2798" s="80" t="n"/>
      <c r="Z2798" s="80" t="n"/>
      <c r="AA2798" s="80" t="n"/>
      <c r="AB2798" s="80" t="n"/>
      <c r="AC2798" s="80" t="n"/>
      <c r="AD2798" s="80" t="n"/>
      <c r="AE2798" s="80" t="n"/>
      <c r="AF2798" s="80" t="n"/>
      <c r="AG2798" s="80" t="n"/>
      <c r="AH2798" s="80" t="n"/>
      <c r="AI2798" s="80" t="n"/>
      <c r="AJ2798" s="80" t="n"/>
      <c r="AK2798" s="80" t="n"/>
      <c r="AL2798" s="80" t="n"/>
      <c r="AM2798" s="80" t="n"/>
      <c r="AN2798" s="80" t="n"/>
      <c r="AO2798" s="80" t="n"/>
      <c r="AP2798" s="80" t="n"/>
      <c r="AQ2798" s="80" t="n"/>
      <c r="AR2798" s="80" t="n"/>
    </row>
    <row r="2799">
      <c r="D2799" s="80" t="n"/>
      <c r="E2799" s="80" t="n"/>
      <c r="F2799" s="80" t="n"/>
      <c r="G2799" s="80" t="n"/>
      <c r="H2799" s="80" t="n"/>
      <c r="I2799" s="80" t="n"/>
      <c r="J2799" s="80" t="n"/>
      <c r="K2799" s="80" t="n"/>
      <c r="L2799" s="80" t="n"/>
      <c r="M2799" s="80" t="n"/>
      <c r="N2799" s="80" t="n"/>
      <c r="O2799" s="80" t="n"/>
      <c r="P2799" s="80" t="n"/>
      <c r="Q2799" s="80" t="n"/>
      <c r="R2799" s="80" t="n"/>
      <c r="S2799" s="80" t="n"/>
      <c r="T2799" s="80" t="n"/>
      <c r="U2799" s="80" t="n"/>
      <c r="V2799" s="80" t="n"/>
      <c r="W2799" s="80" t="n"/>
      <c r="X2799" s="80" t="n"/>
      <c r="Y2799" s="80" t="n"/>
      <c r="Z2799" s="80" t="n"/>
      <c r="AA2799" s="80" t="n"/>
      <c r="AB2799" s="80" t="n"/>
      <c r="AC2799" s="80" t="n"/>
      <c r="AD2799" s="80" t="n"/>
      <c r="AE2799" s="80" t="n"/>
      <c r="AF2799" s="80" t="n"/>
      <c r="AG2799" s="80" t="n"/>
      <c r="AH2799" s="80" t="n"/>
      <c r="AI2799" s="80" t="n"/>
      <c r="AJ2799" s="80" t="n"/>
      <c r="AK2799" s="80" t="n"/>
      <c r="AL2799" s="80" t="n"/>
      <c r="AM2799" s="80" t="n"/>
      <c r="AN2799" s="80" t="n"/>
      <c r="AO2799" s="80" t="n"/>
      <c r="AP2799" s="80" t="n"/>
      <c r="AQ2799" s="80" t="n"/>
      <c r="AR2799" s="80" t="n"/>
    </row>
    <row r="2800">
      <c r="D2800" s="80" t="n"/>
      <c r="E2800" s="80" t="n"/>
      <c r="F2800" s="80" t="n"/>
      <c r="G2800" s="80" t="n"/>
      <c r="H2800" s="80" t="n"/>
      <c r="I2800" s="80" t="n"/>
      <c r="J2800" s="80" t="n"/>
      <c r="K2800" s="80" t="n"/>
      <c r="L2800" s="80" t="n"/>
      <c r="M2800" s="80" t="n"/>
      <c r="N2800" s="80" t="n"/>
      <c r="O2800" s="80" t="n"/>
      <c r="P2800" s="80" t="n"/>
      <c r="Q2800" s="80" t="n"/>
      <c r="R2800" s="80" t="n"/>
      <c r="S2800" s="80" t="n"/>
      <c r="T2800" s="80" t="n"/>
      <c r="U2800" s="80" t="n"/>
      <c r="V2800" s="80" t="n"/>
      <c r="W2800" s="80" t="n"/>
      <c r="X2800" s="80" t="n"/>
      <c r="Y2800" s="80" t="n"/>
      <c r="Z2800" s="80" t="n"/>
      <c r="AA2800" s="80" t="n"/>
      <c r="AB2800" s="80" t="n"/>
      <c r="AC2800" s="80" t="n"/>
      <c r="AD2800" s="80" t="n"/>
      <c r="AE2800" s="80" t="n"/>
      <c r="AF2800" s="80" t="n"/>
      <c r="AG2800" s="80" t="n"/>
      <c r="AH2800" s="80" t="n"/>
      <c r="AI2800" s="80" t="n"/>
      <c r="AJ2800" s="80" t="n"/>
      <c r="AK2800" s="80" t="n"/>
      <c r="AL2800" s="80" t="n"/>
      <c r="AM2800" s="80" t="n"/>
      <c r="AN2800" s="80" t="n"/>
      <c r="AO2800" s="80" t="n"/>
      <c r="AP2800" s="80" t="n"/>
      <c r="AQ2800" s="80" t="n"/>
      <c r="AR2800" s="80" t="n"/>
    </row>
    <row r="2801">
      <c r="A2801" s="2">
        <f>IF($A2794="","","   projections")</f>
        <v/>
      </c>
      <c r="B2801" s="41">
        <f>IF($A2794="",0,COUNT($E2802:$AR2802))</f>
        <v/>
      </c>
      <c r="C2801" s="81">
        <f>IF($B2801=0,0,MAX($E2802:$AR2802))</f>
        <v/>
      </c>
      <c r="D2801" s="82">
        <f>BDS($A2794,'Field Check'!$C$6,"headers=y","startcol=1","endcol=7","dir=h")</f>
        <v/>
      </c>
      <c r="E2801" s="83" t="n"/>
      <c r="F2801" s="83" t="n"/>
      <c r="G2801" s="83" t="n"/>
      <c r="H2801" s="83" t="n"/>
      <c r="I2801" s="83" t="n"/>
      <c r="J2801" s="83" t="n"/>
      <c r="K2801" s="83" t="n"/>
      <c r="L2801" s="83" t="n"/>
      <c r="M2801" s="83" t="n"/>
      <c r="N2801" s="83" t="n"/>
      <c r="O2801" s="83" t="n"/>
      <c r="P2801" s="83" t="n"/>
      <c r="Q2801" s="83" t="n"/>
      <c r="R2801" s="83" t="n"/>
      <c r="S2801" s="83" t="n"/>
      <c r="T2801" s="83" t="n"/>
      <c r="U2801" s="83" t="n"/>
      <c r="V2801" s="83" t="n"/>
      <c r="W2801" s="83" t="n"/>
      <c r="X2801" s="83" t="n"/>
      <c r="Y2801" s="83" t="n"/>
      <c r="Z2801" s="83" t="n"/>
      <c r="AA2801" s="83" t="n"/>
      <c r="AB2801" s="83" t="n"/>
      <c r="AC2801" s="83" t="n"/>
      <c r="AD2801" s="83" t="n"/>
      <c r="AE2801" s="83" t="n"/>
      <c r="AF2801" s="83" t="n"/>
      <c r="AG2801" s="83" t="n"/>
      <c r="AH2801" s="83" t="n"/>
      <c r="AI2801" s="83" t="n"/>
      <c r="AJ2801" s="83" t="n"/>
      <c r="AK2801" s="83" t="n"/>
      <c r="AL2801" s="83" t="n"/>
      <c r="AM2801" s="83" t="n"/>
      <c r="AN2801" s="83" t="n"/>
      <c r="AO2801" s="83" t="n"/>
      <c r="AP2801" s="83" t="n"/>
      <c r="AQ2801" s="83" t="n"/>
      <c r="AR2801" s="83" t="n"/>
    </row>
    <row r="2802">
      <c r="D2802" s="83" t="n"/>
      <c r="E2802" s="83" t="n"/>
      <c r="F2802" s="83" t="n"/>
      <c r="G2802" s="83" t="n"/>
      <c r="H2802" s="83" t="n"/>
      <c r="I2802" s="83" t="n"/>
      <c r="J2802" s="83" t="n"/>
      <c r="K2802" s="83" t="n"/>
      <c r="L2802" s="83" t="n"/>
      <c r="M2802" s="83" t="n"/>
      <c r="N2802" s="83" t="n"/>
      <c r="O2802" s="83" t="n"/>
      <c r="P2802" s="83" t="n"/>
      <c r="Q2802" s="83" t="n"/>
      <c r="R2802" s="83" t="n"/>
      <c r="S2802" s="83" t="n"/>
      <c r="T2802" s="83" t="n"/>
      <c r="U2802" s="83" t="n"/>
      <c r="V2802" s="83" t="n"/>
      <c r="W2802" s="83" t="n"/>
      <c r="X2802" s="83" t="n"/>
      <c r="Y2802" s="83" t="n"/>
      <c r="Z2802" s="83" t="n"/>
      <c r="AA2802" s="83" t="n"/>
      <c r="AB2802" s="83" t="n"/>
      <c r="AC2802" s="83" t="n"/>
      <c r="AD2802" s="83" t="n"/>
      <c r="AE2802" s="83" t="n"/>
      <c r="AF2802" s="83" t="n"/>
      <c r="AG2802" s="83" t="n"/>
      <c r="AH2802" s="83" t="n"/>
      <c r="AI2802" s="83" t="n"/>
      <c r="AJ2802" s="83" t="n"/>
      <c r="AK2802" s="83" t="n"/>
      <c r="AL2802" s="83" t="n"/>
      <c r="AM2802" s="83" t="n"/>
      <c r="AN2802" s="83" t="n"/>
      <c r="AO2802" s="83" t="n"/>
      <c r="AP2802" s="83" t="n"/>
      <c r="AQ2802" s="83" t="n"/>
      <c r="AR2802" s="83" t="n"/>
    </row>
    <row r="2803">
      <c r="D2803" s="84" t="n"/>
      <c r="E2803" s="84" t="n"/>
      <c r="F2803" s="84" t="n"/>
      <c r="G2803" s="84" t="n"/>
      <c r="H2803" s="84" t="n"/>
      <c r="I2803" s="84" t="n"/>
      <c r="J2803" s="84" t="n"/>
      <c r="K2803" s="84" t="n"/>
      <c r="L2803" s="84" t="n"/>
      <c r="M2803" s="84" t="n"/>
      <c r="N2803" s="84" t="n"/>
      <c r="O2803" s="84" t="n"/>
      <c r="P2803" s="84" t="n"/>
      <c r="Q2803" s="84" t="n"/>
      <c r="R2803" s="84" t="n"/>
      <c r="S2803" s="84" t="n"/>
      <c r="T2803" s="84" t="n"/>
      <c r="U2803" s="84" t="n"/>
      <c r="V2803" s="84" t="n"/>
      <c r="W2803" s="84" t="n"/>
      <c r="X2803" s="84" t="n"/>
      <c r="Y2803" s="84" t="n"/>
      <c r="Z2803" s="84" t="n"/>
      <c r="AA2803" s="84" t="n"/>
      <c r="AB2803" s="84" t="n"/>
      <c r="AC2803" s="84" t="n"/>
      <c r="AD2803" s="84" t="n"/>
      <c r="AE2803" s="84" t="n"/>
      <c r="AF2803" s="84" t="n"/>
      <c r="AG2803" s="84" t="n"/>
      <c r="AH2803" s="84" t="n"/>
      <c r="AI2803" s="84" t="n"/>
      <c r="AJ2803" s="84" t="n"/>
      <c r="AK2803" s="84" t="n"/>
      <c r="AL2803" s="84" t="n"/>
      <c r="AM2803" s="84" t="n"/>
      <c r="AN2803" s="84" t="n"/>
      <c r="AO2803" s="84" t="n"/>
      <c r="AP2803" s="84" t="n"/>
      <c r="AQ2803" s="84" t="n"/>
      <c r="AR2803" s="84" t="n"/>
    </row>
    <row r="2804">
      <c r="D2804" s="80" t="n"/>
      <c r="E2804" s="80" t="n"/>
      <c r="F2804" s="80" t="n"/>
      <c r="G2804" s="80" t="n"/>
      <c r="H2804" s="80" t="n"/>
      <c r="I2804" s="80" t="n"/>
      <c r="J2804" s="80" t="n"/>
      <c r="K2804" s="80" t="n"/>
      <c r="L2804" s="80" t="n"/>
      <c r="M2804" s="80" t="n"/>
      <c r="N2804" s="80" t="n"/>
      <c r="O2804" s="80" t="n"/>
      <c r="P2804" s="80" t="n"/>
      <c r="Q2804" s="80" t="n"/>
      <c r="R2804" s="80" t="n"/>
      <c r="S2804" s="80" t="n"/>
      <c r="T2804" s="80" t="n"/>
      <c r="U2804" s="80" t="n"/>
      <c r="V2804" s="80" t="n"/>
      <c r="W2804" s="80" t="n"/>
      <c r="X2804" s="80" t="n"/>
      <c r="Y2804" s="80" t="n"/>
      <c r="Z2804" s="80" t="n"/>
      <c r="AA2804" s="80" t="n"/>
      <c r="AB2804" s="80" t="n"/>
      <c r="AC2804" s="80" t="n"/>
      <c r="AD2804" s="80" t="n"/>
      <c r="AE2804" s="80" t="n"/>
      <c r="AF2804" s="80" t="n"/>
      <c r="AG2804" s="80" t="n"/>
      <c r="AH2804" s="80" t="n"/>
      <c r="AI2804" s="80" t="n"/>
      <c r="AJ2804" s="80" t="n"/>
      <c r="AK2804" s="80" t="n"/>
      <c r="AL2804" s="80" t="n"/>
      <c r="AM2804" s="80" t="n"/>
      <c r="AN2804" s="80" t="n"/>
      <c r="AO2804" s="80" t="n"/>
      <c r="AP2804" s="80" t="n"/>
      <c r="AQ2804" s="80" t="n"/>
      <c r="AR2804" s="80" t="n"/>
    </row>
    <row r="2805">
      <c r="D2805" s="80" t="n"/>
      <c r="E2805" s="80" t="n"/>
      <c r="F2805" s="80" t="n"/>
      <c r="G2805" s="80" t="n"/>
      <c r="H2805" s="80" t="n"/>
      <c r="I2805" s="80" t="n"/>
      <c r="J2805" s="80" t="n"/>
      <c r="K2805" s="80" t="n"/>
      <c r="L2805" s="80" t="n"/>
      <c r="M2805" s="80" t="n"/>
      <c r="N2805" s="80" t="n"/>
      <c r="O2805" s="80" t="n"/>
      <c r="P2805" s="80" t="n"/>
      <c r="Q2805" s="80" t="n"/>
      <c r="R2805" s="80" t="n"/>
      <c r="S2805" s="80" t="n"/>
      <c r="T2805" s="80" t="n"/>
      <c r="U2805" s="80" t="n"/>
      <c r="V2805" s="80" t="n"/>
      <c r="W2805" s="80" t="n"/>
      <c r="X2805" s="80" t="n"/>
      <c r="Y2805" s="80" t="n"/>
      <c r="Z2805" s="80" t="n"/>
      <c r="AA2805" s="80" t="n"/>
      <c r="AB2805" s="80" t="n"/>
      <c r="AC2805" s="80" t="n"/>
      <c r="AD2805" s="80" t="n"/>
      <c r="AE2805" s="80" t="n"/>
      <c r="AF2805" s="80" t="n"/>
      <c r="AG2805" s="80" t="n"/>
      <c r="AH2805" s="80" t="n"/>
      <c r="AI2805" s="80" t="n"/>
      <c r="AJ2805" s="80" t="n"/>
      <c r="AK2805" s="80" t="n"/>
      <c r="AL2805" s="80" t="n"/>
      <c r="AM2805" s="80" t="n"/>
      <c r="AN2805" s="80" t="n"/>
      <c r="AO2805" s="80" t="n"/>
      <c r="AP2805" s="80" t="n"/>
      <c r="AQ2805" s="80" t="n"/>
      <c r="AR2805" s="80" t="n"/>
    </row>
    <row r="2806">
      <c r="D2806" s="80" t="n"/>
      <c r="E2806" s="80" t="n"/>
      <c r="F2806" s="80" t="n"/>
      <c r="G2806" s="80" t="n"/>
      <c r="H2806" s="80" t="n"/>
      <c r="I2806" s="80" t="n"/>
      <c r="J2806" s="80" t="n"/>
      <c r="K2806" s="80" t="n"/>
      <c r="L2806" s="80" t="n"/>
      <c r="M2806" s="80" t="n"/>
      <c r="N2806" s="80" t="n"/>
      <c r="O2806" s="80" t="n"/>
      <c r="P2806" s="80" t="n"/>
      <c r="Q2806" s="80" t="n"/>
      <c r="R2806" s="80" t="n"/>
      <c r="S2806" s="80" t="n"/>
      <c r="T2806" s="80" t="n"/>
      <c r="U2806" s="80" t="n"/>
      <c r="V2806" s="80" t="n"/>
      <c r="W2806" s="80" t="n"/>
      <c r="X2806" s="80" t="n"/>
      <c r="Y2806" s="80" t="n"/>
      <c r="Z2806" s="80" t="n"/>
      <c r="AA2806" s="80" t="n"/>
      <c r="AB2806" s="80" t="n"/>
      <c r="AC2806" s="80" t="n"/>
      <c r="AD2806" s="80" t="n"/>
      <c r="AE2806" s="80" t="n"/>
      <c r="AF2806" s="80" t="n"/>
      <c r="AG2806" s="80" t="n"/>
      <c r="AH2806" s="80" t="n"/>
      <c r="AI2806" s="80" t="n"/>
      <c r="AJ2806" s="80" t="n"/>
      <c r="AK2806" s="80" t="n"/>
      <c r="AL2806" s="80" t="n"/>
      <c r="AM2806" s="80" t="n"/>
      <c r="AN2806" s="80" t="n"/>
      <c r="AO2806" s="80" t="n"/>
      <c r="AP2806" s="80" t="n"/>
      <c r="AQ2806" s="80" t="n"/>
      <c r="AR2806" s="80" t="n"/>
    </row>
    <row r="2807">
      <c r="D2807" s="80" t="n"/>
      <c r="E2807" s="80" t="n"/>
      <c r="F2807" s="80" t="n"/>
      <c r="G2807" s="80" t="n"/>
      <c r="H2807" s="80" t="n"/>
      <c r="I2807" s="80" t="n"/>
      <c r="J2807" s="80" t="n"/>
      <c r="K2807" s="80" t="n"/>
      <c r="L2807" s="80" t="n"/>
      <c r="M2807" s="80" t="n"/>
      <c r="N2807" s="80" t="n"/>
      <c r="O2807" s="80" t="n"/>
      <c r="P2807" s="80" t="n"/>
      <c r="Q2807" s="80" t="n"/>
      <c r="R2807" s="80" t="n"/>
      <c r="S2807" s="80" t="n"/>
      <c r="T2807" s="80" t="n"/>
      <c r="U2807" s="80" t="n"/>
      <c r="V2807" s="80" t="n"/>
      <c r="W2807" s="80" t="n"/>
      <c r="X2807" s="80" t="n"/>
      <c r="Y2807" s="80" t="n"/>
      <c r="Z2807" s="80" t="n"/>
      <c r="AA2807" s="80" t="n"/>
      <c r="AB2807" s="80" t="n"/>
      <c r="AC2807" s="80" t="n"/>
      <c r="AD2807" s="80" t="n"/>
      <c r="AE2807" s="80" t="n"/>
      <c r="AF2807" s="80" t="n"/>
      <c r="AG2807" s="80" t="n"/>
      <c r="AH2807" s="80" t="n"/>
      <c r="AI2807" s="80" t="n"/>
      <c r="AJ2807" s="80" t="n"/>
      <c r="AK2807" s="80" t="n"/>
      <c r="AL2807" s="80" t="n"/>
      <c r="AM2807" s="80" t="n"/>
      <c r="AN2807" s="80" t="n"/>
      <c r="AO2807" s="80" t="n"/>
      <c r="AP2807" s="80" t="n"/>
      <c r="AQ2807" s="80" t="n"/>
      <c r="AR2807" s="80" t="n"/>
    </row>
    <row r="2809">
      <c r="A2809" s="6">
        <f>IF(HSCEI!$C$53="","",HSCEI!$C$53)</f>
        <v/>
      </c>
      <c r="B2809" s="41">
        <f>IF($A2809="",0,COUNT($E2810:$AR2810))</f>
        <v/>
      </c>
      <c r="C2809" s="81">
        <f>IF($B2809=0,0,MAX($E2810:$AR2810))</f>
        <v/>
      </c>
      <c r="D2809" s="82">
        <f>BDS($A2809,'Field Check'!$C$7,"headers=y","startcol=1","endcol=7","dir=h","DVD_START_DT",Summary!$C$18,"DVD_END_DT",Summary!$D$18)</f>
        <v/>
      </c>
      <c r="E2809" s="83" t="n"/>
      <c r="F2809" s="83" t="n"/>
      <c r="G2809" s="83" t="n"/>
      <c r="H2809" s="83" t="n"/>
      <c r="I2809" s="83" t="n"/>
      <c r="J2809" s="83" t="n"/>
      <c r="K2809" s="83" t="n"/>
      <c r="L2809" s="83" t="n"/>
      <c r="M2809" s="83" t="n"/>
      <c r="N2809" s="83" t="n"/>
      <c r="O2809" s="83" t="n"/>
      <c r="P2809" s="83" t="n"/>
      <c r="Q2809" s="83" t="n"/>
      <c r="R2809" s="83" t="n"/>
      <c r="S2809" s="83" t="n"/>
      <c r="T2809" s="83" t="n"/>
      <c r="U2809" s="83" t="n"/>
      <c r="V2809" s="83" t="n"/>
      <c r="W2809" s="83" t="n"/>
      <c r="X2809" s="83" t="n"/>
      <c r="Y2809" s="83" t="n"/>
      <c r="Z2809" s="83" t="n"/>
      <c r="AA2809" s="83" t="n"/>
      <c r="AB2809" s="83" t="n"/>
      <c r="AC2809" s="83" t="n"/>
      <c r="AD2809" s="83" t="n"/>
      <c r="AE2809" s="83" t="n"/>
      <c r="AF2809" s="83" t="n"/>
      <c r="AG2809" s="83" t="n"/>
      <c r="AH2809" s="83" t="n"/>
      <c r="AI2809" s="83" t="n"/>
      <c r="AJ2809" s="83" t="n"/>
      <c r="AK2809" s="83" t="n"/>
      <c r="AL2809" s="83" t="n"/>
      <c r="AM2809" s="83" t="n"/>
      <c r="AN2809" s="83" t="n"/>
      <c r="AO2809" s="83" t="n"/>
      <c r="AP2809" s="83" t="n"/>
      <c r="AQ2809" s="83" t="n"/>
      <c r="AR2809" s="83" t="n"/>
    </row>
    <row r="2810">
      <c r="D2810" s="83" t="n"/>
      <c r="E2810" s="83" t="n"/>
      <c r="F2810" s="83" t="n"/>
      <c r="G2810" s="83" t="n"/>
      <c r="H2810" s="83" t="n"/>
      <c r="I2810" s="83" t="n"/>
      <c r="J2810" s="83" t="n"/>
      <c r="K2810" s="83" t="n"/>
      <c r="L2810" s="83" t="n"/>
      <c r="M2810" s="83" t="n"/>
      <c r="N2810" s="83" t="n"/>
      <c r="O2810" s="83" t="n"/>
      <c r="P2810" s="83" t="n"/>
      <c r="Q2810" s="83" t="n"/>
      <c r="R2810" s="83" t="n"/>
      <c r="S2810" s="83" t="n"/>
      <c r="T2810" s="83" t="n"/>
      <c r="U2810" s="83" t="n"/>
      <c r="V2810" s="83" t="n"/>
      <c r="W2810" s="83" t="n"/>
      <c r="X2810" s="83" t="n"/>
      <c r="Y2810" s="83" t="n"/>
      <c r="Z2810" s="83" t="n"/>
      <c r="AA2810" s="83" t="n"/>
      <c r="AB2810" s="83" t="n"/>
      <c r="AC2810" s="83" t="n"/>
      <c r="AD2810" s="83" t="n"/>
      <c r="AE2810" s="83" t="n"/>
      <c r="AF2810" s="83" t="n"/>
      <c r="AG2810" s="83" t="n"/>
      <c r="AH2810" s="83" t="n"/>
      <c r="AI2810" s="83" t="n"/>
      <c r="AJ2810" s="83" t="n"/>
      <c r="AK2810" s="83" t="n"/>
      <c r="AL2810" s="83" t="n"/>
      <c r="AM2810" s="83" t="n"/>
      <c r="AN2810" s="83" t="n"/>
      <c r="AO2810" s="83" t="n"/>
      <c r="AP2810" s="83" t="n"/>
      <c r="AQ2810" s="83" t="n"/>
      <c r="AR2810" s="83" t="n"/>
    </row>
    <row r="2811">
      <c r="D2811" s="84" t="n"/>
      <c r="E2811" s="84" t="n"/>
      <c r="F2811" s="84" t="n"/>
      <c r="G2811" s="84" t="n"/>
      <c r="H2811" s="84" t="n"/>
      <c r="I2811" s="84" t="n"/>
      <c r="J2811" s="84" t="n"/>
      <c r="K2811" s="84" t="n"/>
      <c r="L2811" s="84" t="n"/>
      <c r="M2811" s="84" t="n"/>
      <c r="N2811" s="84" t="n"/>
      <c r="O2811" s="84" t="n"/>
      <c r="P2811" s="84" t="n"/>
      <c r="Q2811" s="84" t="n"/>
      <c r="R2811" s="84" t="n"/>
      <c r="S2811" s="84" t="n"/>
      <c r="T2811" s="84" t="n"/>
      <c r="U2811" s="84" t="n"/>
      <c r="V2811" s="84" t="n"/>
      <c r="W2811" s="84" t="n"/>
      <c r="X2811" s="84" t="n"/>
      <c r="Y2811" s="84" t="n"/>
      <c r="Z2811" s="84" t="n"/>
      <c r="AA2811" s="84" t="n"/>
      <c r="AB2811" s="84" t="n"/>
      <c r="AC2811" s="84" t="n"/>
      <c r="AD2811" s="84" t="n"/>
      <c r="AE2811" s="84" t="n"/>
      <c r="AF2811" s="84" t="n"/>
      <c r="AG2811" s="84" t="n"/>
      <c r="AH2811" s="84" t="n"/>
      <c r="AI2811" s="84" t="n"/>
      <c r="AJ2811" s="84" t="n"/>
      <c r="AK2811" s="84" t="n"/>
      <c r="AL2811" s="84" t="n"/>
      <c r="AM2811" s="84" t="n"/>
      <c r="AN2811" s="84" t="n"/>
      <c r="AO2811" s="84" t="n"/>
      <c r="AP2811" s="84" t="n"/>
      <c r="AQ2811" s="84" t="n"/>
      <c r="AR2811" s="84" t="n"/>
    </row>
    <row r="2812">
      <c r="D2812" s="80" t="n"/>
      <c r="E2812" s="80" t="n"/>
      <c r="F2812" s="80" t="n"/>
      <c r="G2812" s="80" t="n"/>
      <c r="H2812" s="80" t="n"/>
      <c r="I2812" s="80" t="n"/>
      <c r="J2812" s="80" t="n"/>
      <c r="K2812" s="80" t="n"/>
      <c r="L2812" s="80" t="n"/>
      <c r="M2812" s="80" t="n"/>
      <c r="N2812" s="80" t="n"/>
      <c r="O2812" s="80" t="n"/>
      <c r="P2812" s="80" t="n"/>
      <c r="Q2812" s="80" t="n"/>
      <c r="R2812" s="80" t="n"/>
      <c r="S2812" s="80" t="n"/>
      <c r="T2812" s="80" t="n"/>
      <c r="U2812" s="80" t="n"/>
      <c r="V2812" s="80" t="n"/>
      <c r="W2812" s="80" t="n"/>
      <c r="X2812" s="80" t="n"/>
      <c r="Y2812" s="80" t="n"/>
      <c r="Z2812" s="80" t="n"/>
      <c r="AA2812" s="80" t="n"/>
      <c r="AB2812" s="80" t="n"/>
      <c r="AC2812" s="80" t="n"/>
      <c r="AD2812" s="80" t="n"/>
      <c r="AE2812" s="80" t="n"/>
      <c r="AF2812" s="80" t="n"/>
      <c r="AG2812" s="80" t="n"/>
      <c r="AH2812" s="80" t="n"/>
      <c r="AI2812" s="80" t="n"/>
      <c r="AJ2812" s="80" t="n"/>
      <c r="AK2812" s="80" t="n"/>
      <c r="AL2812" s="80" t="n"/>
      <c r="AM2812" s="80" t="n"/>
      <c r="AN2812" s="80" t="n"/>
      <c r="AO2812" s="80" t="n"/>
      <c r="AP2812" s="80" t="n"/>
      <c r="AQ2812" s="80" t="n"/>
      <c r="AR2812" s="80" t="n"/>
    </row>
    <row r="2813">
      <c r="D2813" s="80" t="n"/>
      <c r="E2813" s="80" t="n"/>
      <c r="F2813" s="80" t="n"/>
      <c r="G2813" s="80" t="n"/>
      <c r="H2813" s="80" t="n"/>
      <c r="I2813" s="80" t="n"/>
      <c r="J2813" s="80" t="n"/>
      <c r="K2813" s="80" t="n"/>
      <c r="L2813" s="80" t="n"/>
      <c r="M2813" s="80" t="n"/>
      <c r="N2813" s="80" t="n"/>
      <c r="O2813" s="80" t="n"/>
      <c r="P2813" s="80" t="n"/>
      <c r="Q2813" s="80" t="n"/>
      <c r="R2813" s="80" t="n"/>
      <c r="S2813" s="80" t="n"/>
      <c r="T2813" s="80" t="n"/>
      <c r="U2813" s="80" t="n"/>
      <c r="V2813" s="80" t="n"/>
      <c r="W2813" s="80" t="n"/>
      <c r="X2813" s="80" t="n"/>
      <c r="Y2813" s="80" t="n"/>
      <c r="Z2813" s="80" t="n"/>
      <c r="AA2813" s="80" t="n"/>
      <c r="AB2813" s="80" t="n"/>
      <c r="AC2813" s="80" t="n"/>
      <c r="AD2813" s="80" t="n"/>
      <c r="AE2813" s="80" t="n"/>
      <c r="AF2813" s="80" t="n"/>
      <c r="AG2813" s="80" t="n"/>
      <c r="AH2813" s="80" t="n"/>
      <c r="AI2813" s="80" t="n"/>
      <c r="AJ2813" s="80" t="n"/>
      <c r="AK2813" s="80" t="n"/>
      <c r="AL2813" s="80" t="n"/>
      <c r="AM2813" s="80" t="n"/>
      <c r="AN2813" s="80" t="n"/>
      <c r="AO2813" s="80" t="n"/>
      <c r="AP2813" s="80" t="n"/>
      <c r="AQ2813" s="80" t="n"/>
      <c r="AR2813" s="80" t="n"/>
    </row>
    <row r="2814">
      <c r="D2814" s="80" t="n"/>
      <c r="E2814" s="80" t="n"/>
      <c r="F2814" s="80" t="n"/>
      <c r="G2814" s="80" t="n"/>
      <c r="H2814" s="80" t="n"/>
      <c r="I2814" s="80" t="n"/>
      <c r="J2814" s="80" t="n"/>
      <c r="K2814" s="80" t="n"/>
      <c r="L2814" s="80" t="n"/>
      <c r="M2814" s="80" t="n"/>
      <c r="N2814" s="80" t="n"/>
      <c r="O2814" s="80" t="n"/>
      <c r="P2814" s="80" t="n"/>
      <c r="Q2814" s="80" t="n"/>
      <c r="R2814" s="80" t="n"/>
      <c r="S2814" s="80" t="n"/>
      <c r="T2814" s="80" t="n"/>
      <c r="U2814" s="80" t="n"/>
      <c r="V2814" s="80" t="n"/>
      <c r="W2814" s="80" t="n"/>
      <c r="X2814" s="80" t="n"/>
      <c r="Y2814" s="80" t="n"/>
      <c r="Z2814" s="80" t="n"/>
      <c r="AA2814" s="80" t="n"/>
      <c r="AB2814" s="80" t="n"/>
      <c r="AC2814" s="80" t="n"/>
      <c r="AD2814" s="80" t="n"/>
      <c r="AE2814" s="80" t="n"/>
      <c r="AF2814" s="80" t="n"/>
      <c r="AG2814" s="80" t="n"/>
      <c r="AH2814" s="80" t="n"/>
      <c r="AI2814" s="80" t="n"/>
      <c r="AJ2814" s="80" t="n"/>
      <c r="AK2814" s="80" t="n"/>
      <c r="AL2814" s="80" t="n"/>
      <c r="AM2814" s="80" t="n"/>
      <c r="AN2814" s="80" t="n"/>
      <c r="AO2814" s="80" t="n"/>
      <c r="AP2814" s="80" t="n"/>
      <c r="AQ2814" s="80" t="n"/>
      <c r="AR2814" s="80" t="n"/>
    </row>
    <row r="2815">
      <c r="D2815" s="80" t="n"/>
      <c r="E2815" s="80" t="n"/>
      <c r="F2815" s="80" t="n"/>
      <c r="G2815" s="80" t="n"/>
      <c r="H2815" s="80" t="n"/>
      <c r="I2815" s="80" t="n"/>
      <c r="J2815" s="80" t="n"/>
      <c r="K2815" s="80" t="n"/>
      <c r="L2815" s="80" t="n"/>
      <c r="M2815" s="80" t="n"/>
      <c r="N2815" s="80" t="n"/>
      <c r="O2815" s="80" t="n"/>
      <c r="P2815" s="80" t="n"/>
      <c r="Q2815" s="80" t="n"/>
      <c r="R2815" s="80" t="n"/>
      <c r="S2815" s="80" t="n"/>
      <c r="T2815" s="80" t="n"/>
      <c r="U2815" s="80" t="n"/>
      <c r="V2815" s="80" t="n"/>
      <c r="W2815" s="80" t="n"/>
      <c r="X2815" s="80" t="n"/>
      <c r="Y2815" s="80" t="n"/>
      <c r="Z2815" s="80" t="n"/>
      <c r="AA2815" s="80" t="n"/>
      <c r="AB2815" s="80" t="n"/>
      <c r="AC2815" s="80" t="n"/>
      <c r="AD2815" s="80" t="n"/>
      <c r="AE2815" s="80" t="n"/>
      <c r="AF2815" s="80" t="n"/>
      <c r="AG2815" s="80" t="n"/>
      <c r="AH2815" s="80" t="n"/>
      <c r="AI2815" s="80" t="n"/>
      <c r="AJ2815" s="80" t="n"/>
      <c r="AK2815" s="80" t="n"/>
      <c r="AL2815" s="80" t="n"/>
      <c r="AM2815" s="80" t="n"/>
      <c r="AN2815" s="80" t="n"/>
      <c r="AO2815" s="80" t="n"/>
      <c r="AP2815" s="80" t="n"/>
      <c r="AQ2815" s="80" t="n"/>
      <c r="AR2815" s="80" t="n"/>
    </row>
    <row r="2816">
      <c r="A2816" s="2">
        <f>IF($A2809="","","   projections")</f>
        <v/>
      </c>
      <c r="B2816" s="41">
        <f>IF($A2809="",0,COUNT($E2817:$AR2817))</f>
        <v/>
      </c>
      <c r="C2816" s="81">
        <f>IF($B2816=0,0,MAX($E2817:$AR2817))</f>
        <v/>
      </c>
      <c r="D2816" s="82">
        <f>BDS($A2809,'Field Check'!$C$6,"headers=y","startcol=1","endcol=7","dir=h")</f>
        <v/>
      </c>
      <c r="E2816" s="83" t="n"/>
      <c r="F2816" s="83" t="n"/>
      <c r="G2816" s="83" t="n"/>
      <c r="H2816" s="83" t="n"/>
      <c r="I2816" s="83" t="n"/>
      <c r="J2816" s="83" t="n"/>
      <c r="K2816" s="83" t="n"/>
      <c r="L2816" s="83" t="n"/>
      <c r="M2816" s="83" t="n"/>
      <c r="N2816" s="83" t="n"/>
      <c r="O2816" s="83" t="n"/>
      <c r="P2816" s="83" t="n"/>
      <c r="Q2816" s="83" t="n"/>
      <c r="R2816" s="83" t="n"/>
      <c r="S2816" s="83" t="n"/>
      <c r="T2816" s="83" t="n"/>
      <c r="U2816" s="83" t="n"/>
      <c r="V2816" s="83" t="n"/>
      <c r="W2816" s="83" t="n"/>
      <c r="X2816" s="83" t="n"/>
      <c r="Y2816" s="83" t="n"/>
      <c r="Z2816" s="83" t="n"/>
      <c r="AA2816" s="83" t="n"/>
      <c r="AB2816" s="83" t="n"/>
      <c r="AC2816" s="83" t="n"/>
      <c r="AD2816" s="83" t="n"/>
      <c r="AE2816" s="83" t="n"/>
      <c r="AF2816" s="83" t="n"/>
      <c r="AG2816" s="83" t="n"/>
      <c r="AH2816" s="83" t="n"/>
      <c r="AI2816" s="83" t="n"/>
      <c r="AJ2816" s="83" t="n"/>
      <c r="AK2816" s="83" t="n"/>
      <c r="AL2816" s="83" t="n"/>
      <c r="AM2816" s="83" t="n"/>
      <c r="AN2816" s="83" t="n"/>
      <c r="AO2816" s="83" t="n"/>
      <c r="AP2816" s="83" t="n"/>
      <c r="AQ2816" s="83" t="n"/>
      <c r="AR2816" s="83" t="n"/>
    </row>
    <row r="2817">
      <c r="D2817" s="83" t="n"/>
      <c r="E2817" s="83" t="n"/>
      <c r="F2817" s="83" t="n"/>
      <c r="G2817" s="83" t="n"/>
      <c r="H2817" s="83" t="n"/>
      <c r="I2817" s="83" t="n"/>
      <c r="J2817" s="83" t="n"/>
      <c r="K2817" s="83" t="n"/>
      <c r="L2817" s="83" t="n"/>
      <c r="M2817" s="83" t="n"/>
      <c r="N2817" s="83" t="n"/>
      <c r="O2817" s="83" t="n"/>
      <c r="P2817" s="83" t="n"/>
      <c r="Q2817" s="83" t="n"/>
      <c r="R2817" s="83" t="n"/>
      <c r="S2817" s="83" t="n"/>
      <c r="T2817" s="83" t="n"/>
      <c r="U2817" s="83" t="n"/>
      <c r="V2817" s="83" t="n"/>
      <c r="W2817" s="83" t="n"/>
      <c r="X2817" s="83" t="n"/>
      <c r="Y2817" s="83" t="n"/>
      <c r="Z2817" s="83" t="n"/>
      <c r="AA2817" s="83" t="n"/>
      <c r="AB2817" s="83" t="n"/>
      <c r="AC2817" s="83" t="n"/>
      <c r="AD2817" s="83" t="n"/>
      <c r="AE2817" s="83" t="n"/>
      <c r="AF2817" s="83" t="n"/>
      <c r="AG2817" s="83" t="n"/>
      <c r="AH2817" s="83" t="n"/>
      <c r="AI2817" s="83" t="n"/>
      <c r="AJ2817" s="83" t="n"/>
      <c r="AK2817" s="83" t="n"/>
      <c r="AL2817" s="83" t="n"/>
      <c r="AM2817" s="83" t="n"/>
      <c r="AN2817" s="83" t="n"/>
      <c r="AO2817" s="83" t="n"/>
      <c r="AP2817" s="83" t="n"/>
      <c r="AQ2817" s="83" t="n"/>
      <c r="AR2817" s="83" t="n"/>
    </row>
    <row r="2818">
      <c r="D2818" s="84" t="n"/>
      <c r="E2818" s="84" t="n"/>
      <c r="F2818" s="84" t="n"/>
      <c r="G2818" s="84" t="n"/>
      <c r="H2818" s="84" t="n"/>
      <c r="I2818" s="84" t="n"/>
      <c r="J2818" s="84" t="n"/>
      <c r="K2818" s="84" t="n"/>
      <c r="L2818" s="84" t="n"/>
      <c r="M2818" s="84" t="n"/>
      <c r="N2818" s="84" t="n"/>
      <c r="O2818" s="84" t="n"/>
      <c r="P2818" s="84" t="n"/>
      <c r="Q2818" s="84" t="n"/>
      <c r="R2818" s="84" t="n"/>
      <c r="S2818" s="84" t="n"/>
      <c r="T2818" s="84" t="n"/>
      <c r="U2818" s="84" t="n"/>
      <c r="V2818" s="84" t="n"/>
      <c r="W2818" s="84" t="n"/>
      <c r="X2818" s="84" t="n"/>
      <c r="Y2818" s="84" t="n"/>
      <c r="Z2818" s="84" t="n"/>
      <c r="AA2818" s="84" t="n"/>
      <c r="AB2818" s="84" t="n"/>
      <c r="AC2818" s="84" t="n"/>
      <c r="AD2818" s="84" t="n"/>
      <c r="AE2818" s="84" t="n"/>
      <c r="AF2818" s="84" t="n"/>
      <c r="AG2818" s="84" t="n"/>
      <c r="AH2818" s="84" t="n"/>
      <c r="AI2818" s="84" t="n"/>
      <c r="AJ2818" s="84" t="n"/>
      <c r="AK2818" s="84" t="n"/>
      <c r="AL2818" s="84" t="n"/>
      <c r="AM2818" s="84" t="n"/>
      <c r="AN2818" s="84" t="n"/>
      <c r="AO2818" s="84" t="n"/>
      <c r="AP2818" s="84" t="n"/>
      <c r="AQ2818" s="84" t="n"/>
      <c r="AR2818" s="84" t="n"/>
    </row>
    <row r="2819">
      <c r="D2819" s="80" t="n"/>
      <c r="E2819" s="80" t="n"/>
      <c r="F2819" s="80" t="n"/>
      <c r="G2819" s="80" t="n"/>
      <c r="H2819" s="80" t="n"/>
      <c r="I2819" s="80" t="n"/>
      <c r="J2819" s="80" t="n"/>
      <c r="K2819" s="80" t="n"/>
      <c r="L2819" s="80" t="n"/>
      <c r="M2819" s="80" t="n"/>
      <c r="N2819" s="80" t="n"/>
      <c r="O2819" s="80" t="n"/>
      <c r="P2819" s="80" t="n"/>
      <c r="Q2819" s="80" t="n"/>
      <c r="R2819" s="80" t="n"/>
      <c r="S2819" s="80" t="n"/>
      <c r="T2819" s="80" t="n"/>
      <c r="U2819" s="80" t="n"/>
      <c r="V2819" s="80" t="n"/>
      <c r="W2819" s="80" t="n"/>
      <c r="X2819" s="80" t="n"/>
      <c r="Y2819" s="80" t="n"/>
      <c r="Z2819" s="80" t="n"/>
      <c r="AA2819" s="80" t="n"/>
      <c r="AB2819" s="80" t="n"/>
      <c r="AC2819" s="80" t="n"/>
      <c r="AD2819" s="80" t="n"/>
      <c r="AE2819" s="80" t="n"/>
      <c r="AF2819" s="80" t="n"/>
      <c r="AG2819" s="80" t="n"/>
      <c r="AH2819" s="80" t="n"/>
      <c r="AI2819" s="80" t="n"/>
      <c r="AJ2819" s="80" t="n"/>
      <c r="AK2819" s="80" t="n"/>
      <c r="AL2819" s="80" t="n"/>
      <c r="AM2819" s="80" t="n"/>
      <c r="AN2819" s="80" t="n"/>
      <c r="AO2819" s="80" t="n"/>
      <c r="AP2819" s="80" t="n"/>
      <c r="AQ2819" s="80" t="n"/>
      <c r="AR2819" s="80" t="n"/>
    </row>
    <row r="2820">
      <c r="D2820" s="80" t="n"/>
      <c r="E2820" s="80" t="n"/>
      <c r="F2820" s="80" t="n"/>
      <c r="G2820" s="80" t="n"/>
      <c r="H2820" s="80" t="n"/>
      <c r="I2820" s="80" t="n"/>
      <c r="J2820" s="80" t="n"/>
      <c r="K2820" s="80" t="n"/>
      <c r="L2820" s="80" t="n"/>
      <c r="M2820" s="80" t="n"/>
      <c r="N2820" s="80" t="n"/>
      <c r="O2820" s="80" t="n"/>
      <c r="P2820" s="80" t="n"/>
      <c r="Q2820" s="80" t="n"/>
      <c r="R2820" s="80" t="n"/>
      <c r="S2820" s="80" t="n"/>
      <c r="T2820" s="80" t="n"/>
      <c r="U2820" s="80" t="n"/>
      <c r="V2820" s="80" t="n"/>
      <c r="W2820" s="80" t="n"/>
      <c r="X2820" s="80" t="n"/>
      <c r="Y2820" s="80" t="n"/>
      <c r="Z2820" s="80" t="n"/>
      <c r="AA2820" s="80" t="n"/>
      <c r="AB2820" s="80" t="n"/>
      <c r="AC2820" s="80" t="n"/>
      <c r="AD2820" s="80" t="n"/>
      <c r="AE2820" s="80" t="n"/>
      <c r="AF2820" s="80" t="n"/>
      <c r="AG2820" s="80" t="n"/>
      <c r="AH2820" s="80" t="n"/>
      <c r="AI2820" s="80" t="n"/>
      <c r="AJ2820" s="80" t="n"/>
      <c r="AK2820" s="80" t="n"/>
      <c r="AL2820" s="80" t="n"/>
      <c r="AM2820" s="80" t="n"/>
      <c r="AN2820" s="80" t="n"/>
      <c r="AO2820" s="80" t="n"/>
      <c r="AP2820" s="80" t="n"/>
      <c r="AQ2820" s="80" t="n"/>
      <c r="AR2820" s="80" t="n"/>
    </row>
    <row r="2821">
      <c r="D2821" s="80" t="n"/>
      <c r="E2821" s="80" t="n"/>
      <c r="F2821" s="80" t="n"/>
      <c r="G2821" s="80" t="n"/>
      <c r="H2821" s="80" t="n"/>
      <c r="I2821" s="80" t="n"/>
      <c r="J2821" s="80" t="n"/>
      <c r="K2821" s="80" t="n"/>
      <c r="L2821" s="80" t="n"/>
      <c r="M2821" s="80" t="n"/>
      <c r="N2821" s="80" t="n"/>
      <c r="O2821" s="80" t="n"/>
      <c r="P2821" s="80" t="n"/>
      <c r="Q2821" s="80" t="n"/>
      <c r="R2821" s="80" t="n"/>
      <c r="S2821" s="80" t="n"/>
      <c r="T2821" s="80" t="n"/>
      <c r="U2821" s="80" t="n"/>
      <c r="V2821" s="80" t="n"/>
      <c r="W2821" s="80" t="n"/>
      <c r="X2821" s="80" t="n"/>
      <c r="Y2821" s="80" t="n"/>
      <c r="Z2821" s="80" t="n"/>
      <c r="AA2821" s="80" t="n"/>
      <c r="AB2821" s="80" t="n"/>
      <c r="AC2821" s="80" t="n"/>
      <c r="AD2821" s="80" t="n"/>
      <c r="AE2821" s="80" t="n"/>
      <c r="AF2821" s="80" t="n"/>
      <c r="AG2821" s="80" t="n"/>
      <c r="AH2821" s="80" t="n"/>
      <c r="AI2821" s="80" t="n"/>
      <c r="AJ2821" s="80" t="n"/>
      <c r="AK2821" s="80" t="n"/>
      <c r="AL2821" s="80" t="n"/>
      <c r="AM2821" s="80" t="n"/>
      <c r="AN2821" s="80" t="n"/>
      <c r="AO2821" s="80" t="n"/>
      <c r="AP2821" s="80" t="n"/>
      <c r="AQ2821" s="80" t="n"/>
      <c r="AR2821" s="80" t="n"/>
    </row>
    <row r="2822">
      <c r="D2822" s="80" t="n"/>
      <c r="E2822" s="80" t="n"/>
      <c r="F2822" s="80" t="n"/>
      <c r="G2822" s="80" t="n"/>
      <c r="H2822" s="80" t="n"/>
      <c r="I2822" s="80" t="n"/>
      <c r="J2822" s="80" t="n"/>
      <c r="K2822" s="80" t="n"/>
      <c r="L2822" s="80" t="n"/>
      <c r="M2822" s="80" t="n"/>
      <c r="N2822" s="80" t="n"/>
      <c r="O2822" s="80" t="n"/>
      <c r="P2822" s="80" t="n"/>
      <c r="Q2822" s="80" t="n"/>
      <c r="R2822" s="80" t="n"/>
      <c r="S2822" s="80" t="n"/>
      <c r="T2822" s="80" t="n"/>
      <c r="U2822" s="80" t="n"/>
      <c r="V2822" s="80" t="n"/>
      <c r="W2822" s="80" t="n"/>
      <c r="X2822" s="80" t="n"/>
      <c r="Y2822" s="80" t="n"/>
      <c r="Z2822" s="80" t="n"/>
      <c r="AA2822" s="80" t="n"/>
      <c r="AB2822" s="80" t="n"/>
      <c r="AC2822" s="80" t="n"/>
      <c r="AD2822" s="80" t="n"/>
      <c r="AE2822" s="80" t="n"/>
      <c r="AF2822" s="80" t="n"/>
      <c r="AG2822" s="80" t="n"/>
      <c r="AH2822" s="80" t="n"/>
      <c r="AI2822" s="80" t="n"/>
      <c r="AJ2822" s="80" t="n"/>
      <c r="AK2822" s="80" t="n"/>
      <c r="AL2822" s="80" t="n"/>
      <c r="AM2822" s="80" t="n"/>
      <c r="AN2822" s="80" t="n"/>
      <c r="AO2822" s="80" t="n"/>
      <c r="AP2822" s="80" t="n"/>
      <c r="AQ2822" s="80" t="n"/>
      <c r="AR2822" s="80" t="n"/>
    </row>
    <row r="2824">
      <c r="A2824" s="6">
        <f>IF(HSCEI!$C$54="","",HSCEI!$C$54)</f>
        <v/>
      </c>
      <c r="B2824" s="41">
        <f>IF($A2824="",0,COUNT($E2825:$AR2825))</f>
        <v/>
      </c>
      <c r="C2824" s="81">
        <f>IF($B2824=0,0,MAX($E2825:$AR2825))</f>
        <v/>
      </c>
      <c r="D2824" s="82">
        <f>BDS($A2824,'Field Check'!$C$7,"headers=y","startcol=1","endcol=7","dir=h","DVD_START_DT",Summary!$C$18,"DVD_END_DT",Summary!$D$18)</f>
        <v/>
      </c>
      <c r="E2824" s="83" t="n"/>
      <c r="F2824" s="83" t="n"/>
      <c r="G2824" s="83" t="n"/>
      <c r="H2824" s="83" t="n"/>
      <c r="I2824" s="83" t="n"/>
      <c r="J2824" s="83" t="n"/>
      <c r="K2824" s="83" t="n"/>
      <c r="L2824" s="83" t="n"/>
      <c r="M2824" s="83" t="n"/>
      <c r="N2824" s="83" t="n"/>
      <c r="O2824" s="83" t="n"/>
      <c r="P2824" s="83" t="n"/>
      <c r="Q2824" s="83" t="n"/>
      <c r="R2824" s="83" t="n"/>
      <c r="S2824" s="83" t="n"/>
      <c r="T2824" s="83" t="n"/>
      <c r="U2824" s="83" t="n"/>
      <c r="V2824" s="83" t="n"/>
      <c r="W2824" s="83" t="n"/>
      <c r="X2824" s="83" t="n"/>
      <c r="Y2824" s="83" t="n"/>
      <c r="Z2824" s="83" t="n"/>
      <c r="AA2824" s="83" t="n"/>
      <c r="AB2824" s="83" t="n"/>
      <c r="AC2824" s="83" t="n"/>
      <c r="AD2824" s="83" t="n"/>
      <c r="AE2824" s="83" t="n"/>
      <c r="AF2824" s="83" t="n"/>
      <c r="AG2824" s="83" t="n"/>
      <c r="AH2824" s="83" t="n"/>
      <c r="AI2824" s="83" t="n"/>
      <c r="AJ2824" s="83" t="n"/>
      <c r="AK2824" s="83" t="n"/>
      <c r="AL2824" s="83" t="n"/>
      <c r="AM2824" s="83" t="n"/>
      <c r="AN2824" s="83" t="n"/>
      <c r="AO2824" s="83" t="n"/>
      <c r="AP2824" s="83" t="n"/>
      <c r="AQ2824" s="83" t="n"/>
      <c r="AR2824" s="83" t="n"/>
    </row>
    <row r="2825">
      <c r="D2825" s="83" t="n"/>
      <c r="E2825" s="83" t="n"/>
      <c r="F2825" s="83" t="n"/>
      <c r="G2825" s="83" t="n"/>
      <c r="H2825" s="83" t="n"/>
      <c r="I2825" s="83" t="n"/>
      <c r="J2825" s="83" t="n"/>
      <c r="K2825" s="83" t="n"/>
      <c r="L2825" s="83" t="n"/>
      <c r="M2825" s="83" t="n"/>
      <c r="N2825" s="83" t="n"/>
      <c r="O2825" s="83" t="n"/>
      <c r="P2825" s="83" t="n"/>
      <c r="Q2825" s="83" t="n"/>
      <c r="R2825" s="83" t="n"/>
      <c r="S2825" s="83" t="n"/>
      <c r="T2825" s="83" t="n"/>
      <c r="U2825" s="83" t="n"/>
      <c r="V2825" s="83" t="n"/>
      <c r="W2825" s="83" t="n"/>
      <c r="X2825" s="83" t="n"/>
      <c r="Y2825" s="83" t="n"/>
      <c r="Z2825" s="83" t="n"/>
      <c r="AA2825" s="83" t="n"/>
      <c r="AB2825" s="83" t="n"/>
      <c r="AC2825" s="83" t="n"/>
      <c r="AD2825" s="83" t="n"/>
      <c r="AE2825" s="83" t="n"/>
      <c r="AF2825" s="83" t="n"/>
      <c r="AG2825" s="83" t="n"/>
      <c r="AH2825" s="83" t="n"/>
      <c r="AI2825" s="83" t="n"/>
      <c r="AJ2825" s="83" t="n"/>
      <c r="AK2825" s="83" t="n"/>
      <c r="AL2825" s="83" t="n"/>
      <c r="AM2825" s="83" t="n"/>
      <c r="AN2825" s="83" t="n"/>
      <c r="AO2825" s="83" t="n"/>
      <c r="AP2825" s="83" t="n"/>
      <c r="AQ2825" s="83" t="n"/>
      <c r="AR2825" s="83" t="n"/>
    </row>
    <row r="2826">
      <c r="D2826" s="84" t="n"/>
      <c r="E2826" s="84" t="n"/>
      <c r="F2826" s="84" t="n"/>
      <c r="G2826" s="84" t="n"/>
      <c r="H2826" s="84" t="n"/>
      <c r="I2826" s="84" t="n"/>
      <c r="J2826" s="84" t="n"/>
      <c r="K2826" s="84" t="n"/>
      <c r="L2826" s="84" t="n"/>
      <c r="M2826" s="84" t="n"/>
      <c r="N2826" s="84" t="n"/>
      <c r="O2826" s="84" t="n"/>
      <c r="P2826" s="84" t="n"/>
      <c r="Q2826" s="84" t="n"/>
      <c r="R2826" s="84" t="n"/>
      <c r="S2826" s="84" t="n"/>
      <c r="T2826" s="84" t="n"/>
      <c r="U2826" s="84" t="n"/>
      <c r="V2826" s="84" t="n"/>
      <c r="W2826" s="84" t="n"/>
      <c r="X2826" s="84" t="n"/>
      <c r="Y2826" s="84" t="n"/>
      <c r="Z2826" s="84" t="n"/>
      <c r="AA2826" s="84" t="n"/>
      <c r="AB2826" s="84" t="n"/>
      <c r="AC2826" s="84" t="n"/>
      <c r="AD2826" s="84" t="n"/>
      <c r="AE2826" s="84" t="n"/>
      <c r="AF2826" s="84" t="n"/>
      <c r="AG2826" s="84" t="n"/>
      <c r="AH2826" s="84" t="n"/>
      <c r="AI2826" s="84" t="n"/>
      <c r="AJ2826" s="84" t="n"/>
      <c r="AK2826" s="84" t="n"/>
      <c r="AL2826" s="84" t="n"/>
      <c r="AM2826" s="84" t="n"/>
      <c r="AN2826" s="84" t="n"/>
      <c r="AO2826" s="84" t="n"/>
      <c r="AP2826" s="84" t="n"/>
      <c r="AQ2826" s="84" t="n"/>
      <c r="AR2826" s="84" t="n"/>
    </row>
    <row r="2827">
      <c r="D2827" s="80" t="n"/>
      <c r="E2827" s="80" t="n"/>
      <c r="F2827" s="80" t="n"/>
      <c r="G2827" s="80" t="n"/>
      <c r="H2827" s="80" t="n"/>
      <c r="I2827" s="80" t="n"/>
      <c r="J2827" s="80" t="n"/>
      <c r="K2827" s="80" t="n"/>
      <c r="L2827" s="80" t="n"/>
      <c r="M2827" s="80" t="n"/>
      <c r="N2827" s="80" t="n"/>
      <c r="O2827" s="80" t="n"/>
      <c r="P2827" s="80" t="n"/>
      <c r="Q2827" s="80" t="n"/>
      <c r="R2827" s="80" t="n"/>
      <c r="S2827" s="80" t="n"/>
      <c r="T2827" s="80" t="n"/>
      <c r="U2827" s="80" t="n"/>
      <c r="V2827" s="80" t="n"/>
      <c r="W2827" s="80" t="n"/>
      <c r="X2827" s="80" t="n"/>
      <c r="Y2827" s="80" t="n"/>
      <c r="Z2827" s="80" t="n"/>
      <c r="AA2827" s="80" t="n"/>
      <c r="AB2827" s="80" t="n"/>
      <c r="AC2827" s="80" t="n"/>
      <c r="AD2827" s="80" t="n"/>
      <c r="AE2827" s="80" t="n"/>
      <c r="AF2827" s="80" t="n"/>
      <c r="AG2827" s="80" t="n"/>
      <c r="AH2827" s="80" t="n"/>
      <c r="AI2827" s="80" t="n"/>
      <c r="AJ2827" s="80" t="n"/>
      <c r="AK2827" s="80" t="n"/>
      <c r="AL2827" s="80" t="n"/>
      <c r="AM2827" s="80" t="n"/>
      <c r="AN2827" s="80" t="n"/>
      <c r="AO2827" s="80" t="n"/>
      <c r="AP2827" s="80" t="n"/>
      <c r="AQ2827" s="80" t="n"/>
      <c r="AR2827" s="80" t="n"/>
    </row>
    <row r="2828">
      <c r="D2828" s="80" t="n"/>
      <c r="E2828" s="80" t="n"/>
      <c r="F2828" s="80" t="n"/>
      <c r="G2828" s="80" t="n"/>
      <c r="H2828" s="80" t="n"/>
      <c r="I2828" s="80" t="n"/>
      <c r="J2828" s="80" t="n"/>
      <c r="K2828" s="80" t="n"/>
      <c r="L2828" s="80" t="n"/>
      <c r="M2828" s="80" t="n"/>
      <c r="N2828" s="80" t="n"/>
      <c r="O2828" s="80" t="n"/>
      <c r="P2828" s="80" t="n"/>
      <c r="Q2828" s="80" t="n"/>
      <c r="R2828" s="80" t="n"/>
      <c r="S2828" s="80" t="n"/>
      <c r="T2828" s="80" t="n"/>
      <c r="U2828" s="80" t="n"/>
      <c r="V2828" s="80" t="n"/>
      <c r="W2828" s="80" t="n"/>
      <c r="X2828" s="80" t="n"/>
      <c r="Y2828" s="80" t="n"/>
      <c r="Z2828" s="80" t="n"/>
      <c r="AA2828" s="80" t="n"/>
      <c r="AB2828" s="80" t="n"/>
      <c r="AC2828" s="80" t="n"/>
      <c r="AD2828" s="80" t="n"/>
      <c r="AE2828" s="80" t="n"/>
      <c r="AF2828" s="80" t="n"/>
      <c r="AG2828" s="80" t="n"/>
      <c r="AH2828" s="80" t="n"/>
      <c r="AI2828" s="80" t="n"/>
      <c r="AJ2828" s="80" t="n"/>
      <c r="AK2828" s="80" t="n"/>
      <c r="AL2828" s="80" t="n"/>
      <c r="AM2828" s="80" t="n"/>
      <c r="AN2828" s="80" t="n"/>
      <c r="AO2828" s="80" t="n"/>
      <c r="AP2828" s="80" t="n"/>
      <c r="AQ2828" s="80" t="n"/>
      <c r="AR2828" s="80" t="n"/>
    </row>
    <row r="2829">
      <c r="D2829" s="80" t="n"/>
      <c r="E2829" s="80" t="n"/>
      <c r="F2829" s="80" t="n"/>
      <c r="G2829" s="80" t="n"/>
      <c r="H2829" s="80" t="n"/>
      <c r="I2829" s="80" t="n"/>
      <c r="J2829" s="80" t="n"/>
      <c r="K2829" s="80" t="n"/>
      <c r="L2829" s="80" t="n"/>
      <c r="M2829" s="80" t="n"/>
      <c r="N2829" s="80" t="n"/>
      <c r="O2829" s="80" t="n"/>
      <c r="P2829" s="80" t="n"/>
      <c r="Q2829" s="80" t="n"/>
      <c r="R2829" s="80" t="n"/>
      <c r="S2829" s="80" t="n"/>
      <c r="T2829" s="80" t="n"/>
      <c r="U2829" s="80" t="n"/>
      <c r="V2829" s="80" t="n"/>
      <c r="W2829" s="80" t="n"/>
      <c r="X2829" s="80" t="n"/>
      <c r="Y2829" s="80" t="n"/>
      <c r="Z2829" s="80" t="n"/>
      <c r="AA2829" s="80" t="n"/>
      <c r="AB2829" s="80" t="n"/>
      <c r="AC2829" s="80" t="n"/>
      <c r="AD2829" s="80" t="n"/>
      <c r="AE2829" s="80" t="n"/>
      <c r="AF2829" s="80" t="n"/>
      <c r="AG2829" s="80" t="n"/>
      <c r="AH2829" s="80" t="n"/>
      <c r="AI2829" s="80" t="n"/>
      <c r="AJ2829" s="80" t="n"/>
      <c r="AK2829" s="80" t="n"/>
      <c r="AL2829" s="80" t="n"/>
      <c r="AM2829" s="80" t="n"/>
      <c r="AN2829" s="80" t="n"/>
      <c r="AO2829" s="80" t="n"/>
      <c r="AP2829" s="80" t="n"/>
      <c r="AQ2829" s="80" t="n"/>
      <c r="AR2829" s="80" t="n"/>
    </row>
    <row r="2830">
      <c r="D2830" s="80" t="n"/>
      <c r="E2830" s="80" t="n"/>
      <c r="F2830" s="80" t="n"/>
      <c r="G2830" s="80" t="n"/>
      <c r="H2830" s="80" t="n"/>
      <c r="I2830" s="80" t="n"/>
      <c r="J2830" s="80" t="n"/>
      <c r="K2830" s="80" t="n"/>
      <c r="L2830" s="80" t="n"/>
      <c r="M2830" s="80" t="n"/>
      <c r="N2830" s="80" t="n"/>
      <c r="O2830" s="80" t="n"/>
      <c r="P2830" s="80" t="n"/>
      <c r="Q2830" s="80" t="n"/>
      <c r="R2830" s="80" t="n"/>
      <c r="S2830" s="80" t="n"/>
      <c r="T2830" s="80" t="n"/>
      <c r="U2830" s="80" t="n"/>
      <c r="V2830" s="80" t="n"/>
      <c r="W2830" s="80" t="n"/>
      <c r="X2830" s="80" t="n"/>
      <c r="Y2830" s="80" t="n"/>
      <c r="Z2830" s="80" t="n"/>
      <c r="AA2830" s="80" t="n"/>
      <c r="AB2830" s="80" t="n"/>
      <c r="AC2830" s="80" t="n"/>
      <c r="AD2830" s="80" t="n"/>
      <c r="AE2830" s="80" t="n"/>
      <c r="AF2830" s="80" t="n"/>
      <c r="AG2830" s="80" t="n"/>
      <c r="AH2830" s="80" t="n"/>
      <c r="AI2830" s="80" t="n"/>
      <c r="AJ2830" s="80" t="n"/>
      <c r="AK2830" s="80" t="n"/>
      <c r="AL2830" s="80" t="n"/>
      <c r="AM2830" s="80" t="n"/>
      <c r="AN2830" s="80" t="n"/>
      <c r="AO2830" s="80" t="n"/>
      <c r="AP2830" s="80" t="n"/>
      <c r="AQ2830" s="80" t="n"/>
      <c r="AR2830" s="80" t="n"/>
    </row>
    <row r="2831">
      <c r="A2831" s="2">
        <f>IF($A2824="","","   projections")</f>
        <v/>
      </c>
      <c r="B2831" s="41">
        <f>IF($A2824="",0,COUNT($E2832:$AR2832))</f>
        <v/>
      </c>
      <c r="C2831" s="81">
        <f>IF($B2831=0,0,MAX($E2832:$AR2832))</f>
        <v/>
      </c>
      <c r="D2831" s="82">
        <f>BDS($A2824,'Field Check'!$C$6,"headers=y","startcol=1","endcol=7","dir=h")</f>
        <v/>
      </c>
      <c r="E2831" s="83" t="n"/>
      <c r="F2831" s="83" t="n"/>
      <c r="G2831" s="83" t="n"/>
      <c r="H2831" s="83" t="n"/>
      <c r="I2831" s="83" t="n"/>
      <c r="J2831" s="83" t="n"/>
      <c r="K2831" s="83" t="n"/>
      <c r="L2831" s="83" t="n"/>
      <c r="M2831" s="83" t="n"/>
      <c r="N2831" s="83" t="n"/>
      <c r="O2831" s="83" t="n"/>
      <c r="P2831" s="83" t="n"/>
      <c r="Q2831" s="83" t="n"/>
      <c r="R2831" s="83" t="n"/>
      <c r="S2831" s="83" t="n"/>
      <c r="T2831" s="83" t="n"/>
      <c r="U2831" s="83" t="n"/>
      <c r="V2831" s="83" t="n"/>
      <c r="W2831" s="83" t="n"/>
      <c r="X2831" s="83" t="n"/>
      <c r="Y2831" s="83" t="n"/>
      <c r="Z2831" s="83" t="n"/>
      <c r="AA2831" s="83" t="n"/>
      <c r="AB2831" s="83" t="n"/>
      <c r="AC2831" s="83" t="n"/>
      <c r="AD2831" s="83" t="n"/>
      <c r="AE2831" s="83" t="n"/>
      <c r="AF2831" s="83" t="n"/>
      <c r="AG2831" s="83" t="n"/>
      <c r="AH2831" s="83" t="n"/>
      <c r="AI2831" s="83" t="n"/>
      <c r="AJ2831" s="83" t="n"/>
      <c r="AK2831" s="83" t="n"/>
      <c r="AL2831" s="83" t="n"/>
      <c r="AM2831" s="83" t="n"/>
      <c r="AN2831" s="83" t="n"/>
      <c r="AO2831" s="83" t="n"/>
      <c r="AP2831" s="83" t="n"/>
      <c r="AQ2831" s="83" t="n"/>
      <c r="AR2831" s="83" t="n"/>
    </row>
    <row r="2832">
      <c r="D2832" s="83" t="n"/>
      <c r="E2832" s="83" t="n"/>
      <c r="F2832" s="83" t="n"/>
      <c r="G2832" s="83" t="n"/>
      <c r="H2832" s="83" t="n"/>
      <c r="I2832" s="83" t="n"/>
      <c r="J2832" s="83" t="n"/>
      <c r="K2832" s="83" t="n"/>
      <c r="L2832" s="83" t="n"/>
      <c r="M2832" s="83" t="n"/>
      <c r="N2832" s="83" t="n"/>
      <c r="O2832" s="83" t="n"/>
      <c r="P2832" s="83" t="n"/>
      <c r="Q2832" s="83" t="n"/>
      <c r="R2832" s="83" t="n"/>
      <c r="S2832" s="83" t="n"/>
      <c r="T2832" s="83" t="n"/>
      <c r="U2832" s="83" t="n"/>
      <c r="V2832" s="83" t="n"/>
      <c r="W2832" s="83" t="n"/>
      <c r="X2832" s="83" t="n"/>
      <c r="Y2832" s="83" t="n"/>
      <c r="Z2832" s="83" t="n"/>
      <c r="AA2832" s="83" t="n"/>
      <c r="AB2832" s="83" t="n"/>
      <c r="AC2832" s="83" t="n"/>
      <c r="AD2832" s="83" t="n"/>
      <c r="AE2832" s="83" t="n"/>
      <c r="AF2832" s="83" t="n"/>
      <c r="AG2832" s="83" t="n"/>
      <c r="AH2832" s="83" t="n"/>
      <c r="AI2832" s="83" t="n"/>
      <c r="AJ2832" s="83" t="n"/>
      <c r="AK2832" s="83" t="n"/>
      <c r="AL2832" s="83" t="n"/>
      <c r="AM2832" s="83" t="n"/>
      <c r="AN2832" s="83" t="n"/>
      <c r="AO2832" s="83" t="n"/>
      <c r="AP2832" s="83" t="n"/>
      <c r="AQ2832" s="83" t="n"/>
      <c r="AR2832" s="83" t="n"/>
    </row>
    <row r="2833">
      <c r="D2833" s="84" t="n"/>
      <c r="E2833" s="84" t="n"/>
      <c r="F2833" s="84" t="n"/>
      <c r="G2833" s="84" t="n"/>
      <c r="H2833" s="84" t="n"/>
      <c r="I2833" s="84" t="n"/>
      <c r="J2833" s="84" t="n"/>
      <c r="K2833" s="84" t="n"/>
      <c r="L2833" s="84" t="n"/>
      <c r="M2833" s="84" t="n"/>
      <c r="N2833" s="84" t="n"/>
      <c r="O2833" s="84" t="n"/>
      <c r="P2833" s="84" t="n"/>
      <c r="Q2833" s="84" t="n"/>
      <c r="R2833" s="84" t="n"/>
      <c r="S2833" s="84" t="n"/>
      <c r="T2833" s="84" t="n"/>
      <c r="U2833" s="84" t="n"/>
      <c r="V2833" s="84" t="n"/>
      <c r="W2833" s="84" t="n"/>
      <c r="X2833" s="84" t="n"/>
      <c r="Y2833" s="84" t="n"/>
      <c r="Z2833" s="84" t="n"/>
      <c r="AA2833" s="84" t="n"/>
      <c r="AB2833" s="84" t="n"/>
      <c r="AC2833" s="84" t="n"/>
      <c r="AD2833" s="84" t="n"/>
      <c r="AE2833" s="84" t="n"/>
      <c r="AF2833" s="84" t="n"/>
      <c r="AG2833" s="84" t="n"/>
      <c r="AH2833" s="84" t="n"/>
      <c r="AI2833" s="84" t="n"/>
      <c r="AJ2833" s="84" t="n"/>
      <c r="AK2833" s="84" t="n"/>
      <c r="AL2833" s="84" t="n"/>
      <c r="AM2833" s="84" t="n"/>
      <c r="AN2833" s="84" t="n"/>
      <c r="AO2833" s="84" t="n"/>
      <c r="AP2833" s="84" t="n"/>
      <c r="AQ2833" s="84" t="n"/>
      <c r="AR2833" s="84" t="n"/>
    </row>
    <row r="2834">
      <c r="D2834" s="80" t="n"/>
      <c r="E2834" s="80" t="n"/>
      <c r="F2834" s="80" t="n"/>
      <c r="G2834" s="80" t="n"/>
      <c r="H2834" s="80" t="n"/>
      <c r="I2834" s="80" t="n"/>
      <c r="J2834" s="80" t="n"/>
      <c r="K2834" s="80" t="n"/>
      <c r="L2834" s="80" t="n"/>
      <c r="M2834" s="80" t="n"/>
      <c r="N2834" s="80" t="n"/>
      <c r="O2834" s="80" t="n"/>
      <c r="P2834" s="80" t="n"/>
      <c r="Q2834" s="80" t="n"/>
      <c r="R2834" s="80" t="n"/>
      <c r="S2834" s="80" t="n"/>
      <c r="T2834" s="80" t="n"/>
      <c r="U2834" s="80" t="n"/>
      <c r="V2834" s="80" t="n"/>
      <c r="W2834" s="80" t="n"/>
      <c r="X2834" s="80" t="n"/>
      <c r="Y2834" s="80" t="n"/>
      <c r="Z2834" s="80" t="n"/>
      <c r="AA2834" s="80" t="n"/>
      <c r="AB2834" s="80" t="n"/>
      <c r="AC2834" s="80" t="n"/>
      <c r="AD2834" s="80" t="n"/>
      <c r="AE2834" s="80" t="n"/>
      <c r="AF2834" s="80" t="n"/>
      <c r="AG2834" s="80" t="n"/>
      <c r="AH2834" s="80" t="n"/>
      <c r="AI2834" s="80" t="n"/>
      <c r="AJ2834" s="80" t="n"/>
      <c r="AK2834" s="80" t="n"/>
      <c r="AL2834" s="80" t="n"/>
      <c r="AM2834" s="80" t="n"/>
      <c r="AN2834" s="80" t="n"/>
      <c r="AO2834" s="80" t="n"/>
      <c r="AP2834" s="80" t="n"/>
      <c r="AQ2834" s="80" t="n"/>
      <c r="AR2834" s="80" t="n"/>
    </row>
    <row r="2835">
      <c r="D2835" s="80" t="n"/>
      <c r="E2835" s="80" t="n"/>
      <c r="F2835" s="80" t="n"/>
      <c r="G2835" s="80" t="n"/>
      <c r="H2835" s="80" t="n"/>
      <c r="I2835" s="80" t="n"/>
      <c r="J2835" s="80" t="n"/>
      <c r="K2835" s="80" t="n"/>
      <c r="L2835" s="80" t="n"/>
      <c r="M2835" s="80" t="n"/>
      <c r="N2835" s="80" t="n"/>
      <c r="O2835" s="80" t="n"/>
      <c r="P2835" s="80" t="n"/>
      <c r="Q2835" s="80" t="n"/>
      <c r="R2835" s="80" t="n"/>
      <c r="S2835" s="80" t="n"/>
      <c r="T2835" s="80" t="n"/>
      <c r="U2835" s="80" t="n"/>
      <c r="V2835" s="80" t="n"/>
      <c r="W2835" s="80" t="n"/>
      <c r="X2835" s="80" t="n"/>
      <c r="Y2835" s="80" t="n"/>
      <c r="Z2835" s="80" t="n"/>
      <c r="AA2835" s="80" t="n"/>
      <c r="AB2835" s="80" t="n"/>
      <c r="AC2835" s="80" t="n"/>
      <c r="AD2835" s="80" t="n"/>
      <c r="AE2835" s="80" t="n"/>
      <c r="AF2835" s="80" t="n"/>
      <c r="AG2835" s="80" t="n"/>
      <c r="AH2835" s="80" t="n"/>
      <c r="AI2835" s="80" t="n"/>
      <c r="AJ2835" s="80" t="n"/>
      <c r="AK2835" s="80" t="n"/>
      <c r="AL2835" s="80" t="n"/>
      <c r="AM2835" s="80" t="n"/>
      <c r="AN2835" s="80" t="n"/>
      <c r="AO2835" s="80" t="n"/>
      <c r="AP2835" s="80" t="n"/>
      <c r="AQ2835" s="80" t="n"/>
      <c r="AR2835" s="80" t="n"/>
    </row>
    <row r="2836">
      <c r="D2836" s="80" t="n"/>
      <c r="E2836" s="80" t="n"/>
      <c r="F2836" s="80" t="n"/>
      <c r="G2836" s="80" t="n"/>
      <c r="H2836" s="80" t="n"/>
      <c r="I2836" s="80" t="n"/>
      <c r="J2836" s="80" t="n"/>
      <c r="K2836" s="80" t="n"/>
      <c r="L2836" s="80" t="n"/>
      <c r="M2836" s="80" t="n"/>
      <c r="N2836" s="80" t="n"/>
      <c r="O2836" s="80" t="n"/>
      <c r="P2836" s="80" t="n"/>
      <c r="Q2836" s="80" t="n"/>
      <c r="R2836" s="80" t="n"/>
      <c r="S2836" s="80" t="n"/>
      <c r="T2836" s="80" t="n"/>
      <c r="U2836" s="80" t="n"/>
      <c r="V2836" s="80" t="n"/>
      <c r="W2836" s="80" t="n"/>
      <c r="X2836" s="80" t="n"/>
      <c r="Y2836" s="80" t="n"/>
      <c r="Z2836" s="80" t="n"/>
      <c r="AA2836" s="80" t="n"/>
      <c r="AB2836" s="80" t="n"/>
      <c r="AC2836" s="80" t="n"/>
      <c r="AD2836" s="80" t="n"/>
      <c r="AE2836" s="80" t="n"/>
      <c r="AF2836" s="80" t="n"/>
      <c r="AG2836" s="80" t="n"/>
      <c r="AH2836" s="80" t="n"/>
      <c r="AI2836" s="80" t="n"/>
      <c r="AJ2836" s="80" t="n"/>
      <c r="AK2836" s="80" t="n"/>
      <c r="AL2836" s="80" t="n"/>
      <c r="AM2836" s="80" t="n"/>
      <c r="AN2836" s="80" t="n"/>
      <c r="AO2836" s="80" t="n"/>
      <c r="AP2836" s="80" t="n"/>
      <c r="AQ2836" s="80" t="n"/>
      <c r="AR2836" s="80" t="n"/>
    </row>
    <row r="2837">
      <c r="D2837" s="80" t="n"/>
      <c r="E2837" s="80" t="n"/>
      <c r="F2837" s="80" t="n"/>
      <c r="G2837" s="80" t="n"/>
      <c r="H2837" s="80" t="n"/>
      <c r="I2837" s="80" t="n"/>
      <c r="J2837" s="80" t="n"/>
      <c r="K2837" s="80" t="n"/>
      <c r="L2837" s="80" t="n"/>
      <c r="M2837" s="80" t="n"/>
      <c r="N2837" s="80" t="n"/>
      <c r="O2837" s="80" t="n"/>
      <c r="P2837" s="80" t="n"/>
      <c r="Q2837" s="80" t="n"/>
      <c r="R2837" s="80" t="n"/>
      <c r="S2837" s="80" t="n"/>
      <c r="T2837" s="80" t="n"/>
      <c r="U2837" s="80" t="n"/>
      <c r="V2837" s="80" t="n"/>
      <c r="W2837" s="80" t="n"/>
      <c r="X2837" s="80" t="n"/>
      <c r="Y2837" s="80" t="n"/>
      <c r="Z2837" s="80" t="n"/>
      <c r="AA2837" s="80" t="n"/>
      <c r="AB2837" s="80" t="n"/>
      <c r="AC2837" s="80" t="n"/>
      <c r="AD2837" s="80" t="n"/>
      <c r="AE2837" s="80" t="n"/>
      <c r="AF2837" s="80" t="n"/>
      <c r="AG2837" s="80" t="n"/>
      <c r="AH2837" s="80" t="n"/>
      <c r="AI2837" s="80" t="n"/>
      <c r="AJ2837" s="80" t="n"/>
      <c r="AK2837" s="80" t="n"/>
      <c r="AL2837" s="80" t="n"/>
      <c r="AM2837" s="80" t="n"/>
      <c r="AN2837" s="80" t="n"/>
      <c r="AO2837" s="80" t="n"/>
      <c r="AP2837" s="80" t="n"/>
      <c r="AQ2837" s="80" t="n"/>
      <c r="AR2837" s="80" t="n"/>
    </row>
    <row r="2839">
      <c r="A2839" s="6">
        <f>IF(HSCEI!$C$55="","",HSCEI!$C$55)</f>
        <v/>
      </c>
      <c r="B2839" s="41">
        <f>IF($A2839="",0,COUNT($E2840:$AR2840))</f>
        <v/>
      </c>
      <c r="C2839" s="81">
        <f>IF($B2839=0,0,MAX($E2840:$AR2840))</f>
        <v/>
      </c>
      <c r="D2839" s="82">
        <f>BDS($A2839,'Field Check'!$C$7,"headers=y","startcol=1","endcol=7","dir=h","DVD_START_DT",Summary!$C$18,"DVD_END_DT",Summary!$D$18)</f>
        <v/>
      </c>
      <c r="E2839" s="83" t="n"/>
      <c r="F2839" s="83" t="n"/>
      <c r="G2839" s="83" t="n"/>
      <c r="H2839" s="83" t="n"/>
      <c r="I2839" s="83" t="n"/>
      <c r="J2839" s="83" t="n"/>
      <c r="K2839" s="83" t="n"/>
      <c r="L2839" s="83" t="n"/>
      <c r="M2839" s="83" t="n"/>
      <c r="N2839" s="83" t="n"/>
      <c r="O2839" s="83" t="n"/>
      <c r="P2839" s="83" t="n"/>
      <c r="Q2839" s="83" t="n"/>
      <c r="R2839" s="83" t="n"/>
      <c r="S2839" s="83" t="n"/>
      <c r="T2839" s="83" t="n"/>
      <c r="U2839" s="83" t="n"/>
      <c r="V2839" s="83" t="n"/>
      <c r="W2839" s="83" t="n"/>
      <c r="X2839" s="83" t="n"/>
      <c r="Y2839" s="83" t="n"/>
      <c r="Z2839" s="83" t="n"/>
      <c r="AA2839" s="83" t="n"/>
      <c r="AB2839" s="83" t="n"/>
      <c r="AC2839" s="83" t="n"/>
      <c r="AD2839" s="83" t="n"/>
      <c r="AE2839" s="83" t="n"/>
      <c r="AF2839" s="83" t="n"/>
      <c r="AG2839" s="83" t="n"/>
      <c r="AH2839" s="83" t="n"/>
      <c r="AI2839" s="83" t="n"/>
      <c r="AJ2839" s="83" t="n"/>
      <c r="AK2839" s="83" t="n"/>
      <c r="AL2839" s="83" t="n"/>
      <c r="AM2839" s="83" t="n"/>
      <c r="AN2839" s="83" t="n"/>
      <c r="AO2839" s="83" t="n"/>
      <c r="AP2839" s="83" t="n"/>
      <c r="AQ2839" s="83" t="n"/>
      <c r="AR2839" s="83" t="n"/>
    </row>
    <row r="2840">
      <c r="D2840" s="83" t="n"/>
      <c r="E2840" s="83" t="n"/>
      <c r="F2840" s="83" t="n"/>
      <c r="G2840" s="83" t="n"/>
      <c r="H2840" s="83" t="n"/>
      <c r="I2840" s="83" t="n"/>
      <c r="J2840" s="83" t="n"/>
      <c r="K2840" s="83" t="n"/>
      <c r="L2840" s="83" t="n"/>
      <c r="M2840" s="83" t="n"/>
      <c r="N2840" s="83" t="n"/>
      <c r="O2840" s="83" t="n"/>
      <c r="P2840" s="83" t="n"/>
      <c r="Q2840" s="83" t="n"/>
      <c r="R2840" s="83" t="n"/>
      <c r="S2840" s="83" t="n"/>
      <c r="T2840" s="83" t="n"/>
      <c r="U2840" s="83" t="n"/>
      <c r="V2840" s="83" t="n"/>
      <c r="W2840" s="83" t="n"/>
      <c r="X2840" s="83" t="n"/>
      <c r="Y2840" s="83" t="n"/>
      <c r="Z2840" s="83" t="n"/>
      <c r="AA2840" s="83" t="n"/>
      <c r="AB2840" s="83" t="n"/>
      <c r="AC2840" s="83" t="n"/>
      <c r="AD2840" s="83" t="n"/>
      <c r="AE2840" s="83" t="n"/>
      <c r="AF2840" s="83" t="n"/>
      <c r="AG2840" s="83" t="n"/>
      <c r="AH2840" s="83" t="n"/>
      <c r="AI2840" s="83" t="n"/>
      <c r="AJ2840" s="83" t="n"/>
      <c r="AK2840" s="83" t="n"/>
      <c r="AL2840" s="83" t="n"/>
      <c r="AM2840" s="83" t="n"/>
      <c r="AN2840" s="83" t="n"/>
      <c r="AO2840" s="83" t="n"/>
      <c r="AP2840" s="83" t="n"/>
      <c r="AQ2840" s="83" t="n"/>
      <c r="AR2840" s="83" t="n"/>
    </row>
    <row r="2841">
      <c r="D2841" s="84" t="n"/>
      <c r="E2841" s="84" t="n"/>
      <c r="F2841" s="84" t="n"/>
      <c r="G2841" s="84" t="n"/>
      <c r="H2841" s="84" t="n"/>
      <c r="I2841" s="84" t="n"/>
      <c r="J2841" s="84" t="n"/>
      <c r="K2841" s="84" t="n"/>
      <c r="L2841" s="84" t="n"/>
      <c r="M2841" s="84" t="n"/>
      <c r="N2841" s="84" t="n"/>
      <c r="O2841" s="84" t="n"/>
      <c r="P2841" s="84" t="n"/>
      <c r="Q2841" s="84" t="n"/>
      <c r="R2841" s="84" t="n"/>
      <c r="S2841" s="84" t="n"/>
      <c r="T2841" s="84" t="n"/>
      <c r="U2841" s="84" t="n"/>
      <c r="V2841" s="84" t="n"/>
      <c r="W2841" s="84" t="n"/>
      <c r="X2841" s="84" t="n"/>
      <c r="Y2841" s="84" t="n"/>
      <c r="Z2841" s="84" t="n"/>
      <c r="AA2841" s="84" t="n"/>
      <c r="AB2841" s="84" t="n"/>
      <c r="AC2841" s="84" t="n"/>
      <c r="AD2841" s="84" t="n"/>
      <c r="AE2841" s="84" t="n"/>
      <c r="AF2841" s="84" t="n"/>
      <c r="AG2841" s="84" t="n"/>
      <c r="AH2841" s="84" t="n"/>
      <c r="AI2841" s="84" t="n"/>
      <c r="AJ2841" s="84" t="n"/>
      <c r="AK2841" s="84" t="n"/>
      <c r="AL2841" s="84" t="n"/>
      <c r="AM2841" s="84" t="n"/>
      <c r="AN2841" s="84" t="n"/>
      <c r="AO2841" s="84" t="n"/>
      <c r="AP2841" s="84" t="n"/>
      <c r="AQ2841" s="84" t="n"/>
      <c r="AR2841" s="84" t="n"/>
    </row>
    <row r="2842">
      <c r="D2842" s="80" t="n"/>
      <c r="E2842" s="80" t="n"/>
      <c r="F2842" s="80" t="n"/>
      <c r="G2842" s="80" t="n"/>
      <c r="H2842" s="80" t="n"/>
      <c r="I2842" s="80" t="n"/>
      <c r="J2842" s="80" t="n"/>
      <c r="K2842" s="80" t="n"/>
      <c r="L2842" s="80" t="n"/>
      <c r="M2842" s="80" t="n"/>
      <c r="N2842" s="80" t="n"/>
      <c r="O2842" s="80" t="n"/>
      <c r="P2842" s="80" t="n"/>
      <c r="Q2842" s="80" t="n"/>
      <c r="R2842" s="80" t="n"/>
      <c r="S2842" s="80" t="n"/>
      <c r="T2842" s="80" t="n"/>
      <c r="U2842" s="80" t="n"/>
      <c r="V2842" s="80" t="n"/>
      <c r="W2842" s="80" t="n"/>
      <c r="X2842" s="80" t="n"/>
      <c r="Y2842" s="80" t="n"/>
      <c r="Z2842" s="80" t="n"/>
      <c r="AA2842" s="80" t="n"/>
      <c r="AB2842" s="80" t="n"/>
      <c r="AC2842" s="80" t="n"/>
      <c r="AD2842" s="80" t="n"/>
      <c r="AE2842" s="80" t="n"/>
      <c r="AF2842" s="80" t="n"/>
      <c r="AG2842" s="80" t="n"/>
      <c r="AH2842" s="80" t="n"/>
      <c r="AI2842" s="80" t="n"/>
      <c r="AJ2842" s="80" t="n"/>
      <c r="AK2842" s="80" t="n"/>
      <c r="AL2842" s="80" t="n"/>
      <c r="AM2842" s="80" t="n"/>
      <c r="AN2842" s="80" t="n"/>
      <c r="AO2842" s="80" t="n"/>
      <c r="AP2842" s="80" t="n"/>
      <c r="AQ2842" s="80" t="n"/>
      <c r="AR2842" s="80" t="n"/>
    </row>
    <row r="2843">
      <c r="D2843" s="80" t="n"/>
      <c r="E2843" s="80" t="n"/>
      <c r="F2843" s="80" t="n"/>
      <c r="G2843" s="80" t="n"/>
      <c r="H2843" s="80" t="n"/>
      <c r="I2843" s="80" t="n"/>
      <c r="J2843" s="80" t="n"/>
      <c r="K2843" s="80" t="n"/>
      <c r="L2843" s="80" t="n"/>
      <c r="M2843" s="80" t="n"/>
      <c r="N2843" s="80" t="n"/>
      <c r="O2843" s="80" t="n"/>
      <c r="P2843" s="80" t="n"/>
      <c r="Q2843" s="80" t="n"/>
      <c r="R2843" s="80" t="n"/>
      <c r="S2843" s="80" t="n"/>
      <c r="T2843" s="80" t="n"/>
      <c r="U2843" s="80" t="n"/>
      <c r="V2843" s="80" t="n"/>
      <c r="W2843" s="80" t="n"/>
      <c r="X2843" s="80" t="n"/>
      <c r="Y2843" s="80" t="n"/>
      <c r="Z2843" s="80" t="n"/>
      <c r="AA2843" s="80" t="n"/>
      <c r="AB2843" s="80" t="n"/>
      <c r="AC2843" s="80" t="n"/>
      <c r="AD2843" s="80" t="n"/>
      <c r="AE2843" s="80" t="n"/>
      <c r="AF2843" s="80" t="n"/>
      <c r="AG2843" s="80" t="n"/>
      <c r="AH2843" s="80" t="n"/>
      <c r="AI2843" s="80" t="n"/>
      <c r="AJ2843" s="80" t="n"/>
      <c r="AK2843" s="80" t="n"/>
      <c r="AL2843" s="80" t="n"/>
      <c r="AM2843" s="80" t="n"/>
      <c r="AN2843" s="80" t="n"/>
      <c r="AO2843" s="80" t="n"/>
      <c r="AP2843" s="80" t="n"/>
      <c r="AQ2843" s="80" t="n"/>
      <c r="AR2843" s="80" t="n"/>
    </row>
    <row r="2844">
      <c r="D2844" s="80" t="n"/>
      <c r="E2844" s="80" t="n"/>
      <c r="F2844" s="80" t="n"/>
      <c r="G2844" s="80" t="n"/>
      <c r="H2844" s="80" t="n"/>
      <c r="I2844" s="80" t="n"/>
      <c r="J2844" s="80" t="n"/>
      <c r="K2844" s="80" t="n"/>
      <c r="L2844" s="80" t="n"/>
      <c r="M2844" s="80" t="n"/>
      <c r="N2844" s="80" t="n"/>
      <c r="O2844" s="80" t="n"/>
      <c r="P2844" s="80" t="n"/>
      <c r="Q2844" s="80" t="n"/>
      <c r="R2844" s="80" t="n"/>
      <c r="S2844" s="80" t="n"/>
      <c r="T2844" s="80" t="n"/>
      <c r="U2844" s="80" t="n"/>
      <c r="V2844" s="80" t="n"/>
      <c r="W2844" s="80" t="n"/>
      <c r="X2844" s="80" t="n"/>
      <c r="Y2844" s="80" t="n"/>
      <c r="Z2844" s="80" t="n"/>
      <c r="AA2844" s="80" t="n"/>
      <c r="AB2844" s="80" t="n"/>
      <c r="AC2844" s="80" t="n"/>
      <c r="AD2844" s="80" t="n"/>
      <c r="AE2844" s="80" t="n"/>
      <c r="AF2844" s="80" t="n"/>
      <c r="AG2844" s="80" t="n"/>
      <c r="AH2844" s="80" t="n"/>
      <c r="AI2844" s="80" t="n"/>
      <c r="AJ2844" s="80" t="n"/>
      <c r="AK2844" s="80" t="n"/>
      <c r="AL2844" s="80" t="n"/>
      <c r="AM2844" s="80" t="n"/>
      <c r="AN2844" s="80" t="n"/>
      <c r="AO2844" s="80" t="n"/>
      <c r="AP2844" s="80" t="n"/>
      <c r="AQ2844" s="80" t="n"/>
      <c r="AR2844" s="80" t="n"/>
    </row>
    <row r="2845">
      <c r="D2845" s="80" t="n"/>
      <c r="E2845" s="80" t="n"/>
      <c r="F2845" s="80" t="n"/>
      <c r="G2845" s="80" t="n"/>
      <c r="H2845" s="80" t="n"/>
      <c r="I2845" s="80" t="n"/>
      <c r="J2845" s="80" t="n"/>
      <c r="K2845" s="80" t="n"/>
      <c r="L2845" s="80" t="n"/>
      <c r="M2845" s="80" t="n"/>
      <c r="N2845" s="80" t="n"/>
      <c r="O2845" s="80" t="n"/>
      <c r="P2845" s="80" t="n"/>
      <c r="Q2845" s="80" t="n"/>
      <c r="R2845" s="80" t="n"/>
      <c r="S2845" s="80" t="n"/>
      <c r="T2845" s="80" t="n"/>
      <c r="U2845" s="80" t="n"/>
      <c r="V2845" s="80" t="n"/>
      <c r="W2845" s="80" t="n"/>
      <c r="X2845" s="80" t="n"/>
      <c r="Y2845" s="80" t="n"/>
      <c r="Z2845" s="80" t="n"/>
      <c r="AA2845" s="80" t="n"/>
      <c r="AB2845" s="80" t="n"/>
      <c r="AC2845" s="80" t="n"/>
      <c r="AD2845" s="80" t="n"/>
      <c r="AE2845" s="80" t="n"/>
      <c r="AF2845" s="80" t="n"/>
      <c r="AG2845" s="80" t="n"/>
      <c r="AH2845" s="80" t="n"/>
      <c r="AI2845" s="80" t="n"/>
      <c r="AJ2845" s="80" t="n"/>
      <c r="AK2845" s="80" t="n"/>
      <c r="AL2845" s="80" t="n"/>
      <c r="AM2845" s="80" t="n"/>
      <c r="AN2845" s="80" t="n"/>
      <c r="AO2845" s="80" t="n"/>
      <c r="AP2845" s="80" t="n"/>
      <c r="AQ2845" s="80" t="n"/>
      <c r="AR2845" s="80" t="n"/>
    </row>
    <row r="2846">
      <c r="A2846" s="2">
        <f>IF($A2839="","","   projections")</f>
        <v/>
      </c>
      <c r="B2846" s="41">
        <f>IF($A2839="",0,COUNT($E2847:$AR2847))</f>
        <v/>
      </c>
      <c r="C2846" s="81">
        <f>IF($B2846=0,0,MAX($E2847:$AR2847))</f>
        <v/>
      </c>
      <c r="D2846" s="82">
        <f>BDS($A2839,'Field Check'!$C$6,"headers=y","startcol=1","endcol=7","dir=h")</f>
        <v/>
      </c>
      <c r="E2846" s="83" t="n"/>
      <c r="F2846" s="83" t="n"/>
      <c r="G2846" s="83" t="n"/>
      <c r="H2846" s="83" t="n"/>
      <c r="I2846" s="83" t="n"/>
      <c r="J2846" s="83" t="n"/>
      <c r="K2846" s="83" t="n"/>
      <c r="L2846" s="83" t="n"/>
      <c r="M2846" s="83" t="n"/>
      <c r="N2846" s="83" t="n"/>
      <c r="O2846" s="83" t="n"/>
      <c r="P2846" s="83" t="n"/>
      <c r="Q2846" s="83" t="n"/>
      <c r="R2846" s="83" t="n"/>
      <c r="S2846" s="83" t="n"/>
      <c r="T2846" s="83" t="n"/>
      <c r="U2846" s="83" t="n"/>
      <c r="V2846" s="83" t="n"/>
      <c r="W2846" s="83" t="n"/>
      <c r="X2846" s="83" t="n"/>
      <c r="Y2846" s="83" t="n"/>
      <c r="Z2846" s="83" t="n"/>
      <c r="AA2846" s="83" t="n"/>
      <c r="AB2846" s="83" t="n"/>
      <c r="AC2846" s="83" t="n"/>
      <c r="AD2846" s="83" t="n"/>
      <c r="AE2846" s="83" t="n"/>
      <c r="AF2846" s="83" t="n"/>
      <c r="AG2846" s="83" t="n"/>
      <c r="AH2846" s="83" t="n"/>
      <c r="AI2846" s="83" t="n"/>
      <c r="AJ2846" s="83" t="n"/>
      <c r="AK2846" s="83" t="n"/>
      <c r="AL2846" s="83" t="n"/>
      <c r="AM2846" s="83" t="n"/>
      <c r="AN2846" s="83" t="n"/>
      <c r="AO2846" s="83" t="n"/>
      <c r="AP2846" s="83" t="n"/>
      <c r="AQ2846" s="83" t="n"/>
      <c r="AR2846" s="83" t="n"/>
    </row>
    <row r="2847">
      <c r="D2847" s="83" t="n"/>
      <c r="E2847" s="83" t="n"/>
      <c r="F2847" s="83" t="n"/>
      <c r="G2847" s="83" t="n"/>
      <c r="H2847" s="83" t="n"/>
      <c r="I2847" s="83" t="n"/>
      <c r="J2847" s="83" t="n"/>
      <c r="K2847" s="83" t="n"/>
      <c r="L2847" s="83" t="n"/>
      <c r="M2847" s="83" t="n"/>
      <c r="N2847" s="83" t="n"/>
      <c r="O2847" s="83" t="n"/>
      <c r="P2847" s="83" t="n"/>
      <c r="Q2847" s="83" t="n"/>
      <c r="R2847" s="83" t="n"/>
      <c r="S2847" s="83" t="n"/>
      <c r="T2847" s="83" t="n"/>
      <c r="U2847" s="83" t="n"/>
      <c r="V2847" s="83" t="n"/>
      <c r="W2847" s="83" t="n"/>
      <c r="X2847" s="83" t="n"/>
      <c r="Y2847" s="83" t="n"/>
      <c r="Z2847" s="83" t="n"/>
      <c r="AA2847" s="83" t="n"/>
      <c r="AB2847" s="83" t="n"/>
      <c r="AC2847" s="83" t="n"/>
      <c r="AD2847" s="83" t="n"/>
      <c r="AE2847" s="83" t="n"/>
      <c r="AF2847" s="83" t="n"/>
      <c r="AG2847" s="83" t="n"/>
      <c r="AH2847" s="83" t="n"/>
      <c r="AI2847" s="83" t="n"/>
      <c r="AJ2847" s="83" t="n"/>
      <c r="AK2847" s="83" t="n"/>
      <c r="AL2847" s="83" t="n"/>
      <c r="AM2847" s="83" t="n"/>
      <c r="AN2847" s="83" t="n"/>
      <c r="AO2847" s="83" t="n"/>
      <c r="AP2847" s="83" t="n"/>
      <c r="AQ2847" s="83" t="n"/>
      <c r="AR2847" s="83" t="n"/>
    </row>
    <row r="2848">
      <c r="D2848" s="84" t="n"/>
      <c r="E2848" s="84" t="n"/>
      <c r="F2848" s="84" t="n"/>
      <c r="G2848" s="84" t="n"/>
      <c r="H2848" s="84" t="n"/>
      <c r="I2848" s="84" t="n"/>
      <c r="J2848" s="84" t="n"/>
      <c r="K2848" s="84" t="n"/>
      <c r="L2848" s="84" t="n"/>
      <c r="M2848" s="84" t="n"/>
      <c r="N2848" s="84" t="n"/>
      <c r="O2848" s="84" t="n"/>
      <c r="P2848" s="84" t="n"/>
      <c r="Q2848" s="84" t="n"/>
      <c r="R2848" s="84" t="n"/>
      <c r="S2848" s="84" t="n"/>
      <c r="T2848" s="84" t="n"/>
      <c r="U2848" s="84" t="n"/>
      <c r="V2848" s="84" t="n"/>
      <c r="W2848" s="84" t="n"/>
      <c r="X2848" s="84" t="n"/>
      <c r="Y2848" s="84" t="n"/>
      <c r="Z2848" s="84" t="n"/>
      <c r="AA2848" s="84" t="n"/>
      <c r="AB2848" s="84" t="n"/>
      <c r="AC2848" s="84" t="n"/>
      <c r="AD2848" s="84" t="n"/>
      <c r="AE2848" s="84" t="n"/>
      <c r="AF2848" s="84" t="n"/>
      <c r="AG2848" s="84" t="n"/>
      <c r="AH2848" s="84" t="n"/>
      <c r="AI2848" s="84" t="n"/>
      <c r="AJ2848" s="84" t="n"/>
      <c r="AK2848" s="84" t="n"/>
      <c r="AL2848" s="84" t="n"/>
      <c r="AM2848" s="84" t="n"/>
      <c r="AN2848" s="84" t="n"/>
      <c r="AO2848" s="84" t="n"/>
      <c r="AP2848" s="84" t="n"/>
      <c r="AQ2848" s="84" t="n"/>
      <c r="AR2848" s="84" t="n"/>
    </row>
    <row r="2849">
      <c r="D2849" s="80" t="n"/>
      <c r="E2849" s="80" t="n"/>
      <c r="F2849" s="80" t="n"/>
      <c r="G2849" s="80" t="n"/>
      <c r="H2849" s="80" t="n"/>
      <c r="I2849" s="80" t="n"/>
      <c r="J2849" s="80" t="n"/>
      <c r="K2849" s="80" t="n"/>
      <c r="L2849" s="80" t="n"/>
      <c r="M2849" s="80" t="n"/>
      <c r="N2849" s="80" t="n"/>
      <c r="O2849" s="80" t="n"/>
      <c r="P2849" s="80" t="n"/>
      <c r="Q2849" s="80" t="n"/>
      <c r="R2849" s="80" t="n"/>
      <c r="S2849" s="80" t="n"/>
      <c r="T2849" s="80" t="n"/>
      <c r="U2849" s="80" t="n"/>
      <c r="V2849" s="80" t="n"/>
      <c r="W2849" s="80" t="n"/>
      <c r="X2849" s="80" t="n"/>
      <c r="Y2849" s="80" t="n"/>
      <c r="Z2849" s="80" t="n"/>
      <c r="AA2849" s="80" t="n"/>
      <c r="AB2849" s="80" t="n"/>
      <c r="AC2849" s="80" t="n"/>
      <c r="AD2849" s="80" t="n"/>
      <c r="AE2849" s="80" t="n"/>
      <c r="AF2849" s="80" t="n"/>
      <c r="AG2849" s="80" t="n"/>
      <c r="AH2849" s="80" t="n"/>
      <c r="AI2849" s="80" t="n"/>
      <c r="AJ2849" s="80" t="n"/>
      <c r="AK2849" s="80" t="n"/>
      <c r="AL2849" s="80" t="n"/>
      <c r="AM2849" s="80" t="n"/>
      <c r="AN2849" s="80" t="n"/>
      <c r="AO2849" s="80" t="n"/>
      <c r="AP2849" s="80" t="n"/>
      <c r="AQ2849" s="80" t="n"/>
      <c r="AR2849" s="80" t="n"/>
    </row>
    <row r="2850">
      <c r="D2850" s="80" t="n"/>
      <c r="E2850" s="80" t="n"/>
      <c r="F2850" s="80" t="n"/>
      <c r="G2850" s="80" t="n"/>
      <c r="H2850" s="80" t="n"/>
      <c r="I2850" s="80" t="n"/>
      <c r="J2850" s="80" t="n"/>
      <c r="K2850" s="80" t="n"/>
      <c r="L2850" s="80" t="n"/>
      <c r="M2850" s="80" t="n"/>
      <c r="N2850" s="80" t="n"/>
      <c r="O2850" s="80" t="n"/>
      <c r="P2850" s="80" t="n"/>
      <c r="Q2850" s="80" t="n"/>
      <c r="R2850" s="80" t="n"/>
      <c r="S2850" s="80" t="n"/>
      <c r="T2850" s="80" t="n"/>
      <c r="U2850" s="80" t="n"/>
      <c r="V2850" s="80" t="n"/>
      <c r="W2850" s="80" t="n"/>
      <c r="X2850" s="80" t="n"/>
      <c r="Y2850" s="80" t="n"/>
      <c r="Z2850" s="80" t="n"/>
      <c r="AA2850" s="80" t="n"/>
      <c r="AB2850" s="80" t="n"/>
      <c r="AC2850" s="80" t="n"/>
      <c r="AD2850" s="80" t="n"/>
      <c r="AE2850" s="80" t="n"/>
      <c r="AF2850" s="80" t="n"/>
      <c r="AG2850" s="80" t="n"/>
      <c r="AH2850" s="80" t="n"/>
      <c r="AI2850" s="80" t="n"/>
      <c r="AJ2850" s="80" t="n"/>
      <c r="AK2850" s="80" t="n"/>
      <c r="AL2850" s="80" t="n"/>
      <c r="AM2850" s="80" t="n"/>
      <c r="AN2850" s="80" t="n"/>
      <c r="AO2850" s="80" t="n"/>
      <c r="AP2850" s="80" t="n"/>
      <c r="AQ2850" s="80" t="n"/>
      <c r="AR2850" s="80" t="n"/>
    </row>
    <row r="2851">
      <c r="D2851" s="80" t="n"/>
      <c r="E2851" s="80" t="n"/>
      <c r="F2851" s="80" t="n"/>
      <c r="G2851" s="80" t="n"/>
      <c r="H2851" s="80" t="n"/>
      <c r="I2851" s="80" t="n"/>
      <c r="J2851" s="80" t="n"/>
      <c r="K2851" s="80" t="n"/>
      <c r="L2851" s="80" t="n"/>
      <c r="M2851" s="80" t="n"/>
      <c r="N2851" s="80" t="n"/>
      <c r="O2851" s="80" t="n"/>
      <c r="P2851" s="80" t="n"/>
      <c r="Q2851" s="80" t="n"/>
      <c r="R2851" s="80" t="n"/>
      <c r="S2851" s="80" t="n"/>
      <c r="T2851" s="80" t="n"/>
      <c r="U2851" s="80" t="n"/>
      <c r="V2851" s="80" t="n"/>
      <c r="W2851" s="80" t="n"/>
      <c r="X2851" s="80" t="n"/>
      <c r="Y2851" s="80" t="n"/>
      <c r="Z2851" s="80" t="n"/>
      <c r="AA2851" s="80" t="n"/>
      <c r="AB2851" s="80" t="n"/>
      <c r="AC2851" s="80" t="n"/>
      <c r="AD2851" s="80" t="n"/>
      <c r="AE2851" s="80" t="n"/>
      <c r="AF2851" s="80" t="n"/>
      <c r="AG2851" s="80" t="n"/>
      <c r="AH2851" s="80" t="n"/>
      <c r="AI2851" s="80" t="n"/>
      <c r="AJ2851" s="80" t="n"/>
      <c r="AK2851" s="80" t="n"/>
      <c r="AL2851" s="80" t="n"/>
      <c r="AM2851" s="80" t="n"/>
      <c r="AN2851" s="80" t="n"/>
      <c r="AO2851" s="80" t="n"/>
      <c r="AP2851" s="80" t="n"/>
      <c r="AQ2851" s="80" t="n"/>
      <c r="AR2851" s="80" t="n"/>
    </row>
    <row r="2852">
      <c r="D2852" s="80" t="n"/>
      <c r="E2852" s="80" t="n"/>
      <c r="F2852" s="80" t="n"/>
      <c r="G2852" s="80" t="n"/>
      <c r="H2852" s="80" t="n"/>
      <c r="I2852" s="80" t="n"/>
      <c r="J2852" s="80" t="n"/>
      <c r="K2852" s="80" t="n"/>
      <c r="L2852" s="80" t="n"/>
      <c r="M2852" s="80" t="n"/>
      <c r="N2852" s="80" t="n"/>
      <c r="O2852" s="80" t="n"/>
      <c r="P2852" s="80" t="n"/>
      <c r="Q2852" s="80" t="n"/>
      <c r="R2852" s="80" t="n"/>
      <c r="S2852" s="80" t="n"/>
      <c r="T2852" s="80" t="n"/>
      <c r="U2852" s="80" t="n"/>
      <c r="V2852" s="80" t="n"/>
      <c r="W2852" s="80" t="n"/>
      <c r="X2852" s="80" t="n"/>
      <c r="Y2852" s="80" t="n"/>
      <c r="Z2852" s="80" t="n"/>
      <c r="AA2852" s="80" t="n"/>
      <c r="AB2852" s="80" t="n"/>
      <c r="AC2852" s="80" t="n"/>
      <c r="AD2852" s="80" t="n"/>
      <c r="AE2852" s="80" t="n"/>
      <c r="AF2852" s="80" t="n"/>
      <c r="AG2852" s="80" t="n"/>
      <c r="AH2852" s="80" t="n"/>
      <c r="AI2852" s="80" t="n"/>
      <c r="AJ2852" s="80" t="n"/>
      <c r="AK2852" s="80" t="n"/>
      <c r="AL2852" s="80" t="n"/>
      <c r="AM2852" s="80" t="n"/>
      <c r="AN2852" s="80" t="n"/>
      <c r="AO2852" s="80" t="n"/>
      <c r="AP2852" s="80" t="n"/>
      <c r="AQ2852" s="80" t="n"/>
      <c r="AR2852" s="80" t="n"/>
    </row>
    <row r="2854">
      <c r="A2854" s="6">
        <f>IF(HSCEI!$C$56="","",HSCEI!$C$56)</f>
        <v/>
      </c>
      <c r="B2854" s="41">
        <f>IF($A2854="",0,COUNT($E2855:$AR2855))</f>
        <v/>
      </c>
      <c r="C2854" s="81">
        <f>IF($B2854=0,0,MAX($E2855:$AR2855))</f>
        <v/>
      </c>
      <c r="D2854" s="82">
        <f>BDS($A2854,'Field Check'!$C$7,"headers=y","startcol=1","endcol=7","dir=h","DVD_START_DT",Summary!$C$18,"DVD_END_DT",Summary!$D$18)</f>
        <v/>
      </c>
      <c r="E2854" s="83" t="n"/>
      <c r="F2854" s="83" t="n"/>
      <c r="G2854" s="83" t="n"/>
      <c r="H2854" s="83" t="n"/>
      <c r="I2854" s="83" t="n"/>
      <c r="J2854" s="83" t="n"/>
      <c r="K2854" s="83" t="n"/>
      <c r="L2854" s="83" t="n"/>
      <c r="M2854" s="83" t="n"/>
      <c r="N2854" s="83" t="n"/>
      <c r="O2854" s="83" t="n"/>
      <c r="P2854" s="83" t="n"/>
      <c r="Q2854" s="83" t="n"/>
      <c r="R2854" s="83" t="n"/>
      <c r="S2854" s="83" t="n"/>
      <c r="T2854" s="83" t="n"/>
      <c r="U2854" s="83" t="n"/>
      <c r="V2854" s="83" t="n"/>
      <c r="W2854" s="83" t="n"/>
      <c r="X2854" s="83" t="n"/>
      <c r="Y2854" s="83" t="n"/>
      <c r="Z2854" s="83" t="n"/>
      <c r="AA2854" s="83" t="n"/>
      <c r="AB2854" s="83" t="n"/>
      <c r="AC2854" s="83" t="n"/>
      <c r="AD2854" s="83" t="n"/>
      <c r="AE2854" s="83" t="n"/>
      <c r="AF2854" s="83" t="n"/>
      <c r="AG2854" s="83" t="n"/>
      <c r="AH2854" s="83" t="n"/>
      <c r="AI2854" s="83" t="n"/>
      <c r="AJ2854" s="83" t="n"/>
      <c r="AK2854" s="83" t="n"/>
      <c r="AL2854" s="83" t="n"/>
      <c r="AM2854" s="83" t="n"/>
      <c r="AN2854" s="83" t="n"/>
      <c r="AO2854" s="83" t="n"/>
      <c r="AP2854" s="83" t="n"/>
      <c r="AQ2854" s="83" t="n"/>
      <c r="AR2854" s="83" t="n"/>
    </row>
    <row r="2855">
      <c r="D2855" s="83" t="n"/>
      <c r="E2855" s="83" t="n"/>
      <c r="F2855" s="83" t="n"/>
      <c r="G2855" s="83" t="n"/>
      <c r="H2855" s="83" t="n"/>
      <c r="I2855" s="83" t="n"/>
      <c r="J2855" s="83" t="n"/>
      <c r="K2855" s="83" t="n"/>
      <c r="L2855" s="83" t="n"/>
      <c r="M2855" s="83" t="n"/>
      <c r="N2855" s="83" t="n"/>
      <c r="O2855" s="83" t="n"/>
      <c r="P2855" s="83" t="n"/>
      <c r="Q2855" s="83" t="n"/>
      <c r="R2855" s="83" t="n"/>
      <c r="S2855" s="83" t="n"/>
      <c r="T2855" s="83" t="n"/>
      <c r="U2855" s="83" t="n"/>
      <c r="V2855" s="83" t="n"/>
      <c r="W2855" s="83" t="n"/>
      <c r="X2855" s="83" t="n"/>
      <c r="Y2855" s="83" t="n"/>
      <c r="Z2855" s="83" t="n"/>
      <c r="AA2855" s="83" t="n"/>
      <c r="AB2855" s="83" t="n"/>
      <c r="AC2855" s="83" t="n"/>
      <c r="AD2855" s="83" t="n"/>
      <c r="AE2855" s="83" t="n"/>
      <c r="AF2855" s="83" t="n"/>
      <c r="AG2855" s="83" t="n"/>
      <c r="AH2855" s="83" t="n"/>
      <c r="AI2855" s="83" t="n"/>
      <c r="AJ2855" s="83" t="n"/>
      <c r="AK2855" s="83" t="n"/>
      <c r="AL2855" s="83" t="n"/>
      <c r="AM2855" s="83" t="n"/>
      <c r="AN2855" s="83" t="n"/>
      <c r="AO2855" s="83" t="n"/>
      <c r="AP2855" s="83" t="n"/>
      <c r="AQ2855" s="83" t="n"/>
      <c r="AR2855" s="83" t="n"/>
    </row>
    <row r="2856">
      <c r="D2856" s="84" t="n"/>
      <c r="E2856" s="84" t="n"/>
      <c r="F2856" s="84" t="n"/>
      <c r="G2856" s="84" t="n"/>
      <c r="H2856" s="84" t="n"/>
      <c r="I2856" s="84" t="n"/>
      <c r="J2856" s="84" t="n"/>
      <c r="K2856" s="84" t="n"/>
      <c r="L2856" s="84" t="n"/>
      <c r="M2856" s="84" t="n"/>
      <c r="N2856" s="84" t="n"/>
      <c r="O2856" s="84" t="n"/>
      <c r="P2856" s="84" t="n"/>
      <c r="Q2856" s="84" t="n"/>
      <c r="R2856" s="84" t="n"/>
      <c r="S2856" s="84" t="n"/>
      <c r="T2856" s="84" t="n"/>
      <c r="U2856" s="84" t="n"/>
      <c r="V2856" s="84" t="n"/>
      <c r="W2856" s="84" t="n"/>
      <c r="X2856" s="84" t="n"/>
      <c r="Y2856" s="84" t="n"/>
      <c r="Z2856" s="84" t="n"/>
      <c r="AA2856" s="84" t="n"/>
      <c r="AB2856" s="84" t="n"/>
      <c r="AC2856" s="84" t="n"/>
      <c r="AD2856" s="84" t="n"/>
      <c r="AE2856" s="84" t="n"/>
      <c r="AF2856" s="84" t="n"/>
      <c r="AG2856" s="84" t="n"/>
      <c r="AH2856" s="84" t="n"/>
      <c r="AI2856" s="84" t="n"/>
      <c r="AJ2856" s="84" t="n"/>
      <c r="AK2856" s="84" t="n"/>
      <c r="AL2856" s="84" t="n"/>
      <c r="AM2856" s="84" t="n"/>
      <c r="AN2856" s="84" t="n"/>
      <c r="AO2856" s="84" t="n"/>
      <c r="AP2856" s="84" t="n"/>
      <c r="AQ2856" s="84" t="n"/>
      <c r="AR2856" s="84" t="n"/>
    </row>
    <row r="2857">
      <c r="D2857" s="80" t="n"/>
      <c r="E2857" s="80" t="n"/>
      <c r="F2857" s="80" t="n"/>
      <c r="G2857" s="80" t="n"/>
      <c r="H2857" s="80" t="n"/>
      <c r="I2857" s="80" t="n"/>
      <c r="J2857" s="80" t="n"/>
      <c r="K2857" s="80" t="n"/>
      <c r="L2857" s="80" t="n"/>
      <c r="M2857" s="80" t="n"/>
      <c r="N2857" s="80" t="n"/>
      <c r="O2857" s="80" t="n"/>
      <c r="P2857" s="80" t="n"/>
      <c r="Q2857" s="80" t="n"/>
      <c r="R2857" s="80" t="n"/>
      <c r="S2857" s="80" t="n"/>
      <c r="T2857" s="80" t="n"/>
      <c r="U2857" s="80" t="n"/>
      <c r="V2857" s="80" t="n"/>
      <c r="W2857" s="80" t="n"/>
      <c r="X2857" s="80" t="n"/>
      <c r="Y2857" s="80" t="n"/>
      <c r="Z2857" s="80" t="n"/>
      <c r="AA2857" s="80" t="n"/>
      <c r="AB2857" s="80" t="n"/>
      <c r="AC2857" s="80" t="n"/>
      <c r="AD2857" s="80" t="n"/>
      <c r="AE2857" s="80" t="n"/>
      <c r="AF2857" s="80" t="n"/>
      <c r="AG2857" s="80" t="n"/>
      <c r="AH2857" s="80" t="n"/>
      <c r="AI2857" s="80" t="n"/>
      <c r="AJ2857" s="80" t="n"/>
      <c r="AK2857" s="80" t="n"/>
      <c r="AL2857" s="80" t="n"/>
      <c r="AM2857" s="80" t="n"/>
      <c r="AN2857" s="80" t="n"/>
      <c r="AO2857" s="80" t="n"/>
      <c r="AP2857" s="80" t="n"/>
      <c r="AQ2857" s="80" t="n"/>
      <c r="AR2857" s="80" t="n"/>
    </row>
    <row r="2858">
      <c r="D2858" s="80" t="n"/>
      <c r="E2858" s="80" t="n"/>
      <c r="F2858" s="80" t="n"/>
      <c r="G2858" s="80" t="n"/>
      <c r="H2858" s="80" t="n"/>
      <c r="I2858" s="80" t="n"/>
      <c r="J2858" s="80" t="n"/>
      <c r="K2858" s="80" t="n"/>
      <c r="L2858" s="80" t="n"/>
      <c r="M2858" s="80" t="n"/>
      <c r="N2858" s="80" t="n"/>
      <c r="O2858" s="80" t="n"/>
      <c r="P2858" s="80" t="n"/>
      <c r="Q2858" s="80" t="n"/>
      <c r="R2858" s="80" t="n"/>
      <c r="S2858" s="80" t="n"/>
      <c r="T2858" s="80" t="n"/>
      <c r="U2858" s="80" t="n"/>
      <c r="V2858" s="80" t="n"/>
      <c r="W2858" s="80" t="n"/>
      <c r="X2858" s="80" t="n"/>
      <c r="Y2858" s="80" t="n"/>
      <c r="Z2858" s="80" t="n"/>
      <c r="AA2858" s="80" t="n"/>
      <c r="AB2858" s="80" t="n"/>
      <c r="AC2858" s="80" t="n"/>
      <c r="AD2858" s="80" t="n"/>
      <c r="AE2858" s="80" t="n"/>
      <c r="AF2858" s="80" t="n"/>
      <c r="AG2858" s="80" t="n"/>
      <c r="AH2858" s="80" t="n"/>
      <c r="AI2858" s="80" t="n"/>
      <c r="AJ2858" s="80" t="n"/>
      <c r="AK2858" s="80" t="n"/>
      <c r="AL2858" s="80" t="n"/>
      <c r="AM2858" s="80" t="n"/>
      <c r="AN2858" s="80" t="n"/>
      <c r="AO2858" s="80" t="n"/>
      <c r="AP2858" s="80" t="n"/>
      <c r="AQ2858" s="80" t="n"/>
      <c r="AR2858" s="80" t="n"/>
    </row>
    <row r="2859">
      <c r="D2859" s="80" t="n"/>
      <c r="E2859" s="80" t="n"/>
      <c r="F2859" s="80" t="n"/>
      <c r="G2859" s="80" t="n"/>
      <c r="H2859" s="80" t="n"/>
      <c r="I2859" s="80" t="n"/>
      <c r="J2859" s="80" t="n"/>
      <c r="K2859" s="80" t="n"/>
      <c r="L2859" s="80" t="n"/>
      <c r="M2859" s="80" t="n"/>
      <c r="N2859" s="80" t="n"/>
      <c r="O2859" s="80" t="n"/>
      <c r="P2859" s="80" t="n"/>
      <c r="Q2859" s="80" t="n"/>
      <c r="R2859" s="80" t="n"/>
      <c r="S2859" s="80" t="n"/>
      <c r="T2859" s="80" t="n"/>
      <c r="U2859" s="80" t="n"/>
      <c r="V2859" s="80" t="n"/>
      <c r="W2859" s="80" t="n"/>
      <c r="X2859" s="80" t="n"/>
      <c r="Y2859" s="80" t="n"/>
      <c r="Z2859" s="80" t="n"/>
      <c r="AA2859" s="80" t="n"/>
      <c r="AB2859" s="80" t="n"/>
      <c r="AC2859" s="80" t="n"/>
      <c r="AD2859" s="80" t="n"/>
      <c r="AE2859" s="80" t="n"/>
      <c r="AF2859" s="80" t="n"/>
      <c r="AG2859" s="80" t="n"/>
      <c r="AH2859" s="80" t="n"/>
      <c r="AI2859" s="80" t="n"/>
      <c r="AJ2859" s="80" t="n"/>
      <c r="AK2859" s="80" t="n"/>
      <c r="AL2859" s="80" t="n"/>
      <c r="AM2859" s="80" t="n"/>
      <c r="AN2859" s="80" t="n"/>
      <c r="AO2859" s="80" t="n"/>
      <c r="AP2859" s="80" t="n"/>
      <c r="AQ2859" s="80" t="n"/>
      <c r="AR2859" s="80" t="n"/>
    </row>
    <row r="2860">
      <c r="D2860" s="80" t="n"/>
      <c r="E2860" s="80" t="n"/>
      <c r="F2860" s="80" t="n"/>
      <c r="G2860" s="80" t="n"/>
      <c r="H2860" s="80" t="n"/>
      <c r="I2860" s="80" t="n"/>
      <c r="J2860" s="80" t="n"/>
      <c r="K2860" s="80" t="n"/>
      <c r="L2860" s="80" t="n"/>
      <c r="M2860" s="80" t="n"/>
      <c r="N2860" s="80" t="n"/>
      <c r="O2860" s="80" t="n"/>
      <c r="P2860" s="80" t="n"/>
      <c r="Q2860" s="80" t="n"/>
      <c r="R2860" s="80" t="n"/>
      <c r="S2860" s="80" t="n"/>
      <c r="T2860" s="80" t="n"/>
      <c r="U2860" s="80" t="n"/>
      <c r="V2860" s="80" t="n"/>
      <c r="W2860" s="80" t="n"/>
      <c r="X2860" s="80" t="n"/>
      <c r="Y2860" s="80" t="n"/>
      <c r="Z2860" s="80" t="n"/>
      <c r="AA2860" s="80" t="n"/>
      <c r="AB2860" s="80" t="n"/>
      <c r="AC2860" s="80" t="n"/>
      <c r="AD2860" s="80" t="n"/>
      <c r="AE2860" s="80" t="n"/>
      <c r="AF2860" s="80" t="n"/>
      <c r="AG2860" s="80" t="n"/>
      <c r="AH2860" s="80" t="n"/>
      <c r="AI2860" s="80" t="n"/>
      <c r="AJ2860" s="80" t="n"/>
      <c r="AK2860" s="80" t="n"/>
      <c r="AL2860" s="80" t="n"/>
      <c r="AM2860" s="80" t="n"/>
      <c r="AN2860" s="80" t="n"/>
      <c r="AO2860" s="80" t="n"/>
      <c r="AP2860" s="80" t="n"/>
      <c r="AQ2860" s="80" t="n"/>
      <c r="AR2860" s="80" t="n"/>
    </row>
    <row r="2861">
      <c r="A2861" s="2">
        <f>IF($A2854="","","   projections")</f>
        <v/>
      </c>
      <c r="B2861" s="41">
        <f>IF($A2854="",0,COUNT($E2862:$AR2862))</f>
        <v/>
      </c>
      <c r="C2861" s="81">
        <f>IF($B2861=0,0,MAX($E2862:$AR2862))</f>
        <v/>
      </c>
      <c r="D2861" s="82">
        <f>BDS($A2854,'Field Check'!$C$6,"headers=y","startcol=1","endcol=7","dir=h")</f>
        <v/>
      </c>
      <c r="E2861" s="83" t="n"/>
      <c r="F2861" s="83" t="n"/>
      <c r="G2861" s="83" t="n"/>
      <c r="H2861" s="83" t="n"/>
      <c r="I2861" s="83" t="n"/>
      <c r="J2861" s="83" t="n"/>
      <c r="K2861" s="83" t="n"/>
      <c r="L2861" s="83" t="n"/>
      <c r="M2861" s="83" t="n"/>
      <c r="N2861" s="83" t="n"/>
      <c r="O2861" s="83" t="n"/>
      <c r="P2861" s="83" t="n"/>
      <c r="Q2861" s="83" t="n"/>
      <c r="R2861" s="83" t="n"/>
      <c r="S2861" s="83" t="n"/>
      <c r="T2861" s="83" t="n"/>
      <c r="U2861" s="83" t="n"/>
      <c r="V2861" s="83" t="n"/>
      <c r="W2861" s="83" t="n"/>
      <c r="X2861" s="83" t="n"/>
      <c r="Y2861" s="83" t="n"/>
      <c r="Z2861" s="83" t="n"/>
      <c r="AA2861" s="83" t="n"/>
      <c r="AB2861" s="83" t="n"/>
      <c r="AC2861" s="83" t="n"/>
      <c r="AD2861" s="83" t="n"/>
      <c r="AE2861" s="83" t="n"/>
      <c r="AF2861" s="83" t="n"/>
      <c r="AG2861" s="83" t="n"/>
      <c r="AH2861" s="83" t="n"/>
      <c r="AI2861" s="83" t="n"/>
      <c r="AJ2861" s="83" t="n"/>
      <c r="AK2861" s="83" t="n"/>
      <c r="AL2861" s="83" t="n"/>
      <c r="AM2861" s="83" t="n"/>
      <c r="AN2861" s="83" t="n"/>
      <c r="AO2861" s="83" t="n"/>
      <c r="AP2861" s="83" t="n"/>
      <c r="AQ2861" s="83" t="n"/>
      <c r="AR2861" s="83" t="n"/>
    </row>
    <row r="2862">
      <c r="D2862" s="83" t="n"/>
      <c r="E2862" s="83" t="n"/>
      <c r="F2862" s="83" t="n"/>
      <c r="G2862" s="83" t="n"/>
      <c r="H2862" s="83" t="n"/>
      <c r="I2862" s="83" t="n"/>
      <c r="J2862" s="83" t="n"/>
      <c r="K2862" s="83" t="n"/>
      <c r="L2862" s="83" t="n"/>
      <c r="M2862" s="83" t="n"/>
      <c r="N2862" s="83" t="n"/>
      <c r="O2862" s="83" t="n"/>
      <c r="P2862" s="83" t="n"/>
      <c r="Q2862" s="83" t="n"/>
      <c r="R2862" s="83" t="n"/>
      <c r="S2862" s="83" t="n"/>
      <c r="T2862" s="83" t="n"/>
      <c r="U2862" s="83" t="n"/>
      <c r="V2862" s="83" t="n"/>
      <c r="W2862" s="83" t="n"/>
      <c r="X2862" s="83" t="n"/>
      <c r="Y2862" s="83" t="n"/>
      <c r="Z2862" s="83" t="n"/>
      <c r="AA2862" s="83" t="n"/>
      <c r="AB2862" s="83" t="n"/>
      <c r="AC2862" s="83" t="n"/>
      <c r="AD2862" s="83" t="n"/>
      <c r="AE2862" s="83" t="n"/>
      <c r="AF2862" s="83" t="n"/>
      <c r="AG2862" s="83" t="n"/>
      <c r="AH2862" s="83" t="n"/>
      <c r="AI2862" s="83" t="n"/>
      <c r="AJ2862" s="83" t="n"/>
      <c r="AK2862" s="83" t="n"/>
      <c r="AL2862" s="83" t="n"/>
      <c r="AM2862" s="83" t="n"/>
      <c r="AN2862" s="83" t="n"/>
      <c r="AO2862" s="83" t="n"/>
      <c r="AP2862" s="83" t="n"/>
      <c r="AQ2862" s="83" t="n"/>
      <c r="AR2862" s="83" t="n"/>
    </row>
    <row r="2863">
      <c r="D2863" s="84" t="n"/>
      <c r="E2863" s="84" t="n"/>
      <c r="F2863" s="84" t="n"/>
      <c r="G2863" s="84" t="n"/>
      <c r="H2863" s="84" t="n"/>
      <c r="I2863" s="84" t="n"/>
      <c r="J2863" s="84" t="n"/>
      <c r="K2863" s="84" t="n"/>
      <c r="L2863" s="84" t="n"/>
      <c r="M2863" s="84" t="n"/>
      <c r="N2863" s="84" t="n"/>
      <c r="O2863" s="84" t="n"/>
      <c r="P2863" s="84" t="n"/>
      <c r="Q2863" s="84" t="n"/>
      <c r="R2863" s="84" t="n"/>
      <c r="S2863" s="84" t="n"/>
      <c r="T2863" s="84" t="n"/>
      <c r="U2863" s="84" t="n"/>
      <c r="V2863" s="84" t="n"/>
      <c r="W2863" s="84" t="n"/>
      <c r="X2863" s="84" t="n"/>
      <c r="Y2863" s="84" t="n"/>
      <c r="Z2863" s="84" t="n"/>
      <c r="AA2863" s="84" t="n"/>
      <c r="AB2863" s="84" t="n"/>
      <c r="AC2863" s="84" t="n"/>
      <c r="AD2863" s="84" t="n"/>
      <c r="AE2863" s="84" t="n"/>
      <c r="AF2863" s="84" t="n"/>
      <c r="AG2863" s="84" t="n"/>
      <c r="AH2863" s="84" t="n"/>
      <c r="AI2863" s="84" t="n"/>
      <c r="AJ2863" s="84" t="n"/>
      <c r="AK2863" s="84" t="n"/>
      <c r="AL2863" s="84" t="n"/>
      <c r="AM2863" s="84" t="n"/>
      <c r="AN2863" s="84" t="n"/>
      <c r="AO2863" s="84" t="n"/>
      <c r="AP2863" s="84" t="n"/>
      <c r="AQ2863" s="84" t="n"/>
      <c r="AR2863" s="84" t="n"/>
    </row>
    <row r="2864">
      <c r="D2864" s="80" t="n"/>
      <c r="E2864" s="80" t="n"/>
      <c r="F2864" s="80" t="n"/>
      <c r="G2864" s="80" t="n"/>
      <c r="H2864" s="80" t="n"/>
      <c r="I2864" s="80" t="n"/>
      <c r="J2864" s="80" t="n"/>
      <c r="K2864" s="80" t="n"/>
      <c r="L2864" s="80" t="n"/>
      <c r="M2864" s="80" t="n"/>
      <c r="N2864" s="80" t="n"/>
      <c r="O2864" s="80" t="n"/>
      <c r="P2864" s="80" t="n"/>
      <c r="Q2864" s="80" t="n"/>
      <c r="R2864" s="80" t="n"/>
      <c r="S2864" s="80" t="n"/>
      <c r="T2864" s="80" t="n"/>
      <c r="U2864" s="80" t="n"/>
      <c r="V2864" s="80" t="n"/>
      <c r="W2864" s="80" t="n"/>
      <c r="X2864" s="80" t="n"/>
      <c r="Y2864" s="80" t="n"/>
      <c r="Z2864" s="80" t="n"/>
      <c r="AA2864" s="80" t="n"/>
      <c r="AB2864" s="80" t="n"/>
      <c r="AC2864" s="80" t="n"/>
      <c r="AD2864" s="80" t="n"/>
      <c r="AE2864" s="80" t="n"/>
      <c r="AF2864" s="80" t="n"/>
      <c r="AG2864" s="80" t="n"/>
      <c r="AH2864" s="80" t="n"/>
      <c r="AI2864" s="80" t="n"/>
      <c r="AJ2864" s="80" t="n"/>
      <c r="AK2864" s="80" t="n"/>
      <c r="AL2864" s="80" t="n"/>
      <c r="AM2864" s="80" t="n"/>
      <c r="AN2864" s="80" t="n"/>
      <c r="AO2864" s="80" t="n"/>
      <c r="AP2864" s="80" t="n"/>
      <c r="AQ2864" s="80" t="n"/>
      <c r="AR2864" s="80" t="n"/>
    </row>
    <row r="2865">
      <c r="D2865" s="80" t="n"/>
      <c r="E2865" s="80" t="n"/>
      <c r="F2865" s="80" t="n"/>
      <c r="G2865" s="80" t="n"/>
      <c r="H2865" s="80" t="n"/>
      <c r="I2865" s="80" t="n"/>
      <c r="J2865" s="80" t="n"/>
      <c r="K2865" s="80" t="n"/>
      <c r="L2865" s="80" t="n"/>
      <c r="M2865" s="80" t="n"/>
      <c r="N2865" s="80" t="n"/>
      <c r="O2865" s="80" t="n"/>
      <c r="P2865" s="80" t="n"/>
      <c r="Q2865" s="80" t="n"/>
      <c r="R2865" s="80" t="n"/>
      <c r="S2865" s="80" t="n"/>
      <c r="T2865" s="80" t="n"/>
      <c r="U2865" s="80" t="n"/>
      <c r="V2865" s="80" t="n"/>
      <c r="W2865" s="80" t="n"/>
      <c r="X2865" s="80" t="n"/>
      <c r="Y2865" s="80" t="n"/>
      <c r="Z2865" s="80" t="n"/>
      <c r="AA2865" s="80" t="n"/>
      <c r="AB2865" s="80" t="n"/>
      <c r="AC2865" s="80" t="n"/>
      <c r="AD2865" s="80" t="n"/>
      <c r="AE2865" s="80" t="n"/>
      <c r="AF2865" s="80" t="n"/>
      <c r="AG2865" s="80" t="n"/>
      <c r="AH2865" s="80" t="n"/>
      <c r="AI2865" s="80" t="n"/>
      <c r="AJ2865" s="80" t="n"/>
      <c r="AK2865" s="80" t="n"/>
      <c r="AL2865" s="80" t="n"/>
      <c r="AM2865" s="80" t="n"/>
      <c r="AN2865" s="80" t="n"/>
      <c r="AO2865" s="80" t="n"/>
      <c r="AP2865" s="80" t="n"/>
      <c r="AQ2865" s="80" t="n"/>
      <c r="AR2865" s="80" t="n"/>
    </row>
    <row r="2866">
      <c r="D2866" s="80" t="n"/>
      <c r="E2866" s="80" t="n"/>
      <c r="F2866" s="80" t="n"/>
      <c r="G2866" s="80" t="n"/>
      <c r="H2866" s="80" t="n"/>
      <c r="I2866" s="80" t="n"/>
      <c r="J2866" s="80" t="n"/>
      <c r="K2866" s="80" t="n"/>
      <c r="L2866" s="80" t="n"/>
      <c r="M2866" s="80" t="n"/>
      <c r="N2866" s="80" t="n"/>
      <c r="O2866" s="80" t="n"/>
      <c r="P2866" s="80" t="n"/>
      <c r="Q2866" s="80" t="n"/>
      <c r="R2866" s="80" t="n"/>
      <c r="S2866" s="80" t="n"/>
      <c r="T2866" s="80" t="n"/>
      <c r="U2866" s="80" t="n"/>
      <c r="V2866" s="80" t="n"/>
      <c r="W2866" s="80" t="n"/>
      <c r="X2866" s="80" t="n"/>
      <c r="Y2866" s="80" t="n"/>
      <c r="Z2866" s="80" t="n"/>
      <c r="AA2866" s="80" t="n"/>
      <c r="AB2866" s="80" t="n"/>
      <c r="AC2866" s="80" t="n"/>
      <c r="AD2866" s="80" t="n"/>
      <c r="AE2866" s="80" t="n"/>
      <c r="AF2866" s="80" t="n"/>
      <c r="AG2866" s="80" t="n"/>
      <c r="AH2866" s="80" t="n"/>
      <c r="AI2866" s="80" t="n"/>
      <c r="AJ2866" s="80" t="n"/>
      <c r="AK2866" s="80" t="n"/>
      <c r="AL2866" s="80" t="n"/>
      <c r="AM2866" s="80" t="n"/>
      <c r="AN2866" s="80" t="n"/>
      <c r="AO2866" s="80" t="n"/>
      <c r="AP2866" s="80" t="n"/>
      <c r="AQ2866" s="80" t="n"/>
      <c r="AR2866" s="80" t="n"/>
    </row>
    <row r="2867">
      <c r="D2867" s="80" t="n"/>
      <c r="E2867" s="80" t="n"/>
      <c r="F2867" s="80" t="n"/>
      <c r="G2867" s="80" t="n"/>
      <c r="H2867" s="80" t="n"/>
      <c r="I2867" s="80" t="n"/>
      <c r="J2867" s="80" t="n"/>
      <c r="K2867" s="80" t="n"/>
      <c r="L2867" s="80" t="n"/>
      <c r="M2867" s="80" t="n"/>
      <c r="N2867" s="80" t="n"/>
      <c r="O2867" s="80" t="n"/>
      <c r="P2867" s="80" t="n"/>
      <c r="Q2867" s="80" t="n"/>
      <c r="R2867" s="80" t="n"/>
      <c r="S2867" s="80" t="n"/>
      <c r="T2867" s="80" t="n"/>
      <c r="U2867" s="80" t="n"/>
      <c r="V2867" s="80" t="n"/>
      <c r="W2867" s="80" t="n"/>
      <c r="X2867" s="80" t="n"/>
      <c r="Y2867" s="80" t="n"/>
      <c r="Z2867" s="80" t="n"/>
      <c r="AA2867" s="80" t="n"/>
      <c r="AB2867" s="80" t="n"/>
      <c r="AC2867" s="80" t="n"/>
      <c r="AD2867" s="80" t="n"/>
      <c r="AE2867" s="80" t="n"/>
      <c r="AF2867" s="80" t="n"/>
      <c r="AG2867" s="80" t="n"/>
      <c r="AH2867" s="80" t="n"/>
      <c r="AI2867" s="80" t="n"/>
      <c r="AJ2867" s="80" t="n"/>
      <c r="AK2867" s="80" t="n"/>
      <c r="AL2867" s="80" t="n"/>
      <c r="AM2867" s="80" t="n"/>
      <c r="AN2867" s="80" t="n"/>
      <c r="AO2867" s="80" t="n"/>
      <c r="AP2867" s="80" t="n"/>
      <c r="AQ2867" s="80" t="n"/>
      <c r="AR2867" s="80" t="n"/>
    </row>
    <row r="2869">
      <c r="A2869" s="6">
        <f>IF(HSCEI!$C$57="","",HSCEI!$C$57)</f>
        <v/>
      </c>
      <c r="B2869" s="41">
        <f>IF($A2869="",0,COUNT($E2870:$AR2870))</f>
        <v/>
      </c>
      <c r="C2869" s="81">
        <f>IF($B2869=0,0,MAX($E2870:$AR2870))</f>
        <v/>
      </c>
      <c r="D2869" s="82">
        <f>BDS($A2869,'Field Check'!$C$7,"headers=y","startcol=1","endcol=7","dir=h","DVD_START_DT",Summary!$C$18,"DVD_END_DT",Summary!$D$18)</f>
        <v/>
      </c>
      <c r="E2869" s="83" t="n"/>
      <c r="F2869" s="83" t="n"/>
      <c r="G2869" s="83" t="n"/>
      <c r="H2869" s="83" t="n"/>
      <c r="I2869" s="83" t="n"/>
      <c r="J2869" s="83" t="n"/>
      <c r="K2869" s="83" t="n"/>
      <c r="L2869" s="83" t="n"/>
      <c r="M2869" s="83" t="n"/>
      <c r="N2869" s="83" t="n"/>
      <c r="O2869" s="83" t="n"/>
      <c r="P2869" s="83" t="n"/>
      <c r="Q2869" s="83" t="n"/>
      <c r="R2869" s="83" t="n"/>
      <c r="S2869" s="83" t="n"/>
      <c r="T2869" s="83" t="n"/>
      <c r="U2869" s="83" t="n"/>
      <c r="V2869" s="83" t="n"/>
      <c r="W2869" s="83" t="n"/>
      <c r="X2869" s="83" t="n"/>
      <c r="Y2869" s="83" t="n"/>
      <c r="Z2869" s="83" t="n"/>
      <c r="AA2869" s="83" t="n"/>
      <c r="AB2869" s="83" t="n"/>
      <c r="AC2869" s="83" t="n"/>
      <c r="AD2869" s="83" t="n"/>
      <c r="AE2869" s="83" t="n"/>
      <c r="AF2869" s="83" t="n"/>
      <c r="AG2869" s="83" t="n"/>
      <c r="AH2869" s="83" t="n"/>
      <c r="AI2869" s="83" t="n"/>
      <c r="AJ2869" s="83" t="n"/>
      <c r="AK2869" s="83" t="n"/>
      <c r="AL2869" s="83" t="n"/>
      <c r="AM2869" s="83" t="n"/>
      <c r="AN2869" s="83" t="n"/>
      <c r="AO2869" s="83" t="n"/>
      <c r="AP2869" s="83" t="n"/>
      <c r="AQ2869" s="83" t="n"/>
      <c r="AR2869" s="83" t="n"/>
    </row>
    <row r="2870">
      <c r="D2870" s="83" t="n"/>
      <c r="E2870" s="83" t="n"/>
      <c r="F2870" s="83" t="n"/>
      <c r="G2870" s="83" t="n"/>
      <c r="H2870" s="83" t="n"/>
      <c r="I2870" s="83" t="n"/>
      <c r="J2870" s="83" t="n"/>
      <c r="K2870" s="83" t="n"/>
      <c r="L2870" s="83" t="n"/>
      <c r="M2870" s="83" t="n"/>
      <c r="N2870" s="83" t="n"/>
      <c r="O2870" s="83" t="n"/>
      <c r="P2870" s="83" t="n"/>
      <c r="Q2870" s="83" t="n"/>
      <c r="R2870" s="83" t="n"/>
      <c r="S2870" s="83" t="n"/>
      <c r="T2870" s="83" t="n"/>
      <c r="U2870" s="83" t="n"/>
      <c r="V2870" s="83" t="n"/>
      <c r="W2870" s="83" t="n"/>
      <c r="X2870" s="83" t="n"/>
      <c r="Y2870" s="83" t="n"/>
      <c r="Z2870" s="83" t="n"/>
      <c r="AA2870" s="83" t="n"/>
      <c r="AB2870" s="83" t="n"/>
      <c r="AC2870" s="83" t="n"/>
      <c r="AD2870" s="83" t="n"/>
      <c r="AE2870" s="83" t="n"/>
      <c r="AF2870" s="83" t="n"/>
      <c r="AG2870" s="83" t="n"/>
      <c r="AH2870" s="83" t="n"/>
      <c r="AI2870" s="83" t="n"/>
      <c r="AJ2870" s="83" t="n"/>
      <c r="AK2870" s="83" t="n"/>
      <c r="AL2870" s="83" t="n"/>
      <c r="AM2870" s="83" t="n"/>
      <c r="AN2870" s="83" t="n"/>
      <c r="AO2870" s="83" t="n"/>
      <c r="AP2870" s="83" t="n"/>
      <c r="AQ2870" s="83" t="n"/>
      <c r="AR2870" s="83" t="n"/>
    </row>
    <row r="2871">
      <c r="D2871" s="84" t="n"/>
      <c r="E2871" s="84" t="n"/>
      <c r="F2871" s="84" t="n"/>
      <c r="G2871" s="84" t="n"/>
      <c r="H2871" s="84" t="n"/>
      <c r="I2871" s="84" t="n"/>
      <c r="J2871" s="84" t="n"/>
      <c r="K2871" s="84" t="n"/>
      <c r="L2871" s="84" t="n"/>
      <c r="M2871" s="84" t="n"/>
      <c r="N2871" s="84" t="n"/>
      <c r="O2871" s="84" t="n"/>
      <c r="P2871" s="84" t="n"/>
      <c r="Q2871" s="84" t="n"/>
      <c r="R2871" s="84" t="n"/>
      <c r="S2871" s="84" t="n"/>
      <c r="T2871" s="84" t="n"/>
      <c r="U2871" s="84" t="n"/>
      <c r="V2871" s="84" t="n"/>
      <c r="W2871" s="84" t="n"/>
      <c r="X2871" s="84" t="n"/>
      <c r="Y2871" s="84" t="n"/>
      <c r="Z2871" s="84" t="n"/>
      <c r="AA2871" s="84" t="n"/>
      <c r="AB2871" s="84" t="n"/>
      <c r="AC2871" s="84" t="n"/>
      <c r="AD2871" s="84" t="n"/>
      <c r="AE2871" s="84" t="n"/>
      <c r="AF2871" s="84" t="n"/>
      <c r="AG2871" s="84" t="n"/>
      <c r="AH2871" s="84" t="n"/>
      <c r="AI2871" s="84" t="n"/>
      <c r="AJ2871" s="84" t="n"/>
      <c r="AK2871" s="84" t="n"/>
      <c r="AL2871" s="84" t="n"/>
      <c r="AM2871" s="84" t="n"/>
      <c r="AN2871" s="84" t="n"/>
      <c r="AO2871" s="84" t="n"/>
      <c r="AP2871" s="84" t="n"/>
      <c r="AQ2871" s="84" t="n"/>
      <c r="AR2871" s="84" t="n"/>
    </row>
    <row r="2872">
      <c r="D2872" s="80" t="n"/>
      <c r="E2872" s="80" t="n"/>
      <c r="F2872" s="80" t="n"/>
      <c r="G2872" s="80" t="n"/>
      <c r="H2872" s="80" t="n"/>
      <c r="I2872" s="80" t="n"/>
      <c r="J2872" s="80" t="n"/>
      <c r="K2872" s="80" t="n"/>
      <c r="L2872" s="80" t="n"/>
      <c r="M2872" s="80" t="n"/>
      <c r="N2872" s="80" t="n"/>
      <c r="O2872" s="80" t="n"/>
      <c r="P2872" s="80" t="n"/>
      <c r="Q2872" s="80" t="n"/>
      <c r="R2872" s="80" t="n"/>
      <c r="S2872" s="80" t="n"/>
      <c r="T2872" s="80" t="n"/>
      <c r="U2872" s="80" t="n"/>
      <c r="V2872" s="80" t="n"/>
      <c r="W2872" s="80" t="n"/>
      <c r="X2872" s="80" t="n"/>
      <c r="Y2872" s="80" t="n"/>
      <c r="Z2872" s="80" t="n"/>
      <c r="AA2872" s="80" t="n"/>
      <c r="AB2872" s="80" t="n"/>
      <c r="AC2872" s="80" t="n"/>
      <c r="AD2872" s="80" t="n"/>
      <c r="AE2872" s="80" t="n"/>
      <c r="AF2872" s="80" t="n"/>
      <c r="AG2872" s="80" t="n"/>
      <c r="AH2872" s="80" t="n"/>
      <c r="AI2872" s="80" t="n"/>
      <c r="AJ2872" s="80" t="n"/>
      <c r="AK2872" s="80" t="n"/>
      <c r="AL2872" s="80" t="n"/>
      <c r="AM2872" s="80" t="n"/>
      <c r="AN2872" s="80" t="n"/>
      <c r="AO2872" s="80" t="n"/>
      <c r="AP2872" s="80" t="n"/>
      <c r="AQ2872" s="80" t="n"/>
      <c r="AR2872" s="80" t="n"/>
    </row>
    <row r="2873">
      <c r="D2873" s="80" t="n"/>
      <c r="E2873" s="80" t="n"/>
      <c r="F2873" s="80" t="n"/>
      <c r="G2873" s="80" t="n"/>
      <c r="H2873" s="80" t="n"/>
      <c r="I2873" s="80" t="n"/>
      <c r="J2873" s="80" t="n"/>
      <c r="K2873" s="80" t="n"/>
      <c r="L2873" s="80" t="n"/>
      <c r="M2873" s="80" t="n"/>
      <c r="N2873" s="80" t="n"/>
      <c r="O2873" s="80" t="n"/>
      <c r="P2873" s="80" t="n"/>
      <c r="Q2873" s="80" t="n"/>
      <c r="R2873" s="80" t="n"/>
      <c r="S2873" s="80" t="n"/>
      <c r="T2873" s="80" t="n"/>
      <c r="U2873" s="80" t="n"/>
      <c r="V2873" s="80" t="n"/>
      <c r="W2873" s="80" t="n"/>
      <c r="X2873" s="80" t="n"/>
      <c r="Y2873" s="80" t="n"/>
      <c r="Z2873" s="80" t="n"/>
      <c r="AA2873" s="80" t="n"/>
      <c r="AB2873" s="80" t="n"/>
      <c r="AC2873" s="80" t="n"/>
      <c r="AD2873" s="80" t="n"/>
      <c r="AE2873" s="80" t="n"/>
      <c r="AF2873" s="80" t="n"/>
      <c r="AG2873" s="80" t="n"/>
      <c r="AH2873" s="80" t="n"/>
      <c r="AI2873" s="80" t="n"/>
      <c r="AJ2873" s="80" t="n"/>
      <c r="AK2873" s="80" t="n"/>
      <c r="AL2873" s="80" t="n"/>
      <c r="AM2873" s="80" t="n"/>
      <c r="AN2873" s="80" t="n"/>
      <c r="AO2873" s="80" t="n"/>
      <c r="AP2873" s="80" t="n"/>
      <c r="AQ2873" s="80" t="n"/>
      <c r="AR2873" s="80" t="n"/>
    </row>
    <row r="2874">
      <c r="D2874" s="80" t="n"/>
      <c r="E2874" s="80" t="n"/>
      <c r="F2874" s="80" t="n"/>
      <c r="G2874" s="80" t="n"/>
      <c r="H2874" s="80" t="n"/>
      <c r="I2874" s="80" t="n"/>
      <c r="J2874" s="80" t="n"/>
      <c r="K2874" s="80" t="n"/>
      <c r="L2874" s="80" t="n"/>
      <c r="M2874" s="80" t="n"/>
      <c r="N2874" s="80" t="n"/>
      <c r="O2874" s="80" t="n"/>
      <c r="P2874" s="80" t="n"/>
      <c r="Q2874" s="80" t="n"/>
      <c r="R2874" s="80" t="n"/>
      <c r="S2874" s="80" t="n"/>
      <c r="T2874" s="80" t="n"/>
      <c r="U2874" s="80" t="n"/>
      <c r="V2874" s="80" t="n"/>
      <c r="W2874" s="80" t="n"/>
      <c r="X2874" s="80" t="n"/>
      <c r="Y2874" s="80" t="n"/>
      <c r="Z2874" s="80" t="n"/>
      <c r="AA2874" s="80" t="n"/>
      <c r="AB2874" s="80" t="n"/>
      <c r="AC2874" s="80" t="n"/>
      <c r="AD2874" s="80" t="n"/>
      <c r="AE2874" s="80" t="n"/>
      <c r="AF2874" s="80" t="n"/>
      <c r="AG2874" s="80" t="n"/>
      <c r="AH2874" s="80" t="n"/>
      <c r="AI2874" s="80" t="n"/>
      <c r="AJ2874" s="80" t="n"/>
      <c r="AK2874" s="80" t="n"/>
      <c r="AL2874" s="80" t="n"/>
      <c r="AM2874" s="80" t="n"/>
      <c r="AN2874" s="80" t="n"/>
      <c r="AO2874" s="80" t="n"/>
      <c r="AP2874" s="80" t="n"/>
      <c r="AQ2874" s="80" t="n"/>
      <c r="AR2874" s="80" t="n"/>
    </row>
    <row r="2875">
      <c r="D2875" s="80" t="n"/>
      <c r="E2875" s="80" t="n"/>
      <c r="F2875" s="80" t="n"/>
      <c r="G2875" s="80" t="n"/>
      <c r="H2875" s="80" t="n"/>
      <c r="I2875" s="80" t="n"/>
      <c r="J2875" s="80" t="n"/>
      <c r="K2875" s="80" t="n"/>
      <c r="L2875" s="80" t="n"/>
      <c r="M2875" s="80" t="n"/>
      <c r="N2875" s="80" t="n"/>
      <c r="O2875" s="80" t="n"/>
      <c r="P2875" s="80" t="n"/>
      <c r="Q2875" s="80" t="n"/>
      <c r="R2875" s="80" t="n"/>
      <c r="S2875" s="80" t="n"/>
      <c r="T2875" s="80" t="n"/>
      <c r="U2875" s="80" t="n"/>
      <c r="V2875" s="80" t="n"/>
      <c r="W2875" s="80" t="n"/>
      <c r="X2875" s="80" t="n"/>
      <c r="Y2875" s="80" t="n"/>
      <c r="Z2875" s="80" t="n"/>
      <c r="AA2875" s="80" t="n"/>
      <c r="AB2875" s="80" t="n"/>
      <c r="AC2875" s="80" t="n"/>
      <c r="AD2875" s="80" t="n"/>
      <c r="AE2875" s="80" t="n"/>
      <c r="AF2875" s="80" t="n"/>
      <c r="AG2875" s="80" t="n"/>
      <c r="AH2875" s="80" t="n"/>
      <c r="AI2875" s="80" t="n"/>
      <c r="AJ2875" s="80" t="n"/>
      <c r="AK2875" s="80" t="n"/>
      <c r="AL2875" s="80" t="n"/>
      <c r="AM2875" s="80" t="n"/>
      <c r="AN2875" s="80" t="n"/>
      <c r="AO2875" s="80" t="n"/>
      <c r="AP2875" s="80" t="n"/>
      <c r="AQ2875" s="80" t="n"/>
      <c r="AR2875" s="80" t="n"/>
    </row>
    <row r="2876">
      <c r="A2876" s="2">
        <f>IF($A2869="","","   projections")</f>
        <v/>
      </c>
      <c r="B2876" s="41">
        <f>IF($A2869="",0,COUNT($E2877:$AR2877))</f>
        <v/>
      </c>
      <c r="C2876" s="81">
        <f>IF($B2876=0,0,MAX($E2877:$AR2877))</f>
        <v/>
      </c>
      <c r="D2876" s="82">
        <f>BDS($A2869,'Field Check'!$C$6,"headers=y","startcol=1","endcol=7","dir=h")</f>
        <v/>
      </c>
      <c r="E2876" s="83" t="n"/>
      <c r="F2876" s="83" t="n"/>
      <c r="G2876" s="83" t="n"/>
      <c r="H2876" s="83" t="n"/>
      <c r="I2876" s="83" t="n"/>
      <c r="J2876" s="83" t="n"/>
      <c r="K2876" s="83" t="n"/>
      <c r="L2876" s="83" t="n"/>
      <c r="M2876" s="83" t="n"/>
      <c r="N2876" s="83" t="n"/>
      <c r="O2876" s="83" t="n"/>
      <c r="P2876" s="83" t="n"/>
      <c r="Q2876" s="83" t="n"/>
      <c r="R2876" s="83" t="n"/>
      <c r="S2876" s="83" t="n"/>
      <c r="T2876" s="83" t="n"/>
      <c r="U2876" s="83" t="n"/>
      <c r="V2876" s="83" t="n"/>
      <c r="W2876" s="83" t="n"/>
      <c r="X2876" s="83" t="n"/>
      <c r="Y2876" s="83" t="n"/>
      <c r="Z2876" s="83" t="n"/>
      <c r="AA2876" s="83" t="n"/>
      <c r="AB2876" s="83" t="n"/>
      <c r="AC2876" s="83" t="n"/>
      <c r="AD2876" s="83" t="n"/>
      <c r="AE2876" s="83" t="n"/>
      <c r="AF2876" s="83" t="n"/>
      <c r="AG2876" s="83" t="n"/>
      <c r="AH2876" s="83" t="n"/>
      <c r="AI2876" s="83" t="n"/>
      <c r="AJ2876" s="83" t="n"/>
      <c r="AK2876" s="83" t="n"/>
      <c r="AL2876" s="83" t="n"/>
      <c r="AM2876" s="83" t="n"/>
      <c r="AN2876" s="83" t="n"/>
      <c r="AO2876" s="83" t="n"/>
      <c r="AP2876" s="83" t="n"/>
      <c r="AQ2876" s="83" t="n"/>
      <c r="AR2876" s="83" t="n"/>
    </row>
    <row r="2877">
      <c r="D2877" s="83" t="n"/>
      <c r="E2877" s="83" t="n"/>
      <c r="F2877" s="83" t="n"/>
      <c r="G2877" s="83" t="n"/>
      <c r="H2877" s="83" t="n"/>
      <c r="I2877" s="83" t="n"/>
      <c r="J2877" s="83" t="n"/>
      <c r="K2877" s="83" t="n"/>
      <c r="L2877" s="83" t="n"/>
      <c r="M2877" s="83" t="n"/>
      <c r="N2877" s="83" t="n"/>
      <c r="O2877" s="83" t="n"/>
      <c r="P2877" s="83" t="n"/>
      <c r="Q2877" s="83" t="n"/>
      <c r="R2877" s="83" t="n"/>
      <c r="S2877" s="83" t="n"/>
      <c r="T2877" s="83" t="n"/>
      <c r="U2877" s="83" t="n"/>
      <c r="V2877" s="83" t="n"/>
      <c r="W2877" s="83" t="n"/>
      <c r="X2877" s="83" t="n"/>
      <c r="Y2877" s="83" t="n"/>
      <c r="Z2877" s="83" t="n"/>
      <c r="AA2877" s="83" t="n"/>
      <c r="AB2877" s="83" t="n"/>
      <c r="AC2877" s="83" t="n"/>
      <c r="AD2877" s="83" t="n"/>
      <c r="AE2877" s="83" t="n"/>
      <c r="AF2877" s="83" t="n"/>
      <c r="AG2877" s="83" t="n"/>
      <c r="AH2877" s="83" t="n"/>
      <c r="AI2877" s="83" t="n"/>
      <c r="AJ2877" s="83" t="n"/>
      <c r="AK2877" s="83" t="n"/>
      <c r="AL2877" s="83" t="n"/>
      <c r="AM2877" s="83" t="n"/>
      <c r="AN2877" s="83" t="n"/>
      <c r="AO2877" s="83" t="n"/>
      <c r="AP2877" s="83" t="n"/>
      <c r="AQ2877" s="83" t="n"/>
      <c r="AR2877" s="83" t="n"/>
    </row>
    <row r="2878">
      <c r="D2878" s="84" t="n"/>
      <c r="E2878" s="84" t="n"/>
      <c r="F2878" s="84" t="n"/>
      <c r="G2878" s="84" t="n"/>
      <c r="H2878" s="84" t="n"/>
      <c r="I2878" s="84" t="n"/>
      <c r="J2878" s="84" t="n"/>
      <c r="K2878" s="84" t="n"/>
      <c r="L2878" s="84" t="n"/>
      <c r="M2878" s="84" t="n"/>
      <c r="N2878" s="84" t="n"/>
      <c r="O2878" s="84" t="n"/>
      <c r="P2878" s="84" t="n"/>
      <c r="Q2878" s="84" t="n"/>
      <c r="R2878" s="84" t="n"/>
      <c r="S2878" s="84" t="n"/>
      <c r="T2878" s="84" t="n"/>
      <c r="U2878" s="84" t="n"/>
      <c r="V2878" s="84" t="n"/>
      <c r="W2878" s="84" t="n"/>
      <c r="X2878" s="84" t="n"/>
      <c r="Y2878" s="84" t="n"/>
      <c r="Z2878" s="84" t="n"/>
      <c r="AA2878" s="84" t="n"/>
      <c r="AB2878" s="84" t="n"/>
      <c r="AC2878" s="84" t="n"/>
      <c r="AD2878" s="84" t="n"/>
      <c r="AE2878" s="84" t="n"/>
      <c r="AF2878" s="84" t="n"/>
      <c r="AG2878" s="84" t="n"/>
      <c r="AH2878" s="84" t="n"/>
      <c r="AI2878" s="84" t="n"/>
      <c r="AJ2878" s="84" t="n"/>
      <c r="AK2878" s="84" t="n"/>
      <c r="AL2878" s="84" t="n"/>
      <c r="AM2878" s="84" t="n"/>
      <c r="AN2878" s="84" t="n"/>
      <c r="AO2878" s="84" t="n"/>
      <c r="AP2878" s="84" t="n"/>
      <c r="AQ2878" s="84" t="n"/>
      <c r="AR2878" s="84" t="n"/>
    </row>
    <row r="2879">
      <c r="D2879" s="80" t="n"/>
      <c r="E2879" s="80" t="n"/>
      <c r="F2879" s="80" t="n"/>
      <c r="G2879" s="80" t="n"/>
      <c r="H2879" s="80" t="n"/>
      <c r="I2879" s="80" t="n"/>
      <c r="J2879" s="80" t="n"/>
      <c r="K2879" s="80" t="n"/>
      <c r="L2879" s="80" t="n"/>
      <c r="M2879" s="80" t="n"/>
      <c r="N2879" s="80" t="n"/>
      <c r="O2879" s="80" t="n"/>
      <c r="P2879" s="80" t="n"/>
      <c r="Q2879" s="80" t="n"/>
      <c r="R2879" s="80" t="n"/>
      <c r="S2879" s="80" t="n"/>
      <c r="T2879" s="80" t="n"/>
      <c r="U2879" s="80" t="n"/>
      <c r="V2879" s="80" t="n"/>
      <c r="W2879" s="80" t="n"/>
      <c r="X2879" s="80" t="n"/>
      <c r="Y2879" s="80" t="n"/>
      <c r="Z2879" s="80" t="n"/>
      <c r="AA2879" s="80" t="n"/>
      <c r="AB2879" s="80" t="n"/>
      <c r="AC2879" s="80" t="n"/>
      <c r="AD2879" s="80" t="n"/>
      <c r="AE2879" s="80" t="n"/>
      <c r="AF2879" s="80" t="n"/>
      <c r="AG2879" s="80" t="n"/>
      <c r="AH2879" s="80" t="n"/>
      <c r="AI2879" s="80" t="n"/>
      <c r="AJ2879" s="80" t="n"/>
      <c r="AK2879" s="80" t="n"/>
      <c r="AL2879" s="80" t="n"/>
      <c r="AM2879" s="80" t="n"/>
      <c r="AN2879" s="80" t="n"/>
      <c r="AO2879" s="80" t="n"/>
      <c r="AP2879" s="80" t="n"/>
      <c r="AQ2879" s="80" t="n"/>
      <c r="AR2879" s="80" t="n"/>
    </row>
    <row r="2880">
      <c r="D2880" s="80" t="n"/>
      <c r="E2880" s="80" t="n"/>
      <c r="F2880" s="80" t="n"/>
      <c r="G2880" s="80" t="n"/>
      <c r="H2880" s="80" t="n"/>
      <c r="I2880" s="80" t="n"/>
      <c r="J2880" s="80" t="n"/>
      <c r="K2880" s="80" t="n"/>
      <c r="L2880" s="80" t="n"/>
      <c r="M2880" s="80" t="n"/>
      <c r="N2880" s="80" t="n"/>
      <c r="O2880" s="80" t="n"/>
      <c r="P2880" s="80" t="n"/>
      <c r="Q2880" s="80" t="n"/>
      <c r="R2880" s="80" t="n"/>
      <c r="S2880" s="80" t="n"/>
      <c r="T2880" s="80" t="n"/>
      <c r="U2880" s="80" t="n"/>
      <c r="V2880" s="80" t="n"/>
      <c r="W2880" s="80" t="n"/>
      <c r="X2880" s="80" t="n"/>
      <c r="Y2880" s="80" t="n"/>
      <c r="Z2880" s="80" t="n"/>
      <c r="AA2880" s="80" t="n"/>
      <c r="AB2880" s="80" t="n"/>
      <c r="AC2880" s="80" t="n"/>
      <c r="AD2880" s="80" t="n"/>
      <c r="AE2880" s="80" t="n"/>
      <c r="AF2880" s="80" t="n"/>
      <c r="AG2880" s="80" t="n"/>
      <c r="AH2880" s="80" t="n"/>
      <c r="AI2880" s="80" t="n"/>
      <c r="AJ2880" s="80" t="n"/>
      <c r="AK2880" s="80" t="n"/>
      <c r="AL2880" s="80" t="n"/>
      <c r="AM2880" s="80" t="n"/>
      <c r="AN2880" s="80" t="n"/>
      <c r="AO2880" s="80" t="n"/>
      <c r="AP2880" s="80" t="n"/>
      <c r="AQ2880" s="80" t="n"/>
      <c r="AR2880" s="80" t="n"/>
    </row>
    <row r="2881">
      <c r="D2881" s="80" t="n"/>
      <c r="E2881" s="80" t="n"/>
      <c r="F2881" s="80" t="n"/>
      <c r="G2881" s="80" t="n"/>
      <c r="H2881" s="80" t="n"/>
      <c r="I2881" s="80" t="n"/>
      <c r="J2881" s="80" t="n"/>
      <c r="K2881" s="80" t="n"/>
      <c r="L2881" s="80" t="n"/>
      <c r="M2881" s="80" t="n"/>
      <c r="N2881" s="80" t="n"/>
      <c r="O2881" s="80" t="n"/>
      <c r="P2881" s="80" t="n"/>
      <c r="Q2881" s="80" t="n"/>
      <c r="R2881" s="80" t="n"/>
      <c r="S2881" s="80" t="n"/>
      <c r="T2881" s="80" t="n"/>
      <c r="U2881" s="80" t="n"/>
      <c r="V2881" s="80" t="n"/>
      <c r="W2881" s="80" t="n"/>
      <c r="X2881" s="80" t="n"/>
      <c r="Y2881" s="80" t="n"/>
      <c r="Z2881" s="80" t="n"/>
      <c r="AA2881" s="80" t="n"/>
      <c r="AB2881" s="80" t="n"/>
      <c r="AC2881" s="80" t="n"/>
      <c r="AD2881" s="80" t="n"/>
      <c r="AE2881" s="80" t="n"/>
      <c r="AF2881" s="80" t="n"/>
      <c r="AG2881" s="80" t="n"/>
      <c r="AH2881" s="80" t="n"/>
      <c r="AI2881" s="80" t="n"/>
      <c r="AJ2881" s="80" t="n"/>
      <c r="AK2881" s="80" t="n"/>
      <c r="AL2881" s="80" t="n"/>
      <c r="AM2881" s="80" t="n"/>
      <c r="AN2881" s="80" t="n"/>
      <c r="AO2881" s="80" t="n"/>
      <c r="AP2881" s="80" t="n"/>
      <c r="AQ2881" s="80" t="n"/>
      <c r="AR2881" s="80" t="n"/>
    </row>
    <row r="2882">
      <c r="D2882" s="80" t="n"/>
      <c r="E2882" s="80" t="n"/>
      <c r="F2882" s="80" t="n"/>
      <c r="G2882" s="80" t="n"/>
      <c r="H2882" s="80" t="n"/>
      <c r="I2882" s="80" t="n"/>
      <c r="J2882" s="80" t="n"/>
      <c r="K2882" s="80" t="n"/>
      <c r="L2882" s="80" t="n"/>
      <c r="M2882" s="80" t="n"/>
      <c r="N2882" s="80" t="n"/>
      <c r="O2882" s="80" t="n"/>
      <c r="P2882" s="80" t="n"/>
      <c r="Q2882" s="80" t="n"/>
      <c r="R2882" s="80" t="n"/>
      <c r="S2882" s="80" t="n"/>
      <c r="T2882" s="80" t="n"/>
      <c r="U2882" s="80" t="n"/>
      <c r="V2882" s="80" t="n"/>
      <c r="W2882" s="80" t="n"/>
      <c r="X2882" s="80" t="n"/>
      <c r="Y2882" s="80" t="n"/>
      <c r="Z2882" s="80" t="n"/>
      <c r="AA2882" s="80" t="n"/>
      <c r="AB2882" s="80" t="n"/>
      <c r="AC2882" s="80" t="n"/>
      <c r="AD2882" s="80" t="n"/>
      <c r="AE2882" s="80" t="n"/>
      <c r="AF2882" s="80" t="n"/>
      <c r="AG2882" s="80" t="n"/>
      <c r="AH2882" s="80" t="n"/>
      <c r="AI2882" s="80" t="n"/>
      <c r="AJ2882" s="80" t="n"/>
      <c r="AK2882" s="80" t="n"/>
      <c r="AL2882" s="80" t="n"/>
      <c r="AM2882" s="80" t="n"/>
      <c r="AN2882" s="80" t="n"/>
      <c r="AO2882" s="80" t="n"/>
      <c r="AP2882" s="80" t="n"/>
      <c r="AQ2882" s="80" t="n"/>
      <c r="AR2882" s="80" t="n"/>
    </row>
    <row r="2884">
      <c r="A2884" s="6">
        <f>IF(HSCEI!$C$58="","",HSCEI!$C$58)</f>
        <v/>
      </c>
      <c r="B2884" s="41">
        <f>IF($A2884="",0,COUNT($E2885:$AR2885))</f>
        <v/>
      </c>
      <c r="C2884" s="81">
        <f>IF($B2884=0,0,MAX($E2885:$AR2885))</f>
        <v/>
      </c>
      <c r="D2884" s="82">
        <f>BDS($A2884,'Field Check'!$C$7,"headers=y","startcol=1","endcol=7","dir=h","DVD_START_DT",Summary!$C$18,"DVD_END_DT",Summary!$D$18)</f>
        <v/>
      </c>
      <c r="E2884" s="83" t="n"/>
      <c r="F2884" s="83" t="n"/>
      <c r="G2884" s="83" t="n"/>
      <c r="H2884" s="83" t="n"/>
      <c r="I2884" s="83" t="n"/>
      <c r="J2884" s="83" t="n"/>
      <c r="K2884" s="83" t="n"/>
      <c r="L2884" s="83" t="n"/>
      <c r="M2884" s="83" t="n"/>
      <c r="N2884" s="83" t="n"/>
      <c r="O2884" s="83" t="n"/>
      <c r="P2884" s="83" t="n"/>
      <c r="Q2884" s="83" t="n"/>
      <c r="R2884" s="83" t="n"/>
      <c r="S2884" s="83" t="n"/>
      <c r="T2884" s="83" t="n"/>
      <c r="U2884" s="83" t="n"/>
      <c r="V2884" s="83" t="n"/>
      <c r="W2884" s="83" t="n"/>
      <c r="X2884" s="83" t="n"/>
      <c r="Y2884" s="83" t="n"/>
      <c r="Z2884" s="83" t="n"/>
      <c r="AA2884" s="83" t="n"/>
      <c r="AB2884" s="83" t="n"/>
      <c r="AC2884" s="83" t="n"/>
      <c r="AD2884" s="83" t="n"/>
      <c r="AE2884" s="83" t="n"/>
      <c r="AF2884" s="83" t="n"/>
      <c r="AG2884" s="83" t="n"/>
      <c r="AH2884" s="83" t="n"/>
      <c r="AI2884" s="83" t="n"/>
      <c r="AJ2884" s="83" t="n"/>
      <c r="AK2884" s="83" t="n"/>
      <c r="AL2884" s="83" t="n"/>
      <c r="AM2884" s="83" t="n"/>
      <c r="AN2884" s="83" t="n"/>
      <c r="AO2884" s="83" t="n"/>
      <c r="AP2884" s="83" t="n"/>
      <c r="AQ2884" s="83" t="n"/>
      <c r="AR2884" s="83" t="n"/>
    </row>
    <row r="2885">
      <c r="D2885" s="83" t="n"/>
      <c r="E2885" s="83" t="n"/>
      <c r="F2885" s="83" t="n"/>
      <c r="G2885" s="83" t="n"/>
      <c r="H2885" s="83" t="n"/>
      <c r="I2885" s="83" t="n"/>
      <c r="J2885" s="83" t="n"/>
      <c r="K2885" s="83" t="n"/>
      <c r="L2885" s="83" t="n"/>
      <c r="M2885" s="83" t="n"/>
      <c r="N2885" s="83" t="n"/>
      <c r="O2885" s="83" t="n"/>
      <c r="P2885" s="83" t="n"/>
      <c r="Q2885" s="83" t="n"/>
      <c r="R2885" s="83" t="n"/>
      <c r="S2885" s="83" t="n"/>
      <c r="T2885" s="83" t="n"/>
      <c r="U2885" s="83" t="n"/>
      <c r="V2885" s="83" t="n"/>
      <c r="W2885" s="83" t="n"/>
      <c r="X2885" s="83" t="n"/>
      <c r="Y2885" s="83" t="n"/>
      <c r="Z2885" s="83" t="n"/>
      <c r="AA2885" s="83" t="n"/>
      <c r="AB2885" s="83" t="n"/>
      <c r="AC2885" s="83" t="n"/>
      <c r="AD2885" s="83" t="n"/>
      <c r="AE2885" s="83" t="n"/>
      <c r="AF2885" s="83" t="n"/>
      <c r="AG2885" s="83" t="n"/>
      <c r="AH2885" s="83" t="n"/>
      <c r="AI2885" s="83" t="n"/>
      <c r="AJ2885" s="83" t="n"/>
      <c r="AK2885" s="83" t="n"/>
      <c r="AL2885" s="83" t="n"/>
      <c r="AM2885" s="83" t="n"/>
      <c r="AN2885" s="83" t="n"/>
      <c r="AO2885" s="83" t="n"/>
      <c r="AP2885" s="83" t="n"/>
      <c r="AQ2885" s="83" t="n"/>
      <c r="AR2885" s="83" t="n"/>
    </row>
    <row r="2886">
      <c r="D2886" s="84" t="n"/>
      <c r="E2886" s="84" t="n"/>
      <c r="F2886" s="84" t="n"/>
      <c r="G2886" s="84" t="n"/>
      <c r="H2886" s="84" t="n"/>
      <c r="I2886" s="84" t="n"/>
      <c r="J2886" s="84" t="n"/>
      <c r="K2886" s="84" t="n"/>
      <c r="L2886" s="84" t="n"/>
      <c r="M2886" s="84" t="n"/>
      <c r="N2886" s="84" t="n"/>
      <c r="O2886" s="84" t="n"/>
      <c r="P2886" s="84" t="n"/>
      <c r="Q2886" s="84" t="n"/>
      <c r="R2886" s="84" t="n"/>
      <c r="S2886" s="84" t="n"/>
      <c r="T2886" s="84" t="n"/>
      <c r="U2886" s="84" t="n"/>
      <c r="V2886" s="84" t="n"/>
      <c r="W2886" s="84" t="n"/>
      <c r="X2886" s="84" t="n"/>
      <c r="Y2886" s="84" t="n"/>
      <c r="Z2886" s="84" t="n"/>
      <c r="AA2886" s="84" t="n"/>
      <c r="AB2886" s="84" t="n"/>
      <c r="AC2886" s="84" t="n"/>
      <c r="AD2886" s="84" t="n"/>
      <c r="AE2886" s="84" t="n"/>
      <c r="AF2886" s="84" t="n"/>
      <c r="AG2886" s="84" t="n"/>
      <c r="AH2886" s="84" t="n"/>
      <c r="AI2886" s="84" t="n"/>
      <c r="AJ2886" s="84" t="n"/>
      <c r="AK2886" s="84" t="n"/>
      <c r="AL2886" s="84" t="n"/>
      <c r="AM2886" s="84" t="n"/>
      <c r="AN2886" s="84" t="n"/>
      <c r="AO2886" s="84" t="n"/>
      <c r="AP2886" s="84" t="n"/>
      <c r="AQ2886" s="84" t="n"/>
      <c r="AR2886" s="84" t="n"/>
    </row>
    <row r="2887">
      <c r="D2887" s="80" t="n"/>
      <c r="E2887" s="80" t="n"/>
      <c r="F2887" s="80" t="n"/>
      <c r="G2887" s="80" t="n"/>
      <c r="H2887" s="80" t="n"/>
      <c r="I2887" s="80" t="n"/>
      <c r="J2887" s="80" t="n"/>
      <c r="K2887" s="80" t="n"/>
      <c r="L2887" s="80" t="n"/>
      <c r="M2887" s="80" t="n"/>
      <c r="N2887" s="80" t="n"/>
      <c r="O2887" s="80" t="n"/>
      <c r="P2887" s="80" t="n"/>
      <c r="Q2887" s="80" t="n"/>
      <c r="R2887" s="80" t="n"/>
      <c r="S2887" s="80" t="n"/>
      <c r="T2887" s="80" t="n"/>
      <c r="U2887" s="80" t="n"/>
      <c r="V2887" s="80" t="n"/>
      <c r="W2887" s="80" t="n"/>
      <c r="X2887" s="80" t="n"/>
      <c r="Y2887" s="80" t="n"/>
      <c r="Z2887" s="80" t="n"/>
      <c r="AA2887" s="80" t="n"/>
      <c r="AB2887" s="80" t="n"/>
      <c r="AC2887" s="80" t="n"/>
      <c r="AD2887" s="80" t="n"/>
      <c r="AE2887" s="80" t="n"/>
      <c r="AF2887" s="80" t="n"/>
      <c r="AG2887" s="80" t="n"/>
      <c r="AH2887" s="80" t="n"/>
      <c r="AI2887" s="80" t="n"/>
      <c r="AJ2887" s="80" t="n"/>
      <c r="AK2887" s="80" t="n"/>
      <c r="AL2887" s="80" t="n"/>
      <c r="AM2887" s="80" t="n"/>
      <c r="AN2887" s="80" t="n"/>
      <c r="AO2887" s="80" t="n"/>
      <c r="AP2887" s="80" t="n"/>
      <c r="AQ2887" s="80" t="n"/>
      <c r="AR2887" s="80" t="n"/>
    </row>
    <row r="2888">
      <c r="D2888" s="80" t="n"/>
      <c r="E2888" s="80" t="n"/>
      <c r="F2888" s="80" t="n"/>
      <c r="G2888" s="80" t="n"/>
      <c r="H2888" s="80" t="n"/>
      <c r="I2888" s="80" t="n"/>
      <c r="J2888" s="80" t="n"/>
      <c r="K2888" s="80" t="n"/>
      <c r="L2888" s="80" t="n"/>
      <c r="M2888" s="80" t="n"/>
      <c r="N2888" s="80" t="n"/>
      <c r="O2888" s="80" t="n"/>
      <c r="P2888" s="80" t="n"/>
      <c r="Q2888" s="80" t="n"/>
      <c r="R2888" s="80" t="n"/>
      <c r="S2888" s="80" t="n"/>
      <c r="T2888" s="80" t="n"/>
      <c r="U2888" s="80" t="n"/>
      <c r="V2888" s="80" t="n"/>
      <c r="W2888" s="80" t="n"/>
      <c r="X2888" s="80" t="n"/>
      <c r="Y2888" s="80" t="n"/>
      <c r="Z2888" s="80" t="n"/>
      <c r="AA2888" s="80" t="n"/>
      <c r="AB2888" s="80" t="n"/>
      <c r="AC2888" s="80" t="n"/>
      <c r="AD2888" s="80" t="n"/>
      <c r="AE2888" s="80" t="n"/>
      <c r="AF2888" s="80" t="n"/>
      <c r="AG2888" s="80" t="n"/>
      <c r="AH2888" s="80" t="n"/>
      <c r="AI2888" s="80" t="n"/>
      <c r="AJ2888" s="80" t="n"/>
      <c r="AK2888" s="80" t="n"/>
      <c r="AL2888" s="80" t="n"/>
      <c r="AM2888" s="80" t="n"/>
      <c r="AN2888" s="80" t="n"/>
      <c r="AO2888" s="80" t="n"/>
      <c r="AP2888" s="80" t="n"/>
      <c r="AQ2888" s="80" t="n"/>
      <c r="AR2888" s="80" t="n"/>
    </row>
    <row r="2889">
      <c r="D2889" s="80" t="n"/>
      <c r="E2889" s="80" t="n"/>
      <c r="F2889" s="80" t="n"/>
      <c r="G2889" s="80" t="n"/>
      <c r="H2889" s="80" t="n"/>
      <c r="I2889" s="80" t="n"/>
      <c r="J2889" s="80" t="n"/>
      <c r="K2889" s="80" t="n"/>
      <c r="L2889" s="80" t="n"/>
      <c r="M2889" s="80" t="n"/>
      <c r="N2889" s="80" t="n"/>
      <c r="O2889" s="80" t="n"/>
      <c r="P2889" s="80" t="n"/>
      <c r="Q2889" s="80" t="n"/>
      <c r="R2889" s="80" t="n"/>
      <c r="S2889" s="80" t="n"/>
      <c r="T2889" s="80" t="n"/>
      <c r="U2889" s="80" t="n"/>
      <c r="V2889" s="80" t="n"/>
      <c r="W2889" s="80" t="n"/>
      <c r="X2889" s="80" t="n"/>
      <c r="Y2889" s="80" t="n"/>
      <c r="Z2889" s="80" t="n"/>
      <c r="AA2889" s="80" t="n"/>
      <c r="AB2889" s="80" t="n"/>
      <c r="AC2889" s="80" t="n"/>
      <c r="AD2889" s="80" t="n"/>
      <c r="AE2889" s="80" t="n"/>
      <c r="AF2889" s="80" t="n"/>
      <c r="AG2889" s="80" t="n"/>
      <c r="AH2889" s="80" t="n"/>
      <c r="AI2889" s="80" t="n"/>
      <c r="AJ2889" s="80" t="n"/>
      <c r="AK2889" s="80" t="n"/>
      <c r="AL2889" s="80" t="n"/>
      <c r="AM2889" s="80" t="n"/>
      <c r="AN2889" s="80" t="n"/>
      <c r="AO2889" s="80" t="n"/>
      <c r="AP2889" s="80" t="n"/>
      <c r="AQ2889" s="80" t="n"/>
      <c r="AR2889" s="80" t="n"/>
    </row>
    <row r="2890">
      <c r="D2890" s="80" t="n"/>
      <c r="E2890" s="80" t="n"/>
      <c r="F2890" s="80" t="n"/>
      <c r="G2890" s="80" t="n"/>
      <c r="H2890" s="80" t="n"/>
      <c r="I2890" s="80" t="n"/>
      <c r="J2890" s="80" t="n"/>
      <c r="K2890" s="80" t="n"/>
      <c r="L2890" s="80" t="n"/>
      <c r="M2890" s="80" t="n"/>
      <c r="N2890" s="80" t="n"/>
      <c r="O2890" s="80" t="n"/>
      <c r="P2890" s="80" t="n"/>
      <c r="Q2890" s="80" t="n"/>
      <c r="R2890" s="80" t="n"/>
      <c r="S2890" s="80" t="n"/>
      <c r="T2890" s="80" t="n"/>
      <c r="U2890" s="80" t="n"/>
      <c r="V2890" s="80" t="n"/>
      <c r="W2890" s="80" t="n"/>
      <c r="X2890" s="80" t="n"/>
      <c r="Y2890" s="80" t="n"/>
      <c r="Z2890" s="80" t="n"/>
      <c r="AA2890" s="80" t="n"/>
      <c r="AB2890" s="80" t="n"/>
      <c r="AC2890" s="80" t="n"/>
      <c r="AD2890" s="80" t="n"/>
      <c r="AE2890" s="80" t="n"/>
      <c r="AF2890" s="80" t="n"/>
      <c r="AG2890" s="80" t="n"/>
      <c r="AH2890" s="80" t="n"/>
      <c r="AI2890" s="80" t="n"/>
      <c r="AJ2890" s="80" t="n"/>
      <c r="AK2890" s="80" t="n"/>
      <c r="AL2890" s="80" t="n"/>
      <c r="AM2890" s="80" t="n"/>
      <c r="AN2890" s="80" t="n"/>
      <c r="AO2890" s="80" t="n"/>
      <c r="AP2890" s="80" t="n"/>
      <c r="AQ2890" s="80" t="n"/>
      <c r="AR2890" s="80" t="n"/>
    </row>
    <row r="2891">
      <c r="A2891" s="2">
        <f>IF($A2884="","","   projections")</f>
        <v/>
      </c>
      <c r="B2891" s="41">
        <f>IF($A2884="",0,COUNT($E2892:$AR2892))</f>
        <v/>
      </c>
      <c r="C2891" s="81">
        <f>IF($B2891=0,0,MAX($E2892:$AR2892))</f>
        <v/>
      </c>
      <c r="D2891" s="82">
        <f>BDS($A2884,'Field Check'!$C$6,"headers=y","startcol=1","endcol=7","dir=h")</f>
        <v/>
      </c>
      <c r="E2891" s="83" t="n"/>
      <c r="F2891" s="83" t="n"/>
      <c r="G2891" s="83" t="n"/>
      <c r="H2891" s="83" t="n"/>
      <c r="I2891" s="83" t="n"/>
      <c r="J2891" s="83" t="n"/>
      <c r="K2891" s="83" t="n"/>
      <c r="L2891" s="83" t="n"/>
      <c r="M2891" s="83" t="n"/>
      <c r="N2891" s="83" t="n"/>
      <c r="O2891" s="83" t="n"/>
      <c r="P2891" s="83" t="n"/>
      <c r="Q2891" s="83" t="n"/>
      <c r="R2891" s="83" t="n"/>
      <c r="S2891" s="83" t="n"/>
      <c r="T2891" s="83" t="n"/>
      <c r="U2891" s="83" t="n"/>
      <c r="V2891" s="83" t="n"/>
      <c r="W2891" s="83" t="n"/>
      <c r="X2891" s="83" t="n"/>
      <c r="Y2891" s="83" t="n"/>
      <c r="Z2891" s="83" t="n"/>
      <c r="AA2891" s="83" t="n"/>
      <c r="AB2891" s="83" t="n"/>
      <c r="AC2891" s="83" t="n"/>
      <c r="AD2891" s="83" t="n"/>
      <c r="AE2891" s="83" t="n"/>
      <c r="AF2891" s="83" t="n"/>
      <c r="AG2891" s="83" t="n"/>
      <c r="AH2891" s="83" t="n"/>
      <c r="AI2891" s="83" t="n"/>
      <c r="AJ2891" s="83" t="n"/>
      <c r="AK2891" s="83" t="n"/>
      <c r="AL2891" s="83" t="n"/>
      <c r="AM2891" s="83" t="n"/>
      <c r="AN2891" s="83" t="n"/>
      <c r="AO2891" s="83" t="n"/>
      <c r="AP2891" s="83" t="n"/>
      <c r="AQ2891" s="83" t="n"/>
      <c r="AR2891" s="83" t="n"/>
    </row>
    <row r="2892">
      <c r="D2892" s="83" t="n"/>
      <c r="E2892" s="83" t="n"/>
      <c r="F2892" s="83" t="n"/>
      <c r="G2892" s="83" t="n"/>
      <c r="H2892" s="83" t="n"/>
      <c r="I2892" s="83" t="n"/>
      <c r="J2892" s="83" t="n"/>
      <c r="K2892" s="83" t="n"/>
      <c r="L2892" s="83" t="n"/>
      <c r="M2892" s="83" t="n"/>
      <c r="N2892" s="83" t="n"/>
      <c r="O2892" s="83" t="n"/>
      <c r="P2892" s="83" t="n"/>
      <c r="Q2892" s="83" t="n"/>
      <c r="R2892" s="83" t="n"/>
      <c r="S2892" s="83" t="n"/>
      <c r="T2892" s="83" t="n"/>
      <c r="U2892" s="83" t="n"/>
      <c r="V2892" s="83" t="n"/>
      <c r="W2892" s="83" t="n"/>
      <c r="X2892" s="83" t="n"/>
      <c r="Y2892" s="83" t="n"/>
      <c r="Z2892" s="83" t="n"/>
      <c r="AA2892" s="83" t="n"/>
      <c r="AB2892" s="83" t="n"/>
      <c r="AC2892" s="83" t="n"/>
      <c r="AD2892" s="83" t="n"/>
      <c r="AE2892" s="83" t="n"/>
      <c r="AF2892" s="83" t="n"/>
      <c r="AG2892" s="83" t="n"/>
      <c r="AH2892" s="83" t="n"/>
      <c r="AI2892" s="83" t="n"/>
      <c r="AJ2892" s="83" t="n"/>
      <c r="AK2892" s="83" t="n"/>
      <c r="AL2892" s="83" t="n"/>
      <c r="AM2892" s="83" t="n"/>
      <c r="AN2892" s="83" t="n"/>
      <c r="AO2892" s="83" t="n"/>
      <c r="AP2892" s="83" t="n"/>
      <c r="AQ2892" s="83" t="n"/>
      <c r="AR2892" s="83" t="n"/>
    </row>
    <row r="2893">
      <c r="D2893" s="84" t="n"/>
      <c r="E2893" s="84" t="n"/>
      <c r="F2893" s="84" t="n"/>
      <c r="G2893" s="84" t="n"/>
      <c r="H2893" s="84" t="n"/>
      <c r="I2893" s="84" t="n"/>
      <c r="J2893" s="84" t="n"/>
      <c r="K2893" s="84" t="n"/>
      <c r="L2893" s="84" t="n"/>
      <c r="M2893" s="84" t="n"/>
      <c r="N2893" s="84" t="n"/>
      <c r="O2893" s="84" t="n"/>
      <c r="P2893" s="84" t="n"/>
      <c r="Q2893" s="84" t="n"/>
      <c r="R2893" s="84" t="n"/>
      <c r="S2893" s="84" t="n"/>
      <c r="T2893" s="84" t="n"/>
      <c r="U2893" s="84" t="n"/>
      <c r="V2893" s="84" t="n"/>
      <c r="W2893" s="84" t="n"/>
      <c r="X2893" s="84" t="n"/>
      <c r="Y2893" s="84" t="n"/>
      <c r="Z2893" s="84" t="n"/>
      <c r="AA2893" s="84" t="n"/>
      <c r="AB2893" s="84" t="n"/>
      <c r="AC2893" s="84" t="n"/>
      <c r="AD2893" s="84" t="n"/>
      <c r="AE2893" s="84" t="n"/>
      <c r="AF2893" s="84" t="n"/>
      <c r="AG2893" s="84" t="n"/>
      <c r="AH2893" s="84" t="n"/>
      <c r="AI2893" s="84" t="n"/>
      <c r="AJ2893" s="84" t="n"/>
      <c r="AK2893" s="84" t="n"/>
      <c r="AL2893" s="84" t="n"/>
      <c r="AM2893" s="84" t="n"/>
      <c r="AN2893" s="84" t="n"/>
      <c r="AO2893" s="84" t="n"/>
      <c r="AP2893" s="84" t="n"/>
      <c r="AQ2893" s="84" t="n"/>
      <c r="AR2893" s="84" t="n"/>
    </row>
    <row r="2894">
      <c r="D2894" s="80" t="n"/>
      <c r="E2894" s="80" t="n"/>
      <c r="F2894" s="80" t="n"/>
      <c r="G2894" s="80" t="n"/>
      <c r="H2894" s="80" t="n"/>
      <c r="I2894" s="80" t="n"/>
      <c r="J2894" s="80" t="n"/>
      <c r="K2894" s="80" t="n"/>
      <c r="L2894" s="80" t="n"/>
      <c r="M2894" s="80" t="n"/>
      <c r="N2894" s="80" t="n"/>
      <c r="O2894" s="80" t="n"/>
      <c r="P2894" s="80" t="n"/>
      <c r="Q2894" s="80" t="n"/>
      <c r="R2894" s="80" t="n"/>
      <c r="S2894" s="80" t="n"/>
      <c r="T2894" s="80" t="n"/>
      <c r="U2894" s="80" t="n"/>
      <c r="V2894" s="80" t="n"/>
      <c r="W2894" s="80" t="n"/>
      <c r="X2894" s="80" t="n"/>
      <c r="Y2894" s="80" t="n"/>
      <c r="Z2894" s="80" t="n"/>
      <c r="AA2894" s="80" t="n"/>
      <c r="AB2894" s="80" t="n"/>
      <c r="AC2894" s="80" t="n"/>
      <c r="AD2894" s="80" t="n"/>
      <c r="AE2894" s="80" t="n"/>
      <c r="AF2894" s="80" t="n"/>
      <c r="AG2894" s="80" t="n"/>
      <c r="AH2894" s="80" t="n"/>
      <c r="AI2894" s="80" t="n"/>
      <c r="AJ2894" s="80" t="n"/>
      <c r="AK2894" s="80" t="n"/>
      <c r="AL2894" s="80" t="n"/>
      <c r="AM2894" s="80" t="n"/>
      <c r="AN2894" s="80" t="n"/>
      <c r="AO2894" s="80" t="n"/>
      <c r="AP2894" s="80" t="n"/>
      <c r="AQ2894" s="80" t="n"/>
      <c r="AR2894" s="80" t="n"/>
    </row>
    <row r="2895">
      <c r="D2895" s="80" t="n"/>
      <c r="E2895" s="80" t="n"/>
      <c r="F2895" s="80" t="n"/>
      <c r="G2895" s="80" t="n"/>
      <c r="H2895" s="80" t="n"/>
      <c r="I2895" s="80" t="n"/>
      <c r="J2895" s="80" t="n"/>
      <c r="K2895" s="80" t="n"/>
      <c r="L2895" s="80" t="n"/>
      <c r="M2895" s="80" t="n"/>
      <c r="N2895" s="80" t="n"/>
      <c r="O2895" s="80" t="n"/>
      <c r="P2895" s="80" t="n"/>
      <c r="Q2895" s="80" t="n"/>
      <c r="R2895" s="80" t="n"/>
      <c r="S2895" s="80" t="n"/>
      <c r="T2895" s="80" t="n"/>
      <c r="U2895" s="80" t="n"/>
      <c r="V2895" s="80" t="n"/>
      <c r="W2895" s="80" t="n"/>
      <c r="X2895" s="80" t="n"/>
      <c r="Y2895" s="80" t="n"/>
      <c r="Z2895" s="80" t="n"/>
      <c r="AA2895" s="80" t="n"/>
      <c r="AB2895" s="80" t="n"/>
      <c r="AC2895" s="80" t="n"/>
      <c r="AD2895" s="80" t="n"/>
      <c r="AE2895" s="80" t="n"/>
      <c r="AF2895" s="80" t="n"/>
      <c r="AG2895" s="80" t="n"/>
      <c r="AH2895" s="80" t="n"/>
      <c r="AI2895" s="80" t="n"/>
      <c r="AJ2895" s="80" t="n"/>
      <c r="AK2895" s="80" t="n"/>
      <c r="AL2895" s="80" t="n"/>
      <c r="AM2895" s="80" t="n"/>
      <c r="AN2895" s="80" t="n"/>
      <c r="AO2895" s="80" t="n"/>
      <c r="AP2895" s="80" t="n"/>
      <c r="AQ2895" s="80" t="n"/>
      <c r="AR2895" s="80" t="n"/>
    </row>
    <row r="2896">
      <c r="D2896" s="80" t="n"/>
      <c r="E2896" s="80" t="n"/>
      <c r="F2896" s="80" t="n"/>
      <c r="G2896" s="80" t="n"/>
      <c r="H2896" s="80" t="n"/>
      <c r="I2896" s="80" t="n"/>
      <c r="J2896" s="80" t="n"/>
      <c r="K2896" s="80" t="n"/>
      <c r="L2896" s="80" t="n"/>
      <c r="M2896" s="80" t="n"/>
      <c r="N2896" s="80" t="n"/>
      <c r="O2896" s="80" t="n"/>
      <c r="P2896" s="80" t="n"/>
      <c r="Q2896" s="80" t="n"/>
      <c r="R2896" s="80" t="n"/>
      <c r="S2896" s="80" t="n"/>
      <c r="T2896" s="80" t="n"/>
      <c r="U2896" s="80" t="n"/>
      <c r="V2896" s="80" t="n"/>
      <c r="W2896" s="80" t="n"/>
      <c r="X2896" s="80" t="n"/>
      <c r="Y2896" s="80" t="n"/>
      <c r="Z2896" s="80" t="n"/>
      <c r="AA2896" s="80" t="n"/>
      <c r="AB2896" s="80" t="n"/>
      <c r="AC2896" s="80" t="n"/>
      <c r="AD2896" s="80" t="n"/>
      <c r="AE2896" s="80" t="n"/>
      <c r="AF2896" s="80" t="n"/>
      <c r="AG2896" s="80" t="n"/>
      <c r="AH2896" s="80" t="n"/>
      <c r="AI2896" s="80" t="n"/>
      <c r="AJ2896" s="80" t="n"/>
      <c r="AK2896" s="80" t="n"/>
      <c r="AL2896" s="80" t="n"/>
      <c r="AM2896" s="80" t="n"/>
      <c r="AN2896" s="80" t="n"/>
      <c r="AO2896" s="80" t="n"/>
      <c r="AP2896" s="80" t="n"/>
      <c r="AQ2896" s="80" t="n"/>
      <c r="AR2896" s="80" t="n"/>
    </row>
    <row r="2897">
      <c r="D2897" s="80" t="n"/>
      <c r="E2897" s="80" t="n"/>
      <c r="F2897" s="80" t="n"/>
      <c r="G2897" s="80" t="n"/>
      <c r="H2897" s="80" t="n"/>
      <c r="I2897" s="80" t="n"/>
      <c r="J2897" s="80" t="n"/>
      <c r="K2897" s="80" t="n"/>
      <c r="L2897" s="80" t="n"/>
      <c r="M2897" s="80" t="n"/>
      <c r="N2897" s="80" t="n"/>
      <c r="O2897" s="80" t="n"/>
      <c r="P2897" s="80" t="n"/>
      <c r="Q2897" s="80" t="n"/>
      <c r="R2897" s="80" t="n"/>
      <c r="S2897" s="80" t="n"/>
      <c r="T2897" s="80" t="n"/>
      <c r="U2897" s="80" t="n"/>
      <c r="V2897" s="80" t="n"/>
      <c r="W2897" s="80" t="n"/>
      <c r="X2897" s="80" t="n"/>
      <c r="Y2897" s="80" t="n"/>
      <c r="Z2897" s="80" t="n"/>
      <c r="AA2897" s="80" t="n"/>
      <c r="AB2897" s="80" t="n"/>
      <c r="AC2897" s="80" t="n"/>
      <c r="AD2897" s="80" t="n"/>
      <c r="AE2897" s="80" t="n"/>
      <c r="AF2897" s="80" t="n"/>
      <c r="AG2897" s="80" t="n"/>
      <c r="AH2897" s="80" t="n"/>
      <c r="AI2897" s="80" t="n"/>
      <c r="AJ2897" s="80" t="n"/>
      <c r="AK2897" s="80" t="n"/>
      <c r="AL2897" s="80" t="n"/>
      <c r="AM2897" s="80" t="n"/>
      <c r="AN2897" s="80" t="n"/>
      <c r="AO2897" s="80" t="n"/>
      <c r="AP2897" s="80" t="n"/>
      <c r="AQ2897" s="80" t="n"/>
      <c r="AR2897" s="80" t="n"/>
    </row>
    <row r="2899">
      <c r="A2899" s="6">
        <f>IF(HSCEI!$C$59="","",HSCEI!$C$59)</f>
        <v/>
      </c>
      <c r="B2899" s="41">
        <f>IF($A2899="",0,COUNT($E2900:$AR2900))</f>
        <v/>
      </c>
      <c r="C2899" s="81">
        <f>IF($B2899=0,0,MAX($E2900:$AR2900))</f>
        <v/>
      </c>
      <c r="D2899" s="82">
        <f>BDS($A2899,'Field Check'!$C$7,"headers=y","startcol=1","endcol=7","dir=h","DVD_START_DT",Summary!$C$18,"DVD_END_DT",Summary!$D$18)</f>
        <v/>
      </c>
      <c r="E2899" s="83" t="n"/>
      <c r="F2899" s="83" t="n"/>
      <c r="G2899" s="83" t="n"/>
      <c r="H2899" s="83" t="n"/>
      <c r="I2899" s="83" t="n"/>
      <c r="J2899" s="83" t="n"/>
      <c r="K2899" s="83" t="n"/>
      <c r="L2899" s="83" t="n"/>
      <c r="M2899" s="83" t="n"/>
      <c r="N2899" s="83" t="n"/>
      <c r="O2899" s="83" t="n"/>
      <c r="P2899" s="83" t="n"/>
      <c r="Q2899" s="83" t="n"/>
      <c r="R2899" s="83" t="n"/>
      <c r="S2899" s="83" t="n"/>
      <c r="T2899" s="83" t="n"/>
      <c r="U2899" s="83" t="n"/>
      <c r="V2899" s="83" t="n"/>
      <c r="W2899" s="83" t="n"/>
      <c r="X2899" s="83" t="n"/>
      <c r="Y2899" s="83" t="n"/>
      <c r="Z2899" s="83" t="n"/>
      <c r="AA2899" s="83" t="n"/>
      <c r="AB2899" s="83" t="n"/>
      <c r="AC2899" s="83" t="n"/>
      <c r="AD2899" s="83" t="n"/>
      <c r="AE2899" s="83" t="n"/>
      <c r="AF2899" s="83" t="n"/>
      <c r="AG2899" s="83" t="n"/>
      <c r="AH2899" s="83" t="n"/>
      <c r="AI2899" s="83" t="n"/>
      <c r="AJ2899" s="83" t="n"/>
      <c r="AK2899" s="83" t="n"/>
      <c r="AL2899" s="83" t="n"/>
      <c r="AM2899" s="83" t="n"/>
      <c r="AN2899" s="83" t="n"/>
      <c r="AO2899" s="83" t="n"/>
      <c r="AP2899" s="83" t="n"/>
      <c r="AQ2899" s="83" t="n"/>
      <c r="AR2899" s="83" t="n"/>
    </row>
    <row r="2900">
      <c r="D2900" s="83" t="n"/>
      <c r="E2900" s="83" t="n"/>
      <c r="F2900" s="83" t="n"/>
      <c r="G2900" s="83" t="n"/>
      <c r="H2900" s="83" t="n"/>
      <c r="I2900" s="83" t="n"/>
      <c r="J2900" s="83" t="n"/>
      <c r="K2900" s="83" t="n"/>
      <c r="L2900" s="83" t="n"/>
      <c r="M2900" s="83" t="n"/>
      <c r="N2900" s="83" t="n"/>
      <c r="O2900" s="83" t="n"/>
      <c r="P2900" s="83" t="n"/>
      <c r="Q2900" s="83" t="n"/>
      <c r="R2900" s="83" t="n"/>
      <c r="S2900" s="83" t="n"/>
      <c r="T2900" s="83" t="n"/>
      <c r="U2900" s="83" t="n"/>
      <c r="V2900" s="83" t="n"/>
      <c r="W2900" s="83" t="n"/>
      <c r="X2900" s="83" t="n"/>
      <c r="Y2900" s="83" t="n"/>
      <c r="Z2900" s="83" t="n"/>
      <c r="AA2900" s="83" t="n"/>
      <c r="AB2900" s="83" t="n"/>
      <c r="AC2900" s="83" t="n"/>
      <c r="AD2900" s="83" t="n"/>
      <c r="AE2900" s="83" t="n"/>
      <c r="AF2900" s="83" t="n"/>
      <c r="AG2900" s="83" t="n"/>
      <c r="AH2900" s="83" t="n"/>
      <c r="AI2900" s="83" t="n"/>
      <c r="AJ2900" s="83" t="n"/>
      <c r="AK2900" s="83" t="n"/>
      <c r="AL2900" s="83" t="n"/>
      <c r="AM2900" s="83" t="n"/>
      <c r="AN2900" s="83" t="n"/>
      <c r="AO2900" s="83" t="n"/>
      <c r="AP2900" s="83" t="n"/>
      <c r="AQ2900" s="83" t="n"/>
      <c r="AR2900" s="83" t="n"/>
    </row>
    <row r="2901">
      <c r="D2901" s="84" t="n"/>
      <c r="E2901" s="84" t="n"/>
      <c r="F2901" s="84" t="n"/>
      <c r="G2901" s="84" t="n"/>
      <c r="H2901" s="84" t="n"/>
      <c r="I2901" s="84" t="n"/>
      <c r="J2901" s="84" t="n"/>
      <c r="K2901" s="84" t="n"/>
      <c r="L2901" s="84" t="n"/>
      <c r="M2901" s="84" t="n"/>
      <c r="N2901" s="84" t="n"/>
      <c r="O2901" s="84" t="n"/>
      <c r="P2901" s="84" t="n"/>
      <c r="Q2901" s="84" t="n"/>
      <c r="R2901" s="84" t="n"/>
      <c r="S2901" s="84" t="n"/>
      <c r="T2901" s="84" t="n"/>
      <c r="U2901" s="84" t="n"/>
      <c r="V2901" s="84" t="n"/>
      <c r="W2901" s="84" t="n"/>
      <c r="X2901" s="84" t="n"/>
      <c r="Y2901" s="84" t="n"/>
      <c r="Z2901" s="84" t="n"/>
      <c r="AA2901" s="84" t="n"/>
      <c r="AB2901" s="84" t="n"/>
      <c r="AC2901" s="84" t="n"/>
      <c r="AD2901" s="84" t="n"/>
      <c r="AE2901" s="84" t="n"/>
      <c r="AF2901" s="84" t="n"/>
      <c r="AG2901" s="84" t="n"/>
      <c r="AH2901" s="84" t="n"/>
      <c r="AI2901" s="84" t="n"/>
      <c r="AJ2901" s="84" t="n"/>
      <c r="AK2901" s="84" t="n"/>
      <c r="AL2901" s="84" t="n"/>
      <c r="AM2901" s="84" t="n"/>
      <c r="AN2901" s="84" t="n"/>
      <c r="AO2901" s="84" t="n"/>
      <c r="AP2901" s="84" t="n"/>
      <c r="AQ2901" s="84" t="n"/>
      <c r="AR2901" s="84" t="n"/>
    </row>
    <row r="2902">
      <c r="D2902" s="80" t="n"/>
      <c r="E2902" s="80" t="n"/>
      <c r="F2902" s="80" t="n"/>
      <c r="G2902" s="80" t="n"/>
      <c r="H2902" s="80" t="n"/>
      <c r="I2902" s="80" t="n"/>
      <c r="J2902" s="80" t="n"/>
      <c r="K2902" s="80" t="n"/>
      <c r="L2902" s="80" t="n"/>
      <c r="M2902" s="80" t="n"/>
      <c r="N2902" s="80" t="n"/>
      <c r="O2902" s="80" t="n"/>
      <c r="P2902" s="80" t="n"/>
      <c r="Q2902" s="80" t="n"/>
      <c r="R2902" s="80" t="n"/>
      <c r="S2902" s="80" t="n"/>
      <c r="T2902" s="80" t="n"/>
      <c r="U2902" s="80" t="n"/>
      <c r="V2902" s="80" t="n"/>
      <c r="W2902" s="80" t="n"/>
      <c r="X2902" s="80" t="n"/>
      <c r="Y2902" s="80" t="n"/>
      <c r="Z2902" s="80" t="n"/>
      <c r="AA2902" s="80" t="n"/>
      <c r="AB2902" s="80" t="n"/>
      <c r="AC2902" s="80" t="n"/>
      <c r="AD2902" s="80" t="n"/>
      <c r="AE2902" s="80" t="n"/>
      <c r="AF2902" s="80" t="n"/>
      <c r="AG2902" s="80" t="n"/>
      <c r="AH2902" s="80" t="n"/>
      <c r="AI2902" s="80" t="n"/>
      <c r="AJ2902" s="80" t="n"/>
      <c r="AK2902" s="80" t="n"/>
      <c r="AL2902" s="80" t="n"/>
      <c r="AM2902" s="80" t="n"/>
      <c r="AN2902" s="80" t="n"/>
      <c r="AO2902" s="80" t="n"/>
      <c r="AP2902" s="80" t="n"/>
      <c r="AQ2902" s="80" t="n"/>
      <c r="AR2902" s="80" t="n"/>
    </row>
    <row r="2903">
      <c r="D2903" s="80" t="n"/>
      <c r="E2903" s="80" t="n"/>
      <c r="F2903" s="80" t="n"/>
      <c r="G2903" s="80" t="n"/>
      <c r="H2903" s="80" t="n"/>
      <c r="I2903" s="80" t="n"/>
      <c r="J2903" s="80" t="n"/>
      <c r="K2903" s="80" t="n"/>
      <c r="L2903" s="80" t="n"/>
      <c r="M2903" s="80" t="n"/>
      <c r="N2903" s="80" t="n"/>
      <c r="O2903" s="80" t="n"/>
      <c r="P2903" s="80" t="n"/>
      <c r="Q2903" s="80" t="n"/>
      <c r="R2903" s="80" t="n"/>
      <c r="S2903" s="80" t="n"/>
      <c r="T2903" s="80" t="n"/>
      <c r="U2903" s="80" t="n"/>
      <c r="V2903" s="80" t="n"/>
      <c r="W2903" s="80" t="n"/>
      <c r="X2903" s="80" t="n"/>
      <c r="Y2903" s="80" t="n"/>
      <c r="Z2903" s="80" t="n"/>
      <c r="AA2903" s="80" t="n"/>
      <c r="AB2903" s="80" t="n"/>
      <c r="AC2903" s="80" t="n"/>
      <c r="AD2903" s="80" t="n"/>
      <c r="AE2903" s="80" t="n"/>
      <c r="AF2903" s="80" t="n"/>
      <c r="AG2903" s="80" t="n"/>
      <c r="AH2903" s="80" t="n"/>
      <c r="AI2903" s="80" t="n"/>
      <c r="AJ2903" s="80" t="n"/>
      <c r="AK2903" s="80" t="n"/>
      <c r="AL2903" s="80" t="n"/>
      <c r="AM2903" s="80" t="n"/>
      <c r="AN2903" s="80" t="n"/>
      <c r="AO2903" s="80" t="n"/>
      <c r="AP2903" s="80" t="n"/>
      <c r="AQ2903" s="80" t="n"/>
      <c r="AR2903" s="80" t="n"/>
    </row>
    <row r="2904">
      <c r="D2904" s="80" t="n"/>
      <c r="E2904" s="80" t="n"/>
      <c r="F2904" s="80" t="n"/>
      <c r="G2904" s="80" t="n"/>
      <c r="H2904" s="80" t="n"/>
      <c r="I2904" s="80" t="n"/>
      <c r="J2904" s="80" t="n"/>
      <c r="K2904" s="80" t="n"/>
      <c r="L2904" s="80" t="n"/>
      <c r="M2904" s="80" t="n"/>
      <c r="N2904" s="80" t="n"/>
      <c r="O2904" s="80" t="n"/>
      <c r="P2904" s="80" t="n"/>
      <c r="Q2904" s="80" t="n"/>
      <c r="R2904" s="80" t="n"/>
      <c r="S2904" s="80" t="n"/>
      <c r="T2904" s="80" t="n"/>
      <c r="U2904" s="80" t="n"/>
      <c r="V2904" s="80" t="n"/>
      <c r="W2904" s="80" t="n"/>
      <c r="X2904" s="80" t="n"/>
      <c r="Y2904" s="80" t="n"/>
      <c r="Z2904" s="80" t="n"/>
      <c r="AA2904" s="80" t="n"/>
      <c r="AB2904" s="80" t="n"/>
      <c r="AC2904" s="80" t="n"/>
      <c r="AD2904" s="80" t="n"/>
      <c r="AE2904" s="80" t="n"/>
      <c r="AF2904" s="80" t="n"/>
      <c r="AG2904" s="80" t="n"/>
      <c r="AH2904" s="80" t="n"/>
      <c r="AI2904" s="80" t="n"/>
      <c r="AJ2904" s="80" t="n"/>
      <c r="AK2904" s="80" t="n"/>
      <c r="AL2904" s="80" t="n"/>
      <c r="AM2904" s="80" t="n"/>
      <c r="AN2904" s="80" t="n"/>
      <c r="AO2904" s="80" t="n"/>
      <c r="AP2904" s="80" t="n"/>
      <c r="AQ2904" s="80" t="n"/>
      <c r="AR2904" s="80" t="n"/>
    </row>
    <row r="2905">
      <c r="D2905" s="80" t="n"/>
      <c r="E2905" s="80" t="n"/>
      <c r="F2905" s="80" t="n"/>
      <c r="G2905" s="80" t="n"/>
      <c r="H2905" s="80" t="n"/>
      <c r="I2905" s="80" t="n"/>
      <c r="J2905" s="80" t="n"/>
      <c r="K2905" s="80" t="n"/>
      <c r="L2905" s="80" t="n"/>
      <c r="M2905" s="80" t="n"/>
      <c r="N2905" s="80" t="n"/>
      <c r="O2905" s="80" t="n"/>
      <c r="P2905" s="80" t="n"/>
      <c r="Q2905" s="80" t="n"/>
      <c r="R2905" s="80" t="n"/>
      <c r="S2905" s="80" t="n"/>
      <c r="T2905" s="80" t="n"/>
      <c r="U2905" s="80" t="n"/>
      <c r="V2905" s="80" t="n"/>
      <c r="W2905" s="80" t="n"/>
      <c r="X2905" s="80" t="n"/>
      <c r="Y2905" s="80" t="n"/>
      <c r="Z2905" s="80" t="n"/>
      <c r="AA2905" s="80" t="n"/>
      <c r="AB2905" s="80" t="n"/>
      <c r="AC2905" s="80" t="n"/>
      <c r="AD2905" s="80" t="n"/>
      <c r="AE2905" s="80" t="n"/>
      <c r="AF2905" s="80" t="n"/>
      <c r="AG2905" s="80" t="n"/>
      <c r="AH2905" s="80" t="n"/>
      <c r="AI2905" s="80" t="n"/>
      <c r="AJ2905" s="80" t="n"/>
      <c r="AK2905" s="80" t="n"/>
      <c r="AL2905" s="80" t="n"/>
      <c r="AM2905" s="80" t="n"/>
      <c r="AN2905" s="80" t="n"/>
      <c r="AO2905" s="80" t="n"/>
      <c r="AP2905" s="80" t="n"/>
      <c r="AQ2905" s="80" t="n"/>
      <c r="AR2905" s="80" t="n"/>
    </row>
    <row r="2906">
      <c r="A2906" s="2">
        <f>IF($A2899="","","   projections")</f>
        <v/>
      </c>
      <c r="B2906" s="41">
        <f>IF($A2899="",0,COUNT($E2907:$AR2907))</f>
        <v/>
      </c>
      <c r="C2906" s="81">
        <f>IF($B2906=0,0,MAX($E2907:$AR2907))</f>
        <v/>
      </c>
      <c r="D2906" s="82">
        <f>BDS($A2899,'Field Check'!$C$6,"headers=y","startcol=1","endcol=7","dir=h")</f>
        <v/>
      </c>
      <c r="E2906" s="83" t="n"/>
      <c r="F2906" s="83" t="n"/>
      <c r="G2906" s="83" t="n"/>
      <c r="H2906" s="83" t="n"/>
      <c r="I2906" s="83" t="n"/>
      <c r="J2906" s="83" t="n"/>
      <c r="K2906" s="83" t="n"/>
      <c r="L2906" s="83" t="n"/>
      <c r="M2906" s="83" t="n"/>
      <c r="N2906" s="83" t="n"/>
      <c r="O2906" s="83" t="n"/>
      <c r="P2906" s="83" t="n"/>
      <c r="Q2906" s="83" t="n"/>
      <c r="R2906" s="83" t="n"/>
      <c r="S2906" s="83" t="n"/>
      <c r="T2906" s="83" t="n"/>
      <c r="U2906" s="83" t="n"/>
      <c r="V2906" s="83" t="n"/>
      <c r="W2906" s="83" t="n"/>
      <c r="X2906" s="83" t="n"/>
      <c r="Y2906" s="83" t="n"/>
      <c r="Z2906" s="83" t="n"/>
      <c r="AA2906" s="83" t="n"/>
      <c r="AB2906" s="83" t="n"/>
      <c r="AC2906" s="83" t="n"/>
      <c r="AD2906" s="83" t="n"/>
      <c r="AE2906" s="83" t="n"/>
      <c r="AF2906" s="83" t="n"/>
      <c r="AG2906" s="83" t="n"/>
      <c r="AH2906" s="83" t="n"/>
      <c r="AI2906" s="83" t="n"/>
      <c r="AJ2906" s="83" t="n"/>
      <c r="AK2906" s="83" t="n"/>
      <c r="AL2906" s="83" t="n"/>
      <c r="AM2906" s="83" t="n"/>
      <c r="AN2906" s="83" t="n"/>
      <c r="AO2906" s="83" t="n"/>
      <c r="AP2906" s="83" t="n"/>
      <c r="AQ2906" s="83" t="n"/>
      <c r="AR2906" s="83" t="n"/>
    </row>
    <row r="2907">
      <c r="D2907" s="83" t="n"/>
      <c r="E2907" s="83" t="n"/>
      <c r="F2907" s="83" t="n"/>
      <c r="G2907" s="83" t="n"/>
      <c r="H2907" s="83" t="n"/>
      <c r="I2907" s="83" t="n"/>
      <c r="J2907" s="83" t="n"/>
      <c r="K2907" s="83" t="n"/>
      <c r="L2907" s="83" t="n"/>
      <c r="M2907" s="83" t="n"/>
      <c r="N2907" s="83" t="n"/>
      <c r="O2907" s="83" t="n"/>
      <c r="P2907" s="83" t="n"/>
      <c r="Q2907" s="83" t="n"/>
      <c r="R2907" s="83" t="n"/>
      <c r="S2907" s="83" t="n"/>
      <c r="T2907" s="83" t="n"/>
      <c r="U2907" s="83" t="n"/>
      <c r="V2907" s="83" t="n"/>
      <c r="W2907" s="83" t="n"/>
      <c r="X2907" s="83" t="n"/>
      <c r="Y2907" s="83" t="n"/>
      <c r="Z2907" s="83" t="n"/>
      <c r="AA2907" s="83" t="n"/>
      <c r="AB2907" s="83" t="n"/>
      <c r="AC2907" s="83" t="n"/>
      <c r="AD2907" s="83" t="n"/>
      <c r="AE2907" s="83" t="n"/>
      <c r="AF2907" s="83" t="n"/>
      <c r="AG2907" s="83" t="n"/>
      <c r="AH2907" s="83" t="n"/>
      <c r="AI2907" s="83" t="n"/>
      <c r="AJ2907" s="83" t="n"/>
      <c r="AK2907" s="83" t="n"/>
      <c r="AL2907" s="83" t="n"/>
      <c r="AM2907" s="83" t="n"/>
      <c r="AN2907" s="83" t="n"/>
      <c r="AO2907" s="83" t="n"/>
      <c r="AP2907" s="83" t="n"/>
      <c r="AQ2907" s="83" t="n"/>
      <c r="AR2907" s="83" t="n"/>
    </row>
    <row r="2908">
      <c r="D2908" s="84" t="n"/>
      <c r="E2908" s="84" t="n"/>
      <c r="F2908" s="84" t="n"/>
      <c r="G2908" s="84" t="n"/>
      <c r="H2908" s="84" t="n"/>
      <c r="I2908" s="84" t="n"/>
      <c r="J2908" s="84" t="n"/>
      <c r="K2908" s="84" t="n"/>
      <c r="L2908" s="84" t="n"/>
      <c r="M2908" s="84" t="n"/>
      <c r="N2908" s="84" t="n"/>
      <c r="O2908" s="84" t="n"/>
      <c r="P2908" s="84" t="n"/>
      <c r="Q2908" s="84" t="n"/>
      <c r="R2908" s="84" t="n"/>
      <c r="S2908" s="84" t="n"/>
      <c r="T2908" s="84" t="n"/>
      <c r="U2908" s="84" t="n"/>
      <c r="V2908" s="84" t="n"/>
      <c r="W2908" s="84" t="n"/>
      <c r="X2908" s="84" t="n"/>
      <c r="Y2908" s="84" t="n"/>
      <c r="Z2908" s="84" t="n"/>
      <c r="AA2908" s="84" t="n"/>
      <c r="AB2908" s="84" t="n"/>
      <c r="AC2908" s="84" t="n"/>
      <c r="AD2908" s="84" t="n"/>
      <c r="AE2908" s="84" t="n"/>
      <c r="AF2908" s="84" t="n"/>
      <c r="AG2908" s="84" t="n"/>
      <c r="AH2908" s="84" t="n"/>
      <c r="AI2908" s="84" t="n"/>
      <c r="AJ2908" s="84" t="n"/>
      <c r="AK2908" s="84" t="n"/>
      <c r="AL2908" s="84" t="n"/>
      <c r="AM2908" s="84" t="n"/>
      <c r="AN2908" s="84" t="n"/>
      <c r="AO2908" s="84" t="n"/>
      <c r="AP2908" s="84" t="n"/>
      <c r="AQ2908" s="84" t="n"/>
      <c r="AR2908" s="84" t="n"/>
    </row>
    <row r="2909">
      <c r="D2909" s="80" t="n"/>
      <c r="E2909" s="80" t="n"/>
      <c r="F2909" s="80" t="n"/>
      <c r="G2909" s="80" t="n"/>
      <c r="H2909" s="80" t="n"/>
      <c r="I2909" s="80" t="n"/>
      <c r="J2909" s="80" t="n"/>
      <c r="K2909" s="80" t="n"/>
      <c r="L2909" s="80" t="n"/>
      <c r="M2909" s="80" t="n"/>
      <c r="N2909" s="80" t="n"/>
      <c r="O2909" s="80" t="n"/>
      <c r="P2909" s="80" t="n"/>
      <c r="Q2909" s="80" t="n"/>
      <c r="R2909" s="80" t="n"/>
      <c r="S2909" s="80" t="n"/>
      <c r="T2909" s="80" t="n"/>
      <c r="U2909" s="80" t="n"/>
      <c r="V2909" s="80" t="n"/>
      <c r="W2909" s="80" t="n"/>
      <c r="X2909" s="80" t="n"/>
      <c r="Y2909" s="80" t="n"/>
      <c r="Z2909" s="80" t="n"/>
      <c r="AA2909" s="80" t="n"/>
      <c r="AB2909" s="80" t="n"/>
      <c r="AC2909" s="80" t="n"/>
      <c r="AD2909" s="80" t="n"/>
      <c r="AE2909" s="80" t="n"/>
      <c r="AF2909" s="80" t="n"/>
      <c r="AG2909" s="80" t="n"/>
      <c r="AH2909" s="80" t="n"/>
      <c r="AI2909" s="80" t="n"/>
      <c r="AJ2909" s="80" t="n"/>
      <c r="AK2909" s="80" t="n"/>
      <c r="AL2909" s="80" t="n"/>
      <c r="AM2909" s="80" t="n"/>
      <c r="AN2909" s="80" t="n"/>
      <c r="AO2909" s="80" t="n"/>
      <c r="AP2909" s="80" t="n"/>
      <c r="AQ2909" s="80" t="n"/>
      <c r="AR2909" s="80" t="n"/>
    </row>
    <row r="2910">
      <c r="D2910" s="80" t="n"/>
      <c r="E2910" s="80" t="n"/>
      <c r="F2910" s="80" t="n"/>
      <c r="G2910" s="80" t="n"/>
      <c r="H2910" s="80" t="n"/>
      <c r="I2910" s="80" t="n"/>
      <c r="J2910" s="80" t="n"/>
      <c r="K2910" s="80" t="n"/>
      <c r="L2910" s="80" t="n"/>
      <c r="M2910" s="80" t="n"/>
      <c r="N2910" s="80" t="n"/>
      <c r="O2910" s="80" t="n"/>
      <c r="P2910" s="80" t="n"/>
      <c r="Q2910" s="80" t="n"/>
      <c r="R2910" s="80" t="n"/>
      <c r="S2910" s="80" t="n"/>
      <c r="T2910" s="80" t="n"/>
      <c r="U2910" s="80" t="n"/>
      <c r="V2910" s="80" t="n"/>
      <c r="W2910" s="80" t="n"/>
      <c r="X2910" s="80" t="n"/>
      <c r="Y2910" s="80" t="n"/>
      <c r="Z2910" s="80" t="n"/>
      <c r="AA2910" s="80" t="n"/>
      <c r="AB2910" s="80" t="n"/>
      <c r="AC2910" s="80" t="n"/>
      <c r="AD2910" s="80" t="n"/>
      <c r="AE2910" s="80" t="n"/>
      <c r="AF2910" s="80" t="n"/>
      <c r="AG2910" s="80" t="n"/>
      <c r="AH2910" s="80" t="n"/>
      <c r="AI2910" s="80" t="n"/>
      <c r="AJ2910" s="80" t="n"/>
      <c r="AK2910" s="80" t="n"/>
      <c r="AL2910" s="80" t="n"/>
      <c r="AM2910" s="80" t="n"/>
      <c r="AN2910" s="80" t="n"/>
      <c r="AO2910" s="80" t="n"/>
      <c r="AP2910" s="80" t="n"/>
      <c r="AQ2910" s="80" t="n"/>
      <c r="AR2910" s="80" t="n"/>
    </row>
    <row r="2911">
      <c r="D2911" s="80" t="n"/>
      <c r="E2911" s="80" t="n"/>
      <c r="F2911" s="80" t="n"/>
      <c r="G2911" s="80" t="n"/>
      <c r="H2911" s="80" t="n"/>
      <c r="I2911" s="80" t="n"/>
      <c r="J2911" s="80" t="n"/>
      <c r="K2911" s="80" t="n"/>
      <c r="L2911" s="80" t="n"/>
      <c r="M2911" s="80" t="n"/>
      <c r="N2911" s="80" t="n"/>
      <c r="O2911" s="80" t="n"/>
      <c r="P2911" s="80" t="n"/>
      <c r="Q2911" s="80" t="n"/>
      <c r="R2911" s="80" t="n"/>
      <c r="S2911" s="80" t="n"/>
      <c r="T2911" s="80" t="n"/>
      <c r="U2911" s="80" t="n"/>
      <c r="V2911" s="80" t="n"/>
      <c r="W2911" s="80" t="n"/>
      <c r="X2911" s="80" t="n"/>
      <c r="Y2911" s="80" t="n"/>
      <c r="Z2911" s="80" t="n"/>
      <c r="AA2911" s="80" t="n"/>
      <c r="AB2911" s="80" t="n"/>
      <c r="AC2911" s="80" t="n"/>
      <c r="AD2911" s="80" t="n"/>
      <c r="AE2911" s="80" t="n"/>
      <c r="AF2911" s="80" t="n"/>
      <c r="AG2911" s="80" t="n"/>
      <c r="AH2911" s="80" t="n"/>
      <c r="AI2911" s="80" t="n"/>
      <c r="AJ2911" s="80" t="n"/>
      <c r="AK2911" s="80" t="n"/>
      <c r="AL2911" s="80" t="n"/>
      <c r="AM2911" s="80" t="n"/>
      <c r="AN2911" s="80" t="n"/>
      <c r="AO2911" s="80" t="n"/>
      <c r="AP2911" s="80" t="n"/>
      <c r="AQ2911" s="80" t="n"/>
      <c r="AR2911" s="80" t="n"/>
    </row>
    <row r="2912">
      <c r="D2912" s="80" t="n"/>
      <c r="E2912" s="80" t="n"/>
      <c r="F2912" s="80" t="n"/>
      <c r="G2912" s="80" t="n"/>
      <c r="H2912" s="80" t="n"/>
      <c r="I2912" s="80" t="n"/>
      <c r="J2912" s="80" t="n"/>
      <c r="K2912" s="80" t="n"/>
      <c r="L2912" s="80" t="n"/>
      <c r="M2912" s="80" t="n"/>
      <c r="N2912" s="80" t="n"/>
      <c r="O2912" s="80" t="n"/>
      <c r="P2912" s="80" t="n"/>
      <c r="Q2912" s="80" t="n"/>
      <c r="R2912" s="80" t="n"/>
      <c r="S2912" s="80" t="n"/>
      <c r="T2912" s="80" t="n"/>
      <c r="U2912" s="80" t="n"/>
      <c r="V2912" s="80" t="n"/>
      <c r="W2912" s="80" t="n"/>
      <c r="X2912" s="80" t="n"/>
      <c r="Y2912" s="80" t="n"/>
      <c r="Z2912" s="80" t="n"/>
      <c r="AA2912" s="80" t="n"/>
      <c r="AB2912" s="80" t="n"/>
      <c r="AC2912" s="80" t="n"/>
      <c r="AD2912" s="80" t="n"/>
      <c r="AE2912" s="80" t="n"/>
      <c r="AF2912" s="80" t="n"/>
      <c r="AG2912" s="80" t="n"/>
      <c r="AH2912" s="80" t="n"/>
      <c r="AI2912" s="80" t="n"/>
      <c r="AJ2912" s="80" t="n"/>
      <c r="AK2912" s="80" t="n"/>
      <c r="AL2912" s="80" t="n"/>
      <c r="AM2912" s="80" t="n"/>
      <c r="AN2912" s="80" t="n"/>
      <c r="AO2912" s="80" t="n"/>
      <c r="AP2912" s="80" t="n"/>
      <c r="AQ2912" s="80" t="n"/>
      <c r="AR2912" s="80" t="n"/>
    </row>
    <row r="2914">
      <c r="A2914" s="6">
        <f>IF(HSCEI!$C$60="","",HSCEI!$C$60)</f>
        <v/>
      </c>
      <c r="B2914" s="41">
        <f>IF($A2914="",0,COUNT($E2915:$AR2915))</f>
        <v/>
      </c>
      <c r="C2914" s="81">
        <f>IF($B2914=0,0,MAX($E2915:$AR2915))</f>
        <v/>
      </c>
      <c r="D2914" s="82">
        <f>BDS($A2914,'Field Check'!$C$7,"headers=y","startcol=1","endcol=7","dir=h","DVD_START_DT",Summary!$C$18,"DVD_END_DT",Summary!$D$18)</f>
        <v/>
      </c>
      <c r="E2914" s="83" t="n"/>
      <c r="F2914" s="83" t="n"/>
      <c r="G2914" s="83" t="n"/>
      <c r="H2914" s="83" t="n"/>
      <c r="I2914" s="83" t="n"/>
      <c r="J2914" s="83" t="n"/>
      <c r="K2914" s="83" t="n"/>
      <c r="L2914" s="83" t="n"/>
      <c r="M2914" s="83" t="n"/>
      <c r="N2914" s="83" t="n"/>
      <c r="O2914" s="83" t="n"/>
      <c r="P2914" s="83" t="n"/>
      <c r="Q2914" s="83" t="n"/>
      <c r="R2914" s="83" t="n"/>
      <c r="S2914" s="83" t="n"/>
      <c r="T2914" s="83" t="n"/>
      <c r="U2914" s="83" t="n"/>
      <c r="V2914" s="83" t="n"/>
      <c r="W2914" s="83" t="n"/>
      <c r="X2914" s="83" t="n"/>
      <c r="Y2914" s="83" t="n"/>
      <c r="Z2914" s="83" t="n"/>
      <c r="AA2914" s="83" t="n"/>
      <c r="AB2914" s="83" t="n"/>
      <c r="AC2914" s="83" t="n"/>
      <c r="AD2914" s="83" t="n"/>
      <c r="AE2914" s="83" t="n"/>
      <c r="AF2914" s="83" t="n"/>
      <c r="AG2914" s="83" t="n"/>
      <c r="AH2914" s="83" t="n"/>
      <c r="AI2914" s="83" t="n"/>
      <c r="AJ2914" s="83" t="n"/>
      <c r="AK2914" s="83" t="n"/>
      <c r="AL2914" s="83" t="n"/>
      <c r="AM2914" s="83" t="n"/>
      <c r="AN2914" s="83" t="n"/>
      <c r="AO2914" s="83" t="n"/>
      <c r="AP2914" s="83" t="n"/>
      <c r="AQ2914" s="83" t="n"/>
      <c r="AR2914" s="83" t="n"/>
    </row>
    <row r="2915">
      <c r="D2915" s="83" t="n"/>
      <c r="E2915" s="83" t="n"/>
      <c r="F2915" s="83" t="n"/>
      <c r="G2915" s="83" t="n"/>
      <c r="H2915" s="83" t="n"/>
      <c r="I2915" s="83" t="n"/>
      <c r="J2915" s="83" t="n"/>
      <c r="K2915" s="83" t="n"/>
      <c r="L2915" s="83" t="n"/>
      <c r="M2915" s="83" t="n"/>
      <c r="N2915" s="83" t="n"/>
      <c r="O2915" s="83" t="n"/>
      <c r="P2915" s="83" t="n"/>
      <c r="Q2915" s="83" t="n"/>
      <c r="R2915" s="83" t="n"/>
      <c r="S2915" s="83" t="n"/>
      <c r="T2915" s="83" t="n"/>
      <c r="U2915" s="83" t="n"/>
      <c r="V2915" s="83" t="n"/>
      <c r="W2915" s="83" t="n"/>
      <c r="X2915" s="83" t="n"/>
      <c r="Y2915" s="83" t="n"/>
      <c r="Z2915" s="83" t="n"/>
      <c r="AA2915" s="83" t="n"/>
      <c r="AB2915" s="83" t="n"/>
      <c r="AC2915" s="83" t="n"/>
      <c r="AD2915" s="83" t="n"/>
      <c r="AE2915" s="83" t="n"/>
      <c r="AF2915" s="83" t="n"/>
      <c r="AG2915" s="83" t="n"/>
      <c r="AH2915" s="83" t="n"/>
      <c r="AI2915" s="83" t="n"/>
      <c r="AJ2915" s="83" t="n"/>
      <c r="AK2915" s="83" t="n"/>
      <c r="AL2915" s="83" t="n"/>
      <c r="AM2915" s="83" t="n"/>
      <c r="AN2915" s="83" t="n"/>
      <c r="AO2915" s="83" t="n"/>
      <c r="AP2915" s="83" t="n"/>
      <c r="AQ2915" s="83" t="n"/>
      <c r="AR2915" s="83" t="n"/>
    </row>
    <row r="2916">
      <c r="D2916" s="84" t="n"/>
      <c r="E2916" s="84" t="n"/>
      <c r="F2916" s="84" t="n"/>
      <c r="G2916" s="84" t="n"/>
      <c r="H2916" s="84" t="n"/>
      <c r="I2916" s="84" t="n"/>
      <c r="J2916" s="84" t="n"/>
      <c r="K2916" s="84" t="n"/>
      <c r="L2916" s="84" t="n"/>
      <c r="M2916" s="84" t="n"/>
      <c r="N2916" s="84" t="n"/>
      <c r="O2916" s="84" t="n"/>
      <c r="P2916" s="84" t="n"/>
      <c r="Q2916" s="84" t="n"/>
      <c r="R2916" s="84" t="n"/>
      <c r="S2916" s="84" t="n"/>
      <c r="T2916" s="84" t="n"/>
      <c r="U2916" s="84" t="n"/>
      <c r="V2916" s="84" t="n"/>
      <c r="W2916" s="84" t="n"/>
      <c r="X2916" s="84" t="n"/>
      <c r="Y2916" s="84" t="n"/>
      <c r="Z2916" s="84" t="n"/>
      <c r="AA2916" s="84" t="n"/>
      <c r="AB2916" s="84" t="n"/>
      <c r="AC2916" s="84" t="n"/>
      <c r="AD2916" s="84" t="n"/>
      <c r="AE2916" s="84" t="n"/>
      <c r="AF2916" s="84" t="n"/>
      <c r="AG2916" s="84" t="n"/>
      <c r="AH2916" s="84" t="n"/>
      <c r="AI2916" s="84" t="n"/>
      <c r="AJ2916" s="84" t="n"/>
      <c r="AK2916" s="84" t="n"/>
      <c r="AL2916" s="84" t="n"/>
      <c r="AM2916" s="84" t="n"/>
      <c r="AN2916" s="84" t="n"/>
      <c r="AO2916" s="84" t="n"/>
      <c r="AP2916" s="84" t="n"/>
      <c r="AQ2916" s="84" t="n"/>
      <c r="AR2916" s="84" t="n"/>
    </row>
    <row r="2917">
      <c r="D2917" s="80" t="n"/>
      <c r="E2917" s="80" t="n"/>
      <c r="F2917" s="80" t="n"/>
      <c r="G2917" s="80" t="n"/>
      <c r="H2917" s="80" t="n"/>
      <c r="I2917" s="80" t="n"/>
      <c r="J2917" s="80" t="n"/>
      <c r="K2917" s="80" t="n"/>
      <c r="L2917" s="80" t="n"/>
      <c r="M2917" s="80" t="n"/>
      <c r="N2917" s="80" t="n"/>
      <c r="O2917" s="80" t="n"/>
      <c r="P2917" s="80" t="n"/>
      <c r="Q2917" s="80" t="n"/>
      <c r="R2917" s="80" t="n"/>
      <c r="S2917" s="80" t="n"/>
      <c r="T2917" s="80" t="n"/>
      <c r="U2917" s="80" t="n"/>
      <c r="V2917" s="80" t="n"/>
      <c r="W2917" s="80" t="n"/>
      <c r="X2917" s="80" t="n"/>
      <c r="Y2917" s="80" t="n"/>
      <c r="Z2917" s="80" t="n"/>
      <c r="AA2917" s="80" t="n"/>
      <c r="AB2917" s="80" t="n"/>
      <c r="AC2917" s="80" t="n"/>
      <c r="AD2917" s="80" t="n"/>
      <c r="AE2917" s="80" t="n"/>
      <c r="AF2917" s="80" t="n"/>
      <c r="AG2917" s="80" t="n"/>
      <c r="AH2917" s="80" t="n"/>
      <c r="AI2917" s="80" t="n"/>
      <c r="AJ2917" s="80" t="n"/>
      <c r="AK2917" s="80" t="n"/>
      <c r="AL2917" s="80" t="n"/>
      <c r="AM2917" s="80" t="n"/>
      <c r="AN2917" s="80" t="n"/>
      <c r="AO2917" s="80" t="n"/>
      <c r="AP2917" s="80" t="n"/>
      <c r="AQ2917" s="80" t="n"/>
      <c r="AR2917" s="80" t="n"/>
    </row>
    <row r="2918">
      <c r="D2918" s="80" t="n"/>
      <c r="E2918" s="80" t="n"/>
      <c r="F2918" s="80" t="n"/>
      <c r="G2918" s="80" t="n"/>
      <c r="H2918" s="80" t="n"/>
      <c r="I2918" s="80" t="n"/>
      <c r="J2918" s="80" t="n"/>
      <c r="K2918" s="80" t="n"/>
      <c r="L2918" s="80" t="n"/>
      <c r="M2918" s="80" t="n"/>
      <c r="N2918" s="80" t="n"/>
      <c r="O2918" s="80" t="n"/>
      <c r="P2918" s="80" t="n"/>
      <c r="Q2918" s="80" t="n"/>
      <c r="R2918" s="80" t="n"/>
      <c r="S2918" s="80" t="n"/>
      <c r="T2918" s="80" t="n"/>
      <c r="U2918" s="80" t="n"/>
      <c r="V2918" s="80" t="n"/>
      <c r="W2918" s="80" t="n"/>
      <c r="X2918" s="80" t="n"/>
      <c r="Y2918" s="80" t="n"/>
      <c r="Z2918" s="80" t="n"/>
      <c r="AA2918" s="80" t="n"/>
      <c r="AB2918" s="80" t="n"/>
      <c r="AC2918" s="80" t="n"/>
      <c r="AD2918" s="80" t="n"/>
      <c r="AE2918" s="80" t="n"/>
      <c r="AF2918" s="80" t="n"/>
      <c r="AG2918" s="80" t="n"/>
      <c r="AH2918" s="80" t="n"/>
      <c r="AI2918" s="80" t="n"/>
      <c r="AJ2918" s="80" t="n"/>
      <c r="AK2918" s="80" t="n"/>
      <c r="AL2918" s="80" t="n"/>
      <c r="AM2918" s="80" t="n"/>
      <c r="AN2918" s="80" t="n"/>
      <c r="AO2918" s="80" t="n"/>
      <c r="AP2918" s="80" t="n"/>
      <c r="AQ2918" s="80" t="n"/>
      <c r="AR2918" s="80" t="n"/>
    </row>
    <row r="2919">
      <c r="D2919" s="80" t="n"/>
      <c r="E2919" s="80" t="n"/>
      <c r="F2919" s="80" t="n"/>
      <c r="G2919" s="80" t="n"/>
      <c r="H2919" s="80" t="n"/>
      <c r="I2919" s="80" t="n"/>
      <c r="J2919" s="80" t="n"/>
      <c r="K2919" s="80" t="n"/>
      <c r="L2919" s="80" t="n"/>
      <c r="M2919" s="80" t="n"/>
      <c r="N2919" s="80" t="n"/>
      <c r="O2919" s="80" t="n"/>
      <c r="P2919" s="80" t="n"/>
      <c r="Q2919" s="80" t="n"/>
      <c r="R2919" s="80" t="n"/>
      <c r="S2919" s="80" t="n"/>
      <c r="T2919" s="80" t="n"/>
      <c r="U2919" s="80" t="n"/>
      <c r="V2919" s="80" t="n"/>
      <c r="W2919" s="80" t="n"/>
      <c r="X2919" s="80" t="n"/>
      <c r="Y2919" s="80" t="n"/>
      <c r="Z2919" s="80" t="n"/>
      <c r="AA2919" s="80" t="n"/>
      <c r="AB2919" s="80" t="n"/>
      <c r="AC2919" s="80" t="n"/>
      <c r="AD2919" s="80" t="n"/>
      <c r="AE2919" s="80" t="n"/>
      <c r="AF2919" s="80" t="n"/>
      <c r="AG2919" s="80" t="n"/>
      <c r="AH2919" s="80" t="n"/>
      <c r="AI2919" s="80" t="n"/>
      <c r="AJ2919" s="80" t="n"/>
      <c r="AK2919" s="80" t="n"/>
      <c r="AL2919" s="80" t="n"/>
      <c r="AM2919" s="80" t="n"/>
      <c r="AN2919" s="80" t="n"/>
      <c r="AO2919" s="80" t="n"/>
      <c r="AP2919" s="80" t="n"/>
      <c r="AQ2919" s="80" t="n"/>
      <c r="AR2919" s="80" t="n"/>
    </row>
    <row r="2920">
      <c r="D2920" s="80" t="n"/>
      <c r="E2920" s="80" t="n"/>
      <c r="F2920" s="80" t="n"/>
      <c r="G2920" s="80" t="n"/>
      <c r="H2920" s="80" t="n"/>
      <c r="I2920" s="80" t="n"/>
      <c r="J2920" s="80" t="n"/>
      <c r="K2920" s="80" t="n"/>
      <c r="L2920" s="80" t="n"/>
      <c r="M2920" s="80" t="n"/>
      <c r="N2920" s="80" t="n"/>
      <c r="O2920" s="80" t="n"/>
      <c r="P2920" s="80" t="n"/>
      <c r="Q2920" s="80" t="n"/>
      <c r="R2920" s="80" t="n"/>
      <c r="S2920" s="80" t="n"/>
      <c r="T2920" s="80" t="n"/>
      <c r="U2920" s="80" t="n"/>
      <c r="V2920" s="80" t="n"/>
      <c r="W2920" s="80" t="n"/>
      <c r="X2920" s="80" t="n"/>
      <c r="Y2920" s="80" t="n"/>
      <c r="Z2920" s="80" t="n"/>
      <c r="AA2920" s="80" t="n"/>
      <c r="AB2920" s="80" t="n"/>
      <c r="AC2920" s="80" t="n"/>
      <c r="AD2920" s="80" t="n"/>
      <c r="AE2920" s="80" t="n"/>
      <c r="AF2920" s="80" t="n"/>
      <c r="AG2920" s="80" t="n"/>
      <c r="AH2920" s="80" t="n"/>
      <c r="AI2920" s="80" t="n"/>
      <c r="AJ2920" s="80" t="n"/>
      <c r="AK2920" s="80" t="n"/>
      <c r="AL2920" s="80" t="n"/>
      <c r="AM2920" s="80" t="n"/>
      <c r="AN2920" s="80" t="n"/>
      <c r="AO2920" s="80" t="n"/>
      <c r="AP2920" s="80" t="n"/>
      <c r="AQ2920" s="80" t="n"/>
      <c r="AR2920" s="80" t="n"/>
    </row>
    <row r="2921">
      <c r="A2921" s="2">
        <f>IF($A2914="","","   projections")</f>
        <v/>
      </c>
      <c r="B2921" s="41">
        <f>IF($A2914="",0,COUNT($E2922:$AR2922))</f>
        <v/>
      </c>
      <c r="C2921" s="81">
        <f>IF($B2921=0,0,MAX($E2922:$AR2922))</f>
        <v/>
      </c>
      <c r="D2921" s="82">
        <f>BDS($A2914,'Field Check'!$C$6,"headers=y","startcol=1","endcol=7","dir=h")</f>
        <v/>
      </c>
      <c r="E2921" s="83" t="n"/>
      <c r="F2921" s="83" t="n"/>
      <c r="G2921" s="83" t="n"/>
      <c r="H2921" s="83" t="n"/>
      <c r="I2921" s="83" t="n"/>
      <c r="J2921" s="83" t="n"/>
      <c r="K2921" s="83" t="n"/>
      <c r="L2921" s="83" t="n"/>
      <c r="M2921" s="83" t="n"/>
      <c r="N2921" s="83" t="n"/>
      <c r="O2921" s="83" t="n"/>
      <c r="P2921" s="83" t="n"/>
      <c r="Q2921" s="83" t="n"/>
      <c r="R2921" s="83" t="n"/>
      <c r="S2921" s="83" t="n"/>
      <c r="T2921" s="83" t="n"/>
      <c r="U2921" s="83" t="n"/>
      <c r="V2921" s="83" t="n"/>
      <c r="W2921" s="83" t="n"/>
      <c r="X2921" s="83" t="n"/>
      <c r="Y2921" s="83" t="n"/>
      <c r="Z2921" s="83" t="n"/>
      <c r="AA2921" s="83" t="n"/>
      <c r="AB2921" s="83" t="n"/>
      <c r="AC2921" s="83" t="n"/>
      <c r="AD2921" s="83" t="n"/>
      <c r="AE2921" s="83" t="n"/>
      <c r="AF2921" s="83" t="n"/>
      <c r="AG2921" s="83" t="n"/>
      <c r="AH2921" s="83" t="n"/>
      <c r="AI2921" s="83" t="n"/>
      <c r="AJ2921" s="83" t="n"/>
      <c r="AK2921" s="83" t="n"/>
      <c r="AL2921" s="83" t="n"/>
      <c r="AM2921" s="83" t="n"/>
      <c r="AN2921" s="83" t="n"/>
      <c r="AO2921" s="83" t="n"/>
      <c r="AP2921" s="83" t="n"/>
      <c r="AQ2921" s="83" t="n"/>
      <c r="AR2921" s="83" t="n"/>
    </row>
    <row r="2922">
      <c r="D2922" s="83" t="n"/>
      <c r="E2922" s="83" t="n"/>
      <c r="F2922" s="83" t="n"/>
      <c r="G2922" s="83" t="n"/>
      <c r="H2922" s="83" t="n"/>
      <c r="I2922" s="83" t="n"/>
      <c r="J2922" s="83" t="n"/>
      <c r="K2922" s="83" t="n"/>
      <c r="L2922" s="83" t="n"/>
      <c r="M2922" s="83" t="n"/>
      <c r="N2922" s="83" t="n"/>
      <c r="O2922" s="83" t="n"/>
      <c r="P2922" s="83" t="n"/>
      <c r="Q2922" s="83" t="n"/>
      <c r="R2922" s="83" t="n"/>
      <c r="S2922" s="83" t="n"/>
      <c r="T2922" s="83" t="n"/>
      <c r="U2922" s="83" t="n"/>
      <c r="V2922" s="83" t="n"/>
      <c r="W2922" s="83" t="n"/>
      <c r="X2922" s="83" t="n"/>
      <c r="Y2922" s="83" t="n"/>
      <c r="Z2922" s="83" t="n"/>
      <c r="AA2922" s="83" t="n"/>
      <c r="AB2922" s="83" t="n"/>
      <c r="AC2922" s="83" t="n"/>
      <c r="AD2922" s="83" t="n"/>
      <c r="AE2922" s="83" t="n"/>
      <c r="AF2922" s="83" t="n"/>
      <c r="AG2922" s="83" t="n"/>
      <c r="AH2922" s="83" t="n"/>
      <c r="AI2922" s="83" t="n"/>
      <c r="AJ2922" s="83" t="n"/>
      <c r="AK2922" s="83" t="n"/>
      <c r="AL2922" s="83" t="n"/>
      <c r="AM2922" s="83" t="n"/>
      <c r="AN2922" s="83" t="n"/>
      <c r="AO2922" s="83" t="n"/>
      <c r="AP2922" s="83" t="n"/>
      <c r="AQ2922" s="83" t="n"/>
      <c r="AR2922" s="83" t="n"/>
    </row>
    <row r="2923">
      <c r="D2923" s="84" t="n"/>
      <c r="E2923" s="84" t="n"/>
      <c r="F2923" s="84" t="n"/>
      <c r="G2923" s="84" t="n"/>
      <c r="H2923" s="84" t="n"/>
      <c r="I2923" s="84" t="n"/>
      <c r="J2923" s="84" t="n"/>
      <c r="K2923" s="84" t="n"/>
      <c r="L2923" s="84" t="n"/>
      <c r="M2923" s="84" t="n"/>
      <c r="N2923" s="84" t="n"/>
      <c r="O2923" s="84" t="n"/>
      <c r="P2923" s="84" t="n"/>
      <c r="Q2923" s="84" t="n"/>
      <c r="R2923" s="84" t="n"/>
      <c r="S2923" s="84" t="n"/>
      <c r="T2923" s="84" t="n"/>
      <c r="U2923" s="84" t="n"/>
      <c r="V2923" s="84" t="n"/>
      <c r="W2923" s="84" t="n"/>
      <c r="X2923" s="84" t="n"/>
      <c r="Y2923" s="84" t="n"/>
      <c r="Z2923" s="84" t="n"/>
      <c r="AA2923" s="84" t="n"/>
      <c r="AB2923" s="84" t="n"/>
      <c r="AC2923" s="84" t="n"/>
      <c r="AD2923" s="84" t="n"/>
      <c r="AE2923" s="84" t="n"/>
      <c r="AF2923" s="84" t="n"/>
      <c r="AG2923" s="84" t="n"/>
      <c r="AH2923" s="84" t="n"/>
      <c r="AI2923" s="84" t="n"/>
      <c r="AJ2923" s="84" t="n"/>
      <c r="AK2923" s="84" t="n"/>
      <c r="AL2923" s="84" t="n"/>
      <c r="AM2923" s="84" t="n"/>
      <c r="AN2923" s="84" t="n"/>
      <c r="AO2923" s="84" t="n"/>
      <c r="AP2923" s="84" t="n"/>
      <c r="AQ2923" s="84" t="n"/>
      <c r="AR2923" s="84" t="n"/>
    </row>
    <row r="2924">
      <c r="D2924" s="80" t="n"/>
      <c r="E2924" s="80" t="n"/>
      <c r="F2924" s="80" t="n"/>
      <c r="G2924" s="80" t="n"/>
      <c r="H2924" s="80" t="n"/>
      <c r="I2924" s="80" t="n"/>
      <c r="J2924" s="80" t="n"/>
      <c r="K2924" s="80" t="n"/>
      <c r="L2924" s="80" t="n"/>
      <c r="M2924" s="80" t="n"/>
      <c r="N2924" s="80" t="n"/>
      <c r="O2924" s="80" t="n"/>
      <c r="P2924" s="80" t="n"/>
      <c r="Q2924" s="80" t="n"/>
      <c r="R2924" s="80" t="n"/>
      <c r="S2924" s="80" t="n"/>
      <c r="T2924" s="80" t="n"/>
      <c r="U2924" s="80" t="n"/>
      <c r="V2924" s="80" t="n"/>
      <c r="W2924" s="80" t="n"/>
      <c r="X2924" s="80" t="n"/>
      <c r="Y2924" s="80" t="n"/>
      <c r="Z2924" s="80" t="n"/>
      <c r="AA2924" s="80" t="n"/>
      <c r="AB2924" s="80" t="n"/>
      <c r="AC2924" s="80" t="n"/>
      <c r="AD2924" s="80" t="n"/>
      <c r="AE2924" s="80" t="n"/>
      <c r="AF2924" s="80" t="n"/>
      <c r="AG2924" s="80" t="n"/>
      <c r="AH2924" s="80" t="n"/>
      <c r="AI2924" s="80" t="n"/>
      <c r="AJ2924" s="80" t="n"/>
      <c r="AK2924" s="80" t="n"/>
      <c r="AL2924" s="80" t="n"/>
      <c r="AM2924" s="80" t="n"/>
      <c r="AN2924" s="80" t="n"/>
      <c r="AO2924" s="80" t="n"/>
      <c r="AP2924" s="80" t="n"/>
      <c r="AQ2924" s="80" t="n"/>
      <c r="AR2924" s="80" t="n"/>
    </row>
    <row r="2925">
      <c r="D2925" s="80" t="n"/>
      <c r="E2925" s="80" t="n"/>
      <c r="F2925" s="80" t="n"/>
      <c r="G2925" s="80" t="n"/>
      <c r="H2925" s="80" t="n"/>
      <c r="I2925" s="80" t="n"/>
      <c r="J2925" s="80" t="n"/>
      <c r="K2925" s="80" t="n"/>
      <c r="L2925" s="80" t="n"/>
      <c r="M2925" s="80" t="n"/>
      <c r="N2925" s="80" t="n"/>
      <c r="O2925" s="80" t="n"/>
      <c r="P2925" s="80" t="n"/>
      <c r="Q2925" s="80" t="n"/>
      <c r="R2925" s="80" t="n"/>
      <c r="S2925" s="80" t="n"/>
      <c r="T2925" s="80" t="n"/>
      <c r="U2925" s="80" t="n"/>
      <c r="V2925" s="80" t="n"/>
      <c r="W2925" s="80" t="n"/>
      <c r="X2925" s="80" t="n"/>
      <c r="Y2925" s="80" t="n"/>
      <c r="Z2925" s="80" t="n"/>
      <c r="AA2925" s="80" t="n"/>
      <c r="AB2925" s="80" t="n"/>
      <c r="AC2925" s="80" t="n"/>
      <c r="AD2925" s="80" t="n"/>
      <c r="AE2925" s="80" t="n"/>
      <c r="AF2925" s="80" t="n"/>
      <c r="AG2925" s="80" t="n"/>
      <c r="AH2925" s="80" t="n"/>
      <c r="AI2925" s="80" t="n"/>
      <c r="AJ2925" s="80" t="n"/>
      <c r="AK2925" s="80" t="n"/>
      <c r="AL2925" s="80" t="n"/>
      <c r="AM2925" s="80" t="n"/>
      <c r="AN2925" s="80" t="n"/>
      <c r="AO2925" s="80" t="n"/>
      <c r="AP2925" s="80" t="n"/>
      <c r="AQ2925" s="80" t="n"/>
      <c r="AR2925" s="80" t="n"/>
    </row>
    <row r="2926">
      <c r="D2926" s="80" t="n"/>
      <c r="E2926" s="80" t="n"/>
      <c r="F2926" s="80" t="n"/>
      <c r="G2926" s="80" t="n"/>
      <c r="H2926" s="80" t="n"/>
      <c r="I2926" s="80" t="n"/>
      <c r="J2926" s="80" t="n"/>
      <c r="K2926" s="80" t="n"/>
      <c r="L2926" s="80" t="n"/>
      <c r="M2926" s="80" t="n"/>
      <c r="N2926" s="80" t="n"/>
      <c r="O2926" s="80" t="n"/>
      <c r="P2926" s="80" t="n"/>
      <c r="Q2926" s="80" t="n"/>
      <c r="R2926" s="80" t="n"/>
      <c r="S2926" s="80" t="n"/>
      <c r="T2926" s="80" t="n"/>
      <c r="U2926" s="80" t="n"/>
      <c r="V2926" s="80" t="n"/>
      <c r="W2926" s="80" t="n"/>
      <c r="X2926" s="80" t="n"/>
      <c r="Y2926" s="80" t="n"/>
      <c r="Z2926" s="80" t="n"/>
      <c r="AA2926" s="80" t="n"/>
      <c r="AB2926" s="80" t="n"/>
      <c r="AC2926" s="80" t="n"/>
      <c r="AD2926" s="80" t="n"/>
      <c r="AE2926" s="80" t="n"/>
      <c r="AF2926" s="80" t="n"/>
      <c r="AG2926" s="80" t="n"/>
      <c r="AH2926" s="80" t="n"/>
      <c r="AI2926" s="80" t="n"/>
      <c r="AJ2926" s="80" t="n"/>
      <c r="AK2926" s="80" t="n"/>
      <c r="AL2926" s="80" t="n"/>
      <c r="AM2926" s="80" t="n"/>
      <c r="AN2926" s="80" t="n"/>
      <c r="AO2926" s="80" t="n"/>
      <c r="AP2926" s="80" t="n"/>
      <c r="AQ2926" s="80" t="n"/>
      <c r="AR2926" s="80" t="n"/>
    </row>
    <row r="2927">
      <c r="D2927" s="80" t="n"/>
      <c r="E2927" s="80" t="n"/>
      <c r="F2927" s="80" t="n"/>
      <c r="G2927" s="80" t="n"/>
      <c r="H2927" s="80" t="n"/>
      <c r="I2927" s="80" t="n"/>
      <c r="J2927" s="80" t="n"/>
      <c r="K2927" s="80" t="n"/>
      <c r="L2927" s="80" t="n"/>
      <c r="M2927" s="80" t="n"/>
      <c r="N2927" s="80" t="n"/>
      <c r="O2927" s="80" t="n"/>
      <c r="P2927" s="80" t="n"/>
      <c r="Q2927" s="80" t="n"/>
      <c r="R2927" s="80" t="n"/>
      <c r="S2927" s="80" t="n"/>
      <c r="T2927" s="80" t="n"/>
      <c r="U2927" s="80" t="n"/>
      <c r="V2927" s="80" t="n"/>
      <c r="W2927" s="80" t="n"/>
      <c r="X2927" s="80" t="n"/>
      <c r="Y2927" s="80" t="n"/>
      <c r="Z2927" s="80" t="n"/>
      <c r="AA2927" s="80" t="n"/>
      <c r="AB2927" s="80" t="n"/>
      <c r="AC2927" s="80" t="n"/>
      <c r="AD2927" s="80" t="n"/>
      <c r="AE2927" s="80" t="n"/>
      <c r="AF2927" s="80" t="n"/>
      <c r="AG2927" s="80" t="n"/>
      <c r="AH2927" s="80" t="n"/>
      <c r="AI2927" s="80" t="n"/>
      <c r="AJ2927" s="80" t="n"/>
      <c r="AK2927" s="80" t="n"/>
      <c r="AL2927" s="80" t="n"/>
      <c r="AM2927" s="80" t="n"/>
      <c r="AN2927" s="80" t="n"/>
      <c r="AO2927" s="80" t="n"/>
      <c r="AP2927" s="80" t="n"/>
      <c r="AQ2927" s="80" t="n"/>
      <c r="AR2927" s="80" t="n"/>
    </row>
    <row r="2929">
      <c r="A2929" s="6">
        <f>IF(HSCEI!$C$61="","",HSCEI!$C$61)</f>
        <v/>
      </c>
      <c r="B2929" s="41">
        <f>IF($A2929="",0,COUNT($E2930:$AR2930))</f>
        <v/>
      </c>
      <c r="C2929" s="81">
        <f>IF($B2929=0,0,MAX($E2930:$AR2930))</f>
        <v/>
      </c>
      <c r="D2929" s="82">
        <f>BDS($A2929,'Field Check'!$C$7,"headers=y","startcol=1","endcol=7","dir=h","DVD_START_DT",Summary!$C$18,"DVD_END_DT",Summary!$D$18)</f>
        <v/>
      </c>
      <c r="E2929" s="83" t="n"/>
      <c r="F2929" s="83" t="n"/>
      <c r="G2929" s="83" t="n"/>
      <c r="H2929" s="83" t="n"/>
      <c r="I2929" s="83" t="n"/>
      <c r="J2929" s="83" t="n"/>
      <c r="K2929" s="83" t="n"/>
      <c r="L2929" s="83" t="n"/>
      <c r="M2929" s="83" t="n"/>
      <c r="N2929" s="83" t="n"/>
      <c r="O2929" s="83" t="n"/>
      <c r="P2929" s="83" t="n"/>
      <c r="Q2929" s="83" t="n"/>
      <c r="R2929" s="83" t="n"/>
      <c r="S2929" s="83" t="n"/>
      <c r="T2929" s="83" t="n"/>
      <c r="U2929" s="83" t="n"/>
      <c r="V2929" s="83" t="n"/>
      <c r="W2929" s="83" t="n"/>
      <c r="X2929" s="83" t="n"/>
      <c r="Y2929" s="83" t="n"/>
      <c r="Z2929" s="83" t="n"/>
      <c r="AA2929" s="83" t="n"/>
      <c r="AB2929" s="83" t="n"/>
      <c r="AC2929" s="83" t="n"/>
      <c r="AD2929" s="83" t="n"/>
      <c r="AE2929" s="83" t="n"/>
      <c r="AF2929" s="83" t="n"/>
      <c r="AG2929" s="83" t="n"/>
      <c r="AH2929" s="83" t="n"/>
      <c r="AI2929" s="83" t="n"/>
      <c r="AJ2929" s="83" t="n"/>
      <c r="AK2929" s="83" t="n"/>
      <c r="AL2929" s="83" t="n"/>
      <c r="AM2929" s="83" t="n"/>
      <c r="AN2929" s="83" t="n"/>
      <c r="AO2929" s="83" t="n"/>
      <c r="AP2929" s="83" t="n"/>
      <c r="AQ2929" s="83" t="n"/>
      <c r="AR2929" s="83" t="n"/>
    </row>
    <row r="2930">
      <c r="D2930" s="83" t="n"/>
      <c r="E2930" s="83" t="n"/>
      <c r="F2930" s="83" t="n"/>
      <c r="G2930" s="83" t="n"/>
      <c r="H2930" s="83" t="n"/>
      <c r="I2930" s="83" t="n"/>
      <c r="J2930" s="83" t="n"/>
      <c r="K2930" s="83" t="n"/>
      <c r="L2930" s="83" t="n"/>
      <c r="M2930" s="83" t="n"/>
      <c r="N2930" s="83" t="n"/>
      <c r="O2930" s="83" t="n"/>
      <c r="P2930" s="83" t="n"/>
      <c r="Q2930" s="83" t="n"/>
      <c r="R2930" s="83" t="n"/>
      <c r="S2930" s="83" t="n"/>
      <c r="T2930" s="83" t="n"/>
      <c r="U2930" s="83" t="n"/>
      <c r="V2930" s="83" t="n"/>
      <c r="W2930" s="83" t="n"/>
      <c r="X2930" s="83" t="n"/>
      <c r="Y2930" s="83" t="n"/>
      <c r="Z2930" s="83" t="n"/>
      <c r="AA2930" s="83" t="n"/>
      <c r="AB2930" s="83" t="n"/>
      <c r="AC2930" s="83" t="n"/>
      <c r="AD2930" s="83" t="n"/>
      <c r="AE2930" s="83" t="n"/>
      <c r="AF2930" s="83" t="n"/>
      <c r="AG2930" s="83" t="n"/>
      <c r="AH2930" s="83" t="n"/>
      <c r="AI2930" s="83" t="n"/>
      <c r="AJ2930" s="83" t="n"/>
      <c r="AK2930" s="83" t="n"/>
      <c r="AL2930" s="83" t="n"/>
      <c r="AM2930" s="83" t="n"/>
      <c r="AN2930" s="83" t="n"/>
      <c r="AO2930" s="83" t="n"/>
      <c r="AP2930" s="83" t="n"/>
      <c r="AQ2930" s="83" t="n"/>
      <c r="AR2930" s="83" t="n"/>
    </row>
    <row r="2931">
      <c r="D2931" s="84" t="n"/>
      <c r="E2931" s="84" t="n"/>
      <c r="F2931" s="84" t="n"/>
      <c r="G2931" s="84" t="n"/>
      <c r="H2931" s="84" t="n"/>
      <c r="I2931" s="84" t="n"/>
      <c r="J2931" s="84" t="n"/>
      <c r="K2931" s="84" t="n"/>
      <c r="L2931" s="84" t="n"/>
      <c r="M2931" s="84" t="n"/>
      <c r="N2931" s="84" t="n"/>
      <c r="O2931" s="84" t="n"/>
      <c r="P2931" s="84" t="n"/>
      <c r="Q2931" s="84" t="n"/>
      <c r="R2931" s="84" t="n"/>
      <c r="S2931" s="84" t="n"/>
      <c r="T2931" s="84" t="n"/>
      <c r="U2931" s="84" t="n"/>
      <c r="V2931" s="84" t="n"/>
      <c r="W2931" s="84" t="n"/>
      <c r="X2931" s="84" t="n"/>
      <c r="Y2931" s="84" t="n"/>
      <c r="Z2931" s="84" t="n"/>
      <c r="AA2931" s="84" t="n"/>
      <c r="AB2931" s="84" t="n"/>
      <c r="AC2931" s="84" t="n"/>
      <c r="AD2931" s="84" t="n"/>
      <c r="AE2931" s="84" t="n"/>
      <c r="AF2931" s="84" t="n"/>
      <c r="AG2931" s="84" t="n"/>
      <c r="AH2931" s="84" t="n"/>
      <c r="AI2931" s="84" t="n"/>
      <c r="AJ2931" s="84" t="n"/>
      <c r="AK2931" s="84" t="n"/>
      <c r="AL2931" s="84" t="n"/>
      <c r="AM2931" s="84" t="n"/>
      <c r="AN2931" s="84" t="n"/>
      <c r="AO2931" s="84" t="n"/>
      <c r="AP2931" s="84" t="n"/>
      <c r="AQ2931" s="84" t="n"/>
      <c r="AR2931" s="84" t="n"/>
    </row>
    <row r="2932">
      <c r="D2932" s="80" t="n"/>
      <c r="E2932" s="80" t="n"/>
      <c r="F2932" s="80" t="n"/>
      <c r="G2932" s="80" t="n"/>
      <c r="H2932" s="80" t="n"/>
      <c r="I2932" s="80" t="n"/>
      <c r="J2932" s="80" t="n"/>
      <c r="K2932" s="80" t="n"/>
      <c r="L2932" s="80" t="n"/>
      <c r="M2932" s="80" t="n"/>
      <c r="N2932" s="80" t="n"/>
      <c r="O2932" s="80" t="n"/>
      <c r="P2932" s="80" t="n"/>
      <c r="Q2932" s="80" t="n"/>
      <c r="R2932" s="80" t="n"/>
      <c r="S2932" s="80" t="n"/>
      <c r="T2932" s="80" t="n"/>
      <c r="U2932" s="80" t="n"/>
      <c r="V2932" s="80" t="n"/>
      <c r="W2932" s="80" t="n"/>
      <c r="X2932" s="80" t="n"/>
      <c r="Y2932" s="80" t="n"/>
      <c r="Z2932" s="80" t="n"/>
      <c r="AA2932" s="80" t="n"/>
      <c r="AB2932" s="80" t="n"/>
      <c r="AC2932" s="80" t="n"/>
      <c r="AD2932" s="80" t="n"/>
      <c r="AE2932" s="80" t="n"/>
      <c r="AF2932" s="80" t="n"/>
      <c r="AG2932" s="80" t="n"/>
      <c r="AH2932" s="80" t="n"/>
      <c r="AI2932" s="80" t="n"/>
      <c r="AJ2932" s="80" t="n"/>
      <c r="AK2932" s="80" t="n"/>
      <c r="AL2932" s="80" t="n"/>
      <c r="AM2932" s="80" t="n"/>
      <c r="AN2932" s="80" t="n"/>
      <c r="AO2932" s="80" t="n"/>
      <c r="AP2932" s="80" t="n"/>
      <c r="AQ2932" s="80" t="n"/>
      <c r="AR2932" s="80" t="n"/>
    </row>
    <row r="2933">
      <c r="D2933" s="80" t="n"/>
      <c r="E2933" s="80" t="n"/>
      <c r="F2933" s="80" t="n"/>
      <c r="G2933" s="80" t="n"/>
      <c r="H2933" s="80" t="n"/>
      <c r="I2933" s="80" t="n"/>
      <c r="J2933" s="80" t="n"/>
      <c r="K2933" s="80" t="n"/>
      <c r="L2933" s="80" t="n"/>
      <c r="M2933" s="80" t="n"/>
      <c r="N2933" s="80" t="n"/>
      <c r="O2933" s="80" t="n"/>
      <c r="P2933" s="80" t="n"/>
      <c r="Q2933" s="80" t="n"/>
      <c r="R2933" s="80" t="n"/>
      <c r="S2933" s="80" t="n"/>
      <c r="T2933" s="80" t="n"/>
      <c r="U2933" s="80" t="n"/>
      <c r="V2933" s="80" t="n"/>
      <c r="W2933" s="80" t="n"/>
      <c r="X2933" s="80" t="n"/>
      <c r="Y2933" s="80" t="n"/>
      <c r="Z2933" s="80" t="n"/>
      <c r="AA2933" s="80" t="n"/>
      <c r="AB2933" s="80" t="n"/>
      <c r="AC2933" s="80" t="n"/>
      <c r="AD2933" s="80" t="n"/>
      <c r="AE2933" s="80" t="n"/>
      <c r="AF2933" s="80" t="n"/>
      <c r="AG2933" s="80" t="n"/>
      <c r="AH2933" s="80" t="n"/>
      <c r="AI2933" s="80" t="n"/>
      <c r="AJ2933" s="80" t="n"/>
      <c r="AK2933" s="80" t="n"/>
      <c r="AL2933" s="80" t="n"/>
      <c r="AM2933" s="80" t="n"/>
      <c r="AN2933" s="80" t="n"/>
      <c r="AO2933" s="80" t="n"/>
      <c r="AP2933" s="80" t="n"/>
      <c r="AQ2933" s="80" t="n"/>
      <c r="AR2933" s="80" t="n"/>
    </row>
    <row r="2934">
      <c r="D2934" s="80" t="n"/>
      <c r="E2934" s="80" t="n"/>
      <c r="F2934" s="80" t="n"/>
      <c r="G2934" s="80" t="n"/>
      <c r="H2934" s="80" t="n"/>
      <c r="I2934" s="80" t="n"/>
      <c r="J2934" s="80" t="n"/>
      <c r="K2934" s="80" t="n"/>
      <c r="L2934" s="80" t="n"/>
      <c r="M2934" s="80" t="n"/>
      <c r="N2934" s="80" t="n"/>
      <c r="O2934" s="80" t="n"/>
      <c r="P2934" s="80" t="n"/>
      <c r="Q2934" s="80" t="n"/>
      <c r="R2934" s="80" t="n"/>
      <c r="S2934" s="80" t="n"/>
      <c r="T2934" s="80" t="n"/>
      <c r="U2934" s="80" t="n"/>
      <c r="V2934" s="80" t="n"/>
      <c r="W2934" s="80" t="n"/>
      <c r="X2934" s="80" t="n"/>
      <c r="Y2934" s="80" t="n"/>
      <c r="Z2934" s="80" t="n"/>
      <c r="AA2934" s="80" t="n"/>
      <c r="AB2934" s="80" t="n"/>
      <c r="AC2934" s="80" t="n"/>
      <c r="AD2934" s="80" t="n"/>
      <c r="AE2934" s="80" t="n"/>
      <c r="AF2934" s="80" t="n"/>
      <c r="AG2934" s="80" t="n"/>
      <c r="AH2934" s="80" t="n"/>
      <c r="AI2934" s="80" t="n"/>
      <c r="AJ2934" s="80" t="n"/>
      <c r="AK2934" s="80" t="n"/>
      <c r="AL2934" s="80" t="n"/>
      <c r="AM2934" s="80" t="n"/>
      <c r="AN2934" s="80" t="n"/>
      <c r="AO2934" s="80" t="n"/>
      <c r="AP2934" s="80" t="n"/>
      <c r="AQ2934" s="80" t="n"/>
      <c r="AR2934" s="80" t="n"/>
    </row>
    <row r="2935">
      <c r="D2935" s="80" t="n"/>
      <c r="E2935" s="80" t="n"/>
      <c r="F2935" s="80" t="n"/>
      <c r="G2935" s="80" t="n"/>
      <c r="H2935" s="80" t="n"/>
      <c r="I2935" s="80" t="n"/>
      <c r="J2935" s="80" t="n"/>
      <c r="K2935" s="80" t="n"/>
      <c r="L2935" s="80" t="n"/>
      <c r="M2935" s="80" t="n"/>
      <c r="N2935" s="80" t="n"/>
      <c r="O2935" s="80" t="n"/>
      <c r="P2935" s="80" t="n"/>
      <c r="Q2935" s="80" t="n"/>
      <c r="R2935" s="80" t="n"/>
      <c r="S2935" s="80" t="n"/>
      <c r="T2935" s="80" t="n"/>
      <c r="U2935" s="80" t="n"/>
      <c r="V2935" s="80" t="n"/>
      <c r="W2935" s="80" t="n"/>
      <c r="X2935" s="80" t="n"/>
      <c r="Y2935" s="80" t="n"/>
      <c r="Z2935" s="80" t="n"/>
      <c r="AA2935" s="80" t="n"/>
      <c r="AB2935" s="80" t="n"/>
      <c r="AC2935" s="80" t="n"/>
      <c r="AD2935" s="80" t="n"/>
      <c r="AE2935" s="80" t="n"/>
      <c r="AF2935" s="80" t="n"/>
      <c r="AG2935" s="80" t="n"/>
      <c r="AH2935" s="80" t="n"/>
      <c r="AI2935" s="80" t="n"/>
      <c r="AJ2935" s="80" t="n"/>
      <c r="AK2935" s="80" t="n"/>
      <c r="AL2935" s="80" t="n"/>
      <c r="AM2935" s="80" t="n"/>
      <c r="AN2935" s="80" t="n"/>
      <c r="AO2935" s="80" t="n"/>
      <c r="AP2935" s="80" t="n"/>
      <c r="AQ2935" s="80" t="n"/>
      <c r="AR2935" s="80" t="n"/>
    </row>
    <row r="2936">
      <c r="A2936" s="2">
        <f>IF($A2929="","","   projections")</f>
        <v/>
      </c>
      <c r="B2936" s="41">
        <f>IF($A2929="",0,COUNT($E2937:$AR2937))</f>
        <v/>
      </c>
      <c r="C2936" s="81">
        <f>IF($B2936=0,0,MAX($E2937:$AR2937))</f>
        <v/>
      </c>
      <c r="D2936" s="82">
        <f>BDS($A2929,'Field Check'!$C$6,"headers=y","startcol=1","endcol=7","dir=h")</f>
        <v/>
      </c>
      <c r="E2936" s="83" t="n"/>
      <c r="F2936" s="83" t="n"/>
      <c r="G2936" s="83" t="n"/>
      <c r="H2936" s="83" t="n"/>
      <c r="I2936" s="83" t="n"/>
      <c r="J2936" s="83" t="n"/>
      <c r="K2936" s="83" t="n"/>
      <c r="L2936" s="83" t="n"/>
      <c r="M2936" s="83" t="n"/>
      <c r="N2936" s="83" t="n"/>
      <c r="O2936" s="83" t="n"/>
      <c r="P2936" s="83" t="n"/>
      <c r="Q2936" s="83" t="n"/>
      <c r="R2936" s="83" t="n"/>
      <c r="S2936" s="83" t="n"/>
      <c r="T2936" s="83" t="n"/>
      <c r="U2936" s="83" t="n"/>
      <c r="V2936" s="83" t="n"/>
      <c r="W2936" s="83" t="n"/>
      <c r="X2936" s="83" t="n"/>
      <c r="Y2936" s="83" t="n"/>
      <c r="Z2936" s="83" t="n"/>
      <c r="AA2936" s="83" t="n"/>
      <c r="AB2936" s="83" t="n"/>
      <c r="AC2936" s="83" t="n"/>
      <c r="AD2936" s="83" t="n"/>
      <c r="AE2936" s="83" t="n"/>
      <c r="AF2936" s="83" t="n"/>
      <c r="AG2936" s="83" t="n"/>
      <c r="AH2936" s="83" t="n"/>
      <c r="AI2936" s="83" t="n"/>
      <c r="AJ2936" s="83" t="n"/>
      <c r="AK2936" s="83" t="n"/>
      <c r="AL2936" s="83" t="n"/>
      <c r="AM2936" s="83" t="n"/>
      <c r="AN2936" s="83" t="n"/>
      <c r="AO2936" s="83" t="n"/>
      <c r="AP2936" s="83" t="n"/>
      <c r="AQ2936" s="83" t="n"/>
      <c r="AR2936" s="83" t="n"/>
    </row>
    <row r="2937">
      <c r="D2937" s="83" t="n"/>
      <c r="E2937" s="83" t="n"/>
      <c r="F2937" s="83" t="n"/>
      <c r="G2937" s="83" t="n"/>
      <c r="H2937" s="83" t="n"/>
      <c r="I2937" s="83" t="n"/>
      <c r="J2937" s="83" t="n"/>
      <c r="K2937" s="83" t="n"/>
      <c r="L2937" s="83" t="n"/>
      <c r="M2937" s="83" t="n"/>
      <c r="N2937" s="83" t="n"/>
      <c r="O2937" s="83" t="n"/>
      <c r="P2937" s="83" t="n"/>
      <c r="Q2937" s="83" t="n"/>
      <c r="R2937" s="83" t="n"/>
      <c r="S2937" s="83" t="n"/>
      <c r="T2937" s="83" t="n"/>
      <c r="U2937" s="83" t="n"/>
      <c r="V2937" s="83" t="n"/>
      <c r="W2937" s="83" t="n"/>
      <c r="X2937" s="83" t="n"/>
      <c r="Y2937" s="83" t="n"/>
      <c r="Z2937" s="83" t="n"/>
      <c r="AA2937" s="83" t="n"/>
      <c r="AB2937" s="83" t="n"/>
      <c r="AC2937" s="83" t="n"/>
      <c r="AD2937" s="83" t="n"/>
      <c r="AE2937" s="83" t="n"/>
      <c r="AF2937" s="83" t="n"/>
      <c r="AG2937" s="83" t="n"/>
      <c r="AH2937" s="83" t="n"/>
      <c r="AI2937" s="83" t="n"/>
      <c r="AJ2937" s="83" t="n"/>
      <c r="AK2937" s="83" t="n"/>
      <c r="AL2937" s="83" t="n"/>
      <c r="AM2937" s="83" t="n"/>
      <c r="AN2937" s="83" t="n"/>
      <c r="AO2937" s="83" t="n"/>
      <c r="AP2937" s="83" t="n"/>
      <c r="AQ2937" s="83" t="n"/>
      <c r="AR2937" s="83" t="n"/>
    </row>
    <row r="2938">
      <c r="D2938" s="84" t="n"/>
      <c r="E2938" s="84" t="n"/>
      <c r="F2938" s="84" t="n"/>
      <c r="G2938" s="84" t="n"/>
      <c r="H2938" s="84" t="n"/>
      <c r="I2938" s="84" t="n"/>
      <c r="J2938" s="84" t="n"/>
      <c r="K2938" s="84" t="n"/>
      <c r="L2938" s="84" t="n"/>
      <c r="M2938" s="84" t="n"/>
      <c r="N2938" s="84" t="n"/>
      <c r="O2938" s="84" t="n"/>
      <c r="P2938" s="84" t="n"/>
      <c r="Q2938" s="84" t="n"/>
      <c r="R2938" s="84" t="n"/>
      <c r="S2938" s="84" t="n"/>
      <c r="T2938" s="84" t="n"/>
      <c r="U2938" s="84" t="n"/>
      <c r="V2938" s="84" t="n"/>
      <c r="W2938" s="84" t="n"/>
      <c r="X2938" s="84" t="n"/>
      <c r="Y2938" s="84" t="n"/>
      <c r="Z2938" s="84" t="n"/>
      <c r="AA2938" s="84" t="n"/>
      <c r="AB2938" s="84" t="n"/>
      <c r="AC2938" s="84" t="n"/>
      <c r="AD2938" s="84" t="n"/>
      <c r="AE2938" s="84" t="n"/>
      <c r="AF2938" s="84" t="n"/>
      <c r="AG2938" s="84" t="n"/>
      <c r="AH2938" s="84" t="n"/>
      <c r="AI2938" s="84" t="n"/>
      <c r="AJ2938" s="84" t="n"/>
      <c r="AK2938" s="84" t="n"/>
      <c r="AL2938" s="84" t="n"/>
      <c r="AM2938" s="84" t="n"/>
      <c r="AN2938" s="84" t="n"/>
      <c r="AO2938" s="84" t="n"/>
      <c r="AP2938" s="84" t="n"/>
      <c r="AQ2938" s="84" t="n"/>
      <c r="AR2938" s="84" t="n"/>
    </row>
    <row r="2939">
      <c r="D2939" s="80" t="n"/>
      <c r="E2939" s="80" t="n"/>
      <c r="F2939" s="80" t="n"/>
      <c r="G2939" s="80" t="n"/>
      <c r="H2939" s="80" t="n"/>
      <c r="I2939" s="80" t="n"/>
      <c r="J2939" s="80" t="n"/>
      <c r="K2939" s="80" t="n"/>
      <c r="L2939" s="80" t="n"/>
      <c r="M2939" s="80" t="n"/>
      <c r="N2939" s="80" t="n"/>
      <c r="O2939" s="80" t="n"/>
      <c r="P2939" s="80" t="n"/>
      <c r="Q2939" s="80" t="n"/>
      <c r="R2939" s="80" t="n"/>
      <c r="S2939" s="80" t="n"/>
      <c r="T2939" s="80" t="n"/>
      <c r="U2939" s="80" t="n"/>
      <c r="V2939" s="80" t="n"/>
      <c r="W2939" s="80" t="n"/>
      <c r="X2939" s="80" t="n"/>
      <c r="Y2939" s="80" t="n"/>
      <c r="Z2939" s="80" t="n"/>
      <c r="AA2939" s="80" t="n"/>
      <c r="AB2939" s="80" t="n"/>
      <c r="AC2939" s="80" t="n"/>
      <c r="AD2939" s="80" t="n"/>
      <c r="AE2939" s="80" t="n"/>
      <c r="AF2939" s="80" t="n"/>
      <c r="AG2939" s="80" t="n"/>
      <c r="AH2939" s="80" t="n"/>
      <c r="AI2939" s="80" t="n"/>
      <c r="AJ2939" s="80" t="n"/>
      <c r="AK2939" s="80" t="n"/>
      <c r="AL2939" s="80" t="n"/>
      <c r="AM2939" s="80" t="n"/>
      <c r="AN2939" s="80" t="n"/>
      <c r="AO2939" s="80" t="n"/>
      <c r="AP2939" s="80" t="n"/>
      <c r="AQ2939" s="80" t="n"/>
      <c r="AR2939" s="80" t="n"/>
    </row>
    <row r="2940">
      <c r="D2940" s="80" t="n"/>
      <c r="E2940" s="80" t="n"/>
      <c r="F2940" s="80" t="n"/>
      <c r="G2940" s="80" t="n"/>
      <c r="H2940" s="80" t="n"/>
      <c r="I2940" s="80" t="n"/>
      <c r="J2940" s="80" t="n"/>
      <c r="K2940" s="80" t="n"/>
      <c r="L2940" s="80" t="n"/>
      <c r="M2940" s="80" t="n"/>
      <c r="N2940" s="80" t="n"/>
      <c r="O2940" s="80" t="n"/>
      <c r="P2940" s="80" t="n"/>
      <c r="Q2940" s="80" t="n"/>
      <c r="R2940" s="80" t="n"/>
      <c r="S2940" s="80" t="n"/>
      <c r="T2940" s="80" t="n"/>
      <c r="U2940" s="80" t="n"/>
      <c r="V2940" s="80" t="n"/>
      <c r="W2940" s="80" t="n"/>
      <c r="X2940" s="80" t="n"/>
      <c r="Y2940" s="80" t="n"/>
      <c r="Z2940" s="80" t="n"/>
      <c r="AA2940" s="80" t="n"/>
      <c r="AB2940" s="80" t="n"/>
      <c r="AC2940" s="80" t="n"/>
      <c r="AD2940" s="80" t="n"/>
      <c r="AE2940" s="80" t="n"/>
      <c r="AF2940" s="80" t="n"/>
      <c r="AG2940" s="80" t="n"/>
      <c r="AH2940" s="80" t="n"/>
      <c r="AI2940" s="80" t="n"/>
      <c r="AJ2940" s="80" t="n"/>
      <c r="AK2940" s="80" t="n"/>
      <c r="AL2940" s="80" t="n"/>
      <c r="AM2940" s="80" t="n"/>
      <c r="AN2940" s="80" t="n"/>
      <c r="AO2940" s="80" t="n"/>
      <c r="AP2940" s="80" t="n"/>
      <c r="AQ2940" s="80" t="n"/>
      <c r="AR2940" s="80" t="n"/>
    </row>
    <row r="2941">
      <c r="D2941" s="80" t="n"/>
      <c r="E2941" s="80" t="n"/>
      <c r="F2941" s="80" t="n"/>
      <c r="G2941" s="80" t="n"/>
      <c r="H2941" s="80" t="n"/>
      <c r="I2941" s="80" t="n"/>
      <c r="J2941" s="80" t="n"/>
      <c r="K2941" s="80" t="n"/>
      <c r="L2941" s="80" t="n"/>
      <c r="M2941" s="80" t="n"/>
      <c r="N2941" s="80" t="n"/>
      <c r="O2941" s="80" t="n"/>
      <c r="P2941" s="80" t="n"/>
      <c r="Q2941" s="80" t="n"/>
      <c r="R2941" s="80" t="n"/>
      <c r="S2941" s="80" t="n"/>
      <c r="T2941" s="80" t="n"/>
      <c r="U2941" s="80" t="n"/>
      <c r="V2941" s="80" t="n"/>
      <c r="W2941" s="80" t="n"/>
      <c r="X2941" s="80" t="n"/>
      <c r="Y2941" s="80" t="n"/>
      <c r="Z2941" s="80" t="n"/>
      <c r="AA2941" s="80" t="n"/>
      <c r="AB2941" s="80" t="n"/>
      <c r="AC2941" s="80" t="n"/>
      <c r="AD2941" s="80" t="n"/>
      <c r="AE2941" s="80" t="n"/>
      <c r="AF2941" s="80" t="n"/>
      <c r="AG2941" s="80" t="n"/>
      <c r="AH2941" s="80" t="n"/>
      <c r="AI2941" s="80" t="n"/>
      <c r="AJ2941" s="80" t="n"/>
      <c r="AK2941" s="80" t="n"/>
      <c r="AL2941" s="80" t="n"/>
      <c r="AM2941" s="80" t="n"/>
      <c r="AN2941" s="80" t="n"/>
      <c r="AO2941" s="80" t="n"/>
      <c r="AP2941" s="80" t="n"/>
      <c r="AQ2941" s="80" t="n"/>
      <c r="AR2941" s="80" t="n"/>
    </row>
    <row r="2942">
      <c r="D2942" s="80" t="n"/>
      <c r="E2942" s="80" t="n"/>
      <c r="F2942" s="80" t="n"/>
      <c r="G2942" s="80" t="n"/>
      <c r="H2942" s="80" t="n"/>
      <c r="I2942" s="80" t="n"/>
      <c r="J2942" s="80" t="n"/>
      <c r="K2942" s="80" t="n"/>
      <c r="L2942" s="80" t="n"/>
      <c r="M2942" s="80" t="n"/>
      <c r="N2942" s="80" t="n"/>
      <c r="O2942" s="80" t="n"/>
      <c r="P2942" s="80" t="n"/>
      <c r="Q2942" s="80" t="n"/>
      <c r="R2942" s="80" t="n"/>
      <c r="S2942" s="80" t="n"/>
      <c r="T2942" s="80" t="n"/>
      <c r="U2942" s="80" t="n"/>
      <c r="V2942" s="80" t="n"/>
      <c r="W2942" s="80" t="n"/>
      <c r="X2942" s="80" t="n"/>
      <c r="Y2942" s="80" t="n"/>
      <c r="Z2942" s="80" t="n"/>
      <c r="AA2942" s="80" t="n"/>
      <c r="AB2942" s="80" t="n"/>
      <c r="AC2942" s="80" t="n"/>
      <c r="AD2942" s="80" t="n"/>
      <c r="AE2942" s="80" t="n"/>
      <c r="AF2942" s="80" t="n"/>
      <c r="AG2942" s="80" t="n"/>
      <c r="AH2942" s="80" t="n"/>
      <c r="AI2942" s="80" t="n"/>
      <c r="AJ2942" s="80" t="n"/>
      <c r="AK2942" s="80" t="n"/>
      <c r="AL2942" s="80" t="n"/>
      <c r="AM2942" s="80" t="n"/>
      <c r="AN2942" s="80" t="n"/>
      <c r="AO2942" s="80" t="n"/>
      <c r="AP2942" s="80" t="n"/>
      <c r="AQ2942" s="80" t="n"/>
      <c r="AR2942" s="80" t="n"/>
    </row>
    <row r="2944">
      <c r="A2944" s="6">
        <f>IF(HSCEI!$C$62="","",HSCEI!$C$62)</f>
        <v/>
      </c>
      <c r="B2944" s="41">
        <f>IF($A2944="",0,COUNT($E2945:$AR2945))</f>
        <v/>
      </c>
      <c r="C2944" s="81">
        <f>IF($B2944=0,0,MAX($E2945:$AR2945))</f>
        <v/>
      </c>
      <c r="D2944" s="82">
        <f>BDS($A2944,'Field Check'!$C$7,"headers=y","startcol=1","endcol=7","dir=h","DVD_START_DT",Summary!$C$18,"DVD_END_DT",Summary!$D$18)</f>
        <v/>
      </c>
      <c r="E2944" s="83" t="n"/>
      <c r="F2944" s="83" t="n"/>
      <c r="G2944" s="83" t="n"/>
      <c r="H2944" s="83" t="n"/>
      <c r="I2944" s="83" t="n"/>
      <c r="J2944" s="83" t="n"/>
      <c r="K2944" s="83" t="n"/>
      <c r="L2944" s="83" t="n"/>
      <c r="M2944" s="83" t="n"/>
      <c r="N2944" s="83" t="n"/>
      <c r="O2944" s="83" t="n"/>
      <c r="P2944" s="83" t="n"/>
      <c r="Q2944" s="83" t="n"/>
      <c r="R2944" s="83" t="n"/>
      <c r="S2944" s="83" t="n"/>
      <c r="T2944" s="83" t="n"/>
      <c r="U2944" s="83" t="n"/>
      <c r="V2944" s="83" t="n"/>
      <c r="W2944" s="83" t="n"/>
      <c r="X2944" s="83" t="n"/>
      <c r="Y2944" s="83" t="n"/>
      <c r="Z2944" s="83" t="n"/>
      <c r="AA2944" s="83" t="n"/>
      <c r="AB2944" s="83" t="n"/>
      <c r="AC2944" s="83" t="n"/>
      <c r="AD2944" s="83" t="n"/>
      <c r="AE2944" s="83" t="n"/>
      <c r="AF2944" s="83" t="n"/>
      <c r="AG2944" s="83" t="n"/>
      <c r="AH2944" s="83" t="n"/>
      <c r="AI2944" s="83" t="n"/>
      <c r="AJ2944" s="83" t="n"/>
      <c r="AK2944" s="83" t="n"/>
      <c r="AL2944" s="83" t="n"/>
      <c r="AM2944" s="83" t="n"/>
      <c r="AN2944" s="83" t="n"/>
      <c r="AO2944" s="83" t="n"/>
      <c r="AP2944" s="83" t="n"/>
      <c r="AQ2944" s="83" t="n"/>
      <c r="AR2944" s="83" t="n"/>
    </row>
    <row r="2945">
      <c r="D2945" s="83" t="n"/>
      <c r="E2945" s="83" t="n"/>
      <c r="F2945" s="83" t="n"/>
      <c r="G2945" s="83" t="n"/>
      <c r="H2945" s="83" t="n"/>
      <c r="I2945" s="83" t="n"/>
      <c r="J2945" s="83" t="n"/>
      <c r="K2945" s="83" t="n"/>
      <c r="L2945" s="83" t="n"/>
      <c r="M2945" s="83" t="n"/>
      <c r="N2945" s="83" t="n"/>
      <c r="O2945" s="83" t="n"/>
      <c r="P2945" s="83" t="n"/>
      <c r="Q2945" s="83" t="n"/>
      <c r="R2945" s="83" t="n"/>
      <c r="S2945" s="83" t="n"/>
      <c r="T2945" s="83" t="n"/>
      <c r="U2945" s="83" t="n"/>
      <c r="V2945" s="83" t="n"/>
      <c r="W2945" s="83" t="n"/>
      <c r="X2945" s="83" t="n"/>
      <c r="Y2945" s="83" t="n"/>
      <c r="Z2945" s="83" t="n"/>
      <c r="AA2945" s="83" t="n"/>
      <c r="AB2945" s="83" t="n"/>
      <c r="AC2945" s="83" t="n"/>
      <c r="AD2945" s="83" t="n"/>
      <c r="AE2945" s="83" t="n"/>
      <c r="AF2945" s="83" t="n"/>
      <c r="AG2945" s="83" t="n"/>
      <c r="AH2945" s="83" t="n"/>
      <c r="AI2945" s="83" t="n"/>
      <c r="AJ2945" s="83" t="n"/>
      <c r="AK2945" s="83" t="n"/>
      <c r="AL2945" s="83" t="n"/>
      <c r="AM2945" s="83" t="n"/>
      <c r="AN2945" s="83" t="n"/>
      <c r="AO2945" s="83" t="n"/>
      <c r="AP2945" s="83" t="n"/>
      <c r="AQ2945" s="83" t="n"/>
      <c r="AR2945" s="83" t="n"/>
    </row>
    <row r="2946">
      <c r="D2946" s="84" t="n"/>
      <c r="E2946" s="84" t="n"/>
      <c r="F2946" s="84" t="n"/>
      <c r="G2946" s="84" t="n"/>
      <c r="H2946" s="84" t="n"/>
      <c r="I2946" s="84" t="n"/>
      <c r="J2946" s="84" t="n"/>
      <c r="K2946" s="84" t="n"/>
      <c r="L2946" s="84" t="n"/>
      <c r="M2946" s="84" t="n"/>
      <c r="N2946" s="84" t="n"/>
      <c r="O2946" s="84" t="n"/>
      <c r="P2946" s="84" t="n"/>
      <c r="Q2946" s="84" t="n"/>
      <c r="R2946" s="84" t="n"/>
      <c r="S2946" s="84" t="n"/>
      <c r="T2946" s="84" t="n"/>
      <c r="U2946" s="84" t="n"/>
      <c r="V2946" s="84" t="n"/>
      <c r="W2946" s="84" t="n"/>
      <c r="X2946" s="84" t="n"/>
      <c r="Y2946" s="84" t="n"/>
      <c r="Z2946" s="84" t="n"/>
      <c r="AA2946" s="84" t="n"/>
      <c r="AB2946" s="84" t="n"/>
      <c r="AC2946" s="84" t="n"/>
      <c r="AD2946" s="84" t="n"/>
      <c r="AE2946" s="84" t="n"/>
      <c r="AF2946" s="84" t="n"/>
      <c r="AG2946" s="84" t="n"/>
      <c r="AH2946" s="84" t="n"/>
      <c r="AI2946" s="84" t="n"/>
      <c r="AJ2946" s="84" t="n"/>
      <c r="AK2946" s="84" t="n"/>
      <c r="AL2946" s="84" t="n"/>
      <c r="AM2946" s="84" t="n"/>
      <c r="AN2946" s="84" t="n"/>
      <c r="AO2946" s="84" t="n"/>
      <c r="AP2946" s="84" t="n"/>
      <c r="AQ2946" s="84" t="n"/>
      <c r="AR2946" s="84" t="n"/>
    </row>
    <row r="2947">
      <c r="D2947" s="80" t="n"/>
      <c r="E2947" s="80" t="n"/>
      <c r="F2947" s="80" t="n"/>
      <c r="G2947" s="80" t="n"/>
      <c r="H2947" s="80" t="n"/>
      <c r="I2947" s="80" t="n"/>
      <c r="J2947" s="80" t="n"/>
      <c r="K2947" s="80" t="n"/>
      <c r="L2947" s="80" t="n"/>
      <c r="M2947" s="80" t="n"/>
      <c r="N2947" s="80" t="n"/>
      <c r="O2947" s="80" t="n"/>
      <c r="P2947" s="80" t="n"/>
      <c r="Q2947" s="80" t="n"/>
      <c r="R2947" s="80" t="n"/>
      <c r="S2947" s="80" t="n"/>
      <c r="T2947" s="80" t="n"/>
      <c r="U2947" s="80" t="n"/>
      <c r="V2947" s="80" t="n"/>
      <c r="W2947" s="80" t="n"/>
      <c r="X2947" s="80" t="n"/>
      <c r="Y2947" s="80" t="n"/>
      <c r="Z2947" s="80" t="n"/>
      <c r="AA2947" s="80" t="n"/>
      <c r="AB2947" s="80" t="n"/>
      <c r="AC2947" s="80" t="n"/>
      <c r="AD2947" s="80" t="n"/>
      <c r="AE2947" s="80" t="n"/>
      <c r="AF2947" s="80" t="n"/>
      <c r="AG2947" s="80" t="n"/>
      <c r="AH2947" s="80" t="n"/>
      <c r="AI2947" s="80" t="n"/>
      <c r="AJ2947" s="80" t="n"/>
      <c r="AK2947" s="80" t="n"/>
      <c r="AL2947" s="80" t="n"/>
      <c r="AM2947" s="80" t="n"/>
      <c r="AN2947" s="80" t="n"/>
      <c r="AO2947" s="80" t="n"/>
      <c r="AP2947" s="80" t="n"/>
      <c r="AQ2947" s="80" t="n"/>
      <c r="AR2947" s="80" t="n"/>
    </row>
    <row r="2948">
      <c r="D2948" s="80" t="n"/>
      <c r="E2948" s="80" t="n"/>
      <c r="F2948" s="80" t="n"/>
      <c r="G2948" s="80" t="n"/>
      <c r="H2948" s="80" t="n"/>
      <c r="I2948" s="80" t="n"/>
      <c r="J2948" s="80" t="n"/>
      <c r="K2948" s="80" t="n"/>
      <c r="L2948" s="80" t="n"/>
      <c r="M2948" s="80" t="n"/>
      <c r="N2948" s="80" t="n"/>
      <c r="O2948" s="80" t="n"/>
      <c r="P2948" s="80" t="n"/>
      <c r="Q2948" s="80" t="n"/>
      <c r="R2948" s="80" t="n"/>
      <c r="S2948" s="80" t="n"/>
      <c r="T2948" s="80" t="n"/>
      <c r="U2948" s="80" t="n"/>
      <c r="V2948" s="80" t="n"/>
      <c r="W2948" s="80" t="n"/>
      <c r="X2948" s="80" t="n"/>
      <c r="Y2948" s="80" t="n"/>
      <c r="Z2948" s="80" t="n"/>
      <c r="AA2948" s="80" t="n"/>
      <c r="AB2948" s="80" t="n"/>
      <c r="AC2948" s="80" t="n"/>
      <c r="AD2948" s="80" t="n"/>
      <c r="AE2948" s="80" t="n"/>
      <c r="AF2948" s="80" t="n"/>
      <c r="AG2948" s="80" t="n"/>
      <c r="AH2948" s="80" t="n"/>
      <c r="AI2948" s="80" t="n"/>
      <c r="AJ2948" s="80" t="n"/>
      <c r="AK2948" s="80" t="n"/>
      <c r="AL2948" s="80" t="n"/>
      <c r="AM2948" s="80" t="n"/>
      <c r="AN2948" s="80" t="n"/>
      <c r="AO2948" s="80" t="n"/>
      <c r="AP2948" s="80" t="n"/>
      <c r="AQ2948" s="80" t="n"/>
      <c r="AR2948" s="80" t="n"/>
    </row>
    <row r="2949">
      <c r="D2949" s="80" t="n"/>
      <c r="E2949" s="80" t="n"/>
      <c r="F2949" s="80" t="n"/>
      <c r="G2949" s="80" t="n"/>
      <c r="H2949" s="80" t="n"/>
      <c r="I2949" s="80" t="n"/>
      <c r="J2949" s="80" t="n"/>
      <c r="K2949" s="80" t="n"/>
      <c r="L2949" s="80" t="n"/>
      <c r="M2949" s="80" t="n"/>
      <c r="N2949" s="80" t="n"/>
      <c r="O2949" s="80" t="n"/>
      <c r="P2949" s="80" t="n"/>
      <c r="Q2949" s="80" t="n"/>
      <c r="R2949" s="80" t="n"/>
      <c r="S2949" s="80" t="n"/>
      <c r="T2949" s="80" t="n"/>
      <c r="U2949" s="80" t="n"/>
      <c r="V2949" s="80" t="n"/>
      <c r="W2949" s="80" t="n"/>
      <c r="X2949" s="80" t="n"/>
      <c r="Y2949" s="80" t="n"/>
      <c r="Z2949" s="80" t="n"/>
      <c r="AA2949" s="80" t="n"/>
      <c r="AB2949" s="80" t="n"/>
      <c r="AC2949" s="80" t="n"/>
      <c r="AD2949" s="80" t="n"/>
      <c r="AE2949" s="80" t="n"/>
      <c r="AF2949" s="80" t="n"/>
      <c r="AG2949" s="80" t="n"/>
      <c r="AH2949" s="80" t="n"/>
      <c r="AI2949" s="80" t="n"/>
      <c r="AJ2949" s="80" t="n"/>
      <c r="AK2949" s="80" t="n"/>
      <c r="AL2949" s="80" t="n"/>
      <c r="AM2949" s="80" t="n"/>
      <c r="AN2949" s="80" t="n"/>
      <c r="AO2949" s="80" t="n"/>
      <c r="AP2949" s="80" t="n"/>
      <c r="AQ2949" s="80" t="n"/>
      <c r="AR2949" s="80" t="n"/>
    </row>
    <row r="2950">
      <c r="D2950" s="80" t="n"/>
      <c r="E2950" s="80" t="n"/>
      <c r="F2950" s="80" t="n"/>
      <c r="G2950" s="80" t="n"/>
      <c r="H2950" s="80" t="n"/>
      <c r="I2950" s="80" t="n"/>
      <c r="J2950" s="80" t="n"/>
      <c r="K2950" s="80" t="n"/>
      <c r="L2950" s="80" t="n"/>
      <c r="M2950" s="80" t="n"/>
      <c r="N2950" s="80" t="n"/>
      <c r="O2950" s="80" t="n"/>
      <c r="P2950" s="80" t="n"/>
      <c r="Q2950" s="80" t="n"/>
      <c r="R2950" s="80" t="n"/>
      <c r="S2950" s="80" t="n"/>
      <c r="T2950" s="80" t="n"/>
      <c r="U2950" s="80" t="n"/>
      <c r="V2950" s="80" t="n"/>
      <c r="W2950" s="80" t="n"/>
      <c r="X2950" s="80" t="n"/>
      <c r="Y2950" s="80" t="n"/>
      <c r="Z2950" s="80" t="n"/>
      <c r="AA2950" s="80" t="n"/>
      <c r="AB2950" s="80" t="n"/>
      <c r="AC2950" s="80" t="n"/>
      <c r="AD2950" s="80" t="n"/>
      <c r="AE2950" s="80" t="n"/>
      <c r="AF2950" s="80" t="n"/>
      <c r="AG2950" s="80" t="n"/>
      <c r="AH2950" s="80" t="n"/>
      <c r="AI2950" s="80" t="n"/>
      <c r="AJ2950" s="80" t="n"/>
      <c r="AK2950" s="80" t="n"/>
      <c r="AL2950" s="80" t="n"/>
      <c r="AM2950" s="80" t="n"/>
      <c r="AN2950" s="80" t="n"/>
      <c r="AO2950" s="80" t="n"/>
      <c r="AP2950" s="80" t="n"/>
      <c r="AQ2950" s="80" t="n"/>
      <c r="AR2950" s="80" t="n"/>
    </row>
    <row r="2951">
      <c r="A2951" s="2">
        <f>IF($A2944="","","   projections")</f>
        <v/>
      </c>
      <c r="B2951" s="41">
        <f>IF($A2944="",0,COUNT($E2952:$AR2952))</f>
        <v/>
      </c>
      <c r="C2951" s="81">
        <f>IF($B2951=0,0,MAX($E2952:$AR2952))</f>
        <v/>
      </c>
      <c r="D2951" s="82">
        <f>BDS($A2944,'Field Check'!$C$6,"headers=y","startcol=1","endcol=7","dir=h")</f>
        <v/>
      </c>
      <c r="E2951" s="83" t="n"/>
      <c r="F2951" s="83" t="n"/>
      <c r="G2951" s="83" t="n"/>
      <c r="H2951" s="83" t="n"/>
      <c r="I2951" s="83" t="n"/>
      <c r="J2951" s="83" t="n"/>
      <c r="K2951" s="83" t="n"/>
      <c r="L2951" s="83" t="n"/>
      <c r="M2951" s="83" t="n"/>
      <c r="N2951" s="83" t="n"/>
      <c r="O2951" s="83" t="n"/>
      <c r="P2951" s="83" t="n"/>
      <c r="Q2951" s="83" t="n"/>
      <c r="R2951" s="83" t="n"/>
      <c r="S2951" s="83" t="n"/>
      <c r="T2951" s="83" t="n"/>
      <c r="U2951" s="83" t="n"/>
      <c r="V2951" s="83" t="n"/>
      <c r="W2951" s="83" t="n"/>
      <c r="X2951" s="83" t="n"/>
      <c r="Y2951" s="83" t="n"/>
      <c r="Z2951" s="83" t="n"/>
      <c r="AA2951" s="83" t="n"/>
      <c r="AB2951" s="83" t="n"/>
      <c r="AC2951" s="83" t="n"/>
      <c r="AD2951" s="83" t="n"/>
      <c r="AE2951" s="83" t="n"/>
      <c r="AF2951" s="83" t="n"/>
      <c r="AG2951" s="83" t="n"/>
      <c r="AH2951" s="83" t="n"/>
      <c r="AI2951" s="83" t="n"/>
      <c r="AJ2951" s="83" t="n"/>
      <c r="AK2951" s="83" t="n"/>
      <c r="AL2951" s="83" t="n"/>
      <c r="AM2951" s="83" t="n"/>
      <c r="AN2951" s="83" t="n"/>
      <c r="AO2951" s="83" t="n"/>
      <c r="AP2951" s="83" t="n"/>
      <c r="AQ2951" s="83" t="n"/>
      <c r="AR2951" s="83" t="n"/>
    </row>
    <row r="2952">
      <c r="D2952" s="83" t="n"/>
      <c r="E2952" s="83" t="n"/>
      <c r="F2952" s="83" t="n"/>
      <c r="G2952" s="83" t="n"/>
      <c r="H2952" s="83" t="n"/>
      <c r="I2952" s="83" t="n"/>
      <c r="J2952" s="83" t="n"/>
      <c r="K2952" s="83" t="n"/>
      <c r="L2952" s="83" t="n"/>
      <c r="M2952" s="83" t="n"/>
      <c r="N2952" s="83" t="n"/>
      <c r="O2952" s="83" t="n"/>
      <c r="P2952" s="83" t="n"/>
      <c r="Q2952" s="83" t="n"/>
      <c r="R2952" s="83" t="n"/>
      <c r="S2952" s="83" t="n"/>
      <c r="T2952" s="83" t="n"/>
      <c r="U2952" s="83" t="n"/>
      <c r="V2952" s="83" t="n"/>
      <c r="W2952" s="83" t="n"/>
      <c r="X2952" s="83" t="n"/>
      <c r="Y2952" s="83" t="n"/>
      <c r="Z2952" s="83" t="n"/>
      <c r="AA2952" s="83" t="n"/>
      <c r="AB2952" s="83" t="n"/>
      <c r="AC2952" s="83" t="n"/>
      <c r="AD2952" s="83" t="n"/>
      <c r="AE2952" s="83" t="n"/>
      <c r="AF2952" s="83" t="n"/>
      <c r="AG2952" s="83" t="n"/>
      <c r="AH2952" s="83" t="n"/>
      <c r="AI2952" s="83" t="n"/>
      <c r="AJ2952" s="83" t="n"/>
      <c r="AK2952" s="83" t="n"/>
      <c r="AL2952" s="83" t="n"/>
      <c r="AM2952" s="83" t="n"/>
      <c r="AN2952" s="83" t="n"/>
      <c r="AO2952" s="83" t="n"/>
      <c r="AP2952" s="83" t="n"/>
      <c r="AQ2952" s="83" t="n"/>
      <c r="AR2952" s="83" t="n"/>
    </row>
    <row r="2953">
      <c r="D2953" s="84" t="n"/>
      <c r="E2953" s="84" t="n"/>
      <c r="F2953" s="84" t="n"/>
      <c r="G2953" s="84" t="n"/>
      <c r="H2953" s="84" t="n"/>
      <c r="I2953" s="84" t="n"/>
      <c r="J2953" s="84" t="n"/>
      <c r="K2953" s="84" t="n"/>
      <c r="L2953" s="84" t="n"/>
      <c r="M2953" s="84" t="n"/>
      <c r="N2953" s="84" t="n"/>
      <c r="O2953" s="84" t="n"/>
      <c r="P2953" s="84" t="n"/>
      <c r="Q2953" s="84" t="n"/>
      <c r="R2953" s="84" t="n"/>
      <c r="S2953" s="84" t="n"/>
      <c r="T2953" s="84" t="n"/>
      <c r="U2953" s="84" t="n"/>
      <c r="V2953" s="84" t="n"/>
      <c r="W2953" s="84" t="n"/>
      <c r="X2953" s="84" t="n"/>
      <c r="Y2953" s="84" t="n"/>
      <c r="Z2953" s="84" t="n"/>
      <c r="AA2953" s="84" t="n"/>
      <c r="AB2953" s="84" t="n"/>
      <c r="AC2953" s="84" t="n"/>
      <c r="AD2953" s="84" t="n"/>
      <c r="AE2953" s="84" t="n"/>
      <c r="AF2953" s="84" t="n"/>
      <c r="AG2953" s="84" t="n"/>
      <c r="AH2953" s="84" t="n"/>
      <c r="AI2953" s="84" t="n"/>
      <c r="AJ2953" s="84" t="n"/>
      <c r="AK2953" s="84" t="n"/>
      <c r="AL2953" s="84" t="n"/>
      <c r="AM2953" s="84" t="n"/>
      <c r="AN2953" s="84" t="n"/>
      <c r="AO2953" s="84" t="n"/>
      <c r="AP2953" s="84" t="n"/>
      <c r="AQ2953" s="84" t="n"/>
      <c r="AR2953" s="84" t="n"/>
    </row>
    <row r="2954">
      <c r="D2954" s="80" t="n"/>
      <c r="E2954" s="80" t="n"/>
      <c r="F2954" s="80" t="n"/>
      <c r="G2954" s="80" t="n"/>
      <c r="H2954" s="80" t="n"/>
      <c r="I2954" s="80" t="n"/>
      <c r="J2954" s="80" t="n"/>
      <c r="K2954" s="80" t="n"/>
      <c r="L2954" s="80" t="n"/>
      <c r="M2954" s="80" t="n"/>
      <c r="N2954" s="80" t="n"/>
      <c r="O2954" s="80" t="n"/>
      <c r="P2954" s="80" t="n"/>
      <c r="Q2954" s="80" t="n"/>
      <c r="R2954" s="80" t="n"/>
      <c r="S2954" s="80" t="n"/>
      <c r="T2954" s="80" t="n"/>
      <c r="U2954" s="80" t="n"/>
      <c r="V2954" s="80" t="n"/>
      <c r="W2954" s="80" t="n"/>
      <c r="X2954" s="80" t="n"/>
      <c r="Y2954" s="80" t="n"/>
      <c r="Z2954" s="80" t="n"/>
      <c r="AA2954" s="80" t="n"/>
      <c r="AB2954" s="80" t="n"/>
      <c r="AC2954" s="80" t="n"/>
      <c r="AD2954" s="80" t="n"/>
      <c r="AE2954" s="80" t="n"/>
      <c r="AF2954" s="80" t="n"/>
      <c r="AG2954" s="80" t="n"/>
      <c r="AH2954" s="80" t="n"/>
      <c r="AI2954" s="80" t="n"/>
      <c r="AJ2954" s="80" t="n"/>
      <c r="AK2954" s="80" t="n"/>
      <c r="AL2954" s="80" t="n"/>
      <c r="AM2954" s="80" t="n"/>
      <c r="AN2954" s="80" t="n"/>
      <c r="AO2954" s="80" t="n"/>
      <c r="AP2954" s="80" t="n"/>
      <c r="AQ2954" s="80" t="n"/>
      <c r="AR2954" s="80" t="n"/>
    </row>
    <row r="2955">
      <c r="D2955" s="80" t="n"/>
      <c r="E2955" s="80" t="n"/>
      <c r="F2955" s="80" t="n"/>
      <c r="G2955" s="80" t="n"/>
      <c r="H2955" s="80" t="n"/>
      <c r="I2955" s="80" t="n"/>
      <c r="J2955" s="80" t="n"/>
      <c r="K2955" s="80" t="n"/>
      <c r="L2955" s="80" t="n"/>
      <c r="M2955" s="80" t="n"/>
      <c r="N2955" s="80" t="n"/>
      <c r="O2955" s="80" t="n"/>
      <c r="P2955" s="80" t="n"/>
      <c r="Q2955" s="80" t="n"/>
      <c r="R2955" s="80" t="n"/>
      <c r="S2955" s="80" t="n"/>
      <c r="T2955" s="80" t="n"/>
      <c r="U2955" s="80" t="n"/>
      <c r="V2955" s="80" t="n"/>
      <c r="W2955" s="80" t="n"/>
      <c r="X2955" s="80" t="n"/>
      <c r="Y2955" s="80" t="n"/>
      <c r="Z2955" s="80" t="n"/>
      <c r="AA2955" s="80" t="n"/>
      <c r="AB2955" s="80" t="n"/>
      <c r="AC2955" s="80" t="n"/>
      <c r="AD2955" s="80" t="n"/>
      <c r="AE2955" s="80" t="n"/>
      <c r="AF2955" s="80" t="n"/>
      <c r="AG2955" s="80" t="n"/>
      <c r="AH2955" s="80" t="n"/>
      <c r="AI2955" s="80" t="n"/>
      <c r="AJ2955" s="80" t="n"/>
      <c r="AK2955" s="80" t="n"/>
      <c r="AL2955" s="80" t="n"/>
      <c r="AM2955" s="80" t="n"/>
      <c r="AN2955" s="80" t="n"/>
      <c r="AO2955" s="80" t="n"/>
      <c r="AP2955" s="80" t="n"/>
      <c r="AQ2955" s="80" t="n"/>
      <c r="AR2955" s="80" t="n"/>
    </row>
    <row r="2956">
      <c r="D2956" s="80" t="n"/>
      <c r="E2956" s="80" t="n"/>
      <c r="F2956" s="80" t="n"/>
      <c r="G2956" s="80" t="n"/>
      <c r="H2956" s="80" t="n"/>
      <c r="I2956" s="80" t="n"/>
      <c r="J2956" s="80" t="n"/>
      <c r="K2956" s="80" t="n"/>
      <c r="L2956" s="80" t="n"/>
      <c r="M2956" s="80" t="n"/>
      <c r="N2956" s="80" t="n"/>
      <c r="O2956" s="80" t="n"/>
      <c r="P2956" s="80" t="n"/>
      <c r="Q2956" s="80" t="n"/>
      <c r="R2956" s="80" t="n"/>
      <c r="S2956" s="80" t="n"/>
      <c r="T2956" s="80" t="n"/>
      <c r="U2956" s="80" t="n"/>
      <c r="V2956" s="80" t="n"/>
      <c r="W2956" s="80" t="n"/>
      <c r="X2956" s="80" t="n"/>
      <c r="Y2956" s="80" t="n"/>
      <c r="Z2956" s="80" t="n"/>
      <c r="AA2956" s="80" t="n"/>
      <c r="AB2956" s="80" t="n"/>
      <c r="AC2956" s="80" t="n"/>
      <c r="AD2956" s="80" t="n"/>
      <c r="AE2956" s="80" t="n"/>
      <c r="AF2956" s="80" t="n"/>
      <c r="AG2956" s="80" t="n"/>
      <c r="AH2956" s="80" t="n"/>
      <c r="AI2956" s="80" t="n"/>
      <c r="AJ2956" s="80" t="n"/>
      <c r="AK2956" s="80" t="n"/>
      <c r="AL2956" s="80" t="n"/>
      <c r="AM2956" s="80" t="n"/>
      <c r="AN2956" s="80" t="n"/>
      <c r="AO2956" s="80" t="n"/>
      <c r="AP2956" s="80" t="n"/>
      <c r="AQ2956" s="80" t="n"/>
      <c r="AR2956" s="80" t="n"/>
    </row>
    <row r="2957">
      <c r="D2957" s="80" t="n"/>
      <c r="E2957" s="80" t="n"/>
      <c r="F2957" s="80" t="n"/>
      <c r="G2957" s="80" t="n"/>
      <c r="H2957" s="80" t="n"/>
      <c r="I2957" s="80" t="n"/>
      <c r="J2957" s="80" t="n"/>
      <c r="K2957" s="80" t="n"/>
      <c r="L2957" s="80" t="n"/>
      <c r="M2957" s="80" t="n"/>
      <c r="N2957" s="80" t="n"/>
      <c r="O2957" s="80" t="n"/>
      <c r="P2957" s="80" t="n"/>
      <c r="Q2957" s="80" t="n"/>
      <c r="R2957" s="80" t="n"/>
      <c r="S2957" s="80" t="n"/>
      <c r="T2957" s="80" t="n"/>
      <c r="U2957" s="80" t="n"/>
      <c r="V2957" s="80" t="n"/>
      <c r="W2957" s="80" t="n"/>
      <c r="X2957" s="80" t="n"/>
      <c r="Y2957" s="80" t="n"/>
      <c r="Z2957" s="80" t="n"/>
      <c r="AA2957" s="80" t="n"/>
      <c r="AB2957" s="80" t="n"/>
      <c r="AC2957" s="80" t="n"/>
      <c r="AD2957" s="80" t="n"/>
      <c r="AE2957" s="80" t="n"/>
      <c r="AF2957" s="80" t="n"/>
      <c r="AG2957" s="80" t="n"/>
      <c r="AH2957" s="80" t="n"/>
      <c r="AI2957" s="80" t="n"/>
      <c r="AJ2957" s="80" t="n"/>
      <c r="AK2957" s="80" t="n"/>
      <c r="AL2957" s="80" t="n"/>
      <c r="AM2957" s="80" t="n"/>
      <c r="AN2957" s="80" t="n"/>
      <c r="AO2957" s="80" t="n"/>
      <c r="AP2957" s="80" t="n"/>
      <c r="AQ2957" s="80" t="n"/>
      <c r="AR2957" s="80" t="n"/>
    </row>
    <row r="2959">
      <c r="A2959" s="6">
        <f>IF(HSCEI!$C$63="","",HSCEI!$C$63)</f>
        <v/>
      </c>
      <c r="B2959" s="41">
        <f>IF($A2959="",0,COUNT($E2960:$AR2960))</f>
        <v/>
      </c>
      <c r="C2959" s="81">
        <f>IF($B2959=0,0,MAX($E2960:$AR2960))</f>
        <v/>
      </c>
      <c r="D2959" s="82">
        <f>BDS($A2959,'Field Check'!$C$7,"headers=y","startcol=1","endcol=7","dir=h","DVD_START_DT",Summary!$C$18,"DVD_END_DT",Summary!$D$18)</f>
        <v/>
      </c>
      <c r="E2959" s="83" t="n"/>
      <c r="F2959" s="83" t="n"/>
      <c r="G2959" s="83" t="n"/>
      <c r="H2959" s="83" t="n"/>
      <c r="I2959" s="83" t="n"/>
      <c r="J2959" s="83" t="n"/>
      <c r="K2959" s="83" t="n"/>
      <c r="L2959" s="83" t="n"/>
      <c r="M2959" s="83" t="n"/>
      <c r="N2959" s="83" t="n"/>
      <c r="O2959" s="83" t="n"/>
      <c r="P2959" s="83" t="n"/>
      <c r="Q2959" s="83" t="n"/>
      <c r="R2959" s="83" t="n"/>
      <c r="S2959" s="83" t="n"/>
      <c r="T2959" s="83" t="n"/>
      <c r="U2959" s="83" t="n"/>
      <c r="V2959" s="83" t="n"/>
      <c r="W2959" s="83" t="n"/>
      <c r="X2959" s="83" t="n"/>
      <c r="Y2959" s="83" t="n"/>
      <c r="Z2959" s="83" t="n"/>
      <c r="AA2959" s="83" t="n"/>
      <c r="AB2959" s="83" t="n"/>
      <c r="AC2959" s="83" t="n"/>
      <c r="AD2959" s="83" t="n"/>
      <c r="AE2959" s="83" t="n"/>
      <c r="AF2959" s="83" t="n"/>
      <c r="AG2959" s="83" t="n"/>
      <c r="AH2959" s="83" t="n"/>
      <c r="AI2959" s="83" t="n"/>
      <c r="AJ2959" s="83" t="n"/>
      <c r="AK2959" s="83" t="n"/>
      <c r="AL2959" s="83" t="n"/>
      <c r="AM2959" s="83" t="n"/>
      <c r="AN2959" s="83" t="n"/>
      <c r="AO2959" s="83" t="n"/>
      <c r="AP2959" s="83" t="n"/>
      <c r="AQ2959" s="83" t="n"/>
      <c r="AR2959" s="83" t="n"/>
    </row>
    <row r="2960">
      <c r="D2960" s="83" t="n"/>
      <c r="E2960" s="83" t="n"/>
      <c r="F2960" s="83" t="n"/>
      <c r="G2960" s="83" t="n"/>
      <c r="H2960" s="83" t="n"/>
      <c r="I2960" s="83" t="n"/>
      <c r="J2960" s="83" t="n"/>
      <c r="K2960" s="83" t="n"/>
      <c r="L2960" s="83" t="n"/>
      <c r="M2960" s="83" t="n"/>
      <c r="N2960" s="83" t="n"/>
      <c r="O2960" s="83" t="n"/>
      <c r="P2960" s="83" t="n"/>
      <c r="Q2960" s="83" t="n"/>
      <c r="R2960" s="83" t="n"/>
      <c r="S2960" s="83" t="n"/>
      <c r="T2960" s="83" t="n"/>
      <c r="U2960" s="83" t="n"/>
      <c r="V2960" s="83" t="n"/>
      <c r="W2960" s="83" t="n"/>
      <c r="X2960" s="83" t="n"/>
      <c r="Y2960" s="83" t="n"/>
      <c r="Z2960" s="83" t="n"/>
      <c r="AA2960" s="83" t="n"/>
      <c r="AB2960" s="83" t="n"/>
      <c r="AC2960" s="83" t="n"/>
      <c r="AD2960" s="83" t="n"/>
      <c r="AE2960" s="83" t="n"/>
      <c r="AF2960" s="83" t="n"/>
      <c r="AG2960" s="83" t="n"/>
      <c r="AH2960" s="83" t="n"/>
      <c r="AI2960" s="83" t="n"/>
      <c r="AJ2960" s="83" t="n"/>
      <c r="AK2960" s="83" t="n"/>
      <c r="AL2960" s="83" t="n"/>
      <c r="AM2960" s="83" t="n"/>
      <c r="AN2960" s="83" t="n"/>
      <c r="AO2960" s="83" t="n"/>
      <c r="AP2960" s="83" t="n"/>
      <c r="AQ2960" s="83" t="n"/>
      <c r="AR2960" s="83" t="n"/>
    </row>
    <row r="2961">
      <c r="D2961" s="84" t="n"/>
      <c r="E2961" s="84" t="n"/>
      <c r="F2961" s="84" t="n"/>
      <c r="G2961" s="84" t="n"/>
      <c r="H2961" s="84" t="n"/>
      <c r="I2961" s="84" t="n"/>
      <c r="J2961" s="84" t="n"/>
      <c r="K2961" s="84" t="n"/>
      <c r="L2961" s="84" t="n"/>
      <c r="M2961" s="84" t="n"/>
      <c r="N2961" s="84" t="n"/>
      <c r="O2961" s="84" t="n"/>
      <c r="P2961" s="84" t="n"/>
      <c r="Q2961" s="84" t="n"/>
      <c r="R2961" s="84" t="n"/>
      <c r="S2961" s="84" t="n"/>
      <c r="T2961" s="84" t="n"/>
      <c r="U2961" s="84" t="n"/>
      <c r="V2961" s="84" t="n"/>
      <c r="W2961" s="84" t="n"/>
      <c r="X2961" s="84" t="n"/>
      <c r="Y2961" s="84" t="n"/>
      <c r="Z2961" s="84" t="n"/>
      <c r="AA2961" s="84" t="n"/>
      <c r="AB2961" s="84" t="n"/>
      <c r="AC2961" s="84" t="n"/>
      <c r="AD2961" s="84" t="n"/>
      <c r="AE2961" s="84" t="n"/>
      <c r="AF2961" s="84" t="n"/>
      <c r="AG2961" s="84" t="n"/>
      <c r="AH2961" s="84" t="n"/>
      <c r="AI2961" s="84" t="n"/>
      <c r="AJ2961" s="84" t="n"/>
      <c r="AK2961" s="84" t="n"/>
      <c r="AL2961" s="84" t="n"/>
      <c r="AM2961" s="84" t="n"/>
      <c r="AN2961" s="84" t="n"/>
      <c r="AO2961" s="84" t="n"/>
      <c r="AP2961" s="84" t="n"/>
      <c r="AQ2961" s="84" t="n"/>
      <c r="AR2961" s="84" t="n"/>
    </row>
    <row r="2962">
      <c r="D2962" s="80" t="n"/>
      <c r="E2962" s="80" t="n"/>
      <c r="F2962" s="80" t="n"/>
      <c r="G2962" s="80" t="n"/>
      <c r="H2962" s="80" t="n"/>
      <c r="I2962" s="80" t="n"/>
      <c r="J2962" s="80" t="n"/>
      <c r="K2962" s="80" t="n"/>
      <c r="L2962" s="80" t="n"/>
      <c r="M2962" s="80" t="n"/>
      <c r="N2962" s="80" t="n"/>
      <c r="O2962" s="80" t="n"/>
      <c r="P2962" s="80" t="n"/>
      <c r="Q2962" s="80" t="n"/>
      <c r="R2962" s="80" t="n"/>
      <c r="S2962" s="80" t="n"/>
      <c r="T2962" s="80" t="n"/>
      <c r="U2962" s="80" t="n"/>
      <c r="V2962" s="80" t="n"/>
      <c r="W2962" s="80" t="n"/>
      <c r="X2962" s="80" t="n"/>
      <c r="Y2962" s="80" t="n"/>
      <c r="Z2962" s="80" t="n"/>
      <c r="AA2962" s="80" t="n"/>
      <c r="AB2962" s="80" t="n"/>
      <c r="AC2962" s="80" t="n"/>
      <c r="AD2962" s="80" t="n"/>
      <c r="AE2962" s="80" t="n"/>
      <c r="AF2962" s="80" t="n"/>
      <c r="AG2962" s="80" t="n"/>
      <c r="AH2962" s="80" t="n"/>
      <c r="AI2962" s="80" t="n"/>
      <c r="AJ2962" s="80" t="n"/>
      <c r="AK2962" s="80" t="n"/>
      <c r="AL2962" s="80" t="n"/>
      <c r="AM2962" s="80" t="n"/>
      <c r="AN2962" s="80" t="n"/>
      <c r="AO2962" s="80" t="n"/>
      <c r="AP2962" s="80" t="n"/>
      <c r="AQ2962" s="80" t="n"/>
      <c r="AR2962" s="80" t="n"/>
    </row>
    <row r="2963">
      <c r="D2963" s="80" t="n"/>
      <c r="E2963" s="80" t="n"/>
      <c r="F2963" s="80" t="n"/>
      <c r="G2963" s="80" t="n"/>
      <c r="H2963" s="80" t="n"/>
      <c r="I2963" s="80" t="n"/>
      <c r="J2963" s="80" t="n"/>
      <c r="K2963" s="80" t="n"/>
      <c r="L2963" s="80" t="n"/>
      <c r="M2963" s="80" t="n"/>
      <c r="N2963" s="80" t="n"/>
      <c r="O2963" s="80" t="n"/>
      <c r="P2963" s="80" t="n"/>
      <c r="Q2963" s="80" t="n"/>
      <c r="R2963" s="80" t="n"/>
      <c r="S2963" s="80" t="n"/>
      <c r="T2963" s="80" t="n"/>
      <c r="U2963" s="80" t="n"/>
      <c r="V2963" s="80" t="n"/>
      <c r="W2963" s="80" t="n"/>
      <c r="X2963" s="80" t="n"/>
      <c r="Y2963" s="80" t="n"/>
      <c r="Z2963" s="80" t="n"/>
      <c r="AA2963" s="80" t="n"/>
      <c r="AB2963" s="80" t="n"/>
      <c r="AC2963" s="80" t="n"/>
      <c r="AD2963" s="80" t="n"/>
      <c r="AE2963" s="80" t="n"/>
      <c r="AF2963" s="80" t="n"/>
      <c r="AG2963" s="80" t="n"/>
      <c r="AH2963" s="80" t="n"/>
      <c r="AI2963" s="80" t="n"/>
      <c r="AJ2963" s="80" t="n"/>
      <c r="AK2963" s="80" t="n"/>
      <c r="AL2963" s="80" t="n"/>
      <c r="AM2963" s="80" t="n"/>
      <c r="AN2963" s="80" t="n"/>
      <c r="AO2963" s="80" t="n"/>
      <c r="AP2963" s="80" t="n"/>
      <c r="AQ2963" s="80" t="n"/>
      <c r="AR2963" s="80" t="n"/>
    </row>
    <row r="2964">
      <c r="D2964" s="80" t="n"/>
      <c r="E2964" s="80" t="n"/>
      <c r="F2964" s="80" t="n"/>
      <c r="G2964" s="80" t="n"/>
      <c r="H2964" s="80" t="n"/>
      <c r="I2964" s="80" t="n"/>
      <c r="J2964" s="80" t="n"/>
      <c r="K2964" s="80" t="n"/>
      <c r="L2964" s="80" t="n"/>
      <c r="M2964" s="80" t="n"/>
      <c r="N2964" s="80" t="n"/>
      <c r="O2964" s="80" t="n"/>
      <c r="P2964" s="80" t="n"/>
      <c r="Q2964" s="80" t="n"/>
      <c r="R2964" s="80" t="n"/>
      <c r="S2964" s="80" t="n"/>
      <c r="T2964" s="80" t="n"/>
      <c r="U2964" s="80" t="n"/>
      <c r="V2964" s="80" t="n"/>
      <c r="W2964" s="80" t="n"/>
      <c r="X2964" s="80" t="n"/>
      <c r="Y2964" s="80" t="n"/>
      <c r="Z2964" s="80" t="n"/>
      <c r="AA2964" s="80" t="n"/>
      <c r="AB2964" s="80" t="n"/>
      <c r="AC2964" s="80" t="n"/>
      <c r="AD2964" s="80" t="n"/>
      <c r="AE2964" s="80" t="n"/>
      <c r="AF2964" s="80" t="n"/>
      <c r="AG2964" s="80" t="n"/>
      <c r="AH2964" s="80" t="n"/>
      <c r="AI2964" s="80" t="n"/>
      <c r="AJ2964" s="80" t="n"/>
      <c r="AK2964" s="80" t="n"/>
      <c r="AL2964" s="80" t="n"/>
      <c r="AM2964" s="80" t="n"/>
      <c r="AN2964" s="80" t="n"/>
      <c r="AO2964" s="80" t="n"/>
      <c r="AP2964" s="80" t="n"/>
      <c r="AQ2964" s="80" t="n"/>
      <c r="AR2964" s="80" t="n"/>
    </row>
    <row r="2965">
      <c r="D2965" s="80" t="n"/>
      <c r="E2965" s="80" t="n"/>
      <c r="F2965" s="80" t="n"/>
      <c r="G2965" s="80" t="n"/>
      <c r="H2965" s="80" t="n"/>
      <c r="I2965" s="80" t="n"/>
      <c r="J2965" s="80" t="n"/>
      <c r="K2965" s="80" t="n"/>
      <c r="L2965" s="80" t="n"/>
      <c r="M2965" s="80" t="n"/>
      <c r="N2965" s="80" t="n"/>
      <c r="O2965" s="80" t="n"/>
      <c r="P2965" s="80" t="n"/>
      <c r="Q2965" s="80" t="n"/>
      <c r="R2965" s="80" t="n"/>
      <c r="S2965" s="80" t="n"/>
      <c r="T2965" s="80" t="n"/>
      <c r="U2965" s="80" t="n"/>
      <c r="V2965" s="80" t="n"/>
      <c r="W2965" s="80" t="n"/>
      <c r="X2965" s="80" t="n"/>
      <c r="Y2965" s="80" t="n"/>
      <c r="Z2965" s="80" t="n"/>
      <c r="AA2965" s="80" t="n"/>
      <c r="AB2965" s="80" t="n"/>
      <c r="AC2965" s="80" t="n"/>
      <c r="AD2965" s="80" t="n"/>
      <c r="AE2965" s="80" t="n"/>
      <c r="AF2965" s="80" t="n"/>
      <c r="AG2965" s="80" t="n"/>
      <c r="AH2965" s="80" t="n"/>
      <c r="AI2965" s="80" t="n"/>
      <c r="AJ2965" s="80" t="n"/>
      <c r="AK2965" s="80" t="n"/>
      <c r="AL2965" s="80" t="n"/>
      <c r="AM2965" s="80" t="n"/>
      <c r="AN2965" s="80" t="n"/>
      <c r="AO2965" s="80" t="n"/>
      <c r="AP2965" s="80" t="n"/>
      <c r="AQ2965" s="80" t="n"/>
      <c r="AR2965" s="80" t="n"/>
    </row>
    <row r="2966">
      <c r="A2966" s="2">
        <f>IF($A2959="","","   projections")</f>
        <v/>
      </c>
      <c r="B2966" s="41">
        <f>IF($A2959="",0,COUNT($E2967:$AR2967))</f>
        <v/>
      </c>
      <c r="C2966" s="81">
        <f>IF($B2966=0,0,MAX($E2967:$AR2967))</f>
        <v/>
      </c>
      <c r="D2966" s="82">
        <f>BDS($A2959,'Field Check'!$C$6,"headers=y","startcol=1","endcol=7","dir=h")</f>
        <v/>
      </c>
      <c r="E2966" s="83" t="n"/>
      <c r="F2966" s="83" t="n"/>
      <c r="G2966" s="83" t="n"/>
      <c r="H2966" s="83" t="n"/>
      <c r="I2966" s="83" t="n"/>
      <c r="J2966" s="83" t="n"/>
      <c r="K2966" s="83" t="n"/>
      <c r="L2966" s="83" t="n"/>
      <c r="M2966" s="83" t="n"/>
      <c r="N2966" s="83" t="n"/>
      <c r="O2966" s="83" t="n"/>
      <c r="P2966" s="83" t="n"/>
      <c r="Q2966" s="83" t="n"/>
      <c r="R2966" s="83" t="n"/>
      <c r="S2966" s="83" t="n"/>
      <c r="T2966" s="83" t="n"/>
      <c r="U2966" s="83" t="n"/>
      <c r="V2966" s="83" t="n"/>
      <c r="W2966" s="83" t="n"/>
      <c r="X2966" s="83" t="n"/>
      <c r="Y2966" s="83" t="n"/>
      <c r="Z2966" s="83" t="n"/>
      <c r="AA2966" s="83" t="n"/>
      <c r="AB2966" s="83" t="n"/>
      <c r="AC2966" s="83" t="n"/>
      <c r="AD2966" s="83" t="n"/>
      <c r="AE2966" s="83" t="n"/>
      <c r="AF2966" s="83" t="n"/>
      <c r="AG2966" s="83" t="n"/>
      <c r="AH2966" s="83" t="n"/>
      <c r="AI2966" s="83" t="n"/>
      <c r="AJ2966" s="83" t="n"/>
      <c r="AK2966" s="83" t="n"/>
      <c r="AL2966" s="83" t="n"/>
      <c r="AM2966" s="83" t="n"/>
      <c r="AN2966" s="83" t="n"/>
      <c r="AO2966" s="83" t="n"/>
      <c r="AP2966" s="83" t="n"/>
      <c r="AQ2966" s="83" t="n"/>
      <c r="AR2966" s="83" t="n"/>
    </row>
    <row r="2967">
      <c r="D2967" s="83" t="n"/>
      <c r="E2967" s="83" t="n"/>
      <c r="F2967" s="83" t="n"/>
      <c r="G2967" s="83" t="n"/>
      <c r="H2967" s="83" t="n"/>
      <c r="I2967" s="83" t="n"/>
      <c r="J2967" s="83" t="n"/>
      <c r="K2967" s="83" t="n"/>
      <c r="L2967" s="83" t="n"/>
      <c r="M2967" s="83" t="n"/>
      <c r="N2967" s="83" t="n"/>
      <c r="O2967" s="83" t="n"/>
      <c r="P2967" s="83" t="n"/>
      <c r="Q2967" s="83" t="n"/>
      <c r="R2967" s="83" t="n"/>
      <c r="S2967" s="83" t="n"/>
      <c r="T2967" s="83" t="n"/>
      <c r="U2967" s="83" t="n"/>
      <c r="V2967" s="83" t="n"/>
      <c r="W2967" s="83" t="n"/>
      <c r="X2967" s="83" t="n"/>
      <c r="Y2967" s="83" t="n"/>
      <c r="Z2967" s="83" t="n"/>
      <c r="AA2967" s="83" t="n"/>
      <c r="AB2967" s="83" t="n"/>
      <c r="AC2967" s="83" t="n"/>
      <c r="AD2967" s="83" t="n"/>
      <c r="AE2967" s="83" t="n"/>
      <c r="AF2967" s="83" t="n"/>
      <c r="AG2967" s="83" t="n"/>
      <c r="AH2967" s="83" t="n"/>
      <c r="AI2967" s="83" t="n"/>
      <c r="AJ2967" s="83" t="n"/>
      <c r="AK2967" s="83" t="n"/>
      <c r="AL2967" s="83" t="n"/>
      <c r="AM2967" s="83" t="n"/>
      <c r="AN2967" s="83" t="n"/>
      <c r="AO2967" s="83" t="n"/>
      <c r="AP2967" s="83" t="n"/>
      <c r="AQ2967" s="83" t="n"/>
      <c r="AR2967" s="83" t="n"/>
    </row>
    <row r="2968">
      <c r="D2968" s="84" t="n"/>
      <c r="E2968" s="84" t="n"/>
      <c r="F2968" s="84" t="n"/>
      <c r="G2968" s="84" t="n"/>
      <c r="H2968" s="84" t="n"/>
      <c r="I2968" s="84" t="n"/>
      <c r="J2968" s="84" t="n"/>
      <c r="K2968" s="84" t="n"/>
      <c r="L2968" s="84" t="n"/>
      <c r="M2968" s="84" t="n"/>
      <c r="N2968" s="84" t="n"/>
      <c r="O2968" s="84" t="n"/>
      <c r="P2968" s="84" t="n"/>
      <c r="Q2968" s="84" t="n"/>
      <c r="R2968" s="84" t="n"/>
      <c r="S2968" s="84" t="n"/>
      <c r="T2968" s="84" t="n"/>
      <c r="U2968" s="84" t="n"/>
      <c r="V2968" s="84" t="n"/>
      <c r="W2968" s="84" t="n"/>
      <c r="X2968" s="84" t="n"/>
      <c r="Y2968" s="84" t="n"/>
      <c r="Z2968" s="84" t="n"/>
      <c r="AA2968" s="84" t="n"/>
      <c r="AB2968" s="84" t="n"/>
      <c r="AC2968" s="84" t="n"/>
      <c r="AD2968" s="84" t="n"/>
      <c r="AE2968" s="84" t="n"/>
      <c r="AF2968" s="84" t="n"/>
      <c r="AG2968" s="84" t="n"/>
      <c r="AH2968" s="84" t="n"/>
      <c r="AI2968" s="84" t="n"/>
      <c r="AJ2968" s="84" t="n"/>
      <c r="AK2968" s="84" t="n"/>
      <c r="AL2968" s="84" t="n"/>
      <c r="AM2968" s="84" t="n"/>
      <c r="AN2968" s="84" t="n"/>
      <c r="AO2968" s="84" t="n"/>
      <c r="AP2968" s="84" t="n"/>
      <c r="AQ2968" s="84" t="n"/>
      <c r="AR2968" s="84" t="n"/>
    </row>
    <row r="2969">
      <c r="D2969" s="80" t="n"/>
      <c r="E2969" s="80" t="n"/>
      <c r="F2969" s="80" t="n"/>
      <c r="G2969" s="80" t="n"/>
      <c r="H2969" s="80" t="n"/>
      <c r="I2969" s="80" t="n"/>
      <c r="J2969" s="80" t="n"/>
      <c r="K2969" s="80" t="n"/>
      <c r="L2969" s="80" t="n"/>
      <c r="M2969" s="80" t="n"/>
      <c r="N2969" s="80" t="n"/>
      <c r="O2969" s="80" t="n"/>
      <c r="P2969" s="80" t="n"/>
      <c r="Q2969" s="80" t="n"/>
      <c r="R2969" s="80" t="n"/>
      <c r="S2969" s="80" t="n"/>
      <c r="T2969" s="80" t="n"/>
      <c r="U2969" s="80" t="n"/>
      <c r="V2969" s="80" t="n"/>
      <c r="W2969" s="80" t="n"/>
      <c r="X2969" s="80" t="n"/>
      <c r="Y2969" s="80" t="n"/>
      <c r="Z2969" s="80" t="n"/>
      <c r="AA2969" s="80" t="n"/>
      <c r="AB2969" s="80" t="n"/>
      <c r="AC2969" s="80" t="n"/>
      <c r="AD2969" s="80" t="n"/>
      <c r="AE2969" s="80" t="n"/>
      <c r="AF2969" s="80" t="n"/>
      <c r="AG2969" s="80" t="n"/>
      <c r="AH2969" s="80" t="n"/>
      <c r="AI2969" s="80" t="n"/>
      <c r="AJ2969" s="80" t="n"/>
      <c r="AK2969" s="80" t="n"/>
      <c r="AL2969" s="80" t="n"/>
      <c r="AM2969" s="80" t="n"/>
      <c r="AN2969" s="80" t="n"/>
      <c r="AO2969" s="80" t="n"/>
      <c r="AP2969" s="80" t="n"/>
      <c r="AQ2969" s="80" t="n"/>
      <c r="AR2969" s="80" t="n"/>
    </row>
    <row r="2970">
      <c r="D2970" s="80" t="n"/>
      <c r="E2970" s="80" t="n"/>
      <c r="F2970" s="80" t="n"/>
      <c r="G2970" s="80" t="n"/>
      <c r="H2970" s="80" t="n"/>
      <c r="I2970" s="80" t="n"/>
      <c r="J2970" s="80" t="n"/>
      <c r="K2970" s="80" t="n"/>
      <c r="L2970" s="80" t="n"/>
      <c r="M2970" s="80" t="n"/>
      <c r="N2970" s="80" t="n"/>
      <c r="O2970" s="80" t="n"/>
      <c r="P2970" s="80" t="n"/>
      <c r="Q2970" s="80" t="n"/>
      <c r="R2970" s="80" t="n"/>
      <c r="S2970" s="80" t="n"/>
      <c r="T2970" s="80" t="n"/>
      <c r="U2970" s="80" t="n"/>
      <c r="V2970" s="80" t="n"/>
      <c r="W2970" s="80" t="n"/>
      <c r="X2970" s="80" t="n"/>
      <c r="Y2970" s="80" t="n"/>
      <c r="Z2970" s="80" t="n"/>
      <c r="AA2970" s="80" t="n"/>
      <c r="AB2970" s="80" t="n"/>
      <c r="AC2970" s="80" t="n"/>
      <c r="AD2970" s="80" t="n"/>
      <c r="AE2970" s="80" t="n"/>
      <c r="AF2970" s="80" t="n"/>
      <c r="AG2970" s="80" t="n"/>
      <c r="AH2970" s="80" t="n"/>
      <c r="AI2970" s="80" t="n"/>
      <c r="AJ2970" s="80" t="n"/>
      <c r="AK2970" s="80" t="n"/>
      <c r="AL2970" s="80" t="n"/>
      <c r="AM2970" s="80" t="n"/>
      <c r="AN2970" s="80" t="n"/>
      <c r="AO2970" s="80" t="n"/>
      <c r="AP2970" s="80" t="n"/>
      <c r="AQ2970" s="80" t="n"/>
      <c r="AR2970" s="80" t="n"/>
    </row>
    <row r="2971">
      <c r="D2971" s="80" t="n"/>
      <c r="E2971" s="80" t="n"/>
      <c r="F2971" s="80" t="n"/>
      <c r="G2971" s="80" t="n"/>
      <c r="H2971" s="80" t="n"/>
      <c r="I2971" s="80" t="n"/>
      <c r="J2971" s="80" t="n"/>
      <c r="K2971" s="80" t="n"/>
      <c r="L2971" s="80" t="n"/>
      <c r="M2971" s="80" t="n"/>
      <c r="N2971" s="80" t="n"/>
      <c r="O2971" s="80" t="n"/>
      <c r="P2971" s="80" t="n"/>
      <c r="Q2971" s="80" t="n"/>
      <c r="R2971" s="80" t="n"/>
      <c r="S2971" s="80" t="n"/>
      <c r="T2971" s="80" t="n"/>
      <c r="U2971" s="80" t="n"/>
      <c r="V2971" s="80" t="n"/>
      <c r="W2971" s="80" t="n"/>
      <c r="X2971" s="80" t="n"/>
      <c r="Y2971" s="80" t="n"/>
      <c r="Z2971" s="80" t="n"/>
      <c r="AA2971" s="80" t="n"/>
      <c r="AB2971" s="80" t="n"/>
      <c r="AC2971" s="80" t="n"/>
      <c r="AD2971" s="80" t="n"/>
      <c r="AE2971" s="80" t="n"/>
      <c r="AF2971" s="80" t="n"/>
      <c r="AG2971" s="80" t="n"/>
      <c r="AH2971" s="80" t="n"/>
      <c r="AI2971" s="80" t="n"/>
      <c r="AJ2971" s="80" t="n"/>
      <c r="AK2971" s="80" t="n"/>
      <c r="AL2971" s="80" t="n"/>
      <c r="AM2971" s="80" t="n"/>
      <c r="AN2971" s="80" t="n"/>
      <c r="AO2971" s="80" t="n"/>
      <c r="AP2971" s="80" t="n"/>
      <c r="AQ2971" s="80" t="n"/>
      <c r="AR2971" s="80" t="n"/>
    </row>
    <row r="2972">
      <c r="D2972" s="80" t="n"/>
      <c r="E2972" s="80" t="n"/>
      <c r="F2972" s="80" t="n"/>
      <c r="G2972" s="80" t="n"/>
      <c r="H2972" s="80" t="n"/>
      <c r="I2972" s="80" t="n"/>
      <c r="J2972" s="80" t="n"/>
      <c r="K2972" s="80" t="n"/>
      <c r="L2972" s="80" t="n"/>
      <c r="M2972" s="80" t="n"/>
      <c r="N2972" s="80" t="n"/>
      <c r="O2972" s="80" t="n"/>
      <c r="P2972" s="80" t="n"/>
      <c r="Q2972" s="80" t="n"/>
      <c r="R2972" s="80" t="n"/>
      <c r="S2972" s="80" t="n"/>
      <c r="T2972" s="80" t="n"/>
      <c r="U2972" s="80" t="n"/>
      <c r="V2972" s="80" t="n"/>
      <c r="W2972" s="80" t="n"/>
      <c r="X2972" s="80" t="n"/>
      <c r="Y2972" s="80" t="n"/>
      <c r="Z2972" s="80" t="n"/>
      <c r="AA2972" s="80" t="n"/>
      <c r="AB2972" s="80" t="n"/>
      <c r="AC2972" s="80" t="n"/>
      <c r="AD2972" s="80" t="n"/>
      <c r="AE2972" s="80" t="n"/>
      <c r="AF2972" s="80" t="n"/>
      <c r="AG2972" s="80" t="n"/>
      <c r="AH2972" s="80" t="n"/>
      <c r="AI2972" s="80" t="n"/>
      <c r="AJ2972" s="80" t="n"/>
      <c r="AK2972" s="80" t="n"/>
      <c r="AL2972" s="80" t="n"/>
      <c r="AM2972" s="80" t="n"/>
      <c r="AN2972" s="80" t="n"/>
      <c r="AO2972" s="80" t="n"/>
      <c r="AP2972" s="80" t="n"/>
      <c r="AQ2972" s="80" t="n"/>
      <c r="AR2972" s="80" t="n"/>
    </row>
    <row r="2974">
      <c r="A2974" s="6">
        <f>IF(HSCEI!$C$64="","",HSCEI!$C$64)</f>
        <v/>
      </c>
      <c r="B2974" s="41">
        <f>IF($A2974="",0,COUNT($E2975:$AR2975))</f>
        <v/>
      </c>
      <c r="C2974" s="81">
        <f>IF($B2974=0,0,MAX($E2975:$AR2975))</f>
        <v/>
      </c>
      <c r="D2974" s="82">
        <f>BDS($A2974,'Field Check'!$C$7,"headers=y","startcol=1","endcol=7","dir=h","DVD_START_DT",Summary!$C$18,"DVD_END_DT",Summary!$D$18)</f>
        <v/>
      </c>
      <c r="E2974" s="83" t="n"/>
      <c r="F2974" s="83" t="n"/>
      <c r="G2974" s="83" t="n"/>
      <c r="H2974" s="83" t="n"/>
      <c r="I2974" s="83" t="n"/>
      <c r="J2974" s="83" t="n"/>
      <c r="K2974" s="83" t="n"/>
      <c r="L2974" s="83" t="n"/>
      <c r="M2974" s="83" t="n"/>
      <c r="N2974" s="83" t="n"/>
      <c r="O2974" s="83" t="n"/>
      <c r="P2974" s="83" t="n"/>
      <c r="Q2974" s="83" t="n"/>
      <c r="R2974" s="83" t="n"/>
      <c r="S2974" s="83" t="n"/>
      <c r="T2974" s="83" t="n"/>
      <c r="U2974" s="83" t="n"/>
      <c r="V2974" s="83" t="n"/>
      <c r="W2974" s="83" t="n"/>
      <c r="X2974" s="83" t="n"/>
      <c r="Y2974" s="83" t="n"/>
      <c r="Z2974" s="83" t="n"/>
      <c r="AA2974" s="83" t="n"/>
      <c r="AB2974" s="83" t="n"/>
      <c r="AC2974" s="83" t="n"/>
      <c r="AD2974" s="83" t="n"/>
      <c r="AE2974" s="83" t="n"/>
      <c r="AF2974" s="83" t="n"/>
      <c r="AG2974" s="83" t="n"/>
      <c r="AH2974" s="83" t="n"/>
      <c r="AI2974" s="83" t="n"/>
      <c r="AJ2974" s="83" t="n"/>
      <c r="AK2974" s="83" t="n"/>
      <c r="AL2974" s="83" t="n"/>
      <c r="AM2974" s="83" t="n"/>
      <c r="AN2974" s="83" t="n"/>
      <c r="AO2974" s="83" t="n"/>
      <c r="AP2974" s="83" t="n"/>
      <c r="AQ2974" s="83" t="n"/>
      <c r="AR2974" s="83" t="n"/>
    </row>
    <row r="2975">
      <c r="D2975" s="83" t="n"/>
      <c r="E2975" s="83" t="n"/>
      <c r="F2975" s="83" t="n"/>
      <c r="G2975" s="83" t="n"/>
      <c r="H2975" s="83" t="n"/>
      <c r="I2975" s="83" t="n"/>
      <c r="J2975" s="83" t="n"/>
      <c r="K2975" s="83" t="n"/>
      <c r="L2975" s="83" t="n"/>
      <c r="M2975" s="83" t="n"/>
      <c r="N2975" s="83" t="n"/>
      <c r="O2975" s="83" t="n"/>
      <c r="P2975" s="83" t="n"/>
      <c r="Q2975" s="83" t="n"/>
      <c r="R2975" s="83" t="n"/>
      <c r="S2975" s="83" t="n"/>
      <c r="T2975" s="83" t="n"/>
      <c r="U2975" s="83" t="n"/>
      <c r="V2975" s="83" t="n"/>
      <c r="W2975" s="83" t="n"/>
      <c r="X2975" s="83" t="n"/>
      <c r="Y2975" s="83" t="n"/>
      <c r="Z2975" s="83" t="n"/>
      <c r="AA2975" s="83" t="n"/>
      <c r="AB2975" s="83" t="n"/>
      <c r="AC2975" s="83" t="n"/>
      <c r="AD2975" s="83" t="n"/>
      <c r="AE2975" s="83" t="n"/>
      <c r="AF2975" s="83" t="n"/>
      <c r="AG2975" s="83" t="n"/>
      <c r="AH2975" s="83" t="n"/>
      <c r="AI2975" s="83" t="n"/>
      <c r="AJ2975" s="83" t="n"/>
      <c r="AK2975" s="83" t="n"/>
      <c r="AL2975" s="83" t="n"/>
      <c r="AM2975" s="83" t="n"/>
      <c r="AN2975" s="83" t="n"/>
      <c r="AO2975" s="83" t="n"/>
      <c r="AP2975" s="83" t="n"/>
      <c r="AQ2975" s="83" t="n"/>
      <c r="AR2975" s="83" t="n"/>
    </row>
    <row r="2976">
      <c r="D2976" s="84" t="n"/>
      <c r="E2976" s="84" t="n"/>
      <c r="F2976" s="84" t="n"/>
      <c r="G2976" s="84" t="n"/>
      <c r="H2976" s="84" t="n"/>
      <c r="I2976" s="84" t="n"/>
      <c r="J2976" s="84" t="n"/>
      <c r="K2976" s="84" t="n"/>
      <c r="L2976" s="84" t="n"/>
      <c r="M2976" s="84" t="n"/>
      <c r="N2976" s="84" t="n"/>
      <c r="O2976" s="84" t="n"/>
      <c r="P2976" s="84" t="n"/>
      <c r="Q2976" s="84" t="n"/>
      <c r="R2976" s="84" t="n"/>
      <c r="S2976" s="84" t="n"/>
      <c r="T2976" s="84" t="n"/>
      <c r="U2976" s="84" t="n"/>
      <c r="V2976" s="84" t="n"/>
      <c r="W2976" s="84" t="n"/>
      <c r="X2976" s="84" t="n"/>
      <c r="Y2976" s="84" t="n"/>
      <c r="Z2976" s="84" t="n"/>
      <c r="AA2976" s="84" t="n"/>
      <c r="AB2976" s="84" t="n"/>
      <c r="AC2976" s="84" t="n"/>
      <c r="AD2976" s="84" t="n"/>
      <c r="AE2976" s="84" t="n"/>
      <c r="AF2976" s="84" t="n"/>
      <c r="AG2976" s="84" t="n"/>
      <c r="AH2976" s="84" t="n"/>
      <c r="AI2976" s="84" t="n"/>
      <c r="AJ2976" s="84" t="n"/>
      <c r="AK2976" s="84" t="n"/>
      <c r="AL2976" s="84" t="n"/>
      <c r="AM2976" s="84" t="n"/>
      <c r="AN2976" s="84" t="n"/>
      <c r="AO2976" s="84" t="n"/>
      <c r="AP2976" s="84" t="n"/>
      <c r="AQ2976" s="84" t="n"/>
      <c r="AR2976" s="84" t="n"/>
    </row>
    <row r="2977">
      <c r="D2977" s="80" t="n"/>
      <c r="E2977" s="80" t="n"/>
      <c r="F2977" s="80" t="n"/>
      <c r="G2977" s="80" t="n"/>
      <c r="H2977" s="80" t="n"/>
      <c r="I2977" s="80" t="n"/>
      <c r="J2977" s="80" t="n"/>
      <c r="K2977" s="80" t="n"/>
      <c r="L2977" s="80" t="n"/>
      <c r="M2977" s="80" t="n"/>
      <c r="N2977" s="80" t="n"/>
      <c r="O2977" s="80" t="n"/>
      <c r="P2977" s="80" t="n"/>
      <c r="Q2977" s="80" t="n"/>
      <c r="R2977" s="80" t="n"/>
      <c r="S2977" s="80" t="n"/>
      <c r="T2977" s="80" t="n"/>
      <c r="U2977" s="80" t="n"/>
      <c r="V2977" s="80" t="n"/>
      <c r="W2977" s="80" t="n"/>
      <c r="X2977" s="80" t="n"/>
      <c r="Y2977" s="80" t="n"/>
      <c r="Z2977" s="80" t="n"/>
      <c r="AA2977" s="80" t="n"/>
      <c r="AB2977" s="80" t="n"/>
      <c r="AC2977" s="80" t="n"/>
      <c r="AD2977" s="80" t="n"/>
      <c r="AE2977" s="80" t="n"/>
      <c r="AF2977" s="80" t="n"/>
      <c r="AG2977" s="80" t="n"/>
      <c r="AH2977" s="80" t="n"/>
      <c r="AI2977" s="80" t="n"/>
      <c r="AJ2977" s="80" t="n"/>
      <c r="AK2977" s="80" t="n"/>
      <c r="AL2977" s="80" t="n"/>
      <c r="AM2977" s="80" t="n"/>
      <c r="AN2977" s="80" t="n"/>
      <c r="AO2977" s="80" t="n"/>
      <c r="AP2977" s="80" t="n"/>
      <c r="AQ2977" s="80" t="n"/>
      <c r="AR2977" s="80" t="n"/>
    </row>
    <row r="2978">
      <c r="D2978" s="80" t="n"/>
      <c r="E2978" s="80" t="n"/>
      <c r="F2978" s="80" t="n"/>
      <c r="G2978" s="80" t="n"/>
      <c r="H2978" s="80" t="n"/>
      <c r="I2978" s="80" t="n"/>
      <c r="J2978" s="80" t="n"/>
      <c r="K2978" s="80" t="n"/>
      <c r="L2978" s="80" t="n"/>
      <c r="M2978" s="80" t="n"/>
      <c r="N2978" s="80" t="n"/>
      <c r="O2978" s="80" t="n"/>
      <c r="P2978" s="80" t="n"/>
      <c r="Q2978" s="80" t="n"/>
      <c r="R2978" s="80" t="n"/>
      <c r="S2978" s="80" t="n"/>
      <c r="T2978" s="80" t="n"/>
      <c r="U2978" s="80" t="n"/>
      <c r="V2978" s="80" t="n"/>
      <c r="W2978" s="80" t="n"/>
      <c r="X2978" s="80" t="n"/>
      <c r="Y2978" s="80" t="n"/>
      <c r="Z2978" s="80" t="n"/>
      <c r="AA2978" s="80" t="n"/>
      <c r="AB2978" s="80" t="n"/>
      <c r="AC2978" s="80" t="n"/>
      <c r="AD2978" s="80" t="n"/>
      <c r="AE2978" s="80" t="n"/>
      <c r="AF2978" s="80" t="n"/>
      <c r="AG2978" s="80" t="n"/>
      <c r="AH2978" s="80" t="n"/>
      <c r="AI2978" s="80" t="n"/>
      <c r="AJ2978" s="80" t="n"/>
      <c r="AK2978" s="80" t="n"/>
      <c r="AL2978" s="80" t="n"/>
      <c r="AM2978" s="80" t="n"/>
      <c r="AN2978" s="80" t="n"/>
      <c r="AO2978" s="80" t="n"/>
      <c r="AP2978" s="80" t="n"/>
      <c r="AQ2978" s="80" t="n"/>
      <c r="AR2978" s="80" t="n"/>
    </row>
    <row r="2979">
      <c r="D2979" s="80" t="n"/>
      <c r="E2979" s="80" t="n"/>
      <c r="F2979" s="80" t="n"/>
      <c r="G2979" s="80" t="n"/>
      <c r="H2979" s="80" t="n"/>
      <c r="I2979" s="80" t="n"/>
      <c r="J2979" s="80" t="n"/>
      <c r="K2979" s="80" t="n"/>
      <c r="L2979" s="80" t="n"/>
      <c r="M2979" s="80" t="n"/>
      <c r="N2979" s="80" t="n"/>
      <c r="O2979" s="80" t="n"/>
      <c r="P2979" s="80" t="n"/>
      <c r="Q2979" s="80" t="n"/>
      <c r="R2979" s="80" t="n"/>
      <c r="S2979" s="80" t="n"/>
      <c r="T2979" s="80" t="n"/>
      <c r="U2979" s="80" t="n"/>
      <c r="V2979" s="80" t="n"/>
      <c r="W2979" s="80" t="n"/>
      <c r="X2979" s="80" t="n"/>
      <c r="Y2979" s="80" t="n"/>
      <c r="Z2979" s="80" t="n"/>
      <c r="AA2979" s="80" t="n"/>
      <c r="AB2979" s="80" t="n"/>
      <c r="AC2979" s="80" t="n"/>
      <c r="AD2979" s="80" t="n"/>
      <c r="AE2979" s="80" t="n"/>
      <c r="AF2979" s="80" t="n"/>
      <c r="AG2979" s="80" t="n"/>
      <c r="AH2979" s="80" t="n"/>
      <c r="AI2979" s="80" t="n"/>
      <c r="AJ2979" s="80" t="n"/>
      <c r="AK2979" s="80" t="n"/>
      <c r="AL2979" s="80" t="n"/>
      <c r="AM2979" s="80" t="n"/>
      <c r="AN2979" s="80" t="n"/>
      <c r="AO2979" s="80" t="n"/>
      <c r="AP2979" s="80" t="n"/>
      <c r="AQ2979" s="80" t="n"/>
      <c r="AR2979" s="80" t="n"/>
    </row>
    <row r="2980">
      <c r="D2980" s="80" t="n"/>
      <c r="E2980" s="80" t="n"/>
      <c r="F2980" s="80" t="n"/>
      <c r="G2980" s="80" t="n"/>
      <c r="H2980" s="80" t="n"/>
      <c r="I2980" s="80" t="n"/>
      <c r="J2980" s="80" t="n"/>
      <c r="K2980" s="80" t="n"/>
      <c r="L2980" s="80" t="n"/>
      <c r="M2980" s="80" t="n"/>
      <c r="N2980" s="80" t="n"/>
      <c r="O2980" s="80" t="n"/>
      <c r="P2980" s="80" t="n"/>
      <c r="Q2980" s="80" t="n"/>
      <c r="R2980" s="80" t="n"/>
      <c r="S2980" s="80" t="n"/>
      <c r="T2980" s="80" t="n"/>
      <c r="U2980" s="80" t="n"/>
      <c r="V2980" s="80" t="n"/>
      <c r="W2980" s="80" t="n"/>
      <c r="X2980" s="80" t="n"/>
      <c r="Y2980" s="80" t="n"/>
      <c r="Z2980" s="80" t="n"/>
      <c r="AA2980" s="80" t="n"/>
      <c r="AB2980" s="80" t="n"/>
      <c r="AC2980" s="80" t="n"/>
      <c r="AD2980" s="80" t="n"/>
      <c r="AE2980" s="80" t="n"/>
      <c r="AF2980" s="80" t="n"/>
      <c r="AG2980" s="80" t="n"/>
      <c r="AH2980" s="80" t="n"/>
      <c r="AI2980" s="80" t="n"/>
      <c r="AJ2980" s="80" t="n"/>
      <c r="AK2980" s="80" t="n"/>
      <c r="AL2980" s="80" t="n"/>
      <c r="AM2980" s="80" t="n"/>
      <c r="AN2980" s="80" t="n"/>
      <c r="AO2980" s="80" t="n"/>
      <c r="AP2980" s="80" t="n"/>
      <c r="AQ2980" s="80" t="n"/>
      <c r="AR2980" s="80" t="n"/>
    </row>
    <row r="2981">
      <c r="A2981" s="2">
        <f>IF($A2974="","","   projections")</f>
        <v/>
      </c>
      <c r="B2981" s="41">
        <f>IF($A2974="",0,COUNT($E2982:$AR2982))</f>
        <v/>
      </c>
      <c r="C2981" s="81">
        <f>IF($B2981=0,0,MAX($E2982:$AR2982))</f>
        <v/>
      </c>
      <c r="D2981" s="82">
        <f>BDS($A2974,'Field Check'!$C$6,"headers=y","startcol=1","endcol=7","dir=h")</f>
        <v/>
      </c>
      <c r="E2981" s="83" t="n"/>
      <c r="F2981" s="83" t="n"/>
      <c r="G2981" s="83" t="n"/>
      <c r="H2981" s="83" t="n"/>
      <c r="I2981" s="83" t="n"/>
      <c r="J2981" s="83" t="n"/>
      <c r="K2981" s="83" t="n"/>
      <c r="L2981" s="83" t="n"/>
      <c r="M2981" s="83" t="n"/>
      <c r="N2981" s="83" t="n"/>
      <c r="O2981" s="83" t="n"/>
      <c r="P2981" s="83" t="n"/>
      <c r="Q2981" s="83" t="n"/>
      <c r="R2981" s="83" t="n"/>
      <c r="S2981" s="83" t="n"/>
      <c r="T2981" s="83" t="n"/>
      <c r="U2981" s="83" t="n"/>
      <c r="V2981" s="83" t="n"/>
      <c r="W2981" s="83" t="n"/>
      <c r="X2981" s="83" t="n"/>
      <c r="Y2981" s="83" t="n"/>
      <c r="Z2981" s="83" t="n"/>
      <c r="AA2981" s="83" t="n"/>
      <c r="AB2981" s="83" t="n"/>
      <c r="AC2981" s="83" t="n"/>
      <c r="AD2981" s="83" t="n"/>
      <c r="AE2981" s="83" t="n"/>
      <c r="AF2981" s="83" t="n"/>
      <c r="AG2981" s="83" t="n"/>
      <c r="AH2981" s="83" t="n"/>
      <c r="AI2981" s="83" t="n"/>
      <c r="AJ2981" s="83" t="n"/>
      <c r="AK2981" s="83" t="n"/>
      <c r="AL2981" s="83" t="n"/>
      <c r="AM2981" s="83" t="n"/>
      <c r="AN2981" s="83" t="n"/>
      <c r="AO2981" s="83" t="n"/>
      <c r="AP2981" s="83" t="n"/>
      <c r="AQ2981" s="83" t="n"/>
      <c r="AR2981" s="83" t="n"/>
    </row>
    <row r="2982">
      <c r="D2982" s="83" t="n"/>
      <c r="E2982" s="83" t="n"/>
      <c r="F2982" s="83" t="n"/>
      <c r="G2982" s="83" t="n"/>
      <c r="H2982" s="83" t="n"/>
      <c r="I2982" s="83" t="n"/>
      <c r="J2982" s="83" t="n"/>
      <c r="K2982" s="83" t="n"/>
      <c r="L2982" s="83" t="n"/>
      <c r="M2982" s="83" t="n"/>
      <c r="N2982" s="83" t="n"/>
      <c r="O2982" s="83" t="n"/>
      <c r="P2982" s="83" t="n"/>
      <c r="Q2982" s="83" t="n"/>
      <c r="R2982" s="83" t="n"/>
      <c r="S2982" s="83" t="n"/>
      <c r="T2982" s="83" t="n"/>
      <c r="U2982" s="83" t="n"/>
      <c r="V2982" s="83" t="n"/>
      <c r="W2982" s="83" t="n"/>
      <c r="X2982" s="83" t="n"/>
      <c r="Y2982" s="83" t="n"/>
      <c r="Z2982" s="83" t="n"/>
      <c r="AA2982" s="83" t="n"/>
      <c r="AB2982" s="83" t="n"/>
      <c r="AC2982" s="83" t="n"/>
      <c r="AD2982" s="83" t="n"/>
      <c r="AE2982" s="83" t="n"/>
      <c r="AF2982" s="83" t="n"/>
      <c r="AG2982" s="83" t="n"/>
      <c r="AH2982" s="83" t="n"/>
      <c r="AI2982" s="83" t="n"/>
      <c r="AJ2982" s="83" t="n"/>
      <c r="AK2982" s="83" t="n"/>
      <c r="AL2982" s="83" t="n"/>
      <c r="AM2982" s="83" t="n"/>
      <c r="AN2982" s="83" t="n"/>
      <c r="AO2982" s="83" t="n"/>
      <c r="AP2982" s="83" t="n"/>
      <c r="AQ2982" s="83" t="n"/>
      <c r="AR2982" s="83" t="n"/>
    </row>
    <row r="2983">
      <c r="D2983" s="84" t="n"/>
      <c r="E2983" s="84" t="n"/>
      <c r="F2983" s="84" t="n"/>
      <c r="G2983" s="84" t="n"/>
      <c r="H2983" s="84" t="n"/>
      <c r="I2983" s="84" t="n"/>
      <c r="J2983" s="84" t="n"/>
      <c r="K2983" s="84" t="n"/>
      <c r="L2983" s="84" t="n"/>
      <c r="M2983" s="84" t="n"/>
      <c r="N2983" s="84" t="n"/>
      <c r="O2983" s="84" t="n"/>
      <c r="P2983" s="84" t="n"/>
      <c r="Q2983" s="84" t="n"/>
      <c r="R2983" s="84" t="n"/>
      <c r="S2983" s="84" t="n"/>
      <c r="T2983" s="84" t="n"/>
      <c r="U2983" s="84" t="n"/>
      <c r="V2983" s="84" t="n"/>
      <c r="W2983" s="84" t="n"/>
      <c r="X2983" s="84" t="n"/>
      <c r="Y2983" s="84" t="n"/>
      <c r="Z2983" s="84" t="n"/>
      <c r="AA2983" s="84" t="n"/>
      <c r="AB2983" s="84" t="n"/>
      <c r="AC2983" s="84" t="n"/>
      <c r="AD2983" s="84" t="n"/>
      <c r="AE2983" s="84" t="n"/>
      <c r="AF2983" s="84" t="n"/>
      <c r="AG2983" s="84" t="n"/>
      <c r="AH2983" s="84" t="n"/>
      <c r="AI2983" s="84" t="n"/>
      <c r="AJ2983" s="84" t="n"/>
      <c r="AK2983" s="84" t="n"/>
      <c r="AL2983" s="84" t="n"/>
      <c r="AM2983" s="84" t="n"/>
      <c r="AN2983" s="84" t="n"/>
      <c r="AO2983" s="84" t="n"/>
      <c r="AP2983" s="84" t="n"/>
      <c r="AQ2983" s="84" t="n"/>
      <c r="AR2983" s="84" t="n"/>
    </row>
    <row r="2984">
      <c r="D2984" s="80" t="n"/>
      <c r="E2984" s="80" t="n"/>
      <c r="F2984" s="80" t="n"/>
      <c r="G2984" s="80" t="n"/>
      <c r="H2984" s="80" t="n"/>
      <c r="I2984" s="80" t="n"/>
      <c r="J2984" s="80" t="n"/>
      <c r="K2984" s="80" t="n"/>
      <c r="L2984" s="80" t="n"/>
      <c r="M2984" s="80" t="n"/>
      <c r="N2984" s="80" t="n"/>
      <c r="O2984" s="80" t="n"/>
      <c r="P2984" s="80" t="n"/>
      <c r="Q2984" s="80" t="n"/>
      <c r="R2984" s="80" t="n"/>
      <c r="S2984" s="80" t="n"/>
      <c r="T2984" s="80" t="n"/>
      <c r="U2984" s="80" t="n"/>
      <c r="V2984" s="80" t="n"/>
      <c r="W2984" s="80" t="n"/>
      <c r="X2984" s="80" t="n"/>
      <c r="Y2984" s="80" t="n"/>
      <c r="Z2984" s="80" t="n"/>
      <c r="AA2984" s="80" t="n"/>
      <c r="AB2984" s="80" t="n"/>
      <c r="AC2984" s="80" t="n"/>
      <c r="AD2984" s="80" t="n"/>
      <c r="AE2984" s="80" t="n"/>
      <c r="AF2984" s="80" t="n"/>
      <c r="AG2984" s="80" t="n"/>
      <c r="AH2984" s="80" t="n"/>
      <c r="AI2984" s="80" t="n"/>
      <c r="AJ2984" s="80" t="n"/>
      <c r="AK2984" s="80" t="n"/>
      <c r="AL2984" s="80" t="n"/>
      <c r="AM2984" s="80" t="n"/>
      <c r="AN2984" s="80" t="n"/>
      <c r="AO2984" s="80" t="n"/>
      <c r="AP2984" s="80" t="n"/>
      <c r="AQ2984" s="80" t="n"/>
      <c r="AR2984" s="80" t="n"/>
    </row>
    <row r="2985">
      <c r="D2985" s="80" t="n"/>
      <c r="E2985" s="80" t="n"/>
      <c r="F2985" s="80" t="n"/>
      <c r="G2985" s="80" t="n"/>
      <c r="H2985" s="80" t="n"/>
      <c r="I2985" s="80" t="n"/>
      <c r="J2985" s="80" t="n"/>
      <c r="K2985" s="80" t="n"/>
      <c r="L2985" s="80" t="n"/>
      <c r="M2985" s="80" t="n"/>
      <c r="N2985" s="80" t="n"/>
      <c r="O2985" s="80" t="n"/>
      <c r="P2985" s="80" t="n"/>
      <c r="Q2985" s="80" t="n"/>
      <c r="R2985" s="80" t="n"/>
      <c r="S2985" s="80" t="n"/>
      <c r="T2985" s="80" t="n"/>
      <c r="U2985" s="80" t="n"/>
      <c r="V2985" s="80" t="n"/>
      <c r="W2985" s="80" t="n"/>
      <c r="X2985" s="80" t="n"/>
      <c r="Y2985" s="80" t="n"/>
      <c r="Z2985" s="80" t="n"/>
      <c r="AA2985" s="80" t="n"/>
      <c r="AB2985" s="80" t="n"/>
      <c r="AC2985" s="80" t="n"/>
      <c r="AD2985" s="80" t="n"/>
      <c r="AE2985" s="80" t="n"/>
      <c r="AF2985" s="80" t="n"/>
      <c r="AG2985" s="80" t="n"/>
      <c r="AH2985" s="80" t="n"/>
      <c r="AI2985" s="80" t="n"/>
      <c r="AJ2985" s="80" t="n"/>
      <c r="AK2985" s="80" t="n"/>
      <c r="AL2985" s="80" t="n"/>
      <c r="AM2985" s="80" t="n"/>
      <c r="AN2985" s="80" t="n"/>
      <c r="AO2985" s="80" t="n"/>
      <c r="AP2985" s="80" t="n"/>
      <c r="AQ2985" s="80" t="n"/>
      <c r="AR2985" s="80" t="n"/>
    </row>
    <row r="2986">
      <c r="D2986" s="80" t="n"/>
      <c r="E2986" s="80" t="n"/>
      <c r="F2986" s="80" t="n"/>
      <c r="G2986" s="80" t="n"/>
      <c r="H2986" s="80" t="n"/>
      <c r="I2986" s="80" t="n"/>
      <c r="J2986" s="80" t="n"/>
      <c r="K2986" s="80" t="n"/>
      <c r="L2986" s="80" t="n"/>
      <c r="M2986" s="80" t="n"/>
      <c r="N2986" s="80" t="n"/>
      <c r="O2986" s="80" t="n"/>
      <c r="P2986" s="80" t="n"/>
      <c r="Q2986" s="80" t="n"/>
      <c r="R2986" s="80" t="n"/>
      <c r="S2986" s="80" t="n"/>
      <c r="T2986" s="80" t="n"/>
      <c r="U2986" s="80" t="n"/>
      <c r="V2986" s="80" t="n"/>
      <c r="W2986" s="80" t="n"/>
      <c r="X2986" s="80" t="n"/>
      <c r="Y2986" s="80" t="n"/>
      <c r="Z2986" s="80" t="n"/>
      <c r="AA2986" s="80" t="n"/>
      <c r="AB2986" s="80" t="n"/>
      <c r="AC2986" s="80" t="n"/>
      <c r="AD2986" s="80" t="n"/>
      <c r="AE2986" s="80" t="n"/>
      <c r="AF2986" s="80" t="n"/>
      <c r="AG2986" s="80" t="n"/>
      <c r="AH2986" s="80" t="n"/>
      <c r="AI2986" s="80" t="n"/>
      <c r="AJ2986" s="80" t="n"/>
      <c r="AK2986" s="80" t="n"/>
      <c r="AL2986" s="80" t="n"/>
      <c r="AM2986" s="80" t="n"/>
      <c r="AN2986" s="80" t="n"/>
      <c r="AO2986" s="80" t="n"/>
      <c r="AP2986" s="80" t="n"/>
      <c r="AQ2986" s="80" t="n"/>
      <c r="AR2986" s="80" t="n"/>
    </row>
    <row r="2987">
      <c r="D2987" s="80" t="n"/>
      <c r="E2987" s="80" t="n"/>
      <c r="F2987" s="80" t="n"/>
      <c r="G2987" s="80" t="n"/>
      <c r="H2987" s="80" t="n"/>
      <c r="I2987" s="80" t="n"/>
      <c r="J2987" s="80" t="n"/>
      <c r="K2987" s="80" t="n"/>
      <c r="L2987" s="80" t="n"/>
      <c r="M2987" s="80" t="n"/>
      <c r="N2987" s="80" t="n"/>
      <c r="O2987" s="80" t="n"/>
      <c r="P2987" s="80" t="n"/>
      <c r="Q2987" s="80" t="n"/>
      <c r="R2987" s="80" t="n"/>
      <c r="S2987" s="80" t="n"/>
      <c r="T2987" s="80" t="n"/>
      <c r="U2987" s="80" t="n"/>
      <c r="V2987" s="80" t="n"/>
      <c r="W2987" s="80" t="n"/>
      <c r="X2987" s="80" t="n"/>
      <c r="Y2987" s="80" t="n"/>
      <c r="Z2987" s="80" t="n"/>
      <c r="AA2987" s="80" t="n"/>
      <c r="AB2987" s="80" t="n"/>
      <c r="AC2987" s="80" t="n"/>
      <c r="AD2987" s="80" t="n"/>
      <c r="AE2987" s="80" t="n"/>
      <c r="AF2987" s="80" t="n"/>
      <c r="AG2987" s="80" t="n"/>
      <c r="AH2987" s="80" t="n"/>
      <c r="AI2987" s="80" t="n"/>
      <c r="AJ2987" s="80" t="n"/>
      <c r="AK2987" s="80" t="n"/>
      <c r="AL2987" s="80" t="n"/>
      <c r="AM2987" s="80" t="n"/>
      <c r="AN2987" s="80" t="n"/>
      <c r="AO2987" s="80" t="n"/>
      <c r="AP2987" s="80" t="n"/>
      <c r="AQ2987" s="80" t="n"/>
      <c r="AR2987" s="80" t="n"/>
    </row>
    <row r="2989">
      <c r="A2989" s="6">
        <f>IF(HSCEI!$C$65="","",HSCEI!$C$65)</f>
        <v/>
      </c>
      <c r="B2989" s="41">
        <f>IF($A2989="",0,COUNT($E2990:$AR2990))</f>
        <v/>
      </c>
      <c r="C2989" s="81">
        <f>IF($B2989=0,0,MAX($E2990:$AR2990))</f>
        <v/>
      </c>
      <c r="D2989" s="82">
        <f>BDS($A2989,'Field Check'!$C$7,"headers=y","startcol=1","endcol=7","dir=h","DVD_START_DT",Summary!$C$18,"DVD_END_DT",Summary!$D$18)</f>
        <v/>
      </c>
      <c r="E2989" s="83" t="n"/>
      <c r="F2989" s="83" t="n"/>
      <c r="G2989" s="83" t="n"/>
      <c r="H2989" s="83" t="n"/>
      <c r="I2989" s="83" t="n"/>
      <c r="J2989" s="83" t="n"/>
      <c r="K2989" s="83" t="n"/>
      <c r="L2989" s="83" t="n"/>
      <c r="M2989" s="83" t="n"/>
      <c r="N2989" s="83" t="n"/>
      <c r="O2989" s="83" t="n"/>
      <c r="P2989" s="83" t="n"/>
      <c r="Q2989" s="83" t="n"/>
      <c r="R2989" s="83" t="n"/>
      <c r="S2989" s="83" t="n"/>
      <c r="T2989" s="83" t="n"/>
      <c r="U2989" s="83" t="n"/>
      <c r="V2989" s="83" t="n"/>
      <c r="W2989" s="83" t="n"/>
      <c r="X2989" s="83" t="n"/>
      <c r="Y2989" s="83" t="n"/>
      <c r="Z2989" s="83" t="n"/>
      <c r="AA2989" s="83" t="n"/>
      <c r="AB2989" s="83" t="n"/>
      <c r="AC2989" s="83" t="n"/>
      <c r="AD2989" s="83" t="n"/>
      <c r="AE2989" s="83" t="n"/>
      <c r="AF2989" s="83" t="n"/>
      <c r="AG2989" s="83" t="n"/>
      <c r="AH2989" s="83" t="n"/>
      <c r="AI2989" s="83" t="n"/>
      <c r="AJ2989" s="83" t="n"/>
      <c r="AK2989" s="83" t="n"/>
      <c r="AL2989" s="83" t="n"/>
      <c r="AM2989" s="83" t="n"/>
      <c r="AN2989" s="83" t="n"/>
      <c r="AO2989" s="83" t="n"/>
      <c r="AP2989" s="83" t="n"/>
      <c r="AQ2989" s="83" t="n"/>
      <c r="AR2989" s="83" t="n"/>
    </row>
    <row r="2990">
      <c r="D2990" s="83" t="n"/>
      <c r="E2990" s="83" t="n"/>
      <c r="F2990" s="83" t="n"/>
      <c r="G2990" s="83" t="n"/>
      <c r="H2990" s="83" t="n"/>
      <c r="I2990" s="83" t="n"/>
      <c r="J2990" s="83" t="n"/>
      <c r="K2990" s="83" t="n"/>
      <c r="L2990" s="83" t="n"/>
      <c r="M2990" s="83" t="n"/>
      <c r="N2990" s="83" t="n"/>
      <c r="O2990" s="83" t="n"/>
      <c r="P2990" s="83" t="n"/>
      <c r="Q2990" s="83" t="n"/>
      <c r="R2990" s="83" t="n"/>
      <c r="S2990" s="83" t="n"/>
      <c r="T2990" s="83" t="n"/>
      <c r="U2990" s="83" t="n"/>
      <c r="V2990" s="83" t="n"/>
      <c r="W2990" s="83" t="n"/>
      <c r="X2990" s="83" t="n"/>
      <c r="Y2990" s="83" t="n"/>
      <c r="Z2990" s="83" t="n"/>
      <c r="AA2990" s="83" t="n"/>
      <c r="AB2990" s="83" t="n"/>
      <c r="AC2990" s="83" t="n"/>
      <c r="AD2990" s="83" t="n"/>
      <c r="AE2990" s="83" t="n"/>
      <c r="AF2990" s="83" t="n"/>
      <c r="AG2990" s="83" t="n"/>
      <c r="AH2990" s="83" t="n"/>
      <c r="AI2990" s="83" t="n"/>
      <c r="AJ2990" s="83" t="n"/>
      <c r="AK2990" s="83" t="n"/>
      <c r="AL2990" s="83" t="n"/>
      <c r="AM2990" s="83" t="n"/>
      <c r="AN2990" s="83" t="n"/>
      <c r="AO2990" s="83" t="n"/>
      <c r="AP2990" s="83" t="n"/>
      <c r="AQ2990" s="83" t="n"/>
      <c r="AR2990" s="83" t="n"/>
    </row>
    <row r="2991">
      <c r="D2991" s="84" t="n"/>
      <c r="E2991" s="84" t="n"/>
      <c r="F2991" s="84" t="n"/>
      <c r="G2991" s="84" t="n"/>
      <c r="H2991" s="84" t="n"/>
      <c r="I2991" s="84" t="n"/>
      <c r="J2991" s="84" t="n"/>
      <c r="K2991" s="84" t="n"/>
      <c r="L2991" s="84" t="n"/>
      <c r="M2991" s="84" t="n"/>
      <c r="N2991" s="84" t="n"/>
      <c r="O2991" s="84" t="n"/>
      <c r="P2991" s="84" t="n"/>
      <c r="Q2991" s="84" t="n"/>
      <c r="R2991" s="84" t="n"/>
      <c r="S2991" s="84" t="n"/>
      <c r="T2991" s="84" t="n"/>
      <c r="U2991" s="84" t="n"/>
      <c r="V2991" s="84" t="n"/>
      <c r="W2991" s="84" t="n"/>
      <c r="X2991" s="84" t="n"/>
      <c r="Y2991" s="84" t="n"/>
      <c r="Z2991" s="84" t="n"/>
      <c r="AA2991" s="84" t="n"/>
      <c r="AB2991" s="84" t="n"/>
      <c r="AC2991" s="84" t="n"/>
      <c r="AD2991" s="84" t="n"/>
      <c r="AE2991" s="84" t="n"/>
      <c r="AF2991" s="84" t="n"/>
      <c r="AG2991" s="84" t="n"/>
      <c r="AH2991" s="84" t="n"/>
      <c r="AI2991" s="84" t="n"/>
      <c r="AJ2991" s="84" t="n"/>
      <c r="AK2991" s="84" t="n"/>
      <c r="AL2991" s="84" t="n"/>
      <c r="AM2991" s="84" t="n"/>
      <c r="AN2991" s="84" t="n"/>
      <c r="AO2991" s="84" t="n"/>
      <c r="AP2991" s="84" t="n"/>
      <c r="AQ2991" s="84" t="n"/>
      <c r="AR2991" s="84" t="n"/>
    </row>
    <row r="2992">
      <c r="D2992" s="80" t="n"/>
      <c r="E2992" s="80" t="n"/>
      <c r="F2992" s="80" t="n"/>
      <c r="G2992" s="80" t="n"/>
      <c r="H2992" s="80" t="n"/>
      <c r="I2992" s="80" t="n"/>
      <c r="J2992" s="80" t="n"/>
      <c r="K2992" s="80" t="n"/>
      <c r="L2992" s="80" t="n"/>
      <c r="M2992" s="80" t="n"/>
      <c r="N2992" s="80" t="n"/>
      <c r="O2992" s="80" t="n"/>
      <c r="P2992" s="80" t="n"/>
      <c r="Q2992" s="80" t="n"/>
      <c r="R2992" s="80" t="n"/>
      <c r="S2992" s="80" t="n"/>
      <c r="T2992" s="80" t="n"/>
      <c r="U2992" s="80" t="n"/>
      <c r="V2992" s="80" t="n"/>
      <c r="W2992" s="80" t="n"/>
      <c r="X2992" s="80" t="n"/>
      <c r="Y2992" s="80" t="n"/>
      <c r="Z2992" s="80" t="n"/>
      <c r="AA2992" s="80" t="n"/>
      <c r="AB2992" s="80" t="n"/>
      <c r="AC2992" s="80" t="n"/>
      <c r="AD2992" s="80" t="n"/>
      <c r="AE2992" s="80" t="n"/>
      <c r="AF2992" s="80" t="n"/>
      <c r="AG2992" s="80" t="n"/>
      <c r="AH2992" s="80" t="n"/>
      <c r="AI2992" s="80" t="n"/>
      <c r="AJ2992" s="80" t="n"/>
      <c r="AK2992" s="80" t="n"/>
      <c r="AL2992" s="80" t="n"/>
      <c r="AM2992" s="80" t="n"/>
      <c r="AN2992" s="80" t="n"/>
      <c r="AO2992" s="80" t="n"/>
      <c r="AP2992" s="80" t="n"/>
      <c r="AQ2992" s="80" t="n"/>
      <c r="AR2992" s="80" t="n"/>
    </row>
    <row r="2993">
      <c r="D2993" s="80" t="n"/>
      <c r="E2993" s="80" t="n"/>
      <c r="F2993" s="80" t="n"/>
      <c r="G2993" s="80" t="n"/>
      <c r="H2993" s="80" t="n"/>
      <c r="I2993" s="80" t="n"/>
      <c r="J2993" s="80" t="n"/>
      <c r="K2993" s="80" t="n"/>
      <c r="L2993" s="80" t="n"/>
      <c r="M2993" s="80" t="n"/>
      <c r="N2993" s="80" t="n"/>
      <c r="O2993" s="80" t="n"/>
      <c r="P2993" s="80" t="n"/>
      <c r="Q2993" s="80" t="n"/>
      <c r="R2993" s="80" t="n"/>
      <c r="S2993" s="80" t="n"/>
      <c r="T2993" s="80" t="n"/>
      <c r="U2993" s="80" t="n"/>
      <c r="V2993" s="80" t="n"/>
      <c r="W2993" s="80" t="n"/>
      <c r="X2993" s="80" t="n"/>
      <c r="Y2993" s="80" t="n"/>
      <c r="Z2993" s="80" t="n"/>
      <c r="AA2993" s="80" t="n"/>
      <c r="AB2993" s="80" t="n"/>
      <c r="AC2993" s="80" t="n"/>
      <c r="AD2993" s="80" t="n"/>
      <c r="AE2993" s="80" t="n"/>
      <c r="AF2993" s="80" t="n"/>
      <c r="AG2993" s="80" t="n"/>
      <c r="AH2993" s="80" t="n"/>
      <c r="AI2993" s="80" t="n"/>
      <c r="AJ2993" s="80" t="n"/>
      <c r="AK2993" s="80" t="n"/>
      <c r="AL2993" s="80" t="n"/>
      <c r="AM2993" s="80" t="n"/>
      <c r="AN2993" s="80" t="n"/>
      <c r="AO2993" s="80" t="n"/>
      <c r="AP2993" s="80" t="n"/>
      <c r="AQ2993" s="80" t="n"/>
      <c r="AR2993" s="80" t="n"/>
    </row>
    <row r="2994">
      <c r="D2994" s="80" t="n"/>
      <c r="E2994" s="80" t="n"/>
      <c r="F2994" s="80" t="n"/>
      <c r="G2994" s="80" t="n"/>
      <c r="H2994" s="80" t="n"/>
      <c r="I2994" s="80" t="n"/>
      <c r="J2994" s="80" t="n"/>
      <c r="K2994" s="80" t="n"/>
      <c r="L2994" s="80" t="n"/>
      <c r="M2994" s="80" t="n"/>
      <c r="N2994" s="80" t="n"/>
      <c r="O2994" s="80" t="n"/>
      <c r="P2994" s="80" t="n"/>
      <c r="Q2994" s="80" t="n"/>
      <c r="R2994" s="80" t="n"/>
      <c r="S2994" s="80" t="n"/>
      <c r="T2994" s="80" t="n"/>
      <c r="U2994" s="80" t="n"/>
      <c r="V2994" s="80" t="n"/>
      <c r="W2994" s="80" t="n"/>
      <c r="X2994" s="80" t="n"/>
      <c r="Y2994" s="80" t="n"/>
      <c r="Z2994" s="80" t="n"/>
      <c r="AA2994" s="80" t="n"/>
      <c r="AB2994" s="80" t="n"/>
      <c r="AC2994" s="80" t="n"/>
      <c r="AD2994" s="80" t="n"/>
      <c r="AE2994" s="80" t="n"/>
      <c r="AF2994" s="80" t="n"/>
      <c r="AG2994" s="80" t="n"/>
      <c r="AH2994" s="80" t="n"/>
      <c r="AI2994" s="80" t="n"/>
      <c r="AJ2994" s="80" t="n"/>
      <c r="AK2994" s="80" t="n"/>
      <c r="AL2994" s="80" t="n"/>
      <c r="AM2994" s="80" t="n"/>
      <c r="AN2994" s="80" t="n"/>
      <c r="AO2994" s="80" t="n"/>
      <c r="AP2994" s="80" t="n"/>
      <c r="AQ2994" s="80" t="n"/>
      <c r="AR2994" s="80" t="n"/>
    </row>
    <row r="2995">
      <c r="D2995" s="80" t="n"/>
      <c r="E2995" s="80" t="n"/>
      <c r="F2995" s="80" t="n"/>
      <c r="G2995" s="80" t="n"/>
      <c r="H2995" s="80" t="n"/>
      <c r="I2995" s="80" t="n"/>
      <c r="J2995" s="80" t="n"/>
      <c r="K2995" s="80" t="n"/>
      <c r="L2995" s="80" t="n"/>
      <c r="M2995" s="80" t="n"/>
      <c r="N2995" s="80" t="n"/>
      <c r="O2995" s="80" t="n"/>
      <c r="P2995" s="80" t="n"/>
      <c r="Q2995" s="80" t="n"/>
      <c r="R2995" s="80" t="n"/>
      <c r="S2995" s="80" t="n"/>
      <c r="T2995" s="80" t="n"/>
      <c r="U2995" s="80" t="n"/>
      <c r="V2995" s="80" t="n"/>
      <c r="W2995" s="80" t="n"/>
      <c r="X2995" s="80" t="n"/>
      <c r="Y2995" s="80" t="n"/>
      <c r="Z2995" s="80" t="n"/>
      <c r="AA2995" s="80" t="n"/>
      <c r="AB2995" s="80" t="n"/>
      <c r="AC2995" s="80" t="n"/>
      <c r="AD2995" s="80" t="n"/>
      <c r="AE2995" s="80" t="n"/>
      <c r="AF2995" s="80" t="n"/>
      <c r="AG2995" s="80" t="n"/>
      <c r="AH2995" s="80" t="n"/>
      <c r="AI2995" s="80" t="n"/>
      <c r="AJ2995" s="80" t="n"/>
      <c r="AK2995" s="80" t="n"/>
      <c r="AL2995" s="80" t="n"/>
      <c r="AM2995" s="80" t="n"/>
      <c r="AN2995" s="80" t="n"/>
      <c r="AO2995" s="80" t="n"/>
      <c r="AP2995" s="80" t="n"/>
      <c r="AQ2995" s="80" t="n"/>
      <c r="AR2995" s="80" t="n"/>
    </row>
    <row r="2996">
      <c r="A2996" s="2">
        <f>IF($A2989="","","   projections")</f>
        <v/>
      </c>
      <c r="B2996" s="41">
        <f>IF($A2989="",0,COUNT($E2997:$AR2997))</f>
        <v/>
      </c>
      <c r="C2996" s="81">
        <f>IF($B2996=0,0,MAX($E2997:$AR2997))</f>
        <v/>
      </c>
      <c r="D2996" s="82">
        <f>BDS($A2989,'Field Check'!$C$6,"headers=y","startcol=1","endcol=7","dir=h")</f>
        <v/>
      </c>
      <c r="E2996" s="83" t="n"/>
      <c r="F2996" s="83" t="n"/>
      <c r="G2996" s="83" t="n"/>
      <c r="H2996" s="83" t="n"/>
      <c r="I2996" s="83" t="n"/>
      <c r="J2996" s="83" t="n"/>
      <c r="K2996" s="83" t="n"/>
      <c r="L2996" s="83" t="n"/>
      <c r="M2996" s="83" t="n"/>
      <c r="N2996" s="83" t="n"/>
      <c r="O2996" s="83" t="n"/>
      <c r="P2996" s="83" t="n"/>
      <c r="Q2996" s="83" t="n"/>
      <c r="R2996" s="83" t="n"/>
      <c r="S2996" s="83" t="n"/>
      <c r="T2996" s="83" t="n"/>
      <c r="U2996" s="83" t="n"/>
      <c r="V2996" s="83" t="n"/>
      <c r="W2996" s="83" t="n"/>
      <c r="X2996" s="83" t="n"/>
      <c r="Y2996" s="83" t="n"/>
      <c r="Z2996" s="83" t="n"/>
      <c r="AA2996" s="83" t="n"/>
      <c r="AB2996" s="83" t="n"/>
      <c r="AC2996" s="83" t="n"/>
      <c r="AD2996" s="83" t="n"/>
      <c r="AE2996" s="83" t="n"/>
      <c r="AF2996" s="83" t="n"/>
      <c r="AG2996" s="83" t="n"/>
      <c r="AH2996" s="83" t="n"/>
      <c r="AI2996" s="83" t="n"/>
      <c r="AJ2996" s="83" t="n"/>
      <c r="AK2996" s="83" t="n"/>
      <c r="AL2996" s="83" t="n"/>
      <c r="AM2996" s="83" t="n"/>
      <c r="AN2996" s="83" t="n"/>
      <c r="AO2996" s="83" t="n"/>
      <c r="AP2996" s="83" t="n"/>
      <c r="AQ2996" s="83" t="n"/>
      <c r="AR2996" s="83" t="n"/>
    </row>
    <row r="2997">
      <c r="D2997" s="83" t="n"/>
      <c r="E2997" s="83" t="n"/>
      <c r="F2997" s="83" t="n"/>
      <c r="G2997" s="83" t="n"/>
      <c r="H2997" s="83" t="n"/>
      <c r="I2997" s="83" t="n"/>
      <c r="J2997" s="83" t="n"/>
      <c r="K2997" s="83" t="n"/>
      <c r="L2997" s="83" t="n"/>
      <c r="M2997" s="83" t="n"/>
      <c r="N2997" s="83" t="n"/>
      <c r="O2997" s="83" t="n"/>
      <c r="P2997" s="83" t="n"/>
      <c r="Q2997" s="83" t="n"/>
      <c r="R2997" s="83" t="n"/>
      <c r="S2997" s="83" t="n"/>
      <c r="T2997" s="83" t="n"/>
      <c r="U2997" s="83" t="n"/>
      <c r="V2997" s="83" t="n"/>
      <c r="W2997" s="83" t="n"/>
      <c r="X2997" s="83" t="n"/>
      <c r="Y2997" s="83" t="n"/>
      <c r="Z2997" s="83" t="n"/>
      <c r="AA2997" s="83" t="n"/>
      <c r="AB2997" s="83" t="n"/>
      <c r="AC2997" s="83" t="n"/>
      <c r="AD2997" s="83" t="n"/>
      <c r="AE2997" s="83" t="n"/>
      <c r="AF2997" s="83" t="n"/>
      <c r="AG2997" s="83" t="n"/>
      <c r="AH2997" s="83" t="n"/>
      <c r="AI2997" s="83" t="n"/>
      <c r="AJ2997" s="83" t="n"/>
      <c r="AK2997" s="83" t="n"/>
      <c r="AL2997" s="83" t="n"/>
      <c r="AM2997" s="83" t="n"/>
      <c r="AN2997" s="83" t="n"/>
      <c r="AO2997" s="83" t="n"/>
      <c r="AP2997" s="83" t="n"/>
      <c r="AQ2997" s="83" t="n"/>
      <c r="AR2997" s="83" t="n"/>
    </row>
    <row r="2998">
      <c r="D2998" s="84" t="n"/>
      <c r="E2998" s="84" t="n"/>
      <c r="F2998" s="84" t="n"/>
      <c r="G2998" s="84" t="n"/>
      <c r="H2998" s="84" t="n"/>
      <c r="I2998" s="84" t="n"/>
      <c r="J2998" s="84" t="n"/>
      <c r="K2998" s="84" t="n"/>
      <c r="L2998" s="84" t="n"/>
      <c r="M2998" s="84" t="n"/>
      <c r="N2998" s="84" t="n"/>
      <c r="O2998" s="84" t="n"/>
      <c r="P2998" s="84" t="n"/>
      <c r="Q2998" s="84" t="n"/>
      <c r="R2998" s="84" t="n"/>
      <c r="S2998" s="84" t="n"/>
      <c r="T2998" s="84" t="n"/>
      <c r="U2998" s="84" t="n"/>
      <c r="V2998" s="84" t="n"/>
      <c r="W2998" s="84" t="n"/>
      <c r="X2998" s="84" t="n"/>
      <c r="Y2998" s="84" t="n"/>
      <c r="Z2998" s="84" t="n"/>
      <c r="AA2998" s="84" t="n"/>
      <c r="AB2998" s="84" t="n"/>
      <c r="AC2998" s="84" t="n"/>
      <c r="AD2998" s="84" t="n"/>
      <c r="AE2998" s="84" t="n"/>
      <c r="AF2998" s="84" t="n"/>
      <c r="AG2998" s="84" t="n"/>
      <c r="AH2998" s="84" t="n"/>
      <c r="AI2998" s="84" t="n"/>
      <c r="AJ2998" s="84" t="n"/>
      <c r="AK2998" s="84" t="n"/>
      <c r="AL2998" s="84" t="n"/>
      <c r="AM2998" s="84" t="n"/>
      <c r="AN2998" s="84" t="n"/>
      <c r="AO2998" s="84" t="n"/>
      <c r="AP2998" s="84" t="n"/>
      <c r="AQ2998" s="84" t="n"/>
      <c r="AR2998" s="84" t="n"/>
    </row>
    <row r="2999">
      <c r="D2999" s="80" t="n"/>
      <c r="E2999" s="80" t="n"/>
      <c r="F2999" s="80" t="n"/>
      <c r="G2999" s="80" t="n"/>
      <c r="H2999" s="80" t="n"/>
      <c r="I2999" s="80" t="n"/>
      <c r="J2999" s="80" t="n"/>
      <c r="K2999" s="80" t="n"/>
      <c r="L2999" s="80" t="n"/>
      <c r="M2999" s="80" t="n"/>
      <c r="N2999" s="80" t="n"/>
      <c r="O2999" s="80" t="n"/>
      <c r="P2999" s="80" t="n"/>
      <c r="Q2999" s="80" t="n"/>
      <c r="R2999" s="80" t="n"/>
      <c r="S2999" s="80" t="n"/>
      <c r="T2999" s="80" t="n"/>
      <c r="U2999" s="80" t="n"/>
      <c r="V2999" s="80" t="n"/>
      <c r="W2999" s="80" t="n"/>
      <c r="X2999" s="80" t="n"/>
      <c r="Y2999" s="80" t="n"/>
      <c r="Z2999" s="80" t="n"/>
      <c r="AA2999" s="80" t="n"/>
      <c r="AB2999" s="80" t="n"/>
      <c r="AC2999" s="80" t="n"/>
      <c r="AD2999" s="80" t="n"/>
      <c r="AE2999" s="80" t="n"/>
      <c r="AF2999" s="80" t="n"/>
      <c r="AG2999" s="80" t="n"/>
      <c r="AH2999" s="80" t="n"/>
      <c r="AI2999" s="80" t="n"/>
      <c r="AJ2999" s="80" t="n"/>
      <c r="AK2999" s="80" t="n"/>
      <c r="AL2999" s="80" t="n"/>
      <c r="AM2999" s="80" t="n"/>
      <c r="AN2999" s="80" t="n"/>
      <c r="AO2999" s="80" t="n"/>
      <c r="AP2999" s="80" t="n"/>
      <c r="AQ2999" s="80" t="n"/>
      <c r="AR2999" s="80" t="n"/>
    </row>
    <row r="3000">
      <c r="D3000" s="80" t="n"/>
      <c r="E3000" s="80" t="n"/>
      <c r="F3000" s="80" t="n"/>
      <c r="G3000" s="80" t="n"/>
      <c r="H3000" s="80" t="n"/>
      <c r="I3000" s="80" t="n"/>
      <c r="J3000" s="80" t="n"/>
      <c r="K3000" s="80" t="n"/>
      <c r="L3000" s="80" t="n"/>
      <c r="M3000" s="80" t="n"/>
      <c r="N3000" s="80" t="n"/>
      <c r="O3000" s="80" t="n"/>
      <c r="P3000" s="80" t="n"/>
      <c r="Q3000" s="80" t="n"/>
      <c r="R3000" s="80" t="n"/>
      <c r="S3000" s="80" t="n"/>
      <c r="T3000" s="80" t="n"/>
      <c r="U3000" s="80" t="n"/>
      <c r="V3000" s="80" t="n"/>
      <c r="W3000" s="80" t="n"/>
      <c r="X3000" s="80" t="n"/>
      <c r="Y3000" s="80" t="n"/>
      <c r="Z3000" s="80" t="n"/>
      <c r="AA3000" s="80" t="n"/>
      <c r="AB3000" s="80" t="n"/>
      <c r="AC3000" s="80" t="n"/>
      <c r="AD3000" s="80" t="n"/>
      <c r="AE3000" s="80" t="n"/>
      <c r="AF3000" s="80" t="n"/>
      <c r="AG3000" s="80" t="n"/>
      <c r="AH3000" s="80" t="n"/>
      <c r="AI3000" s="80" t="n"/>
      <c r="AJ3000" s="80" t="n"/>
      <c r="AK3000" s="80" t="n"/>
      <c r="AL3000" s="80" t="n"/>
      <c r="AM3000" s="80" t="n"/>
      <c r="AN3000" s="80" t="n"/>
      <c r="AO3000" s="80" t="n"/>
      <c r="AP3000" s="80" t="n"/>
      <c r="AQ3000" s="80" t="n"/>
      <c r="AR3000" s="80" t="n"/>
    </row>
    <row r="3001">
      <c r="D3001" s="80" t="n"/>
      <c r="E3001" s="80" t="n"/>
      <c r="F3001" s="80" t="n"/>
      <c r="G3001" s="80" t="n"/>
      <c r="H3001" s="80" t="n"/>
      <c r="I3001" s="80" t="n"/>
      <c r="J3001" s="80" t="n"/>
      <c r="K3001" s="80" t="n"/>
      <c r="L3001" s="80" t="n"/>
      <c r="M3001" s="80" t="n"/>
      <c r="N3001" s="80" t="n"/>
      <c r="O3001" s="80" t="n"/>
      <c r="P3001" s="80" t="n"/>
      <c r="Q3001" s="80" t="n"/>
      <c r="R3001" s="80" t="n"/>
      <c r="S3001" s="80" t="n"/>
      <c r="T3001" s="80" t="n"/>
      <c r="U3001" s="80" t="n"/>
      <c r="V3001" s="80" t="n"/>
      <c r="W3001" s="80" t="n"/>
      <c r="X3001" s="80" t="n"/>
      <c r="Y3001" s="80" t="n"/>
      <c r="Z3001" s="80" t="n"/>
      <c r="AA3001" s="80" t="n"/>
      <c r="AB3001" s="80" t="n"/>
      <c r="AC3001" s="80" t="n"/>
      <c r="AD3001" s="80" t="n"/>
      <c r="AE3001" s="80" t="n"/>
      <c r="AF3001" s="80" t="n"/>
      <c r="AG3001" s="80" t="n"/>
      <c r="AH3001" s="80" t="n"/>
      <c r="AI3001" s="80" t="n"/>
      <c r="AJ3001" s="80" t="n"/>
      <c r="AK3001" s="80" t="n"/>
      <c r="AL3001" s="80" t="n"/>
      <c r="AM3001" s="80" t="n"/>
      <c r="AN3001" s="80" t="n"/>
      <c r="AO3001" s="80" t="n"/>
      <c r="AP3001" s="80" t="n"/>
      <c r="AQ3001" s="80" t="n"/>
      <c r="AR3001" s="80" t="n"/>
    </row>
    <row r="3002">
      <c r="D3002" s="80" t="n"/>
      <c r="E3002" s="80" t="n"/>
      <c r="F3002" s="80" t="n"/>
      <c r="G3002" s="80" t="n"/>
      <c r="H3002" s="80" t="n"/>
      <c r="I3002" s="80" t="n"/>
      <c r="J3002" s="80" t="n"/>
      <c r="K3002" s="80" t="n"/>
      <c r="L3002" s="80" t="n"/>
      <c r="M3002" s="80" t="n"/>
      <c r="N3002" s="80" t="n"/>
      <c r="O3002" s="80" t="n"/>
      <c r="P3002" s="80" t="n"/>
      <c r="Q3002" s="80" t="n"/>
      <c r="R3002" s="80" t="n"/>
      <c r="S3002" s="80" t="n"/>
      <c r="T3002" s="80" t="n"/>
      <c r="U3002" s="80" t="n"/>
      <c r="V3002" s="80" t="n"/>
      <c r="W3002" s="80" t="n"/>
      <c r="X3002" s="80" t="n"/>
      <c r="Y3002" s="80" t="n"/>
      <c r="Z3002" s="80" t="n"/>
      <c r="AA3002" s="80" t="n"/>
      <c r="AB3002" s="80" t="n"/>
      <c r="AC3002" s="80" t="n"/>
      <c r="AD3002" s="80" t="n"/>
      <c r="AE3002" s="80" t="n"/>
      <c r="AF3002" s="80" t="n"/>
      <c r="AG3002" s="80" t="n"/>
      <c r="AH3002" s="80" t="n"/>
      <c r="AI3002" s="80" t="n"/>
      <c r="AJ3002" s="80" t="n"/>
      <c r="AK3002" s="80" t="n"/>
      <c r="AL3002" s="80" t="n"/>
      <c r="AM3002" s="80" t="n"/>
      <c r="AN3002" s="80" t="n"/>
      <c r="AO3002" s="80" t="n"/>
      <c r="AP3002" s="80" t="n"/>
      <c r="AQ3002" s="80" t="n"/>
      <c r="AR3002" s="80" t="n"/>
    </row>
    <row r="3004">
      <c r="A3004" s="6">
        <f>IF(HSCEI!$C$66="","",HSCEI!$C$66)</f>
        <v/>
      </c>
      <c r="B3004" s="41">
        <f>IF($A3004="",0,COUNT($E3005:$AR3005))</f>
        <v/>
      </c>
      <c r="C3004" s="81">
        <f>IF($B3004=0,0,MAX($E3005:$AR3005))</f>
        <v/>
      </c>
      <c r="D3004" s="82">
        <f>BDS($A3004,'Field Check'!$C$7,"headers=y","startcol=1","endcol=7","dir=h","DVD_START_DT",Summary!$C$18,"DVD_END_DT",Summary!$D$18)</f>
        <v/>
      </c>
      <c r="E3004" s="83" t="n"/>
      <c r="F3004" s="83" t="n"/>
      <c r="G3004" s="83" t="n"/>
      <c r="H3004" s="83" t="n"/>
      <c r="I3004" s="83" t="n"/>
      <c r="J3004" s="83" t="n"/>
      <c r="K3004" s="83" t="n"/>
      <c r="L3004" s="83" t="n"/>
      <c r="M3004" s="83" t="n"/>
      <c r="N3004" s="83" t="n"/>
      <c r="O3004" s="83" t="n"/>
      <c r="P3004" s="83" t="n"/>
      <c r="Q3004" s="83" t="n"/>
      <c r="R3004" s="83" t="n"/>
      <c r="S3004" s="83" t="n"/>
      <c r="T3004" s="83" t="n"/>
      <c r="U3004" s="83" t="n"/>
      <c r="V3004" s="83" t="n"/>
      <c r="W3004" s="83" t="n"/>
      <c r="X3004" s="83" t="n"/>
      <c r="Y3004" s="83" t="n"/>
      <c r="Z3004" s="83" t="n"/>
      <c r="AA3004" s="83" t="n"/>
      <c r="AB3004" s="83" t="n"/>
      <c r="AC3004" s="83" t="n"/>
      <c r="AD3004" s="83" t="n"/>
      <c r="AE3004" s="83" t="n"/>
      <c r="AF3004" s="83" t="n"/>
      <c r="AG3004" s="83" t="n"/>
      <c r="AH3004" s="83" t="n"/>
      <c r="AI3004" s="83" t="n"/>
      <c r="AJ3004" s="83" t="n"/>
      <c r="AK3004" s="83" t="n"/>
      <c r="AL3004" s="83" t="n"/>
      <c r="AM3004" s="83" t="n"/>
      <c r="AN3004" s="83" t="n"/>
      <c r="AO3004" s="83" t="n"/>
      <c r="AP3004" s="83" t="n"/>
      <c r="AQ3004" s="83" t="n"/>
      <c r="AR3004" s="83" t="n"/>
    </row>
    <row r="3005">
      <c r="D3005" s="83" t="n"/>
      <c r="E3005" s="83" t="n"/>
      <c r="F3005" s="83" t="n"/>
      <c r="G3005" s="83" t="n"/>
      <c r="H3005" s="83" t="n"/>
      <c r="I3005" s="83" t="n"/>
      <c r="J3005" s="83" t="n"/>
      <c r="K3005" s="83" t="n"/>
      <c r="L3005" s="83" t="n"/>
      <c r="M3005" s="83" t="n"/>
      <c r="N3005" s="83" t="n"/>
      <c r="O3005" s="83" t="n"/>
      <c r="P3005" s="83" t="n"/>
      <c r="Q3005" s="83" t="n"/>
      <c r="R3005" s="83" t="n"/>
      <c r="S3005" s="83" t="n"/>
      <c r="T3005" s="83" t="n"/>
      <c r="U3005" s="83" t="n"/>
      <c r="V3005" s="83" t="n"/>
      <c r="W3005" s="83" t="n"/>
      <c r="X3005" s="83" t="n"/>
      <c r="Y3005" s="83" t="n"/>
      <c r="Z3005" s="83" t="n"/>
      <c r="AA3005" s="83" t="n"/>
      <c r="AB3005" s="83" t="n"/>
      <c r="AC3005" s="83" t="n"/>
      <c r="AD3005" s="83" t="n"/>
      <c r="AE3005" s="83" t="n"/>
      <c r="AF3005" s="83" t="n"/>
      <c r="AG3005" s="83" t="n"/>
      <c r="AH3005" s="83" t="n"/>
      <c r="AI3005" s="83" t="n"/>
      <c r="AJ3005" s="83" t="n"/>
      <c r="AK3005" s="83" t="n"/>
      <c r="AL3005" s="83" t="n"/>
      <c r="AM3005" s="83" t="n"/>
      <c r="AN3005" s="83" t="n"/>
      <c r="AO3005" s="83" t="n"/>
      <c r="AP3005" s="83" t="n"/>
      <c r="AQ3005" s="83" t="n"/>
      <c r="AR3005" s="83" t="n"/>
    </row>
    <row r="3006">
      <c r="D3006" s="84" t="n"/>
      <c r="E3006" s="84" t="n"/>
      <c r="F3006" s="84" t="n"/>
      <c r="G3006" s="84" t="n"/>
      <c r="H3006" s="84" t="n"/>
      <c r="I3006" s="84" t="n"/>
      <c r="J3006" s="84" t="n"/>
      <c r="K3006" s="84" t="n"/>
      <c r="L3006" s="84" t="n"/>
      <c r="M3006" s="84" t="n"/>
      <c r="N3006" s="84" t="n"/>
      <c r="O3006" s="84" t="n"/>
      <c r="P3006" s="84" t="n"/>
      <c r="Q3006" s="84" t="n"/>
      <c r="R3006" s="84" t="n"/>
      <c r="S3006" s="84" t="n"/>
      <c r="T3006" s="84" t="n"/>
      <c r="U3006" s="84" t="n"/>
      <c r="V3006" s="84" t="n"/>
      <c r="W3006" s="84" t="n"/>
      <c r="X3006" s="84" t="n"/>
      <c r="Y3006" s="84" t="n"/>
      <c r="Z3006" s="84" t="n"/>
      <c r="AA3006" s="84" t="n"/>
      <c r="AB3006" s="84" t="n"/>
      <c r="AC3006" s="84" t="n"/>
      <c r="AD3006" s="84" t="n"/>
      <c r="AE3006" s="84" t="n"/>
      <c r="AF3006" s="84" t="n"/>
      <c r="AG3006" s="84" t="n"/>
      <c r="AH3006" s="84" t="n"/>
      <c r="AI3006" s="84" t="n"/>
      <c r="AJ3006" s="84" t="n"/>
      <c r="AK3006" s="84" t="n"/>
      <c r="AL3006" s="84" t="n"/>
      <c r="AM3006" s="84" t="n"/>
      <c r="AN3006" s="84" t="n"/>
      <c r="AO3006" s="84" t="n"/>
      <c r="AP3006" s="84" t="n"/>
      <c r="AQ3006" s="84" t="n"/>
      <c r="AR3006" s="84" t="n"/>
    </row>
    <row r="3007">
      <c r="D3007" s="80" t="n"/>
      <c r="E3007" s="80" t="n"/>
      <c r="F3007" s="80" t="n"/>
      <c r="G3007" s="80" t="n"/>
      <c r="H3007" s="80" t="n"/>
      <c r="I3007" s="80" t="n"/>
      <c r="J3007" s="80" t="n"/>
      <c r="K3007" s="80" t="n"/>
      <c r="L3007" s="80" t="n"/>
      <c r="M3007" s="80" t="n"/>
      <c r="N3007" s="80" t="n"/>
      <c r="O3007" s="80" t="n"/>
      <c r="P3007" s="80" t="n"/>
      <c r="Q3007" s="80" t="n"/>
      <c r="R3007" s="80" t="n"/>
      <c r="S3007" s="80" t="n"/>
      <c r="T3007" s="80" t="n"/>
      <c r="U3007" s="80" t="n"/>
      <c r="V3007" s="80" t="n"/>
      <c r="W3007" s="80" t="n"/>
      <c r="X3007" s="80" t="n"/>
      <c r="Y3007" s="80" t="n"/>
      <c r="Z3007" s="80" t="n"/>
      <c r="AA3007" s="80" t="n"/>
      <c r="AB3007" s="80" t="n"/>
      <c r="AC3007" s="80" t="n"/>
      <c r="AD3007" s="80" t="n"/>
      <c r="AE3007" s="80" t="n"/>
      <c r="AF3007" s="80" t="n"/>
      <c r="AG3007" s="80" t="n"/>
      <c r="AH3007" s="80" t="n"/>
      <c r="AI3007" s="80" t="n"/>
      <c r="AJ3007" s="80" t="n"/>
      <c r="AK3007" s="80" t="n"/>
      <c r="AL3007" s="80" t="n"/>
      <c r="AM3007" s="80" t="n"/>
      <c r="AN3007" s="80" t="n"/>
      <c r="AO3007" s="80" t="n"/>
      <c r="AP3007" s="80" t="n"/>
      <c r="AQ3007" s="80" t="n"/>
      <c r="AR3007" s="80" t="n"/>
    </row>
    <row r="3008">
      <c r="D3008" s="80" t="n"/>
      <c r="E3008" s="80" t="n"/>
      <c r="F3008" s="80" t="n"/>
      <c r="G3008" s="80" t="n"/>
      <c r="H3008" s="80" t="n"/>
      <c r="I3008" s="80" t="n"/>
      <c r="J3008" s="80" t="n"/>
      <c r="K3008" s="80" t="n"/>
      <c r="L3008" s="80" t="n"/>
      <c r="M3008" s="80" t="n"/>
      <c r="N3008" s="80" t="n"/>
      <c r="O3008" s="80" t="n"/>
      <c r="P3008" s="80" t="n"/>
      <c r="Q3008" s="80" t="n"/>
      <c r="R3008" s="80" t="n"/>
      <c r="S3008" s="80" t="n"/>
      <c r="T3008" s="80" t="n"/>
      <c r="U3008" s="80" t="n"/>
      <c r="V3008" s="80" t="n"/>
      <c r="W3008" s="80" t="n"/>
      <c r="X3008" s="80" t="n"/>
      <c r="Y3008" s="80" t="n"/>
      <c r="Z3008" s="80" t="n"/>
      <c r="AA3008" s="80" t="n"/>
      <c r="AB3008" s="80" t="n"/>
      <c r="AC3008" s="80" t="n"/>
      <c r="AD3008" s="80" t="n"/>
      <c r="AE3008" s="80" t="n"/>
      <c r="AF3008" s="80" t="n"/>
      <c r="AG3008" s="80" t="n"/>
      <c r="AH3008" s="80" t="n"/>
      <c r="AI3008" s="80" t="n"/>
      <c r="AJ3008" s="80" t="n"/>
      <c r="AK3008" s="80" t="n"/>
      <c r="AL3008" s="80" t="n"/>
      <c r="AM3008" s="80" t="n"/>
      <c r="AN3008" s="80" t="n"/>
      <c r="AO3008" s="80" t="n"/>
      <c r="AP3008" s="80" t="n"/>
      <c r="AQ3008" s="80" t="n"/>
      <c r="AR3008" s="80" t="n"/>
    </row>
    <row r="3009">
      <c r="D3009" s="80" t="n"/>
      <c r="E3009" s="80" t="n"/>
      <c r="F3009" s="80" t="n"/>
      <c r="G3009" s="80" t="n"/>
      <c r="H3009" s="80" t="n"/>
      <c r="I3009" s="80" t="n"/>
      <c r="J3009" s="80" t="n"/>
      <c r="K3009" s="80" t="n"/>
      <c r="L3009" s="80" t="n"/>
      <c r="M3009" s="80" t="n"/>
      <c r="N3009" s="80" t="n"/>
      <c r="O3009" s="80" t="n"/>
      <c r="P3009" s="80" t="n"/>
      <c r="Q3009" s="80" t="n"/>
      <c r="R3009" s="80" t="n"/>
      <c r="S3009" s="80" t="n"/>
      <c r="T3009" s="80" t="n"/>
      <c r="U3009" s="80" t="n"/>
      <c r="V3009" s="80" t="n"/>
      <c r="W3009" s="80" t="n"/>
      <c r="X3009" s="80" t="n"/>
      <c r="Y3009" s="80" t="n"/>
      <c r="Z3009" s="80" t="n"/>
      <c r="AA3009" s="80" t="n"/>
      <c r="AB3009" s="80" t="n"/>
      <c r="AC3009" s="80" t="n"/>
      <c r="AD3009" s="80" t="n"/>
      <c r="AE3009" s="80" t="n"/>
      <c r="AF3009" s="80" t="n"/>
      <c r="AG3009" s="80" t="n"/>
      <c r="AH3009" s="80" t="n"/>
      <c r="AI3009" s="80" t="n"/>
      <c r="AJ3009" s="80" t="n"/>
      <c r="AK3009" s="80" t="n"/>
      <c r="AL3009" s="80" t="n"/>
      <c r="AM3009" s="80" t="n"/>
      <c r="AN3009" s="80" t="n"/>
      <c r="AO3009" s="80" t="n"/>
      <c r="AP3009" s="80" t="n"/>
      <c r="AQ3009" s="80" t="n"/>
      <c r="AR3009" s="80" t="n"/>
    </row>
    <row r="3010">
      <c r="D3010" s="80" t="n"/>
      <c r="E3010" s="80" t="n"/>
      <c r="F3010" s="80" t="n"/>
      <c r="G3010" s="80" t="n"/>
      <c r="H3010" s="80" t="n"/>
      <c r="I3010" s="80" t="n"/>
      <c r="J3010" s="80" t="n"/>
      <c r="K3010" s="80" t="n"/>
      <c r="L3010" s="80" t="n"/>
      <c r="M3010" s="80" t="n"/>
      <c r="N3010" s="80" t="n"/>
      <c r="O3010" s="80" t="n"/>
      <c r="P3010" s="80" t="n"/>
      <c r="Q3010" s="80" t="n"/>
      <c r="R3010" s="80" t="n"/>
      <c r="S3010" s="80" t="n"/>
      <c r="T3010" s="80" t="n"/>
      <c r="U3010" s="80" t="n"/>
      <c r="V3010" s="80" t="n"/>
      <c r="W3010" s="80" t="n"/>
      <c r="X3010" s="80" t="n"/>
      <c r="Y3010" s="80" t="n"/>
      <c r="Z3010" s="80" t="n"/>
      <c r="AA3010" s="80" t="n"/>
      <c r="AB3010" s="80" t="n"/>
      <c r="AC3010" s="80" t="n"/>
      <c r="AD3010" s="80" t="n"/>
      <c r="AE3010" s="80" t="n"/>
      <c r="AF3010" s="80" t="n"/>
      <c r="AG3010" s="80" t="n"/>
      <c r="AH3010" s="80" t="n"/>
      <c r="AI3010" s="80" t="n"/>
      <c r="AJ3010" s="80" t="n"/>
      <c r="AK3010" s="80" t="n"/>
      <c r="AL3010" s="80" t="n"/>
      <c r="AM3010" s="80" t="n"/>
      <c r="AN3010" s="80" t="n"/>
      <c r="AO3010" s="80" t="n"/>
      <c r="AP3010" s="80" t="n"/>
      <c r="AQ3010" s="80" t="n"/>
      <c r="AR3010" s="80" t="n"/>
    </row>
    <row r="3011">
      <c r="A3011" s="2">
        <f>IF($A3004="","","   projections")</f>
        <v/>
      </c>
      <c r="B3011" s="41">
        <f>IF($A3004="",0,COUNT($E3012:$AR3012))</f>
        <v/>
      </c>
      <c r="C3011" s="81">
        <f>IF($B3011=0,0,MAX($E3012:$AR3012))</f>
        <v/>
      </c>
      <c r="D3011" s="82">
        <f>BDS($A3004,'Field Check'!$C$6,"headers=y","startcol=1","endcol=7","dir=h")</f>
        <v/>
      </c>
      <c r="E3011" s="83" t="n"/>
      <c r="F3011" s="83" t="n"/>
      <c r="G3011" s="83" t="n"/>
      <c r="H3011" s="83" t="n"/>
      <c r="I3011" s="83" t="n"/>
      <c r="J3011" s="83" t="n"/>
      <c r="K3011" s="83" t="n"/>
      <c r="L3011" s="83" t="n"/>
      <c r="M3011" s="83" t="n"/>
      <c r="N3011" s="83" t="n"/>
      <c r="O3011" s="83" t="n"/>
      <c r="P3011" s="83" t="n"/>
      <c r="Q3011" s="83" t="n"/>
      <c r="R3011" s="83" t="n"/>
      <c r="S3011" s="83" t="n"/>
      <c r="T3011" s="83" t="n"/>
      <c r="U3011" s="83" t="n"/>
      <c r="V3011" s="83" t="n"/>
      <c r="W3011" s="83" t="n"/>
      <c r="X3011" s="83" t="n"/>
      <c r="Y3011" s="83" t="n"/>
      <c r="Z3011" s="83" t="n"/>
      <c r="AA3011" s="83" t="n"/>
      <c r="AB3011" s="83" t="n"/>
      <c r="AC3011" s="83" t="n"/>
      <c r="AD3011" s="83" t="n"/>
      <c r="AE3011" s="83" t="n"/>
      <c r="AF3011" s="83" t="n"/>
      <c r="AG3011" s="83" t="n"/>
      <c r="AH3011" s="83" t="n"/>
      <c r="AI3011" s="83" t="n"/>
      <c r="AJ3011" s="83" t="n"/>
      <c r="AK3011" s="83" t="n"/>
      <c r="AL3011" s="83" t="n"/>
      <c r="AM3011" s="83" t="n"/>
      <c r="AN3011" s="83" t="n"/>
      <c r="AO3011" s="83" t="n"/>
      <c r="AP3011" s="83" t="n"/>
      <c r="AQ3011" s="83" t="n"/>
      <c r="AR3011" s="83" t="n"/>
    </row>
    <row r="3012">
      <c r="D3012" s="83" t="n"/>
      <c r="E3012" s="83" t="n"/>
      <c r="F3012" s="83" t="n"/>
      <c r="G3012" s="83" t="n"/>
      <c r="H3012" s="83" t="n"/>
      <c r="I3012" s="83" t="n"/>
      <c r="J3012" s="83" t="n"/>
      <c r="K3012" s="83" t="n"/>
      <c r="L3012" s="83" t="n"/>
      <c r="M3012" s="83" t="n"/>
      <c r="N3012" s="83" t="n"/>
      <c r="O3012" s="83" t="n"/>
      <c r="P3012" s="83" t="n"/>
      <c r="Q3012" s="83" t="n"/>
      <c r="R3012" s="83" t="n"/>
      <c r="S3012" s="83" t="n"/>
      <c r="T3012" s="83" t="n"/>
      <c r="U3012" s="83" t="n"/>
      <c r="V3012" s="83" t="n"/>
      <c r="W3012" s="83" t="n"/>
      <c r="X3012" s="83" t="n"/>
      <c r="Y3012" s="83" t="n"/>
      <c r="Z3012" s="83" t="n"/>
      <c r="AA3012" s="83" t="n"/>
      <c r="AB3012" s="83" t="n"/>
      <c r="AC3012" s="83" t="n"/>
      <c r="AD3012" s="83" t="n"/>
      <c r="AE3012" s="83" t="n"/>
      <c r="AF3012" s="83" t="n"/>
      <c r="AG3012" s="83" t="n"/>
      <c r="AH3012" s="83" t="n"/>
      <c r="AI3012" s="83" t="n"/>
      <c r="AJ3012" s="83" t="n"/>
      <c r="AK3012" s="83" t="n"/>
      <c r="AL3012" s="83" t="n"/>
      <c r="AM3012" s="83" t="n"/>
      <c r="AN3012" s="83" t="n"/>
      <c r="AO3012" s="83" t="n"/>
      <c r="AP3012" s="83" t="n"/>
      <c r="AQ3012" s="83" t="n"/>
      <c r="AR3012" s="83" t="n"/>
    </row>
    <row r="3013">
      <c r="D3013" s="84" t="n"/>
      <c r="E3013" s="84" t="n"/>
      <c r="F3013" s="84" t="n"/>
      <c r="G3013" s="84" t="n"/>
      <c r="H3013" s="84" t="n"/>
      <c r="I3013" s="84" t="n"/>
      <c r="J3013" s="84" t="n"/>
      <c r="K3013" s="84" t="n"/>
      <c r="L3013" s="84" t="n"/>
      <c r="M3013" s="84" t="n"/>
      <c r="N3013" s="84" t="n"/>
      <c r="O3013" s="84" t="n"/>
      <c r="P3013" s="84" t="n"/>
      <c r="Q3013" s="84" t="n"/>
      <c r="R3013" s="84" t="n"/>
      <c r="S3013" s="84" t="n"/>
      <c r="T3013" s="84" t="n"/>
      <c r="U3013" s="84" t="n"/>
      <c r="V3013" s="84" t="n"/>
      <c r="W3013" s="84" t="n"/>
      <c r="X3013" s="84" t="n"/>
      <c r="Y3013" s="84" t="n"/>
      <c r="Z3013" s="84" t="n"/>
      <c r="AA3013" s="84" t="n"/>
      <c r="AB3013" s="84" t="n"/>
      <c r="AC3013" s="84" t="n"/>
      <c r="AD3013" s="84" t="n"/>
      <c r="AE3013" s="84" t="n"/>
      <c r="AF3013" s="84" t="n"/>
      <c r="AG3013" s="84" t="n"/>
      <c r="AH3013" s="84" t="n"/>
      <c r="AI3013" s="84" t="n"/>
      <c r="AJ3013" s="84" t="n"/>
      <c r="AK3013" s="84" t="n"/>
      <c r="AL3013" s="84" t="n"/>
      <c r="AM3013" s="84" t="n"/>
      <c r="AN3013" s="84" t="n"/>
      <c r="AO3013" s="84" t="n"/>
      <c r="AP3013" s="84" t="n"/>
      <c r="AQ3013" s="84" t="n"/>
      <c r="AR3013" s="84" t="n"/>
    </row>
    <row r="3014">
      <c r="D3014" s="80" t="n"/>
      <c r="E3014" s="80" t="n"/>
      <c r="F3014" s="80" t="n"/>
      <c r="G3014" s="80" t="n"/>
      <c r="H3014" s="80" t="n"/>
      <c r="I3014" s="80" t="n"/>
      <c r="J3014" s="80" t="n"/>
      <c r="K3014" s="80" t="n"/>
      <c r="L3014" s="80" t="n"/>
      <c r="M3014" s="80" t="n"/>
      <c r="N3014" s="80" t="n"/>
      <c r="O3014" s="80" t="n"/>
      <c r="P3014" s="80" t="n"/>
      <c r="Q3014" s="80" t="n"/>
      <c r="R3014" s="80" t="n"/>
      <c r="S3014" s="80" t="n"/>
      <c r="T3014" s="80" t="n"/>
      <c r="U3014" s="80" t="n"/>
      <c r="V3014" s="80" t="n"/>
      <c r="W3014" s="80" t="n"/>
      <c r="X3014" s="80" t="n"/>
      <c r="Y3014" s="80" t="n"/>
      <c r="Z3014" s="80" t="n"/>
      <c r="AA3014" s="80" t="n"/>
      <c r="AB3014" s="80" t="n"/>
      <c r="AC3014" s="80" t="n"/>
      <c r="AD3014" s="80" t="n"/>
      <c r="AE3014" s="80" t="n"/>
      <c r="AF3014" s="80" t="n"/>
      <c r="AG3014" s="80" t="n"/>
      <c r="AH3014" s="80" t="n"/>
      <c r="AI3014" s="80" t="n"/>
      <c r="AJ3014" s="80" t="n"/>
      <c r="AK3014" s="80" t="n"/>
      <c r="AL3014" s="80" t="n"/>
      <c r="AM3014" s="80" t="n"/>
      <c r="AN3014" s="80" t="n"/>
      <c r="AO3014" s="80" t="n"/>
      <c r="AP3014" s="80" t="n"/>
      <c r="AQ3014" s="80" t="n"/>
      <c r="AR3014" s="80" t="n"/>
    </row>
    <row r="3015">
      <c r="D3015" s="80" t="n"/>
      <c r="E3015" s="80" t="n"/>
      <c r="F3015" s="80" t="n"/>
      <c r="G3015" s="80" t="n"/>
      <c r="H3015" s="80" t="n"/>
      <c r="I3015" s="80" t="n"/>
      <c r="J3015" s="80" t="n"/>
      <c r="K3015" s="80" t="n"/>
      <c r="L3015" s="80" t="n"/>
      <c r="M3015" s="80" t="n"/>
      <c r="N3015" s="80" t="n"/>
      <c r="O3015" s="80" t="n"/>
      <c r="P3015" s="80" t="n"/>
      <c r="Q3015" s="80" t="n"/>
      <c r="R3015" s="80" t="n"/>
      <c r="S3015" s="80" t="n"/>
      <c r="T3015" s="80" t="n"/>
      <c r="U3015" s="80" t="n"/>
      <c r="V3015" s="80" t="n"/>
      <c r="W3015" s="80" t="n"/>
      <c r="X3015" s="80" t="n"/>
      <c r="Y3015" s="80" t="n"/>
      <c r="Z3015" s="80" t="n"/>
      <c r="AA3015" s="80" t="n"/>
      <c r="AB3015" s="80" t="n"/>
      <c r="AC3015" s="80" t="n"/>
      <c r="AD3015" s="80" t="n"/>
      <c r="AE3015" s="80" t="n"/>
      <c r="AF3015" s="80" t="n"/>
      <c r="AG3015" s="80" t="n"/>
      <c r="AH3015" s="80" t="n"/>
      <c r="AI3015" s="80" t="n"/>
      <c r="AJ3015" s="80" t="n"/>
      <c r="AK3015" s="80" t="n"/>
      <c r="AL3015" s="80" t="n"/>
      <c r="AM3015" s="80" t="n"/>
      <c r="AN3015" s="80" t="n"/>
      <c r="AO3015" s="80" t="n"/>
      <c r="AP3015" s="80" t="n"/>
      <c r="AQ3015" s="80" t="n"/>
      <c r="AR3015" s="80" t="n"/>
    </row>
    <row r="3016">
      <c r="D3016" s="80" t="n"/>
      <c r="E3016" s="80" t="n"/>
      <c r="F3016" s="80" t="n"/>
      <c r="G3016" s="80" t="n"/>
      <c r="H3016" s="80" t="n"/>
      <c r="I3016" s="80" t="n"/>
      <c r="J3016" s="80" t="n"/>
      <c r="K3016" s="80" t="n"/>
      <c r="L3016" s="80" t="n"/>
      <c r="M3016" s="80" t="n"/>
      <c r="N3016" s="80" t="n"/>
      <c r="O3016" s="80" t="n"/>
      <c r="P3016" s="80" t="n"/>
      <c r="Q3016" s="80" t="n"/>
      <c r="R3016" s="80" t="n"/>
      <c r="S3016" s="80" t="n"/>
      <c r="T3016" s="80" t="n"/>
      <c r="U3016" s="80" t="n"/>
      <c r="V3016" s="80" t="n"/>
      <c r="W3016" s="80" t="n"/>
      <c r="X3016" s="80" t="n"/>
      <c r="Y3016" s="80" t="n"/>
      <c r="Z3016" s="80" t="n"/>
      <c r="AA3016" s="80" t="n"/>
      <c r="AB3016" s="80" t="n"/>
      <c r="AC3016" s="80" t="n"/>
      <c r="AD3016" s="80" t="n"/>
      <c r="AE3016" s="80" t="n"/>
      <c r="AF3016" s="80" t="n"/>
      <c r="AG3016" s="80" t="n"/>
      <c r="AH3016" s="80" t="n"/>
      <c r="AI3016" s="80" t="n"/>
      <c r="AJ3016" s="80" t="n"/>
      <c r="AK3016" s="80" t="n"/>
      <c r="AL3016" s="80" t="n"/>
      <c r="AM3016" s="80" t="n"/>
      <c r="AN3016" s="80" t="n"/>
      <c r="AO3016" s="80" t="n"/>
      <c r="AP3016" s="80" t="n"/>
      <c r="AQ3016" s="80" t="n"/>
      <c r="AR3016" s="80" t="n"/>
    </row>
    <row r="3017">
      <c r="D3017" s="80" t="n"/>
      <c r="E3017" s="80" t="n"/>
      <c r="F3017" s="80" t="n"/>
      <c r="G3017" s="80" t="n"/>
      <c r="H3017" s="80" t="n"/>
      <c r="I3017" s="80" t="n"/>
      <c r="J3017" s="80" t="n"/>
      <c r="K3017" s="80" t="n"/>
      <c r="L3017" s="80" t="n"/>
      <c r="M3017" s="80" t="n"/>
      <c r="N3017" s="80" t="n"/>
      <c r="O3017" s="80" t="n"/>
      <c r="P3017" s="80" t="n"/>
      <c r="Q3017" s="80" t="n"/>
      <c r="R3017" s="80" t="n"/>
      <c r="S3017" s="80" t="n"/>
      <c r="T3017" s="80" t="n"/>
      <c r="U3017" s="80" t="n"/>
      <c r="V3017" s="80" t="n"/>
      <c r="W3017" s="80" t="n"/>
      <c r="X3017" s="80" t="n"/>
      <c r="Y3017" s="80" t="n"/>
      <c r="Z3017" s="80" t="n"/>
      <c r="AA3017" s="80" t="n"/>
      <c r="AB3017" s="80" t="n"/>
      <c r="AC3017" s="80" t="n"/>
      <c r="AD3017" s="80" t="n"/>
      <c r="AE3017" s="80" t="n"/>
      <c r="AF3017" s="80" t="n"/>
      <c r="AG3017" s="80" t="n"/>
      <c r="AH3017" s="80" t="n"/>
      <c r="AI3017" s="80" t="n"/>
      <c r="AJ3017" s="80" t="n"/>
      <c r="AK3017" s="80" t="n"/>
      <c r="AL3017" s="80" t="n"/>
      <c r="AM3017" s="80" t="n"/>
      <c r="AN3017" s="80" t="n"/>
      <c r="AO3017" s="80" t="n"/>
      <c r="AP3017" s="80" t="n"/>
      <c r="AQ3017" s="80" t="n"/>
      <c r="AR3017" s="80" t="n"/>
    </row>
  </sheetData>
  <pageMargins left="0.75" right="0.75" top="1" bottom="1" header="0.5" footer="0.5"/>
</worksheet>
</file>

<file path=xl/worksheets/sheet12.xml><?xml version="1.0" encoding="utf-8"?>
<worksheet xmlns="http://schemas.openxmlformats.org/spreadsheetml/2006/main">
  <sheetPr>
    <tabColor rgb="00A6A6A6"/>
    <outlinePr summaryBelow="1" summaryRight="1"/>
    <pageSetUpPr/>
  </sheetPr>
  <dimension ref="B1:GQ216"/>
  <sheetViews>
    <sheetView workbookViewId="0">
      <selection activeCell="A1" sqref="A1"/>
    </sheetView>
  </sheetViews>
  <sheetFormatPr baseColWidth="8" defaultRowHeight="15"/>
  <cols>
    <col width="3" customWidth="1" min="1" max="1"/>
    <col width="17"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9" max="69"/>
    <col width="4" customWidth="1" min="70" max="70"/>
    <col width="4" customWidth="1" min="71" max="71"/>
    <col width="4" customWidth="1" min="72" max="72"/>
    <col width="4" customWidth="1" min="73" max="73"/>
    <col width="4" customWidth="1" min="74" max="74"/>
    <col width="4" customWidth="1" min="75" max="75"/>
    <col width="4" customWidth="1" min="76" max="76"/>
    <col width="4" customWidth="1" min="77" max="77"/>
    <col width="4" customWidth="1" min="78" max="78"/>
    <col width="4" customWidth="1" min="79" max="79"/>
    <col width="4" customWidth="1" min="80" max="80"/>
    <col width="4" customWidth="1" min="81" max="81"/>
    <col width="4" customWidth="1" min="82" max="82"/>
    <col width="4" customWidth="1" min="83" max="83"/>
    <col width="4" customWidth="1" min="84" max="84"/>
    <col width="4" customWidth="1" min="85" max="85"/>
    <col width="4" customWidth="1" min="86" max="86"/>
    <col width="4" customWidth="1" min="87" max="87"/>
    <col width="4" customWidth="1" min="88" max="88"/>
    <col width="4" customWidth="1" min="89" max="89"/>
    <col width="4" customWidth="1" min="90" max="90"/>
    <col width="4" customWidth="1" min="91" max="91"/>
    <col width="4" customWidth="1" min="92" max="92"/>
    <col width="4" customWidth="1" min="93" max="93"/>
    <col width="4" customWidth="1" min="94" max="94"/>
    <col width="4" customWidth="1" min="95" max="95"/>
    <col width="4" customWidth="1" min="96" max="96"/>
    <col width="4" customWidth="1" min="97" max="97"/>
    <col width="4" customWidth="1" min="98" max="98"/>
    <col width="4" customWidth="1" min="99" max="99"/>
    <col width="4" customWidth="1" min="100" max="100"/>
    <col width="4" customWidth="1" min="101" max="101"/>
    <col width="4" customWidth="1" min="102" max="102"/>
    <col width="4" customWidth="1" min="103" max="103"/>
    <col width="4" customWidth="1" min="104" max="104"/>
    <col width="4" customWidth="1" min="105" max="105"/>
    <col width="4" customWidth="1" min="106" max="106"/>
    <col width="4" customWidth="1" min="107" max="107"/>
    <col width="4" customWidth="1" min="108" max="108"/>
    <col width="4" customWidth="1" min="109" max="109"/>
    <col width="4" customWidth="1" min="110" max="110"/>
    <col width="4" customWidth="1" min="111" max="111"/>
    <col width="4" customWidth="1" min="112" max="112"/>
    <col width="4" customWidth="1" min="113" max="113"/>
    <col width="4" customWidth="1" min="114" max="114"/>
    <col width="4" customWidth="1" min="115" max="115"/>
    <col width="4" customWidth="1" min="116" max="116"/>
    <col width="4" customWidth="1" min="117" max="117"/>
    <col width="4" customWidth="1" min="118" max="118"/>
    <col width="4" customWidth="1" min="119" max="119"/>
    <col width="4" customWidth="1" min="120" max="120"/>
    <col width="4" customWidth="1" min="121" max="121"/>
    <col width="4" customWidth="1" min="122" max="122"/>
    <col width="4" customWidth="1" min="123" max="123"/>
    <col width="4" customWidth="1" min="124" max="124"/>
    <col width="4" customWidth="1" min="125" max="125"/>
    <col width="4" customWidth="1" min="126" max="126"/>
    <col width="4" customWidth="1" min="127" max="127"/>
    <col width="4" customWidth="1" min="128" max="128"/>
    <col width="4" customWidth="1" min="129" max="129"/>
    <col width="4" customWidth="1" min="130" max="130"/>
    <col width="4" customWidth="1" min="131" max="131"/>
    <col width="4" customWidth="1" min="132" max="132"/>
    <col width="4" customWidth="1" min="133" max="133"/>
    <col width="4" customWidth="1" min="135" max="135"/>
    <col width="4" customWidth="1" min="136" max="136"/>
    <col width="4" customWidth="1" min="137" max="137"/>
    <col width="4" customWidth="1" min="138" max="138"/>
    <col width="4" customWidth="1" min="139" max="139"/>
    <col width="4" customWidth="1" min="140" max="140"/>
    <col width="4" customWidth="1" min="141" max="141"/>
    <col width="4" customWidth="1" min="142" max="142"/>
    <col width="4" customWidth="1" min="143" max="143"/>
    <col width="4" customWidth="1" min="144" max="144"/>
    <col width="4" customWidth="1" min="145" max="145"/>
    <col width="4" customWidth="1" min="146" max="146"/>
    <col width="4" customWidth="1" min="147" max="147"/>
    <col width="4" customWidth="1" min="148" max="148"/>
    <col width="4" customWidth="1" min="149" max="149"/>
    <col width="4" customWidth="1" min="150" max="150"/>
    <col width="4" customWidth="1" min="151" max="151"/>
    <col width="4" customWidth="1" min="152" max="152"/>
    <col width="4" customWidth="1" min="153" max="153"/>
    <col width="4" customWidth="1" min="154" max="154"/>
    <col width="4" customWidth="1" min="155" max="155"/>
    <col width="4" customWidth="1" min="156" max="156"/>
    <col width="4" customWidth="1" min="157" max="157"/>
    <col width="4" customWidth="1" min="158" max="158"/>
    <col width="4" customWidth="1" min="159" max="159"/>
    <col width="4" customWidth="1" min="160" max="160"/>
    <col width="4" customWidth="1" min="161" max="161"/>
    <col width="4" customWidth="1" min="162" max="162"/>
    <col width="4" customWidth="1" min="163" max="163"/>
    <col width="4" customWidth="1" min="164" max="164"/>
    <col width="4" customWidth="1" min="165" max="165"/>
    <col width="4" customWidth="1" min="166" max="166"/>
    <col width="4" customWidth="1" min="167" max="167"/>
    <col width="4" customWidth="1" min="168" max="168"/>
    <col width="4" customWidth="1" min="169" max="169"/>
    <col width="4" customWidth="1" min="170" max="170"/>
    <col width="4" customWidth="1" min="171" max="171"/>
    <col width="4" customWidth="1" min="172" max="172"/>
    <col width="4" customWidth="1" min="173" max="173"/>
    <col width="4" customWidth="1" min="174" max="174"/>
    <col width="4" customWidth="1" min="175" max="175"/>
    <col width="4" customWidth="1" min="176" max="176"/>
    <col width="4" customWidth="1" min="177" max="177"/>
    <col width="4" customWidth="1" min="178" max="178"/>
    <col width="4" customWidth="1" min="179" max="179"/>
    <col width="4" customWidth="1" min="180" max="180"/>
    <col width="4" customWidth="1" min="181" max="181"/>
    <col width="4" customWidth="1" min="182" max="182"/>
    <col width="4" customWidth="1" min="183" max="183"/>
    <col width="4" customWidth="1" min="184" max="184"/>
    <col width="4" customWidth="1" min="185" max="185"/>
    <col width="4" customWidth="1" min="186" max="186"/>
    <col width="4" customWidth="1" min="187" max="187"/>
    <col width="4" customWidth="1" min="188" max="188"/>
    <col width="4" customWidth="1" min="189" max="189"/>
    <col width="4" customWidth="1" min="190" max="190"/>
    <col width="4" customWidth="1" min="191" max="191"/>
    <col width="4" customWidth="1" min="192" max="192"/>
    <col width="4" customWidth="1" min="193" max="193"/>
    <col width="4" customWidth="1" min="194" max="194"/>
    <col width="4" customWidth="1" min="195" max="195"/>
    <col width="4" customWidth="1" min="196" max="196"/>
    <col width="4" customWidth="1" min="197" max="197"/>
    <col width="4" customWidth="1" min="198" max="198"/>
    <col width="4" customWidth="1" min="199" max="199"/>
  </cols>
  <sheetData>
    <row r="1">
      <c r="B1" s="1" t="inlineStr">
        <is>
          <t>EVENT GRIDS.  ENGINE TAB: NEVER EDIT.</t>
        </is>
      </c>
    </row>
    <row r="2">
      <c r="B2" s="2" t="inlineStr">
        <is>
          <t>One row per stock, one column per dividend event. Three aligned grids: a sortable CODE, the DPS, and the index points.</t>
        </is>
      </c>
    </row>
    <row r="3">
      <c r="B3" s="2" t="inlineStr">
        <is>
          <t>CODE = ex-date x 1e9 + has-amount x 1e8 + special x 1e7 + declared x 1e6 + stock x 1000 + slot. Sorting the codes sorts by date and every field decodes straight back out - that is how Pending ranks events and how Flow finds a day's dividends.</t>
        </is>
      </c>
    </row>
    <row r="4">
      <c r="B4" s="2" t="inlineStr">
        <is>
          <t>History slots only take events on or before the valuation date and projection slots only after it, so the two pulls can never double-count the same dividend.</t>
        </is>
      </c>
    </row>
    <row r="7">
      <c r="B7" s="3" t="inlineStr">
        <is>
          <t>Hang Seng Index (HSI)   -   codes</t>
        </is>
      </c>
      <c r="C7" s="4" t="n"/>
      <c r="D7" s="4" t="n"/>
      <c r="E7" s="4" t="n"/>
      <c r="F7" s="4" t="n"/>
      <c r="G7" s="4" t="n"/>
      <c r="H7" s="4" t="n"/>
      <c r="I7" s="4" t="n"/>
      <c r="J7" s="4" t="n"/>
      <c r="K7" s="4" t="n"/>
      <c r="L7" s="4" t="n"/>
      <c r="M7" s="4" t="n"/>
      <c r="N7" s="4" t="n"/>
      <c r="O7" s="4" t="n"/>
      <c r="P7" s="4" t="n"/>
      <c r="Q7" s="4" t="n"/>
      <c r="R7" s="4" t="n"/>
      <c r="S7" s="4" t="n"/>
      <c r="T7" s="4" t="n"/>
      <c r="U7" s="4" t="n"/>
      <c r="V7" s="4" t="n"/>
      <c r="W7" s="4" t="n"/>
      <c r="X7" s="4" t="n"/>
      <c r="Y7" s="4" t="n"/>
      <c r="Z7" s="4" t="n"/>
      <c r="AA7" s="4" t="n"/>
      <c r="AB7" s="4" t="n"/>
      <c r="AC7" s="4" t="n"/>
      <c r="AD7" s="4" t="n"/>
      <c r="AE7" s="4" t="n"/>
      <c r="AF7" s="4" t="n"/>
      <c r="AG7" s="4" t="n"/>
      <c r="AH7" s="4" t="n"/>
      <c r="AI7" s="4" t="n"/>
      <c r="AJ7" s="4" t="n"/>
      <c r="AK7" s="4" t="n"/>
      <c r="AL7" s="4" t="n"/>
      <c r="AM7" s="4" t="n"/>
      <c r="AN7" s="4" t="n"/>
      <c r="AO7" s="4" t="n"/>
      <c r="AP7" s="4" t="n"/>
      <c r="AQ7" s="4" t="n"/>
      <c r="AR7" s="4" t="n"/>
      <c r="AS7" s="4" t="n"/>
      <c r="AT7" s="4" t="n"/>
      <c r="AU7" s="4" t="n"/>
      <c r="AV7" s="4" t="n"/>
      <c r="AW7" s="4" t="n"/>
      <c r="AX7" s="4" t="n"/>
      <c r="AY7" s="4" t="n"/>
      <c r="AZ7" s="4" t="n"/>
      <c r="BA7" s="4" t="n"/>
      <c r="BB7" s="4" t="n"/>
      <c r="BC7" s="4" t="n"/>
      <c r="BD7" s="4" t="n"/>
      <c r="BE7" s="4" t="n"/>
      <c r="BF7" s="4" t="n"/>
      <c r="BG7" s="4" t="n"/>
      <c r="BH7" s="4" t="n"/>
      <c r="BI7" s="4" t="n"/>
      <c r="BJ7" s="4" t="n"/>
      <c r="BK7" s="4" t="n"/>
      <c r="BL7" s="4" t="n"/>
      <c r="BM7" s="4" t="n"/>
      <c r="BN7" s="4" t="n"/>
      <c r="BO7" s="4" t="n"/>
      <c r="BQ7" s="3" t="inlineStr">
        <is>
          <t>DPS</t>
        </is>
      </c>
      <c r="BR7" s="4" t="n"/>
      <c r="BS7" s="4" t="n"/>
      <c r="BT7" s="4" t="n"/>
      <c r="BU7" s="4" t="n"/>
      <c r="BV7" s="4" t="n"/>
      <c r="BW7" s="4" t="n"/>
      <c r="BX7" s="4" t="n"/>
      <c r="BY7" s="4" t="n"/>
      <c r="BZ7" s="4" t="n"/>
      <c r="CA7" s="4" t="n"/>
      <c r="CB7" s="4" t="n"/>
      <c r="CC7" s="4" t="n"/>
      <c r="CD7" s="4" t="n"/>
      <c r="CE7" s="4" t="n"/>
      <c r="CF7" s="4" t="n"/>
      <c r="CG7" s="4" t="n"/>
      <c r="CH7" s="4" t="n"/>
      <c r="CI7" s="4" t="n"/>
      <c r="CJ7" s="4" t="n"/>
      <c r="CK7" s="4" t="n"/>
      <c r="CL7" s="4" t="n"/>
      <c r="CM7" s="4" t="n"/>
      <c r="CN7" s="4" t="n"/>
      <c r="CO7" s="4" t="n"/>
      <c r="CP7" s="4" t="n"/>
      <c r="CQ7" s="4" t="n"/>
      <c r="CR7" s="4" t="n"/>
      <c r="CS7" s="4" t="n"/>
      <c r="CT7" s="4" t="n"/>
      <c r="CU7" s="4" t="n"/>
      <c r="CV7" s="4" t="n"/>
      <c r="CW7" s="4" t="n"/>
      <c r="CX7" s="4" t="n"/>
      <c r="CY7" s="4" t="n"/>
      <c r="CZ7" s="4" t="n"/>
      <c r="DA7" s="4" t="n"/>
      <c r="DB7" s="4" t="n"/>
      <c r="DC7" s="4" t="n"/>
      <c r="DD7" s="4" t="n"/>
      <c r="DE7" s="4" t="n"/>
      <c r="DF7" s="4" t="n"/>
      <c r="DG7" s="4" t="n"/>
      <c r="DH7" s="4" t="n"/>
      <c r="DI7" s="4" t="n"/>
      <c r="DJ7" s="4" t="n"/>
      <c r="DK7" s="4" t="n"/>
      <c r="DL7" s="4" t="n"/>
      <c r="DM7" s="4" t="n"/>
      <c r="DN7" s="4" t="n"/>
      <c r="DO7" s="4" t="n"/>
      <c r="DP7" s="4" t="n"/>
      <c r="DQ7" s="4" t="n"/>
      <c r="DR7" s="4" t="n"/>
      <c r="DS7" s="4" t="n"/>
      <c r="DT7" s="4" t="n"/>
      <c r="DU7" s="4" t="n"/>
      <c r="DV7" s="4" t="n"/>
      <c r="DW7" s="4" t="n"/>
      <c r="DX7" s="4" t="n"/>
      <c r="DY7" s="4" t="n"/>
      <c r="DZ7" s="4" t="n"/>
      <c r="EA7" s="4" t="n"/>
      <c r="EB7" s="4" t="n"/>
      <c r="EC7" s="4" t="n"/>
      <c r="EE7" s="3" t="inlineStr">
        <is>
          <t>index points</t>
        </is>
      </c>
      <c r="EF7" s="4" t="n"/>
      <c r="EG7" s="4" t="n"/>
      <c r="EH7" s="4" t="n"/>
      <c r="EI7" s="4" t="n"/>
      <c r="EJ7" s="4" t="n"/>
      <c r="EK7" s="4" t="n"/>
      <c r="EL7" s="4" t="n"/>
      <c r="EM7" s="4" t="n"/>
      <c r="EN7" s="4" t="n"/>
      <c r="EO7" s="4" t="n"/>
      <c r="EP7" s="4" t="n"/>
      <c r="EQ7" s="4" t="n"/>
      <c r="ER7" s="4" t="n"/>
      <c r="ES7" s="4" t="n"/>
      <c r="ET7" s="4" t="n"/>
      <c r="EU7" s="4" t="n"/>
      <c r="EV7" s="4" t="n"/>
      <c r="EW7" s="4" t="n"/>
      <c r="EX7" s="4" t="n"/>
      <c r="EY7" s="4" t="n"/>
      <c r="EZ7" s="4" t="n"/>
      <c r="FA7" s="4" t="n"/>
      <c r="FB7" s="4" t="n"/>
      <c r="FC7" s="4" t="n"/>
      <c r="FD7" s="4" t="n"/>
      <c r="FE7" s="4" t="n"/>
      <c r="FF7" s="4" t="n"/>
      <c r="FG7" s="4" t="n"/>
      <c r="FH7" s="4" t="n"/>
      <c r="FI7" s="4" t="n"/>
      <c r="FJ7" s="4" t="n"/>
      <c r="FK7" s="4" t="n"/>
      <c r="FL7" s="4" t="n"/>
      <c r="FM7" s="4" t="n"/>
      <c r="FN7" s="4" t="n"/>
      <c r="FO7" s="4" t="n"/>
      <c r="FP7" s="4" t="n"/>
      <c r="FQ7" s="4" t="n"/>
      <c r="FR7" s="4" t="n"/>
      <c r="FS7" s="4" t="n"/>
      <c r="FT7" s="4" t="n"/>
      <c r="FU7" s="4" t="n"/>
      <c r="FV7" s="4" t="n"/>
      <c r="FW7" s="4" t="n"/>
      <c r="FX7" s="4" t="n"/>
      <c r="FY7" s="4" t="n"/>
      <c r="FZ7" s="4" t="n"/>
      <c r="GA7" s="4" t="n"/>
      <c r="GB7" s="4" t="n"/>
      <c r="GC7" s="4" t="n"/>
      <c r="GD7" s="4" t="n"/>
      <c r="GE7" s="4" t="n"/>
      <c r="GF7" s="4" t="n"/>
      <c r="GG7" s="4" t="n"/>
      <c r="GH7" s="4" t="n"/>
      <c r="GI7" s="4" t="n"/>
      <c r="GJ7" s="4" t="n"/>
      <c r="GK7" s="4" t="n"/>
      <c r="GL7" s="4" t="n"/>
      <c r="GM7" s="4" t="n"/>
      <c r="GN7" s="4" t="n"/>
      <c r="GO7" s="4" t="n"/>
      <c r="GP7" s="4" t="n"/>
      <c r="GQ7" s="4" t="n"/>
    </row>
    <row r="9">
      <c r="B9" s="2">
        <f>IF(HSI!$C$7="","",HSI!$C$7)</f>
        <v/>
      </c>
      <c r="C9" s="41">
        <f>IF(N('Dvd Calendar'!$E$10)=0,"",IF(('Dvd Calendar'!$E$10&gt;=MIN(DATE(Summary!$C$12,1,1),Summary!$C$11))*('Dvd Calendar'!$E$10&lt;=MAX(DATE(Summary!$C$12,12,31),Summary!$C$15))*('Dvd Calendar'!$E$10&lt;=Summary!$C$11)=0,"",'Dvd Calendar'!$E$10*1000000000+ISNUMBER('Dvd Calendar'!$E$11)*100000000+('Dvd Calendar'!$E$15='Field Check'!$C$25)*10000000+(N('Dvd Calendar'!$E$9)&gt;0)*1000000+1*1000+1))</f>
        <v/>
      </c>
      <c r="D9" s="41">
        <f>IF(N('Dvd Calendar'!$F$10)=0,"",IF(('Dvd Calendar'!$F$10&gt;=MIN(DATE(Summary!$C$12,1,1),Summary!$C$11))*('Dvd Calendar'!$F$10&lt;=MAX(DATE(Summary!$C$12,12,31),Summary!$C$15))*('Dvd Calendar'!$F$10&lt;=Summary!$C$11)=0,"",'Dvd Calendar'!$F$10*1000000000+ISNUMBER('Dvd Calendar'!$F$11)*100000000+('Dvd Calendar'!$F$15='Field Check'!$C$25)*10000000+(N('Dvd Calendar'!$F$9)&gt;0)*1000000+1*1000+2))</f>
        <v/>
      </c>
      <c r="E9" s="41">
        <f>IF(N('Dvd Calendar'!$G$10)=0,"",IF(('Dvd Calendar'!$G$10&gt;=MIN(DATE(Summary!$C$12,1,1),Summary!$C$11))*('Dvd Calendar'!$G$10&lt;=MAX(DATE(Summary!$C$12,12,31),Summary!$C$15))*('Dvd Calendar'!$G$10&lt;=Summary!$C$11)=0,"",'Dvd Calendar'!$G$10*1000000000+ISNUMBER('Dvd Calendar'!$G$11)*100000000+('Dvd Calendar'!$G$15='Field Check'!$C$25)*10000000+(N('Dvd Calendar'!$G$9)&gt;0)*1000000+1*1000+3))</f>
        <v/>
      </c>
      <c r="F9" s="41">
        <f>IF(N('Dvd Calendar'!$H$10)=0,"",IF(('Dvd Calendar'!$H$10&gt;=MIN(DATE(Summary!$C$12,1,1),Summary!$C$11))*('Dvd Calendar'!$H$10&lt;=MAX(DATE(Summary!$C$12,12,31),Summary!$C$15))*('Dvd Calendar'!$H$10&lt;=Summary!$C$11)=0,"",'Dvd Calendar'!$H$10*1000000000+ISNUMBER('Dvd Calendar'!$H$11)*100000000+('Dvd Calendar'!$H$15='Field Check'!$C$25)*10000000+(N('Dvd Calendar'!$H$9)&gt;0)*1000000+1*1000+4))</f>
        <v/>
      </c>
      <c r="G9" s="41">
        <f>IF(N('Dvd Calendar'!$I$10)=0,"",IF(('Dvd Calendar'!$I$10&gt;=MIN(DATE(Summary!$C$12,1,1),Summary!$C$11))*('Dvd Calendar'!$I$10&lt;=MAX(DATE(Summary!$C$12,12,31),Summary!$C$15))*('Dvd Calendar'!$I$10&lt;=Summary!$C$11)=0,"",'Dvd Calendar'!$I$10*1000000000+ISNUMBER('Dvd Calendar'!$I$11)*100000000+('Dvd Calendar'!$I$15='Field Check'!$C$25)*10000000+(N('Dvd Calendar'!$I$9)&gt;0)*1000000+1*1000+5))</f>
        <v/>
      </c>
      <c r="H9" s="41">
        <f>IF(N('Dvd Calendar'!$J$10)=0,"",IF(('Dvd Calendar'!$J$10&gt;=MIN(DATE(Summary!$C$12,1,1),Summary!$C$11))*('Dvd Calendar'!$J$10&lt;=MAX(DATE(Summary!$C$12,12,31),Summary!$C$15))*('Dvd Calendar'!$J$10&lt;=Summary!$C$11)=0,"",'Dvd Calendar'!$J$10*1000000000+ISNUMBER('Dvd Calendar'!$J$11)*100000000+('Dvd Calendar'!$J$15='Field Check'!$C$25)*10000000+(N('Dvd Calendar'!$J$9)&gt;0)*1000000+1*1000+6))</f>
        <v/>
      </c>
      <c r="I9" s="41">
        <f>IF(N('Dvd Calendar'!$K$10)=0,"",IF(('Dvd Calendar'!$K$10&gt;=MIN(DATE(Summary!$C$12,1,1),Summary!$C$11))*('Dvd Calendar'!$K$10&lt;=MAX(DATE(Summary!$C$12,12,31),Summary!$C$15))*('Dvd Calendar'!$K$10&lt;=Summary!$C$11)=0,"",'Dvd Calendar'!$K$10*1000000000+ISNUMBER('Dvd Calendar'!$K$11)*100000000+('Dvd Calendar'!$K$15='Field Check'!$C$25)*10000000+(N('Dvd Calendar'!$K$9)&gt;0)*1000000+1*1000+7))</f>
        <v/>
      </c>
      <c r="J9" s="41">
        <f>IF(N('Dvd Calendar'!$L$10)=0,"",IF(('Dvd Calendar'!$L$10&gt;=MIN(DATE(Summary!$C$12,1,1),Summary!$C$11))*('Dvd Calendar'!$L$10&lt;=MAX(DATE(Summary!$C$12,12,31),Summary!$C$15))*('Dvd Calendar'!$L$10&lt;=Summary!$C$11)=0,"",'Dvd Calendar'!$L$10*1000000000+ISNUMBER('Dvd Calendar'!$L$11)*100000000+('Dvd Calendar'!$L$15='Field Check'!$C$25)*10000000+(N('Dvd Calendar'!$L$9)&gt;0)*1000000+1*1000+8))</f>
        <v/>
      </c>
      <c r="K9" s="41">
        <f>IF(N('Dvd Calendar'!$M$10)=0,"",IF(('Dvd Calendar'!$M$10&gt;=MIN(DATE(Summary!$C$12,1,1),Summary!$C$11))*('Dvd Calendar'!$M$10&lt;=MAX(DATE(Summary!$C$12,12,31),Summary!$C$15))*('Dvd Calendar'!$M$10&lt;=Summary!$C$11)=0,"",'Dvd Calendar'!$M$10*1000000000+ISNUMBER('Dvd Calendar'!$M$11)*100000000+('Dvd Calendar'!$M$15='Field Check'!$C$25)*10000000+(N('Dvd Calendar'!$M$9)&gt;0)*1000000+1*1000+9))</f>
        <v/>
      </c>
      <c r="L9" s="41">
        <f>IF(N('Dvd Calendar'!$N$10)=0,"",IF(('Dvd Calendar'!$N$10&gt;=MIN(DATE(Summary!$C$12,1,1),Summary!$C$11))*('Dvd Calendar'!$N$10&lt;=MAX(DATE(Summary!$C$12,12,31),Summary!$C$15))*('Dvd Calendar'!$N$10&lt;=Summary!$C$11)=0,"",'Dvd Calendar'!$N$10*1000000000+ISNUMBER('Dvd Calendar'!$N$11)*100000000+('Dvd Calendar'!$N$15='Field Check'!$C$25)*10000000+(N('Dvd Calendar'!$N$9)&gt;0)*1000000+1*1000+10))</f>
        <v/>
      </c>
      <c r="M9" s="41">
        <f>IF(N('Dvd Calendar'!$O$10)=0,"",IF(('Dvd Calendar'!$O$10&gt;=MIN(DATE(Summary!$C$12,1,1),Summary!$C$11))*('Dvd Calendar'!$O$10&lt;=MAX(DATE(Summary!$C$12,12,31),Summary!$C$15))*('Dvd Calendar'!$O$10&lt;=Summary!$C$11)=0,"",'Dvd Calendar'!$O$10*1000000000+ISNUMBER('Dvd Calendar'!$O$11)*100000000+('Dvd Calendar'!$O$15='Field Check'!$C$25)*10000000+(N('Dvd Calendar'!$O$9)&gt;0)*1000000+1*1000+11))</f>
        <v/>
      </c>
      <c r="N9" s="41">
        <f>IF(N('Dvd Calendar'!$P$10)=0,"",IF(('Dvd Calendar'!$P$10&gt;=MIN(DATE(Summary!$C$12,1,1),Summary!$C$11))*('Dvd Calendar'!$P$10&lt;=MAX(DATE(Summary!$C$12,12,31),Summary!$C$15))*('Dvd Calendar'!$P$10&lt;=Summary!$C$11)=0,"",'Dvd Calendar'!$P$10*1000000000+ISNUMBER('Dvd Calendar'!$P$11)*100000000+('Dvd Calendar'!$P$15='Field Check'!$C$25)*10000000+(N('Dvd Calendar'!$P$9)&gt;0)*1000000+1*1000+12))</f>
        <v/>
      </c>
      <c r="O9" s="41">
        <f>IF(N('Dvd Calendar'!$Q$10)=0,"",IF(('Dvd Calendar'!$Q$10&gt;=MIN(DATE(Summary!$C$12,1,1),Summary!$C$11))*('Dvd Calendar'!$Q$10&lt;=MAX(DATE(Summary!$C$12,12,31),Summary!$C$15))*('Dvd Calendar'!$Q$10&lt;=Summary!$C$11)=0,"",'Dvd Calendar'!$Q$10*1000000000+ISNUMBER('Dvd Calendar'!$Q$11)*100000000+('Dvd Calendar'!$Q$15='Field Check'!$C$25)*10000000+(N('Dvd Calendar'!$Q$9)&gt;0)*1000000+1*1000+13))</f>
        <v/>
      </c>
      <c r="P9" s="41">
        <f>IF(N('Dvd Calendar'!$R$10)=0,"",IF(('Dvd Calendar'!$R$10&gt;=MIN(DATE(Summary!$C$12,1,1),Summary!$C$11))*('Dvd Calendar'!$R$10&lt;=MAX(DATE(Summary!$C$12,12,31),Summary!$C$15))*('Dvd Calendar'!$R$10&lt;=Summary!$C$11)=0,"",'Dvd Calendar'!$R$10*1000000000+ISNUMBER('Dvd Calendar'!$R$11)*100000000+('Dvd Calendar'!$R$15='Field Check'!$C$25)*10000000+(N('Dvd Calendar'!$R$9)&gt;0)*1000000+1*1000+14))</f>
        <v/>
      </c>
      <c r="Q9" s="41">
        <f>IF(N('Dvd Calendar'!$S$10)=0,"",IF(('Dvd Calendar'!$S$10&gt;=MIN(DATE(Summary!$C$12,1,1),Summary!$C$11))*('Dvd Calendar'!$S$10&lt;=MAX(DATE(Summary!$C$12,12,31),Summary!$C$15))*('Dvd Calendar'!$S$10&lt;=Summary!$C$11)=0,"",'Dvd Calendar'!$S$10*1000000000+ISNUMBER('Dvd Calendar'!$S$11)*100000000+('Dvd Calendar'!$S$15='Field Check'!$C$25)*10000000+(N('Dvd Calendar'!$S$9)&gt;0)*1000000+1*1000+15))</f>
        <v/>
      </c>
      <c r="R9" s="41">
        <f>IF(N('Dvd Calendar'!$T$10)=0,"",IF(('Dvd Calendar'!$T$10&gt;=MIN(DATE(Summary!$C$12,1,1),Summary!$C$11))*('Dvd Calendar'!$T$10&lt;=MAX(DATE(Summary!$C$12,12,31),Summary!$C$15))*('Dvd Calendar'!$T$10&lt;=Summary!$C$11)=0,"",'Dvd Calendar'!$T$10*1000000000+ISNUMBER('Dvd Calendar'!$T$11)*100000000+('Dvd Calendar'!$T$15='Field Check'!$C$25)*10000000+(N('Dvd Calendar'!$T$9)&gt;0)*1000000+1*1000+16))</f>
        <v/>
      </c>
      <c r="S9" s="41">
        <f>IF(N('Dvd Calendar'!$U$10)=0,"",IF(('Dvd Calendar'!$U$10&gt;=MIN(DATE(Summary!$C$12,1,1),Summary!$C$11))*('Dvd Calendar'!$U$10&lt;=MAX(DATE(Summary!$C$12,12,31),Summary!$C$15))*('Dvd Calendar'!$U$10&lt;=Summary!$C$11)=0,"",'Dvd Calendar'!$U$10*1000000000+ISNUMBER('Dvd Calendar'!$U$11)*100000000+('Dvd Calendar'!$U$15='Field Check'!$C$25)*10000000+(N('Dvd Calendar'!$U$9)&gt;0)*1000000+1*1000+17))</f>
        <v/>
      </c>
      <c r="T9" s="41">
        <f>IF(N('Dvd Calendar'!$V$10)=0,"",IF(('Dvd Calendar'!$V$10&gt;=MIN(DATE(Summary!$C$12,1,1),Summary!$C$11))*('Dvd Calendar'!$V$10&lt;=MAX(DATE(Summary!$C$12,12,31),Summary!$C$15))*('Dvd Calendar'!$V$10&lt;=Summary!$C$11)=0,"",'Dvd Calendar'!$V$10*1000000000+ISNUMBER('Dvd Calendar'!$V$11)*100000000+('Dvd Calendar'!$V$15='Field Check'!$C$25)*10000000+(N('Dvd Calendar'!$V$9)&gt;0)*1000000+1*1000+18))</f>
        <v/>
      </c>
      <c r="U9" s="41">
        <f>IF(N('Dvd Calendar'!$W$10)=0,"",IF(('Dvd Calendar'!$W$10&gt;=MIN(DATE(Summary!$C$12,1,1),Summary!$C$11))*('Dvd Calendar'!$W$10&lt;=MAX(DATE(Summary!$C$12,12,31),Summary!$C$15))*('Dvd Calendar'!$W$10&lt;=Summary!$C$11)=0,"",'Dvd Calendar'!$W$10*1000000000+ISNUMBER('Dvd Calendar'!$W$11)*100000000+('Dvd Calendar'!$W$15='Field Check'!$C$25)*10000000+(N('Dvd Calendar'!$W$9)&gt;0)*1000000+1*1000+19))</f>
        <v/>
      </c>
      <c r="V9" s="41">
        <f>IF(N('Dvd Calendar'!$X$10)=0,"",IF(('Dvd Calendar'!$X$10&gt;=MIN(DATE(Summary!$C$12,1,1),Summary!$C$11))*('Dvd Calendar'!$X$10&lt;=MAX(DATE(Summary!$C$12,12,31),Summary!$C$15))*('Dvd Calendar'!$X$10&lt;=Summary!$C$11)=0,"",'Dvd Calendar'!$X$10*1000000000+ISNUMBER('Dvd Calendar'!$X$11)*100000000+('Dvd Calendar'!$X$15='Field Check'!$C$25)*10000000+(N('Dvd Calendar'!$X$9)&gt;0)*1000000+1*1000+20))</f>
        <v/>
      </c>
      <c r="W9" s="41">
        <f>IF(N('Dvd Calendar'!$Y$10)=0,"",IF(('Dvd Calendar'!$Y$10&gt;=MIN(DATE(Summary!$C$12,1,1),Summary!$C$11))*('Dvd Calendar'!$Y$10&lt;=MAX(DATE(Summary!$C$12,12,31),Summary!$C$15))*('Dvd Calendar'!$Y$10&lt;=Summary!$C$11)=0,"",'Dvd Calendar'!$Y$10*1000000000+ISNUMBER('Dvd Calendar'!$Y$11)*100000000+('Dvd Calendar'!$Y$15='Field Check'!$C$25)*10000000+(N('Dvd Calendar'!$Y$9)&gt;0)*1000000+1*1000+21))</f>
        <v/>
      </c>
      <c r="X9" s="41">
        <f>IF(N('Dvd Calendar'!$Z$10)=0,"",IF(('Dvd Calendar'!$Z$10&gt;=MIN(DATE(Summary!$C$12,1,1),Summary!$C$11))*('Dvd Calendar'!$Z$10&lt;=MAX(DATE(Summary!$C$12,12,31),Summary!$C$15))*('Dvd Calendar'!$Z$10&lt;=Summary!$C$11)=0,"",'Dvd Calendar'!$Z$10*1000000000+ISNUMBER('Dvd Calendar'!$Z$11)*100000000+('Dvd Calendar'!$Z$15='Field Check'!$C$25)*10000000+(N('Dvd Calendar'!$Z$9)&gt;0)*1000000+1*1000+22))</f>
        <v/>
      </c>
      <c r="Y9" s="41">
        <f>IF(N('Dvd Calendar'!$AA$10)=0,"",IF(('Dvd Calendar'!$AA$10&gt;=MIN(DATE(Summary!$C$12,1,1),Summary!$C$11))*('Dvd Calendar'!$AA$10&lt;=MAX(DATE(Summary!$C$12,12,31),Summary!$C$15))*('Dvd Calendar'!$AA$10&lt;=Summary!$C$11)=0,"",'Dvd Calendar'!$AA$10*1000000000+ISNUMBER('Dvd Calendar'!$AA$11)*100000000+('Dvd Calendar'!$AA$15='Field Check'!$C$25)*10000000+(N('Dvd Calendar'!$AA$9)&gt;0)*1000000+1*1000+23))</f>
        <v/>
      </c>
      <c r="Z9" s="41">
        <f>IF(N('Dvd Calendar'!$AB$10)=0,"",IF(('Dvd Calendar'!$AB$10&gt;=MIN(DATE(Summary!$C$12,1,1),Summary!$C$11))*('Dvd Calendar'!$AB$10&lt;=MAX(DATE(Summary!$C$12,12,31),Summary!$C$15))*('Dvd Calendar'!$AB$10&lt;=Summary!$C$11)=0,"",'Dvd Calendar'!$AB$10*1000000000+ISNUMBER('Dvd Calendar'!$AB$11)*100000000+('Dvd Calendar'!$AB$15='Field Check'!$C$25)*10000000+(N('Dvd Calendar'!$AB$9)&gt;0)*1000000+1*1000+24))</f>
        <v/>
      </c>
      <c r="AA9" s="41">
        <f>IF(N('Dvd Calendar'!$AC$10)=0,"",IF(('Dvd Calendar'!$AC$10&gt;=MIN(DATE(Summary!$C$12,1,1),Summary!$C$11))*('Dvd Calendar'!$AC$10&lt;=MAX(DATE(Summary!$C$12,12,31),Summary!$C$15))*('Dvd Calendar'!$AC$10&lt;=Summary!$C$11)=0,"",'Dvd Calendar'!$AC$10*1000000000+ISNUMBER('Dvd Calendar'!$AC$11)*100000000+('Dvd Calendar'!$AC$15='Field Check'!$C$25)*10000000+(N('Dvd Calendar'!$AC$9)&gt;0)*1000000+1*1000+25))</f>
        <v/>
      </c>
      <c r="AB9" s="41">
        <f>IF(N('Dvd Calendar'!$AD$10)=0,"",IF(('Dvd Calendar'!$AD$10&gt;=MIN(DATE(Summary!$C$12,1,1),Summary!$C$11))*('Dvd Calendar'!$AD$10&lt;=MAX(DATE(Summary!$C$12,12,31),Summary!$C$15))*('Dvd Calendar'!$AD$10&lt;=Summary!$C$11)=0,"",'Dvd Calendar'!$AD$10*1000000000+ISNUMBER('Dvd Calendar'!$AD$11)*100000000+('Dvd Calendar'!$AD$15='Field Check'!$C$25)*10000000+(N('Dvd Calendar'!$AD$9)&gt;0)*1000000+1*1000+26))</f>
        <v/>
      </c>
      <c r="AC9" s="41">
        <f>IF(N('Dvd Calendar'!$AE$10)=0,"",IF(('Dvd Calendar'!$AE$10&gt;=MIN(DATE(Summary!$C$12,1,1),Summary!$C$11))*('Dvd Calendar'!$AE$10&lt;=MAX(DATE(Summary!$C$12,12,31),Summary!$C$15))*('Dvd Calendar'!$AE$10&lt;=Summary!$C$11)=0,"",'Dvd Calendar'!$AE$10*1000000000+ISNUMBER('Dvd Calendar'!$AE$11)*100000000+('Dvd Calendar'!$AE$15='Field Check'!$C$25)*10000000+(N('Dvd Calendar'!$AE$9)&gt;0)*1000000+1*1000+27))</f>
        <v/>
      </c>
      <c r="AD9" s="41">
        <f>IF(N('Dvd Calendar'!$AF$10)=0,"",IF(('Dvd Calendar'!$AF$10&gt;=MIN(DATE(Summary!$C$12,1,1),Summary!$C$11))*('Dvd Calendar'!$AF$10&lt;=MAX(DATE(Summary!$C$12,12,31),Summary!$C$15))*('Dvd Calendar'!$AF$10&lt;=Summary!$C$11)=0,"",'Dvd Calendar'!$AF$10*1000000000+ISNUMBER('Dvd Calendar'!$AF$11)*100000000+('Dvd Calendar'!$AF$15='Field Check'!$C$25)*10000000+(N('Dvd Calendar'!$AF$9)&gt;0)*1000000+1*1000+28))</f>
        <v/>
      </c>
      <c r="AE9" s="41">
        <f>IF(N('Dvd Calendar'!$AG$10)=0,"",IF(('Dvd Calendar'!$AG$10&gt;=MIN(DATE(Summary!$C$12,1,1),Summary!$C$11))*('Dvd Calendar'!$AG$10&lt;=MAX(DATE(Summary!$C$12,12,31),Summary!$C$15))*('Dvd Calendar'!$AG$10&lt;=Summary!$C$11)=0,"",'Dvd Calendar'!$AG$10*1000000000+ISNUMBER('Dvd Calendar'!$AG$11)*100000000+('Dvd Calendar'!$AG$15='Field Check'!$C$25)*10000000+(N('Dvd Calendar'!$AG$9)&gt;0)*1000000+1*1000+29))</f>
        <v/>
      </c>
      <c r="AF9" s="41">
        <f>IF(N('Dvd Calendar'!$AH$10)=0,"",IF(('Dvd Calendar'!$AH$10&gt;=MIN(DATE(Summary!$C$12,1,1),Summary!$C$11))*('Dvd Calendar'!$AH$10&lt;=MAX(DATE(Summary!$C$12,12,31),Summary!$C$15))*('Dvd Calendar'!$AH$10&lt;=Summary!$C$11)=0,"",'Dvd Calendar'!$AH$10*1000000000+ISNUMBER('Dvd Calendar'!$AH$11)*100000000+('Dvd Calendar'!$AH$15='Field Check'!$C$25)*10000000+(N('Dvd Calendar'!$AH$9)&gt;0)*1000000+1*1000+30))</f>
        <v/>
      </c>
      <c r="AG9" s="41">
        <f>IF(N('Dvd Calendar'!$AI$10)=0,"",IF(('Dvd Calendar'!$AI$10&gt;=MIN(DATE(Summary!$C$12,1,1),Summary!$C$11))*('Dvd Calendar'!$AI$10&lt;=MAX(DATE(Summary!$C$12,12,31),Summary!$C$15))*('Dvd Calendar'!$AI$10&lt;=Summary!$C$11)=0,"",'Dvd Calendar'!$AI$10*1000000000+ISNUMBER('Dvd Calendar'!$AI$11)*100000000+('Dvd Calendar'!$AI$15='Field Check'!$C$25)*10000000+(N('Dvd Calendar'!$AI$9)&gt;0)*1000000+1*1000+31))</f>
        <v/>
      </c>
      <c r="AH9" s="41">
        <f>IF(N('Dvd Calendar'!$AJ$10)=0,"",IF(('Dvd Calendar'!$AJ$10&gt;=MIN(DATE(Summary!$C$12,1,1),Summary!$C$11))*('Dvd Calendar'!$AJ$10&lt;=MAX(DATE(Summary!$C$12,12,31),Summary!$C$15))*('Dvd Calendar'!$AJ$10&lt;=Summary!$C$11)=0,"",'Dvd Calendar'!$AJ$10*1000000000+ISNUMBER('Dvd Calendar'!$AJ$11)*100000000+('Dvd Calendar'!$AJ$15='Field Check'!$C$25)*10000000+(N('Dvd Calendar'!$AJ$9)&gt;0)*1000000+1*1000+32))</f>
        <v/>
      </c>
      <c r="AI9" s="41">
        <f>IF(N('Dvd Calendar'!$AK$10)=0,"",IF(('Dvd Calendar'!$AK$10&gt;=MIN(DATE(Summary!$C$12,1,1),Summary!$C$11))*('Dvd Calendar'!$AK$10&lt;=MAX(DATE(Summary!$C$12,12,31),Summary!$C$15))*('Dvd Calendar'!$AK$10&lt;=Summary!$C$11)=0,"",'Dvd Calendar'!$AK$10*1000000000+ISNUMBER('Dvd Calendar'!$AK$11)*100000000+('Dvd Calendar'!$AK$15='Field Check'!$C$25)*10000000+(N('Dvd Calendar'!$AK$9)&gt;0)*1000000+1*1000+33))</f>
        <v/>
      </c>
      <c r="AJ9" s="41">
        <f>IF(N('Dvd Calendar'!$AL$10)=0,"",IF(('Dvd Calendar'!$AL$10&gt;=MIN(DATE(Summary!$C$12,1,1),Summary!$C$11))*('Dvd Calendar'!$AL$10&lt;=MAX(DATE(Summary!$C$12,12,31),Summary!$C$15))*('Dvd Calendar'!$AL$10&lt;=Summary!$C$11)=0,"",'Dvd Calendar'!$AL$10*1000000000+ISNUMBER('Dvd Calendar'!$AL$11)*100000000+('Dvd Calendar'!$AL$15='Field Check'!$C$25)*10000000+(N('Dvd Calendar'!$AL$9)&gt;0)*1000000+1*1000+34))</f>
        <v/>
      </c>
      <c r="AK9" s="41">
        <f>IF(N('Dvd Calendar'!$AM$10)=0,"",IF(('Dvd Calendar'!$AM$10&gt;=MIN(DATE(Summary!$C$12,1,1),Summary!$C$11))*('Dvd Calendar'!$AM$10&lt;=MAX(DATE(Summary!$C$12,12,31),Summary!$C$15))*('Dvd Calendar'!$AM$10&lt;=Summary!$C$11)=0,"",'Dvd Calendar'!$AM$10*1000000000+ISNUMBER('Dvd Calendar'!$AM$11)*100000000+('Dvd Calendar'!$AM$15='Field Check'!$C$25)*10000000+(N('Dvd Calendar'!$AM$9)&gt;0)*1000000+1*1000+35))</f>
        <v/>
      </c>
      <c r="AL9" s="41">
        <f>IF(N('Dvd Calendar'!$AN$10)=0,"",IF(('Dvd Calendar'!$AN$10&gt;=MIN(DATE(Summary!$C$12,1,1),Summary!$C$11))*('Dvd Calendar'!$AN$10&lt;=MAX(DATE(Summary!$C$12,12,31),Summary!$C$15))*('Dvd Calendar'!$AN$10&lt;=Summary!$C$11)=0,"",'Dvd Calendar'!$AN$10*1000000000+ISNUMBER('Dvd Calendar'!$AN$11)*100000000+('Dvd Calendar'!$AN$15='Field Check'!$C$25)*10000000+(N('Dvd Calendar'!$AN$9)&gt;0)*1000000+1*1000+36))</f>
        <v/>
      </c>
      <c r="AM9" s="41">
        <f>IF(N('Dvd Calendar'!$AO$10)=0,"",IF(('Dvd Calendar'!$AO$10&gt;=MIN(DATE(Summary!$C$12,1,1),Summary!$C$11))*('Dvd Calendar'!$AO$10&lt;=MAX(DATE(Summary!$C$12,12,31),Summary!$C$15))*('Dvd Calendar'!$AO$10&lt;=Summary!$C$11)=0,"",'Dvd Calendar'!$AO$10*1000000000+ISNUMBER('Dvd Calendar'!$AO$11)*100000000+('Dvd Calendar'!$AO$15='Field Check'!$C$25)*10000000+(N('Dvd Calendar'!$AO$9)&gt;0)*1000000+1*1000+37))</f>
        <v/>
      </c>
      <c r="AN9" s="41">
        <f>IF(N('Dvd Calendar'!$AP$10)=0,"",IF(('Dvd Calendar'!$AP$10&gt;=MIN(DATE(Summary!$C$12,1,1),Summary!$C$11))*('Dvd Calendar'!$AP$10&lt;=MAX(DATE(Summary!$C$12,12,31),Summary!$C$15))*('Dvd Calendar'!$AP$10&lt;=Summary!$C$11)=0,"",'Dvd Calendar'!$AP$10*1000000000+ISNUMBER('Dvd Calendar'!$AP$11)*100000000+('Dvd Calendar'!$AP$15='Field Check'!$C$25)*10000000+(N('Dvd Calendar'!$AP$9)&gt;0)*1000000+1*1000+38))</f>
        <v/>
      </c>
      <c r="AO9" s="41">
        <f>IF(N('Dvd Calendar'!$AQ$10)=0,"",IF(('Dvd Calendar'!$AQ$10&gt;=MIN(DATE(Summary!$C$12,1,1),Summary!$C$11))*('Dvd Calendar'!$AQ$10&lt;=MAX(DATE(Summary!$C$12,12,31),Summary!$C$15))*('Dvd Calendar'!$AQ$10&lt;=Summary!$C$11)=0,"",'Dvd Calendar'!$AQ$10*1000000000+ISNUMBER('Dvd Calendar'!$AQ$11)*100000000+('Dvd Calendar'!$AQ$15='Field Check'!$C$25)*10000000+(N('Dvd Calendar'!$AQ$9)&gt;0)*1000000+1*1000+39))</f>
        <v/>
      </c>
      <c r="AP9" s="41">
        <f>IF(N('Dvd Calendar'!$AR$10)=0,"",IF(('Dvd Calendar'!$AR$10&gt;=MIN(DATE(Summary!$C$12,1,1),Summary!$C$11))*('Dvd Calendar'!$AR$10&lt;=MAX(DATE(Summary!$C$12,12,31),Summary!$C$15))*('Dvd Calendar'!$AR$10&lt;=Summary!$C$11)=0,"",'Dvd Calendar'!$AR$10*1000000000+ISNUMBER('Dvd Calendar'!$AR$11)*100000000+('Dvd Calendar'!$AR$15='Field Check'!$C$25)*10000000+(N('Dvd Calendar'!$AR$9)&gt;0)*1000000+1*1000+40))</f>
        <v/>
      </c>
      <c r="AQ9" s="41">
        <f>IF(N('Dvd Calendar'!$E$17)=0,"",IF(('Dvd Calendar'!$E$17&gt;=MIN(DATE(Summary!$C$12,1,1),Summary!$C$11))*('Dvd Calendar'!$E$17&lt;=MAX(DATE(Summary!$C$12,12,31),Summary!$C$15))*('Dvd Calendar'!$E$17&gt;Summary!$C$11)=0,"",'Dvd Calendar'!$E$17*1000000000+ISNUMBER('Dvd Calendar'!$E$18)*100000000+('Dvd Calendar'!$E$22='Field Check'!$C$25)*10000000+(N('Dvd Calendar'!$E$16)&gt;0)*1000000+1*1000+41))</f>
        <v/>
      </c>
      <c r="AR9" s="41">
        <f>IF(N('Dvd Calendar'!$F$17)=0,"",IF(('Dvd Calendar'!$F$17&gt;=MIN(DATE(Summary!$C$12,1,1),Summary!$C$11))*('Dvd Calendar'!$F$17&lt;=MAX(DATE(Summary!$C$12,12,31),Summary!$C$15))*('Dvd Calendar'!$F$17&gt;Summary!$C$11)=0,"",'Dvd Calendar'!$F$17*1000000000+ISNUMBER('Dvd Calendar'!$F$18)*100000000+('Dvd Calendar'!$F$22='Field Check'!$C$25)*10000000+(N('Dvd Calendar'!$F$16)&gt;0)*1000000+1*1000+42))</f>
        <v/>
      </c>
      <c r="AS9" s="41">
        <f>IF(N('Dvd Calendar'!$G$17)=0,"",IF(('Dvd Calendar'!$G$17&gt;=MIN(DATE(Summary!$C$12,1,1),Summary!$C$11))*('Dvd Calendar'!$G$17&lt;=MAX(DATE(Summary!$C$12,12,31),Summary!$C$15))*('Dvd Calendar'!$G$17&gt;Summary!$C$11)=0,"",'Dvd Calendar'!$G$17*1000000000+ISNUMBER('Dvd Calendar'!$G$18)*100000000+('Dvd Calendar'!$G$22='Field Check'!$C$25)*10000000+(N('Dvd Calendar'!$G$16)&gt;0)*1000000+1*1000+43))</f>
        <v/>
      </c>
      <c r="AT9" s="41">
        <f>IF(N('Dvd Calendar'!$H$17)=0,"",IF(('Dvd Calendar'!$H$17&gt;=MIN(DATE(Summary!$C$12,1,1),Summary!$C$11))*('Dvd Calendar'!$H$17&lt;=MAX(DATE(Summary!$C$12,12,31),Summary!$C$15))*('Dvd Calendar'!$H$17&gt;Summary!$C$11)=0,"",'Dvd Calendar'!$H$17*1000000000+ISNUMBER('Dvd Calendar'!$H$18)*100000000+('Dvd Calendar'!$H$22='Field Check'!$C$25)*10000000+(N('Dvd Calendar'!$H$16)&gt;0)*1000000+1*1000+44))</f>
        <v/>
      </c>
      <c r="AU9" s="41">
        <f>IF(N('Dvd Calendar'!$I$17)=0,"",IF(('Dvd Calendar'!$I$17&gt;=MIN(DATE(Summary!$C$12,1,1),Summary!$C$11))*('Dvd Calendar'!$I$17&lt;=MAX(DATE(Summary!$C$12,12,31),Summary!$C$15))*('Dvd Calendar'!$I$17&gt;Summary!$C$11)=0,"",'Dvd Calendar'!$I$17*1000000000+ISNUMBER('Dvd Calendar'!$I$18)*100000000+('Dvd Calendar'!$I$22='Field Check'!$C$25)*10000000+(N('Dvd Calendar'!$I$16)&gt;0)*1000000+1*1000+45))</f>
        <v/>
      </c>
      <c r="AV9" s="41">
        <f>IF(N('Dvd Calendar'!$J$17)=0,"",IF(('Dvd Calendar'!$J$17&gt;=MIN(DATE(Summary!$C$12,1,1),Summary!$C$11))*('Dvd Calendar'!$J$17&lt;=MAX(DATE(Summary!$C$12,12,31),Summary!$C$15))*('Dvd Calendar'!$J$17&gt;Summary!$C$11)=0,"",'Dvd Calendar'!$J$17*1000000000+ISNUMBER('Dvd Calendar'!$J$18)*100000000+('Dvd Calendar'!$J$22='Field Check'!$C$25)*10000000+(N('Dvd Calendar'!$J$16)&gt;0)*1000000+1*1000+46))</f>
        <v/>
      </c>
      <c r="AW9" s="41">
        <f>IF(N('Dvd Calendar'!$K$17)=0,"",IF(('Dvd Calendar'!$K$17&gt;=MIN(DATE(Summary!$C$12,1,1),Summary!$C$11))*('Dvd Calendar'!$K$17&lt;=MAX(DATE(Summary!$C$12,12,31),Summary!$C$15))*('Dvd Calendar'!$K$17&gt;Summary!$C$11)=0,"",'Dvd Calendar'!$K$17*1000000000+ISNUMBER('Dvd Calendar'!$K$18)*100000000+('Dvd Calendar'!$K$22='Field Check'!$C$25)*10000000+(N('Dvd Calendar'!$K$16)&gt;0)*1000000+1*1000+47))</f>
        <v/>
      </c>
      <c r="AX9" s="41">
        <f>IF(N('Dvd Calendar'!$L$17)=0,"",IF(('Dvd Calendar'!$L$17&gt;=MIN(DATE(Summary!$C$12,1,1),Summary!$C$11))*('Dvd Calendar'!$L$17&lt;=MAX(DATE(Summary!$C$12,12,31),Summary!$C$15))*('Dvd Calendar'!$L$17&gt;Summary!$C$11)=0,"",'Dvd Calendar'!$L$17*1000000000+ISNUMBER('Dvd Calendar'!$L$18)*100000000+('Dvd Calendar'!$L$22='Field Check'!$C$25)*10000000+(N('Dvd Calendar'!$L$16)&gt;0)*1000000+1*1000+48))</f>
        <v/>
      </c>
      <c r="AY9" s="41">
        <f>IF(N('Dvd Calendar'!$M$17)=0,"",IF(('Dvd Calendar'!$M$17&gt;=MIN(DATE(Summary!$C$12,1,1),Summary!$C$11))*('Dvd Calendar'!$M$17&lt;=MAX(DATE(Summary!$C$12,12,31),Summary!$C$15))*('Dvd Calendar'!$M$17&gt;Summary!$C$11)=0,"",'Dvd Calendar'!$M$17*1000000000+ISNUMBER('Dvd Calendar'!$M$18)*100000000+('Dvd Calendar'!$M$22='Field Check'!$C$25)*10000000+(N('Dvd Calendar'!$M$16)&gt;0)*1000000+1*1000+49))</f>
        <v/>
      </c>
      <c r="AZ9" s="41">
        <f>IF(N('Dvd Calendar'!$N$17)=0,"",IF(('Dvd Calendar'!$N$17&gt;=MIN(DATE(Summary!$C$12,1,1),Summary!$C$11))*('Dvd Calendar'!$N$17&lt;=MAX(DATE(Summary!$C$12,12,31),Summary!$C$15))*('Dvd Calendar'!$N$17&gt;Summary!$C$11)=0,"",'Dvd Calendar'!$N$17*1000000000+ISNUMBER('Dvd Calendar'!$N$18)*100000000+('Dvd Calendar'!$N$22='Field Check'!$C$25)*10000000+(N('Dvd Calendar'!$N$16)&gt;0)*1000000+1*1000+50))</f>
        <v/>
      </c>
      <c r="BA9" s="41">
        <f>IF(N('Dvd Calendar'!$O$17)=0,"",IF(('Dvd Calendar'!$O$17&gt;=MIN(DATE(Summary!$C$12,1,1),Summary!$C$11))*('Dvd Calendar'!$O$17&lt;=MAX(DATE(Summary!$C$12,12,31),Summary!$C$15))*('Dvd Calendar'!$O$17&gt;Summary!$C$11)=0,"",'Dvd Calendar'!$O$17*1000000000+ISNUMBER('Dvd Calendar'!$O$18)*100000000+('Dvd Calendar'!$O$22='Field Check'!$C$25)*10000000+(N('Dvd Calendar'!$O$16)&gt;0)*1000000+1*1000+51))</f>
        <v/>
      </c>
      <c r="BB9" s="41">
        <f>IF(N('Dvd Calendar'!$P$17)=0,"",IF(('Dvd Calendar'!$P$17&gt;=MIN(DATE(Summary!$C$12,1,1),Summary!$C$11))*('Dvd Calendar'!$P$17&lt;=MAX(DATE(Summary!$C$12,12,31),Summary!$C$15))*('Dvd Calendar'!$P$17&gt;Summary!$C$11)=0,"",'Dvd Calendar'!$P$17*1000000000+ISNUMBER('Dvd Calendar'!$P$18)*100000000+('Dvd Calendar'!$P$22='Field Check'!$C$25)*10000000+(N('Dvd Calendar'!$P$16)&gt;0)*1000000+1*1000+52))</f>
        <v/>
      </c>
      <c r="BC9" s="41">
        <f>IF(N('Dvd Calendar'!$Q$17)=0,"",IF(('Dvd Calendar'!$Q$17&gt;=MIN(DATE(Summary!$C$12,1,1),Summary!$C$11))*('Dvd Calendar'!$Q$17&lt;=MAX(DATE(Summary!$C$12,12,31),Summary!$C$15))*('Dvd Calendar'!$Q$17&gt;Summary!$C$11)=0,"",'Dvd Calendar'!$Q$17*1000000000+ISNUMBER('Dvd Calendar'!$Q$18)*100000000+('Dvd Calendar'!$Q$22='Field Check'!$C$25)*10000000+(N('Dvd Calendar'!$Q$16)&gt;0)*1000000+1*1000+53))</f>
        <v/>
      </c>
      <c r="BD9" s="41">
        <f>IF(N('Dvd Calendar'!$R$17)=0,"",IF(('Dvd Calendar'!$R$17&gt;=MIN(DATE(Summary!$C$12,1,1),Summary!$C$11))*('Dvd Calendar'!$R$17&lt;=MAX(DATE(Summary!$C$12,12,31),Summary!$C$15))*('Dvd Calendar'!$R$17&gt;Summary!$C$11)=0,"",'Dvd Calendar'!$R$17*1000000000+ISNUMBER('Dvd Calendar'!$R$18)*100000000+('Dvd Calendar'!$R$22='Field Check'!$C$25)*10000000+(N('Dvd Calendar'!$R$16)&gt;0)*1000000+1*1000+54))</f>
        <v/>
      </c>
      <c r="BE9" s="41">
        <f>IF(N('Dvd Calendar'!$S$17)=0,"",IF(('Dvd Calendar'!$S$17&gt;=MIN(DATE(Summary!$C$12,1,1),Summary!$C$11))*('Dvd Calendar'!$S$17&lt;=MAX(DATE(Summary!$C$12,12,31),Summary!$C$15))*('Dvd Calendar'!$S$17&gt;Summary!$C$11)=0,"",'Dvd Calendar'!$S$17*1000000000+ISNUMBER('Dvd Calendar'!$S$18)*100000000+('Dvd Calendar'!$S$22='Field Check'!$C$25)*10000000+(N('Dvd Calendar'!$S$16)&gt;0)*1000000+1*1000+55))</f>
        <v/>
      </c>
      <c r="BF9" s="41">
        <f>IF(N('Dvd Calendar'!$T$17)=0,"",IF(('Dvd Calendar'!$T$17&gt;=MIN(DATE(Summary!$C$12,1,1),Summary!$C$11))*('Dvd Calendar'!$T$17&lt;=MAX(DATE(Summary!$C$12,12,31),Summary!$C$15))*('Dvd Calendar'!$T$17&gt;Summary!$C$11)=0,"",'Dvd Calendar'!$T$17*1000000000+ISNUMBER('Dvd Calendar'!$T$18)*100000000+('Dvd Calendar'!$T$22='Field Check'!$C$25)*10000000+(N('Dvd Calendar'!$T$16)&gt;0)*1000000+1*1000+56))</f>
        <v/>
      </c>
      <c r="BG9" s="41">
        <f>IF(N('Dvd Calendar'!$U$17)=0,"",IF(('Dvd Calendar'!$U$17&gt;=MIN(DATE(Summary!$C$12,1,1),Summary!$C$11))*('Dvd Calendar'!$U$17&lt;=MAX(DATE(Summary!$C$12,12,31),Summary!$C$15))*('Dvd Calendar'!$U$17&gt;Summary!$C$11)=0,"",'Dvd Calendar'!$U$17*1000000000+ISNUMBER('Dvd Calendar'!$U$18)*100000000+('Dvd Calendar'!$U$22='Field Check'!$C$25)*10000000+(N('Dvd Calendar'!$U$16)&gt;0)*1000000+1*1000+57))</f>
        <v/>
      </c>
      <c r="BH9" s="41">
        <f>IF(N('Dvd Calendar'!$V$17)=0,"",IF(('Dvd Calendar'!$V$17&gt;=MIN(DATE(Summary!$C$12,1,1),Summary!$C$11))*('Dvd Calendar'!$V$17&lt;=MAX(DATE(Summary!$C$12,12,31),Summary!$C$15))*('Dvd Calendar'!$V$17&gt;Summary!$C$11)=0,"",'Dvd Calendar'!$V$17*1000000000+ISNUMBER('Dvd Calendar'!$V$18)*100000000+('Dvd Calendar'!$V$22='Field Check'!$C$25)*10000000+(N('Dvd Calendar'!$V$16)&gt;0)*1000000+1*1000+58))</f>
        <v/>
      </c>
      <c r="BI9" s="41">
        <f>IF(N('Dvd Calendar'!$W$17)=0,"",IF(('Dvd Calendar'!$W$17&gt;=MIN(DATE(Summary!$C$12,1,1),Summary!$C$11))*('Dvd Calendar'!$W$17&lt;=MAX(DATE(Summary!$C$12,12,31),Summary!$C$15))*('Dvd Calendar'!$W$17&gt;Summary!$C$11)=0,"",'Dvd Calendar'!$W$17*1000000000+ISNUMBER('Dvd Calendar'!$W$18)*100000000+('Dvd Calendar'!$W$22='Field Check'!$C$25)*10000000+(N('Dvd Calendar'!$W$16)&gt;0)*1000000+1*1000+59))</f>
        <v/>
      </c>
      <c r="BJ9" s="41">
        <f>IF(N('Dvd Calendar'!$X$17)=0,"",IF(('Dvd Calendar'!$X$17&gt;=MIN(DATE(Summary!$C$12,1,1),Summary!$C$11))*('Dvd Calendar'!$X$17&lt;=MAX(DATE(Summary!$C$12,12,31),Summary!$C$15))*('Dvd Calendar'!$X$17&gt;Summary!$C$11)=0,"",'Dvd Calendar'!$X$17*1000000000+ISNUMBER('Dvd Calendar'!$X$18)*100000000+('Dvd Calendar'!$X$22='Field Check'!$C$25)*10000000+(N('Dvd Calendar'!$X$16)&gt;0)*1000000+1*1000+60))</f>
        <v/>
      </c>
      <c r="BK9" s="41">
        <f>IF(N('Dvd Calendar'!$Y$17)=0,"",IF(('Dvd Calendar'!$Y$17&gt;=MIN(DATE(Summary!$C$12,1,1),Summary!$C$11))*('Dvd Calendar'!$Y$17&lt;=MAX(DATE(Summary!$C$12,12,31),Summary!$C$15))*('Dvd Calendar'!$Y$17&gt;Summary!$C$11)=0,"",'Dvd Calendar'!$Y$17*1000000000+ISNUMBER('Dvd Calendar'!$Y$18)*100000000+('Dvd Calendar'!$Y$22='Field Check'!$C$25)*10000000+(N('Dvd Calendar'!$Y$16)&gt;0)*1000000+1*1000+61))</f>
        <v/>
      </c>
      <c r="BL9" s="41">
        <f>IF(N('Dvd Calendar'!$Z$17)=0,"",IF(('Dvd Calendar'!$Z$17&gt;=MIN(DATE(Summary!$C$12,1,1),Summary!$C$11))*('Dvd Calendar'!$Z$17&lt;=MAX(DATE(Summary!$C$12,12,31),Summary!$C$15))*('Dvd Calendar'!$Z$17&gt;Summary!$C$11)=0,"",'Dvd Calendar'!$Z$17*1000000000+ISNUMBER('Dvd Calendar'!$Z$18)*100000000+('Dvd Calendar'!$Z$22='Field Check'!$C$25)*10000000+(N('Dvd Calendar'!$Z$16)&gt;0)*1000000+1*1000+62))</f>
        <v/>
      </c>
      <c r="BM9" s="41">
        <f>IF(N('Dvd Calendar'!$AA$17)=0,"",IF(('Dvd Calendar'!$AA$17&gt;=MIN(DATE(Summary!$C$12,1,1),Summary!$C$11))*('Dvd Calendar'!$AA$17&lt;=MAX(DATE(Summary!$C$12,12,31),Summary!$C$15))*('Dvd Calendar'!$AA$17&gt;Summary!$C$11)=0,"",'Dvd Calendar'!$AA$17*1000000000+ISNUMBER('Dvd Calendar'!$AA$18)*100000000+('Dvd Calendar'!$AA$22='Field Check'!$C$25)*10000000+(N('Dvd Calendar'!$AA$16)&gt;0)*1000000+1*1000+63))</f>
        <v/>
      </c>
      <c r="BN9" s="41">
        <f>IF(N('Dvd Calendar'!$AB$17)=0,"",IF(('Dvd Calendar'!$AB$17&gt;=MIN(DATE(Summary!$C$12,1,1),Summary!$C$11))*('Dvd Calendar'!$AB$17&lt;=MAX(DATE(Summary!$C$12,12,31),Summary!$C$15))*('Dvd Calendar'!$AB$17&gt;Summary!$C$11)=0,"",'Dvd Calendar'!$AB$17*1000000000+ISNUMBER('Dvd Calendar'!$AB$18)*100000000+('Dvd Calendar'!$AB$22='Field Check'!$C$25)*10000000+(N('Dvd Calendar'!$AB$16)&gt;0)*1000000+1*1000+64))</f>
        <v/>
      </c>
      <c r="BO9" s="41">
        <f>IF(N('Dvd Calendar'!$AC$17)=0,"",IF(('Dvd Calendar'!$AC$17&gt;=MIN(DATE(Summary!$C$12,1,1),Summary!$C$11))*('Dvd Calendar'!$AC$17&lt;=MAX(DATE(Summary!$C$12,12,31),Summary!$C$15))*('Dvd Calendar'!$AC$17&gt;Summary!$C$11)=0,"",'Dvd Calendar'!$AC$17*1000000000+ISNUMBER('Dvd Calendar'!$AC$18)*100000000+('Dvd Calendar'!$AC$22='Field Check'!$C$25)*10000000+(N('Dvd Calendar'!$AC$16)&gt;0)*1000000+1*1000+65))</f>
        <v/>
      </c>
      <c r="BQ9" s="85">
        <f>IF(C9="","",IF(ISNUMBER('Dvd Calendar'!$E$11)=FALSE,"",IF((Summary!$C$13="N")*('Dvd Calendar'!$E$15='Field Check'!$C$25)&gt;0,"",'Dvd Calendar'!$E$11)))</f>
        <v/>
      </c>
      <c r="BR9" s="85">
        <f>IF(D9="","",IF(ISNUMBER('Dvd Calendar'!$F$11)=FALSE,"",IF((Summary!$C$13="N")*('Dvd Calendar'!$F$15='Field Check'!$C$25)&gt;0,"",'Dvd Calendar'!$F$11)))</f>
        <v/>
      </c>
      <c r="BS9" s="85">
        <f>IF(E9="","",IF(ISNUMBER('Dvd Calendar'!$G$11)=FALSE,"",IF((Summary!$C$13="N")*('Dvd Calendar'!$G$15='Field Check'!$C$25)&gt;0,"",'Dvd Calendar'!$G$11)))</f>
        <v/>
      </c>
      <c r="BT9" s="85">
        <f>IF(F9="","",IF(ISNUMBER('Dvd Calendar'!$H$11)=FALSE,"",IF((Summary!$C$13="N")*('Dvd Calendar'!$H$15='Field Check'!$C$25)&gt;0,"",'Dvd Calendar'!$H$11)))</f>
        <v/>
      </c>
      <c r="BU9" s="85">
        <f>IF(G9="","",IF(ISNUMBER('Dvd Calendar'!$I$11)=FALSE,"",IF((Summary!$C$13="N")*('Dvd Calendar'!$I$15='Field Check'!$C$25)&gt;0,"",'Dvd Calendar'!$I$11)))</f>
        <v/>
      </c>
      <c r="BV9" s="85">
        <f>IF(H9="","",IF(ISNUMBER('Dvd Calendar'!$J$11)=FALSE,"",IF((Summary!$C$13="N")*('Dvd Calendar'!$J$15='Field Check'!$C$25)&gt;0,"",'Dvd Calendar'!$J$11)))</f>
        <v/>
      </c>
      <c r="BW9" s="85">
        <f>IF(I9="","",IF(ISNUMBER('Dvd Calendar'!$K$11)=FALSE,"",IF((Summary!$C$13="N")*('Dvd Calendar'!$K$15='Field Check'!$C$25)&gt;0,"",'Dvd Calendar'!$K$11)))</f>
        <v/>
      </c>
      <c r="BX9" s="85">
        <f>IF(J9="","",IF(ISNUMBER('Dvd Calendar'!$L$11)=FALSE,"",IF((Summary!$C$13="N")*('Dvd Calendar'!$L$15='Field Check'!$C$25)&gt;0,"",'Dvd Calendar'!$L$11)))</f>
        <v/>
      </c>
      <c r="BY9" s="85">
        <f>IF(K9="","",IF(ISNUMBER('Dvd Calendar'!$M$11)=FALSE,"",IF((Summary!$C$13="N")*('Dvd Calendar'!$M$15='Field Check'!$C$25)&gt;0,"",'Dvd Calendar'!$M$11)))</f>
        <v/>
      </c>
      <c r="BZ9" s="85">
        <f>IF(L9="","",IF(ISNUMBER('Dvd Calendar'!$N$11)=FALSE,"",IF((Summary!$C$13="N")*('Dvd Calendar'!$N$15='Field Check'!$C$25)&gt;0,"",'Dvd Calendar'!$N$11)))</f>
        <v/>
      </c>
      <c r="CA9" s="85">
        <f>IF(M9="","",IF(ISNUMBER('Dvd Calendar'!$O$11)=FALSE,"",IF((Summary!$C$13="N")*('Dvd Calendar'!$O$15='Field Check'!$C$25)&gt;0,"",'Dvd Calendar'!$O$11)))</f>
        <v/>
      </c>
      <c r="CB9" s="85">
        <f>IF(N9="","",IF(ISNUMBER('Dvd Calendar'!$P$11)=FALSE,"",IF((Summary!$C$13="N")*('Dvd Calendar'!$P$15='Field Check'!$C$25)&gt;0,"",'Dvd Calendar'!$P$11)))</f>
        <v/>
      </c>
      <c r="CC9" s="85">
        <f>IF(O9="","",IF(ISNUMBER('Dvd Calendar'!$Q$11)=FALSE,"",IF((Summary!$C$13="N")*('Dvd Calendar'!$Q$15='Field Check'!$C$25)&gt;0,"",'Dvd Calendar'!$Q$11)))</f>
        <v/>
      </c>
      <c r="CD9" s="85">
        <f>IF(P9="","",IF(ISNUMBER('Dvd Calendar'!$R$11)=FALSE,"",IF((Summary!$C$13="N")*('Dvd Calendar'!$R$15='Field Check'!$C$25)&gt;0,"",'Dvd Calendar'!$R$11)))</f>
        <v/>
      </c>
      <c r="CE9" s="85">
        <f>IF(Q9="","",IF(ISNUMBER('Dvd Calendar'!$S$11)=FALSE,"",IF((Summary!$C$13="N")*('Dvd Calendar'!$S$15='Field Check'!$C$25)&gt;0,"",'Dvd Calendar'!$S$11)))</f>
        <v/>
      </c>
      <c r="CF9" s="85">
        <f>IF(R9="","",IF(ISNUMBER('Dvd Calendar'!$T$11)=FALSE,"",IF((Summary!$C$13="N")*('Dvd Calendar'!$T$15='Field Check'!$C$25)&gt;0,"",'Dvd Calendar'!$T$11)))</f>
        <v/>
      </c>
      <c r="CG9" s="85">
        <f>IF(S9="","",IF(ISNUMBER('Dvd Calendar'!$U$11)=FALSE,"",IF((Summary!$C$13="N")*('Dvd Calendar'!$U$15='Field Check'!$C$25)&gt;0,"",'Dvd Calendar'!$U$11)))</f>
        <v/>
      </c>
      <c r="CH9" s="85">
        <f>IF(T9="","",IF(ISNUMBER('Dvd Calendar'!$V$11)=FALSE,"",IF((Summary!$C$13="N")*('Dvd Calendar'!$V$15='Field Check'!$C$25)&gt;0,"",'Dvd Calendar'!$V$11)))</f>
        <v/>
      </c>
      <c r="CI9" s="85">
        <f>IF(U9="","",IF(ISNUMBER('Dvd Calendar'!$W$11)=FALSE,"",IF((Summary!$C$13="N")*('Dvd Calendar'!$W$15='Field Check'!$C$25)&gt;0,"",'Dvd Calendar'!$W$11)))</f>
        <v/>
      </c>
      <c r="CJ9" s="85">
        <f>IF(V9="","",IF(ISNUMBER('Dvd Calendar'!$X$11)=FALSE,"",IF((Summary!$C$13="N")*('Dvd Calendar'!$X$15='Field Check'!$C$25)&gt;0,"",'Dvd Calendar'!$X$11)))</f>
        <v/>
      </c>
      <c r="CK9" s="85">
        <f>IF(W9="","",IF(ISNUMBER('Dvd Calendar'!$Y$11)=FALSE,"",IF((Summary!$C$13="N")*('Dvd Calendar'!$Y$15='Field Check'!$C$25)&gt;0,"",'Dvd Calendar'!$Y$11)))</f>
        <v/>
      </c>
      <c r="CL9" s="85">
        <f>IF(X9="","",IF(ISNUMBER('Dvd Calendar'!$Z$11)=FALSE,"",IF((Summary!$C$13="N")*('Dvd Calendar'!$Z$15='Field Check'!$C$25)&gt;0,"",'Dvd Calendar'!$Z$11)))</f>
        <v/>
      </c>
      <c r="CM9" s="85">
        <f>IF(Y9="","",IF(ISNUMBER('Dvd Calendar'!$AA$11)=FALSE,"",IF((Summary!$C$13="N")*('Dvd Calendar'!$AA$15='Field Check'!$C$25)&gt;0,"",'Dvd Calendar'!$AA$11)))</f>
        <v/>
      </c>
      <c r="CN9" s="85">
        <f>IF(Z9="","",IF(ISNUMBER('Dvd Calendar'!$AB$11)=FALSE,"",IF((Summary!$C$13="N")*('Dvd Calendar'!$AB$15='Field Check'!$C$25)&gt;0,"",'Dvd Calendar'!$AB$11)))</f>
        <v/>
      </c>
      <c r="CO9" s="85">
        <f>IF(AA9="","",IF(ISNUMBER('Dvd Calendar'!$AC$11)=FALSE,"",IF((Summary!$C$13="N")*('Dvd Calendar'!$AC$15='Field Check'!$C$25)&gt;0,"",'Dvd Calendar'!$AC$11)))</f>
        <v/>
      </c>
      <c r="CP9" s="85">
        <f>IF(AB9="","",IF(ISNUMBER('Dvd Calendar'!$AD$11)=FALSE,"",IF((Summary!$C$13="N")*('Dvd Calendar'!$AD$15='Field Check'!$C$25)&gt;0,"",'Dvd Calendar'!$AD$11)))</f>
        <v/>
      </c>
      <c r="CQ9" s="85">
        <f>IF(AC9="","",IF(ISNUMBER('Dvd Calendar'!$AE$11)=FALSE,"",IF((Summary!$C$13="N")*('Dvd Calendar'!$AE$15='Field Check'!$C$25)&gt;0,"",'Dvd Calendar'!$AE$11)))</f>
        <v/>
      </c>
      <c r="CR9" s="85">
        <f>IF(AD9="","",IF(ISNUMBER('Dvd Calendar'!$AF$11)=FALSE,"",IF((Summary!$C$13="N")*('Dvd Calendar'!$AF$15='Field Check'!$C$25)&gt;0,"",'Dvd Calendar'!$AF$11)))</f>
        <v/>
      </c>
      <c r="CS9" s="85">
        <f>IF(AE9="","",IF(ISNUMBER('Dvd Calendar'!$AG$11)=FALSE,"",IF((Summary!$C$13="N")*('Dvd Calendar'!$AG$15='Field Check'!$C$25)&gt;0,"",'Dvd Calendar'!$AG$11)))</f>
        <v/>
      </c>
      <c r="CT9" s="85">
        <f>IF(AF9="","",IF(ISNUMBER('Dvd Calendar'!$AH$11)=FALSE,"",IF((Summary!$C$13="N")*('Dvd Calendar'!$AH$15='Field Check'!$C$25)&gt;0,"",'Dvd Calendar'!$AH$11)))</f>
        <v/>
      </c>
      <c r="CU9" s="85">
        <f>IF(AG9="","",IF(ISNUMBER('Dvd Calendar'!$AI$11)=FALSE,"",IF((Summary!$C$13="N")*('Dvd Calendar'!$AI$15='Field Check'!$C$25)&gt;0,"",'Dvd Calendar'!$AI$11)))</f>
        <v/>
      </c>
      <c r="CV9" s="85">
        <f>IF(AH9="","",IF(ISNUMBER('Dvd Calendar'!$AJ$11)=FALSE,"",IF((Summary!$C$13="N")*('Dvd Calendar'!$AJ$15='Field Check'!$C$25)&gt;0,"",'Dvd Calendar'!$AJ$11)))</f>
        <v/>
      </c>
      <c r="CW9" s="85">
        <f>IF(AI9="","",IF(ISNUMBER('Dvd Calendar'!$AK$11)=FALSE,"",IF((Summary!$C$13="N")*('Dvd Calendar'!$AK$15='Field Check'!$C$25)&gt;0,"",'Dvd Calendar'!$AK$11)))</f>
        <v/>
      </c>
      <c r="CX9" s="85">
        <f>IF(AJ9="","",IF(ISNUMBER('Dvd Calendar'!$AL$11)=FALSE,"",IF((Summary!$C$13="N")*('Dvd Calendar'!$AL$15='Field Check'!$C$25)&gt;0,"",'Dvd Calendar'!$AL$11)))</f>
        <v/>
      </c>
      <c r="CY9" s="85">
        <f>IF(AK9="","",IF(ISNUMBER('Dvd Calendar'!$AM$11)=FALSE,"",IF((Summary!$C$13="N")*('Dvd Calendar'!$AM$15='Field Check'!$C$25)&gt;0,"",'Dvd Calendar'!$AM$11)))</f>
        <v/>
      </c>
      <c r="CZ9" s="85">
        <f>IF(AL9="","",IF(ISNUMBER('Dvd Calendar'!$AN$11)=FALSE,"",IF((Summary!$C$13="N")*('Dvd Calendar'!$AN$15='Field Check'!$C$25)&gt;0,"",'Dvd Calendar'!$AN$11)))</f>
        <v/>
      </c>
      <c r="DA9" s="85">
        <f>IF(AM9="","",IF(ISNUMBER('Dvd Calendar'!$AO$11)=FALSE,"",IF((Summary!$C$13="N")*('Dvd Calendar'!$AO$15='Field Check'!$C$25)&gt;0,"",'Dvd Calendar'!$AO$11)))</f>
        <v/>
      </c>
      <c r="DB9" s="85">
        <f>IF(AN9="","",IF(ISNUMBER('Dvd Calendar'!$AP$11)=FALSE,"",IF((Summary!$C$13="N")*('Dvd Calendar'!$AP$15='Field Check'!$C$25)&gt;0,"",'Dvd Calendar'!$AP$11)))</f>
        <v/>
      </c>
      <c r="DC9" s="85">
        <f>IF(AO9="","",IF(ISNUMBER('Dvd Calendar'!$AQ$11)=FALSE,"",IF((Summary!$C$13="N")*('Dvd Calendar'!$AQ$15='Field Check'!$C$25)&gt;0,"",'Dvd Calendar'!$AQ$11)))</f>
        <v/>
      </c>
      <c r="DD9" s="85">
        <f>IF(AP9="","",IF(ISNUMBER('Dvd Calendar'!$AR$11)=FALSE,"",IF((Summary!$C$13="N")*('Dvd Calendar'!$AR$15='Field Check'!$C$25)&gt;0,"",'Dvd Calendar'!$AR$11)))</f>
        <v/>
      </c>
      <c r="DE9" s="85">
        <f>IF(AQ9="","",IF(ISNUMBER('Dvd Calendar'!$E$18)=FALSE,"",IF((Summary!$C$13="N")*('Dvd Calendar'!$E$22='Field Check'!$C$25)&gt;0,"",'Dvd Calendar'!$E$18)))</f>
        <v/>
      </c>
      <c r="DF9" s="85">
        <f>IF(AR9="","",IF(ISNUMBER('Dvd Calendar'!$F$18)=FALSE,"",IF((Summary!$C$13="N")*('Dvd Calendar'!$F$22='Field Check'!$C$25)&gt;0,"",'Dvd Calendar'!$F$18)))</f>
        <v/>
      </c>
      <c r="DG9" s="85">
        <f>IF(AS9="","",IF(ISNUMBER('Dvd Calendar'!$G$18)=FALSE,"",IF((Summary!$C$13="N")*('Dvd Calendar'!$G$22='Field Check'!$C$25)&gt;0,"",'Dvd Calendar'!$G$18)))</f>
        <v/>
      </c>
      <c r="DH9" s="85">
        <f>IF(AT9="","",IF(ISNUMBER('Dvd Calendar'!$H$18)=FALSE,"",IF((Summary!$C$13="N")*('Dvd Calendar'!$H$22='Field Check'!$C$25)&gt;0,"",'Dvd Calendar'!$H$18)))</f>
        <v/>
      </c>
      <c r="DI9" s="85">
        <f>IF(AU9="","",IF(ISNUMBER('Dvd Calendar'!$I$18)=FALSE,"",IF((Summary!$C$13="N")*('Dvd Calendar'!$I$22='Field Check'!$C$25)&gt;0,"",'Dvd Calendar'!$I$18)))</f>
        <v/>
      </c>
      <c r="DJ9" s="85">
        <f>IF(AV9="","",IF(ISNUMBER('Dvd Calendar'!$J$18)=FALSE,"",IF((Summary!$C$13="N")*('Dvd Calendar'!$J$22='Field Check'!$C$25)&gt;0,"",'Dvd Calendar'!$J$18)))</f>
        <v/>
      </c>
      <c r="DK9" s="85">
        <f>IF(AW9="","",IF(ISNUMBER('Dvd Calendar'!$K$18)=FALSE,"",IF((Summary!$C$13="N")*('Dvd Calendar'!$K$22='Field Check'!$C$25)&gt;0,"",'Dvd Calendar'!$K$18)))</f>
        <v/>
      </c>
      <c r="DL9" s="85">
        <f>IF(AX9="","",IF(ISNUMBER('Dvd Calendar'!$L$18)=FALSE,"",IF((Summary!$C$13="N")*('Dvd Calendar'!$L$22='Field Check'!$C$25)&gt;0,"",'Dvd Calendar'!$L$18)))</f>
        <v/>
      </c>
      <c r="DM9" s="85">
        <f>IF(AY9="","",IF(ISNUMBER('Dvd Calendar'!$M$18)=FALSE,"",IF((Summary!$C$13="N")*('Dvd Calendar'!$M$22='Field Check'!$C$25)&gt;0,"",'Dvd Calendar'!$M$18)))</f>
        <v/>
      </c>
      <c r="DN9" s="85">
        <f>IF(AZ9="","",IF(ISNUMBER('Dvd Calendar'!$N$18)=FALSE,"",IF((Summary!$C$13="N")*('Dvd Calendar'!$N$22='Field Check'!$C$25)&gt;0,"",'Dvd Calendar'!$N$18)))</f>
        <v/>
      </c>
      <c r="DO9" s="85">
        <f>IF(BA9="","",IF(ISNUMBER('Dvd Calendar'!$O$18)=FALSE,"",IF((Summary!$C$13="N")*('Dvd Calendar'!$O$22='Field Check'!$C$25)&gt;0,"",'Dvd Calendar'!$O$18)))</f>
        <v/>
      </c>
      <c r="DP9" s="85">
        <f>IF(BB9="","",IF(ISNUMBER('Dvd Calendar'!$P$18)=FALSE,"",IF((Summary!$C$13="N")*('Dvd Calendar'!$P$22='Field Check'!$C$25)&gt;0,"",'Dvd Calendar'!$P$18)))</f>
        <v/>
      </c>
      <c r="DQ9" s="85">
        <f>IF(BC9="","",IF(ISNUMBER('Dvd Calendar'!$Q$18)=FALSE,"",IF((Summary!$C$13="N")*('Dvd Calendar'!$Q$22='Field Check'!$C$25)&gt;0,"",'Dvd Calendar'!$Q$18)))</f>
        <v/>
      </c>
      <c r="DR9" s="85">
        <f>IF(BD9="","",IF(ISNUMBER('Dvd Calendar'!$R$18)=FALSE,"",IF((Summary!$C$13="N")*('Dvd Calendar'!$R$22='Field Check'!$C$25)&gt;0,"",'Dvd Calendar'!$R$18)))</f>
        <v/>
      </c>
      <c r="DS9" s="85">
        <f>IF(BE9="","",IF(ISNUMBER('Dvd Calendar'!$S$18)=FALSE,"",IF((Summary!$C$13="N")*('Dvd Calendar'!$S$22='Field Check'!$C$25)&gt;0,"",'Dvd Calendar'!$S$18)))</f>
        <v/>
      </c>
      <c r="DT9" s="85">
        <f>IF(BF9="","",IF(ISNUMBER('Dvd Calendar'!$T$18)=FALSE,"",IF((Summary!$C$13="N")*('Dvd Calendar'!$T$22='Field Check'!$C$25)&gt;0,"",'Dvd Calendar'!$T$18)))</f>
        <v/>
      </c>
      <c r="DU9" s="85">
        <f>IF(BG9="","",IF(ISNUMBER('Dvd Calendar'!$U$18)=FALSE,"",IF((Summary!$C$13="N")*('Dvd Calendar'!$U$22='Field Check'!$C$25)&gt;0,"",'Dvd Calendar'!$U$18)))</f>
        <v/>
      </c>
      <c r="DV9" s="85">
        <f>IF(BH9="","",IF(ISNUMBER('Dvd Calendar'!$V$18)=FALSE,"",IF((Summary!$C$13="N")*('Dvd Calendar'!$V$22='Field Check'!$C$25)&gt;0,"",'Dvd Calendar'!$V$18)))</f>
        <v/>
      </c>
      <c r="DW9" s="85">
        <f>IF(BI9="","",IF(ISNUMBER('Dvd Calendar'!$W$18)=FALSE,"",IF((Summary!$C$13="N")*('Dvd Calendar'!$W$22='Field Check'!$C$25)&gt;0,"",'Dvd Calendar'!$W$18)))</f>
        <v/>
      </c>
      <c r="DX9" s="85">
        <f>IF(BJ9="","",IF(ISNUMBER('Dvd Calendar'!$X$18)=FALSE,"",IF((Summary!$C$13="N")*('Dvd Calendar'!$X$22='Field Check'!$C$25)&gt;0,"",'Dvd Calendar'!$X$18)))</f>
        <v/>
      </c>
      <c r="DY9" s="85">
        <f>IF(BK9="","",IF(ISNUMBER('Dvd Calendar'!$Y$18)=FALSE,"",IF((Summary!$C$13="N")*('Dvd Calendar'!$Y$22='Field Check'!$C$25)&gt;0,"",'Dvd Calendar'!$Y$18)))</f>
        <v/>
      </c>
      <c r="DZ9" s="85">
        <f>IF(BL9="","",IF(ISNUMBER('Dvd Calendar'!$Z$18)=FALSE,"",IF((Summary!$C$13="N")*('Dvd Calendar'!$Z$22='Field Check'!$C$25)&gt;0,"",'Dvd Calendar'!$Z$18)))</f>
        <v/>
      </c>
      <c r="EA9" s="85">
        <f>IF(BM9="","",IF(ISNUMBER('Dvd Calendar'!$AA$18)=FALSE,"",IF((Summary!$C$13="N")*('Dvd Calendar'!$AA$22='Field Check'!$C$25)&gt;0,"",'Dvd Calendar'!$AA$18)))</f>
        <v/>
      </c>
      <c r="EB9" s="85">
        <f>IF(BN9="","",IF(ISNUMBER('Dvd Calendar'!$AB$18)=FALSE,"",IF((Summary!$C$13="N")*('Dvd Calendar'!$AB$22='Field Check'!$C$25)&gt;0,"",'Dvd Calendar'!$AB$18)))</f>
        <v/>
      </c>
      <c r="EC9" s="85">
        <f>IF(BO9="","",IF(ISNUMBER('Dvd Calendar'!$AC$18)=FALSE,"",IF((Summary!$C$13="N")*('Dvd Calendar'!$AC$22='Field Check'!$C$25)&gt;0,"",'Dvd Calendar'!$AC$18)))</f>
        <v/>
      </c>
      <c r="EE9" s="85">
        <f>IF(BQ9="","",IFERROR(BQ9*HSI!$B$7*HSI!$G$7/HSI!$B$3,""))</f>
        <v/>
      </c>
      <c r="EF9" s="85">
        <f>IF(BR9="","",IFERROR(BR9*HSI!$B$7*HSI!$G$7/HSI!$B$3,""))</f>
        <v/>
      </c>
      <c r="EG9" s="85">
        <f>IF(BS9="","",IFERROR(BS9*HSI!$B$7*HSI!$G$7/HSI!$B$3,""))</f>
        <v/>
      </c>
      <c r="EH9" s="85">
        <f>IF(BT9="","",IFERROR(BT9*HSI!$B$7*HSI!$G$7/HSI!$B$3,""))</f>
        <v/>
      </c>
      <c r="EI9" s="85">
        <f>IF(BU9="","",IFERROR(BU9*HSI!$B$7*HSI!$G$7/HSI!$B$3,""))</f>
        <v/>
      </c>
      <c r="EJ9" s="85">
        <f>IF(BV9="","",IFERROR(BV9*HSI!$B$7*HSI!$G$7/HSI!$B$3,""))</f>
        <v/>
      </c>
      <c r="EK9" s="85">
        <f>IF(BW9="","",IFERROR(BW9*HSI!$B$7*HSI!$G$7/HSI!$B$3,""))</f>
        <v/>
      </c>
      <c r="EL9" s="85">
        <f>IF(BX9="","",IFERROR(BX9*HSI!$B$7*HSI!$G$7/HSI!$B$3,""))</f>
        <v/>
      </c>
      <c r="EM9" s="85">
        <f>IF(BY9="","",IFERROR(BY9*HSI!$B$7*HSI!$G$7/HSI!$B$3,""))</f>
        <v/>
      </c>
      <c r="EN9" s="85">
        <f>IF(BZ9="","",IFERROR(BZ9*HSI!$B$7*HSI!$G$7/HSI!$B$3,""))</f>
        <v/>
      </c>
      <c r="EO9" s="85">
        <f>IF(CA9="","",IFERROR(CA9*HSI!$B$7*HSI!$G$7/HSI!$B$3,""))</f>
        <v/>
      </c>
      <c r="EP9" s="85">
        <f>IF(CB9="","",IFERROR(CB9*HSI!$B$7*HSI!$G$7/HSI!$B$3,""))</f>
        <v/>
      </c>
      <c r="EQ9" s="85">
        <f>IF(CC9="","",IFERROR(CC9*HSI!$B$7*HSI!$G$7/HSI!$B$3,""))</f>
        <v/>
      </c>
      <c r="ER9" s="85">
        <f>IF(CD9="","",IFERROR(CD9*HSI!$B$7*HSI!$G$7/HSI!$B$3,""))</f>
        <v/>
      </c>
      <c r="ES9" s="85">
        <f>IF(CE9="","",IFERROR(CE9*HSI!$B$7*HSI!$G$7/HSI!$B$3,""))</f>
        <v/>
      </c>
      <c r="ET9" s="85">
        <f>IF(CF9="","",IFERROR(CF9*HSI!$B$7*HSI!$G$7/HSI!$B$3,""))</f>
        <v/>
      </c>
      <c r="EU9" s="85">
        <f>IF(CG9="","",IFERROR(CG9*HSI!$B$7*HSI!$G$7/HSI!$B$3,""))</f>
        <v/>
      </c>
      <c r="EV9" s="85">
        <f>IF(CH9="","",IFERROR(CH9*HSI!$B$7*HSI!$G$7/HSI!$B$3,""))</f>
        <v/>
      </c>
      <c r="EW9" s="85">
        <f>IF(CI9="","",IFERROR(CI9*HSI!$B$7*HSI!$G$7/HSI!$B$3,""))</f>
        <v/>
      </c>
      <c r="EX9" s="85">
        <f>IF(CJ9="","",IFERROR(CJ9*HSI!$B$7*HSI!$G$7/HSI!$B$3,""))</f>
        <v/>
      </c>
      <c r="EY9" s="85">
        <f>IF(CK9="","",IFERROR(CK9*HSI!$B$7*HSI!$G$7/HSI!$B$3,""))</f>
        <v/>
      </c>
      <c r="EZ9" s="85">
        <f>IF(CL9="","",IFERROR(CL9*HSI!$B$7*HSI!$G$7/HSI!$B$3,""))</f>
        <v/>
      </c>
      <c r="FA9" s="85">
        <f>IF(CM9="","",IFERROR(CM9*HSI!$B$7*HSI!$G$7/HSI!$B$3,""))</f>
        <v/>
      </c>
      <c r="FB9" s="85">
        <f>IF(CN9="","",IFERROR(CN9*HSI!$B$7*HSI!$G$7/HSI!$B$3,""))</f>
        <v/>
      </c>
      <c r="FC9" s="85">
        <f>IF(CO9="","",IFERROR(CO9*HSI!$B$7*HSI!$G$7/HSI!$B$3,""))</f>
        <v/>
      </c>
      <c r="FD9" s="85">
        <f>IF(CP9="","",IFERROR(CP9*HSI!$B$7*HSI!$G$7/HSI!$B$3,""))</f>
        <v/>
      </c>
      <c r="FE9" s="85">
        <f>IF(CQ9="","",IFERROR(CQ9*HSI!$B$7*HSI!$G$7/HSI!$B$3,""))</f>
        <v/>
      </c>
      <c r="FF9" s="85">
        <f>IF(CR9="","",IFERROR(CR9*HSI!$B$7*HSI!$G$7/HSI!$B$3,""))</f>
        <v/>
      </c>
      <c r="FG9" s="85">
        <f>IF(CS9="","",IFERROR(CS9*HSI!$B$7*HSI!$G$7/HSI!$B$3,""))</f>
        <v/>
      </c>
      <c r="FH9" s="85">
        <f>IF(CT9="","",IFERROR(CT9*HSI!$B$7*HSI!$G$7/HSI!$B$3,""))</f>
        <v/>
      </c>
      <c r="FI9" s="85">
        <f>IF(CU9="","",IFERROR(CU9*HSI!$B$7*HSI!$G$7/HSI!$B$3,""))</f>
        <v/>
      </c>
      <c r="FJ9" s="85">
        <f>IF(CV9="","",IFERROR(CV9*HSI!$B$7*HSI!$G$7/HSI!$B$3,""))</f>
        <v/>
      </c>
      <c r="FK9" s="85">
        <f>IF(CW9="","",IFERROR(CW9*HSI!$B$7*HSI!$G$7/HSI!$B$3,""))</f>
        <v/>
      </c>
      <c r="FL9" s="85">
        <f>IF(CX9="","",IFERROR(CX9*HSI!$B$7*HSI!$G$7/HSI!$B$3,""))</f>
        <v/>
      </c>
      <c r="FM9" s="85">
        <f>IF(CY9="","",IFERROR(CY9*HSI!$B$7*HSI!$G$7/HSI!$B$3,""))</f>
        <v/>
      </c>
      <c r="FN9" s="85">
        <f>IF(CZ9="","",IFERROR(CZ9*HSI!$B$7*HSI!$G$7/HSI!$B$3,""))</f>
        <v/>
      </c>
      <c r="FO9" s="85">
        <f>IF(DA9="","",IFERROR(DA9*HSI!$B$7*HSI!$G$7/HSI!$B$3,""))</f>
        <v/>
      </c>
      <c r="FP9" s="85">
        <f>IF(DB9="","",IFERROR(DB9*HSI!$B$7*HSI!$G$7/HSI!$B$3,""))</f>
        <v/>
      </c>
      <c r="FQ9" s="85">
        <f>IF(DC9="","",IFERROR(DC9*HSI!$B$7*HSI!$G$7/HSI!$B$3,""))</f>
        <v/>
      </c>
      <c r="FR9" s="85">
        <f>IF(DD9="","",IFERROR(DD9*HSI!$B$7*HSI!$G$7/HSI!$B$3,""))</f>
        <v/>
      </c>
      <c r="FS9" s="85">
        <f>IF(DE9="","",IFERROR(DE9*HSI!$B$7*HSI!$G$7/HSI!$B$3,""))</f>
        <v/>
      </c>
      <c r="FT9" s="85">
        <f>IF(DF9="","",IFERROR(DF9*HSI!$B$7*HSI!$G$7/HSI!$B$3,""))</f>
        <v/>
      </c>
      <c r="FU9" s="85">
        <f>IF(DG9="","",IFERROR(DG9*HSI!$B$7*HSI!$G$7/HSI!$B$3,""))</f>
        <v/>
      </c>
      <c r="FV9" s="85">
        <f>IF(DH9="","",IFERROR(DH9*HSI!$B$7*HSI!$G$7/HSI!$B$3,""))</f>
        <v/>
      </c>
      <c r="FW9" s="85">
        <f>IF(DI9="","",IFERROR(DI9*HSI!$B$7*HSI!$G$7/HSI!$B$3,""))</f>
        <v/>
      </c>
      <c r="FX9" s="85">
        <f>IF(DJ9="","",IFERROR(DJ9*HSI!$B$7*HSI!$G$7/HSI!$B$3,""))</f>
        <v/>
      </c>
      <c r="FY9" s="85">
        <f>IF(DK9="","",IFERROR(DK9*HSI!$B$7*HSI!$G$7/HSI!$B$3,""))</f>
        <v/>
      </c>
      <c r="FZ9" s="85">
        <f>IF(DL9="","",IFERROR(DL9*HSI!$B$7*HSI!$G$7/HSI!$B$3,""))</f>
        <v/>
      </c>
      <c r="GA9" s="85">
        <f>IF(DM9="","",IFERROR(DM9*HSI!$B$7*HSI!$G$7/HSI!$B$3,""))</f>
        <v/>
      </c>
      <c r="GB9" s="85">
        <f>IF(DN9="","",IFERROR(DN9*HSI!$B$7*HSI!$G$7/HSI!$B$3,""))</f>
        <v/>
      </c>
      <c r="GC9" s="85">
        <f>IF(DO9="","",IFERROR(DO9*HSI!$B$7*HSI!$G$7/HSI!$B$3,""))</f>
        <v/>
      </c>
      <c r="GD9" s="85">
        <f>IF(DP9="","",IFERROR(DP9*HSI!$B$7*HSI!$G$7/HSI!$B$3,""))</f>
        <v/>
      </c>
      <c r="GE9" s="85">
        <f>IF(DQ9="","",IFERROR(DQ9*HSI!$B$7*HSI!$G$7/HSI!$B$3,""))</f>
        <v/>
      </c>
      <c r="GF9" s="85">
        <f>IF(DR9="","",IFERROR(DR9*HSI!$B$7*HSI!$G$7/HSI!$B$3,""))</f>
        <v/>
      </c>
      <c r="GG9" s="85">
        <f>IF(DS9="","",IFERROR(DS9*HSI!$B$7*HSI!$G$7/HSI!$B$3,""))</f>
        <v/>
      </c>
      <c r="GH9" s="85">
        <f>IF(DT9="","",IFERROR(DT9*HSI!$B$7*HSI!$G$7/HSI!$B$3,""))</f>
        <v/>
      </c>
      <c r="GI9" s="85">
        <f>IF(DU9="","",IFERROR(DU9*HSI!$B$7*HSI!$G$7/HSI!$B$3,""))</f>
        <v/>
      </c>
      <c r="GJ9" s="85">
        <f>IF(DV9="","",IFERROR(DV9*HSI!$B$7*HSI!$G$7/HSI!$B$3,""))</f>
        <v/>
      </c>
      <c r="GK9" s="85">
        <f>IF(DW9="","",IFERROR(DW9*HSI!$B$7*HSI!$G$7/HSI!$B$3,""))</f>
        <v/>
      </c>
      <c r="GL9" s="85">
        <f>IF(DX9="","",IFERROR(DX9*HSI!$B$7*HSI!$G$7/HSI!$B$3,""))</f>
        <v/>
      </c>
      <c r="GM9" s="85">
        <f>IF(DY9="","",IFERROR(DY9*HSI!$B$7*HSI!$G$7/HSI!$B$3,""))</f>
        <v/>
      </c>
      <c r="GN9" s="85">
        <f>IF(DZ9="","",IFERROR(DZ9*HSI!$B$7*HSI!$G$7/HSI!$B$3,""))</f>
        <v/>
      </c>
      <c r="GO9" s="85">
        <f>IF(EA9="","",IFERROR(EA9*HSI!$B$7*HSI!$G$7/HSI!$B$3,""))</f>
        <v/>
      </c>
      <c r="GP9" s="85">
        <f>IF(EB9="","",IFERROR(EB9*HSI!$B$7*HSI!$G$7/HSI!$B$3,""))</f>
        <v/>
      </c>
      <c r="GQ9" s="85">
        <f>IF(EC9="","",IFERROR(EC9*HSI!$B$7*HSI!$G$7/HSI!$B$3,""))</f>
        <v/>
      </c>
    </row>
    <row r="10">
      <c r="B10" s="2">
        <f>IF(HSI!$C$8="","",HSI!$C$8)</f>
        <v/>
      </c>
      <c r="C10" s="41">
        <f>IF(N('Dvd Calendar'!$E$25)=0,"",IF(('Dvd Calendar'!$E$25&gt;=MIN(DATE(Summary!$C$12,1,1),Summary!$C$11))*('Dvd Calendar'!$E$25&lt;=MAX(DATE(Summary!$C$12,12,31),Summary!$C$15))*('Dvd Calendar'!$E$25&lt;=Summary!$C$11)=0,"",'Dvd Calendar'!$E$25*1000000000+ISNUMBER('Dvd Calendar'!$E$26)*100000000+('Dvd Calendar'!$E$30='Field Check'!$C$25)*10000000+(N('Dvd Calendar'!$E$24)&gt;0)*1000000+2*1000+1))</f>
        <v/>
      </c>
      <c r="D10" s="41">
        <f>IF(N('Dvd Calendar'!$F$25)=0,"",IF(('Dvd Calendar'!$F$25&gt;=MIN(DATE(Summary!$C$12,1,1),Summary!$C$11))*('Dvd Calendar'!$F$25&lt;=MAX(DATE(Summary!$C$12,12,31),Summary!$C$15))*('Dvd Calendar'!$F$25&lt;=Summary!$C$11)=0,"",'Dvd Calendar'!$F$25*1000000000+ISNUMBER('Dvd Calendar'!$F$26)*100000000+('Dvd Calendar'!$F$30='Field Check'!$C$25)*10000000+(N('Dvd Calendar'!$F$24)&gt;0)*1000000+2*1000+2))</f>
        <v/>
      </c>
      <c r="E10" s="41">
        <f>IF(N('Dvd Calendar'!$G$25)=0,"",IF(('Dvd Calendar'!$G$25&gt;=MIN(DATE(Summary!$C$12,1,1),Summary!$C$11))*('Dvd Calendar'!$G$25&lt;=MAX(DATE(Summary!$C$12,12,31),Summary!$C$15))*('Dvd Calendar'!$G$25&lt;=Summary!$C$11)=0,"",'Dvd Calendar'!$G$25*1000000000+ISNUMBER('Dvd Calendar'!$G$26)*100000000+('Dvd Calendar'!$G$30='Field Check'!$C$25)*10000000+(N('Dvd Calendar'!$G$24)&gt;0)*1000000+2*1000+3))</f>
        <v/>
      </c>
      <c r="F10" s="41">
        <f>IF(N('Dvd Calendar'!$H$25)=0,"",IF(('Dvd Calendar'!$H$25&gt;=MIN(DATE(Summary!$C$12,1,1),Summary!$C$11))*('Dvd Calendar'!$H$25&lt;=MAX(DATE(Summary!$C$12,12,31),Summary!$C$15))*('Dvd Calendar'!$H$25&lt;=Summary!$C$11)=0,"",'Dvd Calendar'!$H$25*1000000000+ISNUMBER('Dvd Calendar'!$H$26)*100000000+('Dvd Calendar'!$H$30='Field Check'!$C$25)*10000000+(N('Dvd Calendar'!$H$24)&gt;0)*1000000+2*1000+4))</f>
        <v/>
      </c>
      <c r="G10" s="41">
        <f>IF(N('Dvd Calendar'!$I$25)=0,"",IF(('Dvd Calendar'!$I$25&gt;=MIN(DATE(Summary!$C$12,1,1),Summary!$C$11))*('Dvd Calendar'!$I$25&lt;=MAX(DATE(Summary!$C$12,12,31),Summary!$C$15))*('Dvd Calendar'!$I$25&lt;=Summary!$C$11)=0,"",'Dvd Calendar'!$I$25*1000000000+ISNUMBER('Dvd Calendar'!$I$26)*100000000+('Dvd Calendar'!$I$30='Field Check'!$C$25)*10000000+(N('Dvd Calendar'!$I$24)&gt;0)*1000000+2*1000+5))</f>
        <v/>
      </c>
      <c r="H10" s="41">
        <f>IF(N('Dvd Calendar'!$J$25)=0,"",IF(('Dvd Calendar'!$J$25&gt;=MIN(DATE(Summary!$C$12,1,1),Summary!$C$11))*('Dvd Calendar'!$J$25&lt;=MAX(DATE(Summary!$C$12,12,31),Summary!$C$15))*('Dvd Calendar'!$J$25&lt;=Summary!$C$11)=0,"",'Dvd Calendar'!$J$25*1000000000+ISNUMBER('Dvd Calendar'!$J$26)*100000000+('Dvd Calendar'!$J$30='Field Check'!$C$25)*10000000+(N('Dvd Calendar'!$J$24)&gt;0)*1000000+2*1000+6))</f>
        <v/>
      </c>
      <c r="I10" s="41">
        <f>IF(N('Dvd Calendar'!$K$25)=0,"",IF(('Dvd Calendar'!$K$25&gt;=MIN(DATE(Summary!$C$12,1,1),Summary!$C$11))*('Dvd Calendar'!$K$25&lt;=MAX(DATE(Summary!$C$12,12,31),Summary!$C$15))*('Dvd Calendar'!$K$25&lt;=Summary!$C$11)=0,"",'Dvd Calendar'!$K$25*1000000000+ISNUMBER('Dvd Calendar'!$K$26)*100000000+('Dvd Calendar'!$K$30='Field Check'!$C$25)*10000000+(N('Dvd Calendar'!$K$24)&gt;0)*1000000+2*1000+7))</f>
        <v/>
      </c>
      <c r="J10" s="41">
        <f>IF(N('Dvd Calendar'!$L$25)=0,"",IF(('Dvd Calendar'!$L$25&gt;=MIN(DATE(Summary!$C$12,1,1),Summary!$C$11))*('Dvd Calendar'!$L$25&lt;=MAX(DATE(Summary!$C$12,12,31),Summary!$C$15))*('Dvd Calendar'!$L$25&lt;=Summary!$C$11)=0,"",'Dvd Calendar'!$L$25*1000000000+ISNUMBER('Dvd Calendar'!$L$26)*100000000+('Dvd Calendar'!$L$30='Field Check'!$C$25)*10000000+(N('Dvd Calendar'!$L$24)&gt;0)*1000000+2*1000+8))</f>
        <v/>
      </c>
      <c r="K10" s="41">
        <f>IF(N('Dvd Calendar'!$M$25)=0,"",IF(('Dvd Calendar'!$M$25&gt;=MIN(DATE(Summary!$C$12,1,1),Summary!$C$11))*('Dvd Calendar'!$M$25&lt;=MAX(DATE(Summary!$C$12,12,31),Summary!$C$15))*('Dvd Calendar'!$M$25&lt;=Summary!$C$11)=0,"",'Dvd Calendar'!$M$25*1000000000+ISNUMBER('Dvd Calendar'!$M$26)*100000000+('Dvd Calendar'!$M$30='Field Check'!$C$25)*10000000+(N('Dvd Calendar'!$M$24)&gt;0)*1000000+2*1000+9))</f>
        <v/>
      </c>
      <c r="L10" s="41">
        <f>IF(N('Dvd Calendar'!$N$25)=0,"",IF(('Dvd Calendar'!$N$25&gt;=MIN(DATE(Summary!$C$12,1,1),Summary!$C$11))*('Dvd Calendar'!$N$25&lt;=MAX(DATE(Summary!$C$12,12,31),Summary!$C$15))*('Dvd Calendar'!$N$25&lt;=Summary!$C$11)=0,"",'Dvd Calendar'!$N$25*1000000000+ISNUMBER('Dvd Calendar'!$N$26)*100000000+('Dvd Calendar'!$N$30='Field Check'!$C$25)*10000000+(N('Dvd Calendar'!$N$24)&gt;0)*1000000+2*1000+10))</f>
        <v/>
      </c>
      <c r="M10" s="41">
        <f>IF(N('Dvd Calendar'!$O$25)=0,"",IF(('Dvd Calendar'!$O$25&gt;=MIN(DATE(Summary!$C$12,1,1),Summary!$C$11))*('Dvd Calendar'!$O$25&lt;=MAX(DATE(Summary!$C$12,12,31),Summary!$C$15))*('Dvd Calendar'!$O$25&lt;=Summary!$C$11)=0,"",'Dvd Calendar'!$O$25*1000000000+ISNUMBER('Dvd Calendar'!$O$26)*100000000+('Dvd Calendar'!$O$30='Field Check'!$C$25)*10000000+(N('Dvd Calendar'!$O$24)&gt;0)*1000000+2*1000+11))</f>
        <v/>
      </c>
      <c r="N10" s="41">
        <f>IF(N('Dvd Calendar'!$P$25)=0,"",IF(('Dvd Calendar'!$P$25&gt;=MIN(DATE(Summary!$C$12,1,1),Summary!$C$11))*('Dvd Calendar'!$P$25&lt;=MAX(DATE(Summary!$C$12,12,31),Summary!$C$15))*('Dvd Calendar'!$P$25&lt;=Summary!$C$11)=0,"",'Dvd Calendar'!$P$25*1000000000+ISNUMBER('Dvd Calendar'!$P$26)*100000000+('Dvd Calendar'!$P$30='Field Check'!$C$25)*10000000+(N('Dvd Calendar'!$P$24)&gt;0)*1000000+2*1000+12))</f>
        <v/>
      </c>
      <c r="O10" s="41">
        <f>IF(N('Dvd Calendar'!$Q$25)=0,"",IF(('Dvd Calendar'!$Q$25&gt;=MIN(DATE(Summary!$C$12,1,1),Summary!$C$11))*('Dvd Calendar'!$Q$25&lt;=MAX(DATE(Summary!$C$12,12,31),Summary!$C$15))*('Dvd Calendar'!$Q$25&lt;=Summary!$C$11)=0,"",'Dvd Calendar'!$Q$25*1000000000+ISNUMBER('Dvd Calendar'!$Q$26)*100000000+('Dvd Calendar'!$Q$30='Field Check'!$C$25)*10000000+(N('Dvd Calendar'!$Q$24)&gt;0)*1000000+2*1000+13))</f>
        <v/>
      </c>
      <c r="P10" s="41">
        <f>IF(N('Dvd Calendar'!$R$25)=0,"",IF(('Dvd Calendar'!$R$25&gt;=MIN(DATE(Summary!$C$12,1,1),Summary!$C$11))*('Dvd Calendar'!$R$25&lt;=MAX(DATE(Summary!$C$12,12,31),Summary!$C$15))*('Dvd Calendar'!$R$25&lt;=Summary!$C$11)=0,"",'Dvd Calendar'!$R$25*1000000000+ISNUMBER('Dvd Calendar'!$R$26)*100000000+('Dvd Calendar'!$R$30='Field Check'!$C$25)*10000000+(N('Dvd Calendar'!$R$24)&gt;0)*1000000+2*1000+14))</f>
        <v/>
      </c>
      <c r="Q10" s="41">
        <f>IF(N('Dvd Calendar'!$S$25)=0,"",IF(('Dvd Calendar'!$S$25&gt;=MIN(DATE(Summary!$C$12,1,1),Summary!$C$11))*('Dvd Calendar'!$S$25&lt;=MAX(DATE(Summary!$C$12,12,31),Summary!$C$15))*('Dvd Calendar'!$S$25&lt;=Summary!$C$11)=0,"",'Dvd Calendar'!$S$25*1000000000+ISNUMBER('Dvd Calendar'!$S$26)*100000000+('Dvd Calendar'!$S$30='Field Check'!$C$25)*10000000+(N('Dvd Calendar'!$S$24)&gt;0)*1000000+2*1000+15))</f>
        <v/>
      </c>
      <c r="R10" s="41">
        <f>IF(N('Dvd Calendar'!$T$25)=0,"",IF(('Dvd Calendar'!$T$25&gt;=MIN(DATE(Summary!$C$12,1,1),Summary!$C$11))*('Dvd Calendar'!$T$25&lt;=MAX(DATE(Summary!$C$12,12,31),Summary!$C$15))*('Dvd Calendar'!$T$25&lt;=Summary!$C$11)=0,"",'Dvd Calendar'!$T$25*1000000000+ISNUMBER('Dvd Calendar'!$T$26)*100000000+('Dvd Calendar'!$T$30='Field Check'!$C$25)*10000000+(N('Dvd Calendar'!$T$24)&gt;0)*1000000+2*1000+16))</f>
        <v/>
      </c>
      <c r="S10" s="41">
        <f>IF(N('Dvd Calendar'!$U$25)=0,"",IF(('Dvd Calendar'!$U$25&gt;=MIN(DATE(Summary!$C$12,1,1),Summary!$C$11))*('Dvd Calendar'!$U$25&lt;=MAX(DATE(Summary!$C$12,12,31),Summary!$C$15))*('Dvd Calendar'!$U$25&lt;=Summary!$C$11)=0,"",'Dvd Calendar'!$U$25*1000000000+ISNUMBER('Dvd Calendar'!$U$26)*100000000+('Dvd Calendar'!$U$30='Field Check'!$C$25)*10000000+(N('Dvd Calendar'!$U$24)&gt;0)*1000000+2*1000+17))</f>
        <v/>
      </c>
      <c r="T10" s="41">
        <f>IF(N('Dvd Calendar'!$V$25)=0,"",IF(('Dvd Calendar'!$V$25&gt;=MIN(DATE(Summary!$C$12,1,1),Summary!$C$11))*('Dvd Calendar'!$V$25&lt;=MAX(DATE(Summary!$C$12,12,31),Summary!$C$15))*('Dvd Calendar'!$V$25&lt;=Summary!$C$11)=0,"",'Dvd Calendar'!$V$25*1000000000+ISNUMBER('Dvd Calendar'!$V$26)*100000000+('Dvd Calendar'!$V$30='Field Check'!$C$25)*10000000+(N('Dvd Calendar'!$V$24)&gt;0)*1000000+2*1000+18))</f>
        <v/>
      </c>
      <c r="U10" s="41">
        <f>IF(N('Dvd Calendar'!$W$25)=0,"",IF(('Dvd Calendar'!$W$25&gt;=MIN(DATE(Summary!$C$12,1,1),Summary!$C$11))*('Dvd Calendar'!$W$25&lt;=MAX(DATE(Summary!$C$12,12,31),Summary!$C$15))*('Dvd Calendar'!$W$25&lt;=Summary!$C$11)=0,"",'Dvd Calendar'!$W$25*1000000000+ISNUMBER('Dvd Calendar'!$W$26)*100000000+('Dvd Calendar'!$W$30='Field Check'!$C$25)*10000000+(N('Dvd Calendar'!$W$24)&gt;0)*1000000+2*1000+19))</f>
        <v/>
      </c>
      <c r="V10" s="41">
        <f>IF(N('Dvd Calendar'!$X$25)=0,"",IF(('Dvd Calendar'!$X$25&gt;=MIN(DATE(Summary!$C$12,1,1),Summary!$C$11))*('Dvd Calendar'!$X$25&lt;=MAX(DATE(Summary!$C$12,12,31),Summary!$C$15))*('Dvd Calendar'!$X$25&lt;=Summary!$C$11)=0,"",'Dvd Calendar'!$X$25*1000000000+ISNUMBER('Dvd Calendar'!$X$26)*100000000+('Dvd Calendar'!$X$30='Field Check'!$C$25)*10000000+(N('Dvd Calendar'!$X$24)&gt;0)*1000000+2*1000+20))</f>
        <v/>
      </c>
      <c r="W10" s="41">
        <f>IF(N('Dvd Calendar'!$Y$25)=0,"",IF(('Dvd Calendar'!$Y$25&gt;=MIN(DATE(Summary!$C$12,1,1),Summary!$C$11))*('Dvd Calendar'!$Y$25&lt;=MAX(DATE(Summary!$C$12,12,31),Summary!$C$15))*('Dvd Calendar'!$Y$25&lt;=Summary!$C$11)=0,"",'Dvd Calendar'!$Y$25*1000000000+ISNUMBER('Dvd Calendar'!$Y$26)*100000000+('Dvd Calendar'!$Y$30='Field Check'!$C$25)*10000000+(N('Dvd Calendar'!$Y$24)&gt;0)*1000000+2*1000+21))</f>
        <v/>
      </c>
      <c r="X10" s="41">
        <f>IF(N('Dvd Calendar'!$Z$25)=0,"",IF(('Dvd Calendar'!$Z$25&gt;=MIN(DATE(Summary!$C$12,1,1),Summary!$C$11))*('Dvd Calendar'!$Z$25&lt;=MAX(DATE(Summary!$C$12,12,31),Summary!$C$15))*('Dvd Calendar'!$Z$25&lt;=Summary!$C$11)=0,"",'Dvd Calendar'!$Z$25*1000000000+ISNUMBER('Dvd Calendar'!$Z$26)*100000000+('Dvd Calendar'!$Z$30='Field Check'!$C$25)*10000000+(N('Dvd Calendar'!$Z$24)&gt;0)*1000000+2*1000+22))</f>
        <v/>
      </c>
      <c r="Y10" s="41">
        <f>IF(N('Dvd Calendar'!$AA$25)=0,"",IF(('Dvd Calendar'!$AA$25&gt;=MIN(DATE(Summary!$C$12,1,1),Summary!$C$11))*('Dvd Calendar'!$AA$25&lt;=MAX(DATE(Summary!$C$12,12,31),Summary!$C$15))*('Dvd Calendar'!$AA$25&lt;=Summary!$C$11)=0,"",'Dvd Calendar'!$AA$25*1000000000+ISNUMBER('Dvd Calendar'!$AA$26)*100000000+('Dvd Calendar'!$AA$30='Field Check'!$C$25)*10000000+(N('Dvd Calendar'!$AA$24)&gt;0)*1000000+2*1000+23))</f>
        <v/>
      </c>
      <c r="Z10" s="41">
        <f>IF(N('Dvd Calendar'!$AB$25)=0,"",IF(('Dvd Calendar'!$AB$25&gt;=MIN(DATE(Summary!$C$12,1,1),Summary!$C$11))*('Dvd Calendar'!$AB$25&lt;=MAX(DATE(Summary!$C$12,12,31),Summary!$C$15))*('Dvd Calendar'!$AB$25&lt;=Summary!$C$11)=0,"",'Dvd Calendar'!$AB$25*1000000000+ISNUMBER('Dvd Calendar'!$AB$26)*100000000+('Dvd Calendar'!$AB$30='Field Check'!$C$25)*10000000+(N('Dvd Calendar'!$AB$24)&gt;0)*1000000+2*1000+24))</f>
        <v/>
      </c>
      <c r="AA10" s="41">
        <f>IF(N('Dvd Calendar'!$AC$25)=0,"",IF(('Dvd Calendar'!$AC$25&gt;=MIN(DATE(Summary!$C$12,1,1),Summary!$C$11))*('Dvd Calendar'!$AC$25&lt;=MAX(DATE(Summary!$C$12,12,31),Summary!$C$15))*('Dvd Calendar'!$AC$25&lt;=Summary!$C$11)=0,"",'Dvd Calendar'!$AC$25*1000000000+ISNUMBER('Dvd Calendar'!$AC$26)*100000000+('Dvd Calendar'!$AC$30='Field Check'!$C$25)*10000000+(N('Dvd Calendar'!$AC$24)&gt;0)*1000000+2*1000+25))</f>
        <v/>
      </c>
      <c r="AB10" s="41">
        <f>IF(N('Dvd Calendar'!$AD$25)=0,"",IF(('Dvd Calendar'!$AD$25&gt;=MIN(DATE(Summary!$C$12,1,1),Summary!$C$11))*('Dvd Calendar'!$AD$25&lt;=MAX(DATE(Summary!$C$12,12,31),Summary!$C$15))*('Dvd Calendar'!$AD$25&lt;=Summary!$C$11)=0,"",'Dvd Calendar'!$AD$25*1000000000+ISNUMBER('Dvd Calendar'!$AD$26)*100000000+('Dvd Calendar'!$AD$30='Field Check'!$C$25)*10000000+(N('Dvd Calendar'!$AD$24)&gt;0)*1000000+2*1000+26))</f>
        <v/>
      </c>
      <c r="AC10" s="41">
        <f>IF(N('Dvd Calendar'!$AE$25)=0,"",IF(('Dvd Calendar'!$AE$25&gt;=MIN(DATE(Summary!$C$12,1,1),Summary!$C$11))*('Dvd Calendar'!$AE$25&lt;=MAX(DATE(Summary!$C$12,12,31),Summary!$C$15))*('Dvd Calendar'!$AE$25&lt;=Summary!$C$11)=0,"",'Dvd Calendar'!$AE$25*1000000000+ISNUMBER('Dvd Calendar'!$AE$26)*100000000+('Dvd Calendar'!$AE$30='Field Check'!$C$25)*10000000+(N('Dvd Calendar'!$AE$24)&gt;0)*1000000+2*1000+27))</f>
        <v/>
      </c>
      <c r="AD10" s="41">
        <f>IF(N('Dvd Calendar'!$AF$25)=0,"",IF(('Dvd Calendar'!$AF$25&gt;=MIN(DATE(Summary!$C$12,1,1),Summary!$C$11))*('Dvd Calendar'!$AF$25&lt;=MAX(DATE(Summary!$C$12,12,31),Summary!$C$15))*('Dvd Calendar'!$AF$25&lt;=Summary!$C$11)=0,"",'Dvd Calendar'!$AF$25*1000000000+ISNUMBER('Dvd Calendar'!$AF$26)*100000000+('Dvd Calendar'!$AF$30='Field Check'!$C$25)*10000000+(N('Dvd Calendar'!$AF$24)&gt;0)*1000000+2*1000+28))</f>
        <v/>
      </c>
      <c r="AE10" s="41">
        <f>IF(N('Dvd Calendar'!$AG$25)=0,"",IF(('Dvd Calendar'!$AG$25&gt;=MIN(DATE(Summary!$C$12,1,1),Summary!$C$11))*('Dvd Calendar'!$AG$25&lt;=MAX(DATE(Summary!$C$12,12,31),Summary!$C$15))*('Dvd Calendar'!$AG$25&lt;=Summary!$C$11)=0,"",'Dvd Calendar'!$AG$25*1000000000+ISNUMBER('Dvd Calendar'!$AG$26)*100000000+('Dvd Calendar'!$AG$30='Field Check'!$C$25)*10000000+(N('Dvd Calendar'!$AG$24)&gt;0)*1000000+2*1000+29))</f>
        <v/>
      </c>
      <c r="AF10" s="41">
        <f>IF(N('Dvd Calendar'!$AH$25)=0,"",IF(('Dvd Calendar'!$AH$25&gt;=MIN(DATE(Summary!$C$12,1,1),Summary!$C$11))*('Dvd Calendar'!$AH$25&lt;=MAX(DATE(Summary!$C$12,12,31),Summary!$C$15))*('Dvd Calendar'!$AH$25&lt;=Summary!$C$11)=0,"",'Dvd Calendar'!$AH$25*1000000000+ISNUMBER('Dvd Calendar'!$AH$26)*100000000+('Dvd Calendar'!$AH$30='Field Check'!$C$25)*10000000+(N('Dvd Calendar'!$AH$24)&gt;0)*1000000+2*1000+30))</f>
        <v/>
      </c>
      <c r="AG10" s="41">
        <f>IF(N('Dvd Calendar'!$AI$25)=0,"",IF(('Dvd Calendar'!$AI$25&gt;=MIN(DATE(Summary!$C$12,1,1),Summary!$C$11))*('Dvd Calendar'!$AI$25&lt;=MAX(DATE(Summary!$C$12,12,31),Summary!$C$15))*('Dvd Calendar'!$AI$25&lt;=Summary!$C$11)=0,"",'Dvd Calendar'!$AI$25*1000000000+ISNUMBER('Dvd Calendar'!$AI$26)*100000000+('Dvd Calendar'!$AI$30='Field Check'!$C$25)*10000000+(N('Dvd Calendar'!$AI$24)&gt;0)*1000000+2*1000+31))</f>
        <v/>
      </c>
      <c r="AH10" s="41">
        <f>IF(N('Dvd Calendar'!$AJ$25)=0,"",IF(('Dvd Calendar'!$AJ$25&gt;=MIN(DATE(Summary!$C$12,1,1),Summary!$C$11))*('Dvd Calendar'!$AJ$25&lt;=MAX(DATE(Summary!$C$12,12,31),Summary!$C$15))*('Dvd Calendar'!$AJ$25&lt;=Summary!$C$11)=0,"",'Dvd Calendar'!$AJ$25*1000000000+ISNUMBER('Dvd Calendar'!$AJ$26)*100000000+('Dvd Calendar'!$AJ$30='Field Check'!$C$25)*10000000+(N('Dvd Calendar'!$AJ$24)&gt;0)*1000000+2*1000+32))</f>
        <v/>
      </c>
      <c r="AI10" s="41">
        <f>IF(N('Dvd Calendar'!$AK$25)=0,"",IF(('Dvd Calendar'!$AK$25&gt;=MIN(DATE(Summary!$C$12,1,1),Summary!$C$11))*('Dvd Calendar'!$AK$25&lt;=MAX(DATE(Summary!$C$12,12,31),Summary!$C$15))*('Dvd Calendar'!$AK$25&lt;=Summary!$C$11)=0,"",'Dvd Calendar'!$AK$25*1000000000+ISNUMBER('Dvd Calendar'!$AK$26)*100000000+('Dvd Calendar'!$AK$30='Field Check'!$C$25)*10000000+(N('Dvd Calendar'!$AK$24)&gt;0)*1000000+2*1000+33))</f>
        <v/>
      </c>
      <c r="AJ10" s="41">
        <f>IF(N('Dvd Calendar'!$AL$25)=0,"",IF(('Dvd Calendar'!$AL$25&gt;=MIN(DATE(Summary!$C$12,1,1),Summary!$C$11))*('Dvd Calendar'!$AL$25&lt;=MAX(DATE(Summary!$C$12,12,31),Summary!$C$15))*('Dvd Calendar'!$AL$25&lt;=Summary!$C$11)=0,"",'Dvd Calendar'!$AL$25*1000000000+ISNUMBER('Dvd Calendar'!$AL$26)*100000000+('Dvd Calendar'!$AL$30='Field Check'!$C$25)*10000000+(N('Dvd Calendar'!$AL$24)&gt;0)*1000000+2*1000+34))</f>
        <v/>
      </c>
      <c r="AK10" s="41">
        <f>IF(N('Dvd Calendar'!$AM$25)=0,"",IF(('Dvd Calendar'!$AM$25&gt;=MIN(DATE(Summary!$C$12,1,1),Summary!$C$11))*('Dvd Calendar'!$AM$25&lt;=MAX(DATE(Summary!$C$12,12,31),Summary!$C$15))*('Dvd Calendar'!$AM$25&lt;=Summary!$C$11)=0,"",'Dvd Calendar'!$AM$25*1000000000+ISNUMBER('Dvd Calendar'!$AM$26)*100000000+('Dvd Calendar'!$AM$30='Field Check'!$C$25)*10000000+(N('Dvd Calendar'!$AM$24)&gt;0)*1000000+2*1000+35))</f>
        <v/>
      </c>
      <c r="AL10" s="41">
        <f>IF(N('Dvd Calendar'!$AN$25)=0,"",IF(('Dvd Calendar'!$AN$25&gt;=MIN(DATE(Summary!$C$12,1,1),Summary!$C$11))*('Dvd Calendar'!$AN$25&lt;=MAX(DATE(Summary!$C$12,12,31),Summary!$C$15))*('Dvd Calendar'!$AN$25&lt;=Summary!$C$11)=0,"",'Dvd Calendar'!$AN$25*1000000000+ISNUMBER('Dvd Calendar'!$AN$26)*100000000+('Dvd Calendar'!$AN$30='Field Check'!$C$25)*10000000+(N('Dvd Calendar'!$AN$24)&gt;0)*1000000+2*1000+36))</f>
        <v/>
      </c>
      <c r="AM10" s="41">
        <f>IF(N('Dvd Calendar'!$AO$25)=0,"",IF(('Dvd Calendar'!$AO$25&gt;=MIN(DATE(Summary!$C$12,1,1),Summary!$C$11))*('Dvd Calendar'!$AO$25&lt;=MAX(DATE(Summary!$C$12,12,31),Summary!$C$15))*('Dvd Calendar'!$AO$25&lt;=Summary!$C$11)=0,"",'Dvd Calendar'!$AO$25*1000000000+ISNUMBER('Dvd Calendar'!$AO$26)*100000000+('Dvd Calendar'!$AO$30='Field Check'!$C$25)*10000000+(N('Dvd Calendar'!$AO$24)&gt;0)*1000000+2*1000+37))</f>
        <v/>
      </c>
      <c r="AN10" s="41">
        <f>IF(N('Dvd Calendar'!$AP$25)=0,"",IF(('Dvd Calendar'!$AP$25&gt;=MIN(DATE(Summary!$C$12,1,1),Summary!$C$11))*('Dvd Calendar'!$AP$25&lt;=MAX(DATE(Summary!$C$12,12,31),Summary!$C$15))*('Dvd Calendar'!$AP$25&lt;=Summary!$C$11)=0,"",'Dvd Calendar'!$AP$25*1000000000+ISNUMBER('Dvd Calendar'!$AP$26)*100000000+('Dvd Calendar'!$AP$30='Field Check'!$C$25)*10000000+(N('Dvd Calendar'!$AP$24)&gt;0)*1000000+2*1000+38))</f>
        <v/>
      </c>
      <c r="AO10" s="41">
        <f>IF(N('Dvd Calendar'!$AQ$25)=0,"",IF(('Dvd Calendar'!$AQ$25&gt;=MIN(DATE(Summary!$C$12,1,1),Summary!$C$11))*('Dvd Calendar'!$AQ$25&lt;=MAX(DATE(Summary!$C$12,12,31),Summary!$C$15))*('Dvd Calendar'!$AQ$25&lt;=Summary!$C$11)=0,"",'Dvd Calendar'!$AQ$25*1000000000+ISNUMBER('Dvd Calendar'!$AQ$26)*100000000+('Dvd Calendar'!$AQ$30='Field Check'!$C$25)*10000000+(N('Dvd Calendar'!$AQ$24)&gt;0)*1000000+2*1000+39))</f>
        <v/>
      </c>
      <c r="AP10" s="41">
        <f>IF(N('Dvd Calendar'!$AR$25)=0,"",IF(('Dvd Calendar'!$AR$25&gt;=MIN(DATE(Summary!$C$12,1,1),Summary!$C$11))*('Dvd Calendar'!$AR$25&lt;=MAX(DATE(Summary!$C$12,12,31),Summary!$C$15))*('Dvd Calendar'!$AR$25&lt;=Summary!$C$11)=0,"",'Dvd Calendar'!$AR$25*1000000000+ISNUMBER('Dvd Calendar'!$AR$26)*100000000+('Dvd Calendar'!$AR$30='Field Check'!$C$25)*10000000+(N('Dvd Calendar'!$AR$24)&gt;0)*1000000+2*1000+40))</f>
        <v/>
      </c>
      <c r="AQ10" s="41">
        <f>IF(N('Dvd Calendar'!$E$32)=0,"",IF(('Dvd Calendar'!$E$32&gt;=MIN(DATE(Summary!$C$12,1,1),Summary!$C$11))*('Dvd Calendar'!$E$32&lt;=MAX(DATE(Summary!$C$12,12,31),Summary!$C$15))*('Dvd Calendar'!$E$32&gt;Summary!$C$11)=0,"",'Dvd Calendar'!$E$32*1000000000+ISNUMBER('Dvd Calendar'!$E$33)*100000000+('Dvd Calendar'!$E$37='Field Check'!$C$25)*10000000+(N('Dvd Calendar'!$E$31)&gt;0)*1000000+2*1000+41))</f>
        <v/>
      </c>
      <c r="AR10" s="41">
        <f>IF(N('Dvd Calendar'!$F$32)=0,"",IF(('Dvd Calendar'!$F$32&gt;=MIN(DATE(Summary!$C$12,1,1),Summary!$C$11))*('Dvd Calendar'!$F$32&lt;=MAX(DATE(Summary!$C$12,12,31),Summary!$C$15))*('Dvd Calendar'!$F$32&gt;Summary!$C$11)=0,"",'Dvd Calendar'!$F$32*1000000000+ISNUMBER('Dvd Calendar'!$F$33)*100000000+('Dvd Calendar'!$F$37='Field Check'!$C$25)*10000000+(N('Dvd Calendar'!$F$31)&gt;0)*1000000+2*1000+42))</f>
        <v/>
      </c>
      <c r="AS10" s="41">
        <f>IF(N('Dvd Calendar'!$G$32)=0,"",IF(('Dvd Calendar'!$G$32&gt;=MIN(DATE(Summary!$C$12,1,1),Summary!$C$11))*('Dvd Calendar'!$G$32&lt;=MAX(DATE(Summary!$C$12,12,31),Summary!$C$15))*('Dvd Calendar'!$G$32&gt;Summary!$C$11)=0,"",'Dvd Calendar'!$G$32*1000000000+ISNUMBER('Dvd Calendar'!$G$33)*100000000+('Dvd Calendar'!$G$37='Field Check'!$C$25)*10000000+(N('Dvd Calendar'!$G$31)&gt;0)*1000000+2*1000+43))</f>
        <v/>
      </c>
      <c r="AT10" s="41">
        <f>IF(N('Dvd Calendar'!$H$32)=0,"",IF(('Dvd Calendar'!$H$32&gt;=MIN(DATE(Summary!$C$12,1,1),Summary!$C$11))*('Dvd Calendar'!$H$32&lt;=MAX(DATE(Summary!$C$12,12,31),Summary!$C$15))*('Dvd Calendar'!$H$32&gt;Summary!$C$11)=0,"",'Dvd Calendar'!$H$32*1000000000+ISNUMBER('Dvd Calendar'!$H$33)*100000000+('Dvd Calendar'!$H$37='Field Check'!$C$25)*10000000+(N('Dvd Calendar'!$H$31)&gt;0)*1000000+2*1000+44))</f>
        <v/>
      </c>
      <c r="AU10" s="41">
        <f>IF(N('Dvd Calendar'!$I$32)=0,"",IF(('Dvd Calendar'!$I$32&gt;=MIN(DATE(Summary!$C$12,1,1),Summary!$C$11))*('Dvd Calendar'!$I$32&lt;=MAX(DATE(Summary!$C$12,12,31),Summary!$C$15))*('Dvd Calendar'!$I$32&gt;Summary!$C$11)=0,"",'Dvd Calendar'!$I$32*1000000000+ISNUMBER('Dvd Calendar'!$I$33)*100000000+('Dvd Calendar'!$I$37='Field Check'!$C$25)*10000000+(N('Dvd Calendar'!$I$31)&gt;0)*1000000+2*1000+45))</f>
        <v/>
      </c>
      <c r="AV10" s="41">
        <f>IF(N('Dvd Calendar'!$J$32)=0,"",IF(('Dvd Calendar'!$J$32&gt;=MIN(DATE(Summary!$C$12,1,1),Summary!$C$11))*('Dvd Calendar'!$J$32&lt;=MAX(DATE(Summary!$C$12,12,31),Summary!$C$15))*('Dvd Calendar'!$J$32&gt;Summary!$C$11)=0,"",'Dvd Calendar'!$J$32*1000000000+ISNUMBER('Dvd Calendar'!$J$33)*100000000+('Dvd Calendar'!$J$37='Field Check'!$C$25)*10000000+(N('Dvd Calendar'!$J$31)&gt;0)*1000000+2*1000+46))</f>
        <v/>
      </c>
      <c r="AW10" s="41">
        <f>IF(N('Dvd Calendar'!$K$32)=0,"",IF(('Dvd Calendar'!$K$32&gt;=MIN(DATE(Summary!$C$12,1,1),Summary!$C$11))*('Dvd Calendar'!$K$32&lt;=MAX(DATE(Summary!$C$12,12,31),Summary!$C$15))*('Dvd Calendar'!$K$32&gt;Summary!$C$11)=0,"",'Dvd Calendar'!$K$32*1000000000+ISNUMBER('Dvd Calendar'!$K$33)*100000000+('Dvd Calendar'!$K$37='Field Check'!$C$25)*10000000+(N('Dvd Calendar'!$K$31)&gt;0)*1000000+2*1000+47))</f>
        <v/>
      </c>
      <c r="AX10" s="41">
        <f>IF(N('Dvd Calendar'!$L$32)=0,"",IF(('Dvd Calendar'!$L$32&gt;=MIN(DATE(Summary!$C$12,1,1),Summary!$C$11))*('Dvd Calendar'!$L$32&lt;=MAX(DATE(Summary!$C$12,12,31),Summary!$C$15))*('Dvd Calendar'!$L$32&gt;Summary!$C$11)=0,"",'Dvd Calendar'!$L$32*1000000000+ISNUMBER('Dvd Calendar'!$L$33)*100000000+('Dvd Calendar'!$L$37='Field Check'!$C$25)*10000000+(N('Dvd Calendar'!$L$31)&gt;0)*1000000+2*1000+48))</f>
        <v/>
      </c>
      <c r="AY10" s="41">
        <f>IF(N('Dvd Calendar'!$M$32)=0,"",IF(('Dvd Calendar'!$M$32&gt;=MIN(DATE(Summary!$C$12,1,1),Summary!$C$11))*('Dvd Calendar'!$M$32&lt;=MAX(DATE(Summary!$C$12,12,31),Summary!$C$15))*('Dvd Calendar'!$M$32&gt;Summary!$C$11)=0,"",'Dvd Calendar'!$M$32*1000000000+ISNUMBER('Dvd Calendar'!$M$33)*100000000+('Dvd Calendar'!$M$37='Field Check'!$C$25)*10000000+(N('Dvd Calendar'!$M$31)&gt;0)*1000000+2*1000+49))</f>
        <v/>
      </c>
      <c r="AZ10" s="41">
        <f>IF(N('Dvd Calendar'!$N$32)=0,"",IF(('Dvd Calendar'!$N$32&gt;=MIN(DATE(Summary!$C$12,1,1),Summary!$C$11))*('Dvd Calendar'!$N$32&lt;=MAX(DATE(Summary!$C$12,12,31),Summary!$C$15))*('Dvd Calendar'!$N$32&gt;Summary!$C$11)=0,"",'Dvd Calendar'!$N$32*1000000000+ISNUMBER('Dvd Calendar'!$N$33)*100000000+('Dvd Calendar'!$N$37='Field Check'!$C$25)*10000000+(N('Dvd Calendar'!$N$31)&gt;0)*1000000+2*1000+50))</f>
        <v/>
      </c>
      <c r="BA10" s="41">
        <f>IF(N('Dvd Calendar'!$O$32)=0,"",IF(('Dvd Calendar'!$O$32&gt;=MIN(DATE(Summary!$C$12,1,1),Summary!$C$11))*('Dvd Calendar'!$O$32&lt;=MAX(DATE(Summary!$C$12,12,31),Summary!$C$15))*('Dvd Calendar'!$O$32&gt;Summary!$C$11)=0,"",'Dvd Calendar'!$O$32*1000000000+ISNUMBER('Dvd Calendar'!$O$33)*100000000+('Dvd Calendar'!$O$37='Field Check'!$C$25)*10000000+(N('Dvd Calendar'!$O$31)&gt;0)*1000000+2*1000+51))</f>
        <v/>
      </c>
      <c r="BB10" s="41">
        <f>IF(N('Dvd Calendar'!$P$32)=0,"",IF(('Dvd Calendar'!$P$32&gt;=MIN(DATE(Summary!$C$12,1,1),Summary!$C$11))*('Dvd Calendar'!$P$32&lt;=MAX(DATE(Summary!$C$12,12,31),Summary!$C$15))*('Dvd Calendar'!$P$32&gt;Summary!$C$11)=0,"",'Dvd Calendar'!$P$32*1000000000+ISNUMBER('Dvd Calendar'!$P$33)*100000000+('Dvd Calendar'!$P$37='Field Check'!$C$25)*10000000+(N('Dvd Calendar'!$P$31)&gt;0)*1000000+2*1000+52))</f>
        <v/>
      </c>
      <c r="BC10" s="41">
        <f>IF(N('Dvd Calendar'!$Q$32)=0,"",IF(('Dvd Calendar'!$Q$32&gt;=MIN(DATE(Summary!$C$12,1,1),Summary!$C$11))*('Dvd Calendar'!$Q$32&lt;=MAX(DATE(Summary!$C$12,12,31),Summary!$C$15))*('Dvd Calendar'!$Q$32&gt;Summary!$C$11)=0,"",'Dvd Calendar'!$Q$32*1000000000+ISNUMBER('Dvd Calendar'!$Q$33)*100000000+('Dvd Calendar'!$Q$37='Field Check'!$C$25)*10000000+(N('Dvd Calendar'!$Q$31)&gt;0)*1000000+2*1000+53))</f>
        <v/>
      </c>
      <c r="BD10" s="41">
        <f>IF(N('Dvd Calendar'!$R$32)=0,"",IF(('Dvd Calendar'!$R$32&gt;=MIN(DATE(Summary!$C$12,1,1),Summary!$C$11))*('Dvd Calendar'!$R$32&lt;=MAX(DATE(Summary!$C$12,12,31),Summary!$C$15))*('Dvd Calendar'!$R$32&gt;Summary!$C$11)=0,"",'Dvd Calendar'!$R$32*1000000000+ISNUMBER('Dvd Calendar'!$R$33)*100000000+('Dvd Calendar'!$R$37='Field Check'!$C$25)*10000000+(N('Dvd Calendar'!$R$31)&gt;0)*1000000+2*1000+54))</f>
        <v/>
      </c>
      <c r="BE10" s="41">
        <f>IF(N('Dvd Calendar'!$S$32)=0,"",IF(('Dvd Calendar'!$S$32&gt;=MIN(DATE(Summary!$C$12,1,1),Summary!$C$11))*('Dvd Calendar'!$S$32&lt;=MAX(DATE(Summary!$C$12,12,31),Summary!$C$15))*('Dvd Calendar'!$S$32&gt;Summary!$C$11)=0,"",'Dvd Calendar'!$S$32*1000000000+ISNUMBER('Dvd Calendar'!$S$33)*100000000+('Dvd Calendar'!$S$37='Field Check'!$C$25)*10000000+(N('Dvd Calendar'!$S$31)&gt;0)*1000000+2*1000+55))</f>
        <v/>
      </c>
      <c r="BF10" s="41">
        <f>IF(N('Dvd Calendar'!$T$32)=0,"",IF(('Dvd Calendar'!$T$32&gt;=MIN(DATE(Summary!$C$12,1,1),Summary!$C$11))*('Dvd Calendar'!$T$32&lt;=MAX(DATE(Summary!$C$12,12,31),Summary!$C$15))*('Dvd Calendar'!$T$32&gt;Summary!$C$11)=0,"",'Dvd Calendar'!$T$32*1000000000+ISNUMBER('Dvd Calendar'!$T$33)*100000000+('Dvd Calendar'!$T$37='Field Check'!$C$25)*10000000+(N('Dvd Calendar'!$T$31)&gt;0)*1000000+2*1000+56))</f>
        <v/>
      </c>
      <c r="BG10" s="41">
        <f>IF(N('Dvd Calendar'!$U$32)=0,"",IF(('Dvd Calendar'!$U$32&gt;=MIN(DATE(Summary!$C$12,1,1),Summary!$C$11))*('Dvd Calendar'!$U$32&lt;=MAX(DATE(Summary!$C$12,12,31),Summary!$C$15))*('Dvd Calendar'!$U$32&gt;Summary!$C$11)=0,"",'Dvd Calendar'!$U$32*1000000000+ISNUMBER('Dvd Calendar'!$U$33)*100000000+('Dvd Calendar'!$U$37='Field Check'!$C$25)*10000000+(N('Dvd Calendar'!$U$31)&gt;0)*1000000+2*1000+57))</f>
        <v/>
      </c>
      <c r="BH10" s="41">
        <f>IF(N('Dvd Calendar'!$V$32)=0,"",IF(('Dvd Calendar'!$V$32&gt;=MIN(DATE(Summary!$C$12,1,1),Summary!$C$11))*('Dvd Calendar'!$V$32&lt;=MAX(DATE(Summary!$C$12,12,31),Summary!$C$15))*('Dvd Calendar'!$V$32&gt;Summary!$C$11)=0,"",'Dvd Calendar'!$V$32*1000000000+ISNUMBER('Dvd Calendar'!$V$33)*100000000+('Dvd Calendar'!$V$37='Field Check'!$C$25)*10000000+(N('Dvd Calendar'!$V$31)&gt;0)*1000000+2*1000+58))</f>
        <v/>
      </c>
      <c r="BI10" s="41">
        <f>IF(N('Dvd Calendar'!$W$32)=0,"",IF(('Dvd Calendar'!$W$32&gt;=MIN(DATE(Summary!$C$12,1,1),Summary!$C$11))*('Dvd Calendar'!$W$32&lt;=MAX(DATE(Summary!$C$12,12,31),Summary!$C$15))*('Dvd Calendar'!$W$32&gt;Summary!$C$11)=0,"",'Dvd Calendar'!$W$32*1000000000+ISNUMBER('Dvd Calendar'!$W$33)*100000000+('Dvd Calendar'!$W$37='Field Check'!$C$25)*10000000+(N('Dvd Calendar'!$W$31)&gt;0)*1000000+2*1000+59))</f>
        <v/>
      </c>
      <c r="BJ10" s="41">
        <f>IF(N('Dvd Calendar'!$X$32)=0,"",IF(('Dvd Calendar'!$X$32&gt;=MIN(DATE(Summary!$C$12,1,1),Summary!$C$11))*('Dvd Calendar'!$X$32&lt;=MAX(DATE(Summary!$C$12,12,31),Summary!$C$15))*('Dvd Calendar'!$X$32&gt;Summary!$C$11)=0,"",'Dvd Calendar'!$X$32*1000000000+ISNUMBER('Dvd Calendar'!$X$33)*100000000+('Dvd Calendar'!$X$37='Field Check'!$C$25)*10000000+(N('Dvd Calendar'!$X$31)&gt;0)*1000000+2*1000+60))</f>
        <v/>
      </c>
      <c r="BK10" s="41">
        <f>IF(N('Dvd Calendar'!$Y$32)=0,"",IF(('Dvd Calendar'!$Y$32&gt;=MIN(DATE(Summary!$C$12,1,1),Summary!$C$11))*('Dvd Calendar'!$Y$32&lt;=MAX(DATE(Summary!$C$12,12,31),Summary!$C$15))*('Dvd Calendar'!$Y$32&gt;Summary!$C$11)=0,"",'Dvd Calendar'!$Y$32*1000000000+ISNUMBER('Dvd Calendar'!$Y$33)*100000000+('Dvd Calendar'!$Y$37='Field Check'!$C$25)*10000000+(N('Dvd Calendar'!$Y$31)&gt;0)*1000000+2*1000+61))</f>
        <v/>
      </c>
      <c r="BL10" s="41">
        <f>IF(N('Dvd Calendar'!$Z$32)=0,"",IF(('Dvd Calendar'!$Z$32&gt;=MIN(DATE(Summary!$C$12,1,1),Summary!$C$11))*('Dvd Calendar'!$Z$32&lt;=MAX(DATE(Summary!$C$12,12,31),Summary!$C$15))*('Dvd Calendar'!$Z$32&gt;Summary!$C$11)=0,"",'Dvd Calendar'!$Z$32*1000000000+ISNUMBER('Dvd Calendar'!$Z$33)*100000000+('Dvd Calendar'!$Z$37='Field Check'!$C$25)*10000000+(N('Dvd Calendar'!$Z$31)&gt;0)*1000000+2*1000+62))</f>
        <v/>
      </c>
      <c r="BM10" s="41">
        <f>IF(N('Dvd Calendar'!$AA$32)=0,"",IF(('Dvd Calendar'!$AA$32&gt;=MIN(DATE(Summary!$C$12,1,1),Summary!$C$11))*('Dvd Calendar'!$AA$32&lt;=MAX(DATE(Summary!$C$12,12,31),Summary!$C$15))*('Dvd Calendar'!$AA$32&gt;Summary!$C$11)=0,"",'Dvd Calendar'!$AA$32*1000000000+ISNUMBER('Dvd Calendar'!$AA$33)*100000000+('Dvd Calendar'!$AA$37='Field Check'!$C$25)*10000000+(N('Dvd Calendar'!$AA$31)&gt;0)*1000000+2*1000+63))</f>
        <v/>
      </c>
      <c r="BN10" s="41">
        <f>IF(N('Dvd Calendar'!$AB$32)=0,"",IF(('Dvd Calendar'!$AB$32&gt;=MIN(DATE(Summary!$C$12,1,1),Summary!$C$11))*('Dvd Calendar'!$AB$32&lt;=MAX(DATE(Summary!$C$12,12,31),Summary!$C$15))*('Dvd Calendar'!$AB$32&gt;Summary!$C$11)=0,"",'Dvd Calendar'!$AB$32*1000000000+ISNUMBER('Dvd Calendar'!$AB$33)*100000000+('Dvd Calendar'!$AB$37='Field Check'!$C$25)*10000000+(N('Dvd Calendar'!$AB$31)&gt;0)*1000000+2*1000+64))</f>
        <v/>
      </c>
      <c r="BO10" s="41">
        <f>IF(N('Dvd Calendar'!$AC$32)=0,"",IF(('Dvd Calendar'!$AC$32&gt;=MIN(DATE(Summary!$C$12,1,1),Summary!$C$11))*('Dvd Calendar'!$AC$32&lt;=MAX(DATE(Summary!$C$12,12,31),Summary!$C$15))*('Dvd Calendar'!$AC$32&gt;Summary!$C$11)=0,"",'Dvd Calendar'!$AC$32*1000000000+ISNUMBER('Dvd Calendar'!$AC$33)*100000000+('Dvd Calendar'!$AC$37='Field Check'!$C$25)*10000000+(N('Dvd Calendar'!$AC$31)&gt;0)*1000000+2*1000+65))</f>
        <v/>
      </c>
      <c r="BQ10" s="85">
        <f>IF(C10="","",IF(ISNUMBER('Dvd Calendar'!$E$26)=FALSE,"",IF((Summary!$C$13="N")*('Dvd Calendar'!$E$30='Field Check'!$C$25)&gt;0,"",'Dvd Calendar'!$E$26)))</f>
        <v/>
      </c>
      <c r="BR10" s="85">
        <f>IF(D10="","",IF(ISNUMBER('Dvd Calendar'!$F$26)=FALSE,"",IF((Summary!$C$13="N")*('Dvd Calendar'!$F$30='Field Check'!$C$25)&gt;0,"",'Dvd Calendar'!$F$26)))</f>
        <v/>
      </c>
      <c r="BS10" s="85">
        <f>IF(E10="","",IF(ISNUMBER('Dvd Calendar'!$G$26)=FALSE,"",IF((Summary!$C$13="N")*('Dvd Calendar'!$G$30='Field Check'!$C$25)&gt;0,"",'Dvd Calendar'!$G$26)))</f>
        <v/>
      </c>
      <c r="BT10" s="85">
        <f>IF(F10="","",IF(ISNUMBER('Dvd Calendar'!$H$26)=FALSE,"",IF((Summary!$C$13="N")*('Dvd Calendar'!$H$30='Field Check'!$C$25)&gt;0,"",'Dvd Calendar'!$H$26)))</f>
        <v/>
      </c>
      <c r="BU10" s="85">
        <f>IF(G10="","",IF(ISNUMBER('Dvd Calendar'!$I$26)=FALSE,"",IF((Summary!$C$13="N")*('Dvd Calendar'!$I$30='Field Check'!$C$25)&gt;0,"",'Dvd Calendar'!$I$26)))</f>
        <v/>
      </c>
      <c r="BV10" s="85">
        <f>IF(H10="","",IF(ISNUMBER('Dvd Calendar'!$J$26)=FALSE,"",IF((Summary!$C$13="N")*('Dvd Calendar'!$J$30='Field Check'!$C$25)&gt;0,"",'Dvd Calendar'!$J$26)))</f>
        <v/>
      </c>
      <c r="BW10" s="85">
        <f>IF(I10="","",IF(ISNUMBER('Dvd Calendar'!$K$26)=FALSE,"",IF((Summary!$C$13="N")*('Dvd Calendar'!$K$30='Field Check'!$C$25)&gt;0,"",'Dvd Calendar'!$K$26)))</f>
        <v/>
      </c>
      <c r="BX10" s="85">
        <f>IF(J10="","",IF(ISNUMBER('Dvd Calendar'!$L$26)=FALSE,"",IF((Summary!$C$13="N")*('Dvd Calendar'!$L$30='Field Check'!$C$25)&gt;0,"",'Dvd Calendar'!$L$26)))</f>
        <v/>
      </c>
      <c r="BY10" s="85">
        <f>IF(K10="","",IF(ISNUMBER('Dvd Calendar'!$M$26)=FALSE,"",IF((Summary!$C$13="N")*('Dvd Calendar'!$M$30='Field Check'!$C$25)&gt;0,"",'Dvd Calendar'!$M$26)))</f>
        <v/>
      </c>
      <c r="BZ10" s="85">
        <f>IF(L10="","",IF(ISNUMBER('Dvd Calendar'!$N$26)=FALSE,"",IF((Summary!$C$13="N")*('Dvd Calendar'!$N$30='Field Check'!$C$25)&gt;0,"",'Dvd Calendar'!$N$26)))</f>
        <v/>
      </c>
      <c r="CA10" s="85">
        <f>IF(M10="","",IF(ISNUMBER('Dvd Calendar'!$O$26)=FALSE,"",IF((Summary!$C$13="N")*('Dvd Calendar'!$O$30='Field Check'!$C$25)&gt;0,"",'Dvd Calendar'!$O$26)))</f>
        <v/>
      </c>
      <c r="CB10" s="85">
        <f>IF(N10="","",IF(ISNUMBER('Dvd Calendar'!$P$26)=FALSE,"",IF((Summary!$C$13="N")*('Dvd Calendar'!$P$30='Field Check'!$C$25)&gt;0,"",'Dvd Calendar'!$P$26)))</f>
        <v/>
      </c>
      <c r="CC10" s="85">
        <f>IF(O10="","",IF(ISNUMBER('Dvd Calendar'!$Q$26)=FALSE,"",IF((Summary!$C$13="N")*('Dvd Calendar'!$Q$30='Field Check'!$C$25)&gt;0,"",'Dvd Calendar'!$Q$26)))</f>
        <v/>
      </c>
      <c r="CD10" s="85">
        <f>IF(P10="","",IF(ISNUMBER('Dvd Calendar'!$R$26)=FALSE,"",IF((Summary!$C$13="N")*('Dvd Calendar'!$R$30='Field Check'!$C$25)&gt;0,"",'Dvd Calendar'!$R$26)))</f>
        <v/>
      </c>
      <c r="CE10" s="85">
        <f>IF(Q10="","",IF(ISNUMBER('Dvd Calendar'!$S$26)=FALSE,"",IF((Summary!$C$13="N")*('Dvd Calendar'!$S$30='Field Check'!$C$25)&gt;0,"",'Dvd Calendar'!$S$26)))</f>
        <v/>
      </c>
      <c r="CF10" s="85">
        <f>IF(R10="","",IF(ISNUMBER('Dvd Calendar'!$T$26)=FALSE,"",IF((Summary!$C$13="N")*('Dvd Calendar'!$T$30='Field Check'!$C$25)&gt;0,"",'Dvd Calendar'!$T$26)))</f>
        <v/>
      </c>
      <c r="CG10" s="85">
        <f>IF(S10="","",IF(ISNUMBER('Dvd Calendar'!$U$26)=FALSE,"",IF((Summary!$C$13="N")*('Dvd Calendar'!$U$30='Field Check'!$C$25)&gt;0,"",'Dvd Calendar'!$U$26)))</f>
        <v/>
      </c>
      <c r="CH10" s="85">
        <f>IF(T10="","",IF(ISNUMBER('Dvd Calendar'!$V$26)=FALSE,"",IF((Summary!$C$13="N")*('Dvd Calendar'!$V$30='Field Check'!$C$25)&gt;0,"",'Dvd Calendar'!$V$26)))</f>
        <v/>
      </c>
      <c r="CI10" s="85">
        <f>IF(U10="","",IF(ISNUMBER('Dvd Calendar'!$W$26)=FALSE,"",IF((Summary!$C$13="N")*('Dvd Calendar'!$W$30='Field Check'!$C$25)&gt;0,"",'Dvd Calendar'!$W$26)))</f>
        <v/>
      </c>
      <c r="CJ10" s="85">
        <f>IF(V10="","",IF(ISNUMBER('Dvd Calendar'!$X$26)=FALSE,"",IF((Summary!$C$13="N")*('Dvd Calendar'!$X$30='Field Check'!$C$25)&gt;0,"",'Dvd Calendar'!$X$26)))</f>
        <v/>
      </c>
      <c r="CK10" s="85">
        <f>IF(W10="","",IF(ISNUMBER('Dvd Calendar'!$Y$26)=FALSE,"",IF((Summary!$C$13="N")*('Dvd Calendar'!$Y$30='Field Check'!$C$25)&gt;0,"",'Dvd Calendar'!$Y$26)))</f>
        <v/>
      </c>
      <c r="CL10" s="85">
        <f>IF(X10="","",IF(ISNUMBER('Dvd Calendar'!$Z$26)=FALSE,"",IF((Summary!$C$13="N")*('Dvd Calendar'!$Z$30='Field Check'!$C$25)&gt;0,"",'Dvd Calendar'!$Z$26)))</f>
        <v/>
      </c>
      <c r="CM10" s="85">
        <f>IF(Y10="","",IF(ISNUMBER('Dvd Calendar'!$AA$26)=FALSE,"",IF((Summary!$C$13="N")*('Dvd Calendar'!$AA$30='Field Check'!$C$25)&gt;0,"",'Dvd Calendar'!$AA$26)))</f>
        <v/>
      </c>
      <c r="CN10" s="85">
        <f>IF(Z10="","",IF(ISNUMBER('Dvd Calendar'!$AB$26)=FALSE,"",IF((Summary!$C$13="N")*('Dvd Calendar'!$AB$30='Field Check'!$C$25)&gt;0,"",'Dvd Calendar'!$AB$26)))</f>
        <v/>
      </c>
      <c r="CO10" s="85">
        <f>IF(AA10="","",IF(ISNUMBER('Dvd Calendar'!$AC$26)=FALSE,"",IF((Summary!$C$13="N")*('Dvd Calendar'!$AC$30='Field Check'!$C$25)&gt;0,"",'Dvd Calendar'!$AC$26)))</f>
        <v/>
      </c>
      <c r="CP10" s="85">
        <f>IF(AB10="","",IF(ISNUMBER('Dvd Calendar'!$AD$26)=FALSE,"",IF((Summary!$C$13="N")*('Dvd Calendar'!$AD$30='Field Check'!$C$25)&gt;0,"",'Dvd Calendar'!$AD$26)))</f>
        <v/>
      </c>
      <c r="CQ10" s="85">
        <f>IF(AC10="","",IF(ISNUMBER('Dvd Calendar'!$AE$26)=FALSE,"",IF((Summary!$C$13="N")*('Dvd Calendar'!$AE$30='Field Check'!$C$25)&gt;0,"",'Dvd Calendar'!$AE$26)))</f>
        <v/>
      </c>
      <c r="CR10" s="85">
        <f>IF(AD10="","",IF(ISNUMBER('Dvd Calendar'!$AF$26)=FALSE,"",IF((Summary!$C$13="N")*('Dvd Calendar'!$AF$30='Field Check'!$C$25)&gt;0,"",'Dvd Calendar'!$AF$26)))</f>
        <v/>
      </c>
      <c r="CS10" s="85">
        <f>IF(AE10="","",IF(ISNUMBER('Dvd Calendar'!$AG$26)=FALSE,"",IF((Summary!$C$13="N")*('Dvd Calendar'!$AG$30='Field Check'!$C$25)&gt;0,"",'Dvd Calendar'!$AG$26)))</f>
        <v/>
      </c>
      <c r="CT10" s="85">
        <f>IF(AF10="","",IF(ISNUMBER('Dvd Calendar'!$AH$26)=FALSE,"",IF((Summary!$C$13="N")*('Dvd Calendar'!$AH$30='Field Check'!$C$25)&gt;0,"",'Dvd Calendar'!$AH$26)))</f>
        <v/>
      </c>
      <c r="CU10" s="85">
        <f>IF(AG10="","",IF(ISNUMBER('Dvd Calendar'!$AI$26)=FALSE,"",IF((Summary!$C$13="N")*('Dvd Calendar'!$AI$30='Field Check'!$C$25)&gt;0,"",'Dvd Calendar'!$AI$26)))</f>
        <v/>
      </c>
      <c r="CV10" s="85">
        <f>IF(AH10="","",IF(ISNUMBER('Dvd Calendar'!$AJ$26)=FALSE,"",IF((Summary!$C$13="N")*('Dvd Calendar'!$AJ$30='Field Check'!$C$25)&gt;0,"",'Dvd Calendar'!$AJ$26)))</f>
        <v/>
      </c>
      <c r="CW10" s="85">
        <f>IF(AI10="","",IF(ISNUMBER('Dvd Calendar'!$AK$26)=FALSE,"",IF((Summary!$C$13="N")*('Dvd Calendar'!$AK$30='Field Check'!$C$25)&gt;0,"",'Dvd Calendar'!$AK$26)))</f>
        <v/>
      </c>
      <c r="CX10" s="85">
        <f>IF(AJ10="","",IF(ISNUMBER('Dvd Calendar'!$AL$26)=FALSE,"",IF((Summary!$C$13="N")*('Dvd Calendar'!$AL$30='Field Check'!$C$25)&gt;0,"",'Dvd Calendar'!$AL$26)))</f>
        <v/>
      </c>
      <c r="CY10" s="85">
        <f>IF(AK10="","",IF(ISNUMBER('Dvd Calendar'!$AM$26)=FALSE,"",IF((Summary!$C$13="N")*('Dvd Calendar'!$AM$30='Field Check'!$C$25)&gt;0,"",'Dvd Calendar'!$AM$26)))</f>
        <v/>
      </c>
      <c r="CZ10" s="85">
        <f>IF(AL10="","",IF(ISNUMBER('Dvd Calendar'!$AN$26)=FALSE,"",IF((Summary!$C$13="N")*('Dvd Calendar'!$AN$30='Field Check'!$C$25)&gt;0,"",'Dvd Calendar'!$AN$26)))</f>
        <v/>
      </c>
      <c r="DA10" s="85">
        <f>IF(AM10="","",IF(ISNUMBER('Dvd Calendar'!$AO$26)=FALSE,"",IF((Summary!$C$13="N")*('Dvd Calendar'!$AO$30='Field Check'!$C$25)&gt;0,"",'Dvd Calendar'!$AO$26)))</f>
        <v/>
      </c>
      <c r="DB10" s="85">
        <f>IF(AN10="","",IF(ISNUMBER('Dvd Calendar'!$AP$26)=FALSE,"",IF((Summary!$C$13="N")*('Dvd Calendar'!$AP$30='Field Check'!$C$25)&gt;0,"",'Dvd Calendar'!$AP$26)))</f>
        <v/>
      </c>
      <c r="DC10" s="85">
        <f>IF(AO10="","",IF(ISNUMBER('Dvd Calendar'!$AQ$26)=FALSE,"",IF((Summary!$C$13="N")*('Dvd Calendar'!$AQ$30='Field Check'!$C$25)&gt;0,"",'Dvd Calendar'!$AQ$26)))</f>
        <v/>
      </c>
      <c r="DD10" s="85">
        <f>IF(AP10="","",IF(ISNUMBER('Dvd Calendar'!$AR$26)=FALSE,"",IF((Summary!$C$13="N")*('Dvd Calendar'!$AR$30='Field Check'!$C$25)&gt;0,"",'Dvd Calendar'!$AR$26)))</f>
        <v/>
      </c>
      <c r="DE10" s="85">
        <f>IF(AQ10="","",IF(ISNUMBER('Dvd Calendar'!$E$33)=FALSE,"",IF((Summary!$C$13="N")*('Dvd Calendar'!$E$37='Field Check'!$C$25)&gt;0,"",'Dvd Calendar'!$E$33)))</f>
        <v/>
      </c>
      <c r="DF10" s="85">
        <f>IF(AR10="","",IF(ISNUMBER('Dvd Calendar'!$F$33)=FALSE,"",IF((Summary!$C$13="N")*('Dvd Calendar'!$F$37='Field Check'!$C$25)&gt;0,"",'Dvd Calendar'!$F$33)))</f>
        <v/>
      </c>
      <c r="DG10" s="85">
        <f>IF(AS10="","",IF(ISNUMBER('Dvd Calendar'!$G$33)=FALSE,"",IF((Summary!$C$13="N")*('Dvd Calendar'!$G$37='Field Check'!$C$25)&gt;0,"",'Dvd Calendar'!$G$33)))</f>
        <v/>
      </c>
      <c r="DH10" s="85">
        <f>IF(AT10="","",IF(ISNUMBER('Dvd Calendar'!$H$33)=FALSE,"",IF((Summary!$C$13="N")*('Dvd Calendar'!$H$37='Field Check'!$C$25)&gt;0,"",'Dvd Calendar'!$H$33)))</f>
        <v/>
      </c>
      <c r="DI10" s="85">
        <f>IF(AU10="","",IF(ISNUMBER('Dvd Calendar'!$I$33)=FALSE,"",IF((Summary!$C$13="N")*('Dvd Calendar'!$I$37='Field Check'!$C$25)&gt;0,"",'Dvd Calendar'!$I$33)))</f>
        <v/>
      </c>
      <c r="DJ10" s="85">
        <f>IF(AV10="","",IF(ISNUMBER('Dvd Calendar'!$J$33)=FALSE,"",IF((Summary!$C$13="N")*('Dvd Calendar'!$J$37='Field Check'!$C$25)&gt;0,"",'Dvd Calendar'!$J$33)))</f>
        <v/>
      </c>
      <c r="DK10" s="85">
        <f>IF(AW10="","",IF(ISNUMBER('Dvd Calendar'!$K$33)=FALSE,"",IF((Summary!$C$13="N")*('Dvd Calendar'!$K$37='Field Check'!$C$25)&gt;0,"",'Dvd Calendar'!$K$33)))</f>
        <v/>
      </c>
      <c r="DL10" s="85">
        <f>IF(AX10="","",IF(ISNUMBER('Dvd Calendar'!$L$33)=FALSE,"",IF((Summary!$C$13="N")*('Dvd Calendar'!$L$37='Field Check'!$C$25)&gt;0,"",'Dvd Calendar'!$L$33)))</f>
        <v/>
      </c>
      <c r="DM10" s="85">
        <f>IF(AY10="","",IF(ISNUMBER('Dvd Calendar'!$M$33)=FALSE,"",IF((Summary!$C$13="N")*('Dvd Calendar'!$M$37='Field Check'!$C$25)&gt;0,"",'Dvd Calendar'!$M$33)))</f>
        <v/>
      </c>
      <c r="DN10" s="85">
        <f>IF(AZ10="","",IF(ISNUMBER('Dvd Calendar'!$N$33)=FALSE,"",IF((Summary!$C$13="N")*('Dvd Calendar'!$N$37='Field Check'!$C$25)&gt;0,"",'Dvd Calendar'!$N$33)))</f>
        <v/>
      </c>
      <c r="DO10" s="85">
        <f>IF(BA10="","",IF(ISNUMBER('Dvd Calendar'!$O$33)=FALSE,"",IF((Summary!$C$13="N")*('Dvd Calendar'!$O$37='Field Check'!$C$25)&gt;0,"",'Dvd Calendar'!$O$33)))</f>
        <v/>
      </c>
      <c r="DP10" s="85">
        <f>IF(BB10="","",IF(ISNUMBER('Dvd Calendar'!$P$33)=FALSE,"",IF((Summary!$C$13="N")*('Dvd Calendar'!$P$37='Field Check'!$C$25)&gt;0,"",'Dvd Calendar'!$P$33)))</f>
        <v/>
      </c>
      <c r="DQ10" s="85">
        <f>IF(BC10="","",IF(ISNUMBER('Dvd Calendar'!$Q$33)=FALSE,"",IF((Summary!$C$13="N")*('Dvd Calendar'!$Q$37='Field Check'!$C$25)&gt;0,"",'Dvd Calendar'!$Q$33)))</f>
        <v/>
      </c>
      <c r="DR10" s="85">
        <f>IF(BD10="","",IF(ISNUMBER('Dvd Calendar'!$R$33)=FALSE,"",IF((Summary!$C$13="N")*('Dvd Calendar'!$R$37='Field Check'!$C$25)&gt;0,"",'Dvd Calendar'!$R$33)))</f>
        <v/>
      </c>
      <c r="DS10" s="85">
        <f>IF(BE10="","",IF(ISNUMBER('Dvd Calendar'!$S$33)=FALSE,"",IF((Summary!$C$13="N")*('Dvd Calendar'!$S$37='Field Check'!$C$25)&gt;0,"",'Dvd Calendar'!$S$33)))</f>
        <v/>
      </c>
      <c r="DT10" s="85">
        <f>IF(BF10="","",IF(ISNUMBER('Dvd Calendar'!$T$33)=FALSE,"",IF((Summary!$C$13="N")*('Dvd Calendar'!$T$37='Field Check'!$C$25)&gt;0,"",'Dvd Calendar'!$T$33)))</f>
        <v/>
      </c>
      <c r="DU10" s="85">
        <f>IF(BG10="","",IF(ISNUMBER('Dvd Calendar'!$U$33)=FALSE,"",IF((Summary!$C$13="N")*('Dvd Calendar'!$U$37='Field Check'!$C$25)&gt;0,"",'Dvd Calendar'!$U$33)))</f>
        <v/>
      </c>
      <c r="DV10" s="85">
        <f>IF(BH10="","",IF(ISNUMBER('Dvd Calendar'!$V$33)=FALSE,"",IF((Summary!$C$13="N")*('Dvd Calendar'!$V$37='Field Check'!$C$25)&gt;0,"",'Dvd Calendar'!$V$33)))</f>
        <v/>
      </c>
      <c r="DW10" s="85">
        <f>IF(BI10="","",IF(ISNUMBER('Dvd Calendar'!$W$33)=FALSE,"",IF((Summary!$C$13="N")*('Dvd Calendar'!$W$37='Field Check'!$C$25)&gt;0,"",'Dvd Calendar'!$W$33)))</f>
        <v/>
      </c>
      <c r="DX10" s="85">
        <f>IF(BJ10="","",IF(ISNUMBER('Dvd Calendar'!$X$33)=FALSE,"",IF((Summary!$C$13="N")*('Dvd Calendar'!$X$37='Field Check'!$C$25)&gt;0,"",'Dvd Calendar'!$X$33)))</f>
        <v/>
      </c>
      <c r="DY10" s="85">
        <f>IF(BK10="","",IF(ISNUMBER('Dvd Calendar'!$Y$33)=FALSE,"",IF((Summary!$C$13="N")*('Dvd Calendar'!$Y$37='Field Check'!$C$25)&gt;0,"",'Dvd Calendar'!$Y$33)))</f>
        <v/>
      </c>
      <c r="DZ10" s="85">
        <f>IF(BL10="","",IF(ISNUMBER('Dvd Calendar'!$Z$33)=FALSE,"",IF((Summary!$C$13="N")*('Dvd Calendar'!$Z$37='Field Check'!$C$25)&gt;0,"",'Dvd Calendar'!$Z$33)))</f>
        <v/>
      </c>
      <c r="EA10" s="85">
        <f>IF(BM10="","",IF(ISNUMBER('Dvd Calendar'!$AA$33)=FALSE,"",IF((Summary!$C$13="N")*('Dvd Calendar'!$AA$37='Field Check'!$C$25)&gt;0,"",'Dvd Calendar'!$AA$33)))</f>
        <v/>
      </c>
      <c r="EB10" s="85">
        <f>IF(BN10="","",IF(ISNUMBER('Dvd Calendar'!$AB$33)=FALSE,"",IF((Summary!$C$13="N")*('Dvd Calendar'!$AB$37='Field Check'!$C$25)&gt;0,"",'Dvd Calendar'!$AB$33)))</f>
        <v/>
      </c>
      <c r="EC10" s="85">
        <f>IF(BO10="","",IF(ISNUMBER('Dvd Calendar'!$AC$33)=FALSE,"",IF((Summary!$C$13="N")*('Dvd Calendar'!$AC$37='Field Check'!$C$25)&gt;0,"",'Dvd Calendar'!$AC$33)))</f>
        <v/>
      </c>
      <c r="EE10" s="85">
        <f>IF(BQ10="","",IFERROR(BQ10*HSI!$B$8*HSI!$G$8/HSI!$B$3,""))</f>
        <v/>
      </c>
      <c r="EF10" s="85">
        <f>IF(BR10="","",IFERROR(BR10*HSI!$B$8*HSI!$G$8/HSI!$B$3,""))</f>
        <v/>
      </c>
      <c r="EG10" s="85">
        <f>IF(BS10="","",IFERROR(BS10*HSI!$B$8*HSI!$G$8/HSI!$B$3,""))</f>
        <v/>
      </c>
      <c r="EH10" s="85">
        <f>IF(BT10="","",IFERROR(BT10*HSI!$B$8*HSI!$G$8/HSI!$B$3,""))</f>
        <v/>
      </c>
      <c r="EI10" s="85">
        <f>IF(BU10="","",IFERROR(BU10*HSI!$B$8*HSI!$G$8/HSI!$B$3,""))</f>
        <v/>
      </c>
      <c r="EJ10" s="85">
        <f>IF(BV10="","",IFERROR(BV10*HSI!$B$8*HSI!$G$8/HSI!$B$3,""))</f>
        <v/>
      </c>
      <c r="EK10" s="85">
        <f>IF(BW10="","",IFERROR(BW10*HSI!$B$8*HSI!$G$8/HSI!$B$3,""))</f>
        <v/>
      </c>
      <c r="EL10" s="85">
        <f>IF(BX10="","",IFERROR(BX10*HSI!$B$8*HSI!$G$8/HSI!$B$3,""))</f>
        <v/>
      </c>
      <c r="EM10" s="85">
        <f>IF(BY10="","",IFERROR(BY10*HSI!$B$8*HSI!$G$8/HSI!$B$3,""))</f>
        <v/>
      </c>
      <c r="EN10" s="85">
        <f>IF(BZ10="","",IFERROR(BZ10*HSI!$B$8*HSI!$G$8/HSI!$B$3,""))</f>
        <v/>
      </c>
      <c r="EO10" s="85">
        <f>IF(CA10="","",IFERROR(CA10*HSI!$B$8*HSI!$G$8/HSI!$B$3,""))</f>
        <v/>
      </c>
      <c r="EP10" s="85">
        <f>IF(CB10="","",IFERROR(CB10*HSI!$B$8*HSI!$G$8/HSI!$B$3,""))</f>
        <v/>
      </c>
      <c r="EQ10" s="85">
        <f>IF(CC10="","",IFERROR(CC10*HSI!$B$8*HSI!$G$8/HSI!$B$3,""))</f>
        <v/>
      </c>
      <c r="ER10" s="85">
        <f>IF(CD10="","",IFERROR(CD10*HSI!$B$8*HSI!$G$8/HSI!$B$3,""))</f>
        <v/>
      </c>
      <c r="ES10" s="85">
        <f>IF(CE10="","",IFERROR(CE10*HSI!$B$8*HSI!$G$8/HSI!$B$3,""))</f>
        <v/>
      </c>
      <c r="ET10" s="85">
        <f>IF(CF10="","",IFERROR(CF10*HSI!$B$8*HSI!$G$8/HSI!$B$3,""))</f>
        <v/>
      </c>
      <c r="EU10" s="85">
        <f>IF(CG10="","",IFERROR(CG10*HSI!$B$8*HSI!$G$8/HSI!$B$3,""))</f>
        <v/>
      </c>
      <c r="EV10" s="85">
        <f>IF(CH10="","",IFERROR(CH10*HSI!$B$8*HSI!$G$8/HSI!$B$3,""))</f>
        <v/>
      </c>
      <c r="EW10" s="85">
        <f>IF(CI10="","",IFERROR(CI10*HSI!$B$8*HSI!$G$8/HSI!$B$3,""))</f>
        <v/>
      </c>
      <c r="EX10" s="85">
        <f>IF(CJ10="","",IFERROR(CJ10*HSI!$B$8*HSI!$G$8/HSI!$B$3,""))</f>
        <v/>
      </c>
      <c r="EY10" s="85">
        <f>IF(CK10="","",IFERROR(CK10*HSI!$B$8*HSI!$G$8/HSI!$B$3,""))</f>
        <v/>
      </c>
      <c r="EZ10" s="85">
        <f>IF(CL10="","",IFERROR(CL10*HSI!$B$8*HSI!$G$8/HSI!$B$3,""))</f>
        <v/>
      </c>
      <c r="FA10" s="85">
        <f>IF(CM10="","",IFERROR(CM10*HSI!$B$8*HSI!$G$8/HSI!$B$3,""))</f>
        <v/>
      </c>
      <c r="FB10" s="85">
        <f>IF(CN10="","",IFERROR(CN10*HSI!$B$8*HSI!$G$8/HSI!$B$3,""))</f>
        <v/>
      </c>
      <c r="FC10" s="85">
        <f>IF(CO10="","",IFERROR(CO10*HSI!$B$8*HSI!$G$8/HSI!$B$3,""))</f>
        <v/>
      </c>
      <c r="FD10" s="85">
        <f>IF(CP10="","",IFERROR(CP10*HSI!$B$8*HSI!$G$8/HSI!$B$3,""))</f>
        <v/>
      </c>
      <c r="FE10" s="85">
        <f>IF(CQ10="","",IFERROR(CQ10*HSI!$B$8*HSI!$G$8/HSI!$B$3,""))</f>
        <v/>
      </c>
      <c r="FF10" s="85">
        <f>IF(CR10="","",IFERROR(CR10*HSI!$B$8*HSI!$G$8/HSI!$B$3,""))</f>
        <v/>
      </c>
      <c r="FG10" s="85">
        <f>IF(CS10="","",IFERROR(CS10*HSI!$B$8*HSI!$G$8/HSI!$B$3,""))</f>
        <v/>
      </c>
      <c r="FH10" s="85">
        <f>IF(CT10="","",IFERROR(CT10*HSI!$B$8*HSI!$G$8/HSI!$B$3,""))</f>
        <v/>
      </c>
      <c r="FI10" s="85">
        <f>IF(CU10="","",IFERROR(CU10*HSI!$B$8*HSI!$G$8/HSI!$B$3,""))</f>
        <v/>
      </c>
      <c r="FJ10" s="85">
        <f>IF(CV10="","",IFERROR(CV10*HSI!$B$8*HSI!$G$8/HSI!$B$3,""))</f>
        <v/>
      </c>
      <c r="FK10" s="85">
        <f>IF(CW10="","",IFERROR(CW10*HSI!$B$8*HSI!$G$8/HSI!$B$3,""))</f>
        <v/>
      </c>
      <c r="FL10" s="85">
        <f>IF(CX10="","",IFERROR(CX10*HSI!$B$8*HSI!$G$8/HSI!$B$3,""))</f>
        <v/>
      </c>
      <c r="FM10" s="85">
        <f>IF(CY10="","",IFERROR(CY10*HSI!$B$8*HSI!$G$8/HSI!$B$3,""))</f>
        <v/>
      </c>
      <c r="FN10" s="85">
        <f>IF(CZ10="","",IFERROR(CZ10*HSI!$B$8*HSI!$G$8/HSI!$B$3,""))</f>
        <v/>
      </c>
      <c r="FO10" s="85">
        <f>IF(DA10="","",IFERROR(DA10*HSI!$B$8*HSI!$G$8/HSI!$B$3,""))</f>
        <v/>
      </c>
      <c r="FP10" s="85">
        <f>IF(DB10="","",IFERROR(DB10*HSI!$B$8*HSI!$G$8/HSI!$B$3,""))</f>
        <v/>
      </c>
      <c r="FQ10" s="85">
        <f>IF(DC10="","",IFERROR(DC10*HSI!$B$8*HSI!$G$8/HSI!$B$3,""))</f>
        <v/>
      </c>
      <c r="FR10" s="85">
        <f>IF(DD10="","",IFERROR(DD10*HSI!$B$8*HSI!$G$8/HSI!$B$3,""))</f>
        <v/>
      </c>
      <c r="FS10" s="85">
        <f>IF(DE10="","",IFERROR(DE10*HSI!$B$8*HSI!$G$8/HSI!$B$3,""))</f>
        <v/>
      </c>
      <c r="FT10" s="85">
        <f>IF(DF10="","",IFERROR(DF10*HSI!$B$8*HSI!$G$8/HSI!$B$3,""))</f>
        <v/>
      </c>
      <c r="FU10" s="85">
        <f>IF(DG10="","",IFERROR(DG10*HSI!$B$8*HSI!$G$8/HSI!$B$3,""))</f>
        <v/>
      </c>
      <c r="FV10" s="85">
        <f>IF(DH10="","",IFERROR(DH10*HSI!$B$8*HSI!$G$8/HSI!$B$3,""))</f>
        <v/>
      </c>
      <c r="FW10" s="85">
        <f>IF(DI10="","",IFERROR(DI10*HSI!$B$8*HSI!$G$8/HSI!$B$3,""))</f>
        <v/>
      </c>
      <c r="FX10" s="85">
        <f>IF(DJ10="","",IFERROR(DJ10*HSI!$B$8*HSI!$G$8/HSI!$B$3,""))</f>
        <v/>
      </c>
      <c r="FY10" s="85">
        <f>IF(DK10="","",IFERROR(DK10*HSI!$B$8*HSI!$G$8/HSI!$B$3,""))</f>
        <v/>
      </c>
      <c r="FZ10" s="85">
        <f>IF(DL10="","",IFERROR(DL10*HSI!$B$8*HSI!$G$8/HSI!$B$3,""))</f>
        <v/>
      </c>
      <c r="GA10" s="85">
        <f>IF(DM10="","",IFERROR(DM10*HSI!$B$8*HSI!$G$8/HSI!$B$3,""))</f>
        <v/>
      </c>
      <c r="GB10" s="85">
        <f>IF(DN10="","",IFERROR(DN10*HSI!$B$8*HSI!$G$8/HSI!$B$3,""))</f>
        <v/>
      </c>
      <c r="GC10" s="85">
        <f>IF(DO10="","",IFERROR(DO10*HSI!$B$8*HSI!$G$8/HSI!$B$3,""))</f>
        <v/>
      </c>
      <c r="GD10" s="85">
        <f>IF(DP10="","",IFERROR(DP10*HSI!$B$8*HSI!$G$8/HSI!$B$3,""))</f>
        <v/>
      </c>
      <c r="GE10" s="85">
        <f>IF(DQ10="","",IFERROR(DQ10*HSI!$B$8*HSI!$G$8/HSI!$B$3,""))</f>
        <v/>
      </c>
      <c r="GF10" s="85">
        <f>IF(DR10="","",IFERROR(DR10*HSI!$B$8*HSI!$G$8/HSI!$B$3,""))</f>
        <v/>
      </c>
      <c r="GG10" s="85">
        <f>IF(DS10="","",IFERROR(DS10*HSI!$B$8*HSI!$G$8/HSI!$B$3,""))</f>
        <v/>
      </c>
      <c r="GH10" s="85">
        <f>IF(DT10="","",IFERROR(DT10*HSI!$B$8*HSI!$G$8/HSI!$B$3,""))</f>
        <v/>
      </c>
      <c r="GI10" s="85">
        <f>IF(DU10="","",IFERROR(DU10*HSI!$B$8*HSI!$G$8/HSI!$B$3,""))</f>
        <v/>
      </c>
      <c r="GJ10" s="85">
        <f>IF(DV10="","",IFERROR(DV10*HSI!$B$8*HSI!$G$8/HSI!$B$3,""))</f>
        <v/>
      </c>
      <c r="GK10" s="85">
        <f>IF(DW10="","",IFERROR(DW10*HSI!$B$8*HSI!$G$8/HSI!$B$3,""))</f>
        <v/>
      </c>
      <c r="GL10" s="85">
        <f>IF(DX10="","",IFERROR(DX10*HSI!$B$8*HSI!$G$8/HSI!$B$3,""))</f>
        <v/>
      </c>
      <c r="GM10" s="85">
        <f>IF(DY10="","",IFERROR(DY10*HSI!$B$8*HSI!$G$8/HSI!$B$3,""))</f>
        <v/>
      </c>
      <c r="GN10" s="85">
        <f>IF(DZ10="","",IFERROR(DZ10*HSI!$B$8*HSI!$G$8/HSI!$B$3,""))</f>
        <v/>
      </c>
      <c r="GO10" s="85">
        <f>IF(EA10="","",IFERROR(EA10*HSI!$B$8*HSI!$G$8/HSI!$B$3,""))</f>
        <v/>
      </c>
      <c r="GP10" s="85">
        <f>IF(EB10="","",IFERROR(EB10*HSI!$B$8*HSI!$G$8/HSI!$B$3,""))</f>
        <v/>
      </c>
      <c r="GQ10" s="85">
        <f>IF(EC10="","",IFERROR(EC10*HSI!$B$8*HSI!$G$8/HSI!$B$3,""))</f>
        <v/>
      </c>
    </row>
    <row r="11">
      <c r="B11" s="2">
        <f>IF(HSI!$C$9="","",HSI!$C$9)</f>
        <v/>
      </c>
      <c r="C11" s="41">
        <f>IF(N('Dvd Calendar'!$E$40)=0,"",IF(('Dvd Calendar'!$E$40&gt;=MIN(DATE(Summary!$C$12,1,1),Summary!$C$11))*('Dvd Calendar'!$E$40&lt;=MAX(DATE(Summary!$C$12,12,31),Summary!$C$15))*('Dvd Calendar'!$E$40&lt;=Summary!$C$11)=0,"",'Dvd Calendar'!$E$40*1000000000+ISNUMBER('Dvd Calendar'!$E$41)*100000000+('Dvd Calendar'!$E$45='Field Check'!$C$25)*10000000+(N('Dvd Calendar'!$E$39)&gt;0)*1000000+3*1000+1))</f>
        <v/>
      </c>
      <c r="D11" s="41">
        <f>IF(N('Dvd Calendar'!$F$40)=0,"",IF(('Dvd Calendar'!$F$40&gt;=MIN(DATE(Summary!$C$12,1,1),Summary!$C$11))*('Dvd Calendar'!$F$40&lt;=MAX(DATE(Summary!$C$12,12,31),Summary!$C$15))*('Dvd Calendar'!$F$40&lt;=Summary!$C$11)=0,"",'Dvd Calendar'!$F$40*1000000000+ISNUMBER('Dvd Calendar'!$F$41)*100000000+('Dvd Calendar'!$F$45='Field Check'!$C$25)*10000000+(N('Dvd Calendar'!$F$39)&gt;0)*1000000+3*1000+2))</f>
        <v/>
      </c>
      <c r="E11" s="41">
        <f>IF(N('Dvd Calendar'!$G$40)=0,"",IF(('Dvd Calendar'!$G$40&gt;=MIN(DATE(Summary!$C$12,1,1),Summary!$C$11))*('Dvd Calendar'!$G$40&lt;=MAX(DATE(Summary!$C$12,12,31),Summary!$C$15))*('Dvd Calendar'!$G$40&lt;=Summary!$C$11)=0,"",'Dvd Calendar'!$G$40*1000000000+ISNUMBER('Dvd Calendar'!$G$41)*100000000+('Dvd Calendar'!$G$45='Field Check'!$C$25)*10000000+(N('Dvd Calendar'!$G$39)&gt;0)*1000000+3*1000+3))</f>
        <v/>
      </c>
      <c r="F11" s="41">
        <f>IF(N('Dvd Calendar'!$H$40)=0,"",IF(('Dvd Calendar'!$H$40&gt;=MIN(DATE(Summary!$C$12,1,1),Summary!$C$11))*('Dvd Calendar'!$H$40&lt;=MAX(DATE(Summary!$C$12,12,31),Summary!$C$15))*('Dvd Calendar'!$H$40&lt;=Summary!$C$11)=0,"",'Dvd Calendar'!$H$40*1000000000+ISNUMBER('Dvd Calendar'!$H$41)*100000000+('Dvd Calendar'!$H$45='Field Check'!$C$25)*10000000+(N('Dvd Calendar'!$H$39)&gt;0)*1000000+3*1000+4))</f>
        <v/>
      </c>
      <c r="G11" s="41">
        <f>IF(N('Dvd Calendar'!$I$40)=0,"",IF(('Dvd Calendar'!$I$40&gt;=MIN(DATE(Summary!$C$12,1,1),Summary!$C$11))*('Dvd Calendar'!$I$40&lt;=MAX(DATE(Summary!$C$12,12,31),Summary!$C$15))*('Dvd Calendar'!$I$40&lt;=Summary!$C$11)=0,"",'Dvd Calendar'!$I$40*1000000000+ISNUMBER('Dvd Calendar'!$I$41)*100000000+('Dvd Calendar'!$I$45='Field Check'!$C$25)*10000000+(N('Dvd Calendar'!$I$39)&gt;0)*1000000+3*1000+5))</f>
        <v/>
      </c>
      <c r="H11" s="41">
        <f>IF(N('Dvd Calendar'!$J$40)=0,"",IF(('Dvd Calendar'!$J$40&gt;=MIN(DATE(Summary!$C$12,1,1),Summary!$C$11))*('Dvd Calendar'!$J$40&lt;=MAX(DATE(Summary!$C$12,12,31),Summary!$C$15))*('Dvd Calendar'!$J$40&lt;=Summary!$C$11)=0,"",'Dvd Calendar'!$J$40*1000000000+ISNUMBER('Dvd Calendar'!$J$41)*100000000+('Dvd Calendar'!$J$45='Field Check'!$C$25)*10000000+(N('Dvd Calendar'!$J$39)&gt;0)*1000000+3*1000+6))</f>
        <v/>
      </c>
      <c r="I11" s="41">
        <f>IF(N('Dvd Calendar'!$K$40)=0,"",IF(('Dvd Calendar'!$K$40&gt;=MIN(DATE(Summary!$C$12,1,1),Summary!$C$11))*('Dvd Calendar'!$K$40&lt;=MAX(DATE(Summary!$C$12,12,31),Summary!$C$15))*('Dvd Calendar'!$K$40&lt;=Summary!$C$11)=0,"",'Dvd Calendar'!$K$40*1000000000+ISNUMBER('Dvd Calendar'!$K$41)*100000000+('Dvd Calendar'!$K$45='Field Check'!$C$25)*10000000+(N('Dvd Calendar'!$K$39)&gt;0)*1000000+3*1000+7))</f>
        <v/>
      </c>
      <c r="J11" s="41">
        <f>IF(N('Dvd Calendar'!$L$40)=0,"",IF(('Dvd Calendar'!$L$40&gt;=MIN(DATE(Summary!$C$12,1,1),Summary!$C$11))*('Dvd Calendar'!$L$40&lt;=MAX(DATE(Summary!$C$12,12,31),Summary!$C$15))*('Dvd Calendar'!$L$40&lt;=Summary!$C$11)=0,"",'Dvd Calendar'!$L$40*1000000000+ISNUMBER('Dvd Calendar'!$L$41)*100000000+('Dvd Calendar'!$L$45='Field Check'!$C$25)*10000000+(N('Dvd Calendar'!$L$39)&gt;0)*1000000+3*1000+8))</f>
        <v/>
      </c>
      <c r="K11" s="41">
        <f>IF(N('Dvd Calendar'!$M$40)=0,"",IF(('Dvd Calendar'!$M$40&gt;=MIN(DATE(Summary!$C$12,1,1),Summary!$C$11))*('Dvd Calendar'!$M$40&lt;=MAX(DATE(Summary!$C$12,12,31),Summary!$C$15))*('Dvd Calendar'!$M$40&lt;=Summary!$C$11)=0,"",'Dvd Calendar'!$M$40*1000000000+ISNUMBER('Dvd Calendar'!$M$41)*100000000+('Dvd Calendar'!$M$45='Field Check'!$C$25)*10000000+(N('Dvd Calendar'!$M$39)&gt;0)*1000000+3*1000+9))</f>
        <v/>
      </c>
      <c r="L11" s="41">
        <f>IF(N('Dvd Calendar'!$N$40)=0,"",IF(('Dvd Calendar'!$N$40&gt;=MIN(DATE(Summary!$C$12,1,1),Summary!$C$11))*('Dvd Calendar'!$N$40&lt;=MAX(DATE(Summary!$C$12,12,31),Summary!$C$15))*('Dvd Calendar'!$N$40&lt;=Summary!$C$11)=0,"",'Dvd Calendar'!$N$40*1000000000+ISNUMBER('Dvd Calendar'!$N$41)*100000000+('Dvd Calendar'!$N$45='Field Check'!$C$25)*10000000+(N('Dvd Calendar'!$N$39)&gt;0)*1000000+3*1000+10))</f>
        <v/>
      </c>
      <c r="M11" s="41">
        <f>IF(N('Dvd Calendar'!$O$40)=0,"",IF(('Dvd Calendar'!$O$40&gt;=MIN(DATE(Summary!$C$12,1,1),Summary!$C$11))*('Dvd Calendar'!$O$40&lt;=MAX(DATE(Summary!$C$12,12,31),Summary!$C$15))*('Dvd Calendar'!$O$40&lt;=Summary!$C$11)=0,"",'Dvd Calendar'!$O$40*1000000000+ISNUMBER('Dvd Calendar'!$O$41)*100000000+('Dvd Calendar'!$O$45='Field Check'!$C$25)*10000000+(N('Dvd Calendar'!$O$39)&gt;0)*1000000+3*1000+11))</f>
        <v/>
      </c>
      <c r="N11" s="41">
        <f>IF(N('Dvd Calendar'!$P$40)=0,"",IF(('Dvd Calendar'!$P$40&gt;=MIN(DATE(Summary!$C$12,1,1),Summary!$C$11))*('Dvd Calendar'!$P$40&lt;=MAX(DATE(Summary!$C$12,12,31),Summary!$C$15))*('Dvd Calendar'!$P$40&lt;=Summary!$C$11)=0,"",'Dvd Calendar'!$P$40*1000000000+ISNUMBER('Dvd Calendar'!$P$41)*100000000+('Dvd Calendar'!$P$45='Field Check'!$C$25)*10000000+(N('Dvd Calendar'!$P$39)&gt;0)*1000000+3*1000+12))</f>
        <v/>
      </c>
      <c r="O11" s="41">
        <f>IF(N('Dvd Calendar'!$Q$40)=0,"",IF(('Dvd Calendar'!$Q$40&gt;=MIN(DATE(Summary!$C$12,1,1),Summary!$C$11))*('Dvd Calendar'!$Q$40&lt;=MAX(DATE(Summary!$C$12,12,31),Summary!$C$15))*('Dvd Calendar'!$Q$40&lt;=Summary!$C$11)=0,"",'Dvd Calendar'!$Q$40*1000000000+ISNUMBER('Dvd Calendar'!$Q$41)*100000000+('Dvd Calendar'!$Q$45='Field Check'!$C$25)*10000000+(N('Dvd Calendar'!$Q$39)&gt;0)*1000000+3*1000+13))</f>
        <v/>
      </c>
      <c r="P11" s="41">
        <f>IF(N('Dvd Calendar'!$R$40)=0,"",IF(('Dvd Calendar'!$R$40&gt;=MIN(DATE(Summary!$C$12,1,1),Summary!$C$11))*('Dvd Calendar'!$R$40&lt;=MAX(DATE(Summary!$C$12,12,31),Summary!$C$15))*('Dvd Calendar'!$R$40&lt;=Summary!$C$11)=0,"",'Dvd Calendar'!$R$40*1000000000+ISNUMBER('Dvd Calendar'!$R$41)*100000000+('Dvd Calendar'!$R$45='Field Check'!$C$25)*10000000+(N('Dvd Calendar'!$R$39)&gt;0)*1000000+3*1000+14))</f>
        <v/>
      </c>
      <c r="Q11" s="41">
        <f>IF(N('Dvd Calendar'!$S$40)=0,"",IF(('Dvd Calendar'!$S$40&gt;=MIN(DATE(Summary!$C$12,1,1),Summary!$C$11))*('Dvd Calendar'!$S$40&lt;=MAX(DATE(Summary!$C$12,12,31),Summary!$C$15))*('Dvd Calendar'!$S$40&lt;=Summary!$C$11)=0,"",'Dvd Calendar'!$S$40*1000000000+ISNUMBER('Dvd Calendar'!$S$41)*100000000+('Dvd Calendar'!$S$45='Field Check'!$C$25)*10000000+(N('Dvd Calendar'!$S$39)&gt;0)*1000000+3*1000+15))</f>
        <v/>
      </c>
      <c r="R11" s="41">
        <f>IF(N('Dvd Calendar'!$T$40)=0,"",IF(('Dvd Calendar'!$T$40&gt;=MIN(DATE(Summary!$C$12,1,1),Summary!$C$11))*('Dvd Calendar'!$T$40&lt;=MAX(DATE(Summary!$C$12,12,31),Summary!$C$15))*('Dvd Calendar'!$T$40&lt;=Summary!$C$11)=0,"",'Dvd Calendar'!$T$40*1000000000+ISNUMBER('Dvd Calendar'!$T$41)*100000000+('Dvd Calendar'!$T$45='Field Check'!$C$25)*10000000+(N('Dvd Calendar'!$T$39)&gt;0)*1000000+3*1000+16))</f>
        <v/>
      </c>
      <c r="S11" s="41">
        <f>IF(N('Dvd Calendar'!$U$40)=0,"",IF(('Dvd Calendar'!$U$40&gt;=MIN(DATE(Summary!$C$12,1,1),Summary!$C$11))*('Dvd Calendar'!$U$40&lt;=MAX(DATE(Summary!$C$12,12,31),Summary!$C$15))*('Dvd Calendar'!$U$40&lt;=Summary!$C$11)=0,"",'Dvd Calendar'!$U$40*1000000000+ISNUMBER('Dvd Calendar'!$U$41)*100000000+('Dvd Calendar'!$U$45='Field Check'!$C$25)*10000000+(N('Dvd Calendar'!$U$39)&gt;0)*1000000+3*1000+17))</f>
        <v/>
      </c>
      <c r="T11" s="41">
        <f>IF(N('Dvd Calendar'!$V$40)=0,"",IF(('Dvd Calendar'!$V$40&gt;=MIN(DATE(Summary!$C$12,1,1),Summary!$C$11))*('Dvd Calendar'!$V$40&lt;=MAX(DATE(Summary!$C$12,12,31),Summary!$C$15))*('Dvd Calendar'!$V$40&lt;=Summary!$C$11)=0,"",'Dvd Calendar'!$V$40*1000000000+ISNUMBER('Dvd Calendar'!$V$41)*100000000+('Dvd Calendar'!$V$45='Field Check'!$C$25)*10000000+(N('Dvd Calendar'!$V$39)&gt;0)*1000000+3*1000+18))</f>
        <v/>
      </c>
      <c r="U11" s="41">
        <f>IF(N('Dvd Calendar'!$W$40)=0,"",IF(('Dvd Calendar'!$W$40&gt;=MIN(DATE(Summary!$C$12,1,1),Summary!$C$11))*('Dvd Calendar'!$W$40&lt;=MAX(DATE(Summary!$C$12,12,31),Summary!$C$15))*('Dvd Calendar'!$W$40&lt;=Summary!$C$11)=0,"",'Dvd Calendar'!$W$40*1000000000+ISNUMBER('Dvd Calendar'!$W$41)*100000000+('Dvd Calendar'!$W$45='Field Check'!$C$25)*10000000+(N('Dvd Calendar'!$W$39)&gt;0)*1000000+3*1000+19))</f>
        <v/>
      </c>
      <c r="V11" s="41">
        <f>IF(N('Dvd Calendar'!$X$40)=0,"",IF(('Dvd Calendar'!$X$40&gt;=MIN(DATE(Summary!$C$12,1,1),Summary!$C$11))*('Dvd Calendar'!$X$40&lt;=MAX(DATE(Summary!$C$12,12,31),Summary!$C$15))*('Dvd Calendar'!$X$40&lt;=Summary!$C$11)=0,"",'Dvd Calendar'!$X$40*1000000000+ISNUMBER('Dvd Calendar'!$X$41)*100000000+('Dvd Calendar'!$X$45='Field Check'!$C$25)*10000000+(N('Dvd Calendar'!$X$39)&gt;0)*1000000+3*1000+20))</f>
        <v/>
      </c>
      <c r="W11" s="41">
        <f>IF(N('Dvd Calendar'!$Y$40)=0,"",IF(('Dvd Calendar'!$Y$40&gt;=MIN(DATE(Summary!$C$12,1,1),Summary!$C$11))*('Dvd Calendar'!$Y$40&lt;=MAX(DATE(Summary!$C$12,12,31),Summary!$C$15))*('Dvd Calendar'!$Y$40&lt;=Summary!$C$11)=0,"",'Dvd Calendar'!$Y$40*1000000000+ISNUMBER('Dvd Calendar'!$Y$41)*100000000+('Dvd Calendar'!$Y$45='Field Check'!$C$25)*10000000+(N('Dvd Calendar'!$Y$39)&gt;0)*1000000+3*1000+21))</f>
        <v/>
      </c>
      <c r="X11" s="41">
        <f>IF(N('Dvd Calendar'!$Z$40)=0,"",IF(('Dvd Calendar'!$Z$40&gt;=MIN(DATE(Summary!$C$12,1,1),Summary!$C$11))*('Dvd Calendar'!$Z$40&lt;=MAX(DATE(Summary!$C$12,12,31),Summary!$C$15))*('Dvd Calendar'!$Z$40&lt;=Summary!$C$11)=0,"",'Dvd Calendar'!$Z$40*1000000000+ISNUMBER('Dvd Calendar'!$Z$41)*100000000+('Dvd Calendar'!$Z$45='Field Check'!$C$25)*10000000+(N('Dvd Calendar'!$Z$39)&gt;0)*1000000+3*1000+22))</f>
        <v/>
      </c>
      <c r="Y11" s="41">
        <f>IF(N('Dvd Calendar'!$AA$40)=0,"",IF(('Dvd Calendar'!$AA$40&gt;=MIN(DATE(Summary!$C$12,1,1),Summary!$C$11))*('Dvd Calendar'!$AA$40&lt;=MAX(DATE(Summary!$C$12,12,31),Summary!$C$15))*('Dvd Calendar'!$AA$40&lt;=Summary!$C$11)=0,"",'Dvd Calendar'!$AA$40*1000000000+ISNUMBER('Dvd Calendar'!$AA$41)*100000000+('Dvd Calendar'!$AA$45='Field Check'!$C$25)*10000000+(N('Dvd Calendar'!$AA$39)&gt;0)*1000000+3*1000+23))</f>
        <v/>
      </c>
      <c r="Z11" s="41">
        <f>IF(N('Dvd Calendar'!$AB$40)=0,"",IF(('Dvd Calendar'!$AB$40&gt;=MIN(DATE(Summary!$C$12,1,1),Summary!$C$11))*('Dvd Calendar'!$AB$40&lt;=MAX(DATE(Summary!$C$12,12,31),Summary!$C$15))*('Dvd Calendar'!$AB$40&lt;=Summary!$C$11)=0,"",'Dvd Calendar'!$AB$40*1000000000+ISNUMBER('Dvd Calendar'!$AB$41)*100000000+('Dvd Calendar'!$AB$45='Field Check'!$C$25)*10000000+(N('Dvd Calendar'!$AB$39)&gt;0)*1000000+3*1000+24))</f>
        <v/>
      </c>
      <c r="AA11" s="41">
        <f>IF(N('Dvd Calendar'!$AC$40)=0,"",IF(('Dvd Calendar'!$AC$40&gt;=MIN(DATE(Summary!$C$12,1,1),Summary!$C$11))*('Dvd Calendar'!$AC$40&lt;=MAX(DATE(Summary!$C$12,12,31),Summary!$C$15))*('Dvd Calendar'!$AC$40&lt;=Summary!$C$11)=0,"",'Dvd Calendar'!$AC$40*1000000000+ISNUMBER('Dvd Calendar'!$AC$41)*100000000+('Dvd Calendar'!$AC$45='Field Check'!$C$25)*10000000+(N('Dvd Calendar'!$AC$39)&gt;0)*1000000+3*1000+25))</f>
        <v/>
      </c>
      <c r="AB11" s="41">
        <f>IF(N('Dvd Calendar'!$AD$40)=0,"",IF(('Dvd Calendar'!$AD$40&gt;=MIN(DATE(Summary!$C$12,1,1),Summary!$C$11))*('Dvd Calendar'!$AD$40&lt;=MAX(DATE(Summary!$C$12,12,31),Summary!$C$15))*('Dvd Calendar'!$AD$40&lt;=Summary!$C$11)=0,"",'Dvd Calendar'!$AD$40*1000000000+ISNUMBER('Dvd Calendar'!$AD$41)*100000000+('Dvd Calendar'!$AD$45='Field Check'!$C$25)*10000000+(N('Dvd Calendar'!$AD$39)&gt;0)*1000000+3*1000+26))</f>
        <v/>
      </c>
      <c r="AC11" s="41">
        <f>IF(N('Dvd Calendar'!$AE$40)=0,"",IF(('Dvd Calendar'!$AE$40&gt;=MIN(DATE(Summary!$C$12,1,1),Summary!$C$11))*('Dvd Calendar'!$AE$40&lt;=MAX(DATE(Summary!$C$12,12,31),Summary!$C$15))*('Dvd Calendar'!$AE$40&lt;=Summary!$C$11)=0,"",'Dvd Calendar'!$AE$40*1000000000+ISNUMBER('Dvd Calendar'!$AE$41)*100000000+('Dvd Calendar'!$AE$45='Field Check'!$C$25)*10000000+(N('Dvd Calendar'!$AE$39)&gt;0)*1000000+3*1000+27))</f>
        <v/>
      </c>
      <c r="AD11" s="41">
        <f>IF(N('Dvd Calendar'!$AF$40)=0,"",IF(('Dvd Calendar'!$AF$40&gt;=MIN(DATE(Summary!$C$12,1,1),Summary!$C$11))*('Dvd Calendar'!$AF$40&lt;=MAX(DATE(Summary!$C$12,12,31),Summary!$C$15))*('Dvd Calendar'!$AF$40&lt;=Summary!$C$11)=0,"",'Dvd Calendar'!$AF$40*1000000000+ISNUMBER('Dvd Calendar'!$AF$41)*100000000+('Dvd Calendar'!$AF$45='Field Check'!$C$25)*10000000+(N('Dvd Calendar'!$AF$39)&gt;0)*1000000+3*1000+28))</f>
        <v/>
      </c>
      <c r="AE11" s="41">
        <f>IF(N('Dvd Calendar'!$AG$40)=0,"",IF(('Dvd Calendar'!$AG$40&gt;=MIN(DATE(Summary!$C$12,1,1),Summary!$C$11))*('Dvd Calendar'!$AG$40&lt;=MAX(DATE(Summary!$C$12,12,31),Summary!$C$15))*('Dvd Calendar'!$AG$40&lt;=Summary!$C$11)=0,"",'Dvd Calendar'!$AG$40*1000000000+ISNUMBER('Dvd Calendar'!$AG$41)*100000000+('Dvd Calendar'!$AG$45='Field Check'!$C$25)*10000000+(N('Dvd Calendar'!$AG$39)&gt;0)*1000000+3*1000+29))</f>
        <v/>
      </c>
      <c r="AF11" s="41">
        <f>IF(N('Dvd Calendar'!$AH$40)=0,"",IF(('Dvd Calendar'!$AH$40&gt;=MIN(DATE(Summary!$C$12,1,1),Summary!$C$11))*('Dvd Calendar'!$AH$40&lt;=MAX(DATE(Summary!$C$12,12,31),Summary!$C$15))*('Dvd Calendar'!$AH$40&lt;=Summary!$C$11)=0,"",'Dvd Calendar'!$AH$40*1000000000+ISNUMBER('Dvd Calendar'!$AH$41)*100000000+('Dvd Calendar'!$AH$45='Field Check'!$C$25)*10000000+(N('Dvd Calendar'!$AH$39)&gt;0)*1000000+3*1000+30))</f>
        <v/>
      </c>
      <c r="AG11" s="41">
        <f>IF(N('Dvd Calendar'!$AI$40)=0,"",IF(('Dvd Calendar'!$AI$40&gt;=MIN(DATE(Summary!$C$12,1,1),Summary!$C$11))*('Dvd Calendar'!$AI$40&lt;=MAX(DATE(Summary!$C$12,12,31),Summary!$C$15))*('Dvd Calendar'!$AI$40&lt;=Summary!$C$11)=0,"",'Dvd Calendar'!$AI$40*1000000000+ISNUMBER('Dvd Calendar'!$AI$41)*100000000+('Dvd Calendar'!$AI$45='Field Check'!$C$25)*10000000+(N('Dvd Calendar'!$AI$39)&gt;0)*1000000+3*1000+31))</f>
        <v/>
      </c>
      <c r="AH11" s="41">
        <f>IF(N('Dvd Calendar'!$AJ$40)=0,"",IF(('Dvd Calendar'!$AJ$40&gt;=MIN(DATE(Summary!$C$12,1,1),Summary!$C$11))*('Dvd Calendar'!$AJ$40&lt;=MAX(DATE(Summary!$C$12,12,31),Summary!$C$15))*('Dvd Calendar'!$AJ$40&lt;=Summary!$C$11)=0,"",'Dvd Calendar'!$AJ$40*1000000000+ISNUMBER('Dvd Calendar'!$AJ$41)*100000000+('Dvd Calendar'!$AJ$45='Field Check'!$C$25)*10000000+(N('Dvd Calendar'!$AJ$39)&gt;0)*1000000+3*1000+32))</f>
        <v/>
      </c>
      <c r="AI11" s="41">
        <f>IF(N('Dvd Calendar'!$AK$40)=0,"",IF(('Dvd Calendar'!$AK$40&gt;=MIN(DATE(Summary!$C$12,1,1),Summary!$C$11))*('Dvd Calendar'!$AK$40&lt;=MAX(DATE(Summary!$C$12,12,31),Summary!$C$15))*('Dvd Calendar'!$AK$40&lt;=Summary!$C$11)=0,"",'Dvd Calendar'!$AK$40*1000000000+ISNUMBER('Dvd Calendar'!$AK$41)*100000000+('Dvd Calendar'!$AK$45='Field Check'!$C$25)*10000000+(N('Dvd Calendar'!$AK$39)&gt;0)*1000000+3*1000+33))</f>
        <v/>
      </c>
      <c r="AJ11" s="41">
        <f>IF(N('Dvd Calendar'!$AL$40)=0,"",IF(('Dvd Calendar'!$AL$40&gt;=MIN(DATE(Summary!$C$12,1,1),Summary!$C$11))*('Dvd Calendar'!$AL$40&lt;=MAX(DATE(Summary!$C$12,12,31),Summary!$C$15))*('Dvd Calendar'!$AL$40&lt;=Summary!$C$11)=0,"",'Dvd Calendar'!$AL$40*1000000000+ISNUMBER('Dvd Calendar'!$AL$41)*100000000+('Dvd Calendar'!$AL$45='Field Check'!$C$25)*10000000+(N('Dvd Calendar'!$AL$39)&gt;0)*1000000+3*1000+34))</f>
        <v/>
      </c>
      <c r="AK11" s="41">
        <f>IF(N('Dvd Calendar'!$AM$40)=0,"",IF(('Dvd Calendar'!$AM$40&gt;=MIN(DATE(Summary!$C$12,1,1),Summary!$C$11))*('Dvd Calendar'!$AM$40&lt;=MAX(DATE(Summary!$C$12,12,31),Summary!$C$15))*('Dvd Calendar'!$AM$40&lt;=Summary!$C$11)=0,"",'Dvd Calendar'!$AM$40*1000000000+ISNUMBER('Dvd Calendar'!$AM$41)*100000000+('Dvd Calendar'!$AM$45='Field Check'!$C$25)*10000000+(N('Dvd Calendar'!$AM$39)&gt;0)*1000000+3*1000+35))</f>
        <v/>
      </c>
      <c r="AL11" s="41">
        <f>IF(N('Dvd Calendar'!$AN$40)=0,"",IF(('Dvd Calendar'!$AN$40&gt;=MIN(DATE(Summary!$C$12,1,1),Summary!$C$11))*('Dvd Calendar'!$AN$40&lt;=MAX(DATE(Summary!$C$12,12,31),Summary!$C$15))*('Dvd Calendar'!$AN$40&lt;=Summary!$C$11)=0,"",'Dvd Calendar'!$AN$40*1000000000+ISNUMBER('Dvd Calendar'!$AN$41)*100000000+('Dvd Calendar'!$AN$45='Field Check'!$C$25)*10000000+(N('Dvd Calendar'!$AN$39)&gt;0)*1000000+3*1000+36))</f>
        <v/>
      </c>
      <c r="AM11" s="41">
        <f>IF(N('Dvd Calendar'!$AO$40)=0,"",IF(('Dvd Calendar'!$AO$40&gt;=MIN(DATE(Summary!$C$12,1,1),Summary!$C$11))*('Dvd Calendar'!$AO$40&lt;=MAX(DATE(Summary!$C$12,12,31),Summary!$C$15))*('Dvd Calendar'!$AO$40&lt;=Summary!$C$11)=0,"",'Dvd Calendar'!$AO$40*1000000000+ISNUMBER('Dvd Calendar'!$AO$41)*100000000+('Dvd Calendar'!$AO$45='Field Check'!$C$25)*10000000+(N('Dvd Calendar'!$AO$39)&gt;0)*1000000+3*1000+37))</f>
        <v/>
      </c>
      <c r="AN11" s="41">
        <f>IF(N('Dvd Calendar'!$AP$40)=0,"",IF(('Dvd Calendar'!$AP$40&gt;=MIN(DATE(Summary!$C$12,1,1),Summary!$C$11))*('Dvd Calendar'!$AP$40&lt;=MAX(DATE(Summary!$C$12,12,31),Summary!$C$15))*('Dvd Calendar'!$AP$40&lt;=Summary!$C$11)=0,"",'Dvd Calendar'!$AP$40*1000000000+ISNUMBER('Dvd Calendar'!$AP$41)*100000000+('Dvd Calendar'!$AP$45='Field Check'!$C$25)*10000000+(N('Dvd Calendar'!$AP$39)&gt;0)*1000000+3*1000+38))</f>
        <v/>
      </c>
      <c r="AO11" s="41">
        <f>IF(N('Dvd Calendar'!$AQ$40)=0,"",IF(('Dvd Calendar'!$AQ$40&gt;=MIN(DATE(Summary!$C$12,1,1),Summary!$C$11))*('Dvd Calendar'!$AQ$40&lt;=MAX(DATE(Summary!$C$12,12,31),Summary!$C$15))*('Dvd Calendar'!$AQ$40&lt;=Summary!$C$11)=0,"",'Dvd Calendar'!$AQ$40*1000000000+ISNUMBER('Dvd Calendar'!$AQ$41)*100000000+('Dvd Calendar'!$AQ$45='Field Check'!$C$25)*10000000+(N('Dvd Calendar'!$AQ$39)&gt;0)*1000000+3*1000+39))</f>
        <v/>
      </c>
      <c r="AP11" s="41">
        <f>IF(N('Dvd Calendar'!$AR$40)=0,"",IF(('Dvd Calendar'!$AR$40&gt;=MIN(DATE(Summary!$C$12,1,1),Summary!$C$11))*('Dvd Calendar'!$AR$40&lt;=MAX(DATE(Summary!$C$12,12,31),Summary!$C$15))*('Dvd Calendar'!$AR$40&lt;=Summary!$C$11)=0,"",'Dvd Calendar'!$AR$40*1000000000+ISNUMBER('Dvd Calendar'!$AR$41)*100000000+('Dvd Calendar'!$AR$45='Field Check'!$C$25)*10000000+(N('Dvd Calendar'!$AR$39)&gt;0)*1000000+3*1000+40))</f>
        <v/>
      </c>
      <c r="AQ11" s="41">
        <f>IF(N('Dvd Calendar'!$E$47)=0,"",IF(('Dvd Calendar'!$E$47&gt;=MIN(DATE(Summary!$C$12,1,1),Summary!$C$11))*('Dvd Calendar'!$E$47&lt;=MAX(DATE(Summary!$C$12,12,31),Summary!$C$15))*('Dvd Calendar'!$E$47&gt;Summary!$C$11)=0,"",'Dvd Calendar'!$E$47*1000000000+ISNUMBER('Dvd Calendar'!$E$48)*100000000+('Dvd Calendar'!$E$52='Field Check'!$C$25)*10000000+(N('Dvd Calendar'!$E$46)&gt;0)*1000000+3*1000+41))</f>
        <v/>
      </c>
      <c r="AR11" s="41">
        <f>IF(N('Dvd Calendar'!$F$47)=0,"",IF(('Dvd Calendar'!$F$47&gt;=MIN(DATE(Summary!$C$12,1,1),Summary!$C$11))*('Dvd Calendar'!$F$47&lt;=MAX(DATE(Summary!$C$12,12,31),Summary!$C$15))*('Dvd Calendar'!$F$47&gt;Summary!$C$11)=0,"",'Dvd Calendar'!$F$47*1000000000+ISNUMBER('Dvd Calendar'!$F$48)*100000000+('Dvd Calendar'!$F$52='Field Check'!$C$25)*10000000+(N('Dvd Calendar'!$F$46)&gt;0)*1000000+3*1000+42))</f>
        <v/>
      </c>
      <c r="AS11" s="41">
        <f>IF(N('Dvd Calendar'!$G$47)=0,"",IF(('Dvd Calendar'!$G$47&gt;=MIN(DATE(Summary!$C$12,1,1),Summary!$C$11))*('Dvd Calendar'!$G$47&lt;=MAX(DATE(Summary!$C$12,12,31),Summary!$C$15))*('Dvd Calendar'!$G$47&gt;Summary!$C$11)=0,"",'Dvd Calendar'!$G$47*1000000000+ISNUMBER('Dvd Calendar'!$G$48)*100000000+('Dvd Calendar'!$G$52='Field Check'!$C$25)*10000000+(N('Dvd Calendar'!$G$46)&gt;0)*1000000+3*1000+43))</f>
        <v/>
      </c>
      <c r="AT11" s="41">
        <f>IF(N('Dvd Calendar'!$H$47)=0,"",IF(('Dvd Calendar'!$H$47&gt;=MIN(DATE(Summary!$C$12,1,1),Summary!$C$11))*('Dvd Calendar'!$H$47&lt;=MAX(DATE(Summary!$C$12,12,31),Summary!$C$15))*('Dvd Calendar'!$H$47&gt;Summary!$C$11)=0,"",'Dvd Calendar'!$H$47*1000000000+ISNUMBER('Dvd Calendar'!$H$48)*100000000+('Dvd Calendar'!$H$52='Field Check'!$C$25)*10000000+(N('Dvd Calendar'!$H$46)&gt;0)*1000000+3*1000+44))</f>
        <v/>
      </c>
      <c r="AU11" s="41">
        <f>IF(N('Dvd Calendar'!$I$47)=0,"",IF(('Dvd Calendar'!$I$47&gt;=MIN(DATE(Summary!$C$12,1,1),Summary!$C$11))*('Dvd Calendar'!$I$47&lt;=MAX(DATE(Summary!$C$12,12,31),Summary!$C$15))*('Dvd Calendar'!$I$47&gt;Summary!$C$11)=0,"",'Dvd Calendar'!$I$47*1000000000+ISNUMBER('Dvd Calendar'!$I$48)*100000000+('Dvd Calendar'!$I$52='Field Check'!$C$25)*10000000+(N('Dvd Calendar'!$I$46)&gt;0)*1000000+3*1000+45))</f>
        <v/>
      </c>
      <c r="AV11" s="41">
        <f>IF(N('Dvd Calendar'!$J$47)=0,"",IF(('Dvd Calendar'!$J$47&gt;=MIN(DATE(Summary!$C$12,1,1),Summary!$C$11))*('Dvd Calendar'!$J$47&lt;=MAX(DATE(Summary!$C$12,12,31),Summary!$C$15))*('Dvd Calendar'!$J$47&gt;Summary!$C$11)=0,"",'Dvd Calendar'!$J$47*1000000000+ISNUMBER('Dvd Calendar'!$J$48)*100000000+('Dvd Calendar'!$J$52='Field Check'!$C$25)*10000000+(N('Dvd Calendar'!$J$46)&gt;0)*1000000+3*1000+46))</f>
        <v/>
      </c>
      <c r="AW11" s="41">
        <f>IF(N('Dvd Calendar'!$K$47)=0,"",IF(('Dvd Calendar'!$K$47&gt;=MIN(DATE(Summary!$C$12,1,1),Summary!$C$11))*('Dvd Calendar'!$K$47&lt;=MAX(DATE(Summary!$C$12,12,31),Summary!$C$15))*('Dvd Calendar'!$K$47&gt;Summary!$C$11)=0,"",'Dvd Calendar'!$K$47*1000000000+ISNUMBER('Dvd Calendar'!$K$48)*100000000+('Dvd Calendar'!$K$52='Field Check'!$C$25)*10000000+(N('Dvd Calendar'!$K$46)&gt;0)*1000000+3*1000+47))</f>
        <v/>
      </c>
      <c r="AX11" s="41">
        <f>IF(N('Dvd Calendar'!$L$47)=0,"",IF(('Dvd Calendar'!$L$47&gt;=MIN(DATE(Summary!$C$12,1,1),Summary!$C$11))*('Dvd Calendar'!$L$47&lt;=MAX(DATE(Summary!$C$12,12,31),Summary!$C$15))*('Dvd Calendar'!$L$47&gt;Summary!$C$11)=0,"",'Dvd Calendar'!$L$47*1000000000+ISNUMBER('Dvd Calendar'!$L$48)*100000000+('Dvd Calendar'!$L$52='Field Check'!$C$25)*10000000+(N('Dvd Calendar'!$L$46)&gt;0)*1000000+3*1000+48))</f>
        <v/>
      </c>
      <c r="AY11" s="41">
        <f>IF(N('Dvd Calendar'!$M$47)=0,"",IF(('Dvd Calendar'!$M$47&gt;=MIN(DATE(Summary!$C$12,1,1),Summary!$C$11))*('Dvd Calendar'!$M$47&lt;=MAX(DATE(Summary!$C$12,12,31),Summary!$C$15))*('Dvd Calendar'!$M$47&gt;Summary!$C$11)=0,"",'Dvd Calendar'!$M$47*1000000000+ISNUMBER('Dvd Calendar'!$M$48)*100000000+('Dvd Calendar'!$M$52='Field Check'!$C$25)*10000000+(N('Dvd Calendar'!$M$46)&gt;0)*1000000+3*1000+49))</f>
        <v/>
      </c>
      <c r="AZ11" s="41">
        <f>IF(N('Dvd Calendar'!$N$47)=0,"",IF(('Dvd Calendar'!$N$47&gt;=MIN(DATE(Summary!$C$12,1,1),Summary!$C$11))*('Dvd Calendar'!$N$47&lt;=MAX(DATE(Summary!$C$12,12,31),Summary!$C$15))*('Dvd Calendar'!$N$47&gt;Summary!$C$11)=0,"",'Dvd Calendar'!$N$47*1000000000+ISNUMBER('Dvd Calendar'!$N$48)*100000000+('Dvd Calendar'!$N$52='Field Check'!$C$25)*10000000+(N('Dvd Calendar'!$N$46)&gt;0)*1000000+3*1000+50))</f>
        <v/>
      </c>
      <c r="BA11" s="41">
        <f>IF(N('Dvd Calendar'!$O$47)=0,"",IF(('Dvd Calendar'!$O$47&gt;=MIN(DATE(Summary!$C$12,1,1),Summary!$C$11))*('Dvd Calendar'!$O$47&lt;=MAX(DATE(Summary!$C$12,12,31),Summary!$C$15))*('Dvd Calendar'!$O$47&gt;Summary!$C$11)=0,"",'Dvd Calendar'!$O$47*1000000000+ISNUMBER('Dvd Calendar'!$O$48)*100000000+('Dvd Calendar'!$O$52='Field Check'!$C$25)*10000000+(N('Dvd Calendar'!$O$46)&gt;0)*1000000+3*1000+51))</f>
        <v/>
      </c>
      <c r="BB11" s="41">
        <f>IF(N('Dvd Calendar'!$P$47)=0,"",IF(('Dvd Calendar'!$P$47&gt;=MIN(DATE(Summary!$C$12,1,1),Summary!$C$11))*('Dvd Calendar'!$P$47&lt;=MAX(DATE(Summary!$C$12,12,31),Summary!$C$15))*('Dvd Calendar'!$P$47&gt;Summary!$C$11)=0,"",'Dvd Calendar'!$P$47*1000000000+ISNUMBER('Dvd Calendar'!$P$48)*100000000+('Dvd Calendar'!$P$52='Field Check'!$C$25)*10000000+(N('Dvd Calendar'!$P$46)&gt;0)*1000000+3*1000+52))</f>
        <v/>
      </c>
      <c r="BC11" s="41">
        <f>IF(N('Dvd Calendar'!$Q$47)=0,"",IF(('Dvd Calendar'!$Q$47&gt;=MIN(DATE(Summary!$C$12,1,1),Summary!$C$11))*('Dvd Calendar'!$Q$47&lt;=MAX(DATE(Summary!$C$12,12,31),Summary!$C$15))*('Dvd Calendar'!$Q$47&gt;Summary!$C$11)=0,"",'Dvd Calendar'!$Q$47*1000000000+ISNUMBER('Dvd Calendar'!$Q$48)*100000000+('Dvd Calendar'!$Q$52='Field Check'!$C$25)*10000000+(N('Dvd Calendar'!$Q$46)&gt;0)*1000000+3*1000+53))</f>
        <v/>
      </c>
      <c r="BD11" s="41">
        <f>IF(N('Dvd Calendar'!$R$47)=0,"",IF(('Dvd Calendar'!$R$47&gt;=MIN(DATE(Summary!$C$12,1,1),Summary!$C$11))*('Dvd Calendar'!$R$47&lt;=MAX(DATE(Summary!$C$12,12,31),Summary!$C$15))*('Dvd Calendar'!$R$47&gt;Summary!$C$11)=0,"",'Dvd Calendar'!$R$47*1000000000+ISNUMBER('Dvd Calendar'!$R$48)*100000000+('Dvd Calendar'!$R$52='Field Check'!$C$25)*10000000+(N('Dvd Calendar'!$R$46)&gt;0)*1000000+3*1000+54))</f>
        <v/>
      </c>
      <c r="BE11" s="41">
        <f>IF(N('Dvd Calendar'!$S$47)=0,"",IF(('Dvd Calendar'!$S$47&gt;=MIN(DATE(Summary!$C$12,1,1),Summary!$C$11))*('Dvd Calendar'!$S$47&lt;=MAX(DATE(Summary!$C$12,12,31),Summary!$C$15))*('Dvd Calendar'!$S$47&gt;Summary!$C$11)=0,"",'Dvd Calendar'!$S$47*1000000000+ISNUMBER('Dvd Calendar'!$S$48)*100000000+('Dvd Calendar'!$S$52='Field Check'!$C$25)*10000000+(N('Dvd Calendar'!$S$46)&gt;0)*1000000+3*1000+55))</f>
        <v/>
      </c>
      <c r="BF11" s="41">
        <f>IF(N('Dvd Calendar'!$T$47)=0,"",IF(('Dvd Calendar'!$T$47&gt;=MIN(DATE(Summary!$C$12,1,1),Summary!$C$11))*('Dvd Calendar'!$T$47&lt;=MAX(DATE(Summary!$C$12,12,31),Summary!$C$15))*('Dvd Calendar'!$T$47&gt;Summary!$C$11)=0,"",'Dvd Calendar'!$T$47*1000000000+ISNUMBER('Dvd Calendar'!$T$48)*100000000+('Dvd Calendar'!$T$52='Field Check'!$C$25)*10000000+(N('Dvd Calendar'!$T$46)&gt;0)*1000000+3*1000+56))</f>
        <v/>
      </c>
      <c r="BG11" s="41">
        <f>IF(N('Dvd Calendar'!$U$47)=0,"",IF(('Dvd Calendar'!$U$47&gt;=MIN(DATE(Summary!$C$12,1,1),Summary!$C$11))*('Dvd Calendar'!$U$47&lt;=MAX(DATE(Summary!$C$12,12,31),Summary!$C$15))*('Dvd Calendar'!$U$47&gt;Summary!$C$11)=0,"",'Dvd Calendar'!$U$47*1000000000+ISNUMBER('Dvd Calendar'!$U$48)*100000000+('Dvd Calendar'!$U$52='Field Check'!$C$25)*10000000+(N('Dvd Calendar'!$U$46)&gt;0)*1000000+3*1000+57))</f>
        <v/>
      </c>
      <c r="BH11" s="41">
        <f>IF(N('Dvd Calendar'!$V$47)=0,"",IF(('Dvd Calendar'!$V$47&gt;=MIN(DATE(Summary!$C$12,1,1),Summary!$C$11))*('Dvd Calendar'!$V$47&lt;=MAX(DATE(Summary!$C$12,12,31),Summary!$C$15))*('Dvd Calendar'!$V$47&gt;Summary!$C$11)=0,"",'Dvd Calendar'!$V$47*1000000000+ISNUMBER('Dvd Calendar'!$V$48)*100000000+('Dvd Calendar'!$V$52='Field Check'!$C$25)*10000000+(N('Dvd Calendar'!$V$46)&gt;0)*1000000+3*1000+58))</f>
        <v/>
      </c>
      <c r="BI11" s="41">
        <f>IF(N('Dvd Calendar'!$W$47)=0,"",IF(('Dvd Calendar'!$W$47&gt;=MIN(DATE(Summary!$C$12,1,1),Summary!$C$11))*('Dvd Calendar'!$W$47&lt;=MAX(DATE(Summary!$C$12,12,31),Summary!$C$15))*('Dvd Calendar'!$W$47&gt;Summary!$C$11)=0,"",'Dvd Calendar'!$W$47*1000000000+ISNUMBER('Dvd Calendar'!$W$48)*100000000+('Dvd Calendar'!$W$52='Field Check'!$C$25)*10000000+(N('Dvd Calendar'!$W$46)&gt;0)*1000000+3*1000+59))</f>
        <v/>
      </c>
      <c r="BJ11" s="41">
        <f>IF(N('Dvd Calendar'!$X$47)=0,"",IF(('Dvd Calendar'!$X$47&gt;=MIN(DATE(Summary!$C$12,1,1),Summary!$C$11))*('Dvd Calendar'!$X$47&lt;=MAX(DATE(Summary!$C$12,12,31),Summary!$C$15))*('Dvd Calendar'!$X$47&gt;Summary!$C$11)=0,"",'Dvd Calendar'!$X$47*1000000000+ISNUMBER('Dvd Calendar'!$X$48)*100000000+('Dvd Calendar'!$X$52='Field Check'!$C$25)*10000000+(N('Dvd Calendar'!$X$46)&gt;0)*1000000+3*1000+60))</f>
        <v/>
      </c>
      <c r="BK11" s="41">
        <f>IF(N('Dvd Calendar'!$Y$47)=0,"",IF(('Dvd Calendar'!$Y$47&gt;=MIN(DATE(Summary!$C$12,1,1),Summary!$C$11))*('Dvd Calendar'!$Y$47&lt;=MAX(DATE(Summary!$C$12,12,31),Summary!$C$15))*('Dvd Calendar'!$Y$47&gt;Summary!$C$11)=0,"",'Dvd Calendar'!$Y$47*1000000000+ISNUMBER('Dvd Calendar'!$Y$48)*100000000+('Dvd Calendar'!$Y$52='Field Check'!$C$25)*10000000+(N('Dvd Calendar'!$Y$46)&gt;0)*1000000+3*1000+61))</f>
        <v/>
      </c>
      <c r="BL11" s="41">
        <f>IF(N('Dvd Calendar'!$Z$47)=0,"",IF(('Dvd Calendar'!$Z$47&gt;=MIN(DATE(Summary!$C$12,1,1),Summary!$C$11))*('Dvd Calendar'!$Z$47&lt;=MAX(DATE(Summary!$C$12,12,31),Summary!$C$15))*('Dvd Calendar'!$Z$47&gt;Summary!$C$11)=0,"",'Dvd Calendar'!$Z$47*1000000000+ISNUMBER('Dvd Calendar'!$Z$48)*100000000+('Dvd Calendar'!$Z$52='Field Check'!$C$25)*10000000+(N('Dvd Calendar'!$Z$46)&gt;0)*1000000+3*1000+62))</f>
        <v/>
      </c>
      <c r="BM11" s="41">
        <f>IF(N('Dvd Calendar'!$AA$47)=0,"",IF(('Dvd Calendar'!$AA$47&gt;=MIN(DATE(Summary!$C$12,1,1),Summary!$C$11))*('Dvd Calendar'!$AA$47&lt;=MAX(DATE(Summary!$C$12,12,31),Summary!$C$15))*('Dvd Calendar'!$AA$47&gt;Summary!$C$11)=0,"",'Dvd Calendar'!$AA$47*1000000000+ISNUMBER('Dvd Calendar'!$AA$48)*100000000+('Dvd Calendar'!$AA$52='Field Check'!$C$25)*10000000+(N('Dvd Calendar'!$AA$46)&gt;0)*1000000+3*1000+63))</f>
        <v/>
      </c>
      <c r="BN11" s="41">
        <f>IF(N('Dvd Calendar'!$AB$47)=0,"",IF(('Dvd Calendar'!$AB$47&gt;=MIN(DATE(Summary!$C$12,1,1),Summary!$C$11))*('Dvd Calendar'!$AB$47&lt;=MAX(DATE(Summary!$C$12,12,31),Summary!$C$15))*('Dvd Calendar'!$AB$47&gt;Summary!$C$11)=0,"",'Dvd Calendar'!$AB$47*1000000000+ISNUMBER('Dvd Calendar'!$AB$48)*100000000+('Dvd Calendar'!$AB$52='Field Check'!$C$25)*10000000+(N('Dvd Calendar'!$AB$46)&gt;0)*1000000+3*1000+64))</f>
        <v/>
      </c>
      <c r="BO11" s="41">
        <f>IF(N('Dvd Calendar'!$AC$47)=0,"",IF(('Dvd Calendar'!$AC$47&gt;=MIN(DATE(Summary!$C$12,1,1),Summary!$C$11))*('Dvd Calendar'!$AC$47&lt;=MAX(DATE(Summary!$C$12,12,31),Summary!$C$15))*('Dvd Calendar'!$AC$47&gt;Summary!$C$11)=0,"",'Dvd Calendar'!$AC$47*1000000000+ISNUMBER('Dvd Calendar'!$AC$48)*100000000+('Dvd Calendar'!$AC$52='Field Check'!$C$25)*10000000+(N('Dvd Calendar'!$AC$46)&gt;0)*1000000+3*1000+65))</f>
        <v/>
      </c>
      <c r="BQ11" s="85">
        <f>IF(C11="","",IF(ISNUMBER('Dvd Calendar'!$E$41)=FALSE,"",IF((Summary!$C$13="N")*('Dvd Calendar'!$E$45='Field Check'!$C$25)&gt;0,"",'Dvd Calendar'!$E$41)))</f>
        <v/>
      </c>
      <c r="BR11" s="85">
        <f>IF(D11="","",IF(ISNUMBER('Dvd Calendar'!$F$41)=FALSE,"",IF((Summary!$C$13="N")*('Dvd Calendar'!$F$45='Field Check'!$C$25)&gt;0,"",'Dvd Calendar'!$F$41)))</f>
        <v/>
      </c>
      <c r="BS11" s="85">
        <f>IF(E11="","",IF(ISNUMBER('Dvd Calendar'!$G$41)=FALSE,"",IF((Summary!$C$13="N")*('Dvd Calendar'!$G$45='Field Check'!$C$25)&gt;0,"",'Dvd Calendar'!$G$41)))</f>
        <v/>
      </c>
      <c r="BT11" s="85">
        <f>IF(F11="","",IF(ISNUMBER('Dvd Calendar'!$H$41)=FALSE,"",IF((Summary!$C$13="N")*('Dvd Calendar'!$H$45='Field Check'!$C$25)&gt;0,"",'Dvd Calendar'!$H$41)))</f>
        <v/>
      </c>
      <c r="BU11" s="85">
        <f>IF(G11="","",IF(ISNUMBER('Dvd Calendar'!$I$41)=FALSE,"",IF((Summary!$C$13="N")*('Dvd Calendar'!$I$45='Field Check'!$C$25)&gt;0,"",'Dvd Calendar'!$I$41)))</f>
        <v/>
      </c>
      <c r="BV11" s="85">
        <f>IF(H11="","",IF(ISNUMBER('Dvd Calendar'!$J$41)=FALSE,"",IF((Summary!$C$13="N")*('Dvd Calendar'!$J$45='Field Check'!$C$25)&gt;0,"",'Dvd Calendar'!$J$41)))</f>
        <v/>
      </c>
      <c r="BW11" s="85">
        <f>IF(I11="","",IF(ISNUMBER('Dvd Calendar'!$K$41)=FALSE,"",IF((Summary!$C$13="N")*('Dvd Calendar'!$K$45='Field Check'!$C$25)&gt;0,"",'Dvd Calendar'!$K$41)))</f>
        <v/>
      </c>
      <c r="BX11" s="85">
        <f>IF(J11="","",IF(ISNUMBER('Dvd Calendar'!$L$41)=FALSE,"",IF((Summary!$C$13="N")*('Dvd Calendar'!$L$45='Field Check'!$C$25)&gt;0,"",'Dvd Calendar'!$L$41)))</f>
        <v/>
      </c>
      <c r="BY11" s="85">
        <f>IF(K11="","",IF(ISNUMBER('Dvd Calendar'!$M$41)=FALSE,"",IF((Summary!$C$13="N")*('Dvd Calendar'!$M$45='Field Check'!$C$25)&gt;0,"",'Dvd Calendar'!$M$41)))</f>
        <v/>
      </c>
      <c r="BZ11" s="85">
        <f>IF(L11="","",IF(ISNUMBER('Dvd Calendar'!$N$41)=FALSE,"",IF((Summary!$C$13="N")*('Dvd Calendar'!$N$45='Field Check'!$C$25)&gt;0,"",'Dvd Calendar'!$N$41)))</f>
        <v/>
      </c>
      <c r="CA11" s="85">
        <f>IF(M11="","",IF(ISNUMBER('Dvd Calendar'!$O$41)=FALSE,"",IF((Summary!$C$13="N")*('Dvd Calendar'!$O$45='Field Check'!$C$25)&gt;0,"",'Dvd Calendar'!$O$41)))</f>
        <v/>
      </c>
      <c r="CB11" s="85">
        <f>IF(N11="","",IF(ISNUMBER('Dvd Calendar'!$P$41)=FALSE,"",IF((Summary!$C$13="N")*('Dvd Calendar'!$P$45='Field Check'!$C$25)&gt;0,"",'Dvd Calendar'!$P$41)))</f>
        <v/>
      </c>
      <c r="CC11" s="85">
        <f>IF(O11="","",IF(ISNUMBER('Dvd Calendar'!$Q$41)=FALSE,"",IF((Summary!$C$13="N")*('Dvd Calendar'!$Q$45='Field Check'!$C$25)&gt;0,"",'Dvd Calendar'!$Q$41)))</f>
        <v/>
      </c>
      <c r="CD11" s="85">
        <f>IF(P11="","",IF(ISNUMBER('Dvd Calendar'!$R$41)=FALSE,"",IF((Summary!$C$13="N")*('Dvd Calendar'!$R$45='Field Check'!$C$25)&gt;0,"",'Dvd Calendar'!$R$41)))</f>
        <v/>
      </c>
      <c r="CE11" s="85">
        <f>IF(Q11="","",IF(ISNUMBER('Dvd Calendar'!$S$41)=FALSE,"",IF((Summary!$C$13="N")*('Dvd Calendar'!$S$45='Field Check'!$C$25)&gt;0,"",'Dvd Calendar'!$S$41)))</f>
        <v/>
      </c>
      <c r="CF11" s="85">
        <f>IF(R11="","",IF(ISNUMBER('Dvd Calendar'!$T$41)=FALSE,"",IF((Summary!$C$13="N")*('Dvd Calendar'!$T$45='Field Check'!$C$25)&gt;0,"",'Dvd Calendar'!$T$41)))</f>
        <v/>
      </c>
      <c r="CG11" s="85">
        <f>IF(S11="","",IF(ISNUMBER('Dvd Calendar'!$U$41)=FALSE,"",IF((Summary!$C$13="N")*('Dvd Calendar'!$U$45='Field Check'!$C$25)&gt;0,"",'Dvd Calendar'!$U$41)))</f>
        <v/>
      </c>
      <c r="CH11" s="85">
        <f>IF(T11="","",IF(ISNUMBER('Dvd Calendar'!$V$41)=FALSE,"",IF((Summary!$C$13="N")*('Dvd Calendar'!$V$45='Field Check'!$C$25)&gt;0,"",'Dvd Calendar'!$V$41)))</f>
        <v/>
      </c>
      <c r="CI11" s="85">
        <f>IF(U11="","",IF(ISNUMBER('Dvd Calendar'!$W$41)=FALSE,"",IF((Summary!$C$13="N")*('Dvd Calendar'!$W$45='Field Check'!$C$25)&gt;0,"",'Dvd Calendar'!$W$41)))</f>
        <v/>
      </c>
      <c r="CJ11" s="85">
        <f>IF(V11="","",IF(ISNUMBER('Dvd Calendar'!$X$41)=FALSE,"",IF((Summary!$C$13="N")*('Dvd Calendar'!$X$45='Field Check'!$C$25)&gt;0,"",'Dvd Calendar'!$X$41)))</f>
        <v/>
      </c>
      <c r="CK11" s="85">
        <f>IF(W11="","",IF(ISNUMBER('Dvd Calendar'!$Y$41)=FALSE,"",IF((Summary!$C$13="N")*('Dvd Calendar'!$Y$45='Field Check'!$C$25)&gt;0,"",'Dvd Calendar'!$Y$41)))</f>
        <v/>
      </c>
      <c r="CL11" s="85">
        <f>IF(X11="","",IF(ISNUMBER('Dvd Calendar'!$Z$41)=FALSE,"",IF((Summary!$C$13="N")*('Dvd Calendar'!$Z$45='Field Check'!$C$25)&gt;0,"",'Dvd Calendar'!$Z$41)))</f>
        <v/>
      </c>
      <c r="CM11" s="85">
        <f>IF(Y11="","",IF(ISNUMBER('Dvd Calendar'!$AA$41)=FALSE,"",IF((Summary!$C$13="N")*('Dvd Calendar'!$AA$45='Field Check'!$C$25)&gt;0,"",'Dvd Calendar'!$AA$41)))</f>
        <v/>
      </c>
      <c r="CN11" s="85">
        <f>IF(Z11="","",IF(ISNUMBER('Dvd Calendar'!$AB$41)=FALSE,"",IF((Summary!$C$13="N")*('Dvd Calendar'!$AB$45='Field Check'!$C$25)&gt;0,"",'Dvd Calendar'!$AB$41)))</f>
        <v/>
      </c>
      <c r="CO11" s="85">
        <f>IF(AA11="","",IF(ISNUMBER('Dvd Calendar'!$AC$41)=FALSE,"",IF((Summary!$C$13="N")*('Dvd Calendar'!$AC$45='Field Check'!$C$25)&gt;0,"",'Dvd Calendar'!$AC$41)))</f>
        <v/>
      </c>
      <c r="CP11" s="85">
        <f>IF(AB11="","",IF(ISNUMBER('Dvd Calendar'!$AD$41)=FALSE,"",IF((Summary!$C$13="N")*('Dvd Calendar'!$AD$45='Field Check'!$C$25)&gt;0,"",'Dvd Calendar'!$AD$41)))</f>
        <v/>
      </c>
      <c r="CQ11" s="85">
        <f>IF(AC11="","",IF(ISNUMBER('Dvd Calendar'!$AE$41)=FALSE,"",IF((Summary!$C$13="N")*('Dvd Calendar'!$AE$45='Field Check'!$C$25)&gt;0,"",'Dvd Calendar'!$AE$41)))</f>
        <v/>
      </c>
      <c r="CR11" s="85">
        <f>IF(AD11="","",IF(ISNUMBER('Dvd Calendar'!$AF$41)=FALSE,"",IF((Summary!$C$13="N")*('Dvd Calendar'!$AF$45='Field Check'!$C$25)&gt;0,"",'Dvd Calendar'!$AF$41)))</f>
        <v/>
      </c>
      <c r="CS11" s="85">
        <f>IF(AE11="","",IF(ISNUMBER('Dvd Calendar'!$AG$41)=FALSE,"",IF((Summary!$C$13="N")*('Dvd Calendar'!$AG$45='Field Check'!$C$25)&gt;0,"",'Dvd Calendar'!$AG$41)))</f>
        <v/>
      </c>
      <c r="CT11" s="85">
        <f>IF(AF11="","",IF(ISNUMBER('Dvd Calendar'!$AH$41)=FALSE,"",IF((Summary!$C$13="N")*('Dvd Calendar'!$AH$45='Field Check'!$C$25)&gt;0,"",'Dvd Calendar'!$AH$41)))</f>
        <v/>
      </c>
      <c r="CU11" s="85">
        <f>IF(AG11="","",IF(ISNUMBER('Dvd Calendar'!$AI$41)=FALSE,"",IF((Summary!$C$13="N")*('Dvd Calendar'!$AI$45='Field Check'!$C$25)&gt;0,"",'Dvd Calendar'!$AI$41)))</f>
        <v/>
      </c>
      <c r="CV11" s="85">
        <f>IF(AH11="","",IF(ISNUMBER('Dvd Calendar'!$AJ$41)=FALSE,"",IF((Summary!$C$13="N")*('Dvd Calendar'!$AJ$45='Field Check'!$C$25)&gt;0,"",'Dvd Calendar'!$AJ$41)))</f>
        <v/>
      </c>
      <c r="CW11" s="85">
        <f>IF(AI11="","",IF(ISNUMBER('Dvd Calendar'!$AK$41)=FALSE,"",IF((Summary!$C$13="N")*('Dvd Calendar'!$AK$45='Field Check'!$C$25)&gt;0,"",'Dvd Calendar'!$AK$41)))</f>
        <v/>
      </c>
      <c r="CX11" s="85">
        <f>IF(AJ11="","",IF(ISNUMBER('Dvd Calendar'!$AL$41)=FALSE,"",IF((Summary!$C$13="N")*('Dvd Calendar'!$AL$45='Field Check'!$C$25)&gt;0,"",'Dvd Calendar'!$AL$41)))</f>
        <v/>
      </c>
      <c r="CY11" s="85">
        <f>IF(AK11="","",IF(ISNUMBER('Dvd Calendar'!$AM$41)=FALSE,"",IF((Summary!$C$13="N")*('Dvd Calendar'!$AM$45='Field Check'!$C$25)&gt;0,"",'Dvd Calendar'!$AM$41)))</f>
        <v/>
      </c>
      <c r="CZ11" s="85">
        <f>IF(AL11="","",IF(ISNUMBER('Dvd Calendar'!$AN$41)=FALSE,"",IF((Summary!$C$13="N")*('Dvd Calendar'!$AN$45='Field Check'!$C$25)&gt;0,"",'Dvd Calendar'!$AN$41)))</f>
        <v/>
      </c>
      <c r="DA11" s="85">
        <f>IF(AM11="","",IF(ISNUMBER('Dvd Calendar'!$AO$41)=FALSE,"",IF((Summary!$C$13="N")*('Dvd Calendar'!$AO$45='Field Check'!$C$25)&gt;0,"",'Dvd Calendar'!$AO$41)))</f>
        <v/>
      </c>
      <c r="DB11" s="85">
        <f>IF(AN11="","",IF(ISNUMBER('Dvd Calendar'!$AP$41)=FALSE,"",IF((Summary!$C$13="N")*('Dvd Calendar'!$AP$45='Field Check'!$C$25)&gt;0,"",'Dvd Calendar'!$AP$41)))</f>
        <v/>
      </c>
      <c r="DC11" s="85">
        <f>IF(AO11="","",IF(ISNUMBER('Dvd Calendar'!$AQ$41)=FALSE,"",IF((Summary!$C$13="N")*('Dvd Calendar'!$AQ$45='Field Check'!$C$25)&gt;0,"",'Dvd Calendar'!$AQ$41)))</f>
        <v/>
      </c>
      <c r="DD11" s="85">
        <f>IF(AP11="","",IF(ISNUMBER('Dvd Calendar'!$AR$41)=FALSE,"",IF((Summary!$C$13="N")*('Dvd Calendar'!$AR$45='Field Check'!$C$25)&gt;0,"",'Dvd Calendar'!$AR$41)))</f>
        <v/>
      </c>
      <c r="DE11" s="85">
        <f>IF(AQ11="","",IF(ISNUMBER('Dvd Calendar'!$E$48)=FALSE,"",IF((Summary!$C$13="N")*('Dvd Calendar'!$E$52='Field Check'!$C$25)&gt;0,"",'Dvd Calendar'!$E$48)))</f>
        <v/>
      </c>
      <c r="DF11" s="85">
        <f>IF(AR11="","",IF(ISNUMBER('Dvd Calendar'!$F$48)=FALSE,"",IF((Summary!$C$13="N")*('Dvd Calendar'!$F$52='Field Check'!$C$25)&gt;0,"",'Dvd Calendar'!$F$48)))</f>
        <v/>
      </c>
      <c r="DG11" s="85">
        <f>IF(AS11="","",IF(ISNUMBER('Dvd Calendar'!$G$48)=FALSE,"",IF((Summary!$C$13="N")*('Dvd Calendar'!$G$52='Field Check'!$C$25)&gt;0,"",'Dvd Calendar'!$G$48)))</f>
        <v/>
      </c>
      <c r="DH11" s="85">
        <f>IF(AT11="","",IF(ISNUMBER('Dvd Calendar'!$H$48)=FALSE,"",IF((Summary!$C$13="N")*('Dvd Calendar'!$H$52='Field Check'!$C$25)&gt;0,"",'Dvd Calendar'!$H$48)))</f>
        <v/>
      </c>
      <c r="DI11" s="85">
        <f>IF(AU11="","",IF(ISNUMBER('Dvd Calendar'!$I$48)=FALSE,"",IF((Summary!$C$13="N")*('Dvd Calendar'!$I$52='Field Check'!$C$25)&gt;0,"",'Dvd Calendar'!$I$48)))</f>
        <v/>
      </c>
      <c r="DJ11" s="85">
        <f>IF(AV11="","",IF(ISNUMBER('Dvd Calendar'!$J$48)=FALSE,"",IF((Summary!$C$13="N")*('Dvd Calendar'!$J$52='Field Check'!$C$25)&gt;0,"",'Dvd Calendar'!$J$48)))</f>
        <v/>
      </c>
      <c r="DK11" s="85">
        <f>IF(AW11="","",IF(ISNUMBER('Dvd Calendar'!$K$48)=FALSE,"",IF((Summary!$C$13="N")*('Dvd Calendar'!$K$52='Field Check'!$C$25)&gt;0,"",'Dvd Calendar'!$K$48)))</f>
        <v/>
      </c>
      <c r="DL11" s="85">
        <f>IF(AX11="","",IF(ISNUMBER('Dvd Calendar'!$L$48)=FALSE,"",IF((Summary!$C$13="N")*('Dvd Calendar'!$L$52='Field Check'!$C$25)&gt;0,"",'Dvd Calendar'!$L$48)))</f>
        <v/>
      </c>
      <c r="DM11" s="85">
        <f>IF(AY11="","",IF(ISNUMBER('Dvd Calendar'!$M$48)=FALSE,"",IF((Summary!$C$13="N")*('Dvd Calendar'!$M$52='Field Check'!$C$25)&gt;0,"",'Dvd Calendar'!$M$48)))</f>
        <v/>
      </c>
      <c r="DN11" s="85">
        <f>IF(AZ11="","",IF(ISNUMBER('Dvd Calendar'!$N$48)=FALSE,"",IF((Summary!$C$13="N")*('Dvd Calendar'!$N$52='Field Check'!$C$25)&gt;0,"",'Dvd Calendar'!$N$48)))</f>
        <v/>
      </c>
      <c r="DO11" s="85">
        <f>IF(BA11="","",IF(ISNUMBER('Dvd Calendar'!$O$48)=FALSE,"",IF((Summary!$C$13="N")*('Dvd Calendar'!$O$52='Field Check'!$C$25)&gt;0,"",'Dvd Calendar'!$O$48)))</f>
        <v/>
      </c>
      <c r="DP11" s="85">
        <f>IF(BB11="","",IF(ISNUMBER('Dvd Calendar'!$P$48)=FALSE,"",IF((Summary!$C$13="N")*('Dvd Calendar'!$P$52='Field Check'!$C$25)&gt;0,"",'Dvd Calendar'!$P$48)))</f>
        <v/>
      </c>
      <c r="DQ11" s="85">
        <f>IF(BC11="","",IF(ISNUMBER('Dvd Calendar'!$Q$48)=FALSE,"",IF((Summary!$C$13="N")*('Dvd Calendar'!$Q$52='Field Check'!$C$25)&gt;0,"",'Dvd Calendar'!$Q$48)))</f>
        <v/>
      </c>
      <c r="DR11" s="85">
        <f>IF(BD11="","",IF(ISNUMBER('Dvd Calendar'!$R$48)=FALSE,"",IF((Summary!$C$13="N")*('Dvd Calendar'!$R$52='Field Check'!$C$25)&gt;0,"",'Dvd Calendar'!$R$48)))</f>
        <v/>
      </c>
      <c r="DS11" s="85">
        <f>IF(BE11="","",IF(ISNUMBER('Dvd Calendar'!$S$48)=FALSE,"",IF((Summary!$C$13="N")*('Dvd Calendar'!$S$52='Field Check'!$C$25)&gt;0,"",'Dvd Calendar'!$S$48)))</f>
        <v/>
      </c>
      <c r="DT11" s="85">
        <f>IF(BF11="","",IF(ISNUMBER('Dvd Calendar'!$T$48)=FALSE,"",IF((Summary!$C$13="N")*('Dvd Calendar'!$T$52='Field Check'!$C$25)&gt;0,"",'Dvd Calendar'!$T$48)))</f>
        <v/>
      </c>
      <c r="DU11" s="85">
        <f>IF(BG11="","",IF(ISNUMBER('Dvd Calendar'!$U$48)=FALSE,"",IF((Summary!$C$13="N")*('Dvd Calendar'!$U$52='Field Check'!$C$25)&gt;0,"",'Dvd Calendar'!$U$48)))</f>
        <v/>
      </c>
      <c r="DV11" s="85">
        <f>IF(BH11="","",IF(ISNUMBER('Dvd Calendar'!$V$48)=FALSE,"",IF((Summary!$C$13="N")*('Dvd Calendar'!$V$52='Field Check'!$C$25)&gt;0,"",'Dvd Calendar'!$V$48)))</f>
        <v/>
      </c>
      <c r="DW11" s="85">
        <f>IF(BI11="","",IF(ISNUMBER('Dvd Calendar'!$W$48)=FALSE,"",IF((Summary!$C$13="N")*('Dvd Calendar'!$W$52='Field Check'!$C$25)&gt;0,"",'Dvd Calendar'!$W$48)))</f>
        <v/>
      </c>
      <c r="DX11" s="85">
        <f>IF(BJ11="","",IF(ISNUMBER('Dvd Calendar'!$X$48)=FALSE,"",IF((Summary!$C$13="N")*('Dvd Calendar'!$X$52='Field Check'!$C$25)&gt;0,"",'Dvd Calendar'!$X$48)))</f>
        <v/>
      </c>
      <c r="DY11" s="85">
        <f>IF(BK11="","",IF(ISNUMBER('Dvd Calendar'!$Y$48)=FALSE,"",IF((Summary!$C$13="N")*('Dvd Calendar'!$Y$52='Field Check'!$C$25)&gt;0,"",'Dvd Calendar'!$Y$48)))</f>
        <v/>
      </c>
      <c r="DZ11" s="85">
        <f>IF(BL11="","",IF(ISNUMBER('Dvd Calendar'!$Z$48)=FALSE,"",IF((Summary!$C$13="N")*('Dvd Calendar'!$Z$52='Field Check'!$C$25)&gt;0,"",'Dvd Calendar'!$Z$48)))</f>
        <v/>
      </c>
      <c r="EA11" s="85">
        <f>IF(BM11="","",IF(ISNUMBER('Dvd Calendar'!$AA$48)=FALSE,"",IF((Summary!$C$13="N")*('Dvd Calendar'!$AA$52='Field Check'!$C$25)&gt;0,"",'Dvd Calendar'!$AA$48)))</f>
        <v/>
      </c>
      <c r="EB11" s="85">
        <f>IF(BN11="","",IF(ISNUMBER('Dvd Calendar'!$AB$48)=FALSE,"",IF((Summary!$C$13="N")*('Dvd Calendar'!$AB$52='Field Check'!$C$25)&gt;0,"",'Dvd Calendar'!$AB$48)))</f>
        <v/>
      </c>
      <c r="EC11" s="85">
        <f>IF(BO11="","",IF(ISNUMBER('Dvd Calendar'!$AC$48)=FALSE,"",IF((Summary!$C$13="N")*('Dvd Calendar'!$AC$52='Field Check'!$C$25)&gt;0,"",'Dvd Calendar'!$AC$48)))</f>
        <v/>
      </c>
      <c r="EE11" s="85">
        <f>IF(BQ11="","",IFERROR(BQ11*HSI!$B$9*HSI!$G$9/HSI!$B$3,""))</f>
        <v/>
      </c>
      <c r="EF11" s="85">
        <f>IF(BR11="","",IFERROR(BR11*HSI!$B$9*HSI!$G$9/HSI!$B$3,""))</f>
        <v/>
      </c>
      <c r="EG11" s="85">
        <f>IF(BS11="","",IFERROR(BS11*HSI!$B$9*HSI!$G$9/HSI!$B$3,""))</f>
        <v/>
      </c>
      <c r="EH11" s="85">
        <f>IF(BT11="","",IFERROR(BT11*HSI!$B$9*HSI!$G$9/HSI!$B$3,""))</f>
        <v/>
      </c>
      <c r="EI11" s="85">
        <f>IF(BU11="","",IFERROR(BU11*HSI!$B$9*HSI!$G$9/HSI!$B$3,""))</f>
        <v/>
      </c>
      <c r="EJ11" s="85">
        <f>IF(BV11="","",IFERROR(BV11*HSI!$B$9*HSI!$G$9/HSI!$B$3,""))</f>
        <v/>
      </c>
      <c r="EK11" s="85">
        <f>IF(BW11="","",IFERROR(BW11*HSI!$B$9*HSI!$G$9/HSI!$B$3,""))</f>
        <v/>
      </c>
      <c r="EL11" s="85">
        <f>IF(BX11="","",IFERROR(BX11*HSI!$B$9*HSI!$G$9/HSI!$B$3,""))</f>
        <v/>
      </c>
      <c r="EM11" s="85">
        <f>IF(BY11="","",IFERROR(BY11*HSI!$B$9*HSI!$G$9/HSI!$B$3,""))</f>
        <v/>
      </c>
      <c r="EN11" s="85">
        <f>IF(BZ11="","",IFERROR(BZ11*HSI!$B$9*HSI!$G$9/HSI!$B$3,""))</f>
        <v/>
      </c>
      <c r="EO11" s="85">
        <f>IF(CA11="","",IFERROR(CA11*HSI!$B$9*HSI!$G$9/HSI!$B$3,""))</f>
        <v/>
      </c>
      <c r="EP11" s="85">
        <f>IF(CB11="","",IFERROR(CB11*HSI!$B$9*HSI!$G$9/HSI!$B$3,""))</f>
        <v/>
      </c>
      <c r="EQ11" s="85">
        <f>IF(CC11="","",IFERROR(CC11*HSI!$B$9*HSI!$G$9/HSI!$B$3,""))</f>
        <v/>
      </c>
      <c r="ER11" s="85">
        <f>IF(CD11="","",IFERROR(CD11*HSI!$B$9*HSI!$G$9/HSI!$B$3,""))</f>
        <v/>
      </c>
      <c r="ES11" s="85">
        <f>IF(CE11="","",IFERROR(CE11*HSI!$B$9*HSI!$G$9/HSI!$B$3,""))</f>
        <v/>
      </c>
      <c r="ET11" s="85">
        <f>IF(CF11="","",IFERROR(CF11*HSI!$B$9*HSI!$G$9/HSI!$B$3,""))</f>
        <v/>
      </c>
      <c r="EU11" s="85">
        <f>IF(CG11="","",IFERROR(CG11*HSI!$B$9*HSI!$G$9/HSI!$B$3,""))</f>
        <v/>
      </c>
      <c r="EV11" s="85">
        <f>IF(CH11="","",IFERROR(CH11*HSI!$B$9*HSI!$G$9/HSI!$B$3,""))</f>
        <v/>
      </c>
      <c r="EW11" s="85">
        <f>IF(CI11="","",IFERROR(CI11*HSI!$B$9*HSI!$G$9/HSI!$B$3,""))</f>
        <v/>
      </c>
      <c r="EX11" s="85">
        <f>IF(CJ11="","",IFERROR(CJ11*HSI!$B$9*HSI!$G$9/HSI!$B$3,""))</f>
        <v/>
      </c>
      <c r="EY11" s="85">
        <f>IF(CK11="","",IFERROR(CK11*HSI!$B$9*HSI!$G$9/HSI!$B$3,""))</f>
        <v/>
      </c>
      <c r="EZ11" s="85">
        <f>IF(CL11="","",IFERROR(CL11*HSI!$B$9*HSI!$G$9/HSI!$B$3,""))</f>
        <v/>
      </c>
      <c r="FA11" s="85">
        <f>IF(CM11="","",IFERROR(CM11*HSI!$B$9*HSI!$G$9/HSI!$B$3,""))</f>
        <v/>
      </c>
      <c r="FB11" s="85">
        <f>IF(CN11="","",IFERROR(CN11*HSI!$B$9*HSI!$G$9/HSI!$B$3,""))</f>
        <v/>
      </c>
      <c r="FC11" s="85">
        <f>IF(CO11="","",IFERROR(CO11*HSI!$B$9*HSI!$G$9/HSI!$B$3,""))</f>
        <v/>
      </c>
      <c r="FD11" s="85">
        <f>IF(CP11="","",IFERROR(CP11*HSI!$B$9*HSI!$G$9/HSI!$B$3,""))</f>
        <v/>
      </c>
      <c r="FE11" s="85">
        <f>IF(CQ11="","",IFERROR(CQ11*HSI!$B$9*HSI!$G$9/HSI!$B$3,""))</f>
        <v/>
      </c>
      <c r="FF11" s="85">
        <f>IF(CR11="","",IFERROR(CR11*HSI!$B$9*HSI!$G$9/HSI!$B$3,""))</f>
        <v/>
      </c>
      <c r="FG11" s="85">
        <f>IF(CS11="","",IFERROR(CS11*HSI!$B$9*HSI!$G$9/HSI!$B$3,""))</f>
        <v/>
      </c>
      <c r="FH11" s="85">
        <f>IF(CT11="","",IFERROR(CT11*HSI!$B$9*HSI!$G$9/HSI!$B$3,""))</f>
        <v/>
      </c>
      <c r="FI11" s="85">
        <f>IF(CU11="","",IFERROR(CU11*HSI!$B$9*HSI!$G$9/HSI!$B$3,""))</f>
        <v/>
      </c>
      <c r="FJ11" s="85">
        <f>IF(CV11="","",IFERROR(CV11*HSI!$B$9*HSI!$G$9/HSI!$B$3,""))</f>
        <v/>
      </c>
      <c r="FK11" s="85">
        <f>IF(CW11="","",IFERROR(CW11*HSI!$B$9*HSI!$G$9/HSI!$B$3,""))</f>
        <v/>
      </c>
      <c r="FL11" s="85">
        <f>IF(CX11="","",IFERROR(CX11*HSI!$B$9*HSI!$G$9/HSI!$B$3,""))</f>
        <v/>
      </c>
      <c r="FM11" s="85">
        <f>IF(CY11="","",IFERROR(CY11*HSI!$B$9*HSI!$G$9/HSI!$B$3,""))</f>
        <v/>
      </c>
      <c r="FN11" s="85">
        <f>IF(CZ11="","",IFERROR(CZ11*HSI!$B$9*HSI!$G$9/HSI!$B$3,""))</f>
        <v/>
      </c>
      <c r="FO11" s="85">
        <f>IF(DA11="","",IFERROR(DA11*HSI!$B$9*HSI!$G$9/HSI!$B$3,""))</f>
        <v/>
      </c>
      <c r="FP11" s="85">
        <f>IF(DB11="","",IFERROR(DB11*HSI!$B$9*HSI!$G$9/HSI!$B$3,""))</f>
        <v/>
      </c>
      <c r="FQ11" s="85">
        <f>IF(DC11="","",IFERROR(DC11*HSI!$B$9*HSI!$G$9/HSI!$B$3,""))</f>
        <v/>
      </c>
      <c r="FR11" s="85">
        <f>IF(DD11="","",IFERROR(DD11*HSI!$B$9*HSI!$G$9/HSI!$B$3,""))</f>
        <v/>
      </c>
      <c r="FS11" s="85">
        <f>IF(DE11="","",IFERROR(DE11*HSI!$B$9*HSI!$G$9/HSI!$B$3,""))</f>
        <v/>
      </c>
      <c r="FT11" s="85">
        <f>IF(DF11="","",IFERROR(DF11*HSI!$B$9*HSI!$G$9/HSI!$B$3,""))</f>
        <v/>
      </c>
      <c r="FU11" s="85">
        <f>IF(DG11="","",IFERROR(DG11*HSI!$B$9*HSI!$G$9/HSI!$B$3,""))</f>
        <v/>
      </c>
      <c r="FV11" s="85">
        <f>IF(DH11="","",IFERROR(DH11*HSI!$B$9*HSI!$G$9/HSI!$B$3,""))</f>
        <v/>
      </c>
      <c r="FW11" s="85">
        <f>IF(DI11="","",IFERROR(DI11*HSI!$B$9*HSI!$G$9/HSI!$B$3,""))</f>
        <v/>
      </c>
      <c r="FX11" s="85">
        <f>IF(DJ11="","",IFERROR(DJ11*HSI!$B$9*HSI!$G$9/HSI!$B$3,""))</f>
        <v/>
      </c>
      <c r="FY11" s="85">
        <f>IF(DK11="","",IFERROR(DK11*HSI!$B$9*HSI!$G$9/HSI!$B$3,""))</f>
        <v/>
      </c>
      <c r="FZ11" s="85">
        <f>IF(DL11="","",IFERROR(DL11*HSI!$B$9*HSI!$G$9/HSI!$B$3,""))</f>
        <v/>
      </c>
      <c r="GA11" s="85">
        <f>IF(DM11="","",IFERROR(DM11*HSI!$B$9*HSI!$G$9/HSI!$B$3,""))</f>
        <v/>
      </c>
      <c r="GB11" s="85">
        <f>IF(DN11="","",IFERROR(DN11*HSI!$B$9*HSI!$G$9/HSI!$B$3,""))</f>
        <v/>
      </c>
      <c r="GC11" s="85">
        <f>IF(DO11="","",IFERROR(DO11*HSI!$B$9*HSI!$G$9/HSI!$B$3,""))</f>
        <v/>
      </c>
      <c r="GD11" s="85">
        <f>IF(DP11="","",IFERROR(DP11*HSI!$B$9*HSI!$G$9/HSI!$B$3,""))</f>
        <v/>
      </c>
      <c r="GE11" s="85">
        <f>IF(DQ11="","",IFERROR(DQ11*HSI!$B$9*HSI!$G$9/HSI!$B$3,""))</f>
        <v/>
      </c>
      <c r="GF11" s="85">
        <f>IF(DR11="","",IFERROR(DR11*HSI!$B$9*HSI!$G$9/HSI!$B$3,""))</f>
        <v/>
      </c>
      <c r="GG11" s="85">
        <f>IF(DS11="","",IFERROR(DS11*HSI!$B$9*HSI!$G$9/HSI!$B$3,""))</f>
        <v/>
      </c>
      <c r="GH11" s="85">
        <f>IF(DT11="","",IFERROR(DT11*HSI!$B$9*HSI!$G$9/HSI!$B$3,""))</f>
        <v/>
      </c>
      <c r="GI11" s="85">
        <f>IF(DU11="","",IFERROR(DU11*HSI!$B$9*HSI!$G$9/HSI!$B$3,""))</f>
        <v/>
      </c>
      <c r="GJ11" s="85">
        <f>IF(DV11="","",IFERROR(DV11*HSI!$B$9*HSI!$G$9/HSI!$B$3,""))</f>
        <v/>
      </c>
      <c r="GK11" s="85">
        <f>IF(DW11="","",IFERROR(DW11*HSI!$B$9*HSI!$G$9/HSI!$B$3,""))</f>
        <v/>
      </c>
      <c r="GL11" s="85">
        <f>IF(DX11="","",IFERROR(DX11*HSI!$B$9*HSI!$G$9/HSI!$B$3,""))</f>
        <v/>
      </c>
      <c r="GM11" s="85">
        <f>IF(DY11="","",IFERROR(DY11*HSI!$B$9*HSI!$G$9/HSI!$B$3,""))</f>
        <v/>
      </c>
      <c r="GN11" s="85">
        <f>IF(DZ11="","",IFERROR(DZ11*HSI!$B$9*HSI!$G$9/HSI!$B$3,""))</f>
        <v/>
      </c>
      <c r="GO11" s="85">
        <f>IF(EA11="","",IFERROR(EA11*HSI!$B$9*HSI!$G$9/HSI!$B$3,""))</f>
        <v/>
      </c>
      <c r="GP11" s="85">
        <f>IF(EB11="","",IFERROR(EB11*HSI!$B$9*HSI!$G$9/HSI!$B$3,""))</f>
        <v/>
      </c>
      <c r="GQ11" s="85">
        <f>IF(EC11="","",IFERROR(EC11*HSI!$B$9*HSI!$G$9/HSI!$B$3,""))</f>
        <v/>
      </c>
    </row>
    <row r="12">
      <c r="B12" s="2">
        <f>IF(HSI!$C$10="","",HSI!$C$10)</f>
        <v/>
      </c>
      <c r="C12" s="41">
        <f>IF(N('Dvd Calendar'!$E$55)=0,"",IF(('Dvd Calendar'!$E$55&gt;=MIN(DATE(Summary!$C$12,1,1),Summary!$C$11))*('Dvd Calendar'!$E$55&lt;=MAX(DATE(Summary!$C$12,12,31),Summary!$C$15))*('Dvd Calendar'!$E$55&lt;=Summary!$C$11)=0,"",'Dvd Calendar'!$E$55*1000000000+ISNUMBER('Dvd Calendar'!$E$56)*100000000+('Dvd Calendar'!$E$60='Field Check'!$C$25)*10000000+(N('Dvd Calendar'!$E$54)&gt;0)*1000000+4*1000+1))</f>
        <v/>
      </c>
      <c r="D12" s="41">
        <f>IF(N('Dvd Calendar'!$F$55)=0,"",IF(('Dvd Calendar'!$F$55&gt;=MIN(DATE(Summary!$C$12,1,1),Summary!$C$11))*('Dvd Calendar'!$F$55&lt;=MAX(DATE(Summary!$C$12,12,31),Summary!$C$15))*('Dvd Calendar'!$F$55&lt;=Summary!$C$11)=0,"",'Dvd Calendar'!$F$55*1000000000+ISNUMBER('Dvd Calendar'!$F$56)*100000000+('Dvd Calendar'!$F$60='Field Check'!$C$25)*10000000+(N('Dvd Calendar'!$F$54)&gt;0)*1000000+4*1000+2))</f>
        <v/>
      </c>
      <c r="E12" s="41">
        <f>IF(N('Dvd Calendar'!$G$55)=0,"",IF(('Dvd Calendar'!$G$55&gt;=MIN(DATE(Summary!$C$12,1,1),Summary!$C$11))*('Dvd Calendar'!$G$55&lt;=MAX(DATE(Summary!$C$12,12,31),Summary!$C$15))*('Dvd Calendar'!$G$55&lt;=Summary!$C$11)=0,"",'Dvd Calendar'!$G$55*1000000000+ISNUMBER('Dvd Calendar'!$G$56)*100000000+('Dvd Calendar'!$G$60='Field Check'!$C$25)*10000000+(N('Dvd Calendar'!$G$54)&gt;0)*1000000+4*1000+3))</f>
        <v/>
      </c>
      <c r="F12" s="41">
        <f>IF(N('Dvd Calendar'!$H$55)=0,"",IF(('Dvd Calendar'!$H$55&gt;=MIN(DATE(Summary!$C$12,1,1),Summary!$C$11))*('Dvd Calendar'!$H$55&lt;=MAX(DATE(Summary!$C$12,12,31),Summary!$C$15))*('Dvd Calendar'!$H$55&lt;=Summary!$C$11)=0,"",'Dvd Calendar'!$H$55*1000000000+ISNUMBER('Dvd Calendar'!$H$56)*100000000+('Dvd Calendar'!$H$60='Field Check'!$C$25)*10000000+(N('Dvd Calendar'!$H$54)&gt;0)*1000000+4*1000+4))</f>
        <v/>
      </c>
      <c r="G12" s="41">
        <f>IF(N('Dvd Calendar'!$I$55)=0,"",IF(('Dvd Calendar'!$I$55&gt;=MIN(DATE(Summary!$C$12,1,1),Summary!$C$11))*('Dvd Calendar'!$I$55&lt;=MAX(DATE(Summary!$C$12,12,31),Summary!$C$15))*('Dvd Calendar'!$I$55&lt;=Summary!$C$11)=0,"",'Dvd Calendar'!$I$55*1000000000+ISNUMBER('Dvd Calendar'!$I$56)*100000000+('Dvd Calendar'!$I$60='Field Check'!$C$25)*10000000+(N('Dvd Calendar'!$I$54)&gt;0)*1000000+4*1000+5))</f>
        <v/>
      </c>
      <c r="H12" s="41">
        <f>IF(N('Dvd Calendar'!$J$55)=0,"",IF(('Dvd Calendar'!$J$55&gt;=MIN(DATE(Summary!$C$12,1,1),Summary!$C$11))*('Dvd Calendar'!$J$55&lt;=MAX(DATE(Summary!$C$12,12,31),Summary!$C$15))*('Dvd Calendar'!$J$55&lt;=Summary!$C$11)=0,"",'Dvd Calendar'!$J$55*1000000000+ISNUMBER('Dvd Calendar'!$J$56)*100000000+('Dvd Calendar'!$J$60='Field Check'!$C$25)*10000000+(N('Dvd Calendar'!$J$54)&gt;0)*1000000+4*1000+6))</f>
        <v/>
      </c>
      <c r="I12" s="41">
        <f>IF(N('Dvd Calendar'!$K$55)=0,"",IF(('Dvd Calendar'!$K$55&gt;=MIN(DATE(Summary!$C$12,1,1),Summary!$C$11))*('Dvd Calendar'!$K$55&lt;=MAX(DATE(Summary!$C$12,12,31),Summary!$C$15))*('Dvd Calendar'!$K$55&lt;=Summary!$C$11)=0,"",'Dvd Calendar'!$K$55*1000000000+ISNUMBER('Dvd Calendar'!$K$56)*100000000+('Dvd Calendar'!$K$60='Field Check'!$C$25)*10000000+(N('Dvd Calendar'!$K$54)&gt;0)*1000000+4*1000+7))</f>
        <v/>
      </c>
      <c r="J12" s="41">
        <f>IF(N('Dvd Calendar'!$L$55)=0,"",IF(('Dvd Calendar'!$L$55&gt;=MIN(DATE(Summary!$C$12,1,1),Summary!$C$11))*('Dvd Calendar'!$L$55&lt;=MAX(DATE(Summary!$C$12,12,31),Summary!$C$15))*('Dvd Calendar'!$L$55&lt;=Summary!$C$11)=0,"",'Dvd Calendar'!$L$55*1000000000+ISNUMBER('Dvd Calendar'!$L$56)*100000000+('Dvd Calendar'!$L$60='Field Check'!$C$25)*10000000+(N('Dvd Calendar'!$L$54)&gt;0)*1000000+4*1000+8))</f>
        <v/>
      </c>
      <c r="K12" s="41">
        <f>IF(N('Dvd Calendar'!$M$55)=0,"",IF(('Dvd Calendar'!$M$55&gt;=MIN(DATE(Summary!$C$12,1,1),Summary!$C$11))*('Dvd Calendar'!$M$55&lt;=MAX(DATE(Summary!$C$12,12,31),Summary!$C$15))*('Dvd Calendar'!$M$55&lt;=Summary!$C$11)=0,"",'Dvd Calendar'!$M$55*1000000000+ISNUMBER('Dvd Calendar'!$M$56)*100000000+('Dvd Calendar'!$M$60='Field Check'!$C$25)*10000000+(N('Dvd Calendar'!$M$54)&gt;0)*1000000+4*1000+9))</f>
        <v/>
      </c>
      <c r="L12" s="41">
        <f>IF(N('Dvd Calendar'!$N$55)=0,"",IF(('Dvd Calendar'!$N$55&gt;=MIN(DATE(Summary!$C$12,1,1),Summary!$C$11))*('Dvd Calendar'!$N$55&lt;=MAX(DATE(Summary!$C$12,12,31),Summary!$C$15))*('Dvd Calendar'!$N$55&lt;=Summary!$C$11)=0,"",'Dvd Calendar'!$N$55*1000000000+ISNUMBER('Dvd Calendar'!$N$56)*100000000+('Dvd Calendar'!$N$60='Field Check'!$C$25)*10000000+(N('Dvd Calendar'!$N$54)&gt;0)*1000000+4*1000+10))</f>
        <v/>
      </c>
      <c r="M12" s="41">
        <f>IF(N('Dvd Calendar'!$O$55)=0,"",IF(('Dvd Calendar'!$O$55&gt;=MIN(DATE(Summary!$C$12,1,1),Summary!$C$11))*('Dvd Calendar'!$O$55&lt;=MAX(DATE(Summary!$C$12,12,31),Summary!$C$15))*('Dvd Calendar'!$O$55&lt;=Summary!$C$11)=0,"",'Dvd Calendar'!$O$55*1000000000+ISNUMBER('Dvd Calendar'!$O$56)*100000000+('Dvd Calendar'!$O$60='Field Check'!$C$25)*10000000+(N('Dvd Calendar'!$O$54)&gt;0)*1000000+4*1000+11))</f>
        <v/>
      </c>
      <c r="N12" s="41">
        <f>IF(N('Dvd Calendar'!$P$55)=0,"",IF(('Dvd Calendar'!$P$55&gt;=MIN(DATE(Summary!$C$12,1,1),Summary!$C$11))*('Dvd Calendar'!$P$55&lt;=MAX(DATE(Summary!$C$12,12,31),Summary!$C$15))*('Dvd Calendar'!$P$55&lt;=Summary!$C$11)=0,"",'Dvd Calendar'!$P$55*1000000000+ISNUMBER('Dvd Calendar'!$P$56)*100000000+('Dvd Calendar'!$P$60='Field Check'!$C$25)*10000000+(N('Dvd Calendar'!$P$54)&gt;0)*1000000+4*1000+12))</f>
        <v/>
      </c>
      <c r="O12" s="41">
        <f>IF(N('Dvd Calendar'!$Q$55)=0,"",IF(('Dvd Calendar'!$Q$55&gt;=MIN(DATE(Summary!$C$12,1,1),Summary!$C$11))*('Dvd Calendar'!$Q$55&lt;=MAX(DATE(Summary!$C$12,12,31),Summary!$C$15))*('Dvd Calendar'!$Q$55&lt;=Summary!$C$11)=0,"",'Dvd Calendar'!$Q$55*1000000000+ISNUMBER('Dvd Calendar'!$Q$56)*100000000+('Dvd Calendar'!$Q$60='Field Check'!$C$25)*10000000+(N('Dvd Calendar'!$Q$54)&gt;0)*1000000+4*1000+13))</f>
        <v/>
      </c>
      <c r="P12" s="41">
        <f>IF(N('Dvd Calendar'!$R$55)=0,"",IF(('Dvd Calendar'!$R$55&gt;=MIN(DATE(Summary!$C$12,1,1),Summary!$C$11))*('Dvd Calendar'!$R$55&lt;=MAX(DATE(Summary!$C$12,12,31),Summary!$C$15))*('Dvd Calendar'!$R$55&lt;=Summary!$C$11)=0,"",'Dvd Calendar'!$R$55*1000000000+ISNUMBER('Dvd Calendar'!$R$56)*100000000+('Dvd Calendar'!$R$60='Field Check'!$C$25)*10000000+(N('Dvd Calendar'!$R$54)&gt;0)*1000000+4*1000+14))</f>
        <v/>
      </c>
      <c r="Q12" s="41">
        <f>IF(N('Dvd Calendar'!$S$55)=0,"",IF(('Dvd Calendar'!$S$55&gt;=MIN(DATE(Summary!$C$12,1,1),Summary!$C$11))*('Dvd Calendar'!$S$55&lt;=MAX(DATE(Summary!$C$12,12,31),Summary!$C$15))*('Dvd Calendar'!$S$55&lt;=Summary!$C$11)=0,"",'Dvd Calendar'!$S$55*1000000000+ISNUMBER('Dvd Calendar'!$S$56)*100000000+('Dvd Calendar'!$S$60='Field Check'!$C$25)*10000000+(N('Dvd Calendar'!$S$54)&gt;0)*1000000+4*1000+15))</f>
        <v/>
      </c>
      <c r="R12" s="41">
        <f>IF(N('Dvd Calendar'!$T$55)=0,"",IF(('Dvd Calendar'!$T$55&gt;=MIN(DATE(Summary!$C$12,1,1),Summary!$C$11))*('Dvd Calendar'!$T$55&lt;=MAX(DATE(Summary!$C$12,12,31),Summary!$C$15))*('Dvd Calendar'!$T$55&lt;=Summary!$C$11)=0,"",'Dvd Calendar'!$T$55*1000000000+ISNUMBER('Dvd Calendar'!$T$56)*100000000+('Dvd Calendar'!$T$60='Field Check'!$C$25)*10000000+(N('Dvd Calendar'!$T$54)&gt;0)*1000000+4*1000+16))</f>
        <v/>
      </c>
      <c r="S12" s="41">
        <f>IF(N('Dvd Calendar'!$U$55)=0,"",IF(('Dvd Calendar'!$U$55&gt;=MIN(DATE(Summary!$C$12,1,1),Summary!$C$11))*('Dvd Calendar'!$U$55&lt;=MAX(DATE(Summary!$C$12,12,31),Summary!$C$15))*('Dvd Calendar'!$U$55&lt;=Summary!$C$11)=0,"",'Dvd Calendar'!$U$55*1000000000+ISNUMBER('Dvd Calendar'!$U$56)*100000000+('Dvd Calendar'!$U$60='Field Check'!$C$25)*10000000+(N('Dvd Calendar'!$U$54)&gt;0)*1000000+4*1000+17))</f>
        <v/>
      </c>
      <c r="T12" s="41">
        <f>IF(N('Dvd Calendar'!$V$55)=0,"",IF(('Dvd Calendar'!$V$55&gt;=MIN(DATE(Summary!$C$12,1,1),Summary!$C$11))*('Dvd Calendar'!$V$55&lt;=MAX(DATE(Summary!$C$12,12,31),Summary!$C$15))*('Dvd Calendar'!$V$55&lt;=Summary!$C$11)=0,"",'Dvd Calendar'!$V$55*1000000000+ISNUMBER('Dvd Calendar'!$V$56)*100000000+('Dvd Calendar'!$V$60='Field Check'!$C$25)*10000000+(N('Dvd Calendar'!$V$54)&gt;0)*1000000+4*1000+18))</f>
        <v/>
      </c>
      <c r="U12" s="41">
        <f>IF(N('Dvd Calendar'!$W$55)=0,"",IF(('Dvd Calendar'!$W$55&gt;=MIN(DATE(Summary!$C$12,1,1),Summary!$C$11))*('Dvd Calendar'!$W$55&lt;=MAX(DATE(Summary!$C$12,12,31),Summary!$C$15))*('Dvd Calendar'!$W$55&lt;=Summary!$C$11)=0,"",'Dvd Calendar'!$W$55*1000000000+ISNUMBER('Dvd Calendar'!$W$56)*100000000+('Dvd Calendar'!$W$60='Field Check'!$C$25)*10000000+(N('Dvd Calendar'!$W$54)&gt;0)*1000000+4*1000+19))</f>
        <v/>
      </c>
      <c r="V12" s="41">
        <f>IF(N('Dvd Calendar'!$X$55)=0,"",IF(('Dvd Calendar'!$X$55&gt;=MIN(DATE(Summary!$C$12,1,1),Summary!$C$11))*('Dvd Calendar'!$X$55&lt;=MAX(DATE(Summary!$C$12,12,31),Summary!$C$15))*('Dvd Calendar'!$X$55&lt;=Summary!$C$11)=0,"",'Dvd Calendar'!$X$55*1000000000+ISNUMBER('Dvd Calendar'!$X$56)*100000000+('Dvd Calendar'!$X$60='Field Check'!$C$25)*10000000+(N('Dvd Calendar'!$X$54)&gt;0)*1000000+4*1000+20))</f>
        <v/>
      </c>
      <c r="W12" s="41">
        <f>IF(N('Dvd Calendar'!$Y$55)=0,"",IF(('Dvd Calendar'!$Y$55&gt;=MIN(DATE(Summary!$C$12,1,1),Summary!$C$11))*('Dvd Calendar'!$Y$55&lt;=MAX(DATE(Summary!$C$12,12,31),Summary!$C$15))*('Dvd Calendar'!$Y$55&lt;=Summary!$C$11)=0,"",'Dvd Calendar'!$Y$55*1000000000+ISNUMBER('Dvd Calendar'!$Y$56)*100000000+('Dvd Calendar'!$Y$60='Field Check'!$C$25)*10000000+(N('Dvd Calendar'!$Y$54)&gt;0)*1000000+4*1000+21))</f>
        <v/>
      </c>
      <c r="X12" s="41">
        <f>IF(N('Dvd Calendar'!$Z$55)=0,"",IF(('Dvd Calendar'!$Z$55&gt;=MIN(DATE(Summary!$C$12,1,1),Summary!$C$11))*('Dvd Calendar'!$Z$55&lt;=MAX(DATE(Summary!$C$12,12,31),Summary!$C$15))*('Dvd Calendar'!$Z$55&lt;=Summary!$C$11)=0,"",'Dvd Calendar'!$Z$55*1000000000+ISNUMBER('Dvd Calendar'!$Z$56)*100000000+('Dvd Calendar'!$Z$60='Field Check'!$C$25)*10000000+(N('Dvd Calendar'!$Z$54)&gt;0)*1000000+4*1000+22))</f>
        <v/>
      </c>
      <c r="Y12" s="41">
        <f>IF(N('Dvd Calendar'!$AA$55)=0,"",IF(('Dvd Calendar'!$AA$55&gt;=MIN(DATE(Summary!$C$12,1,1),Summary!$C$11))*('Dvd Calendar'!$AA$55&lt;=MAX(DATE(Summary!$C$12,12,31),Summary!$C$15))*('Dvd Calendar'!$AA$55&lt;=Summary!$C$11)=0,"",'Dvd Calendar'!$AA$55*1000000000+ISNUMBER('Dvd Calendar'!$AA$56)*100000000+('Dvd Calendar'!$AA$60='Field Check'!$C$25)*10000000+(N('Dvd Calendar'!$AA$54)&gt;0)*1000000+4*1000+23))</f>
        <v/>
      </c>
      <c r="Z12" s="41">
        <f>IF(N('Dvd Calendar'!$AB$55)=0,"",IF(('Dvd Calendar'!$AB$55&gt;=MIN(DATE(Summary!$C$12,1,1),Summary!$C$11))*('Dvd Calendar'!$AB$55&lt;=MAX(DATE(Summary!$C$12,12,31),Summary!$C$15))*('Dvd Calendar'!$AB$55&lt;=Summary!$C$11)=0,"",'Dvd Calendar'!$AB$55*1000000000+ISNUMBER('Dvd Calendar'!$AB$56)*100000000+('Dvd Calendar'!$AB$60='Field Check'!$C$25)*10000000+(N('Dvd Calendar'!$AB$54)&gt;0)*1000000+4*1000+24))</f>
        <v/>
      </c>
      <c r="AA12" s="41">
        <f>IF(N('Dvd Calendar'!$AC$55)=0,"",IF(('Dvd Calendar'!$AC$55&gt;=MIN(DATE(Summary!$C$12,1,1),Summary!$C$11))*('Dvd Calendar'!$AC$55&lt;=MAX(DATE(Summary!$C$12,12,31),Summary!$C$15))*('Dvd Calendar'!$AC$55&lt;=Summary!$C$11)=0,"",'Dvd Calendar'!$AC$55*1000000000+ISNUMBER('Dvd Calendar'!$AC$56)*100000000+('Dvd Calendar'!$AC$60='Field Check'!$C$25)*10000000+(N('Dvd Calendar'!$AC$54)&gt;0)*1000000+4*1000+25))</f>
        <v/>
      </c>
      <c r="AB12" s="41">
        <f>IF(N('Dvd Calendar'!$AD$55)=0,"",IF(('Dvd Calendar'!$AD$55&gt;=MIN(DATE(Summary!$C$12,1,1),Summary!$C$11))*('Dvd Calendar'!$AD$55&lt;=MAX(DATE(Summary!$C$12,12,31),Summary!$C$15))*('Dvd Calendar'!$AD$55&lt;=Summary!$C$11)=0,"",'Dvd Calendar'!$AD$55*1000000000+ISNUMBER('Dvd Calendar'!$AD$56)*100000000+('Dvd Calendar'!$AD$60='Field Check'!$C$25)*10000000+(N('Dvd Calendar'!$AD$54)&gt;0)*1000000+4*1000+26))</f>
        <v/>
      </c>
      <c r="AC12" s="41">
        <f>IF(N('Dvd Calendar'!$AE$55)=0,"",IF(('Dvd Calendar'!$AE$55&gt;=MIN(DATE(Summary!$C$12,1,1),Summary!$C$11))*('Dvd Calendar'!$AE$55&lt;=MAX(DATE(Summary!$C$12,12,31),Summary!$C$15))*('Dvd Calendar'!$AE$55&lt;=Summary!$C$11)=0,"",'Dvd Calendar'!$AE$55*1000000000+ISNUMBER('Dvd Calendar'!$AE$56)*100000000+('Dvd Calendar'!$AE$60='Field Check'!$C$25)*10000000+(N('Dvd Calendar'!$AE$54)&gt;0)*1000000+4*1000+27))</f>
        <v/>
      </c>
      <c r="AD12" s="41">
        <f>IF(N('Dvd Calendar'!$AF$55)=0,"",IF(('Dvd Calendar'!$AF$55&gt;=MIN(DATE(Summary!$C$12,1,1),Summary!$C$11))*('Dvd Calendar'!$AF$55&lt;=MAX(DATE(Summary!$C$12,12,31),Summary!$C$15))*('Dvd Calendar'!$AF$55&lt;=Summary!$C$11)=0,"",'Dvd Calendar'!$AF$55*1000000000+ISNUMBER('Dvd Calendar'!$AF$56)*100000000+('Dvd Calendar'!$AF$60='Field Check'!$C$25)*10000000+(N('Dvd Calendar'!$AF$54)&gt;0)*1000000+4*1000+28))</f>
        <v/>
      </c>
      <c r="AE12" s="41">
        <f>IF(N('Dvd Calendar'!$AG$55)=0,"",IF(('Dvd Calendar'!$AG$55&gt;=MIN(DATE(Summary!$C$12,1,1),Summary!$C$11))*('Dvd Calendar'!$AG$55&lt;=MAX(DATE(Summary!$C$12,12,31),Summary!$C$15))*('Dvd Calendar'!$AG$55&lt;=Summary!$C$11)=0,"",'Dvd Calendar'!$AG$55*1000000000+ISNUMBER('Dvd Calendar'!$AG$56)*100000000+('Dvd Calendar'!$AG$60='Field Check'!$C$25)*10000000+(N('Dvd Calendar'!$AG$54)&gt;0)*1000000+4*1000+29))</f>
        <v/>
      </c>
      <c r="AF12" s="41">
        <f>IF(N('Dvd Calendar'!$AH$55)=0,"",IF(('Dvd Calendar'!$AH$55&gt;=MIN(DATE(Summary!$C$12,1,1),Summary!$C$11))*('Dvd Calendar'!$AH$55&lt;=MAX(DATE(Summary!$C$12,12,31),Summary!$C$15))*('Dvd Calendar'!$AH$55&lt;=Summary!$C$11)=0,"",'Dvd Calendar'!$AH$55*1000000000+ISNUMBER('Dvd Calendar'!$AH$56)*100000000+('Dvd Calendar'!$AH$60='Field Check'!$C$25)*10000000+(N('Dvd Calendar'!$AH$54)&gt;0)*1000000+4*1000+30))</f>
        <v/>
      </c>
      <c r="AG12" s="41">
        <f>IF(N('Dvd Calendar'!$AI$55)=0,"",IF(('Dvd Calendar'!$AI$55&gt;=MIN(DATE(Summary!$C$12,1,1),Summary!$C$11))*('Dvd Calendar'!$AI$55&lt;=MAX(DATE(Summary!$C$12,12,31),Summary!$C$15))*('Dvd Calendar'!$AI$55&lt;=Summary!$C$11)=0,"",'Dvd Calendar'!$AI$55*1000000000+ISNUMBER('Dvd Calendar'!$AI$56)*100000000+('Dvd Calendar'!$AI$60='Field Check'!$C$25)*10000000+(N('Dvd Calendar'!$AI$54)&gt;0)*1000000+4*1000+31))</f>
        <v/>
      </c>
      <c r="AH12" s="41">
        <f>IF(N('Dvd Calendar'!$AJ$55)=0,"",IF(('Dvd Calendar'!$AJ$55&gt;=MIN(DATE(Summary!$C$12,1,1),Summary!$C$11))*('Dvd Calendar'!$AJ$55&lt;=MAX(DATE(Summary!$C$12,12,31),Summary!$C$15))*('Dvd Calendar'!$AJ$55&lt;=Summary!$C$11)=0,"",'Dvd Calendar'!$AJ$55*1000000000+ISNUMBER('Dvd Calendar'!$AJ$56)*100000000+('Dvd Calendar'!$AJ$60='Field Check'!$C$25)*10000000+(N('Dvd Calendar'!$AJ$54)&gt;0)*1000000+4*1000+32))</f>
        <v/>
      </c>
      <c r="AI12" s="41">
        <f>IF(N('Dvd Calendar'!$AK$55)=0,"",IF(('Dvd Calendar'!$AK$55&gt;=MIN(DATE(Summary!$C$12,1,1),Summary!$C$11))*('Dvd Calendar'!$AK$55&lt;=MAX(DATE(Summary!$C$12,12,31),Summary!$C$15))*('Dvd Calendar'!$AK$55&lt;=Summary!$C$11)=0,"",'Dvd Calendar'!$AK$55*1000000000+ISNUMBER('Dvd Calendar'!$AK$56)*100000000+('Dvd Calendar'!$AK$60='Field Check'!$C$25)*10000000+(N('Dvd Calendar'!$AK$54)&gt;0)*1000000+4*1000+33))</f>
        <v/>
      </c>
      <c r="AJ12" s="41">
        <f>IF(N('Dvd Calendar'!$AL$55)=0,"",IF(('Dvd Calendar'!$AL$55&gt;=MIN(DATE(Summary!$C$12,1,1),Summary!$C$11))*('Dvd Calendar'!$AL$55&lt;=MAX(DATE(Summary!$C$12,12,31),Summary!$C$15))*('Dvd Calendar'!$AL$55&lt;=Summary!$C$11)=0,"",'Dvd Calendar'!$AL$55*1000000000+ISNUMBER('Dvd Calendar'!$AL$56)*100000000+('Dvd Calendar'!$AL$60='Field Check'!$C$25)*10000000+(N('Dvd Calendar'!$AL$54)&gt;0)*1000000+4*1000+34))</f>
        <v/>
      </c>
      <c r="AK12" s="41">
        <f>IF(N('Dvd Calendar'!$AM$55)=0,"",IF(('Dvd Calendar'!$AM$55&gt;=MIN(DATE(Summary!$C$12,1,1),Summary!$C$11))*('Dvd Calendar'!$AM$55&lt;=MAX(DATE(Summary!$C$12,12,31),Summary!$C$15))*('Dvd Calendar'!$AM$55&lt;=Summary!$C$11)=0,"",'Dvd Calendar'!$AM$55*1000000000+ISNUMBER('Dvd Calendar'!$AM$56)*100000000+('Dvd Calendar'!$AM$60='Field Check'!$C$25)*10000000+(N('Dvd Calendar'!$AM$54)&gt;0)*1000000+4*1000+35))</f>
        <v/>
      </c>
      <c r="AL12" s="41">
        <f>IF(N('Dvd Calendar'!$AN$55)=0,"",IF(('Dvd Calendar'!$AN$55&gt;=MIN(DATE(Summary!$C$12,1,1),Summary!$C$11))*('Dvd Calendar'!$AN$55&lt;=MAX(DATE(Summary!$C$12,12,31),Summary!$C$15))*('Dvd Calendar'!$AN$55&lt;=Summary!$C$11)=0,"",'Dvd Calendar'!$AN$55*1000000000+ISNUMBER('Dvd Calendar'!$AN$56)*100000000+('Dvd Calendar'!$AN$60='Field Check'!$C$25)*10000000+(N('Dvd Calendar'!$AN$54)&gt;0)*1000000+4*1000+36))</f>
        <v/>
      </c>
      <c r="AM12" s="41">
        <f>IF(N('Dvd Calendar'!$AO$55)=0,"",IF(('Dvd Calendar'!$AO$55&gt;=MIN(DATE(Summary!$C$12,1,1),Summary!$C$11))*('Dvd Calendar'!$AO$55&lt;=MAX(DATE(Summary!$C$12,12,31),Summary!$C$15))*('Dvd Calendar'!$AO$55&lt;=Summary!$C$11)=0,"",'Dvd Calendar'!$AO$55*1000000000+ISNUMBER('Dvd Calendar'!$AO$56)*100000000+('Dvd Calendar'!$AO$60='Field Check'!$C$25)*10000000+(N('Dvd Calendar'!$AO$54)&gt;0)*1000000+4*1000+37))</f>
        <v/>
      </c>
      <c r="AN12" s="41">
        <f>IF(N('Dvd Calendar'!$AP$55)=0,"",IF(('Dvd Calendar'!$AP$55&gt;=MIN(DATE(Summary!$C$12,1,1),Summary!$C$11))*('Dvd Calendar'!$AP$55&lt;=MAX(DATE(Summary!$C$12,12,31),Summary!$C$15))*('Dvd Calendar'!$AP$55&lt;=Summary!$C$11)=0,"",'Dvd Calendar'!$AP$55*1000000000+ISNUMBER('Dvd Calendar'!$AP$56)*100000000+('Dvd Calendar'!$AP$60='Field Check'!$C$25)*10000000+(N('Dvd Calendar'!$AP$54)&gt;0)*1000000+4*1000+38))</f>
        <v/>
      </c>
      <c r="AO12" s="41">
        <f>IF(N('Dvd Calendar'!$AQ$55)=0,"",IF(('Dvd Calendar'!$AQ$55&gt;=MIN(DATE(Summary!$C$12,1,1),Summary!$C$11))*('Dvd Calendar'!$AQ$55&lt;=MAX(DATE(Summary!$C$12,12,31),Summary!$C$15))*('Dvd Calendar'!$AQ$55&lt;=Summary!$C$11)=0,"",'Dvd Calendar'!$AQ$55*1000000000+ISNUMBER('Dvd Calendar'!$AQ$56)*100000000+('Dvd Calendar'!$AQ$60='Field Check'!$C$25)*10000000+(N('Dvd Calendar'!$AQ$54)&gt;0)*1000000+4*1000+39))</f>
        <v/>
      </c>
      <c r="AP12" s="41">
        <f>IF(N('Dvd Calendar'!$AR$55)=0,"",IF(('Dvd Calendar'!$AR$55&gt;=MIN(DATE(Summary!$C$12,1,1),Summary!$C$11))*('Dvd Calendar'!$AR$55&lt;=MAX(DATE(Summary!$C$12,12,31),Summary!$C$15))*('Dvd Calendar'!$AR$55&lt;=Summary!$C$11)=0,"",'Dvd Calendar'!$AR$55*1000000000+ISNUMBER('Dvd Calendar'!$AR$56)*100000000+('Dvd Calendar'!$AR$60='Field Check'!$C$25)*10000000+(N('Dvd Calendar'!$AR$54)&gt;0)*1000000+4*1000+40))</f>
        <v/>
      </c>
      <c r="AQ12" s="41">
        <f>IF(N('Dvd Calendar'!$E$62)=0,"",IF(('Dvd Calendar'!$E$62&gt;=MIN(DATE(Summary!$C$12,1,1),Summary!$C$11))*('Dvd Calendar'!$E$62&lt;=MAX(DATE(Summary!$C$12,12,31),Summary!$C$15))*('Dvd Calendar'!$E$62&gt;Summary!$C$11)=0,"",'Dvd Calendar'!$E$62*1000000000+ISNUMBER('Dvd Calendar'!$E$63)*100000000+('Dvd Calendar'!$E$67='Field Check'!$C$25)*10000000+(N('Dvd Calendar'!$E$61)&gt;0)*1000000+4*1000+41))</f>
        <v/>
      </c>
      <c r="AR12" s="41">
        <f>IF(N('Dvd Calendar'!$F$62)=0,"",IF(('Dvd Calendar'!$F$62&gt;=MIN(DATE(Summary!$C$12,1,1),Summary!$C$11))*('Dvd Calendar'!$F$62&lt;=MAX(DATE(Summary!$C$12,12,31),Summary!$C$15))*('Dvd Calendar'!$F$62&gt;Summary!$C$11)=0,"",'Dvd Calendar'!$F$62*1000000000+ISNUMBER('Dvd Calendar'!$F$63)*100000000+('Dvd Calendar'!$F$67='Field Check'!$C$25)*10000000+(N('Dvd Calendar'!$F$61)&gt;0)*1000000+4*1000+42))</f>
        <v/>
      </c>
      <c r="AS12" s="41">
        <f>IF(N('Dvd Calendar'!$G$62)=0,"",IF(('Dvd Calendar'!$G$62&gt;=MIN(DATE(Summary!$C$12,1,1),Summary!$C$11))*('Dvd Calendar'!$G$62&lt;=MAX(DATE(Summary!$C$12,12,31),Summary!$C$15))*('Dvd Calendar'!$G$62&gt;Summary!$C$11)=0,"",'Dvd Calendar'!$G$62*1000000000+ISNUMBER('Dvd Calendar'!$G$63)*100000000+('Dvd Calendar'!$G$67='Field Check'!$C$25)*10000000+(N('Dvd Calendar'!$G$61)&gt;0)*1000000+4*1000+43))</f>
        <v/>
      </c>
      <c r="AT12" s="41">
        <f>IF(N('Dvd Calendar'!$H$62)=0,"",IF(('Dvd Calendar'!$H$62&gt;=MIN(DATE(Summary!$C$12,1,1),Summary!$C$11))*('Dvd Calendar'!$H$62&lt;=MAX(DATE(Summary!$C$12,12,31),Summary!$C$15))*('Dvd Calendar'!$H$62&gt;Summary!$C$11)=0,"",'Dvd Calendar'!$H$62*1000000000+ISNUMBER('Dvd Calendar'!$H$63)*100000000+('Dvd Calendar'!$H$67='Field Check'!$C$25)*10000000+(N('Dvd Calendar'!$H$61)&gt;0)*1000000+4*1000+44))</f>
        <v/>
      </c>
      <c r="AU12" s="41">
        <f>IF(N('Dvd Calendar'!$I$62)=0,"",IF(('Dvd Calendar'!$I$62&gt;=MIN(DATE(Summary!$C$12,1,1),Summary!$C$11))*('Dvd Calendar'!$I$62&lt;=MAX(DATE(Summary!$C$12,12,31),Summary!$C$15))*('Dvd Calendar'!$I$62&gt;Summary!$C$11)=0,"",'Dvd Calendar'!$I$62*1000000000+ISNUMBER('Dvd Calendar'!$I$63)*100000000+('Dvd Calendar'!$I$67='Field Check'!$C$25)*10000000+(N('Dvd Calendar'!$I$61)&gt;0)*1000000+4*1000+45))</f>
        <v/>
      </c>
      <c r="AV12" s="41">
        <f>IF(N('Dvd Calendar'!$J$62)=0,"",IF(('Dvd Calendar'!$J$62&gt;=MIN(DATE(Summary!$C$12,1,1),Summary!$C$11))*('Dvd Calendar'!$J$62&lt;=MAX(DATE(Summary!$C$12,12,31),Summary!$C$15))*('Dvd Calendar'!$J$62&gt;Summary!$C$11)=0,"",'Dvd Calendar'!$J$62*1000000000+ISNUMBER('Dvd Calendar'!$J$63)*100000000+('Dvd Calendar'!$J$67='Field Check'!$C$25)*10000000+(N('Dvd Calendar'!$J$61)&gt;0)*1000000+4*1000+46))</f>
        <v/>
      </c>
      <c r="AW12" s="41">
        <f>IF(N('Dvd Calendar'!$K$62)=0,"",IF(('Dvd Calendar'!$K$62&gt;=MIN(DATE(Summary!$C$12,1,1),Summary!$C$11))*('Dvd Calendar'!$K$62&lt;=MAX(DATE(Summary!$C$12,12,31),Summary!$C$15))*('Dvd Calendar'!$K$62&gt;Summary!$C$11)=0,"",'Dvd Calendar'!$K$62*1000000000+ISNUMBER('Dvd Calendar'!$K$63)*100000000+('Dvd Calendar'!$K$67='Field Check'!$C$25)*10000000+(N('Dvd Calendar'!$K$61)&gt;0)*1000000+4*1000+47))</f>
        <v/>
      </c>
      <c r="AX12" s="41">
        <f>IF(N('Dvd Calendar'!$L$62)=0,"",IF(('Dvd Calendar'!$L$62&gt;=MIN(DATE(Summary!$C$12,1,1),Summary!$C$11))*('Dvd Calendar'!$L$62&lt;=MAX(DATE(Summary!$C$12,12,31),Summary!$C$15))*('Dvd Calendar'!$L$62&gt;Summary!$C$11)=0,"",'Dvd Calendar'!$L$62*1000000000+ISNUMBER('Dvd Calendar'!$L$63)*100000000+('Dvd Calendar'!$L$67='Field Check'!$C$25)*10000000+(N('Dvd Calendar'!$L$61)&gt;0)*1000000+4*1000+48))</f>
        <v/>
      </c>
      <c r="AY12" s="41">
        <f>IF(N('Dvd Calendar'!$M$62)=0,"",IF(('Dvd Calendar'!$M$62&gt;=MIN(DATE(Summary!$C$12,1,1),Summary!$C$11))*('Dvd Calendar'!$M$62&lt;=MAX(DATE(Summary!$C$12,12,31),Summary!$C$15))*('Dvd Calendar'!$M$62&gt;Summary!$C$11)=0,"",'Dvd Calendar'!$M$62*1000000000+ISNUMBER('Dvd Calendar'!$M$63)*100000000+('Dvd Calendar'!$M$67='Field Check'!$C$25)*10000000+(N('Dvd Calendar'!$M$61)&gt;0)*1000000+4*1000+49))</f>
        <v/>
      </c>
      <c r="AZ12" s="41">
        <f>IF(N('Dvd Calendar'!$N$62)=0,"",IF(('Dvd Calendar'!$N$62&gt;=MIN(DATE(Summary!$C$12,1,1),Summary!$C$11))*('Dvd Calendar'!$N$62&lt;=MAX(DATE(Summary!$C$12,12,31),Summary!$C$15))*('Dvd Calendar'!$N$62&gt;Summary!$C$11)=0,"",'Dvd Calendar'!$N$62*1000000000+ISNUMBER('Dvd Calendar'!$N$63)*100000000+('Dvd Calendar'!$N$67='Field Check'!$C$25)*10000000+(N('Dvd Calendar'!$N$61)&gt;0)*1000000+4*1000+50))</f>
        <v/>
      </c>
      <c r="BA12" s="41">
        <f>IF(N('Dvd Calendar'!$O$62)=0,"",IF(('Dvd Calendar'!$O$62&gt;=MIN(DATE(Summary!$C$12,1,1),Summary!$C$11))*('Dvd Calendar'!$O$62&lt;=MAX(DATE(Summary!$C$12,12,31),Summary!$C$15))*('Dvd Calendar'!$O$62&gt;Summary!$C$11)=0,"",'Dvd Calendar'!$O$62*1000000000+ISNUMBER('Dvd Calendar'!$O$63)*100000000+('Dvd Calendar'!$O$67='Field Check'!$C$25)*10000000+(N('Dvd Calendar'!$O$61)&gt;0)*1000000+4*1000+51))</f>
        <v/>
      </c>
      <c r="BB12" s="41">
        <f>IF(N('Dvd Calendar'!$P$62)=0,"",IF(('Dvd Calendar'!$P$62&gt;=MIN(DATE(Summary!$C$12,1,1),Summary!$C$11))*('Dvd Calendar'!$P$62&lt;=MAX(DATE(Summary!$C$12,12,31),Summary!$C$15))*('Dvd Calendar'!$P$62&gt;Summary!$C$11)=0,"",'Dvd Calendar'!$P$62*1000000000+ISNUMBER('Dvd Calendar'!$P$63)*100000000+('Dvd Calendar'!$P$67='Field Check'!$C$25)*10000000+(N('Dvd Calendar'!$P$61)&gt;0)*1000000+4*1000+52))</f>
        <v/>
      </c>
      <c r="BC12" s="41">
        <f>IF(N('Dvd Calendar'!$Q$62)=0,"",IF(('Dvd Calendar'!$Q$62&gt;=MIN(DATE(Summary!$C$12,1,1),Summary!$C$11))*('Dvd Calendar'!$Q$62&lt;=MAX(DATE(Summary!$C$12,12,31),Summary!$C$15))*('Dvd Calendar'!$Q$62&gt;Summary!$C$11)=0,"",'Dvd Calendar'!$Q$62*1000000000+ISNUMBER('Dvd Calendar'!$Q$63)*100000000+('Dvd Calendar'!$Q$67='Field Check'!$C$25)*10000000+(N('Dvd Calendar'!$Q$61)&gt;0)*1000000+4*1000+53))</f>
        <v/>
      </c>
      <c r="BD12" s="41">
        <f>IF(N('Dvd Calendar'!$R$62)=0,"",IF(('Dvd Calendar'!$R$62&gt;=MIN(DATE(Summary!$C$12,1,1),Summary!$C$11))*('Dvd Calendar'!$R$62&lt;=MAX(DATE(Summary!$C$12,12,31),Summary!$C$15))*('Dvd Calendar'!$R$62&gt;Summary!$C$11)=0,"",'Dvd Calendar'!$R$62*1000000000+ISNUMBER('Dvd Calendar'!$R$63)*100000000+('Dvd Calendar'!$R$67='Field Check'!$C$25)*10000000+(N('Dvd Calendar'!$R$61)&gt;0)*1000000+4*1000+54))</f>
        <v/>
      </c>
      <c r="BE12" s="41">
        <f>IF(N('Dvd Calendar'!$S$62)=0,"",IF(('Dvd Calendar'!$S$62&gt;=MIN(DATE(Summary!$C$12,1,1),Summary!$C$11))*('Dvd Calendar'!$S$62&lt;=MAX(DATE(Summary!$C$12,12,31),Summary!$C$15))*('Dvd Calendar'!$S$62&gt;Summary!$C$11)=0,"",'Dvd Calendar'!$S$62*1000000000+ISNUMBER('Dvd Calendar'!$S$63)*100000000+('Dvd Calendar'!$S$67='Field Check'!$C$25)*10000000+(N('Dvd Calendar'!$S$61)&gt;0)*1000000+4*1000+55))</f>
        <v/>
      </c>
      <c r="BF12" s="41">
        <f>IF(N('Dvd Calendar'!$T$62)=0,"",IF(('Dvd Calendar'!$T$62&gt;=MIN(DATE(Summary!$C$12,1,1),Summary!$C$11))*('Dvd Calendar'!$T$62&lt;=MAX(DATE(Summary!$C$12,12,31),Summary!$C$15))*('Dvd Calendar'!$T$62&gt;Summary!$C$11)=0,"",'Dvd Calendar'!$T$62*1000000000+ISNUMBER('Dvd Calendar'!$T$63)*100000000+('Dvd Calendar'!$T$67='Field Check'!$C$25)*10000000+(N('Dvd Calendar'!$T$61)&gt;0)*1000000+4*1000+56))</f>
        <v/>
      </c>
      <c r="BG12" s="41">
        <f>IF(N('Dvd Calendar'!$U$62)=0,"",IF(('Dvd Calendar'!$U$62&gt;=MIN(DATE(Summary!$C$12,1,1),Summary!$C$11))*('Dvd Calendar'!$U$62&lt;=MAX(DATE(Summary!$C$12,12,31),Summary!$C$15))*('Dvd Calendar'!$U$62&gt;Summary!$C$11)=0,"",'Dvd Calendar'!$U$62*1000000000+ISNUMBER('Dvd Calendar'!$U$63)*100000000+('Dvd Calendar'!$U$67='Field Check'!$C$25)*10000000+(N('Dvd Calendar'!$U$61)&gt;0)*1000000+4*1000+57))</f>
        <v/>
      </c>
      <c r="BH12" s="41">
        <f>IF(N('Dvd Calendar'!$V$62)=0,"",IF(('Dvd Calendar'!$V$62&gt;=MIN(DATE(Summary!$C$12,1,1),Summary!$C$11))*('Dvd Calendar'!$V$62&lt;=MAX(DATE(Summary!$C$12,12,31),Summary!$C$15))*('Dvd Calendar'!$V$62&gt;Summary!$C$11)=0,"",'Dvd Calendar'!$V$62*1000000000+ISNUMBER('Dvd Calendar'!$V$63)*100000000+('Dvd Calendar'!$V$67='Field Check'!$C$25)*10000000+(N('Dvd Calendar'!$V$61)&gt;0)*1000000+4*1000+58))</f>
        <v/>
      </c>
      <c r="BI12" s="41">
        <f>IF(N('Dvd Calendar'!$W$62)=0,"",IF(('Dvd Calendar'!$W$62&gt;=MIN(DATE(Summary!$C$12,1,1),Summary!$C$11))*('Dvd Calendar'!$W$62&lt;=MAX(DATE(Summary!$C$12,12,31),Summary!$C$15))*('Dvd Calendar'!$W$62&gt;Summary!$C$11)=0,"",'Dvd Calendar'!$W$62*1000000000+ISNUMBER('Dvd Calendar'!$W$63)*100000000+('Dvd Calendar'!$W$67='Field Check'!$C$25)*10000000+(N('Dvd Calendar'!$W$61)&gt;0)*1000000+4*1000+59))</f>
        <v/>
      </c>
      <c r="BJ12" s="41">
        <f>IF(N('Dvd Calendar'!$X$62)=0,"",IF(('Dvd Calendar'!$X$62&gt;=MIN(DATE(Summary!$C$12,1,1),Summary!$C$11))*('Dvd Calendar'!$X$62&lt;=MAX(DATE(Summary!$C$12,12,31),Summary!$C$15))*('Dvd Calendar'!$X$62&gt;Summary!$C$11)=0,"",'Dvd Calendar'!$X$62*1000000000+ISNUMBER('Dvd Calendar'!$X$63)*100000000+('Dvd Calendar'!$X$67='Field Check'!$C$25)*10000000+(N('Dvd Calendar'!$X$61)&gt;0)*1000000+4*1000+60))</f>
        <v/>
      </c>
      <c r="BK12" s="41">
        <f>IF(N('Dvd Calendar'!$Y$62)=0,"",IF(('Dvd Calendar'!$Y$62&gt;=MIN(DATE(Summary!$C$12,1,1),Summary!$C$11))*('Dvd Calendar'!$Y$62&lt;=MAX(DATE(Summary!$C$12,12,31),Summary!$C$15))*('Dvd Calendar'!$Y$62&gt;Summary!$C$11)=0,"",'Dvd Calendar'!$Y$62*1000000000+ISNUMBER('Dvd Calendar'!$Y$63)*100000000+('Dvd Calendar'!$Y$67='Field Check'!$C$25)*10000000+(N('Dvd Calendar'!$Y$61)&gt;0)*1000000+4*1000+61))</f>
        <v/>
      </c>
      <c r="BL12" s="41">
        <f>IF(N('Dvd Calendar'!$Z$62)=0,"",IF(('Dvd Calendar'!$Z$62&gt;=MIN(DATE(Summary!$C$12,1,1),Summary!$C$11))*('Dvd Calendar'!$Z$62&lt;=MAX(DATE(Summary!$C$12,12,31),Summary!$C$15))*('Dvd Calendar'!$Z$62&gt;Summary!$C$11)=0,"",'Dvd Calendar'!$Z$62*1000000000+ISNUMBER('Dvd Calendar'!$Z$63)*100000000+('Dvd Calendar'!$Z$67='Field Check'!$C$25)*10000000+(N('Dvd Calendar'!$Z$61)&gt;0)*1000000+4*1000+62))</f>
        <v/>
      </c>
      <c r="BM12" s="41">
        <f>IF(N('Dvd Calendar'!$AA$62)=0,"",IF(('Dvd Calendar'!$AA$62&gt;=MIN(DATE(Summary!$C$12,1,1),Summary!$C$11))*('Dvd Calendar'!$AA$62&lt;=MAX(DATE(Summary!$C$12,12,31),Summary!$C$15))*('Dvd Calendar'!$AA$62&gt;Summary!$C$11)=0,"",'Dvd Calendar'!$AA$62*1000000000+ISNUMBER('Dvd Calendar'!$AA$63)*100000000+('Dvd Calendar'!$AA$67='Field Check'!$C$25)*10000000+(N('Dvd Calendar'!$AA$61)&gt;0)*1000000+4*1000+63))</f>
        <v/>
      </c>
      <c r="BN12" s="41">
        <f>IF(N('Dvd Calendar'!$AB$62)=0,"",IF(('Dvd Calendar'!$AB$62&gt;=MIN(DATE(Summary!$C$12,1,1),Summary!$C$11))*('Dvd Calendar'!$AB$62&lt;=MAX(DATE(Summary!$C$12,12,31),Summary!$C$15))*('Dvd Calendar'!$AB$62&gt;Summary!$C$11)=0,"",'Dvd Calendar'!$AB$62*1000000000+ISNUMBER('Dvd Calendar'!$AB$63)*100000000+('Dvd Calendar'!$AB$67='Field Check'!$C$25)*10000000+(N('Dvd Calendar'!$AB$61)&gt;0)*1000000+4*1000+64))</f>
        <v/>
      </c>
      <c r="BO12" s="41">
        <f>IF(N('Dvd Calendar'!$AC$62)=0,"",IF(('Dvd Calendar'!$AC$62&gt;=MIN(DATE(Summary!$C$12,1,1),Summary!$C$11))*('Dvd Calendar'!$AC$62&lt;=MAX(DATE(Summary!$C$12,12,31),Summary!$C$15))*('Dvd Calendar'!$AC$62&gt;Summary!$C$11)=0,"",'Dvd Calendar'!$AC$62*1000000000+ISNUMBER('Dvd Calendar'!$AC$63)*100000000+('Dvd Calendar'!$AC$67='Field Check'!$C$25)*10000000+(N('Dvd Calendar'!$AC$61)&gt;0)*1000000+4*1000+65))</f>
        <v/>
      </c>
      <c r="BQ12" s="85">
        <f>IF(C12="","",IF(ISNUMBER('Dvd Calendar'!$E$56)=FALSE,"",IF((Summary!$C$13="N")*('Dvd Calendar'!$E$60='Field Check'!$C$25)&gt;0,"",'Dvd Calendar'!$E$56)))</f>
        <v/>
      </c>
      <c r="BR12" s="85">
        <f>IF(D12="","",IF(ISNUMBER('Dvd Calendar'!$F$56)=FALSE,"",IF((Summary!$C$13="N")*('Dvd Calendar'!$F$60='Field Check'!$C$25)&gt;0,"",'Dvd Calendar'!$F$56)))</f>
        <v/>
      </c>
      <c r="BS12" s="85">
        <f>IF(E12="","",IF(ISNUMBER('Dvd Calendar'!$G$56)=FALSE,"",IF((Summary!$C$13="N")*('Dvd Calendar'!$G$60='Field Check'!$C$25)&gt;0,"",'Dvd Calendar'!$G$56)))</f>
        <v/>
      </c>
      <c r="BT12" s="85">
        <f>IF(F12="","",IF(ISNUMBER('Dvd Calendar'!$H$56)=FALSE,"",IF((Summary!$C$13="N")*('Dvd Calendar'!$H$60='Field Check'!$C$25)&gt;0,"",'Dvd Calendar'!$H$56)))</f>
        <v/>
      </c>
      <c r="BU12" s="85">
        <f>IF(G12="","",IF(ISNUMBER('Dvd Calendar'!$I$56)=FALSE,"",IF((Summary!$C$13="N")*('Dvd Calendar'!$I$60='Field Check'!$C$25)&gt;0,"",'Dvd Calendar'!$I$56)))</f>
        <v/>
      </c>
      <c r="BV12" s="85">
        <f>IF(H12="","",IF(ISNUMBER('Dvd Calendar'!$J$56)=FALSE,"",IF((Summary!$C$13="N")*('Dvd Calendar'!$J$60='Field Check'!$C$25)&gt;0,"",'Dvd Calendar'!$J$56)))</f>
        <v/>
      </c>
      <c r="BW12" s="85">
        <f>IF(I12="","",IF(ISNUMBER('Dvd Calendar'!$K$56)=FALSE,"",IF((Summary!$C$13="N")*('Dvd Calendar'!$K$60='Field Check'!$C$25)&gt;0,"",'Dvd Calendar'!$K$56)))</f>
        <v/>
      </c>
      <c r="BX12" s="85">
        <f>IF(J12="","",IF(ISNUMBER('Dvd Calendar'!$L$56)=FALSE,"",IF((Summary!$C$13="N")*('Dvd Calendar'!$L$60='Field Check'!$C$25)&gt;0,"",'Dvd Calendar'!$L$56)))</f>
        <v/>
      </c>
      <c r="BY12" s="85">
        <f>IF(K12="","",IF(ISNUMBER('Dvd Calendar'!$M$56)=FALSE,"",IF((Summary!$C$13="N")*('Dvd Calendar'!$M$60='Field Check'!$C$25)&gt;0,"",'Dvd Calendar'!$M$56)))</f>
        <v/>
      </c>
      <c r="BZ12" s="85">
        <f>IF(L12="","",IF(ISNUMBER('Dvd Calendar'!$N$56)=FALSE,"",IF((Summary!$C$13="N")*('Dvd Calendar'!$N$60='Field Check'!$C$25)&gt;0,"",'Dvd Calendar'!$N$56)))</f>
        <v/>
      </c>
      <c r="CA12" s="85">
        <f>IF(M12="","",IF(ISNUMBER('Dvd Calendar'!$O$56)=FALSE,"",IF((Summary!$C$13="N")*('Dvd Calendar'!$O$60='Field Check'!$C$25)&gt;0,"",'Dvd Calendar'!$O$56)))</f>
        <v/>
      </c>
      <c r="CB12" s="85">
        <f>IF(N12="","",IF(ISNUMBER('Dvd Calendar'!$P$56)=FALSE,"",IF((Summary!$C$13="N")*('Dvd Calendar'!$P$60='Field Check'!$C$25)&gt;0,"",'Dvd Calendar'!$P$56)))</f>
        <v/>
      </c>
      <c r="CC12" s="85">
        <f>IF(O12="","",IF(ISNUMBER('Dvd Calendar'!$Q$56)=FALSE,"",IF((Summary!$C$13="N")*('Dvd Calendar'!$Q$60='Field Check'!$C$25)&gt;0,"",'Dvd Calendar'!$Q$56)))</f>
        <v/>
      </c>
      <c r="CD12" s="85">
        <f>IF(P12="","",IF(ISNUMBER('Dvd Calendar'!$R$56)=FALSE,"",IF((Summary!$C$13="N")*('Dvd Calendar'!$R$60='Field Check'!$C$25)&gt;0,"",'Dvd Calendar'!$R$56)))</f>
        <v/>
      </c>
      <c r="CE12" s="85">
        <f>IF(Q12="","",IF(ISNUMBER('Dvd Calendar'!$S$56)=FALSE,"",IF((Summary!$C$13="N")*('Dvd Calendar'!$S$60='Field Check'!$C$25)&gt;0,"",'Dvd Calendar'!$S$56)))</f>
        <v/>
      </c>
      <c r="CF12" s="85">
        <f>IF(R12="","",IF(ISNUMBER('Dvd Calendar'!$T$56)=FALSE,"",IF((Summary!$C$13="N")*('Dvd Calendar'!$T$60='Field Check'!$C$25)&gt;0,"",'Dvd Calendar'!$T$56)))</f>
        <v/>
      </c>
      <c r="CG12" s="85">
        <f>IF(S12="","",IF(ISNUMBER('Dvd Calendar'!$U$56)=FALSE,"",IF((Summary!$C$13="N")*('Dvd Calendar'!$U$60='Field Check'!$C$25)&gt;0,"",'Dvd Calendar'!$U$56)))</f>
        <v/>
      </c>
      <c r="CH12" s="85">
        <f>IF(T12="","",IF(ISNUMBER('Dvd Calendar'!$V$56)=FALSE,"",IF((Summary!$C$13="N")*('Dvd Calendar'!$V$60='Field Check'!$C$25)&gt;0,"",'Dvd Calendar'!$V$56)))</f>
        <v/>
      </c>
      <c r="CI12" s="85">
        <f>IF(U12="","",IF(ISNUMBER('Dvd Calendar'!$W$56)=FALSE,"",IF((Summary!$C$13="N")*('Dvd Calendar'!$W$60='Field Check'!$C$25)&gt;0,"",'Dvd Calendar'!$W$56)))</f>
        <v/>
      </c>
      <c r="CJ12" s="85">
        <f>IF(V12="","",IF(ISNUMBER('Dvd Calendar'!$X$56)=FALSE,"",IF((Summary!$C$13="N")*('Dvd Calendar'!$X$60='Field Check'!$C$25)&gt;0,"",'Dvd Calendar'!$X$56)))</f>
        <v/>
      </c>
      <c r="CK12" s="85">
        <f>IF(W12="","",IF(ISNUMBER('Dvd Calendar'!$Y$56)=FALSE,"",IF((Summary!$C$13="N")*('Dvd Calendar'!$Y$60='Field Check'!$C$25)&gt;0,"",'Dvd Calendar'!$Y$56)))</f>
        <v/>
      </c>
      <c r="CL12" s="85">
        <f>IF(X12="","",IF(ISNUMBER('Dvd Calendar'!$Z$56)=FALSE,"",IF((Summary!$C$13="N")*('Dvd Calendar'!$Z$60='Field Check'!$C$25)&gt;0,"",'Dvd Calendar'!$Z$56)))</f>
        <v/>
      </c>
      <c r="CM12" s="85">
        <f>IF(Y12="","",IF(ISNUMBER('Dvd Calendar'!$AA$56)=FALSE,"",IF((Summary!$C$13="N")*('Dvd Calendar'!$AA$60='Field Check'!$C$25)&gt;0,"",'Dvd Calendar'!$AA$56)))</f>
        <v/>
      </c>
      <c r="CN12" s="85">
        <f>IF(Z12="","",IF(ISNUMBER('Dvd Calendar'!$AB$56)=FALSE,"",IF((Summary!$C$13="N")*('Dvd Calendar'!$AB$60='Field Check'!$C$25)&gt;0,"",'Dvd Calendar'!$AB$56)))</f>
        <v/>
      </c>
      <c r="CO12" s="85">
        <f>IF(AA12="","",IF(ISNUMBER('Dvd Calendar'!$AC$56)=FALSE,"",IF((Summary!$C$13="N")*('Dvd Calendar'!$AC$60='Field Check'!$C$25)&gt;0,"",'Dvd Calendar'!$AC$56)))</f>
        <v/>
      </c>
      <c r="CP12" s="85">
        <f>IF(AB12="","",IF(ISNUMBER('Dvd Calendar'!$AD$56)=FALSE,"",IF((Summary!$C$13="N")*('Dvd Calendar'!$AD$60='Field Check'!$C$25)&gt;0,"",'Dvd Calendar'!$AD$56)))</f>
        <v/>
      </c>
      <c r="CQ12" s="85">
        <f>IF(AC12="","",IF(ISNUMBER('Dvd Calendar'!$AE$56)=FALSE,"",IF((Summary!$C$13="N")*('Dvd Calendar'!$AE$60='Field Check'!$C$25)&gt;0,"",'Dvd Calendar'!$AE$56)))</f>
        <v/>
      </c>
      <c r="CR12" s="85">
        <f>IF(AD12="","",IF(ISNUMBER('Dvd Calendar'!$AF$56)=FALSE,"",IF((Summary!$C$13="N")*('Dvd Calendar'!$AF$60='Field Check'!$C$25)&gt;0,"",'Dvd Calendar'!$AF$56)))</f>
        <v/>
      </c>
      <c r="CS12" s="85">
        <f>IF(AE12="","",IF(ISNUMBER('Dvd Calendar'!$AG$56)=FALSE,"",IF((Summary!$C$13="N")*('Dvd Calendar'!$AG$60='Field Check'!$C$25)&gt;0,"",'Dvd Calendar'!$AG$56)))</f>
        <v/>
      </c>
      <c r="CT12" s="85">
        <f>IF(AF12="","",IF(ISNUMBER('Dvd Calendar'!$AH$56)=FALSE,"",IF((Summary!$C$13="N")*('Dvd Calendar'!$AH$60='Field Check'!$C$25)&gt;0,"",'Dvd Calendar'!$AH$56)))</f>
        <v/>
      </c>
      <c r="CU12" s="85">
        <f>IF(AG12="","",IF(ISNUMBER('Dvd Calendar'!$AI$56)=FALSE,"",IF((Summary!$C$13="N")*('Dvd Calendar'!$AI$60='Field Check'!$C$25)&gt;0,"",'Dvd Calendar'!$AI$56)))</f>
        <v/>
      </c>
      <c r="CV12" s="85">
        <f>IF(AH12="","",IF(ISNUMBER('Dvd Calendar'!$AJ$56)=FALSE,"",IF((Summary!$C$13="N")*('Dvd Calendar'!$AJ$60='Field Check'!$C$25)&gt;0,"",'Dvd Calendar'!$AJ$56)))</f>
        <v/>
      </c>
      <c r="CW12" s="85">
        <f>IF(AI12="","",IF(ISNUMBER('Dvd Calendar'!$AK$56)=FALSE,"",IF((Summary!$C$13="N")*('Dvd Calendar'!$AK$60='Field Check'!$C$25)&gt;0,"",'Dvd Calendar'!$AK$56)))</f>
        <v/>
      </c>
      <c r="CX12" s="85">
        <f>IF(AJ12="","",IF(ISNUMBER('Dvd Calendar'!$AL$56)=FALSE,"",IF((Summary!$C$13="N")*('Dvd Calendar'!$AL$60='Field Check'!$C$25)&gt;0,"",'Dvd Calendar'!$AL$56)))</f>
        <v/>
      </c>
      <c r="CY12" s="85">
        <f>IF(AK12="","",IF(ISNUMBER('Dvd Calendar'!$AM$56)=FALSE,"",IF((Summary!$C$13="N")*('Dvd Calendar'!$AM$60='Field Check'!$C$25)&gt;0,"",'Dvd Calendar'!$AM$56)))</f>
        <v/>
      </c>
      <c r="CZ12" s="85">
        <f>IF(AL12="","",IF(ISNUMBER('Dvd Calendar'!$AN$56)=FALSE,"",IF((Summary!$C$13="N")*('Dvd Calendar'!$AN$60='Field Check'!$C$25)&gt;0,"",'Dvd Calendar'!$AN$56)))</f>
        <v/>
      </c>
      <c r="DA12" s="85">
        <f>IF(AM12="","",IF(ISNUMBER('Dvd Calendar'!$AO$56)=FALSE,"",IF((Summary!$C$13="N")*('Dvd Calendar'!$AO$60='Field Check'!$C$25)&gt;0,"",'Dvd Calendar'!$AO$56)))</f>
        <v/>
      </c>
      <c r="DB12" s="85">
        <f>IF(AN12="","",IF(ISNUMBER('Dvd Calendar'!$AP$56)=FALSE,"",IF((Summary!$C$13="N")*('Dvd Calendar'!$AP$60='Field Check'!$C$25)&gt;0,"",'Dvd Calendar'!$AP$56)))</f>
        <v/>
      </c>
      <c r="DC12" s="85">
        <f>IF(AO12="","",IF(ISNUMBER('Dvd Calendar'!$AQ$56)=FALSE,"",IF((Summary!$C$13="N")*('Dvd Calendar'!$AQ$60='Field Check'!$C$25)&gt;0,"",'Dvd Calendar'!$AQ$56)))</f>
        <v/>
      </c>
      <c r="DD12" s="85">
        <f>IF(AP12="","",IF(ISNUMBER('Dvd Calendar'!$AR$56)=FALSE,"",IF((Summary!$C$13="N")*('Dvd Calendar'!$AR$60='Field Check'!$C$25)&gt;0,"",'Dvd Calendar'!$AR$56)))</f>
        <v/>
      </c>
      <c r="DE12" s="85">
        <f>IF(AQ12="","",IF(ISNUMBER('Dvd Calendar'!$E$63)=FALSE,"",IF((Summary!$C$13="N")*('Dvd Calendar'!$E$67='Field Check'!$C$25)&gt;0,"",'Dvd Calendar'!$E$63)))</f>
        <v/>
      </c>
      <c r="DF12" s="85">
        <f>IF(AR12="","",IF(ISNUMBER('Dvd Calendar'!$F$63)=FALSE,"",IF((Summary!$C$13="N")*('Dvd Calendar'!$F$67='Field Check'!$C$25)&gt;0,"",'Dvd Calendar'!$F$63)))</f>
        <v/>
      </c>
      <c r="DG12" s="85">
        <f>IF(AS12="","",IF(ISNUMBER('Dvd Calendar'!$G$63)=FALSE,"",IF((Summary!$C$13="N")*('Dvd Calendar'!$G$67='Field Check'!$C$25)&gt;0,"",'Dvd Calendar'!$G$63)))</f>
        <v/>
      </c>
      <c r="DH12" s="85">
        <f>IF(AT12="","",IF(ISNUMBER('Dvd Calendar'!$H$63)=FALSE,"",IF((Summary!$C$13="N")*('Dvd Calendar'!$H$67='Field Check'!$C$25)&gt;0,"",'Dvd Calendar'!$H$63)))</f>
        <v/>
      </c>
      <c r="DI12" s="85">
        <f>IF(AU12="","",IF(ISNUMBER('Dvd Calendar'!$I$63)=FALSE,"",IF((Summary!$C$13="N")*('Dvd Calendar'!$I$67='Field Check'!$C$25)&gt;0,"",'Dvd Calendar'!$I$63)))</f>
        <v/>
      </c>
      <c r="DJ12" s="85">
        <f>IF(AV12="","",IF(ISNUMBER('Dvd Calendar'!$J$63)=FALSE,"",IF((Summary!$C$13="N")*('Dvd Calendar'!$J$67='Field Check'!$C$25)&gt;0,"",'Dvd Calendar'!$J$63)))</f>
        <v/>
      </c>
      <c r="DK12" s="85">
        <f>IF(AW12="","",IF(ISNUMBER('Dvd Calendar'!$K$63)=FALSE,"",IF((Summary!$C$13="N")*('Dvd Calendar'!$K$67='Field Check'!$C$25)&gt;0,"",'Dvd Calendar'!$K$63)))</f>
        <v/>
      </c>
      <c r="DL12" s="85">
        <f>IF(AX12="","",IF(ISNUMBER('Dvd Calendar'!$L$63)=FALSE,"",IF((Summary!$C$13="N")*('Dvd Calendar'!$L$67='Field Check'!$C$25)&gt;0,"",'Dvd Calendar'!$L$63)))</f>
        <v/>
      </c>
      <c r="DM12" s="85">
        <f>IF(AY12="","",IF(ISNUMBER('Dvd Calendar'!$M$63)=FALSE,"",IF((Summary!$C$13="N")*('Dvd Calendar'!$M$67='Field Check'!$C$25)&gt;0,"",'Dvd Calendar'!$M$63)))</f>
        <v/>
      </c>
      <c r="DN12" s="85">
        <f>IF(AZ12="","",IF(ISNUMBER('Dvd Calendar'!$N$63)=FALSE,"",IF((Summary!$C$13="N")*('Dvd Calendar'!$N$67='Field Check'!$C$25)&gt;0,"",'Dvd Calendar'!$N$63)))</f>
        <v/>
      </c>
      <c r="DO12" s="85">
        <f>IF(BA12="","",IF(ISNUMBER('Dvd Calendar'!$O$63)=FALSE,"",IF((Summary!$C$13="N")*('Dvd Calendar'!$O$67='Field Check'!$C$25)&gt;0,"",'Dvd Calendar'!$O$63)))</f>
        <v/>
      </c>
      <c r="DP12" s="85">
        <f>IF(BB12="","",IF(ISNUMBER('Dvd Calendar'!$P$63)=FALSE,"",IF((Summary!$C$13="N")*('Dvd Calendar'!$P$67='Field Check'!$C$25)&gt;0,"",'Dvd Calendar'!$P$63)))</f>
        <v/>
      </c>
      <c r="DQ12" s="85">
        <f>IF(BC12="","",IF(ISNUMBER('Dvd Calendar'!$Q$63)=FALSE,"",IF((Summary!$C$13="N")*('Dvd Calendar'!$Q$67='Field Check'!$C$25)&gt;0,"",'Dvd Calendar'!$Q$63)))</f>
        <v/>
      </c>
      <c r="DR12" s="85">
        <f>IF(BD12="","",IF(ISNUMBER('Dvd Calendar'!$R$63)=FALSE,"",IF((Summary!$C$13="N")*('Dvd Calendar'!$R$67='Field Check'!$C$25)&gt;0,"",'Dvd Calendar'!$R$63)))</f>
        <v/>
      </c>
      <c r="DS12" s="85">
        <f>IF(BE12="","",IF(ISNUMBER('Dvd Calendar'!$S$63)=FALSE,"",IF((Summary!$C$13="N")*('Dvd Calendar'!$S$67='Field Check'!$C$25)&gt;0,"",'Dvd Calendar'!$S$63)))</f>
        <v/>
      </c>
      <c r="DT12" s="85">
        <f>IF(BF12="","",IF(ISNUMBER('Dvd Calendar'!$T$63)=FALSE,"",IF((Summary!$C$13="N")*('Dvd Calendar'!$T$67='Field Check'!$C$25)&gt;0,"",'Dvd Calendar'!$T$63)))</f>
        <v/>
      </c>
      <c r="DU12" s="85">
        <f>IF(BG12="","",IF(ISNUMBER('Dvd Calendar'!$U$63)=FALSE,"",IF((Summary!$C$13="N")*('Dvd Calendar'!$U$67='Field Check'!$C$25)&gt;0,"",'Dvd Calendar'!$U$63)))</f>
        <v/>
      </c>
      <c r="DV12" s="85">
        <f>IF(BH12="","",IF(ISNUMBER('Dvd Calendar'!$V$63)=FALSE,"",IF((Summary!$C$13="N")*('Dvd Calendar'!$V$67='Field Check'!$C$25)&gt;0,"",'Dvd Calendar'!$V$63)))</f>
        <v/>
      </c>
      <c r="DW12" s="85">
        <f>IF(BI12="","",IF(ISNUMBER('Dvd Calendar'!$W$63)=FALSE,"",IF((Summary!$C$13="N")*('Dvd Calendar'!$W$67='Field Check'!$C$25)&gt;0,"",'Dvd Calendar'!$W$63)))</f>
        <v/>
      </c>
      <c r="DX12" s="85">
        <f>IF(BJ12="","",IF(ISNUMBER('Dvd Calendar'!$X$63)=FALSE,"",IF((Summary!$C$13="N")*('Dvd Calendar'!$X$67='Field Check'!$C$25)&gt;0,"",'Dvd Calendar'!$X$63)))</f>
        <v/>
      </c>
      <c r="DY12" s="85">
        <f>IF(BK12="","",IF(ISNUMBER('Dvd Calendar'!$Y$63)=FALSE,"",IF((Summary!$C$13="N")*('Dvd Calendar'!$Y$67='Field Check'!$C$25)&gt;0,"",'Dvd Calendar'!$Y$63)))</f>
        <v/>
      </c>
      <c r="DZ12" s="85">
        <f>IF(BL12="","",IF(ISNUMBER('Dvd Calendar'!$Z$63)=FALSE,"",IF((Summary!$C$13="N")*('Dvd Calendar'!$Z$67='Field Check'!$C$25)&gt;0,"",'Dvd Calendar'!$Z$63)))</f>
        <v/>
      </c>
      <c r="EA12" s="85">
        <f>IF(BM12="","",IF(ISNUMBER('Dvd Calendar'!$AA$63)=FALSE,"",IF((Summary!$C$13="N")*('Dvd Calendar'!$AA$67='Field Check'!$C$25)&gt;0,"",'Dvd Calendar'!$AA$63)))</f>
        <v/>
      </c>
      <c r="EB12" s="85">
        <f>IF(BN12="","",IF(ISNUMBER('Dvd Calendar'!$AB$63)=FALSE,"",IF((Summary!$C$13="N")*('Dvd Calendar'!$AB$67='Field Check'!$C$25)&gt;0,"",'Dvd Calendar'!$AB$63)))</f>
        <v/>
      </c>
      <c r="EC12" s="85">
        <f>IF(BO12="","",IF(ISNUMBER('Dvd Calendar'!$AC$63)=FALSE,"",IF((Summary!$C$13="N")*('Dvd Calendar'!$AC$67='Field Check'!$C$25)&gt;0,"",'Dvd Calendar'!$AC$63)))</f>
        <v/>
      </c>
      <c r="EE12" s="85">
        <f>IF(BQ12="","",IFERROR(BQ12*HSI!$B$10*HSI!$G$10/HSI!$B$3,""))</f>
        <v/>
      </c>
      <c r="EF12" s="85">
        <f>IF(BR12="","",IFERROR(BR12*HSI!$B$10*HSI!$G$10/HSI!$B$3,""))</f>
        <v/>
      </c>
      <c r="EG12" s="85">
        <f>IF(BS12="","",IFERROR(BS12*HSI!$B$10*HSI!$G$10/HSI!$B$3,""))</f>
        <v/>
      </c>
      <c r="EH12" s="85">
        <f>IF(BT12="","",IFERROR(BT12*HSI!$B$10*HSI!$G$10/HSI!$B$3,""))</f>
        <v/>
      </c>
      <c r="EI12" s="85">
        <f>IF(BU12="","",IFERROR(BU12*HSI!$B$10*HSI!$G$10/HSI!$B$3,""))</f>
        <v/>
      </c>
      <c r="EJ12" s="85">
        <f>IF(BV12="","",IFERROR(BV12*HSI!$B$10*HSI!$G$10/HSI!$B$3,""))</f>
        <v/>
      </c>
      <c r="EK12" s="85">
        <f>IF(BW12="","",IFERROR(BW12*HSI!$B$10*HSI!$G$10/HSI!$B$3,""))</f>
        <v/>
      </c>
      <c r="EL12" s="85">
        <f>IF(BX12="","",IFERROR(BX12*HSI!$B$10*HSI!$G$10/HSI!$B$3,""))</f>
        <v/>
      </c>
      <c r="EM12" s="85">
        <f>IF(BY12="","",IFERROR(BY12*HSI!$B$10*HSI!$G$10/HSI!$B$3,""))</f>
        <v/>
      </c>
      <c r="EN12" s="85">
        <f>IF(BZ12="","",IFERROR(BZ12*HSI!$B$10*HSI!$G$10/HSI!$B$3,""))</f>
        <v/>
      </c>
      <c r="EO12" s="85">
        <f>IF(CA12="","",IFERROR(CA12*HSI!$B$10*HSI!$G$10/HSI!$B$3,""))</f>
        <v/>
      </c>
      <c r="EP12" s="85">
        <f>IF(CB12="","",IFERROR(CB12*HSI!$B$10*HSI!$G$10/HSI!$B$3,""))</f>
        <v/>
      </c>
      <c r="EQ12" s="85">
        <f>IF(CC12="","",IFERROR(CC12*HSI!$B$10*HSI!$G$10/HSI!$B$3,""))</f>
        <v/>
      </c>
      <c r="ER12" s="85">
        <f>IF(CD12="","",IFERROR(CD12*HSI!$B$10*HSI!$G$10/HSI!$B$3,""))</f>
        <v/>
      </c>
      <c r="ES12" s="85">
        <f>IF(CE12="","",IFERROR(CE12*HSI!$B$10*HSI!$G$10/HSI!$B$3,""))</f>
        <v/>
      </c>
      <c r="ET12" s="85">
        <f>IF(CF12="","",IFERROR(CF12*HSI!$B$10*HSI!$G$10/HSI!$B$3,""))</f>
        <v/>
      </c>
      <c r="EU12" s="85">
        <f>IF(CG12="","",IFERROR(CG12*HSI!$B$10*HSI!$G$10/HSI!$B$3,""))</f>
        <v/>
      </c>
      <c r="EV12" s="85">
        <f>IF(CH12="","",IFERROR(CH12*HSI!$B$10*HSI!$G$10/HSI!$B$3,""))</f>
        <v/>
      </c>
      <c r="EW12" s="85">
        <f>IF(CI12="","",IFERROR(CI12*HSI!$B$10*HSI!$G$10/HSI!$B$3,""))</f>
        <v/>
      </c>
      <c r="EX12" s="85">
        <f>IF(CJ12="","",IFERROR(CJ12*HSI!$B$10*HSI!$G$10/HSI!$B$3,""))</f>
        <v/>
      </c>
      <c r="EY12" s="85">
        <f>IF(CK12="","",IFERROR(CK12*HSI!$B$10*HSI!$G$10/HSI!$B$3,""))</f>
        <v/>
      </c>
      <c r="EZ12" s="85">
        <f>IF(CL12="","",IFERROR(CL12*HSI!$B$10*HSI!$G$10/HSI!$B$3,""))</f>
        <v/>
      </c>
      <c r="FA12" s="85">
        <f>IF(CM12="","",IFERROR(CM12*HSI!$B$10*HSI!$G$10/HSI!$B$3,""))</f>
        <v/>
      </c>
      <c r="FB12" s="85">
        <f>IF(CN12="","",IFERROR(CN12*HSI!$B$10*HSI!$G$10/HSI!$B$3,""))</f>
        <v/>
      </c>
      <c r="FC12" s="85">
        <f>IF(CO12="","",IFERROR(CO12*HSI!$B$10*HSI!$G$10/HSI!$B$3,""))</f>
        <v/>
      </c>
      <c r="FD12" s="85">
        <f>IF(CP12="","",IFERROR(CP12*HSI!$B$10*HSI!$G$10/HSI!$B$3,""))</f>
        <v/>
      </c>
      <c r="FE12" s="85">
        <f>IF(CQ12="","",IFERROR(CQ12*HSI!$B$10*HSI!$G$10/HSI!$B$3,""))</f>
        <v/>
      </c>
      <c r="FF12" s="85">
        <f>IF(CR12="","",IFERROR(CR12*HSI!$B$10*HSI!$G$10/HSI!$B$3,""))</f>
        <v/>
      </c>
      <c r="FG12" s="85">
        <f>IF(CS12="","",IFERROR(CS12*HSI!$B$10*HSI!$G$10/HSI!$B$3,""))</f>
        <v/>
      </c>
      <c r="FH12" s="85">
        <f>IF(CT12="","",IFERROR(CT12*HSI!$B$10*HSI!$G$10/HSI!$B$3,""))</f>
        <v/>
      </c>
      <c r="FI12" s="85">
        <f>IF(CU12="","",IFERROR(CU12*HSI!$B$10*HSI!$G$10/HSI!$B$3,""))</f>
        <v/>
      </c>
      <c r="FJ12" s="85">
        <f>IF(CV12="","",IFERROR(CV12*HSI!$B$10*HSI!$G$10/HSI!$B$3,""))</f>
        <v/>
      </c>
      <c r="FK12" s="85">
        <f>IF(CW12="","",IFERROR(CW12*HSI!$B$10*HSI!$G$10/HSI!$B$3,""))</f>
        <v/>
      </c>
      <c r="FL12" s="85">
        <f>IF(CX12="","",IFERROR(CX12*HSI!$B$10*HSI!$G$10/HSI!$B$3,""))</f>
        <v/>
      </c>
      <c r="FM12" s="85">
        <f>IF(CY12="","",IFERROR(CY12*HSI!$B$10*HSI!$G$10/HSI!$B$3,""))</f>
        <v/>
      </c>
      <c r="FN12" s="85">
        <f>IF(CZ12="","",IFERROR(CZ12*HSI!$B$10*HSI!$G$10/HSI!$B$3,""))</f>
        <v/>
      </c>
      <c r="FO12" s="85">
        <f>IF(DA12="","",IFERROR(DA12*HSI!$B$10*HSI!$G$10/HSI!$B$3,""))</f>
        <v/>
      </c>
      <c r="FP12" s="85">
        <f>IF(DB12="","",IFERROR(DB12*HSI!$B$10*HSI!$G$10/HSI!$B$3,""))</f>
        <v/>
      </c>
      <c r="FQ12" s="85">
        <f>IF(DC12="","",IFERROR(DC12*HSI!$B$10*HSI!$G$10/HSI!$B$3,""))</f>
        <v/>
      </c>
      <c r="FR12" s="85">
        <f>IF(DD12="","",IFERROR(DD12*HSI!$B$10*HSI!$G$10/HSI!$B$3,""))</f>
        <v/>
      </c>
      <c r="FS12" s="85">
        <f>IF(DE12="","",IFERROR(DE12*HSI!$B$10*HSI!$G$10/HSI!$B$3,""))</f>
        <v/>
      </c>
      <c r="FT12" s="85">
        <f>IF(DF12="","",IFERROR(DF12*HSI!$B$10*HSI!$G$10/HSI!$B$3,""))</f>
        <v/>
      </c>
      <c r="FU12" s="85">
        <f>IF(DG12="","",IFERROR(DG12*HSI!$B$10*HSI!$G$10/HSI!$B$3,""))</f>
        <v/>
      </c>
      <c r="FV12" s="85">
        <f>IF(DH12="","",IFERROR(DH12*HSI!$B$10*HSI!$G$10/HSI!$B$3,""))</f>
        <v/>
      </c>
      <c r="FW12" s="85">
        <f>IF(DI12="","",IFERROR(DI12*HSI!$B$10*HSI!$G$10/HSI!$B$3,""))</f>
        <v/>
      </c>
      <c r="FX12" s="85">
        <f>IF(DJ12="","",IFERROR(DJ12*HSI!$B$10*HSI!$G$10/HSI!$B$3,""))</f>
        <v/>
      </c>
      <c r="FY12" s="85">
        <f>IF(DK12="","",IFERROR(DK12*HSI!$B$10*HSI!$G$10/HSI!$B$3,""))</f>
        <v/>
      </c>
      <c r="FZ12" s="85">
        <f>IF(DL12="","",IFERROR(DL12*HSI!$B$10*HSI!$G$10/HSI!$B$3,""))</f>
        <v/>
      </c>
      <c r="GA12" s="85">
        <f>IF(DM12="","",IFERROR(DM12*HSI!$B$10*HSI!$G$10/HSI!$B$3,""))</f>
        <v/>
      </c>
      <c r="GB12" s="85">
        <f>IF(DN12="","",IFERROR(DN12*HSI!$B$10*HSI!$G$10/HSI!$B$3,""))</f>
        <v/>
      </c>
      <c r="GC12" s="85">
        <f>IF(DO12="","",IFERROR(DO12*HSI!$B$10*HSI!$G$10/HSI!$B$3,""))</f>
        <v/>
      </c>
      <c r="GD12" s="85">
        <f>IF(DP12="","",IFERROR(DP12*HSI!$B$10*HSI!$G$10/HSI!$B$3,""))</f>
        <v/>
      </c>
      <c r="GE12" s="85">
        <f>IF(DQ12="","",IFERROR(DQ12*HSI!$B$10*HSI!$G$10/HSI!$B$3,""))</f>
        <v/>
      </c>
      <c r="GF12" s="85">
        <f>IF(DR12="","",IFERROR(DR12*HSI!$B$10*HSI!$G$10/HSI!$B$3,""))</f>
        <v/>
      </c>
      <c r="GG12" s="85">
        <f>IF(DS12="","",IFERROR(DS12*HSI!$B$10*HSI!$G$10/HSI!$B$3,""))</f>
        <v/>
      </c>
      <c r="GH12" s="85">
        <f>IF(DT12="","",IFERROR(DT12*HSI!$B$10*HSI!$G$10/HSI!$B$3,""))</f>
        <v/>
      </c>
      <c r="GI12" s="85">
        <f>IF(DU12="","",IFERROR(DU12*HSI!$B$10*HSI!$G$10/HSI!$B$3,""))</f>
        <v/>
      </c>
      <c r="GJ12" s="85">
        <f>IF(DV12="","",IFERROR(DV12*HSI!$B$10*HSI!$G$10/HSI!$B$3,""))</f>
        <v/>
      </c>
      <c r="GK12" s="85">
        <f>IF(DW12="","",IFERROR(DW12*HSI!$B$10*HSI!$G$10/HSI!$B$3,""))</f>
        <v/>
      </c>
      <c r="GL12" s="85">
        <f>IF(DX12="","",IFERROR(DX12*HSI!$B$10*HSI!$G$10/HSI!$B$3,""))</f>
        <v/>
      </c>
      <c r="GM12" s="85">
        <f>IF(DY12="","",IFERROR(DY12*HSI!$B$10*HSI!$G$10/HSI!$B$3,""))</f>
        <v/>
      </c>
      <c r="GN12" s="85">
        <f>IF(DZ12="","",IFERROR(DZ12*HSI!$B$10*HSI!$G$10/HSI!$B$3,""))</f>
        <v/>
      </c>
      <c r="GO12" s="85">
        <f>IF(EA12="","",IFERROR(EA12*HSI!$B$10*HSI!$G$10/HSI!$B$3,""))</f>
        <v/>
      </c>
      <c r="GP12" s="85">
        <f>IF(EB12="","",IFERROR(EB12*HSI!$B$10*HSI!$G$10/HSI!$B$3,""))</f>
        <v/>
      </c>
      <c r="GQ12" s="85">
        <f>IF(EC12="","",IFERROR(EC12*HSI!$B$10*HSI!$G$10/HSI!$B$3,""))</f>
        <v/>
      </c>
    </row>
    <row r="13">
      <c r="B13" s="2">
        <f>IF(HSI!$C$11="","",HSI!$C$11)</f>
        <v/>
      </c>
      <c r="C13" s="41">
        <f>IF(N('Dvd Calendar'!$E$70)=0,"",IF(('Dvd Calendar'!$E$70&gt;=MIN(DATE(Summary!$C$12,1,1),Summary!$C$11))*('Dvd Calendar'!$E$70&lt;=MAX(DATE(Summary!$C$12,12,31),Summary!$C$15))*('Dvd Calendar'!$E$70&lt;=Summary!$C$11)=0,"",'Dvd Calendar'!$E$70*1000000000+ISNUMBER('Dvd Calendar'!$E$71)*100000000+('Dvd Calendar'!$E$75='Field Check'!$C$25)*10000000+(N('Dvd Calendar'!$E$69)&gt;0)*1000000+5*1000+1))</f>
        <v/>
      </c>
      <c r="D13" s="41">
        <f>IF(N('Dvd Calendar'!$F$70)=0,"",IF(('Dvd Calendar'!$F$70&gt;=MIN(DATE(Summary!$C$12,1,1),Summary!$C$11))*('Dvd Calendar'!$F$70&lt;=MAX(DATE(Summary!$C$12,12,31),Summary!$C$15))*('Dvd Calendar'!$F$70&lt;=Summary!$C$11)=0,"",'Dvd Calendar'!$F$70*1000000000+ISNUMBER('Dvd Calendar'!$F$71)*100000000+('Dvd Calendar'!$F$75='Field Check'!$C$25)*10000000+(N('Dvd Calendar'!$F$69)&gt;0)*1000000+5*1000+2))</f>
        <v/>
      </c>
      <c r="E13" s="41">
        <f>IF(N('Dvd Calendar'!$G$70)=0,"",IF(('Dvd Calendar'!$G$70&gt;=MIN(DATE(Summary!$C$12,1,1),Summary!$C$11))*('Dvd Calendar'!$G$70&lt;=MAX(DATE(Summary!$C$12,12,31),Summary!$C$15))*('Dvd Calendar'!$G$70&lt;=Summary!$C$11)=0,"",'Dvd Calendar'!$G$70*1000000000+ISNUMBER('Dvd Calendar'!$G$71)*100000000+('Dvd Calendar'!$G$75='Field Check'!$C$25)*10000000+(N('Dvd Calendar'!$G$69)&gt;0)*1000000+5*1000+3))</f>
        <v/>
      </c>
      <c r="F13" s="41">
        <f>IF(N('Dvd Calendar'!$H$70)=0,"",IF(('Dvd Calendar'!$H$70&gt;=MIN(DATE(Summary!$C$12,1,1),Summary!$C$11))*('Dvd Calendar'!$H$70&lt;=MAX(DATE(Summary!$C$12,12,31),Summary!$C$15))*('Dvd Calendar'!$H$70&lt;=Summary!$C$11)=0,"",'Dvd Calendar'!$H$70*1000000000+ISNUMBER('Dvd Calendar'!$H$71)*100000000+('Dvd Calendar'!$H$75='Field Check'!$C$25)*10000000+(N('Dvd Calendar'!$H$69)&gt;0)*1000000+5*1000+4))</f>
        <v/>
      </c>
      <c r="G13" s="41">
        <f>IF(N('Dvd Calendar'!$I$70)=0,"",IF(('Dvd Calendar'!$I$70&gt;=MIN(DATE(Summary!$C$12,1,1),Summary!$C$11))*('Dvd Calendar'!$I$70&lt;=MAX(DATE(Summary!$C$12,12,31),Summary!$C$15))*('Dvd Calendar'!$I$70&lt;=Summary!$C$11)=0,"",'Dvd Calendar'!$I$70*1000000000+ISNUMBER('Dvd Calendar'!$I$71)*100000000+('Dvd Calendar'!$I$75='Field Check'!$C$25)*10000000+(N('Dvd Calendar'!$I$69)&gt;0)*1000000+5*1000+5))</f>
        <v/>
      </c>
      <c r="H13" s="41">
        <f>IF(N('Dvd Calendar'!$J$70)=0,"",IF(('Dvd Calendar'!$J$70&gt;=MIN(DATE(Summary!$C$12,1,1),Summary!$C$11))*('Dvd Calendar'!$J$70&lt;=MAX(DATE(Summary!$C$12,12,31),Summary!$C$15))*('Dvd Calendar'!$J$70&lt;=Summary!$C$11)=0,"",'Dvd Calendar'!$J$70*1000000000+ISNUMBER('Dvd Calendar'!$J$71)*100000000+('Dvd Calendar'!$J$75='Field Check'!$C$25)*10000000+(N('Dvd Calendar'!$J$69)&gt;0)*1000000+5*1000+6))</f>
        <v/>
      </c>
      <c r="I13" s="41">
        <f>IF(N('Dvd Calendar'!$K$70)=0,"",IF(('Dvd Calendar'!$K$70&gt;=MIN(DATE(Summary!$C$12,1,1),Summary!$C$11))*('Dvd Calendar'!$K$70&lt;=MAX(DATE(Summary!$C$12,12,31),Summary!$C$15))*('Dvd Calendar'!$K$70&lt;=Summary!$C$11)=0,"",'Dvd Calendar'!$K$70*1000000000+ISNUMBER('Dvd Calendar'!$K$71)*100000000+('Dvd Calendar'!$K$75='Field Check'!$C$25)*10000000+(N('Dvd Calendar'!$K$69)&gt;0)*1000000+5*1000+7))</f>
        <v/>
      </c>
      <c r="J13" s="41">
        <f>IF(N('Dvd Calendar'!$L$70)=0,"",IF(('Dvd Calendar'!$L$70&gt;=MIN(DATE(Summary!$C$12,1,1),Summary!$C$11))*('Dvd Calendar'!$L$70&lt;=MAX(DATE(Summary!$C$12,12,31),Summary!$C$15))*('Dvd Calendar'!$L$70&lt;=Summary!$C$11)=0,"",'Dvd Calendar'!$L$70*1000000000+ISNUMBER('Dvd Calendar'!$L$71)*100000000+('Dvd Calendar'!$L$75='Field Check'!$C$25)*10000000+(N('Dvd Calendar'!$L$69)&gt;0)*1000000+5*1000+8))</f>
        <v/>
      </c>
      <c r="K13" s="41">
        <f>IF(N('Dvd Calendar'!$M$70)=0,"",IF(('Dvd Calendar'!$M$70&gt;=MIN(DATE(Summary!$C$12,1,1),Summary!$C$11))*('Dvd Calendar'!$M$70&lt;=MAX(DATE(Summary!$C$12,12,31),Summary!$C$15))*('Dvd Calendar'!$M$70&lt;=Summary!$C$11)=0,"",'Dvd Calendar'!$M$70*1000000000+ISNUMBER('Dvd Calendar'!$M$71)*100000000+('Dvd Calendar'!$M$75='Field Check'!$C$25)*10000000+(N('Dvd Calendar'!$M$69)&gt;0)*1000000+5*1000+9))</f>
        <v/>
      </c>
      <c r="L13" s="41">
        <f>IF(N('Dvd Calendar'!$N$70)=0,"",IF(('Dvd Calendar'!$N$70&gt;=MIN(DATE(Summary!$C$12,1,1),Summary!$C$11))*('Dvd Calendar'!$N$70&lt;=MAX(DATE(Summary!$C$12,12,31),Summary!$C$15))*('Dvd Calendar'!$N$70&lt;=Summary!$C$11)=0,"",'Dvd Calendar'!$N$70*1000000000+ISNUMBER('Dvd Calendar'!$N$71)*100000000+('Dvd Calendar'!$N$75='Field Check'!$C$25)*10000000+(N('Dvd Calendar'!$N$69)&gt;0)*1000000+5*1000+10))</f>
        <v/>
      </c>
      <c r="M13" s="41">
        <f>IF(N('Dvd Calendar'!$O$70)=0,"",IF(('Dvd Calendar'!$O$70&gt;=MIN(DATE(Summary!$C$12,1,1),Summary!$C$11))*('Dvd Calendar'!$O$70&lt;=MAX(DATE(Summary!$C$12,12,31),Summary!$C$15))*('Dvd Calendar'!$O$70&lt;=Summary!$C$11)=0,"",'Dvd Calendar'!$O$70*1000000000+ISNUMBER('Dvd Calendar'!$O$71)*100000000+('Dvd Calendar'!$O$75='Field Check'!$C$25)*10000000+(N('Dvd Calendar'!$O$69)&gt;0)*1000000+5*1000+11))</f>
        <v/>
      </c>
      <c r="N13" s="41">
        <f>IF(N('Dvd Calendar'!$P$70)=0,"",IF(('Dvd Calendar'!$P$70&gt;=MIN(DATE(Summary!$C$12,1,1),Summary!$C$11))*('Dvd Calendar'!$P$70&lt;=MAX(DATE(Summary!$C$12,12,31),Summary!$C$15))*('Dvd Calendar'!$P$70&lt;=Summary!$C$11)=0,"",'Dvd Calendar'!$P$70*1000000000+ISNUMBER('Dvd Calendar'!$P$71)*100000000+('Dvd Calendar'!$P$75='Field Check'!$C$25)*10000000+(N('Dvd Calendar'!$P$69)&gt;0)*1000000+5*1000+12))</f>
        <v/>
      </c>
      <c r="O13" s="41">
        <f>IF(N('Dvd Calendar'!$Q$70)=0,"",IF(('Dvd Calendar'!$Q$70&gt;=MIN(DATE(Summary!$C$12,1,1),Summary!$C$11))*('Dvd Calendar'!$Q$70&lt;=MAX(DATE(Summary!$C$12,12,31),Summary!$C$15))*('Dvd Calendar'!$Q$70&lt;=Summary!$C$11)=0,"",'Dvd Calendar'!$Q$70*1000000000+ISNUMBER('Dvd Calendar'!$Q$71)*100000000+('Dvd Calendar'!$Q$75='Field Check'!$C$25)*10000000+(N('Dvd Calendar'!$Q$69)&gt;0)*1000000+5*1000+13))</f>
        <v/>
      </c>
      <c r="P13" s="41">
        <f>IF(N('Dvd Calendar'!$R$70)=0,"",IF(('Dvd Calendar'!$R$70&gt;=MIN(DATE(Summary!$C$12,1,1),Summary!$C$11))*('Dvd Calendar'!$R$70&lt;=MAX(DATE(Summary!$C$12,12,31),Summary!$C$15))*('Dvd Calendar'!$R$70&lt;=Summary!$C$11)=0,"",'Dvd Calendar'!$R$70*1000000000+ISNUMBER('Dvd Calendar'!$R$71)*100000000+('Dvd Calendar'!$R$75='Field Check'!$C$25)*10000000+(N('Dvd Calendar'!$R$69)&gt;0)*1000000+5*1000+14))</f>
        <v/>
      </c>
      <c r="Q13" s="41">
        <f>IF(N('Dvd Calendar'!$S$70)=0,"",IF(('Dvd Calendar'!$S$70&gt;=MIN(DATE(Summary!$C$12,1,1),Summary!$C$11))*('Dvd Calendar'!$S$70&lt;=MAX(DATE(Summary!$C$12,12,31),Summary!$C$15))*('Dvd Calendar'!$S$70&lt;=Summary!$C$11)=0,"",'Dvd Calendar'!$S$70*1000000000+ISNUMBER('Dvd Calendar'!$S$71)*100000000+('Dvd Calendar'!$S$75='Field Check'!$C$25)*10000000+(N('Dvd Calendar'!$S$69)&gt;0)*1000000+5*1000+15))</f>
        <v/>
      </c>
      <c r="R13" s="41">
        <f>IF(N('Dvd Calendar'!$T$70)=0,"",IF(('Dvd Calendar'!$T$70&gt;=MIN(DATE(Summary!$C$12,1,1),Summary!$C$11))*('Dvd Calendar'!$T$70&lt;=MAX(DATE(Summary!$C$12,12,31),Summary!$C$15))*('Dvd Calendar'!$T$70&lt;=Summary!$C$11)=0,"",'Dvd Calendar'!$T$70*1000000000+ISNUMBER('Dvd Calendar'!$T$71)*100000000+('Dvd Calendar'!$T$75='Field Check'!$C$25)*10000000+(N('Dvd Calendar'!$T$69)&gt;0)*1000000+5*1000+16))</f>
        <v/>
      </c>
      <c r="S13" s="41">
        <f>IF(N('Dvd Calendar'!$U$70)=0,"",IF(('Dvd Calendar'!$U$70&gt;=MIN(DATE(Summary!$C$12,1,1),Summary!$C$11))*('Dvd Calendar'!$U$70&lt;=MAX(DATE(Summary!$C$12,12,31),Summary!$C$15))*('Dvd Calendar'!$U$70&lt;=Summary!$C$11)=0,"",'Dvd Calendar'!$U$70*1000000000+ISNUMBER('Dvd Calendar'!$U$71)*100000000+('Dvd Calendar'!$U$75='Field Check'!$C$25)*10000000+(N('Dvd Calendar'!$U$69)&gt;0)*1000000+5*1000+17))</f>
        <v/>
      </c>
      <c r="T13" s="41">
        <f>IF(N('Dvd Calendar'!$V$70)=0,"",IF(('Dvd Calendar'!$V$70&gt;=MIN(DATE(Summary!$C$12,1,1),Summary!$C$11))*('Dvd Calendar'!$V$70&lt;=MAX(DATE(Summary!$C$12,12,31),Summary!$C$15))*('Dvd Calendar'!$V$70&lt;=Summary!$C$11)=0,"",'Dvd Calendar'!$V$70*1000000000+ISNUMBER('Dvd Calendar'!$V$71)*100000000+('Dvd Calendar'!$V$75='Field Check'!$C$25)*10000000+(N('Dvd Calendar'!$V$69)&gt;0)*1000000+5*1000+18))</f>
        <v/>
      </c>
      <c r="U13" s="41">
        <f>IF(N('Dvd Calendar'!$W$70)=0,"",IF(('Dvd Calendar'!$W$70&gt;=MIN(DATE(Summary!$C$12,1,1),Summary!$C$11))*('Dvd Calendar'!$W$70&lt;=MAX(DATE(Summary!$C$12,12,31),Summary!$C$15))*('Dvd Calendar'!$W$70&lt;=Summary!$C$11)=0,"",'Dvd Calendar'!$W$70*1000000000+ISNUMBER('Dvd Calendar'!$W$71)*100000000+('Dvd Calendar'!$W$75='Field Check'!$C$25)*10000000+(N('Dvd Calendar'!$W$69)&gt;0)*1000000+5*1000+19))</f>
        <v/>
      </c>
      <c r="V13" s="41">
        <f>IF(N('Dvd Calendar'!$X$70)=0,"",IF(('Dvd Calendar'!$X$70&gt;=MIN(DATE(Summary!$C$12,1,1),Summary!$C$11))*('Dvd Calendar'!$X$70&lt;=MAX(DATE(Summary!$C$12,12,31),Summary!$C$15))*('Dvd Calendar'!$X$70&lt;=Summary!$C$11)=0,"",'Dvd Calendar'!$X$70*1000000000+ISNUMBER('Dvd Calendar'!$X$71)*100000000+('Dvd Calendar'!$X$75='Field Check'!$C$25)*10000000+(N('Dvd Calendar'!$X$69)&gt;0)*1000000+5*1000+20))</f>
        <v/>
      </c>
      <c r="W13" s="41">
        <f>IF(N('Dvd Calendar'!$Y$70)=0,"",IF(('Dvd Calendar'!$Y$70&gt;=MIN(DATE(Summary!$C$12,1,1),Summary!$C$11))*('Dvd Calendar'!$Y$70&lt;=MAX(DATE(Summary!$C$12,12,31),Summary!$C$15))*('Dvd Calendar'!$Y$70&lt;=Summary!$C$11)=0,"",'Dvd Calendar'!$Y$70*1000000000+ISNUMBER('Dvd Calendar'!$Y$71)*100000000+('Dvd Calendar'!$Y$75='Field Check'!$C$25)*10000000+(N('Dvd Calendar'!$Y$69)&gt;0)*1000000+5*1000+21))</f>
        <v/>
      </c>
      <c r="X13" s="41">
        <f>IF(N('Dvd Calendar'!$Z$70)=0,"",IF(('Dvd Calendar'!$Z$70&gt;=MIN(DATE(Summary!$C$12,1,1),Summary!$C$11))*('Dvd Calendar'!$Z$70&lt;=MAX(DATE(Summary!$C$12,12,31),Summary!$C$15))*('Dvd Calendar'!$Z$70&lt;=Summary!$C$11)=0,"",'Dvd Calendar'!$Z$70*1000000000+ISNUMBER('Dvd Calendar'!$Z$71)*100000000+('Dvd Calendar'!$Z$75='Field Check'!$C$25)*10000000+(N('Dvd Calendar'!$Z$69)&gt;0)*1000000+5*1000+22))</f>
        <v/>
      </c>
      <c r="Y13" s="41">
        <f>IF(N('Dvd Calendar'!$AA$70)=0,"",IF(('Dvd Calendar'!$AA$70&gt;=MIN(DATE(Summary!$C$12,1,1),Summary!$C$11))*('Dvd Calendar'!$AA$70&lt;=MAX(DATE(Summary!$C$12,12,31),Summary!$C$15))*('Dvd Calendar'!$AA$70&lt;=Summary!$C$11)=0,"",'Dvd Calendar'!$AA$70*1000000000+ISNUMBER('Dvd Calendar'!$AA$71)*100000000+('Dvd Calendar'!$AA$75='Field Check'!$C$25)*10000000+(N('Dvd Calendar'!$AA$69)&gt;0)*1000000+5*1000+23))</f>
        <v/>
      </c>
      <c r="Z13" s="41">
        <f>IF(N('Dvd Calendar'!$AB$70)=0,"",IF(('Dvd Calendar'!$AB$70&gt;=MIN(DATE(Summary!$C$12,1,1),Summary!$C$11))*('Dvd Calendar'!$AB$70&lt;=MAX(DATE(Summary!$C$12,12,31),Summary!$C$15))*('Dvd Calendar'!$AB$70&lt;=Summary!$C$11)=0,"",'Dvd Calendar'!$AB$70*1000000000+ISNUMBER('Dvd Calendar'!$AB$71)*100000000+('Dvd Calendar'!$AB$75='Field Check'!$C$25)*10000000+(N('Dvd Calendar'!$AB$69)&gt;0)*1000000+5*1000+24))</f>
        <v/>
      </c>
      <c r="AA13" s="41">
        <f>IF(N('Dvd Calendar'!$AC$70)=0,"",IF(('Dvd Calendar'!$AC$70&gt;=MIN(DATE(Summary!$C$12,1,1),Summary!$C$11))*('Dvd Calendar'!$AC$70&lt;=MAX(DATE(Summary!$C$12,12,31),Summary!$C$15))*('Dvd Calendar'!$AC$70&lt;=Summary!$C$11)=0,"",'Dvd Calendar'!$AC$70*1000000000+ISNUMBER('Dvd Calendar'!$AC$71)*100000000+('Dvd Calendar'!$AC$75='Field Check'!$C$25)*10000000+(N('Dvd Calendar'!$AC$69)&gt;0)*1000000+5*1000+25))</f>
        <v/>
      </c>
      <c r="AB13" s="41">
        <f>IF(N('Dvd Calendar'!$AD$70)=0,"",IF(('Dvd Calendar'!$AD$70&gt;=MIN(DATE(Summary!$C$12,1,1),Summary!$C$11))*('Dvd Calendar'!$AD$70&lt;=MAX(DATE(Summary!$C$12,12,31),Summary!$C$15))*('Dvd Calendar'!$AD$70&lt;=Summary!$C$11)=0,"",'Dvd Calendar'!$AD$70*1000000000+ISNUMBER('Dvd Calendar'!$AD$71)*100000000+('Dvd Calendar'!$AD$75='Field Check'!$C$25)*10000000+(N('Dvd Calendar'!$AD$69)&gt;0)*1000000+5*1000+26))</f>
        <v/>
      </c>
      <c r="AC13" s="41">
        <f>IF(N('Dvd Calendar'!$AE$70)=0,"",IF(('Dvd Calendar'!$AE$70&gt;=MIN(DATE(Summary!$C$12,1,1),Summary!$C$11))*('Dvd Calendar'!$AE$70&lt;=MAX(DATE(Summary!$C$12,12,31),Summary!$C$15))*('Dvd Calendar'!$AE$70&lt;=Summary!$C$11)=0,"",'Dvd Calendar'!$AE$70*1000000000+ISNUMBER('Dvd Calendar'!$AE$71)*100000000+('Dvd Calendar'!$AE$75='Field Check'!$C$25)*10000000+(N('Dvd Calendar'!$AE$69)&gt;0)*1000000+5*1000+27))</f>
        <v/>
      </c>
      <c r="AD13" s="41">
        <f>IF(N('Dvd Calendar'!$AF$70)=0,"",IF(('Dvd Calendar'!$AF$70&gt;=MIN(DATE(Summary!$C$12,1,1),Summary!$C$11))*('Dvd Calendar'!$AF$70&lt;=MAX(DATE(Summary!$C$12,12,31),Summary!$C$15))*('Dvd Calendar'!$AF$70&lt;=Summary!$C$11)=0,"",'Dvd Calendar'!$AF$70*1000000000+ISNUMBER('Dvd Calendar'!$AF$71)*100000000+('Dvd Calendar'!$AF$75='Field Check'!$C$25)*10000000+(N('Dvd Calendar'!$AF$69)&gt;0)*1000000+5*1000+28))</f>
        <v/>
      </c>
      <c r="AE13" s="41">
        <f>IF(N('Dvd Calendar'!$AG$70)=0,"",IF(('Dvd Calendar'!$AG$70&gt;=MIN(DATE(Summary!$C$12,1,1),Summary!$C$11))*('Dvd Calendar'!$AG$70&lt;=MAX(DATE(Summary!$C$12,12,31),Summary!$C$15))*('Dvd Calendar'!$AG$70&lt;=Summary!$C$11)=0,"",'Dvd Calendar'!$AG$70*1000000000+ISNUMBER('Dvd Calendar'!$AG$71)*100000000+('Dvd Calendar'!$AG$75='Field Check'!$C$25)*10000000+(N('Dvd Calendar'!$AG$69)&gt;0)*1000000+5*1000+29))</f>
        <v/>
      </c>
      <c r="AF13" s="41">
        <f>IF(N('Dvd Calendar'!$AH$70)=0,"",IF(('Dvd Calendar'!$AH$70&gt;=MIN(DATE(Summary!$C$12,1,1),Summary!$C$11))*('Dvd Calendar'!$AH$70&lt;=MAX(DATE(Summary!$C$12,12,31),Summary!$C$15))*('Dvd Calendar'!$AH$70&lt;=Summary!$C$11)=0,"",'Dvd Calendar'!$AH$70*1000000000+ISNUMBER('Dvd Calendar'!$AH$71)*100000000+('Dvd Calendar'!$AH$75='Field Check'!$C$25)*10000000+(N('Dvd Calendar'!$AH$69)&gt;0)*1000000+5*1000+30))</f>
        <v/>
      </c>
      <c r="AG13" s="41">
        <f>IF(N('Dvd Calendar'!$AI$70)=0,"",IF(('Dvd Calendar'!$AI$70&gt;=MIN(DATE(Summary!$C$12,1,1),Summary!$C$11))*('Dvd Calendar'!$AI$70&lt;=MAX(DATE(Summary!$C$12,12,31),Summary!$C$15))*('Dvd Calendar'!$AI$70&lt;=Summary!$C$11)=0,"",'Dvd Calendar'!$AI$70*1000000000+ISNUMBER('Dvd Calendar'!$AI$71)*100000000+('Dvd Calendar'!$AI$75='Field Check'!$C$25)*10000000+(N('Dvd Calendar'!$AI$69)&gt;0)*1000000+5*1000+31))</f>
        <v/>
      </c>
      <c r="AH13" s="41">
        <f>IF(N('Dvd Calendar'!$AJ$70)=0,"",IF(('Dvd Calendar'!$AJ$70&gt;=MIN(DATE(Summary!$C$12,1,1),Summary!$C$11))*('Dvd Calendar'!$AJ$70&lt;=MAX(DATE(Summary!$C$12,12,31),Summary!$C$15))*('Dvd Calendar'!$AJ$70&lt;=Summary!$C$11)=0,"",'Dvd Calendar'!$AJ$70*1000000000+ISNUMBER('Dvd Calendar'!$AJ$71)*100000000+('Dvd Calendar'!$AJ$75='Field Check'!$C$25)*10000000+(N('Dvd Calendar'!$AJ$69)&gt;0)*1000000+5*1000+32))</f>
        <v/>
      </c>
      <c r="AI13" s="41">
        <f>IF(N('Dvd Calendar'!$AK$70)=0,"",IF(('Dvd Calendar'!$AK$70&gt;=MIN(DATE(Summary!$C$12,1,1),Summary!$C$11))*('Dvd Calendar'!$AK$70&lt;=MAX(DATE(Summary!$C$12,12,31),Summary!$C$15))*('Dvd Calendar'!$AK$70&lt;=Summary!$C$11)=0,"",'Dvd Calendar'!$AK$70*1000000000+ISNUMBER('Dvd Calendar'!$AK$71)*100000000+('Dvd Calendar'!$AK$75='Field Check'!$C$25)*10000000+(N('Dvd Calendar'!$AK$69)&gt;0)*1000000+5*1000+33))</f>
        <v/>
      </c>
      <c r="AJ13" s="41">
        <f>IF(N('Dvd Calendar'!$AL$70)=0,"",IF(('Dvd Calendar'!$AL$70&gt;=MIN(DATE(Summary!$C$12,1,1),Summary!$C$11))*('Dvd Calendar'!$AL$70&lt;=MAX(DATE(Summary!$C$12,12,31),Summary!$C$15))*('Dvd Calendar'!$AL$70&lt;=Summary!$C$11)=0,"",'Dvd Calendar'!$AL$70*1000000000+ISNUMBER('Dvd Calendar'!$AL$71)*100000000+('Dvd Calendar'!$AL$75='Field Check'!$C$25)*10000000+(N('Dvd Calendar'!$AL$69)&gt;0)*1000000+5*1000+34))</f>
        <v/>
      </c>
      <c r="AK13" s="41">
        <f>IF(N('Dvd Calendar'!$AM$70)=0,"",IF(('Dvd Calendar'!$AM$70&gt;=MIN(DATE(Summary!$C$12,1,1),Summary!$C$11))*('Dvd Calendar'!$AM$70&lt;=MAX(DATE(Summary!$C$12,12,31),Summary!$C$15))*('Dvd Calendar'!$AM$70&lt;=Summary!$C$11)=0,"",'Dvd Calendar'!$AM$70*1000000000+ISNUMBER('Dvd Calendar'!$AM$71)*100000000+('Dvd Calendar'!$AM$75='Field Check'!$C$25)*10000000+(N('Dvd Calendar'!$AM$69)&gt;0)*1000000+5*1000+35))</f>
        <v/>
      </c>
      <c r="AL13" s="41">
        <f>IF(N('Dvd Calendar'!$AN$70)=0,"",IF(('Dvd Calendar'!$AN$70&gt;=MIN(DATE(Summary!$C$12,1,1),Summary!$C$11))*('Dvd Calendar'!$AN$70&lt;=MAX(DATE(Summary!$C$12,12,31),Summary!$C$15))*('Dvd Calendar'!$AN$70&lt;=Summary!$C$11)=0,"",'Dvd Calendar'!$AN$70*1000000000+ISNUMBER('Dvd Calendar'!$AN$71)*100000000+('Dvd Calendar'!$AN$75='Field Check'!$C$25)*10000000+(N('Dvd Calendar'!$AN$69)&gt;0)*1000000+5*1000+36))</f>
        <v/>
      </c>
      <c r="AM13" s="41">
        <f>IF(N('Dvd Calendar'!$AO$70)=0,"",IF(('Dvd Calendar'!$AO$70&gt;=MIN(DATE(Summary!$C$12,1,1),Summary!$C$11))*('Dvd Calendar'!$AO$70&lt;=MAX(DATE(Summary!$C$12,12,31),Summary!$C$15))*('Dvd Calendar'!$AO$70&lt;=Summary!$C$11)=0,"",'Dvd Calendar'!$AO$70*1000000000+ISNUMBER('Dvd Calendar'!$AO$71)*100000000+('Dvd Calendar'!$AO$75='Field Check'!$C$25)*10000000+(N('Dvd Calendar'!$AO$69)&gt;0)*1000000+5*1000+37))</f>
        <v/>
      </c>
      <c r="AN13" s="41">
        <f>IF(N('Dvd Calendar'!$AP$70)=0,"",IF(('Dvd Calendar'!$AP$70&gt;=MIN(DATE(Summary!$C$12,1,1),Summary!$C$11))*('Dvd Calendar'!$AP$70&lt;=MAX(DATE(Summary!$C$12,12,31),Summary!$C$15))*('Dvd Calendar'!$AP$70&lt;=Summary!$C$11)=0,"",'Dvd Calendar'!$AP$70*1000000000+ISNUMBER('Dvd Calendar'!$AP$71)*100000000+('Dvd Calendar'!$AP$75='Field Check'!$C$25)*10000000+(N('Dvd Calendar'!$AP$69)&gt;0)*1000000+5*1000+38))</f>
        <v/>
      </c>
      <c r="AO13" s="41">
        <f>IF(N('Dvd Calendar'!$AQ$70)=0,"",IF(('Dvd Calendar'!$AQ$70&gt;=MIN(DATE(Summary!$C$12,1,1),Summary!$C$11))*('Dvd Calendar'!$AQ$70&lt;=MAX(DATE(Summary!$C$12,12,31),Summary!$C$15))*('Dvd Calendar'!$AQ$70&lt;=Summary!$C$11)=0,"",'Dvd Calendar'!$AQ$70*1000000000+ISNUMBER('Dvd Calendar'!$AQ$71)*100000000+('Dvd Calendar'!$AQ$75='Field Check'!$C$25)*10000000+(N('Dvd Calendar'!$AQ$69)&gt;0)*1000000+5*1000+39))</f>
        <v/>
      </c>
      <c r="AP13" s="41">
        <f>IF(N('Dvd Calendar'!$AR$70)=0,"",IF(('Dvd Calendar'!$AR$70&gt;=MIN(DATE(Summary!$C$12,1,1),Summary!$C$11))*('Dvd Calendar'!$AR$70&lt;=MAX(DATE(Summary!$C$12,12,31),Summary!$C$15))*('Dvd Calendar'!$AR$70&lt;=Summary!$C$11)=0,"",'Dvd Calendar'!$AR$70*1000000000+ISNUMBER('Dvd Calendar'!$AR$71)*100000000+('Dvd Calendar'!$AR$75='Field Check'!$C$25)*10000000+(N('Dvd Calendar'!$AR$69)&gt;0)*1000000+5*1000+40))</f>
        <v/>
      </c>
      <c r="AQ13" s="41">
        <f>IF(N('Dvd Calendar'!$E$77)=0,"",IF(('Dvd Calendar'!$E$77&gt;=MIN(DATE(Summary!$C$12,1,1),Summary!$C$11))*('Dvd Calendar'!$E$77&lt;=MAX(DATE(Summary!$C$12,12,31),Summary!$C$15))*('Dvd Calendar'!$E$77&gt;Summary!$C$11)=0,"",'Dvd Calendar'!$E$77*1000000000+ISNUMBER('Dvd Calendar'!$E$78)*100000000+('Dvd Calendar'!$E$82='Field Check'!$C$25)*10000000+(N('Dvd Calendar'!$E$76)&gt;0)*1000000+5*1000+41))</f>
        <v/>
      </c>
      <c r="AR13" s="41">
        <f>IF(N('Dvd Calendar'!$F$77)=0,"",IF(('Dvd Calendar'!$F$77&gt;=MIN(DATE(Summary!$C$12,1,1),Summary!$C$11))*('Dvd Calendar'!$F$77&lt;=MAX(DATE(Summary!$C$12,12,31),Summary!$C$15))*('Dvd Calendar'!$F$77&gt;Summary!$C$11)=0,"",'Dvd Calendar'!$F$77*1000000000+ISNUMBER('Dvd Calendar'!$F$78)*100000000+('Dvd Calendar'!$F$82='Field Check'!$C$25)*10000000+(N('Dvd Calendar'!$F$76)&gt;0)*1000000+5*1000+42))</f>
        <v/>
      </c>
      <c r="AS13" s="41">
        <f>IF(N('Dvd Calendar'!$G$77)=0,"",IF(('Dvd Calendar'!$G$77&gt;=MIN(DATE(Summary!$C$12,1,1),Summary!$C$11))*('Dvd Calendar'!$G$77&lt;=MAX(DATE(Summary!$C$12,12,31),Summary!$C$15))*('Dvd Calendar'!$G$77&gt;Summary!$C$11)=0,"",'Dvd Calendar'!$G$77*1000000000+ISNUMBER('Dvd Calendar'!$G$78)*100000000+('Dvd Calendar'!$G$82='Field Check'!$C$25)*10000000+(N('Dvd Calendar'!$G$76)&gt;0)*1000000+5*1000+43))</f>
        <v/>
      </c>
      <c r="AT13" s="41">
        <f>IF(N('Dvd Calendar'!$H$77)=0,"",IF(('Dvd Calendar'!$H$77&gt;=MIN(DATE(Summary!$C$12,1,1),Summary!$C$11))*('Dvd Calendar'!$H$77&lt;=MAX(DATE(Summary!$C$12,12,31),Summary!$C$15))*('Dvd Calendar'!$H$77&gt;Summary!$C$11)=0,"",'Dvd Calendar'!$H$77*1000000000+ISNUMBER('Dvd Calendar'!$H$78)*100000000+('Dvd Calendar'!$H$82='Field Check'!$C$25)*10000000+(N('Dvd Calendar'!$H$76)&gt;0)*1000000+5*1000+44))</f>
        <v/>
      </c>
      <c r="AU13" s="41">
        <f>IF(N('Dvd Calendar'!$I$77)=0,"",IF(('Dvd Calendar'!$I$77&gt;=MIN(DATE(Summary!$C$12,1,1),Summary!$C$11))*('Dvd Calendar'!$I$77&lt;=MAX(DATE(Summary!$C$12,12,31),Summary!$C$15))*('Dvd Calendar'!$I$77&gt;Summary!$C$11)=0,"",'Dvd Calendar'!$I$77*1000000000+ISNUMBER('Dvd Calendar'!$I$78)*100000000+('Dvd Calendar'!$I$82='Field Check'!$C$25)*10000000+(N('Dvd Calendar'!$I$76)&gt;0)*1000000+5*1000+45))</f>
        <v/>
      </c>
      <c r="AV13" s="41">
        <f>IF(N('Dvd Calendar'!$J$77)=0,"",IF(('Dvd Calendar'!$J$77&gt;=MIN(DATE(Summary!$C$12,1,1),Summary!$C$11))*('Dvd Calendar'!$J$77&lt;=MAX(DATE(Summary!$C$12,12,31),Summary!$C$15))*('Dvd Calendar'!$J$77&gt;Summary!$C$11)=0,"",'Dvd Calendar'!$J$77*1000000000+ISNUMBER('Dvd Calendar'!$J$78)*100000000+('Dvd Calendar'!$J$82='Field Check'!$C$25)*10000000+(N('Dvd Calendar'!$J$76)&gt;0)*1000000+5*1000+46))</f>
        <v/>
      </c>
      <c r="AW13" s="41">
        <f>IF(N('Dvd Calendar'!$K$77)=0,"",IF(('Dvd Calendar'!$K$77&gt;=MIN(DATE(Summary!$C$12,1,1),Summary!$C$11))*('Dvd Calendar'!$K$77&lt;=MAX(DATE(Summary!$C$12,12,31),Summary!$C$15))*('Dvd Calendar'!$K$77&gt;Summary!$C$11)=0,"",'Dvd Calendar'!$K$77*1000000000+ISNUMBER('Dvd Calendar'!$K$78)*100000000+('Dvd Calendar'!$K$82='Field Check'!$C$25)*10000000+(N('Dvd Calendar'!$K$76)&gt;0)*1000000+5*1000+47))</f>
        <v/>
      </c>
      <c r="AX13" s="41">
        <f>IF(N('Dvd Calendar'!$L$77)=0,"",IF(('Dvd Calendar'!$L$77&gt;=MIN(DATE(Summary!$C$12,1,1),Summary!$C$11))*('Dvd Calendar'!$L$77&lt;=MAX(DATE(Summary!$C$12,12,31),Summary!$C$15))*('Dvd Calendar'!$L$77&gt;Summary!$C$11)=0,"",'Dvd Calendar'!$L$77*1000000000+ISNUMBER('Dvd Calendar'!$L$78)*100000000+('Dvd Calendar'!$L$82='Field Check'!$C$25)*10000000+(N('Dvd Calendar'!$L$76)&gt;0)*1000000+5*1000+48))</f>
        <v/>
      </c>
      <c r="AY13" s="41">
        <f>IF(N('Dvd Calendar'!$M$77)=0,"",IF(('Dvd Calendar'!$M$77&gt;=MIN(DATE(Summary!$C$12,1,1),Summary!$C$11))*('Dvd Calendar'!$M$77&lt;=MAX(DATE(Summary!$C$12,12,31),Summary!$C$15))*('Dvd Calendar'!$M$77&gt;Summary!$C$11)=0,"",'Dvd Calendar'!$M$77*1000000000+ISNUMBER('Dvd Calendar'!$M$78)*100000000+('Dvd Calendar'!$M$82='Field Check'!$C$25)*10000000+(N('Dvd Calendar'!$M$76)&gt;0)*1000000+5*1000+49))</f>
        <v/>
      </c>
      <c r="AZ13" s="41">
        <f>IF(N('Dvd Calendar'!$N$77)=0,"",IF(('Dvd Calendar'!$N$77&gt;=MIN(DATE(Summary!$C$12,1,1),Summary!$C$11))*('Dvd Calendar'!$N$77&lt;=MAX(DATE(Summary!$C$12,12,31),Summary!$C$15))*('Dvd Calendar'!$N$77&gt;Summary!$C$11)=0,"",'Dvd Calendar'!$N$77*1000000000+ISNUMBER('Dvd Calendar'!$N$78)*100000000+('Dvd Calendar'!$N$82='Field Check'!$C$25)*10000000+(N('Dvd Calendar'!$N$76)&gt;0)*1000000+5*1000+50))</f>
        <v/>
      </c>
      <c r="BA13" s="41">
        <f>IF(N('Dvd Calendar'!$O$77)=0,"",IF(('Dvd Calendar'!$O$77&gt;=MIN(DATE(Summary!$C$12,1,1),Summary!$C$11))*('Dvd Calendar'!$O$77&lt;=MAX(DATE(Summary!$C$12,12,31),Summary!$C$15))*('Dvd Calendar'!$O$77&gt;Summary!$C$11)=0,"",'Dvd Calendar'!$O$77*1000000000+ISNUMBER('Dvd Calendar'!$O$78)*100000000+('Dvd Calendar'!$O$82='Field Check'!$C$25)*10000000+(N('Dvd Calendar'!$O$76)&gt;0)*1000000+5*1000+51))</f>
        <v/>
      </c>
      <c r="BB13" s="41">
        <f>IF(N('Dvd Calendar'!$P$77)=0,"",IF(('Dvd Calendar'!$P$77&gt;=MIN(DATE(Summary!$C$12,1,1),Summary!$C$11))*('Dvd Calendar'!$P$77&lt;=MAX(DATE(Summary!$C$12,12,31),Summary!$C$15))*('Dvd Calendar'!$P$77&gt;Summary!$C$11)=0,"",'Dvd Calendar'!$P$77*1000000000+ISNUMBER('Dvd Calendar'!$P$78)*100000000+('Dvd Calendar'!$P$82='Field Check'!$C$25)*10000000+(N('Dvd Calendar'!$P$76)&gt;0)*1000000+5*1000+52))</f>
        <v/>
      </c>
      <c r="BC13" s="41">
        <f>IF(N('Dvd Calendar'!$Q$77)=0,"",IF(('Dvd Calendar'!$Q$77&gt;=MIN(DATE(Summary!$C$12,1,1),Summary!$C$11))*('Dvd Calendar'!$Q$77&lt;=MAX(DATE(Summary!$C$12,12,31),Summary!$C$15))*('Dvd Calendar'!$Q$77&gt;Summary!$C$11)=0,"",'Dvd Calendar'!$Q$77*1000000000+ISNUMBER('Dvd Calendar'!$Q$78)*100000000+('Dvd Calendar'!$Q$82='Field Check'!$C$25)*10000000+(N('Dvd Calendar'!$Q$76)&gt;0)*1000000+5*1000+53))</f>
        <v/>
      </c>
      <c r="BD13" s="41">
        <f>IF(N('Dvd Calendar'!$R$77)=0,"",IF(('Dvd Calendar'!$R$77&gt;=MIN(DATE(Summary!$C$12,1,1),Summary!$C$11))*('Dvd Calendar'!$R$77&lt;=MAX(DATE(Summary!$C$12,12,31),Summary!$C$15))*('Dvd Calendar'!$R$77&gt;Summary!$C$11)=0,"",'Dvd Calendar'!$R$77*1000000000+ISNUMBER('Dvd Calendar'!$R$78)*100000000+('Dvd Calendar'!$R$82='Field Check'!$C$25)*10000000+(N('Dvd Calendar'!$R$76)&gt;0)*1000000+5*1000+54))</f>
        <v/>
      </c>
      <c r="BE13" s="41">
        <f>IF(N('Dvd Calendar'!$S$77)=0,"",IF(('Dvd Calendar'!$S$77&gt;=MIN(DATE(Summary!$C$12,1,1),Summary!$C$11))*('Dvd Calendar'!$S$77&lt;=MAX(DATE(Summary!$C$12,12,31),Summary!$C$15))*('Dvd Calendar'!$S$77&gt;Summary!$C$11)=0,"",'Dvd Calendar'!$S$77*1000000000+ISNUMBER('Dvd Calendar'!$S$78)*100000000+('Dvd Calendar'!$S$82='Field Check'!$C$25)*10000000+(N('Dvd Calendar'!$S$76)&gt;0)*1000000+5*1000+55))</f>
        <v/>
      </c>
      <c r="BF13" s="41">
        <f>IF(N('Dvd Calendar'!$T$77)=0,"",IF(('Dvd Calendar'!$T$77&gt;=MIN(DATE(Summary!$C$12,1,1),Summary!$C$11))*('Dvd Calendar'!$T$77&lt;=MAX(DATE(Summary!$C$12,12,31),Summary!$C$15))*('Dvd Calendar'!$T$77&gt;Summary!$C$11)=0,"",'Dvd Calendar'!$T$77*1000000000+ISNUMBER('Dvd Calendar'!$T$78)*100000000+('Dvd Calendar'!$T$82='Field Check'!$C$25)*10000000+(N('Dvd Calendar'!$T$76)&gt;0)*1000000+5*1000+56))</f>
        <v/>
      </c>
      <c r="BG13" s="41">
        <f>IF(N('Dvd Calendar'!$U$77)=0,"",IF(('Dvd Calendar'!$U$77&gt;=MIN(DATE(Summary!$C$12,1,1),Summary!$C$11))*('Dvd Calendar'!$U$77&lt;=MAX(DATE(Summary!$C$12,12,31),Summary!$C$15))*('Dvd Calendar'!$U$77&gt;Summary!$C$11)=0,"",'Dvd Calendar'!$U$77*1000000000+ISNUMBER('Dvd Calendar'!$U$78)*100000000+('Dvd Calendar'!$U$82='Field Check'!$C$25)*10000000+(N('Dvd Calendar'!$U$76)&gt;0)*1000000+5*1000+57))</f>
        <v/>
      </c>
      <c r="BH13" s="41">
        <f>IF(N('Dvd Calendar'!$V$77)=0,"",IF(('Dvd Calendar'!$V$77&gt;=MIN(DATE(Summary!$C$12,1,1),Summary!$C$11))*('Dvd Calendar'!$V$77&lt;=MAX(DATE(Summary!$C$12,12,31),Summary!$C$15))*('Dvd Calendar'!$V$77&gt;Summary!$C$11)=0,"",'Dvd Calendar'!$V$77*1000000000+ISNUMBER('Dvd Calendar'!$V$78)*100000000+('Dvd Calendar'!$V$82='Field Check'!$C$25)*10000000+(N('Dvd Calendar'!$V$76)&gt;0)*1000000+5*1000+58))</f>
        <v/>
      </c>
      <c r="BI13" s="41">
        <f>IF(N('Dvd Calendar'!$W$77)=0,"",IF(('Dvd Calendar'!$W$77&gt;=MIN(DATE(Summary!$C$12,1,1),Summary!$C$11))*('Dvd Calendar'!$W$77&lt;=MAX(DATE(Summary!$C$12,12,31),Summary!$C$15))*('Dvd Calendar'!$W$77&gt;Summary!$C$11)=0,"",'Dvd Calendar'!$W$77*1000000000+ISNUMBER('Dvd Calendar'!$W$78)*100000000+('Dvd Calendar'!$W$82='Field Check'!$C$25)*10000000+(N('Dvd Calendar'!$W$76)&gt;0)*1000000+5*1000+59))</f>
        <v/>
      </c>
      <c r="BJ13" s="41">
        <f>IF(N('Dvd Calendar'!$X$77)=0,"",IF(('Dvd Calendar'!$X$77&gt;=MIN(DATE(Summary!$C$12,1,1),Summary!$C$11))*('Dvd Calendar'!$X$77&lt;=MAX(DATE(Summary!$C$12,12,31),Summary!$C$15))*('Dvd Calendar'!$X$77&gt;Summary!$C$11)=0,"",'Dvd Calendar'!$X$77*1000000000+ISNUMBER('Dvd Calendar'!$X$78)*100000000+('Dvd Calendar'!$X$82='Field Check'!$C$25)*10000000+(N('Dvd Calendar'!$X$76)&gt;0)*1000000+5*1000+60))</f>
        <v/>
      </c>
      <c r="BK13" s="41">
        <f>IF(N('Dvd Calendar'!$Y$77)=0,"",IF(('Dvd Calendar'!$Y$77&gt;=MIN(DATE(Summary!$C$12,1,1),Summary!$C$11))*('Dvd Calendar'!$Y$77&lt;=MAX(DATE(Summary!$C$12,12,31),Summary!$C$15))*('Dvd Calendar'!$Y$77&gt;Summary!$C$11)=0,"",'Dvd Calendar'!$Y$77*1000000000+ISNUMBER('Dvd Calendar'!$Y$78)*100000000+('Dvd Calendar'!$Y$82='Field Check'!$C$25)*10000000+(N('Dvd Calendar'!$Y$76)&gt;0)*1000000+5*1000+61))</f>
        <v/>
      </c>
      <c r="BL13" s="41">
        <f>IF(N('Dvd Calendar'!$Z$77)=0,"",IF(('Dvd Calendar'!$Z$77&gt;=MIN(DATE(Summary!$C$12,1,1),Summary!$C$11))*('Dvd Calendar'!$Z$77&lt;=MAX(DATE(Summary!$C$12,12,31),Summary!$C$15))*('Dvd Calendar'!$Z$77&gt;Summary!$C$11)=0,"",'Dvd Calendar'!$Z$77*1000000000+ISNUMBER('Dvd Calendar'!$Z$78)*100000000+('Dvd Calendar'!$Z$82='Field Check'!$C$25)*10000000+(N('Dvd Calendar'!$Z$76)&gt;0)*1000000+5*1000+62))</f>
        <v/>
      </c>
      <c r="BM13" s="41">
        <f>IF(N('Dvd Calendar'!$AA$77)=0,"",IF(('Dvd Calendar'!$AA$77&gt;=MIN(DATE(Summary!$C$12,1,1),Summary!$C$11))*('Dvd Calendar'!$AA$77&lt;=MAX(DATE(Summary!$C$12,12,31),Summary!$C$15))*('Dvd Calendar'!$AA$77&gt;Summary!$C$11)=0,"",'Dvd Calendar'!$AA$77*1000000000+ISNUMBER('Dvd Calendar'!$AA$78)*100000000+('Dvd Calendar'!$AA$82='Field Check'!$C$25)*10000000+(N('Dvd Calendar'!$AA$76)&gt;0)*1000000+5*1000+63))</f>
        <v/>
      </c>
      <c r="BN13" s="41">
        <f>IF(N('Dvd Calendar'!$AB$77)=0,"",IF(('Dvd Calendar'!$AB$77&gt;=MIN(DATE(Summary!$C$12,1,1),Summary!$C$11))*('Dvd Calendar'!$AB$77&lt;=MAX(DATE(Summary!$C$12,12,31),Summary!$C$15))*('Dvd Calendar'!$AB$77&gt;Summary!$C$11)=0,"",'Dvd Calendar'!$AB$77*1000000000+ISNUMBER('Dvd Calendar'!$AB$78)*100000000+('Dvd Calendar'!$AB$82='Field Check'!$C$25)*10000000+(N('Dvd Calendar'!$AB$76)&gt;0)*1000000+5*1000+64))</f>
        <v/>
      </c>
      <c r="BO13" s="41">
        <f>IF(N('Dvd Calendar'!$AC$77)=0,"",IF(('Dvd Calendar'!$AC$77&gt;=MIN(DATE(Summary!$C$12,1,1),Summary!$C$11))*('Dvd Calendar'!$AC$77&lt;=MAX(DATE(Summary!$C$12,12,31),Summary!$C$15))*('Dvd Calendar'!$AC$77&gt;Summary!$C$11)=0,"",'Dvd Calendar'!$AC$77*1000000000+ISNUMBER('Dvd Calendar'!$AC$78)*100000000+('Dvd Calendar'!$AC$82='Field Check'!$C$25)*10000000+(N('Dvd Calendar'!$AC$76)&gt;0)*1000000+5*1000+65))</f>
        <v/>
      </c>
      <c r="BQ13" s="85">
        <f>IF(C13="","",IF(ISNUMBER('Dvd Calendar'!$E$71)=FALSE,"",IF((Summary!$C$13="N")*('Dvd Calendar'!$E$75='Field Check'!$C$25)&gt;0,"",'Dvd Calendar'!$E$71)))</f>
        <v/>
      </c>
      <c r="BR13" s="85">
        <f>IF(D13="","",IF(ISNUMBER('Dvd Calendar'!$F$71)=FALSE,"",IF((Summary!$C$13="N")*('Dvd Calendar'!$F$75='Field Check'!$C$25)&gt;0,"",'Dvd Calendar'!$F$71)))</f>
        <v/>
      </c>
      <c r="BS13" s="85">
        <f>IF(E13="","",IF(ISNUMBER('Dvd Calendar'!$G$71)=FALSE,"",IF((Summary!$C$13="N")*('Dvd Calendar'!$G$75='Field Check'!$C$25)&gt;0,"",'Dvd Calendar'!$G$71)))</f>
        <v/>
      </c>
      <c r="BT13" s="85">
        <f>IF(F13="","",IF(ISNUMBER('Dvd Calendar'!$H$71)=FALSE,"",IF((Summary!$C$13="N")*('Dvd Calendar'!$H$75='Field Check'!$C$25)&gt;0,"",'Dvd Calendar'!$H$71)))</f>
        <v/>
      </c>
      <c r="BU13" s="85">
        <f>IF(G13="","",IF(ISNUMBER('Dvd Calendar'!$I$71)=FALSE,"",IF((Summary!$C$13="N")*('Dvd Calendar'!$I$75='Field Check'!$C$25)&gt;0,"",'Dvd Calendar'!$I$71)))</f>
        <v/>
      </c>
      <c r="BV13" s="85">
        <f>IF(H13="","",IF(ISNUMBER('Dvd Calendar'!$J$71)=FALSE,"",IF((Summary!$C$13="N")*('Dvd Calendar'!$J$75='Field Check'!$C$25)&gt;0,"",'Dvd Calendar'!$J$71)))</f>
        <v/>
      </c>
      <c r="BW13" s="85">
        <f>IF(I13="","",IF(ISNUMBER('Dvd Calendar'!$K$71)=FALSE,"",IF((Summary!$C$13="N")*('Dvd Calendar'!$K$75='Field Check'!$C$25)&gt;0,"",'Dvd Calendar'!$K$71)))</f>
        <v/>
      </c>
      <c r="BX13" s="85">
        <f>IF(J13="","",IF(ISNUMBER('Dvd Calendar'!$L$71)=FALSE,"",IF((Summary!$C$13="N")*('Dvd Calendar'!$L$75='Field Check'!$C$25)&gt;0,"",'Dvd Calendar'!$L$71)))</f>
        <v/>
      </c>
      <c r="BY13" s="85">
        <f>IF(K13="","",IF(ISNUMBER('Dvd Calendar'!$M$71)=FALSE,"",IF((Summary!$C$13="N")*('Dvd Calendar'!$M$75='Field Check'!$C$25)&gt;0,"",'Dvd Calendar'!$M$71)))</f>
        <v/>
      </c>
      <c r="BZ13" s="85">
        <f>IF(L13="","",IF(ISNUMBER('Dvd Calendar'!$N$71)=FALSE,"",IF((Summary!$C$13="N")*('Dvd Calendar'!$N$75='Field Check'!$C$25)&gt;0,"",'Dvd Calendar'!$N$71)))</f>
        <v/>
      </c>
      <c r="CA13" s="85">
        <f>IF(M13="","",IF(ISNUMBER('Dvd Calendar'!$O$71)=FALSE,"",IF((Summary!$C$13="N")*('Dvd Calendar'!$O$75='Field Check'!$C$25)&gt;0,"",'Dvd Calendar'!$O$71)))</f>
        <v/>
      </c>
      <c r="CB13" s="85">
        <f>IF(N13="","",IF(ISNUMBER('Dvd Calendar'!$P$71)=FALSE,"",IF((Summary!$C$13="N")*('Dvd Calendar'!$P$75='Field Check'!$C$25)&gt;0,"",'Dvd Calendar'!$P$71)))</f>
        <v/>
      </c>
      <c r="CC13" s="85">
        <f>IF(O13="","",IF(ISNUMBER('Dvd Calendar'!$Q$71)=FALSE,"",IF((Summary!$C$13="N")*('Dvd Calendar'!$Q$75='Field Check'!$C$25)&gt;0,"",'Dvd Calendar'!$Q$71)))</f>
        <v/>
      </c>
      <c r="CD13" s="85">
        <f>IF(P13="","",IF(ISNUMBER('Dvd Calendar'!$R$71)=FALSE,"",IF((Summary!$C$13="N")*('Dvd Calendar'!$R$75='Field Check'!$C$25)&gt;0,"",'Dvd Calendar'!$R$71)))</f>
        <v/>
      </c>
      <c r="CE13" s="85">
        <f>IF(Q13="","",IF(ISNUMBER('Dvd Calendar'!$S$71)=FALSE,"",IF((Summary!$C$13="N")*('Dvd Calendar'!$S$75='Field Check'!$C$25)&gt;0,"",'Dvd Calendar'!$S$71)))</f>
        <v/>
      </c>
      <c r="CF13" s="85">
        <f>IF(R13="","",IF(ISNUMBER('Dvd Calendar'!$T$71)=FALSE,"",IF((Summary!$C$13="N")*('Dvd Calendar'!$T$75='Field Check'!$C$25)&gt;0,"",'Dvd Calendar'!$T$71)))</f>
        <v/>
      </c>
      <c r="CG13" s="85">
        <f>IF(S13="","",IF(ISNUMBER('Dvd Calendar'!$U$71)=FALSE,"",IF((Summary!$C$13="N")*('Dvd Calendar'!$U$75='Field Check'!$C$25)&gt;0,"",'Dvd Calendar'!$U$71)))</f>
        <v/>
      </c>
      <c r="CH13" s="85">
        <f>IF(T13="","",IF(ISNUMBER('Dvd Calendar'!$V$71)=FALSE,"",IF((Summary!$C$13="N")*('Dvd Calendar'!$V$75='Field Check'!$C$25)&gt;0,"",'Dvd Calendar'!$V$71)))</f>
        <v/>
      </c>
      <c r="CI13" s="85">
        <f>IF(U13="","",IF(ISNUMBER('Dvd Calendar'!$W$71)=FALSE,"",IF((Summary!$C$13="N")*('Dvd Calendar'!$W$75='Field Check'!$C$25)&gt;0,"",'Dvd Calendar'!$W$71)))</f>
        <v/>
      </c>
      <c r="CJ13" s="85">
        <f>IF(V13="","",IF(ISNUMBER('Dvd Calendar'!$X$71)=FALSE,"",IF((Summary!$C$13="N")*('Dvd Calendar'!$X$75='Field Check'!$C$25)&gt;0,"",'Dvd Calendar'!$X$71)))</f>
        <v/>
      </c>
      <c r="CK13" s="85">
        <f>IF(W13="","",IF(ISNUMBER('Dvd Calendar'!$Y$71)=FALSE,"",IF((Summary!$C$13="N")*('Dvd Calendar'!$Y$75='Field Check'!$C$25)&gt;0,"",'Dvd Calendar'!$Y$71)))</f>
        <v/>
      </c>
      <c r="CL13" s="85">
        <f>IF(X13="","",IF(ISNUMBER('Dvd Calendar'!$Z$71)=FALSE,"",IF((Summary!$C$13="N")*('Dvd Calendar'!$Z$75='Field Check'!$C$25)&gt;0,"",'Dvd Calendar'!$Z$71)))</f>
        <v/>
      </c>
      <c r="CM13" s="85">
        <f>IF(Y13="","",IF(ISNUMBER('Dvd Calendar'!$AA$71)=FALSE,"",IF((Summary!$C$13="N")*('Dvd Calendar'!$AA$75='Field Check'!$C$25)&gt;0,"",'Dvd Calendar'!$AA$71)))</f>
        <v/>
      </c>
      <c r="CN13" s="85">
        <f>IF(Z13="","",IF(ISNUMBER('Dvd Calendar'!$AB$71)=FALSE,"",IF((Summary!$C$13="N")*('Dvd Calendar'!$AB$75='Field Check'!$C$25)&gt;0,"",'Dvd Calendar'!$AB$71)))</f>
        <v/>
      </c>
      <c r="CO13" s="85">
        <f>IF(AA13="","",IF(ISNUMBER('Dvd Calendar'!$AC$71)=FALSE,"",IF((Summary!$C$13="N")*('Dvd Calendar'!$AC$75='Field Check'!$C$25)&gt;0,"",'Dvd Calendar'!$AC$71)))</f>
        <v/>
      </c>
      <c r="CP13" s="85">
        <f>IF(AB13="","",IF(ISNUMBER('Dvd Calendar'!$AD$71)=FALSE,"",IF((Summary!$C$13="N")*('Dvd Calendar'!$AD$75='Field Check'!$C$25)&gt;0,"",'Dvd Calendar'!$AD$71)))</f>
        <v/>
      </c>
      <c r="CQ13" s="85">
        <f>IF(AC13="","",IF(ISNUMBER('Dvd Calendar'!$AE$71)=FALSE,"",IF((Summary!$C$13="N")*('Dvd Calendar'!$AE$75='Field Check'!$C$25)&gt;0,"",'Dvd Calendar'!$AE$71)))</f>
        <v/>
      </c>
      <c r="CR13" s="85">
        <f>IF(AD13="","",IF(ISNUMBER('Dvd Calendar'!$AF$71)=FALSE,"",IF((Summary!$C$13="N")*('Dvd Calendar'!$AF$75='Field Check'!$C$25)&gt;0,"",'Dvd Calendar'!$AF$71)))</f>
        <v/>
      </c>
      <c r="CS13" s="85">
        <f>IF(AE13="","",IF(ISNUMBER('Dvd Calendar'!$AG$71)=FALSE,"",IF((Summary!$C$13="N")*('Dvd Calendar'!$AG$75='Field Check'!$C$25)&gt;0,"",'Dvd Calendar'!$AG$71)))</f>
        <v/>
      </c>
      <c r="CT13" s="85">
        <f>IF(AF13="","",IF(ISNUMBER('Dvd Calendar'!$AH$71)=FALSE,"",IF((Summary!$C$13="N")*('Dvd Calendar'!$AH$75='Field Check'!$C$25)&gt;0,"",'Dvd Calendar'!$AH$71)))</f>
        <v/>
      </c>
      <c r="CU13" s="85">
        <f>IF(AG13="","",IF(ISNUMBER('Dvd Calendar'!$AI$71)=FALSE,"",IF((Summary!$C$13="N")*('Dvd Calendar'!$AI$75='Field Check'!$C$25)&gt;0,"",'Dvd Calendar'!$AI$71)))</f>
        <v/>
      </c>
      <c r="CV13" s="85">
        <f>IF(AH13="","",IF(ISNUMBER('Dvd Calendar'!$AJ$71)=FALSE,"",IF((Summary!$C$13="N")*('Dvd Calendar'!$AJ$75='Field Check'!$C$25)&gt;0,"",'Dvd Calendar'!$AJ$71)))</f>
        <v/>
      </c>
      <c r="CW13" s="85">
        <f>IF(AI13="","",IF(ISNUMBER('Dvd Calendar'!$AK$71)=FALSE,"",IF((Summary!$C$13="N")*('Dvd Calendar'!$AK$75='Field Check'!$C$25)&gt;0,"",'Dvd Calendar'!$AK$71)))</f>
        <v/>
      </c>
      <c r="CX13" s="85">
        <f>IF(AJ13="","",IF(ISNUMBER('Dvd Calendar'!$AL$71)=FALSE,"",IF((Summary!$C$13="N")*('Dvd Calendar'!$AL$75='Field Check'!$C$25)&gt;0,"",'Dvd Calendar'!$AL$71)))</f>
        <v/>
      </c>
      <c r="CY13" s="85">
        <f>IF(AK13="","",IF(ISNUMBER('Dvd Calendar'!$AM$71)=FALSE,"",IF((Summary!$C$13="N")*('Dvd Calendar'!$AM$75='Field Check'!$C$25)&gt;0,"",'Dvd Calendar'!$AM$71)))</f>
        <v/>
      </c>
      <c r="CZ13" s="85">
        <f>IF(AL13="","",IF(ISNUMBER('Dvd Calendar'!$AN$71)=FALSE,"",IF((Summary!$C$13="N")*('Dvd Calendar'!$AN$75='Field Check'!$C$25)&gt;0,"",'Dvd Calendar'!$AN$71)))</f>
        <v/>
      </c>
      <c r="DA13" s="85">
        <f>IF(AM13="","",IF(ISNUMBER('Dvd Calendar'!$AO$71)=FALSE,"",IF((Summary!$C$13="N")*('Dvd Calendar'!$AO$75='Field Check'!$C$25)&gt;0,"",'Dvd Calendar'!$AO$71)))</f>
        <v/>
      </c>
      <c r="DB13" s="85">
        <f>IF(AN13="","",IF(ISNUMBER('Dvd Calendar'!$AP$71)=FALSE,"",IF((Summary!$C$13="N")*('Dvd Calendar'!$AP$75='Field Check'!$C$25)&gt;0,"",'Dvd Calendar'!$AP$71)))</f>
        <v/>
      </c>
      <c r="DC13" s="85">
        <f>IF(AO13="","",IF(ISNUMBER('Dvd Calendar'!$AQ$71)=FALSE,"",IF((Summary!$C$13="N")*('Dvd Calendar'!$AQ$75='Field Check'!$C$25)&gt;0,"",'Dvd Calendar'!$AQ$71)))</f>
        <v/>
      </c>
      <c r="DD13" s="85">
        <f>IF(AP13="","",IF(ISNUMBER('Dvd Calendar'!$AR$71)=FALSE,"",IF((Summary!$C$13="N")*('Dvd Calendar'!$AR$75='Field Check'!$C$25)&gt;0,"",'Dvd Calendar'!$AR$71)))</f>
        <v/>
      </c>
      <c r="DE13" s="85">
        <f>IF(AQ13="","",IF(ISNUMBER('Dvd Calendar'!$E$78)=FALSE,"",IF((Summary!$C$13="N")*('Dvd Calendar'!$E$82='Field Check'!$C$25)&gt;0,"",'Dvd Calendar'!$E$78)))</f>
        <v/>
      </c>
      <c r="DF13" s="85">
        <f>IF(AR13="","",IF(ISNUMBER('Dvd Calendar'!$F$78)=FALSE,"",IF((Summary!$C$13="N")*('Dvd Calendar'!$F$82='Field Check'!$C$25)&gt;0,"",'Dvd Calendar'!$F$78)))</f>
        <v/>
      </c>
      <c r="DG13" s="85">
        <f>IF(AS13="","",IF(ISNUMBER('Dvd Calendar'!$G$78)=FALSE,"",IF((Summary!$C$13="N")*('Dvd Calendar'!$G$82='Field Check'!$C$25)&gt;0,"",'Dvd Calendar'!$G$78)))</f>
        <v/>
      </c>
      <c r="DH13" s="85">
        <f>IF(AT13="","",IF(ISNUMBER('Dvd Calendar'!$H$78)=FALSE,"",IF((Summary!$C$13="N")*('Dvd Calendar'!$H$82='Field Check'!$C$25)&gt;0,"",'Dvd Calendar'!$H$78)))</f>
        <v/>
      </c>
      <c r="DI13" s="85">
        <f>IF(AU13="","",IF(ISNUMBER('Dvd Calendar'!$I$78)=FALSE,"",IF((Summary!$C$13="N")*('Dvd Calendar'!$I$82='Field Check'!$C$25)&gt;0,"",'Dvd Calendar'!$I$78)))</f>
        <v/>
      </c>
      <c r="DJ13" s="85">
        <f>IF(AV13="","",IF(ISNUMBER('Dvd Calendar'!$J$78)=FALSE,"",IF((Summary!$C$13="N")*('Dvd Calendar'!$J$82='Field Check'!$C$25)&gt;0,"",'Dvd Calendar'!$J$78)))</f>
        <v/>
      </c>
      <c r="DK13" s="85">
        <f>IF(AW13="","",IF(ISNUMBER('Dvd Calendar'!$K$78)=FALSE,"",IF((Summary!$C$13="N")*('Dvd Calendar'!$K$82='Field Check'!$C$25)&gt;0,"",'Dvd Calendar'!$K$78)))</f>
        <v/>
      </c>
      <c r="DL13" s="85">
        <f>IF(AX13="","",IF(ISNUMBER('Dvd Calendar'!$L$78)=FALSE,"",IF((Summary!$C$13="N")*('Dvd Calendar'!$L$82='Field Check'!$C$25)&gt;0,"",'Dvd Calendar'!$L$78)))</f>
        <v/>
      </c>
      <c r="DM13" s="85">
        <f>IF(AY13="","",IF(ISNUMBER('Dvd Calendar'!$M$78)=FALSE,"",IF((Summary!$C$13="N")*('Dvd Calendar'!$M$82='Field Check'!$C$25)&gt;0,"",'Dvd Calendar'!$M$78)))</f>
        <v/>
      </c>
      <c r="DN13" s="85">
        <f>IF(AZ13="","",IF(ISNUMBER('Dvd Calendar'!$N$78)=FALSE,"",IF((Summary!$C$13="N")*('Dvd Calendar'!$N$82='Field Check'!$C$25)&gt;0,"",'Dvd Calendar'!$N$78)))</f>
        <v/>
      </c>
      <c r="DO13" s="85">
        <f>IF(BA13="","",IF(ISNUMBER('Dvd Calendar'!$O$78)=FALSE,"",IF((Summary!$C$13="N")*('Dvd Calendar'!$O$82='Field Check'!$C$25)&gt;0,"",'Dvd Calendar'!$O$78)))</f>
        <v/>
      </c>
      <c r="DP13" s="85">
        <f>IF(BB13="","",IF(ISNUMBER('Dvd Calendar'!$P$78)=FALSE,"",IF((Summary!$C$13="N")*('Dvd Calendar'!$P$82='Field Check'!$C$25)&gt;0,"",'Dvd Calendar'!$P$78)))</f>
        <v/>
      </c>
      <c r="DQ13" s="85">
        <f>IF(BC13="","",IF(ISNUMBER('Dvd Calendar'!$Q$78)=FALSE,"",IF((Summary!$C$13="N")*('Dvd Calendar'!$Q$82='Field Check'!$C$25)&gt;0,"",'Dvd Calendar'!$Q$78)))</f>
        <v/>
      </c>
      <c r="DR13" s="85">
        <f>IF(BD13="","",IF(ISNUMBER('Dvd Calendar'!$R$78)=FALSE,"",IF((Summary!$C$13="N")*('Dvd Calendar'!$R$82='Field Check'!$C$25)&gt;0,"",'Dvd Calendar'!$R$78)))</f>
        <v/>
      </c>
      <c r="DS13" s="85">
        <f>IF(BE13="","",IF(ISNUMBER('Dvd Calendar'!$S$78)=FALSE,"",IF((Summary!$C$13="N")*('Dvd Calendar'!$S$82='Field Check'!$C$25)&gt;0,"",'Dvd Calendar'!$S$78)))</f>
        <v/>
      </c>
      <c r="DT13" s="85">
        <f>IF(BF13="","",IF(ISNUMBER('Dvd Calendar'!$T$78)=FALSE,"",IF((Summary!$C$13="N")*('Dvd Calendar'!$T$82='Field Check'!$C$25)&gt;0,"",'Dvd Calendar'!$T$78)))</f>
        <v/>
      </c>
      <c r="DU13" s="85">
        <f>IF(BG13="","",IF(ISNUMBER('Dvd Calendar'!$U$78)=FALSE,"",IF((Summary!$C$13="N")*('Dvd Calendar'!$U$82='Field Check'!$C$25)&gt;0,"",'Dvd Calendar'!$U$78)))</f>
        <v/>
      </c>
      <c r="DV13" s="85">
        <f>IF(BH13="","",IF(ISNUMBER('Dvd Calendar'!$V$78)=FALSE,"",IF((Summary!$C$13="N")*('Dvd Calendar'!$V$82='Field Check'!$C$25)&gt;0,"",'Dvd Calendar'!$V$78)))</f>
        <v/>
      </c>
      <c r="DW13" s="85">
        <f>IF(BI13="","",IF(ISNUMBER('Dvd Calendar'!$W$78)=FALSE,"",IF((Summary!$C$13="N")*('Dvd Calendar'!$W$82='Field Check'!$C$25)&gt;0,"",'Dvd Calendar'!$W$78)))</f>
        <v/>
      </c>
      <c r="DX13" s="85">
        <f>IF(BJ13="","",IF(ISNUMBER('Dvd Calendar'!$X$78)=FALSE,"",IF((Summary!$C$13="N")*('Dvd Calendar'!$X$82='Field Check'!$C$25)&gt;0,"",'Dvd Calendar'!$X$78)))</f>
        <v/>
      </c>
      <c r="DY13" s="85">
        <f>IF(BK13="","",IF(ISNUMBER('Dvd Calendar'!$Y$78)=FALSE,"",IF((Summary!$C$13="N")*('Dvd Calendar'!$Y$82='Field Check'!$C$25)&gt;0,"",'Dvd Calendar'!$Y$78)))</f>
        <v/>
      </c>
      <c r="DZ13" s="85">
        <f>IF(BL13="","",IF(ISNUMBER('Dvd Calendar'!$Z$78)=FALSE,"",IF((Summary!$C$13="N")*('Dvd Calendar'!$Z$82='Field Check'!$C$25)&gt;0,"",'Dvd Calendar'!$Z$78)))</f>
        <v/>
      </c>
      <c r="EA13" s="85">
        <f>IF(BM13="","",IF(ISNUMBER('Dvd Calendar'!$AA$78)=FALSE,"",IF((Summary!$C$13="N")*('Dvd Calendar'!$AA$82='Field Check'!$C$25)&gt;0,"",'Dvd Calendar'!$AA$78)))</f>
        <v/>
      </c>
      <c r="EB13" s="85">
        <f>IF(BN13="","",IF(ISNUMBER('Dvd Calendar'!$AB$78)=FALSE,"",IF((Summary!$C$13="N")*('Dvd Calendar'!$AB$82='Field Check'!$C$25)&gt;0,"",'Dvd Calendar'!$AB$78)))</f>
        <v/>
      </c>
      <c r="EC13" s="85">
        <f>IF(BO13="","",IF(ISNUMBER('Dvd Calendar'!$AC$78)=FALSE,"",IF((Summary!$C$13="N")*('Dvd Calendar'!$AC$82='Field Check'!$C$25)&gt;0,"",'Dvd Calendar'!$AC$78)))</f>
        <v/>
      </c>
      <c r="EE13" s="85">
        <f>IF(BQ13="","",IFERROR(BQ13*HSI!$B$11*HSI!$G$11/HSI!$B$3,""))</f>
        <v/>
      </c>
      <c r="EF13" s="85">
        <f>IF(BR13="","",IFERROR(BR13*HSI!$B$11*HSI!$G$11/HSI!$B$3,""))</f>
        <v/>
      </c>
      <c r="EG13" s="85">
        <f>IF(BS13="","",IFERROR(BS13*HSI!$B$11*HSI!$G$11/HSI!$B$3,""))</f>
        <v/>
      </c>
      <c r="EH13" s="85">
        <f>IF(BT13="","",IFERROR(BT13*HSI!$B$11*HSI!$G$11/HSI!$B$3,""))</f>
        <v/>
      </c>
      <c r="EI13" s="85">
        <f>IF(BU13="","",IFERROR(BU13*HSI!$B$11*HSI!$G$11/HSI!$B$3,""))</f>
        <v/>
      </c>
      <c r="EJ13" s="85">
        <f>IF(BV13="","",IFERROR(BV13*HSI!$B$11*HSI!$G$11/HSI!$B$3,""))</f>
        <v/>
      </c>
      <c r="EK13" s="85">
        <f>IF(BW13="","",IFERROR(BW13*HSI!$B$11*HSI!$G$11/HSI!$B$3,""))</f>
        <v/>
      </c>
      <c r="EL13" s="85">
        <f>IF(BX13="","",IFERROR(BX13*HSI!$B$11*HSI!$G$11/HSI!$B$3,""))</f>
        <v/>
      </c>
      <c r="EM13" s="85">
        <f>IF(BY13="","",IFERROR(BY13*HSI!$B$11*HSI!$G$11/HSI!$B$3,""))</f>
        <v/>
      </c>
      <c r="EN13" s="85">
        <f>IF(BZ13="","",IFERROR(BZ13*HSI!$B$11*HSI!$G$11/HSI!$B$3,""))</f>
        <v/>
      </c>
      <c r="EO13" s="85">
        <f>IF(CA13="","",IFERROR(CA13*HSI!$B$11*HSI!$G$11/HSI!$B$3,""))</f>
        <v/>
      </c>
      <c r="EP13" s="85">
        <f>IF(CB13="","",IFERROR(CB13*HSI!$B$11*HSI!$G$11/HSI!$B$3,""))</f>
        <v/>
      </c>
      <c r="EQ13" s="85">
        <f>IF(CC13="","",IFERROR(CC13*HSI!$B$11*HSI!$G$11/HSI!$B$3,""))</f>
        <v/>
      </c>
      <c r="ER13" s="85">
        <f>IF(CD13="","",IFERROR(CD13*HSI!$B$11*HSI!$G$11/HSI!$B$3,""))</f>
        <v/>
      </c>
      <c r="ES13" s="85">
        <f>IF(CE13="","",IFERROR(CE13*HSI!$B$11*HSI!$G$11/HSI!$B$3,""))</f>
        <v/>
      </c>
      <c r="ET13" s="85">
        <f>IF(CF13="","",IFERROR(CF13*HSI!$B$11*HSI!$G$11/HSI!$B$3,""))</f>
        <v/>
      </c>
      <c r="EU13" s="85">
        <f>IF(CG13="","",IFERROR(CG13*HSI!$B$11*HSI!$G$11/HSI!$B$3,""))</f>
        <v/>
      </c>
      <c r="EV13" s="85">
        <f>IF(CH13="","",IFERROR(CH13*HSI!$B$11*HSI!$G$11/HSI!$B$3,""))</f>
        <v/>
      </c>
      <c r="EW13" s="85">
        <f>IF(CI13="","",IFERROR(CI13*HSI!$B$11*HSI!$G$11/HSI!$B$3,""))</f>
        <v/>
      </c>
      <c r="EX13" s="85">
        <f>IF(CJ13="","",IFERROR(CJ13*HSI!$B$11*HSI!$G$11/HSI!$B$3,""))</f>
        <v/>
      </c>
      <c r="EY13" s="85">
        <f>IF(CK13="","",IFERROR(CK13*HSI!$B$11*HSI!$G$11/HSI!$B$3,""))</f>
        <v/>
      </c>
      <c r="EZ13" s="85">
        <f>IF(CL13="","",IFERROR(CL13*HSI!$B$11*HSI!$G$11/HSI!$B$3,""))</f>
        <v/>
      </c>
      <c r="FA13" s="85">
        <f>IF(CM13="","",IFERROR(CM13*HSI!$B$11*HSI!$G$11/HSI!$B$3,""))</f>
        <v/>
      </c>
      <c r="FB13" s="85">
        <f>IF(CN13="","",IFERROR(CN13*HSI!$B$11*HSI!$G$11/HSI!$B$3,""))</f>
        <v/>
      </c>
      <c r="FC13" s="85">
        <f>IF(CO13="","",IFERROR(CO13*HSI!$B$11*HSI!$G$11/HSI!$B$3,""))</f>
        <v/>
      </c>
      <c r="FD13" s="85">
        <f>IF(CP13="","",IFERROR(CP13*HSI!$B$11*HSI!$G$11/HSI!$B$3,""))</f>
        <v/>
      </c>
      <c r="FE13" s="85">
        <f>IF(CQ13="","",IFERROR(CQ13*HSI!$B$11*HSI!$G$11/HSI!$B$3,""))</f>
        <v/>
      </c>
      <c r="FF13" s="85">
        <f>IF(CR13="","",IFERROR(CR13*HSI!$B$11*HSI!$G$11/HSI!$B$3,""))</f>
        <v/>
      </c>
      <c r="FG13" s="85">
        <f>IF(CS13="","",IFERROR(CS13*HSI!$B$11*HSI!$G$11/HSI!$B$3,""))</f>
        <v/>
      </c>
      <c r="FH13" s="85">
        <f>IF(CT13="","",IFERROR(CT13*HSI!$B$11*HSI!$G$11/HSI!$B$3,""))</f>
        <v/>
      </c>
      <c r="FI13" s="85">
        <f>IF(CU13="","",IFERROR(CU13*HSI!$B$11*HSI!$G$11/HSI!$B$3,""))</f>
        <v/>
      </c>
      <c r="FJ13" s="85">
        <f>IF(CV13="","",IFERROR(CV13*HSI!$B$11*HSI!$G$11/HSI!$B$3,""))</f>
        <v/>
      </c>
      <c r="FK13" s="85">
        <f>IF(CW13="","",IFERROR(CW13*HSI!$B$11*HSI!$G$11/HSI!$B$3,""))</f>
        <v/>
      </c>
      <c r="FL13" s="85">
        <f>IF(CX13="","",IFERROR(CX13*HSI!$B$11*HSI!$G$11/HSI!$B$3,""))</f>
        <v/>
      </c>
      <c r="FM13" s="85">
        <f>IF(CY13="","",IFERROR(CY13*HSI!$B$11*HSI!$G$11/HSI!$B$3,""))</f>
        <v/>
      </c>
      <c r="FN13" s="85">
        <f>IF(CZ13="","",IFERROR(CZ13*HSI!$B$11*HSI!$G$11/HSI!$B$3,""))</f>
        <v/>
      </c>
      <c r="FO13" s="85">
        <f>IF(DA13="","",IFERROR(DA13*HSI!$B$11*HSI!$G$11/HSI!$B$3,""))</f>
        <v/>
      </c>
      <c r="FP13" s="85">
        <f>IF(DB13="","",IFERROR(DB13*HSI!$B$11*HSI!$G$11/HSI!$B$3,""))</f>
        <v/>
      </c>
      <c r="FQ13" s="85">
        <f>IF(DC13="","",IFERROR(DC13*HSI!$B$11*HSI!$G$11/HSI!$B$3,""))</f>
        <v/>
      </c>
      <c r="FR13" s="85">
        <f>IF(DD13="","",IFERROR(DD13*HSI!$B$11*HSI!$G$11/HSI!$B$3,""))</f>
        <v/>
      </c>
      <c r="FS13" s="85">
        <f>IF(DE13="","",IFERROR(DE13*HSI!$B$11*HSI!$G$11/HSI!$B$3,""))</f>
        <v/>
      </c>
      <c r="FT13" s="85">
        <f>IF(DF13="","",IFERROR(DF13*HSI!$B$11*HSI!$G$11/HSI!$B$3,""))</f>
        <v/>
      </c>
      <c r="FU13" s="85">
        <f>IF(DG13="","",IFERROR(DG13*HSI!$B$11*HSI!$G$11/HSI!$B$3,""))</f>
        <v/>
      </c>
      <c r="FV13" s="85">
        <f>IF(DH13="","",IFERROR(DH13*HSI!$B$11*HSI!$G$11/HSI!$B$3,""))</f>
        <v/>
      </c>
      <c r="FW13" s="85">
        <f>IF(DI13="","",IFERROR(DI13*HSI!$B$11*HSI!$G$11/HSI!$B$3,""))</f>
        <v/>
      </c>
      <c r="FX13" s="85">
        <f>IF(DJ13="","",IFERROR(DJ13*HSI!$B$11*HSI!$G$11/HSI!$B$3,""))</f>
        <v/>
      </c>
      <c r="FY13" s="85">
        <f>IF(DK13="","",IFERROR(DK13*HSI!$B$11*HSI!$G$11/HSI!$B$3,""))</f>
        <v/>
      </c>
      <c r="FZ13" s="85">
        <f>IF(DL13="","",IFERROR(DL13*HSI!$B$11*HSI!$G$11/HSI!$B$3,""))</f>
        <v/>
      </c>
      <c r="GA13" s="85">
        <f>IF(DM13="","",IFERROR(DM13*HSI!$B$11*HSI!$G$11/HSI!$B$3,""))</f>
        <v/>
      </c>
      <c r="GB13" s="85">
        <f>IF(DN13="","",IFERROR(DN13*HSI!$B$11*HSI!$G$11/HSI!$B$3,""))</f>
        <v/>
      </c>
      <c r="GC13" s="85">
        <f>IF(DO13="","",IFERROR(DO13*HSI!$B$11*HSI!$G$11/HSI!$B$3,""))</f>
        <v/>
      </c>
      <c r="GD13" s="85">
        <f>IF(DP13="","",IFERROR(DP13*HSI!$B$11*HSI!$G$11/HSI!$B$3,""))</f>
        <v/>
      </c>
      <c r="GE13" s="85">
        <f>IF(DQ13="","",IFERROR(DQ13*HSI!$B$11*HSI!$G$11/HSI!$B$3,""))</f>
        <v/>
      </c>
      <c r="GF13" s="85">
        <f>IF(DR13="","",IFERROR(DR13*HSI!$B$11*HSI!$G$11/HSI!$B$3,""))</f>
        <v/>
      </c>
      <c r="GG13" s="85">
        <f>IF(DS13="","",IFERROR(DS13*HSI!$B$11*HSI!$G$11/HSI!$B$3,""))</f>
        <v/>
      </c>
      <c r="GH13" s="85">
        <f>IF(DT13="","",IFERROR(DT13*HSI!$B$11*HSI!$G$11/HSI!$B$3,""))</f>
        <v/>
      </c>
      <c r="GI13" s="85">
        <f>IF(DU13="","",IFERROR(DU13*HSI!$B$11*HSI!$G$11/HSI!$B$3,""))</f>
        <v/>
      </c>
      <c r="GJ13" s="85">
        <f>IF(DV13="","",IFERROR(DV13*HSI!$B$11*HSI!$G$11/HSI!$B$3,""))</f>
        <v/>
      </c>
      <c r="GK13" s="85">
        <f>IF(DW13="","",IFERROR(DW13*HSI!$B$11*HSI!$G$11/HSI!$B$3,""))</f>
        <v/>
      </c>
      <c r="GL13" s="85">
        <f>IF(DX13="","",IFERROR(DX13*HSI!$B$11*HSI!$G$11/HSI!$B$3,""))</f>
        <v/>
      </c>
      <c r="GM13" s="85">
        <f>IF(DY13="","",IFERROR(DY13*HSI!$B$11*HSI!$G$11/HSI!$B$3,""))</f>
        <v/>
      </c>
      <c r="GN13" s="85">
        <f>IF(DZ13="","",IFERROR(DZ13*HSI!$B$11*HSI!$G$11/HSI!$B$3,""))</f>
        <v/>
      </c>
      <c r="GO13" s="85">
        <f>IF(EA13="","",IFERROR(EA13*HSI!$B$11*HSI!$G$11/HSI!$B$3,""))</f>
        <v/>
      </c>
      <c r="GP13" s="85">
        <f>IF(EB13="","",IFERROR(EB13*HSI!$B$11*HSI!$G$11/HSI!$B$3,""))</f>
        <v/>
      </c>
      <c r="GQ13" s="85">
        <f>IF(EC13="","",IFERROR(EC13*HSI!$B$11*HSI!$G$11/HSI!$B$3,""))</f>
        <v/>
      </c>
    </row>
    <row r="14">
      <c r="B14" s="2">
        <f>IF(HSI!$C$12="","",HSI!$C$12)</f>
        <v/>
      </c>
      <c r="C14" s="41">
        <f>IF(N('Dvd Calendar'!$E$85)=0,"",IF(('Dvd Calendar'!$E$85&gt;=MIN(DATE(Summary!$C$12,1,1),Summary!$C$11))*('Dvd Calendar'!$E$85&lt;=MAX(DATE(Summary!$C$12,12,31),Summary!$C$15))*('Dvd Calendar'!$E$85&lt;=Summary!$C$11)=0,"",'Dvd Calendar'!$E$85*1000000000+ISNUMBER('Dvd Calendar'!$E$86)*100000000+('Dvd Calendar'!$E$90='Field Check'!$C$25)*10000000+(N('Dvd Calendar'!$E$84)&gt;0)*1000000+6*1000+1))</f>
        <v/>
      </c>
      <c r="D14" s="41">
        <f>IF(N('Dvd Calendar'!$F$85)=0,"",IF(('Dvd Calendar'!$F$85&gt;=MIN(DATE(Summary!$C$12,1,1),Summary!$C$11))*('Dvd Calendar'!$F$85&lt;=MAX(DATE(Summary!$C$12,12,31),Summary!$C$15))*('Dvd Calendar'!$F$85&lt;=Summary!$C$11)=0,"",'Dvd Calendar'!$F$85*1000000000+ISNUMBER('Dvd Calendar'!$F$86)*100000000+('Dvd Calendar'!$F$90='Field Check'!$C$25)*10000000+(N('Dvd Calendar'!$F$84)&gt;0)*1000000+6*1000+2))</f>
        <v/>
      </c>
      <c r="E14" s="41">
        <f>IF(N('Dvd Calendar'!$G$85)=0,"",IF(('Dvd Calendar'!$G$85&gt;=MIN(DATE(Summary!$C$12,1,1),Summary!$C$11))*('Dvd Calendar'!$G$85&lt;=MAX(DATE(Summary!$C$12,12,31),Summary!$C$15))*('Dvd Calendar'!$G$85&lt;=Summary!$C$11)=0,"",'Dvd Calendar'!$G$85*1000000000+ISNUMBER('Dvd Calendar'!$G$86)*100000000+('Dvd Calendar'!$G$90='Field Check'!$C$25)*10000000+(N('Dvd Calendar'!$G$84)&gt;0)*1000000+6*1000+3))</f>
        <v/>
      </c>
      <c r="F14" s="41">
        <f>IF(N('Dvd Calendar'!$H$85)=0,"",IF(('Dvd Calendar'!$H$85&gt;=MIN(DATE(Summary!$C$12,1,1),Summary!$C$11))*('Dvd Calendar'!$H$85&lt;=MAX(DATE(Summary!$C$12,12,31),Summary!$C$15))*('Dvd Calendar'!$H$85&lt;=Summary!$C$11)=0,"",'Dvd Calendar'!$H$85*1000000000+ISNUMBER('Dvd Calendar'!$H$86)*100000000+('Dvd Calendar'!$H$90='Field Check'!$C$25)*10000000+(N('Dvd Calendar'!$H$84)&gt;0)*1000000+6*1000+4))</f>
        <v/>
      </c>
      <c r="G14" s="41">
        <f>IF(N('Dvd Calendar'!$I$85)=0,"",IF(('Dvd Calendar'!$I$85&gt;=MIN(DATE(Summary!$C$12,1,1),Summary!$C$11))*('Dvd Calendar'!$I$85&lt;=MAX(DATE(Summary!$C$12,12,31),Summary!$C$15))*('Dvd Calendar'!$I$85&lt;=Summary!$C$11)=0,"",'Dvd Calendar'!$I$85*1000000000+ISNUMBER('Dvd Calendar'!$I$86)*100000000+('Dvd Calendar'!$I$90='Field Check'!$C$25)*10000000+(N('Dvd Calendar'!$I$84)&gt;0)*1000000+6*1000+5))</f>
        <v/>
      </c>
      <c r="H14" s="41">
        <f>IF(N('Dvd Calendar'!$J$85)=0,"",IF(('Dvd Calendar'!$J$85&gt;=MIN(DATE(Summary!$C$12,1,1),Summary!$C$11))*('Dvd Calendar'!$J$85&lt;=MAX(DATE(Summary!$C$12,12,31),Summary!$C$15))*('Dvd Calendar'!$J$85&lt;=Summary!$C$11)=0,"",'Dvd Calendar'!$J$85*1000000000+ISNUMBER('Dvd Calendar'!$J$86)*100000000+('Dvd Calendar'!$J$90='Field Check'!$C$25)*10000000+(N('Dvd Calendar'!$J$84)&gt;0)*1000000+6*1000+6))</f>
        <v/>
      </c>
      <c r="I14" s="41">
        <f>IF(N('Dvd Calendar'!$K$85)=0,"",IF(('Dvd Calendar'!$K$85&gt;=MIN(DATE(Summary!$C$12,1,1),Summary!$C$11))*('Dvd Calendar'!$K$85&lt;=MAX(DATE(Summary!$C$12,12,31),Summary!$C$15))*('Dvd Calendar'!$K$85&lt;=Summary!$C$11)=0,"",'Dvd Calendar'!$K$85*1000000000+ISNUMBER('Dvd Calendar'!$K$86)*100000000+('Dvd Calendar'!$K$90='Field Check'!$C$25)*10000000+(N('Dvd Calendar'!$K$84)&gt;0)*1000000+6*1000+7))</f>
        <v/>
      </c>
      <c r="J14" s="41">
        <f>IF(N('Dvd Calendar'!$L$85)=0,"",IF(('Dvd Calendar'!$L$85&gt;=MIN(DATE(Summary!$C$12,1,1),Summary!$C$11))*('Dvd Calendar'!$L$85&lt;=MAX(DATE(Summary!$C$12,12,31),Summary!$C$15))*('Dvd Calendar'!$L$85&lt;=Summary!$C$11)=0,"",'Dvd Calendar'!$L$85*1000000000+ISNUMBER('Dvd Calendar'!$L$86)*100000000+('Dvd Calendar'!$L$90='Field Check'!$C$25)*10000000+(N('Dvd Calendar'!$L$84)&gt;0)*1000000+6*1000+8))</f>
        <v/>
      </c>
      <c r="K14" s="41">
        <f>IF(N('Dvd Calendar'!$M$85)=0,"",IF(('Dvd Calendar'!$M$85&gt;=MIN(DATE(Summary!$C$12,1,1),Summary!$C$11))*('Dvd Calendar'!$M$85&lt;=MAX(DATE(Summary!$C$12,12,31),Summary!$C$15))*('Dvd Calendar'!$M$85&lt;=Summary!$C$11)=0,"",'Dvd Calendar'!$M$85*1000000000+ISNUMBER('Dvd Calendar'!$M$86)*100000000+('Dvd Calendar'!$M$90='Field Check'!$C$25)*10000000+(N('Dvd Calendar'!$M$84)&gt;0)*1000000+6*1000+9))</f>
        <v/>
      </c>
      <c r="L14" s="41">
        <f>IF(N('Dvd Calendar'!$N$85)=0,"",IF(('Dvd Calendar'!$N$85&gt;=MIN(DATE(Summary!$C$12,1,1),Summary!$C$11))*('Dvd Calendar'!$N$85&lt;=MAX(DATE(Summary!$C$12,12,31),Summary!$C$15))*('Dvd Calendar'!$N$85&lt;=Summary!$C$11)=0,"",'Dvd Calendar'!$N$85*1000000000+ISNUMBER('Dvd Calendar'!$N$86)*100000000+('Dvd Calendar'!$N$90='Field Check'!$C$25)*10000000+(N('Dvd Calendar'!$N$84)&gt;0)*1000000+6*1000+10))</f>
        <v/>
      </c>
      <c r="M14" s="41">
        <f>IF(N('Dvd Calendar'!$O$85)=0,"",IF(('Dvd Calendar'!$O$85&gt;=MIN(DATE(Summary!$C$12,1,1),Summary!$C$11))*('Dvd Calendar'!$O$85&lt;=MAX(DATE(Summary!$C$12,12,31),Summary!$C$15))*('Dvd Calendar'!$O$85&lt;=Summary!$C$11)=0,"",'Dvd Calendar'!$O$85*1000000000+ISNUMBER('Dvd Calendar'!$O$86)*100000000+('Dvd Calendar'!$O$90='Field Check'!$C$25)*10000000+(N('Dvd Calendar'!$O$84)&gt;0)*1000000+6*1000+11))</f>
        <v/>
      </c>
      <c r="N14" s="41">
        <f>IF(N('Dvd Calendar'!$P$85)=0,"",IF(('Dvd Calendar'!$P$85&gt;=MIN(DATE(Summary!$C$12,1,1),Summary!$C$11))*('Dvd Calendar'!$P$85&lt;=MAX(DATE(Summary!$C$12,12,31),Summary!$C$15))*('Dvd Calendar'!$P$85&lt;=Summary!$C$11)=0,"",'Dvd Calendar'!$P$85*1000000000+ISNUMBER('Dvd Calendar'!$P$86)*100000000+('Dvd Calendar'!$P$90='Field Check'!$C$25)*10000000+(N('Dvd Calendar'!$P$84)&gt;0)*1000000+6*1000+12))</f>
        <v/>
      </c>
      <c r="O14" s="41">
        <f>IF(N('Dvd Calendar'!$Q$85)=0,"",IF(('Dvd Calendar'!$Q$85&gt;=MIN(DATE(Summary!$C$12,1,1),Summary!$C$11))*('Dvd Calendar'!$Q$85&lt;=MAX(DATE(Summary!$C$12,12,31),Summary!$C$15))*('Dvd Calendar'!$Q$85&lt;=Summary!$C$11)=0,"",'Dvd Calendar'!$Q$85*1000000000+ISNUMBER('Dvd Calendar'!$Q$86)*100000000+('Dvd Calendar'!$Q$90='Field Check'!$C$25)*10000000+(N('Dvd Calendar'!$Q$84)&gt;0)*1000000+6*1000+13))</f>
        <v/>
      </c>
      <c r="P14" s="41">
        <f>IF(N('Dvd Calendar'!$R$85)=0,"",IF(('Dvd Calendar'!$R$85&gt;=MIN(DATE(Summary!$C$12,1,1),Summary!$C$11))*('Dvd Calendar'!$R$85&lt;=MAX(DATE(Summary!$C$12,12,31),Summary!$C$15))*('Dvd Calendar'!$R$85&lt;=Summary!$C$11)=0,"",'Dvd Calendar'!$R$85*1000000000+ISNUMBER('Dvd Calendar'!$R$86)*100000000+('Dvd Calendar'!$R$90='Field Check'!$C$25)*10000000+(N('Dvd Calendar'!$R$84)&gt;0)*1000000+6*1000+14))</f>
        <v/>
      </c>
      <c r="Q14" s="41">
        <f>IF(N('Dvd Calendar'!$S$85)=0,"",IF(('Dvd Calendar'!$S$85&gt;=MIN(DATE(Summary!$C$12,1,1),Summary!$C$11))*('Dvd Calendar'!$S$85&lt;=MAX(DATE(Summary!$C$12,12,31),Summary!$C$15))*('Dvd Calendar'!$S$85&lt;=Summary!$C$11)=0,"",'Dvd Calendar'!$S$85*1000000000+ISNUMBER('Dvd Calendar'!$S$86)*100000000+('Dvd Calendar'!$S$90='Field Check'!$C$25)*10000000+(N('Dvd Calendar'!$S$84)&gt;0)*1000000+6*1000+15))</f>
        <v/>
      </c>
      <c r="R14" s="41">
        <f>IF(N('Dvd Calendar'!$T$85)=0,"",IF(('Dvd Calendar'!$T$85&gt;=MIN(DATE(Summary!$C$12,1,1),Summary!$C$11))*('Dvd Calendar'!$T$85&lt;=MAX(DATE(Summary!$C$12,12,31),Summary!$C$15))*('Dvd Calendar'!$T$85&lt;=Summary!$C$11)=0,"",'Dvd Calendar'!$T$85*1000000000+ISNUMBER('Dvd Calendar'!$T$86)*100000000+('Dvd Calendar'!$T$90='Field Check'!$C$25)*10000000+(N('Dvd Calendar'!$T$84)&gt;0)*1000000+6*1000+16))</f>
        <v/>
      </c>
      <c r="S14" s="41">
        <f>IF(N('Dvd Calendar'!$U$85)=0,"",IF(('Dvd Calendar'!$U$85&gt;=MIN(DATE(Summary!$C$12,1,1),Summary!$C$11))*('Dvd Calendar'!$U$85&lt;=MAX(DATE(Summary!$C$12,12,31),Summary!$C$15))*('Dvd Calendar'!$U$85&lt;=Summary!$C$11)=0,"",'Dvd Calendar'!$U$85*1000000000+ISNUMBER('Dvd Calendar'!$U$86)*100000000+('Dvd Calendar'!$U$90='Field Check'!$C$25)*10000000+(N('Dvd Calendar'!$U$84)&gt;0)*1000000+6*1000+17))</f>
        <v/>
      </c>
      <c r="T14" s="41">
        <f>IF(N('Dvd Calendar'!$V$85)=0,"",IF(('Dvd Calendar'!$V$85&gt;=MIN(DATE(Summary!$C$12,1,1),Summary!$C$11))*('Dvd Calendar'!$V$85&lt;=MAX(DATE(Summary!$C$12,12,31),Summary!$C$15))*('Dvd Calendar'!$V$85&lt;=Summary!$C$11)=0,"",'Dvd Calendar'!$V$85*1000000000+ISNUMBER('Dvd Calendar'!$V$86)*100000000+('Dvd Calendar'!$V$90='Field Check'!$C$25)*10000000+(N('Dvd Calendar'!$V$84)&gt;0)*1000000+6*1000+18))</f>
        <v/>
      </c>
      <c r="U14" s="41">
        <f>IF(N('Dvd Calendar'!$W$85)=0,"",IF(('Dvd Calendar'!$W$85&gt;=MIN(DATE(Summary!$C$12,1,1),Summary!$C$11))*('Dvd Calendar'!$W$85&lt;=MAX(DATE(Summary!$C$12,12,31),Summary!$C$15))*('Dvd Calendar'!$W$85&lt;=Summary!$C$11)=0,"",'Dvd Calendar'!$W$85*1000000000+ISNUMBER('Dvd Calendar'!$W$86)*100000000+('Dvd Calendar'!$W$90='Field Check'!$C$25)*10000000+(N('Dvd Calendar'!$W$84)&gt;0)*1000000+6*1000+19))</f>
        <v/>
      </c>
      <c r="V14" s="41">
        <f>IF(N('Dvd Calendar'!$X$85)=0,"",IF(('Dvd Calendar'!$X$85&gt;=MIN(DATE(Summary!$C$12,1,1),Summary!$C$11))*('Dvd Calendar'!$X$85&lt;=MAX(DATE(Summary!$C$12,12,31),Summary!$C$15))*('Dvd Calendar'!$X$85&lt;=Summary!$C$11)=0,"",'Dvd Calendar'!$X$85*1000000000+ISNUMBER('Dvd Calendar'!$X$86)*100000000+('Dvd Calendar'!$X$90='Field Check'!$C$25)*10000000+(N('Dvd Calendar'!$X$84)&gt;0)*1000000+6*1000+20))</f>
        <v/>
      </c>
      <c r="W14" s="41">
        <f>IF(N('Dvd Calendar'!$Y$85)=0,"",IF(('Dvd Calendar'!$Y$85&gt;=MIN(DATE(Summary!$C$12,1,1),Summary!$C$11))*('Dvd Calendar'!$Y$85&lt;=MAX(DATE(Summary!$C$12,12,31),Summary!$C$15))*('Dvd Calendar'!$Y$85&lt;=Summary!$C$11)=0,"",'Dvd Calendar'!$Y$85*1000000000+ISNUMBER('Dvd Calendar'!$Y$86)*100000000+('Dvd Calendar'!$Y$90='Field Check'!$C$25)*10000000+(N('Dvd Calendar'!$Y$84)&gt;0)*1000000+6*1000+21))</f>
        <v/>
      </c>
      <c r="X14" s="41">
        <f>IF(N('Dvd Calendar'!$Z$85)=0,"",IF(('Dvd Calendar'!$Z$85&gt;=MIN(DATE(Summary!$C$12,1,1),Summary!$C$11))*('Dvd Calendar'!$Z$85&lt;=MAX(DATE(Summary!$C$12,12,31),Summary!$C$15))*('Dvd Calendar'!$Z$85&lt;=Summary!$C$11)=0,"",'Dvd Calendar'!$Z$85*1000000000+ISNUMBER('Dvd Calendar'!$Z$86)*100000000+('Dvd Calendar'!$Z$90='Field Check'!$C$25)*10000000+(N('Dvd Calendar'!$Z$84)&gt;0)*1000000+6*1000+22))</f>
        <v/>
      </c>
      <c r="Y14" s="41">
        <f>IF(N('Dvd Calendar'!$AA$85)=0,"",IF(('Dvd Calendar'!$AA$85&gt;=MIN(DATE(Summary!$C$12,1,1),Summary!$C$11))*('Dvd Calendar'!$AA$85&lt;=MAX(DATE(Summary!$C$12,12,31),Summary!$C$15))*('Dvd Calendar'!$AA$85&lt;=Summary!$C$11)=0,"",'Dvd Calendar'!$AA$85*1000000000+ISNUMBER('Dvd Calendar'!$AA$86)*100000000+('Dvd Calendar'!$AA$90='Field Check'!$C$25)*10000000+(N('Dvd Calendar'!$AA$84)&gt;0)*1000000+6*1000+23))</f>
        <v/>
      </c>
      <c r="Z14" s="41">
        <f>IF(N('Dvd Calendar'!$AB$85)=0,"",IF(('Dvd Calendar'!$AB$85&gt;=MIN(DATE(Summary!$C$12,1,1),Summary!$C$11))*('Dvd Calendar'!$AB$85&lt;=MAX(DATE(Summary!$C$12,12,31),Summary!$C$15))*('Dvd Calendar'!$AB$85&lt;=Summary!$C$11)=0,"",'Dvd Calendar'!$AB$85*1000000000+ISNUMBER('Dvd Calendar'!$AB$86)*100000000+('Dvd Calendar'!$AB$90='Field Check'!$C$25)*10000000+(N('Dvd Calendar'!$AB$84)&gt;0)*1000000+6*1000+24))</f>
        <v/>
      </c>
      <c r="AA14" s="41">
        <f>IF(N('Dvd Calendar'!$AC$85)=0,"",IF(('Dvd Calendar'!$AC$85&gt;=MIN(DATE(Summary!$C$12,1,1),Summary!$C$11))*('Dvd Calendar'!$AC$85&lt;=MAX(DATE(Summary!$C$12,12,31),Summary!$C$15))*('Dvd Calendar'!$AC$85&lt;=Summary!$C$11)=0,"",'Dvd Calendar'!$AC$85*1000000000+ISNUMBER('Dvd Calendar'!$AC$86)*100000000+('Dvd Calendar'!$AC$90='Field Check'!$C$25)*10000000+(N('Dvd Calendar'!$AC$84)&gt;0)*1000000+6*1000+25))</f>
        <v/>
      </c>
      <c r="AB14" s="41">
        <f>IF(N('Dvd Calendar'!$AD$85)=0,"",IF(('Dvd Calendar'!$AD$85&gt;=MIN(DATE(Summary!$C$12,1,1),Summary!$C$11))*('Dvd Calendar'!$AD$85&lt;=MAX(DATE(Summary!$C$12,12,31),Summary!$C$15))*('Dvd Calendar'!$AD$85&lt;=Summary!$C$11)=0,"",'Dvd Calendar'!$AD$85*1000000000+ISNUMBER('Dvd Calendar'!$AD$86)*100000000+('Dvd Calendar'!$AD$90='Field Check'!$C$25)*10000000+(N('Dvd Calendar'!$AD$84)&gt;0)*1000000+6*1000+26))</f>
        <v/>
      </c>
      <c r="AC14" s="41">
        <f>IF(N('Dvd Calendar'!$AE$85)=0,"",IF(('Dvd Calendar'!$AE$85&gt;=MIN(DATE(Summary!$C$12,1,1),Summary!$C$11))*('Dvd Calendar'!$AE$85&lt;=MAX(DATE(Summary!$C$12,12,31),Summary!$C$15))*('Dvd Calendar'!$AE$85&lt;=Summary!$C$11)=0,"",'Dvd Calendar'!$AE$85*1000000000+ISNUMBER('Dvd Calendar'!$AE$86)*100000000+('Dvd Calendar'!$AE$90='Field Check'!$C$25)*10000000+(N('Dvd Calendar'!$AE$84)&gt;0)*1000000+6*1000+27))</f>
        <v/>
      </c>
      <c r="AD14" s="41">
        <f>IF(N('Dvd Calendar'!$AF$85)=0,"",IF(('Dvd Calendar'!$AF$85&gt;=MIN(DATE(Summary!$C$12,1,1),Summary!$C$11))*('Dvd Calendar'!$AF$85&lt;=MAX(DATE(Summary!$C$12,12,31),Summary!$C$15))*('Dvd Calendar'!$AF$85&lt;=Summary!$C$11)=0,"",'Dvd Calendar'!$AF$85*1000000000+ISNUMBER('Dvd Calendar'!$AF$86)*100000000+('Dvd Calendar'!$AF$90='Field Check'!$C$25)*10000000+(N('Dvd Calendar'!$AF$84)&gt;0)*1000000+6*1000+28))</f>
        <v/>
      </c>
      <c r="AE14" s="41">
        <f>IF(N('Dvd Calendar'!$AG$85)=0,"",IF(('Dvd Calendar'!$AG$85&gt;=MIN(DATE(Summary!$C$12,1,1),Summary!$C$11))*('Dvd Calendar'!$AG$85&lt;=MAX(DATE(Summary!$C$12,12,31),Summary!$C$15))*('Dvd Calendar'!$AG$85&lt;=Summary!$C$11)=0,"",'Dvd Calendar'!$AG$85*1000000000+ISNUMBER('Dvd Calendar'!$AG$86)*100000000+('Dvd Calendar'!$AG$90='Field Check'!$C$25)*10000000+(N('Dvd Calendar'!$AG$84)&gt;0)*1000000+6*1000+29))</f>
        <v/>
      </c>
      <c r="AF14" s="41">
        <f>IF(N('Dvd Calendar'!$AH$85)=0,"",IF(('Dvd Calendar'!$AH$85&gt;=MIN(DATE(Summary!$C$12,1,1),Summary!$C$11))*('Dvd Calendar'!$AH$85&lt;=MAX(DATE(Summary!$C$12,12,31),Summary!$C$15))*('Dvd Calendar'!$AH$85&lt;=Summary!$C$11)=0,"",'Dvd Calendar'!$AH$85*1000000000+ISNUMBER('Dvd Calendar'!$AH$86)*100000000+('Dvd Calendar'!$AH$90='Field Check'!$C$25)*10000000+(N('Dvd Calendar'!$AH$84)&gt;0)*1000000+6*1000+30))</f>
        <v/>
      </c>
      <c r="AG14" s="41">
        <f>IF(N('Dvd Calendar'!$AI$85)=0,"",IF(('Dvd Calendar'!$AI$85&gt;=MIN(DATE(Summary!$C$12,1,1),Summary!$C$11))*('Dvd Calendar'!$AI$85&lt;=MAX(DATE(Summary!$C$12,12,31),Summary!$C$15))*('Dvd Calendar'!$AI$85&lt;=Summary!$C$11)=0,"",'Dvd Calendar'!$AI$85*1000000000+ISNUMBER('Dvd Calendar'!$AI$86)*100000000+('Dvd Calendar'!$AI$90='Field Check'!$C$25)*10000000+(N('Dvd Calendar'!$AI$84)&gt;0)*1000000+6*1000+31))</f>
        <v/>
      </c>
      <c r="AH14" s="41">
        <f>IF(N('Dvd Calendar'!$AJ$85)=0,"",IF(('Dvd Calendar'!$AJ$85&gt;=MIN(DATE(Summary!$C$12,1,1),Summary!$C$11))*('Dvd Calendar'!$AJ$85&lt;=MAX(DATE(Summary!$C$12,12,31),Summary!$C$15))*('Dvd Calendar'!$AJ$85&lt;=Summary!$C$11)=0,"",'Dvd Calendar'!$AJ$85*1000000000+ISNUMBER('Dvd Calendar'!$AJ$86)*100000000+('Dvd Calendar'!$AJ$90='Field Check'!$C$25)*10000000+(N('Dvd Calendar'!$AJ$84)&gt;0)*1000000+6*1000+32))</f>
        <v/>
      </c>
      <c r="AI14" s="41">
        <f>IF(N('Dvd Calendar'!$AK$85)=0,"",IF(('Dvd Calendar'!$AK$85&gt;=MIN(DATE(Summary!$C$12,1,1),Summary!$C$11))*('Dvd Calendar'!$AK$85&lt;=MAX(DATE(Summary!$C$12,12,31),Summary!$C$15))*('Dvd Calendar'!$AK$85&lt;=Summary!$C$11)=0,"",'Dvd Calendar'!$AK$85*1000000000+ISNUMBER('Dvd Calendar'!$AK$86)*100000000+('Dvd Calendar'!$AK$90='Field Check'!$C$25)*10000000+(N('Dvd Calendar'!$AK$84)&gt;0)*1000000+6*1000+33))</f>
        <v/>
      </c>
      <c r="AJ14" s="41">
        <f>IF(N('Dvd Calendar'!$AL$85)=0,"",IF(('Dvd Calendar'!$AL$85&gt;=MIN(DATE(Summary!$C$12,1,1),Summary!$C$11))*('Dvd Calendar'!$AL$85&lt;=MAX(DATE(Summary!$C$12,12,31),Summary!$C$15))*('Dvd Calendar'!$AL$85&lt;=Summary!$C$11)=0,"",'Dvd Calendar'!$AL$85*1000000000+ISNUMBER('Dvd Calendar'!$AL$86)*100000000+('Dvd Calendar'!$AL$90='Field Check'!$C$25)*10000000+(N('Dvd Calendar'!$AL$84)&gt;0)*1000000+6*1000+34))</f>
        <v/>
      </c>
      <c r="AK14" s="41">
        <f>IF(N('Dvd Calendar'!$AM$85)=0,"",IF(('Dvd Calendar'!$AM$85&gt;=MIN(DATE(Summary!$C$12,1,1),Summary!$C$11))*('Dvd Calendar'!$AM$85&lt;=MAX(DATE(Summary!$C$12,12,31),Summary!$C$15))*('Dvd Calendar'!$AM$85&lt;=Summary!$C$11)=0,"",'Dvd Calendar'!$AM$85*1000000000+ISNUMBER('Dvd Calendar'!$AM$86)*100000000+('Dvd Calendar'!$AM$90='Field Check'!$C$25)*10000000+(N('Dvd Calendar'!$AM$84)&gt;0)*1000000+6*1000+35))</f>
        <v/>
      </c>
      <c r="AL14" s="41">
        <f>IF(N('Dvd Calendar'!$AN$85)=0,"",IF(('Dvd Calendar'!$AN$85&gt;=MIN(DATE(Summary!$C$12,1,1),Summary!$C$11))*('Dvd Calendar'!$AN$85&lt;=MAX(DATE(Summary!$C$12,12,31),Summary!$C$15))*('Dvd Calendar'!$AN$85&lt;=Summary!$C$11)=0,"",'Dvd Calendar'!$AN$85*1000000000+ISNUMBER('Dvd Calendar'!$AN$86)*100000000+('Dvd Calendar'!$AN$90='Field Check'!$C$25)*10000000+(N('Dvd Calendar'!$AN$84)&gt;0)*1000000+6*1000+36))</f>
        <v/>
      </c>
      <c r="AM14" s="41">
        <f>IF(N('Dvd Calendar'!$AO$85)=0,"",IF(('Dvd Calendar'!$AO$85&gt;=MIN(DATE(Summary!$C$12,1,1),Summary!$C$11))*('Dvd Calendar'!$AO$85&lt;=MAX(DATE(Summary!$C$12,12,31),Summary!$C$15))*('Dvd Calendar'!$AO$85&lt;=Summary!$C$11)=0,"",'Dvd Calendar'!$AO$85*1000000000+ISNUMBER('Dvd Calendar'!$AO$86)*100000000+('Dvd Calendar'!$AO$90='Field Check'!$C$25)*10000000+(N('Dvd Calendar'!$AO$84)&gt;0)*1000000+6*1000+37))</f>
        <v/>
      </c>
      <c r="AN14" s="41">
        <f>IF(N('Dvd Calendar'!$AP$85)=0,"",IF(('Dvd Calendar'!$AP$85&gt;=MIN(DATE(Summary!$C$12,1,1),Summary!$C$11))*('Dvd Calendar'!$AP$85&lt;=MAX(DATE(Summary!$C$12,12,31),Summary!$C$15))*('Dvd Calendar'!$AP$85&lt;=Summary!$C$11)=0,"",'Dvd Calendar'!$AP$85*1000000000+ISNUMBER('Dvd Calendar'!$AP$86)*100000000+('Dvd Calendar'!$AP$90='Field Check'!$C$25)*10000000+(N('Dvd Calendar'!$AP$84)&gt;0)*1000000+6*1000+38))</f>
        <v/>
      </c>
      <c r="AO14" s="41">
        <f>IF(N('Dvd Calendar'!$AQ$85)=0,"",IF(('Dvd Calendar'!$AQ$85&gt;=MIN(DATE(Summary!$C$12,1,1),Summary!$C$11))*('Dvd Calendar'!$AQ$85&lt;=MAX(DATE(Summary!$C$12,12,31),Summary!$C$15))*('Dvd Calendar'!$AQ$85&lt;=Summary!$C$11)=0,"",'Dvd Calendar'!$AQ$85*1000000000+ISNUMBER('Dvd Calendar'!$AQ$86)*100000000+('Dvd Calendar'!$AQ$90='Field Check'!$C$25)*10000000+(N('Dvd Calendar'!$AQ$84)&gt;0)*1000000+6*1000+39))</f>
        <v/>
      </c>
      <c r="AP14" s="41">
        <f>IF(N('Dvd Calendar'!$AR$85)=0,"",IF(('Dvd Calendar'!$AR$85&gt;=MIN(DATE(Summary!$C$12,1,1),Summary!$C$11))*('Dvd Calendar'!$AR$85&lt;=MAX(DATE(Summary!$C$12,12,31),Summary!$C$15))*('Dvd Calendar'!$AR$85&lt;=Summary!$C$11)=0,"",'Dvd Calendar'!$AR$85*1000000000+ISNUMBER('Dvd Calendar'!$AR$86)*100000000+('Dvd Calendar'!$AR$90='Field Check'!$C$25)*10000000+(N('Dvd Calendar'!$AR$84)&gt;0)*1000000+6*1000+40))</f>
        <v/>
      </c>
      <c r="AQ14" s="41">
        <f>IF(N('Dvd Calendar'!$E$92)=0,"",IF(('Dvd Calendar'!$E$92&gt;=MIN(DATE(Summary!$C$12,1,1),Summary!$C$11))*('Dvd Calendar'!$E$92&lt;=MAX(DATE(Summary!$C$12,12,31),Summary!$C$15))*('Dvd Calendar'!$E$92&gt;Summary!$C$11)=0,"",'Dvd Calendar'!$E$92*1000000000+ISNUMBER('Dvd Calendar'!$E$93)*100000000+('Dvd Calendar'!$E$97='Field Check'!$C$25)*10000000+(N('Dvd Calendar'!$E$91)&gt;0)*1000000+6*1000+41))</f>
        <v/>
      </c>
      <c r="AR14" s="41">
        <f>IF(N('Dvd Calendar'!$F$92)=0,"",IF(('Dvd Calendar'!$F$92&gt;=MIN(DATE(Summary!$C$12,1,1),Summary!$C$11))*('Dvd Calendar'!$F$92&lt;=MAX(DATE(Summary!$C$12,12,31),Summary!$C$15))*('Dvd Calendar'!$F$92&gt;Summary!$C$11)=0,"",'Dvd Calendar'!$F$92*1000000000+ISNUMBER('Dvd Calendar'!$F$93)*100000000+('Dvd Calendar'!$F$97='Field Check'!$C$25)*10000000+(N('Dvd Calendar'!$F$91)&gt;0)*1000000+6*1000+42))</f>
        <v/>
      </c>
      <c r="AS14" s="41">
        <f>IF(N('Dvd Calendar'!$G$92)=0,"",IF(('Dvd Calendar'!$G$92&gt;=MIN(DATE(Summary!$C$12,1,1),Summary!$C$11))*('Dvd Calendar'!$G$92&lt;=MAX(DATE(Summary!$C$12,12,31),Summary!$C$15))*('Dvd Calendar'!$G$92&gt;Summary!$C$11)=0,"",'Dvd Calendar'!$G$92*1000000000+ISNUMBER('Dvd Calendar'!$G$93)*100000000+('Dvd Calendar'!$G$97='Field Check'!$C$25)*10000000+(N('Dvd Calendar'!$G$91)&gt;0)*1000000+6*1000+43))</f>
        <v/>
      </c>
      <c r="AT14" s="41">
        <f>IF(N('Dvd Calendar'!$H$92)=0,"",IF(('Dvd Calendar'!$H$92&gt;=MIN(DATE(Summary!$C$12,1,1),Summary!$C$11))*('Dvd Calendar'!$H$92&lt;=MAX(DATE(Summary!$C$12,12,31),Summary!$C$15))*('Dvd Calendar'!$H$92&gt;Summary!$C$11)=0,"",'Dvd Calendar'!$H$92*1000000000+ISNUMBER('Dvd Calendar'!$H$93)*100000000+('Dvd Calendar'!$H$97='Field Check'!$C$25)*10000000+(N('Dvd Calendar'!$H$91)&gt;0)*1000000+6*1000+44))</f>
        <v/>
      </c>
      <c r="AU14" s="41">
        <f>IF(N('Dvd Calendar'!$I$92)=0,"",IF(('Dvd Calendar'!$I$92&gt;=MIN(DATE(Summary!$C$12,1,1),Summary!$C$11))*('Dvd Calendar'!$I$92&lt;=MAX(DATE(Summary!$C$12,12,31),Summary!$C$15))*('Dvd Calendar'!$I$92&gt;Summary!$C$11)=0,"",'Dvd Calendar'!$I$92*1000000000+ISNUMBER('Dvd Calendar'!$I$93)*100000000+('Dvd Calendar'!$I$97='Field Check'!$C$25)*10000000+(N('Dvd Calendar'!$I$91)&gt;0)*1000000+6*1000+45))</f>
        <v/>
      </c>
      <c r="AV14" s="41">
        <f>IF(N('Dvd Calendar'!$J$92)=0,"",IF(('Dvd Calendar'!$J$92&gt;=MIN(DATE(Summary!$C$12,1,1),Summary!$C$11))*('Dvd Calendar'!$J$92&lt;=MAX(DATE(Summary!$C$12,12,31),Summary!$C$15))*('Dvd Calendar'!$J$92&gt;Summary!$C$11)=0,"",'Dvd Calendar'!$J$92*1000000000+ISNUMBER('Dvd Calendar'!$J$93)*100000000+('Dvd Calendar'!$J$97='Field Check'!$C$25)*10000000+(N('Dvd Calendar'!$J$91)&gt;0)*1000000+6*1000+46))</f>
        <v/>
      </c>
      <c r="AW14" s="41">
        <f>IF(N('Dvd Calendar'!$K$92)=0,"",IF(('Dvd Calendar'!$K$92&gt;=MIN(DATE(Summary!$C$12,1,1),Summary!$C$11))*('Dvd Calendar'!$K$92&lt;=MAX(DATE(Summary!$C$12,12,31),Summary!$C$15))*('Dvd Calendar'!$K$92&gt;Summary!$C$11)=0,"",'Dvd Calendar'!$K$92*1000000000+ISNUMBER('Dvd Calendar'!$K$93)*100000000+('Dvd Calendar'!$K$97='Field Check'!$C$25)*10000000+(N('Dvd Calendar'!$K$91)&gt;0)*1000000+6*1000+47))</f>
        <v/>
      </c>
      <c r="AX14" s="41">
        <f>IF(N('Dvd Calendar'!$L$92)=0,"",IF(('Dvd Calendar'!$L$92&gt;=MIN(DATE(Summary!$C$12,1,1),Summary!$C$11))*('Dvd Calendar'!$L$92&lt;=MAX(DATE(Summary!$C$12,12,31),Summary!$C$15))*('Dvd Calendar'!$L$92&gt;Summary!$C$11)=0,"",'Dvd Calendar'!$L$92*1000000000+ISNUMBER('Dvd Calendar'!$L$93)*100000000+('Dvd Calendar'!$L$97='Field Check'!$C$25)*10000000+(N('Dvd Calendar'!$L$91)&gt;0)*1000000+6*1000+48))</f>
        <v/>
      </c>
      <c r="AY14" s="41">
        <f>IF(N('Dvd Calendar'!$M$92)=0,"",IF(('Dvd Calendar'!$M$92&gt;=MIN(DATE(Summary!$C$12,1,1),Summary!$C$11))*('Dvd Calendar'!$M$92&lt;=MAX(DATE(Summary!$C$12,12,31),Summary!$C$15))*('Dvd Calendar'!$M$92&gt;Summary!$C$11)=0,"",'Dvd Calendar'!$M$92*1000000000+ISNUMBER('Dvd Calendar'!$M$93)*100000000+('Dvd Calendar'!$M$97='Field Check'!$C$25)*10000000+(N('Dvd Calendar'!$M$91)&gt;0)*1000000+6*1000+49))</f>
        <v/>
      </c>
      <c r="AZ14" s="41">
        <f>IF(N('Dvd Calendar'!$N$92)=0,"",IF(('Dvd Calendar'!$N$92&gt;=MIN(DATE(Summary!$C$12,1,1),Summary!$C$11))*('Dvd Calendar'!$N$92&lt;=MAX(DATE(Summary!$C$12,12,31),Summary!$C$15))*('Dvd Calendar'!$N$92&gt;Summary!$C$11)=0,"",'Dvd Calendar'!$N$92*1000000000+ISNUMBER('Dvd Calendar'!$N$93)*100000000+('Dvd Calendar'!$N$97='Field Check'!$C$25)*10000000+(N('Dvd Calendar'!$N$91)&gt;0)*1000000+6*1000+50))</f>
        <v/>
      </c>
      <c r="BA14" s="41">
        <f>IF(N('Dvd Calendar'!$O$92)=0,"",IF(('Dvd Calendar'!$O$92&gt;=MIN(DATE(Summary!$C$12,1,1),Summary!$C$11))*('Dvd Calendar'!$O$92&lt;=MAX(DATE(Summary!$C$12,12,31),Summary!$C$15))*('Dvd Calendar'!$O$92&gt;Summary!$C$11)=0,"",'Dvd Calendar'!$O$92*1000000000+ISNUMBER('Dvd Calendar'!$O$93)*100000000+('Dvd Calendar'!$O$97='Field Check'!$C$25)*10000000+(N('Dvd Calendar'!$O$91)&gt;0)*1000000+6*1000+51))</f>
        <v/>
      </c>
      <c r="BB14" s="41">
        <f>IF(N('Dvd Calendar'!$P$92)=0,"",IF(('Dvd Calendar'!$P$92&gt;=MIN(DATE(Summary!$C$12,1,1),Summary!$C$11))*('Dvd Calendar'!$P$92&lt;=MAX(DATE(Summary!$C$12,12,31),Summary!$C$15))*('Dvd Calendar'!$P$92&gt;Summary!$C$11)=0,"",'Dvd Calendar'!$P$92*1000000000+ISNUMBER('Dvd Calendar'!$P$93)*100000000+('Dvd Calendar'!$P$97='Field Check'!$C$25)*10000000+(N('Dvd Calendar'!$P$91)&gt;0)*1000000+6*1000+52))</f>
        <v/>
      </c>
      <c r="BC14" s="41">
        <f>IF(N('Dvd Calendar'!$Q$92)=0,"",IF(('Dvd Calendar'!$Q$92&gt;=MIN(DATE(Summary!$C$12,1,1),Summary!$C$11))*('Dvd Calendar'!$Q$92&lt;=MAX(DATE(Summary!$C$12,12,31),Summary!$C$15))*('Dvd Calendar'!$Q$92&gt;Summary!$C$11)=0,"",'Dvd Calendar'!$Q$92*1000000000+ISNUMBER('Dvd Calendar'!$Q$93)*100000000+('Dvd Calendar'!$Q$97='Field Check'!$C$25)*10000000+(N('Dvd Calendar'!$Q$91)&gt;0)*1000000+6*1000+53))</f>
        <v/>
      </c>
      <c r="BD14" s="41">
        <f>IF(N('Dvd Calendar'!$R$92)=0,"",IF(('Dvd Calendar'!$R$92&gt;=MIN(DATE(Summary!$C$12,1,1),Summary!$C$11))*('Dvd Calendar'!$R$92&lt;=MAX(DATE(Summary!$C$12,12,31),Summary!$C$15))*('Dvd Calendar'!$R$92&gt;Summary!$C$11)=0,"",'Dvd Calendar'!$R$92*1000000000+ISNUMBER('Dvd Calendar'!$R$93)*100000000+('Dvd Calendar'!$R$97='Field Check'!$C$25)*10000000+(N('Dvd Calendar'!$R$91)&gt;0)*1000000+6*1000+54))</f>
        <v/>
      </c>
      <c r="BE14" s="41">
        <f>IF(N('Dvd Calendar'!$S$92)=0,"",IF(('Dvd Calendar'!$S$92&gt;=MIN(DATE(Summary!$C$12,1,1),Summary!$C$11))*('Dvd Calendar'!$S$92&lt;=MAX(DATE(Summary!$C$12,12,31),Summary!$C$15))*('Dvd Calendar'!$S$92&gt;Summary!$C$11)=0,"",'Dvd Calendar'!$S$92*1000000000+ISNUMBER('Dvd Calendar'!$S$93)*100000000+('Dvd Calendar'!$S$97='Field Check'!$C$25)*10000000+(N('Dvd Calendar'!$S$91)&gt;0)*1000000+6*1000+55))</f>
        <v/>
      </c>
      <c r="BF14" s="41">
        <f>IF(N('Dvd Calendar'!$T$92)=0,"",IF(('Dvd Calendar'!$T$92&gt;=MIN(DATE(Summary!$C$12,1,1),Summary!$C$11))*('Dvd Calendar'!$T$92&lt;=MAX(DATE(Summary!$C$12,12,31),Summary!$C$15))*('Dvd Calendar'!$T$92&gt;Summary!$C$11)=0,"",'Dvd Calendar'!$T$92*1000000000+ISNUMBER('Dvd Calendar'!$T$93)*100000000+('Dvd Calendar'!$T$97='Field Check'!$C$25)*10000000+(N('Dvd Calendar'!$T$91)&gt;0)*1000000+6*1000+56))</f>
        <v/>
      </c>
      <c r="BG14" s="41">
        <f>IF(N('Dvd Calendar'!$U$92)=0,"",IF(('Dvd Calendar'!$U$92&gt;=MIN(DATE(Summary!$C$12,1,1),Summary!$C$11))*('Dvd Calendar'!$U$92&lt;=MAX(DATE(Summary!$C$12,12,31),Summary!$C$15))*('Dvd Calendar'!$U$92&gt;Summary!$C$11)=0,"",'Dvd Calendar'!$U$92*1000000000+ISNUMBER('Dvd Calendar'!$U$93)*100000000+('Dvd Calendar'!$U$97='Field Check'!$C$25)*10000000+(N('Dvd Calendar'!$U$91)&gt;0)*1000000+6*1000+57))</f>
        <v/>
      </c>
      <c r="BH14" s="41">
        <f>IF(N('Dvd Calendar'!$V$92)=0,"",IF(('Dvd Calendar'!$V$92&gt;=MIN(DATE(Summary!$C$12,1,1),Summary!$C$11))*('Dvd Calendar'!$V$92&lt;=MAX(DATE(Summary!$C$12,12,31),Summary!$C$15))*('Dvd Calendar'!$V$92&gt;Summary!$C$11)=0,"",'Dvd Calendar'!$V$92*1000000000+ISNUMBER('Dvd Calendar'!$V$93)*100000000+('Dvd Calendar'!$V$97='Field Check'!$C$25)*10000000+(N('Dvd Calendar'!$V$91)&gt;0)*1000000+6*1000+58))</f>
        <v/>
      </c>
      <c r="BI14" s="41">
        <f>IF(N('Dvd Calendar'!$W$92)=0,"",IF(('Dvd Calendar'!$W$92&gt;=MIN(DATE(Summary!$C$12,1,1),Summary!$C$11))*('Dvd Calendar'!$W$92&lt;=MAX(DATE(Summary!$C$12,12,31),Summary!$C$15))*('Dvd Calendar'!$W$92&gt;Summary!$C$11)=0,"",'Dvd Calendar'!$W$92*1000000000+ISNUMBER('Dvd Calendar'!$W$93)*100000000+('Dvd Calendar'!$W$97='Field Check'!$C$25)*10000000+(N('Dvd Calendar'!$W$91)&gt;0)*1000000+6*1000+59))</f>
        <v/>
      </c>
      <c r="BJ14" s="41">
        <f>IF(N('Dvd Calendar'!$X$92)=0,"",IF(('Dvd Calendar'!$X$92&gt;=MIN(DATE(Summary!$C$12,1,1),Summary!$C$11))*('Dvd Calendar'!$X$92&lt;=MAX(DATE(Summary!$C$12,12,31),Summary!$C$15))*('Dvd Calendar'!$X$92&gt;Summary!$C$11)=0,"",'Dvd Calendar'!$X$92*1000000000+ISNUMBER('Dvd Calendar'!$X$93)*100000000+('Dvd Calendar'!$X$97='Field Check'!$C$25)*10000000+(N('Dvd Calendar'!$X$91)&gt;0)*1000000+6*1000+60))</f>
        <v/>
      </c>
      <c r="BK14" s="41">
        <f>IF(N('Dvd Calendar'!$Y$92)=0,"",IF(('Dvd Calendar'!$Y$92&gt;=MIN(DATE(Summary!$C$12,1,1),Summary!$C$11))*('Dvd Calendar'!$Y$92&lt;=MAX(DATE(Summary!$C$12,12,31),Summary!$C$15))*('Dvd Calendar'!$Y$92&gt;Summary!$C$11)=0,"",'Dvd Calendar'!$Y$92*1000000000+ISNUMBER('Dvd Calendar'!$Y$93)*100000000+('Dvd Calendar'!$Y$97='Field Check'!$C$25)*10000000+(N('Dvd Calendar'!$Y$91)&gt;0)*1000000+6*1000+61))</f>
        <v/>
      </c>
      <c r="BL14" s="41">
        <f>IF(N('Dvd Calendar'!$Z$92)=0,"",IF(('Dvd Calendar'!$Z$92&gt;=MIN(DATE(Summary!$C$12,1,1),Summary!$C$11))*('Dvd Calendar'!$Z$92&lt;=MAX(DATE(Summary!$C$12,12,31),Summary!$C$15))*('Dvd Calendar'!$Z$92&gt;Summary!$C$11)=0,"",'Dvd Calendar'!$Z$92*1000000000+ISNUMBER('Dvd Calendar'!$Z$93)*100000000+('Dvd Calendar'!$Z$97='Field Check'!$C$25)*10000000+(N('Dvd Calendar'!$Z$91)&gt;0)*1000000+6*1000+62))</f>
        <v/>
      </c>
      <c r="BM14" s="41">
        <f>IF(N('Dvd Calendar'!$AA$92)=0,"",IF(('Dvd Calendar'!$AA$92&gt;=MIN(DATE(Summary!$C$12,1,1),Summary!$C$11))*('Dvd Calendar'!$AA$92&lt;=MAX(DATE(Summary!$C$12,12,31),Summary!$C$15))*('Dvd Calendar'!$AA$92&gt;Summary!$C$11)=0,"",'Dvd Calendar'!$AA$92*1000000000+ISNUMBER('Dvd Calendar'!$AA$93)*100000000+('Dvd Calendar'!$AA$97='Field Check'!$C$25)*10000000+(N('Dvd Calendar'!$AA$91)&gt;0)*1000000+6*1000+63))</f>
        <v/>
      </c>
      <c r="BN14" s="41">
        <f>IF(N('Dvd Calendar'!$AB$92)=0,"",IF(('Dvd Calendar'!$AB$92&gt;=MIN(DATE(Summary!$C$12,1,1),Summary!$C$11))*('Dvd Calendar'!$AB$92&lt;=MAX(DATE(Summary!$C$12,12,31),Summary!$C$15))*('Dvd Calendar'!$AB$92&gt;Summary!$C$11)=0,"",'Dvd Calendar'!$AB$92*1000000000+ISNUMBER('Dvd Calendar'!$AB$93)*100000000+('Dvd Calendar'!$AB$97='Field Check'!$C$25)*10000000+(N('Dvd Calendar'!$AB$91)&gt;0)*1000000+6*1000+64))</f>
        <v/>
      </c>
      <c r="BO14" s="41">
        <f>IF(N('Dvd Calendar'!$AC$92)=0,"",IF(('Dvd Calendar'!$AC$92&gt;=MIN(DATE(Summary!$C$12,1,1),Summary!$C$11))*('Dvd Calendar'!$AC$92&lt;=MAX(DATE(Summary!$C$12,12,31),Summary!$C$15))*('Dvd Calendar'!$AC$92&gt;Summary!$C$11)=0,"",'Dvd Calendar'!$AC$92*1000000000+ISNUMBER('Dvd Calendar'!$AC$93)*100000000+('Dvd Calendar'!$AC$97='Field Check'!$C$25)*10000000+(N('Dvd Calendar'!$AC$91)&gt;0)*1000000+6*1000+65))</f>
        <v/>
      </c>
      <c r="BQ14" s="85">
        <f>IF(C14="","",IF(ISNUMBER('Dvd Calendar'!$E$86)=FALSE,"",IF((Summary!$C$13="N")*('Dvd Calendar'!$E$90='Field Check'!$C$25)&gt;0,"",'Dvd Calendar'!$E$86)))</f>
        <v/>
      </c>
      <c r="BR14" s="85">
        <f>IF(D14="","",IF(ISNUMBER('Dvd Calendar'!$F$86)=FALSE,"",IF((Summary!$C$13="N")*('Dvd Calendar'!$F$90='Field Check'!$C$25)&gt;0,"",'Dvd Calendar'!$F$86)))</f>
        <v/>
      </c>
      <c r="BS14" s="85">
        <f>IF(E14="","",IF(ISNUMBER('Dvd Calendar'!$G$86)=FALSE,"",IF((Summary!$C$13="N")*('Dvd Calendar'!$G$90='Field Check'!$C$25)&gt;0,"",'Dvd Calendar'!$G$86)))</f>
        <v/>
      </c>
      <c r="BT14" s="85">
        <f>IF(F14="","",IF(ISNUMBER('Dvd Calendar'!$H$86)=FALSE,"",IF((Summary!$C$13="N")*('Dvd Calendar'!$H$90='Field Check'!$C$25)&gt;0,"",'Dvd Calendar'!$H$86)))</f>
        <v/>
      </c>
      <c r="BU14" s="85">
        <f>IF(G14="","",IF(ISNUMBER('Dvd Calendar'!$I$86)=FALSE,"",IF((Summary!$C$13="N")*('Dvd Calendar'!$I$90='Field Check'!$C$25)&gt;0,"",'Dvd Calendar'!$I$86)))</f>
        <v/>
      </c>
      <c r="BV14" s="85">
        <f>IF(H14="","",IF(ISNUMBER('Dvd Calendar'!$J$86)=FALSE,"",IF((Summary!$C$13="N")*('Dvd Calendar'!$J$90='Field Check'!$C$25)&gt;0,"",'Dvd Calendar'!$J$86)))</f>
        <v/>
      </c>
      <c r="BW14" s="85">
        <f>IF(I14="","",IF(ISNUMBER('Dvd Calendar'!$K$86)=FALSE,"",IF((Summary!$C$13="N")*('Dvd Calendar'!$K$90='Field Check'!$C$25)&gt;0,"",'Dvd Calendar'!$K$86)))</f>
        <v/>
      </c>
      <c r="BX14" s="85">
        <f>IF(J14="","",IF(ISNUMBER('Dvd Calendar'!$L$86)=FALSE,"",IF((Summary!$C$13="N")*('Dvd Calendar'!$L$90='Field Check'!$C$25)&gt;0,"",'Dvd Calendar'!$L$86)))</f>
        <v/>
      </c>
      <c r="BY14" s="85">
        <f>IF(K14="","",IF(ISNUMBER('Dvd Calendar'!$M$86)=FALSE,"",IF((Summary!$C$13="N")*('Dvd Calendar'!$M$90='Field Check'!$C$25)&gt;0,"",'Dvd Calendar'!$M$86)))</f>
        <v/>
      </c>
      <c r="BZ14" s="85">
        <f>IF(L14="","",IF(ISNUMBER('Dvd Calendar'!$N$86)=FALSE,"",IF((Summary!$C$13="N")*('Dvd Calendar'!$N$90='Field Check'!$C$25)&gt;0,"",'Dvd Calendar'!$N$86)))</f>
        <v/>
      </c>
      <c r="CA14" s="85">
        <f>IF(M14="","",IF(ISNUMBER('Dvd Calendar'!$O$86)=FALSE,"",IF((Summary!$C$13="N")*('Dvd Calendar'!$O$90='Field Check'!$C$25)&gt;0,"",'Dvd Calendar'!$O$86)))</f>
        <v/>
      </c>
      <c r="CB14" s="85">
        <f>IF(N14="","",IF(ISNUMBER('Dvd Calendar'!$P$86)=FALSE,"",IF((Summary!$C$13="N")*('Dvd Calendar'!$P$90='Field Check'!$C$25)&gt;0,"",'Dvd Calendar'!$P$86)))</f>
        <v/>
      </c>
      <c r="CC14" s="85">
        <f>IF(O14="","",IF(ISNUMBER('Dvd Calendar'!$Q$86)=FALSE,"",IF((Summary!$C$13="N")*('Dvd Calendar'!$Q$90='Field Check'!$C$25)&gt;0,"",'Dvd Calendar'!$Q$86)))</f>
        <v/>
      </c>
      <c r="CD14" s="85">
        <f>IF(P14="","",IF(ISNUMBER('Dvd Calendar'!$R$86)=FALSE,"",IF((Summary!$C$13="N")*('Dvd Calendar'!$R$90='Field Check'!$C$25)&gt;0,"",'Dvd Calendar'!$R$86)))</f>
        <v/>
      </c>
      <c r="CE14" s="85">
        <f>IF(Q14="","",IF(ISNUMBER('Dvd Calendar'!$S$86)=FALSE,"",IF((Summary!$C$13="N")*('Dvd Calendar'!$S$90='Field Check'!$C$25)&gt;0,"",'Dvd Calendar'!$S$86)))</f>
        <v/>
      </c>
      <c r="CF14" s="85">
        <f>IF(R14="","",IF(ISNUMBER('Dvd Calendar'!$T$86)=FALSE,"",IF((Summary!$C$13="N")*('Dvd Calendar'!$T$90='Field Check'!$C$25)&gt;0,"",'Dvd Calendar'!$T$86)))</f>
        <v/>
      </c>
      <c r="CG14" s="85">
        <f>IF(S14="","",IF(ISNUMBER('Dvd Calendar'!$U$86)=FALSE,"",IF((Summary!$C$13="N")*('Dvd Calendar'!$U$90='Field Check'!$C$25)&gt;0,"",'Dvd Calendar'!$U$86)))</f>
        <v/>
      </c>
      <c r="CH14" s="85">
        <f>IF(T14="","",IF(ISNUMBER('Dvd Calendar'!$V$86)=FALSE,"",IF((Summary!$C$13="N")*('Dvd Calendar'!$V$90='Field Check'!$C$25)&gt;0,"",'Dvd Calendar'!$V$86)))</f>
        <v/>
      </c>
      <c r="CI14" s="85">
        <f>IF(U14="","",IF(ISNUMBER('Dvd Calendar'!$W$86)=FALSE,"",IF((Summary!$C$13="N")*('Dvd Calendar'!$W$90='Field Check'!$C$25)&gt;0,"",'Dvd Calendar'!$W$86)))</f>
        <v/>
      </c>
      <c r="CJ14" s="85">
        <f>IF(V14="","",IF(ISNUMBER('Dvd Calendar'!$X$86)=FALSE,"",IF((Summary!$C$13="N")*('Dvd Calendar'!$X$90='Field Check'!$C$25)&gt;0,"",'Dvd Calendar'!$X$86)))</f>
        <v/>
      </c>
      <c r="CK14" s="85">
        <f>IF(W14="","",IF(ISNUMBER('Dvd Calendar'!$Y$86)=FALSE,"",IF((Summary!$C$13="N")*('Dvd Calendar'!$Y$90='Field Check'!$C$25)&gt;0,"",'Dvd Calendar'!$Y$86)))</f>
        <v/>
      </c>
      <c r="CL14" s="85">
        <f>IF(X14="","",IF(ISNUMBER('Dvd Calendar'!$Z$86)=FALSE,"",IF((Summary!$C$13="N")*('Dvd Calendar'!$Z$90='Field Check'!$C$25)&gt;0,"",'Dvd Calendar'!$Z$86)))</f>
        <v/>
      </c>
      <c r="CM14" s="85">
        <f>IF(Y14="","",IF(ISNUMBER('Dvd Calendar'!$AA$86)=FALSE,"",IF((Summary!$C$13="N")*('Dvd Calendar'!$AA$90='Field Check'!$C$25)&gt;0,"",'Dvd Calendar'!$AA$86)))</f>
        <v/>
      </c>
      <c r="CN14" s="85">
        <f>IF(Z14="","",IF(ISNUMBER('Dvd Calendar'!$AB$86)=FALSE,"",IF((Summary!$C$13="N")*('Dvd Calendar'!$AB$90='Field Check'!$C$25)&gt;0,"",'Dvd Calendar'!$AB$86)))</f>
        <v/>
      </c>
      <c r="CO14" s="85">
        <f>IF(AA14="","",IF(ISNUMBER('Dvd Calendar'!$AC$86)=FALSE,"",IF((Summary!$C$13="N")*('Dvd Calendar'!$AC$90='Field Check'!$C$25)&gt;0,"",'Dvd Calendar'!$AC$86)))</f>
        <v/>
      </c>
      <c r="CP14" s="85">
        <f>IF(AB14="","",IF(ISNUMBER('Dvd Calendar'!$AD$86)=FALSE,"",IF((Summary!$C$13="N")*('Dvd Calendar'!$AD$90='Field Check'!$C$25)&gt;0,"",'Dvd Calendar'!$AD$86)))</f>
        <v/>
      </c>
      <c r="CQ14" s="85">
        <f>IF(AC14="","",IF(ISNUMBER('Dvd Calendar'!$AE$86)=FALSE,"",IF((Summary!$C$13="N")*('Dvd Calendar'!$AE$90='Field Check'!$C$25)&gt;0,"",'Dvd Calendar'!$AE$86)))</f>
        <v/>
      </c>
      <c r="CR14" s="85">
        <f>IF(AD14="","",IF(ISNUMBER('Dvd Calendar'!$AF$86)=FALSE,"",IF((Summary!$C$13="N")*('Dvd Calendar'!$AF$90='Field Check'!$C$25)&gt;0,"",'Dvd Calendar'!$AF$86)))</f>
        <v/>
      </c>
      <c r="CS14" s="85">
        <f>IF(AE14="","",IF(ISNUMBER('Dvd Calendar'!$AG$86)=FALSE,"",IF((Summary!$C$13="N")*('Dvd Calendar'!$AG$90='Field Check'!$C$25)&gt;0,"",'Dvd Calendar'!$AG$86)))</f>
        <v/>
      </c>
      <c r="CT14" s="85">
        <f>IF(AF14="","",IF(ISNUMBER('Dvd Calendar'!$AH$86)=FALSE,"",IF((Summary!$C$13="N")*('Dvd Calendar'!$AH$90='Field Check'!$C$25)&gt;0,"",'Dvd Calendar'!$AH$86)))</f>
        <v/>
      </c>
      <c r="CU14" s="85">
        <f>IF(AG14="","",IF(ISNUMBER('Dvd Calendar'!$AI$86)=FALSE,"",IF((Summary!$C$13="N")*('Dvd Calendar'!$AI$90='Field Check'!$C$25)&gt;0,"",'Dvd Calendar'!$AI$86)))</f>
        <v/>
      </c>
      <c r="CV14" s="85">
        <f>IF(AH14="","",IF(ISNUMBER('Dvd Calendar'!$AJ$86)=FALSE,"",IF((Summary!$C$13="N")*('Dvd Calendar'!$AJ$90='Field Check'!$C$25)&gt;0,"",'Dvd Calendar'!$AJ$86)))</f>
        <v/>
      </c>
      <c r="CW14" s="85">
        <f>IF(AI14="","",IF(ISNUMBER('Dvd Calendar'!$AK$86)=FALSE,"",IF((Summary!$C$13="N")*('Dvd Calendar'!$AK$90='Field Check'!$C$25)&gt;0,"",'Dvd Calendar'!$AK$86)))</f>
        <v/>
      </c>
      <c r="CX14" s="85">
        <f>IF(AJ14="","",IF(ISNUMBER('Dvd Calendar'!$AL$86)=FALSE,"",IF((Summary!$C$13="N")*('Dvd Calendar'!$AL$90='Field Check'!$C$25)&gt;0,"",'Dvd Calendar'!$AL$86)))</f>
        <v/>
      </c>
      <c r="CY14" s="85">
        <f>IF(AK14="","",IF(ISNUMBER('Dvd Calendar'!$AM$86)=FALSE,"",IF((Summary!$C$13="N")*('Dvd Calendar'!$AM$90='Field Check'!$C$25)&gt;0,"",'Dvd Calendar'!$AM$86)))</f>
        <v/>
      </c>
      <c r="CZ14" s="85">
        <f>IF(AL14="","",IF(ISNUMBER('Dvd Calendar'!$AN$86)=FALSE,"",IF((Summary!$C$13="N")*('Dvd Calendar'!$AN$90='Field Check'!$C$25)&gt;0,"",'Dvd Calendar'!$AN$86)))</f>
        <v/>
      </c>
      <c r="DA14" s="85">
        <f>IF(AM14="","",IF(ISNUMBER('Dvd Calendar'!$AO$86)=FALSE,"",IF((Summary!$C$13="N")*('Dvd Calendar'!$AO$90='Field Check'!$C$25)&gt;0,"",'Dvd Calendar'!$AO$86)))</f>
        <v/>
      </c>
      <c r="DB14" s="85">
        <f>IF(AN14="","",IF(ISNUMBER('Dvd Calendar'!$AP$86)=FALSE,"",IF((Summary!$C$13="N")*('Dvd Calendar'!$AP$90='Field Check'!$C$25)&gt;0,"",'Dvd Calendar'!$AP$86)))</f>
        <v/>
      </c>
      <c r="DC14" s="85">
        <f>IF(AO14="","",IF(ISNUMBER('Dvd Calendar'!$AQ$86)=FALSE,"",IF((Summary!$C$13="N")*('Dvd Calendar'!$AQ$90='Field Check'!$C$25)&gt;0,"",'Dvd Calendar'!$AQ$86)))</f>
        <v/>
      </c>
      <c r="DD14" s="85">
        <f>IF(AP14="","",IF(ISNUMBER('Dvd Calendar'!$AR$86)=FALSE,"",IF((Summary!$C$13="N")*('Dvd Calendar'!$AR$90='Field Check'!$C$25)&gt;0,"",'Dvd Calendar'!$AR$86)))</f>
        <v/>
      </c>
      <c r="DE14" s="85">
        <f>IF(AQ14="","",IF(ISNUMBER('Dvd Calendar'!$E$93)=FALSE,"",IF((Summary!$C$13="N")*('Dvd Calendar'!$E$97='Field Check'!$C$25)&gt;0,"",'Dvd Calendar'!$E$93)))</f>
        <v/>
      </c>
      <c r="DF14" s="85">
        <f>IF(AR14="","",IF(ISNUMBER('Dvd Calendar'!$F$93)=FALSE,"",IF((Summary!$C$13="N")*('Dvd Calendar'!$F$97='Field Check'!$C$25)&gt;0,"",'Dvd Calendar'!$F$93)))</f>
        <v/>
      </c>
      <c r="DG14" s="85">
        <f>IF(AS14="","",IF(ISNUMBER('Dvd Calendar'!$G$93)=FALSE,"",IF((Summary!$C$13="N")*('Dvd Calendar'!$G$97='Field Check'!$C$25)&gt;0,"",'Dvd Calendar'!$G$93)))</f>
        <v/>
      </c>
      <c r="DH14" s="85">
        <f>IF(AT14="","",IF(ISNUMBER('Dvd Calendar'!$H$93)=FALSE,"",IF((Summary!$C$13="N")*('Dvd Calendar'!$H$97='Field Check'!$C$25)&gt;0,"",'Dvd Calendar'!$H$93)))</f>
        <v/>
      </c>
      <c r="DI14" s="85">
        <f>IF(AU14="","",IF(ISNUMBER('Dvd Calendar'!$I$93)=FALSE,"",IF((Summary!$C$13="N")*('Dvd Calendar'!$I$97='Field Check'!$C$25)&gt;0,"",'Dvd Calendar'!$I$93)))</f>
        <v/>
      </c>
      <c r="DJ14" s="85">
        <f>IF(AV14="","",IF(ISNUMBER('Dvd Calendar'!$J$93)=FALSE,"",IF((Summary!$C$13="N")*('Dvd Calendar'!$J$97='Field Check'!$C$25)&gt;0,"",'Dvd Calendar'!$J$93)))</f>
        <v/>
      </c>
      <c r="DK14" s="85">
        <f>IF(AW14="","",IF(ISNUMBER('Dvd Calendar'!$K$93)=FALSE,"",IF((Summary!$C$13="N")*('Dvd Calendar'!$K$97='Field Check'!$C$25)&gt;0,"",'Dvd Calendar'!$K$93)))</f>
        <v/>
      </c>
      <c r="DL14" s="85">
        <f>IF(AX14="","",IF(ISNUMBER('Dvd Calendar'!$L$93)=FALSE,"",IF((Summary!$C$13="N")*('Dvd Calendar'!$L$97='Field Check'!$C$25)&gt;0,"",'Dvd Calendar'!$L$93)))</f>
        <v/>
      </c>
      <c r="DM14" s="85">
        <f>IF(AY14="","",IF(ISNUMBER('Dvd Calendar'!$M$93)=FALSE,"",IF((Summary!$C$13="N")*('Dvd Calendar'!$M$97='Field Check'!$C$25)&gt;0,"",'Dvd Calendar'!$M$93)))</f>
        <v/>
      </c>
      <c r="DN14" s="85">
        <f>IF(AZ14="","",IF(ISNUMBER('Dvd Calendar'!$N$93)=FALSE,"",IF((Summary!$C$13="N")*('Dvd Calendar'!$N$97='Field Check'!$C$25)&gt;0,"",'Dvd Calendar'!$N$93)))</f>
        <v/>
      </c>
      <c r="DO14" s="85">
        <f>IF(BA14="","",IF(ISNUMBER('Dvd Calendar'!$O$93)=FALSE,"",IF((Summary!$C$13="N")*('Dvd Calendar'!$O$97='Field Check'!$C$25)&gt;0,"",'Dvd Calendar'!$O$93)))</f>
        <v/>
      </c>
      <c r="DP14" s="85">
        <f>IF(BB14="","",IF(ISNUMBER('Dvd Calendar'!$P$93)=FALSE,"",IF((Summary!$C$13="N")*('Dvd Calendar'!$P$97='Field Check'!$C$25)&gt;0,"",'Dvd Calendar'!$P$93)))</f>
        <v/>
      </c>
      <c r="DQ14" s="85">
        <f>IF(BC14="","",IF(ISNUMBER('Dvd Calendar'!$Q$93)=FALSE,"",IF((Summary!$C$13="N")*('Dvd Calendar'!$Q$97='Field Check'!$C$25)&gt;0,"",'Dvd Calendar'!$Q$93)))</f>
        <v/>
      </c>
      <c r="DR14" s="85">
        <f>IF(BD14="","",IF(ISNUMBER('Dvd Calendar'!$R$93)=FALSE,"",IF((Summary!$C$13="N")*('Dvd Calendar'!$R$97='Field Check'!$C$25)&gt;0,"",'Dvd Calendar'!$R$93)))</f>
        <v/>
      </c>
      <c r="DS14" s="85">
        <f>IF(BE14="","",IF(ISNUMBER('Dvd Calendar'!$S$93)=FALSE,"",IF((Summary!$C$13="N")*('Dvd Calendar'!$S$97='Field Check'!$C$25)&gt;0,"",'Dvd Calendar'!$S$93)))</f>
        <v/>
      </c>
      <c r="DT14" s="85">
        <f>IF(BF14="","",IF(ISNUMBER('Dvd Calendar'!$T$93)=FALSE,"",IF((Summary!$C$13="N")*('Dvd Calendar'!$T$97='Field Check'!$C$25)&gt;0,"",'Dvd Calendar'!$T$93)))</f>
        <v/>
      </c>
      <c r="DU14" s="85">
        <f>IF(BG14="","",IF(ISNUMBER('Dvd Calendar'!$U$93)=FALSE,"",IF((Summary!$C$13="N")*('Dvd Calendar'!$U$97='Field Check'!$C$25)&gt;0,"",'Dvd Calendar'!$U$93)))</f>
        <v/>
      </c>
      <c r="DV14" s="85">
        <f>IF(BH14="","",IF(ISNUMBER('Dvd Calendar'!$V$93)=FALSE,"",IF((Summary!$C$13="N")*('Dvd Calendar'!$V$97='Field Check'!$C$25)&gt;0,"",'Dvd Calendar'!$V$93)))</f>
        <v/>
      </c>
      <c r="DW14" s="85">
        <f>IF(BI14="","",IF(ISNUMBER('Dvd Calendar'!$W$93)=FALSE,"",IF((Summary!$C$13="N")*('Dvd Calendar'!$W$97='Field Check'!$C$25)&gt;0,"",'Dvd Calendar'!$W$93)))</f>
        <v/>
      </c>
      <c r="DX14" s="85">
        <f>IF(BJ14="","",IF(ISNUMBER('Dvd Calendar'!$X$93)=FALSE,"",IF((Summary!$C$13="N")*('Dvd Calendar'!$X$97='Field Check'!$C$25)&gt;0,"",'Dvd Calendar'!$X$93)))</f>
        <v/>
      </c>
      <c r="DY14" s="85">
        <f>IF(BK14="","",IF(ISNUMBER('Dvd Calendar'!$Y$93)=FALSE,"",IF((Summary!$C$13="N")*('Dvd Calendar'!$Y$97='Field Check'!$C$25)&gt;0,"",'Dvd Calendar'!$Y$93)))</f>
        <v/>
      </c>
      <c r="DZ14" s="85">
        <f>IF(BL14="","",IF(ISNUMBER('Dvd Calendar'!$Z$93)=FALSE,"",IF((Summary!$C$13="N")*('Dvd Calendar'!$Z$97='Field Check'!$C$25)&gt;0,"",'Dvd Calendar'!$Z$93)))</f>
        <v/>
      </c>
      <c r="EA14" s="85">
        <f>IF(BM14="","",IF(ISNUMBER('Dvd Calendar'!$AA$93)=FALSE,"",IF((Summary!$C$13="N")*('Dvd Calendar'!$AA$97='Field Check'!$C$25)&gt;0,"",'Dvd Calendar'!$AA$93)))</f>
        <v/>
      </c>
      <c r="EB14" s="85">
        <f>IF(BN14="","",IF(ISNUMBER('Dvd Calendar'!$AB$93)=FALSE,"",IF((Summary!$C$13="N")*('Dvd Calendar'!$AB$97='Field Check'!$C$25)&gt;0,"",'Dvd Calendar'!$AB$93)))</f>
        <v/>
      </c>
      <c r="EC14" s="85">
        <f>IF(BO14="","",IF(ISNUMBER('Dvd Calendar'!$AC$93)=FALSE,"",IF((Summary!$C$13="N")*('Dvd Calendar'!$AC$97='Field Check'!$C$25)&gt;0,"",'Dvd Calendar'!$AC$93)))</f>
        <v/>
      </c>
      <c r="EE14" s="85">
        <f>IF(BQ14="","",IFERROR(BQ14*HSI!$B$12*HSI!$G$12/HSI!$B$3,""))</f>
        <v/>
      </c>
      <c r="EF14" s="85">
        <f>IF(BR14="","",IFERROR(BR14*HSI!$B$12*HSI!$G$12/HSI!$B$3,""))</f>
        <v/>
      </c>
      <c r="EG14" s="85">
        <f>IF(BS14="","",IFERROR(BS14*HSI!$B$12*HSI!$G$12/HSI!$B$3,""))</f>
        <v/>
      </c>
      <c r="EH14" s="85">
        <f>IF(BT14="","",IFERROR(BT14*HSI!$B$12*HSI!$G$12/HSI!$B$3,""))</f>
        <v/>
      </c>
      <c r="EI14" s="85">
        <f>IF(BU14="","",IFERROR(BU14*HSI!$B$12*HSI!$G$12/HSI!$B$3,""))</f>
        <v/>
      </c>
      <c r="EJ14" s="85">
        <f>IF(BV14="","",IFERROR(BV14*HSI!$B$12*HSI!$G$12/HSI!$B$3,""))</f>
        <v/>
      </c>
      <c r="EK14" s="85">
        <f>IF(BW14="","",IFERROR(BW14*HSI!$B$12*HSI!$G$12/HSI!$B$3,""))</f>
        <v/>
      </c>
      <c r="EL14" s="85">
        <f>IF(BX14="","",IFERROR(BX14*HSI!$B$12*HSI!$G$12/HSI!$B$3,""))</f>
        <v/>
      </c>
      <c r="EM14" s="85">
        <f>IF(BY14="","",IFERROR(BY14*HSI!$B$12*HSI!$G$12/HSI!$B$3,""))</f>
        <v/>
      </c>
      <c r="EN14" s="85">
        <f>IF(BZ14="","",IFERROR(BZ14*HSI!$B$12*HSI!$G$12/HSI!$B$3,""))</f>
        <v/>
      </c>
      <c r="EO14" s="85">
        <f>IF(CA14="","",IFERROR(CA14*HSI!$B$12*HSI!$G$12/HSI!$B$3,""))</f>
        <v/>
      </c>
      <c r="EP14" s="85">
        <f>IF(CB14="","",IFERROR(CB14*HSI!$B$12*HSI!$G$12/HSI!$B$3,""))</f>
        <v/>
      </c>
      <c r="EQ14" s="85">
        <f>IF(CC14="","",IFERROR(CC14*HSI!$B$12*HSI!$G$12/HSI!$B$3,""))</f>
        <v/>
      </c>
      <c r="ER14" s="85">
        <f>IF(CD14="","",IFERROR(CD14*HSI!$B$12*HSI!$G$12/HSI!$B$3,""))</f>
        <v/>
      </c>
      <c r="ES14" s="85">
        <f>IF(CE14="","",IFERROR(CE14*HSI!$B$12*HSI!$G$12/HSI!$B$3,""))</f>
        <v/>
      </c>
      <c r="ET14" s="85">
        <f>IF(CF14="","",IFERROR(CF14*HSI!$B$12*HSI!$G$12/HSI!$B$3,""))</f>
        <v/>
      </c>
      <c r="EU14" s="85">
        <f>IF(CG14="","",IFERROR(CG14*HSI!$B$12*HSI!$G$12/HSI!$B$3,""))</f>
        <v/>
      </c>
      <c r="EV14" s="85">
        <f>IF(CH14="","",IFERROR(CH14*HSI!$B$12*HSI!$G$12/HSI!$B$3,""))</f>
        <v/>
      </c>
      <c r="EW14" s="85">
        <f>IF(CI14="","",IFERROR(CI14*HSI!$B$12*HSI!$G$12/HSI!$B$3,""))</f>
        <v/>
      </c>
      <c r="EX14" s="85">
        <f>IF(CJ14="","",IFERROR(CJ14*HSI!$B$12*HSI!$G$12/HSI!$B$3,""))</f>
        <v/>
      </c>
      <c r="EY14" s="85">
        <f>IF(CK14="","",IFERROR(CK14*HSI!$B$12*HSI!$G$12/HSI!$B$3,""))</f>
        <v/>
      </c>
      <c r="EZ14" s="85">
        <f>IF(CL14="","",IFERROR(CL14*HSI!$B$12*HSI!$G$12/HSI!$B$3,""))</f>
        <v/>
      </c>
      <c r="FA14" s="85">
        <f>IF(CM14="","",IFERROR(CM14*HSI!$B$12*HSI!$G$12/HSI!$B$3,""))</f>
        <v/>
      </c>
      <c r="FB14" s="85">
        <f>IF(CN14="","",IFERROR(CN14*HSI!$B$12*HSI!$G$12/HSI!$B$3,""))</f>
        <v/>
      </c>
      <c r="FC14" s="85">
        <f>IF(CO14="","",IFERROR(CO14*HSI!$B$12*HSI!$G$12/HSI!$B$3,""))</f>
        <v/>
      </c>
      <c r="FD14" s="85">
        <f>IF(CP14="","",IFERROR(CP14*HSI!$B$12*HSI!$G$12/HSI!$B$3,""))</f>
        <v/>
      </c>
      <c r="FE14" s="85">
        <f>IF(CQ14="","",IFERROR(CQ14*HSI!$B$12*HSI!$G$12/HSI!$B$3,""))</f>
        <v/>
      </c>
      <c r="FF14" s="85">
        <f>IF(CR14="","",IFERROR(CR14*HSI!$B$12*HSI!$G$12/HSI!$B$3,""))</f>
        <v/>
      </c>
      <c r="FG14" s="85">
        <f>IF(CS14="","",IFERROR(CS14*HSI!$B$12*HSI!$G$12/HSI!$B$3,""))</f>
        <v/>
      </c>
      <c r="FH14" s="85">
        <f>IF(CT14="","",IFERROR(CT14*HSI!$B$12*HSI!$G$12/HSI!$B$3,""))</f>
        <v/>
      </c>
      <c r="FI14" s="85">
        <f>IF(CU14="","",IFERROR(CU14*HSI!$B$12*HSI!$G$12/HSI!$B$3,""))</f>
        <v/>
      </c>
      <c r="FJ14" s="85">
        <f>IF(CV14="","",IFERROR(CV14*HSI!$B$12*HSI!$G$12/HSI!$B$3,""))</f>
        <v/>
      </c>
      <c r="FK14" s="85">
        <f>IF(CW14="","",IFERROR(CW14*HSI!$B$12*HSI!$G$12/HSI!$B$3,""))</f>
        <v/>
      </c>
      <c r="FL14" s="85">
        <f>IF(CX14="","",IFERROR(CX14*HSI!$B$12*HSI!$G$12/HSI!$B$3,""))</f>
        <v/>
      </c>
      <c r="FM14" s="85">
        <f>IF(CY14="","",IFERROR(CY14*HSI!$B$12*HSI!$G$12/HSI!$B$3,""))</f>
        <v/>
      </c>
      <c r="FN14" s="85">
        <f>IF(CZ14="","",IFERROR(CZ14*HSI!$B$12*HSI!$G$12/HSI!$B$3,""))</f>
        <v/>
      </c>
      <c r="FO14" s="85">
        <f>IF(DA14="","",IFERROR(DA14*HSI!$B$12*HSI!$G$12/HSI!$B$3,""))</f>
        <v/>
      </c>
      <c r="FP14" s="85">
        <f>IF(DB14="","",IFERROR(DB14*HSI!$B$12*HSI!$G$12/HSI!$B$3,""))</f>
        <v/>
      </c>
      <c r="FQ14" s="85">
        <f>IF(DC14="","",IFERROR(DC14*HSI!$B$12*HSI!$G$12/HSI!$B$3,""))</f>
        <v/>
      </c>
      <c r="FR14" s="85">
        <f>IF(DD14="","",IFERROR(DD14*HSI!$B$12*HSI!$G$12/HSI!$B$3,""))</f>
        <v/>
      </c>
      <c r="FS14" s="85">
        <f>IF(DE14="","",IFERROR(DE14*HSI!$B$12*HSI!$G$12/HSI!$B$3,""))</f>
        <v/>
      </c>
      <c r="FT14" s="85">
        <f>IF(DF14="","",IFERROR(DF14*HSI!$B$12*HSI!$G$12/HSI!$B$3,""))</f>
        <v/>
      </c>
      <c r="FU14" s="85">
        <f>IF(DG14="","",IFERROR(DG14*HSI!$B$12*HSI!$G$12/HSI!$B$3,""))</f>
        <v/>
      </c>
      <c r="FV14" s="85">
        <f>IF(DH14="","",IFERROR(DH14*HSI!$B$12*HSI!$G$12/HSI!$B$3,""))</f>
        <v/>
      </c>
      <c r="FW14" s="85">
        <f>IF(DI14="","",IFERROR(DI14*HSI!$B$12*HSI!$G$12/HSI!$B$3,""))</f>
        <v/>
      </c>
      <c r="FX14" s="85">
        <f>IF(DJ14="","",IFERROR(DJ14*HSI!$B$12*HSI!$G$12/HSI!$B$3,""))</f>
        <v/>
      </c>
      <c r="FY14" s="85">
        <f>IF(DK14="","",IFERROR(DK14*HSI!$B$12*HSI!$G$12/HSI!$B$3,""))</f>
        <v/>
      </c>
      <c r="FZ14" s="85">
        <f>IF(DL14="","",IFERROR(DL14*HSI!$B$12*HSI!$G$12/HSI!$B$3,""))</f>
        <v/>
      </c>
      <c r="GA14" s="85">
        <f>IF(DM14="","",IFERROR(DM14*HSI!$B$12*HSI!$G$12/HSI!$B$3,""))</f>
        <v/>
      </c>
      <c r="GB14" s="85">
        <f>IF(DN14="","",IFERROR(DN14*HSI!$B$12*HSI!$G$12/HSI!$B$3,""))</f>
        <v/>
      </c>
      <c r="GC14" s="85">
        <f>IF(DO14="","",IFERROR(DO14*HSI!$B$12*HSI!$G$12/HSI!$B$3,""))</f>
        <v/>
      </c>
      <c r="GD14" s="85">
        <f>IF(DP14="","",IFERROR(DP14*HSI!$B$12*HSI!$G$12/HSI!$B$3,""))</f>
        <v/>
      </c>
      <c r="GE14" s="85">
        <f>IF(DQ14="","",IFERROR(DQ14*HSI!$B$12*HSI!$G$12/HSI!$B$3,""))</f>
        <v/>
      </c>
      <c r="GF14" s="85">
        <f>IF(DR14="","",IFERROR(DR14*HSI!$B$12*HSI!$G$12/HSI!$B$3,""))</f>
        <v/>
      </c>
      <c r="GG14" s="85">
        <f>IF(DS14="","",IFERROR(DS14*HSI!$B$12*HSI!$G$12/HSI!$B$3,""))</f>
        <v/>
      </c>
      <c r="GH14" s="85">
        <f>IF(DT14="","",IFERROR(DT14*HSI!$B$12*HSI!$G$12/HSI!$B$3,""))</f>
        <v/>
      </c>
      <c r="GI14" s="85">
        <f>IF(DU14="","",IFERROR(DU14*HSI!$B$12*HSI!$G$12/HSI!$B$3,""))</f>
        <v/>
      </c>
      <c r="GJ14" s="85">
        <f>IF(DV14="","",IFERROR(DV14*HSI!$B$12*HSI!$G$12/HSI!$B$3,""))</f>
        <v/>
      </c>
      <c r="GK14" s="85">
        <f>IF(DW14="","",IFERROR(DW14*HSI!$B$12*HSI!$G$12/HSI!$B$3,""))</f>
        <v/>
      </c>
      <c r="GL14" s="85">
        <f>IF(DX14="","",IFERROR(DX14*HSI!$B$12*HSI!$G$12/HSI!$B$3,""))</f>
        <v/>
      </c>
      <c r="GM14" s="85">
        <f>IF(DY14="","",IFERROR(DY14*HSI!$B$12*HSI!$G$12/HSI!$B$3,""))</f>
        <v/>
      </c>
      <c r="GN14" s="85">
        <f>IF(DZ14="","",IFERROR(DZ14*HSI!$B$12*HSI!$G$12/HSI!$B$3,""))</f>
        <v/>
      </c>
      <c r="GO14" s="85">
        <f>IF(EA14="","",IFERROR(EA14*HSI!$B$12*HSI!$G$12/HSI!$B$3,""))</f>
        <v/>
      </c>
      <c r="GP14" s="85">
        <f>IF(EB14="","",IFERROR(EB14*HSI!$B$12*HSI!$G$12/HSI!$B$3,""))</f>
        <v/>
      </c>
      <c r="GQ14" s="85">
        <f>IF(EC14="","",IFERROR(EC14*HSI!$B$12*HSI!$G$12/HSI!$B$3,""))</f>
        <v/>
      </c>
    </row>
    <row r="15">
      <c r="B15" s="2">
        <f>IF(HSI!$C$13="","",HSI!$C$13)</f>
        <v/>
      </c>
      <c r="C15" s="41">
        <f>IF(N('Dvd Calendar'!$E$100)=0,"",IF(('Dvd Calendar'!$E$100&gt;=MIN(DATE(Summary!$C$12,1,1),Summary!$C$11))*('Dvd Calendar'!$E$100&lt;=MAX(DATE(Summary!$C$12,12,31),Summary!$C$15))*('Dvd Calendar'!$E$100&lt;=Summary!$C$11)=0,"",'Dvd Calendar'!$E$100*1000000000+ISNUMBER('Dvd Calendar'!$E$101)*100000000+('Dvd Calendar'!$E$105='Field Check'!$C$25)*10000000+(N('Dvd Calendar'!$E$99)&gt;0)*1000000+7*1000+1))</f>
        <v/>
      </c>
      <c r="D15" s="41">
        <f>IF(N('Dvd Calendar'!$F$100)=0,"",IF(('Dvd Calendar'!$F$100&gt;=MIN(DATE(Summary!$C$12,1,1),Summary!$C$11))*('Dvd Calendar'!$F$100&lt;=MAX(DATE(Summary!$C$12,12,31),Summary!$C$15))*('Dvd Calendar'!$F$100&lt;=Summary!$C$11)=0,"",'Dvd Calendar'!$F$100*1000000000+ISNUMBER('Dvd Calendar'!$F$101)*100000000+('Dvd Calendar'!$F$105='Field Check'!$C$25)*10000000+(N('Dvd Calendar'!$F$99)&gt;0)*1000000+7*1000+2))</f>
        <v/>
      </c>
      <c r="E15" s="41">
        <f>IF(N('Dvd Calendar'!$G$100)=0,"",IF(('Dvd Calendar'!$G$100&gt;=MIN(DATE(Summary!$C$12,1,1),Summary!$C$11))*('Dvd Calendar'!$G$100&lt;=MAX(DATE(Summary!$C$12,12,31),Summary!$C$15))*('Dvd Calendar'!$G$100&lt;=Summary!$C$11)=0,"",'Dvd Calendar'!$G$100*1000000000+ISNUMBER('Dvd Calendar'!$G$101)*100000000+('Dvd Calendar'!$G$105='Field Check'!$C$25)*10000000+(N('Dvd Calendar'!$G$99)&gt;0)*1000000+7*1000+3))</f>
        <v/>
      </c>
      <c r="F15" s="41">
        <f>IF(N('Dvd Calendar'!$H$100)=0,"",IF(('Dvd Calendar'!$H$100&gt;=MIN(DATE(Summary!$C$12,1,1),Summary!$C$11))*('Dvd Calendar'!$H$100&lt;=MAX(DATE(Summary!$C$12,12,31),Summary!$C$15))*('Dvd Calendar'!$H$100&lt;=Summary!$C$11)=0,"",'Dvd Calendar'!$H$100*1000000000+ISNUMBER('Dvd Calendar'!$H$101)*100000000+('Dvd Calendar'!$H$105='Field Check'!$C$25)*10000000+(N('Dvd Calendar'!$H$99)&gt;0)*1000000+7*1000+4))</f>
        <v/>
      </c>
      <c r="G15" s="41">
        <f>IF(N('Dvd Calendar'!$I$100)=0,"",IF(('Dvd Calendar'!$I$100&gt;=MIN(DATE(Summary!$C$12,1,1),Summary!$C$11))*('Dvd Calendar'!$I$100&lt;=MAX(DATE(Summary!$C$12,12,31),Summary!$C$15))*('Dvd Calendar'!$I$100&lt;=Summary!$C$11)=0,"",'Dvd Calendar'!$I$100*1000000000+ISNUMBER('Dvd Calendar'!$I$101)*100000000+('Dvd Calendar'!$I$105='Field Check'!$C$25)*10000000+(N('Dvd Calendar'!$I$99)&gt;0)*1000000+7*1000+5))</f>
        <v/>
      </c>
      <c r="H15" s="41">
        <f>IF(N('Dvd Calendar'!$J$100)=0,"",IF(('Dvd Calendar'!$J$100&gt;=MIN(DATE(Summary!$C$12,1,1),Summary!$C$11))*('Dvd Calendar'!$J$100&lt;=MAX(DATE(Summary!$C$12,12,31),Summary!$C$15))*('Dvd Calendar'!$J$100&lt;=Summary!$C$11)=0,"",'Dvd Calendar'!$J$100*1000000000+ISNUMBER('Dvd Calendar'!$J$101)*100000000+('Dvd Calendar'!$J$105='Field Check'!$C$25)*10000000+(N('Dvd Calendar'!$J$99)&gt;0)*1000000+7*1000+6))</f>
        <v/>
      </c>
      <c r="I15" s="41">
        <f>IF(N('Dvd Calendar'!$K$100)=0,"",IF(('Dvd Calendar'!$K$100&gt;=MIN(DATE(Summary!$C$12,1,1),Summary!$C$11))*('Dvd Calendar'!$K$100&lt;=MAX(DATE(Summary!$C$12,12,31),Summary!$C$15))*('Dvd Calendar'!$K$100&lt;=Summary!$C$11)=0,"",'Dvd Calendar'!$K$100*1000000000+ISNUMBER('Dvd Calendar'!$K$101)*100000000+('Dvd Calendar'!$K$105='Field Check'!$C$25)*10000000+(N('Dvd Calendar'!$K$99)&gt;0)*1000000+7*1000+7))</f>
        <v/>
      </c>
      <c r="J15" s="41">
        <f>IF(N('Dvd Calendar'!$L$100)=0,"",IF(('Dvd Calendar'!$L$100&gt;=MIN(DATE(Summary!$C$12,1,1),Summary!$C$11))*('Dvd Calendar'!$L$100&lt;=MAX(DATE(Summary!$C$12,12,31),Summary!$C$15))*('Dvd Calendar'!$L$100&lt;=Summary!$C$11)=0,"",'Dvd Calendar'!$L$100*1000000000+ISNUMBER('Dvd Calendar'!$L$101)*100000000+('Dvd Calendar'!$L$105='Field Check'!$C$25)*10000000+(N('Dvd Calendar'!$L$99)&gt;0)*1000000+7*1000+8))</f>
        <v/>
      </c>
      <c r="K15" s="41">
        <f>IF(N('Dvd Calendar'!$M$100)=0,"",IF(('Dvd Calendar'!$M$100&gt;=MIN(DATE(Summary!$C$12,1,1),Summary!$C$11))*('Dvd Calendar'!$M$100&lt;=MAX(DATE(Summary!$C$12,12,31),Summary!$C$15))*('Dvd Calendar'!$M$100&lt;=Summary!$C$11)=0,"",'Dvd Calendar'!$M$100*1000000000+ISNUMBER('Dvd Calendar'!$M$101)*100000000+('Dvd Calendar'!$M$105='Field Check'!$C$25)*10000000+(N('Dvd Calendar'!$M$99)&gt;0)*1000000+7*1000+9))</f>
        <v/>
      </c>
      <c r="L15" s="41">
        <f>IF(N('Dvd Calendar'!$N$100)=0,"",IF(('Dvd Calendar'!$N$100&gt;=MIN(DATE(Summary!$C$12,1,1),Summary!$C$11))*('Dvd Calendar'!$N$100&lt;=MAX(DATE(Summary!$C$12,12,31),Summary!$C$15))*('Dvd Calendar'!$N$100&lt;=Summary!$C$11)=0,"",'Dvd Calendar'!$N$100*1000000000+ISNUMBER('Dvd Calendar'!$N$101)*100000000+('Dvd Calendar'!$N$105='Field Check'!$C$25)*10000000+(N('Dvd Calendar'!$N$99)&gt;0)*1000000+7*1000+10))</f>
        <v/>
      </c>
      <c r="M15" s="41">
        <f>IF(N('Dvd Calendar'!$O$100)=0,"",IF(('Dvd Calendar'!$O$100&gt;=MIN(DATE(Summary!$C$12,1,1),Summary!$C$11))*('Dvd Calendar'!$O$100&lt;=MAX(DATE(Summary!$C$12,12,31),Summary!$C$15))*('Dvd Calendar'!$O$100&lt;=Summary!$C$11)=0,"",'Dvd Calendar'!$O$100*1000000000+ISNUMBER('Dvd Calendar'!$O$101)*100000000+('Dvd Calendar'!$O$105='Field Check'!$C$25)*10000000+(N('Dvd Calendar'!$O$99)&gt;0)*1000000+7*1000+11))</f>
        <v/>
      </c>
      <c r="N15" s="41">
        <f>IF(N('Dvd Calendar'!$P$100)=0,"",IF(('Dvd Calendar'!$P$100&gt;=MIN(DATE(Summary!$C$12,1,1),Summary!$C$11))*('Dvd Calendar'!$P$100&lt;=MAX(DATE(Summary!$C$12,12,31),Summary!$C$15))*('Dvd Calendar'!$P$100&lt;=Summary!$C$11)=0,"",'Dvd Calendar'!$P$100*1000000000+ISNUMBER('Dvd Calendar'!$P$101)*100000000+('Dvd Calendar'!$P$105='Field Check'!$C$25)*10000000+(N('Dvd Calendar'!$P$99)&gt;0)*1000000+7*1000+12))</f>
        <v/>
      </c>
      <c r="O15" s="41">
        <f>IF(N('Dvd Calendar'!$Q$100)=0,"",IF(('Dvd Calendar'!$Q$100&gt;=MIN(DATE(Summary!$C$12,1,1),Summary!$C$11))*('Dvd Calendar'!$Q$100&lt;=MAX(DATE(Summary!$C$12,12,31),Summary!$C$15))*('Dvd Calendar'!$Q$100&lt;=Summary!$C$11)=0,"",'Dvd Calendar'!$Q$100*1000000000+ISNUMBER('Dvd Calendar'!$Q$101)*100000000+('Dvd Calendar'!$Q$105='Field Check'!$C$25)*10000000+(N('Dvd Calendar'!$Q$99)&gt;0)*1000000+7*1000+13))</f>
        <v/>
      </c>
      <c r="P15" s="41">
        <f>IF(N('Dvd Calendar'!$R$100)=0,"",IF(('Dvd Calendar'!$R$100&gt;=MIN(DATE(Summary!$C$12,1,1),Summary!$C$11))*('Dvd Calendar'!$R$100&lt;=MAX(DATE(Summary!$C$12,12,31),Summary!$C$15))*('Dvd Calendar'!$R$100&lt;=Summary!$C$11)=0,"",'Dvd Calendar'!$R$100*1000000000+ISNUMBER('Dvd Calendar'!$R$101)*100000000+('Dvd Calendar'!$R$105='Field Check'!$C$25)*10000000+(N('Dvd Calendar'!$R$99)&gt;0)*1000000+7*1000+14))</f>
        <v/>
      </c>
      <c r="Q15" s="41">
        <f>IF(N('Dvd Calendar'!$S$100)=0,"",IF(('Dvd Calendar'!$S$100&gt;=MIN(DATE(Summary!$C$12,1,1),Summary!$C$11))*('Dvd Calendar'!$S$100&lt;=MAX(DATE(Summary!$C$12,12,31),Summary!$C$15))*('Dvd Calendar'!$S$100&lt;=Summary!$C$11)=0,"",'Dvd Calendar'!$S$100*1000000000+ISNUMBER('Dvd Calendar'!$S$101)*100000000+('Dvd Calendar'!$S$105='Field Check'!$C$25)*10000000+(N('Dvd Calendar'!$S$99)&gt;0)*1000000+7*1000+15))</f>
        <v/>
      </c>
      <c r="R15" s="41">
        <f>IF(N('Dvd Calendar'!$T$100)=0,"",IF(('Dvd Calendar'!$T$100&gt;=MIN(DATE(Summary!$C$12,1,1),Summary!$C$11))*('Dvd Calendar'!$T$100&lt;=MAX(DATE(Summary!$C$12,12,31),Summary!$C$15))*('Dvd Calendar'!$T$100&lt;=Summary!$C$11)=0,"",'Dvd Calendar'!$T$100*1000000000+ISNUMBER('Dvd Calendar'!$T$101)*100000000+('Dvd Calendar'!$T$105='Field Check'!$C$25)*10000000+(N('Dvd Calendar'!$T$99)&gt;0)*1000000+7*1000+16))</f>
        <v/>
      </c>
      <c r="S15" s="41">
        <f>IF(N('Dvd Calendar'!$U$100)=0,"",IF(('Dvd Calendar'!$U$100&gt;=MIN(DATE(Summary!$C$12,1,1),Summary!$C$11))*('Dvd Calendar'!$U$100&lt;=MAX(DATE(Summary!$C$12,12,31),Summary!$C$15))*('Dvd Calendar'!$U$100&lt;=Summary!$C$11)=0,"",'Dvd Calendar'!$U$100*1000000000+ISNUMBER('Dvd Calendar'!$U$101)*100000000+('Dvd Calendar'!$U$105='Field Check'!$C$25)*10000000+(N('Dvd Calendar'!$U$99)&gt;0)*1000000+7*1000+17))</f>
        <v/>
      </c>
      <c r="T15" s="41">
        <f>IF(N('Dvd Calendar'!$V$100)=0,"",IF(('Dvd Calendar'!$V$100&gt;=MIN(DATE(Summary!$C$12,1,1),Summary!$C$11))*('Dvd Calendar'!$V$100&lt;=MAX(DATE(Summary!$C$12,12,31),Summary!$C$15))*('Dvd Calendar'!$V$100&lt;=Summary!$C$11)=0,"",'Dvd Calendar'!$V$100*1000000000+ISNUMBER('Dvd Calendar'!$V$101)*100000000+('Dvd Calendar'!$V$105='Field Check'!$C$25)*10000000+(N('Dvd Calendar'!$V$99)&gt;0)*1000000+7*1000+18))</f>
        <v/>
      </c>
      <c r="U15" s="41">
        <f>IF(N('Dvd Calendar'!$W$100)=0,"",IF(('Dvd Calendar'!$W$100&gt;=MIN(DATE(Summary!$C$12,1,1),Summary!$C$11))*('Dvd Calendar'!$W$100&lt;=MAX(DATE(Summary!$C$12,12,31),Summary!$C$15))*('Dvd Calendar'!$W$100&lt;=Summary!$C$11)=0,"",'Dvd Calendar'!$W$100*1000000000+ISNUMBER('Dvd Calendar'!$W$101)*100000000+('Dvd Calendar'!$W$105='Field Check'!$C$25)*10000000+(N('Dvd Calendar'!$W$99)&gt;0)*1000000+7*1000+19))</f>
        <v/>
      </c>
      <c r="V15" s="41">
        <f>IF(N('Dvd Calendar'!$X$100)=0,"",IF(('Dvd Calendar'!$X$100&gt;=MIN(DATE(Summary!$C$12,1,1),Summary!$C$11))*('Dvd Calendar'!$X$100&lt;=MAX(DATE(Summary!$C$12,12,31),Summary!$C$15))*('Dvd Calendar'!$X$100&lt;=Summary!$C$11)=0,"",'Dvd Calendar'!$X$100*1000000000+ISNUMBER('Dvd Calendar'!$X$101)*100000000+('Dvd Calendar'!$X$105='Field Check'!$C$25)*10000000+(N('Dvd Calendar'!$X$99)&gt;0)*1000000+7*1000+20))</f>
        <v/>
      </c>
      <c r="W15" s="41">
        <f>IF(N('Dvd Calendar'!$Y$100)=0,"",IF(('Dvd Calendar'!$Y$100&gt;=MIN(DATE(Summary!$C$12,1,1),Summary!$C$11))*('Dvd Calendar'!$Y$100&lt;=MAX(DATE(Summary!$C$12,12,31),Summary!$C$15))*('Dvd Calendar'!$Y$100&lt;=Summary!$C$11)=0,"",'Dvd Calendar'!$Y$100*1000000000+ISNUMBER('Dvd Calendar'!$Y$101)*100000000+('Dvd Calendar'!$Y$105='Field Check'!$C$25)*10000000+(N('Dvd Calendar'!$Y$99)&gt;0)*1000000+7*1000+21))</f>
        <v/>
      </c>
      <c r="X15" s="41">
        <f>IF(N('Dvd Calendar'!$Z$100)=0,"",IF(('Dvd Calendar'!$Z$100&gt;=MIN(DATE(Summary!$C$12,1,1),Summary!$C$11))*('Dvd Calendar'!$Z$100&lt;=MAX(DATE(Summary!$C$12,12,31),Summary!$C$15))*('Dvd Calendar'!$Z$100&lt;=Summary!$C$11)=0,"",'Dvd Calendar'!$Z$100*1000000000+ISNUMBER('Dvd Calendar'!$Z$101)*100000000+('Dvd Calendar'!$Z$105='Field Check'!$C$25)*10000000+(N('Dvd Calendar'!$Z$99)&gt;0)*1000000+7*1000+22))</f>
        <v/>
      </c>
      <c r="Y15" s="41">
        <f>IF(N('Dvd Calendar'!$AA$100)=0,"",IF(('Dvd Calendar'!$AA$100&gt;=MIN(DATE(Summary!$C$12,1,1),Summary!$C$11))*('Dvd Calendar'!$AA$100&lt;=MAX(DATE(Summary!$C$12,12,31),Summary!$C$15))*('Dvd Calendar'!$AA$100&lt;=Summary!$C$11)=0,"",'Dvd Calendar'!$AA$100*1000000000+ISNUMBER('Dvd Calendar'!$AA$101)*100000000+('Dvd Calendar'!$AA$105='Field Check'!$C$25)*10000000+(N('Dvd Calendar'!$AA$99)&gt;0)*1000000+7*1000+23))</f>
        <v/>
      </c>
      <c r="Z15" s="41">
        <f>IF(N('Dvd Calendar'!$AB$100)=0,"",IF(('Dvd Calendar'!$AB$100&gt;=MIN(DATE(Summary!$C$12,1,1),Summary!$C$11))*('Dvd Calendar'!$AB$100&lt;=MAX(DATE(Summary!$C$12,12,31),Summary!$C$15))*('Dvd Calendar'!$AB$100&lt;=Summary!$C$11)=0,"",'Dvd Calendar'!$AB$100*1000000000+ISNUMBER('Dvd Calendar'!$AB$101)*100000000+('Dvd Calendar'!$AB$105='Field Check'!$C$25)*10000000+(N('Dvd Calendar'!$AB$99)&gt;0)*1000000+7*1000+24))</f>
        <v/>
      </c>
      <c r="AA15" s="41">
        <f>IF(N('Dvd Calendar'!$AC$100)=0,"",IF(('Dvd Calendar'!$AC$100&gt;=MIN(DATE(Summary!$C$12,1,1),Summary!$C$11))*('Dvd Calendar'!$AC$100&lt;=MAX(DATE(Summary!$C$12,12,31),Summary!$C$15))*('Dvd Calendar'!$AC$100&lt;=Summary!$C$11)=0,"",'Dvd Calendar'!$AC$100*1000000000+ISNUMBER('Dvd Calendar'!$AC$101)*100000000+('Dvd Calendar'!$AC$105='Field Check'!$C$25)*10000000+(N('Dvd Calendar'!$AC$99)&gt;0)*1000000+7*1000+25))</f>
        <v/>
      </c>
      <c r="AB15" s="41">
        <f>IF(N('Dvd Calendar'!$AD$100)=0,"",IF(('Dvd Calendar'!$AD$100&gt;=MIN(DATE(Summary!$C$12,1,1),Summary!$C$11))*('Dvd Calendar'!$AD$100&lt;=MAX(DATE(Summary!$C$12,12,31),Summary!$C$15))*('Dvd Calendar'!$AD$100&lt;=Summary!$C$11)=0,"",'Dvd Calendar'!$AD$100*1000000000+ISNUMBER('Dvd Calendar'!$AD$101)*100000000+('Dvd Calendar'!$AD$105='Field Check'!$C$25)*10000000+(N('Dvd Calendar'!$AD$99)&gt;0)*1000000+7*1000+26))</f>
        <v/>
      </c>
      <c r="AC15" s="41">
        <f>IF(N('Dvd Calendar'!$AE$100)=0,"",IF(('Dvd Calendar'!$AE$100&gt;=MIN(DATE(Summary!$C$12,1,1),Summary!$C$11))*('Dvd Calendar'!$AE$100&lt;=MAX(DATE(Summary!$C$12,12,31),Summary!$C$15))*('Dvd Calendar'!$AE$100&lt;=Summary!$C$11)=0,"",'Dvd Calendar'!$AE$100*1000000000+ISNUMBER('Dvd Calendar'!$AE$101)*100000000+('Dvd Calendar'!$AE$105='Field Check'!$C$25)*10000000+(N('Dvd Calendar'!$AE$99)&gt;0)*1000000+7*1000+27))</f>
        <v/>
      </c>
      <c r="AD15" s="41">
        <f>IF(N('Dvd Calendar'!$AF$100)=0,"",IF(('Dvd Calendar'!$AF$100&gt;=MIN(DATE(Summary!$C$12,1,1),Summary!$C$11))*('Dvd Calendar'!$AF$100&lt;=MAX(DATE(Summary!$C$12,12,31),Summary!$C$15))*('Dvd Calendar'!$AF$100&lt;=Summary!$C$11)=0,"",'Dvd Calendar'!$AF$100*1000000000+ISNUMBER('Dvd Calendar'!$AF$101)*100000000+('Dvd Calendar'!$AF$105='Field Check'!$C$25)*10000000+(N('Dvd Calendar'!$AF$99)&gt;0)*1000000+7*1000+28))</f>
        <v/>
      </c>
      <c r="AE15" s="41">
        <f>IF(N('Dvd Calendar'!$AG$100)=0,"",IF(('Dvd Calendar'!$AG$100&gt;=MIN(DATE(Summary!$C$12,1,1),Summary!$C$11))*('Dvd Calendar'!$AG$100&lt;=MAX(DATE(Summary!$C$12,12,31),Summary!$C$15))*('Dvd Calendar'!$AG$100&lt;=Summary!$C$11)=0,"",'Dvd Calendar'!$AG$100*1000000000+ISNUMBER('Dvd Calendar'!$AG$101)*100000000+('Dvd Calendar'!$AG$105='Field Check'!$C$25)*10000000+(N('Dvd Calendar'!$AG$99)&gt;0)*1000000+7*1000+29))</f>
        <v/>
      </c>
      <c r="AF15" s="41">
        <f>IF(N('Dvd Calendar'!$AH$100)=0,"",IF(('Dvd Calendar'!$AH$100&gt;=MIN(DATE(Summary!$C$12,1,1),Summary!$C$11))*('Dvd Calendar'!$AH$100&lt;=MAX(DATE(Summary!$C$12,12,31),Summary!$C$15))*('Dvd Calendar'!$AH$100&lt;=Summary!$C$11)=0,"",'Dvd Calendar'!$AH$100*1000000000+ISNUMBER('Dvd Calendar'!$AH$101)*100000000+('Dvd Calendar'!$AH$105='Field Check'!$C$25)*10000000+(N('Dvd Calendar'!$AH$99)&gt;0)*1000000+7*1000+30))</f>
        <v/>
      </c>
      <c r="AG15" s="41">
        <f>IF(N('Dvd Calendar'!$AI$100)=0,"",IF(('Dvd Calendar'!$AI$100&gt;=MIN(DATE(Summary!$C$12,1,1),Summary!$C$11))*('Dvd Calendar'!$AI$100&lt;=MAX(DATE(Summary!$C$12,12,31),Summary!$C$15))*('Dvd Calendar'!$AI$100&lt;=Summary!$C$11)=0,"",'Dvd Calendar'!$AI$100*1000000000+ISNUMBER('Dvd Calendar'!$AI$101)*100000000+('Dvd Calendar'!$AI$105='Field Check'!$C$25)*10000000+(N('Dvd Calendar'!$AI$99)&gt;0)*1000000+7*1000+31))</f>
        <v/>
      </c>
      <c r="AH15" s="41">
        <f>IF(N('Dvd Calendar'!$AJ$100)=0,"",IF(('Dvd Calendar'!$AJ$100&gt;=MIN(DATE(Summary!$C$12,1,1),Summary!$C$11))*('Dvd Calendar'!$AJ$100&lt;=MAX(DATE(Summary!$C$12,12,31),Summary!$C$15))*('Dvd Calendar'!$AJ$100&lt;=Summary!$C$11)=0,"",'Dvd Calendar'!$AJ$100*1000000000+ISNUMBER('Dvd Calendar'!$AJ$101)*100000000+('Dvd Calendar'!$AJ$105='Field Check'!$C$25)*10000000+(N('Dvd Calendar'!$AJ$99)&gt;0)*1000000+7*1000+32))</f>
        <v/>
      </c>
      <c r="AI15" s="41">
        <f>IF(N('Dvd Calendar'!$AK$100)=0,"",IF(('Dvd Calendar'!$AK$100&gt;=MIN(DATE(Summary!$C$12,1,1),Summary!$C$11))*('Dvd Calendar'!$AK$100&lt;=MAX(DATE(Summary!$C$12,12,31),Summary!$C$15))*('Dvd Calendar'!$AK$100&lt;=Summary!$C$11)=0,"",'Dvd Calendar'!$AK$100*1000000000+ISNUMBER('Dvd Calendar'!$AK$101)*100000000+('Dvd Calendar'!$AK$105='Field Check'!$C$25)*10000000+(N('Dvd Calendar'!$AK$99)&gt;0)*1000000+7*1000+33))</f>
        <v/>
      </c>
      <c r="AJ15" s="41">
        <f>IF(N('Dvd Calendar'!$AL$100)=0,"",IF(('Dvd Calendar'!$AL$100&gt;=MIN(DATE(Summary!$C$12,1,1),Summary!$C$11))*('Dvd Calendar'!$AL$100&lt;=MAX(DATE(Summary!$C$12,12,31),Summary!$C$15))*('Dvd Calendar'!$AL$100&lt;=Summary!$C$11)=0,"",'Dvd Calendar'!$AL$100*1000000000+ISNUMBER('Dvd Calendar'!$AL$101)*100000000+('Dvd Calendar'!$AL$105='Field Check'!$C$25)*10000000+(N('Dvd Calendar'!$AL$99)&gt;0)*1000000+7*1000+34))</f>
        <v/>
      </c>
      <c r="AK15" s="41">
        <f>IF(N('Dvd Calendar'!$AM$100)=0,"",IF(('Dvd Calendar'!$AM$100&gt;=MIN(DATE(Summary!$C$12,1,1),Summary!$C$11))*('Dvd Calendar'!$AM$100&lt;=MAX(DATE(Summary!$C$12,12,31),Summary!$C$15))*('Dvd Calendar'!$AM$100&lt;=Summary!$C$11)=0,"",'Dvd Calendar'!$AM$100*1000000000+ISNUMBER('Dvd Calendar'!$AM$101)*100000000+('Dvd Calendar'!$AM$105='Field Check'!$C$25)*10000000+(N('Dvd Calendar'!$AM$99)&gt;0)*1000000+7*1000+35))</f>
        <v/>
      </c>
      <c r="AL15" s="41">
        <f>IF(N('Dvd Calendar'!$AN$100)=0,"",IF(('Dvd Calendar'!$AN$100&gt;=MIN(DATE(Summary!$C$12,1,1),Summary!$C$11))*('Dvd Calendar'!$AN$100&lt;=MAX(DATE(Summary!$C$12,12,31),Summary!$C$15))*('Dvd Calendar'!$AN$100&lt;=Summary!$C$11)=0,"",'Dvd Calendar'!$AN$100*1000000000+ISNUMBER('Dvd Calendar'!$AN$101)*100000000+('Dvd Calendar'!$AN$105='Field Check'!$C$25)*10000000+(N('Dvd Calendar'!$AN$99)&gt;0)*1000000+7*1000+36))</f>
        <v/>
      </c>
      <c r="AM15" s="41">
        <f>IF(N('Dvd Calendar'!$AO$100)=0,"",IF(('Dvd Calendar'!$AO$100&gt;=MIN(DATE(Summary!$C$12,1,1),Summary!$C$11))*('Dvd Calendar'!$AO$100&lt;=MAX(DATE(Summary!$C$12,12,31),Summary!$C$15))*('Dvd Calendar'!$AO$100&lt;=Summary!$C$11)=0,"",'Dvd Calendar'!$AO$100*1000000000+ISNUMBER('Dvd Calendar'!$AO$101)*100000000+('Dvd Calendar'!$AO$105='Field Check'!$C$25)*10000000+(N('Dvd Calendar'!$AO$99)&gt;0)*1000000+7*1000+37))</f>
        <v/>
      </c>
      <c r="AN15" s="41">
        <f>IF(N('Dvd Calendar'!$AP$100)=0,"",IF(('Dvd Calendar'!$AP$100&gt;=MIN(DATE(Summary!$C$12,1,1),Summary!$C$11))*('Dvd Calendar'!$AP$100&lt;=MAX(DATE(Summary!$C$12,12,31),Summary!$C$15))*('Dvd Calendar'!$AP$100&lt;=Summary!$C$11)=0,"",'Dvd Calendar'!$AP$100*1000000000+ISNUMBER('Dvd Calendar'!$AP$101)*100000000+('Dvd Calendar'!$AP$105='Field Check'!$C$25)*10000000+(N('Dvd Calendar'!$AP$99)&gt;0)*1000000+7*1000+38))</f>
        <v/>
      </c>
      <c r="AO15" s="41">
        <f>IF(N('Dvd Calendar'!$AQ$100)=0,"",IF(('Dvd Calendar'!$AQ$100&gt;=MIN(DATE(Summary!$C$12,1,1),Summary!$C$11))*('Dvd Calendar'!$AQ$100&lt;=MAX(DATE(Summary!$C$12,12,31),Summary!$C$15))*('Dvd Calendar'!$AQ$100&lt;=Summary!$C$11)=0,"",'Dvd Calendar'!$AQ$100*1000000000+ISNUMBER('Dvd Calendar'!$AQ$101)*100000000+('Dvd Calendar'!$AQ$105='Field Check'!$C$25)*10000000+(N('Dvd Calendar'!$AQ$99)&gt;0)*1000000+7*1000+39))</f>
        <v/>
      </c>
      <c r="AP15" s="41">
        <f>IF(N('Dvd Calendar'!$AR$100)=0,"",IF(('Dvd Calendar'!$AR$100&gt;=MIN(DATE(Summary!$C$12,1,1),Summary!$C$11))*('Dvd Calendar'!$AR$100&lt;=MAX(DATE(Summary!$C$12,12,31),Summary!$C$15))*('Dvd Calendar'!$AR$100&lt;=Summary!$C$11)=0,"",'Dvd Calendar'!$AR$100*1000000000+ISNUMBER('Dvd Calendar'!$AR$101)*100000000+('Dvd Calendar'!$AR$105='Field Check'!$C$25)*10000000+(N('Dvd Calendar'!$AR$99)&gt;0)*1000000+7*1000+40))</f>
        <v/>
      </c>
      <c r="AQ15" s="41">
        <f>IF(N('Dvd Calendar'!$E$107)=0,"",IF(('Dvd Calendar'!$E$107&gt;=MIN(DATE(Summary!$C$12,1,1),Summary!$C$11))*('Dvd Calendar'!$E$107&lt;=MAX(DATE(Summary!$C$12,12,31),Summary!$C$15))*('Dvd Calendar'!$E$107&gt;Summary!$C$11)=0,"",'Dvd Calendar'!$E$107*1000000000+ISNUMBER('Dvd Calendar'!$E$108)*100000000+('Dvd Calendar'!$E$112='Field Check'!$C$25)*10000000+(N('Dvd Calendar'!$E$106)&gt;0)*1000000+7*1000+41))</f>
        <v/>
      </c>
      <c r="AR15" s="41">
        <f>IF(N('Dvd Calendar'!$F$107)=0,"",IF(('Dvd Calendar'!$F$107&gt;=MIN(DATE(Summary!$C$12,1,1),Summary!$C$11))*('Dvd Calendar'!$F$107&lt;=MAX(DATE(Summary!$C$12,12,31),Summary!$C$15))*('Dvd Calendar'!$F$107&gt;Summary!$C$11)=0,"",'Dvd Calendar'!$F$107*1000000000+ISNUMBER('Dvd Calendar'!$F$108)*100000000+('Dvd Calendar'!$F$112='Field Check'!$C$25)*10000000+(N('Dvd Calendar'!$F$106)&gt;0)*1000000+7*1000+42))</f>
        <v/>
      </c>
      <c r="AS15" s="41">
        <f>IF(N('Dvd Calendar'!$G$107)=0,"",IF(('Dvd Calendar'!$G$107&gt;=MIN(DATE(Summary!$C$12,1,1),Summary!$C$11))*('Dvd Calendar'!$G$107&lt;=MAX(DATE(Summary!$C$12,12,31),Summary!$C$15))*('Dvd Calendar'!$G$107&gt;Summary!$C$11)=0,"",'Dvd Calendar'!$G$107*1000000000+ISNUMBER('Dvd Calendar'!$G$108)*100000000+('Dvd Calendar'!$G$112='Field Check'!$C$25)*10000000+(N('Dvd Calendar'!$G$106)&gt;0)*1000000+7*1000+43))</f>
        <v/>
      </c>
      <c r="AT15" s="41">
        <f>IF(N('Dvd Calendar'!$H$107)=0,"",IF(('Dvd Calendar'!$H$107&gt;=MIN(DATE(Summary!$C$12,1,1),Summary!$C$11))*('Dvd Calendar'!$H$107&lt;=MAX(DATE(Summary!$C$12,12,31),Summary!$C$15))*('Dvd Calendar'!$H$107&gt;Summary!$C$11)=0,"",'Dvd Calendar'!$H$107*1000000000+ISNUMBER('Dvd Calendar'!$H$108)*100000000+('Dvd Calendar'!$H$112='Field Check'!$C$25)*10000000+(N('Dvd Calendar'!$H$106)&gt;0)*1000000+7*1000+44))</f>
        <v/>
      </c>
      <c r="AU15" s="41">
        <f>IF(N('Dvd Calendar'!$I$107)=0,"",IF(('Dvd Calendar'!$I$107&gt;=MIN(DATE(Summary!$C$12,1,1),Summary!$C$11))*('Dvd Calendar'!$I$107&lt;=MAX(DATE(Summary!$C$12,12,31),Summary!$C$15))*('Dvd Calendar'!$I$107&gt;Summary!$C$11)=0,"",'Dvd Calendar'!$I$107*1000000000+ISNUMBER('Dvd Calendar'!$I$108)*100000000+('Dvd Calendar'!$I$112='Field Check'!$C$25)*10000000+(N('Dvd Calendar'!$I$106)&gt;0)*1000000+7*1000+45))</f>
        <v/>
      </c>
      <c r="AV15" s="41">
        <f>IF(N('Dvd Calendar'!$J$107)=0,"",IF(('Dvd Calendar'!$J$107&gt;=MIN(DATE(Summary!$C$12,1,1),Summary!$C$11))*('Dvd Calendar'!$J$107&lt;=MAX(DATE(Summary!$C$12,12,31),Summary!$C$15))*('Dvd Calendar'!$J$107&gt;Summary!$C$11)=0,"",'Dvd Calendar'!$J$107*1000000000+ISNUMBER('Dvd Calendar'!$J$108)*100000000+('Dvd Calendar'!$J$112='Field Check'!$C$25)*10000000+(N('Dvd Calendar'!$J$106)&gt;0)*1000000+7*1000+46))</f>
        <v/>
      </c>
      <c r="AW15" s="41">
        <f>IF(N('Dvd Calendar'!$K$107)=0,"",IF(('Dvd Calendar'!$K$107&gt;=MIN(DATE(Summary!$C$12,1,1),Summary!$C$11))*('Dvd Calendar'!$K$107&lt;=MAX(DATE(Summary!$C$12,12,31),Summary!$C$15))*('Dvd Calendar'!$K$107&gt;Summary!$C$11)=0,"",'Dvd Calendar'!$K$107*1000000000+ISNUMBER('Dvd Calendar'!$K$108)*100000000+('Dvd Calendar'!$K$112='Field Check'!$C$25)*10000000+(N('Dvd Calendar'!$K$106)&gt;0)*1000000+7*1000+47))</f>
        <v/>
      </c>
      <c r="AX15" s="41">
        <f>IF(N('Dvd Calendar'!$L$107)=0,"",IF(('Dvd Calendar'!$L$107&gt;=MIN(DATE(Summary!$C$12,1,1),Summary!$C$11))*('Dvd Calendar'!$L$107&lt;=MAX(DATE(Summary!$C$12,12,31),Summary!$C$15))*('Dvd Calendar'!$L$107&gt;Summary!$C$11)=0,"",'Dvd Calendar'!$L$107*1000000000+ISNUMBER('Dvd Calendar'!$L$108)*100000000+('Dvd Calendar'!$L$112='Field Check'!$C$25)*10000000+(N('Dvd Calendar'!$L$106)&gt;0)*1000000+7*1000+48))</f>
        <v/>
      </c>
      <c r="AY15" s="41">
        <f>IF(N('Dvd Calendar'!$M$107)=0,"",IF(('Dvd Calendar'!$M$107&gt;=MIN(DATE(Summary!$C$12,1,1),Summary!$C$11))*('Dvd Calendar'!$M$107&lt;=MAX(DATE(Summary!$C$12,12,31),Summary!$C$15))*('Dvd Calendar'!$M$107&gt;Summary!$C$11)=0,"",'Dvd Calendar'!$M$107*1000000000+ISNUMBER('Dvd Calendar'!$M$108)*100000000+('Dvd Calendar'!$M$112='Field Check'!$C$25)*10000000+(N('Dvd Calendar'!$M$106)&gt;0)*1000000+7*1000+49))</f>
        <v/>
      </c>
      <c r="AZ15" s="41">
        <f>IF(N('Dvd Calendar'!$N$107)=0,"",IF(('Dvd Calendar'!$N$107&gt;=MIN(DATE(Summary!$C$12,1,1),Summary!$C$11))*('Dvd Calendar'!$N$107&lt;=MAX(DATE(Summary!$C$12,12,31),Summary!$C$15))*('Dvd Calendar'!$N$107&gt;Summary!$C$11)=0,"",'Dvd Calendar'!$N$107*1000000000+ISNUMBER('Dvd Calendar'!$N$108)*100000000+('Dvd Calendar'!$N$112='Field Check'!$C$25)*10000000+(N('Dvd Calendar'!$N$106)&gt;0)*1000000+7*1000+50))</f>
        <v/>
      </c>
      <c r="BA15" s="41">
        <f>IF(N('Dvd Calendar'!$O$107)=0,"",IF(('Dvd Calendar'!$O$107&gt;=MIN(DATE(Summary!$C$12,1,1),Summary!$C$11))*('Dvd Calendar'!$O$107&lt;=MAX(DATE(Summary!$C$12,12,31),Summary!$C$15))*('Dvd Calendar'!$O$107&gt;Summary!$C$11)=0,"",'Dvd Calendar'!$O$107*1000000000+ISNUMBER('Dvd Calendar'!$O$108)*100000000+('Dvd Calendar'!$O$112='Field Check'!$C$25)*10000000+(N('Dvd Calendar'!$O$106)&gt;0)*1000000+7*1000+51))</f>
        <v/>
      </c>
      <c r="BB15" s="41">
        <f>IF(N('Dvd Calendar'!$P$107)=0,"",IF(('Dvd Calendar'!$P$107&gt;=MIN(DATE(Summary!$C$12,1,1),Summary!$C$11))*('Dvd Calendar'!$P$107&lt;=MAX(DATE(Summary!$C$12,12,31),Summary!$C$15))*('Dvd Calendar'!$P$107&gt;Summary!$C$11)=0,"",'Dvd Calendar'!$P$107*1000000000+ISNUMBER('Dvd Calendar'!$P$108)*100000000+('Dvd Calendar'!$P$112='Field Check'!$C$25)*10000000+(N('Dvd Calendar'!$P$106)&gt;0)*1000000+7*1000+52))</f>
        <v/>
      </c>
      <c r="BC15" s="41">
        <f>IF(N('Dvd Calendar'!$Q$107)=0,"",IF(('Dvd Calendar'!$Q$107&gt;=MIN(DATE(Summary!$C$12,1,1),Summary!$C$11))*('Dvd Calendar'!$Q$107&lt;=MAX(DATE(Summary!$C$12,12,31),Summary!$C$15))*('Dvd Calendar'!$Q$107&gt;Summary!$C$11)=0,"",'Dvd Calendar'!$Q$107*1000000000+ISNUMBER('Dvd Calendar'!$Q$108)*100000000+('Dvd Calendar'!$Q$112='Field Check'!$C$25)*10000000+(N('Dvd Calendar'!$Q$106)&gt;0)*1000000+7*1000+53))</f>
        <v/>
      </c>
      <c r="BD15" s="41">
        <f>IF(N('Dvd Calendar'!$R$107)=0,"",IF(('Dvd Calendar'!$R$107&gt;=MIN(DATE(Summary!$C$12,1,1),Summary!$C$11))*('Dvd Calendar'!$R$107&lt;=MAX(DATE(Summary!$C$12,12,31),Summary!$C$15))*('Dvd Calendar'!$R$107&gt;Summary!$C$11)=0,"",'Dvd Calendar'!$R$107*1000000000+ISNUMBER('Dvd Calendar'!$R$108)*100000000+('Dvd Calendar'!$R$112='Field Check'!$C$25)*10000000+(N('Dvd Calendar'!$R$106)&gt;0)*1000000+7*1000+54))</f>
        <v/>
      </c>
      <c r="BE15" s="41">
        <f>IF(N('Dvd Calendar'!$S$107)=0,"",IF(('Dvd Calendar'!$S$107&gt;=MIN(DATE(Summary!$C$12,1,1),Summary!$C$11))*('Dvd Calendar'!$S$107&lt;=MAX(DATE(Summary!$C$12,12,31),Summary!$C$15))*('Dvd Calendar'!$S$107&gt;Summary!$C$11)=0,"",'Dvd Calendar'!$S$107*1000000000+ISNUMBER('Dvd Calendar'!$S$108)*100000000+('Dvd Calendar'!$S$112='Field Check'!$C$25)*10000000+(N('Dvd Calendar'!$S$106)&gt;0)*1000000+7*1000+55))</f>
        <v/>
      </c>
      <c r="BF15" s="41">
        <f>IF(N('Dvd Calendar'!$T$107)=0,"",IF(('Dvd Calendar'!$T$107&gt;=MIN(DATE(Summary!$C$12,1,1),Summary!$C$11))*('Dvd Calendar'!$T$107&lt;=MAX(DATE(Summary!$C$12,12,31),Summary!$C$15))*('Dvd Calendar'!$T$107&gt;Summary!$C$11)=0,"",'Dvd Calendar'!$T$107*1000000000+ISNUMBER('Dvd Calendar'!$T$108)*100000000+('Dvd Calendar'!$T$112='Field Check'!$C$25)*10000000+(N('Dvd Calendar'!$T$106)&gt;0)*1000000+7*1000+56))</f>
        <v/>
      </c>
      <c r="BG15" s="41">
        <f>IF(N('Dvd Calendar'!$U$107)=0,"",IF(('Dvd Calendar'!$U$107&gt;=MIN(DATE(Summary!$C$12,1,1),Summary!$C$11))*('Dvd Calendar'!$U$107&lt;=MAX(DATE(Summary!$C$12,12,31),Summary!$C$15))*('Dvd Calendar'!$U$107&gt;Summary!$C$11)=0,"",'Dvd Calendar'!$U$107*1000000000+ISNUMBER('Dvd Calendar'!$U$108)*100000000+('Dvd Calendar'!$U$112='Field Check'!$C$25)*10000000+(N('Dvd Calendar'!$U$106)&gt;0)*1000000+7*1000+57))</f>
        <v/>
      </c>
      <c r="BH15" s="41">
        <f>IF(N('Dvd Calendar'!$V$107)=0,"",IF(('Dvd Calendar'!$V$107&gt;=MIN(DATE(Summary!$C$12,1,1),Summary!$C$11))*('Dvd Calendar'!$V$107&lt;=MAX(DATE(Summary!$C$12,12,31),Summary!$C$15))*('Dvd Calendar'!$V$107&gt;Summary!$C$11)=0,"",'Dvd Calendar'!$V$107*1000000000+ISNUMBER('Dvd Calendar'!$V$108)*100000000+('Dvd Calendar'!$V$112='Field Check'!$C$25)*10000000+(N('Dvd Calendar'!$V$106)&gt;0)*1000000+7*1000+58))</f>
        <v/>
      </c>
      <c r="BI15" s="41">
        <f>IF(N('Dvd Calendar'!$W$107)=0,"",IF(('Dvd Calendar'!$W$107&gt;=MIN(DATE(Summary!$C$12,1,1),Summary!$C$11))*('Dvd Calendar'!$W$107&lt;=MAX(DATE(Summary!$C$12,12,31),Summary!$C$15))*('Dvd Calendar'!$W$107&gt;Summary!$C$11)=0,"",'Dvd Calendar'!$W$107*1000000000+ISNUMBER('Dvd Calendar'!$W$108)*100000000+('Dvd Calendar'!$W$112='Field Check'!$C$25)*10000000+(N('Dvd Calendar'!$W$106)&gt;0)*1000000+7*1000+59))</f>
        <v/>
      </c>
      <c r="BJ15" s="41">
        <f>IF(N('Dvd Calendar'!$X$107)=0,"",IF(('Dvd Calendar'!$X$107&gt;=MIN(DATE(Summary!$C$12,1,1),Summary!$C$11))*('Dvd Calendar'!$X$107&lt;=MAX(DATE(Summary!$C$12,12,31),Summary!$C$15))*('Dvd Calendar'!$X$107&gt;Summary!$C$11)=0,"",'Dvd Calendar'!$X$107*1000000000+ISNUMBER('Dvd Calendar'!$X$108)*100000000+('Dvd Calendar'!$X$112='Field Check'!$C$25)*10000000+(N('Dvd Calendar'!$X$106)&gt;0)*1000000+7*1000+60))</f>
        <v/>
      </c>
      <c r="BK15" s="41">
        <f>IF(N('Dvd Calendar'!$Y$107)=0,"",IF(('Dvd Calendar'!$Y$107&gt;=MIN(DATE(Summary!$C$12,1,1),Summary!$C$11))*('Dvd Calendar'!$Y$107&lt;=MAX(DATE(Summary!$C$12,12,31),Summary!$C$15))*('Dvd Calendar'!$Y$107&gt;Summary!$C$11)=0,"",'Dvd Calendar'!$Y$107*1000000000+ISNUMBER('Dvd Calendar'!$Y$108)*100000000+('Dvd Calendar'!$Y$112='Field Check'!$C$25)*10000000+(N('Dvd Calendar'!$Y$106)&gt;0)*1000000+7*1000+61))</f>
        <v/>
      </c>
      <c r="BL15" s="41">
        <f>IF(N('Dvd Calendar'!$Z$107)=0,"",IF(('Dvd Calendar'!$Z$107&gt;=MIN(DATE(Summary!$C$12,1,1),Summary!$C$11))*('Dvd Calendar'!$Z$107&lt;=MAX(DATE(Summary!$C$12,12,31),Summary!$C$15))*('Dvd Calendar'!$Z$107&gt;Summary!$C$11)=0,"",'Dvd Calendar'!$Z$107*1000000000+ISNUMBER('Dvd Calendar'!$Z$108)*100000000+('Dvd Calendar'!$Z$112='Field Check'!$C$25)*10000000+(N('Dvd Calendar'!$Z$106)&gt;0)*1000000+7*1000+62))</f>
        <v/>
      </c>
      <c r="BM15" s="41">
        <f>IF(N('Dvd Calendar'!$AA$107)=0,"",IF(('Dvd Calendar'!$AA$107&gt;=MIN(DATE(Summary!$C$12,1,1),Summary!$C$11))*('Dvd Calendar'!$AA$107&lt;=MAX(DATE(Summary!$C$12,12,31),Summary!$C$15))*('Dvd Calendar'!$AA$107&gt;Summary!$C$11)=0,"",'Dvd Calendar'!$AA$107*1000000000+ISNUMBER('Dvd Calendar'!$AA$108)*100000000+('Dvd Calendar'!$AA$112='Field Check'!$C$25)*10000000+(N('Dvd Calendar'!$AA$106)&gt;0)*1000000+7*1000+63))</f>
        <v/>
      </c>
      <c r="BN15" s="41">
        <f>IF(N('Dvd Calendar'!$AB$107)=0,"",IF(('Dvd Calendar'!$AB$107&gt;=MIN(DATE(Summary!$C$12,1,1),Summary!$C$11))*('Dvd Calendar'!$AB$107&lt;=MAX(DATE(Summary!$C$12,12,31),Summary!$C$15))*('Dvd Calendar'!$AB$107&gt;Summary!$C$11)=0,"",'Dvd Calendar'!$AB$107*1000000000+ISNUMBER('Dvd Calendar'!$AB$108)*100000000+('Dvd Calendar'!$AB$112='Field Check'!$C$25)*10000000+(N('Dvd Calendar'!$AB$106)&gt;0)*1000000+7*1000+64))</f>
        <v/>
      </c>
      <c r="BO15" s="41">
        <f>IF(N('Dvd Calendar'!$AC$107)=0,"",IF(('Dvd Calendar'!$AC$107&gt;=MIN(DATE(Summary!$C$12,1,1),Summary!$C$11))*('Dvd Calendar'!$AC$107&lt;=MAX(DATE(Summary!$C$12,12,31),Summary!$C$15))*('Dvd Calendar'!$AC$107&gt;Summary!$C$11)=0,"",'Dvd Calendar'!$AC$107*1000000000+ISNUMBER('Dvd Calendar'!$AC$108)*100000000+('Dvd Calendar'!$AC$112='Field Check'!$C$25)*10000000+(N('Dvd Calendar'!$AC$106)&gt;0)*1000000+7*1000+65))</f>
        <v/>
      </c>
      <c r="BQ15" s="85">
        <f>IF(C15="","",IF(ISNUMBER('Dvd Calendar'!$E$101)=FALSE,"",IF((Summary!$C$13="N")*('Dvd Calendar'!$E$105='Field Check'!$C$25)&gt;0,"",'Dvd Calendar'!$E$101)))</f>
        <v/>
      </c>
      <c r="BR15" s="85">
        <f>IF(D15="","",IF(ISNUMBER('Dvd Calendar'!$F$101)=FALSE,"",IF((Summary!$C$13="N")*('Dvd Calendar'!$F$105='Field Check'!$C$25)&gt;0,"",'Dvd Calendar'!$F$101)))</f>
        <v/>
      </c>
      <c r="BS15" s="85">
        <f>IF(E15="","",IF(ISNUMBER('Dvd Calendar'!$G$101)=FALSE,"",IF((Summary!$C$13="N")*('Dvd Calendar'!$G$105='Field Check'!$C$25)&gt;0,"",'Dvd Calendar'!$G$101)))</f>
        <v/>
      </c>
      <c r="BT15" s="85">
        <f>IF(F15="","",IF(ISNUMBER('Dvd Calendar'!$H$101)=FALSE,"",IF((Summary!$C$13="N")*('Dvd Calendar'!$H$105='Field Check'!$C$25)&gt;0,"",'Dvd Calendar'!$H$101)))</f>
        <v/>
      </c>
      <c r="BU15" s="85">
        <f>IF(G15="","",IF(ISNUMBER('Dvd Calendar'!$I$101)=FALSE,"",IF((Summary!$C$13="N")*('Dvd Calendar'!$I$105='Field Check'!$C$25)&gt;0,"",'Dvd Calendar'!$I$101)))</f>
        <v/>
      </c>
      <c r="BV15" s="85">
        <f>IF(H15="","",IF(ISNUMBER('Dvd Calendar'!$J$101)=FALSE,"",IF((Summary!$C$13="N")*('Dvd Calendar'!$J$105='Field Check'!$C$25)&gt;0,"",'Dvd Calendar'!$J$101)))</f>
        <v/>
      </c>
      <c r="BW15" s="85">
        <f>IF(I15="","",IF(ISNUMBER('Dvd Calendar'!$K$101)=FALSE,"",IF((Summary!$C$13="N")*('Dvd Calendar'!$K$105='Field Check'!$C$25)&gt;0,"",'Dvd Calendar'!$K$101)))</f>
        <v/>
      </c>
      <c r="BX15" s="85">
        <f>IF(J15="","",IF(ISNUMBER('Dvd Calendar'!$L$101)=FALSE,"",IF((Summary!$C$13="N")*('Dvd Calendar'!$L$105='Field Check'!$C$25)&gt;0,"",'Dvd Calendar'!$L$101)))</f>
        <v/>
      </c>
      <c r="BY15" s="85">
        <f>IF(K15="","",IF(ISNUMBER('Dvd Calendar'!$M$101)=FALSE,"",IF((Summary!$C$13="N")*('Dvd Calendar'!$M$105='Field Check'!$C$25)&gt;0,"",'Dvd Calendar'!$M$101)))</f>
        <v/>
      </c>
      <c r="BZ15" s="85">
        <f>IF(L15="","",IF(ISNUMBER('Dvd Calendar'!$N$101)=FALSE,"",IF((Summary!$C$13="N")*('Dvd Calendar'!$N$105='Field Check'!$C$25)&gt;0,"",'Dvd Calendar'!$N$101)))</f>
        <v/>
      </c>
      <c r="CA15" s="85">
        <f>IF(M15="","",IF(ISNUMBER('Dvd Calendar'!$O$101)=FALSE,"",IF((Summary!$C$13="N")*('Dvd Calendar'!$O$105='Field Check'!$C$25)&gt;0,"",'Dvd Calendar'!$O$101)))</f>
        <v/>
      </c>
      <c r="CB15" s="85">
        <f>IF(N15="","",IF(ISNUMBER('Dvd Calendar'!$P$101)=FALSE,"",IF((Summary!$C$13="N")*('Dvd Calendar'!$P$105='Field Check'!$C$25)&gt;0,"",'Dvd Calendar'!$P$101)))</f>
        <v/>
      </c>
      <c r="CC15" s="85">
        <f>IF(O15="","",IF(ISNUMBER('Dvd Calendar'!$Q$101)=FALSE,"",IF((Summary!$C$13="N")*('Dvd Calendar'!$Q$105='Field Check'!$C$25)&gt;0,"",'Dvd Calendar'!$Q$101)))</f>
        <v/>
      </c>
      <c r="CD15" s="85">
        <f>IF(P15="","",IF(ISNUMBER('Dvd Calendar'!$R$101)=FALSE,"",IF((Summary!$C$13="N")*('Dvd Calendar'!$R$105='Field Check'!$C$25)&gt;0,"",'Dvd Calendar'!$R$101)))</f>
        <v/>
      </c>
      <c r="CE15" s="85">
        <f>IF(Q15="","",IF(ISNUMBER('Dvd Calendar'!$S$101)=FALSE,"",IF((Summary!$C$13="N")*('Dvd Calendar'!$S$105='Field Check'!$C$25)&gt;0,"",'Dvd Calendar'!$S$101)))</f>
        <v/>
      </c>
      <c r="CF15" s="85">
        <f>IF(R15="","",IF(ISNUMBER('Dvd Calendar'!$T$101)=FALSE,"",IF((Summary!$C$13="N")*('Dvd Calendar'!$T$105='Field Check'!$C$25)&gt;0,"",'Dvd Calendar'!$T$101)))</f>
        <v/>
      </c>
      <c r="CG15" s="85">
        <f>IF(S15="","",IF(ISNUMBER('Dvd Calendar'!$U$101)=FALSE,"",IF((Summary!$C$13="N")*('Dvd Calendar'!$U$105='Field Check'!$C$25)&gt;0,"",'Dvd Calendar'!$U$101)))</f>
        <v/>
      </c>
      <c r="CH15" s="85">
        <f>IF(T15="","",IF(ISNUMBER('Dvd Calendar'!$V$101)=FALSE,"",IF((Summary!$C$13="N")*('Dvd Calendar'!$V$105='Field Check'!$C$25)&gt;0,"",'Dvd Calendar'!$V$101)))</f>
        <v/>
      </c>
      <c r="CI15" s="85">
        <f>IF(U15="","",IF(ISNUMBER('Dvd Calendar'!$W$101)=FALSE,"",IF((Summary!$C$13="N")*('Dvd Calendar'!$W$105='Field Check'!$C$25)&gt;0,"",'Dvd Calendar'!$W$101)))</f>
        <v/>
      </c>
      <c r="CJ15" s="85">
        <f>IF(V15="","",IF(ISNUMBER('Dvd Calendar'!$X$101)=FALSE,"",IF((Summary!$C$13="N")*('Dvd Calendar'!$X$105='Field Check'!$C$25)&gt;0,"",'Dvd Calendar'!$X$101)))</f>
        <v/>
      </c>
      <c r="CK15" s="85">
        <f>IF(W15="","",IF(ISNUMBER('Dvd Calendar'!$Y$101)=FALSE,"",IF((Summary!$C$13="N")*('Dvd Calendar'!$Y$105='Field Check'!$C$25)&gt;0,"",'Dvd Calendar'!$Y$101)))</f>
        <v/>
      </c>
      <c r="CL15" s="85">
        <f>IF(X15="","",IF(ISNUMBER('Dvd Calendar'!$Z$101)=FALSE,"",IF((Summary!$C$13="N")*('Dvd Calendar'!$Z$105='Field Check'!$C$25)&gt;0,"",'Dvd Calendar'!$Z$101)))</f>
        <v/>
      </c>
      <c r="CM15" s="85">
        <f>IF(Y15="","",IF(ISNUMBER('Dvd Calendar'!$AA$101)=FALSE,"",IF((Summary!$C$13="N")*('Dvd Calendar'!$AA$105='Field Check'!$C$25)&gt;0,"",'Dvd Calendar'!$AA$101)))</f>
        <v/>
      </c>
      <c r="CN15" s="85">
        <f>IF(Z15="","",IF(ISNUMBER('Dvd Calendar'!$AB$101)=FALSE,"",IF((Summary!$C$13="N")*('Dvd Calendar'!$AB$105='Field Check'!$C$25)&gt;0,"",'Dvd Calendar'!$AB$101)))</f>
        <v/>
      </c>
      <c r="CO15" s="85">
        <f>IF(AA15="","",IF(ISNUMBER('Dvd Calendar'!$AC$101)=FALSE,"",IF((Summary!$C$13="N")*('Dvd Calendar'!$AC$105='Field Check'!$C$25)&gt;0,"",'Dvd Calendar'!$AC$101)))</f>
        <v/>
      </c>
      <c r="CP15" s="85">
        <f>IF(AB15="","",IF(ISNUMBER('Dvd Calendar'!$AD$101)=FALSE,"",IF((Summary!$C$13="N")*('Dvd Calendar'!$AD$105='Field Check'!$C$25)&gt;0,"",'Dvd Calendar'!$AD$101)))</f>
        <v/>
      </c>
      <c r="CQ15" s="85">
        <f>IF(AC15="","",IF(ISNUMBER('Dvd Calendar'!$AE$101)=FALSE,"",IF((Summary!$C$13="N")*('Dvd Calendar'!$AE$105='Field Check'!$C$25)&gt;0,"",'Dvd Calendar'!$AE$101)))</f>
        <v/>
      </c>
      <c r="CR15" s="85">
        <f>IF(AD15="","",IF(ISNUMBER('Dvd Calendar'!$AF$101)=FALSE,"",IF((Summary!$C$13="N")*('Dvd Calendar'!$AF$105='Field Check'!$C$25)&gt;0,"",'Dvd Calendar'!$AF$101)))</f>
        <v/>
      </c>
      <c r="CS15" s="85">
        <f>IF(AE15="","",IF(ISNUMBER('Dvd Calendar'!$AG$101)=FALSE,"",IF((Summary!$C$13="N")*('Dvd Calendar'!$AG$105='Field Check'!$C$25)&gt;0,"",'Dvd Calendar'!$AG$101)))</f>
        <v/>
      </c>
      <c r="CT15" s="85">
        <f>IF(AF15="","",IF(ISNUMBER('Dvd Calendar'!$AH$101)=FALSE,"",IF((Summary!$C$13="N")*('Dvd Calendar'!$AH$105='Field Check'!$C$25)&gt;0,"",'Dvd Calendar'!$AH$101)))</f>
        <v/>
      </c>
      <c r="CU15" s="85">
        <f>IF(AG15="","",IF(ISNUMBER('Dvd Calendar'!$AI$101)=FALSE,"",IF((Summary!$C$13="N")*('Dvd Calendar'!$AI$105='Field Check'!$C$25)&gt;0,"",'Dvd Calendar'!$AI$101)))</f>
        <v/>
      </c>
      <c r="CV15" s="85">
        <f>IF(AH15="","",IF(ISNUMBER('Dvd Calendar'!$AJ$101)=FALSE,"",IF((Summary!$C$13="N")*('Dvd Calendar'!$AJ$105='Field Check'!$C$25)&gt;0,"",'Dvd Calendar'!$AJ$101)))</f>
        <v/>
      </c>
      <c r="CW15" s="85">
        <f>IF(AI15="","",IF(ISNUMBER('Dvd Calendar'!$AK$101)=FALSE,"",IF((Summary!$C$13="N")*('Dvd Calendar'!$AK$105='Field Check'!$C$25)&gt;0,"",'Dvd Calendar'!$AK$101)))</f>
        <v/>
      </c>
      <c r="CX15" s="85">
        <f>IF(AJ15="","",IF(ISNUMBER('Dvd Calendar'!$AL$101)=FALSE,"",IF((Summary!$C$13="N")*('Dvd Calendar'!$AL$105='Field Check'!$C$25)&gt;0,"",'Dvd Calendar'!$AL$101)))</f>
        <v/>
      </c>
      <c r="CY15" s="85">
        <f>IF(AK15="","",IF(ISNUMBER('Dvd Calendar'!$AM$101)=FALSE,"",IF((Summary!$C$13="N")*('Dvd Calendar'!$AM$105='Field Check'!$C$25)&gt;0,"",'Dvd Calendar'!$AM$101)))</f>
        <v/>
      </c>
      <c r="CZ15" s="85">
        <f>IF(AL15="","",IF(ISNUMBER('Dvd Calendar'!$AN$101)=FALSE,"",IF((Summary!$C$13="N")*('Dvd Calendar'!$AN$105='Field Check'!$C$25)&gt;0,"",'Dvd Calendar'!$AN$101)))</f>
        <v/>
      </c>
      <c r="DA15" s="85">
        <f>IF(AM15="","",IF(ISNUMBER('Dvd Calendar'!$AO$101)=FALSE,"",IF((Summary!$C$13="N")*('Dvd Calendar'!$AO$105='Field Check'!$C$25)&gt;0,"",'Dvd Calendar'!$AO$101)))</f>
        <v/>
      </c>
      <c r="DB15" s="85">
        <f>IF(AN15="","",IF(ISNUMBER('Dvd Calendar'!$AP$101)=FALSE,"",IF((Summary!$C$13="N")*('Dvd Calendar'!$AP$105='Field Check'!$C$25)&gt;0,"",'Dvd Calendar'!$AP$101)))</f>
        <v/>
      </c>
      <c r="DC15" s="85">
        <f>IF(AO15="","",IF(ISNUMBER('Dvd Calendar'!$AQ$101)=FALSE,"",IF((Summary!$C$13="N")*('Dvd Calendar'!$AQ$105='Field Check'!$C$25)&gt;0,"",'Dvd Calendar'!$AQ$101)))</f>
        <v/>
      </c>
      <c r="DD15" s="85">
        <f>IF(AP15="","",IF(ISNUMBER('Dvd Calendar'!$AR$101)=FALSE,"",IF((Summary!$C$13="N")*('Dvd Calendar'!$AR$105='Field Check'!$C$25)&gt;0,"",'Dvd Calendar'!$AR$101)))</f>
        <v/>
      </c>
      <c r="DE15" s="85">
        <f>IF(AQ15="","",IF(ISNUMBER('Dvd Calendar'!$E$108)=FALSE,"",IF((Summary!$C$13="N")*('Dvd Calendar'!$E$112='Field Check'!$C$25)&gt;0,"",'Dvd Calendar'!$E$108)))</f>
        <v/>
      </c>
      <c r="DF15" s="85">
        <f>IF(AR15="","",IF(ISNUMBER('Dvd Calendar'!$F$108)=FALSE,"",IF((Summary!$C$13="N")*('Dvd Calendar'!$F$112='Field Check'!$C$25)&gt;0,"",'Dvd Calendar'!$F$108)))</f>
        <v/>
      </c>
      <c r="DG15" s="85">
        <f>IF(AS15="","",IF(ISNUMBER('Dvd Calendar'!$G$108)=FALSE,"",IF((Summary!$C$13="N")*('Dvd Calendar'!$G$112='Field Check'!$C$25)&gt;0,"",'Dvd Calendar'!$G$108)))</f>
        <v/>
      </c>
      <c r="DH15" s="85">
        <f>IF(AT15="","",IF(ISNUMBER('Dvd Calendar'!$H$108)=FALSE,"",IF((Summary!$C$13="N")*('Dvd Calendar'!$H$112='Field Check'!$C$25)&gt;0,"",'Dvd Calendar'!$H$108)))</f>
        <v/>
      </c>
      <c r="DI15" s="85">
        <f>IF(AU15="","",IF(ISNUMBER('Dvd Calendar'!$I$108)=FALSE,"",IF((Summary!$C$13="N")*('Dvd Calendar'!$I$112='Field Check'!$C$25)&gt;0,"",'Dvd Calendar'!$I$108)))</f>
        <v/>
      </c>
      <c r="DJ15" s="85">
        <f>IF(AV15="","",IF(ISNUMBER('Dvd Calendar'!$J$108)=FALSE,"",IF((Summary!$C$13="N")*('Dvd Calendar'!$J$112='Field Check'!$C$25)&gt;0,"",'Dvd Calendar'!$J$108)))</f>
        <v/>
      </c>
      <c r="DK15" s="85">
        <f>IF(AW15="","",IF(ISNUMBER('Dvd Calendar'!$K$108)=FALSE,"",IF((Summary!$C$13="N")*('Dvd Calendar'!$K$112='Field Check'!$C$25)&gt;0,"",'Dvd Calendar'!$K$108)))</f>
        <v/>
      </c>
      <c r="DL15" s="85">
        <f>IF(AX15="","",IF(ISNUMBER('Dvd Calendar'!$L$108)=FALSE,"",IF((Summary!$C$13="N")*('Dvd Calendar'!$L$112='Field Check'!$C$25)&gt;0,"",'Dvd Calendar'!$L$108)))</f>
        <v/>
      </c>
      <c r="DM15" s="85">
        <f>IF(AY15="","",IF(ISNUMBER('Dvd Calendar'!$M$108)=FALSE,"",IF((Summary!$C$13="N")*('Dvd Calendar'!$M$112='Field Check'!$C$25)&gt;0,"",'Dvd Calendar'!$M$108)))</f>
        <v/>
      </c>
      <c r="DN15" s="85">
        <f>IF(AZ15="","",IF(ISNUMBER('Dvd Calendar'!$N$108)=FALSE,"",IF((Summary!$C$13="N")*('Dvd Calendar'!$N$112='Field Check'!$C$25)&gt;0,"",'Dvd Calendar'!$N$108)))</f>
        <v/>
      </c>
      <c r="DO15" s="85">
        <f>IF(BA15="","",IF(ISNUMBER('Dvd Calendar'!$O$108)=FALSE,"",IF((Summary!$C$13="N")*('Dvd Calendar'!$O$112='Field Check'!$C$25)&gt;0,"",'Dvd Calendar'!$O$108)))</f>
        <v/>
      </c>
      <c r="DP15" s="85">
        <f>IF(BB15="","",IF(ISNUMBER('Dvd Calendar'!$P$108)=FALSE,"",IF((Summary!$C$13="N")*('Dvd Calendar'!$P$112='Field Check'!$C$25)&gt;0,"",'Dvd Calendar'!$P$108)))</f>
        <v/>
      </c>
      <c r="DQ15" s="85">
        <f>IF(BC15="","",IF(ISNUMBER('Dvd Calendar'!$Q$108)=FALSE,"",IF((Summary!$C$13="N")*('Dvd Calendar'!$Q$112='Field Check'!$C$25)&gt;0,"",'Dvd Calendar'!$Q$108)))</f>
        <v/>
      </c>
      <c r="DR15" s="85">
        <f>IF(BD15="","",IF(ISNUMBER('Dvd Calendar'!$R$108)=FALSE,"",IF((Summary!$C$13="N")*('Dvd Calendar'!$R$112='Field Check'!$C$25)&gt;0,"",'Dvd Calendar'!$R$108)))</f>
        <v/>
      </c>
      <c r="DS15" s="85">
        <f>IF(BE15="","",IF(ISNUMBER('Dvd Calendar'!$S$108)=FALSE,"",IF((Summary!$C$13="N")*('Dvd Calendar'!$S$112='Field Check'!$C$25)&gt;0,"",'Dvd Calendar'!$S$108)))</f>
        <v/>
      </c>
      <c r="DT15" s="85">
        <f>IF(BF15="","",IF(ISNUMBER('Dvd Calendar'!$T$108)=FALSE,"",IF((Summary!$C$13="N")*('Dvd Calendar'!$T$112='Field Check'!$C$25)&gt;0,"",'Dvd Calendar'!$T$108)))</f>
        <v/>
      </c>
      <c r="DU15" s="85">
        <f>IF(BG15="","",IF(ISNUMBER('Dvd Calendar'!$U$108)=FALSE,"",IF((Summary!$C$13="N")*('Dvd Calendar'!$U$112='Field Check'!$C$25)&gt;0,"",'Dvd Calendar'!$U$108)))</f>
        <v/>
      </c>
      <c r="DV15" s="85">
        <f>IF(BH15="","",IF(ISNUMBER('Dvd Calendar'!$V$108)=FALSE,"",IF((Summary!$C$13="N")*('Dvd Calendar'!$V$112='Field Check'!$C$25)&gt;0,"",'Dvd Calendar'!$V$108)))</f>
        <v/>
      </c>
      <c r="DW15" s="85">
        <f>IF(BI15="","",IF(ISNUMBER('Dvd Calendar'!$W$108)=FALSE,"",IF((Summary!$C$13="N")*('Dvd Calendar'!$W$112='Field Check'!$C$25)&gt;0,"",'Dvd Calendar'!$W$108)))</f>
        <v/>
      </c>
      <c r="DX15" s="85">
        <f>IF(BJ15="","",IF(ISNUMBER('Dvd Calendar'!$X$108)=FALSE,"",IF((Summary!$C$13="N")*('Dvd Calendar'!$X$112='Field Check'!$C$25)&gt;0,"",'Dvd Calendar'!$X$108)))</f>
        <v/>
      </c>
      <c r="DY15" s="85">
        <f>IF(BK15="","",IF(ISNUMBER('Dvd Calendar'!$Y$108)=FALSE,"",IF((Summary!$C$13="N")*('Dvd Calendar'!$Y$112='Field Check'!$C$25)&gt;0,"",'Dvd Calendar'!$Y$108)))</f>
        <v/>
      </c>
      <c r="DZ15" s="85">
        <f>IF(BL15="","",IF(ISNUMBER('Dvd Calendar'!$Z$108)=FALSE,"",IF((Summary!$C$13="N")*('Dvd Calendar'!$Z$112='Field Check'!$C$25)&gt;0,"",'Dvd Calendar'!$Z$108)))</f>
        <v/>
      </c>
      <c r="EA15" s="85">
        <f>IF(BM15="","",IF(ISNUMBER('Dvd Calendar'!$AA$108)=FALSE,"",IF((Summary!$C$13="N")*('Dvd Calendar'!$AA$112='Field Check'!$C$25)&gt;0,"",'Dvd Calendar'!$AA$108)))</f>
        <v/>
      </c>
      <c r="EB15" s="85">
        <f>IF(BN15="","",IF(ISNUMBER('Dvd Calendar'!$AB$108)=FALSE,"",IF((Summary!$C$13="N")*('Dvd Calendar'!$AB$112='Field Check'!$C$25)&gt;0,"",'Dvd Calendar'!$AB$108)))</f>
        <v/>
      </c>
      <c r="EC15" s="85">
        <f>IF(BO15="","",IF(ISNUMBER('Dvd Calendar'!$AC$108)=FALSE,"",IF((Summary!$C$13="N")*('Dvd Calendar'!$AC$112='Field Check'!$C$25)&gt;0,"",'Dvd Calendar'!$AC$108)))</f>
        <v/>
      </c>
      <c r="EE15" s="85">
        <f>IF(BQ15="","",IFERROR(BQ15*HSI!$B$13*HSI!$G$13/HSI!$B$3,""))</f>
        <v/>
      </c>
      <c r="EF15" s="85">
        <f>IF(BR15="","",IFERROR(BR15*HSI!$B$13*HSI!$G$13/HSI!$B$3,""))</f>
        <v/>
      </c>
      <c r="EG15" s="85">
        <f>IF(BS15="","",IFERROR(BS15*HSI!$B$13*HSI!$G$13/HSI!$B$3,""))</f>
        <v/>
      </c>
      <c r="EH15" s="85">
        <f>IF(BT15="","",IFERROR(BT15*HSI!$B$13*HSI!$G$13/HSI!$B$3,""))</f>
        <v/>
      </c>
      <c r="EI15" s="85">
        <f>IF(BU15="","",IFERROR(BU15*HSI!$B$13*HSI!$G$13/HSI!$B$3,""))</f>
        <v/>
      </c>
      <c r="EJ15" s="85">
        <f>IF(BV15="","",IFERROR(BV15*HSI!$B$13*HSI!$G$13/HSI!$B$3,""))</f>
        <v/>
      </c>
      <c r="EK15" s="85">
        <f>IF(BW15="","",IFERROR(BW15*HSI!$B$13*HSI!$G$13/HSI!$B$3,""))</f>
        <v/>
      </c>
      <c r="EL15" s="85">
        <f>IF(BX15="","",IFERROR(BX15*HSI!$B$13*HSI!$G$13/HSI!$B$3,""))</f>
        <v/>
      </c>
      <c r="EM15" s="85">
        <f>IF(BY15="","",IFERROR(BY15*HSI!$B$13*HSI!$G$13/HSI!$B$3,""))</f>
        <v/>
      </c>
      <c r="EN15" s="85">
        <f>IF(BZ15="","",IFERROR(BZ15*HSI!$B$13*HSI!$G$13/HSI!$B$3,""))</f>
        <v/>
      </c>
      <c r="EO15" s="85">
        <f>IF(CA15="","",IFERROR(CA15*HSI!$B$13*HSI!$G$13/HSI!$B$3,""))</f>
        <v/>
      </c>
      <c r="EP15" s="85">
        <f>IF(CB15="","",IFERROR(CB15*HSI!$B$13*HSI!$G$13/HSI!$B$3,""))</f>
        <v/>
      </c>
      <c r="EQ15" s="85">
        <f>IF(CC15="","",IFERROR(CC15*HSI!$B$13*HSI!$G$13/HSI!$B$3,""))</f>
        <v/>
      </c>
      <c r="ER15" s="85">
        <f>IF(CD15="","",IFERROR(CD15*HSI!$B$13*HSI!$G$13/HSI!$B$3,""))</f>
        <v/>
      </c>
      <c r="ES15" s="85">
        <f>IF(CE15="","",IFERROR(CE15*HSI!$B$13*HSI!$G$13/HSI!$B$3,""))</f>
        <v/>
      </c>
      <c r="ET15" s="85">
        <f>IF(CF15="","",IFERROR(CF15*HSI!$B$13*HSI!$G$13/HSI!$B$3,""))</f>
        <v/>
      </c>
      <c r="EU15" s="85">
        <f>IF(CG15="","",IFERROR(CG15*HSI!$B$13*HSI!$G$13/HSI!$B$3,""))</f>
        <v/>
      </c>
      <c r="EV15" s="85">
        <f>IF(CH15="","",IFERROR(CH15*HSI!$B$13*HSI!$G$13/HSI!$B$3,""))</f>
        <v/>
      </c>
      <c r="EW15" s="85">
        <f>IF(CI15="","",IFERROR(CI15*HSI!$B$13*HSI!$G$13/HSI!$B$3,""))</f>
        <v/>
      </c>
      <c r="EX15" s="85">
        <f>IF(CJ15="","",IFERROR(CJ15*HSI!$B$13*HSI!$G$13/HSI!$B$3,""))</f>
        <v/>
      </c>
      <c r="EY15" s="85">
        <f>IF(CK15="","",IFERROR(CK15*HSI!$B$13*HSI!$G$13/HSI!$B$3,""))</f>
        <v/>
      </c>
      <c r="EZ15" s="85">
        <f>IF(CL15="","",IFERROR(CL15*HSI!$B$13*HSI!$G$13/HSI!$B$3,""))</f>
        <v/>
      </c>
      <c r="FA15" s="85">
        <f>IF(CM15="","",IFERROR(CM15*HSI!$B$13*HSI!$G$13/HSI!$B$3,""))</f>
        <v/>
      </c>
      <c r="FB15" s="85">
        <f>IF(CN15="","",IFERROR(CN15*HSI!$B$13*HSI!$G$13/HSI!$B$3,""))</f>
        <v/>
      </c>
      <c r="FC15" s="85">
        <f>IF(CO15="","",IFERROR(CO15*HSI!$B$13*HSI!$G$13/HSI!$B$3,""))</f>
        <v/>
      </c>
      <c r="FD15" s="85">
        <f>IF(CP15="","",IFERROR(CP15*HSI!$B$13*HSI!$G$13/HSI!$B$3,""))</f>
        <v/>
      </c>
      <c r="FE15" s="85">
        <f>IF(CQ15="","",IFERROR(CQ15*HSI!$B$13*HSI!$G$13/HSI!$B$3,""))</f>
        <v/>
      </c>
      <c r="FF15" s="85">
        <f>IF(CR15="","",IFERROR(CR15*HSI!$B$13*HSI!$G$13/HSI!$B$3,""))</f>
        <v/>
      </c>
      <c r="FG15" s="85">
        <f>IF(CS15="","",IFERROR(CS15*HSI!$B$13*HSI!$G$13/HSI!$B$3,""))</f>
        <v/>
      </c>
      <c r="FH15" s="85">
        <f>IF(CT15="","",IFERROR(CT15*HSI!$B$13*HSI!$G$13/HSI!$B$3,""))</f>
        <v/>
      </c>
      <c r="FI15" s="85">
        <f>IF(CU15="","",IFERROR(CU15*HSI!$B$13*HSI!$G$13/HSI!$B$3,""))</f>
        <v/>
      </c>
      <c r="FJ15" s="85">
        <f>IF(CV15="","",IFERROR(CV15*HSI!$B$13*HSI!$G$13/HSI!$B$3,""))</f>
        <v/>
      </c>
      <c r="FK15" s="85">
        <f>IF(CW15="","",IFERROR(CW15*HSI!$B$13*HSI!$G$13/HSI!$B$3,""))</f>
        <v/>
      </c>
      <c r="FL15" s="85">
        <f>IF(CX15="","",IFERROR(CX15*HSI!$B$13*HSI!$G$13/HSI!$B$3,""))</f>
        <v/>
      </c>
      <c r="FM15" s="85">
        <f>IF(CY15="","",IFERROR(CY15*HSI!$B$13*HSI!$G$13/HSI!$B$3,""))</f>
        <v/>
      </c>
      <c r="FN15" s="85">
        <f>IF(CZ15="","",IFERROR(CZ15*HSI!$B$13*HSI!$G$13/HSI!$B$3,""))</f>
        <v/>
      </c>
      <c r="FO15" s="85">
        <f>IF(DA15="","",IFERROR(DA15*HSI!$B$13*HSI!$G$13/HSI!$B$3,""))</f>
        <v/>
      </c>
      <c r="FP15" s="85">
        <f>IF(DB15="","",IFERROR(DB15*HSI!$B$13*HSI!$G$13/HSI!$B$3,""))</f>
        <v/>
      </c>
      <c r="FQ15" s="85">
        <f>IF(DC15="","",IFERROR(DC15*HSI!$B$13*HSI!$G$13/HSI!$B$3,""))</f>
        <v/>
      </c>
      <c r="FR15" s="85">
        <f>IF(DD15="","",IFERROR(DD15*HSI!$B$13*HSI!$G$13/HSI!$B$3,""))</f>
        <v/>
      </c>
      <c r="FS15" s="85">
        <f>IF(DE15="","",IFERROR(DE15*HSI!$B$13*HSI!$G$13/HSI!$B$3,""))</f>
        <v/>
      </c>
      <c r="FT15" s="85">
        <f>IF(DF15="","",IFERROR(DF15*HSI!$B$13*HSI!$G$13/HSI!$B$3,""))</f>
        <v/>
      </c>
      <c r="FU15" s="85">
        <f>IF(DG15="","",IFERROR(DG15*HSI!$B$13*HSI!$G$13/HSI!$B$3,""))</f>
        <v/>
      </c>
      <c r="FV15" s="85">
        <f>IF(DH15="","",IFERROR(DH15*HSI!$B$13*HSI!$G$13/HSI!$B$3,""))</f>
        <v/>
      </c>
      <c r="FW15" s="85">
        <f>IF(DI15="","",IFERROR(DI15*HSI!$B$13*HSI!$G$13/HSI!$B$3,""))</f>
        <v/>
      </c>
      <c r="FX15" s="85">
        <f>IF(DJ15="","",IFERROR(DJ15*HSI!$B$13*HSI!$G$13/HSI!$B$3,""))</f>
        <v/>
      </c>
      <c r="FY15" s="85">
        <f>IF(DK15="","",IFERROR(DK15*HSI!$B$13*HSI!$G$13/HSI!$B$3,""))</f>
        <v/>
      </c>
      <c r="FZ15" s="85">
        <f>IF(DL15="","",IFERROR(DL15*HSI!$B$13*HSI!$G$13/HSI!$B$3,""))</f>
        <v/>
      </c>
      <c r="GA15" s="85">
        <f>IF(DM15="","",IFERROR(DM15*HSI!$B$13*HSI!$G$13/HSI!$B$3,""))</f>
        <v/>
      </c>
      <c r="GB15" s="85">
        <f>IF(DN15="","",IFERROR(DN15*HSI!$B$13*HSI!$G$13/HSI!$B$3,""))</f>
        <v/>
      </c>
      <c r="GC15" s="85">
        <f>IF(DO15="","",IFERROR(DO15*HSI!$B$13*HSI!$G$13/HSI!$B$3,""))</f>
        <v/>
      </c>
      <c r="GD15" s="85">
        <f>IF(DP15="","",IFERROR(DP15*HSI!$B$13*HSI!$G$13/HSI!$B$3,""))</f>
        <v/>
      </c>
      <c r="GE15" s="85">
        <f>IF(DQ15="","",IFERROR(DQ15*HSI!$B$13*HSI!$G$13/HSI!$B$3,""))</f>
        <v/>
      </c>
      <c r="GF15" s="85">
        <f>IF(DR15="","",IFERROR(DR15*HSI!$B$13*HSI!$G$13/HSI!$B$3,""))</f>
        <v/>
      </c>
      <c r="GG15" s="85">
        <f>IF(DS15="","",IFERROR(DS15*HSI!$B$13*HSI!$G$13/HSI!$B$3,""))</f>
        <v/>
      </c>
      <c r="GH15" s="85">
        <f>IF(DT15="","",IFERROR(DT15*HSI!$B$13*HSI!$G$13/HSI!$B$3,""))</f>
        <v/>
      </c>
      <c r="GI15" s="85">
        <f>IF(DU15="","",IFERROR(DU15*HSI!$B$13*HSI!$G$13/HSI!$B$3,""))</f>
        <v/>
      </c>
      <c r="GJ15" s="85">
        <f>IF(DV15="","",IFERROR(DV15*HSI!$B$13*HSI!$G$13/HSI!$B$3,""))</f>
        <v/>
      </c>
      <c r="GK15" s="85">
        <f>IF(DW15="","",IFERROR(DW15*HSI!$B$13*HSI!$G$13/HSI!$B$3,""))</f>
        <v/>
      </c>
      <c r="GL15" s="85">
        <f>IF(DX15="","",IFERROR(DX15*HSI!$B$13*HSI!$G$13/HSI!$B$3,""))</f>
        <v/>
      </c>
      <c r="GM15" s="85">
        <f>IF(DY15="","",IFERROR(DY15*HSI!$B$13*HSI!$G$13/HSI!$B$3,""))</f>
        <v/>
      </c>
      <c r="GN15" s="85">
        <f>IF(DZ15="","",IFERROR(DZ15*HSI!$B$13*HSI!$G$13/HSI!$B$3,""))</f>
        <v/>
      </c>
      <c r="GO15" s="85">
        <f>IF(EA15="","",IFERROR(EA15*HSI!$B$13*HSI!$G$13/HSI!$B$3,""))</f>
        <v/>
      </c>
      <c r="GP15" s="85">
        <f>IF(EB15="","",IFERROR(EB15*HSI!$B$13*HSI!$G$13/HSI!$B$3,""))</f>
        <v/>
      </c>
      <c r="GQ15" s="85">
        <f>IF(EC15="","",IFERROR(EC15*HSI!$B$13*HSI!$G$13/HSI!$B$3,""))</f>
        <v/>
      </c>
    </row>
    <row r="16">
      <c r="B16" s="2">
        <f>IF(HSI!$C$14="","",HSI!$C$14)</f>
        <v/>
      </c>
      <c r="C16" s="41">
        <f>IF(N('Dvd Calendar'!$E$115)=0,"",IF(('Dvd Calendar'!$E$115&gt;=MIN(DATE(Summary!$C$12,1,1),Summary!$C$11))*('Dvd Calendar'!$E$115&lt;=MAX(DATE(Summary!$C$12,12,31),Summary!$C$15))*('Dvd Calendar'!$E$115&lt;=Summary!$C$11)=0,"",'Dvd Calendar'!$E$115*1000000000+ISNUMBER('Dvd Calendar'!$E$116)*100000000+('Dvd Calendar'!$E$120='Field Check'!$C$25)*10000000+(N('Dvd Calendar'!$E$114)&gt;0)*1000000+8*1000+1))</f>
        <v/>
      </c>
      <c r="D16" s="41">
        <f>IF(N('Dvd Calendar'!$F$115)=0,"",IF(('Dvd Calendar'!$F$115&gt;=MIN(DATE(Summary!$C$12,1,1),Summary!$C$11))*('Dvd Calendar'!$F$115&lt;=MAX(DATE(Summary!$C$12,12,31),Summary!$C$15))*('Dvd Calendar'!$F$115&lt;=Summary!$C$11)=0,"",'Dvd Calendar'!$F$115*1000000000+ISNUMBER('Dvd Calendar'!$F$116)*100000000+('Dvd Calendar'!$F$120='Field Check'!$C$25)*10000000+(N('Dvd Calendar'!$F$114)&gt;0)*1000000+8*1000+2))</f>
        <v/>
      </c>
      <c r="E16" s="41">
        <f>IF(N('Dvd Calendar'!$G$115)=0,"",IF(('Dvd Calendar'!$G$115&gt;=MIN(DATE(Summary!$C$12,1,1),Summary!$C$11))*('Dvd Calendar'!$G$115&lt;=MAX(DATE(Summary!$C$12,12,31),Summary!$C$15))*('Dvd Calendar'!$G$115&lt;=Summary!$C$11)=0,"",'Dvd Calendar'!$G$115*1000000000+ISNUMBER('Dvd Calendar'!$G$116)*100000000+('Dvd Calendar'!$G$120='Field Check'!$C$25)*10000000+(N('Dvd Calendar'!$G$114)&gt;0)*1000000+8*1000+3))</f>
        <v/>
      </c>
      <c r="F16" s="41">
        <f>IF(N('Dvd Calendar'!$H$115)=0,"",IF(('Dvd Calendar'!$H$115&gt;=MIN(DATE(Summary!$C$12,1,1),Summary!$C$11))*('Dvd Calendar'!$H$115&lt;=MAX(DATE(Summary!$C$12,12,31),Summary!$C$15))*('Dvd Calendar'!$H$115&lt;=Summary!$C$11)=0,"",'Dvd Calendar'!$H$115*1000000000+ISNUMBER('Dvd Calendar'!$H$116)*100000000+('Dvd Calendar'!$H$120='Field Check'!$C$25)*10000000+(N('Dvd Calendar'!$H$114)&gt;0)*1000000+8*1000+4))</f>
        <v/>
      </c>
      <c r="G16" s="41">
        <f>IF(N('Dvd Calendar'!$I$115)=0,"",IF(('Dvd Calendar'!$I$115&gt;=MIN(DATE(Summary!$C$12,1,1),Summary!$C$11))*('Dvd Calendar'!$I$115&lt;=MAX(DATE(Summary!$C$12,12,31),Summary!$C$15))*('Dvd Calendar'!$I$115&lt;=Summary!$C$11)=0,"",'Dvd Calendar'!$I$115*1000000000+ISNUMBER('Dvd Calendar'!$I$116)*100000000+('Dvd Calendar'!$I$120='Field Check'!$C$25)*10000000+(N('Dvd Calendar'!$I$114)&gt;0)*1000000+8*1000+5))</f>
        <v/>
      </c>
      <c r="H16" s="41">
        <f>IF(N('Dvd Calendar'!$J$115)=0,"",IF(('Dvd Calendar'!$J$115&gt;=MIN(DATE(Summary!$C$12,1,1),Summary!$C$11))*('Dvd Calendar'!$J$115&lt;=MAX(DATE(Summary!$C$12,12,31),Summary!$C$15))*('Dvd Calendar'!$J$115&lt;=Summary!$C$11)=0,"",'Dvd Calendar'!$J$115*1000000000+ISNUMBER('Dvd Calendar'!$J$116)*100000000+('Dvd Calendar'!$J$120='Field Check'!$C$25)*10000000+(N('Dvd Calendar'!$J$114)&gt;0)*1000000+8*1000+6))</f>
        <v/>
      </c>
      <c r="I16" s="41">
        <f>IF(N('Dvd Calendar'!$K$115)=0,"",IF(('Dvd Calendar'!$K$115&gt;=MIN(DATE(Summary!$C$12,1,1),Summary!$C$11))*('Dvd Calendar'!$K$115&lt;=MAX(DATE(Summary!$C$12,12,31),Summary!$C$15))*('Dvd Calendar'!$K$115&lt;=Summary!$C$11)=0,"",'Dvd Calendar'!$K$115*1000000000+ISNUMBER('Dvd Calendar'!$K$116)*100000000+('Dvd Calendar'!$K$120='Field Check'!$C$25)*10000000+(N('Dvd Calendar'!$K$114)&gt;0)*1000000+8*1000+7))</f>
        <v/>
      </c>
      <c r="J16" s="41">
        <f>IF(N('Dvd Calendar'!$L$115)=0,"",IF(('Dvd Calendar'!$L$115&gt;=MIN(DATE(Summary!$C$12,1,1),Summary!$C$11))*('Dvd Calendar'!$L$115&lt;=MAX(DATE(Summary!$C$12,12,31),Summary!$C$15))*('Dvd Calendar'!$L$115&lt;=Summary!$C$11)=0,"",'Dvd Calendar'!$L$115*1000000000+ISNUMBER('Dvd Calendar'!$L$116)*100000000+('Dvd Calendar'!$L$120='Field Check'!$C$25)*10000000+(N('Dvd Calendar'!$L$114)&gt;0)*1000000+8*1000+8))</f>
        <v/>
      </c>
      <c r="K16" s="41">
        <f>IF(N('Dvd Calendar'!$M$115)=0,"",IF(('Dvd Calendar'!$M$115&gt;=MIN(DATE(Summary!$C$12,1,1),Summary!$C$11))*('Dvd Calendar'!$M$115&lt;=MAX(DATE(Summary!$C$12,12,31),Summary!$C$15))*('Dvd Calendar'!$M$115&lt;=Summary!$C$11)=0,"",'Dvd Calendar'!$M$115*1000000000+ISNUMBER('Dvd Calendar'!$M$116)*100000000+('Dvd Calendar'!$M$120='Field Check'!$C$25)*10000000+(N('Dvd Calendar'!$M$114)&gt;0)*1000000+8*1000+9))</f>
        <v/>
      </c>
      <c r="L16" s="41">
        <f>IF(N('Dvd Calendar'!$N$115)=0,"",IF(('Dvd Calendar'!$N$115&gt;=MIN(DATE(Summary!$C$12,1,1),Summary!$C$11))*('Dvd Calendar'!$N$115&lt;=MAX(DATE(Summary!$C$12,12,31),Summary!$C$15))*('Dvd Calendar'!$N$115&lt;=Summary!$C$11)=0,"",'Dvd Calendar'!$N$115*1000000000+ISNUMBER('Dvd Calendar'!$N$116)*100000000+('Dvd Calendar'!$N$120='Field Check'!$C$25)*10000000+(N('Dvd Calendar'!$N$114)&gt;0)*1000000+8*1000+10))</f>
        <v/>
      </c>
      <c r="M16" s="41">
        <f>IF(N('Dvd Calendar'!$O$115)=0,"",IF(('Dvd Calendar'!$O$115&gt;=MIN(DATE(Summary!$C$12,1,1),Summary!$C$11))*('Dvd Calendar'!$O$115&lt;=MAX(DATE(Summary!$C$12,12,31),Summary!$C$15))*('Dvd Calendar'!$O$115&lt;=Summary!$C$11)=0,"",'Dvd Calendar'!$O$115*1000000000+ISNUMBER('Dvd Calendar'!$O$116)*100000000+('Dvd Calendar'!$O$120='Field Check'!$C$25)*10000000+(N('Dvd Calendar'!$O$114)&gt;0)*1000000+8*1000+11))</f>
        <v/>
      </c>
      <c r="N16" s="41">
        <f>IF(N('Dvd Calendar'!$P$115)=0,"",IF(('Dvd Calendar'!$P$115&gt;=MIN(DATE(Summary!$C$12,1,1),Summary!$C$11))*('Dvd Calendar'!$P$115&lt;=MAX(DATE(Summary!$C$12,12,31),Summary!$C$15))*('Dvd Calendar'!$P$115&lt;=Summary!$C$11)=0,"",'Dvd Calendar'!$P$115*1000000000+ISNUMBER('Dvd Calendar'!$P$116)*100000000+('Dvd Calendar'!$P$120='Field Check'!$C$25)*10000000+(N('Dvd Calendar'!$P$114)&gt;0)*1000000+8*1000+12))</f>
        <v/>
      </c>
      <c r="O16" s="41">
        <f>IF(N('Dvd Calendar'!$Q$115)=0,"",IF(('Dvd Calendar'!$Q$115&gt;=MIN(DATE(Summary!$C$12,1,1),Summary!$C$11))*('Dvd Calendar'!$Q$115&lt;=MAX(DATE(Summary!$C$12,12,31),Summary!$C$15))*('Dvd Calendar'!$Q$115&lt;=Summary!$C$11)=0,"",'Dvd Calendar'!$Q$115*1000000000+ISNUMBER('Dvd Calendar'!$Q$116)*100000000+('Dvd Calendar'!$Q$120='Field Check'!$C$25)*10000000+(N('Dvd Calendar'!$Q$114)&gt;0)*1000000+8*1000+13))</f>
        <v/>
      </c>
      <c r="P16" s="41">
        <f>IF(N('Dvd Calendar'!$R$115)=0,"",IF(('Dvd Calendar'!$R$115&gt;=MIN(DATE(Summary!$C$12,1,1),Summary!$C$11))*('Dvd Calendar'!$R$115&lt;=MAX(DATE(Summary!$C$12,12,31),Summary!$C$15))*('Dvd Calendar'!$R$115&lt;=Summary!$C$11)=0,"",'Dvd Calendar'!$R$115*1000000000+ISNUMBER('Dvd Calendar'!$R$116)*100000000+('Dvd Calendar'!$R$120='Field Check'!$C$25)*10000000+(N('Dvd Calendar'!$R$114)&gt;0)*1000000+8*1000+14))</f>
        <v/>
      </c>
      <c r="Q16" s="41">
        <f>IF(N('Dvd Calendar'!$S$115)=0,"",IF(('Dvd Calendar'!$S$115&gt;=MIN(DATE(Summary!$C$12,1,1),Summary!$C$11))*('Dvd Calendar'!$S$115&lt;=MAX(DATE(Summary!$C$12,12,31),Summary!$C$15))*('Dvd Calendar'!$S$115&lt;=Summary!$C$11)=0,"",'Dvd Calendar'!$S$115*1000000000+ISNUMBER('Dvd Calendar'!$S$116)*100000000+('Dvd Calendar'!$S$120='Field Check'!$C$25)*10000000+(N('Dvd Calendar'!$S$114)&gt;0)*1000000+8*1000+15))</f>
        <v/>
      </c>
      <c r="R16" s="41">
        <f>IF(N('Dvd Calendar'!$T$115)=0,"",IF(('Dvd Calendar'!$T$115&gt;=MIN(DATE(Summary!$C$12,1,1),Summary!$C$11))*('Dvd Calendar'!$T$115&lt;=MAX(DATE(Summary!$C$12,12,31),Summary!$C$15))*('Dvd Calendar'!$T$115&lt;=Summary!$C$11)=0,"",'Dvd Calendar'!$T$115*1000000000+ISNUMBER('Dvd Calendar'!$T$116)*100000000+('Dvd Calendar'!$T$120='Field Check'!$C$25)*10000000+(N('Dvd Calendar'!$T$114)&gt;0)*1000000+8*1000+16))</f>
        <v/>
      </c>
      <c r="S16" s="41">
        <f>IF(N('Dvd Calendar'!$U$115)=0,"",IF(('Dvd Calendar'!$U$115&gt;=MIN(DATE(Summary!$C$12,1,1),Summary!$C$11))*('Dvd Calendar'!$U$115&lt;=MAX(DATE(Summary!$C$12,12,31),Summary!$C$15))*('Dvd Calendar'!$U$115&lt;=Summary!$C$11)=0,"",'Dvd Calendar'!$U$115*1000000000+ISNUMBER('Dvd Calendar'!$U$116)*100000000+('Dvd Calendar'!$U$120='Field Check'!$C$25)*10000000+(N('Dvd Calendar'!$U$114)&gt;0)*1000000+8*1000+17))</f>
        <v/>
      </c>
      <c r="T16" s="41">
        <f>IF(N('Dvd Calendar'!$V$115)=0,"",IF(('Dvd Calendar'!$V$115&gt;=MIN(DATE(Summary!$C$12,1,1),Summary!$C$11))*('Dvd Calendar'!$V$115&lt;=MAX(DATE(Summary!$C$12,12,31),Summary!$C$15))*('Dvd Calendar'!$V$115&lt;=Summary!$C$11)=0,"",'Dvd Calendar'!$V$115*1000000000+ISNUMBER('Dvd Calendar'!$V$116)*100000000+('Dvd Calendar'!$V$120='Field Check'!$C$25)*10000000+(N('Dvd Calendar'!$V$114)&gt;0)*1000000+8*1000+18))</f>
        <v/>
      </c>
      <c r="U16" s="41">
        <f>IF(N('Dvd Calendar'!$W$115)=0,"",IF(('Dvd Calendar'!$W$115&gt;=MIN(DATE(Summary!$C$12,1,1),Summary!$C$11))*('Dvd Calendar'!$W$115&lt;=MAX(DATE(Summary!$C$12,12,31),Summary!$C$15))*('Dvd Calendar'!$W$115&lt;=Summary!$C$11)=0,"",'Dvd Calendar'!$W$115*1000000000+ISNUMBER('Dvd Calendar'!$W$116)*100000000+('Dvd Calendar'!$W$120='Field Check'!$C$25)*10000000+(N('Dvd Calendar'!$W$114)&gt;0)*1000000+8*1000+19))</f>
        <v/>
      </c>
      <c r="V16" s="41">
        <f>IF(N('Dvd Calendar'!$X$115)=0,"",IF(('Dvd Calendar'!$X$115&gt;=MIN(DATE(Summary!$C$12,1,1),Summary!$C$11))*('Dvd Calendar'!$X$115&lt;=MAX(DATE(Summary!$C$12,12,31),Summary!$C$15))*('Dvd Calendar'!$X$115&lt;=Summary!$C$11)=0,"",'Dvd Calendar'!$X$115*1000000000+ISNUMBER('Dvd Calendar'!$X$116)*100000000+('Dvd Calendar'!$X$120='Field Check'!$C$25)*10000000+(N('Dvd Calendar'!$X$114)&gt;0)*1000000+8*1000+20))</f>
        <v/>
      </c>
      <c r="W16" s="41">
        <f>IF(N('Dvd Calendar'!$Y$115)=0,"",IF(('Dvd Calendar'!$Y$115&gt;=MIN(DATE(Summary!$C$12,1,1),Summary!$C$11))*('Dvd Calendar'!$Y$115&lt;=MAX(DATE(Summary!$C$12,12,31),Summary!$C$15))*('Dvd Calendar'!$Y$115&lt;=Summary!$C$11)=0,"",'Dvd Calendar'!$Y$115*1000000000+ISNUMBER('Dvd Calendar'!$Y$116)*100000000+('Dvd Calendar'!$Y$120='Field Check'!$C$25)*10000000+(N('Dvd Calendar'!$Y$114)&gt;0)*1000000+8*1000+21))</f>
        <v/>
      </c>
      <c r="X16" s="41">
        <f>IF(N('Dvd Calendar'!$Z$115)=0,"",IF(('Dvd Calendar'!$Z$115&gt;=MIN(DATE(Summary!$C$12,1,1),Summary!$C$11))*('Dvd Calendar'!$Z$115&lt;=MAX(DATE(Summary!$C$12,12,31),Summary!$C$15))*('Dvd Calendar'!$Z$115&lt;=Summary!$C$11)=0,"",'Dvd Calendar'!$Z$115*1000000000+ISNUMBER('Dvd Calendar'!$Z$116)*100000000+('Dvd Calendar'!$Z$120='Field Check'!$C$25)*10000000+(N('Dvd Calendar'!$Z$114)&gt;0)*1000000+8*1000+22))</f>
        <v/>
      </c>
      <c r="Y16" s="41">
        <f>IF(N('Dvd Calendar'!$AA$115)=0,"",IF(('Dvd Calendar'!$AA$115&gt;=MIN(DATE(Summary!$C$12,1,1),Summary!$C$11))*('Dvd Calendar'!$AA$115&lt;=MAX(DATE(Summary!$C$12,12,31),Summary!$C$15))*('Dvd Calendar'!$AA$115&lt;=Summary!$C$11)=0,"",'Dvd Calendar'!$AA$115*1000000000+ISNUMBER('Dvd Calendar'!$AA$116)*100000000+('Dvd Calendar'!$AA$120='Field Check'!$C$25)*10000000+(N('Dvd Calendar'!$AA$114)&gt;0)*1000000+8*1000+23))</f>
        <v/>
      </c>
      <c r="Z16" s="41">
        <f>IF(N('Dvd Calendar'!$AB$115)=0,"",IF(('Dvd Calendar'!$AB$115&gt;=MIN(DATE(Summary!$C$12,1,1),Summary!$C$11))*('Dvd Calendar'!$AB$115&lt;=MAX(DATE(Summary!$C$12,12,31),Summary!$C$15))*('Dvd Calendar'!$AB$115&lt;=Summary!$C$11)=0,"",'Dvd Calendar'!$AB$115*1000000000+ISNUMBER('Dvd Calendar'!$AB$116)*100000000+('Dvd Calendar'!$AB$120='Field Check'!$C$25)*10000000+(N('Dvd Calendar'!$AB$114)&gt;0)*1000000+8*1000+24))</f>
        <v/>
      </c>
      <c r="AA16" s="41">
        <f>IF(N('Dvd Calendar'!$AC$115)=0,"",IF(('Dvd Calendar'!$AC$115&gt;=MIN(DATE(Summary!$C$12,1,1),Summary!$C$11))*('Dvd Calendar'!$AC$115&lt;=MAX(DATE(Summary!$C$12,12,31),Summary!$C$15))*('Dvd Calendar'!$AC$115&lt;=Summary!$C$11)=0,"",'Dvd Calendar'!$AC$115*1000000000+ISNUMBER('Dvd Calendar'!$AC$116)*100000000+('Dvd Calendar'!$AC$120='Field Check'!$C$25)*10000000+(N('Dvd Calendar'!$AC$114)&gt;0)*1000000+8*1000+25))</f>
        <v/>
      </c>
      <c r="AB16" s="41">
        <f>IF(N('Dvd Calendar'!$AD$115)=0,"",IF(('Dvd Calendar'!$AD$115&gt;=MIN(DATE(Summary!$C$12,1,1),Summary!$C$11))*('Dvd Calendar'!$AD$115&lt;=MAX(DATE(Summary!$C$12,12,31),Summary!$C$15))*('Dvd Calendar'!$AD$115&lt;=Summary!$C$11)=0,"",'Dvd Calendar'!$AD$115*1000000000+ISNUMBER('Dvd Calendar'!$AD$116)*100000000+('Dvd Calendar'!$AD$120='Field Check'!$C$25)*10000000+(N('Dvd Calendar'!$AD$114)&gt;0)*1000000+8*1000+26))</f>
        <v/>
      </c>
      <c r="AC16" s="41">
        <f>IF(N('Dvd Calendar'!$AE$115)=0,"",IF(('Dvd Calendar'!$AE$115&gt;=MIN(DATE(Summary!$C$12,1,1),Summary!$C$11))*('Dvd Calendar'!$AE$115&lt;=MAX(DATE(Summary!$C$12,12,31),Summary!$C$15))*('Dvd Calendar'!$AE$115&lt;=Summary!$C$11)=0,"",'Dvd Calendar'!$AE$115*1000000000+ISNUMBER('Dvd Calendar'!$AE$116)*100000000+('Dvd Calendar'!$AE$120='Field Check'!$C$25)*10000000+(N('Dvd Calendar'!$AE$114)&gt;0)*1000000+8*1000+27))</f>
        <v/>
      </c>
      <c r="AD16" s="41">
        <f>IF(N('Dvd Calendar'!$AF$115)=0,"",IF(('Dvd Calendar'!$AF$115&gt;=MIN(DATE(Summary!$C$12,1,1),Summary!$C$11))*('Dvd Calendar'!$AF$115&lt;=MAX(DATE(Summary!$C$12,12,31),Summary!$C$15))*('Dvd Calendar'!$AF$115&lt;=Summary!$C$11)=0,"",'Dvd Calendar'!$AF$115*1000000000+ISNUMBER('Dvd Calendar'!$AF$116)*100000000+('Dvd Calendar'!$AF$120='Field Check'!$C$25)*10000000+(N('Dvd Calendar'!$AF$114)&gt;0)*1000000+8*1000+28))</f>
        <v/>
      </c>
      <c r="AE16" s="41">
        <f>IF(N('Dvd Calendar'!$AG$115)=0,"",IF(('Dvd Calendar'!$AG$115&gt;=MIN(DATE(Summary!$C$12,1,1),Summary!$C$11))*('Dvd Calendar'!$AG$115&lt;=MAX(DATE(Summary!$C$12,12,31),Summary!$C$15))*('Dvd Calendar'!$AG$115&lt;=Summary!$C$11)=0,"",'Dvd Calendar'!$AG$115*1000000000+ISNUMBER('Dvd Calendar'!$AG$116)*100000000+('Dvd Calendar'!$AG$120='Field Check'!$C$25)*10000000+(N('Dvd Calendar'!$AG$114)&gt;0)*1000000+8*1000+29))</f>
        <v/>
      </c>
      <c r="AF16" s="41">
        <f>IF(N('Dvd Calendar'!$AH$115)=0,"",IF(('Dvd Calendar'!$AH$115&gt;=MIN(DATE(Summary!$C$12,1,1),Summary!$C$11))*('Dvd Calendar'!$AH$115&lt;=MAX(DATE(Summary!$C$12,12,31),Summary!$C$15))*('Dvd Calendar'!$AH$115&lt;=Summary!$C$11)=0,"",'Dvd Calendar'!$AH$115*1000000000+ISNUMBER('Dvd Calendar'!$AH$116)*100000000+('Dvd Calendar'!$AH$120='Field Check'!$C$25)*10000000+(N('Dvd Calendar'!$AH$114)&gt;0)*1000000+8*1000+30))</f>
        <v/>
      </c>
      <c r="AG16" s="41">
        <f>IF(N('Dvd Calendar'!$AI$115)=0,"",IF(('Dvd Calendar'!$AI$115&gt;=MIN(DATE(Summary!$C$12,1,1),Summary!$C$11))*('Dvd Calendar'!$AI$115&lt;=MAX(DATE(Summary!$C$12,12,31),Summary!$C$15))*('Dvd Calendar'!$AI$115&lt;=Summary!$C$11)=0,"",'Dvd Calendar'!$AI$115*1000000000+ISNUMBER('Dvd Calendar'!$AI$116)*100000000+('Dvd Calendar'!$AI$120='Field Check'!$C$25)*10000000+(N('Dvd Calendar'!$AI$114)&gt;0)*1000000+8*1000+31))</f>
        <v/>
      </c>
      <c r="AH16" s="41">
        <f>IF(N('Dvd Calendar'!$AJ$115)=0,"",IF(('Dvd Calendar'!$AJ$115&gt;=MIN(DATE(Summary!$C$12,1,1),Summary!$C$11))*('Dvd Calendar'!$AJ$115&lt;=MAX(DATE(Summary!$C$12,12,31),Summary!$C$15))*('Dvd Calendar'!$AJ$115&lt;=Summary!$C$11)=0,"",'Dvd Calendar'!$AJ$115*1000000000+ISNUMBER('Dvd Calendar'!$AJ$116)*100000000+('Dvd Calendar'!$AJ$120='Field Check'!$C$25)*10000000+(N('Dvd Calendar'!$AJ$114)&gt;0)*1000000+8*1000+32))</f>
        <v/>
      </c>
      <c r="AI16" s="41">
        <f>IF(N('Dvd Calendar'!$AK$115)=0,"",IF(('Dvd Calendar'!$AK$115&gt;=MIN(DATE(Summary!$C$12,1,1),Summary!$C$11))*('Dvd Calendar'!$AK$115&lt;=MAX(DATE(Summary!$C$12,12,31),Summary!$C$15))*('Dvd Calendar'!$AK$115&lt;=Summary!$C$11)=0,"",'Dvd Calendar'!$AK$115*1000000000+ISNUMBER('Dvd Calendar'!$AK$116)*100000000+('Dvd Calendar'!$AK$120='Field Check'!$C$25)*10000000+(N('Dvd Calendar'!$AK$114)&gt;0)*1000000+8*1000+33))</f>
        <v/>
      </c>
      <c r="AJ16" s="41">
        <f>IF(N('Dvd Calendar'!$AL$115)=0,"",IF(('Dvd Calendar'!$AL$115&gt;=MIN(DATE(Summary!$C$12,1,1),Summary!$C$11))*('Dvd Calendar'!$AL$115&lt;=MAX(DATE(Summary!$C$12,12,31),Summary!$C$15))*('Dvd Calendar'!$AL$115&lt;=Summary!$C$11)=0,"",'Dvd Calendar'!$AL$115*1000000000+ISNUMBER('Dvd Calendar'!$AL$116)*100000000+('Dvd Calendar'!$AL$120='Field Check'!$C$25)*10000000+(N('Dvd Calendar'!$AL$114)&gt;0)*1000000+8*1000+34))</f>
        <v/>
      </c>
      <c r="AK16" s="41">
        <f>IF(N('Dvd Calendar'!$AM$115)=0,"",IF(('Dvd Calendar'!$AM$115&gt;=MIN(DATE(Summary!$C$12,1,1),Summary!$C$11))*('Dvd Calendar'!$AM$115&lt;=MAX(DATE(Summary!$C$12,12,31),Summary!$C$15))*('Dvd Calendar'!$AM$115&lt;=Summary!$C$11)=0,"",'Dvd Calendar'!$AM$115*1000000000+ISNUMBER('Dvd Calendar'!$AM$116)*100000000+('Dvd Calendar'!$AM$120='Field Check'!$C$25)*10000000+(N('Dvd Calendar'!$AM$114)&gt;0)*1000000+8*1000+35))</f>
        <v/>
      </c>
      <c r="AL16" s="41">
        <f>IF(N('Dvd Calendar'!$AN$115)=0,"",IF(('Dvd Calendar'!$AN$115&gt;=MIN(DATE(Summary!$C$12,1,1),Summary!$C$11))*('Dvd Calendar'!$AN$115&lt;=MAX(DATE(Summary!$C$12,12,31),Summary!$C$15))*('Dvd Calendar'!$AN$115&lt;=Summary!$C$11)=0,"",'Dvd Calendar'!$AN$115*1000000000+ISNUMBER('Dvd Calendar'!$AN$116)*100000000+('Dvd Calendar'!$AN$120='Field Check'!$C$25)*10000000+(N('Dvd Calendar'!$AN$114)&gt;0)*1000000+8*1000+36))</f>
        <v/>
      </c>
      <c r="AM16" s="41">
        <f>IF(N('Dvd Calendar'!$AO$115)=0,"",IF(('Dvd Calendar'!$AO$115&gt;=MIN(DATE(Summary!$C$12,1,1),Summary!$C$11))*('Dvd Calendar'!$AO$115&lt;=MAX(DATE(Summary!$C$12,12,31),Summary!$C$15))*('Dvd Calendar'!$AO$115&lt;=Summary!$C$11)=0,"",'Dvd Calendar'!$AO$115*1000000000+ISNUMBER('Dvd Calendar'!$AO$116)*100000000+('Dvd Calendar'!$AO$120='Field Check'!$C$25)*10000000+(N('Dvd Calendar'!$AO$114)&gt;0)*1000000+8*1000+37))</f>
        <v/>
      </c>
      <c r="AN16" s="41">
        <f>IF(N('Dvd Calendar'!$AP$115)=0,"",IF(('Dvd Calendar'!$AP$115&gt;=MIN(DATE(Summary!$C$12,1,1),Summary!$C$11))*('Dvd Calendar'!$AP$115&lt;=MAX(DATE(Summary!$C$12,12,31),Summary!$C$15))*('Dvd Calendar'!$AP$115&lt;=Summary!$C$11)=0,"",'Dvd Calendar'!$AP$115*1000000000+ISNUMBER('Dvd Calendar'!$AP$116)*100000000+('Dvd Calendar'!$AP$120='Field Check'!$C$25)*10000000+(N('Dvd Calendar'!$AP$114)&gt;0)*1000000+8*1000+38))</f>
        <v/>
      </c>
      <c r="AO16" s="41">
        <f>IF(N('Dvd Calendar'!$AQ$115)=0,"",IF(('Dvd Calendar'!$AQ$115&gt;=MIN(DATE(Summary!$C$12,1,1),Summary!$C$11))*('Dvd Calendar'!$AQ$115&lt;=MAX(DATE(Summary!$C$12,12,31),Summary!$C$15))*('Dvd Calendar'!$AQ$115&lt;=Summary!$C$11)=0,"",'Dvd Calendar'!$AQ$115*1000000000+ISNUMBER('Dvd Calendar'!$AQ$116)*100000000+('Dvd Calendar'!$AQ$120='Field Check'!$C$25)*10000000+(N('Dvd Calendar'!$AQ$114)&gt;0)*1000000+8*1000+39))</f>
        <v/>
      </c>
      <c r="AP16" s="41">
        <f>IF(N('Dvd Calendar'!$AR$115)=0,"",IF(('Dvd Calendar'!$AR$115&gt;=MIN(DATE(Summary!$C$12,1,1),Summary!$C$11))*('Dvd Calendar'!$AR$115&lt;=MAX(DATE(Summary!$C$12,12,31),Summary!$C$15))*('Dvd Calendar'!$AR$115&lt;=Summary!$C$11)=0,"",'Dvd Calendar'!$AR$115*1000000000+ISNUMBER('Dvd Calendar'!$AR$116)*100000000+('Dvd Calendar'!$AR$120='Field Check'!$C$25)*10000000+(N('Dvd Calendar'!$AR$114)&gt;0)*1000000+8*1000+40))</f>
        <v/>
      </c>
      <c r="AQ16" s="41">
        <f>IF(N('Dvd Calendar'!$E$122)=0,"",IF(('Dvd Calendar'!$E$122&gt;=MIN(DATE(Summary!$C$12,1,1),Summary!$C$11))*('Dvd Calendar'!$E$122&lt;=MAX(DATE(Summary!$C$12,12,31),Summary!$C$15))*('Dvd Calendar'!$E$122&gt;Summary!$C$11)=0,"",'Dvd Calendar'!$E$122*1000000000+ISNUMBER('Dvd Calendar'!$E$123)*100000000+('Dvd Calendar'!$E$127='Field Check'!$C$25)*10000000+(N('Dvd Calendar'!$E$121)&gt;0)*1000000+8*1000+41))</f>
        <v/>
      </c>
      <c r="AR16" s="41">
        <f>IF(N('Dvd Calendar'!$F$122)=0,"",IF(('Dvd Calendar'!$F$122&gt;=MIN(DATE(Summary!$C$12,1,1),Summary!$C$11))*('Dvd Calendar'!$F$122&lt;=MAX(DATE(Summary!$C$12,12,31),Summary!$C$15))*('Dvd Calendar'!$F$122&gt;Summary!$C$11)=0,"",'Dvd Calendar'!$F$122*1000000000+ISNUMBER('Dvd Calendar'!$F$123)*100000000+('Dvd Calendar'!$F$127='Field Check'!$C$25)*10000000+(N('Dvd Calendar'!$F$121)&gt;0)*1000000+8*1000+42))</f>
        <v/>
      </c>
      <c r="AS16" s="41">
        <f>IF(N('Dvd Calendar'!$G$122)=0,"",IF(('Dvd Calendar'!$G$122&gt;=MIN(DATE(Summary!$C$12,1,1),Summary!$C$11))*('Dvd Calendar'!$G$122&lt;=MAX(DATE(Summary!$C$12,12,31),Summary!$C$15))*('Dvd Calendar'!$G$122&gt;Summary!$C$11)=0,"",'Dvd Calendar'!$G$122*1000000000+ISNUMBER('Dvd Calendar'!$G$123)*100000000+('Dvd Calendar'!$G$127='Field Check'!$C$25)*10000000+(N('Dvd Calendar'!$G$121)&gt;0)*1000000+8*1000+43))</f>
        <v/>
      </c>
      <c r="AT16" s="41">
        <f>IF(N('Dvd Calendar'!$H$122)=0,"",IF(('Dvd Calendar'!$H$122&gt;=MIN(DATE(Summary!$C$12,1,1),Summary!$C$11))*('Dvd Calendar'!$H$122&lt;=MAX(DATE(Summary!$C$12,12,31),Summary!$C$15))*('Dvd Calendar'!$H$122&gt;Summary!$C$11)=0,"",'Dvd Calendar'!$H$122*1000000000+ISNUMBER('Dvd Calendar'!$H$123)*100000000+('Dvd Calendar'!$H$127='Field Check'!$C$25)*10000000+(N('Dvd Calendar'!$H$121)&gt;0)*1000000+8*1000+44))</f>
        <v/>
      </c>
      <c r="AU16" s="41">
        <f>IF(N('Dvd Calendar'!$I$122)=0,"",IF(('Dvd Calendar'!$I$122&gt;=MIN(DATE(Summary!$C$12,1,1),Summary!$C$11))*('Dvd Calendar'!$I$122&lt;=MAX(DATE(Summary!$C$12,12,31),Summary!$C$15))*('Dvd Calendar'!$I$122&gt;Summary!$C$11)=0,"",'Dvd Calendar'!$I$122*1000000000+ISNUMBER('Dvd Calendar'!$I$123)*100000000+('Dvd Calendar'!$I$127='Field Check'!$C$25)*10000000+(N('Dvd Calendar'!$I$121)&gt;0)*1000000+8*1000+45))</f>
        <v/>
      </c>
      <c r="AV16" s="41">
        <f>IF(N('Dvd Calendar'!$J$122)=0,"",IF(('Dvd Calendar'!$J$122&gt;=MIN(DATE(Summary!$C$12,1,1),Summary!$C$11))*('Dvd Calendar'!$J$122&lt;=MAX(DATE(Summary!$C$12,12,31),Summary!$C$15))*('Dvd Calendar'!$J$122&gt;Summary!$C$11)=0,"",'Dvd Calendar'!$J$122*1000000000+ISNUMBER('Dvd Calendar'!$J$123)*100000000+('Dvd Calendar'!$J$127='Field Check'!$C$25)*10000000+(N('Dvd Calendar'!$J$121)&gt;0)*1000000+8*1000+46))</f>
        <v/>
      </c>
      <c r="AW16" s="41">
        <f>IF(N('Dvd Calendar'!$K$122)=0,"",IF(('Dvd Calendar'!$K$122&gt;=MIN(DATE(Summary!$C$12,1,1),Summary!$C$11))*('Dvd Calendar'!$K$122&lt;=MAX(DATE(Summary!$C$12,12,31),Summary!$C$15))*('Dvd Calendar'!$K$122&gt;Summary!$C$11)=0,"",'Dvd Calendar'!$K$122*1000000000+ISNUMBER('Dvd Calendar'!$K$123)*100000000+('Dvd Calendar'!$K$127='Field Check'!$C$25)*10000000+(N('Dvd Calendar'!$K$121)&gt;0)*1000000+8*1000+47))</f>
        <v/>
      </c>
      <c r="AX16" s="41">
        <f>IF(N('Dvd Calendar'!$L$122)=0,"",IF(('Dvd Calendar'!$L$122&gt;=MIN(DATE(Summary!$C$12,1,1),Summary!$C$11))*('Dvd Calendar'!$L$122&lt;=MAX(DATE(Summary!$C$12,12,31),Summary!$C$15))*('Dvd Calendar'!$L$122&gt;Summary!$C$11)=0,"",'Dvd Calendar'!$L$122*1000000000+ISNUMBER('Dvd Calendar'!$L$123)*100000000+('Dvd Calendar'!$L$127='Field Check'!$C$25)*10000000+(N('Dvd Calendar'!$L$121)&gt;0)*1000000+8*1000+48))</f>
        <v/>
      </c>
      <c r="AY16" s="41">
        <f>IF(N('Dvd Calendar'!$M$122)=0,"",IF(('Dvd Calendar'!$M$122&gt;=MIN(DATE(Summary!$C$12,1,1),Summary!$C$11))*('Dvd Calendar'!$M$122&lt;=MAX(DATE(Summary!$C$12,12,31),Summary!$C$15))*('Dvd Calendar'!$M$122&gt;Summary!$C$11)=0,"",'Dvd Calendar'!$M$122*1000000000+ISNUMBER('Dvd Calendar'!$M$123)*100000000+('Dvd Calendar'!$M$127='Field Check'!$C$25)*10000000+(N('Dvd Calendar'!$M$121)&gt;0)*1000000+8*1000+49))</f>
        <v/>
      </c>
      <c r="AZ16" s="41">
        <f>IF(N('Dvd Calendar'!$N$122)=0,"",IF(('Dvd Calendar'!$N$122&gt;=MIN(DATE(Summary!$C$12,1,1),Summary!$C$11))*('Dvd Calendar'!$N$122&lt;=MAX(DATE(Summary!$C$12,12,31),Summary!$C$15))*('Dvd Calendar'!$N$122&gt;Summary!$C$11)=0,"",'Dvd Calendar'!$N$122*1000000000+ISNUMBER('Dvd Calendar'!$N$123)*100000000+('Dvd Calendar'!$N$127='Field Check'!$C$25)*10000000+(N('Dvd Calendar'!$N$121)&gt;0)*1000000+8*1000+50))</f>
        <v/>
      </c>
      <c r="BA16" s="41">
        <f>IF(N('Dvd Calendar'!$O$122)=0,"",IF(('Dvd Calendar'!$O$122&gt;=MIN(DATE(Summary!$C$12,1,1),Summary!$C$11))*('Dvd Calendar'!$O$122&lt;=MAX(DATE(Summary!$C$12,12,31),Summary!$C$15))*('Dvd Calendar'!$O$122&gt;Summary!$C$11)=0,"",'Dvd Calendar'!$O$122*1000000000+ISNUMBER('Dvd Calendar'!$O$123)*100000000+('Dvd Calendar'!$O$127='Field Check'!$C$25)*10000000+(N('Dvd Calendar'!$O$121)&gt;0)*1000000+8*1000+51))</f>
        <v/>
      </c>
      <c r="BB16" s="41">
        <f>IF(N('Dvd Calendar'!$P$122)=0,"",IF(('Dvd Calendar'!$P$122&gt;=MIN(DATE(Summary!$C$12,1,1),Summary!$C$11))*('Dvd Calendar'!$P$122&lt;=MAX(DATE(Summary!$C$12,12,31),Summary!$C$15))*('Dvd Calendar'!$P$122&gt;Summary!$C$11)=0,"",'Dvd Calendar'!$P$122*1000000000+ISNUMBER('Dvd Calendar'!$P$123)*100000000+('Dvd Calendar'!$P$127='Field Check'!$C$25)*10000000+(N('Dvd Calendar'!$P$121)&gt;0)*1000000+8*1000+52))</f>
        <v/>
      </c>
      <c r="BC16" s="41">
        <f>IF(N('Dvd Calendar'!$Q$122)=0,"",IF(('Dvd Calendar'!$Q$122&gt;=MIN(DATE(Summary!$C$12,1,1),Summary!$C$11))*('Dvd Calendar'!$Q$122&lt;=MAX(DATE(Summary!$C$12,12,31),Summary!$C$15))*('Dvd Calendar'!$Q$122&gt;Summary!$C$11)=0,"",'Dvd Calendar'!$Q$122*1000000000+ISNUMBER('Dvd Calendar'!$Q$123)*100000000+('Dvd Calendar'!$Q$127='Field Check'!$C$25)*10000000+(N('Dvd Calendar'!$Q$121)&gt;0)*1000000+8*1000+53))</f>
        <v/>
      </c>
      <c r="BD16" s="41">
        <f>IF(N('Dvd Calendar'!$R$122)=0,"",IF(('Dvd Calendar'!$R$122&gt;=MIN(DATE(Summary!$C$12,1,1),Summary!$C$11))*('Dvd Calendar'!$R$122&lt;=MAX(DATE(Summary!$C$12,12,31),Summary!$C$15))*('Dvd Calendar'!$R$122&gt;Summary!$C$11)=0,"",'Dvd Calendar'!$R$122*1000000000+ISNUMBER('Dvd Calendar'!$R$123)*100000000+('Dvd Calendar'!$R$127='Field Check'!$C$25)*10000000+(N('Dvd Calendar'!$R$121)&gt;0)*1000000+8*1000+54))</f>
        <v/>
      </c>
      <c r="BE16" s="41">
        <f>IF(N('Dvd Calendar'!$S$122)=0,"",IF(('Dvd Calendar'!$S$122&gt;=MIN(DATE(Summary!$C$12,1,1),Summary!$C$11))*('Dvd Calendar'!$S$122&lt;=MAX(DATE(Summary!$C$12,12,31),Summary!$C$15))*('Dvd Calendar'!$S$122&gt;Summary!$C$11)=0,"",'Dvd Calendar'!$S$122*1000000000+ISNUMBER('Dvd Calendar'!$S$123)*100000000+('Dvd Calendar'!$S$127='Field Check'!$C$25)*10000000+(N('Dvd Calendar'!$S$121)&gt;0)*1000000+8*1000+55))</f>
        <v/>
      </c>
      <c r="BF16" s="41">
        <f>IF(N('Dvd Calendar'!$T$122)=0,"",IF(('Dvd Calendar'!$T$122&gt;=MIN(DATE(Summary!$C$12,1,1),Summary!$C$11))*('Dvd Calendar'!$T$122&lt;=MAX(DATE(Summary!$C$12,12,31),Summary!$C$15))*('Dvd Calendar'!$T$122&gt;Summary!$C$11)=0,"",'Dvd Calendar'!$T$122*1000000000+ISNUMBER('Dvd Calendar'!$T$123)*100000000+('Dvd Calendar'!$T$127='Field Check'!$C$25)*10000000+(N('Dvd Calendar'!$T$121)&gt;0)*1000000+8*1000+56))</f>
        <v/>
      </c>
      <c r="BG16" s="41">
        <f>IF(N('Dvd Calendar'!$U$122)=0,"",IF(('Dvd Calendar'!$U$122&gt;=MIN(DATE(Summary!$C$12,1,1),Summary!$C$11))*('Dvd Calendar'!$U$122&lt;=MAX(DATE(Summary!$C$12,12,31),Summary!$C$15))*('Dvd Calendar'!$U$122&gt;Summary!$C$11)=0,"",'Dvd Calendar'!$U$122*1000000000+ISNUMBER('Dvd Calendar'!$U$123)*100000000+('Dvd Calendar'!$U$127='Field Check'!$C$25)*10000000+(N('Dvd Calendar'!$U$121)&gt;0)*1000000+8*1000+57))</f>
        <v/>
      </c>
      <c r="BH16" s="41">
        <f>IF(N('Dvd Calendar'!$V$122)=0,"",IF(('Dvd Calendar'!$V$122&gt;=MIN(DATE(Summary!$C$12,1,1),Summary!$C$11))*('Dvd Calendar'!$V$122&lt;=MAX(DATE(Summary!$C$12,12,31),Summary!$C$15))*('Dvd Calendar'!$V$122&gt;Summary!$C$11)=0,"",'Dvd Calendar'!$V$122*1000000000+ISNUMBER('Dvd Calendar'!$V$123)*100000000+('Dvd Calendar'!$V$127='Field Check'!$C$25)*10000000+(N('Dvd Calendar'!$V$121)&gt;0)*1000000+8*1000+58))</f>
        <v/>
      </c>
      <c r="BI16" s="41">
        <f>IF(N('Dvd Calendar'!$W$122)=0,"",IF(('Dvd Calendar'!$W$122&gt;=MIN(DATE(Summary!$C$12,1,1),Summary!$C$11))*('Dvd Calendar'!$W$122&lt;=MAX(DATE(Summary!$C$12,12,31),Summary!$C$15))*('Dvd Calendar'!$W$122&gt;Summary!$C$11)=0,"",'Dvd Calendar'!$W$122*1000000000+ISNUMBER('Dvd Calendar'!$W$123)*100000000+('Dvd Calendar'!$W$127='Field Check'!$C$25)*10000000+(N('Dvd Calendar'!$W$121)&gt;0)*1000000+8*1000+59))</f>
        <v/>
      </c>
      <c r="BJ16" s="41">
        <f>IF(N('Dvd Calendar'!$X$122)=0,"",IF(('Dvd Calendar'!$X$122&gt;=MIN(DATE(Summary!$C$12,1,1),Summary!$C$11))*('Dvd Calendar'!$X$122&lt;=MAX(DATE(Summary!$C$12,12,31),Summary!$C$15))*('Dvd Calendar'!$X$122&gt;Summary!$C$11)=0,"",'Dvd Calendar'!$X$122*1000000000+ISNUMBER('Dvd Calendar'!$X$123)*100000000+('Dvd Calendar'!$X$127='Field Check'!$C$25)*10000000+(N('Dvd Calendar'!$X$121)&gt;0)*1000000+8*1000+60))</f>
        <v/>
      </c>
      <c r="BK16" s="41">
        <f>IF(N('Dvd Calendar'!$Y$122)=0,"",IF(('Dvd Calendar'!$Y$122&gt;=MIN(DATE(Summary!$C$12,1,1),Summary!$C$11))*('Dvd Calendar'!$Y$122&lt;=MAX(DATE(Summary!$C$12,12,31),Summary!$C$15))*('Dvd Calendar'!$Y$122&gt;Summary!$C$11)=0,"",'Dvd Calendar'!$Y$122*1000000000+ISNUMBER('Dvd Calendar'!$Y$123)*100000000+('Dvd Calendar'!$Y$127='Field Check'!$C$25)*10000000+(N('Dvd Calendar'!$Y$121)&gt;0)*1000000+8*1000+61))</f>
        <v/>
      </c>
      <c r="BL16" s="41">
        <f>IF(N('Dvd Calendar'!$Z$122)=0,"",IF(('Dvd Calendar'!$Z$122&gt;=MIN(DATE(Summary!$C$12,1,1),Summary!$C$11))*('Dvd Calendar'!$Z$122&lt;=MAX(DATE(Summary!$C$12,12,31),Summary!$C$15))*('Dvd Calendar'!$Z$122&gt;Summary!$C$11)=0,"",'Dvd Calendar'!$Z$122*1000000000+ISNUMBER('Dvd Calendar'!$Z$123)*100000000+('Dvd Calendar'!$Z$127='Field Check'!$C$25)*10000000+(N('Dvd Calendar'!$Z$121)&gt;0)*1000000+8*1000+62))</f>
        <v/>
      </c>
      <c r="BM16" s="41">
        <f>IF(N('Dvd Calendar'!$AA$122)=0,"",IF(('Dvd Calendar'!$AA$122&gt;=MIN(DATE(Summary!$C$12,1,1),Summary!$C$11))*('Dvd Calendar'!$AA$122&lt;=MAX(DATE(Summary!$C$12,12,31),Summary!$C$15))*('Dvd Calendar'!$AA$122&gt;Summary!$C$11)=0,"",'Dvd Calendar'!$AA$122*1000000000+ISNUMBER('Dvd Calendar'!$AA$123)*100000000+('Dvd Calendar'!$AA$127='Field Check'!$C$25)*10000000+(N('Dvd Calendar'!$AA$121)&gt;0)*1000000+8*1000+63))</f>
        <v/>
      </c>
      <c r="BN16" s="41">
        <f>IF(N('Dvd Calendar'!$AB$122)=0,"",IF(('Dvd Calendar'!$AB$122&gt;=MIN(DATE(Summary!$C$12,1,1),Summary!$C$11))*('Dvd Calendar'!$AB$122&lt;=MAX(DATE(Summary!$C$12,12,31),Summary!$C$15))*('Dvd Calendar'!$AB$122&gt;Summary!$C$11)=0,"",'Dvd Calendar'!$AB$122*1000000000+ISNUMBER('Dvd Calendar'!$AB$123)*100000000+('Dvd Calendar'!$AB$127='Field Check'!$C$25)*10000000+(N('Dvd Calendar'!$AB$121)&gt;0)*1000000+8*1000+64))</f>
        <v/>
      </c>
      <c r="BO16" s="41">
        <f>IF(N('Dvd Calendar'!$AC$122)=0,"",IF(('Dvd Calendar'!$AC$122&gt;=MIN(DATE(Summary!$C$12,1,1),Summary!$C$11))*('Dvd Calendar'!$AC$122&lt;=MAX(DATE(Summary!$C$12,12,31),Summary!$C$15))*('Dvd Calendar'!$AC$122&gt;Summary!$C$11)=0,"",'Dvd Calendar'!$AC$122*1000000000+ISNUMBER('Dvd Calendar'!$AC$123)*100000000+('Dvd Calendar'!$AC$127='Field Check'!$C$25)*10000000+(N('Dvd Calendar'!$AC$121)&gt;0)*1000000+8*1000+65))</f>
        <v/>
      </c>
      <c r="BQ16" s="85">
        <f>IF(C16="","",IF(ISNUMBER('Dvd Calendar'!$E$116)=FALSE,"",IF((Summary!$C$13="N")*('Dvd Calendar'!$E$120='Field Check'!$C$25)&gt;0,"",'Dvd Calendar'!$E$116)))</f>
        <v/>
      </c>
      <c r="BR16" s="85">
        <f>IF(D16="","",IF(ISNUMBER('Dvd Calendar'!$F$116)=FALSE,"",IF((Summary!$C$13="N")*('Dvd Calendar'!$F$120='Field Check'!$C$25)&gt;0,"",'Dvd Calendar'!$F$116)))</f>
        <v/>
      </c>
      <c r="BS16" s="85">
        <f>IF(E16="","",IF(ISNUMBER('Dvd Calendar'!$G$116)=FALSE,"",IF((Summary!$C$13="N")*('Dvd Calendar'!$G$120='Field Check'!$C$25)&gt;0,"",'Dvd Calendar'!$G$116)))</f>
        <v/>
      </c>
      <c r="BT16" s="85">
        <f>IF(F16="","",IF(ISNUMBER('Dvd Calendar'!$H$116)=FALSE,"",IF((Summary!$C$13="N")*('Dvd Calendar'!$H$120='Field Check'!$C$25)&gt;0,"",'Dvd Calendar'!$H$116)))</f>
        <v/>
      </c>
      <c r="BU16" s="85">
        <f>IF(G16="","",IF(ISNUMBER('Dvd Calendar'!$I$116)=FALSE,"",IF((Summary!$C$13="N")*('Dvd Calendar'!$I$120='Field Check'!$C$25)&gt;0,"",'Dvd Calendar'!$I$116)))</f>
        <v/>
      </c>
      <c r="BV16" s="85">
        <f>IF(H16="","",IF(ISNUMBER('Dvd Calendar'!$J$116)=FALSE,"",IF((Summary!$C$13="N")*('Dvd Calendar'!$J$120='Field Check'!$C$25)&gt;0,"",'Dvd Calendar'!$J$116)))</f>
        <v/>
      </c>
      <c r="BW16" s="85">
        <f>IF(I16="","",IF(ISNUMBER('Dvd Calendar'!$K$116)=FALSE,"",IF((Summary!$C$13="N")*('Dvd Calendar'!$K$120='Field Check'!$C$25)&gt;0,"",'Dvd Calendar'!$K$116)))</f>
        <v/>
      </c>
      <c r="BX16" s="85">
        <f>IF(J16="","",IF(ISNUMBER('Dvd Calendar'!$L$116)=FALSE,"",IF((Summary!$C$13="N")*('Dvd Calendar'!$L$120='Field Check'!$C$25)&gt;0,"",'Dvd Calendar'!$L$116)))</f>
        <v/>
      </c>
      <c r="BY16" s="85">
        <f>IF(K16="","",IF(ISNUMBER('Dvd Calendar'!$M$116)=FALSE,"",IF((Summary!$C$13="N")*('Dvd Calendar'!$M$120='Field Check'!$C$25)&gt;0,"",'Dvd Calendar'!$M$116)))</f>
        <v/>
      </c>
      <c r="BZ16" s="85">
        <f>IF(L16="","",IF(ISNUMBER('Dvd Calendar'!$N$116)=FALSE,"",IF((Summary!$C$13="N")*('Dvd Calendar'!$N$120='Field Check'!$C$25)&gt;0,"",'Dvd Calendar'!$N$116)))</f>
        <v/>
      </c>
      <c r="CA16" s="85">
        <f>IF(M16="","",IF(ISNUMBER('Dvd Calendar'!$O$116)=FALSE,"",IF((Summary!$C$13="N")*('Dvd Calendar'!$O$120='Field Check'!$C$25)&gt;0,"",'Dvd Calendar'!$O$116)))</f>
        <v/>
      </c>
      <c r="CB16" s="85">
        <f>IF(N16="","",IF(ISNUMBER('Dvd Calendar'!$P$116)=FALSE,"",IF((Summary!$C$13="N")*('Dvd Calendar'!$P$120='Field Check'!$C$25)&gt;0,"",'Dvd Calendar'!$P$116)))</f>
        <v/>
      </c>
      <c r="CC16" s="85">
        <f>IF(O16="","",IF(ISNUMBER('Dvd Calendar'!$Q$116)=FALSE,"",IF((Summary!$C$13="N")*('Dvd Calendar'!$Q$120='Field Check'!$C$25)&gt;0,"",'Dvd Calendar'!$Q$116)))</f>
        <v/>
      </c>
      <c r="CD16" s="85">
        <f>IF(P16="","",IF(ISNUMBER('Dvd Calendar'!$R$116)=FALSE,"",IF((Summary!$C$13="N")*('Dvd Calendar'!$R$120='Field Check'!$C$25)&gt;0,"",'Dvd Calendar'!$R$116)))</f>
        <v/>
      </c>
      <c r="CE16" s="85">
        <f>IF(Q16="","",IF(ISNUMBER('Dvd Calendar'!$S$116)=FALSE,"",IF((Summary!$C$13="N")*('Dvd Calendar'!$S$120='Field Check'!$C$25)&gt;0,"",'Dvd Calendar'!$S$116)))</f>
        <v/>
      </c>
      <c r="CF16" s="85">
        <f>IF(R16="","",IF(ISNUMBER('Dvd Calendar'!$T$116)=FALSE,"",IF((Summary!$C$13="N")*('Dvd Calendar'!$T$120='Field Check'!$C$25)&gt;0,"",'Dvd Calendar'!$T$116)))</f>
        <v/>
      </c>
      <c r="CG16" s="85">
        <f>IF(S16="","",IF(ISNUMBER('Dvd Calendar'!$U$116)=FALSE,"",IF((Summary!$C$13="N")*('Dvd Calendar'!$U$120='Field Check'!$C$25)&gt;0,"",'Dvd Calendar'!$U$116)))</f>
        <v/>
      </c>
      <c r="CH16" s="85">
        <f>IF(T16="","",IF(ISNUMBER('Dvd Calendar'!$V$116)=FALSE,"",IF((Summary!$C$13="N")*('Dvd Calendar'!$V$120='Field Check'!$C$25)&gt;0,"",'Dvd Calendar'!$V$116)))</f>
        <v/>
      </c>
      <c r="CI16" s="85">
        <f>IF(U16="","",IF(ISNUMBER('Dvd Calendar'!$W$116)=FALSE,"",IF((Summary!$C$13="N")*('Dvd Calendar'!$W$120='Field Check'!$C$25)&gt;0,"",'Dvd Calendar'!$W$116)))</f>
        <v/>
      </c>
      <c r="CJ16" s="85">
        <f>IF(V16="","",IF(ISNUMBER('Dvd Calendar'!$X$116)=FALSE,"",IF((Summary!$C$13="N")*('Dvd Calendar'!$X$120='Field Check'!$C$25)&gt;0,"",'Dvd Calendar'!$X$116)))</f>
        <v/>
      </c>
      <c r="CK16" s="85">
        <f>IF(W16="","",IF(ISNUMBER('Dvd Calendar'!$Y$116)=FALSE,"",IF((Summary!$C$13="N")*('Dvd Calendar'!$Y$120='Field Check'!$C$25)&gt;0,"",'Dvd Calendar'!$Y$116)))</f>
        <v/>
      </c>
      <c r="CL16" s="85">
        <f>IF(X16="","",IF(ISNUMBER('Dvd Calendar'!$Z$116)=FALSE,"",IF((Summary!$C$13="N")*('Dvd Calendar'!$Z$120='Field Check'!$C$25)&gt;0,"",'Dvd Calendar'!$Z$116)))</f>
        <v/>
      </c>
      <c r="CM16" s="85">
        <f>IF(Y16="","",IF(ISNUMBER('Dvd Calendar'!$AA$116)=FALSE,"",IF((Summary!$C$13="N")*('Dvd Calendar'!$AA$120='Field Check'!$C$25)&gt;0,"",'Dvd Calendar'!$AA$116)))</f>
        <v/>
      </c>
      <c r="CN16" s="85">
        <f>IF(Z16="","",IF(ISNUMBER('Dvd Calendar'!$AB$116)=FALSE,"",IF((Summary!$C$13="N")*('Dvd Calendar'!$AB$120='Field Check'!$C$25)&gt;0,"",'Dvd Calendar'!$AB$116)))</f>
        <v/>
      </c>
      <c r="CO16" s="85">
        <f>IF(AA16="","",IF(ISNUMBER('Dvd Calendar'!$AC$116)=FALSE,"",IF((Summary!$C$13="N")*('Dvd Calendar'!$AC$120='Field Check'!$C$25)&gt;0,"",'Dvd Calendar'!$AC$116)))</f>
        <v/>
      </c>
      <c r="CP16" s="85">
        <f>IF(AB16="","",IF(ISNUMBER('Dvd Calendar'!$AD$116)=FALSE,"",IF((Summary!$C$13="N")*('Dvd Calendar'!$AD$120='Field Check'!$C$25)&gt;0,"",'Dvd Calendar'!$AD$116)))</f>
        <v/>
      </c>
      <c r="CQ16" s="85">
        <f>IF(AC16="","",IF(ISNUMBER('Dvd Calendar'!$AE$116)=FALSE,"",IF((Summary!$C$13="N")*('Dvd Calendar'!$AE$120='Field Check'!$C$25)&gt;0,"",'Dvd Calendar'!$AE$116)))</f>
        <v/>
      </c>
      <c r="CR16" s="85">
        <f>IF(AD16="","",IF(ISNUMBER('Dvd Calendar'!$AF$116)=FALSE,"",IF((Summary!$C$13="N")*('Dvd Calendar'!$AF$120='Field Check'!$C$25)&gt;0,"",'Dvd Calendar'!$AF$116)))</f>
        <v/>
      </c>
      <c r="CS16" s="85">
        <f>IF(AE16="","",IF(ISNUMBER('Dvd Calendar'!$AG$116)=FALSE,"",IF((Summary!$C$13="N")*('Dvd Calendar'!$AG$120='Field Check'!$C$25)&gt;0,"",'Dvd Calendar'!$AG$116)))</f>
        <v/>
      </c>
      <c r="CT16" s="85">
        <f>IF(AF16="","",IF(ISNUMBER('Dvd Calendar'!$AH$116)=FALSE,"",IF((Summary!$C$13="N")*('Dvd Calendar'!$AH$120='Field Check'!$C$25)&gt;0,"",'Dvd Calendar'!$AH$116)))</f>
        <v/>
      </c>
      <c r="CU16" s="85">
        <f>IF(AG16="","",IF(ISNUMBER('Dvd Calendar'!$AI$116)=FALSE,"",IF((Summary!$C$13="N")*('Dvd Calendar'!$AI$120='Field Check'!$C$25)&gt;0,"",'Dvd Calendar'!$AI$116)))</f>
        <v/>
      </c>
      <c r="CV16" s="85">
        <f>IF(AH16="","",IF(ISNUMBER('Dvd Calendar'!$AJ$116)=FALSE,"",IF((Summary!$C$13="N")*('Dvd Calendar'!$AJ$120='Field Check'!$C$25)&gt;0,"",'Dvd Calendar'!$AJ$116)))</f>
        <v/>
      </c>
      <c r="CW16" s="85">
        <f>IF(AI16="","",IF(ISNUMBER('Dvd Calendar'!$AK$116)=FALSE,"",IF((Summary!$C$13="N")*('Dvd Calendar'!$AK$120='Field Check'!$C$25)&gt;0,"",'Dvd Calendar'!$AK$116)))</f>
        <v/>
      </c>
      <c r="CX16" s="85">
        <f>IF(AJ16="","",IF(ISNUMBER('Dvd Calendar'!$AL$116)=FALSE,"",IF((Summary!$C$13="N")*('Dvd Calendar'!$AL$120='Field Check'!$C$25)&gt;0,"",'Dvd Calendar'!$AL$116)))</f>
        <v/>
      </c>
      <c r="CY16" s="85">
        <f>IF(AK16="","",IF(ISNUMBER('Dvd Calendar'!$AM$116)=FALSE,"",IF((Summary!$C$13="N")*('Dvd Calendar'!$AM$120='Field Check'!$C$25)&gt;0,"",'Dvd Calendar'!$AM$116)))</f>
        <v/>
      </c>
      <c r="CZ16" s="85">
        <f>IF(AL16="","",IF(ISNUMBER('Dvd Calendar'!$AN$116)=FALSE,"",IF((Summary!$C$13="N")*('Dvd Calendar'!$AN$120='Field Check'!$C$25)&gt;0,"",'Dvd Calendar'!$AN$116)))</f>
        <v/>
      </c>
      <c r="DA16" s="85">
        <f>IF(AM16="","",IF(ISNUMBER('Dvd Calendar'!$AO$116)=FALSE,"",IF((Summary!$C$13="N")*('Dvd Calendar'!$AO$120='Field Check'!$C$25)&gt;0,"",'Dvd Calendar'!$AO$116)))</f>
        <v/>
      </c>
      <c r="DB16" s="85">
        <f>IF(AN16="","",IF(ISNUMBER('Dvd Calendar'!$AP$116)=FALSE,"",IF((Summary!$C$13="N")*('Dvd Calendar'!$AP$120='Field Check'!$C$25)&gt;0,"",'Dvd Calendar'!$AP$116)))</f>
        <v/>
      </c>
      <c r="DC16" s="85">
        <f>IF(AO16="","",IF(ISNUMBER('Dvd Calendar'!$AQ$116)=FALSE,"",IF((Summary!$C$13="N")*('Dvd Calendar'!$AQ$120='Field Check'!$C$25)&gt;0,"",'Dvd Calendar'!$AQ$116)))</f>
        <v/>
      </c>
      <c r="DD16" s="85">
        <f>IF(AP16="","",IF(ISNUMBER('Dvd Calendar'!$AR$116)=FALSE,"",IF((Summary!$C$13="N")*('Dvd Calendar'!$AR$120='Field Check'!$C$25)&gt;0,"",'Dvd Calendar'!$AR$116)))</f>
        <v/>
      </c>
      <c r="DE16" s="85">
        <f>IF(AQ16="","",IF(ISNUMBER('Dvd Calendar'!$E$123)=FALSE,"",IF((Summary!$C$13="N")*('Dvd Calendar'!$E$127='Field Check'!$C$25)&gt;0,"",'Dvd Calendar'!$E$123)))</f>
        <v/>
      </c>
      <c r="DF16" s="85">
        <f>IF(AR16="","",IF(ISNUMBER('Dvd Calendar'!$F$123)=FALSE,"",IF((Summary!$C$13="N")*('Dvd Calendar'!$F$127='Field Check'!$C$25)&gt;0,"",'Dvd Calendar'!$F$123)))</f>
        <v/>
      </c>
      <c r="DG16" s="85">
        <f>IF(AS16="","",IF(ISNUMBER('Dvd Calendar'!$G$123)=FALSE,"",IF((Summary!$C$13="N")*('Dvd Calendar'!$G$127='Field Check'!$C$25)&gt;0,"",'Dvd Calendar'!$G$123)))</f>
        <v/>
      </c>
      <c r="DH16" s="85">
        <f>IF(AT16="","",IF(ISNUMBER('Dvd Calendar'!$H$123)=FALSE,"",IF((Summary!$C$13="N")*('Dvd Calendar'!$H$127='Field Check'!$C$25)&gt;0,"",'Dvd Calendar'!$H$123)))</f>
        <v/>
      </c>
      <c r="DI16" s="85">
        <f>IF(AU16="","",IF(ISNUMBER('Dvd Calendar'!$I$123)=FALSE,"",IF((Summary!$C$13="N")*('Dvd Calendar'!$I$127='Field Check'!$C$25)&gt;0,"",'Dvd Calendar'!$I$123)))</f>
        <v/>
      </c>
      <c r="DJ16" s="85">
        <f>IF(AV16="","",IF(ISNUMBER('Dvd Calendar'!$J$123)=FALSE,"",IF((Summary!$C$13="N")*('Dvd Calendar'!$J$127='Field Check'!$C$25)&gt;0,"",'Dvd Calendar'!$J$123)))</f>
        <v/>
      </c>
      <c r="DK16" s="85">
        <f>IF(AW16="","",IF(ISNUMBER('Dvd Calendar'!$K$123)=FALSE,"",IF((Summary!$C$13="N")*('Dvd Calendar'!$K$127='Field Check'!$C$25)&gt;0,"",'Dvd Calendar'!$K$123)))</f>
        <v/>
      </c>
      <c r="DL16" s="85">
        <f>IF(AX16="","",IF(ISNUMBER('Dvd Calendar'!$L$123)=FALSE,"",IF((Summary!$C$13="N")*('Dvd Calendar'!$L$127='Field Check'!$C$25)&gt;0,"",'Dvd Calendar'!$L$123)))</f>
        <v/>
      </c>
      <c r="DM16" s="85">
        <f>IF(AY16="","",IF(ISNUMBER('Dvd Calendar'!$M$123)=FALSE,"",IF((Summary!$C$13="N")*('Dvd Calendar'!$M$127='Field Check'!$C$25)&gt;0,"",'Dvd Calendar'!$M$123)))</f>
        <v/>
      </c>
      <c r="DN16" s="85">
        <f>IF(AZ16="","",IF(ISNUMBER('Dvd Calendar'!$N$123)=FALSE,"",IF((Summary!$C$13="N")*('Dvd Calendar'!$N$127='Field Check'!$C$25)&gt;0,"",'Dvd Calendar'!$N$123)))</f>
        <v/>
      </c>
      <c r="DO16" s="85">
        <f>IF(BA16="","",IF(ISNUMBER('Dvd Calendar'!$O$123)=FALSE,"",IF((Summary!$C$13="N")*('Dvd Calendar'!$O$127='Field Check'!$C$25)&gt;0,"",'Dvd Calendar'!$O$123)))</f>
        <v/>
      </c>
      <c r="DP16" s="85">
        <f>IF(BB16="","",IF(ISNUMBER('Dvd Calendar'!$P$123)=FALSE,"",IF((Summary!$C$13="N")*('Dvd Calendar'!$P$127='Field Check'!$C$25)&gt;0,"",'Dvd Calendar'!$P$123)))</f>
        <v/>
      </c>
      <c r="DQ16" s="85">
        <f>IF(BC16="","",IF(ISNUMBER('Dvd Calendar'!$Q$123)=FALSE,"",IF((Summary!$C$13="N")*('Dvd Calendar'!$Q$127='Field Check'!$C$25)&gt;0,"",'Dvd Calendar'!$Q$123)))</f>
        <v/>
      </c>
      <c r="DR16" s="85">
        <f>IF(BD16="","",IF(ISNUMBER('Dvd Calendar'!$R$123)=FALSE,"",IF((Summary!$C$13="N")*('Dvd Calendar'!$R$127='Field Check'!$C$25)&gt;0,"",'Dvd Calendar'!$R$123)))</f>
        <v/>
      </c>
      <c r="DS16" s="85">
        <f>IF(BE16="","",IF(ISNUMBER('Dvd Calendar'!$S$123)=FALSE,"",IF((Summary!$C$13="N")*('Dvd Calendar'!$S$127='Field Check'!$C$25)&gt;0,"",'Dvd Calendar'!$S$123)))</f>
        <v/>
      </c>
      <c r="DT16" s="85">
        <f>IF(BF16="","",IF(ISNUMBER('Dvd Calendar'!$T$123)=FALSE,"",IF((Summary!$C$13="N")*('Dvd Calendar'!$T$127='Field Check'!$C$25)&gt;0,"",'Dvd Calendar'!$T$123)))</f>
        <v/>
      </c>
      <c r="DU16" s="85">
        <f>IF(BG16="","",IF(ISNUMBER('Dvd Calendar'!$U$123)=FALSE,"",IF((Summary!$C$13="N")*('Dvd Calendar'!$U$127='Field Check'!$C$25)&gt;0,"",'Dvd Calendar'!$U$123)))</f>
        <v/>
      </c>
      <c r="DV16" s="85">
        <f>IF(BH16="","",IF(ISNUMBER('Dvd Calendar'!$V$123)=FALSE,"",IF((Summary!$C$13="N")*('Dvd Calendar'!$V$127='Field Check'!$C$25)&gt;0,"",'Dvd Calendar'!$V$123)))</f>
        <v/>
      </c>
      <c r="DW16" s="85">
        <f>IF(BI16="","",IF(ISNUMBER('Dvd Calendar'!$W$123)=FALSE,"",IF((Summary!$C$13="N")*('Dvd Calendar'!$W$127='Field Check'!$C$25)&gt;0,"",'Dvd Calendar'!$W$123)))</f>
        <v/>
      </c>
      <c r="DX16" s="85">
        <f>IF(BJ16="","",IF(ISNUMBER('Dvd Calendar'!$X$123)=FALSE,"",IF((Summary!$C$13="N")*('Dvd Calendar'!$X$127='Field Check'!$C$25)&gt;0,"",'Dvd Calendar'!$X$123)))</f>
        <v/>
      </c>
      <c r="DY16" s="85">
        <f>IF(BK16="","",IF(ISNUMBER('Dvd Calendar'!$Y$123)=FALSE,"",IF((Summary!$C$13="N")*('Dvd Calendar'!$Y$127='Field Check'!$C$25)&gt;0,"",'Dvd Calendar'!$Y$123)))</f>
        <v/>
      </c>
      <c r="DZ16" s="85">
        <f>IF(BL16="","",IF(ISNUMBER('Dvd Calendar'!$Z$123)=FALSE,"",IF((Summary!$C$13="N")*('Dvd Calendar'!$Z$127='Field Check'!$C$25)&gt;0,"",'Dvd Calendar'!$Z$123)))</f>
        <v/>
      </c>
      <c r="EA16" s="85">
        <f>IF(BM16="","",IF(ISNUMBER('Dvd Calendar'!$AA$123)=FALSE,"",IF((Summary!$C$13="N")*('Dvd Calendar'!$AA$127='Field Check'!$C$25)&gt;0,"",'Dvd Calendar'!$AA$123)))</f>
        <v/>
      </c>
      <c r="EB16" s="85">
        <f>IF(BN16="","",IF(ISNUMBER('Dvd Calendar'!$AB$123)=FALSE,"",IF((Summary!$C$13="N")*('Dvd Calendar'!$AB$127='Field Check'!$C$25)&gt;0,"",'Dvd Calendar'!$AB$123)))</f>
        <v/>
      </c>
      <c r="EC16" s="85">
        <f>IF(BO16="","",IF(ISNUMBER('Dvd Calendar'!$AC$123)=FALSE,"",IF((Summary!$C$13="N")*('Dvd Calendar'!$AC$127='Field Check'!$C$25)&gt;0,"",'Dvd Calendar'!$AC$123)))</f>
        <v/>
      </c>
      <c r="EE16" s="85">
        <f>IF(BQ16="","",IFERROR(BQ16*HSI!$B$14*HSI!$G$14/HSI!$B$3,""))</f>
        <v/>
      </c>
      <c r="EF16" s="85">
        <f>IF(BR16="","",IFERROR(BR16*HSI!$B$14*HSI!$G$14/HSI!$B$3,""))</f>
        <v/>
      </c>
      <c r="EG16" s="85">
        <f>IF(BS16="","",IFERROR(BS16*HSI!$B$14*HSI!$G$14/HSI!$B$3,""))</f>
        <v/>
      </c>
      <c r="EH16" s="85">
        <f>IF(BT16="","",IFERROR(BT16*HSI!$B$14*HSI!$G$14/HSI!$B$3,""))</f>
        <v/>
      </c>
      <c r="EI16" s="85">
        <f>IF(BU16="","",IFERROR(BU16*HSI!$B$14*HSI!$G$14/HSI!$B$3,""))</f>
        <v/>
      </c>
      <c r="EJ16" s="85">
        <f>IF(BV16="","",IFERROR(BV16*HSI!$B$14*HSI!$G$14/HSI!$B$3,""))</f>
        <v/>
      </c>
      <c r="EK16" s="85">
        <f>IF(BW16="","",IFERROR(BW16*HSI!$B$14*HSI!$G$14/HSI!$B$3,""))</f>
        <v/>
      </c>
      <c r="EL16" s="85">
        <f>IF(BX16="","",IFERROR(BX16*HSI!$B$14*HSI!$G$14/HSI!$B$3,""))</f>
        <v/>
      </c>
      <c r="EM16" s="85">
        <f>IF(BY16="","",IFERROR(BY16*HSI!$B$14*HSI!$G$14/HSI!$B$3,""))</f>
        <v/>
      </c>
      <c r="EN16" s="85">
        <f>IF(BZ16="","",IFERROR(BZ16*HSI!$B$14*HSI!$G$14/HSI!$B$3,""))</f>
        <v/>
      </c>
      <c r="EO16" s="85">
        <f>IF(CA16="","",IFERROR(CA16*HSI!$B$14*HSI!$G$14/HSI!$B$3,""))</f>
        <v/>
      </c>
      <c r="EP16" s="85">
        <f>IF(CB16="","",IFERROR(CB16*HSI!$B$14*HSI!$G$14/HSI!$B$3,""))</f>
        <v/>
      </c>
      <c r="EQ16" s="85">
        <f>IF(CC16="","",IFERROR(CC16*HSI!$B$14*HSI!$G$14/HSI!$B$3,""))</f>
        <v/>
      </c>
      <c r="ER16" s="85">
        <f>IF(CD16="","",IFERROR(CD16*HSI!$B$14*HSI!$G$14/HSI!$B$3,""))</f>
        <v/>
      </c>
      <c r="ES16" s="85">
        <f>IF(CE16="","",IFERROR(CE16*HSI!$B$14*HSI!$G$14/HSI!$B$3,""))</f>
        <v/>
      </c>
      <c r="ET16" s="85">
        <f>IF(CF16="","",IFERROR(CF16*HSI!$B$14*HSI!$G$14/HSI!$B$3,""))</f>
        <v/>
      </c>
      <c r="EU16" s="85">
        <f>IF(CG16="","",IFERROR(CG16*HSI!$B$14*HSI!$G$14/HSI!$B$3,""))</f>
        <v/>
      </c>
      <c r="EV16" s="85">
        <f>IF(CH16="","",IFERROR(CH16*HSI!$B$14*HSI!$G$14/HSI!$B$3,""))</f>
        <v/>
      </c>
      <c r="EW16" s="85">
        <f>IF(CI16="","",IFERROR(CI16*HSI!$B$14*HSI!$G$14/HSI!$B$3,""))</f>
        <v/>
      </c>
      <c r="EX16" s="85">
        <f>IF(CJ16="","",IFERROR(CJ16*HSI!$B$14*HSI!$G$14/HSI!$B$3,""))</f>
        <v/>
      </c>
      <c r="EY16" s="85">
        <f>IF(CK16="","",IFERROR(CK16*HSI!$B$14*HSI!$G$14/HSI!$B$3,""))</f>
        <v/>
      </c>
      <c r="EZ16" s="85">
        <f>IF(CL16="","",IFERROR(CL16*HSI!$B$14*HSI!$G$14/HSI!$B$3,""))</f>
        <v/>
      </c>
      <c r="FA16" s="85">
        <f>IF(CM16="","",IFERROR(CM16*HSI!$B$14*HSI!$G$14/HSI!$B$3,""))</f>
        <v/>
      </c>
      <c r="FB16" s="85">
        <f>IF(CN16="","",IFERROR(CN16*HSI!$B$14*HSI!$G$14/HSI!$B$3,""))</f>
        <v/>
      </c>
      <c r="FC16" s="85">
        <f>IF(CO16="","",IFERROR(CO16*HSI!$B$14*HSI!$G$14/HSI!$B$3,""))</f>
        <v/>
      </c>
      <c r="FD16" s="85">
        <f>IF(CP16="","",IFERROR(CP16*HSI!$B$14*HSI!$G$14/HSI!$B$3,""))</f>
        <v/>
      </c>
      <c r="FE16" s="85">
        <f>IF(CQ16="","",IFERROR(CQ16*HSI!$B$14*HSI!$G$14/HSI!$B$3,""))</f>
        <v/>
      </c>
      <c r="FF16" s="85">
        <f>IF(CR16="","",IFERROR(CR16*HSI!$B$14*HSI!$G$14/HSI!$B$3,""))</f>
        <v/>
      </c>
      <c r="FG16" s="85">
        <f>IF(CS16="","",IFERROR(CS16*HSI!$B$14*HSI!$G$14/HSI!$B$3,""))</f>
        <v/>
      </c>
      <c r="FH16" s="85">
        <f>IF(CT16="","",IFERROR(CT16*HSI!$B$14*HSI!$G$14/HSI!$B$3,""))</f>
        <v/>
      </c>
      <c r="FI16" s="85">
        <f>IF(CU16="","",IFERROR(CU16*HSI!$B$14*HSI!$G$14/HSI!$B$3,""))</f>
        <v/>
      </c>
      <c r="FJ16" s="85">
        <f>IF(CV16="","",IFERROR(CV16*HSI!$B$14*HSI!$G$14/HSI!$B$3,""))</f>
        <v/>
      </c>
      <c r="FK16" s="85">
        <f>IF(CW16="","",IFERROR(CW16*HSI!$B$14*HSI!$G$14/HSI!$B$3,""))</f>
        <v/>
      </c>
      <c r="FL16" s="85">
        <f>IF(CX16="","",IFERROR(CX16*HSI!$B$14*HSI!$G$14/HSI!$B$3,""))</f>
        <v/>
      </c>
      <c r="FM16" s="85">
        <f>IF(CY16="","",IFERROR(CY16*HSI!$B$14*HSI!$G$14/HSI!$B$3,""))</f>
        <v/>
      </c>
      <c r="FN16" s="85">
        <f>IF(CZ16="","",IFERROR(CZ16*HSI!$B$14*HSI!$G$14/HSI!$B$3,""))</f>
        <v/>
      </c>
      <c r="FO16" s="85">
        <f>IF(DA16="","",IFERROR(DA16*HSI!$B$14*HSI!$G$14/HSI!$B$3,""))</f>
        <v/>
      </c>
      <c r="FP16" s="85">
        <f>IF(DB16="","",IFERROR(DB16*HSI!$B$14*HSI!$G$14/HSI!$B$3,""))</f>
        <v/>
      </c>
      <c r="FQ16" s="85">
        <f>IF(DC16="","",IFERROR(DC16*HSI!$B$14*HSI!$G$14/HSI!$B$3,""))</f>
        <v/>
      </c>
      <c r="FR16" s="85">
        <f>IF(DD16="","",IFERROR(DD16*HSI!$B$14*HSI!$G$14/HSI!$B$3,""))</f>
        <v/>
      </c>
      <c r="FS16" s="85">
        <f>IF(DE16="","",IFERROR(DE16*HSI!$B$14*HSI!$G$14/HSI!$B$3,""))</f>
        <v/>
      </c>
      <c r="FT16" s="85">
        <f>IF(DF16="","",IFERROR(DF16*HSI!$B$14*HSI!$G$14/HSI!$B$3,""))</f>
        <v/>
      </c>
      <c r="FU16" s="85">
        <f>IF(DG16="","",IFERROR(DG16*HSI!$B$14*HSI!$G$14/HSI!$B$3,""))</f>
        <v/>
      </c>
      <c r="FV16" s="85">
        <f>IF(DH16="","",IFERROR(DH16*HSI!$B$14*HSI!$G$14/HSI!$B$3,""))</f>
        <v/>
      </c>
      <c r="FW16" s="85">
        <f>IF(DI16="","",IFERROR(DI16*HSI!$B$14*HSI!$G$14/HSI!$B$3,""))</f>
        <v/>
      </c>
      <c r="FX16" s="85">
        <f>IF(DJ16="","",IFERROR(DJ16*HSI!$B$14*HSI!$G$14/HSI!$B$3,""))</f>
        <v/>
      </c>
      <c r="FY16" s="85">
        <f>IF(DK16="","",IFERROR(DK16*HSI!$B$14*HSI!$G$14/HSI!$B$3,""))</f>
        <v/>
      </c>
      <c r="FZ16" s="85">
        <f>IF(DL16="","",IFERROR(DL16*HSI!$B$14*HSI!$G$14/HSI!$B$3,""))</f>
        <v/>
      </c>
      <c r="GA16" s="85">
        <f>IF(DM16="","",IFERROR(DM16*HSI!$B$14*HSI!$G$14/HSI!$B$3,""))</f>
        <v/>
      </c>
      <c r="GB16" s="85">
        <f>IF(DN16="","",IFERROR(DN16*HSI!$B$14*HSI!$G$14/HSI!$B$3,""))</f>
        <v/>
      </c>
      <c r="GC16" s="85">
        <f>IF(DO16="","",IFERROR(DO16*HSI!$B$14*HSI!$G$14/HSI!$B$3,""))</f>
        <v/>
      </c>
      <c r="GD16" s="85">
        <f>IF(DP16="","",IFERROR(DP16*HSI!$B$14*HSI!$G$14/HSI!$B$3,""))</f>
        <v/>
      </c>
      <c r="GE16" s="85">
        <f>IF(DQ16="","",IFERROR(DQ16*HSI!$B$14*HSI!$G$14/HSI!$B$3,""))</f>
        <v/>
      </c>
      <c r="GF16" s="85">
        <f>IF(DR16="","",IFERROR(DR16*HSI!$B$14*HSI!$G$14/HSI!$B$3,""))</f>
        <v/>
      </c>
      <c r="GG16" s="85">
        <f>IF(DS16="","",IFERROR(DS16*HSI!$B$14*HSI!$G$14/HSI!$B$3,""))</f>
        <v/>
      </c>
      <c r="GH16" s="85">
        <f>IF(DT16="","",IFERROR(DT16*HSI!$B$14*HSI!$G$14/HSI!$B$3,""))</f>
        <v/>
      </c>
      <c r="GI16" s="85">
        <f>IF(DU16="","",IFERROR(DU16*HSI!$B$14*HSI!$G$14/HSI!$B$3,""))</f>
        <v/>
      </c>
      <c r="GJ16" s="85">
        <f>IF(DV16="","",IFERROR(DV16*HSI!$B$14*HSI!$G$14/HSI!$B$3,""))</f>
        <v/>
      </c>
      <c r="GK16" s="85">
        <f>IF(DW16="","",IFERROR(DW16*HSI!$B$14*HSI!$G$14/HSI!$B$3,""))</f>
        <v/>
      </c>
      <c r="GL16" s="85">
        <f>IF(DX16="","",IFERROR(DX16*HSI!$B$14*HSI!$G$14/HSI!$B$3,""))</f>
        <v/>
      </c>
      <c r="GM16" s="85">
        <f>IF(DY16="","",IFERROR(DY16*HSI!$B$14*HSI!$G$14/HSI!$B$3,""))</f>
        <v/>
      </c>
      <c r="GN16" s="85">
        <f>IF(DZ16="","",IFERROR(DZ16*HSI!$B$14*HSI!$G$14/HSI!$B$3,""))</f>
        <v/>
      </c>
      <c r="GO16" s="85">
        <f>IF(EA16="","",IFERROR(EA16*HSI!$B$14*HSI!$G$14/HSI!$B$3,""))</f>
        <v/>
      </c>
      <c r="GP16" s="85">
        <f>IF(EB16="","",IFERROR(EB16*HSI!$B$14*HSI!$G$14/HSI!$B$3,""))</f>
        <v/>
      </c>
      <c r="GQ16" s="85">
        <f>IF(EC16="","",IFERROR(EC16*HSI!$B$14*HSI!$G$14/HSI!$B$3,""))</f>
        <v/>
      </c>
    </row>
    <row r="17">
      <c r="B17" s="2">
        <f>IF(HSI!$C$15="","",HSI!$C$15)</f>
        <v/>
      </c>
      <c r="C17" s="41">
        <f>IF(N('Dvd Calendar'!$E$130)=0,"",IF(('Dvd Calendar'!$E$130&gt;=MIN(DATE(Summary!$C$12,1,1),Summary!$C$11))*('Dvd Calendar'!$E$130&lt;=MAX(DATE(Summary!$C$12,12,31),Summary!$C$15))*('Dvd Calendar'!$E$130&lt;=Summary!$C$11)=0,"",'Dvd Calendar'!$E$130*1000000000+ISNUMBER('Dvd Calendar'!$E$131)*100000000+('Dvd Calendar'!$E$135='Field Check'!$C$25)*10000000+(N('Dvd Calendar'!$E$129)&gt;0)*1000000+9*1000+1))</f>
        <v/>
      </c>
      <c r="D17" s="41">
        <f>IF(N('Dvd Calendar'!$F$130)=0,"",IF(('Dvd Calendar'!$F$130&gt;=MIN(DATE(Summary!$C$12,1,1),Summary!$C$11))*('Dvd Calendar'!$F$130&lt;=MAX(DATE(Summary!$C$12,12,31),Summary!$C$15))*('Dvd Calendar'!$F$130&lt;=Summary!$C$11)=0,"",'Dvd Calendar'!$F$130*1000000000+ISNUMBER('Dvd Calendar'!$F$131)*100000000+('Dvd Calendar'!$F$135='Field Check'!$C$25)*10000000+(N('Dvd Calendar'!$F$129)&gt;0)*1000000+9*1000+2))</f>
        <v/>
      </c>
      <c r="E17" s="41">
        <f>IF(N('Dvd Calendar'!$G$130)=0,"",IF(('Dvd Calendar'!$G$130&gt;=MIN(DATE(Summary!$C$12,1,1),Summary!$C$11))*('Dvd Calendar'!$G$130&lt;=MAX(DATE(Summary!$C$12,12,31),Summary!$C$15))*('Dvd Calendar'!$G$130&lt;=Summary!$C$11)=0,"",'Dvd Calendar'!$G$130*1000000000+ISNUMBER('Dvd Calendar'!$G$131)*100000000+('Dvd Calendar'!$G$135='Field Check'!$C$25)*10000000+(N('Dvd Calendar'!$G$129)&gt;0)*1000000+9*1000+3))</f>
        <v/>
      </c>
      <c r="F17" s="41">
        <f>IF(N('Dvd Calendar'!$H$130)=0,"",IF(('Dvd Calendar'!$H$130&gt;=MIN(DATE(Summary!$C$12,1,1),Summary!$C$11))*('Dvd Calendar'!$H$130&lt;=MAX(DATE(Summary!$C$12,12,31),Summary!$C$15))*('Dvd Calendar'!$H$130&lt;=Summary!$C$11)=0,"",'Dvd Calendar'!$H$130*1000000000+ISNUMBER('Dvd Calendar'!$H$131)*100000000+('Dvd Calendar'!$H$135='Field Check'!$C$25)*10000000+(N('Dvd Calendar'!$H$129)&gt;0)*1000000+9*1000+4))</f>
        <v/>
      </c>
      <c r="G17" s="41">
        <f>IF(N('Dvd Calendar'!$I$130)=0,"",IF(('Dvd Calendar'!$I$130&gt;=MIN(DATE(Summary!$C$12,1,1),Summary!$C$11))*('Dvd Calendar'!$I$130&lt;=MAX(DATE(Summary!$C$12,12,31),Summary!$C$15))*('Dvd Calendar'!$I$130&lt;=Summary!$C$11)=0,"",'Dvd Calendar'!$I$130*1000000000+ISNUMBER('Dvd Calendar'!$I$131)*100000000+('Dvd Calendar'!$I$135='Field Check'!$C$25)*10000000+(N('Dvd Calendar'!$I$129)&gt;0)*1000000+9*1000+5))</f>
        <v/>
      </c>
      <c r="H17" s="41">
        <f>IF(N('Dvd Calendar'!$J$130)=0,"",IF(('Dvd Calendar'!$J$130&gt;=MIN(DATE(Summary!$C$12,1,1),Summary!$C$11))*('Dvd Calendar'!$J$130&lt;=MAX(DATE(Summary!$C$12,12,31),Summary!$C$15))*('Dvd Calendar'!$J$130&lt;=Summary!$C$11)=0,"",'Dvd Calendar'!$J$130*1000000000+ISNUMBER('Dvd Calendar'!$J$131)*100000000+('Dvd Calendar'!$J$135='Field Check'!$C$25)*10000000+(N('Dvd Calendar'!$J$129)&gt;0)*1000000+9*1000+6))</f>
        <v/>
      </c>
      <c r="I17" s="41">
        <f>IF(N('Dvd Calendar'!$K$130)=0,"",IF(('Dvd Calendar'!$K$130&gt;=MIN(DATE(Summary!$C$12,1,1),Summary!$C$11))*('Dvd Calendar'!$K$130&lt;=MAX(DATE(Summary!$C$12,12,31),Summary!$C$15))*('Dvd Calendar'!$K$130&lt;=Summary!$C$11)=0,"",'Dvd Calendar'!$K$130*1000000000+ISNUMBER('Dvd Calendar'!$K$131)*100000000+('Dvd Calendar'!$K$135='Field Check'!$C$25)*10000000+(N('Dvd Calendar'!$K$129)&gt;0)*1000000+9*1000+7))</f>
        <v/>
      </c>
      <c r="J17" s="41">
        <f>IF(N('Dvd Calendar'!$L$130)=0,"",IF(('Dvd Calendar'!$L$130&gt;=MIN(DATE(Summary!$C$12,1,1),Summary!$C$11))*('Dvd Calendar'!$L$130&lt;=MAX(DATE(Summary!$C$12,12,31),Summary!$C$15))*('Dvd Calendar'!$L$130&lt;=Summary!$C$11)=0,"",'Dvd Calendar'!$L$130*1000000000+ISNUMBER('Dvd Calendar'!$L$131)*100000000+('Dvd Calendar'!$L$135='Field Check'!$C$25)*10000000+(N('Dvd Calendar'!$L$129)&gt;0)*1000000+9*1000+8))</f>
        <v/>
      </c>
      <c r="K17" s="41">
        <f>IF(N('Dvd Calendar'!$M$130)=0,"",IF(('Dvd Calendar'!$M$130&gt;=MIN(DATE(Summary!$C$12,1,1),Summary!$C$11))*('Dvd Calendar'!$M$130&lt;=MAX(DATE(Summary!$C$12,12,31),Summary!$C$15))*('Dvd Calendar'!$M$130&lt;=Summary!$C$11)=0,"",'Dvd Calendar'!$M$130*1000000000+ISNUMBER('Dvd Calendar'!$M$131)*100000000+('Dvd Calendar'!$M$135='Field Check'!$C$25)*10000000+(N('Dvd Calendar'!$M$129)&gt;0)*1000000+9*1000+9))</f>
        <v/>
      </c>
      <c r="L17" s="41">
        <f>IF(N('Dvd Calendar'!$N$130)=0,"",IF(('Dvd Calendar'!$N$130&gt;=MIN(DATE(Summary!$C$12,1,1),Summary!$C$11))*('Dvd Calendar'!$N$130&lt;=MAX(DATE(Summary!$C$12,12,31),Summary!$C$15))*('Dvd Calendar'!$N$130&lt;=Summary!$C$11)=0,"",'Dvd Calendar'!$N$130*1000000000+ISNUMBER('Dvd Calendar'!$N$131)*100000000+('Dvd Calendar'!$N$135='Field Check'!$C$25)*10000000+(N('Dvd Calendar'!$N$129)&gt;0)*1000000+9*1000+10))</f>
        <v/>
      </c>
      <c r="M17" s="41">
        <f>IF(N('Dvd Calendar'!$O$130)=0,"",IF(('Dvd Calendar'!$O$130&gt;=MIN(DATE(Summary!$C$12,1,1),Summary!$C$11))*('Dvd Calendar'!$O$130&lt;=MAX(DATE(Summary!$C$12,12,31),Summary!$C$15))*('Dvd Calendar'!$O$130&lt;=Summary!$C$11)=0,"",'Dvd Calendar'!$O$130*1000000000+ISNUMBER('Dvd Calendar'!$O$131)*100000000+('Dvd Calendar'!$O$135='Field Check'!$C$25)*10000000+(N('Dvd Calendar'!$O$129)&gt;0)*1000000+9*1000+11))</f>
        <v/>
      </c>
      <c r="N17" s="41">
        <f>IF(N('Dvd Calendar'!$P$130)=0,"",IF(('Dvd Calendar'!$P$130&gt;=MIN(DATE(Summary!$C$12,1,1),Summary!$C$11))*('Dvd Calendar'!$P$130&lt;=MAX(DATE(Summary!$C$12,12,31),Summary!$C$15))*('Dvd Calendar'!$P$130&lt;=Summary!$C$11)=0,"",'Dvd Calendar'!$P$130*1000000000+ISNUMBER('Dvd Calendar'!$P$131)*100000000+('Dvd Calendar'!$P$135='Field Check'!$C$25)*10000000+(N('Dvd Calendar'!$P$129)&gt;0)*1000000+9*1000+12))</f>
        <v/>
      </c>
      <c r="O17" s="41">
        <f>IF(N('Dvd Calendar'!$Q$130)=0,"",IF(('Dvd Calendar'!$Q$130&gt;=MIN(DATE(Summary!$C$12,1,1),Summary!$C$11))*('Dvd Calendar'!$Q$130&lt;=MAX(DATE(Summary!$C$12,12,31),Summary!$C$15))*('Dvd Calendar'!$Q$130&lt;=Summary!$C$11)=0,"",'Dvd Calendar'!$Q$130*1000000000+ISNUMBER('Dvd Calendar'!$Q$131)*100000000+('Dvd Calendar'!$Q$135='Field Check'!$C$25)*10000000+(N('Dvd Calendar'!$Q$129)&gt;0)*1000000+9*1000+13))</f>
        <v/>
      </c>
      <c r="P17" s="41">
        <f>IF(N('Dvd Calendar'!$R$130)=0,"",IF(('Dvd Calendar'!$R$130&gt;=MIN(DATE(Summary!$C$12,1,1),Summary!$C$11))*('Dvd Calendar'!$R$130&lt;=MAX(DATE(Summary!$C$12,12,31),Summary!$C$15))*('Dvd Calendar'!$R$130&lt;=Summary!$C$11)=0,"",'Dvd Calendar'!$R$130*1000000000+ISNUMBER('Dvd Calendar'!$R$131)*100000000+('Dvd Calendar'!$R$135='Field Check'!$C$25)*10000000+(N('Dvd Calendar'!$R$129)&gt;0)*1000000+9*1000+14))</f>
        <v/>
      </c>
      <c r="Q17" s="41">
        <f>IF(N('Dvd Calendar'!$S$130)=0,"",IF(('Dvd Calendar'!$S$130&gt;=MIN(DATE(Summary!$C$12,1,1),Summary!$C$11))*('Dvd Calendar'!$S$130&lt;=MAX(DATE(Summary!$C$12,12,31),Summary!$C$15))*('Dvd Calendar'!$S$130&lt;=Summary!$C$11)=0,"",'Dvd Calendar'!$S$130*1000000000+ISNUMBER('Dvd Calendar'!$S$131)*100000000+('Dvd Calendar'!$S$135='Field Check'!$C$25)*10000000+(N('Dvd Calendar'!$S$129)&gt;0)*1000000+9*1000+15))</f>
        <v/>
      </c>
      <c r="R17" s="41">
        <f>IF(N('Dvd Calendar'!$T$130)=0,"",IF(('Dvd Calendar'!$T$130&gt;=MIN(DATE(Summary!$C$12,1,1),Summary!$C$11))*('Dvd Calendar'!$T$130&lt;=MAX(DATE(Summary!$C$12,12,31),Summary!$C$15))*('Dvd Calendar'!$T$130&lt;=Summary!$C$11)=0,"",'Dvd Calendar'!$T$130*1000000000+ISNUMBER('Dvd Calendar'!$T$131)*100000000+('Dvd Calendar'!$T$135='Field Check'!$C$25)*10000000+(N('Dvd Calendar'!$T$129)&gt;0)*1000000+9*1000+16))</f>
        <v/>
      </c>
      <c r="S17" s="41">
        <f>IF(N('Dvd Calendar'!$U$130)=0,"",IF(('Dvd Calendar'!$U$130&gt;=MIN(DATE(Summary!$C$12,1,1),Summary!$C$11))*('Dvd Calendar'!$U$130&lt;=MAX(DATE(Summary!$C$12,12,31),Summary!$C$15))*('Dvd Calendar'!$U$130&lt;=Summary!$C$11)=0,"",'Dvd Calendar'!$U$130*1000000000+ISNUMBER('Dvd Calendar'!$U$131)*100000000+('Dvd Calendar'!$U$135='Field Check'!$C$25)*10000000+(N('Dvd Calendar'!$U$129)&gt;0)*1000000+9*1000+17))</f>
        <v/>
      </c>
      <c r="T17" s="41">
        <f>IF(N('Dvd Calendar'!$V$130)=0,"",IF(('Dvd Calendar'!$V$130&gt;=MIN(DATE(Summary!$C$12,1,1),Summary!$C$11))*('Dvd Calendar'!$V$130&lt;=MAX(DATE(Summary!$C$12,12,31),Summary!$C$15))*('Dvd Calendar'!$V$130&lt;=Summary!$C$11)=0,"",'Dvd Calendar'!$V$130*1000000000+ISNUMBER('Dvd Calendar'!$V$131)*100000000+('Dvd Calendar'!$V$135='Field Check'!$C$25)*10000000+(N('Dvd Calendar'!$V$129)&gt;0)*1000000+9*1000+18))</f>
        <v/>
      </c>
      <c r="U17" s="41">
        <f>IF(N('Dvd Calendar'!$W$130)=0,"",IF(('Dvd Calendar'!$W$130&gt;=MIN(DATE(Summary!$C$12,1,1),Summary!$C$11))*('Dvd Calendar'!$W$130&lt;=MAX(DATE(Summary!$C$12,12,31),Summary!$C$15))*('Dvd Calendar'!$W$130&lt;=Summary!$C$11)=0,"",'Dvd Calendar'!$W$130*1000000000+ISNUMBER('Dvd Calendar'!$W$131)*100000000+('Dvd Calendar'!$W$135='Field Check'!$C$25)*10000000+(N('Dvd Calendar'!$W$129)&gt;0)*1000000+9*1000+19))</f>
        <v/>
      </c>
      <c r="V17" s="41">
        <f>IF(N('Dvd Calendar'!$X$130)=0,"",IF(('Dvd Calendar'!$X$130&gt;=MIN(DATE(Summary!$C$12,1,1),Summary!$C$11))*('Dvd Calendar'!$X$130&lt;=MAX(DATE(Summary!$C$12,12,31),Summary!$C$15))*('Dvd Calendar'!$X$130&lt;=Summary!$C$11)=0,"",'Dvd Calendar'!$X$130*1000000000+ISNUMBER('Dvd Calendar'!$X$131)*100000000+('Dvd Calendar'!$X$135='Field Check'!$C$25)*10000000+(N('Dvd Calendar'!$X$129)&gt;0)*1000000+9*1000+20))</f>
        <v/>
      </c>
      <c r="W17" s="41">
        <f>IF(N('Dvd Calendar'!$Y$130)=0,"",IF(('Dvd Calendar'!$Y$130&gt;=MIN(DATE(Summary!$C$12,1,1),Summary!$C$11))*('Dvd Calendar'!$Y$130&lt;=MAX(DATE(Summary!$C$12,12,31),Summary!$C$15))*('Dvd Calendar'!$Y$130&lt;=Summary!$C$11)=0,"",'Dvd Calendar'!$Y$130*1000000000+ISNUMBER('Dvd Calendar'!$Y$131)*100000000+('Dvd Calendar'!$Y$135='Field Check'!$C$25)*10000000+(N('Dvd Calendar'!$Y$129)&gt;0)*1000000+9*1000+21))</f>
        <v/>
      </c>
      <c r="X17" s="41">
        <f>IF(N('Dvd Calendar'!$Z$130)=0,"",IF(('Dvd Calendar'!$Z$130&gt;=MIN(DATE(Summary!$C$12,1,1),Summary!$C$11))*('Dvd Calendar'!$Z$130&lt;=MAX(DATE(Summary!$C$12,12,31),Summary!$C$15))*('Dvd Calendar'!$Z$130&lt;=Summary!$C$11)=0,"",'Dvd Calendar'!$Z$130*1000000000+ISNUMBER('Dvd Calendar'!$Z$131)*100000000+('Dvd Calendar'!$Z$135='Field Check'!$C$25)*10000000+(N('Dvd Calendar'!$Z$129)&gt;0)*1000000+9*1000+22))</f>
        <v/>
      </c>
      <c r="Y17" s="41">
        <f>IF(N('Dvd Calendar'!$AA$130)=0,"",IF(('Dvd Calendar'!$AA$130&gt;=MIN(DATE(Summary!$C$12,1,1),Summary!$C$11))*('Dvd Calendar'!$AA$130&lt;=MAX(DATE(Summary!$C$12,12,31),Summary!$C$15))*('Dvd Calendar'!$AA$130&lt;=Summary!$C$11)=0,"",'Dvd Calendar'!$AA$130*1000000000+ISNUMBER('Dvd Calendar'!$AA$131)*100000000+('Dvd Calendar'!$AA$135='Field Check'!$C$25)*10000000+(N('Dvd Calendar'!$AA$129)&gt;0)*1000000+9*1000+23))</f>
        <v/>
      </c>
      <c r="Z17" s="41">
        <f>IF(N('Dvd Calendar'!$AB$130)=0,"",IF(('Dvd Calendar'!$AB$130&gt;=MIN(DATE(Summary!$C$12,1,1),Summary!$C$11))*('Dvd Calendar'!$AB$130&lt;=MAX(DATE(Summary!$C$12,12,31),Summary!$C$15))*('Dvd Calendar'!$AB$130&lt;=Summary!$C$11)=0,"",'Dvd Calendar'!$AB$130*1000000000+ISNUMBER('Dvd Calendar'!$AB$131)*100000000+('Dvd Calendar'!$AB$135='Field Check'!$C$25)*10000000+(N('Dvd Calendar'!$AB$129)&gt;0)*1000000+9*1000+24))</f>
        <v/>
      </c>
      <c r="AA17" s="41">
        <f>IF(N('Dvd Calendar'!$AC$130)=0,"",IF(('Dvd Calendar'!$AC$130&gt;=MIN(DATE(Summary!$C$12,1,1),Summary!$C$11))*('Dvd Calendar'!$AC$130&lt;=MAX(DATE(Summary!$C$12,12,31),Summary!$C$15))*('Dvd Calendar'!$AC$130&lt;=Summary!$C$11)=0,"",'Dvd Calendar'!$AC$130*1000000000+ISNUMBER('Dvd Calendar'!$AC$131)*100000000+('Dvd Calendar'!$AC$135='Field Check'!$C$25)*10000000+(N('Dvd Calendar'!$AC$129)&gt;0)*1000000+9*1000+25))</f>
        <v/>
      </c>
      <c r="AB17" s="41">
        <f>IF(N('Dvd Calendar'!$AD$130)=0,"",IF(('Dvd Calendar'!$AD$130&gt;=MIN(DATE(Summary!$C$12,1,1),Summary!$C$11))*('Dvd Calendar'!$AD$130&lt;=MAX(DATE(Summary!$C$12,12,31),Summary!$C$15))*('Dvd Calendar'!$AD$130&lt;=Summary!$C$11)=0,"",'Dvd Calendar'!$AD$130*1000000000+ISNUMBER('Dvd Calendar'!$AD$131)*100000000+('Dvd Calendar'!$AD$135='Field Check'!$C$25)*10000000+(N('Dvd Calendar'!$AD$129)&gt;0)*1000000+9*1000+26))</f>
        <v/>
      </c>
      <c r="AC17" s="41">
        <f>IF(N('Dvd Calendar'!$AE$130)=0,"",IF(('Dvd Calendar'!$AE$130&gt;=MIN(DATE(Summary!$C$12,1,1),Summary!$C$11))*('Dvd Calendar'!$AE$130&lt;=MAX(DATE(Summary!$C$12,12,31),Summary!$C$15))*('Dvd Calendar'!$AE$130&lt;=Summary!$C$11)=0,"",'Dvd Calendar'!$AE$130*1000000000+ISNUMBER('Dvd Calendar'!$AE$131)*100000000+('Dvd Calendar'!$AE$135='Field Check'!$C$25)*10000000+(N('Dvd Calendar'!$AE$129)&gt;0)*1000000+9*1000+27))</f>
        <v/>
      </c>
      <c r="AD17" s="41">
        <f>IF(N('Dvd Calendar'!$AF$130)=0,"",IF(('Dvd Calendar'!$AF$130&gt;=MIN(DATE(Summary!$C$12,1,1),Summary!$C$11))*('Dvd Calendar'!$AF$130&lt;=MAX(DATE(Summary!$C$12,12,31),Summary!$C$15))*('Dvd Calendar'!$AF$130&lt;=Summary!$C$11)=0,"",'Dvd Calendar'!$AF$130*1000000000+ISNUMBER('Dvd Calendar'!$AF$131)*100000000+('Dvd Calendar'!$AF$135='Field Check'!$C$25)*10000000+(N('Dvd Calendar'!$AF$129)&gt;0)*1000000+9*1000+28))</f>
        <v/>
      </c>
      <c r="AE17" s="41">
        <f>IF(N('Dvd Calendar'!$AG$130)=0,"",IF(('Dvd Calendar'!$AG$130&gt;=MIN(DATE(Summary!$C$12,1,1),Summary!$C$11))*('Dvd Calendar'!$AG$130&lt;=MAX(DATE(Summary!$C$12,12,31),Summary!$C$15))*('Dvd Calendar'!$AG$130&lt;=Summary!$C$11)=0,"",'Dvd Calendar'!$AG$130*1000000000+ISNUMBER('Dvd Calendar'!$AG$131)*100000000+('Dvd Calendar'!$AG$135='Field Check'!$C$25)*10000000+(N('Dvd Calendar'!$AG$129)&gt;0)*1000000+9*1000+29))</f>
        <v/>
      </c>
      <c r="AF17" s="41">
        <f>IF(N('Dvd Calendar'!$AH$130)=0,"",IF(('Dvd Calendar'!$AH$130&gt;=MIN(DATE(Summary!$C$12,1,1),Summary!$C$11))*('Dvd Calendar'!$AH$130&lt;=MAX(DATE(Summary!$C$12,12,31),Summary!$C$15))*('Dvd Calendar'!$AH$130&lt;=Summary!$C$11)=0,"",'Dvd Calendar'!$AH$130*1000000000+ISNUMBER('Dvd Calendar'!$AH$131)*100000000+('Dvd Calendar'!$AH$135='Field Check'!$C$25)*10000000+(N('Dvd Calendar'!$AH$129)&gt;0)*1000000+9*1000+30))</f>
        <v/>
      </c>
      <c r="AG17" s="41">
        <f>IF(N('Dvd Calendar'!$AI$130)=0,"",IF(('Dvd Calendar'!$AI$130&gt;=MIN(DATE(Summary!$C$12,1,1),Summary!$C$11))*('Dvd Calendar'!$AI$130&lt;=MAX(DATE(Summary!$C$12,12,31),Summary!$C$15))*('Dvd Calendar'!$AI$130&lt;=Summary!$C$11)=0,"",'Dvd Calendar'!$AI$130*1000000000+ISNUMBER('Dvd Calendar'!$AI$131)*100000000+('Dvd Calendar'!$AI$135='Field Check'!$C$25)*10000000+(N('Dvd Calendar'!$AI$129)&gt;0)*1000000+9*1000+31))</f>
        <v/>
      </c>
      <c r="AH17" s="41">
        <f>IF(N('Dvd Calendar'!$AJ$130)=0,"",IF(('Dvd Calendar'!$AJ$130&gt;=MIN(DATE(Summary!$C$12,1,1),Summary!$C$11))*('Dvd Calendar'!$AJ$130&lt;=MAX(DATE(Summary!$C$12,12,31),Summary!$C$15))*('Dvd Calendar'!$AJ$130&lt;=Summary!$C$11)=0,"",'Dvd Calendar'!$AJ$130*1000000000+ISNUMBER('Dvd Calendar'!$AJ$131)*100000000+('Dvd Calendar'!$AJ$135='Field Check'!$C$25)*10000000+(N('Dvd Calendar'!$AJ$129)&gt;0)*1000000+9*1000+32))</f>
        <v/>
      </c>
      <c r="AI17" s="41">
        <f>IF(N('Dvd Calendar'!$AK$130)=0,"",IF(('Dvd Calendar'!$AK$130&gt;=MIN(DATE(Summary!$C$12,1,1),Summary!$C$11))*('Dvd Calendar'!$AK$130&lt;=MAX(DATE(Summary!$C$12,12,31),Summary!$C$15))*('Dvd Calendar'!$AK$130&lt;=Summary!$C$11)=0,"",'Dvd Calendar'!$AK$130*1000000000+ISNUMBER('Dvd Calendar'!$AK$131)*100000000+('Dvd Calendar'!$AK$135='Field Check'!$C$25)*10000000+(N('Dvd Calendar'!$AK$129)&gt;0)*1000000+9*1000+33))</f>
        <v/>
      </c>
      <c r="AJ17" s="41">
        <f>IF(N('Dvd Calendar'!$AL$130)=0,"",IF(('Dvd Calendar'!$AL$130&gt;=MIN(DATE(Summary!$C$12,1,1),Summary!$C$11))*('Dvd Calendar'!$AL$130&lt;=MAX(DATE(Summary!$C$12,12,31),Summary!$C$15))*('Dvd Calendar'!$AL$130&lt;=Summary!$C$11)=0,"",'Dvd Calendar'!$AL$130*1000000000+ISNUMBER('Dvd Calendar'!$AL$131)*100000000+('Dvd Calendar'!$AL$135='Field Check'!$C$25)*10000000+(N('Dvd Calendar'!$AL$129)&gt;0)*1000000+9*1000+34))</f>
        <v/>
      </c>
      <c r="AK17" s="41">
        <f>IF(N('Dvd Calendar'!$AM$130)=0,"",IF(('Dvd Calendar'!$AM$130&gt;=MIN(DATE(Summary!$C$12,1,1),Summary!$C$11))*('Dvd Calendar'!$AM$130&lt;=MAX(DATE(Summary!$C$12,12,31),Summary!$C$15))*('Dvd Calendar'!$AM$130&lt;=Summary!$C$11)=0,"",'Dvd Calendar'!$AM$130*1000000000+ISNUMBER('Dvd Calendar'!$AM$131)*100000000+('Dvd Calendar'!$AM$135='Field Check'!$C$25)*10000000+(N('Dvd Calendar'!$AM$129)&gt;0)*1000000+9*1000+35))</f>
        <v/>
      </c>
      <c r="AL17" s="41">
        <f>IF(N('Dvd Calendar'!$AN$130)=0,"",IF(('Dvd Calendar'!$AN$130&gt;=MIN(DATE(Summary!$C$12,1,1),Summary!$C$11))*('Dvd Calendar'!$AN$130&lt;=MAX(DATE(Summary!$C$12,12,31),Summary!$C$15))*('Dvd Calendar'!$AN$130&lt;=Summary!$C$11)=0,"",'Dvd Calendar'!$AN$130*1000000000+ISNUMBER('Dvd Calendar'!$AN$131)*100000000+('Dvd Calendar'!$AN$135='Field Check'!$C$25)*10000000+(N('Dvd Calendar'!$AN$129)&gt;0)*1000000+9*1000+36))</f>
        <v/>
      </c>
      <c r="AM17" s="41">
        <f>IF(N('Dvd Calendar'!$AO$130)=0,"",IF(('Dvd Calendar'!$AO$130&gt;=MIN(DATE(Summary!$C$12,1,1),Summary!$C$11))*('Dvd Calendar'!$AO$130&lt;=MAX(DATE(Summary!$C$12,12,31),Summary!$C$15))*('Dvd Calendar'!$AO$130&lt;=Summary!$C$11)=0,"",'Dvd Calendar'!$AO$130*1000000000+ISNUMBER('Dvd Calendar'!$AO$131)*100000000+('Dvd Calendar'!$AO$135='Field Check'!$C$25)*10000000+(N('Dvd Calendar'!$AO$129)&gt;0)*1000000+9*1000+37))</f>
        <v/>
      </c>
      <c r="AN17" s="41">
        <f>IF(N('Dvd Calendar'!$AP$130)=0,"",IF(('Dvd Calendar'!$AP$130&gt;=MIN(DATE(Summary!$C$12,1,1),Summary!$C$11))*('Dvd Calendar'!$AP$130&lt;=MAX(DATE(Summary!$C$12,12,31),Summary!$C$15))*('Dvd Calendar'!$AP$130&lt;=Summary!$C$11)=0,"",'Dvd Calendar'!$AP$130*1000000000+ISNUMBER('Dvd Calendar'!$AP$131)*100000000+('Dvd Calendar'!$AP$135='Field Check'!$C$25)*10000000+(N('Dvd Calendar'!$AP$129)&gt;0)*1000000+9*1000+38))</f>
        <v/>
      </c>
      <c r="AO17" s="41">
        <f>IF(N('Dvd Calendar'!$AQ$130)=0,"",IF(('Dvd Calendar'!$AQ$130&gt;=MIN(DATE(Summary!$C$12,1,1),Summary!$C$11))*('Dvd Calendar'!$AQ$130&lt;=MAX(DATE(Summary!$C$12,12,31),Summary!$C$15))*('Dvd Calendar'!$AQ$130&lt;=Summary!$C$11)=0,"",'Dvd Calendar'!$AQ$130*1000000000+ISNUMBER('Dvd Calendar'!$AQ$131)*100000000+('Dvd Calendar'!$AQ$135='Field Check'!$C$25)*10000000+(N('Dvd Calendar'!$AQ$129)&gt;0)*1000000+9*1000+39))</f>
        <v/>
      </c>
      <c r="AP17" s="41">
        <f>IF(N('Dvd Calendar'!$AR$130)=0,"",IF(('Dvd Calendar'!$AR$130&gt;=MIN(DATE(Summary!$C$12,1,1),Summary!$C$11))*('Dvd Calendar'!$AR$130&lt;=MAX(DATE(Summary!$C$12,12,31),Summary!$C$15))*('Dvd Calendar'!$AR$130&lt;=Summary!$C$11)=0,"",'Dvd Calendar'!$AR$130*1000000000+ISNUMBER('Dvd Calendar'!$AR$131)*100000000+('Dvd Calendar'!$AR$135='Field Check'!$C$25)*10000000+(N('Dvd Calendar'!$AR$129)&gt;0)*1000000+9*1000+40))</f>
        <v/>
      </c>
      <c r="AQ17" s="41">
        <f>IF(N('Dvd Calendar'!$E$137)=0,"",IF(('Dvd Calendar'!$E$137&gt;=MIN(DATE(Summary!$C$12,1,1),Summary!$C$11))*('Dvd Calendar'!$E$137&lt;=MAX(DATE(Summary!$C$12,12,31),Summary!$C$15))*('Dvd Calendar'!$E$137&gt;Summary!$C$11)=0,"",'Dvd Calendar'!$E$137*1000000000+ISNUMBER('Dvd Calendar'!$E$138)*100000000+('Dvd Calendar'!$E$142='Field Check'!$C$25)*10000000+(N('Dvd Calendar'!$E$136)&gt;0)*1000000+9*1000+41))</f>
        <v/>
      </c>
      <c r="AR17" s="41">
        <f>IF(N('Dvd Calendar'!$F$137)=0,"",IF(('Dvd Calendar'!$F$137&gt;=MIN(DATE(Summary!$C$12,1,1),Summary!$C$11))*('Dvd Calendar'!$F$137&lt;=MAX(DATE(Summary!$C$12,12,31),Summary!$C$15))*('Dvd Calendar'!$F$137&gt;Summary!$C$11)=0,"",'Dvd Calendar'!$F$137*1000000000+ISNUMBER('Dvd Calendar'!$F$138)*100000000+('Dvd Calendar'!$F$142='Field Check'!$C$25)*10000000+(N('Dvd Calendar'!$F$136)&gt;0)*1000000+9*1000+42))</f>
        <v/>
      </c>
      <c r="AS17" s="41">
        <f>IF(N('Dvd Calendar'!$G$137)=0,"",IF(('Dvd Calendar'!$G$137&gt;=MIN(DATE(Summary!$C$12,1,1),Summary!$C$11))*('Dvd Calendar'!$G$137&lt;=MAX(DATE(Summary!$C$12,12,31),Summary!$C$15))*('Dvd Calendar'!$G$137&gt;Summary!$C$11)=0,"",'Dvd Calendar'!$G$137*1000000000+ISNUMBER('Dvd Calendar'!$G$138)*100000000+('Dvd Calendar'!$G$142='Field Check'!$C$25)*10000000+(N('Dvd Calendar'!$G$136)&gt;0)*1000000+9*1000+43))</f>
        <v/>
      </c>
      <c r="AT17" s="41">
        <f>IF(N('Dvd Calendar'!$H$137)=0,"",IF(('Dvd Calendar'!$H$137&gt;=MIN(DATE(Summary!$C$12,1,1),Summary!$C$11))*('Dvd Calendar'!$H$137&lt;=MAX(DATE(Summary!$C$12,12,31),Summary!$C$15))*('Dvd Calendar'!$H$137&gt;Summary!$C$11)=0,"",'Dvd Calendar'!$H$137*1000000000+ISNUMBER('Dvd Calendar'!$H$138)*100000000+('Dvd Calendar'!$H$142='Field Check'!$C$25)*10000000+(N('Dvd Calendar'!$H$136)&gt;0)*1000000+9*1000+44))</f>
        <v/>
      </c>
      <c r="AU17" s="41">
        <f>IF(N('Dvd Calendar'!$I$137)=0,"",IF(('Dvd Calendar'!$I$137&gt;=MIN(DATE(Summary!$C$12,1,1),Summary!$C$11))*('Dvd Calendar'!$I$137&lt;=MAX(DATE(Summary!$C$12,12,31),Summary!$C$15))*('Dvd Calendar'!$I$137&gt;Summary!$C$11)=0,"",'Dvd Calendar'!$I$137*1000000000+ISNUMBER('Dvd Calendar'!$I$138)*100000000+('Dvd Calendar'!$I$142='Field Check'!$C$25)*10000000+(N('Dvd Calendar'!$I$136)&gt;0)*1000000+9*1000+45))</f>
        <v/>
      </c>
      <c r="AV17" s="41">
        <f>IF(N('Dvd Calendar'!$J$137)=0,"",IF(('Dvd Calendar'!$J$137&gt;=MIN(DATE(Summary!$C$12,1,1),Summary!$C$11))*('Dvd Calendar'!$J$137&lt;=MAX(DATE(Summary!$C$12,12,31),Summary!$C$15))*('Dvd Calendar'!$J$137&gt;Summary!$C$11)=0,"",'Dvd Calendar'!$J$137*1000000000+ISNUMBER('Dvd Calendar'!$J$138)*100000000+('Dvd Calendar'!$J$142='Field Check'!$C$25)*10000000+(N('Dvd Calendar'!$J$136)&gt;0)*1000000+9*1000+46))</f>
        <v/>
      </c>
      <c r="AW17" s="41">
        <f>IF(N('Dvd Calendar'!$K$137)=0,"",IF(('Dvd Calendar'!$K$137&gt;=MIN(DATE(Summary!$C$12,1,1),Summary!$C$11))*('Dvd Calendar'!$K$137&lt;=MAX(DATE(Summary!$C$12,12,31),Summary!$C$15))*('Dvd Calendar'!$K$137&gt;Summary!$C$11)=0,"",'Dvd Calendar'!$K$137*1000000000+ISNUMBER('Dvd Calendar'!$K$138)*100000000+('Dvd Calendar'!$K$142='Field Check'!$C$25)*10000000+(N('Dvd Calendar'!$K$136)&gt;0)*1000000+9*1000+47))</f>
        <v/>
      </c>
      <c r="AX17" s="41">
        <f>IF(N('Dvd Calendar'!$L$137)=0,"",IF(('Dvd Calendar'!$L$137&gt;=MIN(DATE(Summary!$C$12,1,1),Summary!$C$11))*('Dvd Calendar'!$L$137&lt;=MAX(DATE(Summary!$C$12,12,31),Summary!$C$15))*('Dvd Calendar'!$L$137&gt;Summary!$C$11)=0,"",'Dvd Calendar'!$L$137*1000000000+ISNUMBER('Dvd Calendar'!$L$138)*100000000+('Dvd Calendar'!$L$142='Field Check'!$C$25)*10000000+(N('Dvd Calendar'!$L$136)&gt;0)*1000000+9*1000+48))</f>
        <v/>
      </c>
      <c r="AY17" s="41">
        <f>IF(N('Dvd Calendar'!$M$137)=0,"",IF(('Dvd Calendar'!$M$137&gt;=MIN(DATE(Summary!$C$12,1,1),Summary!$C$11))*('Dvd Calendar'!$M$137&lt;=MAX(DATE(Summary!$C$12,12,31),Summary!$C$15))*('Dvd Calendar'!$M$137&gt;Summary!$C$11)=0,"",'Dvd Calendar'!$M$137*1000000000+ISNUMBER('Dvd Calendar'!$M$138)*100000000+('Dvd Calendar'!$M$142='Field Check'!$C$25)*10000000+(N('Dvd Calendar'!$M$136)&gt;0)*1000000+9*1000+49))</f>
        <v/>
      </c>
      <c r="AZ17" s="41">
        <f>IF(N('Dvd Calendar'!$N$137)=0,"",IF(('Dvd Calendar'!$N$137&gt;=MIN(DATE(Summary!$C$12,1,1),Summary!$C$11))*('Dvd Calendar'!$N$137&lt;=MAX(DATE(Summary!$C$12,12,31),Summary!$C$15))*('Dvd Calendar'!$N$137&gt;Summary!$C$11)=0,"",'Dvd Calendar'!$N$137*1000000000+ISNUMBER('Dvd Calendar'!$N$138)*100000000+('Dvd Calendar'!$N$142='Field Check'!$C$25)*10000000+(N('Dvd Calendar'!$N$136)&gt;0)*1000000+9*1000+50))</f>
        <v/>
      </c>
      <c r="BA17" s="41">
        <f>IF(N('Dvd Calendar'!$O$137)=0,"",IF(('Dvd Calendar'!$O$137&gt;=MIN(DATE(Summary!$C$12,1,1),Summary!$C$11))*('Dvd Calendar'!$O$137&lt;=MAX(DATE(Summary!$C$12,12,31),Summary!$C$15))*('Dvd Calendar'!$O$137&gt;Summary!$C$11)=0,"",'Dvd Calendar'!$O$137*1000000000+ISNUMBER('Dvd Calendar'!$O$138)*100000000+('Dvd Calendar'!$O$142='Field Check'!$C$25)*10000000+(N('Dvd Calendar'!$O$136)&gt;0)*1000000+9*1000+51))</f>
        <v/>
      </c>
      <c r="BB17" s="41">
        <f>IF(N('Dvd Calendar'!$P$137)=0,"",IF(('Dvd Calendar'!$P$137&gt;=MIN(DATE(Summary!$C$12,1,1),Summary!$C$11))*('Dvd Calendar'!$P$137&lt;=MAX(DATE(Summary!$C$12,12,31),Summary!$C$15))*('Dvd Calendar'!$P$137&gt;Summary!$C$11)=0,"",'Dvd Calendar'!$P$137*1000000000+ISNUMBER('Dvd Calendar'!$P$138)*100000000+('Dvd Calendar'!$P$142='Field Check'!$C$25)*10000000+(N('Dvd Calendar'!$P$136)&gt;0)*1000000+9*1000+52))</f>
        <v/>
      </c>
      <c r="BC17" s="41">
        <f>IF(N('Dvd Calendar'!$Q$137)=0,"",IF(('Dvd Calendar'!$Q$137&gt;=MIN(DATE(Summary!$C$12,1,1),Summary!$C$11))*('Dvd Calendar'!$Q$137&lt;=MAX(DATE(Summary!$C$12,12,31),Summary!$C$15))*('Dvd Calendar'!$Q$137&gt;Summary!$C$11)=0,"",'Dvd Calendar'!$Q$137*1000000000+ISNUMBER('Dvd Calendar'!$Q$138)*100000000+('Dvd Calendar'!$Q$142='Field Check'!$C$25)*10000000+(N('Dvd Calendar'!$Q$136)&gt;0)*1000000+9*1000+53))</f>
        <v/>
      </c>
      <c r="BD17" s="41">
        <f>IF(N('Dvd Calendar'!$R$137)=0,"",IF(('Dvd Calendar'!$R$137&gt;=MIN(DATE(Summary!$C$12,1,1),Summary!$C$11))*('Dvd Calendar'!$R$137&lt;=MAX(DATE(Summary!$C$12,12,31),Summary!$C$15))*('Dvd Calendar'!$R$137&gt;Summary!$C$11)=0,"",'Dvd Calendar'!$R$137*1000000000+ISNUMBER('Dvd Calendar'!$R$138)*100000000+('Dvd Calendar'!$R$142='Field Check'!$C$25)*10000000+(N('Dvd Calendar'!$R$136)&gt;0)*1000000+9*1000+54))</f>
        <v/>
      </c>
      <c r="BE17" s="41">
        <f>IF(N('Dvd Calendar'!$S$137)=0,"",IF(('Dvd Calendar'!$S$137&gt;=MIN(DATE(Summary!$C$12,1,1),Summary!$C$11))*('Dvd Calendar'!$S$137&lt;=MAX(DATE(Summary!$C$12,12,31),Summary!$C$15))*('Dvd Calendar'!$S$137&gt;Summary!$C$11)=0,"",'Dvd Calendar'!$S$137*1000000000+ISNUMBER('Dvd Calendar'!$S$138)*100000000+('Dvd Calendar'!$S$142='Field Check'!$C$25)*10000000+(N('Dvd Calendar'!$S$136)&gt;0)*1000000+9*1000+55))</f>
        <v/>
      </c>
      <c r="BF17" s="41">
        <f>IF(N('Dvd Calendar'!$T$137)=0,"",IF(('Dvd Calendar'!$T$137&gt;=MIN(DATE(Summary!$C$12,1,1),Summary!$C$11))*('Dvd Calendar'!$T$137&lt;=MAX(DATE(Summary!$C$12,12,31),Summary!$C$15))*('Dvd Calendar'!$T$137&gt;Summary!$C$11)=0,"",'Dvd Calendar'!$T$137*1000000000+ISNUMBER('Dvd Calendar'!$T$138)*100000000+('Dvd Calendar'!$T$142='Field Check'!$C$25)*10000000+(N('Dvd Calendar'!$T$136)&gt;0)*1000000+9*1000+56))</f>
        <v/>
      </c>
      <c r="BG17" s="41">
        <f>IF(N('Dvd Calendar'!$U$137)=0,"",IF(('Dvd Calendar'!$U$137&gt;=MIN(DATE(Summary!$C$12,1,1),Summary!$C$11))*('Dvd Calendar'!$U$137&lt;=MAX(DATE(Summary!$C$12,12,31),Summary!$C$15))*('Dvd Calendar'!$U$137&gt;Summary!$C$11)=0,"",'Dvd Calendar'!$U$137*1000000000+ISNUMBER('Dvd Calendar'!$U$138)*100000000+('Dvd Calendar'!$U$142='Field Check'!$C$25)*10000000+(N('Dvd Calendar'!$U$136)&gt;0)*1000000+9*1000+57))</f>
        <v/>
      </c>
      <c r="BH17" s="41">
        <f>IF(N('Dvd Calendar'!$V$137)=0,"",IF(('Dvd Calendar'!$V$137&gt;=MIN(DATE(Summary!$C$12,1,1),Summary!$C$11))*('Dvd Calendar'!$V$137&lt;=MAX(DATE(Summary!$C$12,12,31),Summary!$C$15))*('Dvd Calendar'!$V$137&gt;Summary!$C$11)=0,"",'Dvd Calendar'!$V$137*1000000000+ISNUMBER('Dvd Calendar'!$V$138)*100000000+('Dvd Calendar'!$V$142='Field Check'!$C$25)*10000000+(N('Dvd Calendar'!$V$136)&gt;0)*1000000+9*1000+58))</f>
        <v/>
      </c>
      <c r="BI17" s="41">
        <f>IF(N('Dvd Calendar'!$W$137)=0,"",IF(('Dvd Calendar'!$W$137&gt;=MIN(DATE(Summary!$C$12,1,1),Summary!$C$11))*('Dvd Calendar'!$W$137&lt;=MAX(DATE(Summary!$C$12,12,31),Summary!$C$15))*('Dvd Calendar'!$W$137&gt;Summary!$C$11)=0,"",'Dvd Calendar'!$W$137*1000000000+ISNUMBER('Dvd Calendar'!$W$138)*100000000+('Dvd Calendar'!$W$142='Field Check'!$C$25)*10000000+(N('Dvd Calendar'!$W$136)&gt;0)*1000000+9*1000+59))</f>
        <v/>
      </c>
      <c r="BJ17" s="41">
        <f>IF(N('Dvd Calendar'!$X$137)=0,"",IF(('Dvd Calendar'!$X$137&gt;=MIN(DATE(Summary!$C$12,1,1),Summary!$C$11))*('Dvd Calendar'!$X$137&lt;=MAX(DATE(Summary!$C$12,12,31),Summary!$C$15))*('Dvd Calendar'!$X$137&gt;Summary!$C$11)=0,"",'Dvd Calendar'!$X$137*1000000000+ISNUMBER('Dvd Calendar'!$X$138)*100000000+('Dvd Calendar'!$X$142='Field Check'!$C$25)*10000000+(N('Dvd Calendar'!$X$136)&gt;0)*1000000+9*1000+60))</f>
        <v/>
      </c>
      <c r="BK17" s="41">
        <f>IF(N('Dvd Calendar'!$Y$137)=0,"",IF(('Dvd Calendar'!$Y$137&gt;=MIN(DATE(Summary!$C$12,1,1),Summary!$C$11))*('Dvd Calendar'!$Y$137&lt;=MAX(DATE(Summary!$C$12,12,31),Summary!$C$15))*('Dvd Calendar'!$Y$137&gt;Summary!$C$11)=0,"",'Dvd Calendar'!$Y$137*1000000000+ISNUMBER('Dvd Calendar'!$Y$138)*100000000+('Dvd Calendar'!$Y$142='Field Check'!$C$25)*10000000+(N('Dvd Calendar'!$Y$136)&gt;0)*1000000+9*1000+61))</f>
        <v/>
      </c>
      <c r="BL17" s="41">
        <f>IF(N('Dvd Calendar'!$Z$137)=0,"",IF(('Dvd Calendar'!$Z$137&gt;=MIN(DATE(Summary!$C$12,1,1),Summary!$C$11))*('Dvd Calendar'!$Z$137&lt;=MAX(DATE(Summary!$C$12,12,31),Summary!$C$15))*('Dvd Calendar'!$Z$137&gt;Summary!$C$11)=0,"",'Dvd Calendar'!$Z$137*1000000000+ISNUMBER('Dvd Calendar'!$Z$138)*100000000+('Dvd Calendar'!$Z$142='Field Check'!$C$25)*10000000+(N('Dvd Calendar'!$Z$136)&gt;0)*1000000+9*1000+62))</f>
        <v/>
      </c>
      <c r="BM17" s="41">
        <f>IF(N('Dvd Calendar'!$AA$137)=0,"",IF(('Dvd Calendar'!$AA$137&gt;=MIN(DATE(Summary!$C$12,1,1),Summary!$C$11))*('Dvd Calendar'!$AA$137&lt;=MAX(DATE(Summary!$C$12,12,31),Summary!$C$15))*('Dvd Calendar'!$AA$137&gt;Summary!$C$11)=0,"",'Dvd Calendar'!$AA$137*1000000000+ISNUMBER('Dvd Calendar'!$AA$138)*100000000+('Dvd Calendar'!$AA$142='Field Check'!$C$25)*10000000+(N('Dvd Calendar'!$AA$136)&gt;0)*1000000+9*1000+63))</f>
        <v/>
      </c>
      <c r="BN17" s="41">
        <f>IF(N('Dvd Calendar'!$AB$137)=0,"",IF(('Dvd Calendar'!$AB$137&gt;=MIN(DATE(Summary!$C$12,1,1),Summary!$C$11))*('Dvd Calendar'!$AB$137&lt;=MAX(DATE(Summary!$C$12,12,31),Summary!$C$15))*('Dvd Calendar'!$AB$137&gt;Summary!$C$11)=0,"",'Dvd Calendar'!$AB$137*1000000000+ISNUMBER('Dvd Calendar'!$AB$138)*100000000+('Dvd Calendar'!$AB$142='Field Check'!$C$25)*10000000+(N('Dvd Calendar'!$AB$136)&gt;0)*1000000+9*1000+64))</f>
        <v/>
      </c>
      <c r="BO17" s="41">
        <f>IF(N('Dvd Calendar'!$AC$137)=0,"",IF(('Dvd Calendar'!$AC$137&gt;=MIN(DATE(Summary!$C$12,1,1),Summary!$C$11))*('Dvd Calendar'!$AC$137&lt;=MAX(DATE(Summary!$C$12,12,31),Summary!$C$15))*('Dvd Calendar'!$AC$137&gt;Summary!$C$11)=0,"",'Dvd Calendar'!$AC$137*1000000000+ISNUMBER('Dvd Calendar'!$AC$138)*100000000+('Dvd Calendar'!$AC$142='Field Check'!$C$25)*10000000+(N('Dvd Calendar'!$AC$136)&gt;0)*1000000+9*1000+65))</f>
        <v/>
      </c>
      <c r="BQ17" s="85">
        <f>IF(C17="","",IF(ISNUMBER('Dvd Calendar'!$E$131)=FALSE,"",IF((Summary!$C$13="N")*('Dvd Calendar'!$E$135='Field Check'!$C$25)&gt;0,"",'Dvd Calendar'!$E$131)))</f>
        <v/>
      </c>
      <c r="BR17" s="85">
        <f>IF(D17="","",IF(ISNUMBER('Dvd Calendar'!$F$131)=FALSE,"",IF((Summary!$C$13="N")*('Dvd Calendar'!$F$135='Field Check'!$C$25)&gt;0,"",'Dvd Calendar'!$F$131)))</f>
        <v/>
      </c>
      <c r="BS17" s="85">
        <f>IF(E17="","",IF(ISNUMBER('Dvd Calendar'!$G$131)=FALSE,"",IF((Summary!$C$13="N")*('Dvd Calendar'!$G$135='Field Check'!$C$25)&gt;0,"",'Dvd Calendar'!$G$131)))</f>
        <v/>
      </c>
      <c r="BT17" s="85">
        <f>IF(F17="","",IF(ISNUMBER('Dvd Calendar'!$H$131)=FALSE,"",IF((Summary!$C$13="N")*('Dvd Calendar'!$H$135='Field Check'!$C$25)&gt;0,"",'Dvd Calendar'!$H$131)))</f>
        <v/>
      </c>
      <c r="BU17" s="85">
        <f>IF(G17="","",IF(ISNUMBER('Dvd Calendar'!$I$131)=FALSE,"",IF((Summary!$C$13="N")*('Dvd Calendar'!$I$135='Field Check'!$C$25)&gt;0,"",'Dvd Calendar'!$I$131)))</f>
        <v/>
      </c>
      <c r="BV17" s="85">
        <f>IF(H17="","",IF(ISNUMBER('Dvd Calendar'!$J$131)=FALSE,"",IF((Summary!$C$13="N")*('Dvd Calendar'!$J$135='Field Check'!$C$25)&gt;0,"",'Dvd Calendar'!$J$131)))</f>
        <v/>
      </c>
      <c r="BW17" s="85">
        <f>IF(I17="","",IF(ISNUMBER('Dvd Calendar'!$K$131)=FALSE,"",IF((Summary!$C$13="N")*('Dvd Calendar'!$K$135='Field Check'!$C$25)&gt;0,"",'Dvd Calendar'!$K$131)))</f>
        <v/>
      </c>
      <c r="BX17" s="85">
        <f>IF(J17="","",IF(ISNUMBER('Dvd Calendar'!$L$131)=FALSE,"",IF((Summary!$C$13="N")*('Dvd Calendar'!$L$135='Field Check'!$C$25)&gt;0,"",'Dvd Calendar'!$L$131)))</f>
        <v/>
      </c>
      <c r="BY17" s="85">
        <f>IF(K17="","",IF(ISNUMBER('Dvd Calendar'!$M$131)=FALSE,"",IF((Summary!$C$13="N")*('Dvd Calendar'!$M$135='Field Check'!$C$25)&gt;0,"",'Dvd Calendar'!$M$131)))</f>
        <v/>
      </c>
      <c r="BZ17" s="85">
        <f>IF(L17="","",IF(ISNUMBER('Dvd Calendar'!$N$131)=FALSE,"",IF((Summary!$C$13="N")*('Dvd Calendar'!$N$135='Field Check'!$C$25)&gt;0,"",'Dvd Calendar'!$N$131)))</f>
        <v/>
      </c>
      <c r="CA17" s="85">
        <f>IF(M17="","",IF(ISNUMBER('Dvd Calendar'!$O$131)=FALSE,"",IF((Summary!$C$13="N")*('Dvd Calendar'!$O$135='Field Check'!$C$25)&gt;0,"",'Dvd Calendar'!$O$131)))</f>
        <v/>
      </c>
      <c r="CB17" s="85">
        <f>IF(N17="","",IF(ISNUMBER('Dvd Calendar'!$P$131)=FALSE,"",IF((Summary!$C$13="N")*('Dvd Calendar'!$P$135='Field Check'!$C$25)&gt;0,"",'Dvd Calendar'!$P$131)))</f>
        <v/>
      </c>
      <c r="CC17" s="85">
        <f>IF(O17="","",IF(ISNUMBER('Dvd Calendar'!$Q$131)=FALSE,"",IF((Summary!$C$13="N")*('Dvd Calendar'!$Q$135='Field Check'!$C$25)&gt;0,"",'Dvd Calendar'!$Q$131)))</f>
        <v/>
      </c>
      <c r="CD17" s="85">
        <f>IF(P17="","",IF(ISNUMBER('Dvd Calendar'!$R$131)=FALSE,"",IF((Summary!$C$13="N")*('Dvd Calendar'!$R$135='Field Check'!$C$25)&gt;0,"",'Dvd Calendar'!$R$131)))</f>
        <v/>
      </c>
      <c r="CE17" s="85">
        <f>IF(Q17="","",IF(ISNUMBER('Dvd Calendar'!$S$131)=FALSE,"",IF((Summary!$C$13="N")*('Dvd Calendar'!$S$135='Field Check'!$C$25)&gt;0,"",'Dvd Calendar'!$S$131)))</f>
        <v/>
      </c>
      <c r="CF17" s="85">
        <f>IF(R17="","",IF(ISNUMBER('Dvd Calendar'!$T$131)=FALSE,"",IF((Summary!$C$13="N")*('Dvd Calendar'!$T$135='Field Check'!$C$25)&gt;0,"",'Dvd Calendar'!$T$131)))</f>
        <v/>
      </c>
      <c r="CG17" s="85">
        <f>IF(S17="","",IF(ISNUMBER('Dvd Calendar'!$U$131)=FALSE,"",IF((Summary!$C$13="N")*('Dvd Calendar'!$U$135='Field Check'!$C$25)&gt;0,"",'Dvd Calendar'!$U$131)))</f>
        <v/>
      </c>
      <c r="CH17" s="85">
        <f>IF(T17="","",IF(ISNUMBER('Dvd Calendar'!$V$131)=FALSE,"",IF((Summary!$C$13="N")*('Dvd Calendar'!$V$135='Field Check'!$C$25)&gt;0,"",'Dvd Calendar'!$V$131)))</f>
        <v/>
      </c>
      <c r="CI17" s="85">
        <f>IF(U17="","",IF(ISNUMBER('Dvd Calendar'!$W$131)=FALSE,"",IF((Summary!$C$13="N")*('Dvd Calendar'!$W$135='Field Check'!$C$25)&gt;0,"",'Dvd Calendar'!$W$131)))</f>
        <v/>
      </c>
      <c r="CJ17" s="85">
        <f>IF(V17="","",IF(ISNUMBER('Dvd Calendar'!$X$131)=FALSE,"",IF((Summary!$C$13="N")*('Dvd Calendar'!$X$135='Field Check'!$C$25)&gt;0,"",'Dvd Calendar'!$X$131)))</f>
        <v/>
      </c>
      <c r="CK17" s="85">
        <f>IF(W17="","",IF(ISNUMBER('Dvd Calendar'!$Y$131)=FALSE,"",IF((Summary!$C$13="N")*('Dvd Calendar'!$Y$135='Field Check'!$C$25)&gt;0,"",'Dvd Calendar'!$Y$131)))</f>
        <v/>
      </c>
      <c r="CL17" s="85">
        <f>IF(X17="","",IF(ISNUMBER('Dvd Calendar'!$Z$131)=FALSE,"",IF((Summary!$C$13="N")*('Dvd Calendar'!$Z$135='Field Check'!$C$25)&gt;0,"",'Dvd Calendar'!$Z$131)))</f>
        <v/>
      </c>
      <c r="CM17" s="85">
        <f>IF(Y17="","",IF(ISNUMBER('Dvd Calendar'!$AA$131)=FALSE,"",IF((Summary!$C$13="N")*('Dvd Calendar'!$AA$135='Field Check'!$C$25)&gt;0,"",'Dvd Calendar'!$AA$131)))</f>
        <v/>
      </c>
      <c r="CN17" s="85">
        <f>IF(Z17="","",IF(ISNUMBER('Dvd Calendar'!$AB$131)=FALSE,"",IF((Summary!$C$13="N")*('Dvd Calendar'!$AB$135='Field Check'!$C$25)&gt;0,"",'Dvd Calendar'!$AB$131)))</f>
        <v/>
      </c>
      <c r="CO17" s="85">
        <f>IF(AA17="","",IF(ISNUMBER('Dvd Calendar'!$AC$131)=FALSE,"",IF((Summary!$C$13="N")*('Dvd Calendar'!$AC$135='Field Check'!$C$25)&gt;0,"",'Dvd Calendar'!$AC$131)))</f>
        <v/>
      </c>
      <c r="CP17" s="85">
        <f>IF(AB17="","",IF(ISNUMBER('Dvd Calendar'!$AD$131)=FALSE,"",IF((Summary!$C$13="N")*('Dvd Calendar'!$AD$135='Field Check'!$C$25)&gt;0,"",'Dvd Calendar'!$AD$131)))</f>
        <v/>
      </c>
      <c r="CQ17" s="85">
        <f>IF(AC17="","",IF(ISNUMBER('Dvd Calendar'!$AE$131)=FALSE,"",IF((Summary!$C$13="N")*('Dvd Calendar'!$AE$135='Field Check'!$C$25)&gt;0,"",'Dvd Calendar'!$AE$131)))</f>
        <v/>
      </c>
      <c r="CR17" s="85">
        <f>IF(AD17="","",IF(ISNUMBER('Dvd Calendar'!$AF$131)=FALSE,"",IF((Summary!$C$13="N")*('Dvd Calendar'!$AF$135='Field Check'!$C$25)&gt;0,"",'Dvd Calendar'!$AF$131)))</f>
        <v/>
      </c>
      <c r="CS17" s="85">
        <f>IF(AE17="","",IF(ISNUMBER('Dvd Calendar'!$AG$131)=FALSE,"",IF((Summary!$C$13="N")*('Dvd Calendar'!$AG$135='Field Check'!$C$25)&gt;0,"",'Dvd Calendar'!$AG$131)))</f>
        <v/>
      </c>
      <c r="CT17" s="85">
        <f>IF(AF17="","",IF(ISNUMBER('Dvd Calendar'!$AH$131)=FALSE,"",IF((Summary!$C$13="N")*('Dvd Calendar'!$AH$135='Field Check'!$C$25)&gt;0,"",'Dvd Calendar'!$AH$131)))</f>
        <v/>
      </c>
      <c r="CU17" s="85">
        <f>IF(AG17="","",IF(ISNUMBER('Dvd Calendar'!$AI$131)=FALSE,"",IF((Summary!$C$13="N")*('Dvd Calendar'!$AI$135='Field Check'!$C$25)&gt;0,"",'Dvd Calendar'!$AI$131)))</f>
        <v/>
      </c>
      <c r="CV17" s="85">
        <f>IF(AH17="","",IF(ISNUMBER('Dvd Calendar'!$AJ$131)=FALSE,"",IF((Summary!$C$13="N")*('Dvd Calendar'!$AJ$135='Field Check'!$C$25)&gt;0,"",'Dvd Calendar'!$AJ$131)))</f>
        <v/>
      </c>
      <c r="CW17" s="85">
        <f>IF(AI17="","",IF(ISNUMBER('Dvd Calendar'!$AK$131)=FALSE,"",IF((Summary!$C$13="N")*('Dvd Calendar'!$AK$135='Field Check'!$C$25)&gt;0,"",'Dvd Calendar'!$AK$131)))</f>
        <v/>
      </c>
      <c r="CX17" s="85">
        <f>IF(AJ17="","",IF(ISNUMBER('Dvd Calendar'!$AL$131)=FALSE,"",IF((Summary!$C$13="N")*('Dvd Calendar'!$AL$135='Field Check'!$C$25)&gt;0,"",'Dvd Calendar'!$AL$131)))</f>
        <v/>
      </c>
      <c r="CY17" s="85">
        <f>IF(AK17="","",IF(ISNUMBER('Dvd Calendar'!$AM$131)=FALSE,"",IF((Summary!$C$13="N")*('Dvd Calendar'!$AM$135='Field Check'!$C$25)&gt;0,"",'Dvd Calendar'!$AM$131)))</f>
        <v/>
      </c>
      <c r="CZ17" s="85">
        <f>IF(AL17="","",IF(ISNUMBER('Dvd Calendar'!$AN$131)=FALSE,"",IF((Summary!$C$13="N")*('Dvd Calendar'!$AN$135='Field Check'!$C$25)&gt;0,"",'Dvd Calendar'!$AN$131)))</f>
        <v/>
      </c>
      <c r="DA17" s="85">
        <f>IF(AM17="","",IF(ISNUMBER('Dvd Calendar'!$AO$131)=FALSE,"",IF((Summary!$C$13="N")*('Dvd Calendar'!$AO$135='Field Check'!$C$25)&gt;0,"",'Dvd Calendar'!$AO$131)))</f>
        <v/>
      </c>
      <c r="DB17" s="85">
        <f>IF(AN17="","",IF(ISNUMBER('Dvd Calendar'!$AP$131)=FALSE,"",IF((Summary!$C$13="N")*('Dvd Calendar'!$AP$135='Field Check'!$C$25)&gt;0,"",'Dvd Calendar'!$AP$131)))</f>
        <v/>
      </c>
      <c r="DC17" s="85">
        <f>IF(AO17="","",IF(ISNUMBER('Dvd Calendar'!$AQ$131)=FALSE,"",IF((Summary!$C$13="N")*('Dvd Calendar'!$AQ$135='Field Check'!$C$25)&gt;0,"",'Dvd Calendar'!$AQ$131)))</f>
        <v/>
      </c>
      <c r="DD17" s="85">
        <f>IF(AP17="","",IF(ISNUMBER('Dvd Calendar'!$AR$131)=FALSE,"",IF((Summary!$C$13="N")*('Dvd Calendar'!$AR$135='Field Check'!$C$25)&gt;0,"",'Dvd Calendar'!$AR$131)))</f>
        <v/>
      </c>
      <c r="DE17" s="85">
        <f>IF(AQ17="","",IF(ISNUMBER('Dvd Calendar'!$E$138)=FALSE,"",IF((Summary!$C$13="N")*('Dvd Calendar'!$E$142='Field Check'!$C$25)&gt;0,"",'Dvd Calendar'!$E$138)))</f>
        <v/>
      </c>
      <c r="DF17" s="85">
        <f>IF(AR17="","",IF(ISNUMBER('Dvd Calendar'!$F$138)=FALSE,"",IF((Summary!$C$13="N")*('Dvd Calendar'!$F$142='Field Check'!$C$25)&gt;0,"",'Dvd Calendar'!$F$138)))</f>
        <v/>
      </c>
      <c r="DG17" s="85">
        <f>IF(AS17="","",IF(ISNUMBER('Dvd Calendar'!$G$138)=FALSE,"",IF((Summary!$C$13="N")*('Dvd Calendar'!$G$142='Field Check'!$C$25)&gt;0,"",'Dvd Calendar'!$G$138)))</f>
        <v/>
      </c>
      <c r="DH17" s="85">
        <f>IF(AT17="","",IF(ISNUMBER('Dvd Calendar'!$H$138)=FALSE,"",IF((Summary!$C$13="N")*('Dvd Calendar'!$H$142='Field Check'!$C$25)&gt;0,"",'Dvd Calendar'!$H$138)))</f>
        <v/>
      </c>
      <c r="DI17" s="85">
        <f>IF(AU17="","",IF(ISNUMBER('Dvd Calendar'!$I$138)=FALSE,"",IF((Summary!$C$13="N")*('Dvd Calendar'!$I$142='Field Check'!$C$25)&gt;0,"",'Dvd Calendar'!$I$138)))</f>
        <v/>
      </c>
      <c r="DJ17" s="85">
        <f>IF(AV17="","",IF(ISNUMBER('Dvd Calendar'!$J$138)=FALSE,"",IF((Summary!$C$13="N")*('Dvd Calendar'!$J$142='Field Check'!$C$25)&gt;0,"",'Dvd Calendar'!$J$138)))</f>
        <v/>
      </c>
      <c r="DK17" s="85">
        <f>IF(AW17="","",IF(ISNUMBER('Dvd Calendar'!$K$138)=FALSE,"",IF((Summary!$C$13="N")*('Dvd Calendar'!$K$142='Field Check'!$C$25)&gt;0,"",'Dvd Calendar'!$K$138)))</f>
        <v/>
      </c>
      <c r="DL17" s="85">
        <f>IF(AX17="","",IF(ISNUMBER('Dvd Calendar'!$L$138)=FALSE,"",IF((Summary!$C$13="N")*('Dvd Calendar'!$L$142='Field Check'!$C$25)&gt;0,"",'Dvd Calendar'!$L$138)))</f>
        <v/>
      </c>
      <c r="DM17" s="85">
        <f>IF(AY17="","",IF(ISNUMBER('Dvd Calendar'!$M$138)=FALSE,"",IF((Summary!$C$13="N")*('Dvd Calendar'!$M$142='Field Check'!$C$25)&gt;0,"",'Dvd Calendar'!$M$138)))</f>
        <v/>
      </c>
      <c r="DN17" s="85">
        <f>IF(AZ17="","",IF(ISNUMBER('Dvd Calendar'!$N$138)=FALSE,"",IF((Summary!$C$13="N")*('Dvd Calendar'!$N$142='Field Check'!$C$25)&gt;0,"",'Dvd Calendar'!$N$138)))</f>
        <v/>
      </c>
      <c r="DO17" s="85">
        <f>IF(BA17="","",IF(ISNUMBER('Dvd Calendar'!$O$138)=FALSE,"",IF((Summary!$C$13="N")*('Dvd Calendar'!$O$142='Field Check'!$C$25)&gt;0,"",'Dvd Calendar'!$O$138)))</f>
        <v/>
      </c>
      <c r="DP17" s="85">
        <f>IF(BB17="","",IF(ISNUMBER('Dvd Calendar'!$P$138)=FALSE,"",IF((Summary!$C$13="N")*('Dvd Calendar'!$P$142='Field Check'!$C$25)&gt;0,"",'Dvd Calendar'!$P$138)))</f>
        <v/>
      </c>
      <c r="DQ17" s="85">
        <f>IF(BC17="","",IF(ISNUMBER('Dvd Calendar'!$Q$138)=FALSE,"",IF((Summary!$C$13="N")*('Dvd Calendar'!$Q$142='Field Check'!$C$25)&gt;0,"",'Dvd Calendar'!$Q$138)))</f>
        <v/>
      </c>
      <c r="DR17" s="85">
        <f>IF(BD17="","",IF(ISNUMBER('Dvd Calendar'!$R$138)=FALSE,"",IF((Summary!$C$13="N")*('Dvd Calendar'!$R$142='Field Check'!$C$25)&gt;0,"",'Dvd Calendar'!$R$138)))</f>
        <v/>
      </c>
      <c r="DS17" s="85">
        <f>IF(BE17="","",IF(ISNUMBER('Dvd Calendar'!$S$138)=FALSE,"",IF((Summary!$C$13="N")*('Dvd Calendar'!$S$142='Field Check'!$C$25)&gt;0,"",'Dvd Calendar'!$S$138)))</f>
        <v/>
      </c>
      <c r="DT17" s="85">
        <f>IF(BF17="","",IF(ISNUMBER('Dvd Calendar'!$T$138)=FALSE,"",IF((Summary!$C$13="N")*('Dvd Calendar'!$T$142='Field Check'!$C$25)&gt;0,"",'Dvd Calendar'!$T$138)))</f>
        <v/>
      </c>
      <c r="DU17" s="85">
        <f>IF(BG17="","",IF(ISNUMBER('Dvd Calendar'!$U$138)=FALSE,"",IF((Summary!$C$13="N")*('Dvd Calendar'!$U$142='Field Check'!$C$25)&gt;0,"",'Dvd Calendar'!$U$138)))</f>
        <v/>
      </c>
      <c r="DV17" s="85">
        <f>IF(BH17="","",IF(ISNUMBER('Dvd Calendar'!$V$138)=FALSE,"",IF((Summary!$C$13="N")*('Dvd Calendar'!$V$142='Field Check'!$C$25)&gt;0,"",'Dvd Calendar'!$V$138)))</f>
        <v/>
      </c>
      <c r="DW17" s="85">
        <f>IF(BI17="","",IF(ISNUMBER('Dvd Calendar'!$W$138)=FALSE,"",IF((Summary!$C$13="N")*('Dvd Calendar'!$W$142='Field Check'!$C$25)&gt;0,"",'Dvd Calendar'!$W$138)))</f>
        <v/>
      </c>
      <c r="DX17" s="85">
        <f>IF(BJ17="","",IF(ISNUMBER('Dvd Calendar'!$X$138)=FALSE,"",IF((Summary!$C$13="N")*('Dvd Calendar'!$X$142='Field Check'!$C$25)&gt;0,"",'Dvd Calendar'!$X$138)))</f>
        <v/>
      </c>
      <c r="DY17" s="85">
        <f>IF(BK17="","",IF(ISNUMBER('Dvd Calendar'!$Y$138)=FALSE,"",IF((Summary!$C$13="N")*('Dvd Calendar'!$Y$142='Field Check'!$C$25)&gt;0,"",'Dvd Calendar'!$Y$138)))</f>
        <v/>
      </c>
      <c r="DZ17" s="85">
        <f>IF(BL17="","",IF(ISNUMBER('Dvd Calendar'!$Z$138)=FALSE,"",IF((Summary!$C$13="N")*('Dvd Calendar'!$Z$142='Field Check'!$C$25)&gt;0,"",'Dvd Calendar'!$Z$138)))</f>
        <v/>
      </c>
      <c r="EA17" s="85">
        <f>IF(BM17="","",IF(ISNUMBER('Dvd Calendar'!$AA$138)=FALSE,"",IF((Summary!$C$13="N")*('Dvd Calendar'!$AA$142='Field Check'!$C$25)&gt;0,"",'Dvd Calendar'!$AA$138)))</f>
        <v/>
      </c>
      <c r="EB17" s="85">
        <f>IF(BN17="","",IF(ISNUMBER('Dvd Calendar'!$AB$138)=FALSE,"",IF((Summary!$C$13="N")*('Dvd Calendar'!$AB$142='Field Check'!$C$25)&gt;0,"",'Dvd Calendar'!$AB$138)))</f>
        <v/>
      </c>
      <c r="EC17" s="85">
        <f>IF(BO17="","",IF(ISNUMBER('Dvd Calendar'!$AC$138)=FALSE,"",IF((Summary!$C$13="N")*('Dvd Calendar'!$AC$142='Field Check'!$C$25)&gt;0,"",'Dvd Calendar'!$AC$138)))</f>
        <v/>
      </c>
      <c r="EE17" s="85">
        <f>IF(BQ17="","",IFERROR(BQ17*HSI!$B$15*HSI!$G$15/HSI!$B$3,""))</f>
        <v/>
      </c>
      <c r="EF17" s="85">
        <f>IF(BR17="","",IFERROR(BR17*HSI!$B$15*HSI!$G$15/HSI!$B$3,""))</f>
        <v/>
      </c>
      <c r="EG17" s="85">
        <f>IF(BS17="","",IFERROR(BS17*HSI!$B$15*HSI!$G$15/HSI!$B$3,""))</f>
        <v/>
      </c>
      <c r="EH17" s="85">
        <f>IF(BT17="","",IFERROR(BT17*HSI!$B$15*HSI!$G$15/HSI!$B$3,""))</f>
        <v/>
      </c>
      <c r="EI17" s="85">
        <f>IF(BU17="","",IFERROR(BU17*HSI!$B$15*HSI!$G$15/HSI!$B$3,""))</f>
        <v/>
      </c>
      <c r="EJ17" s="85">
        <f>IF(BV17="","",IFERROR(BV17*HSI!$B$15*HSI!$G$15/HSI!$B$3,""))</f>
        <v/>
      </c>
      <c r="EK17" s="85">
        <f>IF(BW17="","",IFERROR(BW17*HSI!$B$15*HSI!$G$15/HSI!$B$3,""))</f>
        <v/>
      </c>
      <c r="EL17" s="85">
        <f>IF(BX17="","",IFERROR(BX17*HSI!$B$15*HSI!$G$15/HSI!$B$3,""))</f>
        <v/>
      </c>
      <c r="EM17" s="85">
        <f>IF(BY17="","",IFERROR(BY17*HSI!$B$15*HSI!$G$15/HSI!$B$3,""))</f>
        <v/>
      </c>
      <c r="EN17" s="85">
        <f>IF(BZ17="","",IFERROR(BZ17*HSI!$B$15*HSI!$G$15/HSI!$B$3,""))</f>
        <v/>
      </c>
      <c r="EO17" s="85">
        <f>IF(CA17="","",IFERROR(CA17*HSI!$B$15*HSI!$G$15/HSI!$B$3,""))</f>
        <v/>
      </c>
      <c r="EP17" s="85">
        <f>IF(CB17="","",IFERROR(CB17*HSI!$B$15*HSI!$G$15/HSI!$B$3,""))</f>
        <v/>
      </c>
      <c r="EQ17" s="85">
        <f>IF(CC17="","",IFERROR(CC17*HSI!$B$15*HSI!$G$15/HSI!$B$3,""))</f>
        <v/>
      </c>
      <c r="ER17" s="85">
        <f>IF(CD17="","",IFERROR(CD17*HSI!$B$15*HSI!$G$15/HSI!$B$3,""))</f>
        <v/>
      </c>
      <c r="ES17" s="85">
        <f>IF(CE17="","",IFERROR(CE17*HSI!$B$15*HSI!$G$15/HSI!$B$3,""))</f>
        <v/>
      </c>
      <c r="ET17" s="85">
        <f>IF(CF17="","",IFERROR(CF17*HSI!$B$15*HSI!$G$15/HSI!$B$3,""))</f>
        <v/>
      </c>
      <c r="EU17" s="85">
        <f>IF(CG17="","",IFERROR(CG17*HSI!$B$15*HSI!$G$15/HSI!$B$3,""))</f>
        <v/>
      </c>
      <c r="EV17" s="85">
        <f>IF(CH17="","",IFERROR(CH17*HSI!$B$15*HSI!$G$15/HSI!$B$3,""))</f>
        <v/>
      </c>
      <c r="EW17" s="85">
        <f>IF(CI17="","",IFERROR(CI17*HSI!$B$15*HSI!$G$15/HSI!$B$3,""))</f>
        <v/>
      </c>
      <c r="EX17" s="85">
        <f>IF(CJ17="","",IFERROR(CJ17*HSI!$B$15*HSI!$G$15/HSI!$B$3,""))</f>
        <v/>
      </c>
      <c r="EY17" s="85">
        <f>IF(CK17="","",IFERROR(CK17*HSI!$B$15*HSI!$G$15/HSI!$B$3,""))</f>
        <v/>
      </c>
      <c r="EZ17" s="85">
        <f>IF(CL17="","",IFERROR(CL17*HSI!$B$15*HSI!$G$15/HSI!$B$3,""))</f>
        <v/>
      </c>
      <c r="FA17" s="85">
        <f>IF(CM17="","",IFERROR(CM17*HSI!$B$15*HSI!$G$15/HSI!$B$3,""))</f>
        <v/>
      </c>
      <c r="FB17" s="85">
        <f>IF(CN17="","",IFERROR(CN17*HSI!$B$15*HSI!$G$15/HSI!$B$3,""))</f>
        <v/>
      </c>
      <c r="FC17" s="85">
        <f>IF(CO17="","",IFERROR(CO17*HSI!$B$15*HSI!$G$15/HSI!$B$3,""))</f>
        <v/>
      </c>
      <c r="FD17" s="85">
        <f>IF(CP17="","",IFERROR(CP17*HSI!$B$15*HSI!$G$15/HSI!$B$3,""))</f>
        <v/>
      </c>
      <c r="FE17" s="85">
        <f>IF(CQ17="","",IFERROR(CQ17*HSI!$B$15*HSI!$G$15/HSI!$B$3,""))</f>
        <v/>
      </c>
      <c r="FF17" s="85">
        <f>IF(CR17="","",IFERROR(CR17*HSI!$B$15*HSI!$G$15/HSI!$B$3,""))</f>
        <v/>
      </c>
      <c r="FG17" s="85">
        <f>IF(CS17="","",IFERROR(CS17*HSI!$B$15*HSI!$G$15/HSI!$B$3,""))</f>
        <v/>
      </c>
      <c r="FH17" s="85">
        <f>IF(CT17="","",IFERROR(CT17*HSI!$B$15*HSI!$G$15/HSI!$B$3,""))</f>
        <v/>
      </c>
      <c r="FI17" s="85">
        <f>IF(CU17="","",IFERROR(CU17*HSI!$B$15*HSI!$G$15/HSI!$B$3,""))</f>
        <v/>
      </c>
      <c r="FJ17" s="85">
        <f>IF(CV17="","",IFERROR(CV17*HSI!$B$15*HSI!$G$15/HSI!$B$3,""))</f>
        <v/>
      </c>
      <c r="FK17" s="85">
        <f>IF(CW17="","",IFERROR(CW17*HSI!$B$15*HSI!$G$15/HSI!$B$3,""))</f>
        <v/>
      </c>
      <c r="FL17" s="85">
        <f>IF(CX17="","",IFERROR(CX17*HSI!$B$15*HSI!$G$15/HSI!$B$3,""))</f>
        <v/>
      </c>
      <c r="FM17" s="85">
        <f>IF(CY17="","",IFERROR(CY17*HSI!$B$15*HSI!$G$15/HSI!$B$3,""))</f>
        <v/>
      </c>
      <c r="FN17" s="85">
        <f>IF(CZ17="","",IFERROR(CZ17*HSI!$B$15*HSI!$G$15/HSI!$B$3,""))</f>
        <v/>
      </c>
      <c r="FO17" s="85">
        <f>IF(DA17="","",IFERROR(DA17*HSI!$B$15*HSI!$G$15/HSI!$B$3,""))</f>
        <v/>
      </c>
      <c r="FP17" s="85">
        <f>IF(DB17="","",IFERROR(DB17*HSI!$B$15*HSI!$G$15/HSI!$B$3,""))</f>
        <v/>
      </c>
      <c r="FQ17" s="85">
        <f>IF(DC17="","",IFERROR(DC17*HSI!$B$15*HSI!$G$15/HSI!$B$3,""))</f>
        <v/>
      </c>
      <c r="FR17" s="85">
        <f>IF(DD17="","",IFERROR(DD17*HSI!$B$15*HSI!$G$15/HSI!$B$3,""))</f>
        <v/>
      </c>
      <c r="FS17" s="85">
        <f>IF(DE17="","",IFERROR(DE17*HSI!$B$15*HSI!$G$15/HSI!$B$3,""))</f>
        <v/>
      </c>
      <c r="FT17" s="85">
        <f>IF(DF17="","",IFERROR(DF17*HSI!$B$15*HSI!$G$15/HSI!$B$3,""))</f>
        <v/>
      </c>
      <c r="FU17" s="85">
        <f>IF(DG17="","",IFERROR(DG17*HSI!$B$15*HSI!$G$15/HSI!$B$3,""))</f>
        <v/>
      </c>
      <c r="FV17" s="85">
        <f>IF(DH17="","",IFERROR(DH17*HSI!$B$15*HSI!$G$15/HSI!$B$3,""))</f>
        <v/>
      </c>
      <c r="FW17" s="85">
        <f>IF(DI17="","",IFERROR(DI17*HSI!$B$15*HSI!$G$15/HSI!$B$3,""))</f>
        <v/>
      </c>
      <c r="FX17" s="85">
        <f>IF(DJ17="","",IFERROR(DJ17*HSI!$B$15*HSI!$G$15/HSI!$B$3,""))</f>
        <v/>
      </c>
      <c r="FY17" s="85">
        <f>IF(DK17="","",IFERROR(DK17*HSI!$B$15*HSI!$G$15/HSI!$B$3,""))</f>
        <v/>
      </c>
      <c r="FZ17" s="85">
        <f>IF(DL17="","",IFERROR(DL17*HSI!$B$15*HSI!$G$15/HSI!$B$3,""))</f>
        <v/>
      </c>
      <c r="GA17" s="85">
        <f>IF(DM17="","",IFERROR(DM17*HSI!$B$15*HSI!$G$15/HSI!$B$3,""))</f>
        <v/>
      </c>
      <c r="GB17" s="85">
        <f>IF(DN17="","",IFERROR(DN17*HSI!$B$15*HSI!$G$15/HSI!$B$3,""))</f>
        <v/>
      </c>
      <c r="GC17" s="85">
        <f>IF(DO17="","",IFERROR(DO17*HSI!$B$15*HSI!$G$15/HSI!$B$3,""))</f>
        <v/>
      </c>
      <c r="GD17" s="85">
        <f>IF(DP17="","",IFERROR(DP17*HSI!$B$15*HSI!$G$15/HSI!$B$3,""))</f>
        <v/>
      </c>
      <c r="GE17" s="85">
        <f>IF(DQ17="","",IFERROR(DQ17*HSI!$B$15*HSI!$G$15/HSI!$B$3,""))</f>
        <v/>
      </c>
      <c r="GF17" s="85">
        <f>IF(DR17="","",IFERROR(DR17*HSI!$B$15*HSI!$G$15/HSI!$B$3,""))</f>
        <v/>
      </c>
      <c r="GG17" s="85">
        <f>IF(DS17="","",IFERROR(DS17*HSI!$B$15*HSI!$G$15/HSI!$B$3,""))</f>
        <v/>
      </c>
      <c r="GH17" s="85">
        <f>IF(DT17="","",IFERROR(DT17*HSI!$B$15*HSI!$G$15/HSI!$B$3,""))</f>
        <v/>
      </c>
      <c r="GI17" s="85">
        <f>IF(DU17="","",IFERROR(DU17*HSI!$B$15*HSI!$G$15/HSI!$B$3,""))</f>
        <v/>
      </c>
      <c r="GJ17" s="85">
        <f>IF(DV17="","",IFERROR(DV17*HSI!$B$15*HSI!$G$15/HSI!$B$3,""))</f>
        <v/>
      </c>
      <c r="GK17" s="85">
        <f>IF(DW17="","",IFERROR(DW17*HSI!$B$15*HSI!$G$15/HSI!$B$3,""))</f>
        <v/>
      </c>
      <c r="GL17" s="85">
        <f>IF(DX17="","",IFERROR(DX17*HSI!$B$15*HSI!$G$15/HSI!$B$3,""))</f>
        <v/>
      </c>
      <c r="GM17" s="85">
        <f>IF(DY17="","",IFERROR(DY17*HSI!$B$15*HSI!$G$15/HSI!$B$3,""))</f>
        <v/>
      </c>
      <c r="GN17" s="85">
        <f>IF(DZ17="","",IFERROR(DZ17*HSI!$B$15*HSI!$G$15/HSI!$B$3,""))</f>
        <v/>
      </c>
      <c r="GO17" s="85">
        <f>IF(EA17="","",IFERROR(EA17*HSI!$B$15*HSI!$G$15/HSI!$B$3,""))</f>
        <v/>
      </c>
      <c r="GP17" s="85">
        <f>IF(EB17="","",IFERROR(EB17*HSI!$B$15*HSI!$G$15/HSI!$B$3,""))</f>
        <v/>
      </c>
      <c r="GQ17" s="85">
        <f>IF(EC17="","",IFERROR(EC17*HSI!$B$15*HSI!$G$15/HSI!$B$3,""))</f>
        <v/>
      </c>
    </row>
    <row r="18">
      <c r="B18" s="2">
        <f>IF(HSI!$C$16="","",HSI!$C$16)</f>
        <v/>
      </c>
      <c r="C18" s="41">
        <f>IF(N('Dvd Calendar'!$E$145)=0,"",IF(('Dvd Calendar'!$E$145&gt;=MIN(DATE(Summary!$C$12,1,1),Summary!$C$11))*('Dvd Calendar'!$E$145&lt;=MAX(DATE(Summary!$C$12,12,31),Summary!$C$15))*('Dvd Calendar'!$E$145&lt;=Summary!$C$11)=0,"",'Dvd Calendar'!$E$145*1000000000+ISNUMBER('Dvd Calendar'!$E$146)*100000000+('Dvd Calendar'!$E$150='Field Check'!$C$25)*10000000+(N('Dvd Calendar'!$E$144)&gt;0)*1000000+10*1000+1))</f>
        <v/>
      </c>
      <c r="D18" s="41">
        <f>IF(N('Dvd Calendar'!$F$145)=0,"",IF(('Dvd Calendar'!$F$145&gt;=MIN(DATE(Summary!$C$12,1,1),Summary!$C$11))*('Dvd Calendar'!$F$145&lt;=MAX(DATE(Summary!$C$12,12,31),Summary!$C$15))*('Dvd Calendar'!$F$145&lt;=Summary!$C$11)=0,"",'Dvd Calendar'!$F$145*1000000000+ISNUMBER('Dvd Calendar'!$F$146)*100000000+('Dvd Calendar'!$F$150='Field Check'!$C$25)*10000000+(N('Dvd Calendar'!$F$144)&gt;0)*1000000+10*1000+2))</f>
        <v/>
      </c>
      <c r="E18" s="41">
        <f>IF(N('Dvd Calendar'!$G$145)=0,"",IF(('Dvd Calendar'!$G$145&gt;=MIN(DATE(Summary!$C$12,1,1),Summary!$C$11))*('Dvd Calendar'!$G$145&lt;=MAX(DATE(Summary!$C$12,12,31),Summary!$C$15))*('Dvd Calendar'!$G$145&lt;=Summary!$C$11)=0,"",'Dvd Calendar'!$G$145*1000000000+ISNUMBER('Dvd Calendar'!$G$146)*100000000+('Dvd Calendar'!$G$150='Field Check'!$C$25)*10000000+(N('Dvd Calendar'!$G$144)&gt;0)*1000000+10*1000+3))</f>
        <v/>
      </c>
      <c r="F18" s="41">
        <f>IF(N('Dvd Calendar'!$H$145)=0,"",IF(('Dvd Calendar'!$H$145&gt;=MIN(DATE(Summary!$C$12,1,1),Summary!$C$11))*('Dvd Calendar'!$H$145&lt;=MAX(DATE(Summary!$C$12,12,31),Summary!$C$15))*('Dvd Calendar'!$H$145&lt;=Summary!$C$11)=0,"",'Dvd Calendar'!$H$145*1000000000+ISNUMBER('Dvd Calendar'!$H$146)*100000000+('Dvd Calendar'!$H$150='Field Check'!$C$25)*10000000+(N('Dvd Calendar'!$H$144)&gt;0)*1000000+10*1000+4))</f>
        <v/>
      </c>
      <c r="G18" s="41">
        <f>IF(N('Dvd Calendar'!$I$145)=0,"",IF(('Dvd Calendar'!$I$145&gt;=MIN(DATE(Summary!$C$12,1,1),Summary!$C$11))*('Dvd Calendar'!$I$145&lt;=MAX(DATE(Summary!$C$12,12,31),Summary!$C$15))*('Dvd Calendar'!$I$145&lt;=Summary!$C$11)=0,"",'Dvd Calendar'!$I$145*1000000000+ISNUMBER('Dvd Calendar'!$I$146)*100000000+('Dvd Calendar'!$I$150='Field Check'!$C$25)*10000000+(N('Dvd Calendar'!$I$144)&gt;0)*1000000+10*1000+5))</f>
        <v/>
      </c>
      <c r="H18" s="41">
        <f>IF(N('Dvd Calendar'!$J$145)=0,"",IF(('Dvd Calendar'!$J$145&gt;=MIN(DATE(Summary!$C$12,1,1),Summary!$C$11))*('Dvd Calendar'!$J$145&lt;=MAX(DATE(Summary!$C$12,12,31),Summary!$C$15))*('Dvd Calendar'!$J$145&lt;=Summary!$C$11)=0,"",'Dvd Calendar'!$J$145*1000000000+ISNUMBER('Dvd Calendar'!$J$146)*100000000+('Dvd Calendar'!$J$150='Field Check'!$C$25)*10000000+(N('Dvd Calendar'!$J$144)&gt;0)*1000000+10*1000+6))</f>
        <v/>
      </c>
      <c r="I18" s="41">
        <f>IF(N('Dvd Calendar'!$K$145)=0,"",IF(('Dvd Calendar'!$K$145&gt;=MIN(DATE(Summary!$C$12,1,1),Summary!$C$11))*('Dvd Calendar'!$K$145&lt;=MAX(DATE(Summary!$C$12,12,31),Summary!$C$15))*('Dvd Calendar'!$K$145&lt;=Summary!$C$11)=0,"",'Dvd Calendar'!$K$145*1000000000+ISNUMBER('Dvd Calendar'!$K$146)*100000000+('Dvd Calendar'!$K$150='Field Check'!$C$25)*10000000+(N('Dvd Calendar'!$K$144)&gt;0)*1000000+10*1000+7))</f>
        <v/>
      </c>
      <c r="J18" s="41">
        <f>IF(N('Dvd Calendar'!$L$145)=0,"",IF(('Dvd Calendar'!$L$145&gt;=MIN(DATE(Summary!$C$12,1,1),Summary!$C$11))*('Dvd Calendar'!$L$145&lt;=MAX(DATE(Summary!$C$12,12,31),Summary!$C$15))*('Dvd Calendar'!$L$145&lt;=Summary!$C$11)=0,"",'Dvd Calendar'!$L$145*1000000000+ISNUMBER('Dvd Calendar'!$L$146)*100000000+('Dvd Calendar'!$L$150='Field Check'!$C$25)*10000000+(N('Dvd Calendar'!$L$144)&gt;0)*1000000+10*1000+8))</f>
        <v/>
      </c>
      <c r="K18" s="41">
        <f>IF(N('Dvd Calendar'!$M$145)=0,"",IF(('Dvd Calendar'!$M$145&gt;=MIN(DATE(Summary!$C$12,1,1),Summary!$C$11))*('Dvd Calendar'!$M$145&lt;=MAX(DATE(Summary!$C$12,12,31),Summary!$C$15))*('Dvd Calendar'!$M$145&lt;=Summary!$C$11)=0,"",'Dvd Calendar'!$M$145*1000000000+ISNUMBER('Dvd Calendar'!$M$146)*100000000+('Dvd Calendar'!$M$150='Field Check'!$C$25)*10000000+(N('Dvd Calendar'!$M$144)&gt;0)*1000000+10*1000+9))</f>
        <v/>
      </c>
      <c r="L18" s="41">
        <f>IF(N('Dvd Calendar'!$N$145)=0,"",IF(('Dvd Calendar'!$N$145&gt;=MIN(DATE(Summary!$C$12,1,1),Summary!$C$11))*('Dvd Calendar'!$N$145&lt;=MAX(DATE(Summary!$C$12,12,31),Summary!$C$15))*('Dvd Calendar'!$N$145&lt;=Summary!$C$11)=0,"",'Dvd Calendar'!$N$145*1000000000+ISNUMBER('Dvd Calendar'!$N$146)*100000000+('Dvd Calendar'!$N$150='Field Check'!$C$25)*10000000+(N('Dvd Calendar'!$N$144)&gt;0)*1000000+10*1000+10))</f>
        <v/>
      </c>
      <c r="M18" s="41">
        <f>IF(N('Dvd Calendar'!$O$145)=0,"",IF(('Dvd Calendar'!$O$145&gt;=MIN(DATE(Summary!$C$12,1,1),Summary!$C$11))*('Dvd Calendar'!$O$145&lt;=MAX(DATE(Summary!$C$12,12,31),Summary!$C$15))*('Dvd Calendar'!$O$145&lt;=Summary!$C$11)=0,"",'Dvd Calendar'!$O$145*1000000000+ISNUMBER('Dvd Calendar'!$O$146)*100000000+('Dvd Calendar'!$O$150='Field Check'!$C$25)*10000000+(N('Dvd Calendar'!$O$144)&gt;0)*1000000+10*1000+11))</f>
        <v/>
      </c>
      <c r="N18" s="41">
        <f>IF(N('Dvd Calendar'!$P$145)=0,"",IF(('Dvd Calendar'!$P$145&gt;=MIN(DATE(Summary!$C$12,1,1),Summary!$C$11))*('Dvd Calendar'!$P$145&lt;=MAX(DATE(Summary!$C$12,12,31),Summary!$C$15))*('Dvd Calendar'!$P$145&lt;=Summary!$C$11)=0,"",'Dvd Calendar'!$P$145*1000000000+ISNUMBER('Dvd Calendar'!$P$146)*100000000+('Dvd Calendar'!$P$150='Field Check'!$C$25)*10000000+(N('Dvd Calendar'!$P$144)&gt;0)*1000000+10*1000+12))</f>
        <v/>
      </c>
      <c r="O18" s="41">
        <f>IF(N('Dvd Calendar'!$Q$145)=0,"",IF(('Dvd Calendar'!$Q$145&gt;=MIN(DATE(Summary!$C$12,1,1),Summary!$C$11))*('Dvd Calendar'!$Q$145&lt;=MAX(DATE(Summary!$C$12,12,31),Summary!$C$15))*('Dvd Calendar'!$Q$145&lt;=Summary!$C$11)=0,"",'Dvd Calendar'!$Q$145*1000000000+ISNUMBER('Dvd Calendar'!$Q$146)*100000000+('Dvd Calendar'!$Q$150='Field Check'!$C$25)*10000000+(N('Dvd Calendar'!$Q$144)&gt;0)*1000000+10*1000+13))</f>
        <v/>
      </c>
      <c r="P18" s="41">
        <f>IF(N('Dvd Calendar'!$R$145)=0,"",IF(('Dvd Calendar'!$R$145&gt;=MIN(DATE(Summary!$C$12,1,1),Summary!$C$11))*('Dvd Calendar'!$R$145&lt;=MAX(DATE(Summary!$C$12,12,31),Summary!$C$15))*('Dvd Calendar'!$R$145&lt;=Summary!$C$11)=0,"",'Dvd Calendar'!$R$145*1000000000+ISNUMBER('Dvd Calendar'!$R$146)*100000000+('Dvd Calendar'!$R$150='Field Check'!$C$25)*10000000+(N('Dvd Calendar'!$R$144)&gt;0)*1000000+10*1000+14))</f>
        <v/>
      </c>
      <c r="Q18" s="41">
        <f>IF(N('Dvd Calendar'!$S$145)=0,"",IF(('Dvd Calendar'!$S$145&gt;=MIN(DATE(Summary!$C$12,1,1),Summary!$C$11))*('Dvd Calendar'!$S$145&lt;=MAX(DATE(Summary!$C$12,12,31),Summary!$C$15))*('Dvd Calendar'!$S$145&lt;=Summary!$C$11)=0,"",'Dvd Calendar'!$S$145*1000000000+ISNUMBER('Dvd Calendar'!$S$146)*100000000+('Dvd Calendar'!$S$150='Field Check'!$C$25)*10000000+(N('Dvd Calendar'!$S$144)&gt;0)*1000000+10*1000+15))</f>
        <v/>
      </c>
      <c r="R18" s="41">
        <f>IF(N('Dvd Calendar'!$T$145)=0,"",IF(('Dvd Calendar'!$T$145&gt;=MIN(DATE(Summary!$C$12,1,1),Summary!$C$11))*('Dvd Calendar'!$T$145&lt;=MAX(DATE(Summary!$C$12,12,31),Summary!$C$15))*('Dvd Calendar'!$T$145&lt;=Summary!$C$11)=0,"",'Dvd Calendar'!$T$145*1000000000+ISNUMBER('Dvd Calendar'!$T$146)*100000000+('Dvd Calendar'!$T$150='Field Check'!$C$25)*10000000+(N('Dvd Calendar'!$T$144)&gt;0)*1000000+10*1000+16))</f>
        <v/>
      </c>
      <c r="S18" s="41">
        <f>IF(N('Dvd Calendar'!$U$145)=0,"",IF(('Dvd Calendar'!$U$145&gt;=MIN(DATE(Summary!$C$12,1,1),Summary!$C$11))*('Dvd Calendar'!$U$145&lt;=MAX(DATE(Summary!$C$12,12,31),Summary!$C$15))*('Dvd Calendar'!$U$145&lt;=Summary!$C$11)=0,"",'Dvd Calendar'!$U$145*1000000000+ISNUMBER('Dvd Calendar'!$U$146)*100000000+('Dvd Calendar'!$U$150='Field Check'!$C$25)*10000000+(N('Dvd Calendar'!$U$144)&gt;0)*1000000+10*1000+17))</f>
        <v/>
      </c>
      <c r="T18" s="41">
        <f>IF(N('Dvd Calendar'!$V$145)=0,"",IF(('Dvd Calendar'!$V$145&gt;=MIN(DATE(Summary!$C$12,1,1),Summary!$C$11))*('Dvd Calendar'!$V$145&lt;=MAX(DATE(Summary!$C$12,12,31),Summary!$C$15))*('Dvd Calendar'!$V$145&lt;=Summary!$C$11)=0,"",'Dvd Calendar'!$V$145*1000000000+ISNUMBER('Dvd Calendar'!$V$146)*100000000+('Dvd Calendar'!$V$150='Field Check'!$C$25)*10000000+(N('Dvd Calendar'!$V$144)&gt;0)*1000000+10*1000+18))</f>
        <v/>
      </c>
      <c r="U18" s="41">
        <f>IF(N('Dvd Calendar'!$W$145)=0,"",IF(('Dvd Calendar'!$W$145&gt;=MIN(DATE(Summary!$C$12,1,1),Summary!$C$11))*('Dvd Calendar'!$W$145&lt;=MAX(DATE(Summary!$C$12,12,31),Summary!$C$15))*('Dvd Calendar'!$W$145&lt;=Summary!$C$11)=0,"",'Dvd Calendar'!$W$145*1000000000+ISNUMBER('Dvd Calendar'!$W$146)*100000000+('Dvd Calendar'!$W$150='Field Check'!$C$25)*10000000+(N('Dvd Calendar'!$W$144)&gt;0)*1000000+10*1000+19))</f>
        <v/>
      </c>
      <c r="V18" s="41">
        <f>IF(N('Dvd Calendar'!$X$145)=0,"",IF(('Dvd Calendar'!$X$145&gt;=MIN(DATE(Summary!$C$12,1,1),Summary!$C$11))*('Dvd Calendar'!$X$145&lt;=MAX(DATE(Summary!$C$12,12,31),Summary!$C$15))*('Dvd Calendar'!$X$145&lt;=Summary!$C$11)=0,"",'Dvd Calendar'!$X$145*1000000000+ISNUMBER('Dvd Calendar'!$X$146)*100000000+('Dvd Calendar'!$X$150='Field Check'!$C$25)*10000000+(N('Dvd Calendar'!$X$144)&gt;0)*1000000+10*1000+20))</f>
        <v/>
      </c>
      <c r="W18" s="41">
        <f>IF(N('Dvd Calendar'!$Y$145)=0,"",IF(('Dvd Calendar'!$Y$145&gt;=MIN(DATE(Summary!$C$12,1,1),Summary!$C$11))*('Dvd Calendar'!$Y$145&lt;=MAX(DATE(Summary!$C$12,12,31),Summary!$C$15))*('Dvd Calendar'!$Y$145&lt;=Summary!$C$11)=0,"",'Dvd Calendar'!$Y$145*1000000000+ISNUMBER('Dvd Calendar'!$Y$146)*100000000+('Dvd Calendar'!$Y$150='Field Check'!$C$25)*10000000+(N('Dvd Calendar'!$Y$144)&gt;0)*1000000+10*1000+21))</f>
        <v/>
      </c>
      <c r="X18" s="41">
        <f>IF(N('Dvd Calendar'!$Z$145)=0,"",IF(('Dvd Calendar'!$Z$145&gt;=MIN(DATE(Summary!$C$12,1,1),Summary!$C$11))*('Dvd Calendar'!$Z$145&lt;=MAX(DATE(Summary!$C$12,12,31),Summary!$C$15))*('Dvd Calendar'!$Z$145&lt;=Summary!$C$11)=0,"",'Dvd Calendar'!$Z$145*1000000000+ISNUMBER('Dvd Calendar'!$Z$146)*100000000+('Dvd Calendar'!$Z$150='Field Check'!$C$25)*10000000+(N('Dvd Calendar'!$Z$144)&gt;0)*1000000+10*1000+22))</f>
        <v/>
      </c>
      <c r="Y18" s="41">
        <f>IF(N('Dvd Calendar'!$AA$145)=0,"",IF(('Dvd Calendar'!$AA$145&gt;=MIN(DATE(Summary!$C$12,1,1),Summary!$C$11))*('Dvd Calendar'!$AA$145&lt;=MAX(DATE(Summary!$C$12,12,31),Summary!$C$15))*('Dvd Calendar'!$AA$145&lt;=Summary!$C$11)=0,"",'Dvd Calendar'!$AA$145*1000000000+ISNUMBER('Dvd Calendar'!$AA$146)*100000000+('Dvd Calendar'!$AA$150='Field Check'!$C$25)*10000000+(N('Dvd Calendar'!$AA$144)&gt;0)*1000000+10*1000+23))</f>
        <v/>
      </c>
      <c r="Z18" s="41">
        <f>IF(N('Dvd Calendar'!$AB$145)=0,"",IF(('Dvd Calendar'!$AB$145&gt;=MIN(DATE(Summary!$C$12,1,1),Summary!$C$11))*('Dvd Calendar'!$AB$145&lt;=MAX(DATE(Summary!$C$12,12,31),Summary!$C$15))*('Dvd Calendar'!$AB$145&lt;=Summary!$C$11)=0,"",'Dvd Calendar'!$AB$145*1000000000+ISNUMBER('Dvd Calendar'!$AB$146)*100000000+('Dvd Calendar'!$AB$150='Field Check'!$C$25)*10000000+(N('Dvd Calendar'!$AB$144)&gt;0)*1000000+10*1000+24))</f>
        <v/>
      </c>
      <c r="AA18" s="41">
        <f>IF(N('Dvd Calendar'!$AC$145)=0,"",IF(('Dvd Calendar'!$AC$145&gt;=MIN(DATE(Summary!$C$12,1,1),Summary!$C$11))*('Dvd Calendar'!$AC$145&lt;=MAX(DATE(Summary!$C$12,12,31),Summary!$C$15))*('Dvd Calendar'!$AC$145&lt;=Summary!$C$11)=0,"",'Dvd Calendar'!$AC$145*1000000000+ISNUMBER('Dvd Calendar'!$AC$146)*100000000+('Dvd Calendar'!$AC$150='Field Check'!$C$25)*10000000+(N('Dvd Calendar'!$AC$144)&gt;0)*1000000+10*1000+25))</f>
        <v/>
      </c>
      <c r="AB18" s="41">
        <f>IF(N('Dvd Calendar'!$AD$145)=0,"",IF(('Dvd Calendar'!$AD$145&gt;=MIN(DATE(Summary!$C$12,1,1),Summary!$C$11))*('Dvd Calendar'!$AD$145&lt;=MAX(DATE(Summary!$C$12,12,31),Summary!$C$15))*('Dvd Calendar'!$AD$145&lt;=Summary!$C$11)=0,"",'Dvd Calendar'!$AD$145*1000000000+ISNUMBER('Dvd Calendar'!$AD$146)*100000000+('Dvd Calendar'!$AD$150='Field Check'!$C$25)*10000000+(N('Dvd Calendar'!$AD$144)&gt;0)*1000000+10*1000+26))</f>
        <v/>
      </c>
      <c r="AC18" s="41">
        <f>IF(N('Dvd Calendar'!$AE$145)=0,"",IF(('Dvd Calendar'!$AE$145&gt;=MIN(DATE(Summary!$C$12,1,1),Summary!$C$11))*('Dvd Calendar'!$AE$145&lt;=MAX(DATE(Summary!$C$12,12,31),Summary!$C$15))*('Dvd Calendar'!$AE$145&lt;=Summary!$C$11)=0,"",'Dvd Calendar'!$AE$145*1000000000+ISNUMBER('Dvd Calendar'!$AE$146)*100000000+('Dvd Calendar'!$AE$150='Field Check'!$C$25)*10000000+(N('Dvd Calendar'!$AE$144)&gt;0)*1000000+10*1000+27))</f>
        <v/>
      </c>
      <c r="AD18" s="41">
        <f>IF(N('Dvd Calendar'!$AF$145)=0,"",IF(('Dvd Calendar'!$AF$145&gt;=MIN(DATE(Summary!$C$12,1,1),Summary!$C$11))*('Dvd Calendar'!$AF$145&lt;=MAX(DATE(Summary!$C$12,12,31),Summary!$C$15))*('Dvd Calendar'!$AF$145&lt;=Summary!$C$11)=0,"",'Dvd Calendar'!$AF$145*1000000000+ISNUMBER('Dvd Calendar'!$AF$146)*100000000+('Dvd Calendar'!$AF$150='Field Check'!$C$25)*10000000+(N('Dvd Calendar'!$AF$144)&gt;0)*1000000+10*1000+28))</f>
        <v/>
      </c>
      <c r="AE18" s="41">
        <f>IF(N('Dvd Calendar'!$AG$145)=0,"",IF(('Dvd Calendar'!$AG$145&gt;=MIN(DATE(Summary!$C$12,1,1),Summary!$C$11))*('Dvd Calendar'!$AG$145&lt;=MAX(DATE(Summary!$C$12,12,31),Summary!$C$15))*('Dvd Calendar'!$AG$145&lt;=Summary!$C$11)=0,"",'Dvd Calendar'!$AG$145*1000000000+ISNUMBER('Dvd Calendar'!$AG$146)*100000000+('Dvd Calendar'!$AG$150='Field Check'!$C$25)*10000000+(N('Dvd Calendar'!$AG$144)&gt;0)*1000000+10*1000+29))</f>
        <v/>
      </c>
      <c r="AF18" s="41">
        <f>IF(N('Dvd Calendar'!$AH$145)=0,"",IF(('Dvd Calendar'!$AH$145&gt;=MIN(DATE(Summary!$C$12,1,1),Summary!$C$11))*('Dvd Calendar'!$AH$145&lt;=MAX(DATE(Summary!$C$12,12,31),Summary!$C$15))*('Dvd Calendar'!$AH$145&lt;=Summary!$C$11)=0,"",'Dvd Calendar'!$AH$145*1000000000+ISNUMBER('Dvd Calendar'!$AH$146)*100000000+('Dvd Calendar'!$AH$150='Field Check'!$C$25)*10000000+(N('Dvd Calendar'!$AH$144)&gt;0)*1000000+10*1000+30))</f>
        <v/>
      </c>
      <c r="AG18" s="41">
        <f>IF(N('Dvd Calendar'!$AI$145)=0,"",IF(('Dvd Calendar'!$AI$145&gt;=MIN(DATE(Summary!$C$12,1,1),Summary!$C$11))*('Dvd Calendar'!$AI$145&lt;=MAX(DATE(Summary!$C$12,12,31),Summary!$C$15))*('Dvd Calendar'!$AI$145&lt;=Summary!$C$11)=0,"",'Dvd Calendar'!$AI$145*1000000000+ISNUMBER('Dvd Calendar'!$AI$146)*100000000+('Dvd Calendar'!$AI$150='Field Check'!$C$25)*10000000+(N('Dvd Calendar'!$AI$144)&gt;0)*1000000+10*1000+31))</f>
        <v/>
      </c>
      <c r="AH18" s="41">
        <f>IF(N('Dvd Calendar'!$AJ$145)=0,"",IF(('Dvd Calendar'!$AJ$145&gt;=MIN(DATE(Summary!$C$12,1,1),Summary!$C$11))*('Dvd Calendar'!$AJ$145&lt;=MAX(DATE(Summary!$C$12,12,31),Summary!$C$15))*('Dvd Calendar'!$AJ$145&lt;=Summary!$C$11)=0,"",'Dvd Calendar'!$AJ$145*1000000000+ISNUMBER('Dvd Calendar'!$AJ$146)*100000000+('Dvd Calendar'!$AJ$150='Field Check'!$C$25)*10000000+(N('Dvd Calendar'!$AJ$144)&gt;0)*1000000+10*1000+32))</f>
        <v/>
      </c>
      <c r="AI18" s="41">
        <f>IF(N('Dvd Calendar'!$AK$145)=0,"",IF(('Dvd Calendar'!$AK$145&gt;=MIN(DATE(Summary!$C$12,1,1),Summary!$C$11))*('Dvd Calendar'!$AK$145&lt;=MAX(DATE(Summary!$C$12,12,31),Summary!$C$15))*('Dvd Calendar'!$AK$145&lt;=Summary!$C$11)=0,"",'Dvd Calendar'!$AK$145*1000000000+ISNUMBER('Dvd Calendar'!$AK$146)*100000000+('Dvd Calendar'!$AK$150='Field Check'!$C$25)*10000000+(N('Dvd Calendar'!$AK$144)&gt;0)*1000000+10*1000+33))</f>
        <v/>
      </c>
      <c r="AJ18" s="41">
        <f>IF(N('Dvd Calendar'!$AL$145)=0,"",IF(('Dvd Calendar'!$AL$145&gt;=MIN(DATE(Summary!$C$12,1,1),Summary!$C$11))*('Dvd Calendar'!$AL$145&lt;=MAX(DATE(Summary!$C$12,12,31),Summary!$C$15))*('Dvd Calendar'!$AL$145&lt;=Summary!$C$11)=0,"",'Dvd Calendar'!$AL$145*1000000000+ISNUMBER('Dvd Calendar'!$AL$146)*100000000+('Dvd Calendar'!$AL$150='Field Check'!$C$25)*10000000+(N('Dvd Calendar'!$AL$144)&gt;0)*1000000+10*1000+34))</f>
        <v/>
      </c>
      <c r="AK18" s="41">
        <f>IF(N('Dvd Calendar'!$AM$145)=0,"",IF(('Dvd Calendar'!$AM$145&gt;=MIN(DATE(Summary!$C$12,1,1),Summary!$C$11))*('Dvd Calendar'!$AM$145&lt;=MAX(DATE(Summary!$C$12,12,31),Summary!$C$15))*('Dvd Calendar'!$AM$145&lt;=Summary!$C$11)=0,"",'Dvd Calendar'!$AM$145*1000000000+ISNUMBER('Dvd Calendar'!$AM$146)*100000000+('Dvd Calendar'!$AM$150='Field Check'!$C$25)*10000000+(N('Dvd Calendar'!$AM$144)&gt;0)*1000000+10*1000+35))</f>
        <v/>
      </c>
      <c r="AL18" s="41">
        <f>IF(N('Dvd Calendar'!$AN$145)=0,"",IF(('Dvd Calendar'!$AN$145&gt;=MIN(DATE(Summary!$C$12,1,1),Summary!$C$11))*('Dvd Calendar'!$AN$145&lt;=MAX(DATE(Summary!$C$12,12,31),Summary!$C$15))*('Dvd Calendar'!$AN$145&lt;=Summary!$C$11)=0,"",'Dvd Calendar'!$AN$145*1000000000+ISNUMBER('Dvd Calendar'!$AN$146)*100000000+('Dvd Calendar'!$AN$150='Field Check'!$C$25)*10000000+(N('Dvd Calendar'!$AN$144)&gt;0)*1000000+10*1000+36))</f>
        <v/>
      </c>
      <c r="AM18" s="41">
        <f>IF(N('Dvd Calendar'!$AO$145)=0,"",IF(('Dvd Calendar'!$AO$145&gt;=MIN(DATE(Summary!$C$12,1,1),Summary!$C$11))*('Dvd Calendar'!$AO$145&lt;=MAX(DATE(Summary!$C$12,12,31),Summary!$C$15))*('Dvd Calendar'!$AO$145&lt;=Summary!$C$11)=0,"",'Dvd Calendar'!$AO$145*1000000000+ISNUMBER('Dvd Calendar'!$AO$146)*100000000+('Dvd Calendar'!$AO$150='Field Check'!$C$25)*10000000+(N('Dvd Calendar'!$AO$144)&gt;0)*1000000+10*1000+37))</f>
        <v/>
      </c>
      <c r="AN18" s="41">
        <f>IF(N('Dvd Calendar'!$AP$145)=0,"",IF(('Dvd Calendar'!$AP$145&gt;=MIN(DATE(Summary!$C$12,1,1),Summary!$C$11))*('Dvd Calendar'!$AP$145&lt;=MAX(DATE(Summary!$C$12,12,31),Summary!$C$15))*('Dvd Calendar'!$AP$145&lt;=Summary!$C$11)=0,"",'Dvd Calendar'!$AP$145*1000000000+ISNUMBER('Dvd Calendar'!$AP$146)*100000000+('Dvd Calendar'!$AP$150='Field Check'!$C$25)*10000000+(N('Dvd Calendar'!$AP$144)&gt;0)*1000000+10*1000+38))</f>
        <v/>
      </c>
      <c r="AO18" s="41">
        <f>IF(N('Dvd Calendar'!$AQ$145)=0,"",IF(('Dvd Calendar'!$AQ$145&gt;=MIN(DATE(Summary!$C$12,1,1),Summary!$C$11))*('Dvd Calendar'!$AQ$145&lt;=MAX(DATE(Summary!$C$12,12,31),Summary!$C$15))*('Dvd Calendar'!$AQ$145&lt;=Summary!$C$11)=0,"",'Dvd Calendar'!$AQ$145*1000000000+ISNUMBER('Dvd Calendar'!$AQ$146)*100000000+('Dvd Calendar'!$AQ$150='Field Check'!$C$25)*10000000+(N('Dvd Calendar'!$AQ$144)&gt;0)*1000000+10*1000+39))</f>
        <v/>
      </c>
      <c r="AP18" s="41">
        <f>IF(N('Dvd Calendar'!$AR$145)=0,"",IF(('Dvd Calendar'!$AR$145&gt;=MIN(DATE(Summary!$C$12,1,1),Summary!$C$11))*('Dvd Calendar'!$AR$145&lt;=MAX(DATE(Summary!$C$12,12,31),Summary!$C$15))*('Dvd Calendar'!$AR$145&lt;=Summary!$C$11)=0,"",'Dvd Calendar'!$AR$145*1000000000+ISNUMBER('Dvd Calendar'!$AR$146)*100000000+('Dvd Calendar'!$AR$150='Field Check'!$C$25)*10000000+(N('Dvd Calendar'!$AR$144)&gt;0)*1000000+10*1000+40))</f>
        <v/>
      </c>
      <c r="AQ18" s="41">
        <f>IF(N('Dvd Calendar'!$E$152)=0,"",IF(('Dvd Calendar'!$E$152&gt;=MIN(DATE(Summary!$C$12,1,1),Summary!$C$11))*('Dvd Calendar'!$E$152&lt;=MAX(DATE(Summary!$C$12,12,31),Summary!$C$15))*('Dvd Calendar'!$E$152&gt;Summary!$C$11)=0,"",'Dvd Calendar'!$E$152*1000000000+ISNUMBER('Dvd Calendar'!$E$153)*100000000+('Dvd Calendar'!$E$157='Field Check'!$C$25)*10000000+(N('Dvd Calendar'!$E$151)&gt;0)*1000000+10*1000+41))</f>
        <v/>
      </c>
      <c r="AR18" s="41">
        <f>IF(N('Dvd Calendar'!$F$152)=0,"",IF(('Dvd Calendar'!$F$152&gt;=MIN(DATE(Summary!$C$12,1,1),Summary!$C$11))*('Dvd Calendar'!$F$152&lt;=MAX(DATE(Summary!$C$12,12,31),Summary!$C$15))*('Dvd Calendar'!$F$152&gt;Summary!$C$11)=0,"",'Dvd Calendar'!$F$152*1000000000+ISNUMBER('Dvd Calendar'!$F$153)*100000000+('Dvd Calendar'!$F$157='Field Check'!$C$25)*10000000+(N('Dvd Calendar'!$F$151)&gt;0)*1000000+10*1000+42))</f>
        <v/>
      </c>
      <c r="AS18" s="41">
        <f>IF(N('Dvd Calendar'!$G$152)=0,"",IF(('Dvd Calendar'!$G$152&gt;=MIN(DATE(Summary!$C$12,1,1),Summary!$C$11))*('Dvd Calendar'!$G$152&lt;=MAX(DATE(Summary!$C$12,12,31),Summary!$C$15))*('Dvd Calendar'!$G$152&gt;Summary!$C$11)=0,"",'Dvd Calendar'!$G$152*1000000000+ISNUMBER('Dvd Calendar'!$G$153)*100000000+('Dvd Calendar'!$G$157='Field Check'!$C$25)*10000000+(N('Dvd Calendar'!$G$151)&gt;0)*1000000+10*1000+43))</f>
        <v/>
      </c>
      <c r="AT18" s="41">
        <f>IF(N('Dvd Calendar'!$H$152)=0,"",IF(('Dvd Calendar'!$H$152&gt;=MIN(DATE(Summary!$C$12,1,1),Summary!$C$11))*('Dvd Calendar'!$H$152&lt;=MAX(DATE(Summary!$C$12,12,31),Summary!$C$15))*('Dvd Calendar'!$H$152&gt;Summary!$C$11)=0,"",'Dvd Calendar'!$H$152*1000000000+ISNUMBER('Dvd Calendar'!$H$153)*100000000+('Dvd Calendar'!$H$157='Field Check'!$C$25)*10000000+(N('Dvd Calendar'!$H$151)&gt;0)*1000000+10*1000+44))</f>
        <v/>
      </c>
      <c r="AU18" s="41">
        <f>IF(N('Dvd Calendar'!$I$152)=0,"",IF(('Dvd Calendar'!$I$152&gt;=MIN(DATE(Summary!$C$12,1,1),Summary!$C$11))*('Dvd Calendar'!$I$152&lt;=MAX(DATE(Summary!$C$12,12,31),Summary!$C$15))*('Dvd Calendar'!$I$152&gt;Summary!$C$11)=0,"",'Dvd Calendar'!$I$152*1000000000+ISNUMBER('Dvd Calendar'!$I$153)*100000000+('Dvd Calendar'!$I$157='Field Check'!$C$25)*10000000+(N('Dvd Calendar'!$I$151)&gt;0)*1000000+10*1000+45))</f>
        <v/>
      </c>
      <c r="AV18" s="41">
        <f>IF(N('Dvd Calendar'!$J$152)=0,"",IF(('Dvd Calendar'!$J$152&gt;=MIN(DATE(Summary!$C$12,1,1),Summary!$C$11))*('Dvd Calendar'!$J$152&lt;=MAX(DATE(Summary!$C$12,12,31),Summary!$C$15))*('Dvd Calendar'!$J$152&gt;Summary!$C$11)=0,"",'Dvd Calendar'!$J$152*1000000000+ISNUMBER('Dvd Calendar'!$J$153)*100000000+('Dvd Calendar'!$J$157='Field Check'!$C$25)*10000000+(N('Dvd Calendar'!$J$151)&gt;0)*1000000+10*1000+46))</f>
        <v/>
      </c>
      <c r="AW18" s="41">
        <f>IF(N('Dvd Calendar'!$K$152)=0,"",IF(('Dvd Calendar'!$K$152&gt;=MIN(DATE(Summary!$C$12,1,1),Summary!$C$11))*('Dvd Calendar'!$K$152&lt;=MAX(DATE(Summary!$C$12,12,31),Summary!$C$15))*('Dvd Calendar'!$K$152&gt;Summary!$C$11)=0,"",'Dvd Calendar'!$K$152*1000000000+ISNUMBER('Dvd Calendar'!$K$153)*100000000+('Dvd Calendar'!$K$157='Field Check'!$C$25)*10000000+(N('Dvd Calendar'!$K$151)&gt;0)*1000000+10*1000+47))</f>
        <v/>
      </c>
      <c r="AX18" s="41">
        <f>IF(N('Dvd Calendar'!$L$152)=0,"",IF(('Dvd Calendar'!$L$152&gt;=MIN(DATE(Summary!$C$12,1,1),Summary!$C$11))*('Dvd Calendar'!$L$152&lt;=MAX(DATE(Summary!$C$12,12,31),Summary!$C$15))*('Dvd Calendar'!$L$152&gt;Summary!$C$11)=0,"",'Dvd Calendar'!$L$152*1000000000+ISNUMBER('Dvd Calendar'!$L$153)*100000000+('Dvd Calendar'!$L$157='Field Check'!$C$25)*10000000+(N('Dvd Calendar'!$L$151)&gt;0)*1000000+10*1000+48))</f>
        <v/>
      </c>
      <c r="AY18" s="41">
        <f>IF(N('Dvd Calendar'!$M$152)=0,"",IF(('Dvd Calendar'!$M$152&gt;=MIN(DATE(Summary!$C$12,1,1),Summary!$C$11))*('Dvd Calendar'!$M$152&lt;=MAX(DATE(Summary!$C$12,12,31),Summary!$C$15))*('Dvd Calendar'!$M$152&gt;Summary!$C$11)=0,"",'Dvd Calendar'!$M$152*1000000000+ISNUMBER('Dvd Calendar'!$M$153)*100000000+('Dvd Calendar'!$M$157='Field Check'!$C$25)*10000000+(N('Dvd Calendar'!$M$151)&gt;0)*1000000+10*1000+49))</f>
        <v/>
      </c>
      <c r="AZ18" s="41">
        <f>IF(N('Dvd Calendar'!$N$152)=0,"",IF(('Dvd Calendar'!$N$152&gt;=MIN(DATE(Summary!$C$12,1,1),Summary!$C$11))*('Dvd Calendar'!$N$152&lt;=MAX(DATE(Summary!$C$12,12,31),Summary!$C$15))*('Dvd Calendar'!$N$152&gt;Summary!$C$11)=0,"",'Dvd Calendar'!$N$152*1000000000+ISNUMBER('Dvd Calendar'!$N$153)*100000000+('Dvd Calendar'!$N$157='Field Check'!$C$25)*10000000+(N('Dvd Calendar'!$N$151)&gt;0)*1000000+10*1000+50))</f>
        <v/>
      </c>
      <c r="BA18" s="41">
        <f>IF(N('Dvd Calendar'!$O$152)=0,"",IF(('Dvd Calendar'!$O$152&gt;=MIN(DATE(Summary!$C$12,1,1),Summary!$C$11))*('Dvd Calendar'!$O$152&lt;=MAX(DATE(Summary!$C$12,12,31),Summary!$C$15))*('Dvd Calendar'!$O$152&gt;Summary!$C$11)=0,"",'Dvd Calendar'!$O$152*1000000000+ISNUMBER('Dvd Calendar'!$O$153)*100000000+('Dvd Calendar'!$O$157='Field Check'!$C$25)*10000000+(N('Dvd Calendar'!$O$151)&gt;0)*1000000+10*1000+51))</f>
        <v/>
      </c>
      <c r="BB18" s="41">
        <f>IF(N('Dvd Calendar'!$P$152)=0,"",IF(('Dvd Calendar'!$P$152&gt;=MIN(DATE(Summary!$C$12,1,1),Summary!$C$11))*('Dvd Calendar'!$P$152&lt;=MAX(DATE(Summary!$C$12,12,31),Summary!$C$15))*('Dvd Calendar'!$P$152&gt;Summary!$C$11)=0,"",'Dvd Calendar'!$P$152*1000000000+ISNUMBER('Dvd Calendar'!$P$153)*100000000+('Dvd Calendar'!$P$157='Field Check'!$C$25)*10000000+(N('Dvd Calendar'!$P$151)&gt;0)*1000000+10*1000+52))</f>
        <v/>
      </c>
      <c r="BC18" s="41">
        <f>IF(N('Dvd Calendar'!$Q$152)=0,"",IF(('Dvd Calendar'!$Q$152&gt;=MIN(DATE(Summary!$C$12,1,1),Summary!$C$11))*('Dvd Calendar'!$Q$152&lt;=MAX(DATE(Summary!$C$12,12,31),Summary!$C$15))*('Dvd Calendar'!$Q$152&gt;Summary!$C$11)=0,"",'Dvd Calendar'!$Q$152*1000000000+ISNUMBER('Dvd Calendar'!$Q$153)*100000000+('Dvd Calendar'!$Q$157='Field Check'!$C$25)*10000000+(N('Dvd Calendar'!$Q$151)&gt;0)*1000000+10*1000+53))</f>
        <v/>
      </c>
      <c r="BD18" s="41">
        <f>IF(N('Dvd Calendar'!$R$152)=0,"",IF(('Dvd Calendar'!$R$152&gt;=MIN(DATE(Summary!$C$12,1,1),Summary!$C$11))*('Dvd Calendar'!$R$152&lt;=MAX(DATE(Summary!$C$12,12,31),Summary!$C$15))*('Dvd Calendar'!$R$152&gt;Summary!$C$11)=0,"",'Dvd Calendar'!$R$152*1000000000+ISNUMBER('Dvd Calendar'!$R$153)*100000000+('Dvd Calendar'!$R$157='Field Check'!$C$25)*10000000+(N('Dvd Calendar'!$R$151)&gt;0)*1000000+10*1000+54))</f>
        <v/>
      </c>
      <c r="BE18" s="41">
        <f>IF(N('Dvd Calendar'!$S$152)=0,"",IF(('Dvd Calendar'!$S$152&gt;=MIN(DATE(Summary!$C$12,1,1),Summary!$C$11))*('Dvd Calendar'!$S$152&lt;=MAX(DATE(Summary!$C$12,12,31),Summary!$C$15))*('Dvd Calendar'!$S$152&gt;Summary!$C$11)=0,"",'Dvd Calendar'!$S$152*1000000000+ISNUMBER('Dvd Calendar'!$S$153)*100000000+('Dvd Calendar'!$S$157='Field Check'!$C$25)*10000000+(N('Dvd Calendar'!$S$151)&gt;0)*1000000+10*1000+55))</f>
        <v/>
      </c>
      <c r="BF18" s="41">
        <f>IF(N('Dvd Calendar'!$T$152)=0,"",IF(('Dvd Calendar'!$T$152&gt;=MIN(DATE(Summary!$C$12,1,1),Summary!$C$11))*('Dvd Calendar'!$T$152&lt;=MAX(DATE(Summary!$C$12,12,31),Summary!$C$15))*('Dvd Calendar'!$T$152&gt;Summary!$C$11)=0,"",'Dvd Calendar'!$T$152*1000000000+ISNUMBER('Dvd Calendar'!$T$153)*100000000+('Dvd Calendar'!$T$157='Field Check'!$C$25)*10000000+(N('Dvd Calendar'!$T$151)&gt;0)*1000000+10*1000+56))</f>
        <v/>
      </c>
      <c r="BG18" s="41">
        <f>IF(N('Dvd Calendar'!$U$152)=0,"",IF(('Dvd Calendar'!$U$152&gt;=MIN(DATE(Summary!$C$12,1,1),Summary!$C$11))*('Dvd Calendar'!$U$152&lt;=MAX(DATE(Summary!$C$12,12,31),Summary!$C$15))*('Dvd Calendar'!$U$152&gt;Summary!$C$11)=0,"",'Dvd Calendar'!$U$152*1000000000+ISNUMBER('Dvd Calendar'!$U$153)*100000000+('Dvd Calendar'!$U$157='Field Check'!$C$25)*10000000+(N('Dvd Calendar'!$U$151)&gt;0)*1000000+10*1000+57))</f>
        <v/>
      </c>
      <c r="BH18" s="41">
        <f>IF(N('Dvd Calendar'!$V$152)=0,"",IF(('Dvd Calendar'!$V$152&gt;=MIN(DATE(Summary!$C$12,1,1),Summary!$C$11))*('Dvd Calendar'!$V$152&lt;=MAX(DATE(Summary!$C$12,12,31),Summary!$C$15))*('Dvd Calendar'!$V$152&gt;Summary!$C$11)=0,"",'Dvd Calendar'!$V$152*1000000000+ISNUMBER('Dvd Calendar'!$V$153)*100000000+('Dvd Calendar'!$V$157='Field Check'!$C$25)*10000000+(N('Dvd Calendar'!$V$151)&gt;0)*1000000+10*1000+58))</f>
        <v/>
      </c>
      <c r="BI18" s="41">
        <f>IF(N('Dvd Calendar'!$W$152)=0,"",IF(('Dvd Calendar'!$W$152&gt;=MIN(DATE(Summary!$C$12,1,1),Summary!$C$11))*('Dvd Calendar'!$W$152&lt;=MAX(DATE(Summary!$C$12,12,31),Summary!$C$15))*('Dvd Calendar'!$W$152&gt;Summary!$C$11)=0,"",'Dvd Calendar'!$W$152*1000000000+ISNUMBER('Dvd Calendar'!$W$153)*100000000+('Dvd Calendar'!$W$157='Field Check'!$C$25)*10000000+(N('Dvd Calendar'!$W$151)&gt;0)*1000000+10*1000+59))</f>
        <v/>
      </c>
      <c r="BJ18" s="41">
        <f>IF(N('Dvd Calendar'!$X$152)=0,"",IF(('Dvd Calendar'!$X$152&gt;=MIN(DATE(Summary!$C$12,1,1),Summary!$C$11))*('Dvd Calendar'!$X$152&lt;=MAX(DATE(Summary!$C$12,12,31),Summary!$C$15))*('Dvd Calendar'!$X$152&gt;Summary!$C$11)=0,"",'Dvd Calendar'!$X$152*1000000000+ISNUMBER('Dvd Calendar'!$X$153)*100000000+('Dvd Calendar'!$X$157='Field Check'!$C$25)*10000000+(N('Dvd Calendar'!$X$151)&gt;0)*1000000+10*1000+60))</f>
        <v/>
      </c>
      <c r="BK18" s="41">
        <f>IF(N('Dvd Calendar'!$Y$152)=0,"",IF(('Dvd Calendar'!$Y$152&gt;=MIN(DATE(Summary!$C$12,1,1),Summary!$C$11))*('Dvd Calendar'!$Y$152&lt;=MAX(DATE(Summary!$C$12,12,31),Summary!$C$15))*('Dvd Calendar'!$Y$152&gt;Summary!$C$11)=0,"",'Dvd Calendar'!$Y$152*1000000000+ISNUMBER('Dvd Calendar'!$Y$153)*100000000+('Dvd Calendar'!$Y$157='Field Check'!$C$25)*10000000+(N('Dvd Calendar'!$Y$151)&gt;0)*1000000+10*1000+61))</f>
        <v/>
      </c>
      <c r="BL18" s="41">
        <f>IF(N('Dvd Calendar'!$Z$152)=0,"",IF(('Dvd Calendar'!$Z$152&gt;=MIN(DATE(Summary!$C$12,1,1),Summary!$C$11))*('Dvd Calendar'!$Z$152&lt;=MAX(DATE(Summary!$C$12,12,31),Summary!$C$15))*('Dvd Calendar'!$Z$152&gt;Summary!$C$11)=0,"",'Dvd Calendar'!$Z$152*1000000000+ISNUMBER('Dvd Calendar'!$Z$153)*100000000+('Dvd Calendar'!$Z$157='Field Check'!$C$25)*10000000+(N('Dvd Calendar'!$Z$151)&gt;0)*1000000+10*1000+62))</f>
        <v/>
      </c>
      <c r="BM18" s="41">
        <f>IF(N('Dvd Calendar'!$AA$152)=0,"",IF(('Dvd Calendar'!$AA$152&gt;=MIN(DATE(Summary!$C$12,1,1),Summary!$C$11))*('Dvd Calendar'!$AA$152&lt;=MAX(DATE(Summary!$C$12,12,31),Summary!$C$15))*('Dvd Calendar'!$AA$152&gt;Summary!$C$11)=0,"",'Dvd Calendar'!$AA$152*1000000000+ISNUMBER('Dvd Calendar'!$AA$153)*100000000+('Dvd Calendar'!$AA$157='Field Check'!$C$25)*10000000+(N('Dvd Calendar'!$AA$151)&gt;0)*1000000+10*1000+63))</f>
        <v/>
      </c>
      <c r="BN18" s="41">
        <f>IF(N('Dvd Calendar'!$AB$152)=0,"",IF(('Dvd Calendar'!$AB$152&gt;=MIN(DATE(Summary!$C$12,1,1),Summary!$C$11))*('Dvd Calendar'!$AB$152&lt;=MAX(DATE(Summary!$C$12,12,31),Summary!$C$15))*('Dvd Calendar'!$AB$152&gt;Summary!$C$11)=0,"",'Dvd Calendar'!$AB$152*1000000000+ISNUMBER('Dvd Calendar'!$AB$153)*100000000+('Dvd Calendar'!$AB$157='Field Check'!$C$25)*10000000+(N('Dvd Calendar'!$AB$151)&gt;0)*1000000+10*1000+64))</f>
        <v/>
      </c>
      <c r="BO18" s="41">
        <f>IF(N('Dvd Calendar'!$AC$152)=0,"",IF(('Dvd Calendar'!$AC$152&gt;=MIN(DATE(Summary!$C$12,1,1),Summary!$C$11))*('Dvd Calendar'!$AC$152&lt;=MAX(DATE(Summary!$C$12,12,31),Summary!$C$15))*('Dvd Calendar'!$AC$152&gt;Summary!$C$11)=0,"",'Dvd Calendar'!$AC$152*1000000000+ISNUMBER('Dvd Calendar'!$AC$153)*100000000+('Dvd Calendar'!$AC$157='Field Check'!$C$25)*10000000+(N('Dvd Calendar'!$AC$151)&gt;0)*1000000+10*1000+65))</f>
        <v/>
      </c>
      <c r="BQ18" s="85">
        <f>IF(C18="","",IF(ISNUMBER('Dvd Calendar'!$E$146)=FALSE,"",IF((Summary!$C$13="N")*('Dvd Calendar'!$E$150='Field Check'!$C$25)&gt;0,"",'Dvd Calendar'!$E$146)))</f>
        <v/>
      </c>
      <c r="BR18" s="85">
        <f>IF(D18="","",IF(ISNUMBER('Dvd Calendar'!$F$146)=FALSE,"",IF((Summary!$C$13="N")*('Dvd Calendar'!$F$150='Field Check'!$C$25)&gt;0,"",'Dvd Calendar'!$F$146)))</f>
        <v/>
      </c>
      <c r="BS18" s="85">
        <f>IF(E18="","",IF(ISNUMBER('Dvd Calendar'!$G$146)=FALSE,"",IF((Summary!$C$13="N")*('Dvd Calendar'!$G$150='Field Check'!$C$25)&gt;0,"",'Dvd Calendar'!$G$146)))</f>
        <v/>
      </c>
      <c r="BT18" s="85">
        <f>IF(F18="","",IF(ISNUMBER('Dvd Calendar'!$H$146)=FALSE,"",IF((Summary!$C$13="N")*('Dvd Calendar'!$H$150='Field Check'!$C$25)&gt;0,"",'Dvd Calendar'!$H$146)))</f>
        <v/>
      </c>
      <c r="BU18" s="85">
        <f>IF(G18="","",IF(ISNUMBER('Dvd Calendar'!$I$146)=FALSE,"",IF((Summary!$C$13="N")*('Dvd Calendar'!$I$150='Field Check'!$C$25)&gt;0,"",'Dvd Calendar'!$I$146)))</f>
        <v/>
      </c>
      <c r="BV18" s="85">
        <f>IF(H18="","",IF(ISNUMBER('Dvd Calendar'!$J$146)=FALSE,"",IF((Summary!$C$13="N")*('Dvd Calendar'!$J$150='Field Check'!$C$25)&gt;0,"",'Dvd Calendar'!$J$146)))</f>
        <v/>
      </c>
      <c r="BW18" s="85">
        <f>IF(I18="","",IF(ISNUMBER('Dvd Calendar'!$K$146)=FALSE,"",IF((Summary!$C$13="N")*('Dvd Calendar'!$K$150='Field Check'!$C$25)&gt;0,"",'Dvd Calendar'!$K$146)))</f>
        <v/>
      </c>
      <c r="BX18" s="85">
        <f>IF(J18="","",IF(ISNUMBER('Dvd Calendar'!$L$146)=FALSE,"",IF((Summary!$C$13="N")*('Dvd Calendar'!$L$150='Field Check'!$C$25)&gt;0,"",'Dvd Calendar'!$L$146)))</f>
        <v/>
      </c>
      <c r="BY18" s="85">
        <f>IF(K18="","",IF(ISNUMBER('Dvd Calendar'!$M$146)=FALSE,"",IF((Summary!$C$13="N")*('Dvd Calendar'!$M$150='Field Check'!$C$25)&gt;0,"",'Dvd Calendar'!$M$146)))</f>
        <v/>
      </c>
      <c r="BZ18" s="85">
        <f>IF(L18="","",IF(ISNUMBER('Dvd Calendar'!$N$146)=FALSE,"",IF((Summary!$C$13="N")*('Dvd Calendar'!$N$150='Field Check'!$C$25)&gt;0,"",'Dvd Calendar'!$N$146)))</f>
        <v/>
      </c>
      <c r="CA18" s="85">
        <f>IF(M18="","",IF(ISNUMBER('Dvd Calendar'!$O$146)=FALSE,"",IF((Summary!$C$13="N")*('Dvd Calendar'!$O$150='Field Check'!$C$25)&gt;0,"",'Dvd Calendar'!$O$146)))</f>
        <v/>
      </c>
      <c r="CB18" s="85">
        <f>IF(N18="","",IF(ISNUMBER('Dvd Calendar'!$P$146)=FALSE,"",IF((Summary!$C$13="N")*('Dvd Calendar'!$P$150='Field Check'!$C$25)&gt;0,"",'Dvd Calendar'!$P$146)))</f>
        <v/>
      </c>
      <c r="CC18" s="85">
        <f>IF(O18="","",IF(ISNUMBER('Dvd Calendar'!$Q$146)=FALSE,"",IF((Summary!$C$13="N")*('Dvd Calendar'!$Q$150='Field Check'!$C$25)&gt;0,"",'Dvd Calendar'!$Q$146)))</f>
        <v/>
      </c>
      <c r="CD18" s="85">
        <f>IF(P18="","",IF(ISNUMBER('Dvd Calendar'!$R$146)=FALSE,"",IF((Summary!$C$13="N")*('Dvd Calendar'!$R$150='Field Check'!$C$25)&gt;0,"",'Dvd Calendar'!$R$146)))</f>
        <v/>
      </c>
      <c r="CE18" s="85">
        <f>IF(Q18="","",IF(ISNUMBER('Dvd Calendar'!$S$146)=FALSE,"",IF((Summary!$C$13="N")*('Dvd Calendar'!$S$150='Field Check'!$C$25)&gt;0,"",'Dvd Calendar'!$S$146)))</f>
        <v/>
      </c>
      <c r="CF18" s="85">
        <f>IF(R18="","",IF(ISNUMBER('Dvd Calendar'!$T$146)=FALSE,"",IF((Summary!$C$13="N")*('Dvd Calendar'!$T$150='Field Check'!$C$25)&gt;0,"",'Dvd Calendar'!$T$146)))</f>
        <v/>
      </c>
      <c r="CG18" s="85">
        <f>IF(S18="","",IF(ISNUMBER('Dvd Calendar'!$U$146)=FALSE,"",IF((Summary!$C$13="N")*('Dvd Calendar'!$U$150='Field Check'!$C$25)&gt;0,"",'Dvd Calendar'!$U$146)))</f>
        <v/>
      </c>
      <c r="CH18" s="85">
        <f>IF(T18="","",IF(ISNUMBER('Dvd Calendar'!$V$146)=FALSE,"",IF((Summary!$C$13="N")*('Dvd Calendar'!$V$150='Field Check'!$C$25)&gt;0,"",'Dvd Calendar'!$V$146)))</f>
        <v/>
      </c>
      <c r="CI18" s="85">
        <f>IF(U18="","",IF(ISNUMBER('Dvd Calendar'!$W$146)=FALSE,"",IF((Summary!$C$13="N")*('Dvd Calendar'!$W$150='Field Check'!$C$25)&gt;0,"",'Dvd Calendar'!$W$146)))</f>
        <v/>
      </c>
      <c r="CJ18" s="85">
        <f>IF(V18="","",IF(ISNUMBER('Dvd Calendar'!$X$146)=FALSE,"",IF((Summary!$C$13="N")*('Dvd Calendar'!$X$150='Field Check'!$C$25)&gt;0,"",'Dvd Calendar'!$X$146)))</f>
        <v/>
      </c>
      <c r="CK18" s="85">
        <f>IF(W18="","",IF(ISNUMBER('Dvd Calendar'!$Y$146)=FALSE,"",IF((Summary!$C$13="N")*('Dvd Calendar'!$Y$150='Field Check'!$C$25)&gt;0,"",'Dvd Calendar'!$Y$146)))</f>
        <v/>
      </c>
      <c r="CL18" s="85">
        <f>IF(X18="","",IF(ISNUMBER('Dvd Calendar'!$Z$146)=FALSE,"",IF((Summary!$C$13="N")*('Dvd Calendar'!$Z$150='Field Check'!$C$25)&gt;0,"",'Dvd Calendar'!$Z$146)))</f>
        <v/>
      </c>
      <c r="CM18" s="85">
        <f>IF(Y18="","",IF(ISNUMBER('Dvd Calendar'!$AA$146)=FALSE,"",IF((Summary!$C$13="N")*('Dvd Calendar'!$AA$150='Field Check'!$C$25)&gt;0,"",'Dvd Calendar'!$AA$146)))</f>
        <v/>
      </c>
      <c r="CN18" s="85">
        <f>IF(Z18="","",IF(ISNUMBER('Dvd Calendar'!$AB$146)=FALSE,"",IF((Summary!$C$13="N")*('Dvd Calendar'!$AB$150='Field Check'!$C$25)&gt;0,"",'Dvd Calendar'!$AB$146)))</f>
        <v/>
      </c>
      <c r="CO18" s="85">
        <f>IF(AA18="","",IF(ISNUMBER('Dvd Calendar'!$AC$146)=FALSE,"",IF((Summary!$C$13="N")*('Dvd Calendar'!$AC$150='Field Check'!$C$25)&gt;0,"",'Dvd Calendar'!$AC$146)))</f>
        <v/>
      </c>
      <c r="CP18" s="85">
        <f>IF(AB18="","",IF(ISNUMBER('Dvd Calendar'!$AD$146)=FALSE,"",IF((Summary!$C$13="N")*('Dvd Calendar'!$AD$150='Field Check'!$C$25)&gt;0,"",'Dvd Calendar'!$AD$146)))</f>
        <v/>
      </c>
      <c r="CQ18" s="85">
        <f>IF(AC18="","",IF(ISNUMBER('Dvd Calendar'!$AE$146)=FALSE,"",IF((Summary!$C$13="N")*('Dvd Calendar'!$AE$150='Field Check'!$C$25)&gt;0,"",'Dvd Calendar'!$AE$146)))</f>
        <v/>
      </c>
      <c r="CR18" s="85">
        <f>IF(AD18="","",IF(ISNUMBER('Dvd Calendar'!$AF$146)=FALSE,"",IF((Summary!$C$13="N")*('Dvd Calendar'!$AF$150='Field Check'!$C$25)&gt;0,"",'Dvd Calendar'!$AF$146)))</f>
        <v/>
      </c>
      <c r="CS18" s="85">
        <f>IF(AE18="","",IF(ISNUMBER('Dvd Calendar'!$AG$146)=FALSE,"",IF((Summary!$C$13="N")*('Dvd Calendar'!$AG$150='Field Check'!$C$25)&gt;0,"",'Dvd Calendar'!$AG$146)))</f>
        <v/>
      </c>
      <c r="CT18" s="85">
        <f>IF(AF18="","",IF(ISNUMBER('Dvd Calendar'!$AH$146)=FALSE,"",IF((Summary!$C$13="N")*('Dvd Calendar'!$AH$150='Field Check'!$C$25)&gt;0,"",'Dvd Calendar'!$AH$146)))</f>
        <v/>
      </c>
      <c r="CU18" s="85">
        <f>IF(AG18="","",IF(ISNUMBER('Dvd Calendar'!$AI$146)=FALSE,"",IF((Summary!$C$13="N")*('Dvd Calendar'!$AI$150='Field Check'!$C$25)&gt;0,"",'Dvd Calendar'!$AI$146)))</f>
        <v/>
      </c>
      <c r="CV18" s="85">
        <f>IF(AH18="","",IF(ISNUMBER('Dvd Calendar'!$AJ$146)=FALSE,"",IF((Summary!$C$13="N")*('Dvd Calendar'!$AJ$150='Field Check'!$C$25)&gt;0,"",'Dvd Calendar'!$AJ$146)))</f>
        <v/>
      </c>
      <c r="CW18" s="85">
        <f>IF(AI18="","",IF(ISNUMBER('Dvd Calendar'!$AK$146)=FALSE,"",IF((Summary!$C$13="N")*('Dvd Calendar'!$AK$150='Field Check'!$C$25)&gt;0,"",'Dvd Calendar'!$AK$146)))</f>
        <v/>
      </c>
      <c r="CX18" s="85">
        <f>IF(AJ18="","",IF(ISNUMBER('Dvd Calendar'!$AL$146)=FALSE,"",IF((Summary!$C$13="N")*('Dvd Calendar'!$AL$150='Field Check'!$C$25)&gt;0,"",'Dvd Calendar'!$AL$146)))</f>
        <v/>
      </c>
      <c r="CY18" s="85">
        <f>IF(AK18="","",IF(ISNUMBER('Dvd Calendar'!$AM$146)=FALSE,"",IF((Summary!$C$13="N")*('Dvd Calendar'!$AM$150='Field Check'!$C$25)&gt;0,"",'Dvd Calendar'!$AM$146)))</f>
        <v/>
      </c>
      <c r="CZ18" s="85">
        <f>IF(AL18="","",IF(ISNUMBER('Dvd Calendar'!$AN$146)=FALSE,"",IF((Summary!$C$13="N")*('Dvd Calendar'!$AN$150='Field Check'!$C$25)&gt;0,"",'Dvd Calendar'!$AN$146)))</f>
        <v/>
      </c>
      <c r="DA18" s="85">
        <f>IF(AM18="","",IF(ISNUMBER('Dvd Calendar'!$AO$146)=FALSE,"",IF((Summary!$C$13="N")*('Dvd Calendar'!$AO$150='Field Check'!$C$25)&gt;0,"",'Dvd Calendar'!$AO$146)))</f>
        <v/>
      </c>
      <c r="DB18" s="85">
        <f>IF(AN18="","",IF(ISNUMBER('Dvd Calendar'!$AP$146)=FALSE,"",IF((Summary!$C$13="N")*('Dvd Calendar'!$AP$150='Field Check'!$C$25)&gt;0,"",'Dvd Calendar'!$AP$146)))</f>
        <v/>
      </c>
      <c r="DC18" s="85">
        <f>IF(AO18="","",IF(ISNUMBER('Dvd Calendar'!$AQ$146)=FALSE,"",IF((Summary!$C$13="N")*('Dvd Calendar'!$AQ$150='Field Check'!$C$25)&gt;0,"",'Dvd Calendar'!$AQ$146)))</f>
        <v/>
      </c>
      <c r="DD18" s="85">
        <f>IF(AP18="","",IF(ISNUMBER('Dvd Calendar'!$AR$146)=FALSE,"",IF((Summary!$C$13="N")*('Dvd Calendar'!$AR$150='Field Check'!$C$25)&gt;0,"",'Dvd Calendar'!$AR$146)))</f>
        <v/>
      </c>
      <c r="DE18" s="85">
        <f>IF(AQ18="","",IF(ISNUMBER('Dvd Calendar'!$E$153)=FALSE,"",IF((Summary!$C$13="N")*('Dvd Calendar'!$E$157='Field Check'!$C$25)&gt;0,"",'Dvd Calendar'!$E$153)))</f>
        <v/>
      </c>
      <c r="DF18" s="85">
        <f>IF(AR18="","",IF(ISNUMBER('Dvd Calendar'!$F$153)=FALSE,"",IF((Summary!$C$13="N")*('Dvd Calendar'!$F$157='Field Check'!$C$25)&gt;0,"",'Dvd Calendar'!$F$153)))</f>
        <v/>
      </c>
      <c r="DG18" s="85">
        <f>IF(AS18="","",IF(ISNUMBER('Dvd Calendar'!$G$153)=FALSE,"",IF((Summary!$C$13="N")*('Dvd Calendar'!$G$157='Field Check'!$C$25)&gt;0,"",'Dvd Calendar'!$G$153)))</f>
        <v/>
      </c>
      <c r="DH18" s="85">
        <f>IF(AT18="","",IF(ISNUMBER('Dvd Calendar'!$H$153)=FALSE,"",IF((Summary!$C$13="N")*('Dvd Calendar'!$H$157='Field Check'!$C$25)&gt;0,"",'Dvd Calendar'!$H$153)))</f>
        <v/>
      </c>
      <c r="DI18" s="85">
        <f>IF(AU18="","",IF(ISNUMBER('Dvd Calendar'!$I$153)=FALSE,"",IF((Summary!$C$13="N")*('Dvd Calendar'!$I$157='Field Check'!$C$25)&gt;0,"",'Dvd Calendar'!$I$153)))</f>
        <v/>
      </c>
      <c r="DJ18" s="85">
        <f>IF(AV18="","",IF(ISNUMBER('Dvd Calendar'!$J$153)=FALSE,"",IF((Summary!$C$13="N")*('Dvd Calendar'!$J$157='Field Check'!$C$25)&gt;0,"",'Dvd Calendar'!$J$153)))</f>
        <v/>
      </c>
      <c r="DK18" s="85">
        <f>IF(AW18="","",IF(ISNUMBER('Dvd Calendar'!$K$153)=FALSE,"",IF((Summary!$C$13="N")*('Dvd Calendar'!$K$157='Field Check'!$C$25)&gt;0,"",'Dvd Calendar'!$K$153)))</f>
        <v/>
      </c>
      <c r="DL18" s="85">
        <f>IF(AX18="","",IF(ISNUMBER('Dvd Calendar'!$L$153)=FALSE,"",IF((Summary!$C$13="N")*('Dvd Calendar'!$L$157='Field Check'!$C$25)&gt;0,"",'Dvd Calendar'!$L$153)))</f>
        <v/>
      </c>
      <c r="DM18" s="85">
        <f>IF(AY18="","",IF(ISNUMBER('Dvd Calendar'!$M$153)=FALSE,"",IF((Summary!$C$13="N")*('Dvd Calendar'!$M$157='Field Check'!$C$25)&gt;0,"",'Dvd Calendar'!$M$153)))</f>
        <v/>
      </c>
      <c r="DN18" s="85">
        <f>IF(AZ18="","",IF(ISNUMBER('Dvd Calendar'!$N$153)=FALSE,"",IF((Summary!$C$13="N")*('Dvd Calendar'!$N$157='Field Check'!$C$25)&gt;0,"",'Dvd Calendar'!$N$153)))</f>
        <v/>
      </c>
      <c r="DO18" s="85">
        <f>IF(BA18="","",IF(ISNUMBER('Dvd Calendar'!$O$153)=FALSE,"",IF((Summary!$C$13="N")*('Dvd Calendar'!$O$157='Field Check'!$C$25)&gt;0,"",'Dvd Calendar'!$O$153)))</f>
        <v/>
      </c>
      <c r="DP18" s="85">
        <f>IF(BB18="","",IF(ISNUMBER('Dvd Calendar'!$P$153)=FALSE,"",IF((Summary!$C$13="N")*('Dvd Calendar'!$P$157='Field Check'!$C$25)&gt;0,"",'Dvd Calendar'!$P$153)))</f>
        <v/>
      </c>
      <c r="DQ18" s="85">
        <f>IF(BC18="","",IF(ISNUMBER('Dvd Calendar'!$Q$153)=FALSE,"",IF((Summary!$C$13="N")*('Dvd Calendar'!$Q$157='Field Check'!$C$25)&gt;0,"",'Dvd Calendar'!$Q$153)))</f>
        <v/>
      </c>
      <c r="DR18" s="85">
        <f>IF(BD18="","",IF(ISNUMBER('Dvd Calendar'!$R$153)=FALSE,"",IF((Summary!$C$13="N")*('Dvd Calendar'!$R$157='Field Check'!$C$25)&gt;0,"",'Dvd Calendar'!$R$153)))</f>
        <v/>
      </c>
      <c r="DS18" s="85">
        <f>IF(BE18="","",IF(ISNUMBER('Dvd Calendar'!$S$153)=FALSE,"",IF((Summary!$C$13="N")*('Dvd Calendar'!$S$157='Field Check'!$C$25)&gt;0,"",'Dvd Calendar'!$S$153)))</f>
        <v/>
      </c>
      <c r="DT18" s="85">
        <f>IF(BF18="","",IF(ISNUMBER('Dvd Calendar'!$T$153)=FALSE,"",IF((Summary!$C$13="N")*('Dvd Calendar'!$T$157='Field Check'!$C$25)&gt;0,"",'Dvd Calendar'!$T$153)))</f>
        <v/>
      </c>
      <c r="DU18" s="85">
        <f>IF(BG18="","",IF(ISNUMBER('Dvd Calendar'!$U$153)=FALSE,"",IF((Summary!$C$13="N")*('Dvd Calendar'!$U$157='Field Check'!$C$25)&gt;0,"",'Dvd Calendar'!$U$153)))</f>
        <v/>
      </c>
      <c r="DV18" s="85">
        <f>IF(BH18="","",IF(ISNUMBER('Dvd Calendar'!$V$153)=FALSE,"",IF((Summary!$C$13="N")*('Dvd Calendar'!$V$157='Field Check'!$C$25)&gt;0,"",'Dvd Calendar'!$V$153)))</f>
        <v/>
      </c>
      <c r="DW18" s="85">
        <f>IF(BI18="","",IF(ISNUMBER('Dvd Calendar'!$W$153)=FALSE,"",IF((Summary!$C$13="N")*('Dvd Calendar'!$W$157='Field Check'!$C$25)&gt;0,"",'Dvd Calendar'!$W$153)))</f>
        <v/>
      </c>
      <c r="DX18" s="85">
        <f>IF(BJ18="","",IF(ISNUMBER('Dvd Calendar'!$X$153)=FALSE,"",IF((Summary!$C$13="N")*('Dvd Calendar'!$X$157='Field Check'!$C$25)&gt;0,"",'Dvd Calendar'!$X$153)))</f>
        <v/>
      </c>
      <c r="DY18" s="85">
        <f>IF(BK18="","",IF(ISNUMBER('Dvd Calendar'!$Y$153)=FALSE,"",IF((Summary!$C$13="N")*('Dvd Calendar'!$Y$157='Field Check'!$C$25)&gt;0,"",'Dvd Calendar'!$Y$153)))</f>
        <v/>
      </c>
      <c r="DZ18" s="85">
        <f>IF(BL18="","",IF(ISNUMBER('Dvd Calendar'!$Z$153)=FALSE,"",IF((Summary!$C$13="N")*('Dvd Calendar'!$Z$157='Field Check'!$C$25)&gt;0,"",'Dvd Calendar'!$Z$153)))</f>
        <v/>
      </c>
      <c r="EA18" s="85">
        <f>IF(BM18="","",IF(ISNUMBER('Dvd Calendar'!$AA$153)=FALSE,"",IF((Summary!$C$13="N")*('Dvd Calendar'!$AA$157='Field Check'!$C$25)&gt;0,"",'Dvd Calendar'!$AA$153)))</f>
        <v/>
      </c>
      <c r="EB18" s="85">
        <f>IF(BN18="","",IF(ISNUMBER('Dvd Calendar'!$AB$153)=FALSE,"",IF((Summary!$C$13="N")*('Dvd Calendar'!$AB$157='Field Check'!$C$25)&gt;0,"",'Dvd Calendar'!$AB$153)))</f>
        <v/>
      </c>
      <c r="EC18" s="85">
        <f>IF(BO18="","",IF(ISNUMBER('Dvd Calendar'!$AC$153)=FALSE,"",IF((Summary!$C$13="N")*('Dvd Calendar'!$AC$157='Field Check'!$C$25)&gt;0,"",'Dvd Calendar'!$AC$153)))</f>
        <v/>
      </c>
      <c r="EE18" s="85">
        <f>IF(BQ18="","",IFERROR(BQ18*HSI!$B$16*HSI!$G$16/HSI!$B$3,""))</f>
        <v/>
      </c>
      <c r="EF18" s="85">
        <f>IF(BR18="","",IFERROR(BR18*HSI!$B$16*HSI!$G$16/HSI!$B$3,""))</f>
        <v/>
      </c>
      <c r="EG18" s="85">
        <f>IF(BS18="","",IFERROR(BS18*HSI!$B$16*HSI!$G$16/HSI!$B$3,""))</f>
        <v/>
      </c>
      <c r="EH18" s="85">
        <f>IF(BT18="","",IFERROR(BT18*HSI!$B$16*HSI!$G$16/HSI!$B$3,""))</f>
        <v/>
      </c>
      <c r="EI18" s="85">
        <f>IF(BU18="","",IFERROR(BU18*HSI!$B$16*HSI!$G$16/HSI!$B$3,""))</f>
        <v/>
      </c>
      <c r="EJ18" s="85">
        <f>IF(BV18="","",IFERROR(BV18*HSI!$B$16*HSI!$G$16/HSI!$B$3,""))</f>
        <v/>
      </c>
      <c r="EK18" s="85">
        <f>IF(BW18="","",IFERROR(BW18*HSI!$B$16*HSI!$G$16/HSI!$B$3,""))</f>
        <v/>
      </c>
      <c r="EL18" s="85">
        <f>IF(BX18="","",IFERROR(BX18*HSI!$B$16*HSI!$G$16/HSI!$B$3,""))</f>
        <v/>
      </c>
      <c r="EM18" s="85">
        <f>IF(BY18="","",IFERROR(BY18*HSI!$B$16*HSI!$G$16/HSI!$B$3,""))</f>
        <v/>
      </c>
      <c r="EN18" s="85">
        <f>IF(BZ18="","",IFERROR(BZ18*HSI!$B$16*HSI!$G$16/HSI!$B$3,""))</f>
        <v/>
      </c>
      <c r="EO18" s="85">
        <f>IF(CA18="","",IFERROR(CA18*HSI!$B$16*HSI!$G$16/HSI!$B$3,""))</f>
        <v/>
      </c>
      <c r="EP18" s="85">
        <f>IF(CB18="","",IFERROR(CB18*HSI!$B$16*HSI!$G$16/HSI!$B$3,""))</f>
        <v/>
      </c>
      <c r="EQ18" s="85">
        <f>IF(CC18="","",IFERROR(CC18*HSI!$B$16*HSI!$G$16/HSI!$B$3,""))</f>
        <v/>
      </c>
      <c r="ER18" s="85">
        <f>IF(CD18="","",IFERROR(CD18*HSI!$B$16*HSI!$G$16/HSI!$B$3,""))</f>
        <v/>
      </c>
      <c r="ES18" s="85">
        <f>IF(CE18="","",IFERROR(CE18*HSI!$B$16*HSI!$G$16/HSI!$B$3,""))</f>
        <v/>
      </c>
      <c r="ET18" s="85">
        <f>IF(CF18="","",IFERROR(CF18*HSI!$B$16*HSI!$G$16/HSI!$B$3,""))</f>
        <v/>
      </c>
      <c r="EU18" s="85">
        <f>IF(CG18="","",IFERROR(CG18*HSI!$B$16*HSI!$G$16/HSI!$B$3,""))</f>
        <v/>
      </c>
      <c r="EV18" s="85">
        <f>IF(CH18="","",IFERROR(CH18*HSI!$B$16*HSI!$G$16/HSI!$B$3,""))</f>
        <v/>
      </c>
      <c r="EW18" s="85">
        <f>IF(CI18="","",IFERROR(CI18*HSI!$B$16*HSI!$G$16/HSI!$B$3,""))</f>
        <v/>
      </c>
      <c r="EX18" s="85">
        <f>IF(CJ18="","",IFERROR(CJ18*HSI!$B$16*HSI!$G$16/HSI!$B$3,""))</f>
        <v/>
      </c>
      <c r="EY18" s="85">
        <f>IF(CK18="","",IFERROR(CK18*HSI!$B$16*HSI!$G$16/HSI!$B$3,""))</f>
        <v/>
      </c>
      <c r="EZ18" s="85">
        <f>IF(CL18="","",IFERROR(CL18*HSI!$B$16*HSI!$G$16/HSI!$B$3,""))</f>
        <v/>
      </c>
      <c r="FA18" s="85">
        <f>IF(CM18="","",IFERROR(CM18*HSI!$B$16*HSI!$G$16/HSI!$B$3,""))</f>
        <v/>
      </c>
      <c r="FB18" s="85">
        <f>IF(CN18="","",IFERROR(CN18*HSI!$B$16*HSI!$G$16/HSI!$B$3,""))</f>
        <v/>
      </c>
      <c r="FC18" s="85">
        <f>IF(CO18="","",IFERROR(CO18*HSI!$B$16*HSI!$G$16/HSI!$B$3,""))</f>
        <v/>
      </c>
      <c r="FD18" s="85">
        <f>IF(CP18="","",IFERROR(CP18*HSI!$B$16*HSI!$G$16/HSI!$B$3,""))</f>
        <v/>
      </c>
      <c r="FE18" s="85">
        <f>IF(CQ18="","",IFERROR(CQ18*HSI!$B$16*HSI!$G$16/HSI!$B$3,""))</f>
        <v/>
      </c>
      <c r="FF18" s="85">
        <f>IF(CR18="","",IFERROR(CR18*HSI!$B$16*HSI!$G$16/HSI!$B$3,""))</f>
        <v/>
      </c>
      <c r="FG18" s="85">
        <f>IF(CS18="","",IFERROR(CS18*HSI!$B$16*HSI!$G$16/HSI!$B$3,""))</f>
        <v/>
      </c>
      <c r="FH18" s="85">
        <f>IF(CT18="","",IFERROR(CT18*HSI!$B$16*HSI!$G$16/HSI!$B$3,""))</f>
        <v/>
      </c>
      <c r="FI18" s="85">
        <f>IF(CU18="","",IFERROR(CU18*HSI!$B$16*HSI!$G$16/HSI!$B$3,""))</f>
        <v/>
      </c>
      <c r="FJ18" s="85">
        <f>IF(CV18="","",IFERROR(CV18*HSI!$B$16*HSI!$G$16/HSI!$B$3,""))</f>
        <v/>
      </c>
      <c r="FK18" s="85">
        <f>IF(CW18="","",IFERROR(CW18*HSI!$B$16*HSI!$G$16/HSI!$B$3,""))</f>
        <v/>
      </c>
      <c r="FL18" s="85">
        <f>IF(CX18="","",IFERROR(CX18*HSI!$B$16*HSI!$G$16/HSI!$B$3,""))</f>
        <v/>
      </c>
      <c r="FM18" s="85">
        <f>IF(CY18="","",IFERROR(CY18*HSI!$B$16*HSI!$G$16/HSI!$B$3,""))</f>
        <v/>
      </c>
      <c r="FN18" s="85">
        <f>IF(CZ18="","",IFERROR(CZ18*HSI!$B$16*HSI!$G$16/HSI!$B$3,""))</f>
        <v/>
      </c>
      <c r="FO18" s="85">
        <f>IF(DA18="","",IFERROR(DA18*HSI!$B$16*HSI!$G$16/HSI!$B$3,""))</f>
        <v/>
      </c>
      <c r="FP18" s="85">
        <f>IF(DB18="","",IFERROR(DB18*HSI!$B$16*HSI!$G$16/HSI!$B$3,""))</f>
        <v/>
      </c>
      <c r="FQ18" s="85">
        <f>IF(DC18="","",IFERROR(DC18*HSI!$B$16*HSI!$G$16/HSI!$B$3,""))</f>
        <v/>
      </c>
      <c r="FR18" s="85">
        <f>IF(DD18="","",IFERROR(DD18*HSI!$B$16*HSI!$G$16/HSI!$B$3,""))</f>
        <v/>
      </c>
      <c r="FS18" s="85">
        <f>IF(DE18="","",IFERROR(DE18*HSI!$B$16*HSI!$G$16/HSI!$B$3,""))</f>
        <v/>
      </c>
      <c r="FT18" s="85">
        <f>IF(DF18="","",IFERROR(DF18*HSI!$B$16*HSI!$G$16/HSI!$B$3,""))</f>
        <v/>
      </c>
      <c r="FU18" s="85">
        <f>IF(DG18="","",IFERROR(DG18*HSI!$B$16*HSI!$G$16/HSI!$B$3,""))</f>
        <v/>
      </c>
      <c r="FV18" s="85">
        <f>IF(DH18="","",IFERROR(DH18*HSI!$B$16*HSI!$G$16/HSI!$B$3,""))</f>
        <v/>
      </c>
      <c r="FW18" s="85">
        <f>IF(DI18="","",IFERROR(DI18*HSI!$B$16*HSI!$G$16/HSI!$B$3,""))</f>
        <v/>
      </c>
      <c r="FX18" s="85">
        <f>IF(DJ18="","",IFERROR(DJ18*HSI!$B$16*HSI!$G$16/HSI!$B$3,""))</f>
        <v/>
      </c>
      <c r="FY18" s="85">
        <f>IF(DK18="","",IFERROR(DK18*HSI!$B$16*HSI!$G$16/HSI!$B$3,""))</f>
        <v/>
      </c>
      <c r="FZ18" s="85">
        <f>IF(DL18="","",IFERROR(DL18*HSI!$B$16*HSI!$G$16/HSI!$B$3,""))</f>
        <v/>
      </c>
      <c r="GA18" s="85">
        <f>IF(DM18="","",IFERROR(DM18*HSI!$B$16*HSI!$G$16/HSI!$B$3,""))</f>
        <v/>
      </c>
      <c r="GB18" s="85">
        <f>IF(DN18="","",IFERROR(DN18*HSI!$B$16*HSI!$G$16/HSI!$B$3,""))</f>
        <v/>
      </c>
      <c r="GC18" s="85">
        <f>IF(DO18="","",IFERROR(DO18*HSI!$B$16*HSI!$G$16/HSI!$B$3,""))</f>
        <v/>
      </c>
      <c r="GD18" s="85">
        <f>IF(DP18="","",IFERROR(DP18*HSI!$B$16*HSI!$G$16/HSI!$B$3,""))</f>
        <v/>
      </c>
      <c r="GE18" s="85">
        <f>IF(DQ18="","",IFERROR(DQ18*HSI!$B$16*HSI!$G$16/HSI!$B$3,""))</f>
        <v/>
      </c>
      <c r="GF18" s="85">
        <f>IF(DR18="","",IFERROR(DR18*HSI!$B$16*HSI!$G$16/HSI!$B$3,""))</f>
        <v/>
      </c>
      <c r="GG18" s="85">
        <f>IF(DS18="","",IFERROR(DS18*HSI!$B$16*HSI!$G$16/HSI!$B$3,""))</f>
        <v/>
      </c>
      <c r="GH18" s="85">
        <f>IF(DT18="","",IFERROR(DT18*HSI!$B$16*HSI!$G$16/HSI!$B$3,""))</f>
        <v/>
      </c>
      <c r="GI18" s="85">
        <f>IF(DU18="","",IFERROR(DU18*HSI!$B$16*HSI!$G$16/HSI!$B$3,""))</f>
        <v/>
      </c>
      <c r="GJ18" s="85">
        <f>IF(DV18="","",IFERROR(DV18*HSI!$B$16*HSI!$G$16/HSI!$B$3,""))</f>
        <v/>
      </c>
      <c r="GK18" s="85">
        <f>IF(DW18="","",IFERROR(DW18*HSI!$B$16*HSI!$G$16/HSI!$B$3,""))</f>
        <v/>
      </c>
      <c r="GL18" s="85">
        <f>IF(DX18="","",IFERROR(DX18*HSI!$B$16*HSI!$G$16/HSI!$B$3,""))</f>
        <v/>
      </c>
      <c r="GM18" s="85">
        <f>IF(DY18="","",IFERROR(DY18*HSI!$B$16*HSI!$G$16/HSI!$B$3,""))</f>
        <v/>
      </c>
      <c r="GN18" s="85">
        <f>IF(DZ18="","",IFERROR(DZ18*HSI!$B$16*HSI!$G$16/HSI!$B$3,""))</f>
        <v/>
      </c>
      <c r="GO18" s="85">
        <f>IF(EA18="","",IFERROR(EA18*HSI!$B$16*HSI!$G$16/HSI!$B$3,""))</f>
        <v/>
      </c>
      <c r="GP18" s="85">
        <f>IF(EB18="","",IFERROR(EB18*HSI!$B$16*HSI!$G$16/HSI!$B$3,""))</f>
        <v/>
      </c>
      <c r="GQ18" s="85">
        <f>IF(EC18="","",IFERROR(EC18*HSI!$B$16*HSI!$G$16/HSI!$B$3,""))</f>
        <v/>
      </c>
    </row>
    <row r="19">
      <c r="B19" s="2">
        <f>IF(HSI!$C$17="","",HSI!$C$17)</f>
        <v/>
      </c>
      <c r="C19" s="41">
        <f>IF(N('Dvd Calendar'!$E$160)=0,"",IF(('Dvd Calendar'!$E$160&gt;=MIN(DATE(Summary!$C$12,1,1),Summary!$C$11))*('Dvd Calendar'!$E$160&lt;=MAX(DATE(Summary!$C$12,12,31),Summary!$C$15))*('Dvd Calendar'!$E$160&lt;=Summary!$C$11)=0,"",'Dvd Calendar'!$E$160*1000000000+ISNUMBER('Dvd Calendar'!$E$161)*100000000+('Dvd Calendar'!$E$165='Field Check'!$C$25)*10000000+(N('Dvd Calendar'!$E$159)&gt;0)*1000000+11*1000+1))</f>
        <v/>
      </c>
      <c r="D19" s="41">
        <f>IF(N('Dvd Calendar'!$F$160)=0,"",IF(('Dvd Calendar'!$F$160&gt;=MIN(DATE(Summary!$C$12,1,1),Summary!$C$11))*('Dvd Calendar'!$F$160&lt;=MAX(DATE(Summary!$C$12,12,31),Summary!$C$15))*('Dvd Calendar'!$F$160&lt;=Summary!$C$11)=0,"",'Dvd Calendar'!$F$160*1000000000+ISNUMBER('Dvd Calendar'!$F$161)*100000000+('Dvd Calendar'!$F$165='Field Check'!$C$25)*10000000+(N('Dvd Calendar'!$F$159)&gt;0)*1000000+11*1000+2))</f>
        <v/>
      </c>
      <c r="E19" s="41">
        <f>IF(N('Dvd Calendar'!$G$160)=0,"",IF(('Dvd Calendar'!$G$160&gt;=MIN(DATE(Summary!$C$12,1,1),Summary!$C$11))*('Dvd Calendar'!$G$160&lt;=MAX(DATE(Summary!$C$12,12,31),Summary!$C$15))*('Dvd Calendar'!$G$160&lt;=Summary!$C$11)=0,"",'Dvd Calendar'!$G$160*1000000000+ISNUMBER('Dvd Calendar'!$G$161)*100000000+('Dvd Calendar'!$G$165='Field Check'!$C$25)*10000000+(N('Dvd Calendar'!$G$159)&gt;0)*1000000+11*1000+3))</f>
        <v/>
      </c>
      <c r="F19" s="41">
        <f>IF(N('Dvd Calendar'!$H$160)=0,"",IF(('Dvd Calendar'!$H$160&gt;=MIN(DATE(Summary!$C$12,1,1),Summary!$C$11))*('Dvd Calendar'!$H$160&lt;=MAX(DATE(Summary!$C$12,12,31),Summary!$C$15))*('Dvd Calendar'!$H$160&lt;=Summary!$C$11)=0,"",'Dvd Calendar'!$H$160*1000000000+ISNUMBER('Dvd Calendar'!$H$161)*100000000+('Dvd Calendar'!$H$165='Field Check'!$C$25)*10000000+(N('Dvd Calendar'!$H$159)&gt;0)*1000000+11*1000+4))</f>
        <v/>
      </c>
      <c r="G19" s="41">
        <f>IF(N('Dvd Calendar'!$I$160)=0,"",IF(('Dvd Calendar'!$I$160&gt;=MIN(DATE(Summary!$C$12,1,1),Summary!$C$11))*('Dvd Calendar'!$I$160&lt;=MAX(DATE(Summary!$C$12,12,31),Summary!$C$15))*('Dvd Calendar'!$I$160&lt;=Summary!$C$11)=0,"",'Dvd Calendar'!$I$160*1000000000+ISNUMBER('Dvd Calendar'!$I$161)*100000000+('Dvd Calendar'!$I$165='Field Check'!$C$25)*10000000+(N('Dvd Calendar'!$I$159)&gt;0)*1000000+11*1000+5))</f>
        <v/>
      </c>
      <c r="H19" s="41">
        <f>IF(N('Dvd Calendar'!$J$160)=0,"",IF(('Dvd Calendar'!$J$160&gt;=MIN(DATE(Summary!$C$12,1,1),Summary!$C$11))*('Dvd Calendar'!$J$160&lt;=MAX(DATE(Summary!$C$12,12,31),Summary!$C$15))*('Dvd Calendar'!$J$160&lt;=Summary!$C$11)=0,"",'Dvd Calendar'!$J$160*1000000000+ISNUMBER('Dvd Calendar'!$J$161)*100000000+('Dvd Calendar'!$J$165='Field Check'!$C$25)*10000000+(N('Dvd Calendar'!$J$159)&gt;0)*1000000+11*1000+6))</f>
        <v/>
      </c>
      <c r="I19" s="41">
        <f>IF(N('Dvd Calendar'!$K$160)=0,"",IF(('Dvd Calendar'!$K$160&gt;=MIN(DATE(Summary!$C$12,1,1),Summary!$C$11))*('Dvd Calendar'!$K$160&lt;=MAX(DATE(Summary!$C$12,12,31),Summary!$C$15))*('Dvd Calendar'!$K$160&lt;=Summary!$C$11)=0,"",'Dvd Calendar'!$K$160*1000000000+ISNUMBER('Dvd Calendar'!$K$161)*100000000+('Dvd Calendar'!$K$165='Field Check'!$C$25)*10000000+(N('Dvd Calendar'!$K$159)&gt;0)*1000000+11*1000+7))</f>
        <v/>
      </c>
      <c r="J19" s="41">
        <f>IF(N('Dvd Calendar'!$L$160)=0,"",IF(('Dvd Calendar'!$L$160&gt;=MIN(DATE(Summary!$C$12,1,1),Summary!$C$11))*('Dvd Calendar'!$L$160&lt;=MAX(DATE(Summary!$C$12,12,31),Summary!$C$15))*('Dvd Calendar'!$L$160&lt;=Summary!$C$11)=0,"",'Dvd Calendar'!$L$160*1000000000+ISNUMBER('Dvd Calendar'!$L$161)*100000000+('Dvd Calendar'!$L$165='Field Check'!$C$25)*10000000+(N('Dvd Calendar'!$L$159)&gt;0)*1000000+11*1000+8))</f>
        <v/>
      </c>
      <c r="K19" s="41">
        <f>IF(N('Dvd Calendar'!$M$160)=0,"",IF(('Dvd Calendar'!$M$160&gt;=MIN(DATE(Summary!$C$12,1,1),Summary!$C$11))*('Dvd Calendar'!$M$160&lt;=MAX(DATE(Summary!$C$12,12,31),Summary!$C$15))*('Dvd Calendar'!$M$160&lt;=Summary!$C$11)=0,"",'Dvd Calendar'!$M$160*1000000000+ISNUMBER('Dvd Calendar'!$M$161)*100000000+('Dvd Calendar'!$M$165='Field Check'!$C$25)*10000000+(N('Dvd Calendar'!$M$159)&gt;0)*1000000+11*1000+9))</f>
        <v/>
      </c>
      <c r="L19" s="41">
        <f>IF(N('Dvd Calendar'!$N$160)=0,"",IF(('Dvd Calendar'!$N$160&gt;=MIN(DATE(Summary!$C$12,1,1),Summary!$C$11))*('Dvd Calendar'!$N$160&lt;=MAX(DATE(Summary!$C$12,12,31),Summary!$C$15))*('Dvd Calendar'!$N$160&lt;=Summary!$C$11)=0,"",'Dvd Calendar'!$N$160*1000000000+ISNUMBER('Dvd Calendar'!$N$161)*100000000+('Dvd Calendar'!$N$165='Field Check'!$C$25)*10000000+(N('Dvd Calendar'!$N$159)&gt;0)*1000000+11*1000+10))</f>
        <v/>
      </c>
      <c r="M19" s="41">
        <f>IF(N('Dvd Calendar'!$O$160)=0,"",IF(('Dvd Calendar'!$O$160&gt;=MIN(DATE(Summary!$C$12,1,1),Summary!$C$11))*('Dvd Calendar'!$O$160&lt;=MAX(DATE(Summary!$C$12,12,31),Summary!$C$15))*('Dvd Calendar'!$O$160&lt;=Summary!$C$11)=0,"",'Dvd Calendar'!$O$160*1000000000+ISNUMBER('Dvd Calendar'!$O$161)*100000000+('Dvd Calendar'!$O$165='Field Check'!$C$25)*10000000+(N('Dvd Calendar'!$O$159)&gt;0)*1000000+11*1000+11))</f>
        <v/>
      </c>
      <c r="N19" s="41">
        <f>IF(N('Dvd Calendar'!$P$160)=0,"",IF(('Dvd Calendar'!$P$160&gt;=MIN(DATE(Summary!$C$12,1,1),Summary!$C$11))*('Dvd Calendar'!$P$160&lt;=MAX(DATE(Summary!$C$12,12,31),Summary!$C$15))*('Dvd Calendar'!$P$160&lt;=Summary!$C$11)=0,"",'Dvd Calendar'!$P$160*1000000000+ISNUMBER('Dvd Calendar'!$P$161)*100000000+('Dvd Calendar'!$P$165='Field Check'!$C$25)*10000000+(N('Dvd Calendar'!$P$159)&gt;0)*1000000+11*1000+12))</f>
        <v/>
      </c>
      <c r="O19" s="41">
        <f>IF(N('Dvd Calendar'!$Q$160)=0,"",IF(('Dvd Calendar'!$Q$160&gt;=MIN(DATE(Summary!$C$12,1,1),Summary!$C$11))*('Dvd Calendar'!$Q$160&lt;=MAX(DATE(Summary!$C$12,12,31),Summary!$C$15))*('Dvd Calendar'!$Q$160&lt;=Summary!$C$11)=0,"",'Dvd Calendar'!$Q$160*1000000000+ISNUMBER('Dvd Calendar'!$Q$161)*100000000+('Dvd Calendar'!$Q$165='Field Check'!$C$25)*10000000+(N('Dvd Calendar'!$Q$159)&gt;0)*1000000+11*1000+13))</f>
        <v/>
      </c>
      <c r="P19" s="41">
        <f>IF(N('Dvd Calendar'!$R$160)=0,"",IF(('Dvd Calendar'!$R$160&gt;=MIN(DATE(Summary!$C$12,1,1),Summary!$C$11))*('Dvd Calendar'!$R$160&lt;=MAX(DATE(Summary!$C$12,12,31),Summary!$C$15))*('Dvd Calendar'!$R$160&lt;=Summary!$C$11)=0,"",'Dvd Calendar'!$R$160*1000000000+ISNUMBER('Dvd Calendar'!$R$161)*100000000+('Dvd Calendar'!$R$165='Field Check'!$C$25)*10000000+(N('Dvd Calendar'!$R$159)&gt;0)*1000000+11*1000+14))</f>
        <v/>
      </c>
      <c r="Q19" s="41">
        <f>IF(N('Dvd Calendar'!$S$160)=0,"",IF(('Dvd Calendar'!$S$160&gt;=MIN(DATE(Summary!$C$12,1,1),Summary!$C$11))*('Dvd Calendar'!$S$160&lt;=MAX(DATE(Summary!$C$12,12,31),Summary!$C$15))*('Dvd Calendar'!$S$160&lt;=Summary!$C$11)=0,"",'Dvd Calendar'!$S$160*1000000000+ISNUMBER('Dvd Calendar'!$S$161)*100000000+('Dvd Calendar'!$S$165='Field Check'!$C$25)*10000000+(N('Dvd Calendar'!$S$159)&gt;0)*1000000+11*1000+15))</f>
        <v/>
      </c>
      <c r="R19" s="41">
        <f>IF(N('Dvd Calendar'!$T$160)=0,"",IF(('Dvd Calendar'!$T$160&gt;=MIN(DATE(Summary!$C$12,1,1),Summary!$C$11))*('Dvd Calendar'!$T$160&lt;=MAX(DATE(Summary!$C$12,12,31),Summary!$C$15))*('Dvd Calendar'!$T$160&lt;=Summary!$C$11)=0,"",'Dvd Calendar'!$T$160*1000000000+ISNUMBER('Dvd Calendar'!$T$161)*100000000+('Dvd Calendar'!$T$165='Field Check'!$C$25)*10000000+(N('Dvd Calendar'!$T$159)&gt;0)*1000000+11*1000+16))</f>
        <v/>
      </c>
      <c r="S19" s="41">
        <f>IF(N('Dvd Calendar'!$U$160)=0,"",IF(('Dvd Calendar'!$U$160&gt;=MIN(DATE(Summary!$C$12,1,1),Summary!$C$11))*('Dvd Calendar'!$U$160&lt;=MAX(DATE(Summary!$C$12,12,31),Summary!$C$15))*('Dvd Calendar'!$U$160&lt;=Summary!$C$11)=0,"",'Dvd Calendar'!$U$160*1000000000+ISNUMBER('Dvd Calendar'!$U$161)*100000000+('Dvd Calendar'!$U$165='Field Check'!$C$25)*10000000+(N('Dvd Calendar'!$U$159)&gt;0)*1000000+11*1000+17))</f>
        <v/>
      </c>
      <c r="T19" s="41">
        <f>IF(N('Dvd Calendar'!$V$160)=0,"",IF(('Dvd Calendar'!$V$160&gt;=MIN(DATE(Summary!$C$12,1,1),Summary!$C$11))*('Dvd Calendar'!$V$160&lt;=MAX(DATE(Summary!$C$12,12,31),Summary!$C$15))*('Dvd Calendar'!$V$160&lt;=Summary!$C$11)=0,"",'Dvd Calendar'!$V$160*1000000000+ISNUMBER('Dvd Calendar'!$V$161)*100000000+('Dvd Calendar'!$V$165='Field Check'!$C$25)*10000000+(N('Dvd Calendar'!$V$159)&gt;0)*1000000+11*1000+18))</f>
        <v/>
      </c>
      <c r="U19" s="41">
        <f>IF(N('Dvd Calendar'!$W$160)=0,"",IF(('Dvd Calendar'!$W$160&gt;=MIN(DATE(Summary!$C$12,1,1),Summary!$C$11))*('Dvd Calendar'!$W$160&lt;=MAX(DATE(Summary!$C$12,12,31),Summary!$C$15))*('Dvd Calendar'!$W$160&lt;=Summary!$C$11)=0,"",'Dvd Calendar'!$W$160*1000000000+ISNUMBER('Dvd Calendar'!$W$161)*100000000+('Dvd Calendar'!$W$165='Field Check'!$C$25)*10000000+(N('Dvd Calendar'!$W$159)&gt;0)*1000000+11*1000+19))</f>
        <v/>
      </c>
      <c r="V19" s="41">
        <f>IF(N('Dvd Calendar'!$X$160)=0,"",IF(('Dvd Calendar'!$X$160&gt;=MIN(DATE(Summary!$C$12,1,1),Summary!$C$11))*('Dvd Calendar'!$X$160&lt;=MAX(DATE(Summary!$C$12,12,31),Summary!$C$15))*('Dvd Calendar'!$X$160&lt;=Summary!$C$11)=0,"",'Dvd Calendar'!$X$160*1000000000+ISNUMBER('Dvd Calendar'!$X$161)*100000000+('Dvd Calendar'!$X$165='Field Check'!$C$25)*10000000+(N('Dvd Calendar'!$X$159)&gt;0)*1000000+11*1000+20))</f>
        <v/>
      </c>
      <c r="W19" s="41">
        <f>IF(N('Dvd Calendar'!$Y$160)=0,"",IF(('Dvd Calendar'!$Y$160&gt;=MIN(DATE(Summary!$C$12,1,1),Summary!$C$11))*('Dvd Calendar'!$Y$160&lt;=MAX(DATE(Summary!$C$12,12,31),Summary!$C$15))*('Dvd Calendar'!$Y$160&lt;=Summary!$C$11)=0,"",'Dvd Calendar'!$Y$160*1000000000+ISNUMBER('Dvd Calendar'!$Y$161)*100000000+('Dvd Calendar'!$Y$165='Field Check'!$C$25)*10000000+(N('Dvd Calendar'!$Y$159)&gt;0)*1000000+11*1000+21))</f>
        <v/>
      </c>
      <c r="X19" s="41">
        <f>IF(N('Dvd Calendar'!$Z$160)=0,"",IF(('Dvd Calendar'!$Z$160&gt;=MIN(DATE(Summary!$C$12,1,1),Summary!$C$11))*('Dvd Calendar'!$Z$160&lt;=MAX(DATE(Summary!$C$12,12,31),Summary!$C$15))*('Dvd Calendar'!$Z$160&lt;=Summary!$C$11)=0,"",'Dvd Calendar'!$Z$160*1000000000+ISNUMBER('Dvd Calendar'!$Z$161)*100000000+('Dvd Calendar'!$Z$165='Field Check'!$C$25)*10000000+(N('Dvd Calendar'!$Z$159)&gt;0)*1000000+11*1000+22))</f>
        <v/>
      </c>
      <c r="Y19" s="41">
        <f>IF(N('Dvd Calendar'!$AA$160)=0,"",IF(('Dvd Calendar'!$AA$160&gt;=MIN(DATE(Summary!$C$12,1,1),Summary!$C$11))*('Dvd Calendar'!$AA$160&lt;=MAX(DATE(Summary!$C$12,12,31),Summary!$C$15))*('Dvd Calendar'!$AA$160&lt;=Summary!$C$11)=0,"",'Dvd Calendar'!$AA$160*1000000000+ISNUMBER('Dvd Calendar'!$AA$161)*100000000+('Dvd Calendar'!$AA$165='Field Check'!$C$25)*10000000+(N('Dvd Calendar'!$AA$159)&gt;0)*1000000+11*1000+23))</f>
        <v/>
      </c>
      <c r="Z19" s="41">
        <f>IF(N('Dvd Calendar'!$AB$160)=0,"",IF(('Dvd Calendar'!$AB$160&gt;=MIN(DATE(Summary!$C$12,1,1),Summary!$C$11))*('Dvd Calendar'!$AB$160&lt;=MAX(DATE(Summary!$C$12,12,31),Summary!$C$15))*('Dvd Calendar'!$AB$160&lt;=Summary!$C$11)=0,"",'Dvd Calendar'!$AB$160*1000000000+ISNUMBER('Dvd Calendar'!$AB$161)*100000000+('Dvd Calendar'!$AB$165='Field Check'!$C$25)*10000000+(N('Dvd Calendar'!$AB$159)&gt;0)*1000000+11*1000+24))</f>
        <v/>
      </c>
      <c r="AA19" s="41">
        <f>IF(N('Dvd Calendar'!$AC$160)=0,"",IF(('Dvd Calendar'!$AC$160&gt;=MIN(DATE(Summary!$C$12,1,1),Summary!$C$11))*('Dvd Calendar'!$AC$160&lt;=MAX(DATE(Summary!$C$12,12,31),Summary!$C$15))*('Dvd Calendar'!$AC$160&lt;=Summary!$C$11)=0,"",'Dvd Calendar'!$AC$160*1000000000+ISNUMBER('Dvd Calendar'!$AC$161)*100000000+('Dvd Calendar'!$AC$165='Field Check'!$C$25)*10000000+(N('Dvd Calendar'!$AC$159)&gt;0)*1000000+11*1000+25))</f>
        <v/>
      </c>
      <c r="AB19" s="41">
        <f>IF(N('Dvd Calendar'!$AD$160)=0,"",IF(('Dvd Calendar'!$AD$160&gt;=MIN(DATE(Summary!$C$12,1,1),Summary!$C$11))*('Dvd Calendar'!$AD$160&lt;=MAX(DATE(Summary!$C$12,12,31),Summary!$C$15))*('Dvd Calendar'!$AD$160&lt;=Summary!$C$11)=0,"",'Dvd Calendar'!$AD$160*1000000000+ISNUMBER('Dvd Calendar'!$AD$161)*100000000+('Dvd Calendar'!$AD$165='Field Check'!$C$25)*10000000+(N('Dvd Calendar'!$AD$159)&gt;0)*1000000+11*1000+26))</f>
        <v/>
      </c>
      <c r="AC19" s="41">
        <f>IF(N('Dvd Calendar'!$AE$160)=0,"",IF(('Dvd Calendar'!$AE$160&gt;=MIN(DATE(Summary!$C$12,1,1),Summary!$C$11))*('Dvd Calendar'!$AE$160&lt;=MAX(DATE(Summary!$C$12,12,31),Summary!$C$15))*('Dvd Calendar'!$AE$160&lt;=Summary!$C$11)=0,"",'Dvd Calendar'!$AE$160*1000000000+ISNUMBER('Dvd Calendar'!$AE$161)*100000000+('Dvd Calendar'!$AE$165='Field Check'!$C$25)*10000000+(N('Dvd Calendar'!$AE$159)&gt;0)*1000000+11*1000+27))</f>
        <v/>
      </c>
      <c r="AD19" s="41">
        <f>IF(N('Dvd Calendar'!$AF$160)=0,"",IF(('Dvd Calendar'!$AF$160&gt;=MIN(DATE(Summary!$C$12,1,1),Summary!$C$11))*('Dvd Calendar'!$AF$160&lt;=MAX(DATE(Summary!$C$12,12,31),Summary!$C$15))*('Dvd Calendar'!$AF$160&lt;=Summary!$C$11)=0,"",'Dvd Calendar'!$AF$160*1000000000+ISNUMBER('Dvd Calendar'!$AF$161)*100000000+('Dvd Calendar'!$AF$165='Field Check'!$C$25)*10000000+(N('Dvd Calendar'!$AF$159)&gt;0)*1000000+11*1000+28))</f>
        <v/>
      </c>
      <c r="AE19" s="41">
        <f>IF(N('Dvd Calendar'!$AG$160)=0,"",IF(('Dvd Calendar'!$AG$160&gt;=MIN(DATE(Summary!$C$12,1,1),Summary!$C$11))*('Dvd Calendar'!$AG$160&lt;=MAX(DATE(Summary!$C$12,12,31),Summary!$C$15))*('Dvd Calendar'!$AG$160&lt;=Summary!$C$11)=0,"",'Dvd Calendar'!$AG$160*1000000000+ISNUMBER('Dvd Calendar'!$AG$161)*100000000+('Dvd Calendar'!$AG$165='Field Check'!$C$25)*10000000+(N('Dvd Calendar'!$AG$159)&gt;0)*1000000+11*1000+29))</f>
        <v/>
      </c>
      <c r="AF19" s="41">
        <f>IF(N('Dvd Calendar'!$AH$160)=0,"",IF(('Dvd Calendar'!$AH$160&gt;=MIN(DATE(Summary!$C$12,1,1),Summary!$C$11))*('Dvd Calendar'!$AH$160&lt;=MAX(DATE(Summary!$C$12,12,31),Summary!$C$15))*('Dvd Calendar'!$AH$160&lt;=Summary!$C$11)=0,"",'Dvd Calendar'!$AH$160*1000000000+ISNUMBER('Dvd Calendar'!$AH$161)*100000000+('Dvd Calendar'!$AH$165='Field Check'!$C$25)*10000000+(N('Dvd Calendar'!$AH$159)&gt;0)*1000000+11*1000+30))</f>
        <v/>
      </c>
      <c r="AG19" s="41">
        <f>IF(N('Dvd Calendar'!$AI$160)=0,"",IF(('Dvd Calendar'!$AI$160&gt;=MIN(DATE(Summary!$C$12,1,1),Summary!$C$11))*('Dvd Calendar'!$AI$160&lt;=MAX(DATE(Summary!$C$12,12,31),Summary!$C$15))*('Dvd Calendar'!$AI$160&lt;=Summary!$C$11)=0,"",'Dvd Calendar'!$AI$160*1000000000+ISNUMBER('Dvd Calendar'!$AI$161)*100000000+('Dvd Calendar'!$AI$165='Field Check'!$C$25)*10000000+(N('Dvd Calendar'!$AI$159)&gt;0)*1000000+11*1000+31))</f>
        <v/>
      </c>
      <c r="AH19" s="41">
        <f>IF(N('Dvd Calendar'!$AJ$160)=0,"",IF(('Dvd Calendar'!$AJ$160&gt;=MIN(DATE(Summary!$C$12,1,1),Summary!$C$11))*('Dvd Calendar'!$AJ$160&lt;=MAX(DATE(Summary!$C$12,12,31),Summary!$C$15))*('Dvd Calendar'!$AJ$160&lt;=Summary!$C$11)=0,"",'Dvd Calendar'!$AJ$160*1000000000+ISNUMBER('Dvd Calendar'!$AJ$161)*100000000+('Dvd Calendar'!$AJ$165='Field Check'!$C$25)*10000000+(N('Dvd Calendar'!$AJ$159)&gt;0)*1000000+11*1000+32))</f>
        <v/>
      </c>
      <c r="AI19" s="41">
        <f>IF(N('Dvd Calendar'!$AK$160)=0,"",IF(('Dvd Calendar'!$AK$160&gt;=MIN(DATE(Summary!$C$12,1,1),Summary!$C$11))*('Dvd Calendar'!$AK$160&lt;=MAX(DATE(Summary!$C$12,12,31),Summary!$C$15))*('Dvd Calendar'!$AK$160&lt;=Summary!$C$11)=0,"",'Dvd Calendar'!$AK$160*1000000000+ISNUMBER('Dvd Calendar'!$AK$161)*100000000+('Dvd Calendar'!$AK$165='Field Check'!$C$25)*10000000+(N('Dvd Calendar'!$AK$159)&gt;0)*1000000+11*1000+33))</f>
        <v/>
      </c>
      <c r="AJ19" s="41">
        <f>IF(N('Dvd Calendar'!$AL$160)=0,"",IF(('Dvd Calendar'!$AL$160&gt;=MIN(DATE(Summary!$C$12,1,1),Summary!$C$11))*('Dvd Calendar'!$AL$160&lt;=MAX(DATE(Summary!$C$12,12,31),Summary!$C$15))*('Dvd Calendar'!$AL$160&lt;=Summary!$C$11)=0,"",'Dvd Calendar'!$AL$160*1000000000+ISNUMBER('Dvd Calendar'!$AL$161)*100000000+('Dvd Calendar'!$AL$165='Field Check'!$C$25)*10000000+(N('Dvd Calendar'!$AL$159)&gt;0)*1000000+11*1000+34))</f>
        <v/>
      </c>
      <c r="AK19" s="41">
        <f>IF(N('Dvd Calendar'!$AM$160)=0,"",IF(('Dvd Calendar'!$AM$160&gt;=MIN(DATE(Summary!$C$12,1,1),Summary!$C$11))*('Dvd Calendar'!$AM$160&lt;=MAX(DATE(Summary!$C$12,12,31),Summary!$C$15))*('Dvd Calendar'!$AM$160&lt;=Summary!$C$11)=0,"",'Dvd Calendar'!$AM$160*1000000000+ISNUMBER('Dvd Calendar'!$AM$161)*100000000+('Dvd Calendar'!$AM$165='Field Check'!$C$25)*10000000+(N('Dvd Calendar'!$AM$159)&gt;0)*1000000+11*1000+35))</f>
        <v/>
      </c>
      <c r="AL19" s="41">
        <f>IF(N('Dvd Calendar'!$AN$160)=0,"",IF(('Dvd Calendar'!$AN$160&gt;=MIN(DATE(Summary!$C$12,1,1),Summary!$C$11))*('Dvd Calendar'!$AN$160&lt;=MAX(DATE(Summary!$C$12,12,31),Summary!$C$15))*('Dvd Calendar'!$AN$160&lt;=Summary!$C$11)=0,"",'Dvd Calendar'!$AN$160*1000000000+ISNUMBER('Dvd Calendar'!$AN$161)*100000000+('Dvd Calendar'!$AN$165='Field Check'!$C$25)*10000000+(N('Dvd Calendar'!$AN$159)&gt;0)*1000000+11*1000+36))</f>
        <v/>
      </c>
      <c r="AM19" s="41">
        <f>IF(N('Dvd Calendar'!$AO$160)=0,"",IF(('Dvd Calendar'!$AO$160&gt;=MIN(DATE(Summary!$C$12,1,1),Summary!$C$11))*('Dvd Calendar'!$AO$160&lt;=MAX(DATE(Summary!$C$12,12,31),Summary!$C$15))*('Dvd Calendar'!$AO$160&lt;=Summary!$C$11)=0,"",'Dvd Calendar'!$AO$160*1000000000+ISNUMBER('Dvd Calendar'!$AO$161)*100000000+('Dvd Calendar'!$AO$165='Field Check'!$C$25)*10000000+(N('Dvd Calendar'!$AO$159)&gt;0)*1000000+11*1000+37))</f>
        <v/>
      </c>
      <c r="AN19" s="41">
        <f>IF(N('Dvd Calendar'!$AP$160)=0,"",IF(('Dvd Calendar'!$AP$160&gt;=MIN(DATE(Summary!$C$12,1,1),Summary!$C$11))*('Dvd Calendar'!$AP$160&lt;=MAX(DATE(Summary!$C$12,12,31),Summary!$C$15))*('Dvd Calendar'!$AP$160&lt;=Summary!$C$11)=0,"",'Dvd Calendar'!$AP$160*1000000000+ISNUMBER('Dvd Calendar'!$AP$161)*100000000+('Dvd Calendar'!$AP$165='Field Check'!$C$25)*10000000+(N('Dvd Calendar'!$AP$159)&gt;0)*1000000+11*1000+38))</f>
        <v/>
      </c>
      <c r="AO19" s="41">
        <f>IF(N('Dvd Calendar'!$AQ$160)=0,"",IF(('Dvd Calendar'!$AQ$160&gt;=MIN(DATE(Summary!$C$12,1,1),Summary!$C$11))*('Dvd Calendar'!$AQ$160&lt;=MAX(DATE(Summary!$C$12,12,31),Summary!$C$15))*('Dvd Calendar'!$AQ$160&lt;=Summary!$C$11)=0,"",'Dvd Calendar'!$AQ$160*1000000000+ISNUMBER('Dvd Calendar'!$AQ$161)*100000000+('Dvd Calendar'!$AQ$165='Field Check'!$C$25)*10000000+(N('Dvd Calendar'!$AQ$159)&gt;0)*1000000+11*1000+39))</f>
        <v/>
      </c>
      <c r="AP19" s="41">
        <f>IF(N('Dvd Calendar'!$AR$160)=0,"",IF(('Dvd Calendar'!$AR$160&gt;=MIN(DATE(Summary!$C$12,1,1),Summary!$C$11))*('Dvd Calendar'!$AR$160&lt;=MAX(DATE(Summary!$C$12,12,31),Summary!$C$15))*('Dvd Calendar'!$AR$160&lt;=Summary!$C$11)=0,"",'Dvd Calendar'!$AR$160*1000000000+ISNUMBER('Dvd Calendar'!$AR$161)*100000000+('Dvd Calendar'!$AR$165='Field Check'!$C$25)*10000000+(N('Dvd Calendar'!$AR$159)&gt;0)*1000000+11*1000+40))</f>
        <v/>
      </c>
      <c r="AQ19" s="41">
        <f>IF(N('Dvd Calendar'!$E$167)=0,"",IF(('Dvd Calendar'!$E$167&gt;=MIN(DATE(Summary!$C$12,1,1),Summary!$C$11))*('Dvd Calendar'!$E$167&lt;=MAX(DATE(Summary!$C$12,12,31),Summary!$C$15))*('Dvd Calendar'!$E$167&gt;Summary!$C$11)=0,"",'Dvd Calendar'!$E$167*1000000000+ISNUMBER('Dvd Calendar'!$E$168)*100000000+('Dvd Calendar'!$E$172='Field Check'!$C$25)*10000000+(N('Dvd Calendar'!$E$166)&gt;0)*1000000+11*1000+41))</f>
        <v/>
      </c>
      <c r="AR19" s="41">
        <f>IF(N('Dvd Calendar'!$F$167)=0,"",IF(('Dvd Calendar'!$F$167&gt;=MIN(DATE(Summary!$C$12,1,1),Summary!$C$11))*('Dvd Calendar'!$F$167&lt;=MAX(DATE(Summary!$C$12,12,31),Summary!$C$15))*('Dvd Calendar'!$F$167&gt;Summary!$C$11)=0,"",'Dvd Calendar'!$F$167*1000000000+ISNUMBER('Dvd Calendar'!$F$168)*100000000+('Dvd Calendar'!$F$172='Field Check'!$C$25)*10000000+(N('Dvd Calendar'!$F$166)&gt;0)*1000000+11*1000+42))</f>
        <v/>
      </c>
      <c r="AS19" s="41">
        <f>IF(N('Dvd Calendar'!$G$167)=0,"",IF(('Dvd Calendar'!$G$167&gt;=MIN(DATE(Summary!$C$12,1,1),Summary!$C$11))*('Dvd Calendar'!$G$167&lt;=MAX(DATE(Summary!$C$12,12,31),Summary!$C$15))*('Dvd Calendar'!$G$167&gt;Summary!$C$11)=0,"",'Dvd Calendar'!$G$167*1000000000+ISNUMBER('Dvd Calendar'!$G$168)*100000000+('Dvd Calendar'!$G$172='Field Check'!$C$25)*10000000+(N('Dvd Calendar'!$G$166)&gt;0)*1000000+11*1000+43))</f>
        <v/>
      </c>
      <c r="AT19" s="41">
        <f>IF(N('Dvd Calendar'!$H$167)=0,"",IF(('Dvd Calendar'!$H$167&gt;=MIN(DATE(Summary!$C$12,1,1),Summary!$C$11))*('Dvd Calendar'!$H$167&lt;=MAX(DATE(Summary!$C$12,12,31),Summary!$C$15))*('Dvd Calendar'!$H$167&gt;Summary!$C$11)=0,"",'Dvd Calendar'!$H$167*1000000000+ISNUMBER('Dvd Calendar'!$H$168)*100000000+('Dvd Calendar'!$H$172='Field Check'!$C$25)*10000000+(N('Dvd Calendar'!$H$166)&gt;0)*1000000+11*1000+44))</f>
        <v/>
      </c>
      <c r="AU19" s="41">
        <f>IF(N('Dvd Calendar'!$I$167)=0,"",IF(('Dvd Calendar'!$I$167&gt;=MIN(DATE(Summary!$C$12,1,1),Summary!$C$11))*('Dvd Calendar'!$I$167&lt;=MAX(DATE(Summary!$C$12,12,31),Summary!$C$15))*('Dvd Calendar'!$I$167&gt;Summary!$C$11)=0,"",'Dvd Calendar'!$I$167*1000000000+ISNUMBER('Dvd Calendar'!$I$168)*100000000+('Dvd Calendar'!$I$172='Field Check'!$C$25)*10000000+(N('Dvd Calendar'!$I$166)&gt;0)*1000000+11*1000+45))</f>
        <v/>
      </c>
      <c r="AV19" s="41">
        <f>IF(N('Dvd Calendar'!$J$167)=0,"",IF(('Dvd Calendar'!$J$167&gt;=MIN(DATE(Summary!$C$12,1,1),Summary!$C$11))*('Dvd Calendar'!$J$167&lt;=MAX(DATE(Summary!$C$12,12,31),Summary!$C$15))*('Dvd Calendar'!$J$167&gt;Summary!$C$11)=0,"",'Dvd Calendar'!$J$167*1000000000+ISNUMBER('Dvd Calendar'!$J$168)*100000000+('Dvd Calendar'!$J$172='Field Check'!$C$25)*10000000+(N('Dvd Calendar'!$J$166)&gt;0)*1000000+11*1000+46))</f>
        <v/>
      </c>
      <c r="AW19" s="41">
        <f>IF(N('Dvd Calendar'!$K$167)=0,"",IF(('Dvd Calendar'!$K$167&gt;=MIN(DATE(Summary!$C$12,1,1),Summary!$C$11))*('Dvd Calendar'!$K$167&lt;=MAX(DATE(Summary!$C$12,12,31),Summary!$C$15))*('Dvd Calendar'!$K$167&gt;Summary!$C$11)=0,"",'Dvd Calendar'!$K$167*1000000000+ISNUMBER('Dvd Calendar'!$K$168)*100000000+('Dvd Calendar'!$K$172='Field Check'!$C$25)*10000000+(N('Dvd Calendar'!$K$166)&gt;0)*1000000+11*1000+47))</f>
        <v/>
      </c>
      <c r="AX19" s="41">
        <f>IF(N('Dvd Calendar'!$L$167)=0,"",IF(('Dvd Calendar'!$L$167&gt;=MIN(DATE(Summary!$C$12,1,1),Summary!$C$11))*('Dvd Calendar'!$L$167&lt;=MAX(DATE(Summary!$C$12,12,31),Summary!$C$15))*('Dvd Calendar'!$L$167&gt;Summary!$C$11)=0,"",'Dvd Calendar'!$L$167*1000000000+ISNUMBER('Dvd Calendar'!$L$168)*100000000+('Dvd Calendar'!$L$172='Field Check'!$C$25)*10000000+(N('Dvd Calendar'!$L$166)&gt;0)*1000000+11*1000+48))</f>
        <v/>
      </c>
      <c r="AY19" s="41">
        <f>IF(N('Dvd Calendar'!$M$167)=0,"",IF(('Dvd Calendar'!$M$167&gt;=MIN(DATE(Summary!$C$12,1,1),Summary!$C$11))*('Dvd Calendar'!$M$167&lt;=MAX(DATE(Summary!$C$12,12,31),Summary!$C$15))*('Dvd Calendar'!$M$167&gt;Summary!$C$11)=0,"",'Dvd Calendar'!$M$167*1000000000+ISNUMBER('Dvd Calendar'!$M$168)*100000000+('Dvd Calendar'!$M$172='Field Check'!$C$25)*10000000+(N('Dvd Calendar'!$M$166)&gt;0)*1000000+11*1000+49))</f>
        <v/>
      </c>
      <c r="AZ19" s="41">
        <f>IF(N('Dvd Calendar'!$N$167)=0,"",IF(('Dvd Calendar'!$N$167&gt;=MIN(DATE(Summary!$C$12,1,1),Summary!$C$11))*('Dvd Calendar'!$N$167&lt;=MAX(DATE(Summary!$C$12,12,31),Summary!$C$15))*('Dvd Calendar'!$N$167&gt;Summary!$C$11)=0,"",'Dvd Calendar'!$N$167*1000000000+ISNUMBER('Dvd Calendar'!$N$168)*100000000+('Dvd Calendar'!$N$172='Field Check'!$C$25)*10000000+(N('Dvd Calendar'!$N$166)&gt;0)*1000000+11*1000+50))</f>
        <v/>
      </c>
      <c r="BA19" s="41">
        <f>IF(N('Dvd Calendar'!$O$167)=0,"",IF(('Dvd Calendar'!$O$167&gt;=MIN(DATE(Summary!$C$12,1,1),Summary!$C$11))*('Dvd Calendar'!$O$167&lt;=MAX(DATE(Summary!$C$12,12,31),Summary!$C$15))*('Dvd Calendar'!$O$167&gt;Summary!$C$11)=0,"",'Dvd Calendar'!$O$167*1000000000+ISNUMBER('Dvd Calendar'!$O$168)*100000000+('Dvd Calendar'!$O$172='Field Check'!$C$25)*10000000+(N('Dvd Calendar'!$O$166)&gt;0)*1000000+11*1000+51))</f>
        <v/>
      </c>
      <c r="BB19" s="41">
        <f>IF(N('Dvd Calendar'!$P$167)=0,"",IF(('Dvd Calendar'!$P$167&gt;=MIN(DATE(Summary!$C$12,1,1),Summary!$C$11))*('Dvd Calendar'!$P$167&lt;=MAX(DATE(Summary!$C$12,12,31),Summary!$C$15))*('Dvd Calendar'!$P$167&gt;Summary!$C$11)=0,"",'Dvd Calendar'!$P$167*1000000000+ISNUMBER('Dvd Calendar'!$P$168)*100000000+('Dvd Calendar'!$P$172='Field Check'!$C$25)*10000000+(N('Dvd Calendar'!$P$166)&gt;0)*1000000+11*1000+52))</f>
        <v/>
      </c>
      <c r="BC19" s="41">
        <f>IF(N('Dvd Calendar'!$Q$167)=0,"",IF(('Dvd Calendar'!$Q$167&gt;=MIN(DATE(Summary!$C$12,1,1),Summary!$C$11))*('Dvd Calendar'!$Q$167&lt;=MAX(DATE(Summary!$C$12,12,31),Summary!$C$15))*('Dvd Calendar'!$Q$167&gt;Summary!$C$11)=0,"",'Dvd Calendar'!$Q$167*1000000000+ISNUMBER('Dvd Calendar'!$Q$168)*100000000+('Dvd Calendar'!$Q$172='Field Check'!$C$25)*10000000+(N('Dvd Calendar'!$Q$166)&gt;0)*1000000+11*1000+53))</f>
        <v/>
      </c>
      <c r="BD19" s="41">
        <f>IF(N('Dvd Calendar'!$R$167)=0,"",IF(('Dvd Calendar'!$R$167&gt;=MIN(DATE(Summary!$C$12,1,1),Summary!$C$11))*('Dvd Calendar'!$R$167&lt;=MAX(DATE(Summary!$C$12,12,31),Summary!$C$15))*('Dvd Calendar'!$R$167&gt;Summary!$C$11)=0,"",'Dvd Calendar'!$R$167*1000000000+ISNUMBER('Dvd Calendar'!$R$168)*100000000+('Dvd Calendar'!$R$172='Field Check'!$C$25)*10000000+(N('Dvd Calendar'!$R$166)&gt;0)*1000000+11*1000+54))</f>
        <v/>
      </c>
      <c r="BE19" s="41">
        <f>IF(N('Dvd Calendar'!$S$167)=0,"",IF(('Dvd Calendar'!$S$167&gt;=MIN(DATE(Summary!$C$12,1,1),Summary!$C$11))*('Dvd Calendar'!$S$167&lt;=MAX(DATE(Summary!$C$12,12,31),Summary!$C$15))*('Dvd Calendar'!$S$167&gt;Summary!$C$11)=0,"",'Dvd Calendar'!$S$167*1000000000+ISNUMBER('Dvd Calendar'!$S$168)*100000000+('Dvd Calendar'!$S$172='Field Check'!$C$25)*10000000+(N('Dvd Calendar'!$S$166)&gt;0)*1000000+11*1000+55))</f>
        <v/>
      </c>
      <c r="BF19" s="41">
        <f>IF(N('Dvd Calendar'!$T$167)=0,"",IF(('Dvd Calendar'!$T$167&gt;=MIN(DATE(Summary!$C$12,1,1),Summary!$C$11))*('Dvd Calendar'!$T$167&lt;=MAX(DATE(Summary!$C$12,12,31),Summary!$C$15))*('Dvd Calendar'!$T$167&gt;Summary!$C$11)=0,"",'Dvd Calendar'!$T$167*1000000000+ISNUMBER('Dvd Calendar'!$T$168)*100000000+('Dvd Calendar'!$T$172='Field Check'!$C$25)*10000000+(N('Dvd Calendar'!$T$166)&gt;0)*1000000+11*1000+56))</f>
        <v/>
      </c>
      <c r="BG19" s="41">
        <f>IF(N('Dvd Calendar'!$U$167)=0,"",IF(('Dvd Calendar'!$U$167&gt;=MIN(DATE(Summary!$C$12,1,1),Summary!$C$11))*('Dvd Calendar'!$U$167&lt;=MAX(DATE(Summary!$C$12,12,31),Summary!$C$15))*('Dvd Calendar'!$U$167&gt;Summary!$C$11)=0,"",'Dvd Calendar'!$U$167*1000000000+ISNUMBER('Dvd Calendar'!$U$168)*100000000+('Dvd Calendar'!$U$172='Field Check'!$C$25)*10000000+(N('Dvd Calendar'!$U$166)&gt;0)*1000000+11*1000+57))</f>
        <v/>
      </c>
      <c r="BH19" s="41">
        <f>IF(N('Dvd Calendar'!$V$167)=0,"",IF(('Dvd Calendar'!$V$167&gt;=MIN(DATE(Summary!$C$12,1,1),Summary!$C$11))*('Dvd Calendar'!$V$167&lt;=MAX(DATE(Summary!$C$12,12,31),Summary!$C$15))*('Dvd Calendar'!$V$167&gt;Summary!$C$11)=0,"",'Dvd Calendar'!$V$167*1000000000+ISNUMBER('Dvd Calendar'!$V$168)*100000000+('Dvd Calendar'!$V$172='Field Check'!$C$25)*10000000+(N('Dvd Calendar'!$V$166)&gt;0)*1000000+11*1000+58))</f>
        <v/>
      </c>
      <c r="BI19" s="41">
        <f>IF(N('Dvd Calendar'!$W$167)=0,"",IF(('Dvd Calendar'!$W$167&gt;=MIN(DATE(Summary!$C$12,1,1),Summary!$C$11))*('Dvd Calendar'!$W$167&lt;=MAX(DATE(Summary!$C$12,12,31),Summary!$C$15))*('Dvd Calendar'!$W$167&gt;Summary!$C$11)=0,"",'Dvd Calendar'!$W$167*1000000000+ISNUMBER('Dvd Calendar'!$W$168)*100000000+('Dvd Calendar'!$W$172='Field Check'!$C$25)*10000000+(N('Dvd Calendar'!$W$166)&gt;0)*1000000+11*1000+59))</f>
        <v/>
      </c>
      <c r="BJ19" s="41">
        <f>IF(N('Dvd Calendar'!$X$167)=0,"",IF(('Dvd Calendar'!$X$167&gt;=MIN(DATE(Summary!$C$12,1,1),Summary!$C$11))*('Dvd Calendar'!$X$167&lt;=MAX(DATE(Summary!$C$12,12,31),Summary!$C$15))*('Dvd Calendar'!$X$167&gt;Summary!$C$11)=0,"",'Dvd Calendar'!$X$167*1000000000+ISNUMBER('Dvd Calendar'!$X$168)*100000000+('Dvd Calendar'!$X$172='Field Check'!$C$25)*10000000+(N('Dvd Calendar'!$X$166)&gt;0)*1000000+11*1000+60))</f>
        <v/>
      </c>
      <c r="BK19" s="41">
        <f>IF(N('Dvd Calendar'!$Y$167)=0,"",IF(('Dvd Calendar'!$Y$167&gt;=MIN(DATE(Summary!$C$12,1,1),Summary!$C$11))*('Dvd Calendar'!$Y$167&lt;=MAX(DATE(Summary!$C$12,12,31),Summary!$C$15))*('Dvd Calendar'!$Y$167&gt;Summary!$C$11)=0,"",'Dvd Calendar'!$Y$167*1000000000+ISNUMBER('Dvd Calendar'!$Y$168)*100000000+('Dvd Calendar'!$Y$172='Field Check'!$C$25)*10000000+(N('Dvd Calendar'!$Y$166)&gt;0)*1000000+11*1000+61))</f>
        <v/>
      </c>
      <c r="BL19" s="41">
        <f>IF(N('Dvd Calendar'!$Z$167)=0,"",IF(('Dvd Calendar'!$Z$167&gt;=MIN(DATE(Summary!$C$12,1,1),Summary!$C$11))*('Dvd Calendar'!$Z$167&lt;=MAX(DATE(Summary!$C$12,12,31),Summary!$C$15))*('Dvd Calendar'!$Z$167&gt;Summary!$C$11)=0,"",'Dvd Calendar'!$Z$167*1000000000+ISNUMBER('Dvd Calendar'!$Z$168)*100000000+('Dvd Calendar'!$Z$172='Field Check'!$C$25)*10000000+(N('Dvd Calendar'!$Z$166)&gt;0)*1000000+11*1000+62))</f>
        <v/>
      </c>
      <c r="BM19" s="41">
        <f>IF(N('Dvd Calendar'!$AA$167)=0,"",IF(('Dvd Calendar'!$AA$167&gt;=MIN(DATE(Summary!$C$12,1,1),Summary!$C$11))*('Dvd Calendar'!$AA$167&lt;=MAX(DATE(Summary!$C$12,12,31),Summary!$C$15))*('Dvd Calendar'!$AA$167&gt;Summary!$C$11)=0,"",'Dvd Calendar'!$AA$167*1000000000+ISNUMBER('Dvd Calendar'!$AA$168)*100000000+('Dvd Calendar'!$AA$172='Field Check'!$C$25)*10000000+(N('Dvd Calendar'!$AA$166)&gt;0)*1000000+11*1000+63))</f>
        <v/>
      </c>
      <c r="BN19" s="41">
        <f>IF(N('Dvd Calendar'!$AB$167)=0,"",IF(('Dvd Calendar'!$AB$167&gt;=MIN(DATE(Summary!$C$12,1,1),Summary!$C$11))*('Dvd Calendar'!$AB$167&lt;=MAX(DATE(Summary!$C$12,12,31),Summary!$C$15))*('Dvd Calendar'!$AB$167&gt;Summary!$C$11)=0,"",'Dvd Calendar'!$AB$167*1000000000+ISNUMBER('Dvd Calendar'!$AB$168)*100000000+('Dvd Calendar'!$AB$172='Field Check'!$C$25)*10000000+(N('Dvd Calendar'!$AB$166)&gt;0)*1000000+11*1000+64))</f>
        <v/>
      </c>
      <c r="BO19" s="41">
        <f>IF(N('Dvd Calendar'!$AC$167)=0,"",IF(('Dvd Calendar'!$AC$167&gt;=MIN(DATE(Summary!$C$12,1,1),Summary!$C$11))*('Dvd Calendar'!$AC$167&lt;=MAX(DATE(Summary!$C$12,12,31),Summary!$C$15))*('Dvd Calendar'!$AC$167&gt;Summary!$C$11)=0,"",'Dvd Calendar'!$AC$167*1000000000+ISNUMBER('Dvd Calendar'!$AC$168)*100000000+('Dvd Calendar'!$AC$172='Field Check'!$C$25)*10000000+(N('Dvd Calendar'!$AC$166)&gt;0)*1000000+11*1000+65))</f>
        <v/>
      </c>
      <c r="BQ19" s="85">
        <f>IF(C19="","",IF(ISNUMBER('Dvd Calendar'!$E$161)=FALSE,"",IF((Summary!$C$13="N")*('Dvd Calendar'!$E$165='Field Check'!$C$25)&gt;0,"",'Dvd Calendar'!$E$161)))</f>
        <v/>
      </c>
      <c r="BR19" s="85">
        <f>IF(D19="","",IF(ISNUMBER('Dvd Calendar'!$F$161)=FALSE,"",IF((Summary!$C$13="N")*('Dvd Calendar'!$F$165='Field Check'!$C$25)&gt;0,"",'Dvd Calendar'!$F$161)))</f>
        <v/>
      </c>
      <c r="BS19" s="85">
        <f>IF(E19="","",IF(ISNUMBER('Dvd Calendar'!$G$161)=FALSE,"",IF((Summary!$C$13="N")*('Dvd Calendar'!$G$165='Field Check'!$C$25)&gt;0,"",'Dvd Calendar'!$G$161)))</f>
        <v/>
      </c>
      <c r="BT19" s="85">
        <f>IF(F19="","",IF(ISNUMBER('Dvd Calendar'!$H$161)=FALSE,"",IF((Summary!$C$13="N")*('Dvd Calendar'!$H$165='Field Check'!$C$25)&gt;0,"",'Dvd Calendar'!$H$161)))</f>
        <v/>
      </c>
      <c r="BU19" s="85">
        <f>IF(G19="","",IF(ISNUMBER('Dvd Calendar'!$I$161)=FALSE,"",IF((Summary!$C$13="N")*('Dvd Calendar'!$I$165='Field Check'!$C$25)&gt;0,"",'Dvd Calendar'!$I$161)))</f>
        <v/>
      </c>
      <c r="BV19" s="85">
        <f>IF(H19="","",IF(ISNUMBER('Dvd Calendar'!$J$161)=FALSE,"",IF((Summary!$C$13="N")*('Dvd Calendar'!$J$165='Field Check'!$C$25)&gt;0,"",'Dvd Calendar'!$J$161)))</f>
        <v/>
      </c>
      <c r="BW19" s="85">
        <f>IF(I19="","",IF(ISNUMBER('Dvd Calendar'!$K$161)=FALSE,"",IF((Summary!$C$13="N")*('Dvd Calendar'!$K$165='Field Check'!$C$25)&gt;0,"",'Dvd Calendar'!$K$161)))</f>
        <v/>
      </c>
      <c r="BX19" s="85">
        <f>IF(J19="","",IF(ISNUMBER('Dvd Calendar'!$L$161)=FALSE,"",IF((Summary!$C$13="N")*('Dvd Calendar'!$L$165='Field Check'!$C$25)&gt;0,"",'Dvd Calendar'!$L$161)))</f>
        <v/>
      </c>
      <c r="BY19" s="85">
        <f>IF(K19="","",IF(ISNUMBER('Dvd Calendar'!$M$161)=FALSE,"",IF((Summary!$C$13="N")*('Dvd Calendar'!$M$165='Field Check'!$C$25)&gt;0,"",'Dvd Calendar'!$M$161)))</f>
        <v/>
      </c>
      <c r="BZ19" s="85">
        <f>IF(L19="","",IF(ISNUMBER('Dvd Calendar'!$N$161)=FALSE,"",IF((Summary!$C$13="N")*('Dvd Calendar'!$N$165='Field Check'!$C$25)&gt;0,"",'Dvd Calendar'!$N$161)))</f>
        <v/>
      </c>
      <c r="CA19" s="85">
        <f>IF(M19="","",IF(ISNUMBER('Dvd Calendar'!$O$161)=FALSE,"",IF((Summary!$C$13="N")*('Dvd Calendar'!$O$165='Field Check'!$C$25)&gt;0,"",'Dvd Calendar'!$O$161)))</f>
        <v/>
      </c>
      <c r="CB19" s="85">
        <f>IF(N19="","",IF(ISNUMBER('Dvd Calendar'!$P$161)=FALSE,"",IF((Summary!$C$13="N")*('Dvd Calendar'!$P$165='Field Check'!$C$25)&gt;0,"",'Dvd Calendar'!$P$161)))</f>
        <v/>
      </c>
      <c r="CC19" s="85">
        <f>IF(O19="","",IF(ISNUMBER('Dvd Calendar'!$Q$161)=FALSE,"",IF((Summary!$C$13="N")*('Dvd Calendar'!$Q$165='Field Check'!$C$25)&gt;0,"",'Dvd Calendar'!$Q$161)))</f>
        <v/>
      </c>
      <c r="CD19" s="85">
        <f>IF(P19="","",IF(ISNUMBER('Dvd Calendar'!$R$161)=FALSE,"",IF((Summary!$C$13="N")*('Dvd Calendar'!$R$165='Field Check'!$C$25)&gt;0,"",'Dvd Calendar'!$R$161)))</f>
        <v/>
      </c>
      <c r="CE19" s="85">
        <f>IF(Q19="","",IF(ISNUMBER('Dvd Calendar'!$S$161)=FALSE,"",IF((Summary!$C$13="N")*('Dvd Calendar'!$S$165='Field Check'!$C$25)&gt;0,"",'Dvd Calendar'!$S$161)))</f>
        <v/>
      </c>
      <c r="CF19" s="85">
        <f>IF(R19="","",IF(ISNUMBER('Dvd Calendar'!$T$161)=FALSE,"",IF((Summary!$C$13="N")*('Dvd Calendar'!$T$165='Field Check'!$C$25)&gt;0,"",'Dvd Calendar'!$T$161)))</f>
        <v/>
      </c>
      <c r="CG19" s="85">
        <f>IF(S19="","",IF(ISNUMBER('Dvd Calendar'!$U$161)=FALSE,"",IF((Summary!$C$13="N")*('Dvd Calendar'!$U$165='Field Check'!$C$25)&gt;0,"",'Dvd Calendar'!$U$161)))</f>
        <v/>
      </c>
      <c r="CH19" s="85">
        <f>IF(T19="","",IF(ISNUMBER('Dvd Calendar'!$V$161)=FALSE,"",IF((Summary!$C$13="N")*('Dvd Calendar'!$V$165='Field Check'!$C$25)&gt;0,"",'Dvd Calendar'!$V$161)))</f>
        <v/>
      </c>
      <c r="CI19" s="85">
        <f>IF(U19="","",IF(ISNUMBER('Dvd Calendar'!$W$161)=FALSE,"",IF((Summary!$C$13="N")*('Dvd Calendar'!$W$165='Field Check'!$C$25)&gt;0,"",'Dvd Calendar'!$W$161)))</f>
        <v/>
      </c>
      <c r="CJ19" s="85">
        <f>IF(V19="","",IF(ISNUMBER('Dvd Calendar'!$X$161)=FALSE,"",IF((Summary!$C$13="N")*('Dvd Calendar'!$X$165='Field Check'!$C$25)&gt;0,"",'Dvd Calendar'!$X$161)))</f>
        <v/>
      </c>
      <c r="CK19" s="85">
        <f>IF(W19="","",IF(ISNUMBER('Dvd Calendar'!$Y$161)=FALSE,"",IF((Summary!$C$13="N")*('Dvd Calendar'!$Y$165='Field Check'!$C$25)&gt;0,"",'Dvd Calendar'!$Y$161)))</f>
        <v/>
      </c>
      <c r="CL19" s="85">
        <f>IF(X19="","",IF(ISNUMBER('Dvd Calendar'!$Z$161)=FALSE,"",IF((Summary!$C$13="N")*('Dvd Calendar'!$Z$165='Field Check'!$C$25)&gt;0,"",'Dvd Calendar'!$Z$161)))</f>
        <v/>
      </c>
      <c r="CM19" s="85">
        <f>IF(Y19="","",IF(ISNUMBER('Dvd Calendar'!$AA$161)=FALSE,"",IF((Summary!$C$13="N")*('Dvd Calendar'!$AA$165='Field Check'!$C$25)&gt;0,"",'Dvd Calendar'!$AA$161)))</f>
        <v/>
      </c>
      <c r="CN19" s="85">
        <f>IF(Z19="","",IF(ISNUMBER('Dvd Calendar'!$AB$161)=FALSE,"",IF((Summary!$C$13="N")*('Dvd Calendar'!$AB$165='Field Check'!$C$25)&gt;0,"",'Dvd Calendar'!$AB$161)))</f>
        <v/>
      </c>
      <c r="CO19" s="85">
        <f>IF(AA19="","",IF(ISNUMBER('Dvd Calendar'!$AC$161)=FALSE,"",IF((Summary!$C$13="N")*('Dvd Calendar'!$AC$165='Field Check'!$C$25)&gt;0,"",'Dvd Calendar'!$AC$161)))</f>
        <v/>
      </c>
      <c r="CP19" s="85">
        <f>IF(AB19="","",IF(ISNUMBER('Dvd Calendar'!$AD$161)=FALSE,"",IF((Summary!$C$13="N")*('Dvd Calendar'!$AD$165='Field Check'!$C$25)&gt;0,"",'Dvd Calendar'!$AD$161)))</f>
        <v/>
      </c>
      <c r="CQ19" s="85">
        <f>IF(AC19="","",IF(ISNUMBER('Dvd Calendar'!$AE$161)=FALSE,"",IF((Summary!$C$13="N")*('Dvd Calendar'!$AE$165='Field Check'!$C$25)&gt;0,"",'Dvd Calendar'!$AE$161)))</f>
        <v/>
      </c>
      <c r="CR19" s="85">
        <f>IF(AD19="","",IF(ISNUMBER('Dvd Calendar'!$AF$161)=FALSE,"",IF((Summary!$C$13="N")*('Dvd Calendar'!$AF$165='Field Check'!$C$25)&gt;0,"",'Dvd Calendar'!$AF$161)))</f>
        <v/>
      </c>
      <c r="CS19" s="85">
        <f>IF(AE19="","",IF(ISNUMBER('Dvd Calendar'!$AG$161)=FALSE,"",IF((Summary!$C$13="N")*('Dvd Calendar'!$AG$165='Field Check'!$C$25)&gt;0,"",'Dvd Calendar'!$AG$161)))</f>
        <v/>
      </c>
      <c r="CT19" s="85">
        <f>IF(AF19="","",IF(ISNUMBER('Dvd Calendar'!$AH$161)=FALSE,"",IF((Summary!$C$13="N")*('Dvd Calendar'!$AH$165='Field Check'!$C$25)&gt;0,"",'Dvd Calendar'!$AH$161)))</f>
        <v/>
      </c>
      <c r="CU19" s="85">
        <f>IF(AG19="","",IF(ISNUMBER('Dvd Calendar'!$AI$161)=FALSE,"",IF((Summary!$C$13="N")*('Dvd Calendar'!$AI$165='Field Check'!$C$25)&gt;0,"",'Dvd Calendar'!$AI$161)))</f>
        <v/>
      </c>
      <c r="CV19" s="85">
        <f>IF(AH19="","",IF(ISNUMBER('Dvd Calendar'!$AJ$161)=FALSE,"",IF((Summary!$C$13="N")*('Dvd Calendar'!$AJ$165='Field Check'!$C$25)&gt;0,"",'Dvd Calendar'!$AJ$161)))</f>
        <v/>
      </c>
      <c r="CW19" s="85">
        <f>IF(AI19="","",IF(ISNUMBER('Dvd Calendar'!$AK$161)=FALSE,"",IF((Summary!$C$13="N")*('Dvd Calendar'!$AK$165='Field Check'!$C$25)&gt;0,"",'Dvd Calendar'!$AK$161)))</f>
        <v/>
      </c>
      <c r="CX19" s="85">
        <f>IF(AJ19="","",IF(ISNUMBER('Dvd Calendar'!$AL$161)=FALSE,"",IF((Summary!$C$13="N")*('Dvd Calendar'!$AL$165='Field Check'!$C$25)&gt;0,"",'Dvd Calendar'!$AL$161)))</f>
        <v/>
      </c>
      <c r="CY19" s="85">
        <f>IF(AK19="","",IF(ISNUMBER('Dvd Calendar'!$AM$161)=FALSE,"",IF((Summary!$C$13="N")*('Dvd Calendar'!$AM$165='Field Check'!$C$25)&gt;0,"",'Dvd Calendar'!$AM$161)))</f>
        <v/>
      </c>
      <c r="CZ19" s="85">
        <f>IF(AL19="","",IF(ISNUMBER('Dvd Calendar'!$AN$161)=FALSE,"",IF((Summary!$C$13="N")*('Dvd Calendar'!$AN$165='Field Check'!$C$25)&gt;0,"",'Dvd Calendar'!$AN$161)))</f>
        <v/>
      </c>
      <c r="DA19" s="85">
        <f>IF(AM19="","",IF(ISNUMBER('Dvd Calendar'!$AO$161)=FALSE,"",IF((Summary!$C$13="N")*('Dvd Calendar'!$AO$165='Field Check'!$C$25)&gt;0,"",'Dvd Calendar'!$AO$161)))</f>
        <v/>
      </c>
      <c r="DB19" s="85">
        <f>IF(AN19="","",IF(ISNUMBER('Dvd Calendar'!$AP$161)=FALSE,"",IF((Summary!$C$13="N")*('Dvd Calendar'!$AP$165='Field Check'!$C$25)&gt;0,"",'Dvd Calendar'!$AP$161)))</f>
        <v/>
      </c>
      <c r="DC19" s="85">
        <f>IF(AO19="","",IF(ISNUMBER('Dvd Calendar'!$AQ$161)=FALSE,"",IF((Summary!$C$13="N")*('Dvd Calendar'!$AQ$165='Field Check'!$C$25)&gt;0,"",'Dvd Calendar'!$AQ$161)))</f>
        <v/>
      </c>
      <c r="DD19" s="85">
        <f>IF(AP19="","",IF(ISNUMBER('Dvd Calendar'!$AR$161)=FALSE,"",IF((Summary!$C$13="N")*('Dvd Calendar'!$AR$165='Field Check'!$C$25)&gt;0,"",'Dvd Calendar'!$AR$161)))</f>
        <v/>
      </c>
      <c r="DE19" s="85">
        <f>IF(AQ19="","",IF(ISNUMBER('Dvd Calendar'!$E$168)=FALSE,"",IF((Summary!$C$13="N")*('Dvd Calendar'!$E$172='Field Check'!$C$25)&gt;0,"",'Dvd Calendar'!$E$168)))</f>
        <v/>
      </c>
      <c r="DF19" s="85">
        <f>IF(AR19="","",IF(ISNUMBER('Dvd Calendar'!$F$168)=FALSE,"",IF((Summary!$C$13="N")*('Dvd Calendar'!$F$172='Field Check'!$C$25)&gt;0,"",'Dvd Calendar'!$F$168)))</f>
        <v/>
      </c>
      <c r="DG19" s="85">
        <f>IF(AS19="","",IF(ISNUMBER('Dvd Calendar'!$G$168)=FALSE,"",IF((Summary!$C$13="N")*('Dvd Calendar'!$G$172='Field Check'!$C$25)&gt;0,"",'Dvd Calendar'!$G$168)))</f>
        <v/>
      </c>
      <c r="DH19" s="85">
        <f>IF(AT19="","",IF(ISNUMBER('Dvd Calendar'!$H$168)=FALSE,"",IF((Summary!$C$13="N")*('Dvd Calendar'!$H$172='Field Check'!$C$25)&gt;0,"",'Dvd Calendar'!$H$168)))</f>
        <v/>
      </c>
      <c r="DI19" s="85">
        <f>IF(AU19="","",IF(ISNUMBER('Dvd Calendar'!$I$168)=FALSE,"",IF((Summary!$C$13="N")*('Dvd Calendar'!$I$172='Field Check'!$C$25)&gt;0,"",'Dvd Calendar'!$I$168)))</f>
        <v/>
      </c>
      <c r="DJ19" s="85">
        <f>IF(AV19="","",IF(ISNUMBER('Dvd Calendar'!$J$168)=FALSE,"",IF((Summary!$C$13="N")*('Dvd Calendar'!$J$172='Field Check'!$C$25)&gt;0,"",'Dvd Calendar'!$J$168)))</f>
        <v/>
      </c>
      <c r="DK19" s="85">
        <f>IF(AW19="","",IF(ISNUMBER('Dvd Calendar'!$K$168)=FALSE,"",IF((Summary!$C$13="N")*('Dvd Calendar'!$K$172='Field Check'!$C$25)&gt;0,"",'Dvd Calendar'!$K$168)))</f>
        <v/>
      </c>
      <c r="DL19" s="85">
        <f>IF(AX19="","",IF(ISNUMBER('Dvd Calendar'!$L$168)=FALSE,"",IF((Summary!$C$13="N")*('Dvd Calendar'!$L$172='Field Check'!$C$25)&gt;0,"",'Dvd Calendar'!$L$168)))</f>
        <v/>
      </c>
      <c r="DM19" s="85">
        <f>IF(AY19="","",IF(ISNUMBER('Dvd Calendar'!$M$168)=FALSE,"",IF((Summary!$C$13="N")*('Dvd Calendar'!$M$172='Field Check'!$C$25)&gt;0,"",'Dvd Calendar'!$M$168)))</f>
        <v/>
      </c>
      <c r="DN19" s="85">
        <f>IF(AZ19="","",IF(ISNUMBER('Dvd Calendar'!$N$168)=FALSE,"",IF((Summary!$C$13="N")*('Dvd Calendar'!$N$172='Field Check'!$C$25)&gt;0,"",'Dvd Calendar'!$N$168)))</f>
        <v/>
      </c>
      <c r="DO19" s="85">
        <f>IF(BA19="","",IF(ISNUMBER('Dvd Calendar'!$O$168)=FALSE,"",IF((Summary!$C$13="N")*('Dvd Calendar'!$O$172='Field Check'!$C$25)&gt;0,"",'Dvd Calendar'!$O$168)))</f>
        <v/>
      </c>
      <c r="DP19" s="85">
        <f>IF(BB19="","",IF(ISNUMBER('Dvd Calendar'!$P$168)=FALSE,"",IF((Summary!$C$13="N")*('Dvd Calendar'!$P$172='Field Check'!$C$25)&gt;0,"",'Dvd Calendar'!$P$168)))</f>
        <v/>
      </c>
      <c r="DQ19" s="85">
        <f>IF(BC19="","",IF(ISNUMBER('Dvd Calendar'!$Q$168)=FALSE,"",IF((Summary!$C$13="N")*('Dvd Calendar'!$Q$172='Field Check'!$C$25)&gt;0,"",'Dvd Calendar'!$Q$168)))</f>
        <v/>
      </c>
      <c r="DR19" s="85">
        <f>IF(BD19="","",IF(ISNUMBER('Dvd Calendar'!$R$168)=FALSE,"",IF((Summary!$C$13="N")*('Dvd Calendar'!$R$172='Field Check'!$C$25)&gt;0,"",'Dvd Calendar'!$R$168)))</f>
        <v/>
      </c>
      <c r="DS19" s="85">
        <f>IF(BE19="","",IF(ISNUMBER('Dvd Calendar'!$S$168)=FALSE,"",IF((Summary!$C$13="N")*('Dvd Calendar'!$S$172='Field Check'!$C$25)&gt;0,"",'Dvd Calendar'!$S$168)))</f>
        <v/>
      </c>
      <c r="DT19" s="85">
        <f>IF(BF19="","",IF(ISNUMBER('Dvd Calendar'!$T$168)=FALSE,"",IF((Summary!$C$13="N")*('Dvd Calendar'!$T$172='Field Check'!$C$25)&gt;0,"",'Dvd Calendar'!$T$168)))</f>
        <v/>
      </c>
      <c r="DU19" s="85">
        <f>IF(BG19="","",IF(ISNUMBER('Dvd Calendar'!$U$168)=FALSE,"",IF((Summary!$C$13="N")*('Dvd Calendar'!$U$172='Field Check'!$C$25)&gt;0,"",'Dvd Calendar'!$U$168)))</f>
        <v/>
      </c>
      <c r="DV19" s="85">
        <f>IF(BH19="","",IF(ISNUMBER('Dvd Calendar'!$V$168)=FALSE,"",IF((Summary!$C$13="N")*('Dvd Calendar'!$V$172='Field Check'!$C$25)&gt;0,"",'Dvd Calendar'!$V$168)))</f>
        <v/>
      </c>
      <c r="DW19" s="85">
        <f>IF(BI19="","",IF(ISNUMBER('Dvd Calendar'!$W$168)=FALSE,"",IF((Summary!$C$13="N")*('Dvd Calendar'!$W$172='Field Check'!$C$25)&gt;0,"",'Dvd Calendar'!$W$168)))</f>
        <v/>
      </c>
      <c r="DX19" s="85">
        <f>IF(BJ19="","",IF(ISNUMBER('Dvd Calendar'!$X$168)=FALSE,"",IF((Summary!$C$13="N")*('Dvd Calendar'!$X$172='Field Check'!$C$25)&gt;0,"",'Dvd Calendar'!$X$168)))</f>
        <v/>
      </c>
      <c r="DY19" s="85">
        <f>IF(BK19="","",IF(ISNUMBER('Dvd Calendar'!$Y$168)=FALSE,"",IF((Summary!$C$13="N")*('Dvd Calendar'!$Y$172='Field Check'!$C$25)&gt;0,"",'Dvd Calendar'!$Y$168)))</f>
        <v/>
      </c>
      <c r="DZ19" s="85">
        <f>IF(BL19="","",IF(ISNUMBER('Dvd Calendar'!$Z$168)=FALSE,"",IF((Summary!$C$13="N")*('Dvd Calendar'!$Z$172='Field Check'!$C$25)&gt;0,"",'Dvd Calendar'!$Z$168)))</f>
        <v/>
      </c>
      <c r="EA19" s="85">
        <f>IF(BM19="","",IF(ISNUMBER('Dvd Calendar'!$AA$168)=FALSE,"",IF((Summary!$C$13="N")*('Dvd Calendar'!$AA$172='Field Check'!$C$25)&gt;0,"",'Dvd Calendar'!$AA$168)))</f>
        <v/>
      </c>
      <c r="EB19" s="85">
        <f>IF(BN19="","",IF(ISNUMBER('Dvd Calendar'!$AB$168)=FALSE,"",IF((Summary!$C$13="N")*('Dvd Calendar'!$AB$172='Field Check'!$C$25)&gt;0,"",'Dvd Calendar'!$AB$168)))</f>
        <v/>
      </c>
      <c r="EC19" s="85">
        <f>IF(BO19="","",IF(ISNUMBER('Dvd Calendar'!$AC$168)=FALSE,"",IF((Summary!$C$13="N")*('Dvd Calendar'!$AC$172='Field Check'!$C$25)&gt;0,"",'Dvd Calendar'!$AC$168)))</f>
        <v/>
      </c>
      <c r="EE19" s="85">
        <f>IF(BQ19="","",IFERROR(BQ19*HSI!$B$17*HSI!$G$17/HSI!$B$3,""))</f>
        <v/>
      </c>
      <c r="EF19" s="85">
        <f>IF(BR19="","",IFERROR(BR19*HSI!$B$17*HSI!$G$17/HSI!$B$3,""))</f>
        <v/>
      </c>
      <c r="EG19" s="85">
        <f>IF(BS19="","",IFERROR(BS19*HSI!$B$17*HSI!$G$17/HSI!$B$3,""))</f>
        <v/>
      </c>
      <c r="EH19" s="85">
        <f>IF(BT19="","",IFERROR(BT19*HSI!$B$17*HSI!$G$17/HSI!$B$3,""))</f>
        <v/>
      </c>
      <c r="EI19" s="85">
        <f>IF(BU19="","",IFERROR(BU19*HSI!$B$17*HSI!$G$17/HSI!$B$3,""))</f>
        <v/>
      </c>
      <c r="EJ19" s="85">
        <f>IF(BV19="","",IFERROR(BV19*HSI!$B$17*HSI!$G$17/HSI!$B$3,""))</f>
        <v/>
      </c>
      <c r="EK19" s="85">
        <f>IF(BW19="","",IFERROR(BW19*HSI!$B$17*HSI!$G$17/HSI!$B$3,""))</f>
        <v/>
      </c>
      <c r="EL19" s="85">
        <f>IF(BX19="","",IFERROR(BX19*HSI!$B$17*HSI!$G$17/HSI!$B$3,""))</f>
        <v/>
      </c>
      <c r="EM19" s="85">
        <f>IF(BY19="","",IFERROR(BY19*HSI!$B$17*HSI!$G$17/HSI!$B$3,""))</f>
        <v/>
      </c>
      <c r="EN19" s="85">
        <f>IF(BZ19="","",IFERROR(BZ19*HSI!$B$17*HSI!$G$17/HSI!$B$3,""))</f>
        <v/>
      </c>
      <c r="EO19" s="85">
        <f>IF(CA19="","",IFERROR(CA19*HSI!$B$17*HSI!$G$17/HSI!$B$3,""))</f>
        <v/>
      </c>
      <c r="EP19" s="85">
        <f>IF(CB19="","",IFERROR(CB19*HSI!$B$17*HSI!$G$17/HSI!$B$3,""))</f>
        <v/>
      </c>
      <c r="EQ19" s="85">
        <f>IF(CC19="","",IFERROR(CC19*HSI!$B$17*HSI!$G$17/HSI!$B$3,""))</f>
        <v/>
      </c>
      <c r="ER19" s="85">
        <f>IF(CD19="","",IFERROR(CD19*HSI!$B$17*HSI!$G$17/HSI!$B$3,""))</f>
        <v/>
      </c>
      <c r="ES19" s="85">
        <f>IF(CE19="","",IFERROR(CE19*HSI!$B$17*HSI!$G$17/HSI!$B$3,""))</f>
        <v/>
      </c>
      <c r="ET19" s="85">
        <f>IF(CF19="","",IFERROR(CF19*HSI!$B$17*HSI!$G$17/HSI!$B$3,""))</f>
        <v/>
      </c>
      <c r="EU19" s="85">
        <f>IF(CG19="","",IFERROR(CG19*HSI!$B$17*HSI!$G$17/HSI!$B$3,""))</f>
        <v/>
      </c>
      <c r="EV19" s="85">
        <f>IF(CH19="","",IFERROR(CH19*HSI!$B$17*HSI!$G$17/HSI!$B$3,""))</f>
        <v/>
      </c>
      <c r="EW19" s="85">
        <f>IF(CI19="","",IFERROR(CI19*HSI!$B$17*HSI!$G$17/HSI!$B$3,""))</f>
        <v/>
      </c>
      <c r="EX19" s="85">
        <f>IF(CJ19="","",IFERROR(CJ19*HSI!$B$17*HSI!$G$17/HSI!$B$3,""))</f>
        <v/>
      </c>
      <c r="EY19" s="85">
        <f>IF(CK19="","",IFERROR(CK19*HSI!$B$17*HSI!$G$17/HSI!$B$3,""))</f>
        <v/>
      </c>
      <c r="EZ19" s="85">
        <f>IF(CL19="","",IFERROR(CL19*HSI!$B$17*HSI!$G$17/HSI!$B$3,""))</f>
        <v/>
      </c>
      <c r="FA19" s="85">
        <f>IF(CM19="","",IFERROR(CM19*HSI!$B$17*HSI!$G$17/HSI!$B$3,""))</f>
        <v/>
      </c>
      <c r="FB19" s="85">
        <f>IF(CN19="","",IFERROR(CN19*HSI!$B$17*HSI!$G$17/HSI!$B$3,""))</f>
        <v/>
      </c>
      <c r="FC19" s="85">
        <f>IF(CO19="","",IFERROR(CO19*HSI!$B$17*HSI!$G$17/HSI!$B$3,""))</f>
        <v/>
      </c>
      <c r="FD19" s="85">
        <f>IF(CP19="","",IFERROR(CP19*HSI!$B$17*HSI!$G$17/HSI!$B$3,""))</f>
        <v/>
      </c>
      <c r="FE19" s="85">
        <f>IF(CQ19="","",IFERROR(CQ19*HSI!$B$17*HSI!$G$17/HSI!$B$3,""))</f>
        <v/>
      </c>
      <c r="FF19" s="85">
        <f>IF(CR19="","",IFERROR(CR19*HSI!$B$17*HSI!$G$17/HSI!$B$3,""))</f>
        <v/>
      </c>
      <c r="FG19" s="85">
        <f>IF(CS19="","",IFERROR(CS19*HSI!$B$17*HSI!$G$17/HSI!$B$3,""))</f>
        <v/>
      </c>
      <c r="FH19" s="85">
        <f>IF(CT19="","",IFERROR(CT19*HSI!$B$17*HSI!$G$17/HSI!$B$3,""))</f>
        <v/>
      </c>
      <c r="FI19" s="85">
        <f>IF(CU19="","",IFERROR(CU19*HSI!$B$17*HSI!$G$17/HSI!$B$3,""))</f>
        <v/>
      </c>
      <c r="FJ19" s="85">
        <f>IF(CV19="","",IFERROR(CV19*HSI!$B$17*HSI!$G$17/HSI!$B$3,""))</f>
        <v/>
      </c>
      <c r="FK19" s="85">
        <f>IF(CW19="","",IFERROR(CW19*HSI!$B$17*HSI!$G$17/HSI!$B$3,""))</f>
        <v/>
      </c>
      <c r="FL19" s="85">
        <f>IF(CX19="","",IFERROR(CX19*HSI!$B$17*HSI!$G$17/HSI!$B$3,""))</f>
        <v/>
      </c>
      <c r="FM19" s="85">
        <f>IF(CY19="","",IFERROR(CY19*HSI!$B$17*HSI!$G$17/HSI!$B$3,""))</f>
        <v/>
      </c>
      <c r="FN19" s="85">
        <f>IF(CZ19="","",IFERROR(CZ19*HSI!$B$17*HSI!$G$17/HSI!$B$3,""))</f>
        <v/>
      </c>
      <c r="FO19" s="85">
        <f>IF(DA19="","",IFERROR(DA19*HSI!$B$17*HSI!$G$17/HSI!$B$3,""))</f>
        <v/>
      </c>
      <c r="FP19" s="85">
        <f>IF(DB19="","",IFERROR(DB19*HSI!$B$17*HSI!$G$17/HSI!$B$3,""))</f>
        <v/>
      </c>
      <c r="FQ19" s="85">
        <f>IF(DC19="","",IFERROR(DC19*HSI!$B$17*HSI!$G$17/HSI!$B$3,""))</f>
        <v/>
      </c>
      <c r="FR19" s="85">
        <f>IF(DD19="","",IFERROR(DD19*HSI!$B$17*HSI!$G$17/HSI!$B$3,""))</f>
        <v/>
      </c>
      <c r="FS19" s="85">
        <f>IF(DE19="","",IFERROR(DE19*HSI!$B$17*HSI!$G$17/HSI!$B$3,""))</f>
        <v/>
      </c>
      <c r="FT19" s="85">
        <f>IF(DF19="","",IFERROR(DF19*HSI!$B$17*HSI!$G$17/HSI!$B$3,""))</f>
        <v/>
      </c>
      <c r="FU19" s="85">
        <f>IF(DG19="","",IFERROR(DG19*HSI!$B$17*HSI!$G$17/HSI!$B$3,""))</f>
        <v/>
      </c>
      <c r="FV19" s="85">
        <f>IF(DH19="","",IFERROR(DH19*HSI!$B$17*HSI!$G$17/HSI!$B$3,""))</f>
        <v/>
      </c>
      <c r="FW19" s="85">
        <f>IF(DI19="","",IFERROR(DI19*HSI!$B$17*HSI!$G$17/HSI!$B$3,""))</f>
        <v/>
      </c>
      <c r="FX19" s="85">
        <f>IF(DJ19="","",IFERROR(DJ19*HSI!$B$17*HSI!$G$17/HSI!$B$3,""))</f>
        <v/>
      </c>
      <c r="FY19" s="85">
        <f>IF(DK19="","",IFERROR(DK19*HSI!$B$17*HSI!$G$17/HSI!$B$3,""))</f>
        <v/>
      </c>
      <c r="FZ19" s="85">
        <f>IF(DL19="","",IFERROR(DL19*HSI!$B$17*HSI!$G$17/HSI!$B$3,""))</f>
        <v/>
      </c>
      <c r="GA19" s="85">
        <f>IF(DM19="","",IFERROR(DM19*HSI!$B$17*HSI!$G$17/HSI!$B$3,""))</f>
        <v/>
      </c>
      <c r="GB19" s="85">
        <f>IF(DN19="","",IFERROR(DN19*HSI!$B$17*HSI!$G$17/HSI!$B$3,""))</f>
        <v/>
      </c>
      <c r="GC19" s="85">
        <f>IF(DO19="","",IFERROR(DO19*HSI!$B$17*HSI!$G$17/HSI!$B$3,""))</f>
        <v/>
      </c>
      <c r="GD19" s="85">
        <f>IF(DP19="","",IFERROR(DP19*HSI!$B$17*HSI!$G$17/HSI!$B$3,""))</f>
        <v/>
      </c>
      <c r="GE19" s="85">
        <f>IF(DQ19="","",IFERROR(DQ19*HSI!$B$17*HSI!$G$17/HSI!$B$3,""))</f>
        <v/>
      </c>
      <c r="GF19" s="85">
        <f>IF(DR19="","",IFERROR(DR19*HSI!$B$17*HSI!$G$17/HSI!$B$3,""))</f>
        <v/>
      </c>
      <c r="GG19" s="85">
        <f>IF(DS19="","",IFERROR(DS19*HSI!$B$17*HSI!$G$17/HSI!$B$3,""))</f>
        <v/>
      </c>
      <c r="GH19" s="85">
        <f>IF(DT19="","",IFERROR(DT19*HSI!$B$17*HSI!$G$17/HSI!$B$3,""))</f>
        <v/>
      </c>
      <c r="GI19" s="85">
        <f>IF(DU19="","",IFERROR(DU19*HSI!$B$17*HSI!$G$17/HSI!$B$3,""))</f>
        <v/>
      </c>
      <c r="GJ19" s="85">
        <f>IF(DV19="","",IFERROR(DV19*HSI!$B$17*HSI!$G$17/HSI!$B$3,""))</f>
        <v/>
      </c>
      <c r="GK19" s="85">
        <f>IF(DW19="","",IFERROR(DW19*HSI!$B$17*HSI!$G$17/HSI!$B$3,""))</f>
        <v/>
      </c>
      <c r="GL19" s="85">
        <f>IF(DX19="","",IFERROR(DX19*HSI!$B$17*HSI!$G$17/HSI!$B$3,""))</f>
        <v/>
      </c>
      <c r="GM19" s="85">
        <f>IF(DY19="","",IFERROR(DY19*HSI!$B$17*HSI!$G$17/HSI!$B$3,""))</f>
        <v/>
      </c>
      <c r="GN19" s="85">
        <f>IF(DZ19="","",IFERROR(DZ19*HSI!$B$17*HSI!$G$17/HSI!$B$3,""))</f>
        <v/>
      </c>
      <c r="GO19" s="85">
        <f>IF(EA19="","",IFERROR(EA19*HSI!$B$17*HSI!$G$17/HSI!$B$3,""))</f>
        <v/>
      </c>
      <c r="GP19" s="85">
        <f>IF(EB19="","",IFERROR(EB19*HSI!$B$17*HSI!$G$17/HSI!$B$3,""))</f>
        <v/>
      </c>
      <c r="GQ19" s="85">
        <f>IF(EC19="","",IFERROR(EC19*HSI!$B$17*HSI!$G$17/HSI!$B$3,""))</f>
        <v/>
      </c>
    </row>
    <row r="20">
      <c r="B20" s="2">
        <f>IF(HSI!$C$18="","",HSI!$C$18)</f>
        <v/>
      </c>
      <c r="C20" s="41">
        <f>IF(N('Dvd Calendar'!$E$175)=0,"",IF(('Dvd Calendar'!$E$175&gt;=MIN(DATE(Summary!$C$12,1,1),Summary!$C$11))*('Dvd Calendar'!$E$175&lt;=MAX(DATE(Summary!$C$12,12,31),Summary!$C$15))*('Dvd Calendar'!$E$175&lt;=Summary!$C$11)=0,"",'Dvd Calendar'!$E$175*1000000000+ISNUMBER('Dvd Calendar'!$E$176)*100000000+('Dvd Calendar'!$E$180='Field Check'!$C$25)*10000000+(N('Dvd Calendar'!$E$174)&gt;0)*1000000+12*1000+1))</f>
        <v/>
      </c>
      <c r="D20" s="41">
        <f>IF(N('Dvd Calendar'!$F$175)=0,"",IF(('Dvd Calendar'!$F$175&gt;=MIN(DATE(Summary!$C$12,1,1),Summary!$C$11))*('Dvd Calendar'!$F$175&lt;=MAX(DATE(Summary!$C$12,12,31),Summary!$C$15))*('Dvd Calendar'!$F$175&lt;=Summary!$C$11)=0,"",'Dvd Calendar'!$F$175*1000000000+ISNUMBER('Dvd Calendar'!$F$176)*100000000+('Dvd Calendar'!$F$180='Field Check'!$C$25)*10000000+(N('Dvd Calendar'!$F$174)&gt;0)*1000000+12*1000+2))</f>
        <v/>
      </c>
      <c r="E20" s="41">
        <f>IF(N('Dvd Calendar'!$G$175)=0,"",IF(('Dvd Calendar'!$G$175&gt;=MIN(DATE(Summary!$C$12,1,1),Summary!$C$11))*('Dvd Calendar'!$G$175&lt;=MAX(DATE(Summary!$C$12,12,31),Summary!$C$15))*('Dvd Calendar'!$G$175&lt;=Summary!$C$11)=0,"",'Dvd Calendar'!$G$175*1000000000+ISNUMBER('Dvd Calendar'!$G$176)*100000000+('Dvd Calendar'!$G$180='Field Check'!$C$25)*10000000+(N('Dvd Calendar'!$G$174)&gt;0)*1000000+12*1000+3))</f>
        <v/>
      </c>
      <c r="F20" s="41">
        <f>IF(N('Dvd Calendar'!$H$175)=0,"",IF(('Dvd Calendar'!$H$175&gt;=MIN(DATE(Summary!$C$12,1,1),Summary!$C$11))*('Dvd Calendar'!$H$175&lt;=MAX(DATE(Summary!$C$12,12,31),Summary!$C$15))*('Dvd Calendar'!$H$175&lt;=Summary!$C$11)=0,"",'Dvd Calendar'!$H$175*1000000000+ISNUMBER('Dvd Calendar'!$H$176)*100000000+('Dvd Calendar'!$H$180='Field Check'!$C$25)*10000000+(N('Dvd Calendar'!$H$174)&gt;0)*1000000+12*1000+4))</f>
        <v/>
      </c>
      <c r="G20" s="41">
        <f>IF(N('Dvd Calendar'!$I$175)=0,"",IF(('Dvd Calendar'!$I$175&gt;=MIN(DATE(Summary!$C$12,1,1),Summary!$C$11))*('Dvd Calendar'!$I$175&lt;=MAX(DATE(Summary!$C$12,12,31),Summary!$C$15))*('Dvd Calendar'!$I$175&lt;=Summary!$C$11)=0,"",'Dvd Calendar'!$I$175*1000000000+ISNUMBER('Dvd Calendar'!$I$176)*100000000+('Dvd Calendar'!$I$180='Field Check'!$C$25)*10000000+(N('Dvd Calendar'!$I$174)&gt;0)*1000000+12*1000+5))</f>
        <v/>
      </c>
      <c r="H20" s="41">
        <f>IF(N('Dvd Calendar'!$J$175)=0,"",IF(('Dvd Calendar'!$J$175&gt;=MIN(DATE(Summary!$C$12,1,1),Summary!$C$11))*('Dvd Calendar'!$J$175&lt;=MAX(DATE(Summary!$C$12,12,31),Summary!$C$15))*('Dvd Calendar'!$J$175&lt;=Summary!$C$11)=0,"",'Dvd Calendar'!$J$175*1000000000+ISNUMBER('Dvd Calendar'!$J$176)*100000000+('Dvd Calendar'!$J$180='Field Check'!$C$25)*10000000+(N('Dvd Calendar'!$J$174)&gt;0)*1000000+12*1000+6))</f>
        <v/>
      </c>
      <c r="I20" s="41">
        <f>IF(N('Dvd Calendar'!$K$175)=0,"",IF(('Dvd Calendar'!$K$175&gt;=MIN(DATE(Summary!$C$12,1,1),Summary!$C$11))*('Dvd Calendar'!$K$175&lt;=MAX(DATE(Summary!$C$12,12,31),Summary!$C$15))*('Dvd Calendar'!$K$175&lt;=Summary!$C$11)=0,"",'Dvd Calendar'!$K$175*1000000000+ISNUMBER('Dvd Calendar'!$K$176)*100000000+('Dvd Calendar'!$K$180='Field Check'!$C$25)*10000000+(N('Dvd Calendar'!$K$174)&gt;0)*1000000+12*1000+7))</f>
        <v/>
      </c>
      <c r="J20" s="41">
        <f>IF(N('Dvd Calendar'!$L$175)=0,"",IF(('Dvd Calendar'!$L$175&gt;=MIN(DATE(Summary!$C$12,1,1),Summary!$C$11))*('Dvd Calendar'!$L$175&lt;=MAX(DATE(Summary!$C$12,12,31),Summary!$C$15))*('Dvd Calendar'!$L$175&lt;=Summary!$C$11)=0,"",'Dvd Calendar'!$L$175*1000000000+ISNUMBER('Dvd Calendar'!$L$176)*100000000+('Dvd Calendar'!$L$180='Field Check'!$C$25)*10000000+(N('Dvd Calendar'!$L$174)&gt;0)*1000000+12*1000+8))</f>
        <v/>
      </c>
      <c r="K20" s="41">
        <f>IF(N('Dvd Calendar'!$M$175)=0,"",IF(('Dvd Calendar'!$M$175&gt;=MIN(DATE(Summary!$C$12,1,1),Summary!$C$11))*('Dvd Calendar'!$M$175&lt;=MAX(DATE(Summary!$C$12,12,31),Summary!$C$15))*('Dvd Calendar'!$M$175&lt;=Summary!$C$11)=0,"",'Dvd Calendar'!$M$175*1000000000+ISNUMBER('Dvd Calendar'!$M$176)*100000000+('Dvd Calendar'!$M$180='Field Check'!$C$25)*10000000+(N('Dvd Calendar'!$M$174)&gt;0)*1000000+12*1000+9))</f>
        <v/>
      </c>
      <c r="L20" s="41">
        <f>IF(N('Dvd Calendar'!$N$175)=0,"",IF(('Dvd Calendar'!$N$175&gt;=MIN(DATE(Summary!$C$12,1,1),Summary!$C$11))*('Dvd Calendar'!$N$175&lt;=MAX(DATE(Summary!$C$12,12,31),Summary!$C$15))*('Dvd Calendar'!$N$175&lt;=Summary!$C$11)=0,"",'Dvd Calendar'!$N$175*1000000000+ISNUMBER('Dvd Calendar'!$N$176)*100000000+('Dvd Calendar'!$N$180='Field Check'!$C$25)*10000000+(N('Dvd Calendar'!$N$174)&gt;0)*1000000+12*1000+10))</f>
        <v/>
      </c>
      <c r="M20" s="41">
        <f>IF(N('Dvd Calendar'!$O$175)=0,"",IF(('Dvd Calendar'!$O$175&gt;=MIN(DATE(Summary!$C$12,1,1),Summary!$C$11))*('Dvd Calendar'!$O$175&lt;=MAX(DATE(Summary!$C$12,12,31),Summary!$C$15))*('Dvd Calendar'!$O$175&lt;=Summary!$C$11)=0,"",'Dvd Calendar'!$O$175*1000000000+ISNUMBER('Dvd Calendar'!$O$176)*100000000+('Dvd Calendar'!$O$180='Field Check'!$C$25)*10000000+(N('Dvd Calendar'!$O$174)&gt;0)*1000000+12*1000+11))</f>
        <v/>
      </c>
      <c r="N20" s="41">
        <f>IF(N('Dvd Calendar'!$P$175)=0,"",IF(('Dvd Calendar'!$P$175&gt;=MIN(DATE(Summary!$C$12,1,1),Summary!$C$11))*('Dvd Calendar'!$P$175&lt;=MAX(DATE(Summary!$C$12,12,31),Summary!$C$15))*('Dvd Calendar'!$P$175&lt;=Summary!$C$11)=0,"",'Dvd Calendar'!$P$175*1000000000+ISNUMBER('Dvd Calendar'!$P$176)*100000000+('Dvd Calendar'!$P$180='Field Check'!$C$25)*10000000+(N('Dvd Calendar'!$P$174)&gt;0)*1000000+12*1000+12))</f>
        <v/>
      </c>
      <c r="O20" s="41">
        <f>IF(N('Dvd Calendar'!$Q$175)=0,"",IF(('Dvd Calendar'!$Q$175&gt;=MIN(DATE(Summary!$C$12,1,1),Summary!$C$11))*('Dvd Calendar'!$Q$175&lt;=MAX(DATE(Summary!$C$12,12,31),Summary!$C$15))*('Dvd Calendar'!$Q$175&lt;=Summary!$C$11)=0,"",'Dvd Calendar'!$Q$175*1000000000+ISNUMBER('Dvd Calendar'!$Q$176)*100000000+('Dvd Calendar'!$Q$180='Field Check'!$C$25)*10000000+(N('Dvd Calendar'!$Q$174)&gt;0)*1000000+12*1000+13))</f>
        <v/>
      </c>
      <c r="P20" s="41">
        <f>IF(N('Dvd Calendar'!$R$175)=0,"",IF(('Dvd Calendar'!$R$175&gt;=MIN(DATE(Summary!$C$12,1,1),Summary!$C$11))*('Dvd Calendar'!$R$175&lt;=MAX(DATE(Summary!$C$12,12,31),Summary!$C$15))*('Dvd Calendar'!$R$175&lt;=Summary!$C$11)=0,"",'Dvd Calendar'!$R$175*1000000000+ISNUMBER('Dvd Calendar'!$R$176)*100000000+('Dvd Calendar'!$R$180='Field Check'!$C$25)*10000000+(N('Dvd Calendar'!$R$174)&gt;0)*1000000+12*1000+14))</f>
        <v/>
      </c>
      <c r="Q20" s="41">
        <f>IF(N('Dvd Calendar'!$S$175)=0,"",IF(('Dvd Calendar'!$S$175&gt;=MIN(DATE(Summary!$C$12,1,1),Summary!$C$11))*('Dvd Calendar'!$S$175&lt;=MAX(DATE(Summary!$C$12,12,31),Summary!$C$15))*('Dvd Calendar'!$S$175&lt;=Summary!$C$11)=0,"",'Dvd Calendar'!$S$175*1000000000+ISNUMBER('Dvd Calendar'!$S$176)*100000000+('Dvd Calendar'!$S$180='Field Check'!$C$25)*10000000+(N('Dvd Calendar'!$S$174)&gt;0)*1000000+12*1000+15))</f>
        <v/>
      </c>
      <c r="R20" s="41">
        <f>IF(N('Dvd Calendar'!$T$175)=0,"",IF(('Dvd Calendar'!$T$175&gt;=MIN(DATE(Summary!$C$12,1,1),Summary!$C$11))*('Dvd Calendar'!$T$175&lt;=MAX(DATE(Summary!$C$12,12,31),Summary!$C$15))*('Dvd Calendar'!$T$175&lt;=Summary!$C$11)=0,"",'Dvd Calendar'!$T$175*1000000000+ISNUMBER('Dvd Calendar'!$T$176)*100000000+('Dvd Calendar'!$T$180='Field Check'!$C$25)*10000000+(N('Dvd Calendar'!$T$174)&gt;0)*1000000+12*1000+16))</f>
        <v/>
      </c>
      <c r="S20" s="41">
        <f>IF(N('Dvd Calendar'!$U$175)=0,"",IF(('Dvd Calendar'!$U$175&gt;=MIN(DATE(Summary!$C$12,1,1),Summary!$C$11))*('Dvd Calendar'!$U$175&lt;=MAX(DATE(Summary!$C$12,12,31),Summary!$C$15))*('Dvd Calendar'!$U$175&lt;=Summary!$C$11)=0,"",'Dvd Calendar'!$U$175*1000000000+ISNUMBER('Dvd Calendar'!$U$176)*100000000+('Dvd Calendar'!$U$180='Field Check'!$C$25)*10000000+(N('Dvd Calendar'!$U$174)&gt;0)*1000000+12*1000+17))</f>
        <v/>
      </c>
      <c r="T20" s="41">
        <f>IF(N('Dvd Calendar'!$V$175)=0,"",IF(('Dvd Calendar'!$V$175&gt;=MIN(DATE(Summary!$C$12,1,1),Summary!$C$11))*('Dvd Calendar'!$V$175&lt;=MAX(DATE(Summary!$C$12,12,31),Summary!$C$15))*('Dvd Calendar'!$V$175&lt;=Summary!$C$11)=0,"",'Dvd Calendar'!$V$175*1000000000+ISNUMBER('Dvd Calendar'!$V$176)*100000000+('Dvd Calendar'!$V$180='Field Check'!$C$25)*10000000+(N('Dvd Calendar'!$V$174)&gt;0)*1000000+12*1000+18))</f>
        <v/>
      </c>
      <c r="U20" s="41">
        <f>IF(N('Dvd Calendar'!$W$175)=0,"",IF(('Dvd Calendar'!$W$175&gt;=MIN(DATE(Summary!$C$12,1,1),Summary!$C$11))*('Dvd Calendar'!$W$175&lt;=MAX(DATE(Summary!$C$12,12,31),Summary!$C$15))*('Dvd Calendar'!$W$175&lt;=Summary!$C$11)=0,"",'Dvd Calendar'!$W$175*1000000000+ISNUMBER('Dvd Calendar'!$W$176)*100000000+('Dvd Calendar'!$W$180='Field Check'!$C$25)*10000000+(N('Dvd Calendar'!$W$174)&gt;0)*1000000+12*1000+19))</f>
        <v/>
      </c>
      <c r="V20" s="41">
        <f>IF(N('Dvd Calendar'!$X$175)=0,"",IF(('Dvd Calendar'!$X$175&gt;=MIN(DATE(Summary!$C$12,1,1),Summary!$C$11))*('Dvd Calendar'!$X$175&lt;=MAX(DATE(Summary!$C$12,12,31),Summary!$C$15))*('Dvd Calendar'!$X$175&lt;=Summary!$C$11)=0,"",'Dvd Calendar'!$X$175*1000000000+ISNUMBER('Dvd Calendar'!$X$176)*100000000+('Dvd Calendar'!$X$180='Field Check'!$C$25)*10000000+(N('Dvd Calendar'!$X$174)&gt;0)*1000000+12*1000+20))</f>
        <v/>
      </c>
      <c r="W20" s="41">
        <f>IF(N('Dvd Calendar'!$Y$175)=0,"",IF(('Dvd Calendar'!$Y$175&gt;=MIN(DATE(Summary!$C$12,1,1),Summary!$C$11))*('Dvd Calendar'!$Y$175&lt;=MAX(DATE(Summary!$C$12,12,31),Summary!$C$15))*('Dvd Calendar'!$Y$175&lt;=Summary!$C$11)=0,"",'Dvd Calendar'!$Y$175*1000000000+ISNUMBER('Dvd Calendar'!$Y$176)*100000000+('Dvd Calendar'!$Y$180='Field Check'!$C$25)*10000000+(N('Dvd Calendar'!$Y$174)&gt;0)*1000000+12*1000+21))</f>
        <v/>
      </c>
      <c r="X20" s="41">
        <f>IF(N('Dvd Calendar'!$Z$175)=0,"",IF(('Dvd Calendar'!$Z$175&gt;=MIN(DATE(Summary!$C$12,1,1),Summary!$C$11))*('Dvd Calendar'!$Z$175&lt;=MAX(DATE(Summary!$C$12,12,31),Summary!$C$15))*('Dvd Calendar'!$Z$175&lt;=Summary!$C$11)=0,"",'Dvd Calendar'!$Z$175*1000000000+ISNUMBER('Dvd Calendar'!$Z$176)*100000000+('Dvd Calendar'!$Z$180='Field Check'!$C$25)*10000000+(N('Dvd Calendar'!$Z$174)&gt;0)*1000000+12*1000+22))</f>
        <v/>
      </c>
      <c r="Y20" s="41">
        <f>IF(N('Dvd Calendar'!$AA$175)=0,"",IF(('Dvd Calendar'!$AA$175&gt;=MIN(DATE(Summary!$C$12,1,1),Summary!$C$11))*('Dvd Calendar'!$AA$175&lt;=MAX(DATE(Summary!$C$12,12,31),Summary!$C$15))*('Dvd Calendar'!$AA$175&lt;=Summary!$C$11)=0,"",'Dvd Calendar'!$AA$175*1000000000+ISNUMBER('Dvd Calendar'!$AA$176)*100000000+('Dvd Calendar'!$AA$180='Field Check'!$C$25)*10000000+(N('Dvd Calendar'!$AA$174)&gt;0)*1000000+12*1000+23))</f>
        <v/>
      </c>
      <c r="Z20" s="41">
        <f>IF(N('Dvd Calendar'!$AB$175)=0,"",IF(('Dvd Calendar'!$AB$175&gt;=MIN(DATE(Summary!$C$12,1,1),Summary!$C$11))*('Dvd Calendar'!$AB$175&lt;=MAX(DATE(Summary!$C$12,12,31),Summary!$C$15))*('Dvd Calendar'!$AB$175&lt;=Summary!$C$11)=0,"",'Dvd Calendar'!$AB$175*1000000000+ISNUMBER('Dvd Calendar'!$AB$176)*100000000+('Dvd Calendar'!$AB$180='Field Check'!$C$25)*10000000+(N('Dvd Calendar'!$AB$174)&gt;0)*1000000+12*1000+24))</f>
        <v/>
      </c>
      <c r="AA20" s="41">
        <f>IF(N('Dvd Calendar'!$AC$175)=0,"",IF(('Dvd Calendar'!$AC$175&gt;=MIN(DATE(Summary!$C$12,1,1),Summary!$C$11))*('Dvd Calendar'!$AC$175&lt;=MAX(DATE(Summary!$C$12,12,31),Summary!$C$15))*('Dvd Calendar'!$AC$175&lt;=Summary!$C$11)=0,"",'Dvd Calendar'!$AC$175*1000000000+ISNUMBER('Dvd Calendar'!$AC$176)*100000000+('Dvd Calendar'!$AC$180='Field Check'!$C$25)*10000000+(N('Dvd Calendar'!$AC$174)&gt;0)*1000000+12*1000+25))</f>
        <v/>
      </c>
      <c r="AB20" s="41">
        <f>IF(N('Dvd Calendar'!$AD$175)=0,"",IF(('Dvd Calendar'!$AD$175&gt;=MIN(DATE(Summary!$C$12,1,1),Summary!$C$11))*('Dvd Calendar'!$AD$175&lt;=MAX(DATE(Summary!$C$12,12,31),Summary!$C$15))*('Dvd Calendar'!$AD$175&lt;=Summary!$C$11)=0,"",'Dvd Calendar'!$AD$175*1000000000+ISNUMBER('Dvd Calendar'!$AD$176)*100000000+('Dvd Calendar'!$AD$180='Field Check'!$C$25)*10000000+(N('Dvd Calendar'!$AD$174)&gt;0)*1000000+12*1000+26))</f>
        <v/>
      </c>
      <c r="AC20" s="41">
        <f>IF(N('Dvd Calendar'!$AE$175)=0,"",IF(('Dvd Calendar'!$AE$175&gt;=MIN(DATE(Summary!$C$12,1,1),Summary!$C$11))*('Dvd Calendar'!$AE$175&lt;=MAX(DATE(Summary!$C$12,12,31),Summary!$C$15))*('Dvd Calendar'!$AE$175&lt;=Summary!$C$11)=0,"",'Dvd Calendar'!$AE$175*1000000000+ISNUMBER('Dvd Calendar'!$AE$176)*100000000+('Dvd Calendar'!$AE$180='Field Check'!$C$25)*10000000+(N('Dvd Calendar'!$AE$174)&gt;0)*1000000+12*1000+27))</f>
        <v/>
      </c>
      <c r="AD20" s="41">
        <f>IF(N('Dvd Calendar'!$AF$175)=0,"",IF(('Dvd Calendar'!$AF$175&gt;=MIN(DATE(Summary!$C$12,1,1),Summary!$C$11))*('Dvd Calendar'!$AF$175&lt;=MAX(DATE(Summary!$C$12,12,31),Summary!$C$15))*('Dvd Calendar'!$AF$175&lt;=Summary!$C$11)=0,"",'Dvd Calendar'!$AF$175*1000000000+ISNUMBER('Dvd Calendar'!$AF$176)*100000000+('Dvd Calendar'!$AF$180='Field Check'!$C$25)*10000000+(N('Dvd Calendar'!$AF$174)&gt;0)*1000000+12*1000+28))</f>
        <v/>
      </c>
      <c r="AE20" s="41">
        <f>IF(N('Dvd Calendar'!$AG$175)=0,"",IF(('Dvd Calendar'!$AG$175&gt;=MIN(DATE(Summary!$C$12,1,1),Summary!$C$11))*('Dvd Calendar'!$AG$175&lt;=MAX(DATE(Summary!$C$12,12,31),Summary!$C$15))*('Dvd Calendar'!$AG$175&lt;=Summary!$C$11)=0,"",'Dvd Calendar'!$AG$175*1000000000+ISNUMBER('Dvd Calendar'!$AG$176)*100000000+('Dvd Calendar'!$AG$180='Field Check'!$C$25)*10000000+(N('Dvd Calendar'!$AG$174)&gt;0)*1000000+12*1000+29))</f>
        <v/>
      </c>
      <c r="AF20" s="41">
        <f>IF(N('Dvd Calendar'!$AH$175)=0,"",IF(('Dvd Calendar'!$AH$175&gt;=MIN(DATE(Summary!$C$12,1,1),Summary!$C$11))*('Dvd Calendar'!$AH$175&lt;=MAX(DATE(Summary!$C$12,12,31),Summary!$C$15))*('Dvd Calendar'!$AH$175&lt;=Summary!$C$11)=0,"",'Dvd Calendar'!$AH$175*1000000000+ISNUMBER('Dvd Calendar'!$AH$176)*100000000+('Dvd Calendar'!$AH$180='Field Check'!$C$25)*10000000+(N('Dvd Calendar'!$AH$174)&gt;0)*1000000+12*1000+30))</f>
        <v/>
      </c>
      <c r="AG20" s="41">
        <f>IF(N('Dvd Calendar'!$AI$175)=0,"",IF(('Dvd Calendar'!$AI$175&gt;=MIN(DATE(Summary!$C$12,1,1),Summary!$C$11))*('Dvd Calendar'!$AI$175&lt;=MAX(DATE(Summary!$C$12,12,31),Summary!$C$15))*('Dvd Calendar'!$AI$175&lt;=Summary!$C$11)=0,"",'Dvd Calendar'!$AI$175*1000000000+ISNUMBER('Dvd Calendar'!$AI$176)*100000000+('Dvd Calendar'!$AI$180='Field Check'!$C$25)*10000000+(N('Dvd Calendar'!$AI$174)&gt;0)*1000000+12*1000+31))</f>
        <v/>
      </c>
      <c r="AH20" s="41">
        <f>IF(N('Dvd Calendar'!$AJ$175)=0,"",IF(('Dvd Calendar'!$AJ$175&gt;=MIN(DATE(Summary!$C$12,1,1),Summary!$C$11))*('Dvd Calendar'!$AJ$175&lt;=MAX(DATE(Summary!$C$12,12,31),Summary!$C$15))*('Dvd Calendar'!$AJ$175&lt;=Summary!$C$11)=0,"",'Dvd Calendar'!$AJ$175*1000000000+ISNUMBER('Dvd Calendar'!$AJ$176)*100000000+('Dvd Calendar'!$AJ$180='Field Check'!$C$25)*10000000+(N('Dvd Calendar'!$AJ$174)&gt;0)*1000000+12*1000+32))</f>
        <v/>
      </c>
      <c r="AI20" s="41">
        <f>IF(N('Dvd Calendar'!$AK$175)=0,"",IF(('Dvd Calendar'!$AK$175&gt;=MIN(DATE(Summary!$C$12,1,1),Summary!$C$11))*('Dvd Calendar'!$AK$175&lt;=MAX(DATE(Summary!$C$12,12,31),Summary!$C$15))*('Dvd Calendar'!$AK$175&lt;=Summary!$C$11)=0,"",'Dvd Calendar'!$AK$175*1000000000+ISNUMBER('Dvd Calendar'!$AK$176)*100000000+('Dvd Calendar'!$AK$180='Field Check'!$C$25)*10000000+(N('Dvd Calendar'!$AK$174)&gt;0)*1000000+12*1000+33))</f>
        <v/>
      </c>
      <c r="AJ20" s="41">
        <f>IF(N('Dvd Calendar'!$AL$175)=0,"",IF(('Dvd Calendar'!$AL$175&gt;=MIN(DATE(Summary!$C$12,1,1),Summary!$C$11))*('Dvd Calendar'!$AL$175&lt;=MAX(DATE(Summary!$C$12,12,31),Summary!$C$15))*('Dvd Calendar'!$AL$175&lt;=Summary!$C$11)=0,"",'Dvd Calendar'!$AL$175*1000000000+ISNUMBER('Dvd Calendar'!$AL$176)*100000000+('Dvd Calendar'!$AL$180='Field Check'!$C$25)*10000000+(N('Dvd Calendar'!$AL$174)&gt;0)*1000000+12*1000+34))</f>
        <v/>
      </c>
      <c r="AK20" s="41">
        <f>IF(N('Dvd Calendar'!$AM$175)=0,"",IF(('Dvd Calendar'!$AM$175&gt;=MIN(DATE(Summary!$C$12,1,1),Summary!$C$11))*('Dvd Calendar'!$AM$175&lt;=MAX(DATE(Summary!$C$12,12,31),Summary!$C$15))*('Dvd Calendar'!$AM$175&lt;=Summary!$C$11)=0,"",'Dvd Calendar'!$AM$175*1000000000+ISNUMBER('Dvd Calendar'!$AM$176)*100000000+('Dvd Calendar'!$AM$180='Field Check'!$C$25)*10000000+(N('Dvd Calendar'!$AM$174)&gt;0)*1000000+12*1000+35))</f>
        <v/>
      </c>
      <c r="AL20" s="41">
        <f>IF(N('Dvd Calendar'!$AN$175)=0,"",IF(('Dvd Calendar'!$AN$175&gt;=MIN(DATE(Summary!$C$12,1,1),Summary!$C$11))*('Dvd Calendar'!$AN$175&lt;=MAX(DATE(Summary!$C$12,12,31),Summary!$C$15))*('Dvd Calendar'!$AN$175&lt;=Summary!$C$11)=0,"",'Dvd Calendar'!$AN$175*1000000000+ISNUMBER('Dvd Calendar'!$AN$176)*100000000+('Dvd Calendar'!$AN$180='Field Check'!$C$25)*10000000+(N('Dvd Calendar'!$AN$174)&gt;0)*1000000+12*1000+36))</f>
        <v/>
      </c>
      <c r="AM20" s="41">
        <f>IF(N('Dvd Calendar'!$AO$175)=0,"",IF(('Dvd Calendar'!$AO$175&gt;=MIN(DATE(Summary!$C$12,1,1),Summary!$C$11))*('Dvd Calendar'!$AO$175&lt;=MAX(DATE(Summary!$C$12,12,31),Summary!$C$15))*('Dvd Calendar'!$AO$175&lt;=Summary!$C$11)=0,"",'Dvd Calendar'!$AO$175*1000000000+ISNUMBER('Dvd Calendar'!$AO$176)*100000000+('Dvd Calendar'!$AO$180='Field Check'!$C$25)*10000000+(N('Dvd Calendar'!$AO$174)&gt;0)*1000000+12*1000+37))</f>
        <v/>
      </c>
      <c r="AN20" s="41">
        <f>IF(N('Dvd Calendar'!$AP$175)=0,"",IF(('Dvd Calendar'!$AP$175&gt;=MIN(DATE(Summary!$C$12,1,1),Summary!$C$11))*('Dvd Calendar'!$AP$175&lt;=MAX(DATE(Summary!$C$12,12,31),Summary!$C$15))*('Dvd Calendar'!$AP$175&lt;=Summary!$C$11)=0,"",'Dvd Calendar'!$AP$175*1000000000+ISNUMBER('Dvd Calendar'!$AP$176)*100000000+('Dvd Calendar'!$AP$180='Field Check'!$C$25)*10000000+(N('Dvd Calendar'!$AP$174)&gt;0)*1000000+12*1000+38))</f>
        <v/>
      </c>
      <c r="AO20" s="41">
        <f>IF(N('Dvd Calendar'!$AQ$175)=0,"",IF(('Dvd Calendar'!$AQ$175&gt;=MIN(DATE(Summary!$C$12,1,1),Summary!$C$11))*('Dvd Calendar'!$AQ$175&lt;=MAX(DATE(Summary!$C$12,12,31),Summary!$C$15))*('Dvd Calendar'!$AQ$175&lt;=Summary!$C$11)=0,"",'Dvd Calendar'!$AQ$175*1000000000+ISNUMBER('Dvd Calendar'!$AQ$176)*100000000+('Dvd Calendar'!$AQ$180='Field Check'!$C$25)*10000000+(N('Dvd Calendar'!$AQ$174)&gt;0)*1000000+12*1000+39))</f>
        <v/>
      </c>
      <c r="AP20" s="41">
        <f>IF(N('Dvd Calendar'!$AR$175)=0,"",IF(('Dvd Calendar'!$AR$175&gt;=MIN(DATE(Summary!$C$12,1,1),Summary!$C$11))*('Dvd Calendar'!$AR$175&lt;=MAX(DATE(Summary!$C$12,12,31),Summary!$C$15))*('Dvd Calendar'!$AR$175&lt;=Summary!$C$11)=0,"",'Dvd Calendar'!$AR$175*1000000000+ISNUMBER('Dvd Calendar'!$AR$176)*100000000+('Dvd Calendar'!$AR$180='Field Check'!$C$25)*10000000+(N('Dvd Calendar'!$AR$174)&gt;0)*1000000+12*1000+40))</f>
        <v/>
      </c>
      <c r="AQ20" s="41">
        <f>IF(N('Dvd Calendar'!$E$182)=0,"",IF(('Dvd Calendar'!$E$182&gt;=MIN(DATE(Summary!$C$12,1,1),Summary!$C$11))*('Dvd Calendar'!$E$182&lt;=MAX(DATE(Summary!$C$12,12,31),Summary!$C$15))*('Dvd Calendar'!$E$182&gt;Summary!$C$11)=0,"",'Dvd Calendar'!$E$182*1000000000+ISNUMBER('Dvd Calendar'!$E$183)*100000000+('Dvd Calendar'!$E$187='Field Check'!$C$25)*10000000+(N('Dvd Calendar'!$E$181)&gt;0)*1000000+12*1000+41))</f>
        <v/>
      </c>
      <c r="AR20" s="41">
        <f>IF(N('Dvd Calendar'!$F$182)=0,"",IF(('Dvd Calendar'!$F$182&gt;=MIN(DATE(Summary!$C$12,1,1),Summary!$C$11))*('Dvd Calendar'!$F$182&lt;=MAX(DATE(Summary!$C$12,12,31),Summary!$C$15))*('Dvd Calendar'!$F$182&gt;Summary!$C$11)=0,"",'Dvd Calendar'!$F$182*1000000000+ISNUMBER('Dvd Calendar'!$F$183)*100000000+('Dvd Calendar'!$F$187='Field Check'!$C$25)*10000000+(N('Dvd Calendar'!$F$181)&gt;0)*1000000+12*1000+42))</f>
        <v/>
      </c>
      <c r="AS20" s="41">
        <f>IF(N('Dvd Calendar'!$G$182)=0,"",IF(('Dvd Calendar'!$G$182&gt;=MIN(DATE(Summary!$C$12,1,1),Summary!$C$11))*('Dvd Calendar'!$G$182&lt;=MAX(DATE(Summary!$C$12,12,31),Summary!$C$15))*('Dvd Calendar'!$G$182&gt;Summary!$C$11)=0,"",'Dvd Calendar'!$G$182*1000000000+ISNUMBER('Dvd Calendar'!$G$183)*100000000+('Dvd Calendar'!$G$187='Field Check'!$C$25)*10000000+(N('Dvd Calendar'!$G$181)&gt;0)*1000000+12*1000+43))</f>
        <v/>
      </c>
      <c r="AT20" s="41">
        <f>IF(N('Dvd Calendar'!$H$182)=0,"",IF(('Dvd Calendar'!$H$182&gt;=MIN(DATE(Summary!$C$12,1,1),Summary!$C$11))*('Dvd Calendar'!$H$182&lt;=MAX(DATE(Summary!$C$12,12,31),Summary!$C$15))*('Dvd Calendar'!$H$182&gt;Summary!$C$11)=0,"",'Dvd Calendar'!$H$182*1000000000+ISNUMBER('Dvd Calendar'!$H$183)*100000000+('Dvd Calendar'!$H$187='Field Check'!$C$25)*10000000+(N('Dvd Calendar'!$H$181)&gt;0)*1000000+12*1000+44))</f>
        <v/>
      </c>
      <c r="AU20" s="41">
        <f>IF(N('Dvd Calendar'!$I$182)=0,"",IF(('Dvd Calendar'!$I$182&gt;=MIN(DATE(Summary!$C$12,1,1),Summary!$C$11))*('Dvd Calendar'!$I$182&lt;=MAX(DATE(Summary!$C$12,12,31),Summary!$C$15))*('Dvd Calendar'!$I$182&gt;Summary!$C$11)=0,"",'Dvd Calendar'!$I$182*1000000000+ISNUMBER('Dvd Calendar'!$I$183)*100000000+('Dvd Calendar'!$I$187='Field Check'!$C$25)*10000000+(N('Dvd Calendar'!$I$181)&gt;0)*1000000+12*1000+45))</f>
        <v/>
      </c>
      <c r="AV20" s="41">
        <f>IF(N('Dvd Calendar'!$J$182)=0,"",IF(('Dvd Calendar'!$J$182&gt;=MIN(DATE(Summary!$C$12,1,1),Summary!$C$11))*('Dvd Calendar'!$J$182&lt;=MAX(DATE(Summary!$C$12,12,31),Summary!$C$15))*('Dvd Calendar'!$J$182&gt;Summary!$C$11)=0,"",'Dvd Calendar'!$J$182*1000000000+ISNUMBER('Dvd Calendar'!$J$183)*100000000+('Dvd Calendar'!$J$187='Field Check'!$C$25)*10000000+(N('Dvd Calendar'!$J$181)&gt;0)*1000000+12*1000+46))</f>
        <v/>
      </c>
      <c r="AW20" s="41">
        <f>IF(N('Dvd Calendar'!$K$182)=0,"",IF(('Dvd Calendar'!$K$182&gt;=MIN(DATE(Summary!$C$12,1,1),Summary!$C$11))*('Dvd Calendar'!$K$182&lt;=MAX(DATE(Summary!$C$12,12,31),Summary!$C$15))*('Dvd Calendar'!$K$182&gt;Summary!$C$11)=0,"",'Dvd Calendar'!$K$182*1000000000+ISNUMBER('Dvd Calendar'!$K$183)*100000000+('Dvd Calendar'!$K$187='Field Check'!$C$25)*10000000+(N('Dvd Calendar'!$K$181)&gt;0)*1000000+12*1000+47))</f>
        <v/>
      </c>
      <c r="AX20" s="41">
        <f>IF(N('Dvd Calendar'!$L$182)=0,"",IF(('Dvd Calendar'!$L$182&gt;=MIN(DATE(Summary!$C$12,1,1),Summary!$C$11))*('Dvd Calendar'!$L$182&lt;=MAX(DATE(Summary!$C$12,12,31),Summary!$C$15))*('Dvd Calendar'!$L$182&gt;Summary!$C$11)=0,"",'Dvd Calendar'!$L$182*1000000000+ISNUMBER('Dvd Calendar'!$L$183)*100000000+('Dvd Calendar'!$L$187='Field Check'!$C$25)*10000000+(N('Dvd Calendar'!$L$181)&gt;0)*1000000+12*1000+48))</f>
        <v/>
      </c>
      <c r="AY20" s="41">
        <f>IF(N('Dvd Calendar'!$M$182)=0,"",IF(('Dvd Calendar'!$M$182&gt;=MIN(DATE(Summary!$C$12,1,1),Summary!$C$11))*('Dvd Calendar'!$M$182&lt;=MAX(DATE(Summary!$C$12,12,31),Summary!$C$15))*('Dvd Calendar'!$M$182&gt;Summary!$C$11)=0,"",'Dvd Calendar'!$M$182*1000000000+ISNUMBER('Dvd Calendar'!$M$183)*100000000+('Dvd Calendar'!$M$187='Field Check'!$C$25)*10000000+(N('Dvd Calendar'!$M$181)&gt;0)*1000000+12*1000+49))</f>
        <v/>
      </c>
      <c r="AZ20" s="41">
        <f>IF(N('Dvd Calendar'!$N$182)=0,"",IF(('Dvd Calendar'!$N$182&gt;=MIN(DATE(Summary!$C$12,1,1),Summary!$C$11))*('Dvd Calendar'!$N$182&lt;=MAX(DATE(Summary!$C$12,12,31),Summary!$C$15))*('Dvd Calendar'!$N$182&gt;Summary!$C$11)=0,"",'Dvd Calendar'!$N$182*1000000000+ISNUMBER('Dvd Calendar'!$N$183)*100000000+('Dvd Calendar'!$N$187='Field Check'!$C$25)*10000000+(N('Dvd Calendar'!$N$181)&gt;0)*1000000+12*1000+50))</f>
        <v/>
      </c>
      <c r="BA20" s="41">
        <f>IF(N('Dvd Calendar'!$O$182)=0,"",IF(('Dvd Calendar'!$O$182&gt;=MIN(DATE(Summary!$C$12,1,1),Summary!$C$11))*('Dvd Calendar'!$O$182&lt;=MAX(DATE(Summary!$C$12,12,31),Summary!$C$15))*('Dvd Calendar'!$O$182&gt;Summary!$C$11)=0,"",'Dvd Calendar'!$O$182*1000000000+ISNUMBER('Dvd Calendar'!$O$183)*100000000+('Dvd Calendar'!$O$187='Field Check'!$C$25)*10000000+(N('Dvd Calendar'!$O$181)&gt;0)*1000000+12*1000+51))</f>
        <v/>
      </c>
      <c r="BB20" s="41">
        <f>IF(N('Dvd Calendar'!$P$182)=0,"",IF(('Dvd Calendar'!$P$182&gt;=MIN(DATE(Summary!$C$12,1,1),Summary!$C$11))*('Dvd Calendar'!$P$182&lt;=MAX(DATE(Summary!$C$12,12,31),Summary!$C$15))*('Dvd Calendar'!$P$182&gt;Summary!$C$11)=0,"",'Dvd Calendar'!$P$182*1000000000+ISNUMBER('Dvd Calendar'!$P$183)*100000000+('Dvd Calendar'!$P$187='Field Check'!$C$25)*10000000+(N('Dvd Calendar'!$P$181)&gt;0)*1000000+12*1000+52))</f>
        <v/>
      </c>
      <c r="BC20" s="41">
        <f>IF(N('Dvd Calendar'!$Q$182)=0,"",IF(('Dvd Calendar'!$Q$182&gt;=MIN(DATE(Summary!$C$12,1,1),Summary!$C$11))*('Dvd Calendar'!$Q$182&lt;=MAX(DATE(Summary!$C$12,12,31),Summary!$C$15))*('Dvd Calendar'!$Q$182&gt;Summary!$C$11)=0,"",'Dvd Calendar'!$Q$182*1000000000+ISNUMBER('Dvd Calendar'!$Q$183)*100000000+('Dvd Calendar'!$Q$187='Field Check'!$C$25)*10000000+(N('Dvd Calendar'!$Q$181)&gt;0)*1000000+12*1000+53))</f>
        <v/>
      </c>
      <c r="BD20" s="41">
        <f>IF(N('Dvd Calendar'!$R$182)=0,"",IF(('Dvd Calendar'!$R$182&gt;=MIN(DATE(Summary!$C$12,1,1),Summary!$C$11))*('Dvd Calendar'!$R$182&lt;=MAX(DATE(Summary!$C$12,12,31),Summary!$C$15))*('Dvd Calendar'!$R$182&gt;Summary!$C$11)=0,"",'Dvd Calendar'!$R$182*1000000000+ISNUMBER('Dvd Calendar'!$R$183)*100000000+('Dvd Calendar'!$R$187='Field Check'!$C$25)*10000000+(N('Dvd Calendar'!$R$181)&gt;0)*1000000+12*1000+54))</f>
        <v/>
      </c>
      <c r="BE20" s="41">
        <f>IF(N('Dvd Calendar'!$S$182)=0,"",IF(('Dvd Calendar'!$S$182&gt;=MIN(DATE(Summary!$C$12,1,1),Summary!$C$11))*('Dvd Calendar'!$S$182&lt;=MAX(DATE(Summary!$C$12,12,31),Summary!$C$15))*('Dvd Calendar'!$S$182&gt;Summary!$C$11)=0,"",'Dvd Calendar'!$S$182*1000000000+ISNUMBER('Dvd Calendar'!$S$183)*100000000+('Dvd Calendar'!$S$187='Field Check'!$C$25)*10000000+(N('Dvd Calendar'!$S$181)&gt;0)*1000000+12*1000+55))</f>
        <v/>
      </c>
      <c r="BF20" s="41">
        <f>IF(N('Dvd Calendar'!$T$182)=0,"",IF(('Dvd Calendar'!$T$182&gt;=MIN(DATE(Summary!$C$12,1,1),Summary!$C$11))*('Dvd Calendar'!$T$182&lt;=MAX(DATE(Summary!$C$12,12,31),Summary!$C$15))*('Dvd Calendar'!$T$182&gt;Summary!$C$11)=0,"",'Dvd Calendar'!$T$182*1000000000+ISNUMBER('Dvd Calendar'!$T$183)*100000000+('Dvd Calendar'!$T$187='Field Check'!$C$25)*10000000+(N('Dvd Calendar'!$T$181)&gt;0)*1000000+12*1000+56))</f>
        <v/>
      </c>
      <c r="BG20" s="41">
        <f>IF(N('Dvd Calendar'!$U$182)=0,"",IF(('Dvd Calendar'!$U$182&gt;=MIN(DATE(Summary!$C$12,1,1),Summary!$C$11))*('Dvd Calendar'!$U$182&lt;=MAX(DATE(Summary!$C$12,12,31),Summary!$C$15))*('Dvd Calendar'!$U$182&gt;Summary!$C$11)=0,"",'Dvd Calendar'!$U$182*1000000000+ISNUMBER('Dvd Calendar'!$U$183)*100000000+('Dvd Calendar'!$U$187='Field Check'!$C$25)*10000000+(N('Dvd Calendar'!$U$181)&gt;0)*1000000+12*1000+57))</f>
        <v/>
      </c>
      <c r="BH20" s="41">
        <f>IF(N('Dvd Calendar'!$V$182)=0,"",IF(('Dvd Calendar'!$V$182&gt;=MIN(DATE(Summary!$C$12,1,1),Summary!$C$11))*('Dvd Calendar'!$V$182&lt;=MAX(DATE(Summary!$C$12,12,31),Summary!$C$15))*('Dvd Calendar'!$V$182&gt;Summary!$C$11)=0,"",'Dvd Calendar'!$V$182*1000000000+ISNUMBER('Dvd Calendar'!$V$183)*100000000+('Dvd Calendar'!$V$187='Field Check'!$C$25)*10000000+(N('Dvd Calendar'!$V$181)&gt;0)*1000000+12*1000+58))</f>
        <v/>
      </c>
      <c r="BI20" s="41">
        <f>IF(N('Dvd Calendar'!$W$182)=0,"",IF(('Dvd Calendar'!$W$182&gt;=MIN(DATE(Summary!$C$12,1,1),Summary!$C$11))*('Dvd Calendar'!$W$182&lt;=MAX(DATE(Summary!$C$12,12,31),Summary!$C$15))*('Dvd Calendar'!$W$182&gt;Summary!$C$11)=0,"",'Dvd Calendar'!$W$182*1000000000+ISNUMBER('Dvd Calendar'!$W$183)*100000000+('Dvd Calendar'!$W$187='Field Check'!$C$25)*10000000+(N('Dvd Calendar'!$W$181)&gt;0)*1000000+12*1000+59))</f>
        <v/>
      </c>
      <c r="BJ20" s="41">
        <f>IF(N('Dvd Calendar'!$X$182)=0,"",IF(('Dvd Calendar'!$X$182&gt;=MIN(DATE(Summary!$C$12,1,1),Summary!$C$11))*('Dvd Calendar'!$X$182&lt;=MAX(DATE(Summary!$C$12,12,31),Summary!$C$15))*('Dvd Calendar'!$X$182&gt;Summary!$C$11)=0,"",'Dvd Calendar'!$X$182*1000000000+ISNUMBER('Dvd Calendar'!$X$183)*100000000+('Dvd Calendar'!$X$187='Field Check'!$C$25)*10000000+(N('Dvd Calendar'!$X$181)&gt;0)*1000000+12*1000+60))</f>
        <v/>
      </c>
      <c r="BK20" s="41">
        <f>IF(N('Dvd Calendar'!$Y$182)=0,"",IF(('Dvd Calendar'!$Y$182&gt;=MIN(DATE(Summary!$C$12,1,1),Summary!$C$11))*('Dvd Calendar'!$Y$182&lt;=MAX(DATE(Summary!$C$12,12,31),Summary!$C$15))*('Dvd Calendar'!$Y$182&gt;Summary!$C$11)=0,"",'Dvd Calendar'!$Y$182*1000000000+ISNUMBER('Dvd Calendar'!$Y$183)*100000000+('Dvd Calendar'!$Y$187='Field Check'!$C$25)*10000000+(N('Dvd Calendar'!$Y$181)&gt;0)*1000000+12*1000+61))</f>
        <v/>
      </c>
      <c r="BL20" s="41">
        <f>IF(N('Dvd Calendar'!$Z$182)=0,"",IF(('Dvd Calendar'!$Z$182&gt;=MIN(DATE(Summary!$C$12,1,1),Summary!$C$11))*('Dvd Calendar'!$Z$182&lt;=MAX(DATE(Summary!$C$12,12,31),Summary!$C$15))*('Dvd Calendar'!$Z$182&gt;Summary!$C$11)=0,"",'Dvd Calendar'!$Z$182*1000000000+ISNUMBER('Dvd Calendar'!$Z$183)*100000000+('Dvd Calendar'!$Z$187='Field Check'!$C$25)*10000000+(N('Dvd Calendar'!$Z$181)&gt;0)*1000000+12*1000+62))</f>
        <v/>
      </c>
      <c r="BM20" s="41">
        <f>IF(N('Dvd Calendar'!$AA$182)=0,"",IF(('Dvd Calendar'!$AA$182&gt;=MIN(DATE(Summary!$C$12,1,1),Summary!$C$11))*('Dvd Calendar'!$AA$182&lt;=MAX(DATE(Summary!$C$12,12,31),Summary!$C$15))*('Dvd Calendar'!$AA$182&gt;Summary!$C$11)=0,"",'Dvd Calendar'!$AA$182*1000000000+ISNUMBER('Dvd Calendar'!$AA$183)*100000000+('Dvd Calendar'!$AA$187='Field Check'!$C$25)*10000000+(N('Dvd Calendar'!$AA$181)&gt;0)*1000000+12*1000+63))</f>
        <v/>
      </c>
      <c r="BN20" s="41">
        <f>IF(N('Dvd Calendar'!$AB$182)=0,"",IF(('Dvd Calendar'!$AB$182&gt;=MIN(DATE(Summary!$C$12,1,1),Summary!$C$11))*('Dvd Calendar'!$AB$182&lt;=MAX(DATE(Summary!$C$12,12,31),Summary!$C$15))*('Dvd Calendar'!$AB$182&gt;Summary!$C$11)=0,"",'Dvd Calendar'!$AB$182*1000000000+ISNUMBER('Dvd Calendar'!$AB$183)*100000000+('Dvd Calendar'!$AB$187='Field Check'!$C$25)*10000000+(N('Dvd Calendar'!$AB$181)&gt;0)*1000000+12*1000+64))</f>
        <v/>
      </c>
      <c r="BO20" s="41">
        <f>IF(N('Dvd Calendar'!$AC$182)=0,"",IF(('Dvd Calendar'!$AC$182&gt;=MIN(DATE(Summary!$C$12,1,1),Summary!$C$11))*('Dvd Calendar'!$AC$182&lt;=MAX(DATE(Summary!$C$12,12,31),Summary!$C$15))*('Dvd Calendar'!$AC$182&gt;Summary!$C$11)=0,"",'Dvd Calendar'!$AC$182*1000000000+ISNUMBER('Dvd Calendar'!$AC$183)*100000000+('Dvd Calendar'!$AC$187='Field Check'!$C$25)*10000000+(N('Dvd Calendar'!$AC$181)&gt;0)*1000000+12*1000+65))</f>
        <v/>
      </c>
      <c r="BQ20" s="85">
        <f>IF(C20="","",IF(ISNUMBER('Dvd Calendar'!$E$176)=FALSE,"",IF((Summary!$C$13="N")*('Dvd Calendar'!$E$180='Field Check'!$C$25)&gt;0,"",'Dvd Calendar'!$E$176)))</f>
        <v/>
      </c>
      <c r="BR20" s="85">
        <f>IF(D20="","",IF(ISNUMBER('Dvd Calendar'!$F$176)=FALSE,"",IF((Summary!$C$13="N")*('Dvd Calendar'!$F$180='Field Check'!$C$25)&gt;0,"",'Dvd Calendar'!$F$176)))</f>
        <v/>
      </c>
      <c r="BS20" s="85">
        <f>IF(E20="","",IF(ISNUMBER('Dvd Calendar'!$G$176)=FALSE,"",IF((Summary!$C$13="N")*('Dvd Calendar'!$G$180='Field Check'!$C$25)&gt;0,"",'Dvd Calendar'!$G$176)))</f>
        <v/>
      </c>
      <c r="BT20" s="85">
        <f>IF(F20="","",IF(ISNUMBER('Dvd Calendar'!$H$176)=FALSE,"",IF((Summary!$C$13="N")*('Dvd Calendar'!$H$180='Field Check'!$C$25)&gt;0,"",'Dvd Calendar'!$H$176)))</f>
        <v/>
      </c>
      <c r="BU20" s="85">
        <f>IF(G20="","",IF(ISNUMBER('Dvd Calendar'!$I$176)=FALSE,"",IF((Summary!$C$13="N")*('Dvd Calendar'!$I$180='Field Check'!$C$25)&gt;0,"",'Dvd Calendar'!$I$176)))</f>
        <v/>
      </c>
      <c r="BV20" s="85">
        <f>IF(H20="","",IF(ISNUMBER('Dvd Calendar'!$J$176)=FALSE,"",IF((Summary!$C$13="N")*('Dvd Calendar'!$J$180='Field Check'!$C$25)&gt;0,"",'Dvd Calendar'!$J$176)))</f>
        <v/>
      </c>
      <c r="BW20" s="85">
        <f>IF(I20="","",IF(ISNUMBER('Dvd Calendar'!$K$176)=FALSE,"",IF((Summary!$C$13="N")*('Dvd Calendar'!$K$180='Field Check'!$C$25)&gt;0,"",'Dvd Calendar'!$K$176)))</f>
        <v/>
      </c>
      <c r="BX20" s="85">
        <f>IF(J20="","",IF(ISNUMBER('Dvd Calendar'!$L$176)=FALSE,"",IF((Summary!$C$13="N")*('Dvd Calendar'!$L$180='Field Check'!$C$25)&gt;0,"",'Dvd Calendar'!$L$176)))</f>
        <v/>
      </c>
      <c r="BY20" s="85">
        <f>IF(K20="","",IF(ISNUMBER('Dvd Calendar'!$M$176)=FALSE,"",IF((Summary!$C$13="N")*('Dvd Calendar'!$M$180='Field Check'!$C$25)&gt;0,"",'Dvd Calendar'!$M$176)))</f>
        <v/>
      </c>
      <c r="BZ20" s="85">
        <f>IF(L20="","",IF(ISNUMBER('Dvd Calendar'!$N$176)=FALSE,"",IF((Summary!$C$13="N")*('Dvd Calendar'!$N$180='Field Check'!$C$25)&gt;0,"",'Dvd Calendar'!$N$176)))</f>
        <v/>
      </c>
      <c r="CA20" s="85">
        <f>IF(M20="","",IF(ISNUMBER('Dvd Calendar'!$O$176)=FALSE,"",IF((Summary!$C$13="N")*('Dvd Calendar'!$O$180='Field Check'!$C$25)&gt;0,"",'Dvd Calendar'!$O$176)))</f>
        <v/>
      </c>
      <c r="CB20" s="85">
        <f>IF(N20="","",IF(ISNUMBER('Dvd Calendar'!$P$176)=FALSE,"",IF((Summary!$C$13="N")*('Dvd Calendar'!$P$180='Field Check'!$C$25)&gt;0,"",'Dvd Calendar'!$P$176)))</f>
        <v/>
      </c>
      <c r="CC20" s="85">
        <f>IF(O20="","",IF(ISNUMBER('Dvd Calendar'!$Q$176)=FALSE,"",IF((Summary!$C$13="N")*('Dvd Calendar'!$Q$180='Field Check'!$C$25)&gt;0,"",'Dvd Calendar'!$Q$176)))</f>
        <v/>
      </c>
      <c r="CD20" s="85">
        <f>IF(P20="","",IF(ISNUMBER('Dvd Calendar'!$R$176)=FALSE,"",IF((Summary!$C$13="N")*('Dvd Calendar'!$R$180='Field Check'!$C$25)&gt;0,"",'Dvd Calendar'!$R$176)))</f>
        <v/>
      </c>
      <c r="CE20" s="85">
        <f>IF(Q20="","",IF(ISNUMBER('Dvd Calendar'!$S$176)=FALSE,"",IF((Summary!$C$13="N")*('Dvd Calendar'!$S$180='Field Check'!$C$25)&gt;0,"",'Dvd Calendar'!$S$176)))</f>
        <v/>
      </c>
      <c r="CF20" s="85">
        <f>IF(R20="","",IF(ISNUMBER('Dvd Calendar'!$T$176)=FALSE,"",IF((Summary!$C$13="N")*('Dvd Calendar'!$T$180='Field Check'!$C$25)&gt;0,"",'Dvd Calendar'!$T$176)))</f>
        <v/>
      </c>
      <c r="CG20" s="85">
        <f>IF(S20="","",IF(ISNUMBER('Dvd Calendar'!$U$176)=FALSE,"",IF((Summary!$C$13="N")*('Dvd Calendar'!$U$180='Field Check'!$C$25)&gt;0,"",'Dvd Calendar'!$U$176)))</f>
        <v/>
      </c>
      <c r="CH20" s="85">
        <f>IF(T20="","",IF(ISNUMBER('Dvd Calendar'!$V$176)=FALSE,"",IF((Summary!$C$13="N")*('Dvd Calendar'!$V$180='Field Check'!$C$25)&gt;0,"",'Dvd Calendar'!$V$176)))</f>
        <v/>
      </c>
      <c r="CI20" s="85">
        <f>IF(U20="","",IF(ISNUMBER('Dvd Calendar'!$W$176)=FALSE,"",IF((Summary!$C$13="N")*('Dvd Calendar'!$W$180='Field Check'!$C$25)&gt;0,"",'Dvd Calendar'!$W$176)))</f>
        <v/>
      </c>
      <c r="CJ20" s="85">
        <f>IF(V20="","",IF(ISNUMBER('Dvd Calendar'!$X$176)=FALSE,"",IF((Summary!$C$13="N")*('Dvd Calendar'!$X$180='Field Check'!$C$25)&gt;0,"",'Dvd Calendar'!$X$176)))</f>
        <v/>
      </c>
      <c r="CK20" s="85">
        <f>IF(W20="","",IF(ISNUMBER('Dvd Calendar'!$Y$176)=FALSE,"",IF((Summary!$C$13="N")*('Dvd Calendar'!$Y$180='Field Check'!$C$25)&gt;0,"",'Dvd Calendar'!$Y$176)))</f>
        <v/>
      </c>
      <c r="CL20" s="85">
        <f>IF(X20="","",IF(ISNUMBER('Dvd Calendar'!$Z$176)=FALSE,"",IF((Summary!$C$13="N")*('Dvd Calendar'!$Z$180='Field Check'!$C$25)&gt;0,"",'Dvd Calendar'!$Z$176)))</f>
        <v/>
      </c>
      <c r="CM20" s="85">
        <f>IF(Y20="","",IF(ISNUMBER('Dvd Calendar'!$AA$176)=FALSE,"",IF((Summary!$C$13="N")*('Dvd Calendar'!$AA$180='Field Check'!$C$25)&gt;0,"",'Dvd Calendar'!$AA$176)))</f>
        <v/>
      </c>
      <c r="CN20" s="85">
        <f>IF(Z20="","",IF(ISNUMBER('Dvd Calendar'!$AB$176)=FALSE,"",IF((Summary!$C$13="N")*('Dvd Calendar'!$AB$180='Field Check'!$C$25)&gt;0,"",'Dvd Calendar'!$AB$176)))</f>
        <v/>
      </c>
      <c r="CO20" s="85">
        <f>IF(AA20="","",IF(ISNUMBER('Dvd Calendar'!$AC$176)=FALSE,"",IF((Summary!$C$13="N")*('Dvd Calendar'!$AC$180='Field Check'!$C$25)&gt;0,"",'Dvd Calendar'!$AC$176)))</f>
        <v/>
      </c>
      <c r="CP20" s="85">
        <f>IF(AB20="","",IF(ISNUMBER('Dvd Calendar'!$AD$176)=FALSE,"",IF((Summary!$C$13="N")*('Dvd Calendar'!$AD$180='Field Check'!$C$25)&gt;0,"",'Dvd Calendar'!$AD$176)))</f>
        <v/>
      </c>
      <c r="CQ20" s="85">
        <f>IF(AC20="","",IF(ISNUMBER('Dvd Calendar'!$AE$176)=FALSE,"",IF((Summary!$C$13="N")*('Dvd Calendar'!$AE$180='Field Check'!$C$25)&gt;0,"",'Dvd Calendar'!$AE$176)))</f>
        <v/>
      </c>
      <c r="CR20" s="85">
        <f>IF(AD20="","",IF(ISNUMBER('Dvd Calendar'!$AF$176)=FALSE,"",IF((Summary!$C$13="N")*('Dvd Calendar'!$AF$180='Field Check'!$C$25)&gt;0,"",'Dvd Calendar'!$AF$176)))</f>
        <v/>
      </c>
      <c r="CS20" s="85">
        <f>IF(AE20="","",IF(ISNUMBER('Dvd Calendar'!$AG$176)=FALSE,"",IF((Summary!$C$13="N")*('Dvd Calendar'!$AG$180='Field Check'!$C$25)&gt;0,"",'Dvd Calendar'!$AG$176)))</f>
        <v/>
      </c>
      <c r="CT20" s="85">
        <f>IF(AF20="","",IF(ISNUMBER('Dvd Calendar'!$AH$176)=FALSE,"",IF((Summary!$C$13="N")*('Dvd Calendar'!$AH$180='Field Check'!$C$25)&gt;0,"",'Dvd Calendar'!$AH$176)))</f>
        <v/>
      </c>
      <c r="CU20" s="85">
        <f>IF(AG20="","",IF(ISNUMBER('Dvd Calendar'!$AI$176)=FALSE,"",IF((Summary!$C$13="N")*('Dvd Calendar'!$AI$180='Field Check'!$C$25)&gt;0,"",'Dvd Calendar'!$AI$176)))</f>
        <v/>
      </c>
      <c r="CV20" s="85">
        <f>IF(AH20="","",IF(ISNUMBER('Dvd Calendar'!$AJ$176)=FALSE,"",IF((Summary!$C$13="N")*('Dvd Calendar'!$AJ$180='Field Check'!$C$25)&gt;0,"",'Dvd Calendar'!$AJ$176)))</f>
        <v/>
      </c>
      <c r="CW20" s="85">
        <f>IF(AI20="","",IF(ISNUMBER('Dvd Calendar'!$AK$176)=FALSE,"",IF((Summary!$C$13="N")*('Dvd Calendar'!$AK$180='Field Check'!$C$25)&gt;0,"",'Dvd Calendar'!$AK$176)))</f>
        <v/>
      </c>
      <c r="CX20" s="85">
        <f>IF(AJ20="","",IF(ISNUMBER('Dvd Calendar'!$AL$176)=FALSE,"",IF((Summary!$C$13="N")*('Dvd Calendar'!$AL$180='Field Check'!$C$25)&gt;0,"",'Dvd Calendar'!$AL$176)))</f>
        <v/>
      </c>
      <c r="CY20" s="85">
        <f>IF(AK20="","",IF(ISNUMBER('Dvd Calendar'!$AM$176)=FALSE,"",IF((Summary!$C$13="N")*('Dvd Calendar'!$AM$180='Field Check'!$C$25)&gt;0,"",'Dvd Calendar'!$AM$176)))</f>
        <v/>
      </c>
      <c r="CZ20" s="85">
        <f>IF(AL20="","",IF(ISNUMBER('Dvd Calendar'!$AN$176)=FALSE,"",IF((Summary!$C$13="N")*('Dvd Calendar'!$AN$180='Field Check'!$C$25)&gt;0,"",'Dvd Calendar'!$AN$176)))</f>
        <v/>
      </c>
      <c r="DA20" s="85">
        <f>IF(AM20="","",IF(ISNUMBER('Dvd Calendar'!$AO$176)=FALSE,"",IF((Summary!$C$13="N")*('Dvd Calendar'!$AO$180='Field Check'!$C$25)&gt;0,"",'Dvd Calendar'!$AO$176)))</f>
        <v/>
      </c>
      <c r="DB20" s="85">
        <f>IF(AN20="","",IF(ISNUMBER('Dvd Calendar'!$AP$176)=FALSE,"",IF((Summary!$C$13="N")*('Dvd Calendar'!$AP$180='Field Check'!$C$25)&gt;0,"",'Dvd Calendar'!$AP$176)))</f>
        <v/>
      </c>
      <c r="DC20" s="85">
        <f>IF(AO20="","",IF(ISNUMBER('Dvd Calendar'!$AQ$176)=FALSE,"",IF((Summary!$C$13="N")*('Dvd Calendar'!$AQ$180='Field Check'!$C$25)&gt;0,"",'Dvd Calendar'!$AQ$176)))</f>
        <v/>
      </c>
      <c r="DD20" s="85">
        <f>IF(AP20="","",IF(ISNUMBER('Dvd Calendar'!$AR$176)=FALSE,"",IF((Summary!$C$13="N")*('Dvd Calendar'!$AR$180='Field Check'!$C$25)&gt;0,"",'Dvd Calendar'!$AR$176)))</f>
        <v/>
      </c>
      <c r="DE20" s="85">
        <f>IF(AQ20="","",IF(ISNUMBER('Dvd Calendar'!$E$183)=FALSE,"",IF((Summary!$C$13="N")*('Dvd Calendar'!$E$187='Field Check'!$C$25)&gt;0,"",'Dvd Calendar'!$E$183)))</f>
        <v/>
      </c>
      <c r="DF20" s="85">
        <f>IF(AR20="","",IF(ISNUMBER('Dvd Calendar'!$F$183)=FALSE,"",IF((Summary!$C$13="N")*('Dvd Calendar'!$F$187='Field Check'!$C$25)&gt;0,"",'Dvd Calendar'!$F$183)))</f>
        <v/>
      </c>
      <c r="DG20" s="85">
        <f>IF(AS20="","",IF(ISNUMBER('Dvd Calendar'!$G$183)=FALSE,"",IF((Summary!$C$13="N")*('Dvd Calendar'!$G$187='Field Check'!$C$25)&gt;0,"",'Dvd Calendar'!$G$183)))</f>
        <v/>
      </c>
      <c r="DH20" s="85">
        <f>IF(AT20="","",IF(ISNUMBER('Dvd Calendar'!$H$183)=FALSE,"",IF((Summary!$C$13="N")*('Dvd Calendar'!$H$187='Field Check'!$C$25)&gt;0,"",'Dvd Calendar'!$H$183)))</f>
        <v/>
      </c>
      <c r="DI20" s="85">
        <f>IF(AU20="","",IF(ISNUMBER('Dvd Calendar'!$I$183)=FALSE,"",IF((Summary!$C$13="N")*('Dvd Calendar'!$I$187='Field Check'!$C$25)&gt;0,"",'Dvd Calendar'!$I$183)))</f>
        <v/>
      </c>
      <c r="DJ20" s="85">
        <f>IF(AV20="","",IF(ISNUMBER('Dvd Calendar'!$J$183)=FALSE,"",IF((Summary!$C$13="N")*('Dvd Calendar'!$J$187='Field Check'!$C$25)&gt;0,"",'Dvd Calendar'!$J$183)))</f>
        <v/>
      </c>
      <c r="DK20" s="85">
        <f>IF(AW20="","",IF(ISNUMBER('Dvd Calendar'!$K$183)=FALSE,"",IF((Summary!$C$13="N")*('Dvd Calendar'!$K$187='Field Check'!$C$25)&gt;0,"",'Dvd Calendar'!$K$183)))</f>
        <v/>
      </c>
      <c r="DL20" s="85">
        <f>IF(AX20="","",IF(ISNUMBER('Dvd Calendar'!$L$183)=FALSE,"",IF((Summary!$C$13="N")*('Dvd Calendar'!$L$187='Field Check'!$C$25)&gt;0,"",'Dvd Calendar'!$L$183)))</f>
        <v/>
      </c>
      <c r="DM20" s="85">
        <f>IF(AY20="","",IF(ISNUMBER('Dvd Calendar'!$M$183)=FALSE,"",IF((Summary!$C$13="N")*('Dvd Calendar'!$M$187='Field Check'!$C$25)&gt;0,"",'Dvd Calendar'!$M$183)))</f>
        <v/>
      </c>
      <c r="DN20" s="85">
        <f>IF(AZ20="","",IF(ISNUMBER('Dvd Calendar'!$N$183)=FALSE,"",IF((Summary!$C$13="N")*('Dvd Calendar'!$N$187='Field Check'!$C$25)&gt;0,"",'Dvd Calendar'!$N$183)))</f>
        <v/>
      </c>
      <c r="DO20" s="85">
        <f>IF(BA20="","",IF(ISNUMBER('Dvd Calendar'!$O$183)=FALSE,"",IF((Summary!$C$13="N")*('Dvd Calendar'!$O$187='Field Check'!$C$25)&gt;0,"",'Dvd Calendar'!$O$183)))</f>
        <v/>
      </c>
      <c r="DP20" s="85">
        <f>IF(BB20="","",IF(ISNUMBER('Dvd Calendar'!$P$183)=FALSE,"",IF((Summary!$C$13="N")*('Dvd Calendar'!$P$187='Field Check'!$C$25)&gt;0,"",'Dvd Calendar'!$P$183)))</f>
        <v/>
      </c>
      <c r="DQ20" s="85">
        <f>IF(BC20="","",IF(ISNUMBER('Dvd Calendar'!$Q$183)=FALSE,"",IF((Summary!$C$13="N")*('Dvd Calendar'!$Q$187='Field Check'!$C$25)&gt;0,"",'Dvd Calendar'!$Q$183)))</f>
        <v/>
      </c>
      <c r="DR20" s="85">
        <f>IF(BD20="","",IF(ISNUMBER('Dvd Calendar'!$R$183)=FALSE,"",IF((Summary!$C$13="N")*('Dvd Calendar'!$R$187='Field Check'!$C$25)&gt;0,"",'Dvd Calendar'!$R$183)))</f>
        <v/>
      </c>
      <c r="DS20" s="85">
        <f>IF(BE20="","",IF(ISNUMBER('Dvd Calendar'!$S$183)=FALSE,"",IF((Summary!$C$13="N")*('Dvd Calendar'!$S$187='Field Check'!$C$25)&gt;0,"",'Dvd Calendar'!$S$183)))</f>
        <v/>
      </c>
      <c r="DT20" s="85">
        <f>IF(BF20="","",IF(ISNUMBER('Dvd Calendar'!$T$183)=FALSE,"",IF((Summary!$C$13="N")*('Dvd Calendar'!$T$187='Field Check'!$C$25)&gt;0,"",'Dvd Calendar'!$T$183)))</f>
        <v/>
      </c>
      <c r="DU20" s="85">
        <f>IF(BG20="","",IF(ISNUMBER('Dvd Calendar'!$U$183)=FALSE,"",IF((Summary!$C$13="N")*('Dvd Calendar'!$U$187='Field Check'!$C$25)&gt;0,"",'Dvd Calendar'!$U$183)))</f>
        <v/>
      </c>
      <c r="DV20" s="85">
        <f>IF(BH20="","",IF(ISNUMBER('Dvd Calendar'!$V$183)=FALSE,"",IF((Summary!$C$13="N")*('Dvd Calendar'!$V$187='Field Check'!$C$25)&gt;0,"",'Dvd Calendar'!$V$183)))</f>
        <v/>
      </c>
      <c r="DW20" s="85">
        <f>IF(BI20="","",IF(ISNUMBER('Dvd Calendar'!$W$183)=FALSE,"",IF((Summary!$C$13="N")*('Dvd Calendar'!$W$187='Field Check'!$C$25)&gt;0,"",'Dvd Calendar'!$W$183)))</f>
        <v/>
      </c>
      <c r="DX20" s="85">
        <f>IF(BJ20="","",IF(ISNUMBER('Dvd Calendar'!$X$183)=FALSE,"",IF((Summary!$C$13="N")*('Dvd Calendar'!$X$187='Field Check'!$C$25)&gt;0,"",'Dvd Calendar'!$X$183)))</f>
        <v/>
      </c>
      <c r="DY20" s="85">
        <f>IF(BK20="","",IF(ISNUMBER('Dvd Calendar'!$Y$183)=FALSE,"",IF((Summary!$C$13="N")*('Dvd Calendar'!$Y$187='Field Check'!$C$25)&gt;0,"",'Dvd Calendar'!$Y$183)))</f>
        <v/>
      </c>
      <c r="DZ20" s="85">
        <f>IF(BL20="","",IF(ISNUMBER('Dvd Calendar'!$Z$183)=FALSE,"",IF((Summary!$C$13="N")*('Dvd Calendar'!$Z$187='Field Check'!$C$25)&gt;0,"",'Dvd Calendar'!$Z$183)))</f>
        <v/>
      </c>
      <c r="EA20" s="85">
        <f>IF(BM20="","",IF(ISNUMBER('Dvd Calendar'!$AA$183)=FALSE,"",IF((Summary!$C$13="N")*('Dvd Calendar'!$AA$187='Field Check'!$C$25)&gt;0,"",'Dvd Calendar'!$AA$183)))</f>
        <v/>
      </c>
      <c r="EB20" s="85">
        <f>IF(BN20="","",IF(ISNUMBER('Dvd Calendar'!$AB$183)=FALSE,"",IF((Summary!$C$13="N")*('Dvd Calendar'!$AB$187='Field Check'!$C$25)&gt;0,"",'Dvd Calendar'!$AB$183)))</f>
        <v/>
      </c>
      <c r="EC20" s="85">
        <f>IF(BO20="","",IF(ISNUMBER('Dvd Calendar'!$AC$183)=FALSE,"",IF((Summary!$C$13="N")*('Dvd Calendar'!$AC$187='Field Check'!$C$25)&gt;0,"",'Dvd Calendar'!$AC$183)))</f>
        <v/>
      </c>
      <c r="EE20" s="85">
        <f>IF(BQ20="","",IFERROR(BQ20*HSI!$B$18*HSI!$G$18/HSI!$B$3,""))</f>
        <v/>
      </c>
      <c r="EF20" s="85">
        <f>IF(BR20="","",IFERROR(BR20*HSI!$B$18*HSI!$G$18/HSI!$B$3,""))</f>
        <v/>
      </c>
      <c r="EG20" s="85">
        <f>IF(BS20="","",IFERROR(BS20*HSI!$B$18*HSI!$G$18/HSI!$B$3,""))</f>
        <v/>
      </c>
      <c r="EH20" s="85">
        <f>IF(BT20="","",IFERROR(BT20*HSI!$B$18*HSI!$G$18/HSI!$B$3,""))</f>
        <v/>
      </c>
      <c r="EI20" s="85">
        <f>IF(BU20="","",IFERROR(BU20*HSI!$B$18*HSI!$G$18/HSI!$B$3,""))</f>
        <v/>
      </c>
      <c r="EJ20" s="85">
        <f>IF(BV20="","",IFERROR(BV20*HSI!$B$18*HSI!$G$18/HSI!$B$3,""))</f>
        <v/>
      </c>
      <c r="EK20" s="85">
        <f>IF(BW20="","",IFERROR(BW20*HSI!$B$18*HSI!$G$18/HSI!$B$3,""))</f>
        <v/>
      </c>
      <c r="EL20" s="85">
        <f>IF(BX20="","",IFERROR(BX20*HSI!$B$18*HSI!$G$18/HSI!$B$3,""))</f>
        <v/>
      </c>
      <c r="EM20" s="85">
        <f>IF(BY20="","",IFERROR(BY20*HSI!$B$18*HSI!$G$18/HSI!$B$3,""))</f>
        <v/>
      </c>
      <c r="EN20" s="85">
        <f>IF(BZ20="","",IFERROR(BZ20*HSI!$B$18*HSI!$G$18/HSI!$B$3,""))</f>
        <v/>
      </c>
      <c r="EO20" s="85">
        <f>IF(CA20="","",IFERROR(CA20*HSI!$B$18*HSI!$G$18/HSI!$B$3,""))</f>
        <v/>
      </c>
      <c r="EP20" s="85">
        <f>IF(CB20="","",IFERROR(CB20*HSI!$B$18*HSI!$G$18/HSI!$B$3,""))</f>
        <v/>
      </c>
      <c r="EQ20" s="85">
        <f>IF(CC20="","",IFERROR(CC20*HSI!$B$18*HSI!$G$18/HSI!$B$3,""))</f>
        <v/>
      </c>
      <c r="ER20" s="85">
        <f>IF(CD20="","",IFERROR(CD20*HSI!$B$18*HSI!$G$18/HSI!$B$3,""))</f>
        <v/>
      </c>
      <c r="ES20" s="85">
        <f>IF(CE20="","",IFERROR(CE20*HSI!$B$18*HSI!$G$18/HSI!$B$3,""))</f>
        <v/>
      </c>
      <c r="ET20" s="85">
        <f>IF(CF20="","",IFERROR(CF20*HSI!$B$18*HSI!$G$18/HSI!$B$3,""))</f>
        <v/>
      </c>
      <c r="EU20" s="85">
        <f>IF(CG20="","",IFERROR(CG20*HSI!$B$18*HSI!$G$18/HSI!$B$3,""))</f>
        <v/>
      </c>
      <c r="EV20" s="85">
        <f>IF(CH20="","",IFERROR(CH20*HSI!$B$18*HSI!$G$18/HSI!$B$3,""))</f>
        <v/>
      </c>
      <c r="EW20" s="85">
        <f>IF(CI20="","",IFERROR(CI20*HSI!$B$18*HSI!$G$18/HSI!$B$3,""))</f>
        <v/>
      </c>
      <c r="EX20" s="85">
        <f>IF(CJ20="","",IFERROR(CJ20*HSI!$B$18*HSI!$G$18/HSI!$B$3,""))</f>
        <v/>
      </c>
      <c r="EY20" s="85">
        <f>IF(CK20="","",IFERROR(CK20*HSI!$B$18*HSI!$G$18/HSI!$B$3,""))</f>
        <v/>
      </c>
      <c r="EZ20" s="85">
        <f>IF(CL20="","",IFERROR(CL20*HSI!$B$18*HSI!$G$18/HSI!$B$3,""))</f>
        <v/>
      </c>
      <c r="FA20" s="85">
        <f>IF(CM20="","",IFERROR(CM20*HSI!$B$18*HSI!$G$18/HSI!$B$3,""))</f>
        <v/>
      </c>
      <c r="FB20" s="85">
        <f>IF(CN20="","",IFERROR(CN20*HSI!$B$18*HSI!$G$18/HSI!$B$3,""))</f>
        <v/>
      </c>
      <c r="FC20" s="85">
        <f>IF(CO20="","",IFERROR(CO20*HSI!$B$18*HSI!$G$18/HSI!$B$3,""))</f>
        <v/>
      </c>
      <c r="FD20" s="85">
        <f>IF(CP20="","",IFERROR(CP20*HSI!$B$18*HSI!$G$18/HSI!$B$3,""))</f>
        <v/>
      </c>
      <c r="FE20" s="85">
        <f>IF(CQ20="","",IFERROR(CQ20*HSI!$B$18*HSI!$G$18/HSI!$B$3,""))</f>
        <v/>
      </c>
      <c r="FF20" s="85">
        <f>IF(CR20="","",IFERROR(CR20*HSI!$B$18*HSI!$G$18/HSI!$B$3,""))</f>
        <v/>
      </c>
      <c r="FG20" s="85">
        <f>IF(CS20="","",IFERROR(CS20*HSI!$B$18*HSI!$G$18/HSI!$B$3,""))</f>
        <v/>
      </c>
      <c r="FH20" s="85">
        <f>IF(CT20="","",IFERROR(CT20*HSI!$B$18*HSI!$G$18/HSI!$B$3,""))</f>
        <v/>
      </c>
      <c r="FI20" s="85">
        <f>IF(CU20="","",IFERROR(CU20*HSI!$B$18*HSI!$G$18/HSI!$B$3,""))</f>
        <v/>
      </c>
      <c r="FJ20" s="85">
        <f>IF(CV20="","",IFERROR(CV20*HSI!$B$18*HSI!$G$18/HSI!$B$3,""))</f>
        <v/>
      </c>
      <c r="FK20" s="85">
        <f>IF(CW20="","",IFERROR(CW20*HSI!$B$18*HSI!$G$18/HSI!$B$3,""))</f>
        <v/>
      </c>
      <c r="FL20" s="85">
        <f>IF(CX20="","",IFERROR(CX20*HSI!$B$18*HSI!$G$18/HSI!$B$3,""))</f>
        <v/>
      </c>
      <c r="FM20" s="85">
        <f>IF(CY20="","",IFERROR(CY20*HSI!$B$18*HSI!$G$18/HSI!$B$3,""))</f>
        <v/>
      </c>
      <c r="FN20" s="85">
        <f>IF(CZ20="","",IFERROR(CZ20*HSI!$B$18*HSI!$G$18/HSI!$B$3,""))</f>
        <v/>
      </c>
      <c r="FO20" s="85">
        <f>IF(DA20="","",IFERROR(DA20*HSI!$B$18*HSI!$G$18/HSI!$B$3,""))</f>
        <v/>
      </c>
      <c r="FP20" s="85">
        <f>IF(DB20="","",IFERROR(DB20*HSI!$B$18*HSI!$G$18/HSI!$B$3,""))</f>
        <v/>
      </c>
      <c r="FQ20" s="85">
        <f>IF(DC20="","",IFERROR(DC20*HSI!$B$18*HSI!$G$18/HSI!$B$3,""))</f>
        <v/>
      </c>
      <c r="FR20" s="85">
        <f>IF(DD20="","",IFERROR(DD20*HSI!$B$18*HSI!$G$18/HSI!$B$3,""))</f>
        <v/>
      </c>
      <c r="FS20" s="85">
        <f>IF(DE20="","",IFERROR(DE20*HSI!$B$18*HSI!$G$18/HSI!$B$3,""))</f>
        <v/>
      </c>
      <c r="FT20" s="85">
        <f>IF(DF20="","",IFERROR(DF20*HSI!$B$18*HSI!$G$18/HSI!$B$3,""))</f>
        <v/>
      </c>
      <c r="FU20" s="85">
        <f>IF(DG20="","",IFERROR(DG20*HSI!$B$18*HSI!$G$18/HSI!$B$3,""))</f>
        <v/>
      </c>
      <c r="FV20" s="85">
        <f>IF(DH20="","",IFERROR(DH20*HSI!$B$18*HSI!$G$18/HSI!$B$3,""))</f>
        <v/>
      </c>
      <c r="FW20" s="85">
        <f>IF(DI20="","",IFERROR(DI20*HSI!$B$18*HSI!$G$18/HSI!$B$3,""))</f>
        <v/>
      </c>
      <c r="FX20" s="85">
        <f>IF(DJ20="","",IFERROR(DJ20*HSI!$B$18*HSI!$G$18/HSI!$B$3,""))</f>
        <v/>
      </c>
      <c r="FY20" s="85">
        <f>IF(DK20="","",IFERROR(DK20*HSI!$B$18*HSI!$G$18/HSI!$B$3,""))</f>
        <v/>
      </c>
      <c r="FZ20" s="85">
        <f>IF(DL20="","",IFERROR(DL20*HSI!$B$18*HSI!$G$18/HSI!$B$3,""))</f>
        <v/>
      </c>
      <c r="GA20" s="85">
        <f>IF(DM20="","",IFERROR(DM20*HSI!$B$18*HSI!$G$18/HSI!$B$3,""))</f>
        <v/>
      </c>
      <c r="GB20" s="85">
        <f>IF(DN20="","",IFERROR(DN20*HSI!$B$18*HSI!$G$18/HSI!$B$3,""))</f>
        <v/>
      </c>
      <c r="GC20" s="85">
        <f>IF(DO20="","",IFERROR(DO20*HSI!$B$18*HSI!$G$18/HSI!$B$3,""))</f>
        <v/>
      </c>
      <c r="GD20" s="85">
        <f>IF(DP20="","",IFERROR(DP20*HSI!$B$18*HSI!$G$18/HSI!$B$3,""))</f>
        <v/>
      </c>
      <c r="GE20" s="85">
        <f>IF(DQ20="","",IFERROR(DQ20*HSI!$B$18*HSI!$G$18/HSI!$B$3,""))</f>
        <v/>
      </c>
      <c r="GF20" s="85">
        <f>IF(DR20="","",IFERROR(DR20*HSI!$B$18*HSI!$G$18/HSI!$B$3,""))</f>
        <v/>
      </c>
      <c r="GG20" s="85">
        <f>IF(DS20="","",IFERROR(DS20*HSI!$B$18*HSI!$G$18/HSI!$B$3,""))</f>
        <v/>
      </c>
      <c r="GH20" s="85">
        <f>IF(DT20="","",IFERROR(DT20*HSI!$B$18*HSI!$G$18/HSI!$B$3,""))</f>
        <v/>
      </c>
      <c r="GI20" s="85">
        <f>IF(DU20="","",IFERROR(DU20*HSI!$B$18*HSI!$G$18/HSI!$B$3,""))</f>
        <v/>
      </c>
      <c r="GJ20" s="85">
        <f>IF(DV20="","",IFERROR(DV20*HSI!$B$18*HSI!$G$18/HSI!$B$3,""))</f>
        <v/>
      </c>
      <c r="GK20" s="85">
        <f>IF(DW20="","",IFERROR(DW20*HSI!$B$18*HSI!$G$18/HSI!$B$3,""))</f>
        <v/>
      </c>
      <c r="GL20" s="85">
        <f>IF(DX20="","",IFERROR(DX20*HSI!$B$18*HSI!$G$18/HSI!$B$3,""))</f>
        <v/>
      </c>
      <c r="GM20" s="85">
        <f>IF(DY20="","",IFERROR(DY20*HSI!$B$18*HSI!$G$18/HSI!$B$3,""))</f>
        <v/>
      </c>
      <c r="GN20" s="85">
        <f>IF(DZ20="","",IFERROR(DZ20*HSI!$B$18*HSI!$G$18/HSI!$B$3,""))</f>
        <v/>
      </c>
      <c r="GO20" s="85">
        <f>IF(EA20="","",IFERROR(EA20*HSI!$B$18*HSI!$G$18/HSI!$B$3,""))</f>
        <v/>
      </c>
      <c r="GP20" s="85">
        <f>IF(EB20="","",IFERROR(EB20*HSI!$B$18*HSI!$G$18/HSI!$B$3,""))</f>
        <v/>
      </c>
      <c r="GQ20" s="85">
        <f>IF(EC20="","",IFERROR(EC20*HSI!$B$18*HSI!$G$18/HSI!$B$3,""))</f>
        <v/>
      </c>
    </row>
    <row r="21">
      <c r="B21" s="2">
        <f>IF(HSI!$C$19="","",HSI!$C$19)</f>
        <v/>
      </c>
      <c r="C21" s="41">
        <f>IF(N('Dvd Calendar'!$E$190)=0,"",IF(('Dvd Calendar'!$E$190&gt;=MIN(DATE(Summary!$C$12,1,1),Summary!$C$11))*('Dvd Calendar'!$E$190&lt;=MAX(DATE(Summary!$C$12,12,31),Summary!$C$15))*('Dvd Calendar'!$E$190&lt;=Summary!$C$11)=0,"",'Dvd Calendar'!$E$190*1000000000+ISNUMBER('Dvd Calendar'!$E$191)*100000000+('Dvd Calendar'!$E$195='Field Check'!$C$25)*10000000+(N('Dvd Calendar'!$E$189)&gt;0)*1000000+13*1000+1))</f>
        <v/>
      </c>
      <c r="D21" s="41">
        <f>IF(N('Dvd Calendar'!$F$190)=0,"",IF(('Dvd Calendar'!$F$190&gt;=MIN(DATE(Summary!$C$12,1,1),Summary!$C$11))*('Dvd Calendar'!$F$190&lt;=MAX(DATE(Summary!$C$12,12,31),Summary!$C$15))*('Dvd Calendar'!$F$190&lt;=Summary!$C$11)=0,"",'Dvd Calendar'!$F$190*1000000000+ISNUMBER('Dvd Calendar'!$F$191)*100000000+('Dvd Calendar'!$F$195='Field Check'!$C$25)*10000000+(N('Dvd Calendar'!$F$189)&gt;0)*1000000+13*1000+2))</f>
        <v/>
      </c>
      <c r="E21" s="41">
        <f>IF(N('Dvd Calendar'!$G$190)=0,"",IF(('Dvd Calendar'!$G$190&gt;=MIN(DATE(Summary!$C$12,1,1),Summary!$C$11))*('Dvd Calendar'!$G$190&lt;=MAX(DATE(Summary!$C$12,12,31),Summary!$C$15))*('Dvd Calendar'!$G$190&lt;=Summary!$C$11)=0,"",'Dvd Calendar'!$G$190*1000000000+ISNUMBER('Dvd Calendar'!$G$191)*100000000+('Dvd Calendar'!$G$195='Field Check'!$C$25)*10000000+(N('Dvd Calendar'!$G$189)&gt;0)*1000000+13*1000+3))</f>
        <v/>
      </c>
      <c r="F21" s="41">
        <f>IF(N('Dvd Calendar'!$H$190)=0,"",IF(('Dvd Calendar'!$H$190&gt;=MIN(DATE(Summary!$C$12,1,1),Summary!$C$11))*('Dvd Calendar'!$H$190&lt;=MAX(DATE(Summary!$C$12,12,31),Summary!$C$15))*('Dvd Calendar'!$H$190&lt;=Summary!$C$11)=0,"",'Dvd Calendar'!$H$190*1000000000+ISNUMBER('Dvd Calendar'!$H$191)*100000000+('Dvd Calendar'!$H$195='Field Check'!$C$25)*10000000+(N('Dvd Calendar'!$H$189)&gt;0)*1000000+13*1000+4))</f>
        <v/>
      </c>
      <c r="G21" s="41">
        <f>IF(N('Dvd Calendar'!$I$190)=0,"",IF(('Dvd Calendar'!$I$190&gt;=MIN(DATE(Summary!$C$12,1,1),Summary!$C$11))*('Dvd Calendar'!$I$190&lt;=MAX(DATE(Summary!$C$12,12,31),Summary!$C$15))*('Dvd Calendar'!$I$190&lt;=Summary!$C$11)=0,"",'Dvd Calendar'!$I$190*1000000000+ISNUMBER('Dvd Calendar'!$I$191)*100000000+('Dvd Calendar'!$I$195='Field Check'!$C$25)*10000000+(N('Dvd Calendar'!$I$189)&gt;0)*1000000+13*1000+5))</f>
        <v/>
      </c>
      <c r="H21" s="41">
        <f>IF(N('Dvd Calendar'!$J$190)=0,"",IF(('Dvd Calendar'!$J$190&gt;=MIN(DATE(Summary!$C$12,1,1),Summary!$C$11))*('Dvd Calendar'!$J$190&lt;=MAX(DATE(Summary!$C$12,12,31),Summary!$C$15))*('Dvd Calendar'!$J$190&lt;=Summary!$C$11)=0,"",'Dvd Calendar'!$J$190*1000000000+ISNUMBER('Dvd Calendar'!$J$191)*100000000+('Dvd Calendar'!$J$195='Field Check'!$C$25)*10000000+(N('Dvd Calendar'!$J$189)&gt;0)*1000000+13*1000+6))</f>
        <v/>
      </c>
      <c r="I21" s="41">
        <f>IF(N('Dvd Calendar'!$K$190)=0,"",IF(('Dvd Calendar'!$K$190&gt;=MIN(DATE(Summary!$C$12,1,1),Summary!$C$11))*('Dvd Calendar'!$K$190&lt;=MAX(DATE(Summary!$C$12,12,31),Summary!$C$15))*('Dvd Calendar'!$K$190&lt;=Summary!$C$11)=0,"",'Dvd Calendar'!$K$190*1000000000+ISNUMBER('Dvd Calendar'!$K$191)*100000000+('Dvd Calendar'!$K$195='Field Check'!$C$25)*10000000+(N('Dvd Calendar'!$K$189)&gt;0)*1000000+13*1000+7))</f>
        <v/>
      </c>
      <c r="J21" s="41">
        <f>IF(N('Dvd Calendar'!$L$190)=0,"",IF(('Dvd Calendar'!$L$190&gt;=MIN(DATE(Summary!$C$12,1,1),Summary!$C$11))*('Dvd Calendar'!$L$190&lt;=MAX(DATE(Summary!$C$12,12,31),Summary!$C$15))*('Dvd Calendar'!$L$190&lt;=Summary!$C$11)=0,"",'Dvd Calendar'!$L$190*1000000000+ISNUMBER('Dvd Calendar'!$L$191)*100000000+('Dvd Calendar'!$L$195='Field Check'!$C$25)*10000000+(N('Dvd Calendar'!$L$189)&gt;0)*1000000+13*1000+8))</f>
        <v/>
      </c>
      <c r="K21" s="41">
        <f>IF(N('Dvd Calendar'!$M$190)=0,"",IF(('Dvd Calendar'!$M$190&gt;=MIN(DATE(Summary!$C$12,1,1),Summary!$C$11))*('Dvd Calendar'!$M$190&lt;=MAX(DATE(Summary!$C$12,12,31),Summary!$C$15))*('Dvd Calendar'!$M$190&lt;=Summary!$C$11)=0,"",'Dvd Calendar'!$M$190*1000000000+ISNUMBER('Dvd Calendar'!$M$191)*100000000+('Dvd Calendar'!$M$195='Field Check'!$C$25)*10000000+(N('Dvd Calendar'!$M$189)&gt;0)*1000000+13*1000+9))</f>
        <v/>
      </c>
      <c r="L21" s="41">
        <f>IF(N('Dvd Calendar'!$N$190)=0,"",IF(('Dvd Calendar'!$N$190&gt;=MIN(DATE(Summary!$C$12,1,1),Summary!$C$11))*('Dvd Calendar'!$N$190&lt;=MAX(DATE(Summary!$C$12,12,31),Summary!$C$15))*('Dvd Calendar'!$N$190&lt;=Summary!$C$11)=0,"",'Dvd Calendar'!$N$190*1000000000+ISNUMBER('Dvd Calendar'!$N$191)*100000000+('Dvd Calendar'!$N$195='Field Check'!$C$25)*10000000+(N('Dvd Calendar'!$N$189)&gt;0)*1000000+13*1000+10))</f>
        <v/>
      </c>
      <c r="M21" s="41">
        <f>IF(N('Dvd Calendar'!$O$190)=0,"",IF(('Dvd Calendar'!$O$190&gt;=MIN(DATE(Summary!$C$12,1,1),Summary!$C$11))*('Dvd Calendar'!$O$190&lt;=MAX(DATE(Summary!$C$12,12,31),Summary!$C$15))*('Dvd Calendar'!$O$190&lt;=Summary!$C$11)=0,"",'Dvd Calendar'!$O$190*1000000000+ISNUMBER('Dvd Calendar'!$O$191)*100000000+('Dvd Calendar'!$O$195='Field Check'!$C$25)*10000000+(N('Dvd Calendar'!$O$189)&gt;0)*1000000+13*1000+11))</f>
        <v/>
      </c>
      <c r="N21" s="41">
        <f>IF(N('Dvd Calendar'!$P$190)=0,"",IF(('Dvd Calendar'!$P$190&gt;=MIN(DATE(Summary!$C$12,1,1),Summary!$C$11))*('Dvd Calendar'!$P$190&lt;=MAX(DATE(Summary!$C$12,12,31),Summary!$C$15))*('Dvd Calendar'!$P$190&lt;=Summary!$C$11)=0,"",'Dvd Calendar'!$P$190*1000000000+ISNUMBER('Dvd Calendar'!$P$191)*100000000+('Dvd Calendar'!$P$195='Field Check'!$C$25)*10000000+(N('Dvd Calendar'!$P$189)&gt;0)*1000000+13*1000+12))</f>
        <v/>
      </c>
      <c r="O21" s="41">
        <f>IF(N('Dvd Calendar'!$Q$190)=0,"",IF(('Dvd Calendar'!$Q$190&gt;=MIN(DATE(Summary!$C$12,1,1),Summary!$C$11))*('Dvd Calendar'!$Q$190&lt;=MAX(DATE(Summary!$C$12,12,31),Summary!$C$15))*('Dvd Calendar'!$Q$190&lt;=Summary!$C$11)=0,"",'Dvd Calendar'!$Q$190*1000000000+ISNUMBER('Dvd Calendar'!$Q$191)*100000000+('Dvd Calendar'!$Q$195='Field Check'!$C$25)*10000000+(N('Dvd Calendar'!$Q$189)&gt;0)*1000000+13*1000+13))</f>
        <v/>
      </c>
      <c r="P21" s="41">
        <f>IF(N('Dvd Calendar'!$R$190)=0,"",IF(('Dvd Calendar'!$R$190&gt;=MIN(DATE(Summary!$C$12,1,1),Summary!$C$11))*('Dvd Calendar'!$R$190&lt;=MAX(DATE(Summary!$C$12,12,31),Summary!$C$15))*('Dvd Calendar'!$R$190&lt;=Summary!$C$11)=0,"",'Dvd Calendar'!$R$190*1000000000+ISNUMBER('Dvd Calendar'!$R$191)*100000000+('Dvd Calendar'!$R$195='Field Check'!$C$25)*10000000+(N('Dvd Calendar'!$R$189)&gt;0)*1000000+13*1000+14))</f>
        <v/>
      </c>
      <c r="Q21" s="41">
        <f>IF(N('Dvd Calendar'!$S$190)=0,"",IF(('Dvd Calendar'!$S$190&gt;=MIN(DATE(Summary!$C$12,1,1),Summary!$C$11))*('Dvd Calendar'!$S$190&lt;=MAX(DATE(Summary!$C$12,12,31),Summary!$C$15))*('Dvd Calendar'!$S$190&lt;=Summary!$C$11)=0,"",'Dvd Calendar'!$S$190*1000000000+ISNUMBER('Dvd Calendar'!$S$191)*100000000+('Dvd Calendar'!$S$195='Field Check'!$C$25)*10000000+(N('Dvd Calendar'!$S$189)&gt;0)*1000000+13*1000+15))</f>
        <v/>
      </c>
      <c r="R21" s="41">
        <f>IF(N('Dvd Calendar'!$T$190)=0,"",IF(('Dvd Calendar'!$T$190&gt;=MIN(DATE(Summary!$C$12,1,1),Summary!$C$11))*('Dvd Calendar'!$T$190&lt;=MAX(DATE(Summary!$C$12,12,31),Summary!$C$15))*('Dvd Calendar'!$T$190&lt;=Summary!$C$11)=0,"",'Dvd Calendar'!$T$190*1000000000+ISNUMBER('Dvd Calendar'!$T$191)*100000000+('Dvd Calendar'!$T$195='Field Check'!$C$25)*10000000+(N('Dvd Calendar'!$T$189)&gt;0)*1000000+13*1000+16))</f>
        <v/>
      </c>
      <c r="S21" s="41">
        <f>IF(N('Dvd Calendar'!$U$190)=0,"",IF(('Dvd Calendar'!$U$190&gt;=MIN(DATE(Summary!$C$12,1,1),Summary!$C$11))*('Dvd Calendar'!$U$190&lt;=MAX(DATE(Summary!$C$12,12,31),Summary!$C$15))*('Dvd Calendar'!$U$190&lt;=Summary!$C$11)=0,"",'Dvd Calendar'!$U$190*1000000000+ISNUMBER('Dvd Calendar'!$U$191)*100000000+('Dvd Calendar'!$U$195='Field Check'!$C$25)*10000000+(N('Dvd Calendar'!$U$189)&gt;0)*1000000+13*1000+17))</f>
        <v/>
      </c>
      <c r="T21" s="41">
        <f>IF(N('Dvd Calendar'!$V$190)=0,"",IF(('Dvd Calendar'!$V$190&gt;=MIN(DATE(Summary!$C$12,1,1),Summary!$C$11))*('Dvd Calendar'!$V$190&lt;=MAX(DATE(Summary!$C$12,12,31),Summary!$C$15))*('Dvd Calendar'!$V$190&lt;=Summary!$C$11)=0,"",'Dvd Calendar'!$V$190*1000000000+ISNUMBER('Dvd Calendar'!$V$191)*100000000+('Dvd Calendar'!$V$195='Field Check'!$C$25)*10000000+(N('Dvd Calendar'!$V$189)&gt;0)*1000000+13*1000+18))</f>
        <v/>
      </c>
      <c r="U21" s="41">
        <f>IF(N('Dvd Calendar'!$W$190)=0,"",IF(('Dvd Calendar'!$W$190&gt;=MIN(DATE(Summary!$C$12,1,1),Summary!$C$11))*('Dvd Calendar'!$W$190&lt;=MAX(DATE(Summary!$C$12,12,31),Summary!$C$15))*('Dvd Calendar'!$W$190&lt;=Summary!$C$11)=0,"",'Dvd Calendar'!$W$190*1000000000+ISNUMBER('Dvd Calendar'!$W$191)*100000000+('Dvd Calendar'!$W$195='Field Check'!$C$25)*10000000+(N('Dvd Calendar'!$W$189)&gt;0)*1000000+13*1000+19))</f>
        <v/>
      </c>
      <c r="V21" s="41">
        <f>IF(N('Dvd Calendar'!$X$190)=0,"",IF(('Dvd Calendar'!$X$190&gt;=MIN(DATE(Summary!$C$12,1,1),Summary!$C$11))*('Dvd Calendar'!$X$190&lt;=MAX(DATE(Summary!$C$12,12,31),Summary!$C$15))*('Dvd Calendar'!$X$190&lt;=Summary!$C$11)=0,"",'Dvd Calendar'!$X$190*1000000000+ISNUMBER('Dvd Calendar'!$X$191)*100000000+('Dvd Calendar'!$X$195='Field Check'!$C$25)*10000000+(N('Dvd Calendar'!$X$189)&gt;0)*1000000+13*1000+20))</f>
        <v/>
      </c>
      <c r="W21" s="41">
        <f>IF(N('Dvd Calendar'!$Y$190)=0,"",IF(('Dvd Calendar'!$Y$190&gt;=MIN(DATE(Summary!$C$12,1,1),Summary!$C$11))*('Dvd Calendar'!$Y$190&lt;=MAX(DATE(Summary!$C$12,12,31),Summary!$C$15))*('Dvd Calendar'!$Y$190&lt;=Summary!$C$11)=0,"",'Dvd Calendar'!$Y$190*1000000000+ISNUMBER('Dvd Calendar'!$Y$191)*100000000+('Dvd Calendar'!$Y$195='Field Check'!$C$25)*10000000+(N('Dvd Calendar'!$Y$189)&gt;0)*1000000+13*1000+21))</f>
        <v/>
      </c>
      <c r="X21" s="41">
        <f>IF(N('Dvd Calendar'!$Z$190)=0,"",IF(('Dvd Calendar'!$Z$190&gt;=MIN(DATE(Summary!$C$12,1,1),Summary!$C$11))*('Dvd Calendar'!$Z$190&lt;=MAX(DATE(Summary!$C$12,12,31),Summary!$C$15))*('Dvd Calendar'!$Z$190&lt;=Summary!$C$11)=0,"",'Dvd Calendar'!$Z$190*1000000000+ISNUMBER('Dvd Calendar'!$Z$191)*100000000+('Dvd Calendar'!$Z$195='Field Check'!$C$25)*10000000+(N('Dvd Calendar'!$Z$189)&gt;0)*1000000+13*1000+22))</f>
        <v/>
      </c>
      <c r="Y21" s="41">
        <f>IF(N('Dvd Calendar'!$AA$190)=0,"",IF(('Dvd Calendar'!$AA$190&gt;=MIN(DATE(Summary!$C$12,1,1),Summary!$C$11))*('Dvd Calendar'!$AA$190&lt;=MAX(DATE(Summary!$C$12,12,31),Summary!$C$15))*('Dvd Calendar'!$AA$190&lt;=Summary!$C$11)=0,"",'Dvd Calendar'!$AA$190*1000000000+ISNUMBER('Dvd Calendar'!$AA$191)*100000000+('Dvd Calendar'!$AA$195='Field Check'!$C$25)*10000000+(N('Dvd Calendar'!$AA$189)&gt;0)*1000000+13*1000+23))</f>
        <v/>
      </c>
      <c r="Z21" s="41">
        <f>IF(N('Dvd Calendar'!$AB$190)=0,"",IF(('Dvd Calendar'!$AB$190&gt;=MIN(DATE(Summary!$C$12,1,1),Summary!$C$11))*('Dvd Calendar'!$AB$190&lt;=MAX(DATE(Summary!$C$12,12,31),Summary!$C$15))*('Dvd Calendar'!$AB$190&lt;=Summary!$C$11)=0,"",'Dvd Calendar'!$AB$190*1000000000+ISNUMBER('Dvd Calendar'!$AB$191)*100000000+('Dvd Calendar'!$AB$195='Field Check'!$C$25)*10000000+(N('Dvd Calendar'!$AB$189)&gt;0)*1000000+13*1000+24))</f>
        <v/>
      </c>
      <c r="AA21" s="41">
        <f>IF(N('Dvd Calendar'!$AC$190)=0,"",IF(('Dvd Calendar'!$AC$190&gt;=MIN(DATE(Summary!$C$12,1,1),Summary!$C$11))*('Dvd Calendar'!$AC$190&lt;=MAX(DATE(Summary!$C$12,12,31),Summary!$C$15))*('Dvd Calendar'!$AC$190&lt;=Summary!$C$11)=0,"",'Dvd Calendar'!$AC$190*1000000000+ISNUMBER('Dvd Calendar'!$AC$191)*100000000+('Dvd Calendar'!$AC$195='Field Check'!$C$25)*10000000+(N('Dvd Calendar'!$AC$189)&gt;0)*1000000+13*1000+25))</f>
        <v/>
      </c>
      <c r="AB21" s="41">
        <f>IF(N('Dvd Calendar'!$AD$190)=0,"",IF(('Dvd Calendar'!$AD$190&gt;=MIN(DATE(Summary!$C$12,1,1),Summary!$C$11))*('Dvd Calendar'!$AD$190&lt;=MAX(DATE(Summary!$C$12,12,31),Summary!$C$15))*('Dvd Calendar'!$AD$190&lt;=Summary!$C$11)=0,"",'Dvd Calendar'!$AD$190*1000000000+ISNUMBER('Dvd Calendar'!$AD$191)*100000000+('Dvd Calendar'!$AD$195='Field Check'!$C$25)*10000000+(N('Dvd Calendar'!$AD$189)&gt;0)*1000000+13*1000+26))</f>
        <v/>
      </c>
      <c r="AC21" s="41">
        <f>IF(N('Dvd Calendar'!$AE$190)=0,"",IF(('Dvd Calendar'!$AE$190&gt;=MIN(DATE(Summary!$C$12,1,1),Summary!$C$11))*('Dvd Calendar'!$AE$190&lt;=MAX(DATE(Summary!$C$12,12,31),Summary!$C$15))*('Dvd Calendar'!$AE$190&lt;=Summary!$C$11)=0,"",'Dvd Calendar'!$AE$190*1000000000+ISNUMBER('Dvd Calendar'!$AE$191)*100000000+('Dvd Calendar'!$AE$195='Field Check'!$C$25)*10000000+(N('Dvd Calendar'!$AE$189)&gt;0)*1000000+13*1000+27))</f>
        <v/>
      </c>
      <c r="AD21" s="41">
        <f>IF(N('Dvd Calendar'!$AF$190)=0,"",IF(('Dvd Calendar'!$AF$190&gt;=MIN(DATE(Summary!$C$12,1,1),Summary!$C$11))*('Dvd Calendar'!$AF$190&lt;=MAX(DATE(Summary!$C$12,12,31),Summary!$C$15))*('Dvd Calendar'!$AF$190&lt;=Summary!$C$11)=0,"",'Dvd Calendar'!$AF$190*1000000000+ISNUMBER('Dvd Calendar'!$AF$191)*100000000+('Dvd Calendar'!$AF$195='Field Check'!$C$25)*10000000+(N('Dvd Calendar'!$AF$189)&gt;0)*1000000+13*1000+28))</f>
        <v/>
      </c>
      <c r="AE21" s="41">
        <f>IF(N('Dvd Calendar'!$AG$190)=0,"",IF(('Dvd Calendar'!$AG$190&gt;=MIN(DATE(Summary!$C$12,1,1),Summary!$C$11))*('Dvd Calendar'!$AG$190&lt;=MAX(DATE(Summary!$C$12,12,31),Summary!$C$15))*('Dvd Calendar'!$AG$190&lt;=Summary!$C$11)=0,"",'Dvd Calendar'!$AG$190*1000000000+ISNUMBER('Dvd Calendar'!$AG$191)*100000000+('Dvd Calendar'!$AG$195='Field Check'!$C$25)*10000000+(N('Dvd Calendar'!$AG$189)&gt;0)*1000000+13*1000+29))</f>
        <v/>
      </c>
      <c r="AF21" s="41">
        <f>IF(N('Dvd Calendar'!$AH$190)=0,"",IF(('Dvd Calendar'!$AH$190&gt;=MIN(DATE(Summary!$C$12,1,1),Summary!$C$11))*('Dvd Calendar'!$AH$190&lt;=MAX(DATE(Summary!$C$12,12,31),Summary!$C$15))*('Dvd Calendar'!$AH$190&lt;=Summary!$C$11)=0,"",'Dvd Calendar'!$AH$190*1000000000+ISNUMBER('Dvd Calendar'!$AH$191)*100000000+('Dvd Calendar'!$AH$195='Field Check'!$C$25)*10000000+(N('Dvd Calendar'!$AH$189)&gt;0)*1000000+13*1000+30))</f>
        <v/>
      </c>
      <c r="AG21" s="41">
        <f>IF(N('Dvd Calendar'!$AI$190)=0,"",IF(('Dvd Calendar'!$AI$190&gt;=MIN(DATE(Summary!$C$12,1,1),Summary!$C$11))*('Dvd Calendar'!$AI$190&lt;=MAX(DATE(Summary!$C$12,12,31),Summary!$C$15))*('Dvd Calendar'!$AI$190&lt;=Summary!$C$11)=0,"",'Dvd Calendar'!$AI$190*1000000000+ISNUMBER('Dvd Calendar'!$AI$191)*100000000+('Dvd Calendar'!$AI$195='Field Check'!$C$25)*10000000+(N('Dvd Calendar'!$AI$189)&gt;0)*1000000+13*1000+31))</f>
        <v/>
      </c>
      <c r="AH21" s="41">
        <f>IF(N('Dvd Calendar'!$AJ$190)=0,"",IF(('Dvd Calendar'!$AJ$190&gt;=MIN(DATE(Summary!$C$12,1,1),Summary!$C$11))*('Dvd Calendar'!$AJ$190&lt;=MAX(DATE(Summary!$C$12,12,31),Summary!$C$15))*('Dvd Calendar'!$AJ$190&lt;=Summary!$C$11)=0,"",'Dvd Calendar'!$AJ$190*1000000000+ISNUMBER('Dvd Calendar'!$AJ$191)*100000000+('Dvd Calendar'!$AJ$195='Field Check'!$C$25)*10000000+(N('Dvd Calendar'!$AJ$189)&gt;0)*1000000+13*1000+32))</f>
        <v/>
      </c>
      <c r="AI21" s="41">
        <f>IF(N('Dvd Calendar'!$AK$190)=0,"",IF(('Dvd Calendar'!$AK$190&gt;=MIN(DATE(Summary!$C$12,1,1),Summary!$C$11))*('Dvd Calendar'!$AK$190&lt;=MAX(DATE(Summary!$C$12,12,31),Summary!$C$15))*('Dvd Calendar'!$AK$190&lt;=Summary!$C$11)=0,"",'Dvd Calendar'!$AK$190*1000000000+ISNUMBER('Dvd Calendar'!$AK$191)*100000000+('Dvd Calendar'!$AK$195='Field Check'!$C$25)*10000000+(N('Dvd Calendar'!$AK$189)&gt;0)*1000000+13*1000+33))</f>
        <v/>
      </c>
      <c r="AJ21" s="41">
        <f>IF(N('Dvd Calendar'!$AL$190)=0,"",IF(('Dvd Calendar'!$AL$190&gt;=MIN(DATE(Summary!$C$12,1,1),Summary!$C$11))*('Dvd Calendar'!$AL$190&lt;=MAX(DATE(Summary!$C$12,12,31),Summary!$C$15))*('Dvd Calendar'!$AL$190&lt;=Summary!$C$11)=0,"",'Dvd Calendar'!$AL$190*1000000000+ISNUMBER('Dvd Calendar'!$AL$191)*100000000+('Dvd Calendar'!$AL$195='Field Check'!$C$25)*10000000+(N('Dvd Calendar'!$AL$189)&gt;0)*1000000+13*1000+34))</f>
        <v/>
      </c>
      <c r="AK21" s="41">
        <f>IF(N('Dvd Calendar'!$AM$190)=0,"",IF(('Dvd Calendar'!$AM$190&gt;=MIN(DATE(Summary!$C$12,1,1),Summary!$C$11))*('Dvd Calendar'!$AM$190&lt;=MAX(DATE(Summary!$C$12,12,31),Summary!$C$15))*('Dvd Calendar'!$AM$190&lt;=Summary!$C$11)=0,"",'Dvd Calendar'!$AM$190*1000000000+ISNUMBER('Dvd Calendar'!$AM$191)*100000000+('Dvd Calendar'!$AM$195='Field Check'!$C$25)*10000000+(N('Dvd Calendar'!$AM$189)&gt;0)*1000000+13*1000+35))</f>
        <v/>
      </c>
      <c r="AL21" s="41">
        <f>IF(N('Dvd Calendar'!$AN$190)=0,"",IF(('Dvd Calendar'!$AN$190&gt;=MIN(DATE(Summary!$C$12,1,1),Summary!$C$11))*('Dvd Calendar'!$AN$190&lt;=MAX(DATE(Summary!$C$12,12,31),Summary!$C$15))*('Dvd Calendar'!$AN$190&lt;=Summary!$C$11)=0,"",'Dvd Calendar'!$AN$190*1000000000+ISNUMBER('Dvd Calendar'!$AN$191)*100000000+('Dvd Calendar'!$AN$195='Field Check'!$C$25)*10000000+(N('Dvd Calendar'!$AN$189)&gt;0)*1000000+13*1000+36))</f>
        <v/>
      </c>
      <c r="AM21" s="41">
        <f>IF(N('Dvd Calendar'!$AO$190)=0,"",IF(('Dvd Calendar'!$AO$190&gt;=MIN(DATE(Summary!$C$12,1,1),Summary!$C$11))*('Dvd Calendar'!$AO$190&lt;=MAX(DATE(Summary!$C$12,12,31),Summary!$C$15))*('Dvd Calendar'!$AO$190&lt;=Summary!$C$11)=0,"",'Dvd Calendar'!$AO$190*1000000000+ISNUMBER('Dvd Calendar'!$AO$191)*100000000+('Dvd Calendar'!$AO$195='Field Check'!$C$25)*10000000+(N('Dvd Calendar'!$AO$189)&gt;0)*1000000+13*1000+37))</f>
        <v/>
      </c>
      <c r="AN21" s="41">
        <f>IF(N('Dvd Calendar'!$AP$190)=0,"",IF(('Dvd Calendar'!$AP$190&gt;=MIN(DATE(Summary!$C$12,1,1),Summary!$C$11))*('Dvd Calendar'!$AP$190&lt;=MAX(DATE(Summary!$C$12,12,31),Summary!$C$15))*('Dvd Calendar'!$AP$190&lt;=Summary!$C$11)=0,"",'Dvd Calendar'!$AP$190*1000000000+ISNUMBER('Dvd Calendar'!$AP$191)*100000000+('Dvd Calendar'!$AP$195='Field Check'!$C$25)*10000000+(N('Dvd Calendar'!$AP$189)&gt;0)*1000000+13*1000+38))</f>
        <v/>
      </c>
      <c r="AO21" s="41">
        <f>IF(N('Dvd Calendar'!$AQ$190)=0,"",IF(('Dvd Calendar'!$AQ$190&gt;=MIN(DATE(Summary!$C$12,1,1),Summary!$C$11))*('Dvd Calendar'!$AQ$190&lt;=MAX(DATE(Summary!$C$12,12,31),Summary!$C$15))*('Dvd Calendar'!$AQ$190&lt;=Summary!$C$11)=0,"",'Dvd Calendar'!$AQ$190*1000000000+ISNUMBER('Dvd Calendar'!$AQ$191)*100000000+('Dvd Calendar'!$AQ$195='Field Check'!$C$25)*10000000+(N('Dvd Calendar'!$AQ$189)&gt;0)*1000000+13*1000+39))</f>
        <v/>
      </c>
      <c r="AP21" s="41">
        <f>IF(N('Dvd Calendar'!$AR$190)=0,"",IF(('Dvd Calendar'!$AR$190&gt;=MIN(DATE(Summary!$C$12,1,1),Summary!$C$11))*('Dvd Calendar'!$AR$190&lt;=MAX(DATE(Summary!$C$12,12,31),Summary!$C$15))*('Dvd Calendar'!$AR$190&lt;=Summary!$C$11)=0,"",'Dvd Calendar'!$AR$190*1000000000+ISNUMBER('Dvd Calendar'!$AR$191)*100000000+('Dvd Calendar'!$AR$195='Field Check'!$C$25)*10000000+(N('Dvd Calendar'!$AR$189)&gt;0)*1000000+13*1000+40))</f>
        <v/>
      </c>
      <c r="AQ21" s="41">
        <f>IF(N('Dvd Calendar'!$E$197)=0,"",IF(('Dvd Calendar'!$E$197&gt;=MIN(DATE(Summary!$C$12,1,1),Summary!$C$11))*('Dvd Calendar'!$E$197&lt;=MAX(DATE(Summary!$C$12,12,31),Summary!$C$15))*('Dvd Calendar'!$E$197&gt;Summary!$C$11)=0,"",'Dvd Calendar'!$E$197*1000000000+ISNUMBER('Dvd Calendar'!$E$198)*100000000+('Dvd Calendar'!$E$202='Field Check'!$C$25)*10000000+(N('Dvd Calendar'!$E$196)&gt;0)*1000000+13*1000+41))</f>
        <v/>
      </c>
      <c r="AR21" s="41">
        <f>IF(N('Dvd Calendar'!$F$197)=0,"",IF(('Dvd Calendar'!$F$197&gt;=MIN(DATE(Summary!$C$12,1,1),Summary!$C$11))*('Dvd Calendar'!$F$197&lt;=MAX(DATE(Summary!$C$12,12,31),Summary!$C$15))*('Dvd Calendar'!$F$197&gt;Summary!$C$11)=0,"",'Dvd Calendar'!$F$197*1000000000+ISNUMBER('Dvd Calendar'!$F$198)*100000000+('Dvd Calendar'!$F$202='Field Check'!$C$25)*10000000+(N('Dvd Calendar'!$F$196)&gt;0)*1000000+13*1000+42))</f>
        <v/>
      </c>
      <c r="AS21" s="41">
        <f>IF(N('Dvd Calendar'!$G$197)=0,"",IF(('Dvd Calendar'!$G$197&gt;=MIN(DATE(Summary!$C$12,1,1),Summary!$C$11))*('Dvd Calendar'!$G$197&lt;=MAX(DATE(Summary!$C$12,12,31),Summary!$C$15))*('Dvd Calendar'!$G$197&gt;Summary!$C$11)=0,"",'Dvd Calendar'!$G$197*1000000000+ISNUMBER('Dvd Calendar'!$G$198)*100000000+('Dvd Calendar'!$G$202='Field Check'!$C$25)*10000000+(N('Dvd Calendar'!$G$196)&gt;0)*1000000+13*1000+43))</f>
        <v/>
      </c>
      <c r="AT21" s="41">
        <f>IF(N('Dvd Calendar'!$H$197)=0,"",IF(('Dvd Calendar'!$H$197&gt;=MIN(DATE(Summary!$C$12,1,1),Summary!$C$11))*('Dvd Calendar'!$H$197&lt;=MAX(DATE(Summary!$C$12,12,31),Summary!$C$15))*('Dvd Calendar'!$H$197&gt;Summary!$C$11)=0,"",'Dvd Calendar'!$H$197*1000000000+ISNUMBER('Dvd Calendar'!$H$198)*100000000+('Dvd Calendar'!$H$202='Field Check'!$C$25)*10000000+(N('Dvd Calendar'!$H$196)&gt;0)*1000000+13*1000+44))</f>
        <v/>
      </c>
      <c r="AU21" s="41">
        <f>IF(N('Dvd Calendar'!$I$197)=0,"",IF(('Dvd Calendar'!$I$197&gt;=MIN(DATE(Summary!$C$12,1,1),Summary!$C$11))*('Dvd Calendar'!$I$197&lt;=MAX(DATE(Summary!$C$12,12,31),Summary!$C$15))*('Dvd Calendar'!$I$197&gt;Summary!$C$11)=0,"",'Dvd Calendar'!$I$197*1000000000+ISNUMBER('Dvd Calendar'!$I$198)*100000000+('Dvd Calendar'!$I$202='Field Check'!$C$25)*10000000+(N('Dvd Calendar'!$I$196)&gt;0)*1000000+13*1000+45))</f>
        <v/>
      </c>
      <c r="AV21" s="41">
        <f>IF(N('Dvd Calendar'!$J$197)=0,"",IF(('Dvd Calendar'!$J$197&gt;=MIN(DATE(Summary!$C$12,1,1),Summary!$C$11))*('Dvd Calendar'!$J$197&lt;=MAX(DATE(Summary!$C$12,12,31),Summary!$C$15))*('Dvd Calendar'!$J$197&gt;Summary!$C$11)=0,"",'Dvd Calendar'!$J$197*1000000000+ISNUMBER('Dvd Calendar'!$J$198)*100000000+('Dvd Calendar'!$J$202='Field Check'!$C$25)*10000000+(N('Dvd Calendar'!$J$196)&gt;0)*1000000+13*1000+46))</f>
        <v/>
      </c>
      <c r="AW21" s="41">
        <f>IF(N('Dvd Calendar'!$K$197)=0,"",IF(('Dvd Calendar'!$K$197&gt;=MIN(DATE(Summary!$C$12,1,1),Summary!$C$11))*('Dvd Calendar'!$K$197&lt;=MAX(DATE(Summary!$C$12,12,31),Summary!$C$15))*('Dvd Calendar'!$K$197&gt;Summary!$C$11)=0,"",'Dvd Calendar'!$K$197*1000000000+ISNUMBER('Dvd Calendar'!$K$198)*100000000+('Dvd Calendar'!$K$202='Field Check'!$C$25)*10000000+(N('Dvd Calendar'!$K$196)&gt;0)*1000000+13*1000+47))</f>
        <v/>
      </c>
      <c r="AX21" s="41">
        <f>IF(N('Dvd Calendar'!$L$197)=0,"",IF(('Dvd Calendar'!$L$197&gt;=MIN(DATE(Summary!$C$12,1,1),Summary!$C$11))*('Dvd Calendar'!$L$197&lt;=MAX(DATE(Summary!$C$12,12,31),Summary!$C$15))*('Dvd Calendar'!$L$197&gt;Summary!$C$11)=0,"",'Dvd Calendar'!$L$197*1000000000+ISNUMBER('Dvd Calendar'!$L$198)*100000000+('Dvd Calendar'!$L$202='Field Check'!$C$25)*10000000+(N('Dvd Calendar'!$L$196)&gt;0)*1000000+13*1000+48))</f>
        <v/>
      </c>
      <c r="AY21" s="41">
        <f>IF(N('Dvd Calendar'!$M$197)=0,"",IF(('Dvd Calendar'!$M$197&gt;=MIN(DATE(Summary!$C$12,1,1),Summary!$C$11))*('Dvd Calendar'!$M$197&lt;=MAX(DATE(Summary!$C$12,12,31),Summary!$C$15))*('Dvd Calendar'!$M$197&gt;Summary!$C$11)=0,"",'Dvd Calendar'!$M$197*1000000000+ISNUMBER('Dvd Calendar'!$M$198)*100000000+('Dvd Calendar'!$M$202='Field Check'!$C$25)*10000000+(N('Dvd Calendar'!$M$196)&gt;0)*1000000+13*1000+49))</f>
        <v/>
      </c>
      <c r="AZ21" s="41">
        <f>IF(N('Dvd Calendar'!$N$197)=0,"",IF(('Dvd Calendar'!$N$197&gt;=MIN(DATE(Summary!$C$12,1,1),Summary!$C$11))*('Dvd Calendar'!$N$197&lt;=MAX(DATE(Summary!$C$12,12,31),Summary!$C$15))*('Dvd Calendar'!$N$197&gt;Summary!$C$11)=0,"",'Dvd Calendar'!$N$197*1000000000+ISNUMBER('Dvd Calendar'!$N$198)*100000000+('Dvd Calendar'!$N$202='Field Check'!$C$25)*10000000+(N('Dvd Calendar'!$N$196)&gt;0)*1000000+13*1000+50))</f>
        <v/>
      </c>
      <c r="BA21" s="41">
        <f>IF(N('Dvd Calendar'!$O$197)=0,"",IF(('Dvd Calendar'!$O$197&gt;=MIN(DATE(Summary!$C$12,1,1),Summary!$C$11))*('Dvd Calendar'!$O$197&lt;=MAX(DATE(Summary!$C$12,12,31),Summary!$C$15))*('Dvd Calendar'!$O$197&gt;Summary!$C$11)=0,"",'Dvd Calendar'!$O$197*1000000000+ISNUMBER('Dvd Calendar'!$O$198)*100000000+('Dvd Calendar'!$O$202='Field Check'!$C$25)*10000000+(N('Dvd Calendar'!$O$196)&gt;0)*1000000+13*1000+51))</f>
        <v/>
      </c>
      <c r="BB21" s="41">
        <f>IF(N('Dvd Calendar'!$P$197)=0,"",IF(('Dvd Calendar'!$P$197&gt;=MIN(DATE(Summary!$C$12,1,1),Summary!$C$11))*('Dvd Calendar'!$P$197&lt;=MAX(DATE(Summary!$C$12,12,31),Summary!$C$15))*('Dvd Calendar'!$P$197&gt;Summary!$C$11)=0,"",'Dvd Calendar'!$P$197*1000000000+ISNUMBER('Dvd Calendar'!$P$198)*100000000+('Dvd Calendar'!$P$202='Field Check'!$C$25)*10000000+(N('Dvd Calendar'!$P$196)&gt;0)*1000000+13*1000+52))</f>
        <v/>
      </c>
      <c r="BC21" s="41">
        <f>IF(N('Dvd Calendar'!$Q$197)=0,"",IF(('Dvd Calendar'!$Q$197&gt;=MIN(DATE(Summary!$C$12,1,1),Summary!$C$11))*('Dvd Calendar'!$Q$197&lt;=MAX(DATE(Summary!$C$12,12,31),Summary!$C$15))*('Dvd Calendar'!$Q$197&gt;Summary!$C$11)=0,"",'Dvd Calendar'!$Q$197*1000000000+ISNUMBER('Dvd Calendar'!$Q$198)*100000000+('Dvd Calendar'!$Q$202='Field Check'!$C$25)*10000000+(N('Dvd Calendar'!$Q$196)&gt;0)*1000000+13*1000+53))</f>
        <v/>
      </c>
      <c r="BD21" s="41">
        <f>IF(N('Dvd Calendar'!$R$197)=0,"",IF(('Dvd Calendar'!$R$197&gt;=MIN(DATE(Summary!$C$12,1,1),Summary!$C$11))*('Dvd Calendar'!$R$197&lt;=MAX(DATE(Summary!$C$12,12,31),Summary!$C$15))*('Dvd Calendar'!$R$197&gt;Summary!$C$11)=0,"",'Dvd Calendar'!$R$197*1000000000+ISNUMBER('Dvd Calendar'!$R$198)*100000000+('Dvd Calendar'!$R$202='Field Check'!$C$25)*10000000+(N('Dvd Calendar'!$R$196)&gt;0)*1000000+13*1000+54))</f>
        <v/>
      </c>
      <c r="BE21" s="41">
        <f>IF(N('Dvd Calendar'!$S$197)=0,"",IF(('Dvd Calendar'!$S$197&gt;=MIN(DATE(Summary!$C$12,1,1),Summary!$C$11))*('Dvd Calendar'!$S$197&lt;=MAX(DATE(Summary!$C$12,12,31),Summary!$C$15))*('Dvd Calendar'!$S$197&gt;Summary!$C$11)=0,"",'Dvd Calendar'!$S$197*1000000000+ISNUMBER('Dvd Calendar'!$S$198)*100000000+('Dvd Calendar'!$S$202='Field Check'!$C$25)*10000000+(N('Dvd Calendar'!$S$196)&gt;0)*1000000+13*1000+55))</f>
        <v/>
      </c>
      <c r="BF21" s="41">
        <f>IF(N('Dvd Calendar'!$T$197)=0,"",IF(('Dvd Calendar'!$T$197&gt;=MIN(DATE(Summary!$C$12,1,1),Summary!$C$11))*('Dvd Calendar'!$T$197&lt;=MAX(DATE(Summary!$C$12,12,31),Summary!$C$15))*('Dvd Calendar'!$T$197&gt;Summary!$C$11)=0,"",'Dvd Calendar'!$T$197*1000000000+ISNUMBER('Dvd Calendar'!$T$198)*100000000+('Dvd Calendar'!$T$202='Field Check'!$C$25)*10000000+(N('Dvd Calendar'!$T$196)&gt;0)*1000000+13*1000+56))</f>
        <v/>
      </c>
      <c r="BG21" s="41">
        <f>IF(N('Dvd Calendar'!$U$197)=0,"",IF(('Dvd Calendar'!$U$197&gt;=MIN(DATE(Summary!$C$12,1,1),Summary!$C$11))*('Dvd Calendar'!$U$197&lt;=MAX(DATE(Summary!$C$12,12,31),Summary!$C$15))*('Dvd Calendar'!$U$197&gt;Summary!$C$11)=0,"",'Dvd Calendar'!$U$197*1000000000+ISNUMBER('Dvd Calendar'!$U$198)*100000000+('Dvd Calendar'!$U$202='Field Check'!$C$25)*10000000+(N('Dvd Calendar'!$U$196)&gt;0)*1000000+13*1000+57))</f>
        <v/>
      </c>
      <c r="BH21" s="41">
        <f>IF(N('Dvd Calendar'!$V$197)=0,"",IF(('Dvd Calendar'!$V$197&gt;=MIN(DATE(Summary!$C$12,1,1),Summary!$C$11))*('Dvd Calendar'!$V$197&lt;=MAX(DATE(Summary!$C$12,12,31),Summary!$C$15))*('Dvd Calendar'!$V$197&gt;Summary!$C$11)=0,"",'Dvd Calendar'!$V$197*1000000000+ISNUMBER('Dvd Calendar'!$V$198)*100000000+('Dvd Calendar'!$V$202='Field Check'!$C$25)*10000000+(N('Dvd Calendar'!$V$196)&gt;0)*1000000+13*1000+58))</f>
        <v/>
      </c>
      <c r="BI21" s="41">
        <f>IF(N('Dvd Calendar'!$W$197)=0,"",IF(('Dvd Calendar'!$W$197&gt;=MIN(DATE(Summary!$C$12,1,1),Summary!$C$11))*('Dvd Calendar'!$W$197&lt;=MAX(DATE(Summary!$C$12,12,31),Summary!$C$15))*('Dvd Calendar'!$W$197&gt;Summary!$C$11)=0,"",'Dvd Calendar'!$W$197*1000000000+ISNUMBER('Dvd Calendar'!$W$198)*100000000+('Dvd Calendar'!$W$202='Field Check'!$C$25)*10000000+(N('Dvd Calendar'!$W$196)&gt;0)*1000000+13*1000+59))</f>
        <v/>
      </c>
      <c r="BJ21" s="41">
        <f>IF(N('Dvd Calendar'!$X$197)=0,"",IF(('Dvd Calendar'!$X$197&gt;=MIN(DATE(Summary!$C$12,1,1),Summary!$C$11))*('Dvd Calendar'!$X$197&lt;=MAX(DATE(Summary!$C$12,12,31),Summary!$C$15))*('Dvd Calendar'!$X$197&gt;Summary!$C$11)=0,"",'Dvd Calendar'!$X$197*1000000000+ISNUMBER('Dvd Calendar'!$X$198)*100000000+('Dvd Calendar'!$X$202='Field Check'!$C$25)*10000000+(N('Dvd Calendar'!$X$196)&gt;0)*1000000+13*1000+60))</f>
        <v/>
      </c>
      <c r="BK21" s="41">
        <f>IF(N('Dvd Calendar'!$Y$197)=0,"",IF(('Dvd Calendar'!$Y$197&gt;=MIN(DATE(Summary!$C$12,1,1),Summary!$C$11))*('Dvd Calendar'!$Y$197&lt;=MAX(DATE(Summary!$C$12,12,31),Summary!$C$15))*('Dvd Calendar'!$Y$197&gt;Summary!$C$11)=0,"",'Dvd Calendar'!$Y$197*1000000000+ISNUMBER('Dvd Calendar'!$Y$198)*100000000+('Dvd Calendar'!$Y$202='Field Check'!$C$25)*10000000+(N('Dvd Calendar'!$Y$196)&gt;0)*1000000+13*1000+61))</f>
        <v/>
      </c>
      <c r="BL21" s="41">
        <f>IF(N('Dvd Calendar'!$Z$197)=0,"",IF(('Dvd Calendar'!$Z$197&gt;=MIN(DATE(Summary!$C$12,1,1),Summary!$C$11))*('Dvd Calendar'!$Z$197&lt;=MAX(DATE(Summary!$C$12,12,31),Summary!$C$15))*('Dvd Calendar'!$Z$197&gt;Summary!$C$11)=0,"",'Dvd Calendar'!$Z$197*1000000000+ISNUMBER('Dvd Calendar'!$Z$198)*100000000+('Dvd Calendar'!$Z$202='Field Check'!$C$25)*10000000+(N('Dvd Calendar'!$Z$196)&gt;0)*1000000+13*1000+62))</f>
        <v/>
      </c>
      <c r="BM21" s="41">
        <f>IF(N('Dvd Calendar'!$AA$197)=0,"",IF(('Dvd Calendar'!$AA$197&gt;=MIN(DATE(Summary!$C$12,1,1),Summary!$C$11))*('Dvd Calendar'!$AA$197&lt;=MAX(DATE(Summary!$C$12,12,31),Summary!$C$15))*('Dvd Calendar'!$AA$197&gt;Summary!$C$11)=0,"",'Dvd Calendar'!$AA$197*1000000000+ISNUMBER('Dvd Calendar'!$AA$198)*100000000+('Dvd Calendar'!$AA$202='Field Check'!$C$25)*10000000+(N('Dvd Calendar'!$AA$196)&gt;0)*1000000+13*1000+63))</f>
        <v/>
      </c>
      <c r="BN21" s="41">
        <f>IF(N('Dvd Calendar'!$AB$197)=0,"",IF(('Dvd Calendar'!$AB$197&gt;=MIN(DATE(Summary!$C$12,1,1),Summary!$C$11))*('Dvd Calendar'!$AB$197&lt;=MAX(DATE(Summary!$C$12,12,31),Summary!$C$15))*('Dvd Calendar'!$AB$197&gt;Summary!$C$11)=0,"",'Dvd Calendar'!$AB$197*1000000000+ISNUMBER('Dvd Calendar'!$AB$198)*100000000+('Dvd Calendar'!$AB$202='Field Check'!$C$25)*10000000+(N('Dvd Calendar'!$AB$196)&gt;0)*1000000+13*1000+64))</f>
        <v/>
      </c>
      <c r="BO21" s="41">
        <f>IF(N('Dvd Calendar'!$AC$197)=0,"",IF(('Dvd Calendar'!$AC$197&gt;=MIN(DATE(Summary!$C$12,1,1),Summary!$C$11))*('Dvd Calendar'!$AC$197&lt;=MAX(DATE(Summary!$C$12,12,31),Summary!$C$15))*('Dvd Calendar'!$AC$197&gt;Summary!$C$11)=0,"",'Dvd Calendar'!$AC$197*1000000000+ISNUMBER('Dvd Calendar'!$AC$198)*100000000+('Dvd Calendar'!$AC$202='Field Check'!$C$25)*10000000+(N('Dvd Calendar'!$AC$196)&gt;0)*1000000+13*1000+65))</f>
        <v/>
      </c>
      <c r="BQ21" s="85">
        <f>IF(C21="","",IF(ISNUMBER('Dvd Calendar'!$E$191)=FALSE,"",IF((Summary!$C$13="N")*('Dvd Calendar'!$E$195='Field Check'!$C$25)&gt;0,"",'Dvd Calendar'!$E$191)))</f>
        <v/>
      </c>
      <c r="BR21" s="85">
        <f>IF(D21="","",IF(ISNUMBER('Dvd Calendar'!$F$191)=FALSE,"",IF((Summary!$C$13="N")*('Dvd Calendar'!$F$195='Field Check'!$C$25)&gt;0,"",'Dvd Calendar'!$F$191)))</f>
        <v/>
      </c>
      <c r="BS21" s="85">
        <f>IF(E21="","",IF(ISNUMBER('Dvd Calendar'!$G$191)=FALSE,"",IF((Summary!$C$13="N")*('Dvd Calendar'!$G$195='Field Check'!$C$25)&gt;0,"",'Dvd Calendar'!$G$191)))</f>
        <v/>
      </c>
      <c r="BT21" s="85">
        <f>IF(F21="","",IF(ISNUMBER('Dvd Calendar'!$H$191)=FALSE,"",IF((Summary!$C$13="N")*('Dvd Calendar'!$H$195='Field Check'!$C$25)&gt;0,"",'Dvd Calendar'!$H$191)))</f>
        <v/>
      </c>
      <c r="BU21" s="85">
        <f>IF(G21="","",IF(ISNUMBER('Dvd Calendar'!$I$191)=FALSE,"",IF((Summary!$C$13="N")*('Dvd Calendar'!$I$195='Field Check'!$C$25)&gt;0,"",'Dvd Calendar'!$I$191)))</f>
        <v/>
      </c>
      <c r="BV21" s="85">
        <f>IF(H21="","",IF(ISNUMBER('Dvd Calendar'!$J$191)=FALSE,"",IF((Summary!$C$13="N")*('Dvd Calendar'!$J$195='Field Check'!$C$25)&gt;0,"",'Dvd Calendar'!$J$191)))</f>
        <v/>
      </c>
      <c r="BW21" s="85">
        <f>IF(I21="","",IF(ISNUMBER('Dvd Calendar'!$K$191)=FALSE,"",IF((Summary!$C$13="N")*('Dvd Calendar'!$K$195='Field Check'!$C$25)&gt;0,"",'Dvd Calendar'!$K$191)))</f>
        <v/>
      </c>
      <c r="BX21" s="85">
        <f>IF(J21="","",IF(ISNUMBER('Dvd Calendar'!$L$191)=FALSE,"",IF((Summary!$C$13="N")*('Dvd Calendar'!$L$195='Field Check'!$C$25)&gt;0,"",'Dvd Calendar'!$L$191)))</f>
        <v/>
      </c>
      <c r="BY21" s="85">
        <f>IF(K21="","",IF(ISNUMBER('Dvd Calendar'!$M$191)=FALSE,"",IF((Summary!$C$13="N")*('Dvd Calendar'!$M$195='Field Check'!$C$25)&gt;0,"",'Dvd Calendar'!$M$191)))</f>
        <v/>
      </c>
      <c r="BZ21" s="85">
        <f>IF(L21="","",IF(ISNUMBER('Dvd Calendar'!$N$191)=FALSE,"",IF((Summary!$C$13="N")*('Dvd Calendar'!$N$195='Field Check'!$C$25)&gt;0,"",'Dvd Calendar'!$N$191)))</f>
        <v/>
      </c>
      <c r="CA21" s="85">
        <f>IF(M21="","",IF(ISNUMBER('Dvd Calendar'!$O$191)=FALSE,"",IF((Summary!$C$13="N")*('Dvd Calendar'!$O$195='Field Check'!$C$25)&gt;0,"",'Dvd Calendar'!$O$191)))</f>
        <v/>
      </c>
      <c r="CB21" s="85">
        <f>IF(N21="","",IF(ISNUMBER('Dvd Calendar'!$P$191)=FALSE,"",IF((Summary!$C$13="N")*('Dvd Calendar'!$P$195='Field Check'!$C$25)&gt;0,"",'Dvd Calendar'!$P$191)))</f>
        <v/>
      </c>
      <c r="CC21" s="85">
        <f>IF(O21="","",IF(ISNUMBER('Dvd Calendar'!$Q$191)=FALSE,"",IF((Summary!$C$13="N")*('Dvd Calendar'!$Q$195='Field Check'!$C$25)&gt;0,"",'Dvd Calendar'!$Q$191)))</f>
        <v/>
      </c>
      <c r="CD21" s="85">
        <f>IF(P21="","",IF(ISNUMBER('Dvd Calendar'!$R$191)=FALSE,"",IF((Summary!$C$13="N")*('Dvd Calendar'!$R$195='Field Check'!$C$25)&gt;0,"",'Dvd Calendar'!$R$191)))</f>
        <v/>
      </c>
      <c r="CE21" s="85">
        <f>IF(Q21="","",IF(ISNUMBER('Dvd Calendar'!$S$191)=FALSE,"",IF((Summary!$C$13="N")*('Dvd Calendar'!$S$195='Field Check'!$C$25)&gt;0,"",'Dvd Calendar'!$S$191)))</f>
        <v/>
      </c>
      <c r="CF21" s="85">
        <f>IF(R21="","",IF(ISNUMBER('Dvd Calendar'!$T$191)=FALSE,"",IF((Summary!$C$13="N")*('Dvd Calendar'!$T$195='Field Check'!$C$25)&gt;0,"",'Dvd Calendar'!$T$191)))</f>
        <v/>
      </c>
      <c r="CG21" s="85">
        <f>IF(S21="","",IF(ISNUMBER('Dvd Calendar'!$U$191)=FALSE,"",IF((Summary!$C$13="N")*('Dvd Calendar'!$U$195='Field Check'!$C$25)&gt;0,"",'Dvd Calendar'!$U$191)))</f>
        <v/>
      </c>
      <c r="CH21" s="85">
        <f>IF(T21="","",IF(ISNUMBER('Dvd Calendar'!$V$191)=FALSE,"",IF((Summary!$C$13="N")*('Dvd Calendar'!$V$195='Field Check'!$C$25)&gt;0,"",'Dvd Calendar'!$V$191)))</f>
        <v/>
      </c>
      <c r="CI21" s="85">
        <f>IF(U21="","",IF(ISNUMBER('Dvd Calendar'!$W$191)=FALSE,"",IF((Summary!$C$13="N")*('Dvd Calendar'!$W$195='Field Check'!$C$25)&gt;0,"",'Dvd Calendar'!$W$191)))</f>
        <v/>
      </c>
      <c r="CJ21" s="85">
        <f>IF(V21="","",IF(ISNUMBER('Dvd Calendar'!$X$191)=FALSE,"",IF((Summary!$C$13="N")*('Dvd Calendar'!$X$195='Field Check'!$C$25)&gt;0,"",'Dvd Calendar'!$X$191)))</f>
        <v/>
      </c>
      <c r="CK21" s="85">
        <f>IF(W21="","",IF(ISNUMBER('Dvd Calendar'!$Y$191)=FALSE,"",IF((Summary!$C$13="N")*('Dvd Calendar'!$Y$195='Field Check'!$C$25)&gt;0,"",'Dvd Calendar'!$Y$191)))</f>
        <v/>
      </c>
      <c r="CL21" s="85">
        <f>IF(X21="","",IF(ISNUMBER('Dvd Calendar'!$Z$191)=FALSE,"",IF((Summary!$C$13="N")*('Dvd Calendar'!$Z$195='Field Check'!$C$25)&gt;0,"",'Dvd Calendar'!$Z$191)))</f>
        <v/>
      </c>
      <c r="CM21" s="85">
        <f>IF(Y21="","",IF(ISNUMBER('Dvd Calendar'!$AA$191)=FALSE,"",IF((Summary!$C$13="N")*('Dvd Calendar'!$AA$195='Field Check'!$C$25)&gt;0,"",'Dvd Calendar'!$AA$191)))</f>
        <v/>
      </c>
      <c r="CN21" s="85">
        <f>IF(Z21="","",IF(ISNUMBER('Dvd Calendar'!$AB$191)=FALSE,"",IF((Summary!$C$13="N")*('Dvd Calendar'!$AB$195='Field Check'!$C$25)&gt;0,"",'Dvd Calendar'!$AB$191)))</f>
        <v/>
      </c>
      <c r="CO21" s="85">
        <f>IF(AA21="","",IF(ISNUMBER('Dvd Calendar'!$AC$191)=FALSE,"",IF((Summary!$C$13="N")*('Dvd Calendar'!$AC$195='Field Check'!$C$25)&gt;0,"",'Dvd Calendar'!$AC$191)))</f>
        <v/>
      </c>
      <c r="CP21" s="85">
        <f>IF(AB21="","",IF(ISNUMBER('Dvd Calendar'!$AD$191)=FALSE,"",IF((Summary!$C$13="N")*('Dvd Calendar'!$AD$195='Field Check'!$C$25)&gt;0,"",'Dvd Calendar'!$AD$191)))</f>
        <v/>
      </c>
      <c r="CQ21" s="85">
        <f>IF(AC21="","",IF(ISNUMBER('Dvd Calendar'!$AE$191)=FALSE,"",IF((Summary!$C$13="N")*('Dvd Calendar'!$AE$195='Field Check'!$C$25)&gt;0,"",'Dvd Calendar'!$AE$191)))</f>
        <v/>
      </c>
      <c r="CR21" s="85">
        <f>IF(AD21="","",IF(ISNUMBER('Dvd Calendar'!$AF$191)=FALSE,"",IF((Summary!$C$13="N")*('Dvd Calendar'!$AF$195='Field Check'!$C$25)&gt;0,"",'Dvd Calendar'!$AF$191)))</f>
        <v/>
      </c>
      <c r="CS21" s="85">
        <f>IF(AE21="","",IF(ISNUMBER('Dvd Calendar'!$AG$191)=FALSE,"",IF((Summary!$C$13="N")*('Dvd Calendar'!$AG$195='Field Check'!$C$25)&gt;0,"",'Dvd Calendar'!$AG$191)))</f>
        <v/>
      </c>
      <c r="CT21" s="85">
        <f>IF(AF21="","",IF(ISNUMBER('Dvd Calendar'!$AH$191)=FALSE,"",IF((Summary!$C$13="N")*('Dvd Calendar'!$AH$195='Field Check'!$C$25)&gt;0,"",'Dvd Calendar'!$AH$191)))</f>
        <v/>
      </c>
      <c r="CU21" s="85">
        <f>IF(AG21="","",IF(ISNUMBER('Dvd Calendar'!$AI$191)=FALSE,"",IF((Summary!$C$13="N")*('Dvd Calendar'!$AI$195='Field Check'!$C$25)&gt;0,"",'Dvd Calendar'!$AI$191)))</f>
        <v/>
      </c>
      <c r="CV21" s="85">
        <f>IF(AH21="","",IF(ISNUMBER('Dvd Calendar'!$AJ$191)=FALSE,"",IF((Summary!$C$13="N")*('Dvd Calendar'!$AJ$195='Field Check'!$C$25)&gt;0,"",'Dvd Calendar'!$AJ$191)))</f>
        <v/>
      </c>
      <c r="CW21" s="85">
        <f>IF(AI21="","",IF(ISNUMBER('Dvd Calendar'!$AK$191)=FALSE,"",IF((Summary!$C$13="N")*('Dvd Calendar'!$AK$195='Field Check'!$C$25)&gt;0,"",'Dvd Calendar'!$AK$191)))</f>
        <v/>
      </c>
      <c r="CX21" s="85">
        <f>IF(AJ21="","",IF(ISNUMBER('Dvd Calendar'!$AL$191)=FALSE,"",IF((Summary!$C$13="N")*('Dvd Calendar'!$AL$195='Field Check'!$C$25)&gt;0,"",'Dvd Calendar'!$AL$191)))</f>
        <v/>
      </c>
      <c r="CY21" s="85">
        <f>IF(AK21="","",IF(ISNUMBER('Dvd Calendar'!$AM$191)=FALSE,"",IF((Summary!$C$13="N")*('Dvd Calendar'!$AM$195='Field Check'!$C$25)&gt;0,"",'Dvd Calendar'!$AM$191)))</f>
        <v/>
      </c>
      <c r="CZ21" s="85">
        <f>IF(AL21="","",IF(ISNUMBER('Dvd Calendar'!$AN$191)=FALSE,"",IF((Summary!$C$13="N")*('Dvd Calendar'!$AN$195='Field Check'!$C$25)&gt;0,"",'Dvd Calendar'!$AN$191)))</f>
        <v/>
      </c>
      <c r="DA21" s="85">
        <f>IF(AM21="","",IF(ISNUMBER('Dvd Calendar'!$AO$191)=FALSE,"",IF((Summary!$C$13="N")*('Dvd Calendar'!$AO$195='Field Check'!$C$25)&gt;0,"",'Dvd Calendar'!$AO$191)))</f>
        <v/>
      </c>
      <c r="DB21" s="85">
        <f>IF(AN21="","",IF(ISNUMBER('Dvd Calendar'!$AP$191)=FALSE,"",IF((Summary!$C$13="N")*('Dvd Calendar'!$AP$195='Field Check'!$C$25)&gt;0,"",'Dvd Calendar'!$AP$191)))</f>
        <v/>
      </c>
      <c r="DC21" s="85">
        <f>IF(AO21="","",IF(ISNUMBER('Dvd Calendar'!$AQ$191)=FALSE,"",IF((Summary!$C$13="N")*('Dvd Calendar'!$AQ$195='Field Check'!$C$25)&gt;0,"",'Dvd Calendar'!$AQ$191)))</f>
        <v/>
      </c>
      <c r="DD21" s="85">
        <f>IF(AP21="","",IF(ISNUMBER('Dvd Calendar'!$AR$191)=FALSE,"",IF((Summary!$C$13="N")*('Dvd Calendar'!$AR$195='Field Check'!$C$25)&gt;0,"",'Dvd Calendar'!$AR$191)))</f>
        <v/>
      </c>
      <c r="DE21" s="85">
        <f>IF(AQ21="","",IF(ISNUMBER('Dvd Calendar'!$E$198)=FALSE,"",IF((Summary!$C$13="N")*('Dvd Calendar'!$E$202='Field Check'!$C$25)&gt;0,"",'Dvd Calendar'!$E$198)))</f>
        <v/>
      </c>
      <c r="DF21" s="85">
        <f>IF(AR21="","",IF(ISNUMBER('Dvd Calendar'!$F$198)=FALSE,"",IF((Summary!$C$13="N")*('Dvd Calendar'!$F$202='Field Check'!$C$25)&gt;0,"",'Dvd Calendar'!$F$198)))</f>
        <v/>
      </c>
      <c r="DG21" s="85">
        <f>IF(AS21="","",IF(ISNUMBER('Dvd Calendar'!$G$198)=FALSE,"",IF((Summary!$C$13="N")*('Dvd Calendar'!$G$202='Field Check'!$C$25)&gt;0,"",'Dvd Calendar'!$G$198)))</f>
        <v/>
      </c>
      <c r="DH21" s="85">
        <f>IF(AT21="","",IF(ISNUMBER('Dvd Calendar'!$H$198)=FALSE,"",IF((Summary!$C$13="N")*('Dvd Calendar'!$H$202='Field Check'!$C$25)&gt;0,"",'Dvd Calendar'!$H$198)))</f>
        <v/>
      </c>
      <c r="DI21" s="85">
        <f>IF(AU21="","",IF(ISNUMBER('Dvd Calendar'!$I$198)=FALSE,"",IF((Summary!$C$13="N")*('Dvd Calendar'!$I$202='Field Check'!$C$25)&gt;0,"",'Dvd Calendar'!$I$198)))</f>
        <v/>
      </c>
      <c r="DJ21" s="85">
        <f>IF(AV21="","",IF(ISNUMBER('Dvd Calendar'!$J$198)=FALSE,"",IF((Summary!$C$13="N")*('Dvd Calendar'!$J$202='Field Check'!$C$25)&gt;0,"",'Dvd Calendar'!$J$198)))</f>
        <v/>
      </c>
      <c r="DK21" s="85">
        <f>IF(AW21="","",IF(ISNUMBER('Dvd Calendar'!$K$198)=FALSE,"",IF((Summary!$C$13="N")*('Dvd Calendar'!$K$202='Field Check'!$C$25)&gt;0,"",'Dvd Calendar'!$K$198)))</f>
        <v/>
      </c>
      <c r="DL21" s="85">
        <f>IF(AX21="","",IF(ISNUMBER('Dvd Calendar'!$L$198)=FALSE,"",IF((Summary!$C$13="N")*('Dvd Calendar'!$L$202='Field Check'!$C$25)&gt;0,"",'Dvd Calendar'!$L$198)))</f>
        <v/>
      </c>
      <c r="DM21" s="85">
        <f>IF(AY21="","",IF(ISNUMBER('Dvd Calendar'!$M$198)=FALSE,"",IF((Summary!$C$13="N")*('Dvd Calendar'!$M$202='Field Check'!$C$25)&gt;0,"",'Dvd Calendar'!$M$198)))</f>
        <v/>
      </c>
      <c r="DN21" s="85">
        <f>IF(AZ21="","",IF(ISNUMBER('Dvd Calendar'!$N$198)=FALSE,"",IF((Summary!$C$13="N")*('Dvd Calendar'!$N$202='Field Check'!$C$25)&gt;0,"",'Dvd Calendar'!$N$198)))</f>
        <v/>
      </c>
      <c r="DO21" s="85">
        <f>IF(BA21="","",IF(ISNUMBER('Dvd Calendar'!$O$198)=FALSE,"",IF((Summary!$C$13="N")*('Dvd Calendar'!$O$202='Field Check'!$C$25)&gt;0,"",'Dvd Calendar'!$O$198)))</f>
        <v/>
      </c>
      <c r="DP21" s="85">
        <f>IF(BB21="","",IF(ISNUMBER('Dvd Calendar'!$P$198)=FALSE,"",IF((Summary!$C$13="N")*('Dvd Calendar'!$P$202='Field Check'!$C$25)&gt;0,"",'Dvd Calendar'!$P$198)))</f>
        <v/>
      </c>
      <c r="DQ21" s="85">
        <f>IF(BC21="","",IF(ISNUMBER('Dvd Calendar'!$Q$198)=FALSE,"",IF((Summary!$C$13="N")*('Dvd Calendar'!$Q$202='Field Check'!$C$25)&gt;0,"",'Dvd Calendar'!$Q$198)))</f>
        <v/>
      </c>
      <c r="DR21" s="85">
        <f>IF(BD21="","",IF(ISNUMBER('Dvd Calendar'!$R$198)=FALSE,"",IF((Summary!$C$13="N")*('Dvd Calendar'!$R$202='Field Check'!$C$25)&gt;0,"",'Dvd Calendar'!$R$198)))</f>
        <v/>
      </c>
      <c r="DS21" s="85">
        <f>IF(BE21="","",IF(ISNUMBER('Dvd Calendar'!$S$198)=FALSE,"",IF((Summary!$C$13="N")*('Dvd Calendar'!$S$202='Field Check'!$C$25)&gt;0,"",'Dvd Calendar'!$S$198)))</f>
        <v/>
      </c>
      <c r="DT21" s="85">
        <f>IF(BF21="","",IF(ISNUMBER('Dvd Calendar'!$T$198)=FALSE,"",IF((Summary!$C$13="N")*('Dvd Calendar'!$T$202='Field Check'!$C$25)&gt;0,"",'Dvd Calendar'!$T$198)))</f>
        <v/>
      </c>
      <c r="DU21" s="85">
        <f>IF(BG21="","",IF(ISNUMBER('Dvd Calendar'!$U$198)=FALSE,"",IF((Summary!$C$13="N")*('Dvd Calendar'!$U$202='Field Check'!$C$25)&gt;0,"",'Dvd Calendar'!$U$198)))</f>
        <v/>
      </c>
      <c r="DV21" s="85">
        <f>IF(BH21="","",IF(ISNUMBER('Dvd Calendar'!$V$198)=FALSE,"",IF((Summary!$C$13="N")*('Dvd Calendar'!$V$202='Field Check'!$C$25)&gt;0,"",'Dvd Calendar'!$V$198)))</f>
        <v/>
      </c>
      <c r="DW21" s="85">
        <f>IF(BI21="","",IF(ISNUMBER('Dvd Calendar'!$W$198)=FALSE,"",IF((Summary!$C$13="N")*('Dvd Calendar'!$W$202='Field Check'!$C$25)&gt;0,"",'Dvd Calendar'!$W$198)))</f>
        <v/>
      </c>
      <c r="DX21" s="85">
        <f>IF(BJ21="","",IF(ISNUMBER('Dvd Calendar'!$X$198)=FALSE,"",IF((Summary!$C$13="N")*('Dvd Calendar'!$X$202='Field Check'!$C$25)&gt;0,"",'Dvd Calendar'!$X$198)))</f>
        <v/>
      </c>
      <c r="DY21" s="85">
        <f>IF(BK21="","",IF(ISNUMBER('Dvd Calendar'!$Y$198)=FALSE,"",IF((Summary!$C$13="N")*('Dvd Calendar'!$Y$202='Field Check'!$C$25)&gt;0,"",'Dvd Calendar'!$Y$198)))</f>
        <v/>
      </c>
      <c r="DZ21" s="85">
        <f>IF(BL21="","",IF(ISNUMBER('Dvd Calendar'!$Z$198)=FALSE,"",IF((Summary!$C$13="N")*('Dvd Calendar'!$Z$202='Field Check'!$C$25)&gt;0,"",'Dvd Calendar'!$Z$198)))</f>
        <v/>
      </c>
      <c r="EA21" s="85">
        <f>IF(BM21="","",IF(ISNUMBER('Dvd Calendar'!$AA$198)=FALSE,"",IF((Summary!$C$13="N")*('Dvd Calendar'!$AA$202='Field Check'!$C$25)&gt;0,"",'Dvd Calendar'!$AA$198)))</f>
        <v/>
      </c>
      <c r="EB21" s="85">
        <f>IF(BN21="","",IF(ISNUMBER('Dvd Calendar'!$AB$198)=FALSE,"",IF((Summary!$C$13="N")*('Dvd Calendar'!$AB$202='Field Check'!$C$25)&gt;0,"",'Dvd Calendar'!$AB$198)))</f>
        <v/>
      </c>
      <c r="EC21" s="85">
        <f>IF(BO21="","",IF(ISNUMBER('Dvd Calendar'!$AC$198)=FALSE,"",IF((Summary!$C$13="N")*('Dvd Calendar'!$AC$202='Field Check'!$C$25)&gt;0,"",'Dvd Calendar'!$AC$198)))</f>
        <v/>
      </c>
      <c r="EE21" s="85">
        <f>IF(BQ21="","",IFERROR(BQ21*HSI!$B$19*HSI!$G$19/HSI!$B$3,""))</f>
        <v/>
      </c>
      <c r="EF21" s="85">
        <f>IF(BR21="","",IFERROR(BR21*HSI!$B$19*HSI!$G$19/HSI!$B$3,""))</f>
        <v/>
      </c>
      <c r="EG21" s="85">
        <f>IF(BS21="","",IFERROR(BS21*HSI!$B$19*HSI!$G$19/HSI!$B$3,""))</f>
        <v/>
      </c>
      <c r="EH21" s="85">
        <f>IF(BT21="","",IFERROR(BT21*HSI!$B$19*HSI!$G$19/HSI!$B$3,""))</f>
        <v/>
      </c>
      <c r="EI21" s="85">
        <f>IF(BU21="","",IFERROR(BU21*HSI!$B$19*HSI!$G$19/HSI!$B$3,""))</f>
        <v/>
      </c>
      <c r="EJ21" s="85">
        <f>IF(BV21="","",IFERROR(BV21*HSI!$B$19*HSI!$G$19/HSI!$B$3,""))</f>
        <v/>
      </c>
      <c r="EK21" s="85">
        <f>IF(BW21="","",IFERROR(BW21*HSI!$B$19*HSI!$G$19/HSI!$B$3,""))</f>
        <v/>
      </c>
      <c r="EL21" s="85">
        <f>IF(BX21="","",IFERROR(BX21*HSI!$B$19*HSI!$G$19/HSI!$B$3,""))</f>
        <v/>
      </c>
      <c r="EM21" s="85">
        <f>IF(BY21="","",IFERROR(BY21*HSI!$B$19*HSI!$G$19/HSI!$B$3,""))</f>
        <v/>
      </c>
      <c r="EN21" s="85">
        <f>IF(BZ21="","",IFERROR(BZ21*HSI!$B$19*HSI!$G$19/HSI!$B$3,""))</f>
        <v/>
      </c>
      <c r="EO21" s="85">
        <f>IF(CA21="","",IFERROR(CA21*HSI!$B$19*HSI!$G$19/HSI!$B$3,""))</f>
        <v/>
      </c>
      <c r="EP21" s="85">
        <f>IF(CB21="","",IFERROR(CB21*HSI!$B$19*HSI!$G$19/HSI!$B$3,""))</f>
        <v/>
      </c>
      <c r="EQ21" s="85">
        <f>IF(CC21="","",IFERROR(CC21*HSI!$B$19*HSI!$G$19/HSI!$B$3,""))</f>
        <v/>
      </c>
      <c r="ER21" s="85">
        <f>IF(CD21="","",IFERROR(CD21*HSI!$B$19*HSI!$G$19/HSI!$B$3,""))</f>
        <v/>
      </c>
      <c r="ES21" s="85">
        <f>IF(CE21="","",IFERROR(CE21*HSI!$B$19*HSI!$G$19/HSI!$B$3,""))</f>
        <v/>
      </c>
      <c r="ET21" s="85">
        <f>IF(CF21="","",IFERROR(CF21*HSI!$B$19*HSI!$G$19/HSI!$B$3,""))</f>
        <v/>
      </c>
      <c r="EU21" s="85">
        <f>IF(CG21="","",IFERROR(CG21*HSI!$B$19*HSI!$G$19/HSI!$B$3,""))</f>
        <v/>
      </c>
      <c r="EV21" s="85">
        <f>IF(CH21="","",IFERROR(CH21*HSI!$B$19*HSI!$G$19/HSI!$B$3,""))</f>
        <v/>
      </c>
      <c r="EW21" s="85">
        <f>IF(CI21="","",IFERROR(CI21*HSI!$B$19*HSI!$G$19/HSI!$B$3,""))</f>
        <v/>
      </c>
      <c r="EX21" s="85">
        <f>IF(CJ21="","",IFERROR(CJ21*HSI!$B$19*HSI!$G$19/HSI!$B$3,""))</f>
        <v/>
      </c>
      <c r="EY21" s="85">
        <f>IF(CK21="","",IFERROR(CK21*HSI!$B$19*HSI!$G$19/HSI!$B$3,""))</f>
        <v/>
      </c>
      <c r="EZ21" s="85">
        <f>IF(CL21="","",IFERROR(CL21*HSI!$B$19*HSI!$G$19/HSI!$B$3,""))</f>
        <v/>
      </c>
      <c r="FA21" s="85">
        <f>IF(CM21="","",IFERROR(CM21*HSI!$B$19*HSI!$G$19/HSI!$B$3,""))</f>
        <v/>
      </c>
      <c r="FB21" s="85">
        <f>IF(CN21="","",IFERROR(CN21*HSI!$B$19*HSI!$G$19/HSI!$B$3,""))</f>
        <v/>
      </c>
      <c r="FC21" s="85">
        <f>IF(CO21="","",IFERROR(CO21*HSI!$B$19*HSI!$G$19/HSI!$B$3,""))</f>
        <v/>
      </c>
      <c r="FD21" s="85">
        <f>IF(CP21="","",IFERROR(CP21*HSI!$B$19*HSI!$G$19/HSI!$B$3,""))</f>
        <v/>
      </c>
      <c r="FE21" s="85">
        <f>IF(CQ21="","",IFERROR(CQ21*HSI!$B$19*HSI!$G$19/HSI!$B$3,""))</f>
        <v/>
      </c>
      <c r="FF21" s="85">
        <f>IF(CR21="","",IFERROR(CR21*HSI!$B$19*HSI!$G$19/HSI!$B$3,""))</f>
        <v/>
      </c>
      <c r="FG21" s="85">
        <f>IF(CS21="","",IFERROR(CS21*HSI!$B$19*HSI!$G$19/HSI!$B$3,""))</f>
        <v/>
      </c>
      <c r="FH21" s="85">
        <f>IF(CT21="","",IFERROR(CT21*HSI!$B$19*HSI!$G$19/HSI!$B$3,""))</f>
        <v/>
      </c>
      <c r="FI21" s="85">
        <f>IF(CU21="","",IFERROR(CU21*HSI!$B$19*HSI!$G$19/HSI!$B$3,""))</f>
        <v/>
      </c>
      <c r="FJ21" s="85">
        <f>IF(CV21="","",IFERROR(CV21*HSI!$B$19*HSI!$G$19/HSI!$B$3,""))</f>
        <v/>
      </c>
      <c r="FK21" s="85">
        <f>IF(CW21="","",IFERROR(CW21*HSI!$B$19*HSI!$G$19/HSI!$B$3,""))</f>
        <v/>
      </c>
      <c r="FL21" s="85">
        <f>IF(CX21="","",IFERROR(CX21*HSI!$B$19*HSI!$G$19/HSI!$B$3,""))</f>
        <v/>
      </c>
      <c r="FM21" s="85">
        <f>IF(CY21="","",IFERROR(CY21*HSI!$B$19*HSI!$G$19/HSI!$B$3,""))</f>
        <v/>
      </c>
      <c r="FN21" s="85">
        <f>IF(CZ21="","",IFERROR(CZ21*HSI!$B$19*HSI!$G$19/HSI!$B$3,""))</f>
        <v/>
      </c>
      <c r="FO21" s="85">
        <f>IF(DA21="","",IFERROR(DA21*HSI!$B$19*HSI!$G$19/HSI!$B$3,""))</f>
        <v/>
      </c>
      <c r="FP21" s="85">
        <f>IF(DB21="","",IFERROR(DB21*HSI!$B$19*HSI!$G$19/HSI!$B$3,""))</f>
        <v/>
      </c>
      <c r="FQ21" s="85">
        <f>IF(DC21="","",IFERROR(DC21*HSI!$B$19*HSI!$G$19/HSI!$B$3,""))</f>
        <v/>
      </c>
      <c r="FR21" s="85">
        <f>IF(DD21="","",IFERROR(DD21*HSI!$B$19*HSI!$G$19/HSI!$B$3,""))</f>
        <v/>
      </c>
      <c r="FS21" s="85">
        <f>IF(DE21="","",IFERROR(DE21*HSI!$B$19*HSI!$G$19/HSI!$B$3,""))</f>
        <v/>
      </c>
      <c r="FT21" s="85">
        <f>IF(DF21="","",IFERROR(DF21*HSI!$B$19*HSI!$G$19/HSI!$B$3,""))</f>
        <v/>
      </c>
      <c r="FU21" s="85">
        <f>IF(DG21="","",IFERROR(DG21*HSI!$B$19*HSI!$G$19/HSI!$B$3,""))</f>
        <v/>
      </c>
      <c r="FV21" s="85">
        <f>IF(DH21="","",IFERROR(DH21*HSI!$B$19*HSI!$G$19/HSI!$B$3,""))</f>
        <v/>
      </c>
      <c r="FW21" s="85">
        <f>IF(DI21="","",IFERROR(DI21*HSI!$B$19*HSI!$G$19/HSI!$B$3,""))</f>
        <v/>
      </c>
      <c r="FX21" s="85">
        <f>IF(DJ21="","",IFERROR(DJ21*HSI!$B$19*HSI!$G$19/HSI!$B$3,""))</f>
        <v/>
      </c>
      <c r="FY21" s="85">
        <f>IF(DK21="","",IFERROR(DK21*HSI!$B$19*HSI!$G$19/HSI!$B$3,""))</f>
        <v/>
      </c>
      <c r="FZ21" s="85">
        <f>IF(DL21="","",IFERROR(DL21*HSI!$B$19*HSI!$G$19/HSI!$B$3,""))</f>
        <v/>
      </c>
      <c r="GA21" s="85">
        <f>IF(DM21="","",IFERROR(DM21*HSI!$B$19*HSI!$G$19/HSI!$B$3,""))</f>
        <v/>
      </c>
      <c r="GB21" s="85">
        <f>IF(DN21="","",IFERROR(DN21*HSI!$B$19*HSI!$G$19/HSI!$B$3,""))</f>
        <v/>
      </c>
      <c r="GC21" s="85">
        <f>IF(DO21="","",IFERROR(DO21*HSI!$B$19*HSI!$G$19/HSI!$B$3,""))</f>
        <v/>
      </c>
      <c r="GD21" s="85">
        <f>IF(DP21="","",IFERROR(DP21*HSI!$B$19*HSI!$G$19/HSI!$B$3,""))</f>
        <v/>
      </c>
      <c r="GE21" s="85">
        <f>IF(DQ21="","",IFERROR(DQ21*HSI!$B$19*HSI!$G$19/HSI!$B$3,""))</f>
        <v/>
      </c>
      <c r="GF21" s="85">
        <f>IF(DR21="","",IFERROR(DR21*HSI!$B$19*HSI!$G$19/HSI!$B$3,""))</f>
        <v/>
      </c>
      <c r="GG21" s="85">
        <f>IF(DS21="","",IFERROR(DS21*HSI!$B$19*HSI!$G$19/HSI!$B$3,""))</f>
        <v/>
      </c>
      <c r="GH21" s="85">
        <f>IF(DT21="","",IFERROR(DT21*HSI!$B$19*HSI!$G$19/HSI!$B$3,""))</f>
        <v/>
      </c>
      <c r="GI21" s="85">
        <f>IF(DU21="","",IFERROR(DU21*HSI!$B$19*HSI!$G$19/HSI!$B$3,""))</f>
        <v/>
      </c>
      <c r="GJ21" s="85">
        <f>IF(DV21="","",IFERROR(DV21*HSI!$B$19*HSI!$G$19/HSI!$B$3,""))</f>
        <v/>
      </c>
      <c r="GK21" s="85">
        <f>IF(DW21="","",IFERROR(DW21*HSI!$B$19*HSI!$G$19/HSI!$B$3,""))</f>
        <v/>
      </c>
      <c r="GL21" s="85">
        <f>IF(DX21="","",IFERROR(DX21*HSI!$B$19*HSI!$G$19/HSI!$B$3,""))</f>
        <v/>
      </c>
      <c r="GM21" s="85">
        <f>IF(DY21="","",IFERROR(DY21*HSI!$B$19*HSI!$G$19/HSI!$B$3,""))</f>
        <v/>
      </c>
      <c r="GN21" s="85">
        <f>IF(DZ21="","",IFERROR(DZ21*HSI!$B$19*HSI!$G$19/HSI!$B$3,""))</f>
        <v/>
      </c>
      <c r="GO21" s="85">
        <f>IF(EA21="","",IFERROR(EA21*HSI!$B$19*HSI!$G$19/HSI!$B$3,""))</f>
        <v/>
      </c>
      <c r="GP21" s="85">
        <f>IF(EB21="","",IFERROR(EB21*HSI!$B$19*HSI!$G$19/HSI!$B$3,""))</f>
        <v/>
      </c>
      <c r="GQ21" s="85">
        <f>IF(EC21="","",IFERROR(EC21*HSI!$B$19*HSI!$G$19/HSI!$B$3,""))</f>
        <v/>
      </c>
    </row>
    <row r="22">
      <c r="B22" s="2">
        <f>IF(HSI!$C$20="","",HSI!$C$20)</f>
        <v/>
      </c>
      <c r="C22" s="41">
        <f>IF(N('Dvd Calendar'!$E$205)=0,"",IF(('Dvd Calendar'!$E$205&gt;=MIN(DATE(Summary!$C$12,1,1),Summary!$C$11))*('Dvd Calendar'!$E$205&lt;=MAX(DATE(Summary!$C$12,12,31),Summary!$C$15))*('Dvd Calendar'!$E$205&lt;=Summary!$C$11)=0,"",'Dvd Calendar'!$E$205*1000000000+ISNUMBER('Dvd Calendar'!$E$206)*100000000+('Dvd Calendar'!$E$210='Field Check'!$C$25)*10000000+(N('Dvd Calendar'!$E$204)&gt;0)*1000000+14*1000+1))</f>
        <v/>
      </c>
      <c r="D22" s="41">
        <f>IF(N('Dvd Calendar'!$F$205)=0,"",IF(('Dvd Calendar'!$F$205&gt;=MIN(DATE(Summary!$C$12,1,1),Summary!$C$11))*('Dvd Calendar'!$F$205&lt;=MAX(DATE(Summary!$C$12,12,31),Summary!$C$15))*('Dvd Calendar'!$F$205&lt;=Summary!$C$11)=0,"",'Dvd Calendar'!$F$205*1000000000+ISNUMBER('Dvd Calendar'!$F$206)*100000000+('Dvd Calendar'!$F$210='Field Check'!$C$25)*10000000+(N('Dvd Calendar'!$F$204)&gt;0)*1000000+14*1000+2))</f>
        <v/>
      </c>
      <c r="E22" s="41">
        <f>IF(N('Dvd Calendar'!$G$205)=0,"",IF(('Dvd Calendar'!$G$205&gt;=MIN(DATE(Summary!$C$12,1,1),Summary!$C$11))*('Dvd Calendar'!$G$205&lt;=MAX(DATE(Summary!$C$12,12,31),Summary!$C$15))*('Dvd Calendar'!$G$205&lt;=Summary!$C$11)=0,"",'Dvd Calendar'!$G$205*1000000000+ISNUMBER('Dvd Calendar'!$G$206)*100000000+('Dvd Calendar'!$G$210='Field Check'!$C$25)*10000000+(N('Dvd Calendar'!$G$204)&gt;0)*1000000+14*1000+3))</f>
        <v/>
      </c>
      <c r="F22" s="41">
        <f>IF(N('Dvd Calendar'!$H$205)=0,"",IF(('Dvd Calendar'!$H$205&gt;=MIN(DATE(Summary!$C$12,1,1),Summary!$C$11))*('Dvd Calendar'!$H$205&lt;=MAX(DATE(Summary!$C$12,12,31),Summary!$C$15))*('Dvd Calendar'!$H$205&lt;=Summary!$C$11)=0,"",'Dvd Calendar'!$H$205*1000000000+ISNUMBER('Dvd Calendar'!$H$206)*100000000+('Dvd Calendar'!$H$210='Field Check'!$C$25)*10000000+(N('Dvd Calendar'!$H$204)&gt;0)*1000000+14*1000+4))</f>
        <v/>
      </c>
      <c r="G22" s="41">
        <f>IF(N('Dvd Calendar'!$I$205)=0,"",IF(('Dvd Calendar'!$I$205&gt;=MIN(DATE(Summary!$C$12,1,1),Summary!$C$11))*('Dvd Calendar'!$I$205&lt;=MAX(DATE(Summary!$C$12,12,31),Summary!$C$15))*('Dvd Calendar'!$I$205&lt;=Summary!$C$11)=0,"",'Dvd Calendar'!$I$205*1000000000+ISNUMBER('Dvd Calendar'!$I$206)*100000000+('Dvd Calendar'!$I$210='Field Check'!$C$25)*10000000+(N('Dvd Calendar'!$I$204)&gt;0)*1000000+14*1000+5))</f>
        <v/>
      </c>
      <c r="H22" s="41">
        <f>IF(N('Dvd Calendar'!$J$205)=0,"",IF(('Dvd Calendar'!$J$205&gt;=MIN(DATE(Summary!$C$12,1,1),Summary!$C$11))*('Dvd Calendar'!$J$205&lt;=MAX(DATE(Summary!$C$12,12,31),Summary!$C$15))*('Dvd Calendar'!$J$205&lt;=Summary!$C$11)=0,"",'Dvd Calendar'!$J$205*1000000000+ISNUMBER('Dvd Calendar'!$J$206)*100000000+('Dvd Calendar'!$J$210='Field Check'!$C$25)*10000000+(N('Dvd Calendar'!$J$204)&gt;0)*1000000+14*1000+6))</f>
        <v/>
      </c>
      <c r="I22" s="41">
        <f>IF(N('Dvd Calendar'!$K$205)=0,"",IF(('Dvd Calendar'!$K$205&gt;=MIN(DATE(Summary!$C$12,1,1),Summary!$C$11))*('Dvd Calendar'!$K$205&lt;=MAX(DATE(Summary!$C$12,12,31),Summary!$C$15))*('Dvd Calendar'!$K$205&lt;=Summary!$C$11)=0,"",'Dvd Calendar'!$K$205*1000000000+ISNUMBER('Dvd Calendar'!$K$206)*100000000+('Dvd Calendar'!$K$210='Field Check'!$C$25)*10000000+(N('Dvd Calendar'!$K$204)&gt;0)*1000000+14*1000+7))</f>
        <v/>
      </c>
      <c r="J22" s="41">
        <f>IF(N('Dvd Calendar'!$L$205)=0,"",IF(('Dvd Calendar'!$L$205&gt;=MIN(DATE(Summary!$C$12,1,1),Summary!$C$11))*('Dvd Calendar'!$L$205&lt;=MAX(DATE(Summary!$C$12,12,31),Summary!$C$15))*('Dvd Calendar'!$L$205&lt;=Summary!$C$11)=0,"",'Dvd Calendar'!$L$205*1000000000+ISNUMBER('Dvd Calendar'!$L$206)*100000000+('Dvd Calendar'!$L$210='Field Check'!$C$25)*10000000+(N('Dvd Calendar'!$L$204)&gt;0)*1000000+14*1000+8))</f>
        <v/>
      </c>
      <c r="K22" s="41">
        <f>IF(N('Dvd Calendar'!$M$205)=0,"",IF(('Dvd Calendar'!$M$205&gt;=MIN(DATE(Summary!$C$12,1,1),Summary!$C$11))*('Dvd Calendar'!$M$205&lt;=MAX(DATE(Summary!$C$12,12,31),Summary!$C$15))*('Dvd Calendar'!$M$205&lt;=Summary!$C$11)=0,"",'Dvd Calendar'!$M$205*1000000000+ISNUMBER('Dvd Calendar'!$M$206)*100000000+('Dvd Calendar'!$M$210='Field Check'!$C$25)*10000000+(N('Dvd Calendar'!$M$204)&gt;0)*1000000+14*1000+9))</f>
        <v/>
      </c>
      <c r="L22" s="41">
        <f>IF(N('Dvd Calendar'!$N$205)=0,"",IF(('Dvd Calendar'!$N$205&gt;=MIN(DATE(Summary!$C$12,1,1),Summary!$C$11))*('Dvd Calendar'!$N$205&lt;=MAX(DATE(Summary!$C$12,12,31),Summary!$C$15))*('Dvd Calendar'!$N$205&lt;=Summary!$C$11)=0,"",'Dvd Calendar'!$N$205*1000000000+ISNUMBER('Dvd Calendar'!$N$206)*100000000+('Dvd Calendar'!$N$210='Field Check'!$C$25)*10000000+(N('Dvd Calendar'!$N$204)&gt;0)*1000000+14*1000+10))</f>
        <v/>
      </c>
      <c r="M22" s="41">
        <f>IF(N('Dvd Calendar'!$O$205)=0,"",IF(('Dvd Calendar'!$O$205&gt;=MIN(DATE(Summary!$C$12,1,1),Summary!$C$11))*('Dvd Calendar'!$O$205&lt;=MAX(DATE(Summary!$C$12,12,31),Summary!$C$15))*('Dvd Calendar'!$O$205&lt;=Summary!$C$11)=0,"",'Dvd Calendar'!$O$205*1000000000+ISNUMBER('Dvd Calendar'!$O$206)*100000000+('Dvd Calendar'!$O$210='Field Check'!$C$25)*10000000+(N('Dvd Calendar'!$O$204)&gt;0)*1000000+14*1000+11))</f>
        <v/>
      </c>
      <c r="N22" s="41">
        <f>IF(N('Dvd Calendar'!$P$205)=0,"",IF(('Dvd Calendar'!$P$205&gt;=MIN(DATE(Summary!$C$12,1,1),Summary!$C$11))*('Dvd Calendar'!$P$205&lt;=MAX(DATE(Summary!$C$12,12,31),Summary!$C$15))*('Dvd Calendar'!$P$205&lt;=Summary!$C$11)=0,"",'Dvd Calendar'!$P$205*1000000000+ISNUMBER('Dvd Calendar'!$P$206)*100000000+('Dvd Calendar'!$P$210='Field Check'!$C$25)*10000000+(N('Dvd Calendar'!$P$204)&gt;0)*1000000+14*1000+12))</f>
        <v/>
      </c>
      <c r="O22" s="41">
        <f>IF(N('Dvd Calendar'!$Q$205)=0,"",IF(('Dvd Calendar'!$Q$205&gt;=MIN(DATE(Summary!$C$12,1,1),Summary!$C$11))*('Dvd Calendar'!$Q$205&lt;=MAX(DATE(Summary!$C$12,12,31),Summary!$C$15))*('Dvd Calendar'!$Q$205&lt;=Summary!$C$11)=0,"",'Dvd Calendar'!$Q$205*1000000000+ISNUMBER('Dvd Calendar'!$Q$206)*100000000+('Dvd Calendar'!$Q$210='Field Check'!$C$25)*10000000+(N('Dvd Calendar'!$Q$204)&gt;0)*1000000+14*1000+13))</f>
        <v/>
      </c>
      <c r="P22" s="41">
        <f>IF(N('Dvd Calendar'!$R$205)=0,"",IF(('Dvd Calendar'!$R$205&gt;=MIN(DATE(Summary!$C$12,1,1),Summary!$C$11))*('Dvd Calendar'!$R$205&lt;=MAX(DATE(Summary!$C$12,12,31),Summary!$C$15))*('Dvd Calendar'!$R$205&lt;=Summary!$C$11)=0,"",'Dvd Calendar'!$R$205*1000000000+ISNUMBER('Dvd Calendar'!$R$206)*100000000+('Dvd Calendar'!$R$210='Field Check'!$C$25)*10000000+(N('Dvd Calendar'!$R$204)&gt;0)*1000000+14*1000+14))</f>
        <v/>
      </c>
      <c r="Q22" s="41">
        <f>IF(N('Dvd Calendar'!$S$205)=0,"",IF(('Dvd Calendar'!$S$205&gt;=MIN(DATE(Summary!$C$12,1,1),Summary!$C$11))*('Dvd Calendar'!$S$205&lt;=MAX(DATE(Summary!$C$12,12,31),Summary!$C$15))*('Dvd Calendar'!$S$205&lt;=Summary!$C$11)=0,"",'Dvd Calendar'!$S$205*1000000000+ISNUMBER('Dvd Calendar'!$S$206)*100000000+('Dvd Calendar'!$S$210='Field Check'!$C$25)*10000000+(N('Dvd Calendar'!$S$204)&gt;0)*1000000+14*1000+15))</f>
        <v/>
      </c>
      <c r="R22" s="41">
        <f>IF(N('Dvd Calendar'!$T$205)=0,"",IF(('Dvd Calendar'!$T$205&gt;=MIN(DATE(Summary!$C$12,1,1),Summary!$C$11))*('Dvd Calendar'!$T$205&lt;=MAX(DATE(Summary!$C$12,12,31),Summary!$C$15))*('Dvd Calendar'!$T$205&lt;=Summary!$C$11)=0,"",'Dvd Calendar'!$T$205*1000000000+ISNUMBER('Dvd Calendar'!$T$206)*100000000+('Dvd Calendar'!$T$210='Field Check'!$C$25)*10000000+(N('Dvd Calendar'!$T$204)&gt;0)*1000000+14*1000+16))</f>
        <v/>
      </c>
      <c r="S22" s="41">
        <f>IF(N('Dvd Calendar'!$U$205)=0,"",IF(('Dvd Calendar'!$U$205&gt;=MIN(DATE(Summary!$C$12,1,1),Summary!$C$11))*('Dvd Calendar'!$U$205&lt;=MAX(DATE(Summary!$C$12,12,31),Summary!$C$15))*('Dvd Calendar'!$U$205&lt;=Summary!$C$11)=0,"",'Dvd Calendar'!$U$205*1000000000+ISNUMBER('Dvd Calendar'!$U$206)*100000000+('Dvd Calendar'!$U$210='Field Check'!$C$25)*10000000+(N('Dvd Calendar'!$U$204)&gt;0)*1000000+14*1000+17))</f>
        <v/>
      </c>
      <c r="T22" s="41">
        <f>IF(N('Dvd Calendar'!$V$205)=0,"",IF(('Dvd Calendar'!$V$205&gt;=MIN(DATE(Summary!$C$12,1,1),Summary!$C$11))*('Dvd Calendar'!$V$205&lt;=MAX(DATE(Summary!$C$12,12,31),Summary!$C$15))*('Dvd Calendar'!$V$205&lt;=Summary!$C$11)=0,"",'Dvd Calendar'!$V$205*1000000000+ISNUMBER('Dvd Calendar'!$V$206)*100000000+('Dvd Calendar'!$V$210='Field Check'!$C$25)*10000000+(N('Dvd Calendar'!$V$204)&gt;0)*1000000+14*1000+18))</f>
        <v/>
      </c>
      <c r="U22" s="41">
        <f>IF(N('Dvd Calendar'!$W$205)=0,"",IF(('Dvd Calendar'!$W$205&gt;=MIN(DATE(Summary!$C$12,1,1),Summary!$C$11))*('Dvd Calendar'!$W$205&lt;=MAX(DATE(Summary!$C$12,12,31),Summary!$C$15))*('Dvd Calendar'!$W$205&lt;=Summary!$C$11)=0,"",'Dvd Calendar'!$W$205*1000000000+ISNUMBER('Dvd Calendar'!$W$206)*100000000+('Dvd Calendar'!$W$210='Field Check'!$C$25)*10000000+(N('Dvd Calendar'!$W$204)&gt;0)*1000000+14*1000+19))</f>
        <v/>
      </c>
      <c r="V22" s="41">
        <f>IF(N('Dvd Calendar'!$X$205)=0,"",IF(('Dvd Calendar'!$X$205&gt;=MIN(DATE(Summary!$C$12,1,1),Summary!$C$11))*('Dvd Calendar'!$X$205&lt;=MAX(DATE(Summary!$C$12,12,31),Summary!$C$15))*('Dvd Calendar'!$X$205&lt;=Summary!$C$11)=0,"",'Dvd Calendar'!$X$205*1000000000+ISNUMBER('Dvd Calendar'!$X$206)*100000000+('Dvd Calendar'!$X$210='Field Check'!$C$25)*10000000+(N('Dvd Calendar'!$X$204)&gt;0)*1000000+14*1000+20))</f>
        <v/>
      </c>
      <c r="W22" s="41">
        <f>IF(N('Dvd Calendar'!$Y$205)=0,"",IF(('Dvd Calendar'!$Y$205&gt;=MIN(DATE(Summary!$C$12,1,1),Summary!$C$11))*('Dvd Calendar'!$Y$205&lt;=MAX(DATE(Summary!$C$12,12,31),Summary!$C$15))*('Dvd Calendar'!$Y$205&lt;=Summary!$C$11)=0,"",'Dvd Calendar'!$Y$205*1000000000+ISNUMBER('Dvd Calendar'!$Y$206)*100000000+('Dvd Calendar'!$Y$210='Field Check'!$C$25)*10000000+(N('Dvd Calendar'!$Y$204)&gt;0)*1000000+14*1000+21))</f>
        <v/>
      </c>
      <c r="X22" s="41">
        <f>IF(N('Dvd Calendar'!$Z$205)=0,"",IF(('Dvd Calendar'!$Z$205&gt;=MIN(DATE(Summary!$C$12,1,1),Summary!$C$11))*('Dvd Calendar'!$Z$205&lt;=MAX(DATE(Summary!$C$12,12,31),Summary!$C$15))*('Dvd Calendar'!$Z$205&lt;=Summary!$C$11)=0,"",'Dvd Calendar'!$Z$205*1000000000+ISNUMBER('Dvd Calendar'!$Z$206)*100000000+('Dvd Calendar'!$Z$210='Field Check'!$C$25)*10000000+(N('Dvd Calendar'!$Z$204)&gt;0)*1000000+14*1000+22))</f>
        <v/>
      </c>
      <c r="Y22" s="41">
        <f>IF(N('Dvd Calendar'!$AA$205)=0,"",IF(('Dvd Calendar'!$AA$205&gt;=MIN(DATE(Summary!$C$12,1,1),Summary!$C$11))*('Dvd Calendar'!$AA$205&lt;=MAX(DATE(Summary!$C$12,12,31),Summary!$C$15))*('Dvd Calendar'!$AA$205&lt;=Summary!$C$11)=0,"",'Dvd Calendar'!$AA$205*1000000000+ISNUMBER('Dvd Calendar'!$AA$206)*100000000+('Dvd Calendar'!$AA$210='Field Check'!$C$25)*10000000+(N('Dvd Calendar'!$AA$204)&gt;0)*1000000+14*1000+23))</f>
        <v/>
      </c>
      <c r="Z22" s="41">
        <f>IF(N('Dvd Calendar'!$AB$205)=0,"",IF(('Dvd Calendar'!$AB$205&gt;=MIN(DATE(Summary!$C$12,1,1),Summary!$C$11))*('Dvd Calendar'!$AB$205&lt;=MAX(DATE(Summary!$C$12,12,31),Summary!$C$15))*('Dvd Calendar'!$AB$205&lt;=Summary!$C$11)=0,"",'Dvd Calendar'!$AB$205*1000000000+ISNUMBER('Dvd Calendar'!$AB$206)*100000000+('Dvd Calendar'!$AB$210='Field Check'!$C$25)*10000000+(N('Dvd Calendar'!$AB$204)&gt;0)*1000000+14*1000+24))</f>
        <v/>
      </c>
      <c r="AA22" s="41">
        <f>IF(N('Dvd Calendar'!$AC$205)=0,"",IF(('Dvd Calendar'!$AC$205&gt;=MIN(DATE(Summary!$C$12,1,1),Summary!$C$11))*('Dvd Calendar'!$AC$205&lt;=MAX(DATE(Summary!$C$12,12,31),Summary!$C$15))*('Dvd Calendar'!$AC$205&lt;=Summary!$C$11)=0,"",'Dvd Calendar'!$AC$205*1000000000+ISNUMBER('Dvd Calendar'!$AC$206)*100000000+('Dvd Calendar'!$AC$210='Field Check'!$C$25)*10000000+(N('Dvd Calendar'!$AC$204)&gt;0)*1000000+14*1000+25))</f>
        <v/>
      </c>
      <c r="AB22" s="41">
        <f>IF(N('Dvd Calendar'!$AD$205)=0,"",IF(('Dvd Calendar'!$AD$205&gt;=MIN(DATE(Summary!$C$12,1,1),Summary!$C$11))*('Dvd Calendar'!$AD$205&lt;=MAX(DATE(Summary!$C$12,12,31),Summary!$C$15))*('Dvd Calendar'!$AD$205&lt;=Summary!$C$11)=0,"",'Dvd Calendar'!$AD$205*1000000000+ISNUMBER('Dvd Calendar'!$AD$206)*100000000+('Dvd Calendar'!$AD$210='Field Check'!$C$25)*10000000+(N('Dvd Calendar'!$AD$204)&gt;0)*1000000+14*1000+26))</f>
        <v/>
      </c>
      <c r="AC22" s="41">
        <f>IF(N('Dvd Calendar'!$AE$205)=0,"",IF(('Dvd Calendar'!$AE$205&gt;=MIN(DATE(Summary!$C$12,1,1),Summary!$C$11))*('Dvd Calendar'!$AE$205&lt;=MAX(DATE(Summary!$C$12,12,31),Summary!$C$15))*('Dvd Calendar'!$AE$205&lt;=Summary!$C$11)=0,"",'Dvd Calendar'!$AE$205*1000000000+ISNUMBER('Dvd Calendar'!$AE$206)*100000000+('Dvd Calendar'!$AE$210='Field Check'!$C$25)*10000000+(N('Dvd Calendar'!$AE$204)&gt;0)*1000000+14*1000+27))</f>
        <v/>
      </c>
      <c r="AD22" s="41">
        <f>IF(N('Dvd Calendar'!$AF$205)=0,"",IF(('Dvd Calendar'!$AF$205&gt;=MIN(DATE(Summary!$C$12,1,1),Summary!$C$11))*('Dvd Calendar'!$AF$205&lt;=MAX(DATE(Summary!$C$12,12,31),Summary!$C$15))*('Dvd Calendar'!$AF$205&lt;=Summary!$C$11)=0,"",'Dvd Calendar'!$AF$205*1000000000+ISNUMBER('Dvd Calendar'!$AF$206)*100000000+('Dvd Calendar'!$AF$210='Field Check'!$C$25)*10000000+(N('Dvd Calendar'!$AF$204)&gt;0)*1000000+14*1000+28))</f>
        <v/>
      </c>
      <c r="AE22" s="41">
        <f>IF(N('Dvd Calendar'!$AG$205)=0,"",IF(('Dvd Calendar'!$AG$205&gt;=MIN(DATE(Summary!$C$12,1,1),Summary!$C$11))*('Dvd Calendar'!$AG$205&lt;=MAX(DATE(Summary!$C$12,12,31),Summary!$C$15))*('Dvd Calendar'!$AG$205&lt;=Summary!$C$11)=0,"",'Dvd Calendar'!$AG$205*1000000000+ISNUMBER('Dvd Calendar'!$AG$206)*100000000+('Dvd Calendar'!$AG$210='Field Check'!$C$25)*10000000+(N('Dvd Calendar'!$AG$204)&gt;0)*1000000+14*1000+29))</f>
        <v/>
      </c>
      <c r="AF22" s="41">
        <f>IF(N('Dvd Calendar'!$AH$205)=0,"",IF(('Dvd Calendar'!$AH$205&gt;=MIN(DATE(Summary!$C$12,1,1),Summary!$C$11))*('Dvd Calendar'!$AH$205&lt;=MAX(DATE(Summary!$C$12,12,31),Summary!$C$15))*('Dvd Calendar'!$AH$205&lt;=Summary!$C$11)=0,"",'Dvd Calendar'!$AH$205*1000000000+ISNUMBER('Dvd Calendar'!$AH$206)*100000000+('Dvd Calendar'!$AH$210='Field Check'!$C$25)*10000000+(N('Dvd Calendar'!$AH$204)&gt;0)*1000000+14*1000+30))</f>
        <v/>
      </c>
      <c r="AG22" s="41">
        <f>IF(N('Dvd Calendar'!$AI$205)=0,"",IF(('Dvd Calendar'!$AI$205&gt;=MIN(DATE(Summary!$C$12,1,1),Summary!$C$11))*('Dvd Calendar'!$AI$205&lt;=MAX(DATE(Summary!$C$12,12,31),Summary!$C$15))*('Dvd Calendar'!$AI$205&lt;=Summary!$C$11)=0,"",'Dvd Calendar'!$AI$205*1000000000+ISNUMBER('Dvd Calendar'!$AI$206)*100000000+('Dvd Calendar'!$AI$210='Field Check'!$C$25)*10000000+(N('Dvd Calendar'!$AI$204)&gt;0)*1000000+14*1000+31))</f>
        <v/>
      </c>
      <c r="AH22" s="41">
        <f>IF(N('Dvd Calendar'!$AJ$205)=0,"",IF(('Dvd Calendar'!$AJ$205&gt;=MIN(DATE(Summary!$C$12,1,1),Summary!$C$11))*('Dvd Calendar'!$AJ$205&lt;=MAX(DATE(Summary!$C$12,12,31),Summary!$C$15))*('Dvd Calendar'!$AJ$205&lt;=Summary!$C$11)=0,"",'Dvd Calendar'!$AJ$205*1000000000+ISNUMBER('Dvd Calendar'!$AJ$206)*100000000+('Dvd Calendar'!$AJ$210='Field Check'!$C$25)*10000000+(N('Dvd Calendar'!$AJ$204)&gt;0)*1000000+14*1000+32))</f>
        <v/>
      </c>
      <c r="AI22" s="41">
        <f>IF(N('Dvd Calendar'!$AK$205)=0,"",IF(('Dvd Calendar'!$AK$205&gt;=MIN(DATE(Summary!$C$12,1,1),Summary!$C$11))*('Dvd Calendar'!$AK$205&lt;=MAX(DATE(Summary!$C$12,12,31),Summary!$C$15))*('Dvd Calendar'!$AK$205&lt;=Summary!$C$11)=0,"",'Dvd Calendar'!$AK$205*1000000000+ISNUMBER('Dvd Calendar'!$AK$206)*100000000+('Dvd Calendar'!$AK$210='Field Check'!$C$25)*10000000+(N('Dvd Calendar'!$AK$204)&gt;0)*1000000+14*1000+33))</f>
        <v/>
      </c>
      <c r="AJ22" s="41">
        <f>IF(N('Dvd Calendar'!$AL$205)=0,"",IF(('Dvd Calendar'!$AL$205&gt;=MIN(DATE(Summary!$C$12,1,1),Summary!$C$11))*('Dvd Calendar'!$AL$205&lt;=MAX(DATE(Summary!$C$12,12,31),Summary!$C$15))*('Dvd Calendar'!$AL$205&lt;=Summary!$C$11)=0,"",'Dvd Calendar'!$AL$205*1000000000+ISNUMBER('Dvd Calendar'!$AL$206)*100000000+('Dvd Calendar'!$AL$210='Field Check'!$C$25)*10000000+(N('Dvd Calendar'!$AL$204)&gt;0)*1000000+14*1000+34))</f>
        <v/>
      </c>
      <c r="AK22" s="41">
        <f>IF(N('Dvd Calendar'!$AM$205)=0,"",IF(('Dvd Calendar'!$AM$205&gt;=MIN(DATE(Summary!$C$12,1,1),Summary!$C$11))*('Dvd Calendar'!$AM$205&lt;=MAX(DATE(Summary!$C$12,12,31),Summary!$C$15))*('Dvd Calendar'!$AM$205&lt;=Summary!$C$11)=0,"",'Dvd Calendar'!$AM$205*1000000000+ISNUMBER('Dvd Calendar'!$AM$206)*100000000+('Dvd Calendar'!$AM$210='Field Check'!$C$25)*10000000+(N('Dvd Calendar'!$AM$204)&gt;0)*1000000+14*1000+35))</f>
        <v/>
      </c>
      <c r="AL22" s="41">
        <f>IF(N('Dvd Calendar'!$AN$205)=0,"",IF(('Dvd Calendar'!$AN$205&gt;=MIN(DATE(Summary!$C$12,1,1),Summary!$C$11))*('Dvd Calendar'!$AN$205&lt;=MAX(DATE(Summary!$C$12,12,31),Summary!$C$15))*('Dvd Calendar'!$AN$205&lt;=Summary!$C$11)=0,"",'Dvd Calendar'!$AN$205*1000000000+ISNUMBER('Dvd Calendar'!$AN$206)*100000000+('Dvd Calendar'!$AN$210='Field Check'!$C$25)*10000000+(N('Dvd Calendar'!$AN$204)&gt;0)*1000000+14*1000+36))</f>
        <v/>
      </c>
      <c r="AM22" s="41">
        <f>IF(N('Dvd Calendar'!$AO$205)=0,"",IF(('Dvd Calendar'!$AO$205&gt;=MIN(DATE(Summary!$C$12,1,1),Summary!$C$11))*('Dvd Calendar'!$AO$205&lt;=MAX(DATE(Summary!$C$12,12,31),Summary!$C$15))*('Dvd Calendar'!$AO$205&lt;=Summary!$C$11)=0,"",'Dvd Calendar'!$AO$205*1000000000+ISNUMBER('Dvd Calendar'!$AO$206)*100000000+('Dvd Calendar'!$AO$210='Field Check'!$C$25)*10000000+(N('Dvd Calendar'!$AO$204)&gt;0)*1000000+14*1000+37))</f>
        <v/>
      </c>
      <c r="AN22" s="41">
        <f>IF(N('Dvd Calendar'!$AP$205)=0,"",IF(('Dvd Calendar'!$AP$205&gt;=MIN(DATE(Summary!$C$12,1,1),Summary!$C$11))*('Dvd Calendar'!$AP$205&lt;=MAX(DATE(Summary!$C$12,12,31),Summary!$C$15))*('Dvd Calendar'!$AP$205&lt;=Summary!$C$11)=0,"",'Dvd Calendar'!$AP$205*1000000000+ISNUMBER('Dvd Calendar'!$AP$206)*100000000+('Dvd Calendar'!$AP$210='Field Check'!$C$25)*10000000+(N('Dvd Calendar'!$AP$204)&gt;0)*1000000+14*1000+38))</f>
        <v/>
      </c>
      <c r="AO22" s="41">
        <f>IF(N('Dvd Calendar'!$AQ$205)=0,"",IF(('Dvd Calendar'!$AQ$205&gt;=MIN(DATE(Summary!$C$12,1,1),Summary!$C$11))*('Dvd Calendar'!$AQ$205&lt;=MAX(DATE(Summary!$C$12,12,31),Summary!$C$15))*('Dvd Calendar'!$AQ$205&lt;=Summary!$C$11)=0,"",'Dvd Calendar'!$AQ$205*1000000000+ISNUMBER('Dvd Calendar'!$AQ$206)*100000000+('Dvd Calendar'!$AQ$210='Field Check'!$C$25)*10000000+(N('Dvd Calendar'!$AQ$204)&gt;0)*1000000+14*1000+39))</f>
        <v/>
      </c>
      <c r="AP22" s="41">
        <f>IF(N('Dvd Calendar'!$AR$205)=0,"",IF(('Dvd Calendar'!$AR$205&gt;=MIN(DATE(Summary!$C$12,1,1),Summary!$C$11))*('Dvd Calendar'!$AR$205&lt;=MAX(DATE(Summary!$C$12,12,31),Summary!$C$15))*('Dvd Calendar'!$AR$205&lt;=Summary!$C$11)=0,"",'Dvd Calendar'!$AR$205*1000000000+ISNUMBER('Dvd Calendar'!$AR$206)*100000000+('Dvd Calendar'!$AR$210='Field Check'!$C$25)*10000000+(N('Dvd Calendar'!$AR$204)&gt;0)*1000000+14*1000+40))</f>
        <v/>
      </c>
      <c r="AQ22" s="41">
        <f>IF(N('Dvd Calendar'!$E$212)=0,"",IF(('Dvd Calendar'!$E$212&gt;=MIN(DATE(Summary!$C$12,1,1),Summary!$C$11))*('Dvd Calendar'!$E$212&lt;=MAX(DATE(Summary!$C$12,12,31),Summary!$C$15))*('Dvd Calendar'!$E$212&gt;Summary!$C$11)=0,"",'Dvd Calendar'!$E$212*1000000000+ISNUMBER('Dvd Calendar'!$E$213)*100000000+('Dvd Calendar'!$E$217='Field Check'!$C$25)*10000000+(N('Dvd Calendar'!$E$211)&gt;0)*1000000+14*1000+41))</f>
        <v/>
      </c>
      <c r="AR22" s="41">
        <f>IF(N('Dvd Calendar'!$F$212)=0,"",IF(('Dvd Calendar'!$F$212&gt;=MIN(DATE(Summary!$C$12,1,1),Summary!$C$11))*('Dvd Calendar'!$F$212&lt;=MAX(DATE(Summary!$C$12,12,31),Summary!$C$15))*('Dvd Calendar'!$F$212&gt;Summary!$C$11)=0,"",'Dvd Calendar'!$F$212*1000000000+ISNUMBER('Dvd Calendar'!$F$213)*100000000+('Dvd Calendar'!$F$217='Field Check'!$C$25)*10000000+(N('Dvd Calendar'!$F$211)&gt;0)*1000000+14*1000+42))</f>
        <v/>
      </c>
      <c r="AS22" s="41">
        <f>IF(N('Dvd Calendar'!$G$212)=0,"",IF(('Dvd Calendar'!$G$212&gt;=MIN(DATE(Summary!$C$12,1,1),Summary!$C$11))*('Dvd Calendar'!$G$212&lt;=MAX(DATE(Summary!$C$12,12,31),Summary!$C$15))*('Dvd Calendar'!$G$212&gt;Summary!$C$11)=0,"",'Dvd Calendar'!$G$212*1000000000+ISNUMBER('Dvd Calendar'!$G$213)*100000000+('Dvd Calendar'!$G$217='Field Check'!$C$25)*10000000+(N('Dvd Calendar'!$G$211)&gt;0)*1000000+14*1000+43))</f>
        <v/>
      </c>
      <c r="AT22" s="41">
        <f>IF(N('Dvd Calendar'!$H$212)=0,"",IF(('Dvd Calendar'!$H$212&gt;=MIN(DATE(Summary!$C$12,1,1),Summary!$C$11))*('Dvd Calendar'!$H$212&lt;=MAX(DATE(Summary!$C$12,12,31),Summary!$C$15))*('Dvd Calendar'!$H$212&gt;Summary!$C$11)=0,"",'Dvd Calendar'!$H$212*1000000000+ISNUMBER('Dvd Calendar'!$H$213)*100000000+('Dvd Calendar'!$H$217='Field Check'!$C$25)*10000000+(N('Dvd Calendar'!$H$211)&gt;0)*1000000+14*1000+44))</f>
        <v/>
      </c>
      <c r="AU22" s="41">
        <f>IF(N('Dvd Calendar'!$I$212)=0,"",IF(('Dvd Calendar'!$I$212&gt;=MIN(DATE(Summary!$C$12,1,1),Summary!$C$11))*('Dvd Calendar'!$I$212&lt;=MAX(DATE(Summary!$C$12,12,31),Summary!$C$15))*('Dvd Calendar'!$I$212&gt;Summary!$C$11)=0,"",'Dvd Calendar'!$I$212*1000000000+ISNUMBER('Dvd Calendar'!$I$213)*100000000+('Dvd Calendar'!$I$217='Field Check'!$C$25)*10000000+(N('Dvd Calendar'!$I$211)&gt;0)*1000000+14*1000+45))</f>
        <v/>
      </c>
      <c r="AV22" s="41">
        <f>IF(N('Dvd Calendar'!$J$212)=0,"",IF(('Dvd Calendar'!$J$212&gt;=MIN(DATE(Summary!$C$12,1,1),Summary!$C$11))*('Dvd Calendar'!$J$212&lt;=MAX(DATE(Summary!$C$12,12,31),Summary!$C$15))*('Dvd Calendar'!$J$212&gt;Summary!$C$11)=0,"",'Dvd Calendar'!$J$212*1000000000+ISNUMBER('Dvd Calendar'!$J$213)*100000000+('Dvd Calendar'!$J$217='Field Check'!$C$25)*10000000+(N('Dvd Calendar'!$J$211)&gt;0)*1000000+14*1000+46))</f>
        <v/>
      </c>
      <c r="AW22" s="41">
        <f>IF(N('Dvd Calendar'!$K$212)=0,"",IF(('Dvd Calendar'!$K$212&gt;=MIN(DATE(Summary!$C$12,1,1),Summary!$C$11))*('Dvd Calendar'!$K$212&lt;=MAX(DATE(Summary!$C$12,12,31),Summary!$C$15))*('Dvd Calendar'!$K$212&gt;Summary!$C$11)=0,"",'Dvd Calendar'!$K$212*1000000000+ISNUMBER('Dvd Calendar'!$K$213)*100000000+('Dvd Calendar'!$K$217='Field Check'!$C$25)*10000000+(N('Dvd Calendar'!$K$211)&gt;0)*1000000+14*1000+47))</f>
        <v/>
      </c>
      <c r="AX22" s="41">
        <f>IF(N('Dvd Calendar'!$L$212)=0,"",IF(('Dvd Calendar'!$L$212&gt;=MIN(DATE(Summary!$C$12,1,1),Summary!$C$11))*('Dvd Calendar'!$L$212&lt;=MAX(DATE(Summary!$C$12,12,31),Summary!$C$15))*('Dvd Calendar'!$L$212&gt;Summary!$C$11)=0,"",'Dvd Calendar'!$L$212*1000000000+ISNUMBER('Dvd Calendar'!$L$213)*100000000+('Dvd Calendar'!$L$217='Field Check'!$C$25)*10000000+(N('Dvd Calendar'!$L$211)&gt;0)*1000000+14*1000+48))</f>
        <v/>
      </c>
      <c r="AY22" s="41">
        <f>IF(N('Dvd Calendar'!$M$212)=0,"",IF(('Dvd Calendar'!$M$212&gt;=MIN(DATE(Summary!$C$12,1,1),Summary!$C$11))*('Dvd Calendar'!$M$212&lt;=MAX(DATE(Summary!$C$12,12,31),Summary!$C$15))*('Dvd Calendar'!$M$212&gt;Summary!$C$11)=0,"",'Dvd Calendar'!$M$212*1000000000+ISNUMBER('Dvd Calendar'!$M$213)*100000000+('Dvd Calendar'!$M$217='Field Check'!$C$25)*10000000+(N('Dvd Calendar'!$M$211)&gt;0)*1000000+14*1000+49))</f>
        <v/>
      </c>
      <c r="AZ22" s="41">
        <f>IF(N('Dvd Calendar'!$N$212)=0,"",IF(('Dvd Calendar'!$N$212&gt;=MIN(DATE(Summary!$C$12,1,1),Summary!$C$11))*('Dvd Calendar'!$N$212&lt;=MAX(DATE(Summary!$C$12,12,31),Summary!$C$15))*('Dvd Calendar'!$N$212&gt;Summary!$C$11)=0,"",'Dvd Calendar'!$N$212*1000000000+ISNUMBER('Dvd Calendar'!$N$213)*100000000+('Dvd Calendar'!$N$217='Field Check'!$C$25)*10000000+(N('Dvd Calendar'!$N$211)&gt;0)*1000000+14*1000+50))</f>
        <v/>
      </c>
      <c r="BA22" s="41">
        <f>IF(N('Dvd Calendar'!$O$212)=0,"",IF(('Dvd Calendar'!$O$212&gt;=MIN(DATE(Summary!$C$12,1,1),Summary!$C$11))*('Dvd Calendar'!$O$212&lt;=MAX(DATE(Summary!$C$12,12,31),Summary!$C$15))*('Dvd Calendar'!$O$212&gt;Summary!$C$11)=0,"",'Dvd Calendar'!$O$212*1000000000+ISNUMBER('Dvd Calendar'!$O$213)*100000000+('Dvd Calendar'!$O$217='Field Check'!$C$25)*10000000+(N('Dvd Calendar'!$O$211)&gt;0)*1000000+14*1000+51))</f>
        <v/>
      </c>
      <c r="BB22" s="41">
        <f>IF(N('Dvd Calendar'!$P$212)=0,"",IF(('Dvd Calendar'!$P$212&gt;=MIN(DATE(Summary!$C$12,1,1),Summary!$C$11))*('Dvd Calendar'!$P$212&lt;=MAX(DATE(Summary!$C$12,12,31),Summary!$C$15))*('Dvd Calendar'!$P$212&gt;Summary!$C$11)=0,"",'Dvd Calendar'!$P$212*1000000000+ISNUMBER('Dvd Calendar'!$P$213)*100000000+('Dvd Calendar'!$P$217='Field Check'!$C$25)*10000000+(N('Dvd Calendar'!$P$211)&gt;0)*1000000+14*1000+52))</f>
        <v/>
      </c>
      <c r="BC22" s="41">
        <f>IF(N('Dvd Calendar'!$Q$212)=0,"",IF(('Dvd Calendar'!$Q$212&gt;=MIN(DATE(Summary!$C$12,1,1),Summary!$C$11))*('Dvd Calendar'!$Q$212&lt;=MAX(DATE(Summary!$C$12,12,31),Summary!$C$15))*('Dvd Calendar'!$Q$212&gt;Summary!$C$11)=0,"",'Dvd Calendar'!$Q$212*1000000000+ISNUMBER('Dvd Calendar'!$Q$213)*100000000+('Dvd Calendar'!$Q$217='Field Check'!$C$25)*10000000+(N('Dvd Calendar'!$Q$211)&gt;0)*1000000+14*1000+53))</f>
        <v/>
      </c>
      <c r="BD22" s="41">
        <f>IF(N('Dvd Calendar'!$R$212)=0,"",IF(('Dvd Calendar'!$R$212&gt;=MIN(DATE(Summary!$C$12,1,1),Summary!$C$11))*('Dvd Calendar'!$R$212&lt;=MAX(DATE(Summary!$C$12,12,31),Summary!$C$15))*('Dvd Calendar'!$R$212&gt;Summary!$C$11)=0,"",'Dvd Calendar'!$R$212*1000000000+ISNUMBER('Dvd Calendar'!$R$213)*100000000+('Dvd Calendar'!$R$217='Field Check'!$C$25)*10000000+(N('Dvd Calendar'!$R$211)&gt;0)*1000000+14*1000+54))</f>
        <v/>
      </c>
      <c r="BE22" s="41">
        <f>IF(N('Dvd Calendar'!$S$212)=0,"",IF(('Dvd Calendar'!$S$212&gt;=MIN(DATE(Summary!$C$12,1,1),Summary!$C$11))*('Dvd Calendar'!$S$212&lt;=MAX(DATE(Summary!$C$12,12,31),Summary!$C$15))*('Dvd Calendar'!$S$212&gt;Summary!$C$11)=0,"",'Dvd Calendar'!$S$212*1000000000+ISNUMBER('Dvd Calendar'!$S$213)*100000000+('Dvd Calendar'!$S$217='Field Check'!$C$25)*10000000+(N('Dvd Calendar'!$S$211)&gt;0)*1000000+14*1000+55))</f>
        <v/>
      </c>
      <c r="BF22" s="41">
        <f>IF(N('Dvd Calendar'!$T$212)=0,"",IF(('Dvd Calendar'!$T$212&gt;=MIN(DATE(Summary!$C$12,1,1),Summary!$C$11))*('Dvd Calendar'!$T$212&lt;=MAX(DATE(Summary!$C$12,12,31),Summary!$C$15))*('Dvd Calendar'!$T$212&gt;Summary!$C$11)=0,"",'Dvd Calendar'!$T$212*1000000000+ISNUMBER('Dvd Calendar'!$T$213)*100000000+('Dvd Calendar'!$T$217='Field Check'!$C$25)*10000000+(N('Dvd Calendar'!$T$211)&gt;0)*1000000+14*1000+56))</f>
        <v/>
      </c>
      <c r="BG22" s="41">
        <f>IF(N('Dvd Calendar'!$U$212)=0,"",IF(('Dvd Calendar'!$U$212&gt;=MIN(DATE(Summary!$C$12,1,1),Summary!$C$11))*('Dvd Calendar'!$U$212&lt;=MAX(DATE(Summary!$C$12,12,31),Summary!$C$15))*('Dvd Calendar'!$U$212&gt;Summary!$C$11)=0,"",'Dvd Calendar'!$U$212*1000000000+ISNUMBER('Dvd Calendar'!$U$213)*100000000+('Dvd Calendar'!$U$217='Field Check'!$C$25)*10000000+(N('Dvd Calendar'!$U$211)&gt;0)*1000000+14*1000+57))</f>
        <v/>
      </c>
      <c r="BH22" s="41">
        <f>IF(N('Dvd Calendar'!$V$212)=0,"",IF(('Dvd Calendar'!$V$212&gt;=MIN(DATE(Summary!$C$12,1,1),Summary!$C$11))*('Dvd Calendar'!$V$212&lt;=MAX(DATE(Summary!$C$12,12,31),Summary!$C$15))*('Dvd Calendar'!$V$212&gt;Summary!$C$11)=0,"",'Dvd Calendar'!$V$212*1000000000+ISNUMBER('Dvd Calendar'!$V$213)*100000000+('Dvd Calendar'!$V$217='Field Check'!$C$25)*10000000+(N('Dvd Calendar'!$V$211)&gt;0)*1000000+14*1000+58))</f>
        <v/>
      </c>
      <c r="BI22" s="41">
        <f>IF(N('Dvd Calendar'!$W$212)=0,"",IF(('Dvd Calendar'!$W$212&gt;=MIN(DATE(Summary!$C$12,1,1),Summary!$C$11))*('Dvd Calendar'!$W$212&lt;=MAX(DATE(Summary!$C$12,12,31),Summary!$C$15))*('Dvd Calendar'!$W$212&gt;Summary!$C$11)=0,"",'Dvd Calendar'!$W$212*1000000000+ISNUMBER('Dvd Calendar'!$W$213)*100000000+('Dvd Calendar'!$W$217='Field Check'!$C$25)*10000000+(N('Dvd Calendar'!$W$211)&gt;0)*1000000+14*1000+59))</f>
        <v/>
      </c>
      <c r="BJ22" s="41">
        <f>IF(N('Dvd Calendar'!$X$212)=0,"",IF(('Dvd Calendar'!$X$212&gt;=MIN(DATE(Summary!$C$12,1,1),Summary!$C$11))*('Dvd Calendar'!$X$212&lt;=MAX(DATE(Summary!$C$12,12,31),Summary!$C$15))*('Dvd Calendar'!$X$212&gt;Summary!$C$11)=0,"",'Dvd Calendar'!$X$212*1000000000+ISNUMBER('Dvd Calendar'!$X$213)*100000000+('Dvd Calendar'!$X$217='Field Check'!$C$25)*10000000+(N('Dvd Calendar'!$X$211)&gt;0)*1000000+14*1000+60))</f>
        <v/>
      </c>
      <c r="BK22" s="41">
        <f>IF(N('Dvd Calendar'!$Y$212)=0,"",IF(('Dvd Calendar'!$Y$212&gt;=MIN(DATE(Summary!$C$12,1,1),Summary!$C$11))*('Dvd Calendar'!$Y$212&lt;=MAX(DATE(Summary!$C$12,12,31),Summary!$C$15))*('Dvd Calendar'!$Y$212&gt;Summary!$C$11)=0,"",'Dvd Calendar'!$Y$212*1000000000+ISNUMBER('Dvd Calendar'!$Y$213)*100000000+('Dvd Calendar'!$Y$217='Field Check'!$C$25)*10000000+(N('Dvd Calendar'!$Y$211)&gt;0)*1000000+14*1000+61))</f>
        <v/>
      </c>
      <c r="BL22" s="41">
        <f>IF(N('Dvd Calendar'!$Z$212)=0,"",IF(('Dvd Calendar'!$Z$212&gt;=MIN(DATE(Summary!$C$12,1,1),Summary!$C$11))*('Dvd Calendar'!$Z$212&lt;=MAX(DATE(Summary!$C$12,12,31),Summary!$C$15))*('Dvd Calendar'!$Z$212&gt;Summary!$C$11)=0,"",'Dvd Calendar'!$Z$212*1000000000+ISNUMBER('Dvd Calendar'!$Z$213)*100000000+('Dvd Calendar'!$Z$217='Field Check'!$C$25)*10000000+(N('Dvd Calendar'!$Z$211)&gt;0)*1000000+14*1000+62))</f>
        <v/>
      </c>
      <c r="BM22" s="41">
        <f>IF(N('Dvd Calendar'!$AA$212)=0,"",IF(('Dvd Calendar'!$AA$212&gt;=MIN(DATE(Summary!$C$12,1,1),Summary!$C$11))*('Dvd Calendar'!$AA$212&lt;=MAX(DATE(Summary!$C$12,12,31),Summary!$C$15))*('Dvd Calendar'!$AA$212&gt;Summary!$C$11)=0,"",'Dvd Calendar'!$AA$212*1000000000+ISNUMBER('Dvd Calendar'!$AA$213)*100000000+('Dvd Calendar'!$AA$217='Field Check'!$C$25)*10000000+(N('Dvd Calendar'!$AA$211)&gt;0)*1000000+14*1000+63))</f>
        <v/>
      </c>
      <c r="BN22" s="41">
        <f>IF(N('Dvd Calendar'!$AB$212)=0,"",IF(('Dvd Calendar'!$AB$212&gt;=MIN(DATE(Summary!$C$12,1,1),Summary!$C$11))*('Dvd Calendar'!$AB$212&lt;=MAX(DATE(Summary!$C$12,12,31),Summary!$C$15))*('Dvd Calendar'!$AB$212&gt;Summary!$C$11)=0,"",'Dvd Calendar'!$AB$212*1000000000+ISNUMBER('Dvd Calendar'!$AB$213)*100000000+('Dvd Calendar'!$AB$217='Field Check'!$C$25)*10000000+(N('Dvd Calendar'!$AB$211)&gt;0)*1000000+14*1000+64))</f>
        <v/>
      </c>
      <c r="BO22" s="41">
        <f>IF(N('Dvd Calendar'!$AC$212)=0,"",IF(('Dvd Calendar'!$AC$212&gt;=MIN(DATE(Summary!$C$12,1,1),Summary!$C$11))*('Dvd Calendar'!$AC$212&lt;=MAX(DATE(Summary!$C$12,12,31),Summary!$C$15))*('Dvd Calendar'!$AC$212&gt;Summary!$C$11)=0,"",'Dvd Calendar'!$AC$212*1000000000+ISNUMBER('Dvd Calendar'!$AC$213)*100000000+('Dvd Calendar'!$AC$217='Field Check'!$C$25)*10000000+(N('Dvd Calendar'!$AC$211)&gt;0)*1000000+14*1000+65))</f>
        <v/>
      </c>
      <c r="BQ22" s="85">
        <f>IF(C22="","",IF(ISNUMBER('Dvd Calendar'!$E$206)=FALSE,"",IF((Summary!$C$13="N")*('Dvd Calendar'!$E$210='Field Check'!$C$25)&gt;0,"",'Dvd Calendar'!$E$206)))</f>
        <v/>
      </c>
      <c r="BR22" s="85">
        <f>IF(D22="","",IF(ISNUMBER('Dvd Calendar'!$F$206)=FALSE,"",IF((Summary!$C$13="N")*('Dvd Calendar'!$F$210='Field Check'!$C$25)&gt;0,"",'Dvd Calendar'!$F$206)))</f>
        <v/>
      </c>
      <c r="BS22" s="85">
        <f>IF(E22="","",IF(ISNUMBER('Dvd Calendar'!$G$206)=FALSE,"",IF((Summary!$C$13="N")*('Dvd Calendar'!$G$210='Field Check'!$C$25)&gt;0,"",'Dvd Calendar'!$G$206)))</f>
        <v/>
      </c>
      <c r="BT22" s="85">
        <f>IF(F22="","",IF(ISNUMBER('Dvd Calendar'!$H$206)=FALSE,"",IF((Summary!$C$13="N")*('Dvd Calendar'!$H$210='Field Check'!$C$25)&gt;0,"",'Dvd Calendar'!$H$206)))</f>
        <v/>
      </c>
      <c r="BU22" s="85">
        <f>IF(G22="","",IF(ISNUMBER('Dvd Calendar'!$I$206)=FALSE,"",IF((Summary!$C$13="N")*('Dvd Calendar'!$I$210='Field Check'!$C$25)&gt;0,"",'Dvd Calendar'!$I$206)))</f>
        <v/>
      </c>
      <c r="BV22" s="85">
        <f>IF(H22="","",IF(ISNUMBER('Dvd Calendar'!$J$206)=FALSE,"",IF((Summary!$C$13="N")*('Dvd Calendar'!$J$210='Field Check'!$C$25)&gt;0,"",'Dvd Calendar'!$J$206)))</f>
        <v/>
      </c>
      <c r="BW22" s="85">
        <f>IF(I22="","",IF(ISNUMBER('Dvd Calendar'!$K$206)=FALSE,"",IF((Summary!$C$13="N")*('Dvd Calendar'!$K$210='Field Check'!$C$25)&gt;0,"",'Dvd Calendar'!$K$206)))</f>
        <v/>
      </c>
      <c r="BX22" s="85">
        <f>IF(J22="","",IF(ISNUMBER('Dvd Calendar'!$L$206)=FALSE,"",IF((Summary!$C$13="N")*('Dvd Calendar'!$L$210='Field Check'!$C$25)&gt;0,"",'Dvd Calendar'!$L$206)))</f>
        <v/>
      </c>
      <c r="BY22" s="85">
        <f>IF(K22="","",IF(ISNUMBER('Dvd Calendar'!$M$206)=FALSE,"",IF((Summary!$C$13="N")*('Dvd Calendar'!$M$210='Field Check'!$C$25)&gt;0,"",'Dvd Calendar'!$M$206)))</f>
        <v/>
      </c>
      <c r="BZ22" s="85">
        <f>IF(L22="","",IF(ISNUMBER('Dvd Calendar'!$N$206)=FALSE,"",IF((Summary!$C$13="N")*('Dvd Calendar'!$N$210='Field Check'!$C$25)&gt;0,"",'Dvd Calendar'!$N$206)))</f>
        <v/>
      </c>
      <c r="CA22" s="85">
        <f>IF(M22="","",IF(ISNUMBER('Dvd Calendar'!$O$206)=FALSE,"",IF((Summary!$C$13="N")*('Dvd Calendar'!$O$210='Field Check'!$C$25)&gt;0,"",'Dvd Calendar'!$O$206)))</f>
        <v/>
      </c>
      <c r="CB22" s="85">
        <f>IF(N22="","",IF(ISNUMBER('Dvd Calendar'!$P$206)=FALSE,"",IF((Summary!$C$13="N")*('Dvd Calendar'!$P$210='Field Check'!$C$25)&gt;0,"",'Dvd Calendar'!$P$206)))</f>
        <v/>
      </c>
      <c r="CC22" s="85">
        <f>IF(O22="","",IF(ISNUMBER('Dvd Calendar'!$Q$206)=FALSE,"",IF((Summary!$C$13="N")*('Dvd Calendar'!$Q$210='Field Check'!$C$25)&gt;0,"",'Dvd Calendar'!$Q$206)))</f>
        <v/>
      </c>
      <c r="CD22" s="85">
        <f>IF(P22="","",IF(ISNUMBER('Dvd Calendar'!$R$206)=FALSE,"",IF((Summary!$C$13="N")*('Dvd Calendar'!$R$210='Field Check'!$C$25)&gt;0,"",'Dvd Calendar'!$R$206)))</f>
        <v/>
      </c>
      <c r="CE22" s="85">
        <f>IF(Q22="","",IF(ISNUMBER('Dvd Calendar'!$S$206)=FALSE,"",IF((Summary!$C$13="N")*('Dvd Calendar'!$S$210='Field Check'!$C$25)&gt;0,"",'Dvd Calendar'!$S$206)))</f>
        <v/>
      </c>
      <c r="CF22" s="85">
        <f>IF(R22="","",IF(ISNUMBER('Dvd Calendar'!$T$206)=FALSE,"",IF((Summary!$C$13="N")*('Dvd Calendar'!$T$210='Field Check'!$C$25)&gt;0,"",'Dvd Calendar'!$T$206)))</f>
        <v/>
      </c>
      <c r="CG22" s="85">
        <f>IF(S22="","",IF(ISNUMBER('Dvd Calendar'!$U$206)=FALSE,"",IF((Summary!$C$13="N")*('Dvd Calendar'!$U$210='Field Check'!$C$25)&gt;0,"",'Dvd Calendar'!$U$206)))</f>
        <v/>
      </c>
      <c r="CH22" s="85">
        <f>IF(T22="","",IF(ISNUMBER('Dvd Calendar'!$V$206)=FALSE,"",IF((Summary!$C$13="N")*('Dvd Calendar'!$V$210='Field Check'!$C$25)&gt;0,"",'Dvd Calendar'!$V$206)))</f>
        <v/>
      </c>
      <c r="CI22" s="85">
        <f>IF(U22="","",IF(ISNUMBER('Dvd Calendar'!$W$206)=FALSE,"",IF((Summary!$C$13="N")*('Dvd Calendar'!$W$210='Field Check'!$C$25)&gt;0,"",'Dvd Calendar'!$W$206)))</f>
        <v/>
      </c>
      <c r="CJ22" s="85">
        <f>IF(V22="","",IF(ISNUMBER('Dvd Calendar'!$X$206)=FALSE,"",IF((Summary!$C$13="N")*('Dvd Calendar'!$X$210='Field Check'!$C$25)&gt;0,"",'Dvd Calendar'!$X$206)))</f>
        <v/>
      </c>
      <c r="CK22" s="85">
        <f>IF(W22="","",IF(ISNUMBER('Dvd Calendar'!$Y$206)=FALSE,"",IF((Summary!$C$13="N")*('Dvd Calendar'!$Y$210='Field Check'!$C$25)&gt;0,"",'Dvd Calendar'!$Y$206)))</f>
        <v/>
      </c>
      <c r="CL22" s="85">
        <f>IF(X22="","",IF(ISNUMBER('Dvd Calendar'!$Z$206)=FALSE,"",IF((Summary!$C$13="N")*('Dvd Calendar'!$Z$210='Field Check'!$C$25)&gt;0,"",'Dvd Calendar'!$Z$206)))</f>
        <v/>
      </c>
      <c r="CM22" s="85">
        <f>IF(Y22="","",IF(ISNUMBER('Dvd Calendar'!$AA$206)=FALSE,"",IF((Summary!$C$13="N")*('Dvd Calendar'!$AA$210='Field Check'!$C$25)&gt;0,"",'Dvd Calendar'!$AA$206)))</f>
        <v/>
      </c>
      <c r="CN22" s="85">
        <f>IF(Z22="","",IF(ISNUMBER('Dvd Calendar'!$AB$206)=FALSE,"",IF((Summary!$C$13="N")*('Dvd Calendar'!$AB$210='Field Check'!$C$25)&gt;0,"",'Dvd Calendar'!$AB$206)))</f>
        <v/>
      </c>
      <c r="CO22" s="85">
        <f>IF(AA22="","",IF(ISNUMBER('Dvd Calendar'!$AC$206)=FALSE,"",IF((Summary!$C$13="N")*('Dvd Calendar'!$AC$210='Field Check'!$C$25)&gt;0,"",'Dvd Calendar'!$AC$206)))</f>
        <v/>
      </c>
      <c r="CP22" s="85">
        <f>IF(AB22="","",IF(ISNUMBER('Dvd Calendar'!$AD$206)=FALSE,"",IF((Summary!$C$13="N")*('Dvd Calendar'!$AD$210='Field Check'!$C$25)&gt;0,"",'Dvd Calendar'!$AD$206)))</f>
        <v/>
      </c>
      <c r="CQ22" s="85">
        <f>IF(AC22="","",IF(ISNUMBER('Dvd Calendar'!$AE$206)=FALSE,"",IF((Summary!$C$13="N")*('Dvd Calendar'!$AE$210='Field Check'!$C$25)&gt;0,"",'Dvd Calendar'!$AE$206)))</f>
        <v/>
      </c>
      <c r="CR22" s="85">
        <f>IF(AD22="","",IF(ISNUMBER('Dvd Calendar'!$AF$206)=FALSE,"",IF((Summary!$C$13="N")*('Dvd Calendar'!$AF$210='Field Check'!$C$25)&gt;0,"",'Dvd Calendar'!$AF$206)))</f>
        <v/>
      </c>
      <c r="CS22" s="85">
        <f>IF(AE22="","",IF(ISNUMBER('Dvd Calendar'!$AG$206)=FALSE,"",IF((Summary!$C$13="N")*('Dvd Calendar'!$AG$210='Field Check'!$C$25)&gt;0,"",'Dvd Calendar'!$AG$206)))</f>
        <v/>
      </c>
      <c r="CT22" s="85">
        <f>IF(AF22="","",IF(ISNUMBER('Dvd Calendar'!$AH$206)=FALSE,"",IF((Summary!$C$13="N")*('Dvd Calendar'!$AH$210='Field Check'!$C$25)&gt;0,"",'Dvd Calendar'!$AH$206)))</f>
        <v/>
      </c>
      <c r="CU22" s="85">
        <f>IF(AG22="","",IF(ISNUMBER('Dvd Calendar'!$AI$206)=FALSE,"",IF((Summary!$C$13="N")*('Dvd Calendar'!$AI$210='Field Check'!$C$25)&gt;0,"",'Dvd Calendar'!$AI$206)))</f>
        <v/>
      </c>
      <c r="CV22" s="85">
        <f>IF(AH22="","",IF(ISNUMBER('Dvd Calendar'!$AJ$206)=FALSE,"",IF((Summary!$C$13="N")*('Dvd Calendar'!$AJ$210='Field Check'!$C$25)&gt;0,"",'Dvd Calendar'!$AJ$206)))</f>
        <v/>
      </c>
      <c r="CW22" s="85">
        <f>IF(AI22="","",IF(ISNUMBER('Dvd Calendar'!$AK$206)=FALSE,"",IF((Summary!$C$13="N")*('Dvd Calendar'!$AK$210='Field Check'!$C$25)&gt;0,"",'Dvd Calendar'!$AK$206)))</f>
        <v/>
      </c>
      <c r="CX22" s="85">
        <f>IF(AJ22="","",IF(ISNUMBER('Dvd Calendar'!$AL$206)=FALSE,"",IF((Summary!$C$13="N")*('Dvd Calendar'!$AL$210='Field Check'!$C$25)&gt;0,"",'Dvd Calendar'!$AL$206)))</f>
        <v/>
      </c>
      <c r="CY22" s="85">
        <f>IF(AK22="","",IF(ISNUMBER('Dvd Calendar'!$AM$206)=FALSE,"",IF((Summary!$C$13="N")*('Dvd Calendar'!$AM$210='Field Check'!$C$25)&gt;0,"",'Dvd Calendar'!$AM$206)))</f>
        <v/>
      </c>
      <c r="CZ22" s="85">
        <f>IF(AL22="","",IF(ISNUMBER('Dvd Calendar'!$AN$206)=FALSE,"",IF((Summary!$C$13="N")*('Dvd Calendar'!$AN$210='Field Check'!$C$25)&gt;0,"",'Dvd Calendar'!$AN$206)))</f>
        <v/>
      </c>
      <c r="DA22" s="85">
        <f>IF(AM22="","",IF(ISNUMBER('Dvd Calendar'!$AO$206)=FALSE,"",IF((Summary!$C$13="N")*('Dvd Calendar'!$AO$210='Field Check'!$C$25)&gt;0,"",'Dvd Calendar'!$AO$206)))</f>
        <v/>
      </c>
      <c r="DB22" s="85">
        <f>IF(AN22="","",IF(ISNUMBER('Dvd Calendar'!$AP$206)=FALSE,"",IF((Summary!$C$13="N")*('Dvd Calendar'!$AP$210='Field Check'!$C$25)&gt;0,"",'Dvd Calendar'!$AP$206)))</f>
        <v/>
      </c>
      <c r="DC22" s="85">
        <f>IF(AO22="","",IF(ISNUMBER('Dvd Calendar'!$AQ$206)=FALSE,"",IF((Summary!$C$13="N")*('Dvd Calendar'!$AQ$210='Field Check'!$C$25)&gt;0,"",'Dvd Calendar'!$AQ$206)))</f>
        <v/>
      </c>
      <c r="DD22" s="85">
        <f>IF(AP22="","",IF(ISNUMBER('Dvd Calendar'!$AR$206)=FALSE,"",IF((Summary!$C$13="N")*('Dvd Calendar'!$AR$210='Field Check'!$C$25)&gt;0,"",'Dvd Calendar'!$AR$206)))</f>
        <v/>
      </c>
      <c r="DE22" s="85">
        <f>IF(AQ22="","",IF(ISNUMBER('Dvd Calendar'!$E$213)=FALSE,"",IF((Summary!$C$13="N")*('Dvd Calendar'!$E$217='Field Check'!$C$25)&gt;0,"",'Dvd Calendar'!$E$213)))</f>
        <v/>
      </c>
      <c r="DF22" s="85">
        <f>IF(AR22="","",IF(ISNUMBER('Dvd Calendar'!$F$213)=FALSE,"",IF((Summary!$C$13="N")*('Dvd Calendar'!$F$217='Field Check'!$C$25)&gt;0,"",'Dvd Calendar'!$F$213)))</f>
        <v/>
      </c>
      <c r="DG22" s="85">
        <f>IF(AS22="","",IF(ISNUMBER('Dvd Calendar'!$G$213)=FALSE,"",IF((Summary!$C$13="N")*('Dvd Calendar'!$G$217='Field Check'!$C$25)&gt;0,"",'Dvd Calendar'!$G$213)))</f>
        <v/>
      </c>
      <c r="DH22" s="85">
        <f>IF(AT22="","",IF(ISNUMBER('Dvd Calendar'!$H$213)=FALSE,"",IF((Summary!$C$13="N")*('Dvd Calendar'!$H$217='Field Check'!$C$25)&gt;0,"",'Dvd Calendar'!$H$213)))</f>
        <v/>
      </c>
      <c r="DI22" s="85">
        <f>IF(AU22="","",IF(ISNUMBER('Dvd Calendar'!$I$213)=FALSE,"",IF((Summary!$C$13="N")*('Dvd Calendar'!$I$217='Field Check'!$C$25)&gt;0,"",'Dvd Calendar'!$I$213)))</f>
        <v/>
      </c>
      <c r="DJ22" s="85">
        <f>IF(AV22="","",IF(ISNUMBER('Dvd Calendar'!$J$213)=FALSE,"",IF((Summary!$C$13="N")*('Dvd Calendar'!$J$217='Field Check'!$C$25)&gt;0,"",'Dvd Calendar'!$J$213)))</f>
        <v/>
      </c>
      <c r="DK22" s="85">
        <f>IF(AW22="","",IF(ISNUMBER('Dvd Calendar'!$K$213)=FALSE,"",IF((Summary!$C$13="N")*('Dvd Calendar'!$K$217='Field Check'!$C$25)&gt;0,"",'Dvd Calendar'!$K$213)))</f>
        <v/>
      </c>
      <c r="DL22" s="85">
        <f>IF(AX22="","",IF(ISNUMBER('Dvd Calendar'!$L$213)=FALSE,"",IF((Summary!$C$13="N")*('Dvd Calendar'!$L$217='Field Check'!$C$25)&gt;0,"",'Dvd Calendar'!$L$213)))</f>
        <v/>
      </c>
      <c r="DM22" s="85">
        <f>IF(AY22="","",IF(ISNUMBER('Dvd Calendar'!$M$213)=FALSE,"",IF((Summary!$C$13="N")*('Dvd Calendar'!$M$217='Field Check'!$C$25)&gt;0,"",'Dvd Calendar'!$M$213)))</f>
        <v/>
      </c>
      <c r="DN22" s="85">
        <f>IF(AZ22="","",IF(ISNUMBER('Dvd Calendar'!$N$213)=FALSE,"",IF((Summary!$C$13="N")*('Dvd Calendar'!$N$217='Field Check'!$C$25)&gt;0,"",'Dvd Calendar'!$N$213)))</f>
        <v/>
      </c>
      <c r="DO22" s="85">
        <f>IF(BA22="","",IF(ISNUMBER('Dvd Calendar'!$O$213)=FALSE,"",IF((Summary!$C$13="N")*('Dvd Calendar'!$O$217='Field Check'!$C$25)&gt;0,"",'Dvd Calendar'!$O$213)))</f>
        <v/>
      </c>
      <c r="DP22" s="85">
        <f>IF(BB22="","",IF(ISNUMBER('Dvd Calendar'!$P$213)=FALSE,"",IF((Summary!$C$13="N")*('Dvd Calendar'!$P$217='Field Check'!$C$25)&gt;0,"",'Dvd Calendar'!$P$213)))</f>
        <v/>
      </c>
      <c r="DQ22" s="85">
        <f>IF(BC22="","",IF(ISNUMBER('Dvd Calendar'!$Q$213)=FALSE,"",IF((Summary!$C$13="N")*('Dvd Calendar'!$Q$217='Field Check'!$C$25)&gt;0,"",'Dvd Calendar'!$Q$213)))</f>
        <v/>
      </c>
      <c r="DR22" s="85">
        <f>IF(BD22="","",IF(ISNUMBER('Dvd Calendar'!$R$213)=FALSE,"",IF((Summary!$C$13="N")*('Dvd Calendar'!$R$217='Field Check'!$C$25)&gt;0,"",'Dvd Calendar'!$R$213)))</f>
        <v/>
      </c>
      <c r="DS22" s="85">
        <f>IF(BE22="","",IF(ISNUMBER('Dvd Calendar'!$S$213)=FALSE,"",IF((Summary!$C$13="N")*('Dvd Calendar'!$S$217='Field Check'!$C$25)&gt;0,"",'Dvd Calendar'!$S$213)))</f>
        <v/>
      </c>
      <c r="DT22" s="85">
        <f>IF(BF22="","",IF(ISNUMBER('Dvd Calendar'!$T$213)=FALSE,"",IF((Summary!$C$13="N")*('Dvd Calendar'!$T$217='Field Check'!$C$25)&gt;0,"",'Dvd Calendar'!$T$213)))</f>
        <v/>
      </c>
      <c r="DU22" s="85">
        <f>IF(BG22="","",IF(ISNUMBER('Dvd Calendar'!$U$213)=FALSE,"",IF((Summary!$C$13="N")*('Dvd Calendar'!$U$217='Field Check'!$C$25)&gt;0,"",'Dvd Calendar'!$U$213)))</f>
        <v/>
      </c>
      <c r="DV22" s="85">
        <f>IF(BH22="","",IF(ISNUMBER('Dvd Calendar'!$V$213)=FALSE,"",IF((Summary!$C$13="N")*('Dvd Calendar'!$V$217='Field Check'!$C$25)&gt;0,"",'Dvd Calendar'!$V$213)))</f>
        <v/>
      </c>
      <c r="DW22" s="85">
        <f>IF(BI22="","",IF(ISNUMBER('Dvd Calendar'!$W$213)=FALSE,"",IF((Summary!$C$13="N")*('Dvd Calendar'!$W$217='Field Check'!$C$25)&gt;0,"",'Dvd Calendar'!$W$213)))</f>
        <v/>
      </c>
      <c r="DX22" s="85">
        <f>IF(BJ22="","",IF(ISNUMBER('Dvd Calendar'!$X$213)=FALSE,"",IF((Summary!$C$13="N")*('Dvd Calendar'!$X$217='Field Check'!$C$25)&gt;0,"",'Dvd Calendar'!$X$213)))</f>
        <v/>
      </c>
      <c r="DY22" s="85">
        <f>IF(BK22="","",IF(ISNUMBER('Dvd Calendar'!$Y$213)=FALSE,"",IF((Summary!$C$13="N")*('Dvd Calendar'!$Y$217='Field Check'!$C$25)&gt;0,"",'Dvd Calendar'!$Y$213)))</f>
        <v/>
      </c>
      <c r="DZ22" s="85">
        <f>IF(BL22="","",IF(ISNUMBER('Dvd Calendar'!$Z$213)=FALSE,"",IF((Summary!$C$13="N")*('Dvd Calendar'!$Z$217='Field Check'!$C$25)&gt;0,"",'Dvd Calendar'!$Z$213)))</f>
        <v/>
      </c>
      <c r="EA22" s="85">
        <f>IF(BM22="","",IF(ISNUMBER('Dvd Calendar'!$AA$213)=FALSE,"",IF((Summary!$C$13="N")*('Dvd Calendar'!$AA$217='Field Check'!$C$25)&gt;0,"",'Dvd Calendar'!$AA$213)))</f>
        <v/>
      </c>
      <c r="EB22" s="85">
        <f>IF(BN22="","",IF(ISNUMBER('Dvd Calendar'!$AB$213)=FALSE,"",IF((Summary!$C$13="N")*('Dvd Calendar'!$AB$217='Field Check'!$C$25)&gt;0,"",'Dvd Calendar'!$AB$213)))</f>
        <v/>
      </c>
      <c r="EC22" s="85">
        <f>IF(BO22="","",IF(ISNUMBER('Dvd Calendar'!$AC$213)=FALSE,"",IF((Summary!$C$13="N")*('Dvd Calendar'!$AC$217='Field Check'!$C$25)&gt;0,"",'Dvd Calendar'!$AC$213)))</f>
        <v/>
      </c>
      <c r="EE22" s="85">
        <f>IF(BQ22="","",IFERROR(BQ22*HSI!$B$20*HSI!$G$20/HSI!$B$3,""))</f>
        <v/>
      </c>
      <c r="EF22" s="85">
        <f>IF(BR22="","",IFERROR(BR22*HSI!$B$20*HSI!$G$20/HSI!$B$3,""))</f>
        <v/>
      </c>
      <c r="EG22" s="85">
        <f>IF(BS22="","",IFERROR(BS22*HSI!$B$20*HSI!$G$20/HSI!$B$3,""))</f>
        <v/>
      </c>
      <c r="EH22" s="85">
        <f>IF(BT22="","",IFERROR(BT22*HSI!$B$20*HSI!$G$20/HSI!$B$3,""))</f>
        <v/>
      </c>
      <c r="EI22" s="85">
        <f>IF(BU22="","",IFERROR(BU22*HSI!$B$20*HSI!$G$20/HSI!$B$3,""))</f>
        <v/>
      </c>
      <c r="EJ22" s="85">
        <f>IF(BV22="","",IFERROR(BV22*HSI!$B$20*HSI!$G$20/HSI!$B$3,""))</f>
        <v/>
      </c>
      <c r="EK22" s="85">
        <f>IF(BW22="","",IFERROR(BW22*HSI!$B$20*HSI!$G$20/HSI!$B$3,""))</f>
        <v/>
      </c>
      <c r="EL22" s="85">
        <f>IF(BX22="","",IFERROR(BX22*HSI!$B$20*HSI!$G$20/HSI!$B$3,""))</f>
        <v/>
      </c>
      <c r="EM22" s="85">
        <f>IF(BY22="","",IFERROR(BY22*HSI!$B$20*HSI!$G$20/HSI!$B$3,""))</f>
        <v/>
      </c>
      <c r="EN22" s="85">
        <f>IF(BZ22="","",IFERROR(BZ22*HSI!$B$20*HSI!$G$20/HSI!$B$3,""))</f>
        <v/>
      </c>
      <c r="EO22" s="85">
        <f>IF(CA22="","",IFERROR(CA22*HSI!$B$20*HSI!$G$20/HSI!$B$3,""))</f>
        <v/>
      </c>
      <c r="EP22" s="85">
        <f>IF(CB22="","",IFERROR(CB22*HSI!$B$20*HSI!$G$20/HSI!$B$3,""))</f>
        <v/>
      </c>
      <c r="EQ22" s="85">
        <f>IF(CC22="","",IFERROR(CC22*HSI!$B$20*HSI!$G$20/HSI!$B$3,""))</f>
        <v/>
      </c>
      <c r="ER22" s="85">
        <f>IF(CD22="","",IFERROR(CD22*HSI!$B$20*HSI!$G$20/HSI!$B$3,""))</f>
        <v/>
      </c>
      <c r="ES22" s="85">
        <f>IF(CE22="","",IFERROR(CE22*HSI!$B$20*HSI!$G$20/HSI!$B$3,""))</f>
        <v/>
      </c>
      <c r="ET22" s="85">
        <f>IF(CF22="","",IFERROR(CF22*HSI!$B$20*HSI!$G$20/HSI!$B$3,""))</f>
        <v/>
      </c>
      <c r="EU22" s="85">
        <f>IF(CG22="","",IFERROR(CG22*HSI!$B$20*HSI!$G$20/HSI!$B$3,""))</f>
        <v/>
      </c>
      <c r="EV22" s="85">
        <f>IF(CH22="","",IFERROR(CH22*HSI!$B$20*HSI!$G$20/HSI!$B$3,""))</f>
        <v/>
      </c>
      <c r="EW22" s="85">
        <f>IF(CI22="","",IFERROR(CI22*HSI!$B$20*HSI!$G$20/HSI!$B$3,""))</f>
        <v/>
      </c>
      <c r="EX22" s="85">
        <f>IF(CJ22="","",IFERROR(CJ22*HSI!$B$20*HSI!$G$20/HSI!$B$3,""))</f>
        <v/>
      </c>
      <c r="EY22" s="85">
        <f>IF(CK22="","",IFERROR(CK22*HSI!$B$20*HSI!$G$20/HSI!$B$3,""))</f>
        <v/>
      </c>
      <c r="EZ22" s="85">
        <f>IF(CL22="","",IFERROR(CL22*HSI!$B$20*HSI!$G$20/HSI!$B$3,""))</f>
        <v/>
      </c>
      <c r="FA22" s="85">
        <f>IF(CM22="","",IFERROR(CM22*HSI!$B$20*HSI!$G$20/HSI!$B$3,""))</f>
        <v/>
      </c>
      <c r="FB22" s="85">
        <f>IF(CN22="","",IFERROR(CN22*HSI!$B$20*HSI!$G$20/HSI!$B$3,""))</f>
        <v/>
      </c>
      <c r="FC22" s="85">
        <f>IF(CO22="","",IFERROR(CO22*HSI!$B$20*HSI!$G$20/HSI!$B$3,""))</f>
        <v/>
      </c>
      <c r="FD22" s="85">
        <f>IF(CP22="","",IFERROR(CP22*HSI!$B$20*HSI!$G$20/HSI!$B$3,""))</f>
        <v/>
      </c>
      <c r="FE22" s="85">
        <f>IF(CQ22="","",IFERROR(CQ22*HSI!$B$20*HSI!$G$20/HSI!$B$3,""))</f>
        <v/>
      </c>
      <c r="FF22" s="85">
        <f>IF(CR22="","",IFERROR(CR22*HSI!$B$20*HSI!$G$20/HSI!$B$3,""))</f>
        <v/>
      </c>
      <c r="FG22" s="85">
        <f>IF(CS22="","",IFERROR(CS22*HSI!$B$20*HSI!$G$20/HSI!$B$3,""))</f>
        <v/>
      </c>
      <c r="FH22" s="85">
        <f>IF(CT22="","",IFERROR(CT22*HSI!$B$20*HSI!$G$20/HSI!$B$3,""))</f>
        <v/>
      </c>
      <c r="FI22" s="85">
        <f>IF(CU22="","",IFERROR(CU22*HSI!$B$20*HSI!$G$20/HSI!$B$3,""))</f>
        <v/>
      </c>
      <c r="FJ22" s="85">
        <f>IF(CV22="","",IFERROR(CV22*HSI!$B$20*HSI!$G$20/HSI!$B$3,""))</f>
        <v/>
      </c>
      <c r="FK22" s="85">
        <f>IF(CW22="","",IFERROR(CW22*HSI!$B$20*HSI!$G$20/HSI!$B$3,""))</f>
        <v/>
      </c>
      <c r="FL22" s="85">
        <f>IF(CX22="","",IFERROR(CX22*HSI!$B$20*HSI!$G$20/HSI!$B$3,""))</f>
        <v/>
      </c>
      <c r="FM22" s="85">
        <f>IF(CY22="","",IFERROR(CY22*HSI!$B$20*HSI!$G$20/HSI!$B$3,""))</f>
        <v/>
      </c>
      <c r="FN22" s="85">
        <f>IF(CZ22="","",IFERROR(CZ22*HSI!$B$20*HSI!$G$20/HSI!$B$3,""))</f>
        <v/>
      </c>
      <c r="FO22" s="85">
        <f>IF(DA22="","",IFERROR(DA22*HSI!$B$20*HSI!$G$20/HSI!$B$3,""))</f>
        <v/>
      </c>
      <c r="FP22" s="85">
        <f>IF(DB22="","",IFERROR(DB22*HSI!$B$20*HSI!$G$20/HSI!$B$3,""))</f>
        <v/>
      </c>
      <c r="FQ22" s="85">
        <f>IF(DC22="","",IFERROR(DC22*HSI!$B$20*HSI!$G$20/HSI!$B$3,""))</f>
        <v/>
      </c>
      <c r="FR22" s="85">
        <f>IF(DD22="","",IFERROR(DD22*HSI!$B$20*HSI!$G$20/HSI!$B$3,""))</f>
        <v/>
      </c>
      <c r="FS22" s="85">
        <f>IF(DE22="","",IFERROR(DE22*HSI!$B$20*HSI!$G$20/HSI!$B$3,""))</f>
        <v/>
      </c>
      <c r="FT22" s="85">
        <f>IF(DF22="","",IFERROR(DF22*HSI!$B$20*HSI!$G$20/HSI!$B$3,""))</f>
        <v/>
      </c>
      <c r="FU22" s="85">
        <f>IF(DG22="","",IFERROR(DG22*HSI!$B$20*HSI!$G$20/HSI!$B$3,""))</f>
        <v/>
      </c>
      <c r="FV22" s="85">
        <f>IF(DH22="","",IFERROR(DH22*HSI!$B$20*HSI!$G$20/HSI!$B$3,""))</f>
        <v/>
      </c>
      <c r="FW22" s="85">
        <f>IF(DI22="","",IFERROR(DI22*HSI!$B$20*HSI!$G$20/HSI!$B$3,""))</f>
        <v/>
      </c>
      <c r="FX22" s="85">
        <f>IF(DJ22="","",IFERROR(DJ22*HSI!$B$20*HSI!$G$20/HSI!$B$3,""))</f>
        <v/>
      </c>
      <c r="FY22" s="85">
        <f>IF(DK22="","",IFERROR(DK22*HSI!$B$20*HSI!$G$20/HSI!$B$3,""))</f>
        <v/>
      </c>
      <c r="FZ22" s="85">
        <f>IF(DL22="","",IFERROR(DL22*HSI!$B$20*HSI!$G$20/HSI!$B$3,""))</f>
        <v/>
      </c>
      <c r="GA22" s="85">
        <f>IF(DM22="","",IFERROR(DM22*HSI!$B$20*HSI!$G$20/HSI!$B$3,""))</f>
        <v/>
      </c>
      <c r="GB22" s="85">
        <f>IF(DN22="","",IFERROR(DN22*HSI!$B$20*HSI!$G$20/HSI!$B$3,""))</f>
        <v/>
      </c>
      <c r="GC22" s="85">
        <f>IF(DO22="","",IFERROR(DO22*HSI!$B$20*HSI!$G$20/HSI!$B$3,""))</f>
        <v/>
      </c>
      <c r="GD22" s="85">
        <f>IF(DP22="","",IFERROR(DP22*HSI!$B$20*HSI!$G$20/HSI!$B$3,""))</f>
        <v/>
      </c>
      <c r="GE22" s="85">
        <f>IF(DQ22="","",IFERROR(DQ22*HSI!$B$20*HSI!$G$20/HSI!$B$3,""))</f>
        <v/>
      </c>
      <c r="GF22" s="85">
        <f>IF(DR22="","",IFERROR(DR22*HSI!$B$20*HSI!$G$20/HSI!$B$3,""))</f>
        <v/>
      </c>
      <c r="GG22" s="85">
        <f>IF(DS22="","",IFERROR(DS22*HSI!$B$20*HSI!$G$20/HSI!$B$3,""))</f>
        <v/>
      </c>
      <c r="GH22" s="85">
        <f>IF(DT22="","",IFERROR(DT22*HSI!$B$20*HSI!$G$20/HSI!$B$3,""))</f>
        <v/>
      </c>
      <c r="GI22" s="85">
        <f>IF(DU22="","",IFERROR(DU22*HSI!$B$20*HSI!$G$20/HSI!$B$3,""))</f>
        <v/>
      </c>
      <c r="GJ22" s="85">
        <f>IF(DV22="","",IFERROR(DV22*HSI!$B$20*HSI!$G$20/HSI!$B$3,""))</f>
        <v/>
      </c>
      <c r="GK22" s="85">
        <f>IF(DW22="","",IFERROR(DW22*HSI!$B$20*HSI!$G$20/HSI!$B$3,""))</f>
        <v/>
      </c>
      <c r="GL22" s="85">
        <f>IF(DX22="","",IFERROR(DX22*HSI!$B$20*HSI!$G$20/HSI!$B$3,""))</f>
        <v/>
      </c>
      <c r="GM22" s="85">
        <f>IF(DY22="","",IFERROR(DY22*HSI!$B$20*HSI!$G$20/HSI!$B$3,""))</f>
        <v/>
      </c>
      <c r="GN22" s="85">
        <f>IF(DZ22="","",IFERROR(DZ22*HSI!$B$20*HSI!$G$20/HSI!$B$3,""))</f>
        <v/>
      </c>
      <c r="GO22" s="85">
        <f>IF(EA22="","",IFERROR(EA22*HSI!$B$20*HSI!$G$20/HSI!$B$3,""))</f>
        <v/>
      </c>
      <c r="GP22" s="85">
        <f>IF(EB22="","",IFERROR(EB22*HSI!$B$20*HSI!$G$20/HSI!$B$3,""))</f>
        <v/>
      </c>
      <c r="GQ22" s="85">
        <f>IF(EC22="","",IFERROR(EC22*HSI!$B$20*HSI!$G$20/HSI!$B$3,""))</f>
        <v/>
      </c>
    </row>
    <row r="23">
      <c r="B23" s="2">
        <f>IF(HSI!$C$21="","",HSI!$C$21)</f>
        <v/>
      </c>
      <c r="C23" s="41">
        <f>IF(N('Dvd Calendar'!$E$220)=0,"",IF(('Dvd Calendar'!$E$220&gt;=MIN(DATE(Summary!$C$12,1,1),Summary!$C$11))*('Dvd Calendar'!$E$220&lt;=MAX(DATE(Summary!$C$12,12,31),Summary!$C$15))*('Dvd Calendar'!$E$220&lt;=Summary!$C$11)=0,"",'Dvd Calendar'!$E$220*1000000000+ISNUMBER('Dvd Calendar'!$E$221)*100000000+('Dvd Calendar'!$E$225='Field Check'!$C$25)*10000000+(N('Dvd Calendar'!$E$219)&gt;0)*1000000+15*1000+1))</f>
        <v/>
      </c>
      <c r="D23" s="41">
        <f>IF(N('Dvd Calendar'!$F$220)=0,"",IF(('Dvd Calendar'!$F$220&gt;=MIN(DATE(Summary!$C$12,1,1),Summary!$C$11))*('Dvd Calendar'!$F$220&lt;=MAX(DATE(Summary!$C$12,12,31),Summary!$C$15))*('Dvd Calendar'!$F$220&lt;=Summary!$C$11)=0,"",'Dvd Calendar'!$F$220*1000000000+ISNUMBER('Dvd Calendar'!$F$221)*100000000+('Dvd Calendar'!$F$225='Field Check'!$C$25)*10000000+(N('Dvd Calendar'!$F$219)&gt;0)*1000000+15*1000+2))</f>
        <v/>
      </c>
      <c r="E23" s="41">
        <f>IF(N('Dvd Calendar'!$G$220)=0,"",IF(('Dvd Calendar'!$G$220&gt;=MIN(DATE(Summary!$C$12,1,1),Summary!$C$11))*('Dvd Calendar'!$G$220&lt;=MAX(DATE(Summary!$C$12,12,31),Summary!$C$15))*('Dvd Calendar'!$G$220&lt;=Summary!$C$11)=0,"",'Dvd Calendar'!$G$220*1000000000+ISNUMBER('Dvd Calendar'!$G$221)*100000000+('Dvd Calendar'!$G$225='Field Check'!$C$25)*10000000+(N('Dvd Calendar'!$G$219)&gt;0)*1000000+15*1000+3))</f>
        <v/>
      </c>
      <c r="F23" s="41">
        <f>IF(N('Dvd Calendar'!$H$220)=0,"",IF(('Dvd Calendar'!$H$220&gt;=MIN(DATE(Summary!$C$12,1,1),Summary!$C$11))*('Dvd Calendar'!$H$220&lt;=MAX(DATE(Summary!$C$12,12,31),Summary!$C$15))*('Dvd Calendar'!$H$220&lt;=Summary!$C$11)=0,"",'Dvd Calendar'!$H$220*1000000000+ISNUMBER('Dvd Calendar'!$H$221)*100000000+('Dvd Calendar'!$H$225='Field Check'!$C$25)*10000000+(N('Dvd Calendar'!$H$219)&gt;0)*1000000+15*1000+4))</f>
        <v/>
      </c>
      <c r="G23" s="41">
        <f>IF(N('Dvd Calendar'!$I$220)=0,"",IF(('Dvd Calendar'!$I$220&gt;=MIN(DATE(Summary!$C$12,1,1),Summary!$C$11))*('Dvd Calendar'!$I$220&lt;=MAX(DATE(Summary!$C$12,12,31),Summary!$C$15))*('Dvd Calendar'!$I$220&lt;=Summary!$C$11)=0,"",'Dvd Calendar'!$I$220*1000000000+ISNUMBER('Dvd Calendar'!$I$221)*100000000+('Dvd Calendar'!$I$225='Field Check'!$C$25)*10000000+(N('Dvd Calendar'!$I$219)&gt;0)*1000000+15*1000+5))</f>
        <v/>
      </c>
      <c r="H23" s="41">
        <f>IF(N('Dvd Calendar'!$J$220)=0,"",IF(('Dvd Calendar'!$J$220&gt;=MIN(DATE(Summary!$C$12,1,1),Summary!$C$11))*('Dvd Calendar'!$J$220&lt;=MAX(DATE(Summary!$C$12,12,31),Summary!$C$15))*('Dvd Calendar'!$J$220&lt;=Summary!$C$11)=0,"",'Dvd Calendar'!$J$220*1000000000+ISNUMBER('Dvd Calendar'!$J$221)*100000000+('Dvd Calendar'!$J$225='Field Check'!$C$25)*10000000+(N('Dvd Calendar'!$J$219)&gt;0)*1000000+15*1000+6))</f>
        <v/>
      </c>
      <c r="I23" s="41">
        <f>IF(N('Dvd Calendar'!$K$220)=0,"",IF(('Dvd Calendar'!$K$220&gt;=MIN(DATE(Summary!$C$12,1,1),Summary!$C$11))*('Dvd Calendar'!$K$220&lt;=MAX(DATE(Summary!$C$12,12,31),Summary!$C$15))*('Dvd Calendar'!$K$220&lt;=Summary!$C$11)=0,"",'Dvd Calendar'!$K$220*1000000000+ISNUMBER('Dvd Calendar'!$K$221)*100000000+('Dvd Calendar'!$K$225='Field Check'!$C$25)*10000000+(N('Dvd Calendar'!$K$219)&gt;0)*1000000+15*1000+7))</f>
        <v/>
      </c>
      <c r="J23" s="41">
        <f>IF(N('Dvd Calendar'!$L$220)=0,"",IF(('Dvd Calendar'!$L$220&gt;=MIN(DATE(Summary!$C$12,1,1),Summary!$C$11))*('Dvd Calendar'!$L$220&lt;=MAX(DATE(Summary!$C$12,12,31),Summary!$C$15))*('Dvd Calendar'!$L$220&lt;=Summary!$C$11)=0,"",'Dvd Calendar'!$L$220*1000000000+ISNUMBER('Dvd Calendar'!$L$221)*100000000+('Dvd Calendar'!$L$225='Field Check'!$C$25)*10000000+(N('Dvd Calendar'!$L$219)&gt;0)*1000000+15*1000+8))</f>
        <v/>
      </c>
      <c r="K23" s="41">
        <f>IF(N('Dvd Calendar'!$M$220)=0,"",IF(('Dvd Calendar'!$M$220&gt;=MIN(DATE(Summary!$C$12,1,1),Summary!$C$11))*('Dvd Calendar'!$M$220&lt;=MAX(DATE(Summary!$C$12,12,31),Summary!$C$15))*('Dvd Calendar'!$M$220&lt;=Summary!$C$11)=0,"",'Dvd Calendar'!$M$220*1000000000+ISNUMBER('Dvd Calendar'!$M$221)*100000000+('Dvd Calendar'!$M$225='Field Check'!$C$25)*10000000+(N('Dvd Calendar'!$M$219)&gt;0)*1000000+15*1000+9))</f>
        <v/>
      </c>
      <c r="L23" s="41">
        <f>IF(N('Dvd Calendar'!$N$220)=0,"",IF(('Dvd Calendar'!$N$220&gt;=MIN(DATE(Summary!$C$12,1,1),Summary!$C$11))*('Dvd Calendar'!$N$220&lt;=MAX(DATE(Summary!$C$12,12,31),Summary!$C$15))*('Dvd Calendar'!$N$220&lt;=Summary!$C$11)=0,"",'Dvd Calendar'!$N$220*1000000000+ISNUMBER('Dvd Calendar'!$N$221)*100000000+('Dvd Calendar'!$N$225='Field Check'!$C$25)*10000000+(N('Dvd Calendar'!$N$219)&gt;0)*1000000+15*1000+10))</f>
        <v/>
      </c>
      <c r="M23" s="41">
        <f>IF(N('Dvd Calendar'!$O$220)=0,"",IF(('Dvd Calendar'!$O$220&gt;=MIN(DATE(Summary!$C$12,1,1),Summary!$C$11))*('Dvd Calendar'!$O$220&lt;=MAX(DATE(Summary!$C$12,12,31),Summary!$C$15))*('Dvd Calendar'!$O$220&lt;=Summary!$C$11)=0,"",'Dvd Calendar'!$O$220*1000000000+ISNUMBER('Dvd Calendar'!$O$221)*100000000+('Dvd Calendar'!$O$225='Field Check'!$C$25)*10000000+(N('Dvd Calendar'!$O$219)&gt;0)*1000000+15*1000+11))</f>
        <v/>
      </c>
      <c r="N23" s="41">
        <f>IF(N('Dvd Calendar'!$P$220)=0,"",IF(('Dvd Calendar'!$P$220&gt;=MIN(DATE(Summary!$C$12,1,1),Summary!$C$11))*('Dvd Calendar'!$P$220&lt;=MAX(DATE(Summary!$C$12,12,31),Summary!$C$15))*('Dvd Calendar'!$P$220&lt;=Summary!$C$11)=0,"",'Dvd Calendar'!$P$220*1000000000+ISNUMBER('Dvd Calendar'!$P$221)*100000000+('Dvd Calendar'!$P$225='Field Check'!$C$25)*10000000+(N('Dvd Calendar'!$P$219)&gt;0)*1000000+15*1000+12))</f>
        <v/>
      </c>
      <c r="O23" s="41">
        <f>IF(N('Dvd Calendar'!$Q$220)=0,"",IF(('Dvd Calendar'!$Q$220&gt;=MIN(DATE(Summary!$C$12,1,1),Summary!$C$11))*('Dvd Calendar'!$Q$220&lt;=MAX(DATE(Summary!$C$12,12,31),Summary!$C$15))*('Dvd Calendar'!$Q$220&lt;=Summary!$C$11)=0,"",'Dvd Calendar'!$Q$220*1000000000+ISNUMBER('Dvd Calendar'!$Q$221)*100000000+('Dvd Calendar'!$Q$225='Field Check'!$C$25)*10000000+(N('Dvd Calendar'!$Q$219)&gt;0)*1000000+15*1000+13))</f>
        <v/>
      </c>
      <c r="P23" s="41">
        <f>IF(N('Dvd Calendar'!$R$220)=0,"",IF(('Dvd Calendar'!$R$220&gt;=MIN(DATE(Summary!$C$12,1,1),Summary!$C$11))*('Dvd Calendar'!$R$220&lt;=MAX(DATE(Summary!$C$12,12,31),Summary!$C$15))*('Dvd Calendar'!$R$220&lt;=Summary!$C$11)=0,"",'Dvd Calendar'!$R$220*1000000000+ISNUMBER('Dvd Calendar'!$R$221)*100000000+('Dvd Calendar'!$R$225='Field Check'!$C$25)*10000000+(N('Dvd Calendar'!$R$219)&gt;0)*1000000+15*1000+14))</f>
        <v/>
      </c>
      <c r="Q23" s="41">
        <f>IF(N('Dvd Calendar'!$S$220)=0,"",IF(('Dvd Calendar'!$S$220&gt;=MIN(DATE(Summary!$C$12,1,1),Summary!$C$11))*('Dvd Calendar'!$S$220&lt;=MAX(DATE(Summary!$C$12,12,31),Summary!$C$15))*('Dvd Calendar'!$S$220&lt;=Summary!$C$11)=0,"",'Dvd Calendar'!$S$220*1000000000+ISNUMBER('Dvd Calendar'!$S$221)*100000000+('Dvd Calendar'!$S$225='Field Check'!$C$25)*10000000+(N('Dvd Calendar'!$S$219)&gt;0)*1000000+15*1000+15))</f>
        <v/>
      </c>
      <c r="R23" s="41">
        <f>IF(N('Dvd Calendar'!$T$220)=0,"",IF(('Dvd Calendar'!$T$220&gt;=MIN(DATE(Summary!$C$12,1,1),Summary!$C$11))*('Dvd Calendar'!$T$220&lt;=MAX(DATE(Summary!$C$12,12,31),Summary!$C$15))*('Dvd Calendar'!$T$220&lt;=Summary!$C$11)=0,"",'Dvd Calendar'!$T$220*1000000000+ISNUMBER('Dvd Calendar'!$T$221)*100000000+('Dvd Calendar'!$T$225='Field Check'!$C$25)*10000000+(N('Dvd Calendar'!$T$219)&gt;0)*1000000+15*1000+16))</f>
        <v/>
      </c>
      <c r="S23" s="41">
        <f>IF(N('Dvd Calendar'!$U$220)=0,"",IF(('Dvd Calendar'!$U$220&gt;=MIN(DATE(Summary!$C$12,1,1),Summary!$C$11))*('Dvd Calendar'!$U$220&lt;=MAX(DATE(Summary!$C$12,12,31),Summary!$C$15))*('Dvd Calendar'!$U$220&lt;=Summary!$C$11)=0,"",'Dvd Calendar'!$U$220*1000000000+ISNUMBER('Dvd Calendar'!$U$221)*100000000+('Dvd Calendar'!$U$225='Field Check'!$C$25)*10000000+(N('Dvd Calendar'!$U$219)&gt;0)*1000000+15*1000+17))</f>
        <v/>
      </c>
      <c r="T23" s="41">
        <f>IF(N('Dvd Calendar'!$V$220)=0,"",IF(('Dvd Calendar'!$V$220&gt;=MIN(DATE(Summary!$C$12,1,1),Summary!$C$11))*('Dvd Calendar'!$V$220&lt;=MAX(DATE(Summary!$C$12,12,31),Summary!$C$15))*('Dvd Calendar'!$V$220&lt;=Summary!$C$11)=0,"",'Dvd Calendar'!$V$220*1000000000+ISNUMBER('Dvd Calendar'!$V$221)*100000000+('Dvd Calendar'!$V$225='Field Check'!$C$25)*10000000+(N('Dvd Calendar'!$V$219)&gt;0)*1000000+15*1000+18))</f>
        <v/>
      </c>
      <c r="U23" s="41">
        <f>IF(N('Dvd Calendar'!$W$220)=0,"",IF(('Dvd Calendar'!$W$220&gt;=MIN(DATE(Summary!$C$12,1,1),Summary!$C$11))*('Dvd Calendar'!$W$220&lt;=MAX(DATE(Summary!$C$12,12,31),Summary!$C$15))*('Dvd Calendar'!$W$220&lt;=Summary!$C$11)=0,"",'Dvd Calendar'!$W$220*1000000000+ISNUMBER('Dvd Calendar'!$W$221)*100000000+('Dvd Calendar'!$W$225='Field Check'!$C$25)*10000000+(N('Dvd Calendar'!$W$219)&gt;0)*1000000+15*1000+19))</f>
        <v/>
      </c>
      <c r="V23" s="41">
        <f>IF(N('Dvd Calendar'!$X$220)=0,"",IF(('Dvd Calendar'!$X$220&gt;=MIN(DATE(Summary!$C$12,1,1),Summary!$C$11))*('Dvd Calendar'!$X$220&lt;=MAX(DATE(Summary!$C$12,12,31),Summary!$C$15))*('Dvd Calendar'!$X$220&lt;=Summary!$C$11)=0,"",'Dvd Calendar'!$X$220*1000000000+ISNUMBER('Dvd Calendar'!$X$221)*100000000+('Dvd Calendar'!$X$225='Field Check'!$C$25)*10000000+(N('Dvd Calendar'!$X$219)&gt;0)*1000000+15*1000+20))</f>
        <v/>
      </c>
      <c r="W23" s="41">
        <f>IF(N('Dvd Calendar'!$Y$220)=0,"",IF(('Dvd Calendar'!$Y$220&gt;=MIN(DATE(Summary!$C$12,1,1),Summary!$C$11))*('Dvd Calendar'!$Y$220&lt;=MAX(DATE(Summary!$C$12,12,31),Summary!$C$15))*('Dvd Calendar'!$Y$220&lt;=Summary!$C$11)=0,"",'Dvd Calendar'!$Y$220*1000000000+ISNUMBER('Dvd Calendar'!$Y$221)*100000000+('Dvd Calendar'!$Y$225='Field Check'!$C$25)*10000000+(N('Dvd Calendar'!$Y$219)&gt;0)*1000000+15*1000+21))</f>
        <v/>
      </c>
      <c r="X23" s="41">
        <f>IF(N('Dvd Calendar'!$Z$220)=0,"",IF(('Dvd Calendar'!$Z$220&gt;=MIN(DATE(Summary!$C$12,1,1),Summary!$C$11))*('Dvd Calendar'!$Z$220&lt;=MAX(DATE(Summary!$C$12,12,31),Summary!$C$15))*('Dvd Calendar'!$Z$220&lt;=Summary!$C$11)=0,"",'Dvd Calendar'!$Z$220*1000000000+ISNUMBER('Dvd Calendar'!$Z$221)*100000000+('Dvd Calendar'!$Z$225='Field Check'!$C$25)*10000000+(N('Dvd Calendar'!$Z$219)&gt;0)*1000000+15*1000+22))</f>
        <v/>
      </c>
      <c r="Y23" s="41">
        <f>IF(N('Dvd Calendar'!$AA$220)=0,"",IF(('Dvd Calendar'!$AA$220&gt;=MIN(DATE(Summary!$C$12,1,1),Summary!$C$11))*('Dvd Calendar'!$AA$220&lt;=MAX(DATE(Summary!$C$12,12,31),Summary!$C$15))*('Dvd Calendar'!$AA$220&lt;=Summary!$C$11)=0,"",'Dvd Calendar'!$AA$220*1000000000+ISNUMBER('Dvd Calendar'!$AA$221)*100000000+('Dvd Calendar'!$AA$225='Field Check'!$C$25)*10000000+(N('Dvd Calendar'!$AA$219)&gt;0)*1000000+15*1000+23))</f>
        <v/>
      </c>
      <c r="Z23" s="41">
        <f>IF(N('Dvd Calendar'!$AB$220)=0,"",IF(('Dvd Calendar'!$AB$220&gt;=MIN(DATE(Summary!$C$12,1,1),Summary!$C$11))*('Dvd Calendar'!$AB$220&lt;=MAX(DATE(Summary!$C$12,12,31),Summary!$C$15))*('Dvd Calendar'!$AB$220&lt;=Summary!$C$11)=0,"",'Dvd Calendar'!$AB$220*1000000000+ISNUMBER('Dvd Calendar'!$AB$221)*100000000+('Dvd Calendar'!$AB$225='Field Check'!$C$25)*10000000+(N('Dvd Calendar'!$AB$219)&gt;0)*1000000+15*1000+24))</f>
        <v/>
      </c>
      <c r="AA23" s="41">
        <f>IF(N('Dvd Calendar'!$AC$220)=0,"",IF(('Dvd Calendar'!$AC$220&gt;=MIN(DATE(Summary!$C$12,1,1),Summary!$C$11))*('Dvd Calendar'!$AC$220&lt;=MAX(DATE(Summary!$C$12,12,31),Summary!$C$15))*('Dvd Calendar'!$AC$220&lt;=Summary!$C$11)=0,"",'Dvd Calendar'!$AC$220*1000000000+ISNUMBER('Dvd Calendar'!$AC$221)*100000000+('Dvd Calendar'!$AC$225='Field Check'!$C$25)*10000000+(N('Dvd Calendar'!$AC$219)&gt;0)*1000000+15*1000+25))</f>
        <v/>
      </c>
      <c r="AB23" s="41">
        <f>IF(N('Dvd Calendar'!$AD$220)=0,"",IF(('Dvd Calendar'!$AD$220&gt;=MIN(DATE(Summary!$C$12,1,1),Summary!$C$11))*('Dvd Calendar'!$AD$220&lt;=MAX(DATE(Summary!$C$12,12,31),Summary!$C$15))*('Dvd Calendar'!$AD$220&lt;=Summary!$C$11)=0,"",'Dvd Calendar'!$AD$220*1000000000+ISNUMBER('Dvd Calendar'!$AD$221)*100000000+('Dvd Calendar'!$AD$225='Field Check'!$C$25)*10000000+(N('Dvd Calendar'!$AD$219)&gt;0)*1000000+15*1000+26))</f>
        <v/>
      </c>
      <c r="AC23" s="41">
        <f>IF(N('Dvd Calendar'!$AE$220)=0,"",IF(('Dvd Calendar'!$AE$220&gt;=MIN(DATE(Summary!$C$12,1,1),Summary!$C$11))*('Dvd Calendar'!$AE$220&lt;=MAX(DATE(Summary!$C$12,12,31),Summary!$C$15))*('Dvd Calendar'!$AE$220&lt;=Summary!$C$11)=0,"",'Dvd Calendar'!$AE$220*1000000000+ISNUMBER('Dvd Calendar'!$AE$221)*100000000+('Dvd Calendar'!$AE$225='Field Check'!$C$25)*10000000+(N('Dvd Calendar'!$AE$219)&gt;0)*1000000+15*1000+27))</f>
        <v/>
      </c>
      <c r="AD23" s="41">
        <f>IF(N('Dvd Calendar'!$AF$220)=0,"",IF(('Dvd Calendar'!$AF$220&gt;=MIN(DATE(Summary!$C$12,1,1),Summary!$C$11))*('Dvd Calendar'!$AF$220&lt;=MAX(DATE(Summary!$C$12,12,31),Summary!$C$15))*('Dvd Calendar'!$AF$220&lt;=Summary!$C$11)=0,"",'Dvd Calendar'!$AF$220*1000000000+ISNUMBER('Dvd Calendar'!$AF$221)*100000000+('Dvd Calendar'!$AF$225='Field Check'!$C$25)*10000000+(N('Dvd Calendar'!$AF$219)&gt;0)*1000000+15*1000+28))</f>
        <v/>
      </c>
      <c r="AE23" s="41">
        <f>IF(N('Dvd Calendar'!$AG$220)=0,"",IF(('Dvd Calendar'!$AG$220&gt;=MIN(DATE(Summary!$C$12,1,1),Summary!$C$11))*('Dvd Calendar'!$AG$220&lt;=MAX(DATE(Summary!$C$12,12,31),Summary!$C$15))*('Dvd Calendar'!$AG$220&lt;=Summary!$C$11)=0,"",'Dvd Calendar'!$AG$220*1000000000+ISNUMBER('Dvd Calendar'!$AG$221)*100000000+('Dvd Calendar'!$AG$225='Field Check'!$C$25)*10000000+(N('Dvd Calendar'!$AG$219)&gt;0)*1000000+15*1000+29))</f>
        <v/>
      </c>
      <c r="AF23" s="41">
        <f>IF(N('Dvd Calendar'!$AH$220)=0,"",IF(('Dvd Calendar'!$AH$220&gt;=MIN(DATE(Summary!$C$12,1,1),Summary!$C$11))*('Dvd Calendar'!$AH$220&lt;=MAX(DATE(Summary!$C$12,12,31),Summary!$C$15))*('Dvd Calendar'!$AH$220&lt;=Summary!$C$11)=0,"",'Dvd Calendar'!$AH$220*1000000000+ISNUMBER('Dvd Calendar'!$AH$221)*100000000+('Dvd Calendar'!$AH$225='Field Check'!$C$25)*10000000+(N('Dvd Calendar'!$AH$219)&gt;0)*1000000+15*1000+30))</f>
        <v/>
      </c>
      <c r="AG23" s="41">
        <f>IF(N('Dvd Calendar'!$AI$220)=0,"",IF(('Dvd Calendar'!$AI$220&gt;=MIN(DATE(Summary!$C$12,1,1),Summary!$C$11))*('Dvd Calendar'!$AI$220&lt;=MAX(DATE(Summary!$C$12,12,31),Summary!$C$15))*('Dvd Calendar'!$AI$220&lt;=Summary!$C$11)=0,"",'Dvd Calendar'!$AI$220*1000000000+ISNUMBER('Dvd Calendar'!$AI$221)*100000000+('Dvd Calendar'!$AI$225='Field Check'!$C$25)*10000000+(N('Dvd Calendar'!$AI$219)&gt;0)*1000000+15*1000+31))</f>
        <v/>
      </c>
      <c r="AH23" s="41">
        <f>IF(N('Dvd Calendar'!$AJ$220)=0,"",IF(('Dvd Calendar'!$AJ$220&gt;=MIN(DATE(Summary!$C$12,1,1),Summary!$C$11))*('Dvd Calendar'!$AJ$220&lt;=MAX(DATE(Summary!$C$12,12,31),Summary!$C$15))*('Dvd Calendar'!$AJ$220&lt;=Summary!$C$11)=0,"",'Dvd Calendar'!$AJ$220*1000000000+ISNUMBER('Dvd Calendar'!$AJ$221)*100000000+('Dvd Calendar'!$AJ$225='Field Check'!$C$25)*10000000+(N('Dvd Calendar'!$AJ$219)&gt;0)*1000000+15*1000+32))</f>
        <v/>
      </c>
      <c r="AI23" s="41">
        <f>IF(N('Dvd Calendar'!$AK$220)=0,"",IF(('Dvd Calendar'!$AK$220&gt;=MIN(DATE(Summary!$C$12,1,1),Summary!$C$11))*('Dvd Calendar'!$AK$220&lt;=MAX(DATE(Summary!$C$12,12,31),Summary!$C$15))*('Dvd Calendar'!$AK$220&lt;=Summary!$C$11)=0,"",'Dvd Calendar'!$AK$220*1000000000+ISNUMBER('Dvd Calendar'!$AK$221)*100000000+('Dvd Calendar'!$AK$225='Field Check'!$C$25)*10000000+(N('Dvd Calendar'!$AK$219)&gt;0)*1000000+15*1000+33))</f>
        <v/>
      </c>
      <c r="AJ23" s="41">
        <f>IF(N('Dvd Calendar'!$AL$220)=0,"",IF(('Dvd Calendar'!$AL$220&gt;=MIN(DATE(Summary!$C$12,1,1),Summary!$C$11))*('Dvd Calendar'!$AL$220&lt;=MAX(DATE(Summary!$C$12,12,31),Summary!$C$15))*('Dvd Calendar'!$AL$220&lt;=Summary!$C$11)=0,"",'Dvd Calendar'!$AL$220*1000000000+ISNUMBER('Dvd Calendar'!$AL$221)*100000000+('Dvd Calendar'!$AL$225='Field Check'!$C$25)*10000000+(N('Dvd Calendar'!$AL$219)&gt;0)*1000000+15*1000+34))</f>
        <v/>
      </c>
      <c r="AK23" s="41">
        <f>IF(N('Dvd Calendar'!$AM$220)=0,"",IF(('Dvd Calendar'!$AM$220&gt;=MIN(DATE(Summary!$C$12,1,1),Summary!$C$11))*('Dvd Calendar'!$AM$220&lt;=MAX(DATE(Summary!$C$12,12,31),Summary!$C$15))*('Dvd Calendar'!$AM$220&lt;=Summary!$C$11)=0,"",'Dvd Calendar'!$AM$220*1000000000+ISNUMBER('Dvd Calendar'!$AM$221)*100000000+('Dvd Calendar'!$AM$225='Field Check'!$C$25)*10000000+(N('Dvd Calendar'!$AM$219)&gt;0)*1000000+15*1000+35))</f>
        <v/>
      </c>
      <c r="AL23" s="41">
        <f>IF(N('Dvd Calendar'!$AN$220)=0,"",IF(('Dvd Calendar'!$AN$220&gt;=MIN(DATE(Summary!$C$12,1,1),Summary!$C$11))*('Dvd Calendar'!$AN$220&lt;=MAX(DATE(Summary!$C$12,12,31),Summary!$C$15))*('Dvd Calendar'!$AN$220&lt;=Summary!$C$11)=0,"",'Dvd Calendar'!$AN$220*1000000000+ISNUMBER('Dvd Calendar'!$AN$221)*100000000+('Dvd Calendar'!$AN$225='Field Check'!$C$25)*10000000+(N('Dvd Calendar'!$AN$219)&gt;0)*1000000+15*1000+36))</f>
        <v/>
      </c>
      <c r="AM23" s="41">
        <f>IF(N('Dvd Calendar'!$AO$220)=0,"",IF(('Dvd Calendar'!$AO$220&gt;=MIN(DATE(Summary!$C$12,1,1),Summary!$C$11))*('Dvd Calendar'!$AO$220&lt;=MAX(DATE(Summary!$C$12,12,31),Summary!$C$15))*('Dvd Calendar'!$AO$220&lt;=Summary!$C$11)=0,"",'Dvd Calendar'!$AO$220*1000000000+ISNUMBER('Dvd Calendar'!$AO$221)*100000000+('Dvd Calendar'!$AO$225='Field Check'!$C$25)*10000000+(N('Dvd Calendar'!$AO$219)&gt;0)*1000000+15*1000+37))</f>
        <v/>
      </c>
      <c r="AN23" s="41">
        <f>IF(N('Dvd Calendar'!$AP$220)=0,"",IF(('Dvd Calendar'!$AP$220&gt;=MIN(DATE(Summary!$C$12,1,1),Summary!$C$11))*('Dvd Calendar'!$AP$220&lt;=MAX(DATE(Summary!$C$12,12,31),Summary!$C$15))*('Dvd Calendar'!$AP$220&lt;=Summary!$C$11)=0,"",'Dvd Calendar'!$AP$220*1000000000+ISNUMBER('Dvd Calendar'!$AP$221)*100000000+('Dvd Calendar'!$AP$225='Field Check'!$C$25)*10000000+(N('Dvd Calendar'!$AP$219)&gt;0)*1000000+15*1000+38))</f>
        <v/>
      </c>
      <c r="AO23" s="41">
        <f>IF(N('Dvd Calendar'!$AQ$220)=0,"",IF(('Dvd Calendar'!$AQ$220&gt;=MIN(DATE(Summary!$C$12,1,1),Summary!$C$11))*('Dvd Calendar'!$AQ$220&lt;=MAX(DATE(Summary!$C$12,12,31),Summary!$C$15))*('Dvd Calendar'!$AQ$220&lt;=Summary!$C$11)=0,"",'Dvd Calendar'!$AQ$220*1000000000+ISNUMBER('Dvd Calendar'!$AQ$221)*100000000+('Dvd Calendar'!$AQ$225='Field Check'!$C$25)*10000000+(N('Dvd Calendar'!$AQ$219)&gt;0)*1000000+15*1000+39))</f>
        <v/>
      </c>
      <c r="AP23" s="41">
        <f>IF(N('Dvd Calendar'!$AR$220)=0,"",IF(('Dvd Calendar'!$AR$220&gt;=MIN(DATE(Summary!$C$12,1,1),Summary!$C$11))*('Dvd Calendar'!$AR$220&lt;=MAX(DATE(Summary!$C$12,12,31),Summary!$C$15))*('Dvd Calendar'!$AR$220&lt;=Summary!$C$11)=0,"",'Dvd Calendar'!$AR$220*1000000000+ISNUMBER('Dvd Calendar'!$AR$221)*100000000+('Dvd Calendar'!$AR$225='Field Check'!$C$25)*10000000+(N('Dvd Calendar'!$AR$219)&gt;0)*1000000+15*1000+40))</f>
        <v/>
      </c>
      <c r="AQ23" s="41">
        <f>IF(N('Dvd Calendar'!$E$227)=0,"",IF(('Dvd Calendar'!$E$227&gt;=MIN(DATE(Summary!$C$12,1,1),Summary!$C$11))*('Dvd Calendar'!$E$227&lt;=MAX(DATE(Summary!$C$12,12,31),Summary!$C$15))*('Dvd Calendar'!$E$227&gt;Summary!$C$11)=0,"",'Dvd Calendar'!$E$227*1000000000+ISNUMBER('Dvd Calendar'!$E$228)*100000000+('Dvd Calendar'!$E$232='Field Check'!$C$25)*10000000+(N('Dvd Calendar'!$E$226)&gt;0)*1000000+15*1000+41))</f>
        <v/>
      </c>
      <c r="AR23" s="41">
        <f>IF(N('Dvd Calendar'!$F$227)=0,"",IF(('Dvd Calendar'!$F$227&gt;=MIN(DATE(Summary!$C$12,1,1),Summary!$C$11))*('Dvd Calendar'!$F$227&lt;=MAX(DATE(Summary!$C$12,12,31),Summary!$C$15))*('Dvd Calendar'!$F$227&gt;Summary!$C$11)=0,"",'Dvd Calendar'!$F$227*1000000000+ISNUMBER('Dvd Calendar'!$F$228)*100000000+('Dvd Calendar'!$F$232='Field Check'!$C$25)*10000000+(N('Dvd Calendar'!$F$226)&gt;0)*1000000+15*1000+42))</f>
        <v/>
      </c>
      <c r="AS23" s="41">
        <f>IF(N('Dvd Calendar'!$G$227)=0,"",IF(('Dvd Calendar'!$G$227&gt;=MIN(DATE(Summary!$C$12,1,1),Summary!$C$11))*('Dvd Calendar'!$G$227&lt;=MAX(DATE(Summary!$C$12,12,31),Summary!$C$15))*('Dvd Calendar'!$G$227&gt;Summary!$C$11)=0,"",'Dvd Calendar'!$G$227*1000000000+ISNUMBER('Dvd Calendar'!$G$228)*100000000+('Dvd Calendar'!$G$232='Field Check'!$C$25)*10000000+(N('Dvd Calendar'!$G$226)&gt;0)*1000000+15*1000+43))</f>
        <v/>
      </c>
      <c r="AT23" s="41">
        <f>IF(N('Dvd Calendar'!$H$227)=0,"",IF(('Dvd Calendar'!$H$227&gt;=MIN(DATE(Summary!$C$12,1,1),Summary!$C$11))*('Dvd Calendar'!$H$227&lt;=MAX(DATE(Summary!$C$12,12,31),Summary!$C$15))*('Dvd Calendar'!$H$227&gt;Summary!$C$11)=0,"",'Dvd Calendar'!$H$227*1000000000+ISNUMBER('Dvd Calendar'!$H$228)*100000000+('Dvd Calendar'!$H$232='Field Check'!$C$25)*10000000+(N('Dvd Calendar'!$H$226)&gt;0)*1000000+15*1000+44))</f>
        <v/>
      </c>
      <c r="AU23" s="41">
        <f>IF(N('Dvd Calendar'!$I$227)=0,"",IF(('Dvd Calendar'!$I$227&gt;=MIN(DATE(Summary!$C$12,1,1),Summary!$C$11))*('Dvd Calendar'!$I$227&lt;=MAX(DATE(Summary!$C$12,12,31),Summary!$C$15))*('Dvd Calendar'!$I$227&gt;Summary!$C$11)=0,"",'Dvd Calendar'!$I$227*1000000000+ISNUMBER('Dvd Calendar'!$I$228)*100000000+('Dvd Calendar'!$I$232='Field Check'!$C$25)*10000000+(N('Dvd Calendar'!$I$226)&gt;0)*1000000+15*1000+45))</f>
        <v/>
      </c>
      <c r="AV23" s="41">
        <f>IF(N('Dvd Calendar'!$J$227)=0,"",IF(('Dvd Calendar'!$J$227&gt;=MIN(DATE(Summary!$C$12,1,1),Summary!$C$11))*('Dvd Calendar'!$J$227&lt;=MAX(DATE(Summary!$C$12,12,31),Summary!$C$15))*('Dvd Calendar'!$J$227&gt;Summary!$C$11)=0,"",'Dvd Calendar'!$J$227*1000000000+ISNUMBER('Dvd Calendar'!$J$228)*100000000+('Dvd Calendar'!$J$232='Field Check'!$C$25)*10000000+(N('Dvd Calendar'!$J$226)&gt;0)*1000000+15*1000+46))</f>
        <v/>
      </c>
      <c r="AW23" s="41">
        <f>IF(N('Dvd Calendar'!$K$227)=0,"",IF(('Dvd Calendar'!$K$227&gt;=MIN(DATE(Summary!$C$12,1,1),Summary!$C$11))*('Dvd Calendar'!$K$227&lt;=MAX(DATE(Summary!$C$12,12,31),Summary!$C$15))*('Dvd Calendar'!$K$227&gt;Summary!$C$11)=0,"",'Dvd Calendar'!$K$227*1000000000+ISNUMBER('Dvd Calendar'!$K$228)*100000000+('Dvd Calendar'!$K$232='Field Check'!$C$25)*10000000+(N('Dvd Calendar'!$K$226)&gt;0)*1000000+15*1000+47))</f>
        <v/>
      </c>
      <c r="AX23" s="41">
        <f>IF(N('Dvd Calendar'!$L$227)=0,"",IF(('Dvd Calendar'!$L$227&gt;=MIN(DATE(Summary!$C$12,1,1),Summary!$C$11))*('Dvd Calendar'!$L$227&lt;=MAX(DATE(Summary!$C$12,12,31),Summary!$C$15))*('Dvd Calendar'!$L$227&gt;Summary!$C$11)=0,"",'Dvd Calendar'!$L$227*1000000000+ISNUMBER('Dvd Calendar'!$L$228)*100000000+('Dvd Calendar'!$L$232='Field Check'!$C$25)*10000000+(N('Dvd Calendar'!$L$226)&gt;0)*1000000+15*1000+48))</f>
        <v/>
      </c>
      <c r="AY23" s="41">
        <f>IF(N('Dvd Calendar'!$M$227)=0,"",IF(('Dvd Calendar'!$M$227&gt;=MIN(DATE(Summary!$C$12,1,1),Summary!$C$11))*('Dvd Calendar'!$M$227&lt;=MAX(DATE(Summary!$C$12,12,31),Summary!$C$15))*('Dvd Calendar'!$M$227&gt;Summary!$C$11)=0,"",'Dvd Calendar'!$M$227*1000000000+ISNUMBER('Dvd Calendar'!$M$228)*100000000+('Dvd Calendar'!$M$232='Field Check'!$C$25)*10000000+(N('Dvd Calendar'!$M$226)&gt;0)*1000000+15*1000+49))</f>
        <v/>
      </c>
      <c r="AZ23" s="41">
        <f>IF(N('Dvd Calendar'!$N$227)=0,"",IF(('Dvd Calendar'!$N$227&gt;=MIN(DATE(Summary!$C$12,1,1),Summary!$C$11))*('Dvd Calendar'!$N$227&lt;=MAX(DATE(Summary!$C$12,12,31),Summary!$C$15))*('Dvd Calendar'!$N$227&gt;Summary!$C$11)=0,"",'Dvd Calendar'!$N$227*1000000000+ISNUMBER('Dvd Calendar'!$N$228)*100000000+('Dvd Calendar'!$N$232='Field Check'!$C$25)*10000000+(N('Dvd Calendar'!$N$226)&gt;0)*1000000+15*1000+50))</f>
        <v/>
      </c>
      <c r="BA23" s="41">
        <f>IF(N('Dvd Calendar'!$O$227)=0,"",IF(('Dvd Calendar'!$O$227&gt;=MIN(DATE(Summary!$C$12,1,1),Summary!$C$11))*('Dvd Calendar'!$O$227&lt;=MAX(DATE(Summary!$C$12,12,31),Summary!$C$15))*('Dvd Calendar'!$O$227&gt;Summary!$C$11)=0,"",'Dvd Calendar'!$O$227*1000000000+ISNUMBER('Dvd Calendar'!$O$228)*100000000+('Dvd Calendar'!$O$232='Field Check'!$C$25)*10000000+(N('Dvd Calendar'!$O$226)&gt;0)*1000000+15*1000+51))</f>
        <v/>
      </c>
      <c r="BB23" s="41">
        <f>IF(N('Dvd Calendar'!$P$227)=0,"",IF(('Dvd Calendar'!$P$227&gt;=MIN(DATE(Summary!$C$12,1,1),Summary!$C$11))*('Dvd Calendar'!$P$227&lt;=MAX(DATE(Summary!$C$12,12,31),Summary!$C$15))*('Dvd Calendar'!$P$227&gt;Summary!$C$11)=0,"",'Dvd Calendar'!$P$227*1000000000+ISNUMBER('Dvd Calendar'!$P$228)*100000000+('Dvd Calendar'!$P$232='Field Check'!$C$25)*10000000+(N('Dvd Calendar'!$P$226)&gt;0)*1000000+15*1000+52))</f>
        <v/>
      </c>
      <c r="BC23" s="41">
        <f>IF(N('Dvd Calendar'!$Q$227)=0,"",IF(('Dvd Calendar'!$Q$227&gt;=MIN(DATE(Summary!$C$12,1,1),Summary!$C$11))*('Dvd Calendar'!$Q$227&lt;=MAX(DATE(Summary!$C$12,12,31),Summary!$C$15))*('Dvd Calendar'!$Q$227&gt;Summary!$C$11)=0,"",'Dvd Calendar'!$Q$227*1000000000+ISNUMBER('Dvd Calendar'!$Q$228)*100000000+('Dvd Calendar'!$Q$232='Field Check'!$C$25)*10000000+(N('Dvd Calendar'!$Q$226)&gt;0)*1000000+15*1000+53))</f>
        <v/>
      </c>
      <c r="BD23" s="41">
        <f>IF(N('Dvd Calendar'!$R$227)=0,"",IF(('Dvd Calendar'!$R$227&gt;=MIN(DATE(Summary!$C$12,1,1),Summary!$C$11))*('Dvd Calendar'!$R$227&lt;=MAX(DATE(Summary!$C$12,12,31),Summary!$C$15))*('Dvd Calendar'!$R$227&gt;Summary!$C$11)=0,"",'Dvd Calendar'!$R$227*1000000000+ISNUMBER('Dvd Calendar'!$R$228)*100000000+('Dvd Calendar'!$R$232='Field Check'!$C$25)*10000000+(N('Dvd Calendar'!$R$226)&gt;0)*1000000+15*1000+54))</f>
        <v/>
      </c>
      <c r="BE23" s="41">
        <f>IF(N('Dvd Calendar'!$S$227)=0,"",IF(('Dvd Calendar'!$S$227&gt;=MIN(DATE(Summary!$C$12,1,1),Summary!$C$11))*('Dvd Calendar'!$S$227&lt;=MAX(DATE(Summary!$C$12,12,31),Summary!$C$15))*('Dvd Calendar'!$S$227&gt;Summary!$C$11)=0,"",'Dvd Calendar'!$S$227*1000000000+ISNUMBER('Dvd Calendar'!$S$228)*100000000+('Dvd Calendar'!$S$232='Field Check'!$C$25)*10000000+(N('Dvd Calendar'!$S$226)&gt;0)*1000000+15*1000+55))</f>
        <v/>
      </c>
      <c r="BF23" s="41">
        <f>IF(N('Dvd Calendar'!$T$227)=0,"",IF(('Dvd Calendar'!$T$227&gt;=MIN(DATE(Summary!$C$12,1,1),Summary!$C$11))*('Dvd Calendar'!$T$227&lt;=MAX(DATE(Summary!$C$12,12,31),Summary!$C$15))*('Dvd Calendar'!$T$227&gt;Summary!$C$11)=0,"",'Dvd Calendar'!$T$227*1000000000+ISNUMBER('Dvd Calendar'!$T$228)*100000000+('Dvd Calendar'!$T$232='Field Check'!$C$25)*10000000+(N('Dvd Calendar'!$T$226)&gt;0)*1000000+15*1000+56))</f>
        <v/>
      </c>
      <c r="BG23" s="41">
        <f>IF(N('Dvd Calendar'!$U$227)=0,"",IF(('Dvd Calendar'!$U$227&gt;=MIN(DATE(Summary!$C$12,1,1),Summary!$C$11))*('Dvd Calendar'!$U$227&lt;=MAX(DATE(Summary!$C$12,12,31),Summary!$C$15))*('Dvd Calendar'!$U$227&gt;Summary!$C$11)=0,"",'Dvd Calendar'!$U$227*1000000000+ISNUMBER('Dvd Calendar'!$U$228)*100000000+('Dvd Calendar'!$U$232='Field Check'!$C$25)*10000000+(N('Dvd Calendar'!$U$226)&gt;0)*1000000+15*1000+57))</f>
        <v/>
      </c>
      <c r="BH23" s="41">
        <f>IF(N('Dvd Calendar'!$V$227)=0,"",IF(('Dvd Calendar'!$V$227&gt;=MIN(DATE(Summary!$C$12,1,1),Summary!$C$11))*('Dvd Calendar'!$V$227&lt;=MAX(DATE(Summary!$C$12,12,31),Summary!$C$15))*('Dvd Calendar'!$V$227&gt;Summary!$C$11)=0,"",'Dvd Calendar'!$V$227*1000000000+ISNUMBER('Dvd Calendar'!$V$228)*100000000+('Dvd Calendar'!$V$232='Field Check'!$C$25)*10000000+(N('Dvd Calendar'!$V$226)&gt;0)*1000000+15*1000+58))</f>
        <v/>
      </c>
      <c r="BI23" s="41">
        <f>IF(N('Dvd Calendar'!$W$227)=0,"",IF(('Dvd Calendar'!$W$227&gt;=MIN(DATE(Summary!$C$12,1,1),Summary!$C$11))*('Dvd Calendar'!$W$227&lt;=MAX(DATE(Summary!$C$12,12,31),Summary!$C$15))*('Dvd Calendar'!$W$227&gt;Summary!$C$11)=0,"",'Dvd Calendar'!$W$227*1000000000+ISNUMBER('Dvd Calendar'!$W$228)*100000000+('Dvd Calendar'!$W$232='Field Check'!$C$25)*10000000+(N('Dvd Calendar'!$W$226)&gt;0)*1000000+15*1000+59))</f>
        <v/>
      </c>
      <c r="BJ23" s="41">
        <f>IF(N('Dvd Calendar'!$X$227)=0,"",IF(('Dvd Calendar'!$X$227&gt;=MIN(DATE(Summary!$C$12,1,1),Summary!$C$11))*('Dvd Calendar'!$X$227&lt;=MAX(DATE(Summary!$C$12,12,31),Summary!$C$15))*('Dvd Calendar'!$X$227&gt;Summary!$C$11)=0,"",'Dvd Calendar'!$X$227*1000000000+ISNUMBER('Dvd Calendar'!$X$228)*100000000+('Dvd Calendar'!$X$232='Field Check'!$C$25)*10000000+(N('Dvd Calendar'!$X$226)&gt;0)*1000000+15*1000+60))</f>
        <v/>
      </c>
      <c r="BK23" s="41">
        <f>IF(N('Dvd Calendar'!$Y$227)=0,"",IF(('Dvd Calendar'!$Y$227&gt;=MIN(DATE(Summary!$C$12,1,1),Summary!$C$11))*('Dvd Calendar'!$Y$227&lt;=MAX(DATE(Summary!$C$12,12,31),Summary!$C$15))*('Dvd Calendar'!$Y$227&gt;Summary!$C$11)=0,"",'Dvd Calendar'!$Y$227*1000000000+ISNUMBER('Dvd Calendar'!$Y$228)*100000000+('Dvd Calendar'!$Y$232='Field Check'!$C$25)*10000000+(N('Dvd Calendar'!$Y$226)&gt;0)*1000000+15*1000+61))</f>
        <v/>
      </c>
      <c r="BL23" s="41">
        <f>IF(N('Dvd Calendar'!$Z$227)=0,"",IF(('Dvd Calendar'!$Z$227&gt;=MIN(DATE(Summary!$C$12,1,1),Summary!$C$11))*('Dvd Calendar'!$Z$227&lt;=MAX(DATE(Summary!$C$12,12,31),Summary!$C$15))*('Dvd Calendar'!$Z$227&gt;Summary!$C$11)=0,"",'Dvd Calendar'!$Z$227*1000000000+ISNUMBER('Dvd Calendar'!$Z$228)*100000000+('Dvd Calendar'!$Z$232='Field Check'!$C$25)*10000000+(N('Dvd Calendar'!$Z$226)&gt;0)*1000000+15*1000+62))</f>
        <v/>
      </c>
      <c r="BM23" s="41">
        <f>IF(N('Dvd Calendar'!$AA$227)=0,"",IF(('Dvd Calendar'!$AA$227&gt;=MIN(DATE(Summary!$C$12,1,1),Summary!$C$11))*('Dvd Calendar'!$AA$227&lt;=MAX(DATE(Summary!$C$12,12,31),Summary!$C$15))*('Dvd Calendar'!$AA$227&gt;Summary!$C$11)=0,"",'Dvd Calendar'!$AA$227*1000000000+ISNUMBER('Dvd Calendar'!$AA$228)*100000000+('Dvd Calendar'!$AA$232='Field Check'!$C$25)*10000000+(N('Dvd Calendar'!$AA$226)&gt;0)*1000000+15*1000+63))</f>
        <v/>
      </c>
      <c r="BN23" s="41">
        <f>IF(N('Dvd Calendar'!$AB$227)=0,"",IF(('Dvd Calendar'!$AB$227&gt;=MIN(DATE(Summary!$C$12,1,1),Summary!$C$11))*('Dvd Calendar'!$AB$227&lt;=MAX(DATE(Summary!$C$12,12,31),Summary!$C$15))*('Dvd Calendar'!$AB$227&gt;Summary!$C$11)=0,"",'Dvd Calendar'!$AB$227*1000000000+ISNUMBER('Dvd Calendar'!$AB$228)*100000000+('Dvd Calendar'!$AB$232='Field Check'!$C$25)*10000000+(N('Dvd Calendar'!$AB$226)&gt;0)*1000000+15*1000+64))</f>
        <v/>
      </c>
      <c r="BO23" s="41">
        <f>IF(N('Dvd Calendar'!$AC$227)=0,"",IF(('Dvd Calendar'!$AC$227&gt;=MIN(DATE(Summary!$C$12,1,1),Summary!$C$11))*('Dvd Calendar'!$AC$227&lt;=MAX(DATE(Summary!$C$12,12,31),Summary!$C$15))*('Dvd Calendar'!$AC$227&gt;Summary!$C$11)=0,"",'Dvd Calendar'!$AC$227*1000000000+ISNUMBER('Dvd Calendar'!$AC$228)*100000000+('Dvd Calendar'!$AC$232='Field Check'!$C$25)*10000000+(N('Dvd Calendar'!$AC$226)&gt;0)*1000000+15*1000+65))</f>
        <v/>
      </c>
      <c r="BQ23" s="85">
        <f>IF(C23="","",IF(ISNUMBER('Dvd Calendar'!$E$221)=FALSE,"",IF((Summary!$C$13="N")*('Dvd Calendar'!$E$225='Field Check'!$C$25)&gt;0,"",'Dvd Calendar'!$E$221)))</f>
        <v/>
      </c>
      <c r="BR23" s="85">
        <f>IF(D23="","",IF(ISNUMBER('Dvd Calendar'!$F$221)=FALSE,"",IF((Summary!$C$13="N")*('Dvd Calendar'!$F$225='Field Check'!$C$25)&gt;0,"",'Dvd Calendar'!$F$221)))</f>
        <v/>
      </c>
      <c r="BS23" s="85">
        <f>IF(E23="","",IF(ISNUMBER('Dvd Calendar'!$G$221)=FALSE,"",IF((Summary!$C$13="N")*('Dvd Calendar'!$G$225='Field Check'!$C$25)&gt;0,"",'Dvd Calendar'!$G$221)))</f>
        <v/>
      </c>
      <c r="BT23" s="85">
        <f>IF(F23="","",IF(ISNUMBER('Dvd Calendar'!$H$221)=FALSE,"",IF((Summary!$C$13="N")*('Dvd Calendar'!$H$225='Field Check'!$C$25)&gt;0,"",'Dvd Calendar'!$H$221)))</f>
        <v/>
      </c>
      <c r="BU23" s="85">
        <f>IF(G23="","",IF(ISNUMBER('Dvd Calendar'!$I$221)=FALSE,"",IF((Summary!$C$13="N")*('Dvd Calendar'!$I$225='Field Check'!$C$25)&gt;0,"",'Dvd Calendar'!$I$221)))</f>
        <v/>
      </c>
      <c r="BV23" s="85">
        <f>IF(H23="","",IF(ISNUMBER('Dvd Calendar'!$J$221)=FALSE,"",IF((Summary!$C$13="N")*('Dvd Calendar'!$J$225='Field Check'!$C$25)&gt;0,"",'Dvd Calendar'!$J$221)))</f>
        <v/>
      </c>
      <c r="BW23" s="85">
        <f>IF(I23="","",IF(ISNUMBER('Dvd Calendar'!$K$221)=FALSE,"",IF((Summary!$C$13="N")*('Dvd Calendar'!$K$225='Field Check'!$C$25)&gt;0,"",'Dvd Calendar'!$K$221)))</f>
        <v/>
      </c>
      <c r="BX23" s="85">
        <f>IF(J23="","",IF(ISNUMBER('Dvd Calendar'!$L$221)=FALSE,"",IF((Summary!$C$13="N")*('Dvd Calendar'!$L$225='Field Check'!$C$25)&gt;0,"",'Dvd Calendar'!$L$221)))</f>
        <v/>
      </c>
      <c r="BY23" s="85">
        <f>IF(K23="","",IF(ISNUMBER('Dvd Calendar'!$M$221)=FALSE,"",IF((Summary!$C$13="N")*('Dvd Calendar'!$M$225='Field Check'!$C$25)&gt;0,"",'Dvd Calendar'!$M$221)))</f>
        <v/>
      </c>
      <c r="BZ23" s="85">
        <f>IF(L23="","",IF(ISNUMBER('Dvd Calendar'!$N$221)=FALSE,"",IF((Summary!$C$13="N")*('Dvd Calendar'!$N$225='Field Check'!$C$25)&gt;0,"",'Dvd Calendar'!$N$221)))</f>
        <v/>
      </c>
      <c r="CA23" s="85">
        <f>IF(M23="","",IF(ISNUMBER('Dvd Calendar'!$O$221)=FALSE,"",IF((Summary!$C$13="N")*('Dvd Calendar'!$O$225='Field Check'!$C$25)&gt;0,"",'Dvd Calendar'!$O$221)))</f>
        <v/>
      </c>
      <c r="CB23" s="85">
        <f>IF(N23="","",IF(ISNUMBER('Dvd Calendar'!$P$221)=FALSE,"",IF((Summary!$C$13="N")*('Dvd Calendar'!$P$225='Field Check'!$C$25)&gt;0,"",'Dvd Calendar'!$P$221)))</f>
        <v/>
      </c>
      <c r="CC23" s="85">
        <f>IF(O23="","",IF(ISNUMBER('Dvd Calendar'!$Q$221)=FALSE,"",IF((Summary!$C$13="N")*('Dvd Calendar'!$Q$225='Field Check'!$C$25)&gt;0,"",'Dvd Calendar'!$Q$221)))</f>
        <v/>
      </c>
      <c r="CD23" s="85">
        <f>IF(P23="","",IF(ISNUMBER('Dvd Calendar'!$R$221)=FALSE,"",IF((Summary!$C$13="N")*('Dvd Calendar'!$R$225='Field Check'!$C$25)&gt;0,"",'Dvd Calendar'!$R$221)))</f>
        <v/>
      </c>
      <c r="CE23" s="85">
        <f>IF(Q23="","",IF(ISNUMBER('Dvd Calendar'!$S$221)=FALSE,"",IF((Summary!$C$13="N")*('Dvd Calendar'!$S$225='Field Check'!$C$25)&gt;0,"",'Dvd Calendar'!$S$221)))</f>
        <v/>
      </c>
      <c r="CF23" s="85">
        <f>IF(R23="","",IF(ISNUMBER('Dvd Calendar'!$T$221)=FALSE,"",IF((Summary!$C$13="N")*('Dvd Calendar'!$T$225='Field Check'!$C$25)&gt;0,"",'Dvd Calendar'!$T$221)))</f>
        <v/>
      </c>
      <c r="CG23" s="85">
        <f>IF(S23="","",IF(ISNUMBER('Dvd Calendar'!$U$221)=FALSE,"",IF((Summary!$C$13="N")*('Dvd Calendar'!$U$225='Field Check'!$C$25)&gt;0,"",'Dvd Calendar'!$U$221)))</f>
        <v/>
      </c>
      <c r="CH23" s="85">
        <f>IF(T23="","",IF(ISNUMBER('Dvd Calendar'!$V$221)=FALSE,"",IF((Summary!$C$13="N")*('Dvd Calendar'!$V$225='Field Check'!$C$25)&gt;0,"",'Dvd Calendar'!$V$221)))</f>
        <v/>
      </c>
      <c r="CI23" s="85">
        <f>IF(U23="","",IF(ISNUMBER('Dvd Calendar'!$W$221)=FALSE,"",IF((Summary!$C$13="N")*('Dvd Calendar'!$W$225='Field Check'!$C$25)&gt;0,"",'Dvd Calendar'!$W$221)))</f>
        <v/>
      </c>
      <c r="CJ23" s="85">
        <f>IF(V23="","",IF(ISNUMBER('Dvd Calendar'!$X$221)=FALSE,"",IF((Summary!$C$13="N")*('Dvd Calendar'!$X$225='Field Check'!$C$25)&gt;0,"",'Dvd Calendar'!$X$221)))</f>
        <v/>
      </c>
      <c r="CK23" s="85">
        <f>IF(W23="","",IF(ISNUMBER('Dvd Calendar'!$Y$221)=FALSE,"",IF((Summary!$C$13="N")*('Dvd Calendar'!$Y$225='Field Check'!$C$25)&gt;0,"",'Dvd Calendar'!$Y$221)))</f>
        <v/>
      </c>
      <c r="CL23" s="85">
        <f>IF(X23="","",IF(ISNUMBER('Dvd Calendar'!$Z$221)=FALSE,"",IF((Summary!$C$13="N")*('Dvd Calendar'!$Z$225='Field Check'!$C$25)&gt;0,"",'Dvd Calendar'!$Z$221)))</f>
        <v/>
      </c>
      <c r="CM23" s="85">
        <f>IF(Y23="","",IF(ISNUMBER('Dvd Calendar'!$AA$221)=FALSE,"",IF((Summary!$C$13="N")*('Dvd Calendar'!$AA$225='Field Check'!$C$25)&gt;0,"",'Dvd Calendar'!$AA$221)))</f>
        <v/>
      </c>
      <c r="CN23" s="85">
        <f>IF(Z23="","",IF(ISNUMBER('Dvd Calendar'!$AB$221)=FALSE,"",IF((Summary!$C$13="N")*('Dvd Calendar'!$AB$225='Field Check'!$C$25)&gt;0,"",'Dvd Calendar'!$AB$221)))</f>
        <v/>
      </c>
      <c r="CO23" s="85">
        <f>IF(AA23="","",IF(ISNUMBER('Dvd Calendar'!$AC$221)=FALSE,"",IF((Summary!$C$13="N")*('Dvd Calendar'!$AC$225='Field Check'!$C$25)&gt;0,"",'Dvd Calendar'!$AC$221)))</f>
        <v/>
      </c>
      <c r="CP23" s="85">
        <f>IF(AB23="","",IF(ISNUMBER('Dvd Calendar'!$AD$221)=FALSE,"",IF((Summary!$C$13="N")*('Dvd Calendar'!$AD$225='Field Check'!$C$25)&gt;0,"",'Dvd Calendar'!$AD$221)))</f>
        <v/>
      </c>
      <c r="CQ23" s="85">
        <f>IF(AC23="","",IF(ISNUMBER('Dvd Calendar'!$AE$221)=FALSE,"",IF((Summary!$C$13="N")*('Dvd Calendar'!$AE$225='Field Check'!$C$25)&gt;0,"",'Dvd Calendar'!$AE$221)))</f>
        <v/>
      </c>
      <c r="CR23" s="85">
        <f>IF(AD23="","",IF(ISNUMBER('Dvd Calendar'!$AF$221)=FALSE,"",IF((Summary!$C$13="N")*('Dvd Calendar'!$AF$225='Field Check'!$C$25)&gt;0,"",'Dvd Calendar'!$AF$221)))</f>
        <v/>
      </c>
      <c r="CS23" s="85">
        <f>IF(AE23="","",IF(ISNUMBER('Dvd Calendar'!$AG$221)=FALSE,"",IF((Summary!$C$13="N")*('Dvd Calendar'!$AG$225='Field Check'!$C$25)&gt;0,"",'Dvd Calendar'!$AG$221)))</f>
        <v/>
      </c>
      <c r="CT23" s="85">
        <f>IF(AF23="","",IF(ISNUMBER('Dvd Calendar'!$AH$221)=FALSE,"",IF((Summary!$C$13="N")*('Dvd Calendar'!$AH$225='Field Check'!$C$25)&gt;0,"",'Dvd Calendar'!$AH$221)))</f>
        <v/>
      </c>
      <c r="CU23" s="85">
        <f>IF(AG23="","",IF(ISNUMBER('Dvd Calendar'!$AI$221)=FALSE,"",IF((Summary!$C$13="N")*('Dvd Calendar'!$AI$225='Field Check'!$C$25)&gt;0,"",'Dvd Calendar'!$AI$221)))</f>
        <v/>
      </c>
      <c r="CV23" s="85">
        <f>IF(AH23="","",IF(ISNUMBER('Dvd Calendar'!$AJ$221)=FALSE,"",IF((Summary!$C$13="N")*('Dvd Calendar'!$AJ$225='Field Check'!$C$25)&gt;0,"",'Dvd Calendar'!$AJ$221)))</f>
        <v/>
      </c>
      <c r="CW23" s="85">
        <f>IF(AI23="","",IF(ISNUMBER('Dvd Calendar'!$AK$221)=FALSE,"",IF((Summary!$C$13="N")*('Dvd Calendar'!$AK$225='Field Check'!$C$25)&gt;0,"",'Dvd Calendar'!$AK$221)))</f>
        <v/>
      </c>
      <c r="CX23" s="85">
        <f>IF(AJ23="","",IF(ISNUMBER('Dvd Calendar'!$AL$221)=FALSE,"",IF((Summary!$C$13="N")*('Dvd Calendar'!$AL$225='Field Check'!$C$25)&gt;0,"",'Dvd Calendar'!$AL$221)))</f>
        <v/>
      </c>
      <c r="CY23" s="85">
        <f>IF(AK23="","",IF(ISNUMBER('Dvd Calendar'!$AM$221)=FALSE,"",IF((Summary!$C$13="N")*('Dvd Calendar'!$AM$225='Field Check'!$C$25)&gt;0,"",'Dvd Calendar'!$AM$221)))</f>
        <v/>
      </c>
      <c r="CZ23" s="85">
        <f>IF(AL23="","",IF(ISNUMBER('Dvd Calendar'!$AN$221)=FALSE,"",IF((Summary!$C$13="N")*('Dvd Calendar'!$AN$225='Field Check'!$C$25)&gt;0,"",'Dvd Calendar'!$AN$221)))</f>
        <v/>
      </c>
      <c r="DA23" s="85">
        <f>IF(AM23="","",IF(ISNUMBER('Dvd Calendar'!$AO$221)=FALSE,"",IF((Summary!$C$13="N")*('Dvd Calendar'!$AO$225='Field Check'!$C$25)&gt;0,"",'Dvd Calendar'!$AO$221)))</f>
        <v/>
      </c>
      <c r="DB23" s="85">
        <f>IF(AN23="","",IF(ISNUMBER('Dvd Calendar'!$AP$221)=FALSE,"",IF((Summary!$C$13="N")*('Dvd Calendar'!$AP$225='Field Check'!$C$25)&gt;0,"",'Dvd Calendar'!$AP$221)))</f>
        <v/>
      </c>
      <c r="DC23" s="85">
        <f>IF(AO23="","",IF(ISNUMBER('Dvd Calendar'!$AQ$221)=FALSE,"",IF((Summary!$C$13="N")*('Dvd Calendar'!$AQ$225='Field Check'!$C$25)&gt;0,"",'Dvd Calendar'!$AQ$221)))</f>
        <v/>
      </c>
      <c r="DD23" s="85">
        <f>IF(AP23="","",IF(ISNUMBER('Dvd Calendar'!$AR$221)=FALSE,"",IF((Summary!$C$13="N")*('Dvd Calendar'!$AR$225='Field Check'!$C$25)&gt;0,"",'Dvd Calendar'!$AR$221)))</f>
        <v/>
      </c>
      <c r="DE23" s="85">
        <f>IF(AQ23="","",IF(ISNUMBER('Dvd Calendar'!$E$228)=FALSE,"",IF((Summary!$C$13="N")*('Dvd Calendar'!$E$232='Field Check'!$C$25)&gt;0,"",'Dvd Calendar'!$E$228)))</f>
        <v/>
      </c>
      <c r="DF23" s="85">
        <f>IF(AR23="","",IF(ISNUMBER('Dvd Calendar'!$F$228)=FALSE,"",IF((Summary!$C$13="N")*('Dvd Calendar'!$F$232='Field Check'!$C$25)&gt;0,"",'Dvd Calendar'!$F$228)))</f>
        <v/>
      </c>
      <c r="DG23" s="85">
        <f>IF(AS23="","",IF(ISNUMBER('Dvd Calendar'!$G$228)=FALSE,"",IF((Summary!$C$13="N")*('Dvd Calendar'!$G$232='Field Check'!$C$25)&gt;0,"",'Dvd Calendar'!$G$228)))</f>
        <v/>
      </c>
      <c r="DH23" s="85">
        <f>IF(AT23="","",IF(ISNUMBER('Dvd Calendar'!$H$228)=FALSE,"",IF((Summary!$C$13="N")*('Dvd Calendar'!$H$232='Field Check'!$C$25)&gt;0,"",'Dvd Calendar'!$H$228)))</f>
        <v/>
      </c>
      <c r="DI23" s="85">
        <f>IF(AU23="","",IF(ISNUMBER('Dvd Calendar'!$I$228)=FALSE,"",IF((Summary!$C$13="N")*('Dvd Calendar'!$I$232='Field Check'!$C$25)&gt;0,"",'Dvd Calendar'!$I$228)))</f>
        <v/>
      </c>
      <c r="DJ23" s="85">
        <f>IF(AV23="","",IF(ISNUMBER('Dvd Calendar'!$J$228)=FALSE,"",IF((Summary!$C$13="N")*('Dvd Calendar'!$J$232='Field Check'!$C$25)&gt;0,"",'Dvd Calendar'!$J$228)))</f>
        <v/>
      </c>
      <c r="DK23" s="85">
        <f>IF(AW23="","",IF(ISNUMBER('Dvd Calendar'!$K$228)=FALSE,"",IF((Summary!$C$13="N")*('Dvd Calendar'!$K$232='Field Check'!$C$25)&gt;0,"",'Dvd Calendar'!$K$228)))</f>
        <v/>
      </c>
      <c r="DL23" s="85">
        <f>IF(AX23="","",IF(ISNUMBER('Dvd Calendar'!$L$228)=FALSE,"",IF((Summary!$C$13="N")*('Dvd Calendar'!$L$232='Field Check'!$C$25)&gt;0,"",'Dvd Calendar'!$L$228)))</f>
        <v/>
      </c>
      <c r="DM23" s="85">
        <f>IF(AY23="","",IF(ISNUMBER('Dvd Calendar'!$M$228)=FALSE,"",IF((Summary!$C$13="N")*('Dvd Calendar'!$M$232='Field Check'!$C$25)&gt;0,"",'Dvd Calendar'!$M$228)))</f>
        <v/>
      </c>
      <c r="DN23" s="85">
        <f>IF(AZ23="","",IF(ISNUMBER('Dvd Calendar'!$N$228)=FALSE,"",IF((Summary!$C$13="N")*('Dvd Calendar'!$N$232='Field Check'!$C$25)&gt;0,"",'Dvd Calendar'!$N$228)))</f>
        <v/>
      </c>
      <c r="DO23" s="85">
        <f>IF(BA23="","",IF(ISNUMBER('Dvd Calendar'!$O$228)=FALSE,"",IF((Summary!$C$13="N")*('Dvd Calendar'!$O$232='Field Check'!$C$25)&gt;0,"",'Dvd Calendar'!$O$228)))</f>
        <v/>
      </c>
      <c r="DP23" s="85">
        <f>IF(BB23="","",IF(ISNUMBER('Dvd Calendar'!$P$228)=FALSE,"",IF((Summary!$C$13="N")*('Dvd Calendar'!$P$232='Field Check'!$C$25)&gt;0,"",'Dvd Calendar'!$P$228)))</f>
        <v/>
      </c>
      <c r="DQ23" s="85">
        <f>IF(BC23="","",IF(ISNUMBER('Dvd Calendar'!$Q$228)=FALSE,"",IF((Summary!$C$13="N")*('Dvd Calendar'!$Q$232='Field Check'!$C$25)&gt;0,"",'Dvd Calendar'!$Q$228)))</f>
        <v/>
      </c>
      <c r="DR23" s="85">
        <f>IF(BD23="","",IF(ISNUMBER('Dvd Calendar'!$R$228)=FALSE,"",IF((Summary!$C$13="N")*('Dvd Calendar'!$R$232='Field Check'!$C$25)&gt;0,"",'Dvd Calendar'!$R$228)))</f>
        <v/>
      </c>
      <c r="DS23" s="85">
        <f>IF(BE23="","",IF(ISNUMBER('Dvd Calendar'!$S$228)=FALSE,"",IF((Summary!$C$13="N")*('Dvd Calendar'!$S$232='Field Check'!$C$25)&gt;0,"",'Dvd Calendar'!$S$228)))</f>
        <v/>
      </c>
      <c r="DT23" s="85">
        <f>IF(BF23="","",IF(ISNUMBER('Dvd Calendar'!$T$228)=FALSE,"",IF((Summary!$C$13="N")*('Dvd Calendar'!$T$232='Field Check'!$C$25)&gt;0,"",'Dvd Calendar'!$T$228)))</f>
        <v/>
      </c>
      <c r="DU23" s="85">
        <f>IF(BG23="","",IF(ISNUMBER('Dvd Calendar'!$U$228)=FALSE,"",IF((Summary!$C$13="N")*('Dvd Calendar'!$U$232='Field Check'!$C$25)&gt;0,"",'Dvd Calendar'!$U$228)))</f>
        <v/>
      </c>
      <c r="DV23" s="85">
        <f>IF(BH23="","",IF(ISNUMBER('Dvd Calendar'!$V$228)=FALSE,"",IF((Summary!$C$13="N")*('Dvd Calendar'!$V$232='Field Check'!$C$25)&gt;0,"",'Dvd Calendar'!$V$228)))</f>
        <v/>
      </c>
      <c r="DW23" s="85">
        <f>IF(BI23="","",IF(ISNUMBER('Dvd Calendar'!$W$228)=FALSE,"",IF((Summary!$C$13="N")*('Dvd Calendar'!$W$232='Field Check'!$C$25)&gt;0,"",'Dvd Calendar'!$W$228)))</f>
        <v/>
      </c>
      <c r="DX23" s="85">
        <f>IF(BJ23="","",IF(ISNUMBER('Dvd Calendar'!$X$228)=FALSE,"",IF((Summary!$C$13="N")*('Dvd Calendar'!$X$232='Field Check'!$C$25)&gt;0,"",'Dvd Calendar'!$X$228)))</f>
        <v/>
      </c>
      <c r="DY23" s="85">
        <f>IF(BK23="","",IF(ISNUMBER('Dvd Calendar'!$Y$228)=FALSE,"",IF((Summary!$C$13="N")*('Dvd Calendar'!$Y$232='Field Check'!$C$25)&gt;0,"",'Dvd Calendar'!$Y$228)))</f>
        <v/>
      </c>
      <c r="DZ23" s="85">
        <f>IF(BL23="","",IF(ISNUMBER('Dvd Calendar'!$Z$228)=FALSE,"",IF((Summary!$C$13="N")*('Dvd Calendar'!$Z$232='Field Check'!$C$25)&gt;0,"",'Dvd Calendar'!$Z$228)))</f>
        <v/>
      </c>
      <c r="EA23" s="85">
        <f>IF(BM23="","",IF(ISNUMBER('Dvd Calendar'!$AA$228)=FALSE,"",IF((Summary!$C$13="N")*('Dvd Calendar'!$AA$232='Field Check'!$C$25)&gt;0,"",'Dvd Calendar'!$AA$228)))</f>
        <v/>
      </c>
      <c r="EB23" s="85">
        <f>IF(BN23="","",IF(ISNUMBER('Dvd Calendar'!$AB$228)=FALSE,"",IF((Summary!$C$13="N")*('Dvd Calendar'!$AB$232='Field Check'!$C$25)&gt;0,"",'Dvd Calendar'!$AB$228)))</f>
        <v/>
      </c>
      <c r="EC23" s="85">
        <f>IF(BO23="","",IF(ISNUMBER('Dvd Calendar'!$AC$228)=FALSE,"",IF((Summary!$C$13="N")*('Dvd Calendar'!$AC$232='Field Check'!$C$25)&gt;0,"",'Dvd Calendar'!$AC$228)))</f>
        <v/>
      </c>
      <c r="EE23" s="85">
        <f>IF(BQ23="","",IFERROR(BQ23*HSI!$B$21*HSI!$G$21/HSI!$B$3,""))</f>
        <v/>
      </c>
      <c r="EF23" s="85">
        <f>IF(BR23="","",IFERROR(BR23*HSI!$B$21*HSI!$G$21/HSI!$B$3,""))</f>
        <v/>
      </c>
      <c r="EG23" s="85">
        <f>IF(BS23="","",IFERROR(BS23*HSI!$B$21*HSI!$G$21/HSI!$B$3,""))</f>
        <v/>
      </c>
      <c r="EH23" s="85">
        <f>IF(BT23="","",IFERROR(BT23*HSI!$B$21*HSI!$G$21/HSI!$B$3,""))</f>
        <v/>
      </c>
      <c r="EI23" s="85">
        <f>IF(BU23="","",IFERROR(BU23*HSI!$B$21*HSI!$G$21/HSI!$B$3,""))</f>
        <v/>
      </c>
      <c r="EJ23" s="85">
        <f>IF(BV23="","",IFERROR(BV23*HSI!$B$21*HSI!$G$21/HSI!$B$3,""))</f>
        <v/>
      </c>
      <c r="EK23" s="85">
        <f>IF(BW23="","",IFERROR(BW23*HSI!$B$21*HSI!$G$21/HSI!$B$3,""))</f>
        <v/>
      </c>
      <c r="EL23" s="85">
        <f>IF(BX23="","",IFERROR(BX23*HSI!$B$21*HSI!$G$21/HSI!$B$3,""))</f>
        <v/>
      </c>
      <c r="EM23" s="85">
        <f>IF(BY23="","",IFERROR(BY23*HSI!$B$21*HSI!$G$21/HSI!$B$3,""))</f>
        <v/>
      </c>
      <c r="EN23" s="85">
        <f>IF(BZ23="","",IFERROR(BZ23*HSI!$B$21*HSI!$G$21/HSI!$B$3,""))</f>
        <v/>
      </c>
      <c r="EO23" s="85">
        <f>IF(CA23="","",IFERROR(CA23*HSI!$B$21*HSI!$G$21/HSI!$B$3,""))</f>
        <v/>
      </c>
      <c r="EP23" s="85">
        <f>IF(CB23="","",IFERROR(CB23*HSI!$B$21*HSI!$G$21/HSI!$B$3,""))</f>
        <v/>
      </c>
      <c r="EQ23" s="85">
        <f>IF(CC23="","",IFERROR(CC23*HSI!$B$21*HSI!$G$21/HSI!$B$3,""))</f>
        <v/>
      </c>
      <c r="ER23" s="85">
        <f>IF(CD23="","",IFERROR(CD23*HSI!$B$21*HSI!$G$21/HSI!$B$3,""))</f>
        <v/>
      </c>
      <c r="ES23" s="85">
        <f>IF(CE23="","",IFERROR(CE23*HSI!$B$21*HSI!$G$21/HSI!$B$3,""))</f>
        <v/>
      </c>
      <c r="ET23" s="85">
        <f>IF(CF23="","",IFERROR(CF23*HSI!$B$21*HSI!$G$21/HSI!$B$3,""))</f>
        <v/>
      </c>
      <c r="EU23" s="85">
        <f>IF(CG23="","",IFERROR(CG23*HSI!$B$21*HSI!$G$21/HSI!$B$3,""))</f>
        <v/>
      </c>
      <c r="EV23" s="85">
        <f>IF(CH23="","",IFERROR(CH23*HSI!$B$21*HSI!$G$21/HSI!$B$3,""))</f>
        <v/>
      </c>
      <c r="EW23" s="85">
        <f>IF(CI23="","",IFERROR(CI23*HSI!$B$21*HSI!$G$21/HSI!$B$3,""))</f>
        <v/>
      </c>
      <c r="EX23" s="85">
        <f>IF(CJ23="","",IFERROR(CJ23*HSI!$B$21*HSI!$G$21/HSI!$B$3,""))</f>
        <v/>
      </c>
      <c r="EY23" s="85">
        <f>IF(CK23="","",IFERROR(CK23*HSI!$B$21*HSI!$G$21/HSI!$B$3,""))</f>
        <v/>
      </c>
      <c r="EZ23" s="85">
        <f>IF(CL23="","",IFERROR(CL23*HSI!$B$21*HSI!$G$21/HSI!$B$3,""))</f>
        <v/>
      </c>
      <c r="FA23" s="85">
        <f>IF(CM23="","",IFERROR(CM23*HSI!$B$21*HSI!$G$21/HSI!$B$3,""))</f>
        <v/>
      </c>
      <c r="FB23" s="85">
        <f>IF(CN23="","",IFERROR(CN23*HSI!$B$21*HSI!$G$21/HSI!$B$3,""))</f>
        <v/>
      </c>
      <c r="FC23" s="85">
        <f>IF(CO23="","",IFERROR(CO23*HSI!$B$21*HSI!$G$21/HSI!$B$3,""))</f>
        <v/>
      </c>
      <c r="FD23" s="85">
        <f>IF(CP23="","",IFERROR(CP23*HSI!$B$21*HSI!$G$21/HSI!$B$3,""))</f>
        <v/>
      </c>
      <c r="FE23" s="85">
        <f>IF(CQ23="","",IFERROR(CQ23*HSI!$B$21*HSI!$G$21/HSI!$B$3,""))</f>
        <v/>
      </c>
      <c r="FF23" s="85">
        <f>IF(CR23="","",IFERROR(CR23*HSI!$B$21*HSI!$G$21/HSI!$B$3,""))</f>
        <v/>
      </c>
      <c r="FG23" s="85">
        <f>IF(CS23="","",IFERROR(CS23*HSI!$B$21*HSI!$G$21/HSI!$B$3,""))</f>
        <v/>
      </c>
      <c r="FH23" s="85">
        <f>IF(CT23="","",IFERROR(CT23*HSI!$B$21*HSI!$G$21/HSI!$B$3,""))</f>
        <v/>
      </c>
      <c r="FI23" s="85">
        <f>IF(CU23="","",IFERROR(CU23*HSI!$B$21*HSI!$G$21/HSI!$B$3,""))</f>
        <v/>
      </c>
      <c r="FJ23" s="85">
        <f>IF(CV23="","",IFERROR(CV23*HSI!$B$21*HSI!$G$21/HSI!$B$3,""))</f>
        <v/>
      </c>
      <c r="FK23" s="85">
        <f>IF(CW23="","",IFERROR(CW23*HSI!$B$21*HSI!$G$21/HSI!$B$3,""))</f>
        <v/>
      </c>
      <c r="FL23" s="85">
        <f>IF(CX23="","",IFERROR(CX23*HSI!$B$21*HSI!$G$21/HSI!$B$3,""))</f>
        <v/>
      </c>
      <c r="FM23" s="85">
        <f>IF(CY23="","",IFERROR(CY23*HSI!$B$21*HSI!$G$21/HSI!$B$3,""))</f>
        <v/>
      </c>
      <c r="FN23" s="85">
        <f>IF(CZ23="","",IFERROR(CZ23*HSI!$B$21*HSI!$G$21/HSI!$B$3,""))</f>
        <v/>
      </c>
      <c r="FO23" s="85">
        <f>IF(DA23="","",IFERROR(DA23*HSI!$B$21*HSI!$G$21/HSI!$B$3,""))</f>
        <v/>
      </c>
      <c r="FP23" s="85">
        <f>IF(DB23="","",IFERROR(DB23*HSI!$B$21*HSI!$G$21/HSI!$B$3,""))</f>
        <v/>
      </c>
      <c r="FQ23" s="85">
        <f>IF(DC23="","",IFERROR(DC23*HSI!$B$21*HSI!$G$21/HSI!$B$3,""))</f>
        <v/>
      </c>
      <c r="FR23" s="85">
        <f>IF(DD23="","",IFERROR(DD23*HSI!$B$21*HSI!$G$21/HSI!$B$3,""))</f>
        <v/>
      </c>
      <c r="FS23" s="85">
        <f>IF(DE23="","",IFERROR(DE23*HSI!$B$21*HSI!$G$21/HSI!$B$3,""))</f>
        <v/>
      </c>
      <c r="FT23" s="85">
        <f>IF(DF23="","",IFERROR(DF23*HSI!$B$21*HSI!$G$21/HSI!$B$3,""))</f>
        <v/>
      </c>
      <c r="FU23" s="85">
        <f>IF(DG23="","",IFERROR(DG23*HSI!$B$21*HSI!$G$21/HSI!$B$3,""))</f>
        <v/>
      </c>
      <c r="FV23" s="85">
        <f>IF(DH23="","",IFERROR(DH23*HSI!$B$21*HSI!$G$21/HSI!$B$3,""))</f>
        <v/>
      </c>
      <c r="FW23" s="85">
        <f>IF(DI23="","",IFERROR(DI23*HSI!$B$21*HSI!$G$21/HSI!$B$3,""))</f>
        <v/>
      </c>
      <c r="FX23" s="85">
        <f>IF(DJ23="","",IFERROR(DJ23*HSI!$B$21*HSI!$G$21/HSI!$B$3,""))</f>
        <v/>
      </c>
      <c r="FY23" s="85">
        <f>IF(DK23="","",IFERROR(DK23*HSI!$B$21*HSI!$G$21/HSI!$B$3,""))</f>
        <v/>
      </c>
      <c r="FZ23" s="85">
        <f>IF(DL23="","",IFERROR(DL23*HSI!$B$21*HSI!$G$21/HSI!$B$3,""))</f>
        <v/>
      </c>
      <c r="GA23" s="85">
        <f>IF(DM23="","",IFERROR(DM23*HSI!$B$21*HSI!$G$21/HSI!$B$3,""))</f>
        <v/>
      </c>
      <c r="GB23" s="85">
        <f>IF(DN23="","",IFERROR(DN23*HSI!$B$21*HSI!$G$21/HSI!$B$3,""))</f>
        <v/>
      </c>
      <c r="GC23" s="85">
        <f>IF(DO23="","",IFERROR(DO23*HSI!$B$21*HSI!$G$21/HSI!$B$3,""))</f>
        <v/>
      </c>
      <c r="GD23" s="85">
        <f>IF(DP23="","",IFERROR(DP23*HSI!$B$21*HSI!$G$21/HSI!$B$3,""))</f>
        <v/>
      </c>
      <c r="GE23" s="85">
        <f>IF(DQ23="","",IFERROR(DQ23*HSI!$B$21*HSI!$G$21/HSI!$B$3,""))</f>
        <v/>
      </c>
      <c r="GF23" s="85">
        <f>IF(DR23="","",IFERROR(DR23*HSI!$B$21*HSI!$G$21/HSI!$B$3,""))</f>
        <v/>
      </c>
      <c r="GG23" s="85">
        <f>IF(DS23="","",IFERROR(DS23*HSI!$B$21*HSI!$G$21/HSI!$B$3,""))</f>
        <v/>
      </c>
      <c r="GH23" s="85">
        <f>IF(DT23="","",IFERROR(DT23*HSI!$B$21*HSI!$G$21/HSI!$B$3,""))</f>
        <v/>
      </c>
      <c r="GI23" s="85">
        <f>IF(DU23="","",IFERROR(DU23*HSI!$B$21*HSI!$G$21/HSI!$B$3,""))</f>
        <v/>
      </c>
      <c r="GJ23" s="85">
        <f>IF(DV23="","",IFERROR(DV23*HSI!$B$21*HSI!$G$21/HSI!$B$3,""))</f>
        <v/>
      </c>
      <c r="GK23" s="85">
        <f>IF(DW23="","",IFERROR(DW23*HSI!$B$21*HSI!$G$21/HSI!$B$3,""))</f>
        <v/>
      </c>
      <c r="GL23" s="85">
        <f>IF(DX23="","",IFERROR(DX23*HSI!$B$21*HSI!$G$21/HSI!$B$3,""))</f>
        <v/>
      </c>
      <c r="GM23" s="85">
        <f>IF(DY23="","",IFERROR(DY23*HSI!$B$21*HSI!$G$21/HSI!$B$3,""))</f>
        <v/>
      </c>
      <c r="GN23" s="85">
        <f>IF(DZ23="","",IFERROR(DZ23*HSI!$B$21*HSI!$G$21/HSI!$B$3,""))</f>
        <v/>
      </c>
      <c r="GO23" s="85">
        <f>IF(EA23="","",IFERROR(EA23*HSI!$B$21*HSI!$G$21/HSI!$B$3,""))</f>
        <v/>
      </c>
      <c r="GP23" s="85">
        <f>IF(EB23="","",IFERROR(EB23*HSI!$B$21*HSI!$G$21/HSI!$B$3,""))</f>
        <v/>
      </c>
      <c r="GQ23" s="85">
        <f>IF(EC23="","",IFERROR(EC23*HSI!$B$21*HSI!$G$21/HSI!$B$3,""))</f>
        <v/>
      </c>
    </row>
    <row r="24">
      <c r="B24" s="2">
        <f>IF(HSI!$C$22="","",HSI!$C$22)</f>
        <v/>
      </c>
      <c r="C24" s="41">
        <f>IF(N('Dvd Calendar'!$E$235)=0,"",IF(('Dvd Calendar'!$E$235&gt;=MIN(DATE(Summary!$C$12,1,1),Summary!$C$11))*('Dvd Calendar'!$E$235&lt;=MAX(DATE(Summary!$C$12,12,31),Summary!$C$15))*('Dvd Calendar'!$E$235&lt;=Summary!$C$11)=0,"",'Dvd Calendar'!$E$235*1000000000+ISNUMBER('Dvd Calendar'!$E$236)*100000000+('Dvd Calendar'!$E$240='Field Check'!$C$25)*10000000+(N('Dvd Calendar'!$E$234)&gt;0)*1000000+16*1000+1))</f>
        <v/>
      </c>
      <c r="D24" s="41">
        <f>IF(N('Dvd Calendar'!$F$235)=0,"",IF(('Dvd Calendar'!$F$235&gt;=MIN(DATE(Summary!$C$12,1,1),Summary!$C$11))*('Dvd Calendar'!$F$235&lt;=MAX(DATE(Summary!$C$12,12,31),Summary!$C$15))*('Dvd Calendar'!$F$235&lt;=Summary!$C$11)=0,"",'Dvd Calendar'!$F$235*1000000000+ISNUMBER('Dvd Calendar'!$F$236)*100000000+('Dvd Calendar'!$F$240='Field Check'!$C$25)*10000000+(N('Dvd Calendar'!$F$234)&gt;0)*1000000+16*1000+2))</f>
        <v/>
      </c>
      <c r="E24" s="41">
        <f>IF(N('Dvd Calendar'!$G$235)=0,"",IF(('Dvd Calendar'!$G$235&gt;=MIN(DATE(Summary!$C$12,1,1),Summary!$C$11))*('Dvd Calendar'!$G$235&lt;=MAX(DATE(Summary!$C$12,12,31),Summary!$C$15))*('Dvd Calendar'!$G$235&lt;=Summary!$C$11)=0,"",'Dvd Calendar'!$G$235*1000000000+ISNUMBER('Dvd Calendar'!$G$236)*100000000+('Dvd Calendar'!$G$240='Field Check'!$C$25)*10000000+(N('Dvd Calendar'!$G$234)&gt;0)*1000000+16*1000+3))</f>
        <v/>
      </c>
      <c r="F24" s="41">
        <f>IF(N('Dvd Calendar'!$H$235)=0,"",IF(('Dvd Calendar'!$H$235&gt;=MIN(DATE(Summary!$C$12,1,1),Summary!$C$11))*('Dvd Calendar'!$H$235&lt;=MAX(DATE(Summary!$C$12,12,31),Summary!$C$15))*('Dvd Calendar'!$H$235&lt;=Summary!$C$11)=0,"",'Dvd Calendar'!$H$235*1000000000+ISNUMBER('Dvd Calendar'!$H$236)*100000000+('Dvd Calendar'!$H$240='Field Check'!$C$25)*10000000+(N('Dvd Calendar'!$H$234)&gt;0)*1000000+16*1000+4))</f>
        <v/>
      </c>
      <c r="G24" s="41">
        <f>IF(N('Dvd Calendar'!$I$235)=0,"",IF(('Dvd Calendar'!$I$235&gt;=MIN(DATE(Summary!$C$12,1,1),Summary!$C$11))*('Dvd Calendar'!$I$235&lt;=MAX(DATE(Summary!$C$12,12,31),Summary!$C$15))*('Dvd Calendar'!$I$235&lt;=Summary!$C$11)=0,"",'Dvd Calendar'!$I$235*1000000000+ISNUMBER('Dvd Calendar'!$I$236)*100000000+('Dvd Calendar'!$I$240='Field Check'!$C$25)*10000000+(N('Dvd Calendar'!$I$234)&gt;0)*1000000+16*1000+5))</f>
        <v/>
      </c>
      <c r="H24" s="41">
        <f>IF(N('Dvd Calendar'!$J$235)=0,"",IF(('Dvd Calendar'!$J$235&gt;=MIN(DATE(Summary!$C$12,1,1),Summary!$C$11))*('Dvd Calendar'!$J$235&lt;=MAX(DATE(Summary!$C$12,12,31),Summary!$C$15))*('Dvd Calendar'!$J$235&lt;=Summary!$C$11)=0,"",'Dvd Calendar'!$J$235*1000000000+ISNUMBER('Dvd Calendar'!$J$236)*100000000+('Dvd Calendar'!$J$240='Field Check'!$C$25)*10000000+(N('Dvd Calendar'!$J$234)&gt;0)*1000000+16*1000+6))</f>
        <v/>
      </c>
      <c r="I24" s="41">
        <f>IF(N('Dvd Calendar'!$K$235)=0,"",IF(('Dvd Calendar'!$K$235&gt;=MIN(DATE(Summary!$C$12,1,1),Summary!$C$11))*('Dvd Calendar'!$K$235&lt;=MAX(DATE(Summary!$C$12,12,31),Summary!$C$15))*('Dvd Calendar'!$K$235&lt;=Summary!$C$11)=0,"",'Dvd Calendar'!$K$235*1000000000+ISNUMBER('Dvd Calendar'!$K$236)*100000000+('Dvd Calendar'!$K$240='Field Check'!$C$25)*10000000+(N('Dvd Calendar'!$K$234)&gt;0)*1000000+16*1000+7))</f>
        <v/>
      </c>
      <c r="J24" s="41">
        <f>IF(N('Dvd Calendar'!$L$235)=0,"",IF(('Dvd Calendar'!$L$235&gt;=MIN(DATE(Summary!$C$12,1,1),Summary!$C$11))*('Dvd Calendar'!$L$235&lt;=MAX(DATE(Summary!$C$12,12,31),Summary!$C$15))*('Dvd Calendar'!$L$235&lt;=Summary!$C$11)=0,"",'Dvd Calendar'!$L$235*1000000000+ISNUMBER('Dvd Calendar'!$L$236)*100000000+('Dvd Calendar'!$L$240='Field Check'!$C$25)*10000000+(N('Dvd Calendar'!$L$234)&gt;0)*1000000+16*1000+8))</f>
        <v/>
      </c>
      <c r="K24" s="41">
        <f>IF(N('Dvd Calendar'!$M$235)=0,"",IF(('Dvd Calendar'!$M$235&gt;=MIN(DATE(Summary!$C$12,1,1),Summary!$C$11))*('Dvd Calendar'!$M$235&lt;=MAX(DATE(Summary!$C$12,12,31),Summary!$C$15))*('Dvd Calendar'!$M$235&lt;=Summary!$C$11)=0,"",'Dvd Calendar'!$M$235*1000000000+ISNUMBER('Dvd Calendar'!$M$236)*100000000+('Dvd Calendar'!$M$240='Field Check'!$C$25)*10000000+(N('Dvd Calendar'!$M$234)&gt;0)*1000000+16*1000+9))</f>
        <v/>
      </c>
      <c r="L24" s="41">
        <f>IF(N('Dvd Calendar'!$N$235)=0,"",IF(('Dvd Calendar'!$N$235&gt;=MIN(DATE(Summary!$C$12,1,1),Summary!$C$11))*('Dvd Calendar'!$N$235&lt;=MAX(DATE(Summary!$C$12,12,31),Summary!$C$15))*('Dvd Calendar'!$N$235&lt;=Summary!$C$11)=0,"",'Dvd Calendar'!$N$235*1000000000+ISNUMBER('Dvd Calendar'!$N$236)*100000000+('Dvd Calendar'!$N$240='Field Check'!$C$25)*10000000+(N('Dvd Calendar'!$N$234)&gt;0)*1000000+16*1000+10))</f>
        <v/>
      </c>
      <c r="M24" s="41">
        <f>IF(N('Dvd Calendar'!$O$235)=0,"",IF(('Dvd Calendar'!$O$235&gt;=MIN(DATE(Summary!$C$12,1,1),Summary!$C$11))*('Dvd Calendar'!$O$235&lt;=MAX(DATE(Summary!$C$12,12,31),Summary!$C$15))*('Dvd Calendar'!$O$235&lt;=Summary!$C$11)=0,"",'Dvd Calendar'!$O$235*1000000000+ISNUMBER('Dvd Calendar'!$O$236)*100000000+('Dvd Calendar'!$O$240='Field Check'!$C$25)*10000000+(N('Dvd Calendar'!$O$234)&gt;0)*1000000+16*1000+11))</f>
        <v/>
      </c>
      <c r="N24" s="41">
        <f>IF(N('Dvd Calendar'!$P$235)=0,"",IF(('Dvd Calendar'!$P$235&gt;=MIN(DATE(Summary!$C$12,1,1),Summary!$C$11))*('Dvd Calendar'!$P$235&lt;=MAX(DATE(Summary!$C$12,12,31),Summary!$C$15))*('Dvd Calendar'!$P$235&lt;=Summary!$C$11)=0,"",'Dvd Calendar'!$P$235*1000000000+ISNUMBER('Dvd Calendar'!$P$236)*100000000+('Dvd Calendar'!$P$240='Field Check'!$C$25)*10000000+(N('Dvd Calendar'!$P$234)&gt;0)*1000000+16*1000+12))</f>
        <v/>
      </c>
      <c r="O24" s="41">
        <f>IF(N('Dvd Calendar'!$Q$235)=0,"",IF(('Dvd Calendar'!$Q$235&gt;=MIN(DATE(Summary!$C$12,1,1),Summary!$C$11))*('Dvd Calendar'!$Q$235&lt;=MAX(DATE(Summary!$C$12,12,31),Summary!$C$15))*('Dvd Calendar'!$Q$235&lt;=Summary!$C$11)=0,"",'Dvd Calendar'!$Q$235*1000000000+ISNUMBER('Dvd Calendar'!$Q$236)*100000000+('Dvd Calendar'!$Q$240='Field Check'!$C$25)*10000000+(N('Dvd Calendar'!$Q$234)&gt;0)*1000000+16*1000+13))</f>
        <v/>
      </c>
      <c r="P24" s="41">
        <f>IF(N('Dvd Calendar'!$R$235)=0,"",IF(('Dvd Calendar'!$R$235&gt;=MIN(DATE(Summary!$C$12,1,1),Summary!$C$11))*('Dvd Calendar'!$R$235&lt;=MAX(DATE(Summary!$C$12,12,31),Summary!$C$15))*('Dvd Calendar'!$R$235&lt;=Summary!$C$11)=0,"",'Dvd Calendar'!$R$235*1000000000+ISNUMBER('Dvd Calendar'!$R$236)*100000000+('Dvd Calendar'!$R$240='Field Check'!$C$25)*10000000+(N('Dvd Calendar'!$R$234)&gt;0)*1000000+16*1000+14))</f>
        <v/>
      </c>
      <c r="Q24" s="41">
        <f>IF(N('Dvd Calendar'!$S$235)=0,"",IF(('Dvd Calendar'!$S$235&gt;=MIN(DATE(Summary!$C$12,1,1),Summary!$C$11))*('Dvd Calendar'!$S$235&lt;=MAX(DATE(Summary!$C$12,12,31),Summary!$C$15))*('Dvd Calendar'!$S$235&lt;=Summary!$C$11)=0,"",'Dvd Calendar'!$S$235*1000000000+ISNUMBER('Dvd Calendar'!$S$236)*100000000+('Dvd Calendar'!$S$240='Field Check'!$C$25)*10000000+(N('Dvd Calendar'!$S$234)&gt;0)*1000000+16*1000+15))</f>
        <v/>
      </c>
      <c r="R24" s="41">
        <f>IF(N('Dvd Calendar'!$T$235)=0,"",IF(('Dvd Calendar'!$T$235&gt;=MIN(DATE(Summary!$C$12,1,1),Summary!$C$11))*('Dvd Calendar'!$T$235&lt;=MAX(DATE(Summary!$C$12,12,31),Summary!$C$15))*('Dvd Calendar'!$T$235&lt;=Summary!$C$11)=0,"",'Dvd Calendar'!$T$235*1000000000+ISNUMBER('Dvd Calendar'!$T$236)*100000000+('Dvd Calendar'!$T$240='Field Check'!$C$25)*10000000+(N('Dvd Calendar'!$T$234)&gt;0)*1000000+16*1000+16))</f>
        <v/>
      </c>
      <c r="S24" s="41">
        <f>IF(N('Dvd Calendar'!$U$235)=0,"",IF(('Dvd Calendar'!$U$235&gt;=MIN(DATE(Summary!$C$12,1,1),Summary!$C$11))*('Dvd Calendar'!$U$235&lt;=MAX(DATE(Summary!$C$12,12,31),Summary!$C$15))*('Dvd Calendar'!$U$235&lt;=Summary!$C$11)=0,"",'Dvd Calendar'!$U$235*1000000000+ISNUMBER('Dvd Calendar'!$U$236)*100000000+('Dvd Calendar'!$U$240='Field Check'!$C$25)*10000000+(N('Dvd Calendar'!$U$234)&gt;0)*1000000+16*1000+17))</f>
        <v/>
      </c>
      <c r="T24" s="41">
        <f>IF(N('Dvd Calendar'!$V$235)=0,"",IF(('Dvd Calendar'!$V$235&gt;=MIN(DATE(Summary!$C$12,1,1),Summary!$C$11))*('Dvd Calendar'!$V$235&lt;=MAX(DATE(Summary!$C$12,12,31),Summary!$C$15))*('Dvd Calendar'!$V$235&lt;=Summary!$C$11)=0,"",'Dvd Calendar'!$V$235*1000000000+ISNUMBER('Dvd Calendar'!$V$236)*100000000+('Dvd Calendar'!$V$240='Field Check'!$C$25)*10000000+(N('Dvd Calendar'!$V$234)&gt;0)*1000000+16*1000+18))</f>
        <v/>
      </c>
      <c r="U24" s="41">
        <f>IF(N('Dvd Calendar'!$W$235)=0,"",IF(('Dvd Calendar'!$W$235&gt;=MIN(DATE(Summary!$C$12,1,1),Summary!$C$11))*('Dvd Calendar'!$W$235&lt;=MAX(DATE(Summary!$C$12,12,31),Summary!$C$15))*('Dvd Calendar'!$W$235&lt;=Summary!$C$11)=0,"",'Dvd Calendar'!$W$235*1000000000+ISNUMBER('Dvd Calendar'!$W$236)*100000000+('Dvd Calendar'!$W$240='Field Check'!$C$25)*10000000+(N('Dvd Calendar'!$W$234)&gt;0)*1000000+16*1000+19))</f>
        <v/>
      </c>
      <c r="V24" s="41">
        <f>IF(N('Dvd Calendar'!$X$235)=0,"",IF(('Dvd Calendar'!$X$235&gt;=MIN(DATE(Summary!$C$12,1,1),Summary!$C$11))*('Dvd Calendar'!$X$235&lt;=MAX(DATE(Summary!$C$12,12,31),Summary!$C$15))*('Dvd Calendar'!$X$235&lt;=Summary!$C$11)=0,"",'Dvd Calendar'!$X$235*1000000000+ISNUMBER('Dvd Calendar'!$X$236)*100000000+('Dvd Calendar'!$X$240='Field Check'!$C$25)*10000000+(N('Dvd Calendar'!$X$234)&gt;0)*1000000+16*1000+20))</f>
        <v/>
      </c>
      <c r="W24" s="41">
        <f>IF(N('Dvd Calendar'!$Y$235)=0,"",IF(('Dvd Calendar'!$Y$235&gt;=MIN(DATE(Summary!$C$12,1,1),Summary!$C$11))*('Dvd Calendar'!$Y$235&lt;=MAX(DATE(Summary!$C$12,12,31),Summary!$C$15))*('Dvd Calendar'!$Y$235&lt;=Summary!$C$11)=0,"",'Dvd Calendar'!$Y$235*1000000000+ISNUMBER('Dvd Calendar'!$Y$236)*100000000+('Dvd Calendar'!$Y$240='Field Check'!$C$25)*10000000+(N('Dvd Calendar'!$Y$234)&gt;0)*1000000+16*1000+21))</f>
        <v/>
      </c>
      <c r="X24" s="41">
        <f>IF(N('Dvd Calendar'!$Z$235)=0,"",IF(('Dvd Calendar'!$Z$235&gt;=MIN(DATE(Summary!$C$12,1,1),Summary!$C$11))*('Dvd Calendar'!$Z$235&lt;=MAX(DATE(Summary!$C$12,12,31),Summary!$C$15))*('Dvd Calendar'!$Z$235&lt;=Summary!$C$11)=0,"",'Dvd Calendar'!$Z$235*1000000000+ISNUMBER('Dvd Calendar'!$Z$236)*100000000+('Dvd Calendar'!$Z$240='Field Check'!$C$25)*10000000+(N('Dvd Calendar'!$Z$234)&gt;0)*1000000+16*1000+22))</f>
        <v/>
      </c>
      <c r="Y24" s="41">
        <f>IF(N('Dvd Calendar'!$AA$235)=0,"",IF(('Dvd Calendar'!$AA$235&gt;=MIN(DATE(Summary!$C$12,1,1),Summary!$C$11))*('Dvd Calendar'!$AA$235&lt;=MAX(DATE(Summary!$C$12,12,31),Summary!$C$15))*('Dvd Calendar'!$AA$235&lt;=Summary!$C$11)=0,"",'Dvd Calendar'!$AA$235*1000000000+ISNUMBER('Dvd Calendar'!$AA$236)*100000000+('Dvd Calendar'!$AA$240='Field Check'!$C$25)*10000000+(N('Dvd Calendar'!$AA$234)&gt;0)*1000000+16*1000+23))</f>
        <v/>
      </c>
      <c r="Z24" s="41">
        <f>IF(N('Dvd Calendar'!$AB$235)=0,"",IF(('Dvd Calendar'!$AB$235&gt;=MIN(DATE(Summary!$C$12,1,1),Summary!$C$11))*('Dvd Calendar'!$AB$235&lt;=MAX(DATE(Summary!$C$12,12,31),Summary!$C$15))*('Dvd Calendar'!$AB$235&lt;=Summary!$C$11)=0,"",'Dvd Calendar'!$AB$235*1000000000+ISNUMBER('Dvd Calendar'!$AB$236)*100000000+('Dvd Calendar'!$AB$240='Field Check'!$C$25)*10000000+(N('Dvd Calendar'!$AB$234)&gt;0)*1000000+16*1000+24))</f>
        <v/>
      </c>
      <c r="AA24" s="41">
        <f>IF(N('Dvd Calendar'!$AC$235)=0,"",IF(('Dvd Calendar'!$AC$235&gt;=MIN(DATE(Summary!$C$12,1,1),Summary!$C$11))*('Dvd Calendar'!$AC$235&lt;=MAX(DATE(Summary!$C$12,12,31),Summary!$C$15))*('Dvd Calendar'!$AC$235&lt;=Summary!$C$11)=0,"",'Dvd Calendar'!$AC$235*1000000000+ISNUMBER('Dvd Calendar'!$AC$236)*100000000+('Dvd Calendar'!$AC$240='Field Check'!$C$25)*10000000+(N('Dvd Calendar'!$AC$234)&gt;0)*1000000+16*1000+25))</f>
        <v/>
      </c>
      <c r="AB24" s="41">
        <f>IF(N('Dvd Calendar'!$AD$235)=0,"",IF(('Dvd Calendar'!$AD$235&gt;=MIN(DATE(Summary!$C$12,1,1),Summary!$C$11))*('Dvd Calendar'!$AD$235&lt;=MAX(DATE(Summary!$C$12,12,31),Summary!$C$15))*('Dvd Calendar'!$AD$235&lt;=Summary!$C$11)=0,"",'Dvd Calendar'!$AD$235*1000000000+ISNUMBER('Dvd Calendar'!$AD$236)*100000000+('Dvd Calendar'!$AD$240='Field Check'!$C$25)*10000000+(N('Dvd Calendar'!$AD$234)&gt;0)*1000000+16*1000+26))</f>
        <v/>
      </c>
      <c r="AC24" s="41">
        <f>IF(N('Dvd Calendar'!$AE$235)=0,"",IF(('Dvd Calendar'!$AE$235&gt;=MIN(DATE(Summary!$C$12,1,1),Summary!$C$11))*('Dvd Calendar'!$AE$235&lt;=MAX(DATE(Summary!$C$12,12,31),Summary!$C$15))*('Dvd Calendar'!$AE$235&lt;=Summary!$C$11)=0,"",'Dvd Calendar'!$AE$235*1000000000+ISNUMBER('Dvd Calendar'!$AE$236)*100000000+('Dvd Calendar'!$AE$240='Field Check'!$C$25)*10000000+(N('Dvd Calendar'!$AE$234)&gt;0)*1000000+16*1000+27))</f>
        <v/>
      </c>
      <c r="AD24" s="41">
        <f>IF(N('Dvd Calendar'!$AF$235)=0,"",IF(('Dvd Calendar'!$AF$235&gt;=MIN(DATE(Summary!$C$12,1,1),Summary!$C$11))*('Dvd Calendar'!$AF$235&lt;=MAX(DATE(Summary!$C$12,12,31),Summary!$C$15))*('Dvd Calendar'!$AF$235&lt;=Summary!$C$11)=0,"",'Dvd Calendar'!$AF$235*1000000000+ISNUMBER('Dvd Calendar'!$AF$236)*100000000+('Dvd Calendar'!$AF$240='Field Check'!$C$25)*10000000+(N('Dvd Calendar'!$AF$234)&gt;0)*1000000+16*1000+28))</f>
        <v/>
      </c>
      <c r="AE24" s="41">
        <f>IF(N('Dvd Calendar'!$AG$235)=0,"",IF(('Dvd Calendar'!$AG$235&gt;=MIN(DATE(Summary!$C$12,1,1),Summary!$C$11))*('Dvd Calendar'!$AG$235&lt;=MAX(DATE(Summary!$C$12,12,31),Summary!$C$15))*('Dvd Calendar'!$AG$235&lt;=Summary!$C$11)=0,"",'Dvd Calendar'!$AG$235*1000000000+ISNUMBER('Dvd Calendar'!$AG$236)*100000000+('Dvd Calendar'!$AG$240='Field Check'!$C$25)*10000000+(N('Dvd Calendar'!$AG$234)&gt;0)*1000000+16*1000+29))</f>
        <v/>
      </c>
      <c r="AF24" s="41">
        <f>IF(N('Dvd Calendar'!$AH$235)=0,"",IF(('Dvd Calendar'!$AH$235&gt;=MIN(DATE(Summary!$C$12,1,1),Summary!$C$11))*('Dvd Calendar'!$AH$235&lt;=MAX(DATE(Summary!$C$12,12,31),Summary!$C$15))*('Dvd Calendar'!$AH$235&lt;=Summary!$C$11)=0,"",'Dvd Calendar'!$AH$235*1000000000+ISNUMBER('Dvd Calendar'!$AH$236)*100000000+('Dvd Calendar'!$AH$240='Field Check'!$C$25)*10000000+(N('Dvd Calendar'!$AH$234)&gt;0)*1000000+16*1000+30))</f>
        <v/>
      </c>
      <c r="AG24" s="41">
        <f>IF(N('Dvd Calendar'!$AI$235)=0,"",IF(('Dvd Calendar'!$AI$235&gt;=MIN(DATE(Summary!$C$12,1,1),Summary!$C$11))*('Dvd Calendar'!$AI$235&lt;=MAX(DATE(Summary!$C$12,12,31),Summary!$C$15))*('Dvd Calendar'!$AI$235&lt;=Summary!$C$11)=0,"",'Dvd Calendar'!$AI$235*1000000000+ISNUMBER('Dvd Calendar'!$AI$236)*100000000+('Dvd Calendar'!$AI$240='Field Check'!$C$25)*10000000+(N('Dvd Calendar'!$AI$234)&gt;0)*1000000+16*1000+31))</f>
        <v/>
      </c>
      <c r="AH24" s="41">
        <f>IF(N('Dvd Calendar'!$AJ$235)=0,"",IF(('Dvd Calendar'!$AJ$235&gt;=MIN(DATE(Summary!$C$12,1,1),Summary!$C$11))*('Dvd Calendar'!$AJ$235&lt;=MAX(DATE(Summary!$C$12,12,31),Summary!$C$15))*('Dvd Calendar'!$AJ$235&lt;=Summary!$C$11)=0,"",'Dvd Calendar'!$AJ$235*1000000000+ISNUMBER('Dvd Calendar'!$AJ$236)*100000000+('Dvd Calendar'!$AJ$240='Field Check'!$C$25)*10000000+(N('Dvd Calendar'!$AJ$234)&gt;0)*1000000+16*1000+32))</f>
        <v/>
      </c>
      <c r="AI24" s="41">
        <f>IF(N('Dvd Calendar'!$AK$235)=0,"",IF(('Dvd Calendar'!$AK$235&gt;=MIN(DATE(Summary!$C$12,1,1),Summary!$C$11))*('Dvd Calendar'!$AK$235&lt;=MAX(DATE(Summary!$C$12,12,31),Summary!$C$15))*('Dvd Calendar'!$AK$235&lt;=Summary!$C$11)=0,"",'Dvd Calendar'!$AK$235*1000000000+ISNUMBER('Dvd Calendar'!$AK$236)*100000000+('Dvd Calendar'!$AK$240='Field Check'!$C$25)*10000000+(N('Dvd Calendar'!$AK$234)&gt;0)*1000000+16*1000+33))</f>
        <v/>
      </c>
      <c r="AJ24" s="41">
        <f>IF(N('Dvd Calendar'!$AL$235)=0,"",IF(('Dvd Calendar'!$AL$235&gt;=MIN(DATE(Summary!$C$12,1,1),Summary!$C$11))*('Dvd Calendar'!$AL$235&lt;=MAX(DATE(Summary!$C$12,12,31),Summary!$C$15))*('Dvd Calendar'!$AL$235&lt;=Summary!$C$11)=0,"",'Dvd Calendar'!$AL$235*1000000000+ISNUMBER('Dvd Calendar'!$AL$236)*100000000+('Dvd Calendar'!$AL$240='Field Check'!$C$25)*10000000+(N('Dvd Calendar'!$AL$234)&gt;0)*1000000+16*1000+34))</f>
        <v/>
      </c>
      <c r="AK24" s="41">
        <f>IF(N('Dvd Calendar'!$AM$235)=0,"",IF(('Dvd Calendar'!$AM$235&gt;=MIN(DATE(Summary!$C$12,1,1),Summary!$C$11))*('Dvd Calendar'!$AM$235&lt;=MAX(DATE(Summary!$C$12,12,31),Summary!$C$15))*('Dvd Calendar'!$AM$235&lt;=Summary!$C$11)=0,"",'Dvd Calendar'!$AM$235*1000000000+ISNUMBER('Dvd Calendar'!$AM$236)*100000000+('Dvd Calendar'!$AM$240='Field Check'!$C$25)*10000000+(N('Dvd Calendar'!$AM$234)&gt;0)*1000000+16*1000+35))</f>
        <v/>
      </c>
      <c r="AL24" s="41">
        <f>IF(N('Dvd Calendar'!$AN$235)=0,"",IF(('Dvd Calendar'!$AN$235&gt;=MIN(DATE(Summary!$C$12,1,1),Summary!$C$11))*('Dvd Calendar'!$AN$235&lt;=MAX(DATE(Summary!$C$12,12,31),Summary!$C$15))*('Dvd Calendar'!$AN$235&lt;=Summary!$C$11)=0,"",'Dvd Calendar'!$AN$235*1000000000+ISNUMBER('Dvd Calendar'!$AN$236)*100000000+('Dvd Calendar'!$AN$240='Field Check'!$C$25)*10000000+(N('Dvd Calendar'!$AN$234)&gt;0)*1000000+16*1000+36))</f>
        <v/>
      </c>
      <c r="AM24" s="41">
        <f>IF(N('Dvd Calendar'!$AO$235)=0,"",IF(('Dvd Calendar'!$AO$235&gt;=MIN(DATE(Summary!$C$12,1,1),Summary!$C$11))*('Dvd Calendar'!$AO$235&lt;=MAX(DATE(Summary!$C$12,12,31),Summary!$C$15))*('Dvd Calendar'!$AO$235&lt;=Summary!$C$11)=0,"",'Dvd Calendar'!$AO$235*1000000000+ISNUMBER('Dvd Calendar'!$AO$236)*100000000+('Dvd Calendar'!$AO$240='Field Check'!$C$25)*10000000+(N('Dvd Calendar'!$AO$234)&gt;0)*1000000+16*1000+37))</f>
        <v/>
      </c>
      <c r="AN24" s="41">
        <f>IF(N('Dvd Calendar'!$AP$235)=0,"",IF(('Dvd Calendar'!$AP$235&gt;=MIN(DATE(Summary!$C$12,1,1),Summary!$C$11))*('Dvd Calendar'!$AP$235&lt;=MAX(DATE(Summary!$C$12,12,31),Summary!$C$15))*('Dvd Calendar'!$AP$235&lt;=Summary!$C$11)=0,"",'Dvd Calendar'!$AP$235*1000000000+ISNUMBER('Dvd Calendar'!$AP$236)*100000000+('Dvd Calendar'!$AP$240='Field Check'!$C$25)*10000000+(N('Dvd Calendar'!$AP$234)&gt;0)*1000000+16*1000+38))</f>
        <v/>
      </c>
      <c r="AO24" s="41">
        <f>IF(N('Dvd Calendar'!$AQ$235)=0,"",IF(('Dvd Calendar'!$AQ$235&gt;=MIN(DATE(Summary!$C$12,1,1),Summary!$C$11))*('Dvd Calendar'!$AQ$235&lt;=MAX(DATE(Summary!$C$12,12,31),Summary!$C$15))*('Dvd Calendar'!$AQ$235&lt;=Summary!$C$11)=0,"",'Dvd Calendar'!$AQ$235*1000000000+ISNUMBER('Dvd Calendar'!$AQ$236)*100000000+('Dvd Calendar'!$AQ$240='Field Check'!$C$25)*10000000+(N('Dvd Calendar'!$AQ$234)&gt;0)*1000000+16*1000+39))</f>
        <v/>
      </c>
      <c r="AP24" s="41">
        <f>IF(N('Dvd Calendar'!$AR$235)=0,"",IF(('Dvd Calendar'!$AR$235&gt;=MIN(DATE(Summary!$C$12,1,1),Summary!$C$11))*('Dvd Calendar'!$AR$235&lt;=MAX(DATE(Summary!$C$12,12,31),Summary!$C$15))*('Dvd Calendar'!$AR$235&lt;=Summary!$C$11)=0,"",'Dvd Calendar'!$AR$235*1000000000+ISNUMBER('Dvd Calendar'!$AR$236)*100000000+('Dvd Calendar'!$AR$240='Field Check'!$C$25)*10000000+(N('Dvd Calendar'!$AR$234)&gt;0)*1000000+16*1000+40))</f>
        <v/>
      </c>
      <c r="AQ24" s="41">
        <f>IF(N('Dvd Calendar'!$E$242)=0,"",IF(('Dvd Calendar'!$E$242&gt;=MIN(DATE(Summary!$C$12,1,1),Summary!$C$11))*('Dvd Calendar'!$E$242&lt;=MAX(DATE(Summary!$C$12,12,31),Summary!$C$15))*('Dvd Calendar'!$E$242&gt;Summary!$C$11)=0,"",'Dvd Calendar'!$E$242*1000000000+ISNUMBER('Dvd Calendar'!$E$243)*100000000+('Dvd Calendar'!$E$247='Field Check'!$C$25)*10000000+(N('Dvd Calendar'!$E$241)&gt;0)*1000000+16*1000+41))</f>
        <v/>
      </c>
      <c r="AR24" s="41">
        <f>IF(N('Dvd Calendar'!$F$242)=0,"",IF(('Dvd Calendar'!$F$242&gt;=MIN(DATE(Summary!$C$12,1,1),Summary!$C$11))*('Dvd Calendar'!$F$242&lt;=MAX(DATE(Summary!$C$12,12,31),Summary!$C$15))*('Dvd Calendar'!$F$242&gt;Summary!$C$11)=0,"",'Dvd Calendar'!$F$242*1000000000+ISNUMBER('Dvd Calendar'!$F$243)*100000000+('Dvd Calendar'!$F$247='Field Check'!$C$25)*10000000+(N('Dvd Calendar'!$F$241)&gt;0)*1000000+16*1000+42))</f>
        <v/>
      </c>
      <c r="AS24" s="41">
        <f>IF(N('Dvd Calendar'!$G$242)=0,"",IF(('Dvd Calendar'!$G$242&gt;=MIN(DATE(Summary!$C$12,1,1),Summary!$C$11))*('Dvd Calendar'!$G$242&lt;=MAX(DATE(Summary!$C$12,12,31),Summary!$C$15))*('Dvd Calendar'!$G$242&gt;Summary!$C$11)=0,"",'Dvd Calendar'!$G$242*1000000000+ISNUMBER('Dvd Calendar'!$G$243)*100000000+('Dvd Calendar'!$G$247='Field Check'!$C$25)*10000000+(N('Dvd Calendar'!$G$241)&gt;0)*1000000+16*1000+43))</f>
        <v/>
      </c>
      <c r="AT24" s="41">
        <f>IF(N('Dvd Calendar'!$H$242)=0,"",IF(('Dvd Calendar'!$H$242&gt;=MIN(DATE(Summary!$C$12,1,1),Summary!$C$11))*('Dvd Calendar'!$H$242&lt;=MAX(DATE(Summary!$C$12,12,31),Summary!$C$15))*('Dvd Calendar'!$H$242&gt;Summary!$C$11)=0,"",'Dvd Calendar'!$H$242*1000000000+ISNUMBER('Dvd Calendar'!$H$243)*100000000+('Dvd Calendar'!$H$247='Field Check'!$C$25)*10000000+(N('Dvd Calendar'!$H$241)&gt;0)*1000000+16*1000+44))</f>
        <v/>
      </c>
      <c r="AU24" s="41">
        <f>IF(N('Dvd Calendar'!$I$242)=0,"",IF(('Dvd Calendar'!$I$242&gt;=MIN(DATE(Summary!$C$12,1,1),Summary!$C$11))*('Dvd Calendar'!$I$242&lt;=MAX(DATE(Summary!$C$12,12,31),Summary!$C$15))*('Dvd Calendar'!$I$242&gt;Summary!$C$11)=0,"",'Dvd Calendar'!$I$242*1000000000+ISNUMBER('Dvd Calendar'!$I$243)*100000000+('Dvd Calendar'!$I$247='Field Check'!$C$25)*10000000+(N('Dvd Calendar'!$I$241)&gt;0)*1000000+16*1000+45))</f>
        <v/>
      </c>
      <c r="AV24" s="41">
        <f>IF(N('Dvd Calendar'!$J$242)=0,"",IF(('Dvd Calendar'!$J$242&gt;=MIN(DATE(Summary!$C$12,1,1),Summary!$C$11))*('Dvd Calendar'!$J$242&lt;=MAX(DATE(Summary!$C$12,12,31),Summary!$C$15))*('Dvd Calendar'!$J$242&gt;Summary!$C$11)=0,"",'Dvd Calendar'!$J$242*1000000000+ISNUMBER('Dvd Calendar'!$J$243)*100000000+('Dvd Calendar'!$J$247='Field Check'!$C$25)*10000000+(N('Dvd Calendar'!$J$241)&gt;0)*1000000+16*1000+46))</f>
        <v/>
      </c>
      <c r="AW24" s="41">
        <f>IF(N('Dvd Calendar'!$K$242)=0,"",IF(('Dvd Calendar'!$K$242&gt;=MIN(DATE(Summary!$C$12,1,1),Summary!$C$11))*('Dvd Calendar'!$K$242&lt;=MAX(DATE(Summary!$C$12,12,31),Summary!$C$15))*('Dvd Calendar'!$K$242&gt;Summary!$C$11)=0,"",'Dvd Calendar'!$K$242*1000000000+ISNUMBER('Dvd Calendar'!$K$243)*100000000+('Dvd Calendar'!$K$247='Field Check'!$C$25)*10000000+(N('Dvd Calendar'!$K$241)&gt;0)*1000000+16*1000+47))</f>
        <v/>
      </c>
      <c r="AX24" s="41">
        <f>IF(N('Dvd Calendar'!$L$242)=0,"",IF(('Dvd Calendar'!$L$242&gt;=MIN(DATE(Summary!$C$12,1,1),Summary!$C$11))*('Dvd Calendar'!$L$242&lt;=MAX(DATE(Summary!$C$12,12,31),Summary!$C$15))*('Dvd Calendar'!$L$242&gt;Summary!$C$11)=0,"",'Dvd Calendar'!$L$242*1000000000+ISNUMBER('Dvd Calendar'!$L$243)*100000000+('Dvd Calendar'!$L$247='Field Check'!$C$25)*10000000+(N('Dvd Calendar'!$L$241)&gt;0)*1000000+16*1000+48))</f>
        <v/>
      </c>
      <c r="AY24" s="41">
        <f>IF(N('Dvd Calendar'!$M$242)=0,"",IF(('Dvd Calendar'!$M$242&gt;=MIN(DATE(Summary!$C$12,1,1),Summary!$C$11))*('Dvd Calendar'!$M$242&lt;=MAX(DATE(Summary!$C$12,12,31),Summary!$C$15))*('Dvd Calendar'!$M$242&gt;Summary!$C$11)=0,"",'Dvd Calendar'!$M$242*1000000000+ISNUMBER('Dvd Calendar'!$M$243)*100000000+('Dvd Calendar'!$M$247='Field Check'!$C$25)*10000000+(N('Dvd Calendar'!$M$241)&gt;0)*1000000+16*1000+49))</f>
        <v/>
      </c>
      <c r="AZ24" s="41">
        <f>IF(N('Dvd Calendar'!$N$242)=0,"",IF(('Dvd Calendar'!$N$242&gt;=MIN(DATE(Summary!$C$12,1,1),Summary!$C$11))*('Dvd Calendar'!$N$242&lt;=MAX(DATE(Summary!$C$12,12,31),Summary!$C$15))*('Dvd Calendar'!$N$242&gt;Summary!$C$11)=0,"",'Dvd Calendar'!$N$242*1000000000+ISNUMBER('Dvd Calendar'!$N$243)*100000000+('Dvd Calendar'!$N$247='Field Check'!$C$25)*10000000+(N('Dvd Calendar'!$N$241)&gt;0)*1000000+16*1000+50))</f>
        <v/>
      </c>
      <c r="BA24" s="41">
        <f>IF(N('Dvd Calendar'!$O$242)=0,"",IF(('Dvd Calendar'!$O$242&gt;=MIN(DATE(Summary!$C$12,1,1),Summary!$C$11))*('Dvd Calendar'!$O$242&lt;=MAX(DATE(Summary!$C$12,12,31),Summary!$C$15))*('Dvd Calendar'!$O$242&gt;Summary!$C$11)=0,"",'Dvd Calendar'!$O$242*1000000000+ISNUMBER('Dvd Calendar'!$O$243)*100000000+('Dvd Calendar'!$O$247='Field Check'!$C$25)*10000000+(N('Dvd Calendar'!$O$241)&gt;0)*1000000+16*1000+51))</f>
        <v/>
      </c>
      <c r="BB24" s="41">
        <f>IF(N('Dvd Calendar'!$P$242)=0,"",IF(('Dvd Calendar'!$P$242&gt;=MIN(DATE(Summary!$C$12,1,1),Summary!$C$11))*('Dvd Calendar'!$P$242&lt;=MAX(DATE(Summary!$C$12,12,31),Summary!$C$15))*('Dvd Calendar'!$P$242&gt;Summary!$C$11)=0,"",'Dvd Calendar'!$P$242*1000000000+ISNUMBER('Dvd Calendar'!$P$243)*100000000+('Dvd Calendar'!$P$247='Field Check'!$C$25)*10000000+(N('Dvd Calendar'!$P$241)&gt;0)*1000000+16*1000+52))</f>
        <v/>
      </c>
      <c r="BC24" s="41">
        <f>IF(N('Dvd Calendar'!$Q$242)=0,"",IF(('Dvd Calendar'!$Q$242&gt;=MIN(DATE(Summary!$C$12,1,1),Summary!$C$11))*('Dvd Calendar'!$Q$242&lt;=MAX(DATE(Summary!$C$12,12,31),Summary!$C$15))*('Dvd Calendar'!$Q$242&gt;Summary!$C$11)=0,"",'Dvd Calendar'!$Q$242*1000000000+ISNUMBER('Dvd Calendar'!$Q$243)*100000000+('Dvd Calendar'!$Q$247='Field Check'!$C$25)*10000000+(N('Dvd Calendar'!$Q$241)&gt;0)*1000000+16*1000+53))</f>
        <v/>
      </c>
      <c r="BD24" s="41">
        <f>IF(N('Dvd Calendar'!$R$242)=0,"",IF(('Dvd Calendar'!$R$242&gt;=MIN(DATE(Summary!$C$12,1,1),Summary!$C$11))*('Dvd Calendar'!$R$242&lt;=MAX(DATE(Summary!$C$12,12,31),Summary!$C$15))*('Dvd Calendar'!$R$242&gt;Summary!$C$11)=0,"",'Dvd Calendar'!$R$242*1000000000+ISNUMBER('Dvd Calendar'!$R$243)*100000000+('Dvd Calendar'!$R$247='Field Check'!$C$25)*10000000+(N('Dvd Calendar'!$R$241)&gt;0)*1000000+16*1000+54))</f>
        <v/>
      </c>
      <c r="BE24" s="41">
        <f>IF(N('Dvd Calendar'!$S$242)=0,"",IF(('Dvd Calendar'!$S$242&gt;=MIN(DATE(Summary!$C$12,1,1),Summary!$C$11))*('Dvd Calendar'!$S$242&lt;=MAX(DATE(Summary!$C$12,12,31),Summary!$C$15))*('Dvd Calendar'!$S$242&gt;Summary!$C$11)=0,"",'Dvd Calendar'!$S$242*1000000000+ISNUMBER('Dvd Calendar'!$S$243)*100000000+('Dvd Calendar'!$S$247='Field Check'!$C$25)*10000000+(N('Dvd Calendar'!$S$241)&gt;0)*1000000+16*1000+55))</f>
        <v/>
      </c>
      <c r="BF24" s="41">
        <f>IF(N('Dvd Calendar'!$T$242)=0,"",IF(('Dvd Calendar'!$T$242&gt;=MIN(DATE(Summary!$C$12,1,1),Summary!$C$11))*('Dvd Calendar'!$T$242&lt;=MAX(DATE(Summary!$C$12,12,31),Summary!$C$15))*('Dvd Calendar'!$T$242&gt;Summary!$C$11)=0,"",'Dvd Calendar'!$T$242*1000000000+ISNUMBER('Dvd Calendar'!$T$243)*100000000+('Dvd Calendar'!$T$247='Field Check'!$C$25)*10000000+(N('Dvd Calendar'!$T$241)&gt;0)*1000000+16*1000+56))</f>
        <v/>
      </c>
      <c r="BG24" s="41">
        <f>IF(N('Dvd Calendar'!$U$242)=0,"",IF(('Dvd Calendar'!$U$242&gt;=MIN(DATE(Summary!$C$12,1,1),Summary!$C$11))*('Dvd Calendar'!$U$242&lt;=MAX(DATE(Summary!$C$12,12,31),Summary!$C$15))*('Dvd Calendar'!$U$242&gt;Summary!$C$11)=0,"",'Dvd Calendar'!$U$242*1000000000+ISNUMBER('Dvd Calendar'!$U$243)*100000000+('Dvd Calendar'!$U$247='Field Check'!$C$25)*10000000+(N('Dvd Calendar'!$U$241)&gt;0)*1000000+16*1000+57))</f>
        <v/>
      </c>
      <c r="BH24" s="41">
        <f>IF(N('Dvd Calendar'!$V$242)=0,"",IF(('Dvd Calendar'!$V$242&gt;=MIN(DATE(Summary!$C$12,1,1),Summary!$C$11))*('Dvd Calendar'!$V$242&lt;=MAX(DATE(Summary!$C$12,12,31),Summary!$C$15))*('Dvd Calendar'!$V$242&gt;Summary!$C$11)=0,"",'Dvd Calendar'!$V$242*1000000000+ISNUMBER('Dvd Calendar'!$V$243)*100000000+('Dvd Calendar'!$V$247='Field Check'!$C$25)*10000000+(N('Dvd Calendar'!$V$241)&gt;0)*1000000+16*1000+58))</f>
        <v/>
      </c>
      <c r="BI24" s="41">
        <f>IF(N('Dvd Calendar'!$W$242)=0,"",IF(('Dvd Calendar'!$W$242&gt;=MIN(DATE(Summary!$C$12,1,1),Summary!$C$11))*('Dvd Calendar'!$W$242&lt;=MAX(DATE(Summary!$C$12,12,31),Summary!$C$15))*('Dvd Calendar'!$W$242&gt;Summary!$C$11)=0,"",'Dvd Calendar'!$W$242*1000000000+ISNUMBER('Dvd Calendar'!$W$243)*100000000+('Dvd Calendar'!$W$247='Field Check'!$C$25)*10000000+(N('Dvd Calendar'!$W$241)&gt;0)*1000000+16*1000+59))</f>
        <v/>
      </c>
      <c r="BJ24" s="41">
        <f>IF(N('Dvd Calendar'!$X$242)=0,"",IF(('Dvd Calendar'!$X$242&gt;=MIN(DATE(Summary!$C$12,1,1),Summary!$C$11))*('Dvd Calendar'!$X$242&lt;=MAX(DATE(Summary!$C$12,12,31),Summary!$C$15))*('Dvd Calendar'!$X$242&gt;Summary!$C$11)=0,"",'Dvd Calendar'!$X$242*1000000000+ISNUMBER('Dvd Calendar'!$X$243)*100000000+('Dvd Calendar'!$X$247='Field Check'!$C$25)*10000000+(N('Dvd Calendar'!$X$241)&gt;0)*1000000+16*1000+60))</f>
        <v/>
      </c>
      <c r="BK24" s="41">
        <f>IF(N('Dvd Calendar'!$Y$242)=0,"",IF(('Dvd Calendar'!$Y$242&gt;=MIN(DATE(Summary!$C$12,1,1),Summary!$C$11))*('Dvd Calendar'!$Y$242&lt;=MAX(DATE(Summary!$C$12,12,31),Summary!$C$15))*('Dvd Calendar'!$Y$242&gt;Summary!$C$11)=0,"",'Dvd Calendar'!$Y$242*1000000000+ISNUMBER('Dvd Calendar'!$Y$243)*100000000+('Dvd Calendar'!$Y$247='Field Check'!$C$25)*10000000+(N('Dvd Calendar'!$Y$241)&gt;0)*1000000+16*1000+61))</f>
        <v/>
      </c>
      <c r="BL24" s="41">
        <f>IF(N('Dvd Calendar'!$Z$242)=0,"",IF(('Dvd Calendar'!$Z$242&gt;=MIN(DATE(Summary!$C$12,1,1),Summary!$C$11))*('Dvd Calendar'!$Z$242&lt;=MAX(DATE(Summary!$C$12,12,31),Summary!$C$15))*('Dvd Calendar'!$Z$242&gt;Summary!$C$11)=0,"",'Dvd Calendar'!$Z$242*1000000000+ISNUMBER('Dvd Calendar'!$Z$243)*100000000+('Dvd Calendar'!$Z$247='Field Check'!$C$25)*10000000+(N('Dvd Calendar'!$Z$241)&gt;0)*1000000+16*1000+62))</f>
        <v/>
      </c>
      <c r="BM24" s="41">
        <f>IF(N('Dvd Calendar'!$AA$242)=0,"",IF(('Dvd Calendar'!$AA$242&gt;=MIN(DATE(Summary!$C$12,1,1),Summary!$C$11))*('Dvd Calendar'!$AA$242&lt;=MAX(DATE(Summary!$C$12,12,31),Summary!$C$15))*('Dvd Calendar'!$AA$242&gt;Summary!$C$11)=0,"",'Dvd Calendar'!$AA$242*1000000000+ISNUMBER('Dvd Calendar'!$AA$243)*100000000+('Dvd Calendar'!$AA$247='Field Check'!$C$25)*10000000+(N('Dvd Calendar'!$AA$241)&gt;0)*1000000+16*1000+63))</f>
        <v/>
      </c>
      <c r="BN24" s="41">
        <f>IF(N('Dvd Calendar'!$AB$242)=0,"",IF(('Dvd Calendar'!$AB$242&gt;=MIN(DATE(Summary!$C$12,1,1),Summary!$C$11))*('Dvd Calendar'!$AB$242&lt;=MAX(DATE(Summary!$C$12,12,31),Summary!$C$15))*('Dvd Calendar'!$AB$242&gt;Summary!$C$11)=0,"",'Dvd Calendar'!$AB$242*1000000000+ISNUMBER('Dvd Calendar'!$AB$243)*100000000+('Dvd Calendar'!$AB$247='Field Check'!$C$25)*10000000+(N('Dvd Calendar'!$AB$241)&gt;0)*1000000+16*1000+64))</f>
        <v/>
      </c>
      <c r="BO24" s="41">
        <f>IF(N('Dvd Calendar'!$AC$242)=0,"",IF(('Dvd Calendar'!$AC$242&gt;=MIN(DATE(Summary!$C$12,1,1),Summary!$C$11))*('Dvd Calendar'!$AC$242&lt;=MAX(DATE(Summary!$C$12,12,31),Summary!$C$15))*('Dvd Calendar'!$AC$242&gt;Summary!$C$11)=0,"",'Dvd Calendar'!$AC$242*1000000000+ISNUMBER('Dvd Calendar'!$AC$243)*100000000+('Dvd Calendar'!$AC$247='Field Check'!$C$25)*10000000+(N('Dvd Calendar'!$AC$241)&gt;0)*1000000+16*1000+65))</f>
        <v/>
      </c>
      <c r="BQ24" s="85">
        <f>IF(C24="","",IF(ISNUMBER('Dvd Calendar'!$E$236)=FALSE,"",IF((Summary!$C$13="N")*('Dvd Calendar'!$E$240='Field Check'!$C$25)&gt;0,"",'Dvd Calendar'!$E$236)))</f>
        <v/>
      </c>
      <c r="BR24" s="85">
        <f>IF(D24="","",IF(ISNUMBER('Dvd Calendar'!$F$236)=FALSE,"",IF((Summary!$C$13="N")*('Dvd Calendar'!$F$240='Field Check'!$C$25)&gt;0,"",'Dvd Calendar'!$F$236)))</f>
        <v/>
      </c>
      <c r="BS24" s="85">
        <f>IF(E24="","",IF(ISNUMBER('Dvd Calendar'!$G$236)=FALSE,"",IF((Summary!$C$13="N")*('Dvd Calendar'!$G$240='Field Check'!$C$25)&gt;0,"",'Dvd Calendar'!$G$236)))</f>
        <v/>
      </c>
      <c r="BT24" s="85">
        <f>IF(F24="","",IF(ISNUMBER('Dvd Calendar'!$H$236)=FALSE,"",IF((Summary!$C$13="N")*('Dvd Calendar'!$H$240='Field Check'!$C$25)&gt;0,"",'Dvd Calendar'!$H$236)))</f>
        <v/>
      </c>
      <c r="BU24" s="85">
        <f>IF(G24="","",IF(ISNUMBER('Dvd Calendar'!$I$236)=FALSE,"",IF((Summary!$C$13="N")*('Dvd Calendar'!$I$240='Field Check'!$C$25)&gt;0,"",'Dvd Calendar'!$I$236)))</f>
        <v/>
      </c>
      <c r="BV24" s="85">
        <f>IF(H24="","",IF(ISNUMBER('Dvd Calendar'!$J$236)=FALSE,"",IF((Summary!$C$13="N")*('Dvd Calendar'!$J$240='Field Check'!$C$25)&gt;0,"",'Dvd Calendar'!$J$236)))</f>
        <v/>
      </c>
      <c r="BW24" s="85">
        <f>IF(I24="","",IF(ISNUMBER('Dvd Calendar'!$K$236)=FALSE,"",IF((Summary!$C$13="N")*('Dvd Calendar'!$K$240='Field Check'!$C$25)&gt;0,"",'Dvd Calendar'!$K$236)))</f>
        <v/>
      </c>
      <c r="BX24" s="85">
        <f>IF(J24="","",IF(ISNUMBER('Dvd Calendar'!$L$236)=FALSE,"",IF((Summary!$C$13="N")*('Dvd Calendar'!$L$240='Field Check'!$C$25)&gt;0,"",'Dvd Calendar'!$L$236)))</f>
        <v/>
      </c>
      <c r="BY24" s="85">
        <f>IF(K24="","",IF(ISNUMBER('Dvd Calendar'!$M$236)=FALSE,"",IF((Summary!$C$13="N")*('Dvd Calendar'!$M$240='Field Check'!$C$25)&gt;0,"",'Dvd Calendar'!$M$236)))</f>
        <v/>
      </c>
      <c r="BZ24" s="85">
        <f>IF(L24="","",IF(ISNUMBER('Dvd Calendar'!$N$236)=FALSE,"",IF((Summary!$C$13="N")*('Dvd Calendar'!$N$240='Field Check'!$C$25)&gt;0,"",'Dvd Calendar'!$N$236)))</f>
        <v/>
      </c>
      <c r="CA24" s="85">
        <f>IF(M24="","",IF(ISNUMBER('Dvd Calendar'!$O$236)=FALSE,"",IF((Summary!$C$13="N")*('Dvd Calendar'!$O$240='Field Check'!$C$25)&gt;0,"",'Dvd Calendar'!$O$236)))</f>
        <v/>
      </c>
      <c r="CB24" s="85">
        <f>IF(N24="","",IF(ISNUMBER('Dvd Calendar'!$P$236)=FALSE,"",IF((Summary!$C$13="N")*('Dvd Calendar'!$P$240='Field Check'!$C$25)&gt;0,"",'Dvd Calendar'!$P$236)))</f>
        <v/>
      </c>
      <c r="CC24" s="85">
        <f>IF(O24="","",IF(ISNUMBER('Dvd Calendar'!$Q$236)=FALSE,"",IF((Summary!$C$13="N")*('Dvd Calendar'!$Q$240='Field Check'!$C$25)&gt;0,"",'Dvd Calendar'!$Q$236)))</f>
        <v/>
      </c>
      <c r="CD24" s="85">
        <f>IF(P24="","",IF(ISNUMBER('Dvd Calendar'!$R$236)=FALSE,"",IF((Summary!$C$13="N")*('Dvd Calendar'!$R$240='Field Check'!$C$25)&gt;0,"",'Dvd Calendar'!$R$236)))</f>
        <v/>
      </c>
      <c r="CE24" s="85">
        <f>IF(Q24="","",IF(ISNUMBER('Dvd Calendar'!$S$236)=FALSE,"",IF((Summary!$C$13="N")*('Dvd Calendar'!$S$240='Field Check'!$C$25)&gt;0,"",'Dvd Calendar'!$S$236)))</f>
        <v/>
      </c>
      <c r="CF24" s="85">
        <f>IF(R24="","",IF(ISNUMBER('Dvd Calendar'!$T$236)=FALSE,"",IF((Summary!$C$13="N")*('Dvd Calendar'!$T$240='Field Check'!$C$25)&gt;0,"",'Dvd Calendar'!$T$236)))</f>
        <v/>
      </c>
      <c r="CG24" s="85">
        <f>IF(S24="","",IF(ISNUMBER('Dvd Calendar'!$U$236)=FALSE,"",IF((Summary!$C$13="N")*('Dvd Calendar'!$U$240='Field Check'!$C$25)&gt;0,"",'Dvd Calendar'!$U$236)))</f>
        <v/>
      </c>
      <c r="CH24" s="85">
        <f>IF(T24="","",IF(ISNUMBER('Dvd Calendar'!$V$236)=FALSE,"",IF((Summary!$C$13="N")*('Dvd Calendar'!$V$240='Field Check'!$C$25)&gt;0,"",'Dvd Calendar'!$V$236)))</f>
        <v/>
      </c>
      <c r="CI24" s="85">
        <f>IF(U24="","",IF(ISNUMBER('Dvd Calendar'!$W$236)=FALSE,"",IF((Summary!$C$13="N")*('Dvd Calendar'!$W$240='Field Check'!$C$25)&gt;0,"",'Dvd Calendar'!$W$236)))</f>
        <v/>
      </c>
      <c r="CJ24" s="85">
        <f>IF(V24="","",IF(ISNUMBER('Dvd Calendar'!$X$236)=FALSE,"",IF((Summary!$C$13="N")*('Dvd Calendar'!$X$240='Field Check'!$C$25)&gt;0,"",'Dvd Calendar'!$X$236)))</f>
        <v/>
      </c>
      <c r="CK24" s="85">
        <f>IF(W24="","",IF(ISNUMBER('Dvd Calendar'!$Y$236)=FALSE,"",IF((Summary!$C$13="N")*('Dvd Calendar'!$Y$240='Field Check'!$C$25)&gt;0,"",'Dvd Calendar'!$Y$236)))</f>
        <v/>
      </c>
      <c r="CL24" s="85">
        <f>IF(X24="","",IF(ISNUMBER('Dvd Calendar'!$Z$236)=FALSE,"",IF((Summary!$C$13="N")*('Dvd Calendar'!$Z$240='Field Check'!$C$25)&gt;0,"",'Dvd Calendar'!$Z$236)))</f>
        <v/>
      </c>
      <c r="CM24" s="85">
        <f>IF(Y24="","",IF(ISNUMBER('Dvd Calendar'!$AA$236)=FALSE,"",IF((Summary!$C$13="N")*('Dvd Calendar'!$AA$240='Field Check'!$C$25)&gt;0,"",'Dvd Calendar'!$AA$236)))</f>
        <v/>
      </c>
      <c r="CN24" s="85">
        <f>IF(Z24="","",IF(ISNUMBER('Dvd Calendar'!$AB$236)=FALSE,"",IF((Summary!$C$13="N")*('Dvd Calendar'!$AB$240='Field Check'!$C$25)&gt;0,"",'Dvd Calendar'!$AB$236)))</f>
        <v/>
      </c>
      <c r="CO24" s="85">
        <f>IF(AA24="","",IF(ISNUMBER('Dvd Calendar'!$AC$236)=FALSE,"",IF((Summary!$C$13="N")*('Dvd Calendar'!$AC$240='Field Check'!$C$25)&gt;0,"",'Dvd Calendar'!$AC$236)))</f>
        <v/>
      </c>
      <c r="CP24" s="85">
        <f>IF(AB24="","",IF(ISNUMBER('Dvd Calendar'!$AD$236)=FALSE,"",IF((Summary!$C$13="N")*('Dvd Calendar'!$AD$240='Field Check'!$C$25)&gt;0,"",'Dvd Calendar'!$AD$236)))</f>
        <v/>
      </c>
      <c r="CQ24" s="85">
        <f>IF(AC24="","",IF(ISNUMBER('Dvd Calendar'!$AE$236)=FALSE,"",IF((Summary!$C$13="N")*('Dvd Calendar'!$AE$240='Field Check'!$C$25)&gt;0,"",'Dvd Calendar'!$AE$236)))</f>
        <v/>
      </c>
      <c r="CR24" s="85">
        <f>IF(AD24="","",IF(ISNUMBER('Dvd Calendar'!$AF$236)=FALSE,"",IF((Summary!$C$13="N")*('Dvd Calendar'!$AF$240='Field Check'!$C$25)&gt;0,"",'Dvd Calendar'!$AF$236)))</f>
        <v/>
      </c>
      <c r="CS24" s="85">
        <f>IF(AE24="","",IF(ISNUMBER('Dvd Calendar'!$AG$236)=FALSE,"",IF((Summary!$C$13="N")*('Dvd Calendar'!$AG$240='Field Check'!$C$25)&gt;0,"",'Dvd Calendar'!$AG$236)))</f>
        <v/>
      </c>
      <c r="CT24" s="85">
        <f>IF(AF24="","",IF(ISNUMBER('Dvd Calendar'!$AH$236)=FALSE,"",IF((Summary!$C$13="N")*('Dvd Calendar'!$AH$240='Field Check'!$C$25)&gt;0,"",'Dvd Calendar'!$AH$236)))</f>
        <v/>
      </c>
      <c r="CU24" s="85">
        <f>IF(AG24="","",IF(ISNUMBER('Dvd Calendar'!$AI$236)=FALSE,"",IF((Summary!$C$13="N")*('Dvd Calendar'!$AI$240='Field Check'!$C$25)&gt;0,"",'Dvd Calendar'!$AI$236)))</f>
        <v/>
      </c>
      <c r="CV24" s="85">
        <f>IF(AH24="","",IF(ISNUMBER('Dvd Calendar'!$AJ$236)=FALSE,"",IF((Summary!$C$13="N")*('Dvd Calendar'!$AJ$240='Field Check'!$C$25)&gt;0,"",'Dvd Calendar'!$AJ$236)))</f>
        <v/>
      </c>
      <c r="CW24" s="85">
        <f>IF(AI24="","",IF(ISNUMBER('Dvd Calendar'!$AK$236)=FALSE,"",IF((Summary!$C$13="N")*('Dvd Calendar'!$AK$240='Field Check'!$C$25)&gt;0,"",'Dvd Calendar'!$AK$236)))</f>
        <v/>
      </c>
      <c r="CX24" s="85">
        <f>IF(AJ24="","",IF(ISNUMBER('Dvd Calendar'!$AL$236)=FALSE,"",IF((Summary!$C$13="N")*('Dvd Calendar'!$AL$240='Field Check'!$C$25)&gt;0,"",'Dvd Calendar'!$AL$236)))</f>
        <v/>
      </c>
      <c r="CY24" s="85">
        <f>IF(AK24="","",IF(ISNUMBER('Dvd Calendar'!$AM$236)=FALSE,"",IF((Summary!$C$13="N")*('Dvd Calendar'!$AM$240='Field Check'!$C$25)&gt;0,"",'Dvd Calendar'!$AM$236)))</f>
        <v/>
      </c>
      <c r="CZ24" s="85">
        <f>IF(AL24="","",IF(ISNUMBER('Dvd Calendar'!$AN$236)=FALSE,"",IF((Summary!$C$13="N")*('Dvd Calendar'!$AN$240='Field Check'!$C$25)&gt;0,"",'Dvd Calendar'!$AN$236)))</f>
        <v/>
      </c>
      <c r="DA24" s="85">
        <f>IF(AM24="","",IF(ISNUMBER('Dvd Calendar'!$AO$236)=FALSE,"",IF((Summary!$C$13="N")*('Dvd Calendar'!$AO$240='Field Check'!$C$25)&gt;0,"",'Dvd Calendar'!$AO$236)))</f>
        <v/>
      </c>
      <c r="DB24" s="85">
        <f>IF(AN24="","",IF(ISNUMBER('Dvd Calendar'!$AP$236)=FALSE,"",IF((Summary!$C$13="N")*('Dvd Calendar'!$AP$240='Field Check'!$C$25)&gt;0,"",'Dvd Calendar'!$AP$236)))</f>
        <v/>
      </c>
      <c r="DC24" s="85">
        <f>IF(AO24="","",IF(ISNUMBER('Dvd Calendar'!$AQ$236)=FALSE,"",IF((Summary!$C$13="N")*('Dvd Calendar'!$AQ$240='Field Check'!$C$25)&gt;0,"",'Dvd Calendar'!$AQ$236)))</f>
        <v/>
      </c>
      <c r="DD24" s="85">
        <f>IF(AP24="","",IF(ISNUMBER('Dvd Calendar'!$AR$236)=FALSE,"",IF((Summary!$C$13="N")*('Dvd Calendar'!$AR$240='Field Check'!$C$25)&gt;0,"",'Dvd Calendar'!$AR$236)))</f>
        <v/>
      </c>
      <c r="DE24" s="85">
        <f>IF(AQ24="","",IF(ISNUMBER('Dvd Calendar'!$E$243)=FALSE,"",IF((Summary!$C$13="N")*('Dvd Calendar'!$E$247='Field Check'!$C$25)&gt;0,"",'Dvd Calendar'!$E$243)))</f>
        <v/>
      </c>
      <c r="DF24" s="85">
        <f>IF(AR24="","",IF(ISNUMBER('Dvd Calendar'!$F$243)=FALSE,"",IF((Summary!$C$13="N")*('Dvd Calendar'!$F$247='Field Check'!$C$25)&gt;0,"",'Dvd Calendar'!$F$243)))</f>
        <v/>
      </c>
      <c r="DG24" s="85">
        <f>IF(AS24="","",IF(ISNUMBER('Dvd Calendar'!$G$243)=FALSE,"",IF((Summary!$C$13="N")*('Dvd Calendar'!$G$247='Field Check'!$C$25)&gt;0,"",'Dvd Calendar'!$G$243)))</f>
        <v/>
      </c>
      <c r="DH24" s="85">
        <f>IF(AT24="","",IF(ISNUMBER('Dvd Calendar'!$H$243)=FALSE,"",IF((Summary!$C$13="N")*('Dvd Calendar'!$H$247='Field Check'!$C$25)&gt;0,"",'Dvd Calendar'!$H$243)))</f>
        <v/>
      </c>
      <c r="DI24" s="85">
        <f>IF(AU24="","",IF(ISNUMBER('Dvd Calendar'!$I$243)=FALSE,"",IF((Summary!$C$13="N")*('Dvd Calendar'!$I$247='Field Check'!$C$25)&gt;0,"",'Dvd Calendar'!$I$243)))</f>
        <v/>
      </c>
      <c r="DJ24" s="85">
        <f>IF(AV24="","",IF(ISNUMBER('Dvd Calendar'!$J$243)=FALSE,"",IF((Summary!$C$13="N")*('Dvd Calendar'!$J$247='Field Check'!$C$25)&gt;0,"",'Dvd Calendar'!$J$243)))</f>
        <v/>
      </c>
      <c r="DK24" s="85">
        <f>IF(AW24="","",IF(ISNUMBER('Dvd Calendar'!$K$243)=FALSE,"",IF((Summary!$C$13="N")*('Dvd Calendar'!$K$247='Field Check'!$C$25)&gt;0,"",'Dvd Calendar'!$K$243)))</f>
        <v/>
      </c>
      <c r="DL24" s="85">
        <f>IF(AX24="","",IF(ISNUMBER('Dvd Calendar'!$L$243)=FALSE,"",IF((Summary!$C$13="N")*('Dvd Calendar'!$L$247='Field Check'!$C$25)&gt;0,"",'Dvd Calendar'!$L$243)))</f>
        <v/>
      </c>
      <c r="DM24" s="85">
        <f>IF(AY24="","",IF(ISNUMBER('Dvd Calendar'!$M$243)=FALSE,"",IF((Summary!$C$13="N")*('Dvd Calendar'!$M$247='Field Check'!$C$25)&gt;0,"",'Dvd Calendar'!$M$243)))</f>
        <v/>
      </c>
      <c r="DN24" s="85">
        <f>IF(AZ24="","",IF(ISNUMBER('Dvd Calendar'!$N$243)=FALSE,"",IF((Summary!$C$13="N")*('Dvd Calendar'!$N$247='Field Check'!$C$25)&gt;0,"",'Dvd Calendar'!$N$243)))</f>
        <v/>
      </c>
      <c r="DO24" s="85">
        <f>IF(BA24="","",IF(ISNUMBER('Dvd Calendar'!$O$243)=FALSE,"",IF((Summary!$C$13="N")*('Dvd Calendar'!$O$247='Field Check'!$C$25)&gt;0,"",'Dvd Calendar'!$O$243)))</f>
        <v/>
      </c>
      <c r="DP24" s="85">
        <f>IF(BB24="","",IF(ISNUMBER('Dvd Calendar'!$P$243)=FALSE,"",IF((Summary!$C$13="N")*('Dvd Calendar'!$P$247='Field Check'!$C$25)&gt;0,"",'Dvd Calendar'!$P$243)))</f>
        <v/>
      </c>
      <c r="DQ24" s="85">
        <f>IF(BC24="","",IF(ISNUMBER('Dvd Calendar'!$Q$243)=FALSE,"",IF((Summary!$C$13="N")*('Dvd Calendar'!$Q$247='Field Check'!$C$25)&gt;0,"",'Dvd Calendar'!$Q$243)))</f>
        <v/>
      </c>
      <c r="DR24" s="85">
        <f>IF(BD24="","",IF(ISNUMBER('Dvd Calendar'!$R$243)=FALSE,"",IF((Summary!$C$13="N")*('Dvd Calendar'!$R$247='Field Check'!$C$25)&gt;0,"",'Dvd Calendar'!$R$243)))</f>
        <v/>
      </c>
      <c r="DS24" s="85">
        <f>IF(BE24="","",IF(ISNUMBER('Dvd Calendar'!$S$243)=FALSE,"",IF((Summary!$C$13="N")*('Dvd Calendar'!$S$247='Field Check'!$C$25)&gt;0,"",'Dvd Calendar'!$S$243)))</f>
        <v/>
      </c>
      <c r="DT24" s="85">
        <f>IF(BF24="","",IF(ISNUMBER('Dvd Calendar'!$T$243)=FALSE,"",IF((Summary!$C$13="N")*('Dvd Calendar'!$T$247='Field Check'!$C$25)&gt;0,"",'Dvd Calendar'!$T$243)))</f>
        <v/>
      </c>
      <c r="DU24" s="85">
        <f>IF(BG24="","",IF(ISNUMBER('Dvd Calendar'!$U$243)=FALSE,"",IF((Summary!$C$13="N")*('Dvd Calendar'!$U$247='Field Check'!$C$25)&gt;0,"",'Dvd Calendar'!$U$243)))</f>
        <v/>
      </c>
      <c r="DV24" s="85">
        <f>IF(BH24="","",IF(ISNUMBER('Dvd Calendar'!$V$243)=FALSE,"",IF((Summary!$C$13="N")*('Dvd Calendar'!$V$247='Field Check'!$C$25)&gt;0,"",'Dvd Calendar'!$V$243)))</f>
        <v/>
      </c>
      <c r="DW24" s="85">
        <f>IF(BI24="","",IF(ISNUMBER('Dvd Calendar'!$W$243)=FALSE,"",IF((Summary!$C$13="N")*('Dvd Calendar'!$W$247='Field Check'!$C$25)&gt;0,"",'Dvd Calendar'!$W$243)))</f>
        <v/>
      </c>
      <c r="DX24" s="85">
        <f>IF(BJ24="","",IF(ISNUMBER('Dvd Calendar'!$X$243)=FALSE,"",IF((Summary!$C$13="N")*('Dvd Calendar'!$X$247='Field Check'!$C$25)&gt;0,"",'Dvd Calendar'!$X$243)))</f>
        <v/>
      </c>
      <c r="DY24" s="85">
        <f>IF(BK24="","",IF(ISNUMBER('Dvd Calendar'!$Y$243)=FALSE,"",IF((Summary!$C$13="N")*('Dvd Calendar'!$Y$247='Field Check'!$C$25)&gt;0,"",'Dvd Calendar'!$Y$243)))</f>
        <v/>
      </c>
      <c r="DZ24" s="85">
        <f>IF(BL24="","",IF(ISNUMBER('Dvd Calendar'!$Z$243)=FALSE,"",IF((Summary!$C$13="N")*('Dvd Calendar'!$Z$247='Field Check'!$C$25)&gt;0,"",'Dvd Calendar'!$Z$243)))</f>
        <v/>
      </c>
      <c r="EA24" s="85">
        <f>IF(BM24="","",IF(ISNUMBER('Dvd Calendar'!$AA$243)=FALSE,"",IF((Summary!$C$13="N")*('Dvd Calendar'!$AA$247='Field Check'!$C$25)&gt;0,"",'Dvd Calendar'!$AA$243)))</f>
        <v/>
      </c>
      <c r="EB24" s="85">
        <f>IF(BN24="","",IF(ISNUMBER('Dvd Calendar'!$AB$243)=FALSE,"",IF((Summary!$C$13="N")*('Dvd Calendar'!$AB$247='Field Check'!$C$25)&gt;0,"",'Dvd Calendar'!$AB$243)))</f>
        <v/>
      </c>
      <c r="EC24" s="85">
        <f>IF(BO24="","",IF(ISNUMBER('Dvd Calendar'!$AC$243)=FALSE,"",IF((Summary!$C$13="N")*('Dvd Calendar'!$AC$247='Field Check'!$C$25)&gt;0,"",'Dvd Calendar'!$AC$243)))</f>
        <v/>
      </c>
      <c r="EE24" s="85">
        <f>IF(BQ24="","",IFERROR(BQ24*HSI!$B$22*HSI!$G$22/HSI!$B$3,""))</f>
        <v/>
      </c>
      <c r="EF24" s="85">
        <f>IF(BR24="","",IFERROR(BR24*HSI!$B$22*HSI!$G$22/HSI!$B$3,""))</f>
        <v/>
      </c>
      <c r="EG24" s="85">
        <f>IF(BS24="","",IFERROR(BS24*HSI!$B$22*HSI!$G$22/HSI!$B$3,""))</f>
        <v/>
      </c>
      <c r="EH24" s="85">
        <f>IF(BT24="","",IFERROR(BT24*HSI!$B$22*HSI!$G$22/HSI!$B$3,""))</f>
        <v/>
      </c>
      <c r="EI24" s="85">
        <f>IF(BU24="","",IFERROR(BU24*HSI!$B$22*HSI!$G$22/HSI!$B$3,""))</f>
        <v/>
      </c>
      <c r="EJ24" s="85">
        <f>IF(BV24="","",IFERROR(BV24*HSI!$B$22*HSI!$G$22/HSI!$B$3,""))</f>
        <v/>
      </c>
      <c r="EK24" s="85">
        <f>IF(BW24="","",IFERROR(BW24*HSI!$B$22*HSI!$G$22/HSI!$B$3,""))</f>
        <v/>
      </c>
      <c r="EL24" s="85">
        <f>IF(BX24="","",IFERROR(BX24*HSI!$B$22*HSI!$G$22/HSI!$B$3,""))</f>
        <v/>
      </c>
      <c r="EM24" s="85">
        <f>IF(BY24="","",IFERROR(BY24*HSI!$B$22*HSI!$G$22/HSI!$B$3,""))</f>
        <v/>
      </c>
      <c r="EN24" s="85">
        <f>IF(BZ24="","",IFERROR(BZ24*HSI!$B$22*HSI!$G$22/HSI!$B$3,""))</f>
        <v/>
      </c>
      <c r="EO24" s="85">
        <f>IF(CA24="","",IFERROR(CA24*HSI!$B$22*HSI!$G$22/HSI!$B$3,""))</f>
        <v/>
      </c>
      <c r="EP24" s="85">
        <f>IF(CB24="","",IFERROR(CB24*HSI!$B$22*HSI!$G$22/HSI!$B$3,""))</f>
        <v/>
      </c>
      <c r="EQ24" s="85">
        <f>IF(CC24="","",IFERROR(CC24*HSI!$B$22*HSI!$G$22/HSI!$B$3,""))</f>
        <v/>
      </c>
      <c r="ER24" s="85">
        <f>IF(CD24="","",IFERROR(CD24*HSI!$B$22*HSI!$G$22/HSI!$B$3,""))</f>
        <v/>
      </c>
      <c r="ES24" s="85">
        <f>IF(CE24="","",IFERROR(CE24*HSI!$B$22*HSI!$G$22/HSI!$B$3,""))</f>
        <v/>
      </c>
      <c r="ET24" s="85">
        <f>IF(CF24="","",IFERROR(CF24*HSI!$B$22*HSI!$G$22/HSI!$B$3,""))</f>
        <v/>
      </c>
      <c r="EU24" s="85">
        <f>IF(CG24="","",IFERROR(CG24*HSI!$B$22*HSI!$G$22/HSI!$B$3,""))</f>
        <v/>
      </c>
      <c r="EV24" s="85">
        <f>IF(CH24="","",IFERROR(CH24*HSI!$B$22*HSI!$G$22/HSI!$B$3,""))</f>
        <v/>
      </c>
      <c r="EW24" s="85">
        <f>IF(CI24="","",IFERROR(CI24*HSI!$B$22*HSI!$G$22/HSI!$B$3,""))</f>
        <v/>
      </c>
      <c r="EX24" s="85">
        <f>IF(CJ24="","",IFERROR(CJ24*HSI!$B$22*HSI!$G$22/HSI!$B$3,""))</f>
        <v/>
      </c>
      <c r="EY24" s="85">
        <f>IF(CK24="","",IFERROR(CK24*HSI!$B$22*HSI!$G$22/HSI!$B$3,""))</f>
        <v/>
      </c>
      <c r="EZ24" s="85">
        <f>IF(CL24="","",IFERROR(CL24*HSI!$B$22*HSI!$G$22/HSI!$B$3,""))</f>
        <v/>
      </c>
      <c r="FA24" s="85">
        <f>IF(CM24="","",IFERROR(CM24*HSI!$B$22*HSI!$G$22/HSI!$B$3,""))</f>
        <v/>
      </c>
      <c r="FB24" s="85">
        <f>IF(CN24="","",IFERROR(CN24*HSI!$B$22*HSI!$G$22/HSI!$B$3,""))</f>
        <v/>
      </c>
      <c r="FC24" s="85">
        <f>IF(CO24="","",IFERROR(CO24*HSI!$B$22*HSI!$G$22/HSI!$B$3,""))</f>
        <v/>
      </c>
      <c r="FD24" s="85">
        <f>IF(CP24="","",IFERROR(CP24*HSI!$B$22*HSI!$G$22/HSI!$B$3,""))</f>
        <v/>
      </c>
      <c r="FE24" s="85">
        <f>IF(CQ24="","",IFERROR(CQ24*HSI!$B$22*HSI!$G$22/HSI!$B$3,""))</f>
        <v/>
      </c>
      <c r="FF24" s="85">
        <f>IF(CR24="","",IFERROR(CR24*HSI!$B$22*HSI!$G$22/HSI!$B$3,""))</f>
        <v/>
      </c>
      <c r="FG24" s="85">
        <f>IF(CS24="","",IFERROR(CS24*HSI!$B$22*HSI!$G$22/HSI!$B$3,""))</f>
        <v/>
      </c>
      <c r="FH24" s="85">
        <f>IF(CT24="","",IFERROR(CT24*HSI!$B$22*HSI!$G$22/HSI!$B$3,""))</f>
        <v/>
      </c>
      <c r="FI24" s="85">
        <f>IF(CU24="","",IFERROR(CU24*HSI!$B$22*HSI!$G$22/HSI!$B$3,""))</f>
        <v/>
      </c>
      <c r="FJ24" s="85">
        <f>IF(CV24="","",IFERROR(CV24*HSI!$B$22*HSI!$G$22/HSI!$B$3,""))</f>
        <v/>
      </c>
      <c r="FK24" s="85">
        <f>IF(CW24="","",IFERROR(CW24*HSI!$B$22*HSI!$G$22/HSI!$B$3,""))</f>
        <v/>
      </c>
      <c r="FL24" s="85">
        <f>IF(CX24="","",IFERROR(CX24*HSI!$B$22*HSI!$G$22/HSI!$B$3,""))</f>
        <v/>
      </c>
      <c r="FM24" s="85">
        <f>IF(CY24="","",IFERROR(CY24*HSI!$B$22*HSI!$G$22/HSI!$B$3,""))</f>
        <v/>
      </c>
      <c r="FN24" s="85">
        <f>IF(CZ24="","",IFERROR(CZ24*HSI!$B$22*HSI!$G$22/HSI!$B$3,""))</f>
        <v/>
      </c>
      <c r="FO24" s="85">
        <f>IF(DA24="","",IFERROR(DA24*HSI!$B$22*HSI!$G$22/HSI!$B$3,""))</f>
        <v/>
      </c>
      <c r="FP24" s="85">
        <f>IF(DB24="","",IFERROR(DB24*HSI!$B$22*HSI!$G$22/HSI!$B$3,""))</f>
        <v/>
      </c>
      <c r="FQ24" s="85">
        <f>IF(DC24="","",IFERROR(DC24*HSI!$B$22*HSI!$G$22/HSI!$B$3,""))</f>
        <v/>
      </c>
      <c r="FR24" s="85">
        <f>IF(DD24="","",IFERROR(DD24*HSI!$B$22*HSI!$G$22/HSI!$B$3,""))</f>
        <v/>
      </c>
      <c r="FS24" s="85">
        <f>IF(DE24="","",IFERROR(DE24*HSI!$B$22*HSI!$G$22/HSI!$B$3,""))</f>
        <v/>
      </c>
      <c r="FT24" s="85">
        <f>IF(DF24="","",IFERROR(DF24*HSI!$B$22*HSI!$G$22/HSI!$B$3,""))</f>
        <v/>
      </c>
      <c r="FU24" s="85">
        <f>IF(DG24="","",IFERROR(DG24*HSI!$B$22*HSI!$G$22/HSI!$B$3,""))</f>
        <v/>
      </c>
      <c r="FV24" s="85">
        <f>IF(DH24="","",IFERROR(DH24*HSI!$B$22*HSI!$G$22/HSI!$B$3,""))</f>
        <v/>
      </c>
      <c r="FW24" s="85">
        <f>IF(DI24="","",IFERROR(DI24*HSI!$B$22*HSI!$G$22/HSI!$B$3,""))</f>
        <v/>
      </c>
      <c r="FX24" s="85">
        <f>IF(DJ24="","",IFERROR(DJ24*HSI!$B$22*HSI!$G$22/HSI!$B$3,""))</f>
        <v/>
      </c>
      <c r="FY24" s="85">
        <f>IF(DK24="","",IFERROR(DK24*HSI!$B$22*HSI!$G$22/HSI!$B$3,""))</f>
        <v/>
      </c>
      <c r="FZ24" s="85">
        <f>IF(DL24="","",IFERROR(DL24*HSI!$B$22*HSI!$G$22/HSI!$B$3,""))</f>
        <v/>
      </c>
      <c r="GA24" s="85">
        <f>IF(DM24="","",IFERROR(DM24*HSI!$B$22*HSI!$G$22/HSI!$B$3,""))</f>
        <v/>
      </c>
      <c r="GB24" s="85">
        <f>IF(DN24="","",IFERROR(DN24*HSI!$B$22*HSI!$G$22/HSI!$B$3,""))</f>
        <v/>
      </c>
      <c r="GC24" s="85">
        <f>IF(DO24="","",IFERROR(DO24*HSI!$B$22*HSI!$G$22/HSI!$B$3,""))</f>
        <v/>
      </c>
      <c r="GD24" s="85">
        <f>IF(DP24="","",IFERROR(DP24*HSI!$B$22*HSI!$G$22/HSI!$B$3,""))</f>
        <v/>
      </c>
      <c r="GE24" s="85">
        <f>IF(DQ24="","",IFERROR(DQ24*HSI!$B$22*HSI!$G$22/HSI!$B$3,""))</f>
        <v/>
      </c>
      <c r="GF24" s="85">
        <f>IF(DR24="","",IFERROR(DR24*HSI!$B$22*HSI!$G$22/HSI!$B$3,""))</f>
        <v/>
      </c>
      <c r="GG24" s="85">
        <f>IF(DS24="","",IFERROR(DS24*HSI!$B$22*HSI!$G$22/HSI!$B$3,""))</f>
        <v/>
      </c>
      <c r="GH24" s="85">
        <f>IF(DT24="","",IFERROR(DT24*HSI!$B$22*HSI!$G$22/HSI!$B$3,""))</f>
        <v/>
      </c>
      <c r="GI24" s="85">
        <f>IF(DU24="","",IFERROR(DU24*HSI!$B$22*HSI!$G$22/HSI!$B$3,""))</f>
        <v/>
      </c>
      <c r="GJ24" s="85">
        <f>IF(DV24="","",IFERROR(DV24*HSI!$B$22*HSI!$G$22/HSI!$B$3,""))</f>
        <v/>
      </c>
      <c r="GK24" s="85">
        <f>IF(DW24="","",IFERROR(DW24*HSI!$B$22*HSI!$G$22/HSI!$B$3,""))</f>
        <v/>
      </c>
      <c r="GL24" s="85">
        <f>IF(DX24="","",IFERROR(DX24*HSI!$B$22*HSI!$G$22/HSI!$B$3,""))</f>
        <v/>
      </c>
      <c r="GM24" s="85">
        <f>IF(DY24="","",IFERROR(DY24*HSI!$B$22*HSI!$G$22/HSI!$B$3,""))</f>
        <v/>
      </c>
      <c r="GN24" s="85">
        <f>IF(DZ24="","",IFERROR(DZ24*HSI!$B$22*HSI!$G$22/HSI!$B$3,""))</f>
        <v/>
      </c>
      <c r="GO24" s="85">
        <f>IF(EA24="","",IFERROR(EA24*HSI!$B$22*HSI!$G$22/HSI!$B$3,""))</f>
        <v/>
      </c>
      <c r="GP24" s="85">
        <f>IF(EB24="","",IFERROR(EB24*HSI!$B$22*HSI!$G$22/HSI!$B$3,""))</f>
        <v/>
      </c>
      <c r="GQ24" s="85">
        <f>IF(EC24="","",IFERROR(EC24*HSI!$B$22*HSI!$G$22/HSI!$B$3,""))</f>
        <v/>
      </c>
    </row>
    <row r="25">
      <c r="B25" s="2">
        <f>IF(HSI!$C$23="","",HSI!$C$23)</f>
        <v/>
      </c>
      <c r="C25" s="41">
        <f>IF(N('Dvd Calendar'!$E$250)=0,"",IF(('Dvd Calendar'!$E$250&gt;=MIN(DATE(Summary!$C$12,1,1),Summary!$C$11))*('Dvd Calendar'!$E$250&lt;=MAX(DATE(Summary!$C$12,12,31),Summary!$C$15))*('Dvd Calendar'!$E$250&lt;=Summary!$C$11)=0,"",'Dvd Calendar'!$E$250*1000000000+ISNUMBER('Dvd Calendar'!$E$251)*100000000+('Dvd Calendar'!$E$255='Field Check'!$C$25)*10000000+(N('Dvd Calendar'!$E$249)&gt;0)*1000000+17*1000+1))</f>
        <v/>
      </c>
      <c r="D25" s="41">
        <f>IF(N('Dvd Calendar'!$F$250)=0,"",IF(('Dvd Calendar'!$F$250&gt;=MIN(DATE(Summary!$C$12,1,1),Summary!$C$11))*('Dvd Calendar'!$F$250&lt;=MAX(DATE(Summary!$C$12,12,31),Summary!$C$15))*('Dvd Calendar'!$F$250&lt;=Summary!$C$11)=0,"",'Dvd Calendar'!$F$250*1000000000+ISNUMBER('Dvd Calendar'!$F$251)*100000000+('Dvd Calendar'!$F$255='Field Check'!$C$25)*10000000+(N('Dvd Calendar'!$F$249)&gt;0)*1000000+17*1000+2))</f>
        <v/>
      </c>
      <c r="E25" s="41">
        <f>IF(N('Dvd Calendar'!$G$250)=0,"",IF(('Dvd Calendar'!$G$250&gt;=MIN(DATE(Summary!$C$12,1,1),Summary!$C$11))*('Dvd Calendar'!$G$250&lt;=MAX(DATE(Summary!$C$12,12,31),Summary!$C$15))*('Dvd Calendar'!$G$250&lt;=Summary!$C$11)=0,"",'Dvd Calendar'!$G$250*1000000000+ISNUMBER('Dvd Calendar'!$G$251)*100000000+('Dvd Calendar'!$G$255='Field Check'!$C$25)*10000000+(N('Dvd Calendar'!$G$249)&gt;0)*1000000+17*1000+3))</f>
        <v/>
      </c>
      <c r="F25" s="41">
        <f>IF(N('Dvd Calendar'!$H$250)=0,"",IF(('Dvd Calendar'!$H$250&gt;=MIN(DATE(Summary!$C$12,1,1),Summary!$C$11))*('Dvd Calendar'!$H$250&lt;=MAX(DATE(Summary!$C$12,12,31),Summary!$C$15))*('Dvd Calendar'!$H$250&lt;=Summary!$C$11)=0,"",'Dvd Calendar'!$H$250*1000000000+ISNUMBER('Dvd Calendar'!$H$251)*100000000+('Dvd Calendar'!$H$255='Field Check'!$C$25)*10000000+(N('Dvd Calendar'!$H$249)&gt;0)*1000000+17*1000+4))</f>
        <v/>
      </c>
      <c r="G25" s="41">
        <f>IF(N('Dvd Calendar'!$I$250)=0,"",IF(('Dvd Calendar'!$I$250&gt;=MIN(DATE(Summary!$C$12,1,1),Summary!$C$11))*('Dvd Calendar'!$I$250&lt;=MAX(DATE(Summary!$C$12,12,31),Summary!$C$15))*('Dvd Calendar'!$I$250&lt;=Summary!$C$11)=0,"",'Dvd Calendar'!$I$250*1000000000+ISNUMBER('Dvd Calendar'!$I$251)*100000000+('Dvd Calendar'!$I$255='Field Check'!$C$25)*10000000+(N('Dvd Calendar'!$I$249)&gt;0)*1000000+17*1000+5))</f>
        <v/>
      </c>
      <c r="H25" s="41">
        <f>IF(N('Dvd Calendar'!$J$250)=0,"",IF(('Dvd Calendar'!$J$250&gt;=MIN(DATE(Summary!$C$12,1,1),Summary!$C$11))*('Dvd Calendar'!$J$250&lt;=MAX(DATE(Summary!$C$12,12,31),Summary!$C$15))*('Dvd Calendar'!$J$250&lt;=Summary!$C$11)=0,"",'Dvd Calendar'!$J$250*1000000000+ISNUMBER('Dvd Calendar'!$J$251)*100000000+('Dvd Calendar'!$J$255='Field Check'!$C$25)*10000000+(N('Dvd Calendar'!$J$249)&gt;0)*1000000+17*1000+6))</f>
        <v/>
      </c>
      <c r="I25" s="41">
        <f>IF(N('Dvd Calendar'!$K$250)=0,"",IF(('Dvd Calendar'!$K$250&gt;=MIN(DATE(Summary!$C$12,1,1),Summary!$C$11))*('Dvd Calendar'!$K$250&lt;=MAX(DATE(Summary!$C$12,12,31),Summary!$C$15))*('Dvd Calendar'!$K$250&lt;=Summary!$C$11)=0,"",'Dvd Calendar'!$K$250*1000000000+ISNUMBER('Dvd Calendar'!$K$251)*100000000+('Dvd Calendar'!$K$255='Field Check'!$C$25)*10000000+(N('Dvd Calendar'!$K$249)&gt;0)*1000000+17*1000+7))</f>
        <v/>
      </c>
      <c r="J25" s="41">
        <f>IF(N('Dvd Calendar'!$L$250)=0,"",IF(('Dvd Calendar'!$L$250&gt;=MIN(DATE(Summary!$C$12,1,1),Summary!$C$11))*('Dvd Calendar'!$L$250&lt;=MAX(DATE(Summary!$C$12,12,31),Summary!$C$15))*('Dvd Calendar'!$L$250&lt;=Summary!$C$11)=0,"",'Dvd Calendar'!$L$250*1000000000+ISNUMBER('Dvd Calendar'!$L$251)*100000000+('Dvd Calendar'!$L$255='Field Check'!$C$25)*10000000+(N('Dvd Calendar'!$L$249)&gt;0)*1000000+17*1000+8))</f>
        <v/>
      </c>
      <c r="K25" s="41">
        <f>IF(N('Dvd Calendar'!$M$250)=0,"",IF(('Dvd Calendar'!$M$250&gt;=MIN(DATE(Summary!$C$12,1,1),Summary!$C$11))*('Dvd Calendar'!$M$250&lt;=MAX(DATE(Summary!$C$12,12,31),Summary!$C$15))*('Dvd Calendar'!$M$250&lt;=Summary!$C$11)=0,"",'Dvd Calendar'!$M$250*1000000000+ISNUMBER('Dvd Calendar'!$M$251)*100000000+('Dvd Calendar'!$M$255='Field Check'!$C$25)*10000000+(N('Dvd Calendar'!$M$249)&gt;0)*1000000+17*1000+9))</f>
        <v/>
      </c>
      <c r="L25" s="41">
        <f>IF(N('Dvd Calendar'!$N$250)=0,"",IF(('Dvd Calendar'!$N$250&gt;=MIN(DATE(Summary!$C$12,1,1),Summary!$C$11))*('Dvd Calendar'!$N$250&lt;=MAX(DATE(Summary!$C$12,12,31),Summary!$C$15))*('Dvd Calendar'!$N$250&lt;=Summary!$C$11)=0,"",'Dvd Calendar'!$N$250*1000000000+ISNUMBER('Dvd Calendar'!$N$251)*100000000+('Dvd Calendar'!$N$255='Field Check'!$C$25)*10000000+(N('Dvd Calendar'!$N$249)&gt;0)*1000000+17*1000+10))</f>
        <v/>
      </c>
      <c r="M25" s="41">
        <f>IF(N('Dvd Calendar'!$O$250)=0,"",IF(('Dvd Calendar'!$O$250&gt;=MIN(DATE(Summary!$C$12,1,1),Summary!$C$11))*('Dvd Calendar'!$O$250&lt;=MAX(DATE(Summary!$C$12,12,31),Summary!$C$15))*('Dvd Calendar'!$O$250&lt;=Summary!$C$11)=0,"",'Dvd Calendar'!$O$250*1000000000+ISNUMBER('Dvd Calendar'!$O$251)*100000000+('Dvd Calendar'!$O$255='Field Check'!$C$25)*10000000+(N('Dvd Calendar'!$O$249)&gt;0)*1000000+17*1000+11))</f>
        <v/>
      </c>
      <c r="N25" s="41">
        <f>IF(N('Dvd Calendar'!$P$250)=0,"",IF(('Dvd Calendar'!$P$250&gt;=MIN(DATE(Summary!$C$12,1,1),Summary!$C$11))*('Dvd Calendar'!$P$250&lt;=MAX(DATE(Summary!$C$12,12,31),Summary!$C$15))*('Dvd Calendar'!$P$250&lt;=Summary!$C$11)=0,"",'Dvd Calendar'!$P$250*1000000000+ISNUMBER('Dvd Calendar'!$P$251)*100000000+('Dvd Calendar'!$P$255='Field Check'!$C$25)*10000000+(N('Dvd Calendar'!$P$249)&gt;0)*1000000+17*1000+12))</f>
        <v/>
      </c>
      <c r="O25" s="41">
        <f>IF(N('Dvd Calendar'!$Q$250)=0,"",IF(('Dvd Calendar'!$Q$250&gt;=MIN(DATE(Summary!$C$12,1,1),Summary!$C$11))*('Dvd Calendar'!$Q$250&lt;=MAX(DATE(Summary!$C$12,12,31),Summary!$C$15))*('Dvd Calendar'!$Q$250&lt;=Summary!$C$11)=0,"",'Dvd Calendar'!$Q$250*1000000000+ISNUMBER('Dvd Calendar'!$Q$251)*100000000+('Dvd Calendar'!$Q$255='Field Check'!$C$25)*10000000+(N('Dvd Calendar'!$Q$249)&gt;0)*1000000+17*1000+13))</f>
        <v/>
      </c>
      <c r="P25" s="41">
        <f>IF(N('Dvd Calendar'!$R$250)=0,"",IF(('Dvd Calendar'!$R$250&gt;=MIN(DATE(Summary!$C$12,1,1),Summary!$C$11))*('Dvd Calendar'!$R$250&lt;=MAX(DATE(Summary!$C$12,12,31),Summary!$C$15))*('Dvd Calendar'!$R$250&lt;=Summary!$C$11)=0,"",'Dvd Calendar'!$R$250*1000000000+ISNUMBER('Dvd Calendar'!$R$251)*100000000+('Dvd Calendar'!$R$255='Field Check'!$C$25)*10000000+(N('Dvd Calendar'!$R$249)&gt;0)*1000000+17*1000+14))</f>
        <v/>
      </c>
      <c r="Q25" s="41">
        <f>IF(N('Dvd Calendar'!$S$250)=0,"",IF(('Dvd Calendar'!$S$250&gt;=MIN(DATE(Summary!$C$12,1,1),Summary!$C$11))*('Dvd Calendar'!$S$250&lt;=MAX(DATE(Summary!$C$12,12,31),Summary!$C$15))*('Dvd Calendar'!$S$250&lt;=Summary!$C$11)=0,"",'Dvd Calendar'!$S$250*1000000000+ISNUMBER('Dvd Calendar'!$S$251)*100000000+('Dvd Calendar'!$S$255='Field Check'!$C$25)*10000000+(N('Dvd Calendar'!$S$249)&gt;0)*1000000+17*1000+15))</f>
        <v/>
      </c>
      <c r="R25" s="41">
        <f>IF(N('Dvd Calendar'!$T$250)=0,"",IF(('Dvd Calendar'!$T$250&gt;=MIN(DATE(Summary!$C$12,1,1),Summary!$C$11))*('Dvd Calendar'!$T$250&lt;=MAX(DATE(Summary!$C$12,12,31),Summary!$C$15))*('Dvd Calendar'!$T$250&lt;=Summary!$C$11)=0,"",'Dvd Calendar'!$T$250*1000000000+ISNUMBER('Dvd Calendar'!$T$251)*100000000+('Dvd Calendar'!$T$255='Field Check'!$C$25)*10000000+(N('Dvd Calendar'!$T$249)&gt;0)*1000000+17*1000+16))</f>
        <v/>
      </c>
      <c r="S25" s="41">
        <f>IF(N('Dvd Calendar'!$U$250)=0,"",IF(('Dvd Calendar'!$U$250&gt;=MIN(DATE(Summary!$C$12,1,1),Summary!$C$11))*('Dvd Calendar'!$U$250&lt;=MAX(DATE(Summary!$C$12,12,31),Summary!$C$15))*('Dvd Calendar'!$U$250&lt;=Summary!$C$11)=0,"",'Dvd Calendar'!$U$250*1000000000+ISNUMBER('Dvd Calendar'!$U$251)*100000000+('Dvd Calendar'!$U$255='Field Check'!$C$25)*10000000+(N('Dvd Calendar'!$U$249)&gt;0)*1000000+17*1000+17))</f>
        <v/>
      </c>
      <c r="T25" s="41">
        <f>IF(N('Dvd Calendar'!$V$250)=0,"",IF(('Dvd Calendar'!$V$250&gt;=MIN(DATE(Summary!$C$12,1,1),Summary!$C$11))*('Dvd Calendar'!$V$250&lt;=MAX(DATE(Summary!$C$12,12,31),Summary!$C$15))*('Dvd Calendar'!$V$250&lt;=Summary!$C$11)=0,"",'Dvd Calendar'!$V$250*1000000000+ISNUMBER('Dvd Calendar'!$V$251)*100000000+('Dvd Calendar'!$V$255='Field Check'!$C$25)*10000000+(N('Dvd Calendar'!$V$249)&gt;0)*1000000+17*1000+18))</f>
        <v/>
      </c>
      <c r="U25" s="41">
        <f>IF(N('Dvd Calendar'!$W$250)=0,"",IF(('Dvd Calendar'!$W$250&gt;=MIN(DATE(Summary!$C$12,1,1),Summary!$C$11))*('Dvd Calendar'!$W$250&lt;=MAX(DATE(Summary!$C$12,12,31),Summary!$C$15))*('Dvd Calendar'!$W$250&lt;=Summary!$C$11)=0,"",'Dvd Calendar'!$W$250*1000000000+ISNUMBER('Dvd Calendar'!$W$251)*100000000+('Dvd Calendar'!$W$255='Field Check'!$C$25)*10000000+(N('Dvd Calendar'!$W$249)&gt;0)*1000000+17*1000+19))</f>
        <v/>
      </c>
      <c r="V25" s="41">
        <f>IF(N('Dvd Calendar'!$X$250)=0,"",IF(('Dvd Calendar'!$X$250&gt;=MIN(DATE(Summary!$C$12,1,1),Summary!$C$11))*('Dvd Calendar'!$X$250&lt;=MAX(DATE(Summary!$C$12,12,31),Summary!$C$15))*('Dvd Calendar'!$X$250&lt;=Summary!$C$11)=0,"",'Dvd Calendar'!$X$250*1000000000+ISNUMBER('Dvd Calendar'!$X$251)*100000000+('Dvd Calendar'!$X$255='Field Check'!$C$25)*10000000+(N('Dvd Calendar'!$X$249)&gt;0)*1000000+17*1000+20))</f>
        <v/>
      </c>
      <c r="W25" s="41">
        <f>IF(N('Dvd Calendar'!$Y$250)=0,"",IF(('Dvd Calendar'!$Y$250&gt;=MIN(DATE(Summary!$C$12,1,1),Summary!$C$11))*('Dvd Calendar'!$Y$250&lt;=MAX(DATE(Summary!$C$12,12,31),Summary!$C$15))*('Dvd Calendar'!$Y$250&lt;=Summary!$C$11)=0,"",'Dvd Calendar'!$Y$250*1000000000+ISNUMBER('Dvd Calendar'!$Y$251)*100000000+('Dvd Calendar'!$Y$255='Field Check'!$C$25)*10000000+(N('Dvd Calendar'!$Y$249)&gt;0)*1000000+17*1000+21))</f>
        <v/>
      </c>
      <c r="X25" s="41">
        <f>IF(N('Dvd Calendar'!$Z$250)=0,"",IF(('Dvd Calendar'!$Z$250&gt;=MIN(DATE(Summary!$C$12,1,1),Summary!$C$11))*('Dvd Calendar'!$Z$250&lt;=MAX(DATE(Summary!$C$12,12,31),Summary!$C$15))*('Dvd Calendar'!$Z$250&lt;=Summary!$C$11)=0,"",'Dvd Calendar'!$Z$250*1000000000+ISNUMBER('Dvd Calendar'!$Z$251)*100000000+('Dvd Calendar'!$Z$255='Field Check'!$C$25)*10000000+(N('Dvd Calendar'!$Z$249)&gt;0)*1000000+17*1000+22))</f>
        <v/>
      </c>
      <c r="Y25" s="41">
        <f>IF(N('Dvd Calendar'!$AA$250)=0,"",IF(('Dvd Calendar'!$AA$250&gt;=MIN(DATE(Summary!$C$12,1,1),Summary!$C$11))*('Dvd Calendar'!$AA$250&lt;=MAX(DATE(Summary!$C$12,12,31),Summary!$C$15))*('Dvd Calendar'!$AA$250&lt;=Summary!$C$11)=0,"",'Dvd Calendar'!$AA$250*1000000000+ISNUMBER('Dvd Calendar'!$AA$251)*100000000+('Dvd Calendar'!$AA$255='Field Check'!$C$25)*10000000+(N('Dvd Calendar'!$AA$249)&gt;0)*1000000+17*1000+23))</f>
        <v/>
      </c>
      <c r="Z25" s="41">
        <f>IF(N('Dvd Calendar'!$AB$250)=0,"",IF(('Dvd Calendar'!$AB$250&gt;=MIN(DATE(Summary!$C$12,1,1),Summary!$C$11))*('Dvd Calendar'!$AB$250&lt;=MAX(DATE(Summary!$C$12,12,31),Summary!$C$15))*('Dvd Calendar'!$AB$250&lt;=Summary!$C$11)=0,"",'Dvd Calendar'!$AB$250*1000000000+ISNUMBER('Dvd Calendar'!$AB$251)*100000000+('Dvd Calendar'!$AB$255='Field Check'!$C$25)*10000000+(N('Dvd Calendar'!$AB$249)&gt;0)*1000000+17*1000+24))</f>
        <v/>
      </c>
      <c r="AA25" s="41">
        <f>IF(N('Dvd Calendar'!$AC$250)=0,"",IF(('Dvd Calendar'!$AC$250&gt;=MIN(DATE(Summary!$C$12,1,1),Summary!$C$11))*('Dvd Calendar'!$AC$250&lt;=MAX(DATE(Summary!$C$12,12,31),Summary!$C$15))*('Dvd Calendar'!$AC$250&lt;=Summary!$C$11)=0,"",'Dvd Calendar'!$AC$250*1000000000+ISNUMBER('Dvd Calendar'!$AC$251)*100000000+('Dvd Calendar'!$AC$255='Field Check'!$C$25)*10000000+(N('Dvd Calendar'!$AC$249)&gt;0)*1000000+17*1000+25))</f>
        <v/>
      </c>
      <c r="AB25" s="41">
        <f>IF(N('Dvd Calendar'!$AD$250)=0,"",IF(('Dvd Calendar'!$AD$250&gt;=MIN(DATE(Summary!$C$12,1,1),Summary!$C$11))*('Dvd Calendar'!$AD$250&lt;=MAX(DATE(Summary!$C$12,12,31),Summary!$C$15))*('Dvd Calendar'!$AD$250&lt;=Summary!$C$11)=0,"",'Dvd Calendar'!$AD$250*1000000000+ISNUMBER('Dvd Calendar'!$AD$251)*100000000+('Dvd Calendar'!$AD$255='Field Check'!$C$25)*10000000+(N('Dvd Calendar'!$AD$249)&gt;0)*1000000+17*1000+26))</f>
        <v/>
      </c>
      <c r="AC25" s="41">
        <f>IF(N('Dvd Calendar'!$AE$250)=0,"",IF(('Dvd Calendar'!$AE$250&gt;=MIN(DATE(Summary!$C$12,1,1),Summary!$C$11))*('Dvd Calendar'!$AE$250&lt;=MAX(DATE(Summary!$C$12,12,31),Summary!$C$15))*('Dvd Calendar'!$AE$250&lt;=Summary!$C$11)=0,"",'Dvd Calendar'!$AE$250*1000000000+ISNUMBER('Dvd Calendar'!$AE$251)*100000000+('Dvd Calendar'!$AE$255='Field Check'!$C$25)*10000000+(N('Dvd Calendar'!$AE$249)&gt;0)*1000000+17*1000+27))</f>
        <v/>
      </c>
      <c r="AD25" s="41">
        <f>IF(N('Dvd Calendar'!$AF$250)=0,"",IF(('Dvd Calendar'!$AF$250&gt;=MIN(DATE(Summary!$C$12,1,1),Summary!$C$11))*('Dvd Calendar'!$AF$250&lt;=MAX(DATE(Summary!$C$12,12,31),Summary!$C$15))*('Dvd Calendar'!$AF$250&lt;=Summary!$C$11)=0,"",'Dvd Calendar'!$AF$250*1000000000+ISNUMBER('Dvd Calendar'!$AF$251)*100000000+('Dvd Calendar'!$AF$255='Field Check'!$C$25)*10000000+(N('Dvd Calendar'!$AF$249)&gt;0)*1000000+17*1000+28))</f>
        <v/>
      </c>
      <c r="AE25" s="41">
        <f>IF(N('Dvd Calendar'!$AG$250)=0,"",IF(('Dvd Calendar'!$AG$250&gt;=MIN(DATE(Summary!$C$12,1,1),Summary!$C$11))*('Dvd Calendar'!$AG$250&lt;=MAX(DATE(Summary!$C$12,12,31),Summary!$C$15))*('Dvd Calendar'!$AG$250&lt;=Summary!$C$11)=0,"",'Dvd Calendar'!$AG$250*1000000000+ISNUMBER('Dvd Calendar'!$AG$251)*100000000+('Dvd Calendar'!$AG$255='Field Check'!$C$25)*10000000+(N('Dvd Calendar'!$AG$249)&gt;0)*1000000+17*1000+29))</f>
        <v/>
      </c>
      <c r="AF25" s="41">
        <f>IF(N('Dvd Calendar'!$AH$250)=0,"",IF(('Dvd Calendar'!$AH$250&gt;=MIN(DATE(Summary!$C$12,1,1),Summary!$C$11))*('Dvd Calendar'!$AH$250&lt;=MAX(DATE(Summary!$C$12,12,31),Summary!$C$15))*('Dvd Calendar'!$AH$250&lt;=Summary!$C$11)=0,"",'Dvd Calendar'!$AH$250*1000000000+ISNUMBER('Dvd Calendar'!$AH$251)*100000000+('Dvd Calendar'!$AH$255='Field Check'!$C$25)*10000000+(N('Dvd Calendar'!$AH$249)&gt;0)*1000000+17*1000+30))</f>
        <v/>
      </c>
      <c r="AG25" s="41">
        <f>IF(N('Dvd Calendar'!$AI$250)=0,"",IF(('Dvd Calendar'!$AI$250&gt;=MIN(DATE(Summary!$C$12,1,1),Summary!$C$11))*('Dvd Calendar'!$AI$250&lt;=MAX(DATE(Summary!$C$12,12,31),Summary!$C$15))*('Dvd Calendar'!$AI$250&lt;=Summary!$C$11)=0,"",'Dvd Calendar'!$AI$250*1000000000+ISNUMBER('Dvd Calendar'!$AI$251)*100000000+('Dvd Calendar'!$AI$255='Field Check'!$C$25)*10000000+(N('Dvd Calendar'!$AI$249)&gt;0)*1000000+17*1000+31))</f>
        <v/>
      </c>
      <c r="AH25" s="41">
        <f>IF(N('Dvd Calendar'!$AJ$250)=0,"",IF(('Dvd Calendar'!$AJ$250&gt;=MIN(DATE(Summary!$C$12,1,1),Summary!$C$11))*('Dvd Calendar'!$AJ$250&lt;=MAX(DATE(Summary!$C$12,12,31),Summary!$C$15))*('Dvd Calendar'!$AJ$250&lt;=Summary!$C$11)=0,"",'Dvd Calendar'!$AJ$250*1000000000+ISNUMBER('Dvd Calendar'!$AJ$251)*100000000+('Dvd Calendar'!$AJ$255='Field Check'!$C$25)*10000000+(N('Dvd Calendar'!$AJ$249)&gt;0)*1000000+17*1000+32))</f>
        <v/>
      </c>
      <c r="AI25" s="41">
        <f>IF(N('Dvd Calendar'!$AK$250)=0,"",IF(('Dvd Calendar'!$AK$250&gt;=MIN(DATE(Summary!$C$12,1,1),Summary!$C$11))*('Dvd Calendar'!$AK$250&lt;=MAX(DATE(Summary!$C$12,12,31),Summary!$C$15))*('Dvd Calendar'!$AK$250&lt;=Summary!$C$11)=0,"",'Dvd Calendar'!$AK$250*1000000000+ISNUMBER('Dvd Calendar'!$AK$251)*100000000+('Dvd Calendar'!$AK$255='Field Check'!$C$25)*10000000+(N('Dvd Calendar'!$AK$249)&gt;0)*1000000+17*1000+33))</f>
        <v/>
      </c>
      <c r="AJ25" s="41">
        <f>IF(N('Dvd Calendar'!$AL$250)=0,"",IF(('Dvd Calendar'!$AL$250&gt;=MIN(DATE(Summary!$C$12,1,1),Summary!$C$11))*('Dvd Calendar'!$AL$250&lt;=MAX(DATE(Summary!$C$12,12,31),Summary!$C$15))*('Dvd Calendar'!$AL$250&lt;=Summary!$C$11)=0,"",'Dvd Calendar'!$AL$250*1000000000+ISNUMBER('Dvd Calendar'!$AL$251)*100000000+('Dvd Calendar'!$AL$255='Field Check'!$C$25)*10000000+(N('Dvd Calendar'!$AL$249)&gt;0)*1000000+17*1000+34))</f>
        <v/>
      </c>
      <c r="AK25" s="41">
        <f>IF(N('Dvd Calendar'!$AM$250)=0,"",IF(('Dvd Calendar'!$AM$250&gt;=MIN(DATE(Summary!$C$12,1,1),Summary!$C$11))*('Dvd Calendar'!$AM$250&lt;=MAX(DATE(Summary!$C$12,12,31),Summary!$C$15))*('Dvd Calendar'!$AM$250&lt;=Summary!$C$11)=0,"",'Dvd Calendar'!$AM$250*1000000000+ISNUMBER('Dvd Calendar'!$AM$251)*100000000+('Dvd Calendar'!$AM$255='Field Check'!$C$25)*10000000+(N('Dvd Calendar'!$AM$249)&gt;0)*1000000+17*1000+35))</f>
        <v/>
      </c>
      <c r="AL25" s="41">
        <f>IF(N('Dvd Calendar'!$AN$250)=0,"",IF(('Dvd Calendar'!$AN$250&gt;=MIN(DATE(Summary!$C$12,1,1),Summary!$C$11))*('Dvd Calendar'!$AN$250&lt;=MAX(DATE(Summary!$C$12,12,31),Summary!$C$15))*('Dvd Calendar'!$AN$250&lt;=Summary!$C$11)=0,"",'Dvd Calendar'!$AN$250*1000000000+ISNUMBER('Dvd Calendar'!$AN$251)*100000000+('Dvd Calendar'!$AN$255='Field Check'!$C$25)*10000000+(N('Dvd Calendar'!$AN$249)&gt;0)*1000000+17*1000+36))</f>
        <v/>
      </c>
      <c r="AM25" s="41">
        <f>IF(N('Dvd Calendar'!$AO$250)=0,"",IF(('Dvd Calendar'!$AO$250&gt;=MIN(DATE(Summary!$C$12,1,1),Summary!$C$11))*('Dvd Calendar'!$AO$250&lt;=MAX(DATE(Summary!$C$12,12,31),Summary!$C$15))*('Dvd Calendar'!$AO$250&lt;=Summary!$C$11)=0,"",'Dvd Calendar'!$AO$250*1000000000+ISNUMBER('Dvd Calendar'!$AO$251)*100000000+('Dvd Calendar'!$AO$255='Field Check'!$C$25)*10000000+(N('Dvd Calendar'!$AO$249)&gt;0)*1000000+17*1000+37))</f>
        <v/>
      </c>
      <c r="AN25" s="41">
        <f>IF(N('Dvd Calendar'!$AP$250)=0,"",IF(('Dvd Calendar'!$AP$250&gt;=MIN(DATE(Summary!$C$12,1,1),Summary!$C$11))*('Dvd Calendar'!$AP$250&lt;=MAX(DATE(Summary!$C$12,12,31),Summary!$C$15))*('Dvd Calendar'!$AP$250&lt;=Summary!$C$11)=0,"",'Dvd Calendar'!$AP$250*1000000000+ISNUMBER('Dvd Calendar'!$AP$251)*100000000+('Dvd Calendar'!$AP$255='Field Check'!$C$25)*10000000+(N('Dvd Calendar'!$AP$249)&gt;0)*1000000+17*1000+38))</f>
        <v/>
      </c>
      <c r="AO25" s="41">
        <f>IF(N('Dvd Calendar'!$AQ$250)=0,"",IF(('Dvd Calendar'!$AQ$250&gt;=MIN(DATE(Summary!$C$12,1,1),Summary!$C$11))*('Dvd Calendar'!$AQ$250&lt;=MAX(DATE(Summary!$C$12,12,31),Summary!$C$15))*('Dvd Calendar'!$AQ$250&lt;=Summary!$C$11)=0,"",'Dvd Calendar'!$AQ$250*1000000000+ISNUMBER('Dvd Calendar'!$AQ$251)*100000000+('Dvd Calendar'!$AQ$255='Field Check'!$C$25)*10000000+(N('Dvd Calendar'!$AQ$249)&gt;0)*1000000+17*1000+39))</f>
        <v/>
      </c>
      <c r="AP25" s="41">
        <f>IF(N('Dvd Calendar'!$AR$250)=0,"",IF(('Dvd Calendar'!$AR$250&gt;=MIN(DATE(Summary!$C$12,1,1),Summary!$C$11))*('Dvd Calendar'!$AR$250&lt;=MAX(DATE(Summary!$C$12,12,31),Summary!$C$15))*('Dvd Calendar'!$AR$250&lt;=Summary!$C$11)=0,"",'Dvd Calendar'!$AR$250*1000000000+ISNUMBER('Dvd Calendar'!$AR$251)*100000000+('Dvd Calendar'!$AR$255='Field Check'!$C$25)*10000000+(N('Dvd Calendar'!$AR$249)&gt;0)*1000000+17*1000+40))</f>
        <v/>
      </c>
      <c r="AQ25" s="41">
        <f>IF(N('Dvd Calendar'!$E$257)=0,"",IF(('Dvd Calendar'!$E$257&gt;=MIN(DATE(Summary!$C$12,1,1),Summary!$C$11))*('Dvd Calendar'!$E$257&lt;=MAX(DATE(Summary!$C$12,12,31),Summary!$C$15))*('Dvd Calendar'!$E$257&gt;Summary!$C$11)=0,"",'Dvd Calendar'!$E$257*1000000000+ISNUMBER('Dvd Calendar'!$E$258)*100000000+('Dvd Calendar'!$E$262='Field Check'!$C$25)*10000000+(N('Dvd Calendar'!$E$256)&gt;0)*1000000+17*1000+41))</f>
        <v/>
      </c>
      <c r="AR25" s="41">
        <f>IF(N('Dvd Calendar'!$F$257)=0,"",IF(('Dvd Calendar'!$F$257&gt;=MIN(DATE(Summary!$C$12,1,1),Summary!$C$11))*('Dvd Calendar'!$F$257&lt;=MAX(DATE(Summary!$C$12,12,31),Summary!$C$15))*('Dvd Calendar'!$F$257&gt;Summary!$C$11)=0,"",'Dvd Calendar'!$F$257*1000000000+ISNUMBER('Dvd Calendar'!$F$258)*100000000+('Dvd Calendar'!$F$262='Field Check'!$C$25)*10000000+(N('Dvd Calendar'!$F$256)&gt;0)*1000000+17*1000+42))</f>
        <v/>
      </c>
      <c r="AS25" s="41">
        <f>IF(N('Dvd Calendar'!$G$257)=0,"",IF(('Dvd Calendar'!$G$257&gt;=MIN(DATE(Summary!$C$12,1,1),Summary!$C$11))*('Dvd Calendar'!$G$257&lt;=MAX(DATE(Summary!$C$12,12,31),Summary!$C$15))*('Dvd Calendar'!$G$257&gt;Summary!$C$11)=0,"",'Dvd Calendar'!$G$257*1000000000+ISNUMBER('Dvd Calendar'!$G$258)*100000000+('Dvd Calendar'!$G$262='Field Check'!$C$25)*10000000+(N('Dvd Calendar'!$G$256)&gt;0)*1000000+17*1000+43))</f>
        <v/>
      </c>
      <c r="AT25" s="41">
        <f>IF(N('Dvd Calendar'!$H$257)=0,"",IF(('Dvd Calendar'!$H$257&gt;=MIN(DATE(Summary!$C$12,1,1),Summary!$C$11))*('Dvd Calendar'!$H$257&lt;=MAX(DATE(Summary!$C$12,12,31),Summary!$C$15))*('Dvd Calendar'!$H$257&gt;Summary!$C$11)=0,"",'Dvd Calendar'!$H$257*1000000000+ISNUMBER('Dvd Calendar'!$H$258)*100000000+('Dvd Calendar'!$H$262='Field Check'!$C$25)*10000000+(N('Dvd Calendar'!$H$256)&gt;0)*1000000+17*1000+44))</f>
        <v/>
      </c>
      <c r="AU25" s="41">
        <f>IF(N('Dvd Calendar'!$I$257)=0,"",IF(('Dvd Calendar'!$I$257&gt;=MIN(DATE(Summary!$C$12,1,1),Summary!$C$11))*('Dvd Calendar'!$I$257&lt;=MAX(DATE(Summary!$C$12,12,31),Summary!$C$15))*('Dvd Calendar'!$I$257&gt;Summary!$C$11)=0,"",'Dvd Calendar'!$I$257*1000000000+ISNUMBER('Dvd Calendar'!$I$258)*100000000+('Dvd Calendar'!$I$262='Field Check'!$C$25)*10000000+(N('Dvd Calendar'!$I$256)&gt;0)*1000000+17*1000+45))</f>
        <v/>
      </c>
      <c r="AV25" s="41">
        <f>IF(N('Dvd Calendar'!$J$257)=0,"",IF(('Dvd Calendar'!$J$257&gt;=MIN(DATE(Summary!$C$12,1,1),Summary!$C$11))*('Dvd Calendar'!$J$257&lt;=MAX(DATE(Summary!$C$12,12,31),Summary!$C$15))*('Dvd Calendar'!$J$257&gt;Summary!$C$11)=0,"",'Dvd Calendar'!$J$257*1000000000+ISNUMBER('Dvd Calendar'!$J$258)*100000000+('Dvd Calendar'!$J$262='Field Check'!$C$25)*10000000+(N('Dvd Calendar'!$J$256)&gt;0)*1000000+17*1000+46))</f>
        <v/>
      </c>
      <c r="AW25" s="41">
        <f>IF(N('Dvd Calendar'!$K$257)=0,"",IF(('Dvd Calendar'!$K$257&gt;=MIN(DATE(Summary!$C$12,1,1),Summary!$C$11))*('Dvd Calendar'!$K$257&lt;=MAX(DATE(Summary!$C$12,12,31),Summary!$C$15))*('Dvd Calendar'!$K$257&gt;Summary!$C$11)=0,"",'Dvd Calendar'!$K$257*1000000000+ISNUMBER('Dvd Calendar'!$K$258)*100000000+('Dvd Calendar'!$K$262='Field Check'!$C$25)*10000000+(N('Dvd Calendar'!$K$256)&gt;0)*1000000+17*1000+47))</f>
        <v/>
      </c>
      <c r="AX25" s="41">
        <f>IF(N('Dvd Calendar'!$L$257)=0,"",IF(('Dvd Calendar'!$L$257&gt;=MIN(DATE(Summary!$C$12,1,1),Summary!$C$11))*('Dvd Calendar'!$L$257&lt;=MAX(DATE(Summary!$C$12,12,31),Summary!$C$15))*('Dvd Calendar'!$L$257&gt;Summary!$C$11)=0,"",'Dvd Calendar'!$L$257*1000000000+ISNUMBER('Dvd Calendar'!$L$258)*100000000+('Dvd Calendar'!$L$262='Field Check'!$C$25)*10000000+(N('Dvd Calendar'!$L$256)&gt;0)*1000000+17*1000+48))</f>
        <v/>
      </c>
      <c r="AY25" s="41">
        <f>IF(N('Dvd Calendar'!$M$257)=0,"",IF(('Dvd Calendar'!$M$257&gt;=MIN(DATE(Summary!$C$12,1,1),Summary!$C$11))*('Dvd Calendar'!$M$257&lt;=MAX(DATE(Summary!$C$12,12,31),Summary!$C$15))*('Dvd Calendar'!$M$257&gt;Summary!$C$11)=0,"",'Dvd Calendar'!$M$257*1000000000+ISNUMBER('Dvd Calendar'!$M$258)*100000000+('Dvd Calendar'!$M$262='Field Check'!$C$25)*10000000+(N('Dvd Calendar'!$M$256)&gt;0)*1000000+17*1000+49))</f>
        <v/>
      </c>
      <c r="AZ25" s="41">
        <f>IF(N('Dvd Calendar'!$N$257)=0,"",IF(('Dvd Calendar'!$N$257&gt;=MIN(DATE(Summary!$C$12,1,1),Summary!$C$11))*('Dvd Calendar'!$N$257&lt;=MAX(DATE(Summary!$C$12,12,31),Summary!$C$15))*('Dvd Calendar'!$N$257&gt;Summary!$C$11)=0,"",'Dvd Calendar'!$N$257*1000000000+ISNUMBER('Dvd Calendar'!$N$258)*100000000+('Dvd Calendar'!$N$262='Field Check'!$C$25)*10000000+(N('Dvd Calendar'!$N$256)&gt;0)*1000000+17*1000+50))</f>
        <v/>
      </c>
      <c r="BA25" s="41">
        <f>IF(N('Dvd Calendar'!$O$257)=0,"",IF(('Dvd Calendar'!$O$257&gt;=MIN(DATE(Summary!$C$12,1,1),Summary!$C$11))*('Dvd Calendar'!$O$257&lt;=MAX(DATE(Summary!$C$12,12,31),Summary!$C$15))*('Dvd Calendar'!$O$257&gt;Summary!$C$11)=0,"",'Dvd Calendar'!$O$257*1000000000+ISNUMBER('Dvd Calendar'!$O$258)*100000000+('Dvd Calendar'!$O$262='Field Check'!$C$25)*10000000+(N('Dvd Calendar'!$O$256)&gt;0)*1000000+17*1000+51))</f>
        <v/>
      </c>
      <c r="BB25" s="41">
        <f>IF(N('Dvd Calendar'!$P$257)=0,"",IF(('Dvd Calendar'!$P$257&gt;=MIN(DATE(Summary!$C$12,1,1),Summary!$C$11))*('Dvd Calendar'!$P$257&lt;=MAX(DATE(Summary!$C$12,12,31),Summary!$C$15))*('Dvd Calendar'!$P$257&gt;Summary!$C$11)=0,"",'Dvd Calendar'!$P$257*1000000000+ISNUMBER('Dvd Calendar'!$P$258)*100000000+('Dvd Calendar'!$P$262='Field Check'!$C$25)*10000000+(N('Dvd Calendar'!$P$256)&gt;0)*1000000+17*1000+52))</f>
        <v/>
      </c>
      <c r="BC25" s="41">
        <f>IF(N('Dvd Calendar'!$Q$257)=0,"",IF(('Dvd Calendar'!$Q$257&gt;=MIN(DATE(Summary!$C$12,1,1),Summary!$C$11))*('Dvd Calendar'!$Q$257&lt;=MAX(DATE(Summary!$C$12,12,31),Summary!$C$15))*('Dvd Calendar'!$Q$257&gt;Summary!$C$11)=0,"",'Dvd Calendar'!$Q$257*1000000000+ISNUMBER('Dvd Calendar'!$Q$258)*100000000+('Dvd Calendar'!$Q$262='Field Check'!$C$25)*10000000+(N('Dvd Calendar'!$Q$256)&gt;0)*1000000+17*1000+53))</f>
        <v/>
      </c>
      <c r="BD25" s="41">
        <f>IF(N('Dvd Calendar'!$R$257)=0,"",IF(('Dvd Calendar'!$R$257&gt;=MIN(DATE(Summary!$C$12,1,1),Summary!$C$11))*('Dvd Calendar'!$R$257&lt;=MAX(DATE(Summary!$C$12,12,31),Summary!$C$15))*('Dvd Calendar'!$R$257&gt;Summary!$C$11)=0,"",'Dvd Calendar'!$R$257*1000000000+ISNUMBER('Dvd Calendar'!$R$258)*100000000+('Dvd Calendar'!$R$262='Field Check'!$C$25)*10000000+(N('Dvd Calendar'!$R$256)&gt;0)*1000000+17*1000+54))</f>
        <v/>
      </c>
      <c r="BE25" s="41">
        <f>IF(N('Dvd Calendar'!$S$257)=0,"",IF(('Dvd Calendar'!$S$257&gt;=MIN(DATE(Summary!$C$12,1,1),Summary!$C$11))*('Dvd Calendar'!$S$257&lt;=MAX(DATE(Summary!$C$12,12,31),Summary!$C$15))*('Dvd Calendar'!$S$257&gt;Summary!$C$11)=0,"",'Dvd Calendar'!$S$257*1000000000+ISNUMBER('Dvd Calendar'!$S$258)*100000000+('Dvd Calendar'!$S$262='Field Check'!$C$25)*10000000+(N('Dvd Calendar'!$S$256)&gt;0)*1000000+17*1000+55))</f>
        <v/>
      </c>
      <c r="BF25" s="41">
        <f>IF(N('Dvd Calendar'!$T$257)=0,"",IF(('Dvd Calendar'!$T$257&gt;=MIN(DATE(Summary!$C$12,1,1),Summary!$C$11))*('Dvd Calendar'!$T$257&lt;=MAX(DATE(Summary!$C$12,12,31),Summary!$C$15))*('Dvd Calendar'!$T$257&gt;Summary!$C$11)=0,"",'Dvd Calendar'!$T$257*1000000000+ISNUMBER('Dvd Calendar'!$T$258)*100000000+('Dvd Calendar'!$T$262='Field Check'!$C$25)*10000000+(N('Dvd Calendar'!$T$256)&gt;0)*1000000+17*1000+56))</f>
        <v/>
      </c>
      <c r="BG25" s="41">
        <f>IF(N('Dvd Calendar'!$U$257)=0,"",IF(('Dvd Calendar'!$U$257&gt;=MIN(DATE(Summary!$C$12,1,1),Summary!$C$11))*('Dvd Calendar'!$U$257&lt;=MAX(DATE(Summary!$C$12,12,31),Summary!$C$15))*('Dvd Calendar'!$U$257&gt;Summary!$C$11)=0,"",'Dvd Calendar'!$U$257*1000000000+ISNUMBER('Dvd Calendar'!$U$258)*100000000+('Dvd Calendar'!$U$262='Field Check'!$C$25)*10000000+(N('Dvd Calendar'!$U$256)&gt;0)*1000000+17*1000+57))</f>
        <v/>
      </c>
      <c r="BH25" s="41">
        <f>IF(N('Dvd Calendar'!$V$257)=0,"",IF(('Dvd Calendar'!$V$257&gt;=MIN(DATE(Summary!$C$12,1,1),Summary!$C$11))*('Dvd Calendar'!$V$257&lt;=MAX(DATE(Summary!$C$12,12,31),Summary!$C$15))*('Dvd Calendar'!$V$257&gt;Summary!$C$11)=0,"",'Dvd Calendar'!$V$257*1000000000+ISNUMBER('Dvd Calendar'!$V$258)*100000000+('Dvd Calendar'!$V$262='Field Check'!$C$25)*10000000+(N('Dvd Calendar'!$V$256)&gt;0)*1000000+17*1000+58))</f>
        <v/>
      </c>
      <c r="BI25" s="41">
        <f>IF(N('Dvd Calendar'!$W$257)=0,"",IF(('Dvd Calendar'!$W$257&gt;=MIN(DATE(Summary!$C$12,1,1),Summary!$C$11))*('Dvd Calendar'!$W$257&lt;=MAX(DATE(Summary!$C$12,12,31),Summary!$C$15))*('Dvd Calendar'!$W$257&gt;Summary!$C$11)=0,"",'Dvd Calendar'!$W$257*1000000000+ISNUMBER('Dvd Calendar'!$W$258)*100000000+('Dvd Calendar'!$W$262='Field Check'!$C$25)*10000000+(N('Dvd Calendar'!$W$256)&gt;0)*1000000+17*1000+59))</f>
        <v/>
      </c>
      <c r="BJ25" s="41">
        <f>IF(N('Dvd Calendar'!$X$257)=0,"",IF(('Dvd Calendar'!$X$257&gt;=MIN(DATE(Summary!$C$12,1,1),Summary!$C$11))*('Dvd Calendar'!$X$257&lt;=MAX(DATE(Summary!$C$12,12,31),Summary!$C$15))*('Dvd Calendar'!$X$257&gt;Summary!$C$11)=0,"",'Dvd Calendar'!$X$257*1000000000+ISNUMBER('Dvd Calendar'!$X$258)*100000000+('Dvd Calendar'!$X$262='Field Check'!$C$25)*10000000+(N('Dvd Calendar'!$X$256)&gt;0)*1000000+17*1000+60))</f>
        <v/>
      </c>
      <c r="BK25" s="41">
        <f>IF(N('Dvd Calendar'!$Y$257)=0,"",IF(('Dvd Calendar'!$Y$257&gt;=MIN(DATE(Summary!$C$12,1,1),Summary!$C$11))*('Dvd Calendar'!$Y$257&lt;=MAX(DATE(Summary!$C$12,12,31),Summary!$C$15))*('Dvd Calendar'!$Y$257&gt;Summary!$C$11)=0,"",'Dvd Calendar'!$Y$257*1000000000+ISNUMBER('Dvd Calendar'!$Y$258)*100000000+('Dvd Calendar'!$Y$262='Field Check'!$C$25)*10000000+(N('Dvd Calendar'!$Y$256)&gt;0)*1000000+17*1000+61))</f>
        <v/>
      </c>
      <c r="BL25" s="41">
        <f>IF(N('Dvd Calendar'!$Z$257)=0,"",IF(('Dvd Calendar'!$Z$257&gt;=MIN(DATE(Summary!$C$12,1,1),Summary!$C$11))*('Dvd Calendar'!$Z$257&lt;=MAX(DATE(Summary!$C$12,12,31),Summary!$C$15))*('Dvd Calendar'!$Z$257&gt;Summary!$C$11)=0,"",'Dvd Calendar'!$Z$257*1000000000+ISNUMBER('Dvd Calendar'!$Z$258)*100000000+('Dvd Calendar'!$Z$262='Field Check'!$C$25)*10000000+(N('Dvd Calendar'!$Z$256)&gt;0)*1000000+17*1000+62))</f>
        <v/>
      </c>
      <c r="BM25" s="41">
        <f>IF(N('Dvd Calendar'!$AA$257)=0,"",IF(('Dvd Calendar'!$AA$257&gt;=MIN(DATE(Summary!$C$12,1,1),Summary!$C$11))*('Dvd Calendar'!$AA$257&lt;=MAX(DATE(Summary!$C$12,12,31),Summary!$C$15))*('Dvd Calendar'!$AA$257&gt;Summary!$C$11)=0,"",'Dvd Calendar'!$AA$257*1000000000+ISNUMBER('Dvd Calendar'!$AA$258)*100000000+('Dvd Calendar'!$AA$262='Field Check'!$C$25)*10000000+(N('Dvd Calendar'!$AA$256)&gt;0)*1000000+17*1000+63))</f>
        <v/>
      </c>
      <c r="BN25" s="41">
        <f>IF(N('Dvd Calendar'!$AB$257)=0,"",IF(('Dvd Calendar'!$AB$257&gt;=MIN(DATE(Summary!$C$12,1,1),Summary!$C$11))*('Dvd Calendar'!$AB$257&lt;=MAX(DATE(Summary!$C$12,12,31),Summary!$C$15))*('Dvd Calendar'!$AB$257&gt;Summary!$C$11)=0,"",'Dvd Calendar'!$AB$257*1000000000+ISNUMBER('Dvd Calendar'!$AB$258)*100000000+('Dvd Calendar'!$AB$262='Field Check'!$C$25)*10000000+(N('Dvd Calendar'!$AB$256)&gt;0)*1000000+17*1000+64))</f>
        <v/>
      </c>
      <c r="BO25" s="41">
        <f>IF(N('Dvd Calendar'!$AC$257)=0,"",IF(('Dvd Calendar'!$AC$257&gt;=MIN(DATE(Summary!$C$12,1,1),Summary!$C$11))*('Dvd Calendar'!$AC$257&lt;=MAX(DATE(Summary!$C$12,12,31),Summary!$C$15))*('Dvd Calendar'!$AC$257&gt;Summary!$C$11)=0,"",'Dvd Calendar'!$AC$257*1000000000+ISNUMBER('Dvd Calendar'!$AC$258)*100000000+('Dvd Calendar'!$AC$262='Field Check'!$C$25)*10000000+(N('Dvd Calendar'!$AC$256)&gt;0)*1000000+17*1000+65))</f>
        <v/>
      </c>
      <c r="BQ25" s="85">
        <f>IF(C25="","",IF(ISNUMBER('Dvd Calendar'!$E$251)=FALSE,"",IF((Summary!$C$13="N")*('Dvd Calendar'!$E$255='Field Check'!$C$25)&gt;0,"",'Dvd Calendar'!$E$251)))</f>
        <v/>
      </c>
      <c r="BR25" s="85">
        <f>IF(D25="","",IF(ISNUMBER('Dvd Calendar'!$F$251)=FALSE,"",IF((Summary!$C$13="N")*('Dvd Calendar'!$F$255='Field Check'!$C$25)&gt;0,"",'Dvd Calendar'!$F$251)))</f>
        <v/>
      </c>
      <c r="BS25" s="85">
        <f>IF(E25="","",IF(ISNUMBER('Dvd Calendar'!$G$251)=FALSE,"",IF((Summary!$C$13="N")*('Dvd Calendar'!$G$255='Field Check'!$C$25)&gt;0,"",'Dvd Calendar'!$G$251)))</f>
        <v/>
      </c>
      <c r="BT25" s="85">
        <f>IF(F25="","",IF(ISNUMBER('Dvd Calendar'!$H$251)=FALSE,"",IF((Summary!$C$13="N")*('Dvd Calendar'!$H$255='Field Check'!$C$25)&gt;0,"",'Dvd Calendar'!$H$251)))</f>
        <v/>
      </c>
      <c r="BU25" s="85">
        <f>IF(G25="","",IF(ISNUMBER('Dvd Calendar'!$I$251)=FALSE,"",IF((Summary!$C$13="N")*('Dvd Calendar'!$I$255='Field Check'!$C$25)&gt;0,"",'Dvd Calendar'!$I$251)))</f>
        <v/>
      </c>
      <c r="BV25" s="85">
        <f>IF(H25="","",IF(ISNUMBER('Dvd Calendar'!$J$251)=FALSE,"",IF((Summary!$C$13="N")*('Dvd Calendar'!$J$255='Field Check'!$C$25)&gt;0,"",'Dvd Calendar'!$J$251)))</f>
        <v/>
      </c>
      <c r="BW25" s="85">
        <f>IF(I25="","",IF(ISNUMBER('Dvd Calendar'!$K$251)=FALSE,"",IF((Summary!$C$13="N")*('Dvd Calendar'!$K$255='Field Check'!$C$25)&gt;0,"",'Dvd Calendar'!$K$251)))</f>
        <v/>
      </c>
      <c r="BX25" s="85">
        <f>IF(J25="","",IF(ISNUMBER('Dvd Calendar'!$L$251)=FALSE,"",IF((Summary!$C$13="N")*('Dvd Calendar'!$L$255='Field Check'!$C$25)&gt;0,"",'Dvd Calendar'!$L$251)))</f>
        <v/>
      </c>
      <c r="BY25" s="85">
        <f>IF(K25="","",IF(ISNUMBER('Dvd Calendar'!$M$251)=FALSE,"",IF((Summary!$C$13="N")*('Dvd Calendar'!$M$255='Field Check'!$C$25)&gt;0,"",'Dvd Calendar'!$M$251)))</f>
        <v/>
      </c>
      <c r="BZ25" s="85">
        <f>IF(L25="","",IF(ISNUMBER('Dvd Calendar'!$N$251)=FALSE,"",IF((Summary!$C$13="N")*('Dvd Calendar'!$N$255='Field Check'!$C$25)&gt;0,"",'Dvd Calendar'!$N$251)))</f>
        <v/>
      </c>
      <c r="CA25" s="85">
        <f>IF(M25="","",IF(ISNUMBER('Dvd Calendar'!$O$251)=FALSE,"",IF((Summary!$C$13="N")*('Dvd Calendar'!$O$255='Field Check'!$C$25)&gt;0,"",'Dvd Calendar'!$O$251)))</f>
        <v/>
      </c>
      <c r="CB25" s="85">
        <f>IF(N25="","",IF(ISNUMBER('Dvd Calendar'!$P$251)=FALSE,"",IF((Summary!$C$13="N")*('Dvd Calendar'!$P$255='Field Check'!$C$25)&gt;0,"",'Dvd Calendar'!$P$251)))</f>
        <v/>
      </c>
      <c r="CC25" s="85">
        <f>IF(O25="","",IF(ISNUMBER('Dvd Calendar'!$Q$251)=FALSE,"",IF((Summary!$C$13="N")*('Dvd Calendar'!$Q$255='Field Check'!$C$25)&gt;0,"",'Dvd Calendar'!$Q$251)))</f>
        <v/>
      </c>
      <c r="CD25" s="85">
        <f>IF(P25="","",IF(ISNUMBER('Dvd Calendar'!$R$251)=FALSE,"",IF((Summary!$C$13="N")*('Dvd Calendar'!$R$255='Field Check'!$C$25)&gt;0,"",'Dvd Calendar'!$R$251)))</f>
        <v/>
      </c>
      <c r="CE25" s="85">
        <f>IF(Q25="","",IF(ISNUMBER('Dvd Calendar'!$S$251)=FALSE,"",IF((Summary!$C$13="N")*('Dvd Calendar'!$S$255='Field Check'!$C$25)&gt;0,"",'Dvd Calendar'!$S$251)))</f>
        <v/>
      </c>
      <c r="CF25" s="85">
        <f>IF(R25="","",IF(ISNUMBER('Dvd Calendar'!$T$251)=FALSE,"",IF((Summary!$C$13="N")*('Dvd Calendar'!$T$255='Field Check'!$C$25)&gt;0,"",'Dvd Calendar'!$T$251)))</f>
        <v/>
      </c>
      <c r="CG25" s="85">
        <f>IF(S25="","",IF(ISNUMBER('Dvd Calendar'!$U$251)=FALSE,"",IF((Summary!$C$13="N")*('Dvd Calendar'!$U$255='Field Check'!$C$25)&gt;0,"",'Dvd Calendar'!$U$251)))</f>
        <v/>
      </c>
      <c r="CH25" s="85">
        <f>IF(T25="","",IF(ISNUMBER('Dvd Calendar'!$V$251)=FALSE,"",IF((Summary!$C$13="N")*('Dvd Calendar'!$V$255='Field Check'!$C$25)&gt;0,"",'Dvd Calendar'!$V$251)))</f>
        <v/>
      </c>
      <c r="CI25" s="85">
        <f>IF(U25="","",IF(ISNUMBER('Dvd Calendar'!$W$251)=FALSE,"",IF((Summary!$C$13="N")*('Dvd Calendar'!$W$255='Field Check'!$C$25)&gt;0,"",'Dvd Calendar'!$W$251)))</f>
        <v/>
      </c>
      <c r="CJ25" s="85">
        <f>IF(V25="","",IF(ISNUMBER('Dvd Calendar'!$X$251)=FALSE,"",IF((Summary!$C$13="N")*('Dvd Calendar'!$X$255='Field Check'!$C$25)&gt;0,"",'Dvd Calendar'!$X$251)))</f>
        <v/>
      </c>
      <c r="CK25" s="85">
        <f>IF(W25="","",IF(ISNUMBER('Dvd Calendar'!$Y$251)=FALSE,"",IF((Summary!$C$13="N")*('Dvd Calendar'!$Y$255='Field Check'!$C$25)&gt;0,"",'Dvd Calendar'!$Y$251)))</f>
        <v/>
      </c>
      <c r="CL25" s="85">
        <f>IF(X25="","",IF(ISNUMBER('Dvd Calendar'!$Z$251)=FALSE,"",IF((Summary!$C$13="N")*('Dvd Calendar'!$Z$255='Field Check'!$C$25)&gt;0,"",'Dvd Calendar'!$Z$251)))</f>
        <v/>
      </c>
      <c r="CM25" s="85">
        <f>IF(Y25="","",IF(ISNUMBER('Dvd Calendar'!$AA$251)=FALSE,"",IF((Summary!$C$13="N")*('Dvd Calendar'!$AA$255='Field Check'!$C$25)&gt;0,"",'Dvd Calendar'!$AA$251)))</f>
        <v/>
      </c>
      <c r="CN25" s="85">
        <f>IF(Z25="","",IF(ISNUMBER('Dvd Calendar'!$AB$251)=FALSE,"",IF((Summary!$C$13="N")*('Dvd Calendar'!$AB$255='Field Check'!$C$25)&gt;0,"",'Dvd Calendar'!$AB$251)))</f>
        <v/>
      </c>
      <c r="CO25" s="85">
        <f>IF(AA25="","",IF(ISNUMBER('Dvd Calendar'!$AC$251)=FALSE,"",IF((Summary!$C$13="N")*('Dvd Calendar'!$AC$255='Field Check'!$C$25)&gt;0,"",'Dvd Calendar'!$AC$251)))</f>
        <v/>
      </c>
      <c r="CP25" s="85">
        <f>IF(AB25="","",IF(ISNUMBER('Dvd Calendar'!$AD$251)=FALSE,"",IF((Summary!$C$13="N")*('Dvd Calendar'!$AD$255='Field Check'!$C$25)&gt;0,"",'Dvd Calendar'!$AD$251)))</f>
        <v/>
      </c>
      <c r="CQ25" s="85">
        <f>IF(AC25="","",IF(ISNUMBER('Dvd Calendar'!$AE$251)=FALSE,"",IF((Summary!$C$13="N")*('Dvd Calendar'!$AE$255='Field Check'!$C$25)&gt;0,"",'Dvd Calendar'!$AE$251)))</f>
        <v/>
      </c>
      <c r="CR25" s="85">
        <f>IF(AD25="","",IF(ISNUMBER('Dvd Calendar'!$AF$251)=FALSE,"",IF((Summary!$C$13="N")*('Dvd Calendar'!$AF$255='Field Check'!$C$25)&gt;0,"",'Dvd Calendar'!$AF$251)))</f>
        <v/>
      </c>
      <c r="CS25" s="85">
        <f>IF(AE25="","",IF(ISNUMBER('Dvd Calendar'!$AG$251)=FALSE,"",IF((Summary!$C$13="N")*('Dvd Calendar'!$AG$255='Field Check'!$C$25)&gt;0,"",'Dvd Calendar'!$AG$251)))</f>
        <v/>
      </c>
      <c r="CT25" s="85">
        <f>IF(AF25="","",IF(ISNUMBER('Dvd Calendar'!$AH$251)=FALSE,"",IF((Summary!$C$13="N")*('Dvd Calendar'!$AH$255='Field Check'!$C$25)&gt;0,"",'Dvd Calendar'!$AH$251)))</f>
        <v/>
      </c>
      <c r="CU25" s="85">
        <f>IF(AG25="","",IF(ISNUMBER('Dvd Calendar'!$AI$251)=FALSE,"",IF((Summary!$C$13="N")*('Dvd Calendar'!$AI$255='Field Check'!$C$25)&gt;0,"",'Dvd Calendar'!$AI$251)))</f>
        <v/>
      </c>
      <c r="CV25" s="85">
        <f>IF(AH25="","",IF(ISNUMBER('Dvd Calendar'!$AJ$251)=FALSE,"",IF((Summary!$C$13="N")*('Dvd Calendar'!$AJ$255='Field Check'!$C$25)&gt;0,"",'Dvd Calendar'!$AJ$251)))</f>
        <v/>
      </c>
      <c r="CW25" s="85">
        <f>IF(AI25="","",IF(ISNUMBER('Dvd Calendar'!$AK$251)=FALSE,"",IF((Summary!$C$13="N")*('Dvd Calendar'!$AK$255='Field Check'!$C$25)&gt;0,"",'Dvd Calendar'!$AK$251)))</f>
        <v/>
      </c>
      <c r="CX25" s="85">
        <f>IF(AJ25="","",IF(ISNUMBER('Dvd Calendar'!$AL$251)=FALSE,"",IF((Summary!$C$13="N")*('Dvd Calendar'!$AL$255='Field Check'!$C$25)&gt;0,"",'Dvd Calendar'!$AL$251)))</f>
        <v/>
      </c>
      <c r="CY25" s="85">
        <f>IF(AK25="","",IF(ISNUMBER('Dvd Calendar'!$AM$251)=FALSE,"",IF((Summary!$C$13="N")*('Dvd Calendar'!$AM$255='Field Check'!$C$25)&gt;0,"",'Dvd Calendar'!$AM$251)))</f>
        <v/>
      </c>
      <c r="CZ25" s="85">
        <f>IF(AL25="","",IF(ISNUMBER('Dvd Calendar'!$AN$251)=FALSE,"",IF((Summary!$C$13="N")*('Dvd Calendar'!$AN$255='Field Check'!$C$25)&gt;0,"",'Dvd Calendar'!$AN$251)))</f>
        <v/>
      </c>
      <c r="DA25" s="85">
        <f>IF(AM25="","",IF(ISNUMBER('Dvd Calendar'!$AO$251)=FALSE,"",IF((Summary!$C$13="N")*('Dvd Calendar'!$AO$255='Field Check'!$C$25)&gt;0,"",'Dvd Calendar'!$AO$251)))</f>
        <v/>
      </c>
      <c r="DB25" s="85">
        <f>IF(AN25="","",IF(ISNUMBER('Dvd Calendar'!$AP$251)=FALSE,"",IF((Summary!$C$13="N")*('Dvd Calendar'!$AP$255='Field Check'!$C$25)&gt;0,"",'Dvd Calendar'!$AP$251)))</f>
        <v/>
      </c>
      <c r="DC25" s="85">
        <f>IF(AO25="","",IF(ISNUMBER('Dvd Calendar'!$AQ$251)=FALSE,"",IF((Summary!$C$13="N")*('Dvd Calendar'!$AQ$255='Field Check'!$C$25)&gt;0,"",'Dvd Calendar'!$AQ$251)))</f>
        <v/>
      </c>
      <c r="DD25" s="85">
        <f>IF(AP25="","",IF(ISNUMBER('Dvd Calendar'!$AR$251)=FALSE,"",IF((Summary!$C$13="N")*('Dvd Calendar'!$AR$255='Field Check'!$C$25)&gt;0,"",'Dvd Calendar'!$AR$251)))</f>
        <v/>
      </c>
      <c r="DE25" s="85">
        <f>IF(AQ25="","",IF(ISNUMBER('Dvd Calendar'!$E$258)=FALSE,"",IF((Summary!$C$13="N")*('Dvd Calendar'!$E$262='Field Check'!$C$25)&gt;0,"",'Dvd Calendar'!$E$258)))</f>
        <v/>
      </c>
      <c r="DF25" s="85">
        <f>IF(AR25="","",IF(ISNUMBER('Dvd Calendar'!$F$258)=FALSE,"",IF((Summary!$C$13="N")*('Dvd Calendar'!$F$262='Field Check'!$C$25)&gt;0,"",'Dvd Calendar'!$F$258)))</f>
        <v/>
      </c>
      <c r="DG25" s="85">
        <f>IF(AS25="","",IF(ISNUMBER('Dvd Calendar'!$G$258)=FALSE,"",IF((Summary!$C$13="N")*('Dvd Calendar'!$G$262='Field Check'!$C$25)&gt;0,"",'Dvd Calendar'!$G$258)))</f>
        <v/>
      </c>
      <c r="DH25" s="85">
        <f>IF(AT25="","",IF(ISNUMBER('Dvd Calendar'!$H$258)=FALSE,"",IF((Summary!$C$13="N")*('Dvd Calendar'!$H$262='Field Check'!$C$25)&gt;0,"",'Dvd Calendar'!$H$258)))</f>
        <v/>
      </c>
      <c r="DI25" s="85">
        <f>IF(AU25="","",IF(ISNUMBER('Dvd Calendar'!$I$258)=FALSE,"",IF((Summary!$C$13="N")*('Dvd Calendar'!$I$262='Field Check'!$C$25)&gt;0,"",'Dvd Calendar'!$I$258)))</f>
        <v/>
      </c>
      <c r="DJ25" s="85">
        <f>IF(AV25="","",IF(ISNUMBER('Dvd Calendar'!$J$258)=FALSE,"",IF((Summary!$C$13="N")*('Dvd Calendar'!$J$262='Field Check'!$C$25)&gt;0,"",'Dvd Calendar'!$J$258)))</f>
        <v/>
      </c>
      <c r="DK25" s="85">
        <f>IF(AW25="","",IF(ISNUMBER('Dvd Calendar'!$K$258)=FALSE,"",IF((Summary!$C$13="N")*('Dvd Calendar'!$K$262='Field Check'!$C$25)&gt;0,"",'Dvd Calendar'!$K$258)))</f>
        <v/>
      </c>
      <c r="DL25" s="85">
        <f>IF(AX25="","",IF(ISNUMBER('Dvd Calendar'!$L$258)=FALSE,"",IF((Summary!$C$13="N")*('Dvd Calendar'!$L$262='Field Check'!$C$25)&gt;0,"",'Dvd Calendar'!$L$258)))</f>
        <v/>
      </c>
      <c r="DM25" s="85">
        <f>IF(AY25="","",IF(ISNUMBER('Dvd Calendar'!$M$258)=FALSE,"",IF((Summary!$C$13="N")*('Dvd Calendar'!$M$262='Field Check'!$C$25)&gt;0,"",'Dvd Calendar'!$M$258)))</f>
        <v/>
      </c>
      <c r="DN25" s="85">
        <f>IF(AZ25="","",IF(ISNUMBER('Dvd Calendar'!$N$258)=FALSE,"",IF((Summary!$C$13="N")*('Dvd Calendar'!$N$262='Field Check'!$C$25)&gt;0,"",'Dvd Calendar'!$N$258)))</f>
        <v/>
      </c>
      <c r="DO25" s="85">
        <f>IF(BA25="","",IF(ISNUMBER('Dvd Calendar'!$O$258)=FALSE,"",IF((Summary!$C$13="N")*('Dvd Calendar'!$O$262='Field Check'!$C$25)&gt;0,"",'Dvd Calendar'!$O$258)))</f>
        <v/>
      </c>
      <c r="DP25" s="85">
        <f>IF(BB25="","",IF(ISNUMBER('Dvd Calendar'!$P$258)=FALSE,"",IF((Summary!$C$13="N")*('Dvd Calendar'!$P$262='Field Check'!$C$25)&gt;0,"",'Dvd Calendar'!$P$258)))</f>
        <v/>
      </c>
      <c r="DQ25" s="85">
        <f>IF(BC25="","",IF(ISNUMBER('Dvd Calendar'!$Q$258)=FALSE,"",IF((Summary!$C$13="N")*('Dvd Calendar'!$Q$262='Field Check'!$C$25)&gt;0,"",'Dvd Calendar'!$Q$258)))</f>
        <v/>
      </c>
      <c r="DR25" s="85">
        <f>IF(BD25="","",IF(ISNUMBER('Dvd Calendar'!$R$258)=FALSE,"",IF((Summary!$C$13="N")*('Dvd Calendar'!$R$262='Field Check'!$C$25)&gt;0,"",'Dvd Calendar'!$R$258)))</f>
        <v/>
      </c>
      <c r="DS25" s="85">
        <f>IF(BE25="","",IF(ISNUMBER('Dvd Calendar'!$S$258)=FALSE,"",IF((Summary!$C$13="N")*('Dvd Calendar'!$S$262='Field Check'!$C$25)&gt;0,"",'Dvd Calendar'!$S$258)))</f>
        <v/>
      </c>
      <c r="DT25" s="85">
        <f>IF(BF25="","",IF(ISNUMBER('Dvd Calendar'!$T$258)=FALSE,"",IF((Summary!$C$13="N")*('Dvd Calendar'!$T$262='Field Check'!$C$25)&gt;0,"",'Dvd Calendar'!$T$258)))</f>
        <v/>
      </c>
      <c r="DU25" s="85">
        <f>IF(BG25="","",IF(ISNUMBER('Dvd Calendar'!$U$258)=FALSE,"",IF((Summary!$C$13="N")*('Dvd Calendar'!$U$262='Field Check'!$C$25)&gt;0,"",'Dvd Calendar'!$U$258)))</f>
        <v/>
      </c>
      <c r="DV25" s="85">
        <f>IF(BH25="","",IF(ISNUMBER('Dvd Calendar'!$V$258)=FALSE,"",IF((Summary!$C$13="N")*('Dvd Calendar'!$V$262='Field Check'!$C$25)&gt;0,"",'Dvd Calendar'!$V$258)))</f>
        <v/>
      </c>
      <c r="DW25" s="85">
        <f>IF(BI25="","",IF(ISNUMBER('Dvd Calendar'!$W$258)=FALSE,"",IF((Summary!$C$13="N")*('Dvd Calendar'!$W$262='Field Check'!$C$25)&gt;0,"",'Dvd Calendar'!$W$258)))</f>
        <v/>
      </c>
      <c r="DX25" s="85">
        <f>IF(BJ25="","",IF(ISNUMBER('Dvd Calendar'!$X$258)=FALSE,"",IF((Summary!$C$13="N")*('Dvd Calendar'!$X$262='Field Check'!$C$25)&gt;0,"",'Dvd Calendar'!$X$258)))</f>
        <v/>
      </c>
      <c r="DY25" s="85">
        <f>IF(BK25="","",IF(ISNUMBER('Dvd Calendar'!$Y$258)=FALSE,"",IF((Summary!$C$13="N")*('Dvd Calendar'!$Y$262='Field Check'!$C$25)&gt;0,"",'Dvd Calendar'!$Y$258)))</f>
        <v/>
      </c>
      <c r="DZ25" s="85">
        <f>IF(BL25="","",IF(ISNUMBER('Dvd Calendar'!$Z$258)=FALSE,"",IF((Summary!$C$13="N")*('Dvd Calendar'!$Z$262='Field Check'!$C$25)&gt;0,"",'Dvd Calendar'!$Z$258)))</f>
        <v/>
      </c>
      <c r="EA25" s="85">
        <f>IF(BM25="","",IF(ISNUMBER('Dvd Calendar'!$AA$258)=FALSE,"",IF((Summary!$C$13="N")*('Dvd Calendar'!$AA$262='Field Check'!$C$25)&gt;0,"",'Dvd Calendar'!$AA$258)))</f>
        <v/>
      </c>
      <c r="EB25" s="85">
        <f>IF(BN25="","",IF(ISNUMBER('Dvd Calendar'!$AB$258)=FALSE,"",IF((Summary!$C$13="N")*('Dvd Calendar'!$AB$262='Field Check'!$C$25)&gt;0,"",'Dvd Calendar'!$AB$258)))</f>
        <v/>
      </c>
      <c r="EC25" s="85">
        <f>IF(BO25="","",IF(ISNUMBER('Dvd Calendar'!$AC$258)=FALSE,"",IF((Summary!$C$13="N")*('Dvd Calendar'!$AC$262='Field Check'!$C$25)&gt;0,"",'Dvd Calendar'!$AC$258)))</f>
        <v/>
      </c>
      <c r="EE25" s="85">
        <f>IF(BQ25="","",IFERROR(BQ25*HSI!$B$23*HSI!$G$23/HSI!$B$3,""))</f>
        <v/>
      </c>
      <c r="EF25" s="85">
        <f>IF(BR25="","",IFERROR(BR25*HSI!$B$23*HSI!$G$23/HSI!$B$3,""))</f>
        <v/>
      </c>
      <c r="EG25" s="85">
        <f>IF(BS25="","",IFERROR(BS25*HSI!$B$23*HSI!$G$23/HSI!$B$3,""))</f>
        <v/>
      </c>
      <c r="EH25" s="85">
        <f>IF(BT25="","",IFERROR(BT25*HSI!$B$23*HSI!$G$23/HSI!$B$3,""))</f>
        <v/>
      </c>
      <c r="EI25" s="85">
        <f>IF(BU25="","",IFERROR(BU25*HSI!$B$23*HSI!$G$23/HSI!$B$3,""))</f>
        <v/>
      </c>
      <c r="EJ25" s="85">
        <f>IF(BV25="","",IFERROR(BV25*HSI!$B$23*HSI!$G$23/HSI!$B$3,""))</f>
        <v/>
      </c>
      <c r="EK25" s="85">
        <f>IF(BW25="","",IFERROR(BW25*HSI!$B$23*HSI!$G$23/HSI!$B$3,""))</f>
        <v/>
      </c>
      <c r="EL25" s="85">
        <f>IF(BX25="","",IFERROR(BX25*HSI!$B$23*HSI!$G$23/HSI!$B$3,""))</f>
        <v/>
      </c>
      <c r="EM25" s="85">
        <f>IF(BY25="","",IFERROR(BY25*HSI!$B$23*HSI!$G$23/HSI!$B$3,""))</f>
        <v/>
      </c>
      <c r="EN25" s="85">
        <f>IF(BZ25="","",IFERROR(BZ25*HSI!$B$23*HSI!$G$23/HSI!$B$3,""))</f>
        <v/>
      </c>
      <c r="EO25" s="85">
        <f>IF(CA25="","",IFERROR(CA25*HSI!$B$23*HSI!$G$23/HSI!$B$3,""))</f>
        <v/>
      </c>
      <c r="EP25" s="85">
        <f>IF(CB25="","",IFERROR(CB25*HSI!$B$23*HSI!$G$23/HSI!$B$3,""))</f>
        <v/>
      </c>
      <c r="EQ25" s="85">
        <f>IF(CC25="","",IFERROR(CC25*HSI!$B$23*HSI!$G$23/HSI!$B$3,""))</f>
        <v/>
      </c>
      <c r="ER25" s="85">
        <f>IF(CD25="","",IFERROR(CD25*HSI!$B$23*HSI!$G$23/HSI!$B$3,""))</f>
        <v/>
      </c>
      <c r="ES25" s="85">
        <f>IF(CE25="","",IFERROR(CE25*HSI!$B$23*HSI!$G$23/HSI!$B$3,""))</f>
        <v/>
      </c>
      <c r="ET25" s="85">
        <f>IF(CF25="","",IFERROR(CF25*HSI!$B$23*HSI!$G$23/HSI!$B$3,""))</f>
        <v/>
      </c>
      <c r="EU25" s="85">
        <f>IF(CG25="","",IFERROR(CG25*HSI!$B$23*HSI!$G$23/HSI!$B$3,""))</f>
        <v/>
      </c>
      <c r="EV25" s="85">
        <f>IF(CH25="","",IFERROR(CH25*HSI!$B$23*HSI!$G$23/HSI!$B$3,""))</f>
        <v/>
      </c>
      <c r="EW25" s="85">
        <f>IF(CI25="","",IFERROR(CI25*HSI!$B$23*HSI!$G$23/HSI!$B$3,""))</f>
        <v/>
      </c>
      <c r="EX25" s="85">
        <f>IF(CJ25="","",IFERROR(CJ25*HSI!$B$23*HSI!$G$23/HSI!$B$3,""))</f>
        <v/>
      </c>
      <c r="EY25" s="85">
        <f>IF(CK25="","",IFERROR(CK25*HSI!$B$23*HSI!$G$23/HSI!$B$3,""))</f>
        <v/>
      </c>
      <c r="EZ25" s="85">
        <f>IF(CL25="","",IFERROR(CL25*HSI!$B$23*HSI!$G$23/HSI!$B$3,""))</f>
        <v/>
      </c>
      <c r="FA25" s="85">
        <f>IF(CM25="","",IFERROR(CM25*HSI!$B$23*HSI!$G$23/HSI!$B$3,""))</f>
        <v/>
      </c>
      <c r="FB25" s="85">
        <f>IF(CN25="","",IFERROR(CN25*HSI!$B$23*HSI!$G$23/HSI!$B$3,""))</f>
        <v/>
      </c>
      <c r="FC25" s="85">
        <f>IF(CO25="","",IFERROR(CO25*HSI!$B$23*HSI!$G$23/HSI!$B$3,""))</f>
        <v/>
      </c>
      <c r="FD25" s="85">
        <f>IF(CP25="","",IFERROR(CP25*HSI!$B$23*HSI!$G$23/HSI!$B$3,""))</f>
        <v/>
      </c>
      <c r="FE25" s="85">
        <f>IF(CQ25="","",IFERROR(CQ25*HSI!$B$23*HSI!$G$23/HSI!$B$3,""))</f>
        <v/>
      </c>
      <c r="FF25" s="85">
        <f>IF(CR25="","",IFERROR(CR25*HSI!$B$23*HSI!$G$23/HSI!$B$3,""))</f>
        <v/>
      </c>
      <c r="FG25" s="85">
        <f>IF(CS25="","",IFERROR(CS25*HSI!$B$23*HSI!$G$23/HSI!$B$3,""))</f>
        <v/>
      </c>
      <c r="FH25" s="85">
        <f>IF(CT25="","",IFERROR(CT25*HSI!$B$23*HSI!$G$23/HSI!$B$3,""))</f>
        <v/>
      </c>
      <c r="FI25" s="85">
        <f>IF(CU25="","",IFERROR(CU25*HSI!$B$23*HSI!$G$23/HSI!$B$3,""))</f>
        <v/>
      </c>
      <c r="FJ25" s="85">
        <f>IF(CV25="","",IFERROR(CV25*HSI!$B$23*HSI!$G$23/HSI!$B$3,""))</f>
        <v/>
      </c>
      <c r="FK25" s="85">
        <f>IF(CW25="","",IFERROR(CW25*HSI!$B$23*HSI!$G$23/HSI!$B$3,""))</f>
        <v/>
      </c>
      <c r="FL25" s="85">
        <f>IF(CX25="","",IFERROR(CX25*HSI!$B$23*HSI!$G$23/HSI!$B$3,""))</f>
        <v/>
      </c>
      <c r="FM25" s="85">
        <f>IF(CY25="","",IFERROR(CY25*HSI!$B$23*HSI!$G$23/HSI!$B$3,""))</f>
        <v/>
      </c>
      <c r="FN25" s="85">
        <f>IF(CZ25="","",IFERROR(CZ25*HSI!$B$23*HSI!$G$23/HSI!$B$3,""))</f>
        <v/>
      </c>
      <c r="FO25" s="85">
        <f>IF(DA25="","",IFERROR(DA25*HSI!$B$23*HSI!$G$23/HSI!$B$3,""))</f>
        <v/>
      </c>
      <c r="FP25" s="85">
        <f>IF(DB25="","",IFERROR(DB25*HSI!$B$23*HSI!$G$23/HSI!$B$3,""))</f>
        <v/>
      </c>
      <c r="FQ25" s="85">
        <f>IF(DC25="","",IFERROR(DC25*HSI!$B$23*HSI!$G$23/HSI!$B$3,""))</f>
        <v/>
      </c>
      <c r="FR25" s="85">
        <f>IF(DD25="","",IFERROR(DD25*HSI!$B$23*HSI!$G$23/HSI!$B$3,""))</f>
        <v/>
      </c>
      <c r="FS25" s="85">
        <f>IF(DE25="","",IFERROR(DE25*HSI!$B$23*HSI!$G$23/HSI!$B$3,""))</f>
        <v/>
      </c>
      <c r="FT25" s="85">
        <f>IF(DF25="","",IFERROR(DF25*HSI!$B$23*HSI!$G$23/HSI!$B$3,""))</f>
        <v/>
      </c>
      <c r="FU25" s="85">
        <f>IF(DG25="","",IFERROR(DG25*HSI!$B$23*HSI!$G$23/HSI!$B$3,""))</f>
        <v/>
      </c>
      <c r="FV25" s="85">
        <f>IF(DH25="","",IFERROR(DH25*HSI!$B$23*HSI!$G$23/HSI!$B$3,""))</f>
        <v/>
      </c>
      <c r="FW25" s="85">
        <f>IF(DI25="","",IFERROR(DI25*HSI!$B$23*HSI!$G$23/HSI!$B$3,""))</f>
        <v/>
      </c>
      <c r="FX25" s="85">
        <f>IF(DJ25="","",IFERROR(DJ25*HSI!$B$23*HSI!$G$23/HSI!$B$3,""))</f>
        <v/>
      </c>
      <c r="FY25" s="85">
        <f>IF(DK25="","",IFERROR(DK25*HSI!$B$23*HSI!$G$23/HSI!$B$3,""))</f>
        <v/>
      </c>
      <c r="FZ25" s="85">
        <f>IF(DL25="","",IFERROR(DL25*HSI!$B$23*HSI!$G$23/HSI!$B$3,""))</f>
        <v/>
      </c>
      <c r="GA25" s="85">
        <f>IF(DM25="","",IFERROR(DM25*HSI!$B$23*HSI!$G$23/HSI!$B$3,""))</f>
        <v/>
      </c>
      <c r="GB25" s="85">
        <f>IF(DN25="","",IFERROR(DN25*HSI!$B$23*HSI!$G$23/HSI!$B$3,""))</f>
        <v/>
      </c>
      <c r="GC25" s="85">
        <f>IF(DO25="","",IFERROR(DO25*HSI!$B$23*HSI!$G$23/HSI!$B$3,""))</f>
        <v/>
      </c>
      <c r="GD25" s="85">
        <f>IF(DP25="","",IFERROR(DP25*HSI!$B$23*HSI!$G$23/HSI!$B$3,""))</f>
        <v/>
      </c>
      <c r="GE25" s="85">
        <f>IF(DQ25="","",IFERROR(DQ25*HSI!$B$23*HSI!$G$23/HSI!$B$3,""))</f>
        <v/>
      </c>
      <c r="GF25" s="85">
        <f>IF(DR25="","",IFERROR(DR25*HSI!$B$23*HSI!$G$23/HSI!$B$3,""))</f>
        <v/>
      </c>
      <c r="GG25" s="85">
        <f>IF(DS25="","",IFERROR(DS25*HSI!$B$23*HSI!$G$23/HSI!$B$3,""))</f>
        <v/>
      </c>
      <c r="GH25" s="85">
        <f>IF(DT25="","",IFERROR(DT25*HSI!$B$23*HSI!$G$23/HSI!$B$3,""))</f>
        <v/>
      </c>
      <c r="GI25" s="85">
        <f>IF(DU25="","",IFERROR(DU25*HSI!$B$23*HSI!$G$23/HSI!$B$3,""))</f>
        <v/>
      </c>
      <c r="GJ25" s="85">
        <f>IF(DV25="","",IFERROR(DV25*HSI!$B$23*HSI!$G$23/HSI!$B$3,""))</f>
        <v/>
      </c>
      <c r="GK25" s="85">
        <f>IF(DW25="","",IFERROR(DW25*HSI!$B$23*HSI!$G$23/HSI!$B$3,""))</f>
        <v/>
      </c>
      <c r="GL25" s="85">
        <f>IF(DX25="","",IFERROR(DX25*HSI!$B$23*HSI!$G$23/HSI!$B$3,""))</f>
        <v/>
      </c>
      <c r="GM25" s="85">
        <f>IF(DY25="","",IFERROR(DY25*HSI!$B$23*HSI!$G$23/HSI!$B$3,""))</f>
        <v/>
      </c>
      <c r="GN25" s="85">
        <f>IF(DZ25="","",IFERROR(DZ25*HSI!$B$23*HSI!$G$23/HSI!$B$3,""))</f>
        <v/>
      </c>
      <c r="GO25" s="85">
        <f>IF(EA25="","",IFERROR(EA25*HSI!$B$23*HSI!$G$23/HSI!$B$3,""))</f>
        <v/>
      </c>
      <c r="GP25" s="85">
        <f>IF(EB25="","",IFERROR(EB25*HSI!$B$23*HSI!$G$23/HSI!$B$3,""))</f>
        <v/>
      </c>
      <c r="GQ25" s="85">
        <f>IF(EC25="","",IFERROR(EC25*HSI!$B$23*HSI!$G$23/HSI!$B$3,""))</f>
        <v/>
      </c>
    </row>
    <row r="26">
      <c r="B26" s="2">
        <f>IF(HSI!$C$24="","",HSI!$C$24)</f>
        <v/>
      </c>
      <c r="C26" s="41">
        <f>IF(N('Dvd Calendar'!$E$265)=0,"",IF(('Dvd Calendar'!$E$265&gt;=MIN(DATE(Summary!$C$12,1,1),Summary!$C$11))*('Dvd Calendar'!$E$265&lt;=MAX(DATE(Summary!$C$12,12,31),Summary!$C$15))*('Dvd Calendar'!$E$265&lt;=Summary!$C$11)=0,"",'Dvd Calendar'!$E$265*1000000000+ISNUMBER('Dvd Calendar'!$E$266)*100000000+('Dvd Calendar'!$E$270='Field Check'!$C$25)*10000000+(N('Dvd Calendar'!$E$264)&gt;0)*1000000+18*1000+1))</f>
        <v/>
      </c>
      <c r="D26" s="41">
        <f>IF(N('Dvd Calendar'!$F$265)=0,"",IF(('Dvd Calendar'!$F$265&gt;=MIN(DATE(Summary!$C$12,1,1),Summary!$C$11))*('Dvd Calendar'!$F$265&lt;=MAX(DATE(Summary!$C$12,12,31),Summary!$C$15))*('Dvd Calendar'!$F$265&lt;=Summary!$C$11)=0,"",'Dvd Calendar'!$F$265*1000000000+ISNUMBER('Dvd Calendar'!$F$266)*100000000+('Dvd Calendar'!$F$270='Field Check'!$C$25)*10000000+(N('Dvd Calendar'!$F$264)&gt;0)*1000000+18*1000+2))</f>
        <v/>
      </c>
      <c r="E26" s="41">
        <f>IF(N('Dvd Calendar'!$G$265)=0,"",IF(('Dvd Calendar'!$G$265&gt;=MIN(DATE(Summary!$C$12,1,1),Summary!$C$11))*('Dvd Calendar'!$G$265&lt;=MAX(DATE(Summary!$C$12,12,31),Summary!$C$15))*('Dvd Calendar'!$G$265&lt;=Summary!$C$11)=0,"",'Dvd Calendar'!$G$265*1000000000+ISNUMBER('Dvd Calendar'!$G$266)*100000000+('Dvd Calendar'!$G$270='Field Check'!$C$25)*10000000+(N('Dvd Calendar'!$G$264)&gt;0)*1000000+18*1000+3))</f>
        <v/>
      </c>
      <c r="F26" s="41">
        <f>IF(N('Dvd Calendar'!$H$265)=0,"",IF(('Dvd Calendar'!$H$265&gt;=MIN(DATE(Summary!$C$12,1,1),Summary!$C$11))*('Dvd Calendar'!$H$265&lt;=MAX(DATE(Summary!$C$12,12,31),Summary!$C$15))*('Dvd Calendar'!$H$265&lt;=Summary!$C$11)=0,"",'Dvd Calendar'!$H$265*1000000000+ISNUMBER('Dvd Calendar'!$H$266)*100000000+('Dvd Calendar'!$H$270='Field Check'!$C$25)*10000000+(N('Dvd Calendar'!$H$264)&gt;0)*1000000+18*1000+4))</f>
        <v/>
      </c>
      <c r="G26" s="41">
        <f>IF(N('Dvd Calendar'!$I$265)=0,"",IF(('Dvd Calendar'!$I$265&gt;=MIN(DATE(Summary!$C$12,1,1),Summary!$C$11))*('Dvd Calendar'!$I$265&lt;=MAX(DATE(Summary!$C$12,12,31),Summary!$C$15))*('Dvd Calendar'!$I$265&lt;=Summary!$C$11)=0,"",'Dvd Calendar'!$I$265*1000000000+ISNUMBER('Dvd Calendar'!$I$266)*100000000+('Dvd Calendar'!$I$270='Field Check'!$C$25)*10000000+(N('Dvd Calendar'!$I$264)&gt;0)*1000000+18*1000+5))</f>
        <v/>
      </c>
      <c r="H26" s="41">
        <f>IF(N('Dvd Calendar'!$J$265)=0,"",IF(('Dvd Calendar'!$J$265&gt;=MIN(DATE(Summary!$C$12,1,1),Summary!$C$11))*('Dvd Calendar'!$J$265&lt;=MAX(DATE(Summary!$C$12,12,31),Summary!$C$15))*('Dvd Calendar'!$J$265&lt;=Summary!$C$11)=0,"",'Dvd Calendar'!$J$265*1000000000+ISNUMBER('Dvd Calendar'!$J$266)*100000000+('Dvd Calendar'!$J$270='Field Check'!$C$25)*10000000+(N('Dvd Calendar'!$J$264)&gt;0)*1000000+18*1000+6))</f>
        <v/>
      </c>
      <c r="I26" s="41">
        <f>IF(N('Dvd Calendar'!$K$265)=0,"",IF(('Dvd Calendar'!$K$265&gt;=MIN(DATE(Summary!$C$12,1,1),Summary!$C$11))*('Dvd Calendar'!$K$265&lt;=MAX(DATE(Summary!$C$12,12,31),Summary!$C$15))*('Dvd Calendar'!$K$265&lt;=Summary!$C$11)=0,"",'Dvd Calendar'!$K$265*1000000000+ISNUMBER('Dvd Calendar'!$K$266)*100000000+('Dvd Calendar'!$K$270='Field Check'!$C$25)*10000000+(N('Dvd Calendar'!$K$264)&gt;0)*1000000+18*1000+7))</f>
        <v/>
      </c>
      <c r="J26" s="41">
        <f>IF(N('Dvd Calendar'!$L$265)=0,"",IF(('Dvd Calendar'!$L$265&gt;=MIN(DATE(Summary!$C$12,1,1),Summary!$C$11))*('Dvd Calendar'!$L$265&lt;=MAX(DATE(Summary!$C$12,12,31),Summary!$C$15))*('Dvd Calendar'!$L$265&lt;=Summary!$C$11)=0,"",'Dvd Calendar'!$L$265*1000000000+ISNUMBER('Dvd Calendar'!$L$266)*100000000+('Dvd Calendar'!$L$270='Field Check'!$C$25)*10000000+(N('Dvd Calendar'!$L$264)&gt;0)*1000000+18*1000+8))</f>
        <v/>
      </c>
      <c r="K26" s="41">
        <f>IF(N('Dvd Calendar'!$M$265)=0,"",IF(('Dvd Calendar'!$M$265&gt;=MIN(DATE(Summary!$C$12,1,1),Summary!$C$11))*('Dvd Calendar'!$M$265&lt;=MAX(DATE(Summary!$C$12,12,31),Summary!$C$15))*('Dvd Calendar'!$M$265&lt;=Summary!$C$11)=0,"",'Dvd Calendar'!$M$265*1000000000+ISNUMBER('Dvd Calendar'!$M$266)*100000000+('Dvd Calendar'!$M$270='Field Check'!$C$25)*10000000+(N('Dvd Calendar'!$M$264)&gt;0)*1000000+18*1000+9))</f>
        <v/>
      </c>
      <c r="L26" s="41">
        <f>IF(N('Dvd Calendar'!$N$265)=0,"",IF(('Dvd Calendar'!$N$265&gt;=MIN(DATE(Summary!$C$12,1,1),Summary!$C$11))*('Dvd Calendar'!$N$265&lt;=MAX(DATE(Summary!$C$12,12,31),Summary!$C$15))*('Dvd Calendar'!$N$265&lt;=Summary!$C$11)=0,"",'Dvd Calendar'!$N$265*1000000000+ISNUMBER('Dvd Calendar'!$N$266)*100000000+('Dvd Calendar'!$N$270='Field Check'!$C$25)*10000000+(N('Dvd Calendar'!$N$264)&gt;0)*1000000+18*1000+10))</f>
        <v/>
      </c>
      <c r="M26" s="41">
        <f>IF(N('Dvd Calendar'!$O$265)=0,"",IF(('Dvd Calendar'!$O$265&gt;=MIN(DATE(Summary!$C$12,1,1),Summary!$C$11))*('Dvd Calendar'!$O$265&lt;=MAX(DATE(Summary!$C$12,12,31),Summary!$C$15))*('Dvd Calendar'!$O$265&lt;=Summary!$C$11)=0,"",'Dvd Calendar'!$O$265*1000000000+ISNUMBER('Dvd Calendar'!$O$266)*100000000+('Dvd Calendar'!$O$270='Field Check'!$C$25)*10000000+(N('Dvd Calendar'!$O$264)&gt;0)*1000000+18*1000+11))</f>
        <v/>
      </c>
      <c r="N26" s="41">
        <f>IF(N('Dvd Calendar'!$P$265)=0,"",IF(('Dvd Calendar'!$P$265&gt;=MIN(DATE(Summary!$C$12,1,1),Summary!$C$11))*('Dvd Calendar'!$P$265&lt;=MAX(DATE(Summary!$C$12,12,31),Summary!$C$15))*('Dvd Calendar'!$P$265&lt;=Summary!$C$11)=0,"",'Dvd Calendar'!$P$265*1000000000+ISNUMBER('Dvd Calendar'!$P$266)*100000000+('Dvd Calendar'!$P$270='Field Check'!$C$25)*10000000+(N('Dvd Calendar'!$P$264)&gt;0)*1000000+18*1000+12))</f>
        <v/>
      </c>
      <c r="O26" s="41">
        <f>IF(N('Dvd Calendar'!$Q$265)=0,"",IF(('Dvd Calendar'!$Q$265&gt;=MIN(DATE(Summary!$C$12,1,1),Summary!$C$11))*('Dvd Calendar'!$Q$265&lt;=MAX(DATE(Summary!$C$12,12,31),Summary!$C$15))*('Dvd Calendar'!$Q$265&lt;=Summary!$C$11)=0,"",'Dvd Calendar'!$Q$265*1000000000+ISNUMBER('Dvd Calendar'!$Q$266)*100000000+('Dvd Calendar'!$Q$270='Field Check'!$C$25)*10000000+(N('Dvd Calendar'!$Q$264)&gt;0)*1000000+18*1000+13))</f>
        <v/>
      </c>
      <c r="P26" s="41">
        <f>IF(N('Dvd Calendar'!$R$265)=0,"",IF(('Dvd Calendar'!$R$265&gt;=MIN(DATE(Summary!$C$12,1,1),Summary!$C$11))*('Dvd Calendar'!$R$265&lt;=MAX(DATE(Summary!$C$12,12,31),Summary!$C$15))*('Dvd Calendar'!$R$265&lt;=Summary!$C$11)=0,"",'Dvd Calendar'!$R$265*1000000000+ISNUMBER('Dvd Calendar'!$R$266)*100000000+('Dvd Calendar'!$R$270='Field Check'!$C$25)*10000000+(N('Dvd Calendar'!$R$264)&gt;0)*1000000+18*1000+14))</f>
        <v/>
      </c>
      <c r="Q26" s="41">
        <f>IF(N('Dvd Calendar'!$S$265)=0,"",IF(('Dvd Calendar'!$S$265&gt;=MIN(DATE(Summary!$C$12,1,1),Summary!$C$11))*('Dvd Calendar'!$S$265&lt;=MAX(DATE(Summary!$C$12,12,31),Summary!$C$15))*('Dvd Calendar'!$S$265&lt;=Summary!$C$11)=0,"",'Dvd Calendar'!$S$265*1000000000+ISNUMBER('Dvd Calendar'!$S$266)*100000000+('Dvd Calendar'!$S$270='Field Check'!$C$25)*10000000+(N('Dvd Calendar'!$S$264)&gt;0)*1000000+18*1000+15))</f>
        <v/>
      </c>
      <c r="R26" s="41">
        <f>IF(N('Dvd Calendar'!$T$265)=0,"",IF(('Dvd Calendar'!$T$265&gt;=MIN(DATE(Summary!$C$12,1,1),Summary!$C$11))*('Dvd Calendar'!$T$265&lt;=MAX(DATE(Summary!$C$12,12,31),Summary!$C$15))*('Dvd Calendar'!$T$265&lt;=Summary!$C$11)=0,"",'Dvd Calendar'!$T$265*1000000000+ISNUMBER('Dvd Calendar'!$T$266)*100000000+('Dvd Calendar'!$T$270='Field Check'!$C$25)*10000000+(N('Dvd Calendar'!$T$264)&gt;0)*1000000+18*1000+16))</f>
        <v/>
      </c>
      <c r="S26" s="41">
        <f>IF(N('Dvd Calendar'!$U$265)=0,"",IF(('Dvd Calendar'!$U$265&gt;=MIN(DATE(Summary!$C$12,1,1),Summary!$C$11))*('Dvd Calendar'!$U$265&lt;=MAX(DATE(Summary!$C$12,12,31),Summary!$C$15))*('Dvd Calendar'!$U$265&lt;=Summary!$C$11)=0,"",'Dvd Calendar'!$U$265*1000000000+ISNUMBER('Dvd Calendar'!$U$266)*100000000+('Dvd Calendar'!$U$270='Field Check'!$C$25)*10000000+(N('Dvd Calendar'!$U$264)&gt;0)*1000000+18*1000+17))</f>
        <v/>
      </c>
      <c r="T26" s="41">
        <f>IF(N('Dvd Calendar'!$V$265)=0,"",IF(('Dvd Calendar'!$V$265&gt;=MIN(DATE(Summary!$C$12,1,1),Summary!$C$11))*('Dvd Calendar'!$V$265&lt;=MAX(DATE(Summary!$C$12,12,31),Summary!$C$15))*('Dvd Calendar'!$V$265&lt;=Summary!$C$11)=0,"",'Dvd Calendar'!$V$265*1000000000+ISNUMBER('Dvd Calendar'!$V$266)*100000000+('Dvd Calendar'!$V$270='Field Check'!$C$25)*10000000+(N('Dvd Calendar'!$V$264)&gt;0)*1000000+18*1000+18))</f>
        <v/>
      </c>
      <c r="U26" s="41">
        <f>IF(N('Dvd Calendar'!$W$265)=0,"",IF(('Dvd Calendar'!$W$265&gt;=MIN(DATE(Summary!$C$12,1,1),Summary!$C$11))*('Dvd Calendar'!$W$265&lt;=MAX(DATE(Summary!$C$12,12,31),Summary!$C$15))*('Dvd Calendar'!$W$265&lt;=Summary!$C$11)=0,"",'Dvd Calendar'!$W$265*1000000000+ISNUMBER('Dvd Calendar'!$W$266)*100000000+('Dvd Calendar'!$W$270='Field Check'!$C$25)*10000000+(N('Dvd Calendar'!$W$264)&gt;0)*1000000+18*1000+19))</f>
        <v/>
      </c>
      <c r="V26" s="41">
        <f>IF(N('Dvd Calendar'!$X$265)=0,"",IF(('Dvd Calendar'!$X$265&gt;=MIN(DATE(Summary!$C$12,1,1),Summary!$C$11))*('Dvd Calendar'!$X$265&lt;=MAX(DATE(Summary!$C$12,12,31),Summary!$C$15))*('Dvd Calendar'!$X$265&lt;=Summary!$C$11)=0,"",'Dvd Calendar'!$X$265*1000000000+ISNUMBER('Dvd Calendar'!$X$266)*100000000+('Dvd Calendar'!$X$270='Field Check'!$C$25)*10000000+(N('Dvd Calendar'!$X$264)&gt;0)*1000000+18*1000+20))</f>
        <v/>
      </c>
      <c r="W26" s="41">
        <f>IF(N('Dvd Calendar'!$Y$265)=0,"",IF(('Dvd Calendar'!$Y$265&gt;=MIN(DATE(Summary!$C$12,1,1),Summary!$C$11))*('Dvd Calendar'!$Y$265&lt;=MAX(DATE(Summary!$C$12,12,31),Summary!$C$15))*('Dvd Calendar'!$Y$265&lt;=Summary!$C$11)=0,"",'Dvd Calendar'!$Y$265*1000000000+ISNUMBER('Dvd Calendar'!$Y$266)*100000000+('Dvd Calendar'!$Y$270='Field Check'!$C$25)*10000000+(N('Dvd Calendar'!$Y$264)&gt;0)*1000000+18*1000+21))</f>
        <v/>
      </c>
      <c r="X26" s="41">
        <f>IF(N('Dvd Calendar'!$Z$265)=0,"",IF(('Dvd Calendar'!$Z$265&gt;=MIN(DATE(Summary!$C$12,1,1),Summary!$C$11))*('Dvd Calendar'!$Z$265&lt;=MAX(DATE(Summary!$C$12,12,31),Summary!$C$15))*('Dvd Calendar'!$Z$265&lt;=Summary!$C$11)=0,"",'Dvd Calendar'!$Z$265*1000000000+ISNUMBER('Dvd Calendar'!$Z$266)*100000000+('Dvd Calendar'!$Z$270='Field Check'!$C$25)*10000000+(N('Dvd Calendar'!$Z$264)&gt;0)*1000000+18*1000+22))</f>
        <v/>
      </c>
      <c r="Y26" s="41">
        <f>IF(N('Dvd Calendar'!$AA$265)=0,"",IF(('Dvd Calendar'!$AA$265&gt;=MIN(DATE(Summary!$C$12,1,1),Summary!$C$11))*('Dvd Calendar'!$AA$265&lt;=MAX(DATE(Summary!$C$12,12,31),Summary!$C$15))*('Dvd Calendar'!$AA$265&lt;=Summary!$C$11)=0,"",'Dvd Calendar'!$AA$265*1000000000+ISNUMBER('Dvd Calendar'!$AA$266)*100000000+('Dvd Calendar'!$AA$270='Field Check'!$C$25)*10000000+(N('Dvd Calendar'!$AA$264)&gt;0)*1000000+18*1000+23))</f>
        <v/>
      </c>
      <c r="Z26" s="41">
        <f>IF(N('Dvd Calendar'!$AB$265)=0,"",IF(('Dvd Calendar'!$AB$265&gt;=MIN(DATE(Summary!$C$12,1,1),Summary!$C$11))*('Dvd Calendar'!$AB$265&lt;=MAX(DATE(Summary!$C$12,12,31),Summary!$C$15))*('Dvd Calendar'!$AB$265&lt;=Summary!$C$11)=0,"",'Dvd Calendar'!$AB$265*1000000000+ISNUMBER('Dvd Calendar'!$AB$266)*100000000+('Dvd Calendar'!$AB$270='Field Check'!$C$25)*10000000+(N('Dvd Calendar'!$AB$264)&gt;0)*1000000+18*1000+24))</f>
        <v/>
      </c>
      <c r="AA26" s="41">
        <f>IF(N('Dvd Calendar'!$AC$265)=0,"",IF(('Dvd Calendar'!$AC$265&gt;=MIN(DATE(Summary!$C$12,1,1),Summary!$C$11))*('Dvd Calendar'!$AC$265&lt;=MAX(DATE(Summary!$C$12,12,31),Summary!$C$15))*('Dvd Calendar'!$AC$265&lt;=Summary!$C$11)=0,"",'Dvd Calendar'!$AC$265*1000000000+ISNUMBER('Dvd Calendar'!$AC$266)*100000000+('Dvd Calendar'!$AC$270='Field Check'!$C$25)*10000000+(N('Dvd Calendar'!$AC$264)&gt;0)*1000000+18*1000+25))</f>
        <v/>
      </c>
      <c r="AB26" s="41">
        <f>IF(N('Dvd Calendar'!$AD$265)=0,"",IF(('Dvd Calendar'!$AD$265&gt;=MIN(DATE(Summary!$C$12,1,1),Summary!$C$11))*('Dvd Calendar'!$AD$265&lt;=MAX(DATE(Summary!$C$12,12,31),Summary!$C$15))*('Dvd Calendar'!$AD$265&lt;=Summary!$C$11)=0,"",'Dvd Calendar'!$AD$265*1000000000+ISNUMBER('Dvd Calendar'!$AD$266)*100000000+('Dvd Calendar'!$AD$270='Field Check'!$C$25)*10000000+(N('Dvd Calendar'!$AD$264)&gt;0)*1000000+18*1000+26))</f>
        <v/>
      </c>
      <c r="AC26" s="41">
        <f>IF(N('Dvd Calendar'!$AE$265)=0,"",IF(('Dvd Calendar'!$AE$265&gt;=MIN(DATE(Summary!$C$12,1,1),Summary!$C$11))*('Dvd Calendar'!$AE$265&lt;=MAX(DATE(Summary!$C$12,12,31),Summary!$C$15))*('Dvd Calendar'!$AE$265&lt;=Summary!$C$11)=0,"",'Dvd Calendar'!$AE$265*1000000000+ISNUMBER('Dvd Calendar'!$AE$266)*100000000+('Dvd Calendar'!$AE$270='Field Check'!$C$25)*10000000+(N('Dvd Calendar'!$AE$264)&gt;0)*1000000+18*1000+27))</f>
        <v/>
      </c>
      <c r="AD26" s="41">
        <f>IF(N('Dvd Calendar'!$AF$265)=0,"",IF(('Dvd Calendar'!$AF$265&gt;=MIN(DATE(Summary!$C$12,1,1),Summary!$C$11))*('Dvd Calendar'!$AF$265&lt;=MAX(DATE(Summary!$C$12,12,31),Summary!$C$15))*('Dvd Calendar'!$AF$265&lt;=Summary!$C$11)=0,"",'Dvd Calendar'!$AF$265*1000000000+ISNUMBER('Dvd Calendar'!$AF$266)*100000000+('Dvd Calendar'!$AF$270='Field Check'!$C$25)*10000000+(N('Dvd Calendar'!$AF$264)&gt;0)*1000000+18*1000+28))</f>
        <v/>
      </c>
      <c r="AE26" s="41">
        <f>IF(N('Dvd Calendar'!$AG$265)=0,"",IF(('Dvd Calendar'!$AG$265&gt;=MIN(DATE(Summary!$C$12,1,1),Summary!$C$11))*('Dvd Calendar'!$AG$265&lt;=MAX(DATE(Summary!$C$12,12,31),Summary!$C$15))*('Dvd Calendar'!$AG$265&lt;=Summary!$C$11)=0,"",'Dvd Calendar'!$AG$265*1000000000+ISNUMBER('Dvd Calendar'!$AG$266)*100000000+('Dvd Calendar'!$AG$270='Field Check'!$C$25)*10000000+(N('Dvd Calendar'!$AG$264)&gt;0)*1000000+18*1000+29))</f>
        <v/>
      </c>
      <c r="AF26" s="41">
        <f>IF(N('Dvd Calendar'!$AH$265)=0,"",IF(('Dvd Calendar'!$AH$265&gt;=MIN(DATE(Summary!$C$12,1,1),Summary!$C$11))*('Dvd Calendar'!$AH$265&lt;=MAX(DATE(Summary!$C$12,12,31),Summary!$C$15))*('Dvd Calendar'!$AH$265&lt;=Summary!$C$11)=0,"",'Dvd Calendar'!$AH$265*1000000000+ISNUMBER('Dvd Calendar'!$AH$266)*100000000+('Dvd Calendar'!$AH$270='Field Check'!$C$25)*10000000+(N('Dvd Calendar'!$AH$264)&gt;0)*1000000+18*1000+30))</f>
        <v/>
      </c>
      <c r="AG26" s="41">
        <f>IF(N('Dvd Calendar'!$AI$265)=0,"",IF(('Dvd Calendar'!$AI$265&gt;=MIN(DATE(Summary!$C$12,1,1),Summary!$C$11))*('Dvd Calendar'!$AI$265&lt;=MAX(DATE(Summary!$C$12,12,31),Summary!$C$15))*('Dvd Calendar'!$AI$265&lt;=Summary!$C$11)=0,"",'Dvd Calendar'!$AI$265*1000000000+ISNUMBER('Dvd Calendar'!$AI$266)*100000000+('Dvd Calendar'!$AI$270='Field Check'!$C$25)*10000000+(N('Dvd Calendar'!$AI$264)&gt;0)*1000000+18*1000+31))</f>
        <v/>
      </c>
      <c r="AH26" s="41">
        <f>IF(N('Dvd Calendar'!$AJ$265)=0,"",IF(('Dvd Calendar'!$AJ$265&gt;=MIN(DATE(Summary!$C$12,1,1),Summary!$C$11))*('Dvd Calendar'!$AJ$265&lt;=MAX(DATE(Summary!$C$12,12,31),Summary!$C$15))*('Dvd Calendar'!$AJ$265&lt;=Summary!$C$11)=0,"",'Dvd Calendar'!$AJ$265*1000000000+ISNUMBER('Dvd Calendar'!$AJ$266)*100000000+('Dvd Calendar'!$AJ$270='Field Check'!$C$25)*10000000+(N('Dvd Calendar'!$AJ$264)&gt;0)*1000000+18*1000+32))</f>
        <v/>
      </c>
      <c r="AI26" s="41">
        <f>IF(N('Dvd Calendar'!$AK$265)=0,"",IF(('Dvd Calendar'!$AK$265&gt;=MIN(DATE(Summary!$C$12,1,1),Summary!$C$11))*('Dvd Calendar'!$AK$265&lt;=MAX(DATE(Summary!$C$12,12,31),Summary!$C$15))*('Dvd Calendar'!$AK$265&lt;=Summary!$C$11)=0,"",'Dvd Calendar'!$AK$265*1000000000+ISNUMBER('Dvd Calendar'!$AK$266)*100000000+('Dvd Calendar'!$AK$270='Field Check'!$C$25)*10000000+(N('Dvd Calendar'!$AK$264)&gt;0)*1000000+18*1000+33))</f>
        <v/>
      </c>
      <c r="AJ26" s="41">
        <f>IF(N('Dvd Calendar'!$AL$265)=0,"",IF(('Dvd Calendar'!$AL$265&gt;=MIN(DATE(Summary!$C$12,1,1),Summary!$C$11))*('Dvd Calendar'!$AL$265&lt;=MAX(DATE(Summary!$C$12,12,31),Summary!$C$15))*('Dvd Calendar'!$AL$265&lt;=Summary!$C$11)=0,"",'Dvd Calendar'!$AL$265*1000000000+ISNUMBER('Dvd Calendar'!$AL$266)*100000000+('Dvd Calendar'!$AL$270='Field Check'!$C$25)*10000000+(N('Dvd Calendar'!$AL$264)&gt;0)*1000000+18*1000+34))</f>
        <v/>
      </c>
      <c r="AK26" s="41">
        <f>IF(N('Dvd Calendar'!$AM$265)=0,"",IF(('Dvd Calendar'!$AM$265&gt;=MIN(DATE(Summary!$C$12,1,1),Summary!$C$11))*('Dvd Calendar'!$AM$265&lt;=MAX(DATE(Summary!$C$12,12,31),Summary!$C$15))*('Dvd Calendar'!$AM$265&lt;=Summary!$C$11)=0,"",'Dvd Calendar'!$AM$265*1000000000+ISNUMBER('Dvd Calendar'!$AM$266)*100000000+('Dvd Calendar'!$AM$270='Field Check'!$C$25)*10000000+(N('Dvd Calendar'!$AM$264)&gt;0)*1000000+18*1000+35))</f>
        <v/>
      </c>
      <c r="AL26" s="41">
        <f>IF(N('Dvd Calendar'!$AN$265)=0,"",IF(('Dvd Calendar'!$AN$265&gt;=MIN(DATE(Summary!$C$12,1,1),Summary!$C$11))*('Dvd Calendar'!$AN$265&lt;=MAX(DATE(Summary!$C$12,12,31),Summary!$C$15))*('Dvd Calendar'!$AN$265&lt;=Summary!$C$11)=0,"",'Dvd Calendar'!$AN$265*1000000000+ISNUMBER('Dvd Calendar'!$AN$266)*100000000+('Dvd Calendar'!$AN$270='Field Check'!$C$25)*10000000+(N('Dvd Calendar'!$AN$264)&gt;0)*1000000+18*1000+36))</f>
        <v/>
      </c>
      <c r="AM26" s="41">
        <f>IF(N('Dvd Calendar'!$AO$265)=0,"",IF(('Dvd Calendar'!$AO$265&gt;=MIN(DATE(Summary!$C$12,1,1),Summary!$C$11))*('Dvd Calendar'!$AO$265&lt;=MAX(DATE(Summary!$C$12,12,31),Summary!$C$15))*('Dvd Calendar'!$AO$265&lt;=Summary!$C$11)=0,"",'Dvd Calendar'!$AO$265*1000000000+ISNUMBER('Dvd Calendar'!$AO$266)*100000000+('Dvd Calendar'!$AO$270='Field Check'!$C$25)*10000000+(N('Dvd Calendar'!$AO$264)&gt;0)*1000000+18*1000+37))</f>
        <v/>
      </c>
      <c r="AN26" s="41">
        <f>IF(N('Dvd Calendar'!$AP$265)=0,"",IF(('Dvd Calendar'!$AP$265&gt;=MIN(DATE(Summary!$C$12,1,1),Summary!$C$11))*('Dvd Calendar'!$AP$265&lt;=MAX(DATE(Summary!$C$12,12,31),Summary!$C$15))*('Dvd Calendar'!$AP$265&lt;=Summary!$C$11)=0,"",'Dvd Calendar'!$AP$265*1000000000+ISNUMBER('Dvd Calendar'!$AP$266)*100000000+('Dvd Calendar'!$AP$270='Field Check'!$C$25)*10000000+(N('Dvd Calendar'!$AP$264)&gt;0)*1000000+18*1000+38))</f>
        <v/>
      </c>
      <c r="AO26" s="41">
        <f>IF(N('Dvd Calendar'!$AQ$265)=0,"",IF(('Dvd Calendar'!$AQ$265&gt;=MIN(DATE(Summary!$C$12,1,1),Summary!$C$11))*('Dvd Calendar'!$AQ$265&lt;=MAX(DATE(Summary!$C$12,12,31),Summary!$C$15))*('Dvd Calendar'!$AQ$265&lt;=Summary!$C$11)=0,"",'Dvd Calendar'!$AQ$265*1000000000+ISNUMBER('Dvd Calendar'!$AQ$266)*100000000+('Dvd Calendar'!$AQ$270='Field Check'!$C$25)*10000000+(N('Dvd Calendar'!$AQ$264)&gt;0)*1000000+18*1000+39))</f>
        <v/>
      </c>
      <c r="AP26" s="41">
        <f>IF(N('Dvd Calendar'!$AR$265)=0,"",IF(('Dvd Calendar'!$AR$265&gt;=MIN(DATE(Summary!$C$12,1,1),Summary!$C$11))*('Dvd Calendar'!$AR$265&lt;=MAX(DATE(Summary!$C$12,12,31),Summary!$C$15))*('Dvd Calendar'!$AR$265&lt;=Summary!$C$11)=0,"",'Dvd Calendar'!$AR$265*1000000000+ISNUMBER('Dvd Calendar'!$AR$266)*100000000+('Dvd Calendar'!$AR$270='Field Check'!$C$25)*10000000+(N('Dvd Calendar'!$AR$264)&gt;0)*1000000+18*1000+40))</f>
        <v/>
      </c>
      <c r="AQ26" s="41">
        <f>IF(N('Dvd Calendar'!$E$272)=0,"",IF(('Dvd Calendar'!$E$272&gt;=MIN(DATE(Summary!$C$12,1,1),Summary!$C$11))*('Dvd Calendar'!$E$272&lt;=MAX(DATE(Summary!$C$12,12,31),Summary!$C$15))*('Dvd Calendar'!$E$272&gt;Summary!$C$11)=0,"",'Dvd Calendar'!$E$272*1000000000+ISNUMBER('Dvd Calendar'!$E$273)*100000000+('Dvd Calendar'!$E$277='Field Check'!$C$25)*10000000+(N('Dvd Calendar'!$E$271)&gt;0)*1000000+18*1000+41))</f>
        <v/>
      </c>
      <c r="AR26" s="41">
        <f>IF(N('Dvd Calendar'!$F$272)=0,"",IF(('Dvd Calendar'!$F$272&gt;=MIN(DATE(Summary!$C$12,1,1),Summary!$C$11))*('Dvd Calendar'!$F$272&lt;=MAX(DATE(Summary!$C$12,12,31),Summary!$C$15))*('Dvd Calendar'!$F$272&gt;Summary!$C$11)=0,"",'Dvd Calendar'!$F$272*1000000000+ISNUMBER('Dvd Calendar'!$F$273)*100000000+('Dvd Calendar'!$F$277='Field Check'!$C$25)*10000000+(N('Dvd Calendar'!$F$271)&gt;0)*1000000+18*1000+42))</f>
        <v/>
      </c>
      <c r="AS26" s="41">
        <f>IF(N('Dvd Calendar'!$G$272)=0,"",IF(('Dvd Calendar'!$G$272&gt;=MIN(DATE(Summary!$C$12,1,1),Summary!$C$11))*('Dvd Calendar'!$G$272&lt;=MAX(DATE(Summary!$C$12,12,31),Summary!$C$15))*('Dvd Calendar'!$G$272&gt;Summary!$C$11)=0,"",'Dvd Calendar'!$G$272*1000000000+ISNUMBER('Dvd Calendar'!$G$273)*100000000+('Dvd Calendar'!$G$277='Field Check'!$C$25)*10000000+(N('Dvd Calendar'!$G$271)&gt;0)*1000000+18*1000+43))</f>
        <v/>
      </c>
      <c r="AT26" s="41">
        <f>IF(N('Dvd Calendar'!$H$272)=0,"",IF(('Dvd Calendar'!$H$272&gt;=MIN(DATE(Summary!$C$12,1,1),Summary!$C$11))*('Dvd Calendar'!$H$272&lt;=MAX(DATE(Summary!$C$12,12,31),Summary!$C$15))*('Dvd Calendar'!$H$272&gt;Summary!$C$11)=0,"",'Dvd Calendar'!$H$272*1000000000+ISNUMBER('Dvd Calendar'!$H$273)*100000000+('Dvd Calendar'!$H$277='Field Check'!$C$25)*10000000+(N('Dvd Calendar'!$H$271)&gt;0)*1000000+18*1000+44))</f>
        <v/>
      </c>
      <c r="AU26" s="41">
        <f>IF(N('Dvd Calendar'!$I$272)=0,"",IF(('Dvd Calendar'!$I$272&gt;=MIN(DATE(Summary!$C$12,1,1),Summary!$C$11))*('Dvd Calendar'!$I$272&lt;=MAX(DATE(Summary!$C$12,12,31),Summary!$C$15))*('Dvd Calendar'!$I$272&gt;Summary!$C$11)=0,"",'Dvd Calendar'!$I$272*1000000000+ISNUMBER('Dvd Calendar'!$I$273)*100000000+('Dvd Calendar'!$I$277='Field Check'!$C$25)*10000000+(N('Dvd Calendar'!$I$271)&gt;0)*1000000+18*1000+45))</f>
        <v/>
      </c>
      <c r="AV26" s="41">
        <f>IF(N('Dvd Calendar'!$J$272)=0,"",IF(('Dvd Calendar'!$J$272&gt;=MIN(DATE(Summary!$C$12,1,1),Summary!$C$11))*('Dvd Calendar'!$J$272&lt;=MAX(DATE(Summary!$C$12,12,31),Summary!$C$15))*('Dvd Calendar'!$J$272&gt;Summary!$C$11)=0,"",'Dvd Calendar'!$J$272*1000000000+ISNUMBER('Dvd Calendar'!$J$273)*100000000+('Dvd Calendar'!$J$277='Field Check'!$C$25)*10000000+(N('Dvd Calendar'!$J$271)&gt;0)*1000000+18*1000+46))</f>
        <v/>
      </c>
      <c r="AW26" s="41">
        <f>IF(N('Dvd Calendar'!$K$272)=0,"",IF(('Dvd Calendar'!$K$272&gt;=MIN(DATE(Summary!$C$12,1,1),Summary!$C$11))*('Dvd Calendar'!$K$272&lt;=MAX(DATE(Summary!$C$12,12,31),Summary!$C$15))*('Dvd Calendar'!$K$272&gt;Summary!$C$11)=0,"",'Dvd Calendar'!$K$272*1000000000+ISNUMBER('Dvd Calendar'!$K$273)*100000000+('Dvd Calendar'!$K$277='Field Check'!$C$25)*10000000+(N('Dvd Calendar'!$K$271)&gt;0)*1000000+18*1000+47))</f>
        <v/>
      </c>
      <c r="AX26" s="41">
        <f>IF(N('Dvd Calendar'!$L$272)=0,"",IF(('Dvd Calendar'!$L$272&gt;=MIN(DATE(Summary!$C$12,1,1),Summary!$C$11))*('Dvd Calendar'!$L$272&lt;=MAX(DATE(Summary!$C$12,12,31),Summary!$C$15))*('Dvd Calendar'!$L$272&gt;Summary!$C$11)=0,"",'Dvd Calendar'!$L$272*1000000000+ISNUMBER('Dvd Calendar'!$L$273)*100000000+('Dvd Calendar'!$L$277='Field Check'!$C$25)*10000000+(N('Dvd Calendar'!$L$271)&gt;0)*1000000+18*1000+48))</f>
        <v/>
      </c>
      <c r="AY26" s="41">
        <f>IF(N('Dvd Calendar'!$M$272)=0,"",IF(('Dvd Calendar'!$M$272&gt;=MIN(DATE(Summary!$C$12,1,1),Summary!$C$11))*('Dvd Calendar'!$M$272&lt;=MAX(DATE(Summary!$C$12,12,31),Summary!$C$15))*('Dvd Calendar'!$M$272&gt;Summary!$C$11)=0,"",'Dvd Calendar'!$M$272*1000000000+ISNUMBER('Dvd Calendar'!$M$273)*100000000+('Dvd Calendar'!$M$277='Field Check'!$C$25)*10000000+(N('Dvd Calendar'!$M$271)&gt;0)*1000000+18*1000+49))</f>
        <v/>
      </c>
      <c r="AZ26" s="41">
        <f>IF(N('Dvd Calendar'!$N$272)=0,"",IF(('Dvd Calendar'!$N$272&gt;=MIN(DATE(Summary!$C$12,1,1),Summary!$C$11))*('Dvd Calendar'!$N$272&lt;=MAX(DATE(Summary!$C$12,12,31),Summary!$C$15))*('Dvd Calendar'!$N$272&gt;Summary!$C$11)=0,"",'Dvd Calendar'!$N$272*1000000000+ISNUMBER('Dvd Calendar'!$N$273)*100000000+('Dvd Calendar'!$N$277='Field Check'!$C$25)*10000000+(N('Dvd Calendar'!$N$271)&gt;0)*1000000+18*1000+50))</f>
        <v/>
      </c>
      <c r="BA26" s="41">
        <f>IF(N('Dvd Calendar'!$O$272)=0,"",IF(('Dvd Calendar'!$O$272&gt;=MIN(DATE(Summary!$C$12,1,1),Summary!$C$11))*('Dvd Calendar'!$O$272&lt;=MAX(DATE(Summary!$C$12,12,31),Summary!$C$15))*('Dvd Calendar'!$O$272&gt;Summary!$C$11)=0,"",'Dvd Calendar'!$O$272*1000000000+ISNUMBER('Dvd Calendar'!$O$273)*100000000+('Dvd Calendar'!$O$277='Field Check'!$C$25)*10000000+(N('Dvd Calendar'!$O$271)&gt;0)*1000000+18*1000+51))</f>
        <v/>
      </c>
      <c r="BB26" s="41">
        <f>IF(N('Dvd Calendar'!$P$272)=0,"",IF(('Dvd Calendar'!$P$272&gt;=MIN(DATE(Summary!$C$12,1,1),Summary!$C$11))*('Dvd Calendar'!$P$272&lt;=MAX(DATE(Summary!$C$12,12,31),Summary!$C$15))*('Dvd Calendar'!$P$272&gt;Summary!$C$11)=0,"",'Dvd Calendar'!$P$272*1000000000+ISNUMBER('Dvd Calendar'!$P$273)*100000000+('Dvd Calendar'!$P$277='Field Check'!$C$25)*10000000+(N('Dvd Calendar'!$P$271)&gt;0)*1000000+18*1000+52))</f>
        <v/>
      </c>
      <c r="BC26" s="41">
        <f>IF(N('Dvd Calendar'!$Q$272)=0,"",IF(('Dvd Calendar'!$Q$272&gt;=MIN(DATE(Summary!$C$12,1,1),Summary!$C$11))*('Dvd Calendar'!$Q$272&lt;=MAX(DATE(Summary!$C$12,12,31),Summary!$C$15))*('Dvd Calendar'!$Q$272&gt;Summary!$C$11)=0,"",'Dvd Calendar'!$Q$272*1000000000+ISNUMBER('Dvd Calendar'!$Q$273)*100000000+('Dvd Calendar'!$Q$277='Field Check'!$C$25)*10000000+(N('Dvd Calendar'!$Q$271)&gt;0)*1000000+18*1000+53))</f>
        <v/>
      </c>
      <c r="BD26" s="41">
        <f>IF(N('Dvd Calendar'!$R$272)=0,"",IF(('Dvd Calendar'!$R$272&gt;=MIN(DATE(Summary!$C$12,1,1),Summary!$C$11))*('Dvd Calendar'!$R$272&lt;=MAX(DATE(Summary!$C$12,12,31),Summary!$C$15))*('Dvd Calendar'!$R$272&gt;Summary!$C$11)=0,"",'Dvd Calendar'!$R$272*1000000000+ISNUMBER('Dvd Calendar'!$R$273)*100000000+('Dvd Calendar'!$R$277='Field Check'!$C$25)*10000000+(N('Dvd Calendar'!$R$271)&gt;0)*1000000+18*1000+54))</f>
        <v/>
      </c>
      <c r="BE26" s="41">
        <f>IF(N('Dvd Calendar'!$S$272)=0,"",IF(('Dvd Calendar'!$S$272&gt;=MIN(DATE(Summary!$C$12,1,1),Summary!$C$11))*('Dvd Calendar'!$S$272&lt;=MAX(DATE(Summary!$C$12,12,31),Summary!$C$15))*('Dvd Calendar'!$S$272&gt;Summary!$C$11)=0,"",'Dvd Calendar'!$S$272*1000000000+ISNUMBER('Dvd Calendar'!$S$273)*100000000+('Dvd Calendar'!$S$277='Field Check'!$C$25)*10000000+(N('Dvd Calendar'!$S$271)&gt;0)*1000000+18*1000+55))</f>
        <v/>
      </c>
      <c r="BF26" s="41">
        <f>IF(N('Dvd Calendar'!$T$272)=0,"",IF(('Dvd Calendar'!$T$272&gt;=MIN(DATE(Summary!$C$12,1,1),Summary!$C$11))*('Dvd Calendar'!$T$272&lt;=MAX(DATE(Summary!$C$12,12,31),Summary!$C$15))*('Dvd Calendar'!$T$272&gt;Summary!$C$11)=0,"",'Dvd Calendar'!$T$272*1000000000+ISNUMBER('Dvd Calendar'!$T$273)*100000000+('Dvd Calendar'!$T$277='Field Check'!$C$25)*10000000+(N('Dvd Calendar'!$T$271)&gt;0)*1000000+18*1000+56))</f>
        <v/>
      </c>
      <c r="BG26" s="41">
        <f>IF(N('Dvd Calendar'!$U$272)=0,"",IF(('Dvd Calendar'!$U$272&gt;=MIN(DATE(Summary!$C$12,1,1),Summary!$C$11))*('Dvd Calendar'!$U$272&lt;=MAX(DATE(Summary!$C$12,12,31),Summary!$C$15))*('Dvd Calendar'!$U$272&gt;Summary!$C$11)=0,"",'Dvd Calendar'!$U$272*1000000000+ISNUMBER('Dvd Calendar'!$U$273)*100000000+('Dvd Calendar'!$U$277='Field Check'!$C$25)*10000000+(N('Dvd Calendar'!$U$271)&gt;0)*1000000+18*1000+57))</f>
        <v/>
      </c>
      <c r="BH26" s="41">
        <f>IF(N('Dvd Calendar'!$V$272)=0,"",IF(('Dvd Calendar'!$V$272&gt;=MIN(DATE(Summary!$C$12,1,1),Summary!$C$11))*('Dvd Calendar'!$V$272&lt;=MAX(DATE(Summary!$C$12,12,31),Summary!$C$15))*('Dvd Calendar'!$V$272&gt;Summary!$C$11)=0,"",'Dvd Calendar'!$V$272*1000000000+ISNUMBER('Dvd Calendar'!$V$273)*100000000+('Dvd Calendar'!$V$277='Field Check'!$C$25)*10000000+(N('Dvd Calendar'!$V$271)&gt;0)*1000000+18*1000+58))</f>
        <v/>
      </c>
      <c r="BI26" s="41">
        <f>IF(N('Dvd Calendar'!$W$272)=0,"",IF(('Dvd Calendar'!$W$272&gt;=MIN(DATE(Summary!$C$12,1,1),Summary!$C$11))*('Dvd Calendar'!$W$272&lt;=MAX(DATE(Summary!$C$12,12,31),Summary!$C$15))*('Dvd Calendar'!$W$272&gt;Summary!$C$11)=0,"",'Dvd Calendar'!$W$272*1000000000+ISNUMBER('Dvd Calendar'!$W$273)*100000000+('Dvd Calendar'!$W$277='Field Check'!$C$25)*10000000+(N('Dvd Calendar'!$W$271)&gt;0)*1000000+18*1000+59))</f>
        <v/>
      </c>
      <c r="BJ26" s="41">
        <f>IF(N('Dvd Calendar'!$X$272)=0,"",IF(('Dvd Calendar'!$X$272&gt;=MIN(DATE(Summary!$C$12,1,1),Summary!$C$11))*('Dvd Calendar'!$X$272&lt;=MAX(DATE(Summary!$C$12,12,31),Summary!$C$15))*('Dvd Calendar'!$X$272&gt;Summary!$C$11)=0,"",'Dvd Calendar'!$X$272*1000000000+ISNUMBER('Dvd Calendar'!$X$273)*100000000+('Dvd Calendar'!$X$277='Field Check'!$C$25)*10000000+(N('Dvd Calendar'!$X$271)&gt;0)*1000000+18*1000+60))</f>
        <v/>
      </c>
      <c r="BK26" s="41">
        <f>IF(N('Dvd Calendar'!$Y$272)=0,"",IF(('Dvd Calendar'!$Y$272&gt;=MIN(DATE(Summary!$C$12,1,1),Summary!$C$11))*('Dvd Calendar'!$Y$272&lt;=MAX(DATE(Summary!$C$12,12,31),Summary!$C$15))*('Dvd Calendar'!$Y$272&gt;Summary!$C$11)=0,"",'Dvd Calendar'!$Y$272*1000000000+ISNUMBER('Dvd Calendar'!$Y$273)*100000000+('Dvd Calendar'!$Y$277='Field Check'!$C$25)*10000000+(N('Dvd Calendar'!$Y$271)&gt;0)*1000000+18*1000+61))</f>
        <v/>
      </c>
      <c r="BL26" s="41">
        <f>IF(N('Dvd Calendar'!$Z$272)=0,"",IF(('Dvd Calendar'!$Z$272&gt;=MIN(DATE(Summary!$C$12,1,1),Summary!$C$11))*('Dvd Calendar'!$Z$272&lt;=MAX(DATE(Summary!$C$12,12,31),Summary!$C$15))*('Dvd Calendar'!$Z$272&gt;Summary!$C$11)=0,"",'Dvd Calendar'!$Z$272*1000000000+ISNUMBER('Dvd Calendar'!$Z$273)*100000000+('Dvd Calendar'!$Z$277='Field Check'!$C$25)*10000000+(N('Dvd Calendar'!$Z$271)&gt;0)*1000000+18*1000+62))</f>
        <v/>
      </c>
      <c r="BM26" s="41">
        <f>IF(N('Dvd Calendar'!$AA$272)=0,"",IF(('Dvd Calendar'!$AA$272&gt;=MIN(DATE(Summary!$C$12,1,1),Summary!$C$11))*('Dvd Calendar'!$AA$272&lt;=MAX(DATE(Summary!$C$12,12,31),Summary!$C$15))*('Dvd Calendar'!$AA$272&gt;Summary!$C$11)=0,"",'Dvd Calendar'!$AA$272*1000000000+ISNUMBER('Dvd Calendar'!$AA$273)*100000000+('Dvd Calendar'!$AA$277='Field Check'!$C$25)*10000000+(N('Dvd Calendar'!$AA$271)&gt;0)*1000000+18*1000+63))</f>
        <v/>
      </c>
      <c r="BN26" s="41">
        <f>IF(N('Dvd Calendar'!$AB$272)=0,"",IF(('Dvd Calendar'!$AB$272&gt;=MIN(DATE(Summary!$C$12,1,1),Summary!$C$11))*('Dvd Calendar'!$AB$272&lt;=MAX(DATE(Summary!$C$12,12,31),Summary!$C$15))*('Dvd Calendar'!$AB$272&gt;Summary!$C$11)=0,"",'Dvd Calendar'!$AB$272*1000000000+ISNUMBER('Dvd Calendar'!$AB$273)*100000000+('Dvd Calendar'!$AB$277='Field Check'!$C$25)*10000000+(N('Dvd Calendar'!$AB$271)&gt;0)*1000000+18*1000+64))</f>
        <v/>
      </c>
      <c r="BO26" s="41">
        <f>IF(N('Dvd Calendar'!$AC$272)=0,"",IF(('Dvd Calendar'!$AC$272&gt;=MIN(DATE(Summary!$C$12,1,1),Summary!$C$11))*('Dvd Calendar'!$AC$272&lt;=MAX(DATE(Summary!$C$12,12,31),Summary!$C$15))*('Dvd Calendar'!$AC$272&gt;Summary!$C$11)=0,"",'Dvd Calendar'!$AC$272*1000000000+ISNUMBER('Dvd Calendar'!$AC$273)*100000000+('Dvd Calendar'!$AC$277='Field Check'!$C$25)*10000000+(N('Dvd Calendar'!$AC$271)&gt;0)*1000000+18*1000+65))</f>
        <v/>
      </c>
      <c r="BQ26" s="85">
        <f>IF(C26="","",IF(ISNUMBER('Dvd Calendar'!$E$266)=FALSE,"",IF((Summary!$C$13="N")*('Dvd Calendar'!$E$270='Field Check'!$C$25)&gt;0,"",'Dvd Calendar'!$E$266)))</f>
        <v/>
      </c>
      <c r="BR26" s="85">
        <f>IF(D26="","",IF(ISNUMBER('Dvd Calendar'!$F$266)=FALSE,"",IF((Summary!$C$13="N")*('Dvd Calendar'!$F$270='Field Check'!$C$25)&gt;0,"",'Dvd Calendar'!$F$266)))</f>
        <v/>
      </c>
      <c r="BS26" s="85">
        <f>IF(E26="","",IF(ISNUMBER('Dvd Calendar'!$G$266)=FALSE,"",IF((Summary!$C$13="N")*('Dvd Calendar'!$G$270='Field Check'!$C$25)&gt;0,"",'Dvd Calendar'!$G$266)))</f>
        <v/>
      </c>
      <c r="BT26" s="85">
        <f>IF(F26="","",IF(ISNUMBER('Dvd Calendar'!$H$266)=FALSE,"",IF((Summary!$C$13="N")*('Dvd Calendar'!$H$270='Field Check'!$C$25)&gt;0,"",'Dvd Calendar'!$H$266)))</f>
        <v/>
      </c>
      <c r="BU26" s="85">
        <f>IF(G26="","",IF(ISNUMBER('Dvd Calendar'!$I$266)=FALSE,"",IF((Summary!$C$13="N")*('Dvd Calendar'!$I$270='Field Check'!$C$25)&gt;0,"",'Dvd Calendar'!$I$266)))</f>
        <v/>
      </c>
      <c r="BV26" s="85">
        <f>IF(H26="","",IF(ISNUMBER('Dvd Calendar'!$J$266)=FALSE,"",IF((Summary!$C$13="N")*('Dvd Calendar'!$J$270='Field Check'!$C$25)&gt;0,"",'Dvd Calendar'!$J$266)))</f>
        <v/>
      </c>
      <c r="BW26" s="85">
        <f>IF(I26="","",IF(ISNUMBER('Dvd Calendar'!$K$266)=FALSE,"",IF((Summary!$C$13="N")*('Dvd Calendar'!$K$270='Field Check'!$C$25)&gt;0,"",'Dvd Calendar'!$K$266)))</f>
        <v/>
      </c>
      <c r="BX26" s="85">
        <f>IF(J26="","",IF(ISNUMBER('Dvd Calendar'!$L$266)=FALSE,"",IF((Summary!$C$13="N")*('Dvd Calendar'!$L$270='Field Check'!$C$25)&gt;0,"",'Dvd Calendar'!$L$266)))</f>
        <v/>
      </c>
      <c r="BY26" s="85">
        <f>IF(K26="","",IF(ISNUMBER('Dvd Calendar'!$M$266)=FALSE,"",IF((Summary!$C$13="N")*('Dvd Calendar'!$M$270='Field Check'!$C$25)&gt;0,"",'Dvd Calendar'!$M$266)))</f>
        <v/>
      </c>
      <c r="BZ26" s="85">
        <f>IF(L26="","",IF(ISNUMBER('Dvd Calendar'!$N$266)=FALSE,"",IF((Summary!$C$13="N")*('Dvd Calendar'!$N$270='Field Check'!$C$25)&gt;0,"",'Dvd Calendar'!$N$266)))</f>
        <v/>
      </c>
      <c r="CA26" s="85">
        <f>IF(M26="","",IF(ISNUMBER('Dvd Calendar'!$O$266)=FALSE,"",IF((Summary!$C$13="N")*('Dvd Calendar'!$O$270='Field Check'!$C$25)&gt;0,"",'Dvd Calendar'!$O$266)))</f>
        <v/>
      </c>
      <c r="CB26" s="85">
        <f>IF(N26="","",IF(ISNUMBER('Dvd Calendar'!$P$266)=FALSE,"",IF((Summary!$C$13="N")*('Dvd Calendar'!$P$270='Field Check'!$C$25)&gt;0,"",'Dvd Calendar'!$P$266)))</f>
        <v/>
      </c>
      <c r="CC26" s="85">
        <f>IF(O26="","",IF(ISNUMBER('Dvd Calendar'!$Q$266)=FALSE,"",IF((Summary!$C$13="N")*('Dvd Calendar'!$Q$270='Field Check'!$C$25)&gt;0,"",'Dvd Calendar'!$Q$266)))</f>
        <v/>
      </c>
      <c r="CD26" s="85">
        <f>IF(P26="","",IF(ISNUMBER('Dvd Calendar'!$R$266)=FALSE,"",IF((Summary!$C$13="N")*('Dvd Calendar'!$R$270='Field Check'!$C$25)&gt;0,"",'Dvd Calendar'!$R$266)))</f>
        <v/>
      </c>
      <c r="CE26" s="85">
        <f>IF(Q26="","",IF(ISNUMBER('Dvd Calendar'!$S$266)=FALSE,"",IF((Summary!$C$13="N")*('Dvd Calendar'!$S$270='Field Check'!$C$25)&gt;0,"",'Dvd Calendar'!$S$266)))</f>
        <v/>
      </c>
      <c r="CF26" s="85">
        <f>IF(R26="","",IF(ISNUMBER('Dvd Calendar'!$T$266)=FALSE,"",IF((Summary!$C$13="N")*('Dvd Calendar'!$T$270='Field Check'!$C$25)&gt;0,"",'Dvd Calendar'!$T$266)))</f>
        <v/>
      </c>
      <c r="CG26" s="85">
        <f>IF(S26="","",IF(ISNUMBER('Dvd Calendar'!$U$266)=FALSE,"",IF((Summary!$C$13="N")*('Dvd Calendar'!$U$270='Field Check'!$C$25)&gt;0,"",'Dvd Calendar'!$U$266)))</f>
        <v/>
      </c>
      <c r="CH26" s="85">
        <f>IF(T26="","",IF(ISNUMBER('Dvd Calendar'!$V$266)=FALSE,"",IF((Summary!$C$13="N")*('Dvd Calendar'!$V$270='Field Check'!$C$25)&gt;0,"",'Dvd Calendar'!$V$266)))</f>
        <v/>
      </c>
      <c r="CI26" s="85">
        <f>IF(U26="","",IF(ISNUMBER('Dvd Calendar'!$W$266)=FALSE,"",IF((Summary!$C$13="N")*('Dvd Calendar'!$W$270='Field Check'!$C$25)&gt;0,"",'Dvd Calendar'!$W$266)))</f>
        <v/>
      </c>
      <c r="CJ26" s="85">
        <f>IF(V26="","",IF(ISNUMBER('Dvd Calendar'!$X$266)=FALSE,"",IF((Summary!$C$13="N")*('Dvd Calendar'!$X$270='Field Check'!$C$25)&gt;0,"",'Dvd Calendar'!$X$266)))</f>
        <v/>
      </c>
      <c r="CK26" s="85">
        <f>IF(W26="","",IF(ISNUMBER('Dvd Calendar'!$Y$266)=FALSE,"",IF((Summary!$C$13="N")*('Dvd Calendar'!$Y$270='Field Check'!$C$25)&gt;0,"",'Dvd Calendar'!$Y$266)))</f>
        <v/>
      </c>
      <c r="CL26" s="85">
        <f>IF(X26="","",IF(ISNUMBER('Dvd Calendar'!$Z$266)=FALSE,"",IF((Summary!$C$13="N")*('Dvd Calendar'!$Z$270='Field Check'!$C$25)&gt;0,"",'Dvd Calendar'!$Z$266)))</f>
        <v/>
      </c>
      <c r="CM26" s="85">
        <f>IF(Y26="","",IF(ISNUMBER('Dvd Calendar'!$AA$266)=FALSE,"",IF((Summary!$C$13="N")*('Dvd Calendar'!$AA$270='Field Check'!$C$25)&gt;0,"",'Dvd Calendar'!$AA$266)))</f>
        <v/>
      </c>
      <c r="CN26" s="85">
        <f>IF(Z26="","",IF(ISNUMBER('Dvd Calendar'!$AB$266)=FALSE,"",IF((Summary!$C$13="N")*('Dvd Calendar'!$AB$270='Field Check'!$C$25)&gt;0,"",'Dvd Calendar'!$AB$266)))</f>
        <v/>
      </c>
      <c r="CO26" s="85">
        <f>IF(AA26="","",IF(ISNUMBER('Dvd Calendar'!$AC$266)=FALSE,"",IF((Summary!$C$13="N")*('Dvd Calendar'!$AC$270='Field Check'!$C$25)&gt;0,"",'Dvd Calendar'!$AC$266)))</f>
        <v/>
      </c>
      <c r="CP26" s="85">
        <f>IF(AB26="","",IF(ISNUMBER('Dvd Calendar'!$AD$266)=FALSE,"",IF((Summary!$C$13="N")*('Dvd Calendar'!$AD$270='Field Check'!$C$25)&gt;0,"",'Dvd Calendar'!$AD$266)))</f>
        <v/>
      </c>
      <c r="CQ26" s="85">
        <f>IF(AC26="","",IF(ISNUMBER('Dvd Calendar'!$AE$266)=FALSE,"",IF((Summary!$C$13="N")*('Dvd Calendar'!$AE$270='Field Check'!$C$25)&gt;0,"",'Dvd Calendar'!$AE$266)))</f>
        <v/>
      </c>
      <c r="CR26" s="85">
        <f>IF(AD26="","",IF(ISNUMBER('Dvd Calendar'!$AF$266)=FALSE,"",IF((Summary!$C$13="N")*('Dvd Calendar'!$AF$270='Field Check'!$C$25)&gt;0,"",'Dvd Calendar'!$AF$266)))</f>
        <v/>
      </c>
      <c r="CS26" s="85">
        <f>IF(AE26="","",IF(ISNUMBER('Dvd Calendar'!$AG$266)=FALSE,"",IF((Summary!$C$13="N")*('Dvd Calendar'!$AG$270='Field Check'!$C$25)&gt;0,"",'Dvd Calendar'!$AG$266)))</f>
        <v/>
      </c>
      <c r="CT26" s="85">
        <f>IF(AF26="","",IF(ISNUMBER('Dvd Calendar'!$AH$266)=FALSE,"",IF((Summary!$C$13="N")*('Dvd Calendar'!$AH$270='Field Check'!$C$25)&gt;0,"",'Dvd Calendar'!$AH$266)))</f>
        <v/>
      </c>
      <c r="CU26" s="85">
        <f>IF(AG26="","",IF(ISNUMBER('Dvd Calendar'!$AI$266)=FALSE,"",IF((Summary!$C$13="N")*('Dvd Calendar'!$AI$270='Field Check'!$C$25)&gt;0,"",'Dvd Calendar'!$AI$266)))</f>
        <v/>
      </c>
      <c r="CV26" s="85">
        <f>IF(AH26="","",IF(ISNUMBER('Dvd Calendar'!$AJ$266)=FALSE,"",IF((Summary!$C$13="N")*('Dvd Calendar'!$AJ$270='Field Check'!$C$25)&gt;0,"",'Dvd Calendar'!$AJ$266)))</f>
        <v/>
      </c>
      <c r="CW26" s="85">
        <f>IF(AI26="","",IF(ISNUMBER('Dvd Calendar'!$AK$266)=FALSE,"",IF((Summary!$C$13="N")*('Dvd Calendar'!$AK$270='Field Check'!$C$25)&gt;0,"",'Dvd Calendar'!$AK$266)))</f>
        <v/>
      </c>
      <c r="CX26" s="85">
        <f>IF(AJ26="","",IF(ISNUMBER('Dvd Calendar'!$AL$266)=FALSE,"",IF((Summary!$C$13="N")*('Dvd Calendar'!$AL$270='Field Check'!$C$25)&gt;0,"",'Dvd Calendar'!$AL$266)))</f>
        <v/>
      </c>
      <c r="CY26" s="85">
        <f>IF(AK26="","",IF(ISNUMBER('Dvd Calendar'!$AM$266)=FALSE,"",IF((Summary!$C$13="N")*('Dvd Calendar'!$AM$270='Field Check'!$C$25)&gt;0,"",'Dvd Calendar'!$AM$266)))</f>
        <v/>
      </c>
      <c r="CZ26" s="85">
        <f>IF(AL26="","",IF(ISNUMBER('Dvd Calendar'!$AN$266)=FALSE,"",IF((Summary!$C$13="N")*('Dvd Calendar'!$AN$270='Field Check'!$C$25)&gt;0,"",'Dvd Calendar'!$AN$266)))</f>
        <v/>
      </c>
      <c r="DA26" s="85">
        <f>IF(AM26="","",IF(ISNUMBER('Dvd Calendar'!$AO$266)=FALSE,"",IF((Summary!$C$13="N")*('Dvd Calendar'!$AO$270='Field Check'!$C$25)&gt;0,"",'Dvd Calendar'!$AO$266)))</f>
        <v/>
      </c>
      <c r="DB26" s="85">
        <f>IF(AN26="","",IF(ISNUMBER('Dvd Calendar'!$AP$266)=FALSE,"",IF((Summary!$C$13="N")*('Dvd Calendar'!$AP$270='Field Check'!$C$25)&gt;0,"",'Dvd Calendar'!$AP$266)))</f>
        <v/>
      </c>
      <c r="DC26" s="85">
        <f>IF(AO26="","",IF(ISNUMBER('Dvd Calendar'!$AQ$266)=FALSE,"",IF((Summary!$C$13="N")*('Dvd Calendar'!$AQ$270='Field Check'!$C$25)&gt;0,"",'Dvd Calendar'!$AQ$266)))</f>
        <v/>
      </c>
      <c r="DD26" s="85">
        <f>IF(AP26="","",IF(ISNUMBER('Dvd Calendar'!$AR$266)=FALSE,"",IF((Summary!$C$13="N")*('Dvd Calendar'!$AR$270='Field Check'!$C$25)&gt;0,"",'Dvd Calendar'!$AR$266)))</f>
        <v/>
      </c>
      <c r="DE26" s="85">
        <f>IF(AQ26="","",IF(ISNUMBER('Dvd Calendar'!$E$273)=FALSE,"",IF((Summary!$C$13="N")*('Dvd Calendar'!$E$277='Field Check'!$C$25)&gt;0,"",'Dvd Calendar'!$E$273)))</f>
        <v/>
      </c>
      <c r="DF26" s="85">
        <f>IF(AR26="","",IF(ISNUMBER('Dvd Calendar'!$F$273)=FALSE,"",IF((Summary!$C$13="N")*('Dvd Calendar'!$F$277='Field Check'!$C$25)&gt;0,"",'Dvd Calendar'!$F$273)))</f>
        <v/>
      </c>
      <c r="DG26" s="85">
        <f>IF(AS26="","",IF(ISNUMBER('Dvd Calendar'!$G$273)=FALSE,"",IF((Summary!$C$13="N")*('Dvd Calendar'!$G$277='Field Check'!$C$25)&gt;0,"",'Dvd Calendar'!$G$273)))</f>
        <v/>
      </c>
      <c r="DH26" s="85">
        <f>IF(AT26="","",IF(ISNUMBER('Dvd Calendar'!$H$273)=FALSE,"",IF((Summary!$C$13="N")*('Dvd Calendar'!$H$277='Field Check'!$C$25)&gt;0,"",'Dvd Calendar'!$H$273)))</f>
        <v/>
      </c>
      <c r="DI26" s="85">
        <f>IF(AU26="","",IF(ISNUMBER('Dvd Calendar'!$I$273)=FALSE,"",IF((Summary!$C$13="N")*('Dvd Calendar'!$I$277='Field Check'!$C$25)&gt;0,"",'Dvd Calendar'!$I$273)))</f>
        <v/>
      </c>
      <c r="DJ26" s="85">
        <f>IF(AV26="","",IF(ISNUMBER('Dvd Calendar'!$J$273)=FALSE,"",IF((Summary!$C$13="N")*('Dvd Calendar'!$J$277='Field Check'!$C$25)&gt;0,"",'Dvd Calendar'!$J$273)))</f>
        <v/>
      </c>
      <c r="DK26" s="85">
        <f>IF(AW26="","",IF(ISNUMBER('Dvd Calendar'!$K$273)=FALSE,"",IF((Summary!$C$13="N")*('Dvd Calendar'!$K$277='Field Check'!$C$25)&gt;0,"",'Dvd Calendar'!$K$273)))</f>
        <v/>
      </c>
      <c r="DL26" s="85">
        <f>IF(AX26="","",IF(ISNUMBER('Dvd Calendar'!$L$273)=FALSE,"",IF((Summary!$C$13="N")*('Dvd Calendar'!$L$277='Field Check'!$C$25)&gt;0,"",'Dvd Calendar'!$L$273)))</f>
        <v/>
      </c>
      <c r="DM26" s="85">
        <f>IF(AY26="","",IF(ISNUMBER('Dvd Calendar'!$M$273)=FALSE,"",IF((Summary!$C$13="N")*('Dvd Calendar'!$M$277='Field Check'!$C$25)&gt;0,"",'Dvd Calendar'!$M$273)))</f>
        <v/>
      </c>
      <c r="DN26" s="85">
        <f>IF(AZ26="","",IF(ISNUMBER('Dvd Calendar'!$N$273)=FALSE,"",IF((Summary!$C$13="N")*('Dvd Calendar'!$N$277='Field Check'!$C$25)&gt;0,"",'Dvd Calendar'!$N$273)))</f>
        <v/>
      </c>
      <c r="DO26" s="85">
        <f>IF(BA26="","",IF(ISNUMBER('Dvd Calendar'!$O$273)=FALSE,"",IF((Summary!$C$13="N")*('Dvd Calendar'!$O$277='Field Check'!$C$25)&gt;0,"",'Dvd Calendar'!$O$273)))</f>
        <v/>
      </c>
      <c r="DP26" s="85">
        <f>IF(BB26="","",IF(ISNUMBER('Dvd Calendar'!$P$273)=FALSE,"",IF((Summary!$C$13="N")*('Dvd Calendar'!$P$277='Field Check'!$C$25)&gt;0,"",'Dvd Calendar'!$P$273)))</f>
        <v/>
      </c>
      <c r="DQ26" s="85">
        <f>IF(BC26="","",IF(ISNUMBER('Dvd Calendar'!$Q$273)=FALSE,"",IF((Summary!$C$13="N")*('Dvd Calendar'!$Q$277='Field Check'!$C$25)&gt;0,"",'Dvd Calendar'!$Q$273)))</f>
        <v/>
      </c>
      <c r="DR26" s="85">
        <f>IF(BD26="","",IF(ISNUMBER('Dvd Calendar'!$R$273)=FALSE,"",IF((Summary!$C$13="N")*('Dvd Calendar'!$R$277='Field Check'!$C$25)&gt;0,"",'Dvd Calendar'!$R$273)))</f>
        <v/>
      </c>
      <c r="DS26" s="85">
        <f>IF(BE26="","",IF(ISNUMBER('Dvd Calendar'!$S$273)=FALSE,"",IF((Summary!$C$13="N")*('Dvd Calendar'!$S$277='Field Check'!$C$25)&gt;0,"",'Dvd Calendar'!$S$273)))</f>
        <v/>
      </c>
      <c r="DT26" s="85">
        <f>IF(BF26="","",IF(ISNUMBER('Dvd Calendar'!$T$273)=FALSE,"",IF((Summary!$C$13="N")*('Dvd Calendar'!$T$277='Field Check'!$C$25)&gt;0,"",'Dvd Calendar'!$T$273)))</f>
        <v/>
      </c>
      <c r="DU26" s="85">
        <f>IF(BG26="","",IF(ISNUMBER('Dvd Calendar'!$U$273)=FALSE,"",IF((Summary!$C$13="N")*('Dvd Calendar'!$U$277='Field Check'!$C$25)&gt;0,"",'Dvd Calendar'!$U$273)))</f>
        <v/>
      </c>
      <c r="DV26" s="85">
        <f>IF(BH26="","",IF(ISNUMBER('Dvd Calendar'!$V$273)=FALSE,"",IF((Summary!$C$13="N")*('Dvd Calendar'!$V$277='Field Check'!$C$25)&gt;0,"",'Dvd Calendar'!$V$273)))</f>
        <v/>
      </c>
      <c r="DW26" s="85">
        <f>IF(BI26="","",IF(ISNUMBER('Dvd Calendar'!$W$273)=FALSE,"",IF((Summary!$C$13="N")*('Dvd Calendar'!$W$277='Field Check'!$C$25)&gt;0,"",'Dvd Calendar'!$W$273)))</f>
        <v/>
      </c>
      <c r="DX26" s="85">
        <f>IF(BJ26="","",IF(ISNUMBER('Dvd Calendar'!$X$273)=FALSE,"",IF((Summary!$C$13="N")*('Dvd Calendar'!$X$277='Field Check'!$C$25)&gt;0,"",'Dvd Calendar'!$X$273)))</f>
        <v/>
      </c>
      <c r="DY26" s="85">
        <f>IF(BK26="","",IF(ISNUMBER('Dvd Calendar'!$Y$273)=FALSE,"",IF((Summary!$C$13="N")*('Dvd Calendar'!$Y$277='Field Check'!$C$25)&gt;0,"",'Dvd Calendar'!$Y$273)))</f>
        <v/>
      </c>
      <c r="DZ26" s="85">
        <f>IF(BL26="","",IF(ISNUMBER('Dvd Calendar'!$Z$273)=FALSE,"",IF((Summary!$C$13="N")*('Dvd Calendar'!$Z$277='Field Check'!$C$25)&gt;0,"",'Dvd Calendar'!$Z$273)))</f>
        <v/>
      </c>
      <c r="EA26" s="85">
        <f>IF(BM26="","",IF(ISNUMBER('Dvd Calendar'!$AA$273)=FALSE,"",IF((Summary!$C$13="N")*('Dvd Calendar'!$AA$277='Field Check'!$C$25)&gt;0,"",'Dvd Calendar'!$AA$273)))</f>
        <v/>
      </c>
      <c r="EB26" s="85">
        <f>IF(BN26="","",IF(ISNUMBER('Dvd Calendar'!$AB$273)=FALSE,"",IF((Summary!$C$13="N")*('Dvd Calendar'!$AB$277='Field Check'!$C$25)&gt;0,"",'Dvd Calendar'!$AB$273)))</f>
        <v/>
      </c>
      <c r="EC26" s="85">
        <f>IF(BO26="","",IF(ISNUMBER('Dvd Calendar'!$AC$273)=FALSE,"",IF((Summary!$C$13="N")*('Dvd Calendar'!$AC$277='Field Check'!$C$25)&gt;0,"",'Dvd Calendar'!$AC$273)))</f>
        <v/>
      </c>
      <c r="EE26" s="85">
        <f>IF(BQ26="","",IFERROR(BQ26*HSI!$B$24*HSI!$G$24/HSI!$B$3,""))</f>
        <v/>
      </c>
      <c r="EF26" s="85">
        <f>IF(BR26="","",IFERROR(BR26*HSI!$B$24*HSI!$G$24/HSI!$B$3,""))</f>
        <v/>
      </c>
      <c r="EG26" s="85">
        <f>IF(BS26="","",IFERROR(BS26*HSI!$B$24*HSI!$G$24/HSI!$B$3,""))</f>
        <v/>
      </c>
      <c r="EH26" s="85">
        <f>IF(BT26="","",IFERROR(BT26*HSI!$B$24*HSI!$G$24/HSI!$B$3,""))</f>
        <v/>
      </c>
      <c r="EI26" s="85">
        <f>IF(BU26="","",IFERROR(BU26*HSI!$B$24*HSI!$G$24/HSI!$B$3,""))</f>
        <v/>
      </c>
      <c r="EJ26" s="85">
        <f>IF(BV26="","",IFERROR(BV26*HSI!$B$24*HSI!$G$24/HSI!$B$3,""))</f>
        <v/>
      </c>
      <c r="EK26" s="85">
        <f>IF(BW26="","",IFERROR(BW26*HSI!$B$24*HSI!$G$24/HSI!$B$3,""))</f>
        <v/>
      </c>
      <c r="EL26" s="85">
        <f>IF(BX26="","",IFERROR(BX26*HSI!$B$24*HSI!$G$24/HSI!$B$3,""))</f>
        <v/>
      </c>
      <c r="EM26" s="85">
        <f>IF(BY26="","",IFERROR(BY26*HSI!$B$24*HSI!$G$24/HSI!$B$3,""))</f>
        <v/>
      </c>
      <c r="EN26" s="85">
        <f>IF(BZ26="","",IFERROR(BZ26*HSI!$B$24*HSI!$G$24/HSI!$B$3,""))</f>
        <v/>
      </c>
      <c r="EO26" s="85">
        <f>IF(CA26="","",IFERROR(CA26*HSI!$B$24*HSI!$G$24/HSI!$B$3,""))</f>
        <v/>
      </c>
      <c r="EP26" s="85">
        <f>IF(CB26="","",IFERROR(CB26*HSI!$B$24*HSI!$G$24/HSI!$B$3,""))</f>
        <v/>
      </c>
      <c r="EQ26" s="85">
        <f>IF(CC26="","",IFERROR(CC26*HSI!$B$24*HSI!$G$24/HSI!$B$3,""))</f>
        <v/>
      </c>
      <c r="ER26" s="85">
        <f>IF(CD26="","",IFERROR(CD26*HSI!$B$24*HSI!$G$24/HSI!$B$3,""))</f>
        <v/>
      </c>
      <c r="ES26" s="85">
        <f>IF(CE26="","",IFERROR(CE26*HSI!$B$24*HSI!$G$24/HSI!$B$3,""))</f>
        <v/>
      </c>
      <c r="ET26" s="85">
        <f>IF(CF26="","",IFERROR(CF26*HSI!$B$24*HSI!$G$24/HSI!$B$3,""))</f>
        <v/>
      </c>
      <c r="EU26" s="85">
        <f>IF(CG26="","",IFERROR(CG26*HSI!$B$24*HSI!$G$24/HSI!$B$3,""))</f>
        <v/>
      </c>
      <c r="EV26" s="85">
        <f>IF(CH26="","",IFERROR(CH26*HSI!$B$24*HSI!$G$24/HSI!$B$3,""))</f>
        <v/>
      </c>
      <c r="EW26" s="85">
        <f>IF(CI26="","",IFERROR(CI26*HSI!$B$24*HSI!$G$24/HSI!$B$3,""))</f>
        <v/>
      </c>
      <c r="EX26" s="85">
        <f>IF(CJ26="","",IFERROR(CJ26*HSI!$B$24*HSI!$G$24/HSI!$B$3,""))</f>
        <v/>
      </c>
      <c r="EY26" s="85">
        <f>IF(CK26="","",IFERROR(CK26*HSI!$B$24*HSI!$G$24/HSI!$B$3,""))</f>
        <v/>
      </c>
      <c r="EZ26" s="85">
        <f>IF(CL26="","",IFERROR(CL26*HSI!$B$24*HSI!$G$24/HSI!$B$3,""))</f>
        <v/>
      </c>
      <c r="FA26" s="85">
        <f>IF(CM26="","",IFERROR(CM26*HSI!$B$24*HSI!$G$24/HSI!$B$3,""))</f>
        <v/>
      </c>
      <c r="FB26" s="85">
        <f>IF(CN26="","",IFERROR(CN26*HSI!$B$24*HSI!$G$24/HSI!$B$3,""))</f>
        <v/>
      </c>
      <c r="FC26" s="85">
        <f>IF(CO26="","",IFERROR(CO26*HSI!$B$24*HSI!$G$24/HSI!$B$3,""))</f>
        <v/>
      </c>
      <c r="FD26" s="85">
        <f>IF(CP26="","",IFERROR(CP26*HSI!$B$24*HSI!$G$24/HSI!$B$3,""))</f>
        <v/>
      </c>
      <c r="FE26" s="85">
        <f>IF(CQ26="","",IFERROR(CQ26*HSI!$B$24*HSI!$G$24/HSI!$B$3,""))</f>
        <v/>
      </c>
      <c r="FF26" s="85">
        <f>IF(CR26="","",IFERROR(CR26*HSI!$B$24*HSI!$G$24/HSI!$B$3,""))</f>
        <v/>
      </c>
      <c r="FG26" s="85">
        <f>IF(CS26="","",IFERROR(CS26*HSI!$B$24*HSI!$G$24/HSI!$B$3,""))</f>
        <v/>
      </c>
      <c r="FH26" s="85">
        <f>IF(CT26="","",IFERROR(CT26*HSI!$B$24*HSI!$G$24/HSI!$B$3,""))</f>
        <v/>
      </c>
      <c r="FI26" s="85">
        <f>IF(CU26="","",IFERROR(CU26*HSI!$B$24*HSI!$G$24/HSI!$B$3,""))</f>
        <v/>
      </c>
      <c r="FJ26" s="85">
        <f>IF(CV26="","",IFERROR(CV26*HSI!$B$24*HSI!$G$24/HSI!$B$3,""))</f>
        <v/>
      </c>
      <c r="FK26" s="85">
        <f>IF(CW26="","",IFERROR(CW26*HSI!$B$24*HSI!$G$24/HSI!$B$3,""))</f>
        <v/>
      </c>
      <c r="FL26" s="85">
        <f>IF(CX26="","",IFERROR(CX26*HSI!$B$24*HSI!$G$24/HSI!$B$3,""))</f>
        <v/>
      </c>
      <c r="FM26" s="85">
        <f>IF(CY26="","",IFERROR(CY26*HSI!$B$24*HSI!$G$24/HSI!$B$3,""))</f>
        <v/>
      </c>
      <c r="FN26" s="85">
        <f>IF(CZ26="","",IFERROR(CZ26*HSI!$B$24*HSI!$G$24/HSI!$B$3,""))</f>
        <v/>
      </c>
      <c r="FO26" s="85">
        <f>IF(DA26="","",IFERROR(DA26*HSI!$B$24*HSI!$G$24/HSI!$B$3,""))</f>
        <v/>
      </c>
      <c r="FP26" s="85">
        <f>IF(DB26="","",IFERROR(DB26*HSI!$B$24*HSI!$G$24/HSI!$B$3,""))</f>
        <v/>
      </c>
      <c r="FQ26" s="85">
        <f>IF(DC26="","",IFERROR(DC26*HSI!$B$24*HSI!$G$24/HSI!$B$3,""))</f>
        <v/>
      </c>
      <c r="FR26" s="85">
        <f>IF(DD26="","",IFERROR(DD26*HSI!$B$24*HSI!$G$24/HSI!$B$3,""))</f>
        <v/>
      </c>
      <c r="FS26" s="85">
        <f>IF(DE26="","",IFERROR(DE26*HSI!$B$24*HSI!$G$24/HSI!$B$3,""))</f>
        <v/>
      </c>
      <c r="FT26" s="85">
        <f>IF(DF26="","",IFERROR(DF26*HSI!$B$24*HSI!$G$24/HSI!$B$3,""))</f>
        <v/>
      </c>
      <c r="FU26" s="85">
        <f>IF(DG26="","",IFERROR(DG26*HSI!$B$24*HSI!$G$24/HSI!$B$3,""))</f>
        <v/>
      </c>
      <c r="FV26" s="85">
        <f>IF(DH26="","",IFERROR(DH26*HSI!$B$24*HSI!$G$24/HSI!$B$3,""))</f>
        <v/>
      </c>
      <c r="FW26" s="85">
        <f>IF(DI26="","",IFERROR(DI26*HSI!$B$24*HSI!$G$24/HSI!$B$3,""))</f>
        <v/>
      </c>
      <c r="FX26" s="85">
        <f>IF(DJ26="","",IFERROR(DJ26*HSI!$B$24*HSI!$G$24/HSI!$B$3,""))</f>
        <v/>
      </c>
      <c r="FY26" s="85">
        <f>IF(DK26="","",IFERROR(DK26*HSI!$B$24*HSI!$G$24/HSI!$B$3,""))</f>
        <v/>
      </c>
      <c r="FZ26" s="85">
        <f>IF(DL26="","",IFERROR(DL26*HSI!$B$24*HSI!$G$24/HSI!$B$3,""))</f>
        <v/>
      </c>
      <c r="GA26" s="85">
        <f>IF(DM26="","",IFERROR(DM26*HSI!$B$24*HSI!$G$24/HSI!$B$3,""))</f>
        <v/>
      </c>
      <c r="GB26" s="85">
        <f>IF(DN26="","",IFERROR(DN26*HSI!$B$24*HSI!$G$24/HSI!$B$3,""))</f>
        <v/>
      </c>
      <c r="GC26" s="85">
        <f>IF(DO26="","",IFERROR(DO26*HSI!$B$24*HSI!$G$24/HSI!$B$3,""))</f>
        <v/>
      </c>
      <c r="GD26" s="85">
        <f>IF(DP26="","",IFERROR(DP26*HSI!$B$24*HSI!$G$24/HSI!$B$3,""))</f>
        <v/>
      </c>
      <c r="GE26" s="85">
        <f>IF(DQ26="","",IFERROR(DQ26*HSI!$B$24*HSI!$G$24/HSI!$B$3,""))</f>
        <v/>
      </c>
      <c r="GF26" s="85">
        <f>IF(DR26="","",IFERROR(DR26*HSI!$B$24*HSI!$G$24/HSI!$B$3,""))</f>
        <v/>
      </c>
      <c r="GG26" s="85">
        <f>IF(DS26="","",IFERROR(DS26*HSI!$B$24*HSI!$G$24/HSI!$B$3,""))</f>
        <v/>
      </c>
      <c r="GH26" s="85">
        <f>IF(DT26="","",IFERROR(DT26*HSI!$B$24*HSI!$G$24/HSI!$B$3,""))</f>
        <v/>
      </c>
      <c r="GI26" s="85">
        <f>IF(DU26="","",IFERROR(DU26*HSI!$B$24*HSI!$G$24/HSI!$B$3,""))</f>
        <v/>
      </c>
      <c r="GJ26" s="85">
        <f>IF(DV26="","",IFERROR(DV26*HSI!$B$24*HSI!$G$24/HSI!$B$3,""))</f>
        <v/>
      </c>
      <c r="GK26" s="85">
        <f>IF(DW26="","",IFERROR(DW26*HSI!$B$24*HSI!$G$24/HSI!$B$3,""))</f>
        <v/>
      </c>
      <c r="GL26" s="85">
        <f>IF(DX26="","",IFERROR(DX26*HSI!$B$24*HSI!$G$24/HSI!$B$3,""))</f>
        <v/>
      </c>
      <c r="GM26" s="85">
        <f>IF(DY26="","",IFERROR(DY26*HSI!$B$24*HSI!$G$24/HSI!$B$3,""))</f>
        <v/>
      </c>
      <c r="GN26" s="85">
        <f>IF(DZ26="","",IFERROR(DZ26*HSI!$B$24*HSI!$G$24/HSI!$B$3,""))</f>
        <v/>
      </c>
      <c r="GO26" s="85">
        <f>IF(EA26="","",IFERROR(EA26*HSI!$B$24*HSI!$G$24/HSI!$B$3,""))</f>
        <v/>
      </c>
      <c r="GP26" s="85">
        <f>IF(EB26="","",IFERROR(EB26*HSI!$B$24*HSI!$G$24/HSI!$B$3,""))</f>
        <v/>
      </c>
      <c r="GQ26" s="85">
        <f>IF(EC26="","",IFERROR(EC26*HSI!$B$24*HSI!$G$24/HSI!$B$3,""))</f>
        <v/>
      </c>
    </row>
    <row r="27">
      <c r="B27" s="2">
        <f>IF(HSI!$C$25="","",HSI!$C$25)</f>
        <v/>
      </c>
      <c r="C27" s="41">
        <f>IF(N('Dvd Calendar'!$E$280)=0,"",IF(('Dvd Calendar'!$E$280&gt;=MIN(DATE(Summary!$C$12,1,1),Summary!$C$11))*('Dvd Calendar'!$E$280&lt;=MAX(DATE(Summary!$C$12,12,31),Summary!$C$15))*('Dvd Calendar'!$E$280&lt;=Summary!$C$11)=0,"",'Dvd Calendar'!$E$280*1000000000+ISNUMBER('Dvd Calendar'!$E$281)*100000000+('Dvd Calendar'!$E$285='Field Check'!$C$25)*10000000+(N('Dvd Calendar'!$E$279)&gt;0)*1000000+19*1000+1))</f>
        <v/>
      </c>
      <c r="D27" s="41">
        <f>IF(N('Dvd Calendar'!$F$280)=0,"",IF(('Dvd Calendar'!$F$280&gt;=MIN(DATE(Summary!$C$12,1,1),Summary!$C$11))*('Dvd Calendar'!$F$280&lt;=MAX(DATE(Summary!$C$12,12,31),Summary!$C$15))*('Dvd Calendar'!$F$280&lt;=Summary!$C$11)=0,"",'Dvd Calendar'!$F$280*1000000000+ISNUMBER('Dvd Calendar'!$F$281)*100000000+('Dvd Calendar'!$F$285='Field Check'!$C$25)*10000000+(N('Dvd Calendar'!$F$279)&gt;0)*1000000+19*1000+2))</f>
        <v/>
      </c>
      <c r="E27" s="41">
        <f>IF(N('Dvd Calendar'!$G$280)=0,"",IF(('Dvd Calendar'!$G$280&gt;=MIN(DATE(Summary!$C$12,1,1),Summary!$C$11))*('Dvd Calendar'!$G$280&lt;=MAX(DATE(Summary!$C$12,12,31),Summary!$C$15))*('Dvd Calendar'!$G$280&lt;=Summary!$C$11)=0,"",'Dvd Calendar'!$G$280*1000000000+ISNUMBER('Dvd Calendar'!$G$281)*100000000+('Dvd Calendar'!$G$285='Field Check'!$C$25)*10000000+(N('Dvd Calendar'!$G$279)&gt;0)*1000000+19*1000+3))</f>
        <v/>
      </c>
      <c r="F27" s="41">
        <f>IF(N('Dvd Calendar'!$H$280)=0,"",IF(('Dvd Calendar'!$H$280&gt;=MIN(DATE(Summary!$C$12,1,1),Summary!$C$11))*('Dvd Calendar'!$H$280&lt;=MAX(DATE(Summary!$C$12,12,31),Summary!$C$15))*('Dvd Calendar'!$H$280&lt;=Summary!$C$11)=0,"",'Dvd Calendar'!$H$280*1000000000+ISNUMBER('Dvd Calendar'!$H$281)*100000000+('Dvd Calendar'!$H$285='Field Check'!$C$25)*10000000+(N('Dvd Calendar'!$H$279)&gt;0)*1000000+19*1000+4))</f>
        <v/>
      </c>
      <c r="G27" s="41">
        <f>IF(N('Dvd Calendar'!$I$280)=0,"",IF(('Dvd Calendar'!$I$280&gt;=MIN(DATE(Summary!$C$12,1,1),Summary!$C$11))*('Dvd Calendar'!$I$280&lt;=MAX(DATE(Summary!$C$12,12,31),Summary!$C$15))*('Dvd Calendar'!$I$280&lt;=Summary!$C$11)=0,"",'Dvd Calendar'!$I$280*1000000000+ISNUMBER('Dvd Calendar'!$I$281)*100000000+('Dvd Calendar'!$I$285='Field Check'!$C$25)*10000000+(N('Dvd Calendar'!$I$279)&gt;0)*1000000+19*1000+5))</f>
        <v/>
      </c>
      <c r="H27" s="41">
        <f>IF(N('Dvd Calendar'!$J$280)=0,"",IF(('Dvd Calendar'!$J$280&gt;=MIN(DATE(Summary!$C$12,1,1),Summary!$C$11))*('Dvd Calendar'!$J$280&lt;=MAX(DATE(Summary!$C$12,12,31),Summary!$C$15))*('Dvd Calendar'!$J$280&lt;=Summary!$C$11)=0,"",'Dvd Calendar'!$J$280*1000000000+ISNUMBER('Dvd Calendar'!$J$281)*100000000+('Dvd Calendar'!$J$285='Field Check'!$C$25)*10000000+(N('Dvd Calendar'!$J$279)&gt;0)*1000000+19*1000+6))</f>
        <v/>
      </c>
      <c r="I27" s="41">
        <f>IF(N('Dvd Calendar'!$K$280)=0,"",IF(('Dvd Calendar'!$K$280&gt;=MIN(DATE(Summary!$C$12,1,1),Summary!$C$11))*('Dvd Calendar'!$K$280&lt;=MAX(DATE(Summary!$C$12,12,31),Summary!$C$15))*('Dvd Calendar'!$K$280&lt;=Summary!$C$11)=0,"",'Dvd Calendar'!$K$280*1000000000+ISNUMBER('Dvd Calendar'!$K$281)*100000000+('Dvd Calendar'!$K$285='Field Check'!$C$25)*10000000+(N('Dvd Calendar'!$K$279)&gt;0)*1000000+19*1000+7))</f>
        <v/>
      </c>
      <c r="J27" s="41">
        <f>IF(N('Dvd Calendar'!$L$280)=0,"",IF(('Dvd Calendar'!$L$280&gt;=MIN(DATE(Summary!$C$12,1,1),Summary!$C$11))*('Dvd Calendar'!$L$280&lt;=MAX(DATE(Summary!$C$12,12,31),Summary!$C$15))*('Dvd Calendar'!$L$280&lt;=Summary!$C$11)=0,"",'Dvd Calendar'!$L$280*1000000000+ISNUMBER('Dvd Calendar'!$L$281)*100000000+('Dvd Calendar'!$L$285='Field Check'!$C$25)*10000000+(N('Dvd Calendar'!$L$279)&gt;0)*1000000+19*1000+8))</f>
        <v/>
      </c>
      <c r="K27" s="41">
        <f>IF(N('Dvd Calendar'!$M$280)=0,"",IF(('Dvd Calendar'!$M$280&gt;=MIN(DATE(Summary!$C$12,1,1),Summary!$C$11))*('Dvd Calendar'!$M$280&lt;=MAX(DATE(Summary!$C$12,12,31),Summary!$C$15))*('Dvd Calendar'!$M$280&lt;=Summary!$C$11)=0,"",'Dvd Calendar'!$M$280*1000000000+ISNUMBER('Dvd Calendar'!$M$281)*100000000+('Dvd Calendar'!$M$285='Field Check'!$C$25)*10000000+(N('Dvd Calendar'!$M$279)&gt;0)*1000000+19*1000+9))</f>
        <v/>
      </c>
      <c r="L27" s="41">
        <f>IF(N('Dvd Calendar'!$N$280)=0,"",IF(('Dvd Calendar'!$N$280&gt;=MIN(DATE(Summary!$C$12,1,1),Summary!$C$11))*('Dvd Calendar'!$N$280&lt;=MAX(DATE(Summary!$C$12,12,31),Summary!$C$15))*('Dvd Calendar'!$N$280&lt;=Summary!$C$11)=0,"",'Dvd Calendar'!$N$280*1000000000+ISNUMBER('Dvd Calendar'!$N$281)*100000000+('Dvd Calendar'!$N$285='Field Check'!$C$25)*10000000+(N('Dvd Calendar'!$N$279)&gt;0)*1000000+19*1000+10))</f>
        <v/>
      </c>
      <c r="M27" s="41">
        <f>IF(N('Dvd Calendar'!$O$280)=0,"",IF(('Dvd Calendar'!$O$280&gt;=MIN(DATE(Summary!$C$12,1,1),Summary!$C$11))*('Dvd Calendar'!$O$280&lt;=MAX(DATE(Summary!$C$12,12,31),Summary!$C$15))*('Dvd Calendar'!$O$280&lt;=Summary!$C$11)=0,"",'Dvd Calendar'!$O$280*1000000000+ISNUMBER('Dvd Calendar'!$O$281)*100000000+('Dvd Calendar'!$O$285='Field Check'!$C$25)*10000000+(N('Dvd Calendar'!$O$279)&gt;0)*1000000+19*1000+11))</f>
        <v/>
      </c>
      <c r="N27" s="41">
        <f>IF(N('Dvd Calendar'!$P$280)=0,"",IF(('Dvd Calendar'!$P$280&gt;=MIN(DATE(Summary!$C$12,1,1),Summary!$C$11))*('Dvd Calendar'!$P$280&lt;=MAX(DATE(Summary!$C$12,12,31),Summary!$C$15))*('Dvd Calendar'!$P$280&lt;=Summary!$C$11)=0,"",'Dvd Calendar'!$P$280*1000000000+ISNUMBER('Dvd Calendar'!$P$281)*100000000+('Dvd Calendar'!$P$285='Field Check'!$C$25)*10000000+(N('Dvd Calendar'!$P$279)&gt;0)*1000000+19*1000+12))</f>
        <v/>
      </c>
      <c r="O27" s="41">
        <f>IF(N('Dvd Calendar'!$Q$280)=0,"",IF(('Dvd Calendar'!$Q$280&gt;=MIN(DATE(Summary!$C$12,1,1),Summary!$C$11))*('Dvd Calendar'!$Q$280&lt;=MAX(DATE(Summary!$C$12,12,31),Summary!$C$15))*('Dvd Calendar'!$Q$280&lt;=Summary!$C$11)=0,"",'Dvd Calendar'!$Q$280*1000000000+ISNUMBER('Dvd Calendar'!$Q$281)*100000000+('Dvd Calendar'!$Q$285='Field Check'!$C$25)*10000000+(N('Dvd Calendar'!$Q$279)&gt;0)*1000000+19*1000+13))</f>
        <v/>
      </c>
      <c r="P27" s="41">
        <f>IF(N('Dvd Calendar'!$R$280)=0,"",IF(('Dvd Calendar'!$R$280&gt;=MIN(DATE(Summary!$C$12,1,1),Summary!$C$11))*('Dvd Calendar'!$R$280&lt;=MAX(DATE(Summary!$C$12,12,31),Summary!$C$15))*('Dvd Calendar'!$R$280&lt;=Summary!$C$11)=0,"",'Dvd Calendar'!$R$280*1000000000+ISNUMBER('Dvd Calendar'!$R$281)*100000000+('Dvd Calendar'!$R$285='Field Check'!$C$25)*10000000+(N('Dvd Calendar'!$R$279)&gt;0)*1000000+19*1000+14))</f>
        <v/>
      </c>
      <c r="Q27" s="41">
        <f>IF(N('Dvd Calendar'!$S$280)=0,"",IF(('Dvd Calendar'!$S$280&gt;=MIN(DATE(Summary!$C$12,1,1),Summary!$C$11))*('Dvd Calendar'!$S$280&lt;=MAX(DATE(Summary!$C$12,12,31),Summary!$C$15))*('Dvd Calendar'!$S$280&lt;=Summary!$C$11)=0,"",'Dvd Calendar'!$S$280*1000000000+ISNUMBER('Dvd Calendar'!$S$281)*100000000+('Dvd Calendar'!$S$285='Field Check'!$C$25)*10000000+(N('Dvd Calendar'!$S$279)&gt;0)*1000000+19*1000+15))</f>
        <v/>
      </c>
      <c r="R27" s="41">
        <f>IF(N('Dvd Calendar'!$T$280)=0,"",IF(('Dvd Calendar'!$T$280&gt;=MIN(DATE(Summary!$C$12,1,1),Summary!$C$11))*('Dvd Calendar'!$T$280&lt;=MAX(DATE(Summary!$C$12,12,31),Summary!$C$15))*('Dvd Calendar'!$T$280&lt;=Summary!$C$11)=0,"",'Dvd Calendar'!$T$280*1000000000+ISNUMBER('Dvd Calendar'!$T$281)*100000000+('Dvd Calendar'!$T$285='Field Check'!$C$25)*10000000+(N('Dvd Calendar'!$T$279)&gt;0)*1000000+19*1000+16))</f>
        <v/>
      </c>
      <c r="S27" s="41">
        <f>IF(N('Dvd Calendar'!$U$280)=0,"",IF(('Dvd Calendar'!$U$280&gt;=MIN(DATE(Summary!$C$12,1,1),Summary!$C$11))*('Dvd Calendar'!$U$280&lt;=MAX(DATE(Summary!$C$12,12,31),Summary!$C$15))*('Dvd Calendar'!$U$280&lt;=Summary!$C$11)=0,"",'Dvd Calendar'!$U$280*1000000000+ISNUMBER('Dvd Calendar'!$U$281)*100000000+('Dvd Calendar'!$U$285='Field Check'!$C$25)*10000000+(N('Dvd Calendar'!$U$279)&gt;0)*1000000+19*1000+17))</f>
        <v/>
      </c>
      <c r="T27" s="41">
        <f>IF(N('Dvd Calendar'!$V$280)=0,"",IF(('Dvd Calendar'!$V$280&gt;=MIN(DATE(Summary!$C$12,1,1),Summary!$C$11))*('Dvd Calendar'!$V$280&lt;=MAX(DATE(Summary!$C$12,12,31),Summary!$C$15))*('Dvd Calendar'!$V$280&lt;=Summary!$C$11)=0,"",'Dvd Calendar'!$V$280*1000000000+ISNUMBER('Dvd Calendar'!$V$281)*100000000+('Dvd Calendar'!$V$285='Field Check'!$C$25)*10000000+(N('Dvd Calendar'!$V$279)&gt;0)*1000000+19*1000+18))</f>
        <v/>
      </c>
      <c r="U27" s="41">
        <f>IF(N('Dvd Calendar'!$W$280)=0,"",IF(('Dvd Calendar'!$W$280&gt;=MIN(DATE(Summary!$C$12,1,1),Summary!$C$11))*('Dvd Calendar'!$W$280&lt;=MAX(DATE(Summary!$C$12,12,31),Summary!$C$15))*('Dvd Calendar'!$W$280&lt;=Summary!$C$11)=0,"",'Dvd Calendar'!$W$280*1000000000+ISNUMBER('Dvd Calendar'!$W$281)*100000000+('Dvd Calendar'!$W$285='Field Check'!$C$25)*10000000+(N('Dvd Calendar'!$W$279)&gt;0)*1000000+19*1000+19))</f>
        <v/>
      </c>
      <c r="V27" s="41">
        <f>IF(N('Dvd Calendar'!$X$280)=0,"",IF(('Dvd Calendar'!$X$280&gt;=MIN(DATE(Summary!$C$12,1,1),Summary!$C$11))*('Dvd Calendar'!$X$280&lt;=MAX(DATE(Summary!$C$12,12,31),Summary!$C$15))*('Dvd Calendar'!$X$280&lt;=Summary!$C$11)=0,"",'Dvd Calendar'!$X$280*1000000000+ISNUMBER('Dvd Calendar'!$X$281)*100000000+('Dvd Calendar'!$X$285='Field Check'!$C$25)*10000000+(N('Dvd Calendar'!$X$279)&gt;0)*1000000+19*1000+20))</f>
        <v/>
      </c>
      <c r="W27" s="41">
        <f>IF(N('Dvd Calendar'!$Y$280)=0,"",IF(('Dvd Calendar'!$Y$280&gt;=MIN(DATE(Summary!$C$12,1,1),Summary!$C$11))*('Dvd Calendar'!$Y$280&lt;=MAX(DATE(Summary!$C$12,12,31),Summary!$C$15))*('Dvd Calendar'!$Y$280&lt;=Summary!$C$11)=0,"",'Dvd Calendar'!$Y$280*1000000000+ISNUMBER('Dvd Calendar'!$Y$281)*100000000+('Dvd Calendar'!$Y$285='Field Check'!$C$25)*10000000+(N('Dvd Calendar'!$Y$279)&gt;0)*1000000+19*1000+21))</f>
        <v/>
      </c>
      <c r="X27" s="41">
        <f>IF(N('Dvd Calendar'!$Z$280)=0,"",IF(('Dvd Calendar'!$Z$280&gt;=MIN(DATE(Summary!$C$12,1,1),Summary!$C$11))*('Dvd Calendar'!$Z$280&lt;=MAX(DATE(Summary!$C$12,12,31),Summary!$C$15))*('Dvd Calendar'!$Z$280&lt;=Summary!$C$11)=0,"",'Dvd Calendar'!$Z$280*1000000000+ISNUMBER('Dvd Calendar'!$Z$281)*100000000+('Dvd Calendar'!$Z$285='Field Check'!$C$25)*10000000+(N('Dvd Calendar'!$Z$279)&gt;0)*1000000+19*1000+22))</f>
        <v/>
      </c>
      <c r="Y27" s="41">
        <f>IF(N('Dvd Calendar'!$AA$280)=0,"",IF(('Dvd Calendar'!$AA$280&gt;=MIN(DATE(Summary!$C$12,1,1),Summary!$C$11))*('Dvd Calendar'!$AA$280&lt;=MAX(DATE(Summary!$C$12,12,31),Summary!$C$15))*('Dvd Calendar'!$AA$280&lt;=Summary!$C$11)=0,"",'Dvd Calendar'!$AA$280*1000000000+ISNUMBER('Dvd Calendar'!$AA$281)*100000000+('Dvd Calendar'!$AA$285='Field Check'!$C$25)*10000000+(N('Dvd Calendar'!$AA$279)&gt;0)*1000000+19*1000+23))</f>
        <v/>
      </c>
      <c r="Z27" s="41">
        <f>IF(N('Dvd Calendar'!$AB$280)=0,"",IF(('Dvd Calendar'!$AB$280&gt;=MIN(DATE(Summary!$C$12,1,1),Summary!$C$11))*('Dvd Calendar'!$AB$280&lt;=MAX(DATE(Summary!$C$12,12,31),Summary!$C$15))*('Dvd Calendar'!$AB$280&lt;=Summary!$C$11)=0,"",'Dvd Calendar'!$AB$280*1000000000+ISNUMBER('Dvd Calendar'!$AB$281)*100000000+('Dvd Calendar'!$AB$285='Field Check'!$C$25)*10000000+(N('Dvd Calendar'!$AB$279)&gt;0)*1000000+19*1000+24))</f>
        <v/>
      </c>
      <c r="AA27" s="41">
        <f>IF(N('Dvd Calendar'!$AC$280)=0,"",IF(('Dvd Calendar'!$AC$280&gt;=MIN(DATE(Summary!$C$12,1,1),Summary!$C$11))*('Dvd Calendar'!$AC$280&lt;=MAX(DATE(Summary!$C$12,12,31),Summary!$C$15))*('Dvd Calendar'!$AC$280&lt;=Summary!$C$11)=0,"",'Dvd Calendar'!$AC$280*1000000000+ISNUMBER('Dvd Calendar'!$AC$281)*100000000+('Dvd Calendar'!$AC$285='Field Check'!$C$25)*10000000+(N('Dvd Calendar'!$AC$279)&gt;0)*1000000+19*1000+25))</f>
        <v/>
      </c>
      <c r="AB27" s="41">
        <f>IF(N('Dvd Calendar'!$AD$280)=0,"",IF(('Dvd Calendar'!$AD$280&gt;=MIN(DATE(Summary!$C$12,1,1),Summary!$C$11))*('Dvd Calendar'!$AD$280&lt;=MAX(DATE(Summary!$C$12,12,31),Summary!$C$15))*('Dvd Calendar'!$AD$280&lt;=Summary!$C$11)=0,"",'Dvd Calendar'!$AD$280*1000000000+ISNUMBER('Dvd Calendar'!$AD$281)*100000000+('Dvd Calendar'!$AD$285='Field Check'!$C$25)*10000000+(N('Dvd Calendar'!$AD$279)&gt;0)*1000000+19*1000+26))</f>
        <v/>
      </c>
      <c r="AC27" s="41">
        <f>IF(N('Dvd Calendar'!$AE$280)=0,"",IF(('Dvd Calendar'!$AE$280&gt;=MIN(DATE(Summary!$C$12,1,1),Summary!$C$11))*('Dvd Calendar'!$AE$280&lt;=MAX(DATE(Summary!$C$12,12,31),Summary!$C$15))*('Dvd Calendar'!$AE$280&lt;=Summary!$C$11)=0,"",'Dvd Calendar'!$AE$280*1000000000+ISNUMBER('Dvd Calendar'!$AE$281)*100000000+('Dvd Calendar'!$AE$285='Field Check'!$C$25)*10000000+(N('Dvd Calendar'!$AE$279)&gt;0)*1000000+19*1000+27))</f>
        <v/>
      </c>
      <c r="AD27" s="41">
        <f>IF(N('Dvd Calendar'!$AF$280)=0,"",IF(('Dvd Calendar'!$AF$280&gt;=MIN(DATE(Summary!$C$12,1,1),Summary!$C$11))*('Dvd Calendar'!$AF$280&lt;=MAX(DATE(Summary!$C$12,12,31),Summary!$C$15))*('Dvd Calendar'!$AF$280&lt;=Summary!$C$11)=0,"",'Dvd Calendar'!$AF$280*1000000000+ISNUMBER('Dvd Calendar'!$AF$281)*100000000+('Dvd Calendar'!$AF$285='Field Check'!$C$25)*10000000+(N('Dvd Calendar'!$AF$279)&gt;0)*1000000+19*1000+28))</f>
        <v/>
      </c>
      <c r="AE27" s="41">
        <f>IF(N('Dvd Calendar'!$AG$280)=0,"",IF(('Dvd Calendar'!$AG$280&gt;=MIN(DATE(Summary!$C$12,1,1),Summary!$C$11))*('Dvd Calendar'!$AG$280&lt;=MAX(DATE(Summary!$C$12,12,31),Summary!$C$15))*('Dvd Calendar'!$AG$280&lt;=Summary!$C$11)=0,"",'Dvd Calendar'!$AG$280*1000000000+ISNUMBER('Dvd Calendar'!$AG$281)*100000000+('Dvd Calendar'!$AG$285='Field Check'!$C$25)*10000000+(N('Dvd Calendar'!$AG$279)&gt;0)*1000000+19*1000+29))</f>
        <v/>
      </c>
      <c r="AF27" s="41">
        <f>IF(N('Dvd Calendar'!$AH$280)=0,"",IF(('Dvd Calendar'!$AH$280&gt;=MIN(DATE(Summary!$C$12,1,1),Summary!$C$11))*('Dvd Calendar'!$AH$280&lt;=MAX(DATE(Summary!$C$12,12,31),Summary!$C$15))*('Dvd Calendar'!$AH$280&lt;=Summary!$C$11)=0,"",'Dvd Calendar'!$AH$280*1000000000+ISNUMBER('Dvd Calendar'!$AH$281)*100000000+('Dvd Calendar'!$AH$285='Field Check'!$C$25)*10000000+(N('Dvd Calendar'!$AH$279)&gt;0)*1000000+19*1000+30))</f>
        <v/>
      </c>
      <c r="AG27" s="41">
        <f>IF(N('Dvd Calendar'!$AI$280)=0,"",IF(('Dvd Calendar'!$AI$280&gt;=MIN(DATE(Summary!$C$12,1,1),Summary!$C$11))*('Dvd Calendar'!$AI$280&lt;=MAX(DATE(Summary!$C$12,12,31),Summary!$C$15))*('Dvd Calendar'!$AI$280&lt;=Summary!$C$11)=0,"",'Dvd Calendar'!$AI$280*1000000000+ISNUMBER('Dvd Calendar'!$AI$281)*100000000+('Dvd Calendar'!$AI$285='Field Check'!$C$25)*10000000+(N('Dvd Calendar'!$AI$279)&gt;0)*1000000+19*1000+31))</f>
        <v/>
      </c>
      <c r="AH27" s="41">
        <f>IF(N('Dvd Calendar'!$AJ$280)=0,"",IF(('Dvd Calendar'!$AJ$280&gt;=MIN(DATE(Summary!$C$12,1,1),Summary!$C$11))*('Dvd Calendar'!$AJ$280&lt;=MAX(DATE(Summary!$C$12,12,31),Summary!$C$15))*('Dvd Calendar'!$AJ$280&lt;=Summary!$C$11)=0,"",'Dvd Calendar'!$AJ$280*1000000000+ISNUMBER('Dvd Calendar'!$AJ$281)*100000000+('Dvd Calendar'!$AJ$285='Field Check'!$C$25)*10000000+(N('Dvd Calendar'!$AJ$279)&gt;0)*1000000+19*1000+32))</f>
        <v/>
      </c>
      <c r="AI27" s="41">
        <f>IF(N('Dvd Calendar'!$AK$280)=0,"",IF(('Dvd Calendar'!$AK$280&gt;=MIN(DATE(Summary!$C$12,1,1),Summary!$C$11))*('Dvd Calendar'!$AK$280&lt;=MAX(DATE(Summary!$C$12,12,31),Summary!$C$15))*('Dvd Calendar'!$AK$280&lt;=Summary!$C$11)=0,"",'Dvd Calendar'!$AK$280*1000000000+ISNUMBER('Dvd Calendar'!$AK$281)*100000000+('Dvd Calendar'!$AK$285='Field Check'!$C$25)*10000000+(N('Dvd Calendar'!$AK$279)&gt;0)*1000000+19*1000+33))</f>
        <v/>
      </c>
      <c r="AJ27" s="41">
        <f>IF(N('Dvd Calendar'!$AL$280)=0,"",IF(('Dvd Calendar'!$AL$280&gt;=MIN(DATE(Summary!$C$12,1,1),Summary!$C$11))*('Dvd Calendar'!$AL$280&lt;=MAX(DATE(Summary!$C$12,12,31),Summary!$C$15))*('Dvd Calendar'!$AL$280&lt;=Summary!$C$11)=0,"",'Dvd Calendar'!$AL$280*1000000000+ISNUMBER('Dvd Calendar'!$AL$281)*100000000+('Dvd Calendar'!$AL$285='Field Check'!$C$25)*10000000+(N('Dvd Calendar'!$AL$279)&gt;0)*1000000+19*1000+34))</f>
        <v/>
      </c>
      <c r="AK27" s="41">
        <f>IF(N('Dvd Calendar'!$AM$280)=0,"",IF(('Dvd Calendar'!$AM$280&gt;=MIN(DATE(Summary!$C$12,1,1),Summary!$C$11))*('Dvd Calendar'!$AM$280&lt;=MAX(DATE(Summary!$C$12,12,31),Summary!$C$15))*('Dvd Calendar'!$AM$280&lt;=Summary!$C$11)=0,"",'Dvd Calendar'!$AM$280*1000000000+ISNUMBER('Dvd Calendar'!$AM$281)*100000000+('Dvd Calendar'!$AM$285='Field Check'!$C$25)*10000000+(N('Dvd Calendar'!$AM$279)&gt;0)*1000000+19*1000+35))</f>
        <v/>
      </c>
      <c r="AL27" s="41">
        <f>IF(N('Dvd Calendar'!$AN$280)=0,"",IF(('Dvd Calendar'!$AN$280&gt;=MIN(DATE(Summary!$C$12,1,1),Summary!$C$11))*('Dvd Calendar'!$AN$280&lt;=MAX(DATE(Summary!$C$12,12,31),Summary!$C$15))*('Dvd Calendar'!$AN$280&lt;=Summary!$C$11)=0,"",'Dvd Calendar'!$AN$280*1000000000+ISNUMBER('Dvd Calendar'!$AN$281)*100000000+('Dvd Calendar'!$AN$285='Field Check'!$C$25)*10000000+(N('Dvd Calendar'!$AN$279)&gt;0)*1000000+19*1000+36))</f>
        <v/>
      </c>
      <c r="AM27" s="41">
        <f>IF(N('Dvd Calendar'!$AO$280)=0,"",IF(('Dvd Calendar'!$AO$280&gt;=MIN(DATE(Summary!$C$12,1,1),Summary!$C$11))*('Dvd Calendar'!$AO$280&lt;=MAX(DATE(Summary!$C$12,12,31),Summary!$C$15))*('Dvd Calendar'!$AO$280&lt;=Summary!$C$11)=0,"",'Dvd Calendar'!$AO$280*1000000000+ISNUMBER('Dvd Calendar'!$AO$281)*100000000+('Dvd Calendar'!$AO$285='Field Check'!$C$25)*10000000+(N('Dvd Calendar'!$AO$279)&gt;0)*1000000+19*1000+37))</f>
        <v/>
      </c>
      <c r="AN27" s="41">
        <f>IF(N('Dvd Calendar'!$AP$280)=0,"",IF(('Dvd Calendar'!$AP$280&gt;=MIN(DATE(Summary!$C$12,1,1),Summary!$C$11))*('Dvd Calendar'!$AP$280&lt;=MAX(DATE(Summary!$C$12,12,31),Summary!$C$15))*('Dvd Calendar'!$AP$280&lt;=Summary!$C$11)=0,"",'Dvd Calendar'!$AP$280*1000000000+ISNUMBER('Dvd Calendar'!$AP$281)*100000000+('Dvd Calendar'!$AP$285='Field Check'!$C$25)*10000000+(N('Dvd Calendar'!$AP$279)&gt;0)*1000000+19*1000+38))</f>
        <v/>
      </c>
      <c r="AO27" s="41">
        <f>IF(N('Dvd Calendar'!$AQ$280)=0,"",IF(('Dvd Calendar'!$AQ$280&gt;=MIN(DATE(Summary!$C$12,1,1),Summary!$C$11))*('Dvd Calendar'!$AQ$280&lt;=MAX(DATE(Summary!$C$12,12,31),Summary!$C$15))*('Dvd Calendar'!$AQ$280&lt;=Summary!$C$11)=0,"",'Dvd Calendar'!$AQ$280*1000000000+ISNUMBER('Dvd Calendar'!$AQ$281)*100000000+('Dvd Calendar'!$AQ$285='Field Check'!$C$25)*10000000+(N('Dvd Calendar'!$AQ$279)&gt;0)*1000000+19*1000+39))</f>
        <v/>
      </c>
      <c r="AP27" s="41">
        <f>IF(N('Dvd Calendar'!$AR$280)=0,"",IF(('Dvd Calendar'!$AR$280&gt;=MIN(DATE(Summary!$C$12,1,1),Summary!$C$11))*('Dvd Calendar'!$AR$280&lt;=MAX(DATE(Summary!$C$12,12,31),Summary!$C$15))*('Dvd Calendar'!$AR$280&lt;=Summary!$C$11)=0,"",'Dvd Calendar'!$AR$280*1000000000+ISNUMBER('Dvd Calendar'!$AR$281)*100000000+('Dvd Calendar'!$AR$285='Field Check'!$C$25)*10000000+(N('Dvd Calendar'!$AR$279)&gt;0)*1000000+19*1000+40))</f>
        <v/>
      </c>
      <c r="AQ27" s="41">
        <f>IF(N('Dvd Calendar'!$E$287)=0,"",IF(('Dvd Calendar'!$E$287&gt;=MIN(DATE(Summary!$C$12,1,1),Summary!$C$11))*('Dvd Calendar'!$E$287&lt;=MAX(DATE(Summary!$C$12,12,31),Summary!$C$15))*('Dvd Calendar'!$E$287&gt;Summary!$C$11)=0,"",'Dvd Calendar'!$E$287*1000000000+ISNUMBER('Dvd Calendar'!$E$288)*100000000+('Dvd Calendar'!$E$292='Field Check'!$C$25)*10000000+(N('Dvd Calendar'!$E$286)&gt;0)*1000000+19*1000+41))</f>
        <v/>
      </c>
      <c r="AR27" s="41">
        <f>IF(N('Dvd Calendar'!$F$287)=0,"",IF(('Dvd Calendar'!$F$287&gt;=MIN(DATE(Summary!$C$12,1,1),Summary!$C$11))*('Dvd Calendar'!$F$287&lt;=MAX(DATE(Summary!$C$12,12,31),Summary!$C$15))*('Dvd Calendar'!$F$287&gt;Summary!$C$11)=0,"",'Dvd Calendar'!$F$287*1000000000+ISNUMBER('Dvd Calendar'!$F$288)*100000000+('Dvd Calendar'!$F$292='Field Check'!$C$25)*10000000+(N('Dvd Calendar'!$F$286)&gt;0)*1000000+19*1000+42))</f>
        <v/>
      </c>
      <c r="AS27" s="41">
        <f>IF(N('Dvd Calendar'!$G$287)=0,"",IF(('Dvd Calendar'!$G$287&gt;=MIN(DATE(Summary!$C$12,1,1),Summary!$C$11))*('Dvd Calendar'!$G$287&lt;=MAX(DATE(Summary!$C$12,12,31),Summary!$C$15))*('Dvd Calendar'!$G$287&gt;Summary!$C$11)=0,"",'Dvd Calendar'!$G$287*1000000000+ISNUMBER('Dvd Calendar'!$G$288)*100000000+('Dvd Calendar'!$G$292='Field Check'!$C$25)*10000000+(N('Dvd Calendar'!$G$286)&gt;0)*1000000+19*1000+43))</f>
        <v/>
      </c>
      <c r="AT27" s="41">
        <f>IF(N('Dvd Calendar'!$H$287)=0,"",IF(('Dvd Calendar'!$H$287&gt;=MIN(DATE(Summary!$C$12,1,1),Summary!$C$11))*('Dvd Calendar'!$H$287&lt;=MAX(DATE(Summary!$C$12,12,31),Summary!$C$15))*('Dvd Calendar'!$H$287&gt;Summary!$C$11)=0,"",'Dvd Calendar'!$H$287*1000000000+ISNUMBER('Dvd Calendar'!$H$288)*100000000+('Dvd Calendar'!$H$292='Field Check'!$C$25)*10000000+(N('Dvd Calendar'!$H$286)&gt;0)*1000000+19*1000+44))</f>
        <v/>
      </c>
      <c r="AU27" s="41">
        <f>IF(N('Dvd Calendar'!$I$287)=0,"",IF(('Dvd Calendar'!$I$287&gt;=MIN(DATE(Summary!$C$12,1,1),Summary!$C$11))*('Dvd Calendar'!$I$287&lt;=MAX(DATE(Summary!$C$12,12,31),Summary!$C$15))*('Dvd Calendar'!$I$287&gt;Summary!$C$11)=0,"",'Dvd Calendar'!$I$287*1000000000+ISNUMBER('Dvd Calendar'!$I$288)*100000000+('Dvd Calendar'!$I$292='Field Check'!$C$25)*10000000+(N('Dvd Calendar'!$I$286)&gt;0)*1000000+19*1000+45))</f>
        <v/>
      </c>
      <c r="AV27" s="41">
        <f>IF(N('Dvd Calendar'!$J$287)=0,"",IF(('Dvd Calendar'!$J$287&gt;=MIN(DATE(Summary!$C$12,1,1),Summary!$C$11))*('Dvd Calendar'!$J$287&lt;=MAX(DATE(Summary!$C$12,12,31),Summary!$C$15))*('Dvd Calendar'!$J$287&gt;Summary!$C$11)=0,"",'Dvd Calendar'!$J$287*1000000000+ISNUMBER('Dvd Calendar'!$J$288)*100000000+('Dvd Calendar'!$J$292='Field Check'!$C$25)*10000000+(N('Dvd Calendar'!$J$286)&gt;0)*1000000+19*1000+46))</f>
        <v/>
      </c>
      <c r="AW27" s="41">
        <f>IF(N('Dvd Calendar'!$K$287)=0,"",IF(('Dvd Calendar'!$K$287&gt;=MIN(DATE(Summary!$C$12,1,1),Summary!$C$11))*('Dvd Calendar'!$K$287&lt;=MAX(DATE(Summary!$C$12,12,31),Summary!$C$15))*('Dvd Calendar'!$K$287&gt;Summary!$C$11)=0,"",'Dvd Calendar'!$K$287*1000000000+ISNUMBER('Dvd Calendar'!$K$288)*100000000+('Dvd Calendar'!$K$292='Field Check'!$C$25)*10000000+(N('Dvd Calendar'!$K$286)&gt;0)*1000000+19*1000+47))</f>
        <v/>
      </c>
      <c r="AX27" s="41">
        <f>IF(N('Dvd Calendar'!$L$287)=0,"",IF(('Dvd Calendar'!$L$287&gt;=MIN(DATE(Summary!$C$12,1,1),Summary!$C$11))*('Dvd Calendar'!$L$287&lt;=MAX(DATE(Summary!$C$12,12,31),Summary!$C$15))*('Dvd Calendar'!$L$287&gt;Summary!$C$11)=0,"",'Dvd Calendar'!$L$287*1000000000+ISNUMBER('Dvd Calendar'!$L$288)*100000000+('Dvd Calendar'!$L$292='Field Check'!$C$25)*10000000+(N('Dvd Calendar'!$L$286)&gt;0)*1000000+19*1000+48))</f>
        <v/>
      </c>
      <c r="AY27" s="41">
        <f>IF(N('Dvd Calendar'!$M$287)=0,"",IF(('Dvd Calendar'!$M$287&gt;=MIN(DATE(Summary!$C$12,1,1),Summary!$C$11))*('Dvd Calendar'!$M$287&lt;=MAX(DATE(Summary!$C$12,12,31),Summary!$C$15))*('Dvd Calendar'!$M$287&gt;Summary!$C$11)=0,"",'Dvd Calendar'!$M$287*1000000000+ISNUMBER('Dvd Calendar'!$M$288)*100000000+('Dvd Calendar'!$M$292='Field Check'!$C$25)*10000000+(N('Dvd Calendar'!$M$286)&gt;0)*1000000+19*1000+49))</f>
        <v/>
      </c>
      <c r="AZ27" s="41">
        <f>IF(N('Dvd Calendar'!$N$287)=0,"",IF(('Dvd Calendar'!$N$287&gt;=MIN(DATE(Summary!$C$12,1,1),Summary!$C$11))*('Dvd Calendar'!$N$287&lt;=MAX(DATE(Summary!$C$12,12,31),Summary!$C$15))*('Dvd Calendar'!$N$287&gt;Summary!$C$11)=0,"",'Dvd Calendar'!$N$287*1000000000+ISNUMBER('Dvd Calendar'!$N$288)*100000000+('Dvd Calendar'!$N$292='Field Check'!$C$25)*10000000+(N('Dvd Calendar'!$N$286)&gt;0)*1000000+19*1000+50))</f>
        <v/>
      </c>
      <c r="BA27" s="41">
        <f>IF(N('Dvd Calendar'!$O$287)=0,"",IF(('Dvd Calendar'!$O$287&gt;=MIN(DATE(Summary!$C$12,1,1),Summary!$C$11))*('Dvd Calendar'!$O$287&lt;=MAX(DATE(Summary!$C$12,12,31),Summary!$C$15))*('Dvd Calendar'!$O$287&gt;Summary!$C$11)=0,"",'Dvd Calendar'!$O$287*1000000000+ISNUMBER('Dvd Calendar'!$O$288)*100000000+('Dvd Calendar'!$O$292='Field Check'!$C$25)*10000000+(N('Dvd Calendar'!$O$286)&gt;0)*1000000+19*1000+51))</f>
        <v/>
      </c>
      <c r="BB27" s="41">
        <f>IF(N('Dvd Calendar'!$P$287)=0,"",IF(('Dvd Calendar'!$P$287&gt;=MIN(DATE(Summary!$C$12,1,1),Summary!$C$11))*('Dvd Calendar'!$P$287&lt;=MAX(DATE(Summary!$C$12,12,31),Summary!$C$15))*('Dvd Calendar'!$P$287&gt;Summary!$C$11)=0,"",'Dvd Calendar'!$P$287*1000000000+ISNUMBER('Dvd Calendar'!$P$288)*100000000+('Dvd Calendar'!$P$292='Field Check'!$C$25)*10000000+(N('Dvd Calendar'!$P$286)&gt;0)*1000000+19*1000+52))</f>
        <v/>
      </c>
      <c r="BC27" s="41">
        <f>IF(N('Dvd Calendar'!$Q$287)=0,"",IF(('Dvd Calendar'!$Q$287&gt;=MIN(DATE(Summary!$C$12,1,1),Summary!$C$11))*('Dvd Calendar'!$Q$287&lt;=MAX(DATE(Summary!$C$12,12,31),Summary!$C$15))*('Dvd Calendar'!$Q$287&gt;Summary!$C$11)=0,"",'Dvd Calendar'!$Q$287*1000000000+ISNUMBER('Dvd Calendar'!$Q$288)*100000000+('Dvd Calendar'!$Q$292='Field Check'!$C$25)*10000000+(N('Dvd Calendar'!$Q$286)&gt;0)*1000000+19*1000+53))</f>
        <v/>
      </c>
      <c r="BD27" s="41">
        <f>IF(N('Dvd Calendar'!$R$287)=0,"",IF(('Dvd Calendar'!$R$287&gt;=MIN(DATE(Summary!$C$12,1,1),Summary!$C$11))*('Dvd Calendar'!$R$287&lt;=MAX(DATE(Summary!$C$12,12,31),Summary!$C$15))*('Dvd Calendar'!$R$287&gt;Summary!$C$11)=0,"",'Dvd Calendar'!$R$287*1000000000+ISNUMBER('Dvd Calendar'!$R$288)*100000000+('Dvd Calendar'!$R$292='Field Check'!$C$25)*10000000+(N('Dvd Calendar'!$R$286)&gt;0)*1000000+19*1000+54))</f>
        <v/>
      </c>
      <c r="BE27" s="41">
        <f>IF(N('Dvd Calendar'!$S$287)=0,"",IF(('Dvd Calendar'!$S$287&gt;=MIN(DATE(Summary!$C$12,1,1),Summary!$C$11))*('Dvd Calendar'!$S$287&lt;=MAX(DATE(Summary!$C$12,12,31),Summary!$C$15))*('Dvd Calendar'!$S$287&gt;Summary!$C$11)=0,"",'Dvd Calendar'!$S$287*1000000000+ISNUMBER('Dvd Calendar'!$S$288)*100000000+('Dvd Calendar'!$S$292='Field Check'!$C$25)*10000000+(N('Dvd Calendar'!$S$286)&gt;0)*1000000+19*1000+55))</f>
        <v/>
      </c>
      <c r="BF27" s="41">
        <f>IF(N('Dvd Calendar'!$T$287)=0,"",IF(('Dvd Calendar'!$T$287&gt;=MIN(DATE(Summary!$C$12,1,1),Summary!$C$11))*('Dvd Calendar'!$T$287&lt;=MAX(DATE(Summary!$C$12,12,31),Summary!$C$15))*('Dvd Calendar'!$T$287&gt;Summary!$C$11)=0,"",'Dvd Calendar'!$T$287*1000000000+ISNUMBER('Dvd Calendar'!$T$288)*100000000+('Dvd Calendar'!$T$292='Field Check'!$C$25)*10000000+(N('Dvd Calendar'!$T$286)&gt;0)*1000000+19*1000+56))</f>
        <v/>
      </c>
      <c r="BG27" s="41">
        <f>IF(N('Dvd Calendar'!$U$287)=0,"",IF(('Dvd Calendar'!$U$287&gt;=MIN(DATE(Summary!$C$12,1,1),Summary!$C$11))*('Dvd Calendar'!$U$287&lt;=MAX(DATE(Summary!$C$12,12,31),Summary!$C$15))*('Dvd Calendar'!$U$287&gt;Summary!$C$11)=0,"",'Dvd Calendar'!$U$287*1000000000+ISNUMBER('Dvd Calendar'!$U$288)*100000000+('Dvd Calendar'!$U$292='Field Check'!$C$25)*10000000+(N('Dvd Calendar'!$U$286)&gt;0)*1000000+19*1000+57))</f>
        <v/>
      </c>
      <c r="BH27" s="41">
        <f>IF(N('Dvd Calendar'!$V$287)=0,"",IF(('Dvd Calendar'!$V$287&gt;=MIN(DATE(Summary!$C$12,1,1),Summary!$C$11))*('Dvd Calendar'!$V$287&lt;=MAX(DATE(Summary!$C$12,12,31),Summary!$C$15))*('Dvd Calendar'!$V$287&gt;Summary!$C$11)=0,"",'Dvd Calendar'!$V$287*1000000000+ISNUMBER('Dvd Calendar'!$V$288)*100000000+('Dvd Calendar'!$V$292='Field Check'!$C$25)*10000000+(N('Dvd Calendar'!$V$286)&gt;0)*1000000+19*1000+58))</f>
        <v/>
      </c>
      <c r="BI27" s="41">
        <f>IF(N('Dvd Calendar'!$W$287)=0,"",IF(('Dvd Calendar'!$W$287&gt;=MIN(DATE(Summary!$C$12,1,1),Summary!$C$11))*('Dvd Calendar'!$W$287&lt;=MAX(DATE(Summary!$C$12,12,31),Summary!$C$15))*('Dvd Calendar'!$W$287&gt;Summary!$C$11)=0,"",'Dvd Calendar'!$W$287*1000000000+ISNUMBER('Dvd Calendar'!$W$288)*100000000+('Dvd Calendar'!$W$292='Field Check'!$C$25)*10000000+(N('Dvd Calendar'!$W$286)&gt;0)*1000000+19*1000+59))</f>
        <v/>
      </c>
      <c r="BJ27" s="41">
        <f>IF(N('Dvd Calendar'!$X$287)=0,"",IF(('Dvd Calendar'!$X$287&gt;=MIN(DATE(Summary!$C$12,1,1),Summary!$C$11))*('Dvd Calendar'!$X$287&lt;=MAX(DATE(Summary!$C$12,12,31),Summary!$C$15))*('Dvd Calendar'!$X$287&gt;Summary!$C$11)=0,"",'Dvd Calendar'!$X$287*1000000000+ISNUMBER('Dvd Calendar'!$X$288)*100000000+('Dvd Calendar'!$X$292='Field Check'!$C$25)*10000000+(N('Dvd Calendar'!$X$286)&gt;0)*1000000+19*1000+60))</f>
        <v/>
      </c>
      <c r="BK27" s="41">
        <f>IF(N('Dvd Calendar'!$Y$287)=0,"",IF(('Dvd Calendar'!$Y$287&gt;=MIN(DATE(Summary!$C$12,1,1),Summary!$C$11))*('Dvd Calendar'!$Y$287&lt;=MAX(DATE(Summary!$C$12,12,31),Summary!$C$15))*('Dvd Calendar'!$Y$287&gt;Summary!$C$11)=0,"",'Dvd Calendar'!$Y$287*1000000000+ISNUMBER('Dvd Calendar'!$Y$288)*100000000+('Dvd Calendar'!$Y$292='Field Check'!$C$25)*10000000+(N('Dvd Calendar'!$Y$286)&gt;0)*1000000+19*1000+61))</f>
        <v/>
      </c>
      <c r="BL27" s="41">
        <f>IF(N('Dvd Calendar'!$Z$287)=0,"",IF(('Dvd Calendar'!$Z$287&gt;=MIN(DATE(Summary!$C$12,1,1),Summary!$C$11))*('Dvd Calendar'!$Z$287&lt;=MAX(DATE(Summary!$C$12,12,31),Summary!$C$15))*('Dvd Calendar'!$Z$287&gt;Summary!$C$11)=0,"",'Dvd Calendar'!$Z$287*1000000000+ISNUMBER('Dvd Calendar'!$Z$288)*100000000+('Dvd Calendar'!$Z$292='Field Check'!$C$25)*10000000+(N('Dvd Calendar'!$Z$286)&gt;0)*1000000+19*1000+62))</f>
        <v/>
      </c>
      <c r="BM27" s="41">
        <f>IF(N('Dvd Calendar'!$AA$287)=0,"",IF(('Dvd Calendar'!$AA$287&gt;=MIN(DATE(Summary!$C$12,1,1),Summary!$C$11))*('Dvd Calendar'!$AA$287&lt;=MAX(DATE(Summary!$C$12,12,31),Summary!$C$15))*('Dvd Calendar'!$AA$287&gt;Summary!$C$11)=0,"",'Dvd Calendar'!$AA$287*1000000000+ISNUMBER('Dvd Calendar'!$AA$288)*100000000+('Dvd Calendar'!$AA$292='Field Check'!$C$25)*10000000+(N('Dvd Calendar'!$AA$286)&gt;0)*1000000+19*1000+63))</f>
        <v/>
      </c>
      <c r="BN27" s="41">
        <f>IF(N('Dvd Calendar'!$AB$287)=0,"",IF(('Dvd Calendar'!$AB$287&gt;=MIN(DATE(Summary!$C$12,1,1),Summary!$C$11))*('Dvd Calendar'!$AB$287&lt;=MAX(DATE(Summary!$C$12,12,31),Summary!$C$15))*('Dvd Calendar'!$AB$287&gt;Summary!$C$11)=0,"",'Dvd Calendar'!$AB$287*1000000000+ISNUMBER('Dvd Calendar'!$AB$288)*100000000+('Dvd Calendar'!$AB$292='Field Check'!$C$25)*10000000+(N('Dvd Calendar'!$AB$286)&gt;0)*1000000+19*1000+64))</f>
        <v/>
      </c>
      <c r="BO27" s="41">
        <f>IF(N('Dvd Calendar'!$AC$287)=0,"",IF(('Dvd Calendar'!$AC$287&gt;=MIN(DATE(Summary!$C$12,1,1),Summary!$C$11))*('Dvd Calendar'!$AC$287&lt;=MAX(DATE(Summary!$C$12,12,31),Summary!$C$15))*('Dvd Calendar'!$AC$287&gt;Summary!$C$11)=0,"",'Dvd Calendar'!$AC$287*1000000000+ISNUMBER('Dvd Calendar'!$AC$288)*100000000+('Dvd Calendar'!$AC$292='Field Check'!$C$25)*10000000+(N('Dvd Calendar'!$AC$286)&gt;0)*1000000+19*1000+65))</f>
        <v/>
      </c>
      <c r="BQ27" s="85">
        <f>IF(C27="","",IF(ISNUMBER('Dvd Calendar'!$E$281)=FALSE,"",IF((Summary!$C$13="N")*('Dvd Calendar'!$E$285='Field Check'!$C$25)&gt;0,"",'Dvd Calendar'!$E$281)))</f>
        <v/>
      </c>
      <c r="BR27" s="85">
        <f>IF(D27="","",IF(ISNUMBER('Dvd Calendar'!$F$281)=FALSE,"",IF((Summary!$C$13="N")*('Dvd Calendar'!$F$285='Field Check'!$C$25)&gt;0,"",'Dvd Calendar'!$F$281)))</f>
        <v/>
      </c>
      <c r="BS27" s="85">
        <f>IF(E27="","",IF(ISNUMBER('Dvd Calendar'!$G$281)=FALSE,"",IF((Summary!$C$13="N")*('Dvd Calendar'!$G$285='Field Check'!$C$25)&gt;0,"",'Dvd Calendar'!$G$281)))</f>
        <v/>
      </c>
      <c r="BT27" s="85">
        <f>IF(F27="","",IF(ISNUMBER('Dvd Calendar'!$H$281)=FALSE,"",IF((Summary!$C$13="N")*('Dvd Calendar'!$H$285='Field Check'!$C$25)&gt;0,"",'Dvd Calendar'!$H$281)))</f>
        <v/>
      </c>
      <c r="BU27" s="85">
        <f>IF(G27="","",IF(ISNUMBER('Dvd Calendar'!$I$281)=FALSE,"",IF((Summary!$C$13="N")*('Dvd Calendar'!$I$285='Field Check'!$C$25)&gt;0,"",'Dvd Calendar'!$I$281)))</f>
        <v/>
      </c>
      <c r="BV27" s="85">
        <f>IF(H27="","",IF(ISNUMBER('Dvd Calendar'!$J$281)=FALSE,"",IF((Summary!$C$13="N")*('Dvd Calendar'!$J$285='Field Check'!$C$25)&gt;0,"",'Dvd Calendar'!$J$281)))</f>
        <v/>
      </c>
      <c r="BW27" s="85">
        <f>IF(I27="","",IF(ISNUMBER('Dvd Calendar'!$K$281)=FALSE,"",IF((Summary!$C$13="N")*('Dvd Calendar'!$K$285='Field Check'!$C$25)&gt;0,"",'Dvd Calendar'!$K$281)))</f>
        <v/>
      </c>
      <c r="BX27" s="85">
        <f>IF(J27="","",IF(ISNUMBER('Dvd Calendar'!$L$281)=FALSE,"",IF((Summary!$C$13="N")*('Dvd Calendar'!$L$285='Field Check'!$C$25)&gt;0,"",'Dvd Calendar'!$L$281)))</f>
        <v/>
      </c>
      <c r="BY27" s="85">
        <f>IF(K27="","",IF(ISNUMBER('Dvd Calendar'!$M$281)=FALSE,"",IF((Summary!$C$13="N")*('Dvd Calendar'!$M$285='Field Check'!$C$25)&gt;0,"",'Dvd Calendar'!$M$281)))</f>
        <v/>
      </c>
      <c r="BZ27" s="85">
        <f>IF(L27="","",IF(ISNUMBER('Dvd Calendar'!$N$281)=FALSE,"",IF((Summary!$C$13="N")*('Dvd Calendar'!$N$285='Field Check'!$C$25)&gt;0,"",'Dvd Calendar'!$N$281)))</f>
        <v/>
      </c>
      <c r="CA27" s="85">
        <f>IF(M27="","",IF(ISNUMBER('Dvd Calendar'!$O$281)=FALSE,"",IF((Summary!$C$13="N")*('Dvd Calendar'!$O$285='Field Check'!$C$25)&gt;0,"",'Dvd Calendar'!$O$281)))</f>
        <v/>
      </c>
      <c r="CB27" s="85">
        <f>IF(N27="","",IF(ISNUMBER('Dvd Calendar'!$P$281)=FALSE,"",IF((Summary!$C$13="N")*('Dvd Calendar'!$P$285='Field Check'!$C$25)&gt;0,"",'Dvd Calendar'!$P$281)))</f>
        <v/>
      </c>
      <c r="CC27" s="85">
        <f>IF(O27="","",IF(ISNUMBER('Dvd Calendar'!$Q$281)=FALSE,"",IF((Summary!$C$13="N")*('Dvd Calendar'!$Q$285='Field Check'!$C$25)&gt;0,"",'Dvd Calendar'!$Q$281)))</f>
        <v/>
      </c>
      <c r="CD27" s="85">
        <f>IF(P27="","",IF(ISNUMBER('Dvd Calendar'!$R$281)=FALSE,"",IF((Summary!$C$13="N")*('Dvd Calendar'!$R$285='Field Check'!$C$25)&gt;0,"",'Dvd Calendar'!$R$281)))</f>
        <v/>
      </c>
      <c r="CE27" s="85">
        <f>IF(Q27="","",IF(ISNUMBER('Dvd Calendar'!$S$281)=FALSE,"",IF((Summary!$C$13="N")*('Dvd Calendar'!$S$285='Field Check'!$C$25)&gt;0,"",'Dvd Calendar'!$S$281)))</f>
        <v/>
      </c>
      <c r="CF27" s="85">
        <f>IF(R27="","",IF(ISNUMBER('Dvd Calendar'!$T$281)=FALSE,"",IF((Summary!$C$13="N")*('Dvd Calendar'!$T$285='Field Check'!$C$25)&gt;0,"",'Dvd Calendar'!$T$281)))</f>
        <v/>
      </c>
      <c r="CG27" s="85">
        <f>IF(S27="","",IF(ISNUMBER('Dvd Calendar'!$U$281)=FALSE,"",IF((Summary!$C$13="N")*('Dvd Calendar'!$U$285='Field Check'!$C$25)&gt;0,"",'Dvd Calendar'!$U$281)))</f>
        <v/>
      </c>
      <c r="CH27" s="85">
        <f>IF(T27="","",IF(ISNUMBER('Dvd Calendar'!$V$281)=FALSE,"",IF((Summary!$C$13="N")*('Dvd Calendar'!$V$285='Field Check'!$C$25)&gt;0,"",'Dvd Calendar'!$V$281)))</f>
        <v/>
      </c>
      <c r="CI27" s="85">
        <f>IF(U27="","",IF(ISNUMBER('Dvd Calendar'!$W$281)=FALSE,"",IF((Summary!$C$13="N")*('Dvd Calendar'!$W$285='Field Check'!$C$25)&gt;0,"",'Dvd Calendar'!$W$281)))</f>
        <v/>
      </c>
      <c r="CJ27" s="85">
        <f>IF(V27="","",IF(ISNUMBER('Dvd Calendar'!$X$281)=FALSE,"",IF((Summary!$C$13="N")*('Dvd Calendar'!$X$285='Field Check'!$C$25)&gt;0,"",'Dvd Calendar'!$X$281)))</f>
        <v/>
      </c>
      <c r="CK27" s="85">
        <f>IF(W27="","",IF(ISNUMBER('Dvd Calendar'!$Y$281)=FALSE,"",IF((Summary!$C$13="N")*('Dvd Calendar'!$Y$285='Field Check'!$C$25)&gt;0,"",'Dvd Calendar'!$Y$281)))</f>
        <v/>
      </c>
      <c r="CL27" s="85">
        <f>IF(X27="","",IF(ISNUMBER('Dvd Calendar'!$Z$281)=FALSE,"",IF((Summary!$C$13="N")*('Dvd Calendar'!$Z$285='Field Check'!$C$25)&gt;0,"",'Dvd Calendar'!$Z$281)))</f>
        <v/>
      </c>
      <c r="CM27" s="85">
        <f>IF(Y27="","",IF(ISNUMBER('Dvd Calendar'!$AA$281)=FALSE,"",IF((Summary!$C$13="N")*('Dvd Calendar'!$AA$285='Field Check'!$C$25)&gt;0,"",'Dvd Calendar'!$AA$281)))</f>
        <v/>
      </c>
      <c r="CN27" s="85">
        <f>IF(Z27="","",IF(ISNUMBER('Dvd Calendar'!$AB$281)=FALSE,"",IF((Summary!$C$13="N")*('Dvd Calendar'!$AB$285='Field Check'!$C$25)&gt;0,"",'Dvd Calendar'!$AB$281)))</f>
        <v/>
      </c>
      <c r="CO27" s="85">
        <f>IF(AA27="","",IF(ISNUMBER('Dvd Calendar'!$AC$281)=FALSE,"",IF((Summary!$C$13="N")*('Dvd Calendar'!$AC$285='Field Check'!$C$25)&gt;0,"",'Dvd Calendar'!$AC$281)))</f>
        <v/>
      </c>
      <c r="CP27" s="85">
        <f>IF(AB27="","",IF(ISNUMBER('Dvd Calendar'!$AD$281)=FALSE,"",IF((Summary!$C$13="N")*('Dvd Calendar'!$AD$285='Field Check'!$C$25)&gt;0,"",'Dvd Calendar'!$AD$281)))</f>
        <v/>
      </c>
      <c r="CQ27" s="85">
        <f>IF(AC27="","",IF(ISNUMBER('Dvd Calendar'!$AE$281)=FALSE,"",IF((Summary!$C$13="N")*('Dvd Calendar'!$AE$285='Field Check'!$C$25)&gt;0,"",'Dvd Calendar'!$AE$281)))</f>
        <v/>
      </c>
      <c r="CR27" s="85">
        <f>IF(AD27="","",IF(ISNUMBER('Dvd Calendar'!$AF$281)=FALSE,"",IF((Summary!$C$13="N")*('Dvd Calendar'!$AF$285='Field Check'!$C$25)&gt;0,"",'Dvd Calendar'!$AF$281)))</f>
        <v/>
      </c>
      <c r="CS27" s="85">
        <f>IF(AE27="","",IF(ISNUMBER('Dvd Calendar'!$AG$281)=FALSE,"",IF((Summary!$C$13="N")*('Dvd Calendar'!$AG$285='Field Check'!$C$25)&gt;0,"",'Dvd Calendar'!$AG$281)))</f>
        <v/>
      </c>
      <c r="CT27" s="85">
        <f>IF(AF27="","",IF(ISNUMBER('Dvd Calendar'!$AH$281)=FALSE,"",IF((Summary!$C$13="N")*('Dvd Calendar'!$AH$285='Field Check'!$C$25)&gt;0,"",'Dvd Calendar'!$AH$281)))</f>
        <v/>
      </c>
      <c r="CU27" s="85">
        <f>IF(AG27="","",IF(ISNUMBER('Dvd Calendar'!$AI$281)=FALSE,"",IF((Summary!$C$13="N")*('Dvd Calendar'!$AI$285='Field Check'!$C$25)&gt;0,"",'Dvd Calendar'!$AI$281)))</f>
        <v/>
      </c>
      <c r="CV27" s="85">
        <f>IF(AH27="","",IF(ISNUMBER('Dvd Calendar'!$AJ$281)=FALSE,"",IF((Summary!$C$13="N")*('Dvd Calendar'!$AJ$285='Field Check'!$C$25)&gt;0,"",'Dvd Calendar'!$AJ$281)))</f>
        <v/>
      </c>
      <c r="CW27" s="85">
        <f>IF(AI27="","",IF(ISNUMBER('Dvd Calendar'!$AK$281)=FALSE,"",IF((Summary!$C$13="N")*('Dvd Calendar'!$AK$285='Field Check'!$C$25)&gt;0,"",'Dvd Calendar'!$AK$281)))</f>
        <v/>
      </c>
      <c r="CX27" s="85">
        <f>IF(AJ27="","",IF(ISNUMBER('Dvd Calendar'!$AL$281)=FALSE,"",IF((Summary!$C$13="N")*('Dvd Calendar'!$AL$285='Field Check'!$C$25)&gt;0,"",'Dvd Calendar'!$AL$281)))</f>
        <v/>
      </c>
      <c r="CY27" s="85">
        <f>IF(AK27="","",IF(ISNUMBER('Dvd Calendar'!$AM$281)=FALSE,"",IF((Summary!$C$13="N")*('Dvd Calendar'!$AM$285='Field Check'!$C$25)&gt;0,"",'Dvd Calendar'!$AM$281)))</f>
        <v/>
      </c>
      <c r="CZ27" s="85">
        <f>IF(AL27="","",IF(ISNUMBER('Dvd Calendar'!$AN$281)=FALSE,"",IF((Summary!$C$13="N")*('Dvd Calendar'!$AN$285='Field Check'!$C$25)&gt;0,"",'Dvd Calendar'!$AN$281)))</f>
        <v/>
      </c>
      <c r="DA27" s="85">
        <f>IF(AM27="","",IF(ISNUMBER('Dvd Calendar'!$AO$281)=FALSE,"",IF((Summary!$C$13="N")*('Dvd Calendar'!$AO$285='Field Check'!$C$25)&gt;0,"",'Dvd Calendar'!$AO$281)))</f>
        <v/>
      </c>
      <c r="DB27" s="85">
        <f>IF(AN27="","",IF(ISNUMBER('Dvd Calendar'!$AP$281)=FALSE,"",IF((Summary!$C$13="N")*('Dvd Calendar'!$AP$285='Field Check'!$C$25)&gt;0,"",'Dvd Calendar'!$AP$281)))</f>
        <v/>
      </c>
      <c r="DC27" s="85">
        <f>IF(AO27="","",IF(ISNUMBER('Dvd Calendar'!$AQ$281)=FALSE,"",IF((Summary!$C$13="N")*('Dvd Calendar'!$AQ$285='Field Check'!$C$25)&gt;0,"",'Dvd Calendar'!$AQ$281)))</f>
        <v/>
      </c>
      <c r="DD27" s="85">
        <f>IF(AP27="","",IF(ISNUMBER('Dvd Calendar'!$AR$281)=FALSE,"",IF((Summary!$C$13="N")*('Dvd Calendar'!$AR$285='Field Check'!$C$25)&gt;0,"",'Dvd Calendar'!$AR$281)))</f>
        <v/>
      </c>
      <c r="DE27" s="85">
        <f>IF(AQ27="","",IF(ISNUMBER('Dvd Calendar'!$E$288)=FALSE,"",IF((Summary!$C$13="N")*('Dvd Calendar'!$E$292='Field Check'!$C$25)&gt;0,"",'Dvd Calendar'!$E$288)))</f>
        <v/>
      </c>
      <c r="DF27" s="85">
        <f>IF(AR27="","",IF(ISNUMBER('Dvd Calendar'!$F$288)=FALSE,"",IF((Summary!$C$13="N")*('Dvd Calendar'!$F$292='Field Check'!$C$25)&gt;0,"",'Dvd Calendar'!$F$288)))</f>
        <v/>
      </c>
      <c r="DG27" s="85">
        <f>IF(AS27="","",IF(ISNUMBER('Dvd Calendar'!$G$288)=FALSE,"",IF((Summary!$C$13="N")*('Dvd Calendar'!$G$292='Field Check'!$C$25)&gt;0,"",'Dvd Calendar'!$G$288)))</f>
        <v/>
      </c>
      <c r="DH27" s="85">
        <f>IF(AT27="","",IF(ISNUMBER('Dvd Calendar'!$H$288)=FALSE,"",IF((Summary!$C$13="N")*('Dvd Calendar'!$H$292='Field Check'!$C$25)&gt;0,"",'Dvd Calendar'!$H$288)))</f>
        <v/>
      </c>
      <c r="DI27" s="85">
        <f>IF(AU27="","",IF(ISNUMBER('Dvd Calendar'!$I$288)=FALSE,"",IF((Summary!$C$13="N")*('Dvd Calendar'!$I$292='Field Check'!$C$25)&gt;0,"",'Dvd Calendar'!$I$288)))</f>
        <v/>
      </c>
      <c r="DJ27" s="85">
        <f>IF(AV27="","",IF(ISNUMBER('Dvd Calendar'!$J$288)=FALSE,"",IF((Summary!$C$13="N")*('Dvd Calendar'!$J$292='Field Check'!$C$25)&gt;0,"",'Dvd Calendar'!$J$288)))</f>
        <v/>
      </c>
      <c r="DK27" s="85">
        <f>IF(AW27="","",IF(ISNUMBER('Dvd Calendar'!$K$288)=FALSE,"",IF((Summary!$C$13="N")*('Dvd Calendar'!$K$292='Field Check'!$C$25)&gt;0,"",'Dvd Calendar'!$K$288)))</f>
        <v/>
      </c>
      <c r="DL27" s="85">
        <f>IF(AX27="","",IF(ISNUMBER('Dvd Calendar'!$L$288)=FALSE,"",IF((Summary!$C$13="N")*('Dvd Calendar'!$L$292='Field Check'!$C$25)&gt;0,"",'Dvd Calendar'!$L$288)))</f>
        <v/>
      </c>
      <c r="DM27" s="85">
        <f>IF(AY27="","",IF(ISNUMBER('Dvd Calendar'!$M$288)=FALSE,"",IF((Summary!$C$13="N")*('Dvd Calendar'!$M$292='Field Check'!$C$25)&gt;0,"",'Dvd Calendar'!$M$288)))</f>
        <v/>
      </c>
      <c r="DN27" s="85">
        <f>IF(AZ27="","",IF(ISNUMBER('Dvd Calendar'!$N$288)=FALSE,"",IF((Summary!$C$13="N")*('Dvd Calendar'!$N$292='Field Check'!$C$25)&gt;0,"",'Dvd Calendar'!$N$288)))</f>
        <v/>
      </c>
      <c r="DO27" s="85">
        <f>IF(BA27="","",IF(ISNUMBER('Dvd Calendar'!$O$288)=FALSE,"",IF((Summary!$C$13="N")*('Dvd Calendar'!$O$292='Field Check'!$C$25)&gt;0,"",'Dvd Calendar'!$O$288)))</f>
        <v/>
      </c>
      <c r="DP27" s="85">
        <f>IF(BB27="","",IF(ISNUMBER('Dvd Calendar'!$P$288)=FALSE,"",IF((Summary!$C$13="N")*('Dvd Calendar'!$P$292='Field Check'!$C$25)&gt;0,"",'Dvd Calendar'!$P$288)))</f>
        <v/>
      </c>
      <c r="DQ27" s="85">
        <f>IF(BC27="","",IF(ISNUMBER('Dvd Calendar'!$Q$288)=FALSE,"",IF((Summary!$C$13="N")*('Dvd Calendar'!$Q$292='Field Check'!$C$25)&gt;0,"",'Dvd Calendar'!$Q$288)))</f>
        <v/>
      </c>
      <c r="DR27" s="85">
        <f>IF(BD27="","",IF(ISNUMBER('Dvd Calendar'!$R$288)=FALSE,"",IF((Summary!$C$13="N")*('Dvd Calendar'!$R$292='Field Check'!$C$25)&gt;0,"",'Dvd Calendar'!$R$288)))</f>
        <v/>
      </c>
      <c r="DS27" s="85">
        <f>IF(BE27="","",IF(ISNUMBER('Dvd Calendar'!$S$288)=FALSE,"",IF((Summary!$C$13="N")*('Dvd Calendar'!$S$292='Field Check'!$C$25)&gt;0,"",'Dvd Calendar'!$S$288)))</f>
        <v/>
      </c>
      <c r="DT27" s="85">
        <f>IF(BF27="","",IF(ISNUMBER('Dvd Calendar'!$T$288)=FALSE,"",IF((Summary!$C$13="N")*('Dvd Calendar'!$T$292='Field Check'!$C$25)&gt;0,"",'Dvd Calendar'!$T$288)))</f>
        <v/>
      </c>
      <c r="DU27" s="85">
        <f>IF(BG27="","",IF(ISNUMBER('Dvd Calendar'!$U$288)=FALSE,"",IF((Summary!$C$13="N")*('Dvd Calendar'!$U$292='Field Check'!$C$25)&gt;0,"",'Dvd Calendar'!$U$288)))</f>
        <v/>
      </c>
      <c r="DV27" s="85">
        <f>IF(BH27="","",IF(ISNUMBER('Dvd Calendar'!$V$288)=FALSE,"",IF((Summary!$C$13="N")*('Dvd Calendar'!$V$292='Field Check'!$C$25)&gt;0,"",'Dvd Calendar'!$V$288)))</f>
        <v/>
      </c>
      <c r="DW27" s="85">
        <f>IF(BI27="","",IF(ISNUMBER('Dvd Calendar'!$W$288)=FALSE,"",IF((Summary!$C$13="N")*('Dvd Calendar'!$W$292='Field Check'!$C$25)&gt;0,"",'Dvd Calendar'!$W$288)))</f>
        <v/>
      </c>
      <c r="DX27" s="85">
        <f>IF(BJ27="","",IF(ISNUMBER('Dvd Calendar'!$X$288)=FALSE,"",IF((Summary!$C$13="N")*('Dvd Calendar'!$X$292='Field Check'!$C$25)&gt;0,"",'Dvd Calendar'!$X$288)))</f>
        <v/>
      </c>
      <c r="DY27" s="85">
        <f>IF(BK27="","",IF(ISNUMBER('Dvd Calendar'!$Y$288)=FALSE,"",IF((Summary!$C$13="N")*('Dvd Calendar'!$Y$292='Field Check'!$C$25)&gt;0,"",'Dvd Calendar'!$Y$288)))</f>
        <v/>
      </c>
      <c r="DZ27" s="85">
        <f>IF(BL27="","",IF(ISNUMBER('Dvd Calendar'!$Z$288)=FALSE,"",IF((Summary!$C$13="N")*('Dvd Calendar'!$Z$292='Field Check'!$C$25)&gt;0,"",'Dvd Calendar'!$Z$288)))</f>
        <v/>
      </c>
      <c r="EA27" s="85">
        <f>IF(BM27="","",IF(ISNUMBER('Dvd Calendar'!$AA$288)=FALSE,"",IF((Summary!$C$13="N")*('Dvd Calendar'!$AA$292='Field Check'!$C$25)&gt;0,"",'Dvd Calendar'!$AA$288)))</f>
        <v/>
      </c>
      <c r="EB27" s="85">
        <f>IF(BN27="","",IF(ISNUMBER('Dvd Calendar'!$AB$288)=FALSE,"",IF((Summary!$C$13="N")*('Dvd Calendar'!$AB$292='Field Check'!$C$25)&gt;0,"",'Dvd Calendar'!$AB$288)))</f>
        <v/>
      </c>
      <c r="EC27" s="85">
        <f>IF(BO27="","",IF(ISNUMBER('Dvd Calendar'!$AC$288)=FALSE,"",IF((Summary!$C$13="N")*('Dvd Calendar'!$AC$292='Field Check'!$C$25)&gt;0,"",'Dvd Calendar'!$AC$288)))</f>
        <v/>
      </c>
      <c r="EE27" s="85">
        <f>IF(BQ27="","",IFERROR(BQ27*HSI!$B$25*HSI!$G$25/HSI!$B$3,""))</f>
        <v/>
      </c>
      <c r="EF27" s="85">
        <f>IF(BR27="","",IFERROR(BR27*HSI!$B$25*HSI!$G$25/HSI!$B$3,""))</f>
        <v/>
      </c>
      <c r="EG27" s="85">
        <f>IF(BS27="","",IFERROR(BS27*HSI!$B$25*HSI!$G$25/HSI!$B$3,""))</f>
        <v/>
      </c>
      <c r="EH27" s="85">
        <f>IF(BT27="","",IFERROR(BT27*HSI!$B$25*HSI!$G$25/HSI!$B$3,""))</f>
        <v/>
      </c>
      <c r="EI27" s="85">
        <f>IF(BU27="","",IFERROR(BU27*HSI!$B$25*HSI!$G$25/HSI!$B$3,""))</f>
        <v/>
      </c>
      <c r="EJ27" s="85">
        <f>IF(BV27="","",IFERROR(BV27*HSI!$B$25*HSI!$G$25/HSI!$B$3,""))</f>
        <v/>
      </c>
      <c r="EK27" s="85">
        <f>IF(BW27="","",IFERROR(BW27*HSI!$B$25*HSI!$G$25/HSI!$B$3,""))</f>
        <v/>
      </c>
      <c r="EL27" s="85">
        <f>IF(BX27="","",IFERROR(BX27*HSI!$B$25*HSI!$G$25/HSI!$B$3,""))</f>
        <v/>
      </c>
      <c r="EM27" s="85">
        <f>IF(BY27="","",IFERROR(BY27*HSI!$B$25*HSI!$G$25/HSI!$B$3,""))</f>
        <v/>
      </c>
      <c r="EN27" s="85">
        <f>IF(BZ27="","",IFERROR(BZ27*HSI!$B$25*HSI!$G$25/HSI!$B$3,""))</f>
        <v/>
      </c>
      <c r="EO27" s="85">
        <f>IF(CA27="","",IFERROR(CA27*HSI!$B$25*HSI!$G$25/HSI!$B$3,""))</f>
        <v/>
      </c>
      <c r="EP27" s="85">
        <f>IF(CB27="","",IFERROR(CB27*HSI!$B$25*HSI!$G$25/HSI!$B$3,""))</f>
        <v/>
      </c>
      <c r="EQ27" s="85">
        <f>IF(CC27="","",IFERROR(CC27*HSI!$B$25*HSI!$G$25/HSI!$B$3,""))</f>
        <v/>
      </c>
      <c r="ER27" s="85">
        <f>IF(CD27="","",IFERROR(CD27*HSI!$B$25*HSI!$G$25/HSI!$B$3,""))</f>
        <v/>
      </c>
      <c r="ES27" s="85">
        <f>IF(CE27="","",IFERROR(CE27*HSI!$B$25*HSI!$G$25/HSI!$B$3,""))</f>
        <v/>
      </c>
      <c r="ET27" s="85">
        <f>IF(CF27="","",IFERROR(CF27*HSI!$B$25*HSI!$G$25/HSI!$B$3,""))</f>
        <v/>
      </c>
      <c r="EU27" s="85">
        <f>IF(CG27="","",IFERROR(CG27*HSI!$B$25*HSI!$G$25/HSI!$B$3,""))</f>
        <v/>
      </c>
      <c r="EV27" s="85">
        <f>IF(CH27="","",IFERROR(CH27*HSI!$B$25*HSI!$G$25/HSI!$B$3,""))</f>
        <v/>
      </c>
      <c r="EW27" s="85">
        <f>IF(CI27="","",IFERROR(CI27*HSI!$B$25*HSI!$G$25/HSI!$B$3,""))</f>
        <v/>
      </c>
      <c r="EX27" s="85">
        <f>IF(CJ27="","",IFERROR(CJ27*HSI!$B$25*HSI!$G$25/HSI!$B$3,""))</f>
        <v/>
      </c>
      <c r="EY27" s="85">
        <f>IF(CK27="","",IFERROR(CK27*HSI!$B$25*HSI!$G$25/HSI!$B$3,""))</f>
        <v/>
      </c>
      <c r="EZ27" s="85">
        <f>IF(CL27="","",IFERROR(CL27*HSI!$B$25*HSI!$G$25/HSI!$B$3,""))</f>
        <v/>
      </c>
      <c r="FA27" s="85">
        <f>IF(CM27="","",IFERROR(CM27*HSI!$B$25*HSI!$G$25/HSI!$B$3,""))</f>
        <v/>
      </c>
      <c r="FB27" s="85">
        <f>IF(CN27="","",IFERROR(CN27*HSI!$B$25*HSI!$G$25/HSI!$B$3,""))</f>
        <v/>
      </c>
      <c r="FC27" s="85">
        <f>IF(CO27="","",IFERROR(CO27*HSI!$B$25*HSI!$G$25/HSI!$B$3,""))</f>
        <v/>
      </c>
      <c r="FD27" s="85">
        <f>IF(CP27="","",IFERROR(CP27*HSI!$B$25*HSI!$G$25/HSI!$B$3,""))</f>
        <v/>
      </c>
      <c r="FE27" s="85">
        <f>IF(CQ27="","",IFERROR(CQ27*HSI!$B$25*HSI!$G$25/HSI!$B$3,""))</f>
        <v/>
      </c>
      <c r="FF27" s="85">
        <f>IF(CR27="","",IFERROR(CR27*HSI!$B$25*HSI!$G$25/HSI!$B$3,""))</f>
        <v/>
      </c>
      <c r="FG27" s="85">
        <f>IF(CS27="","",IFERROR(CS27*HSI!$B$25*HSI!$G$25/HSI!$B$3,""))</f>
        <v/>
      </c>
      <c r="FH27" s="85">
        <f>IF(CT27="","",IFERROR(CT27*HSI!$B$25*HSI!$G$25/HSI!$B$3,""))</f>
        <v/>
      </c>
      <c r="FI27" s="85">
        <f>IF(CU27="","",IFERROR(CU27*HSI!$B$25*HSI!$G$25/HSI!$B$3,""))</f>
        <v/>
      </c>
      <c r="FJ27" s="85">
        <f>IF(CV27="","",IFERROR(CV27*HSI!$B$25*HSI!$G$25/HSI!$B$3,""))</f>
        <v/>
      </c>
      <c r="FK27" s="85">
        <f>IF(CW27="","",IFERROR(CW27*HSI!$B$25*HSI!$G$25/HSI!$B$3,""))</f>
        <v/>
      </c>
      <c r="FL27" s="85">
        <f>IF(CX27="","",IFERROR(CX27*HSI!$B$25*HSI!$G$25/HSI!$B$3,""))</f>
        <v/>
      </c>
      <c r="FM27" s="85">
        <f>IF(CY27="","",IFERROR(CY27*HSI!$B$25*HSI!$G$25/HSI!$B$3,""))</f>
        <v/>
      </c>
      <c r="FN27" s="85">
        <f>IF(CZ27="","",IFERROR(CZ27*HSI!$B$25*HSI!$G$25/HSI!$B$3,""))</f>
        <v/>
      </c>
      <c r="FO27" s="85">
        <f>IF(DA27="","",IFERROR(DA27*HSI!$B$25*HSI!$G$25/HSI!$B$3,""))</f>
        <v/>
      </c>
      <c r="FP27" s="85">
        <f>IF(DB27="","",IFERROR(DB27*HSI!$B$25*HSI!$G$25/HSI!$B$3,""))</f>
        <v/>
      </c>
      <c r="FQ27" s="85">
        <f>IF(DC27="","",IFERROR(DC27*HSI!$B$25*HSI!$G$25/HSI!$B$3,""))</f>
        <v/>
      </c>
      <c r="FR27" s="85">
        <f>IF(DD27="","",IFERROR(DD27*HSI!$B$25*HSI!$G$25/HSI!$B$3,""))</f>
        <v/>
      </c>
      <c r="FS27" s="85">
        <f>IF(DE27="","",IFERROR(DE27*HSI!$B$25*HSI!$G$25/HSI!$B$3,""))</f>
        <v/>
      </c>
      <c r="FT27" s="85">
        <f>IF(DF27="","",IFERROR(DF27*HSI!$B$25*HSI!$G$25/HSI!$B$3,""))</f>
        <v/>
      </c>
      <c r="FU27" s="85">
        <f>IF(DG27="","",IFERROR(DG27*HSI!$B$25*HSI!$G$25/HSI!$B$3,""))</f>
        <v/>
      </c>
      <c r="FV27" s="85">
        <f>IF(DH27="","",IFERROR(DH27*HSI!$B$25*HSI!$G$25/HSI!$B$3,""))</f>
        <v/>
      </c>
      <c r="FW27" s="85">
        <f>IF(DI27="","",IFERROR(DI27*HSI!$B$25*HSI!$G$25/HSI!$B$3,""))</f>
        <v/>
      </c>
      <c r="FX27" s="85">
        <f>IF(DJ27="","",IFERROR(DJ27*HSI!$B$25*HSI!$G$25/HSI!$B$3,""))</f>
        <v/>
      </c>
      <c r="FY27" s="85">
        <f>IF(DK27="","",IFERROR(DK27*HSI!$B$25*HSI!$G$25/HSI!$B$3,""))</f>
        <v/>
      </c>
      <c r="FZ27" s="85">
        <f>IF(DL27="","",IFERROR(DL27*HSI!$B$25*HSI!$G$25/HSI!$B$3,""))</f>
        <v/>
      </c>
      <c r="GA27" s="85">
        <f>IF(DM27="","",IFERROR(DM27*HSI!$B$25*HSI!$G$25/HSI!$B$3,""))</f>
        <v/>
      </c>
      <c r="GB27" s="85">
        <f>IF(DN27="","",IFERROR(DN27*HSI!$B$25*HSI!$G$25/HSI!$B$3,""))</f>
        <v/>
      </c>
      <c r="GC27" s="85">
        <f>IF(DO27="","",IFERROR(DO27*HSI!$B$25*HSI!$G$25/HSI!$B$3,""))</f>
        <v/>
      </c>
      <c r="GD27" s="85">
        <f>IF(DP27="","",IFERROR(DP27*HSI!$B$25*HSI!$G$25/HSI!$B$3,""))</f>
        <v/>
      </c>
      <c r="GE27" s="85">
        <f>IF(DQ27="","",IFERROR(DQ27*HSI!$B$25*HSI!$G$25/HSI!$B$3,""))</f>
        <v/>
      </c>
      <c r="GF27" s="85">
        <f>IF(DR27="","",IFERROR(DR27*HSI!$B$25*HSI!$G$25/HSI!$B$3,""))</f>
        <v/>
      </c>
      <c r="GG27" s="85">
        <f>IF(DS27="","",IFERROR(DS27*HSI!$B$25*HSI!$G$25/HSI!$B$3,""))</f>
        <v/>
      </c>
      <c r="GH27" s="85">
        <f>IF(DT27="","",IFERROR(DT27*HSI!$B$25*HSI!$G$25/HSI!$B$3,""))</f>
        <v/>
      </c>
      <c r="GI27" s="85">
        <f>IF(DU27="","",IFERROR(DU27*HSI!$B$25*HSI!$G$25/HSI!$B$3,""))</f>
        <v/>
      </c>
      <c r="GJ27" s="85">
        <f>IF(DV27="","",IFERROR(DV27*HSI!$B$25*HSI!$G$25/HSI!$B$3,""))</f>
        <v/>
      </c>
      <c r="GK27" s="85">
        <f>IF(DW27="","",IFERROR(DW27*HSI!$B$25*HSI!$G$25/HSI!$B$3,""))</f>
        <v/>
      </c>
      <c r="GL27" s="85">
        <f>IF(DX27="","",IFERROR(DX27*HSI!$B$25*HSI!$G$25/HSI!$B$3,""))</f>
        <v/>
      </c>
      <c r="GM27" s="85">
        <f>IF(DY27="","",IFERROR(DY27*HSI!$B$25*HSI!$G$25/HSI!$B$3,""))</f>
        <v/>
      </c>
      <c r="GN27" s="85">
        <f>IF(DZ27="","",IFERROR(DZ27*HSI!$B$25*HSI!$G$25/HSI!$B$3,""))</f>
        <v/>
      </c>
      <c r="GO27" s="85">
        <f>IF(EA27="","",IFERROR(EA27*HSI!$B$25*HSI!$G$25/HSI!$B$3,""))</f>
        <v/>
      </c>
      <c r="GP27" s="85">
        <f>IF(EB27="","",IFERROR(EB27*HSI!$B$25*HSI!$G$25/HSI!$B$3,""))</f>
        <v/>
      </c>
      <c r="GQ27" s="85">
        <f>IF(EC27="","",IFERROR(EC27*HSI!$B$25*HSI!$G$25/HSI!$B$3,""))</f>
        <v/>
      </c>
    </row>
    <row r="28">
      <c r="B28" s="2">
        <f>IF(HSI!$C$26="","",HSI!$C$26)</f>
        <v/>
      </c>
      <c r="C28" s="41">
        <f>IF(N('Dvd Calendar'!$E$295)=0,"",IF(('Dvd Calendar'!$E$295&gt;=MIN(DATE(Summary!$C$12,1,1),Summary!$C$11))*('Dvd Calendar'!$E$295&lt;=MAX(DATE(Summary!$C$12,12,31),Summary!$C$15))*('Dvd Calendar'!$E$295&lt;=Summary!$C$11)=0,"",'Dvd Calendar'!$E$295*1000000000+ISNUMBER('Dvd Calendar'!$E$296)*100000000+('Dvd Calendar'!$E$300='Field Check'!$C$25)*10000000+(N('Dvd Calendar'!$E$294)&gt;0)*1000000+20*1000+1))</f>
        <v/>
      </c>
      <c r="D28" s="41">
        <f>IF(N('Dvd Calendar'!$F$295)=0,"",IF(('Dvd Calendar'!$F$295&gt;=MIN(DATE(Summary!$C$12,1,1),Summary!$C$11))*('Dvd Calendar'!$F$295&lt;=MAX(DATE(Summary!$C$12,12,31),Summary!$C$15))*('Dvd Calendar'!$F$295&lt;=Summary!$C$11)=0,"",'Dvd Calendar'!$F$295*1000000000+ISNUMBER('Dvd Calendar'!$F$296)*100000000+('Dvd Calendar'!$F$300='Field Check'!$C$25)*10000000+(N('Dvd Calendar'!$F$294)&gt;0)*1000000+20*1000+2))</f>
        <v/>
      </c>
      <c r="E28" s="41">
        <f>IF(N('Dvd Calendar'!$G$295)=0,"",IF(('Dvd Calendar'!$G$295&gt;=MIN(DATE(Summary!$C$12,1,1),Summary!$C$11))*('Dvd Calendar'!$G$295&lt;=MAX(DATE(Summary!$C$12,12,31),Summary!$C$15))*('Dvd Calendar'!$G$295&lt;=Summary!$C$11)=0,"",'Dvd Calendar'!$G$295*1000000000+ISNUMBER('Dvd Calendar'!$G$296)*100000000+('Dvd Calendar'!$G$300='Field Check'!$C$25)*10000000+(N('Dvd Calendar'!$G$294)&gt;0)*1000000+20*1000+3))</f>
        <v/>
      </c>
      <c r="F28" s="41">
        <f>IF(N('Dvd Calendar'!$H$295)=0,"",IF(('Dvd Calendar'!$H$295&gt;=MIN(DATE(Summary!$C$12,1,1),Summary!$C$11))*('Dvd Calendar'!$H$295&lt;=MAX(DATE(Summary!$C$12,12,31),Summary!$C$15))*('Dvd Calendar'!$H$295&lt;=Summary!$C$11)=0,"",'Dvd Calendar'!$H$295*1000000000+ISNUMBER('Dvd Calendar'!$H$296)*100000000+('Dvd Calendar'!$H$300='Field Check'!$C$25)*10000000+(N('Dvd Calendar'!$H$294)&gt;0)*1000000+20*1000+4))</f>
        <v/>
      </c>
      <c r="G28" s="41">
        <f>IF(N('Dvd Calendar'!$I$295)=0,"",IF(('Dvd Calendar'!$I$295&gt;=MIN(DATE(Summary!$C$12,1,1),Summary!$C$11))*('Dvd Calendar'!$I$295&lt;=MAX(DATE(Summary!$C$12,12,31),Summary!$C$15))*('Dvd Calendar'!$I$295&lt;=Summary!$C$11)=0,"",'Dvd Calendar'!$I$295*1000000000+ISNUMBER('Dvd Calendar'!$I$296)*100000000+('Dvd Calendar'!$I$300='Field Check'!$C$25)*10000000+(N('Dvd Calendar'!$I$294)&gt;0)*1000000+20*1000+5))</f>
        <v/>
      </c>
      <c r="H28" s="41">
        <f>IF(N('Dvd Calendar'!$J$295)=0,"",IF(('Dvd Calendar'!$J$295&gt;=MIN(DATE(Summary!$C$12,1,1),Summary!$C$11))*('Dvd Calendar'!$J$295&lt;=MAX(DATE(Summary!$C$12,12,31),Summary!$C$15))*('Dvd Calendar'!$J$295&lt;=Summary!$C$11)=0,"",'Dvd Calendar'!$J$295*1000000000+ISNUMBER('Dvd Calendar'!$J$296)*100000000+('Dvd Calendar'!$J$300='Field Check'!$C$25)*10000000+(N('Dvd Calendar'!$J$294)&gt;0)*1000000+20*1000+6))</f>
        <v/>
      </c>
      <c r="I28" s="41">
        <f>IF(N('Dvd Calendar'!$K$295)=0,"",IF(('Dvd Calendar'!$K$295&gt;=MIN(DATE(Summary!$C$12,1,1),Summary!$C$11))*('Dvd Calendar'!$K$295&lt;=MAX(DATE(Summary!$C$12,12,31),Summary!$C$15))*('Dvd Calendar'!$K$295&lt;=Summary!$C$11)=0,"",'Dvd Calendar'!$K$295*1000000000+ISNUMBER('Dvd Calendar'!$K$296)*100000000+('Dvd Calendar'!$K$300='Field Check'!$C$25)*10000000+(N('Dvd Calendar'!$K$294)&gt;0)*1000000+20*1000+7))</f>
        <v/>
      </c>
      <c r="J28" s="41">
        <f>IF(N('Dvd Calendar'!$L$295)=0,"",IF(('Dvd Calendar'!$L$295&gt;=MIN(DATE(Summary!$C$12,1,1),Summary!$C$11))*('Dvd Calendar'!$L$295&lt;=MAX(DATE(Summary!$C$12,12,31),Summary!$C$15))*('Dvd Calendar'!$L$295&lt;=Summary!$C$11)=0,"",'Dvd Calendar'!$L$295*1000000000+ISNUMBER('Dvd Calendar'!$L$296)*100000000+('Dvd Calendar'!$L$300='Field Check'!$C$25)*10000000+(N('Dvd Calendar'!$L$294)&gt;0)*1000000+20*1000+8))</f>
        <v/>
      </c>
      <c r="K28" s="41">
        <f>IF(N('Dvd Calendar'!$M$295)=0,"",IF(('Dvd Calendar'!$M$295&gt;=MIN(DATE(Summary!$C$12,1,1),Summary!$C$11))*('Dvd Calendar'!$M$295&lt;=MAX(DATE(Summary!$C$12,12,31),Summary!$C$15))*('Dvd Calendar'!$M$295&lt;=Summary!$C$11)=0,"",'Dvd Calendar'!$M$295*1000000000+ISNUMBER('Dvd Calendar'!$M$296)*100000000+('Dvd Calendar'!$M$300='Field Check'!$C$25)*10000000+(N('Dvd Calendar'!$M$294)&gt;0)*1000000+20*1000+9))</f>
        <v/>
      </c>
      <c r="L28" s="41">
        <f>IF(N('Dvd Calendar'!$N$295)=0,"",IF(('Dvd Calendar'!$N$295&gt;=MIN(DATE(Summary!$C$12,1,1),Summary!$C$11))*('Dvd Calendar'!$N$295&lt;=MAX(DATE(Summary!$C$12,12,31),Summary!$C$15))*('Dvd Calendar'!$N$295&lt;=Summary!$C$11)=0,"",'Dvd Calendar'!$N$295*1000000000+ISNUMBER('Dvd Calendar'!$N$296)*100000000+('Dvd Calendar'!$N$300='Field Check'!$C$25)*10000000+(N('Dvd Calendar'!$N$294)&gt;0)*1000000+20*1000+10))</f>
        <v/>
      </c>
      <c r="M28" s="41">
        <f>IF(N('Dvd Calendar'!$O$295)=0,"",IF(('Dvd Calendar'!$O$295&gt;=MIN(DATE(Summary!$C$12,1,1),Summary!$C$11))*('Dvd Calendar'!$O$295&lt;=MAX(DATE(Summary!$C$12,12,31),Summary!$C$15))*('Dvd Calendar'!$O$295&lt;=Summary!$C$11)=0,"",'Dvd Calendar'!$O$295*1000000000+ISNUMBER('Dvd Calendar'!$O$296)*100000000+('Dvd Calendar'!$O$300='Field Check'!$C$25)*10000000+(N('Dvd Calendar'!$O$294)&gt;0)*1000000+20*1000+11))</f>
        <v/>
      </c>
      <c r="N28" s="41">
        <f>IF(N('Dvd Calendar'!$P$295)=0,"",IF(('Dvd Calendar'!$P$295&gt;=MIN(DATE(Summary!$C$12,1,1),Summary!$C$11))*('Dvd Calendar'!$P$295&lt;=MAX(DATE(Summary!$C$12,12,31),Summary!$C$15))*('Dvd Calendar'!$P$295&lt;=Summary!$C$11)=0,"",'Dvd Calendar'!$P$295*1000000000+ISNUMBER('Dvd Calendar'!$P$296)*100000000+('Dvd Calendar'!$P$300='Field Check'!$C$25)*10000000+(N('Dvd Calendar'!$P$294)&gt;0)*1000000+20*1000+12))</f>
        <v/>
      </c>
      <c r="O28" s="41">
        <f>IF(N('Dvd Calendar'!$Q$295)=0,"",IF(('Dvd Calendar'!$Q$295&gt;=MIN(DATE(Summary!$C$12,1,1),Summary!$C$11))*('Dvd Calendar'!$Q$295&lt;=MAX(DATE(Summary!$C$12,12,31),Summary!$C$15))*('Dvd Calendar'!$Q$295&lt;=Summary!$C$11)=0,"",'Dvd Calendar'!$Q$295*1000000000+ISNUMBER('Dvd Calendar'!$Q$296)*100000000+('Dvd Calendar'!$Q$300='Field Check'!$C$25)*10000000+(N('Dvd Calendar'!$Q$294)&gt;0)*1000000+20*1000+13))</f>
        <v/>
      </c>
      <c r="P28" s="41">
        <f>IF(N('Dvd Calendar'!$R$295)=0,"",IF(('Dvd Calendar'!$R$295&gt;=MIN(DATE(Summary!$C$12,1,1),Summary!$C$11))*('Dvd Calendar'!$R$295&lt;=MAX(DATE(Summary!$C$12,12,31),Summary!$C$15))*('Dvd Calendar'!$R$295&lt;=Summary!$C$11)=0,"",'Dvd Calendar'!$R$295*1000000000+ISNUMBER('Dvd Calendar'!$R$296)*100000000+('Dvd Calendar'!$R$300='Field Check'!$C$25)*10000000+(N('Dvd Calendar'!$R$294)&gt;0)*1000000+20*1000+14))</f>
        <v/>
      </c>
      <c r="Q28" s="41">
        <f>IF(N('Dvd Calendar'!$S$295)=0,"",IF(('Dvd Calendar'!$S$295&gt;=MIN(DATE(Summary!$C$12,1,1),Summary!$C$11))*('Dvd Calendar'!$S$295&lt;=MAX(DATE(Summary!$C$12,12,31),Summary!$C$15))*('Dvd Calendar'!$S$295&lt;=Summary!$C$11)=0,"",'Dvd Calendar'!$S$295*1000000000+ISNUMBER('Dvd Calendar'!$S$296)*100000000+('Dvd Calendar'!$S$300='Field Check'!$C$25)*10000000+(N('Dvd Calendar'!$S$294)&gt;0)*1000000+20*1000+15))</f>
        <v/>
      </c>
      <c r="R28" s="41">
        <f>IF(N('Dvd Calendar'!$T$295)=0,"",IF(('Dvd Calendar'!$T$295&gt;=MIN(DATE(Summary!$C$12,1,1),Summary!$C$11))*('Dvd Calendar'!$T$295&lt;=MAX(DATE(Summary!$C$12,12,31),Summary!$C$15))*('Dvd Calendar'!$T$295&lt;=Summary!$C$11)=0,"",'Dvd Calendar'!$T$295*1000000000+ISNUMBER('Dvd Calendar'!$T$296)*100000000+('Dvd Calendar'!$T$300='Field Check'!$C$25)*10000000+(N('Dvd Calendar'!$T$294)&gt;0)*1000000+20*1000+16))</f>
        <v/>
      </c>
      <c r="S28" s="41">
        <f>IF(N('Dvd Calendar'!$U$295)=0,"",IF(('Dvd Calendar'!$U$295&gt;=MIN(DATE(Summary!$C$12,1,1),Summary!$C$11))*('Dvd Calendar'!$U$295&lt;=MAX(DATE(Summary!$C$12,12,31),Summary!$C$15))*('Dvd Calendar'!$U$295&lt;=Summary!$C$11)=0,"",'Dvd Calendar'!$U$295*1000000000+ISNUMBER('Dvd Calendar'!$U$296)*100000000+('Dvd Calendar'!$U$300='Field Check'!$C$25)*10000000+(N('Dvd Calendar'!$U$294)&gt;0)*1000000+20*1000+17))</f>
        <v/>
      </c>
      <c r="T28" s="41">
        <f>IF(N('Dvd Calendar'!$V$295)=0,"",IF(('Dvd Calendar'!$V$295&gt;=MIN(DATE(Summary!$C$12,1,1),Summary!$C$11))*('Dvd Calendar'!$V$295&lt;=MAX(DATE(Summary!$C$12,12,31),Summary!$C$15))*('Dvd Calendar'!$V$295&lt;=Summary!$C$11)=0,"",'Dvd Calendar'!$V$295*1000000000+ISNUMBER('Dvd Calendar'!$V$296)*100000000+('Dvd Calendar'!$V$300='Field Check'!$C$25)*10000000+(N('Dvd Calendar'!$V$294)&gt;0)*1000000+20*1000+18))</f>
        <v/>
      </c>
      <c r="U28" s="41">
        <f>IF(N('Dvd Calendar'!$W$295)=0,"",IF(('Dvd Calendar'!$W$295&gt;=MIN(DATE(Summary!$C$12,1,1),Summary!$C$11))*('Dvd Calendar'!$W$295&lt;=MAX(DATE(Summary!$C$12,12,31),Summary!$C$15))*('Dvd Calendar'!$W$295&lt;=Summary!$C$11)=0,"",'Dvd Calendar'!$W$295*1000000000+ISNUMBER('Dvd Calendar'!$W$296)*100000000+('Dvd Calendar'!$W$300='Field Check'!$C$25)*10000000+(N('Dvd Calendar'!$W$294)&gt;0)*1000000+20*1000+19))</f>
        <v/>
      </c>
      <c r="V28" s="41">
        <f>IF(N('Dvd Calendar'!$X$295)=0,"",IF(('Dvd Calendar'!$X$295&gt;=MIN(DATE(Summary!$C$12,1,1),Summary!$C$11))*('Dvd Calendar'!$X$295&lt;=MAX(DATE(Summary!$C$12,12,31),Summary!$C$15))*('Dvd Calendar'!$X$295&lt;=Summary!$C$11)=0,"",'Dvd Calendar'!$X$295*1000000000+ISNUMBER('Dvd Calendar'!$X$296)*100000000+('Dvd Calendar'!$X$300='Field Check'!$C$25)*10000000+(N('Dvd Calendar'!$X$294)&gt;0)*1000000+20*1000+20))</f>
        <v/>
      </c>
      <c r="W28" s="41">
        <f>IF(N('Dvd Calendar'!$Y$295)=0,"",IF(('Dvd Calendar'!$Y$295&gt;=MIN(DATE(Summary!$C$12,1,1),Summary!$C$11))*('Dvd Calendar'!$Y$295&lt;=MAX(DATE(Summary!$C$12,12,31),Summary!$C$15))*('Dvd Calendar'!$Y$295&lt;=Summary!$C$11)=0,"",'Dvd Calendar'!$Y$295*1000000000+ISNUMBER('Dvd Calendar'!$Y$296)*100000000+('Dvd Calendar'!$Y$300='Field Check'!$C$25)*10000000+(N('Dvd Calendar'!$Y$294)&gt;0)*1000000+20*1000+21))</f>
        <v/>
      </c>
      <c r="X28" s="41">
        <f>IF(N('Dvd Calendar'!$Z$295)=0,"",IF(('Dvd Calendar'!$Z$295&gt;=MIN(DATE(Summary!$C$12,1,1),Summary!$C$11))*('Dvd Calendar'!$Z$295&lt;=MAX(DATE(Summary!$C$12,12,31),Summary!$C$15))*('Dvd Calendar'!$Z$295&lt;=Summary!$C$11)=0,"",'Dvd Calendar'!$Z$295*1000000000+ISNUMBER('Dvd Calendar'!$Z$296)*100000000+('Dvd Calendar'!$Z$300='Field Check'!$C$25)*10000000+(N('Dvd Calendar'!$Z$294)&gt;0)*1000000+20*1000+22))</f>
        <v/>
      </c>
      <c r="Y28" s="41">
        <f>IF(N('Dvd Calendar'!$AA$295)=0,"",IF(('Dvd Calendar'!$AA$295&gt;=MIN(DATE(Summary!$C$12,1,1),Summary!$C$11))*('Dvd Calendar'!$AA$295&lt;=MAX(DATE(Summary!$C$12,12,31),Summary!$C$15))*('Dvd Calendar'!$AA$295&lt;=Summary!$C$11)=0,"",'Dvd Calendar'!$AA$295*1000000000+ISNUMBER('Dvd Calendar'!$AA$296)*100000000+('Dvd Calendar'!$AA$300='Field Check'!$C$25)*10000000+(N('Dvd Calendar'!$AA$294)&gt;0)*1000000+20*1000+23))</f>
        <v/>
      </c>
      <c r="Z28" s="41">
        <f>IF(N('Dvd Calendar'!$AB$295)=0,"",IF(('Dvd Calendar'!$AB$295&gt;=MIN(DATE(Summary!$C$12,1,1),Summary!$C$11))*('Dvd Calendar'!$AB$295&lt;=MAX(DATE(Summary!$C$12,12,31),Summary!$C$15))*('Dvd Calendar'!$AB$295&lt;=Summary!$C$11)=0,"",'Dvd Calendar'!$AB$295*1000000000+ISNUMBER('Dvd Calendar'!$AB$296)*100000000+('Dvd Calendar'!$AB$300='Field Check'!$C$25)*10000000+(N('Dvd Calendar'!$AB$294)&gt;0)*1000000+20*1000+24))</f>
        <v/>
      </c>
      <c r="AA28" s="41">
        <f>IF(N('Dvd Calendar'!$AC$295)=0,"",IF(('Dvd Calendar'!$AC$295&gt;=MIN(DATE(Summary!$C$12,1,1),Summary!$C$11))*('Dvd Calendar'!$AC$295&lt;=MAX(DATE(Summary!$C$12,12,31),Summary!$C$15))*('Dvd Calendar'!$AC$295&lt;=Summary!$C$11)=0,"",'Dvd Calendar'!$AC$295*1000000000+ISNUMBER('Dvd Calendar'!$AC$296)*100000000+('Dvd Calendar'!$AC$300='Field Check'!$C$25)*10000000+(N('Dvd Calendar'!$AC$294)&gt;0)*1000000+20*1000+25))</f>
        <v/>
      </c>
      <c r="AB28" s="41">
        <f>IF(N('Dvd Calendar'!$AD$295)=0,"",IF(('Dvd Calendar'!$AD$295&gt;=MIN(DATE(Summary!$C$12,1,1),Summary!$C$11))*('Dvd Calendar'!$AD$295&lt;=MAX(DATE(Summary!$C$12,12,31),Summary!$C$15))*('Dvd Calendar'!$AD$295&lt;=Summary!$C$11)=0,"",'Dvd Calendar'!$AD$295*1000000000+ISNUMBER('Dvd Calendar'!$AD$296)*100000000+('Dvd Calendar'!$AD$300='Field Check'!$C$25)*10000000+(N('Dvd Calendar'!$AD$294)&gt;0)*1000000+20*1000+26))</f>
        <v/>
      </c>
      <c r="AC28" s="41">
        <f>IF(N('Dvd Calendar'!$AE$295)=0,"",IF(('Dvd Calendar'!$AE$295&gt;=MIN(DATE(Summary!$C$12,1,1),Summary!$C$11))*('Dvd Calendar'!$AE$295&lt;=MAX(DATE(Summary!$C$12,12,31),Summary!$C$15))*('Dvd Calendar'!$AE$295&lt;=Summary!$C$11)=0,"",'Dvd Calendar'!$AE$295*1000000000+ISNUMBER('Dvd Calendar'!$AE$296)*100000000+('Dvd Calendar'!$AE$300='Field Check'!$C$25)*10000000+(N('Dvd Calendar'!$AE$294)&gt;0)*1000000+20*1000+27))</f>
        <v/>
      </c>
      <c r="AD28" s="41">
        <f>IF(N('Dvd Calendar'!$AF$295)=0,"",IF(('Dvd Calendar'!$AF$295&gt;=MIN(DATE(Summary!$C$12,1,1),Summary!$C$11))*('Dvd Calendar'!$AF$295&lt;=MAX(DATE(Summary!$C$12,12,31),Summary!$C$15))*('Dvd Calendar'!$AF$295&lt;=Summary!$C$11)=0,"",'Dvd Calendar'!$AF$295*1000000000+ISNUMBER('Dvd Calendar'!$AF$296)*100000000+('Dvd Calendar'!$AF$300='Field Check'!$C$25)*10000000+(N('Dvd Calendar'!$AF$294)&gt;0)*1000000+20*1000+28))</f>
        <v/>
      </c>
      <c r="AE28" s="41">
        <f>IF(N('Dvd Calendar'!$AG$295)=0,"",IF(('Dvd Calendar'!$AG$295&gt;=MIN(DATE(Summary!$C$12,1,1),Summary!$C$11))*('Dvd Calendar'!$AG$295&lt;=MAX(DATE(Summary!$C$12,12,31),Summary!$C$15))*('Dvd Calendar'!$AG$295&lt;=Summary!$C$11)=0,"",'Dvd Calendar'!$AG$295*1000000000+ISNUMBER('Dvd Calendar'!$AG$296)*100000000+('Dvd Calendar'!$AG$300='Field Check'!$C$25)*10000000+(N('Dvd Calendar'!$AG$294)&gt;0)*1000000+20*1000+29))</f>
        <v/>
      </c>
      <c r="AF28" s="41">
        <f>IF(N('Dvd Calendar'!$AH$295)=0,"",IF(('Dvd Calendar'!$AH$295&gt;=MIN(DATE(Summary!$C$12,1,1),Summary!$C$11))*('Dvd Calendar'!$AH$295&lt;=MAX(DATE(Summary!$C$12,12,31),Summary!$C$15))*('Dvd Calendar'!$AH$295&lt;=Summary!$C$11)=0,"",'Dvd Calendar'!$AH$295*1000000000+ISNUMBER('Dvd Calendar'!$AH$296)*100000000+('Dvd Calendar'!$AH$300='Field Check'!$C$25)*10000000+(N('Dvd Calendar'!$AH$294)&gt;0)*1000000+20*1000+30))</f>
        <v/>
      </c>
      <c r="AG28" s="41">
        <f>IF(N('Dvd Calendar'!$AI$295)=0,"",IF(('Dvd Calendar'!$AI$295&gt;=MIN(DATE(Summary!$C$12,1,1),Summary!$C$11))*('Dvd Calendar'!$AI$295&lt;=MAX(DATE(Summary!$C$12,12,31),Summary!$C$15))*('Dvd Calendar'!$AI$295&lt;=Summary!$C$11)=0,"",'Dvd Calendar'!$AI$295*1000000000+ISNUMBER('Dvd Calendar'!$AI$296)*100000000+('Dvd Calendar'!$AI$300='Field Check'!$C$25)*10000000+(N('Dvd Calendar'!$AI$294)&gt;0)*1000000+20*1000+31))</f>
        <v/>
      </c>
      <c r="AH28" s="41">
        <f>IF(N('Dvd Calendar'!$AJ$295)=0,"",IF(('Dvd Calendar'!$AJ$295&gt;=MIN(DATE(Summary!$C$12,1,1),Summary!$C$11))*('Dvd Calendar'!$AJ$295&lt;=MAX(DATE(Summary!$C$12,12,31),Summary!$C$15))*('Dvd Calendar'!$AJ$295&lt;=Summary!$C$11)=0,"",'Dvd Calendar'!$AJ$295*1000000000+ISNUMBER('Dvd Calendar'!$AJ$296)*100000000+('Dvd Calendar'!$AJ$300='Field Check'!$C$25)*10000000+(N('Dvd Calendar'!$AJ$294)&gt;0)*1000000+20*1000+32))</f>
        <v/>
      </c>
      <c r="AI28" s="41">
        <f>IF(N('Dvd Calendar'!$AK$295)=0,"",IF(('Dvd Calendar'!$AK$295&gt;=MIN(DATE(Summary!$C$12,1,1),Summary!$C$11))*('Dvd Calendar'!$AK$295&lt;=MAX(DATE(Summary!$C$12,12,31),Summary!$C$15))*('Dvd Calendar'!$AK$295&lt;=Summary!$C$11)=0,"",'Dvd Calendar'!$AK$295*1000000000+ISNUMBER('Dvd Calendar'!$AK$296)*100000000+('Dvd Calendar'!$AK$300='Field Check'!$C$25)*10000000+(N('Dvd Calendar'!$AK$294)&gt;0)*1000000+20*1000+33))</f>
        <v/>
      </c>
      <c r="AJ28" s="41">
        <f>IF(N('Dvd Calendar'!$AL$295)=0,"",IF(('Dvd Calendar'!$AL$295&gt;=MIN(DATE(Summary!$C$12,1,1),Summary!$C$11))*('Dvd Calendar'!$AL$295&lt;=MAX(DATE(Summary!$C$12,12,31),Summary!$C$15))*('Dvd Calendar'!$AL$295&lt;=Summary!$C$11)=0,"",'Dvd Calendar'!$AL$295*1000000000+ISNUMBER('Dvd Calendar'!$AL$296)*100000000+('Dvd Calendar'!$AL$300='Field Check'!$C$25)*10000000+(N('Dvd Calendar'!$AL$294)&gt;0)*1000000+20*1000+34))</f>
        <v/>
      </c>
      <c r="AK28" s="41">
        <f>IF(N('Dvd Calendar'!$AM$295)=0,"",IF(('Dvd Calendar'!$AM$295&gt;=MIN(DATE(Summary!$C$12,1,1),Summary!$C$11))*('Dvd Calendar'!$AM$295&lt;=MAX(DATE(Summary!$C$12,12,31),Summary!$C$15))*('Dvd Calendar'!$AM$295&lt;=Summary!$C$11)=0,"",'Dvd Calendar'!$AM$295*1000000000+ISNUMBER('Dvd Calendar'!$AM$296)*100000000+('Dvd Calendar'!$AM$300='Field Check'!$C$25)*10000000+(N('Dvd Calendar'!$AM$294)&gt;0)*1000000+20*1000+35))</f>
        <v/>
      </c>
      <c r="AL28" s="41">
        <f>IF(N('Dvd Calendar'!$AN$295)=0,"",IF(('Dvd Calendar'!$AN$295&gt;=MIN(DATE(Summary!$C$12,1,1),Summary!$C$11))*('Dvd Calendar'!$AN$295&lt;=MAX(DATE(Summary!$C$12,12,31),Summary!$C$15))*('Dvd Calendar'!$AN$295&lt;=Summary!$C$11)=0,"",'Dvd Calendar'!$AN$295*1000000000+ISNUMBER('Dvd Calendar'!$AN$296)*100000000+('Dvd Calendar'!$AN$300='Field Check'!$C$25)*10000000+(N('Dvd Calendar'!$AN$294)&gt;0)*1000000+20*1000+36))</f>
        <v/>
      </c>
      <c r="AM28" s="41">
        <f>IF(N('Dvd Calendar'!$AO$295)=0,"",IF(('Dvd Calendar'!$AO$295&gt;=MIN(DATE(Summary!$C$12,1,1),Summary!$C$11))*('Dvd Calendar'!$AO$295&lt;=MAX(DATE(Summary!$C$12,12,31),Summary!$C$15))*('Dvd Calendar'!$AO$295&lt;=Summary!$C$11)=0,"",'Dvd Calendar'!$AO$295*1000000000+ISNUMBER('Dvd Calendar'!$AO$296)*100000000+('Dvd Calendar'!$AO$300='Field Check'!$C$25)*10000000+(N('Dvd Calendar'!$AO$294)&gt;0)*1000000+20*1000+37))</f>
        <v/>
      </c>
      <c r="AN28" s="41">
        <f>IF(N('Dvd Calendar'!$AP$295)=0,"",IF(('Dvd Calendar'!$AP$295&gt;=MIN(DATE(Summary!$C$12,1,1),Summary!$C$11))*('Dvd Calendar'!$AP$295&lt;=MAX(DATE(Summary!$C$12,12,31),Summary!$C$15))*('Dvd Calendar'!$AP$295&lt;=Summary!$C$11)=0,"",'Dvd Calendar'!$AP$295*1000000000+ISNUMBER('Dvd Calendar'!$AP$296)*100000000+('Dvd Calendar'!$AP$300='Field Check'!$C$25)*10000000+(N('Dvd Calendar'!$AP$294)&gt;0)*1000000+20*1000+38))</f>
        <v/>
      </c>
      <c r="AO28" s="41">
        <f>IF(N('Dvd Calendar'!$AQ$295)=0,"",IF(('Dvd Calendar'!$AQ$295&gt;=MIN(DATE(Summary!$C$12,1,1),Summary!$C$11))*('Dvd Calendar'!$AQ$295&lt;=MAX(DATE(Summary!$C$12,12,31),Summary!$C$15))*('Dvd Calendar'!$AQ$295&lt;=Summary!$C$11)=0,"",'Dvd Calendar'!$AQ$295*1000000000+ISNUMBER('Dvd Calendar'!$AQ$296)*100000000+('Dvd Calendar'!$AQ$300='Field Check'!$C$25)*10000000+(N('Dvd Calendar'!$AQ$294)&gt;0)*1000000+20*1000+39))</f>
        <v/>
      </c>
      <c r="AP28" s="41">
        <f>IF(N('Dvd Calendar'!$AR$295)=0,"",IF(('Dvd Calendar'!$AR$295&gt;=MIN(DATE(Summary!$C$12,1,1),Summary!$C$11))*('Dvd Calendar'!$AR$295&lt;=MAX(DATE(Summary!$C$12,12,31),Summary!$C$15))*('Dvd Calendar'!$AR$295&lt;=Summary!$C$11)=0,"",'Dvd Calendar'!$AR$295*1000000000+ISNUMBER('Dvd Calendar'!$AR$296)*100000000+('Dvd Calendar'!$AR$300='Field Check'!$C$25)*10000000+(N('Dvd Calendar'!$AR$294)&gt;0)*1000000+20*1000+40))</f>
        <v/>
      </c>
      <c r="AQ28" s="41">
        <f>IF(N('Dvd Calendar'!$E$302)=0,"",IF(('Dvd Calendar'!$E$302&gt;=MIN(DATE(Summary!$C$12,1,1),Summary!$C$11))*('Dvd Calendar'!$E$302&lt;=MAX(DATE(Summary!$C$12,12,31),Summary!$C$15))*('Dvd Calendar'!$E$302&gt;Summary!$C$11)=0,"",'Dvd Calendar'!$E$302*1000000000+ISNUMBER('Dvd Calendar'!$E$303)*100000000+('Dvd Calendar'!$E$307='Field Check'!$C$25)*10000000+(N('Dvd Calendar'!$E$301)&gt;0)*1000000+20*1000+41))</f>
        <v/>
      </c>
      <c r="AR28" s="41">
        <f>IF(N('Dvd Calendar'!$F$302)=0,"",IF(('Dvd Calendar'!$F$302&gt;=MIN(DATE(Summary!$C$12,1,1),Summary!$C$11))*('Dvd Calendar'!$F$302&lt;=MAX(DATE(Summary!$C$12,12,31),Summary!$C$15))*('Dvd Calendar'!$F$302&gt;Summary!$C$11)=0,"",'Dvd Calendar'!$F$302*1000000000+ISNUMBER('Dvd Calendar'!$F$303)*100000000+('Dvd Calendar'!$F$307='Field Check'!$C$25)*10000000+(N('Dvd Calendar'!$F$301)&gt;0)*1000000+20*1000+42))</f>
        <v/>
      </c>
      <c r="AS28" s="41">
        <f>IF(N('Dvd Calendar'!$G$302)=0,"",IF(('Dvd Calendar'!$G$302&gt;=MIN(DATE(Summary!$C$12,1,1),Summary!$C$11))*('Dvd Calendar'!$G$302&lt;=MAX(DATE(Summary!$C$12,12,31),Summary!$C$15))*('Dvd Calendar'!$G$302&gt;Summary!$C$11)=0,"",'Dvd Calendar'!$G$302*1000000000+ISNUMBER('Dvd Calendar'!$G$303)*100000000+('Dvd Calendar'!$G$307='Field Check'!$C$25)*10000000+(N('Dvd Calendar'!$G$301)&gt;0)*1000000+20*1000+43))</f>
        <v/>
      </c>
      <c r="AT28" s="41">
        <f>IF(N('Dvd Calendar'!$H$302)=0,"",IF(('Dvd Calendar'!$H$302&gt;=MIN(DATE(Summary!$C$12,1,1),Summary!$C$11))*('Dvd Calendar'!$H$302&lt;=MAX(DATE(Summary!$C$12,12,31),Summary!$C$15))*('Dvd Calendar'!$H$302&gt;Summary!$C$11)=0,"",'Dvd Calendar'!$H$302*1000000000+ISNUMBER('Dvd Calendar'!$H$303)*100000000+('Dvd Calendar'!$H$307='Field Check'!$C$25)*10000000+(N('Dvd Calendar'!$H$301)&gt;0)*1000000+20*1000+44))</f>
        <v/>
      </c>
      <c r="AU28" s="41">
        <f>IF(N('Dvd Calendar'!$I$302)=0,"",IF(('Dvd Calendar'!$I$302&gt;=MIN(DATE(Summary!$C$12,1,1),Summary!$C$11))*('Dvd Calendar'!$I$302&lt;=MAX(DATE(Summary!$C$12,12,31),Summary!$C$15))*('Dvd Calendar'!$I$302&gt;Summary!$C$11)=0,"",'Dvd Calendar'!$I$302*1000000000+ISNUMBER('Dvd Calendar'!$I$303)*100000000+('Dvd Calendar'!$I$307='Field Check'!$C$25)*10000000+(N('Dvd Calendar'!$I$301)&gt;0)*1000000+20*1000+45))</f>
        <v/>
      </c>
      <c r="AV28" s="41">
        <f>IF(N('Dvd Calendar'!$J$302)=0,"",IF(('Dvd Calendar'!$J$302&gt;=MIN(DATE(Summary!$C$12,1,1),Summary!$C$11))*('Dvd Calendar'!$J$302&lt;=MAX(DATE(Summary!$C$12,12,31),Summary!$C$15))*('Dvd Calendar'!$J$302&gt;Summary!$C$11)=0,"",'Dvd Calendar'!$J$302*1000000000+ISNUMBER('Dvd Calendar'!$J$303)*100000000+('Dvd Calendar'!$J$307='Field Check'!$C$25)*10000000+(N('Dvd Calendar'!$J$301)&gt;0)*1000000+20*1000+46))</f>
        <v/>
      </c>
      <c r="AW28" s="41">
        <f>IF(N('Dvd Calendar'!$K$302)=0,"",IF(('Dvd Calendar'!$K$302&gt;=MIN(DATE(Summary!$C$12,1,1),Summary!$C$11))*('Dvd Calendar'!$K$302&lt;=MAX(DATE(Summary!$C$12,12,31),Summary!$C$15))*('Dvd Calendar'!$K$302&gt;Summary!$C$11)=0,"",'Dvd Calendar'!$K$302*1000000000+ISNUMBER('Dvd Calendar'!$K$303)*100000000+('Dvd Calendar'!$K$307='Field Check'!$C$25)*10000000+(N('Dvd Calendar'!$K$301)&gt;0)*1000000+20*1000+47))</f>
        <v/>
      </c>
      <c r="AX28" s="41">
        <f>IF(N('Dvd Calendar'!$L$302)=0,"",IF(('Dvd Calendar'!$L$302&gt;=MIN(DATE(Summary!$C$12,1,1),Summary!$C$11))*('Dvd Calendar'!$L$302&lt;=MAX(DATE(Summary!$C$12,12,31),Summary!$C$15))*('Dvd Calendar'!$L$302&gt;Summary!$C$11)=0,"",'Dvd Calendar'!$L$302*1000000000+ISNUMBER('Dvd Calendar'!$L$303)*100000000+('Dvd Calendar'!$L$307='Field Check'!$C$25)*10000000+(N('Dvd Calendar'!$L$301)&gt;0)*1000000+20*1000+48))</f>
        <v/>
      </c>
      <c r="AY28" s="41">
        <f>IF(N('Dvd Calendar'!$M$302)=0,"",IF(('Dvd Calendar'!$M$302&gt;=MIN(DATE(Summary!$C$12,1,1),Summary!$C$11))*('Dvd Calendar'!$M$302&lt;=MAX(DATE(Summary!$C$12,12,31),Summary!$C$15))*('Dvd Calendar'!$M$302&gt;Summary!$C$11)=0,"",'Dvd Calendar'!$M$302*1000000000+ISNUMBER('Dvd Calendar'!$M$303)*100000000+('Dvd Calendar'!$M$307='Field Check'!$C$25)*10000000+(N('Dvd Calendar'!$M$301)&gt;0)*1000000+20*1000+49))</f>
        <v/>
      </c>
      <c r="AZ28" s="41">
        <f>IF(N('Dvd Calendar'!$N$302)=0,"",IF(('Dvd Calendar'!$N$302&gt;=MIN(DATE(Summary!$C$12,1,1),Summary!$C$11))*('Dvd Calendar'!$N$302&lt;=MAX(DATE(Summary!$C$12,12,31),Summary!$C$15))*('Dvd Calendar'!$N$302&gt;Summary!$C$11)=0,"",'Dvd Calendar'!$N$302*1000000000+ISNUMBER('Dvd Calendar'!$N$303)*100000000+('Dvd Calendar'!$N$307='Field Check'!$C$25)*10000000+(N('Dvd Calendar'!$N$301)&gt;0)*1000000+20*1000+50))</f>
        <v/>
      </c>
      <c r="BA28" s="41">
        <f>IF(N('Dvd Calendar'!$O$302)=0,"",IF(('Dvd Calendar'!$O$302&gt;=MIN(DATE(Summary!$C$12,1,1),Summary!$C$11))*('Dvd Calendar'!$O$302&lt;=MAX(DATE(Summary!$C$12,12,31),Summary!$C$15))*('Dvd Calendar'!$O$302&gt;Summary!$C$11)=0,"",'Dvd Calendar'!$O$302*1000000000+ISNUMBER('Dvd Calendar'!$O$303)*100000000+('Dvd Calendar'!$O$307='Field Check'!$C$25)*10000000+(N('Dvd Calendar'!$O$301)&gt;0)*1000000+20*1000+51))</f>
        <v/>
      </c>
      <c r="BB28" s="41">
        <f>IF(N('Dvd Calendar'!$P$302)=0,"",IF(('Dvd Calendar'!$P$302&gt;=MIN(DATE(Summary!$C$12,1,1),Summary!$C$11))*('Dvd Calendar'!$P$302&lt;=MAX(DATE(Summary!$C$12,12,31),Summary!$C$15))*('Dvd Calendar'!$P$302&gt;Summary!$C$11)=0,"",'Dvd Calendar'!$P$302*1000000000+ISNUMBER('Dvd Calendar'!$P$303)*100000000+('Dvd Calendar'!$P$307='Field Check'!$C$25)*10000000+(N('Dvd Calendar'!$P$301)&gt;0)*1000000+20*1000+52))</f>
        <v/>
      </c>
      <c r="BC28" s="41">
        <f>IF(N('Dvd Calendar'!$Q$302)=0,"",IF(('Dvd Calendar'!$Q$302&gt;=MIN(DATE(Summary!$C$12,1,1),Summary!$C$11))*('Dvd Calendar'!$Q$302&lt;=MAX(DATE(Summary!$C$12,12,31),Summary!$C$15))*('Dvd Calendar'!$Q$302&gt;Summary!$C$11)=0,"",'Dvd Calendar'!$Q$302*1000000000+ISNUMBER('Dvd Calendar'!$Q$303)*100000000+('Dvd Calendar'!$Q$307='Field Check'!$C$25)*10000000+(N('Dvd Calendar'!$Q$301)&gt;0)*1000000+20*1000+53))</f>
        <v/>
      </c>
      <c r="BD28" s="41">
        <f>IF(N('Dvd Calendar'!$R$302)=0,"",IF(('Dvd Calendar'!$R$302&gt;=MIN(DATE(Summary!$C$12,1,1),Summary!$C$11))*('Dvd Calendar'!$R$302&lt;=MAX(DATE(Summary!$C$12,12,31),Summary!$C$15))*('Dvd Calendar'!$R$302&gt;Summary!$C$11)=0,"",'Dvd Calendar'!$R$302*1000000000+ISNUMBER('Dvd Calendar'!$R$303)*100000000+('Dvd Calendar'!$R$307='Field Check'!$C$25)*10000000+(N('Dvd Calendar'!$R$301)&gt;0)*1000000+20*1000+54))</f>
        <v/>
      </c>
      <c r="BE28" s="41">
        <f>IF(N('Dvd Calendar'!$S$302)=0,"",IF(('Dvd Calendar'!$S$302&gt;=MIN(DATE(Summary!$C$12,1,1),Summary!$C$11))*('Dvd Calendar'!$S$302&lt;=MAX(DATE(Summary!$C$12,12,31),Summary!$C$15))*('Dvd Calendar'!$S$302&gt;Summary!$C$11)=0,"",'Dvd Calendar'!$S$302*1000000000+ISNUMBER('Dvd Calendar'!$S$303)*100000000+('Dvd Calendar'!$S$307='Field Check'!$C$25)*10000000+(N('Dvd Calendar'!$S$301)&gt;0)*1000000+20*1000+55))</f>
        <v/>
      </c>
      <c r="BF28" s="41">
        <f>IF(N('Dvd Calendar'!$T$302)=0,"",IF(('Dvd Calendar'!$T$302&gt;=MIN(DATE(Summary!$C$12,1,1),Summary!$C$11))*('Dvd Calendar'!$T$302&lt;=MAX(DATE(Summary!$C$12,12,31),Summary!$C$15))*('Dvd Calendar'!$T$302&gt;Summary!$C$11)=0,"",'Dvd Calendar'!$T$302*1000000000+ISNUMBER('Dvd Calendar'!$T$303)*100000000+('Dvd Calendar'!$T$307='Field Check'!$C$25)*10000000+(N('Dvd Calendar'!$T$301)&gt;0)*1000000+20*1000+56))</f>
        <v/>
      </c>
      <c r="BG28" s="41">
        <f>IF(N('Dvd Calendar'!$U$302)=0,"",IF(('Dvd Calendar'!$U$302&gt;=MIN(DATE(Summary!$C$12,1,1),Summary!$C$11))*('Dvd Calendar'!$U$302&lt;=MAX(DATE(Summary!$C$12,12,31),Summary!$C$15))*('Dvd Calendar'!$U$302&gt;Summary!$C$11)=0,"",'Dvd Calendar'!$U$302*1000000000+ISNUMBER('Dvd Calendar'!$U$303)*100000000+('Dvd Calendar'!$U$307='Field Check'!$C$25)*10000000+(N('Dvd Calendar'!$U$301)&gt;0)*1000000+20*1000+57))</f>
        <v/>
      </c>
      <c r="BH28" s="41">
        <f>IF(N('Dvd Calendar'!$V$302)=0,"",IF(('Dvd Calendar'!$V$302&gt;=MIN(DATE(Summary!$C$12,1,1),Summary!$C$11))*('Dvd Calendar'!$V$302&lt;=MAX(DATE(Summary!$C$12,12,31),Summary!$C$15))*('Dvd Calendar'!$V$302&gt;Summary!$C$11)=0,"",'Dvd Calendar'!$V$302*1000000000+ISNUMBER('Dvd Calendar'!$V$303)*100000000+('Dvd Calendar'!$V$307='Field Check'!$C$25)*10000000+(N('Dvd Calendar'!$V$301)&gt;0)*1000000+20*1000+58))</f>
        <v/>
      </c>
      <c r="BI28" s="41">
        <f>IF(N('Dvd Calendar'!$W$302)=0,"",IF(('Dvd Calendar'!$W$302&gt;=MIN(DATE(Summary!$C$12,1,1),Summary!$C$11))*('Dvd Calendar'!$W$302&lt;=MAX(DATE(Summary!$C$12,12,31),Summary!$C$15))*('Dvd Calendar'!$W$302&gt;Summary!$C$11)=0,"",'Dvd Calendar'!$W$302*1000000000+ISNUMBER('Dvd Calendar'!$W$303)*100000000+('Dvd Calendar'!$W$307='Field Check'!$C$25)*10000000+(N('Dvd Calendar'!$W$301)&gt;0)*1000000+20*1000+59))</f>
        <v/>
      </c>
      <c r="BJ28" s="41">
        <f>IF(N('Dvd Calendar'!$X$302)=0,"",IF(('Dvd Calendar'!$X$302&gt;=MIN(DATE(Summary!$C$12,1,1),Summary!$C$11))*('Dvd Calendar'!$X$302&lt;=MAX(DATE(Summary!$C$12,12,31),Summary!$C$15))*('Dvd Calendar'!$X$302&gt;Summary!$C$11)=0,"",'Dvd Calendar'!$X$302*1000000000+ISNUMBER('Dvd Calendar'!$X$303)*100000000+('Dvd Calendar'!$X$307='Field Check'!$C$25)*10000000+(N('Dvd Calendar'!$X$301)&gt;0)*1000000+20*1000+60))</f>
        <v/>
      </c>
      <c r="BK28" s="41">
        <f>IF(N('Dvd Calendar'!$Y$302)=0,"",IF(('Dvd Calendar'!$Y$302&gt;=MIN(DATE(Summary!$C$12,1,1),Summary!$C$11))*('Dvd Calendar'!$Y$302&lt;=MAX(DATE(Summary!$C$12,12,31),Summary!$C$15))*('Dvd Calendar'!$Y$302&gt;Summary!$C$11)=0,"",'Dvd Calendar'!$Y$302*1000000000+ISNUMBER('Dvd Calendar'!$Y$303)*100000000+('Dvd Calendar'!$Y$307='Field Check'!$C$25)*10000000+(N('Dvd Calendar'!$Y$301)&gt;0)*1000000+20*1000+61))</f>
        <v/>
      </c>
      <c r="BL28" s="41">
        <f>IF(N('Dvd Calendar'!$Z$302)=0,"",IF(('Dvd Calendar'!$Z$302&gt;=MIN(DATE(Summary!$C$12,1,1),Summary!$C$11))*('Dvd Calendar'!$Z$302&lt;=MAX(DATE(Summary!$C$12,12,31),Summary!$C$15))*('Dvd Calendar'!$Z$302&gt;Summary!$C$11)=0,"",'Dvd Calendar'!$Z$302*1000000000+ISNUMBER('Dvd Calendar'!$Z$303)*100000000+('Dvd Calendar'!$Z$307='Field Check'!$C$25)*10000000+(N('Dvd Calendar'!$Z$301)&gt;0)*1000000+20*1000+62))</f>
        <v/>
      </c>
      <c r="BM28" s="41">
        <f>IF(N('Dvd Calendar'!$AA$302)=0,"",IF(('Dvd Calendar'!$AA$302&gt;=MIN(DATE(Summary!$C$12,1,1),Summary!$C$11))*('Dvd Calendar'!$AA$302&lt;=MAX(DATE(Summary!$C$12,12,31),Summary!$C$15))*('Dvd Calendar'!$AA$302&gt;Summary!$C$11)=0,"",'Dvd Calendar'!$AA$302*1000000000+ISNUMBER('Dvd Calendar'!$AA$303)*100000000+('Dvd Calendar'!$AA$307='Field Check'!$C$25)*10000000+(N('Dvd Calendar'!$AA$301)&gt;0)*1000000+20*1000+63))</f>
        <v/>
      </c>
      <c r="BN28" s="41">
        <f>IF(N('Dvd Calendar'!$AB$302)=0,"",IF(('Dvd Calendar'!$AB$302&gt;=MIN(DATE(Summary!$C$12,1,1),Summary!$C$11))*('Dvd Calendar'!$AB$302&lt;=MAX(DATE(Summary!$C$12,12,31),Summary!$C$15))*('Dvd Calendar'!$AB$302&gt;Summary!$C$11)=0,"",'Dvd Calendar'!$AB$302*1000000000+ISNUMBER('Dvd Calendar'!$AB$303)*100000000+('Dvd Calendar'!$AB$307='Field Check'!$C$25)*10000000+(N('Dvd Calendar'!$AB$301)&gt;0)*1000000+20*1000+64))</f>
        <v/>
      </c>
      <c r="BO28" s="41">
        <f>IF(N('Dvd Calendar'!$AC$302)=0,"",IF(('Dvd Calendar'!$AC$302&gt;=MIN(DATE(Summary!$C$12,1,1),Summary!$C$11))*('Dvd Calendar'!$AC$302&lt;=MAX(DATE(Summary!$C$12,12,31),Summary!$C$15))*('Dvd Calendar'!$AC$302&gt;Summary!$C$11)=0,"",'Dvd Calendar'!$AC$302*1000000000+ISNUMBER('Dvd Calendar'!$AC$303)*100000000+('Dvd Calendar'!$AC$307='Field Check'!$C$25)*10000000+(N('Dvd Calendar'!$AC$301)&gt;0)*1000000+20*1000+65))</f>
        <v/>
      </c>
      <c r="BQ28" s="85">
        <f>IF(C28="","",IF(ISNUMBER('Dvd Calendar'!$E$296)=FALSE,"",IF((Summary!$C$13="N")*('Dvd Calendar'!$E$300='Field Check'!$C$25)&gt;0,"",'Dvd Calendar'!$E$296)))</f>
        <v/>
      </c>
      <c r="BR28" s="85">
        <f>IF(D28="","",IF(ISNUMBER('Dvd Calendar'!$F$296)=FALSE,"",IF((Summary!$C$13="N")*('Dvd Calendar'!$F$300='Field Check'!$C$25)&gt;0,"",'Dvd Calendar'!$F$296)))</f>
        <v/>
      </c>
      <c r="BS28" s="85">
        <f>IF(E28="","",IF(ISNUMBER('Dvd Calendar'!$G$296)=FALSE,"",IF((Summary!$C$13="N")*('Dvd Calendar'!$G$300='Field Check'!$C$25)&gt;0,"",'Dvd Calendar'!$G$296)))</f>
        <v/>
      </c>
      <c r="BT28" s="85">
        <f>IF(F28="","",IF(ISNUMBER('Dvd Calendar'!$H$296)=FALSE,"",IF((Summary!$C$13="N")*('Dvd Calendar'!$H$300='Field Check'!$C$25)&gt;0,"",'Dvd Calendar'!$H$296)))</f>
        <v/>
      </c>
      <c r="BU28" s="85">
        <f>IF(G28="","",IF(ISNUMBER('Dvd Calendar'!$I$296)=FALSE,"",IF((Summary!$C$13="N")*('Dvd Calendar'!$I$300='Field Check'!$C$25)&gt;0,"",'Dvd Calendar'!$I$296)))</f>
        <v/>
      </c>
      <c r="BV28" s="85">
        <f>IF(H28="","",IF(ISNUMBER('Dvd Calendar'!$J$296)=FALSE,"",IF((Summary!$C$13="N")*('Dvd Calendar'!$J$300='Field Check'!$C$25)&gt;0,"",'Dvd Calendar'!$J$296)))</f>
        <v/>
      </c>
      <c r="BW28" s="85">
        <f>IF(I28="","",IF(ISNUMBER('Dvd Calendar'!$K$296)=FALSE,"",IF((Summary!$C$13="N")*('Dvd Calendar'!$K$300='Field Check'!$C$25)&gt;0,"",'Dvd Calendar'!$K$296)))</f>
        <v/>
      </c>
      <c r="BX28" s="85">
        <f>IF(J28="","",IF(ISNUMBER('Dvd Calendar'!$L$296)=FALSE,"",IF((Summary!$C$13="N")*('Dvd Calendar'!$L$300='Field Check'!$C$25)&gt;0,"",'Dvd Calendar'!$L$296)))</f>
        <v/>
      </c>
      <c r="BY28" s="85">
        <f>IF(K28="","",IF(ISNUMBER('Dvd Calendar'!$M$296)=FALSE,"",IF((Summary!$C$13="N")*('Dvd Calendar'!$M$300='Field Check'!$C$25)&gt;0,"",'Dvd Calendar'!$M$296)))</f>
        <v/>
      </c>
      <c r="BZ28" s="85">
        <f>IF(L28="","",IF(ISNUMBER('Dvd Calendar'!$N$296)=FALSE,"",IF((Summary!$C$13="N")*('Dvd Calendar'!$N$300='Field Check'!$C$25)&gt;0,"",'Dvd Calendar'!$N$296)))</f>
        <v/>
      </c>
      <c r="CA28" s="85">
        <f>IF(M28="","",IF(ISNUMBER('Dvd Calendar'!$O$296)=FALSE,"",IF((Summary!$C$13="N")*('Dvd Calendar'!$O$300='Field Check'!$C$25)&gt;0,"",'Dvd Calendar'!$O$296)))</f>
        <v/>
      </c>
      <c r="CB28" s="85">
        <f>IF(N28="","",IF(ISNUMBER('Dvd Calendar'!$P$296)=FALSE,"",IF((Summary!$C$13="N")*('Dvd Calendar'!$P$300='Field Check'!$C$25)&gt;0,"",'Dvd Calendar'!$P$296)))</f>
        <v/>
      </c>
      <c r="CC28" s="85">
        <f>IF(O28="","",IF(ISNUMBER('Dvd Calendar'!$Q$296)=FALSE,"",IF((Summary!$C$13="N")*('Dvd Calendar'!$Q$300='Field Check'!$C$25)&gt;0,"",'Dvd Calendar'!$Q$296)))</f>
        <v/>
      </c>
      <c r="CD28" s="85">
        <f>IF(P28="","",IF(ISNUMBER('Dvd Calendar'!$R$296)=FALSE,"",IF((Summary!$C$13="N")*('Dvd Calendar'!$R$300='Field Check'!$C$25)&gt;0,"",'Dvd Calendar'!$R$296)))</f>
        <v/>
      </c>
      <c r="CE28" s="85">
        <f>IF(Q28="","",IF(ISNUMBER('Dvd Calendar'!$S$296)=FALSE,"",IF((Summary!$C$13="N")*('Dvd Calendar'!$S$300='Field Check'!$C$25)&gt;0,"",'Dvd Calendar'!$S$296)))</f>
        <v/>
      </c>
      <c r="CF28" s="85">
        <f>IF(R28="","",IF(ISNUMBER('Dvd Calendar'!$T$296)=FALSE,"",IF((Summary!$C$13="N")*('Dvd Calendar'!$T$300='Field Check'!$C$25)&gt;0,"",'Dvd Calendar'!$T$296)))</f>
        <v/>
      </c>
      <c r="CG28" s="85">
        <f>IF(S28="","",IF(ISNUMBER('Dvd Calendar'!$U$296)=FALSE,"",IF((Summary!$C$13="N")*('Dvd Calendar'!$U$300='Field Check'!$C$25)&gt;0,"",'Dvd Calendar'!$U$296)))</f>
        <v/>
      </c>
      <c r="CH28" s="85">
        <f>IF(T28="","",IF(ISNUMBER('Dvd Calendar'!$V$296)=FALSE,"",IF((Summary!$C$13="N")*('Dvd Calendar'!$V$300='Field Check'!$C$25)&gt;0,"",'Dvd Calendar'!$V$296)))</f>
        <v/>
      </c>
      <c r="CI28" s="85">
        <f>IF(U28="","",IF(ISNUMBER('Dvd Calendar'!$W$296)=FALSE,"",IF((Summary!$C$13="N")*('Dvd Calendar'!$W$300='Field Check'!$C$25)&gt;0,"",'Dvd Calendar'!$W$296)))</f>
        <v/>
      </c>
      <c r="CJ28" s="85">
        <f>IF(V28="","",IF(ISNUMBER('Dvd Calendar'!$X$296)=FALSE,"",IF((Summary!$C$13="N")*('Dvd Calendar'!$X$300='Field Check'!$C$25)&gt;0,"",'Dvd Calendar'!$X$296)))</f>
        <v/>
      </c>
      <c r="CK28" s="85">
        <f>IF(W28="","",IF(ISNUMBER('Dvd Calendar'!$Y$296)=FALSE,"",IF((Summary!$C$13="N")*('Dvd Calendar'!$Y$300='Field Check'!$C$25)&gt;0,"",'Dvd Calendar'!$Y$296)))</f>
        <v/>
      </c>
      <c r="CL28" s="85">
        <f>IF(X28="","",IF(ISNUMBER('Dvd Calendar'!$Z$296)=FALSE,"",IF((Summary!$C$13="N")*('Dvd Calendar'!$Z$300='Field Check'!$C$25)&gt;0,"",'Dvd Calendar'!$Z$296)))</f>
        <v/>
      </c>
      <c r="CM28" s="85">
        <f>IF(Y28="","",IF(ISNUMBER('Dvd Calendar'!$AA$296)=FALSE,"",IF((Summary!$C$13="N")*('Dvd Calendar'!$AA$300='Field Check'!$C$25)&gt;0,"",'Dvd Calendar'!$AA$296)))</f>
        <v/>
      </c>
      <c r="CN28" s="85">
        <f>IF(Z28="","",IF(ISNUMBER('Dvd Calendar'!$AB$296)=FALSE,"",IF((Summary!$C$13="N")*('Dvd Calendar'!$AB$300='Field Check'!$C$25)&gt;0,"",'Dvd Calendar'!$AB$296)))</f>
        <v/>
      </c>
      <c r="CO28" s="85">
        <f>IF(AA28="","",IF(ISNUMBER('Dvd Calendar'!$AC$296)=FALSE,"",IF((Summary!$C$13="N")*('Dvd Calendar'!$AC$300='Field Check'!$C$25)&gt;0,"",'Dvd Calendar'!$AC$296)))</f>
        <v/>
      </c>
      <c r="CP28" s="85">
        <f>IF(AB28="","",IF(ISNUMBER('Dvd Calendar'!$AD$296)=FALSE,"",IF((Summary!$C$13="N")*('Dvd Calendar'!$AD$300='Field Check'!$C$25)&gt;0,"",'Dvd Calendar'!$AD$296)))</f>
        <v/>
      </c>
      <c r="CQ28" s="85">
        <f>IF(AC28="","",IF(ISNUMBER('Dvd Calendar'!$AE$296)=FALSE,"",IF((Summary!$C$13="N")*('Dvd Calendar'!$AE$300='Field Check'!$C$25)&gt;0,"",'Dvd Calendar'!$AE$296)))</f>
        <v/>
      </c>
      <c r="CR28" s="85">
        <f>IF(AD28="","",IF(ISNUMBER('Dvd Calendar'!$AF$296)=FALSE,"",IF((Summary!$C$13="N")*('Dvd Calendar'!$AF$300='Field Check'!$C$25)&gt;0,"",'Dvd Calendar'!$AF$296)))</f>
        <v/>
      </c>
      <c r="CS28" s="85">
        <f>IF(AE28="","",IF(ISNUMBER('Dvd Calendar'!$AG$296)=FALSE,"",IF((Summary!$C$13="N")*('Dvd Calendar'!$AG$300='Field Check'!$C$25)&gt;0,"",'Dvd Calendar'!$AG$296)))</f>
        <v/>
      </c>
      <c r="CT28" s="85">
        <f>IF(AF28="","",IF(ISNUMBER('Dvd Calendar'!$AH$296)=FALSE,"",IF((Summary!$C$13="N")*('Dvd Calendar'!$AH$300='Field Check'!$C$25)&gt;0,"",'Dvd Calendar'!$AH$296)))</f>
        <v/>
      </c>
      <c r="CU28" s="85">
        <f>IF(AG28="","",IF(ISNUMBER('Dvd Calendar'!$AI$296)=FALSE,"",IF((Summary!$C$13="N")*('Dvd Calendar'!$AI$300='Field Check'!$C$25)&gt;0,"",'Dvd Calendar'!$AI$296)))</f>
        <v/>
      </c>
      <c r="CV28" s="85">
        <f>IF(AH28="","",IF(ISNUMBER('Dvd Calendar'!$AJ$296)=FALSE,"",IF((Summary!$C$13="N")*('Dvd Calendar'!$AJ$300='Field Check'!$C$25)&gt;0,"",'Dvd Calendar'!$AJ$296)))</f>
        <v/>
      </c>
      <c r="CW28" s="85">
        <f>IF(AI28="","",IF(ISNUMBER('Dvd Calendar'!$AK$296)=FALSE,"",IF((Summary!$C$13="N")*('Dvd Calendar'!$AK$300='Field Check'!$C$25)&gt;0,"",'Dvd Calendar'!$AK$296)))</f>
        <v/>
      </c>
      <c r="CX28" s="85">
        <f>IF(AJ28="","",IF(ISNUMBER('Dvd Calendar'!$AL$296)=FALSE,"",IF((Summary!$C$13="N")*('Dvd Calendar'!$AL$300='Field Check'!$C$25)&gt;0,"",'Dvd Calendar'!$AL$296)))</f>
        <v/>
      </c>
      <c r="CY28" s="85">
        <f>IF(AK28="","",IF(ISNUMBER('Dvd Calendar'!$AM$296)=FALSE,"",IF((Summary!$C$13="N")*('Dvd Calendar'!$AM$300='Field Check'!$C$25)&gt;0,"",'Dvd Calendar'!$AM$296)))</f>
        <v/>
      </c>
      <c r="CZ28" s="85">
        <f>IF(AL28="","",IF(ISNUMBER('Dvd Calendar'!$AN$296)=FALSE,"",IF((Summary!$C$13="N")*('Dvd Calendar'!$AN$300='Field Check'!$C$25)&gt;0,"",'Dvd Calendar'!$AN$296)))</f>
        <v/>
      </c>
      <c r="DA28" s="85">
        <f>IF(AM28="","",IF(ISNUMBER('Dvd Calendar'!$AO$296)=FALSE,"",IF((Summary!$C$13="N")*('Dvd Calendar'!$AO$300='Field Check'!$C$25)&gt;0,"",'Dvd Calendar'!$AO$296)))</f>
        <v/>
      </c>
      <c r="DB28" s="85">
        <f>IF(AN28="","",IF(ISNUMBER('Dvd Calendar'!$AP$296)=FALSE,"",IF((Summary!$C$13="N")*('Dvd Calendar'!$AP$300='Field Check'!$C$25)&gt;0,"",'Dvd Calendar'!$AP$296)))</f>
        <v/>
      </c>
      <c r="DC28" s="85">
        <f>IF(AO28="","",IF(ISNUMBER('Dvd Calendar'!$AQ$296)=FALSE,"",IF((Summary!$C$13="N")*('Dvd Calendar'!$AQ$300='Field Check'!$C$25)&gt;0,"",'Dvd Calendar'!$AQ$296)))</f>
        <v/>
      </c>
      <c r="DD28" s="85">
        <f>IF(AP28="","",IF(ISNUMBER('Dvd Calendar'!$AR$296)=FALSE,"",IF((Summary!$C$13="N")*('Dvd Calendar'!$AR$300='Field Check'!$C$25)&gt;0,"",'Dvd Calendar'!$AR$296)))</f>
        <v/>
      </c>
      <c r="DE28" s="85">
        <f>IF(AQ28="","",IF(ISNUMBER('Dvd Calendar'!$E$303)=FALSE,"",IF((Summary!$C$13="N")*('Dvd Calendar'!$E$307='Field Check'!$C$25)&gt;0,"",'Dvd Calendar'!$E$303)))</f>
        <v/>
      </c>
      <c r="DF28" s="85">
        <f>IF(AR28="","",IF(ISNUMBER('Dvd Calendar'!$F$303)=FALSE,"",IF((Summary!$C$13="N")*('Dvd Calendar'!$F$307='Field Check'!$C$25)&gt;0,"",'Dvd Calendar'!$F$303)))</f>
        <v/>
      </c>
      <c r="DG28" s="85">
        <f>IF(AS28="","",IF(ISNUMBER('Dvd Calendar'!$G$303)=FALSE,"",IF((Summary!$C$13="N")*('Dvd Calendar'!$G$307='Field Check'!$C$25)&gt;0,"",'Dvd Calendar'!$G$303)))</f>
        <v/>
      </c>
      <c r="DH28" s="85">
        <f>IF(AT28="","",IF(ISNUMBER('Dvd Calendar'!$H$303)=FALSE,"",IF((Summary!$C$13="N")*('Dvd Calendar'!$H$307='Field Check'!$C$25)&gt;0,"",'Dvd Calendar'!$H$303)))</f>
        <v/>
      </c>
      <c r="DI28" s="85">
        <f>IF(AU28="","",IF(ISNUMBER('Dvd Calendar'!$I$303)=FALSE,"",IF((Summary!$C$13="N")*('Dvd Calendar'!$I$307='Field Check'!$C$25)&gt;0,"",'Dvd Calendar'!$I$303)))</f>
        <v/>
      </c>
      <c r="DJ28" s="85">
        <f>IF(AV28="","",IF(ISNUMBER('Dvd Calendar'!$J$303)=FALSE,"",IF((Summary!$C$13="N")*('Dvd Calendar'!$J$307='Field Check'!$C$25)&gt;0,"",'Dvd Calendar'!$J$303)))</f>
        <v/>
      </c>
      <c r="DK28" s="85">
        <f>IF(AW28="","",IF(ISNUMBER('Dvd Calendar'!$K$303)=FALSE,"",IF((Summary!$C$13="N")*('Dvd Calendar'!$K$307='Field Check'!$C$25)&gt;0,"",'Dvd Calendar'!$K$303)))</f>
        <v/>
      </c>
      <c r="DL28" s="85">
        <f>IF(AX28="","",IF(ISNUMBER('Dvd Calendar'!$L$303)=FALSE,"",IF((Summary!$C$13="N")*('Dvd Calendar'!$L$307='Field Check'!$C$25)&gt;0,"",'Dvd Calendar'!$L$303)))</f>
        <v/>
      </c>
      <c r="DM28" s="85">
        <f>IF(AY28="","",IF(ISNUMBER('Dvd Calendar'!$M$303)=FALSE,"",IF((Summary!$C$13="N")*('Dvd Calendar'!$M$307='Field Check'!$C$25)&gt;0,"",'Dvd Calendar'!$M$303)))</f>
        <v/>
      </c>
      <c r="DN28" s="85">
        <f>IF(AZ28="","",IF(ISNUMBER('Dvd Calendar'!$N$303)=FALSE,"",IF((Summary!$C$13="N")*('Dvd Calendar'!$N$307='Field Check'!$C$25)&gt;0,"",'Dvd Calendar'!$N$303)))</f>
        <v/>
      </c>
      <c r="DO28" s="85">
        <f>IF(BA28="","",IF(ISNUMBER('Dvd Calendar'!$O$303)=FALSE,"",IF((Summary!$C$13="N")*('Dvd Calendar'!$O$307='Field Check'!$C$25)&gt;0,"",'Dvd Calendar'!$O$303)))</f>
        <v/>
      </c>
      <c r="DP28" s="85">
        <f>IF(BB28="","",IF(ISNUMBER('Dvd Calendar'!$P$303)=FALSE,"",IF((Summary!$C$13="N")*('Dvd Calendar'!$P$307='Field Check'!$C$25)&gt;0,"",'Dvd Calendar'!$P$303)))</f>
        <v/>
      </c>
      <c r="DQ28" s="85">
        <f>IF(BC28="","",IF(ISNUMBER('Dvd Calendar'!$Q$303)=FALSE,"",IF((Summary!$C$13="N")*('Dvd Calendar'!$Q$307='Field Check'!$C$25)&gt;0,"",'Dvd Calendar'!$Q$303)))</f>
        <v/>
      </c>
      <c r="DR28" s="85">
        <f>IF(BD28="","",IF(ISNUMBER('Dvd Calendar'!$R$303)=FALSE,"",IF((Summary!$C$13="N")*('Dvd Calendar'!$R$307='Field Check'!$C$25)&gt;0,"",'Dvd Calendar'!$R$303)))</f>
        <v/>
      </c>
      <c r="DS28" s="85">
        <f>IF(BE28="","",IF(ISNUMBER('Dvd Calendar'!$S$303)=FALSE,"",IF((Summary!$C$13="N")*('Dvd Calendar'!$S$307='Field Check'!$C$25)&gt;0,"",'Dvd Calendar'!$S$303)))</f>
        <v/>
      </c>
      <c r="DT28" s="85">
        <f>IF(BF28="","",IF(ISNUMBER('Dvd Calendar'!$T$303)=FALSE,"",IF((Summary!$C$13="N")*('Dvd Calendar'!$T$307='Field Check'!$C$25)&gt;0,"",'Dvd Calendar'!$T$303)))</f>
        <v/>
      </c>
      <c r="DU28" s="85">
        <f>IF(BG28="","",IF(ISNUMBER('Dvd Calendar'!$U$303)=FALSE,"",IF((Summary!$C$13="N")*('Dvd Calendar'!$U$307='Field Check'!$C$25)&gt;0,"",'Dvd Calendar'!$U$303)))</f>
        <v/>
      </c>
      <c r="DV28" s="85">
        <f>IF(BH28="","",IF(ISNUMBER('Dvd Calendar'!$V$303)=FALSE,"",IF((Summary!$C$13="N")*('Dvd Calendar'!$V$307='Field Check'!$C$25)&gt;0,"",'Dvd Calendar'!$V$303)))</f>
        <v/>
      </c>
      <c r="DW28" s="85">
        <f>IF(BI28="","",IF(ISNUMBER('Dvd Calendar'!$W$303)=FALSE,"",IF((Summary!$C$13="N")*('Dvd Calendar'!$W$307='Field Check'!$C$25)&gt;0,"",'Dvd Calendar'!$W$303)))</f>
        <v/>
      </c>
      <c r="DX28" s="85">
        <f>IF(BJ28="","",IF(ISNUMBER('Dvd Calendar'!$X$303)=FALSE,"",IF((Summary!$C$13="N")*('Dvd Calendar'!$X$307='Field Check'!$C$25)&gt;0,"",'Dvd Calendar'!$X$303)))</f>
        <v/>
      </c>
      <c r="DY28" s="85">
        <f>IF(BK28="","",IF(ISNUMBER('Dvd Calendar'!$Y$303)=FALSE,"",IF((Summary!$C$13="N")*('Dvd Calendar'!$Y$307='Field Check'!$C$25)&gt;0,"",'Dvd Calendar'!$Y$303)))</f>
        <v/>
      </c>
      <c r="DZ28" s="85">
        <f>IF(BL28="","",IF(ISNUMBER('Dvd Calendar'!$Z$303)=FALSE,"",IF((Summary!$C$13="N")*('Dvd Calendar'!$Z$307='Field Check'!$C$25)&gt;0,"",'Dvd Calendar'!$Z$303)))</f>
        <v/>
      </c>
      <c r="EA28" s="85">
        <f>IF(BM28="","",IF(ISNUMBER('Dvd Calendar'!$AA$303)=FALSE,"",IF((Summary!$C$13="N")*('Dvd Calendar'!$AA$307='Field Check'!$C$25)&gt;0,"",'Dvd Calendar'!$AA$303)))</f>
        <v/>
      </c>
      <c r="EB28" s="85">
        <f>IF(BN28="","",IF(ISNUMBER('Dvd Calendar'!$AB$303)=FALSE,"",IF((Summary!$C$13="N")*('Dvd Calendar'!$AB$307='Field Check'!$C$25)&gt;0,"",'Dvd Calendar'!$AB$303)))</f>
        <v/>
      </c>
      <c r="EC28" s="85">
        <f>IF(BO28="","",IF(ISNUMBER('Dvd Calendar'!$AC$303)=FALSE,"",IF((Summary!$C$13="N")*('Dvd Calendar'!$AC$307='Field Check'!$C$25)&gt;0,"",'Dvd Calendar'!$AC$303)))</f>
        <v/>
      </c>
      <c r="EE28" s="85">
        <f>IF(BQ28="","",IFERROR(BQ28*HSI!$B$26*HSI!$G$26/HSI!$B$3,""))</f>
        <v/>
      </c>
      <c r="EF28" s="85">
        <f>IF(BR28="","",IFERROR(BR28*HSI!$B$26*HSI!$G$26/HSI!$B$3,""))</f>
        <v/>
      </c>
      <c r="EG28" s="85">
        <f>IF(BS28="","",IFERROR(BS28*HSI!$B$26*HSI!$G$26/HSI!$B$3,""))</f>
        <v/>
      </c>
      <c r="EH28" s="85">
        <f>IF(BT28="","",IFERROR(BT28*HSI!$B$26*HSI!$G$26/HSI!$B$3,""))</f>
        <v/>
      </c>
      <c r="EI28" s="85">
        <f>IF(BU28="","",IFERROR(BU28*HSI!$B$26*HSI!$G$26/HSI!$B$3,""))</f>
        <v/>
      </c>
      <c r="EJ28" s="85">
        <f>IF(BV28="","",IFERROR(BV28*HSI!$B$26*HSI!$G$26/HSI!$B$3,""))</f>
        <v/>
      </c>
      <c r="EK28" s="85">
        <f>IF(BW28="","",IFERROR(BW28*HSI!$B$26*HSI!$G$26/HSI!$B$3,""))</f>
        <v/>
      </c>
      <c r="EL28" s="85">
        <f>IF(BX28="","",IFERROR(BX28*HSI!$B$26*HSI!$G$26/HSI!$B$3,""))</f>
        <v/>
      </c>
      <c r="EM28" s="85">
        <f>IF(BY28="","",IFERROR(BY28*HSI!$B$26*HSI!$G$26/HSI!$B$3,""))</f>
        <v/>
      </c>
      <c r="EN28" s="85">
        <f>IF(BZ28="","",IFERROR(BZ28*HSI!$B$26*HSI!$G$26/HSI!$B$3,""))</f>
        <v/>
      </c>
      <c r="EO28" s="85">
        <f>IF(CA28="","",IFERROR(CA28*HSI!$B$26*HSI!$G$26/HSI!$B$3,""))</f>
        <v/>
      </c>
      <c r="EP28" s="85">
        <f>IF(CB28="","",IFERROR(CB28*HSI!$B$26*HSI!$G$26/HSI!$B$3,""))</f>
        <v/>
      </c>
      <c r="EQ28" s="85">
        <f>IF(CC28="","",IFERROR(CC28*HSI!$B$26*HSI!$G$26/HSI!$B$3,""))</f>
        <v/>
      </c>
      <c r="ER28" s="85">
        <f>IF(CD28="","",IFERROR(CD28*HSI!$B$26*HSI!$G$26/HSI!$B$3,""))</f>
        <v/>
      </c>
      <c r="ES28" s="85">
        <f>IF(CE28="","",IFERROR(CE28*HSI!$B$26*HSI!$G$26/HSI!$B$3,""))</f>
        <v/>
      </c>
      <c r="ET28" s="85">
        <f>IF(CF28="","",IFERROR(CF28*HSI!$B$26*HSI!$G$26/HSI!$B$3,""))</f>
        <v/>
      </c>
      <c r="EU28" s="85">
        <f>IF(CG28="","",IFERROR(CG28*HSI!$B$26*HSI!$G$26/HSI!$B$3,""))</f>
        <v/>
      </c>
      <c r="EV28" s="85">
        <f>IF(CH28="","",IFERROR(CH28*HSI!$B$26*HSI!$G$26/HSI!$B$3,""))</f>
        <v/>
      </c>
      <c r="EW28" s="85">
        <f>IF(CI28="","",IFERROR(CI28*HSI!$B$26*HSI!$G$26/HSI!$B$3,""))</f>
        <v/>
      </c>
      <c r="EX28" s="85">
        <f>IF(CJ28="","",IFERROR(CJ28*HSI!$B$26*HSI!$G$26/HSI!$B$3,""))</f>
        <v/>
      </c>
      <c r="EY28" s="85">
        <f>IF(CK28="","",IFERROR(CK28*HSI!$B$26*HSI!$G$26/HSI!$B$3,""))</f>
        <v/>
      </c>
      <c r="EZ28" s="85">
        <f>IF(CL28="","",IFERROR(CL28*HSI!$B$26*HSI!$G$26/HSI!$B$3,""))</f>
        <v/>
      </c>
      <c r="FA28" s="85">
        <f>IF(CM28="","",IFERROR(CM28*HSI!$B$26*HSI!$G$26/HSI!$B$3,""))</f>
        <v/>
      </c>
      <c r="FB28" s="85">
        <f>IF(CN28="","",IFERROR(CN28*HSI!$B$26*HSI!$G$26/HSI!$B$3,""))</f>
        <v/>
      </c>
      <c r="FC28" s="85">
        <f>IF(CO28="","",IFERROR(CO28*HSI!$B$26*HSI!$G$26/HSI!$B$3,""))</f>
        <v/>
      </c>
      <c r="FD28" s="85">
        <f>IF(CP28="","",IFERROR(CP28*HSI!$B$26*HSI!$G$26/HSI!$B$3,""))</f>
        <v/>
      </c>
      <c r="FE28" s="85">
        <f>IF(CQ28="","",IFERROR(CQ28*HSI!$B$26*HSI!$G$26/HSI!$B$3,""))</f>
        <v/>
      </c>
      <c r="FF28" s="85">
        <f>IF(CR28="","",IFERROR(CR28*HSI!$B$26*HSI!$G$26/HSI!$B$3,""))</f>
        <v/>
      </c>
      <c r="FG28" s="85">
        <f>IF(CS28="","",IFERROR(CS28*HSI!$B$26*HSI!$G$26/HSI!$B$3,""))</f>
        <v/>
      </c>
      <c r="FH28" s="85">
        <f>IF(CT28="","",IFERROR(CT28*HSI!$B$26*HSI!$G$26/HSI!$B$3,""))</f>
        <v/>
      </c>
      <c r="FI28" s="85">
        <f>IF(CU28="","",IFERROR(CU28*HSI!$B$26*HSI!$G$26/HSI!$B$3,""))</f>
        <v/>
      </c>
      <c r="FJ28" s="85">
        <f>IF(CV28="","",IFERROR(CV28*HSI!$B$26*HSI!$G$26/HSI!$B$3,""))</f>
        <v/>
      </c>
      <c r="FK28" s="85">
        <f>IF(CW28="","",IFERROR(CW28*HSI!$B$26*HSI!$G$26/HSI!$B$3,""))</f>
        <v/>
      </c>
      <c r="FL28" s="85">
        <f>IF(CX28="","",IFERROR(CX28*HSI!$B$26*HSI!$G$26/HSI!$B$3,""))</f>
        <v/>
      </c>
      <c r="FM28" s="85">
        <f>IF(CY28="","",IFERROR(CY28*HSI!$B$26*HSI!$G$26/HSI!$B$3,""))</f>
        <v/>
      </c>
      <c r="FN28" s="85">
        <f>IF(CZ28="","",IFERROR(CZ28*HSI!$B$26*HSI!$G$26/HSI!$B$3,""))</f>
        <v/>
      </c>
      <c r="FO28" s="85">
        <f>IF(DA28="","",IFERROR(DA28*HSI!$B$26*HSI!$G$26/HSI!$B$3,""))</f>
        <v/>
      </c>
      <c r="FP28" s="85">
        <f>IF(DB28="","",IFERROR(DB28*HSI!$B$26*HSI!$G$26/HSI!$B$3,""))</f>
        <v/>
      </c>
      <c r="FQ28" s="85">
        <f>IF(DC28="","",IFERROR(DC28*HSI!$B$26*HSI!$G$26/HSI!$B$3,""))</f>
        <v/>
      </c>
      <c r="FR28" s="85">
        <f>IF(DD28="","",IFERROR(DD28*HSI!$B$26*HSI!$G$26/HSI!$B$3,""))</f>
        <v/>
      </c>
      <c r="FS28" s="85">
        <f>IF(DE28="","",IFERROR(DE28*HSI!$B$26*HSI!$G$26/HSI!$B$3,""))</f>
        <v/>
      </c>
      <c r="FT28" s="85">
        <f>IF(DF28="","",IFERROR(DF28*HSI!$B$26*HSI!$G$26/HSI!$B$3,""))</f>
        <v/>
      </c>
      <c r="FU28" s="85">
        <f>IF(DG28="","",IFERROR(DG28*HSI!$B$26*HSI!$G$26/HSI!$B$3,""))</f>
        <v/>
      </c>
      <c r="FV28" s="85">
        <f>IF(DH28="","",IFERROR(DH28*HSI!$B$26*HSI!$G$26/HSI!$B$3,""))</f>
        <v/>
      </c>
      <c r="FW28" s="85">
        <f>IF(DI28="","",IFERROR(DI28*HSI!$B$26*HSI!$G$26/HSI!$B$3,""))</f>
        <v/>
      </c>
      <c r="FX28" s="85">
        <f>IF(DJ28="","",IFERROR(DJ28*HSI!$B$26*HSI!$G$26/HSI!$B$3,""))</f>
        <v/>
      </c>
      <c r="FY28" s="85">
        <f>IF(DK28="","",IFERROR(DK28*HSI!$B$26*HSI!$G$26/HSI!$B$3,""))</f>
        <v/>
      </c>
      <c r="FZ28" s="85">
        <f>IF(DL28="","",IFERROR(DL28*HSI!$B$26*HSI!$G$26/HSI!$B$3,""))</f>
        <v/>
      </c>
      <c r="GA28" s="85">
        <f>IF(DM28="","",IFERROR(DM28*HSI!$B$26*HSI!$G$26/HSI!$B$3,""))</f>
        <v/>
      </c>
      <c r="GB28" s="85">
        <f>IF(DN28="","",IFERROR(DN28*HSI!$B$26*HSI!$G$26/HSI!$B$3,""))</f>
        <v/>
      </c>
      <c r="GC28" s="85">
        <f>IF(DO28="","",IFERROR(DO28*HSI!$B$26*HSI!$G$26/HSI!$B$3,""))</f>
        <v/>
      </c>
      <c r="GD28" s="85">
        <f>IF(DP28="","",IFERROR(DP28*HSI!$B$26*HSI!$G$26/HSI!$B$3,""))</f>
        <v/>
      </c>
      <c r="GE28" s="85">
        <f>IF(DQ28="","",IFERROR(DQ28*HSI!$B$26*HSI!$G$26/HSI!$B$3,""))</f>
        <v/>
      </c>
      <c r="GF28" s="85">
        <f>IF(DR28="","",IFERROR(DR28*HSI!$B$26*HSI!$G$26/HSI!$B$3,""))</f>
        <v/>
      </c>
      <c r="GG28" s="85">
        <f>IF(DS28="","",IFERROR(DS28*HSI!$B$26*HSI!$G$26/HSI!$B$3,""))</f>
        <v/>
      </c>
      <c r="GH28" s="85">
        <f>IF(DT28="","",IFERROR(DT28*HSI!$B$26*HSI!$G$26/HSI!$B$3,""))</f>
        <v/>
      </c>
      <c r="GI28" s="85">
        <f>IF(DU28="","",IFERROR(DU28*HSI!$B$26*HSI!$G$26/HSI!$B$3,""))</f>
        <v/>
      </c>
      <c r="GJ28" s="85">
        <f>IF(DV28="","",IFERROR(DV28*HSI!$B$26*HSI!$G$26/HSI!$B$3,""))</f>
        <v/>
      </c>
      <c r="GK28" s="85">
        <f>IF(DW28="","",IFERROR(DW28*HSI!$B$26*HSI!$G$26/HSI!$B$3,""))</f>
        <v/>
      </c>
      <c r="GL28" s="85">
        <f>IF(DX28="","",IFERROR(DX28*HSI!$B$26*HSI!$G$26/HSI!$B$3,""))</f>
        <v/>
      </c>
      <c r="GM28" s="85">
        <f>IF(DY28="","",IFERROR(DY28*HSI!$B$26*HSI!$G$26/HSI!$B$3,""))</f>
        <v/>
      </c>
      <c r="GN28" s="85">
        <f>IF(DZ28="","",IFERROR(DZ28*HSI!$B$26*HSI!$G$26/HSI!$B$3,""))</f>
        <v/>
      </c>
      <c r="GO28" s="85">
        <f>IF(EA28="","",IFERROR(EA28*HSI!$B$26*HSI!$G$26/HSI!$B$3,""))</f>
        <v/>
      </c>
      <c r="GP28" s="85">
        <f>IF(EB28="","",IFERROR(EB28*HSI!$B$26*HSI!$G$26/HSI!$B$3,""))</f>
        <v/>
      </c>
      <c r="GQ28" s="85">
        <f>IF(EC28="","",IFERROR(EC28*HSI!$B$26*HSI!$G$26/HSI!$B$3,""))</f>
        <v/>
      </c>
    </row>
    <row r="29">
      <c r="B29" s="2">
        <f>IF(HSI!$C$27="","",HSI!$C$27)</f>
        <v/>
      </c>
      <c r="C29" s="41">
        <f>IF(N('Dvd Calendar'!$E$310)=0,"",IF(('Dvd Calendar'!$E$310&gt;=MIN(DATE(Summary!$C$12,1,1),Summary!$C$11))*('Dvd Calendar'!$E$310&lt;=MAX(DATE(Summary!$C$12,12,31),Summary!$C$15))*('Dvd Calendar'!$E$310&lt;=Summary!$C$11)=0,"",'Dvd Calendar'!$E$310*1000000000+ISNUMBER('Dvd Calendar'!$E$311)*100000000+('Dvd Calendar'!$E$315='Field Check'!$C$25)*10000000+(N('Dvd Calendar'!$E$309)&gt;0)*1000000+21*1000+1))</f>
        <v/>
      </c>
      <c r="D29" s="41">
        <f>IF(N('Dvd Calendar'!$F$310)=0,"",IF(('Dvd Calendar'!$F$310&gt;=MIN(DATE(Summary!$C$12,1,1),Summary!$C$11))*('Dvd Calendar'!$F$310&lt;=MAX(DATE(Summary!$C$12,12,31),Summary!$C$15))*('Dvd Calendar'!$F$310&lt;=Summary!$C$11)=0,"",'Dvd Calendar'!$F$310*1000000000+ISNUMBER('Dvd Calendar'!$F$311)*100000000+('Dvd Calendar'!$F$315='Field Check'!$C$25)*10000000+(N('Dvd Calendar'!$F$309)&gt;0)*1000000+21*1000+2))</f>
        <v/>
      </c>
      <c r="E29" s="41">
        <f>IF(N('Dvd Calendar'!$G$310)=0,"",IF(('Dvd Calendar'!$G$310&gt;=MIN(DATE(Summary!$C$12,1,1),Summary!$C$11))*('Dvd Calendar'!$G$310&lt;=MAX(DATE(Summary!$C$12,12,31),Summary!$C$15))*('Dvd Calendar'!$G$310&lt;=Summary!$C$11)=0,"",'Dvd Calendar'!$G$310*1000000000+ISNUMBER('Dvd Calendar'!$G$311)*100000000+('Dvd Calendar'!$G$315='Field Check'!$C$25)*10000000+(N('Dvd Calendar'!$G$309)&gt;0)*1000000+21*1000+3))</f>
        <v/>
      </c>
      <c r="F29" s="41">
        <f>IF(N('Dvd Calendar'!$H$310)=0,"",IF(('Dvd Calendar'!$H$310&gt;=MIN(DATE(Summary!$C$12,1,1),Summary!$C$11))*('Dvd Calendar'!$H$310&lt;=MAX(DATE(Summary!$C$12,12,31),Summary!$C$15))*('Dvd Calendar'!$H$310&lt;=Summary!$C$11)=0,"",'Dvd Calendar'!$H$310*1000000000+ISNUMBER('Dvd Calendar'!$H$311)*100000000+('Dvd Calendar'!$H$315='Field Check'!$C$25)*10000000+(N('Dvd Calendar'!$H$309)&gt;0)*1000000+21*1000+4))</f>
        <v/>
      </c>
      <c r="G29" s="41">
        <f>IF(N('Dvd Calendar'!$I$310)=0,"",IF(('Dvd Calendar'!$I$310&gt;=MIN(DATE(Summary!$C$12,1,1),Summary!$C$11))*('Dvd Calendar'!$I$310&lt;=MAX(DATE(Summary!$C$12,12,31),Summary!$C$15))*('Dvd Calendar'!$I$310&lt;=Summary!$C$11)=0,"",'Dvd Calendar'!$I$310*1000000000+ISNUMBER('Dvd Calendar'!$I$311)*100000000+('Dvd Calendar'!$I$315='Field Check'!$C$25)*10000000+(N('Dvd Calendar'!$I$309)&gt;0)*1000000+21*1000+5))</f>
        <v/>
      </c>
      <c r="H29" s="41">
        <f>IF(N('Dvd Calendar'!$J$310)=0,"",IF(('Dvd Calendar'!$J$310&gt;=MIN(DATE(Summary!$C$12,1,1),Summary!$C$11))*('Dvd Calendar'!$J$310&lt;=MAX(DATE(Summary!$C$12,12,31),Summary!$C$15))*('Dvd Calendar'!$J$310&lt;=Summary!$C$11)=0,"",'Dvd Calendar'!$J$310*1000000000+ISNUMBER('Dvd Calendar'!$J$311)*100000000+('Dvd Calendar'!$J$315='Field Check'!$C$25)*10000000+(N('Dvd Calendar'!$J$309)&gt;0)*1000000+21*1000+6))</f>
        <v/>
      </c>
      <c r="I29" s="41">
        <f>IF(N('Dvd Calendar'!$K$310)=0,"",IF(('Dvd Calendar'!$K$310&gt;=MIN(DATE(Summary!$C$12,1,1),Summary!$C$11))*('Dvd Calendar'!$K$310&lt;=MAX(DATE(Summary!$C$12,12,31),Summary!$C$15))*('Dvd Calendar'!$K$310&lt;=Summary!$C$11)=0,"",'Dvd Calendar'!$K$310*1000000000+ISNUMBER('Dvd Calendar'!$K$311)*100000000+('Dvd Calendar'!$K$315='Field Check'!$C$25)*10000000+(N('Dvd Calendar'!$K$309)&gt;0)*1000000+21*1000+7))</f>
        <v/>
      </c>
      <c r="J29" s="41">
        <f>IF(N('Dvd Calendar'!$L$310)=0,"",IF(('Dvd Calendar'!$L$310&gt;=MIN(DATE(Summary!$C$12,1,1),Summary!$C$11))*('Dvd Calendar'!$L$310&lt;=MAX(DATE(Summary!$C$12,12,31),Summary!$C$15))*('Dvd Calendar'!$L$310&lt;=Summary!$C$11)=0,"",'Dvd Calendar'!$L$310*1000000000+ISNUMBER('Dvd Calendar'!$L$311)*100000000+('Dvd Calendar'!$L$315='Field Check'!$C$25)*10000000+(N('Dvd Calendar'!$L$309)&gt;0)*1000000+21*1000+8))</f>
        <v/>
      </c>
      <c r="K29" s="41">
        <f>IF(N('Dvd Calendar'!$M$310)=0,"",IF(('Dvd Calendar'!$M$310&gt;=MIN(DATE(Summary!$C$12,1,1),Summary!$C$11))*('Dvd Calendar'!$M$310&lt;=MAX(DATE(Summary!$C$12,12,31),Summary!$C$15))*('Dvd Calendar'!$M$310&lt;=Summary!$C$11)=0,"",'Dvd Calendar'!$M$310*1000000000+ISNUMBER('Dvd Calendar'!$M$311)*100000000+('Dvd Calendar'!$M$315='Field Check'!$C$25)*10000000+(N('Dvd Calendar'!$M$309)&gt;0)*1000000+21*1000+9))</f>
        <v/>
      </c>
      <c r="L29" s="41">
        <f>IF(N('Dvd Calendar'!$N$310)=0,"",IF(('Dvd Calendar'!$N$310&gt;=MIN(DATE(Summary!$C$12,1,1),Summary!$C$11))*('Dvd Calendar'!$N$310&lt;=MAX(DATE(Summary!$C$12,12,31),Summary!$C$15))*('Dvd Calendar'!$N$310&lt;=Summary!$C$11)=0,"",'Dvd Calendar'!$N$310*1000000000+ISNUMBER('Dvd Calendar'!$N$311)*100000000+('Dvd Calendar'!$N$315='Field Check'!$C$25)*10000000+(N('Dvd Calendar'!$N$309)&gt;0)*1000000+21*1000+10))</f>
        <v/>
      </c>
      <c r="M29" s="41">
        <f>IF(N('Dvd Calendar'!$O$310)=0,"",IF(('Dvd Calendar'!$O$310&gt;=MIN(DATE(Summary!$C$12,1,1),Summary!$C$11))*('Dvd Calendar'!$O$310&lt;=MAX(DATE(Summary!$C$12,12,31),Summary!$C$15))*('Dvd Calendar'!$O$310&lt;=Summary!$C$11)=0,"",'Dvd Calendar'!$O$310*1000000000+ISNUMBER('Dvd Calendar'!$O$311)*100000000+('Dvd Calendar'!$O$315='Field Check'!$C$25)*10000000+(N('Dvd Calendar'!$O$309)&gt;0)*1000000+21*1000+11))</f>
        <v/>
      </c>
      <c r="N29" s="41">
        <f>IF(N('Dvd Calendar'!$P$310)=0,"",IF(('Dvd Calendar'!$P$310&gt;=MIN(DATE(Summary!$C$12,1,1),Summary!$C$11))*('Dvd Calendar'!$P$310&lt;=MAX(DATE(Summary!$C$12,12,31),Summary!$C$15))*('Dvd Calendar'!$P$310&lt;=Summary!$C$11)=0,"",'Dvd Calendar'!$P$310*1000000000+ISNUMBER('Dvd Calendar'!$P$311)*100000000+('Dvd Calendar'!$P$315='Field Check'!$C$25)*10000000+(N('Dvd Calendar'!$P$309)&gt;0)*1000000+21*1000+12))</f>
        <v/>
      </c>
      <c r="O29" s="41">
        <f>IF(N('Dvd Calendar'!$Q$310)=0,"",IF(('Dvd Calendar'!$Q$310&gt;=MIN(DATE(Summary!$C$12,1,1),Summary!$C$11))*('Dvd Calendar'!$Q$310&lt;=MAX(DATE(Summary!$C$12,12,31),Summary!$C$15))*('Dvd Calendar'!$Q$310&lt;=Summary!$C$11)=0,"",'Dvd Calendar'!$Q$310*1000000000+ISNUMBER('Dvd Calendar'!$Q$311)*100000000+('Dvd Calendar'!$Q$315='Field Check'!$C$25)*10000000+(N('Dvd Calendar'!$Q$309)&gt;0)*1000000+21*1000+13))</f>
        <v/>
      </c>
      <c r="P29" s="41">
        <f>IF(N('Dvd Calendar'!$R$310)=0,"",IF(('Dvd Calendar'!$R$310&gt;=MIN(DATE(Summary!$C$12,1,1),Summary!$C$11))*('Dvd Calendar'!$R$310&lt;=MAX(DATE(Summary!$C$12,12,31),Summary!$C$15))*('Dvd Calendar'!$R$310&lt;=Summary!$C$11)=0,"",'Dvd Calendar'!$R$310*1000000000+ISNUMBER('Dvd Calendar'!$R$311)*100000000+('Dvd Calendar'!$R$315='Field Check'!$C$25)*10000000+(N('Dvd Calendar'!$R$309)&gt;0)*1000000+21*1000+14))</f>
        <v/>
      </c>
      <c r="Q29" s="41">
        <f>IF(N('Dvd Calendar'!$S$310)=0,"",IF(('Dvd Calendar'!$S$310&gt;=MIN(DATE(Summary!$C$12,1,1),Summary!$C$11))*('Dvd Calendar'!$S$310&lt;=MAX(DATE(Summary!$C$12,12,31),Summary!$C$15))*('Dvd Calendar'!$S$310&lt;=Summary!$C$11)=0,"",'Dvd Calendar'!$S$310*1000000000+ISNUMBER('Dvd Calendar'!$S$311)*100000000+('Dvd Calendar'!$S$315='Field Check'!$C$25)*10000000+(N('Dvd Calendar'!$S$309)&gt;0)*1000000+21*1000+15))</f>
        <v/>
      </c>
      <c r="R29" s="41">
        <f>IF(N('Dvd Calendar'!$T$310)=0,"",IF(('Dvd Calendar'!$T$310&gt;=MIN(DATE(Summary!$C$12,1,1),Summary!$C$11))*('Dvd Calendar'!$T$310&lt;=MAX(DATE(Summary!$C$12,12,31),Summary!$C$15))*('Dvd Calendar'!$T$310&lt;=Summary!$C$11)=0,"",'Dvd Calendar'!$T$310*1000000000+ISNUMBER('Dvd Calendar'!$T$311)*100000000+('Dvd Calendar'!$T$315='Field Check'!$C$25)*10000000+(N('Dvd Calendar'!$T$309)&gt;0)*1000000+21*1000+16))</f>
        <v/>
      </c>
      <c r="S29" s="41">
        <f>IF(N('Dvd Calendar'!$U$310)=0,"",IF(('Dvd Calendar'!$U$310&gt;=MIN(DATE(Summary!$C$12,1,1),Summary!$C$11))*('Dvd Calendar'!$U$310&lt;=MAX(DATE(Summary!$C$12,12,31),Summary!$C$15))*('Dvd Calendar'!$U$310&lt;=Summary!$C$11)=0,"",'Dvd Calendar'!$U$310*1000000000+ISNUMBER('Dvd Calendar'!$U$311)*100000000+('Dvd Calendar'!$U$315='Field Check'!$C$25)*10000000+(N('Dvd Calendar'!$U$309)&gt;0)*1000000+21*1000+17))</f>
        <v/>
      </c>
      <c r="T29" s="41">
        <f>IF(N('Dvd Calendar'!$V$310)=0,"",IF(('Dvd Calendar'!$V$310&gt;=MIN(DATE(Summary!$C$12,1,1),Summary!$C$11))*('Dvd Calendar'!$V$310&lt;=MAX(DATE(Summary!$C$12,12,31),Summary!$C$15))*('Dvd Calendar'!$V$310&lt;=Summary!$C$11)=0,"",'Dvd Calendar'!$V$310*1000000000+ISNUMBER('Dvd Calendar'!$V$311)*100000000+('Dvd Calendar'!$V$315='Field Check'!$C$25)*10000000+(N('Dvd Calendar'!$V$309)&gt;0)*1000000+21*1000+18))</f>
        <v/>
      </c>
      <c r="U29" s="41">
        <f>IF(N('Dvd Calendar'!$W$310)=0,"",IF(('Dvd Calendar'!$W$310&gt;=MIN(DATE(Summary!$C$12,1,1),Summary!$C$11))*('Dvd Calendar'!$W$310&lt;=MAX(DATE(Summary!$C$12,12,31),Summary!$C$15))*('Dvd Calendar'!$W$310&lt;=Summary!$C$11)=0,"",'Dvd Calendar'!$W$310*1000000000+ISNUMBER('Dvd Calendar'!$W$311)*100000000+('Dvd Calendar'!$W$315='Field Check'!$C$25)*10000000+(N('Dvd Calendar'!$W$309)&gt;0)*1000000+21*1000+19))</f>
        <v/>
      </c>
      <c r="V29" s="41">
        <f>IF(N('Dvd Calendar'!$X$310)=0,"",IF(('Dvd Calendar'!$X$310&gt;=MIN(DATE(Summary!$C$12,1,1),Summary!$C$11))*('Dvd Calendar'!$X$310&lt;=MAX(DATE(Summary!$C$12,12,31),Summary!$C$15))*('Dvd Calendar'!$X$310&lt;=Summary!$C$11)=0,"",'Dvd Calendar'!$X$310*1000000000+ISNUMBER('Dvd Calendar'!$X$311)*100000000+('Dvd Calendar'!$X$315='Field Check'!$C$25)*10000000+(N('Dvd Calendar'!$X$309)&gt;0)*1000000+21*1000+20))</f>
        <v/>
      </c>
      <c r="W29" s="41">
        <f>IF(N('Dvd Calendar'!$Y$310)=0,"",IF(('Dvd Calendar'!$Y$310&gt;=MIN(DATE(Summary!$C$12,1,1),Summary!$C$11))*('Dvd Calendar'!$Y$310&lt;=MAX(DATE(Summary!$C$12,12,31),Summary!$C$15))*('Dvd Calendar'!$Y$310&lt;=Summary!$C$11)=0,"",'Dvd Calendar'!$Y$310*1000000000+ISNUMBER('Dvd Calendar'!$Y$311)*100000000+('Dvd Calendar'!$Y$315='Field Check'!$C$25)*10000000+(N('Dvd Calendar'!$Y$309)&gt;0)*1000000+21*1000+21))</f>
        <v/>
      </c>
      <c r="X29" s="41">
        <f>IF(N('Dvd Calendar'!$Z$310)=0,"",IF(('Dvd Calendar'!$Z$310&gt;=MIN(DATE(Summary!$C$12,1,1),Summary!$C$11))*('Dvd Calendar'!$Z$310&lt;=MAX(DATE(Summary!$C$12,12,31),Summary!$C$15))*('Dvd Calendar'!$Z$310&lt;=Summary!$C$11)=0,"",'Dvd Calendar'!$Z$310*1000000000+ISNUMBER('Dvd Calendar'!$Z$311)*100000000+('Dvd Calendar'!$Z$315='Field Check'!$C$25)*10000000+(N('Dvd Calendar'!$Z$309)&gt;0)*1000000+21*1000+22))</f>
        <v/>
      </c>
      <c r="Y29" s="41">
        <f>IF(N('Dvd Calendar'!$AA$310)=0,"",IF(('Dvd Calendar'!$AA$310&gt;=MIN(DATE(Summary!$C$12,1,1),Summary!$C$11))*('Dvd Calendar'!$AA$310&lt;=MAX(DATE(Summary!$C$12,12,31),Summary!$C$15))*('Dvd Calendar'!$AA$310&lt;=Summary!$C$11)=0,"",'Dvd Calendar'!$AA$310*1000000000+ISNUMBER('Dvd Calendar'!$AA$311)*100000000+('Dvd Calendar'!$AA$315='Field Check'!$C$25)*10000000+(N('Dvd Calendar'!$AA$309)&gt;0)*1000000+21*1000+23))</f>
        <v/>
      </c>
      <c r="Z29" s="41">
        <f>IF(N('Dvd Calendar'!$AB$310)=0,"",IF(('Dvd Calendar'!$AB$310&gt;=MIN(DATE(Summary!$C$12,1,1),Summary!$C$11))*('Dvd Calendar'!$AB$310&lt;=MAX(DATE(Summary!$C$12,12,31),Summary!$C$15))*('Dvd Calendar'!$AB$310&lt;=Summary!$C$11)=0,"",'Dvd Calendar'!$AB$310*1000000000+ISNUMBER('Dvd Calendar'!$AB$311)*100000000+('Dvd Calendar'!$AB$315='Field Check'!$C$25)*10000000+(N('Dvd Calendar'!$AB$309)&gt;0)*1000000+21*1000+24))</f>
        <v/>
      </c>
      <c r="AA29" s="41">
        <f>IF(N('Dvd Calendar'!$AC$310)=0,"",IF(('Dvd Calendar'!$AC$310&gt;=MIN(DATE(Summary!$C$12,1,1),Summary!$C$11))*('Dvd Calendar'!$AC$310&lt;=MAX(DATE(Summary!$C$12,12,31),Summary!$C$15))*('Dvd Calendar'!$AC$310&lt;=Summary!$C$11)=0,"",'Dvd Calendar'!$AC$310*1000000000+ISNUMBER('Dvd Calendar'!$AC$311)*100000000+('Dvd Calendar'!$AC$315='Field Check'!$C$25)*10000000+(N('Dvd Calendar'!$AC$309)&gt;0)*1000000+21*1000+25))</f>
        <v/>
      </c>
      <c r="AB29" s="41">
        <f>IF(N('Dvd Calendar'!$AD$310)=0,"",IF(('Dvd Calendar'!$AD$310&gt;=MIN(DATE(Summary!$C$12,1,1),Summary!$C$11))*('Dvd Calendar'!$AD$310&lt;=MAX(DATE(Summary!$C$12,12,31),Summary!$C$15))*('Dvd Calendar'!$AD$310&lt;=Summary!$C$11)=0,"",'Dvd Calendar'!$AD$310*1000000000+ISNUMBER('Dvd Calendar'!$AD$311)*100000000+('Dvd Calendar'!$AD$315='Field Check'!$C$25)*10000000+(N('Dvd Calendar'!$AD$309)&gt;0)*1000000+21*1000+26))</f>
        <v/>
      </c>
      <c r="AC29" s="41">
        <f>IF(N('Dvd Calendar'!$AE$310)=0,"",IF(('Dvd Calendar'!$AE$310&gt;=MIN(DATE(Summary!$C$12,1,1),Summary!$C$11))*('Dvd Calendar'!$AE$310&lt;=MAX(DATE(Summary!$C$12,12,31),Summary!$C$15))*('Dvd Calendar'!$AE$310&lt;=Summary!$C$11)=0,"",'Dvd Calendar'!$AE$310*1000000000+ISNUMBER('Dvd Calendar'!$AE$311)*100000000+('Dvd Calendar'!$AE$315='Field Check'!$C$25)*10000000+(N('Dvd Calendar'!$AE$309)&gt;0)*1000000+21*1000+27))</f>
        <v/>
      </c>
      <c r="AD29" s="41">
        <f>IF(N('Dvd Calendar'!$AF$310)=0,"",IF(('Dvd Calendar'!$AF$310&gt;=MIN(DATE(Summary!$C$12,1,1),Summary!$C$11))*('Dvd Calendar'!$AF$310&lt;=MAX(DATE(Summary!$C$12,12,31),Summary!$C$15))*('Dvd Calendar'!$AF$310&lt;=Summary!$C$11)=0,"",'Dvd Calendar'!$AF$310*1000000000+ISNUMBER('Dvd Calendar'!$AF$311)*100000000+('Dvd Calendar'!$AF$315='Field Check'!$C$25)*10000000+(N('Dvd Calendar'!$AF$309)&gt;0)*1000000+21*1000+28))</f>
        <v/>
      </c>
      <c r="AE29" s="41">
        <f>IF(N('Dvd Calendar'!$AG$310)=0,"",IF(('Dvd Calendar'!$AG$310&gt;=MIN(DATE(Summary!$C$12,1,1),Summary!$C$11))*('Dvd Calendar'!$AG$310&lt;=MAX(DATE(Summary!$C$12,12,31),Summary!$C$15))*('Dvd Calendar'!$AG$310&lt;=Summary!$C$11)=0,"",'Dvd Calendar'!$AG$310*1000000000+ISNUMBER('Dvd Calendar'!$AG$311)*100000000+('Dvd Calendar'!$AG$315='Field Check'!$C$25)*10000000+(N('Dvd Calendar'!$AG$309)&gt;0)*1000000+21*1000+29))</f>
        <v/>
      </c>
      <c r="AF29" s="41">
        <f>IF(N('Dvd Calendar'!$AH$310)=0,"",IF(('Dvd Calendar'!$AH$310&gt;=MIN(DATE(Summary!$C$12,1,1),Summary!$C$11))*('Dvd Calendar'!$AH$310&lt;=MAX(DATE(Summary!$C$12,12,31),Summary!$C$15))*('Dvd Calendar'!$AH$310&lt;=Summary!$C$11)=0,"",'Dvd Calendar'!$AH$310*1000000000+ISNUMBER('Dvd Calendar'!$AH$311)*100000000+('Dvd Calendar'!$AH$315='Field Check'!$C$25)*10000000+(N('Dvd Calendar'!$AH$309)&gt;0)*1000000+21*1000+30))</f>
        <v/>
      </c>
      <c r="AG29" s="41">
        <f>IF(N('Dvd Calendar'!$AI$310)=0,"",IF(('Dvd Calendar'!$AI$310&gt;=MIN(DATE(Summary!$C$12,1,1),Summary!$C$11))*('Dvd Calendar'!$AI$310&lt;=MAX(DATE(Summary!$C$12,12,31),Summary!$C$15))*('Dvd Calendar'!$AI$310&lt;=Summary!$C$11)=0,"",'Dvd Calendar'!$AI$310*1000000000+ISNUMBER('Dvd Calendar'!$AI$311)*100000000+('Dvd Calendar'!$AI$315='Field Check'!$C$25)*10000000+(N('Dvd Calendar'!$AI$309)&gt;0)*1000000+21*1000+31))</f>
        <v/>
      </c>
      <c r="AH29" s="41">
        <f>IF(N('Dvd Calendar'!$AJ$310)=0,"",IF(('Dvd Calendar'!$AJ$310&gt;=MIN(DATE(Summary!$C$12,1,1),Summary!$C$11))*('Dvd Calendar'!$AJ$310&lt;=MAX(DATE(Summary!$C$12,12,31),Summary!$C$15))*('Dvd Calendar'!$AJ$310&lt;=Summary!$C$11)=0,"",'Dvd Calendar'!$AJ$310*1000000000+ISNUMBER('Dvd Calendar'!$AJ$311)*100000000+('Dvd Calendar'!$AJ$315='Field Check'!$C$25)*10000000+(N('Dvd Calendar'!$AJ$309)&gt;0)*1000000+21*1000+32))</f>
        <v/>
      </c>
      <c r="AI29" s="41">
        <f>IF(N('Dvd Calendar'!$AK$310)=0,"",IF(('Dvd Calendar'!$AK$310&gt;=MIN(DATE(Summary!$C$12,1,1),Summary!$C$11))*('Dvd Calendar'!$AK$310&lt;=MAX(DATE(Summary!$C$12,12,31),Summary!$C$15))*('Dvd Calendar'!$AK$310&lt;=Summary!$C$11)=0,"",'Dvd Calendar'!$AK$310*1000000000+ISNUMBER('Dvd Calendar'!$AK$311)*100000000+('Dvd Calendar'!$AK$315='Field Check'!$C$25)*10000000+(N('Dvd Calendar'!$AK$309)&gt;0)*1000000+21*1000+33))</f>
        <v/>
      </c>
      <c r="AJ29" s="41">
        <f>IF(N('Dvd Calendar'!$AL$310)=0,"",IF(('Dvd Calendar'!$AL$310&gt;=MIN(DATE(Summary!$C$12,1,1),Summary!$C$11))*('Dvd Calendar'!$AL$310&lt;=MAX(DATE(Summary!$C$12,12,31),Summary!$C$15))*('Dvd Calendar'!$AL$310&lt;=Summary!$C$11)=0,"",'Dvd Calendar'!$AL$310*1000000000+ISNUMBER('Dvd Calendar'!$AL$311)*100000000+('Dvd Calendar'!$AL$315='Field Check'!$C$25)*10000000+(N('Dvd Calendar'!$AL$309)&gt;0)*1000000+21*1000+34))</f>
        <v/>
      </c>
      <c r="AK29" s="41">
        <f>IF(N('Dvd Calendar'!$AM$310)=0,"",IF(('Dvd Calendar'!$AM$310&gt;=MIN(DATE(Summary!$C$12,1,1),Summary!$C$11))*('Dvd Calendar'!$AM$310&lt;=MAX(DATE(Summary!$C$12,12,31),Summary!$C$15))*('Dvd Calendar'!$AM$310&lt;=Summary!$C$11)=0,"",'Dvd Calendar'!$AM$310*1000000000+ISNUMBER('Dvd Calendar'!$AM$311)*100000000+('Dvd Calendar'!$AM$315='Field Check'!$C$25)*10000000+(N('Dvd Calendar'!$AM$309)&gt;0)*1000000+21*1000+35))</f>
        <v/>
      </c>
      <c r="AL29" s="41">
        <f>IF(N('Dvd Calendar'!$AN$310)=0,"",IF(('Dvd Calendar'!$AN$310&gt;=MIN(DATE(Summary!$C$12,1,1),Summary!$C$11))*('Dvd Calendar'!$AN$310&lt;=MAX(DATE(Summary!$C$12,12,31),Summary!$C$15))*('Dvd Calendar'!$AN$310&lt;=Summary!$C$11)=0,"",'Dvd Calendar'!$AN$310*1000000000+ISNUMBER('Dvd Calendar'!$AN$311)*100000000+('Dvd Calendar'!$AN$315='Field Check'!$C$25)*10000000+(N('Dvd Calendar'!$AN$309)&gt;0)*1000000+21*1000+36))</f>
        <v/>
      </c>
      <c r="AM29" s="41">
        <f>IF(N('Dvd Calendar'!$AO$310)=0,"",IF(('Dvd Calendar'!$AO$310&gt;=MIN(DATE(Summary!$C$12,1,1),Summary!$C$11))*('Dvd Calendar'!$AO$310&lt;=MAX(DATE(Summary!$C$12,12,31),Summary!$C$15))*('Dvd Calendar'!$AO$310&lt;=Summary!$C$11)=0,"",'Dvd Calendar'!$AO$310*1000000000+ISNUMBER('Dvd Calendar'!$AO$311)*100000000+('Dvd Calendar'!$AO$315='Field Check'!$C$25)*10000000+(N('Dvd Calendar'!$AO$309)&gt;0)*1000000+21*1000+37))</f>
        <v/>
      </c>
      <c r="AN29" s="41">
        <f>IF(N('Dvd Calendar'!$AP$310)=0,"",IF(('Dvd Calendar'!$AP$310&gt;=MIN(DATE(Summary!$C$12,1,1),Summary!$C$11))*('Dvd Calendar'!$AP$310&lt;=MAX(DATE(Summary!$C$12,12,31),Summary!$C$15))*('Dvd Calendar'!$AP$310&lt;=Summary!$C$11)=0,"",'Dvd Calendar'!$AP$310*1000000000+ISNUMBER('Dvd Calendar'!$AP$311)*100000000+('Dvd Calendar'!$AP$315='Field Check'!$C$25)*10000000+(N('Dvd Calendar'!$AP$309)&gt;0)*1000000+21*1000+38))</f>
        <v/>
      </c>
      <c r="AO29" s="41">
        <f>IF(N('Dvd Calendar'!$AQ$310)=0,"",IF(('Dvd Calendar'!$AQ$310&gt;=MIN(DATE(Summary!$C$12,1,1),Summary!$C$11))*('Dvd Calendar'!$AQ$310&lt;=MAX(DATE(Summary!$C$12,12,31),Summary!$C$15))*('Dvd Calendar'!$AQ$310&lt;=Summary!$C$11)=0,"",'Dvd Calendar'!$AQ$310*1000000000+ISNUMBER('Dvd Calendar'!$AQ$311)*100000000+('Dvd Calendar'!$AQ$315='Field Check'!$C$25)*10000000+(N('Dvd Calendar'!$AQ$309)&gt;0)*1000000+21*1000+39))</f>
        <v/>
      </c>
      <c r="AP29" s="41">
        <f>IF(N('Dvd Calendar'!$AR$310)=0,"",IF(('Dvd Calendar'!$AR$310&gt;=MIN(DATE(Summary!$C$12,1,1),Summary!$C$11))*('Dvd Calendar'!$AR$310&lt;=MAX(DATE(Summary!$C$12,12,31),Summary!$C$15))*('Dvd Calendar'!$AR$310&lt;=Summary!$C$11)=0,"",'Dvd Calendar'!$AR$310*1000000000+ISNUMBER('Dvd Calendar'!$AR$311)*100000000+('Dvd Calendar'!$AR$315='Field Check'!$C$25)*10000000+(N('Dvd Calendar'!$AR$309)&gt;0)*1000000+21*1000+40))</f>
        <v/>
      </c>
      <c r="AQ29" s="41">
        <f>IF(N('Dvd Calendar'!$E$317)=0,"",IF(('Dvd Calendar'!$E$317&gt;=MIN(DATE(Summary!$C$12,1,1),Summary!$C$11))*('Dvd Calendar'!$E$317&lt;=MAX(DATE(Summary!$C$12,12,31),Summary!$C$15))*('Dvd Calendar'!$E$317&gt;Summary!$C$11)=0,"",'Dvd Calendar'!$E$317*1000000000+ISNUMBER('Dvd Calendar'!$E$318)*100000000+('Dvd Calendar'!$E$322='Field Check'!$C$25)*10000000+(N('Dvd Calendar'!$E$316)&gt;0)*1000000+21*1000+41))</f>
        <v/>
      </c>
      <c r="AR29" s="41">
        <f>IF(N('Dvd Calendar'!$F$317)=0,"",IF(('Dvd Calendar'!$F$317&gt;=MIN(DATE(Summary!$C$12,1,1),Summary!$C$11))*('Dvd Calendar'!$F$317&lt;=MAX(DATE(Summary!$C$12,12,31),Summary!$C$15))*('Dvd Calendar'!$F$317&gt;Summary!$C$11)=0,"",'Dvd Calendar'!$F$317*1000000000+ISNUMBER('Dvd Calendar'!$F$318)*100000000+('Dvd Calendar'!$F$322='Field Check'!$C$25)*10000000+(N('Dvd Calendar'!$F$316)&gt;0)*1000000+21*1000+42))</f>
        <v/>
      </c>
      <c r="AS29" s="41">
        <f>IF(N('Dvd Calendar'!$G$317)=0,"",IF(('Dvd Calendar'!$G$317&gt;=MIN(DATE(Summary!$C$12,1,1),Summary!$C$11))*('Dvd Calendar'!$G$317&lt;=MAX(DATE(Summary!$C$12,12,31),Summary!$C$15))*('Dvd Calendar'!$G$317&gt;Summary!$C$11)=0,"",'Dvd Calendar'!$G$317*1000000000+ISNUMBER('Dvd Calendar'!$G$318)*100000000+('Dvd Calendar'!$G$322='Field Check'!$C$25)*10000000+(N('Dvd Calendar'!$G$316)&gt;0)*1000000+21*1000+43))</f>
        <v/>
      </c>
      <c r="AT29" s="41">
        <f>IF(N('Dvd Calendar'!$H$317)=0,"",IF(('Dvd Calendar'!$H$317&gt;=MIN(DATE(Summary!$C$12,1,1),Summary!$C$11))*('Dvd Calendar'!$H$317&lt;=MAX(DATE(Summary!$C$12,12,31),Summary!$C$15))*('Dvd Calendar'!$H$317&gt;Summary!$C$11)=0,"",'Dvd Calendar'!$H$317*1000000000+ISNUMBER('Dvd Calendar'!$H$318)*100000000+('Dvd Calendar'!$H$322='Field Check'!$C$25)*10000000+(N('Dvd Calendar'!$H$316)&gt;0)*1000000+21*1000+44))</f>
        <v/>
      </c>
      <c r="AU29" s="41">
        <f>IF(N('Dvd Calendar'!$I$317)=0,"",IF(('Dvd Calendar'!$I$317&gt;=MIN(DATE(Summary!$C$12,1,1),Summary!$C$11))*('Dvd Calendar'!$I$317&lt;=MAX(DATE(Summary!$C$12,12,31),Summary!$C$15))*('Dvd Calendar'!$I$317&gt;Summary!$C$11)=0,"",'Dvd Calendar'!$I$317*1000000000+ISNUMBER('Dvd Calendar'!$I$318)*100000000+('Dvd Calendar'!$I$322='Field Check'!$C$25)*10000000+(N('Dvd Calendar'!$I$316)&gt;0)*1000000+21*1000+45))</f>
        <v/>
      </c>
      <c r="AV29" s="41">
        <f>IF(N('Dvd Calendar'!$J$317)=0,"",IF(('Dvd Calendar'!$J$317&gt;=MIN(DATE(Summary!$C$12,1,1),Summary!$C$11))*('Dvd Calendar'!$J$317&lt;=MAX(DATE(Summary!$C$12,12,31),Summary!$C$15))*('Dvd Calendar'!$J$317&gt;Summary!$C$11)=0,"",'Dvd Calendar'!$J$317*1000000000+ISNUMBER('Dvd Calendar'!$J$318)*100000000+('Dvd Calendar'!$J$322='Field Check'!$C$25)*10000000+(N('Dvd Calendar'!$J$316)&gt;0)*1000000+21*1000+46))</f>
        <v/>
      </c>
      <c r="AW29" s="41">
        <f>IF(N('Dvd Calendar'!$K$317)=0,"",IF(('Dvd Calendar'!$K$317&gt;=MIN(DATE(Summary!$C$12,1,1),Summary!$C$11))*('Dvd Calendar'!$K$317&lt;=MAX(DATE(Summary!$C$12,12,31),Summary!$C$15))*('Dvd Calendar'!$K$317&gt;Summary!$C$11)=0,"",'Dvd Calendar'!$K$317*1000000000+ISNUMBER('Dvd Calendar'!$K$318)*100000000+('Dvd Calendar'!$K$322='Field Check'!$C$25)*10000000+(N('Dvd Calendar'!$K$316)&gt;0)*1000000+21*1000+47))</f>
        <v/>
      </c>
      <c r="AX29" s="41">
        <f>IF(N('Dvd Calendar'!$L$317)=0,"",IF(('Dvd Calendar'!$L$317&gt;=MIN(DATE(Summary!$C$12,1,1),Summary!$C$11))*('Dvd Calendar'!$L$317&lt;=MAX(DATE(Summary!$C$12,12,31),Summary!$C$15))*('Dvd Calendar'!$L$317&gt;Summary!$C$11)=0,"",'Dvd Calendar'!$L$317*1000000000+ISNUMBER('Dvd Calendar'!$L$318)*100000000+('Dvd Calendar'!$L$322='Field Check'!$C$25)*10000000+(N('Dvd Calendar'!$L$316)&gt;0)*1000000+21*1000+48))</f>
        <v/>
      </c>
      <c r="AY29" s="41">
        <f>IF(N('Dvd Calendar'!$M$317)=0,"",IF(('Dvd Calendar'!$M$317&gt;=MIN(DATE(Summary!$C$12,1,1),Summary!$C$11))*('Dvd Calendar'!$M$317&lt;=MAX(DATE(Summary!$C$12,12,31),Summary!$C$15))*('Dvd Calendar'!$M$317&gt;Summary!$C$11)=0,"",'Dvd Calendar'!$M$317*1000000000+ISNUMBER('Dvd Calendar'!$M$318)*100000000+('Dvd Calendar'!$M$322='Field Check'!$C$25)*10000000+(N('Dvd Calendar'!$M$316)&gt;0)*1000000+21*1000+49))</f>
        <v/>
      </c>
      <c r="AZ29" s="41">
        <f>IF(N('Dvd Calendar'!$N$317)=0,"",IF(('Dvd Calendar'!$N$317&gt;=MIN(DATE(Summary!$C$12,1,1),Summary!$C$11))*('Dvd Calendar'!$N$317&lt;=MAX(DATE(Summary!$C$12,12,31),Summary!$C$15))*('Dvd Calendar'!$N$317&gt;Summary!$C$11)=0,"",'Dvd Calendar'!$N$317*1000000000+ISNUMBER('Dvd Calendar'!$N$318)*100000000+('Dvd Calendar'!$N$322='Field Check'!$C$25)*10000000+(N('Dvd Calendar'!$N$316)&gt;0)*1000000+21*1000+50))</f>
        <v/>
      </c>
      <c r="BA29" s="41">
        <f>IF(N('Dvd Calendar'!$O$317)=0,"",IF(('Dvd Calendar'!$O$317&gt;=MIN(DATE(Summary!$C$12,1,1),Summary!$C$11))*('Dvd Calendar'!$O$317&lt;=MAX(DATE(Summary!$C$12,12,31),Summary!$C$15))*('Dvd Calendar'!$O$317&gt;Summary!$C$11)=0,"",'Dvd Calendar'!$O$317*1000000000+ISNUMBER('Dvd Calendar'!$O$318)*100000000+('Dvd Calendar'!$O$322='Field Check'!$C$25)*10000000+(N('Dvd Calendar'!$O$316)&gt;0)*1000000+21*1000+51))</f>
        <v/>
      </c>
      <c r="BB29" s="41">
        <f>IF(N('Dvd Calendar'!$P$317)=0,"",IF(('Dvd Calendar'!$P$317&gt;=MIN(DATE(Summary!$C$12,1,1),Summary!$C$11))*('Dvd Calendar'!$P$317&lt;=MAX(DATE(Summary!$C$12,12,31),Summary!$C$15))*('Dvd Calendar'!$P$317&gt;Summary!$C$11)=0,"",'Dvd Calendar'!$P$317*1000000000+ISNUMBER('Dvd Calendar'!$P$318)*100000000+('Dvd Calendar'!$P$322='Field Check'!$C$25)*10000000+(N('Dvd Calendar'!$P$316)&gt;0)*1000000+21*1000+52))</f>
        <v/>
      </c>
      <c r="BC29" s="41">
        <f>IF(N('Dvd Calendar'!$Q$317)=0,"",IF(('Dvd Calendar'!$Q$317&gt;=MIN(DATE(Summary!$C$12,1,1),Summary!$C$11))*('Dvd Calendar'!$Q$317&lt;=MAX(DATE(Summary!$C$12,12,31),Summary!$C$15))*('Dvd Calendar'!$Q$317&gt;Summary!$C$11)=0,"",'Dvd Calendar'!$Q$317*1000000000+ISNUMBER('Dvd Calendar'!$Q$318)*100000000+('Dvd Calendar'!$Q$322='Field Check'!$C$25)*10000000+(N('Dvd Calendar'!$Q$316)&gt;0)*1000000+21*1000+53))</f>
        <v/>
      </c>
      <c r="BD29" s="41">
        <f>IF(N('Dvd Calendar'!$R$317)=0,"",IF(('Dvd Calendar'!$R$317&gt;=MIN(DATE(Summary!$C$12,1,1),Summary!$C$11))*('Dvd Calendar'!$R$317&lt;=MAX(DATE(Summary!$C$12,12,31),Summary!$C$15))*('Dvd Calendar'!$R$317&gt;Summary!$C$11)=0,"",'Dvd Calendar'!$R$317*1000000000+ISNUMBER('Dvd Calendar'!$R$318)*100000000+('Dvd Calendar'!$R$322='Field Check'!$C$25)*10000000+(N('Dvd Calendar'!$R$316)&gt;0)*1000000+21*1000+54))</f>
        <v/>
      </c>
      <c r="BE29" s="41">
        <f>IF(N('Dvd Calendar'!$S$317)=0,"",IF(('Dvd Calendar'!$S$317&gt;=MIN(DATE(Summary!$C$12,1,1),Summary!$C$11))*('Dvd Calendar'!$S$317&lt;=MAX(DATE(Summary!$C$12,12,31),Summary!$C$15))*('Dvd Calendar'!$S$317&gt;Summary!$C$11)=0,"",'Dvd Calendar'!$S$317*1000000000+ISNUMBER('Dvd Calendar'!$S$318)*100000000+('Dvd Calendar'!$S$322='Field Check'!$C$25)*10000000+(N('Dvd Calendar'!$S$316)&gt;0)*1000000+21*1000+55))</f>
        <v/>
      </c>
      <c r="BF29" s="41">
        <f>IF(N('Dvd Calendar'!$T$317)=0,"",IF(('Dvd Calendar'!$T$317&gt;=MIN(DATE(Summary!$C$12,1,1),Summary!$C$11))*('Dvd Calendar'!$T$317&lt;=MAX(DATE(Summary!$C$12,12,31),Summary!$C$15))*('Dvd Calendar'!$T$317&gt;Summary!$C$11)=0,"",'Dvd Calendar'!$T$317*1000000000+ISNUMBER('Dvd Calendar'!$T$318)*100000000+('Dvd Calendar'!$T$322='Field Check'!$C$25)*10000000+(N('Dvd Calendar'!$T$316)&gt;0)*1000000+21*1000+56))</f>
        <v/>
      </c>
      <c r="BG29" s="41">
        <f>IF(N('Dvd Calendar'!$U$317)=0,"",IF(('Dvd Calendar'!$U$317&gt;=MIN(DATE(Summary!$C$12,1,1),Summary!$C$11))*('Dvd Calendar'!$U$317&lt;=MAX(DATE(Summary!$C$12,12,31),Summary!$C$15))*('Dvd Calendar'!$U$317&gt;Summary!$C$11)=0,"",'Dvd Calendar'!$U$317*1000000000+ISNUMBER('Dvd Calendar'!$U$318)*100000000+('Dvd Calendar'!$U$322='Field Check'!$C$25)*10000000+(N('Dvd Calendar'!$U$316)&gt;0)*1000000+21*1000+57))</f>
        <v/>
      </c>
      <c r="BH29" s="41">
        <f>IF(N('Dvd Calendar'!$V$317)=0,"",IF(('Dvd Calendar'!$V$317&gt;=MIN(DATE(Summary!$C$12,1,1),Summary!$C$11))*('Dvd Calendar'!$V$317&lt;=MAX(DATE(Summary!$C$12,12,31),Summary!$C$15))*('Dvd Calendar'!$V$317&gt;Summary!$C$11)=0,"",'Dvd Calendar'!$V$317*1000000000+ISNUMBER('Dvd Calendar'!$V$318)*100000000+('Dvd Calendar'!$V$322='Field Check'!$C$25)*10000000+(N('Dvd Calendar'!$V$316)&gt;0)*1000000+21*1000+58))</f>
        <v/>
      </c>
      <c r="BI29" s="41">
        <f>IF(N('Dvd Calendar'!$W$317)=0,"",IF(('Dvd Calendar'!$W$317&gt;=MIN(DATE(Summary!$C$12,1,1),Summary!$C$11))*('Dvd Calendar'!$W$317&lt;=MAX(DATE(Summary!$C$12,12,31),Summary!$C$15))*('Dvd Calendar'!$W$317&gt;Summary!$C$11)=0,"",'Dvd Calendar'!$W$317*1000000000+ISNUMBER('Dvd Calendar'!$W$318)*100000000+('Dvd Calendar'!$W$322='Field Check'!$C$25)*10000000+(N('Dvd Calendar'!$W$316)&gt;0)*1000000+21*1000+59))</f>
        <v/>
      </c>
      <c r="BJ29" s="41">
        <f>IF(N('Dvd Calendar'!$X$317)=0,"",IF(('Dvd Calendar'!$X$317&gt;=MIN(DATE(Summary!$C$12,1,1),Summary!$C$11))*('Dvd Calendar'!$X$317&lt;=MAX(DATE(Summary!$C$12,12,31),Summary!$C$15))*('Dvd Calendar'!$X$317&gt;Summary!$C$11)=0,"",'Dvd Calendar'!$X$317*1000000000+ISNUMBER('Dvd Calendar'!$X$318)*100000000+('Dvd Calendar'!$X$322='Field Check'!$C$25)*10000000+(N('Dvd Calendar'!$X$316)&gt;0)*1000000+21*1000+60))</f>
        <v/>
      </c>
      <c r="BK29" s="41">
        <f>IF(N('Dvd Calendar'!$Y$317)=0,"",IF(('Dvd Calendar'!$Y$317&gt;=MIN(DATE(Summary!$C$12,1,1),Summary!$C$11))*('Dvd Calendar'!$Y$317&lt;=MAX(DATE(Summary!$C$12,12,31),Summary!$C$15))*('Dvd Calendar'!$Y$317&gt;Summary!$C$11)=0,"",'Dvd Calendar'!$Y$317*1000000000+ISNUMBER('Dvd Calendar'!$Y$318)*100000000+('Dvd Calendar'!$Y$322='Field Check'!$C$25)*10000000+(N('Dvd Calendar'!$Y$316)&gt;0)*1000000+21*1000+61))</f>
        <v/>
      </c>
      <c r="BL29" s="41">
        <f>IF(N('Dvd Calendar'!$Z$317)=0,"",IF(('Dvd Calendar'!$Z$317&gt;=MIN(DATE(Summary!$C$12,1,1),Summary!$C$11))*('Dvd Calendar'!$Z$317&lt;=MAX(DATE(Summary!$C$12,12,31),Summary!$C$15))*('Dvd Calendar'!$Z$317&gt;Summary!$C$11)=0,"",'Dvd Calendar'!$Z$317*1000000000+ISNUMBER('Dvd Calendar'!$Z$318)*100000000+('Dvd Calendar'!$Z$322='Field Check'!$C$25)*10000000+(N('Dvd Calendar'!$Z$316)&gt;0)*1000000+21*1000+62))</f>
        <v/>
      </c>
      <c r="BM29" s="41">
        <f>IF(N('Dvd Calendar'!$AA$317)=0,"",IF(('Dvd Calendar'!$AA$317&gt;=MIN(DATE(Summary!$C$12,1,1),Summary!$C$11))*('Dvd Calendar'!$AA$317&lt;=MAX(DATE(Summary!$C$12,12,31),Summary!$C$15))*('Dvd Calendar'!$AA$317&gt;Summary!$C$11)=0,"",'Dvd Calendar'!$AA$317*1000000000+ISNUMBER('Dvd Calendar'!$AA$318)*100000000+('Dvd Calendar'!$AA$322='Field Check'!$C$25)*10000000+(N('Dvd Calendar'!$AA$316)&gt;0)*1000000+21*1000+63))</f>
        <v/>
      </c>
      <c r="BN29" s="41">
        <f>IF(N('Dvd Calendar'!$AB$317)=0,"",IF(('Dvd Calendar'!$AB$317&gt;=MIN(DATE(Summary!$C$12,1,1),Summary!$C$11))*('Dvd Calendar'!$AB$317&lt;=MAX(DATE(Summary!$C$12,12,31),Summary!$C$15))*('Dvd Calendar'!$AB$317&gt;Summary!$C$11)=0,"",'Dvd Calendar'!$AB$317*1000000000+ISNUMBER('Dvd Calendar'!$AB$318)*100000000+('Dvd Calendar'!$AB$322='Field Check'!$C$25)*10000000+(N('Dvd Calendar'!$AB$316)&gt;0)*1000000+21*1000+64))</f>
        <v/>
      </c>
      <c r="BO29" s="41">
        <f>IF(N('Dvd Calendar'!$AC$317)=0,"",IF(('Dvd Calendar'!$AC$317&gt;=MIN(DATE(Summary!$C$12,1,1),Summary!$C$11))*('Dvd Calendar'!$AC$317&lt;=MAX(DATE(Summary!$C$12,12,31),Summary!$C$15))*('Dvd Calendar'!$AC$317&gt;Summary!$C$11)=0,"",'Dvd Calendar'!$AC$317*1000000000+ISNUMBER('Dvd Calendar'!$AC$318)*100000000+('Dvd Calendar'!$AC$322='Field Check'!$C$25)*10000000+(N('Dvd Calendar'!$AC$316)&gt;0)*1000000+21*1000+65))</f>
        <v/>
      </c>
      <c r="BQ29" s="85">
        <f>IF(C29="","",IF(ISNUMBER('Dvd Calendar'!$E$311)=FALSE,"",IF((Summary!$C$13="N")*('Dvd Calendar'!$E$315='Field Check'!$C$25)&gt;0,"",'Dvd Calendar'!$E$311)))</f>
        <v/>
      </c>
      <c r="BR29" s="85">
        <f>IF(D29="","",IF(ISNUMBER('Dvd Calendar'!$F$311)=FALSE,"",IF((Summary!$C$13="N")*('Dvd Calendar'!$F$315='Field Check'!$C$25)&gt;0,"",'Dvd Calendar'!$F$311)))</f>
        <v/>
      </c>
      <c r="BS29" s="85">
        <f>IF(E29="","",IF(ISNUMBER('Dvd Calendar'!$G$311)=FALSE,"",IF((Summary!$C$13="N")*('Dvd Calendar'!$G$315='Field Check'!$C$25)&gt;0,"",'Dvd Calendar'!$G$311)))</f>
        <v/>
      </c>
      <c r="BT29" s="85">
        <f>IF(F29="","",IF(ISNUMBER('Dvd Calendar'!$H$311)=FALSE,"",IF((Summary!$C$13="N")*('Dvd Calendar'!$H$315='Field Check'!$C$25)&gt;0,"",'Dvd Calendar'!$H$311)))</f>
        <v/>
      </c>
      <c r="BU29" s="85">
        <f>IF(G29="","",IF(ISNUMBER('Dvd Calendar'!$I$311)=FALSE,"",IF((Summary!$C$13="N")*('Dvd Calendar'!$I$315='Field Check'!$C$25)&gt;0,"",'Dvd Calendar'!$I$311)))</f>
        <v/>
      </c>
      <c r="BV29" s="85">
        <f>IF(H29="","",IF(ISNUMBER('Dvd Calendar'!$J$311)=FALSE,"",IF((Summary!$C$13="N")*('Dvd Calendar'!$J$315='Field Check'!$C$25)&gt;0,"",'Dvd Calendar'!$J$311)))</f>
        <v/>
      </c>
      <c r="BW29" s="85">
        <f>IF(I29="","",IF(ISNUMBER('Dvd Calendar'!$K$311)=FALSE,"",IF((Summary!$C$13="N")*('Dvd Calendar'!$K$315='Field Check'!$C$25)&gt;0,"",'Dvd Calendar'!$K$311)))</f>
        <v/>
      </c>
      <c r="BX29" s="85">
        <f>IF(J29="","",IF(ISNUMBER('Dvd Calendar'!$L$311)=FALSE,"",IF((Summary!$C$13="N")*('Dvd Calendar'!$L$315='Field Check'!$C$25)&gt;0,"",'Dvd Calendar'!$L$311)))</f>
        <v/>
      </c>
      <c r="BY29" s="85">
        <f>IF(K29="","",IF(ISNUMBER('Dvd Calendar'!$M$311)=FALSE,"",IF((Summary!$C$13="N")*('Dvd Calendar'!$M$315='Field Check'!$C$25)&gt;0,"",'Dvd Calendar'!$M$311)))</f>
        <v/>
      </c>
      <c r="BZ29" s="85">
        <f>IF(L29="","",IF(ISNUMBER('Dvd Calendar'!$N$311)=FALSE,"",IF((Summary!$C$13="N")*('Dvd Calendar'!$N$315='Field Check'!$C$25)&gt;0,"",'Dvd Calendar'!$N$311)))</f>
        <v/>
      </c>
      <c r="CA29" s="85">
        <f>IF(M29="","",IF(ISNUMBER('Dvd Calendar'!$O$311)=FALSE,"",IF((Summary!$C$13="N")*('Dvd Calendar'!$O$315='Field Check'!$C$25)&gt;0,"",'Dvd Calendar'!$O$311)))</f>
        <v/>
      </c>
      <c r="CB29" s="85">
        <f>IF(N29="","",IF(ISNUMBER('Dvd Calendar'!$P$311)=FALSE,"",IF((Summary!$C$13="N")*('Dvd Calendar'!$P$315='Field Check'!$C$25)&gt;0,"",'Dvd Calendar'!$P$311)))</f>
        <v/>
      </c>
      <c r="CC29" s="85">
        <f>IF(O29="","",IF(ISNUMBER('Dvd Calendar'!$Q$311)=FALSE,"",IF((Summary!$C$13="N")*('Dvd Calendar'!$Q$315='Field Check'!$C$25)&gt;0,"",'Dvd Calendar'!$Q$311)))</f>
        <v/>
      </c>
      <c r="CD29" s="85">
        <f>IF(P29="","",IF(ISNUMBER('Dvd Calendar'!$R$311)=FALSE,"",IF((Summary!$C$13="N")*('Dvd Calendar'!$R$315='Field Check'!$C$25)&gt;0,"",'Dvd Calendar'!$R$311)))</f>
        <v/>
      </c>
      <c r="CE29" s="85">
        <f>IF(Q29="","",IF(ISNUMBER('Dvd Calendar'!$S$311)=FALSE,"",IF((Summary!$C$13="N")*('Dvd Calendar'!$S$315='Field Check'!$C$25)&gt;0,"",'Dvd Calendar'!$S$311)))</f>
        <v/>
      </c>
      <c r="CF29" s="85">
        <f>IF(R29="","",IF(ISNUMBER('Dvd Calendar'!$T$311)=FALSE,"",IF((Summary!$C$13="N")*('Dvd Calendar'!$T$315='Field Check'!$C$25)&gt;0,"",'Dvd Calendar'!$T$311)))</f>
        <v/>
      </c>
      <c r="CG29" s="85">
        <f>IF(S29="","",IF(ISNUMBER('Dvd Calendar'!$U$311)=FALSE,"",IF((Summary!$C$13="N")*('Dvd Calendar'!$U$315='Field Check'!$C$25)&gt;0,"",'Dvd Calendar'!$U$311)))</f>
        <v/>
      </c>
      <c r="CH29" s="85">
        <f>IF(T29="","",IF(ISNUMBER('Dvd Calendar'!$V$311)=FALSE,"",IF((Summary!$C$13="N")*('Dvd Calendar'!$V$315='Field Check'!$C$25)&gt;0,"",'Dvd Calendar'!$V$311)))</f>
        <v/>
      </c>
      <c r="CI29" s="85">
        <f>IF(U29="","",IF(ISNUMBER('Dvd Calendar'!$W$311)=FALSE,"",IF((Summary!$C$13="N")*('Dvd Calendar'!$W$315='Field Check'!$C$25)&gt;0,"",'Dvd Calendar'!$W$311)))</f>
        <v/>
      </c>
      <c r="CJ29" s="85">
        <f>IF(V29="","",IF(ISNUMBER('Dvd Calendar'!$X$311)=FALSE,"",IF((Summary!$C$13="N")*('Dvd Calendar'!$X$315='Field Check'!$C$25)&gt;0,"",'Dvd Calendar'!$X$311)))</f>
        <v/>
      </c>
      <c r="CK29" s="85">
        <f>IF(W29="","",IF(ISNUMBER('Dvd Calendar'!$Y$311)=FALSE,"",IF((Summary!$C$13="N")*('Dvd Calendar'!$Y$315='Field Check'!$C$25)&gt;0,"",'Dvd Calendar'!$Y$311)))</f>
        <v/>
      </c>
      <c r="CL29" s="85">
        <f>IF(X29="","",IF(ISNUMBER('Dvd Calendar'!$Z$311)=FALSE,"",IF((Summary!$C$13="N")*('Dvd Calendar'!$Z$315='Field Check'!$C$25)&gt;0,"",'Dvd Calendar'!$Z$311)))</f>
        <v/>
      </c>
      <c r="CM29" s="85">
        <f>IF(Y29="","",IF(ISNUMBER('Dvd Calendar'!$AA$311)=FALSE,"",IF((Summary!$C$13="N")*('Dvd Calendar'!$AA$315='Field Check'!$C$25)&gt;0,"",'Dvd Calendar'!$AA$311)))</f>
        <v/>
      </c>
      <c r="CN29" s="85">
        <f>IF(Z29="","",IF(ISNUMBER('Dvd Calendar'!$AB$311)=FALSE,"",IF((Summary!$C$13="N")*('Dvd Calendar'!$AB$315='Field Check'!$C$25)&gt;0,"",'Dvd Calendar'!$AB$311)))</f>
        <v/>
      </c>
      <c r="CO29" s="85">
        <f>IF(AA29="","",IF(ISNUMBER('Dvd Calendar'!$AC$311)=FALSE,"",IF((Summary!$C$13="N")*('Dvd Calendar'!$AC$315='Field Check'!$C$25)&gt;0,"",'Dvd Calendar'!$AC$311)))</f>
        <v/>
      </c>
      <c r="CP29" s="85">
        <f>IF(AB29="","",IF(ISNUMBER('Dvd Calendar'!$AD$311)=FALSE,"",IF((Summary!$C$13="N")*('Dvd Calendar'!$AD$315='Field Check'!$C$25)&gt;0,"",'Dvd Calendar'!$AD$311)))</f>
        <v/>
      </c>
      <c r="CQ29" s="85">
        <f>IF(AC29="","",IF(ISNUMBER('Dvd Calendar'!$AE$311)=FALSE,"",IF((Summary!$C$13="N")*('Dvd Calendar'!$AE$315='Field Check'!$C$25)&gt;0,"",'Dvd Calendar'!$AE$311)))</f>
        <v/>
      </c>
      <c r="CR29" s="85">
        <f>IF(AD29="","",IF(ISNUMBER('Dvd Calendar'!$AF$311)=FALSE,"",IF((Summary!$C$13="N")*('Dvd Calendar'!$AF$315='Field Check'!$C$25)&gt;0,"",'Dvd Calendar'!$AF$311)))</f>
        <v/>
      </c>
      <c r="CS29" s="85">
        <f>IF(AE29="","",IF(ISNUMBER('Dvd Calendar'!$AG$311)=FALSE,"",IF((Summary!$C$13="N")*('Dvd Calendar'!$AG$315='Field Check'!$C$25)&gt;0,"",'Dvd Calendar'!$AG$311)))</f>
        <v/>
      </c>
      <c r="CT29" s="85">
        <f>IF(AF29="","",IF(ISNUMBER('Dvd Calendar'!$AH$311)=FALSE,"",IF((Summary!$C$13="N")*('Dvd Calendar'!$AH$315='Field Check'!$C$25)&gt;0,"",'Dvd Calendar'!$AH$311)))</f>
        <v/>
      </c>
      <c r="CU29" s="85">
        <f>IF(AG29="","",IF(ISNUMBER('Dvd Calendar'!$AI$311)=FALSE,"",IF((Summary!$C$13="N")*('Dvd Calendar'!$AI$315='Field Check'!$C$25)&gt;0,"",'Dvd Calendar'!$AI$311)))</f>
        <v/>
      </c>
      <c r="CV29" s="85">
        <f>IF(AH29="","",IF(ISNUMBER('Dvd Calendar'!$AJ$311)=FALSE,"",IF((Summary!$C$13="N")*('Dvd Calendar'!$AJ$315='Field Check'!$C$25)&gt;0,"",'Dvd Calendar'!$AJ$311)))</f>
        <v/>
      </c>
      <c r="CW29" s="85">
        <f>IF(AI29="","",IF(ISNUMBER('Dvd Calendar'!$AK$311)=FALSE,"",IF((Summary!$C$13="N")*('Dvd Calendar'!$AK$315='Field Check'!$C$25)&gt;0,"",'Dvd Calendar'!$AK$311)))</f>
        <v/>
      </c>
      <c r="CX29" s="85">
        <f>IF(AJ29="","",IF(ISNUMBER('Dvd Calendar'!$AL$311)=FALSE,"",IF((Summary!$C$13="N")*('Dvd Calendar'!$AL$315='Field Check'!$C$25)&gt;0,"",'Dvd Calendar'!$AL$311)))</f>
        <v/>
      </c>
      <c r="CY29" s="85">
        <f>IF(AK29="","",IF(ISNUMBER('Dvd Calendar'!$AM$311)=FALSE,"",IF((Summary!$C$13="N")*('Dvd Calendar'!$AM$315='Field Check'!$C$25)&gt;0,"",'Dvd Calendar'!$AM$311)))</f>
        <v/>
      </c>
      <c r="CZ29" s="85">
        <f>IF(AL29="","",IF(ISNUMBER('Dvd Calendar'!$AN$311)=FALSE,"",IF((Summary!$C$13="N")*('Dvd Calendar'!$AN$315='Field Check'!$C$25)&gt;0,"",'Dvd Calendar'!$AN$311)))</f>
        <v/>
      </c>
      <c r="DA29" s="85">
        <f>IF(AM29="","",IF(ISNUMBER('Dvd Calendar'!$AO$311)=FALSE,"",IF((Summary!$C$13="N")*('Dvd Calendar'!$AO$315='Field Check'!$C$25)&gt;0,"",'Dvd Calendar'!$AO$311)))</f>
        <v/>
      </c>
      <c r="DB29" s="85">
        <f>IF(AN29="","",IF(ISNUMBER('Dvd Calendar'!$AP$311)=FALSE,"",IF((Summary!$C$13="N")*('Dvd Calendar'!$AP$315='Field Check'!$C$25)&gt;0,"",'Dvd Calendar'!$AP$311)))</f>
        <v/>
      </c>
      <c r="DC29" s="85">
        <f>IF(AO29="","",IF(ISNUMBER('Dvd Calendar'!$AQ$311)=FALSE,"",IF((Summary!$C$13="N")*('Dvd Calendar'!$AQ$315='Field Check'!$C$25)&gt;0,"",'Dvd Calendar'!$AQ$311)))</f>
        <v/>
      </c>
      <c r="DD29" s="85">
        <f>IF(AP29="","",IF(ISNUMBER('Dvd Calendar'!$AR$311)=FALSE,"",IF((Summary!$C$13="N")*('Dvd Calendar'!$AR$315='Field Check'!$C$25)&gt;0,"",'Dvd Calendar'!$AR$311)))</f>
        <v/>
      </c>
      <c r="DE29" s="85">
        <f>IF(AQ29="","",IF(ISNUMBER('Dvd Calendar'!$E$318)=FALSE,"",IF((Summary!$C$13="N")*('Dvd Calendar'!$E$322='Field Check'!$C$25)&gt;0,"",'Dvd Calendar'!$E$318)))</f>
        <v/>
      </c>
      <c r="DF29" s="85">
        <f>IF(AR29="","",IF(ISNUMBER('Dvd Calendar'!$F$318)=FALSE,"",IF((Summary!$C$13="N")*('Dvd Calendar'!$F$322='Field Check'!$C$25)&gt;0,"",'Dvd Calendar'!$F$318)))</f>
        <v/>
      </c>
      <c r="DG29" s="85">
        <f>IF(AS29="","",IF(ISNUMBER('Dvd Calendar'!$G$318)=FALSE,"",IF((Summary!$C$13="N")*('Dvd Calendar'!$G$322='Field Check'!$C$25)&gt;0,"",'Dvd Calendar'!$G$318)))</f>
        <v/>
      </c>
      <c r="DH29" s="85">
        <f>IF(AT29="","",IF(ISNUMBER('Dvd Calendar'!$H$318)=FALSE,"",IF((Summary!$C$13="N")*('Dvd Calendar'!$H$322='Field Check'!$C$25)&gt;0,"",'Dvd Calendar'!$H$318)))</f>
        <v/>
      </c>
      <c r="DI29" s="85">
        <f>IF(AU29="","",IF(ISNUMBER('Dvd Calendar'!$I$318)=FALSE,"",IF((Summary!$C$13="N")*('Dvd Calendar'!$I$322='Field Check'!$C$25)&gt;0,"",'Dvd Calendar'!$I$318)))</f>
        <v/>
      </c>
      <c r="DJ29" s="85">
        <f>IF(AV29="","",IF(ISNUMBER('Dvd Calendar'!$J$318)=FALSE,"",IF((Summary!$C$13="N")*('Dvd Calendar'!$J$322='Field Check'!$C$25)&gt;0,"",'Dvd Calendar'!$J$318)))</f>
        <v/>
      </c>
      <c r="DK29" s="85">
        <f>IF(AW29="","",IF(ISNUMBER('Dvd Calendar'!$K$318)=FALSE,"",IF((Summary!$C$13="N")*('Dvd Calendar'!$K$322='Field Check'!$C$25)&gt;0,"",'Dvd Calendar'!$K$318)))</f>
        <v/>
      </c>
      <c r="DL29" s="85">
        <f>IF(AX29="","",IF(ISNUMBER('Dvd Calendar'!$L$318)=FALSE,"",IF((Summary!$C$13="N")*('Dvd Calendar'!$L$322='Field Check'!$C$25)&gt;0,"",'Dvd Calendar'!$L$318)))</f>
        <v/>
      </c>
      <c r="DM29" s="85">
        <f>IF(AY29="","",IF(ISNUMBER('Dvd Calendar'!$M$318)=FALSE,"",IF((Summary!$C$13="N")*('Dvd Calendar'!$M$322='Field Check'!$C$25)&gt;0,"",'Dvd Calendar'!$M$318)))</f>
        <v/>
      </c>
      <c r="DN29" s="85">
        <f>IF(AZ29="","",IF(ISNUMBER('Dvd Calendar'!$N$318)=FALSE,"",IF((Summary!$C$13="N")*('Dvd Calendar'!$N$322='Field Check'!$C$25)&gt;0,"",'Dvd Calendar'!$N$318)))</f>
        <v/>
      </c>
      <c r="DO29" s="85">
        <f>IF(BA29="","",IF(ISNUMBER('Dvd Calendar'!$O$318)=FALSE,"",IF((Summary!$C$13="N")*('Dvd Calendar'!$O$322='Field Check'!$C$25)&gt;0,"",'Dvd Calendar'!$O$318)))</f>
        <v/>
      </c>
      <c r="DP29" s="85">
        <f>IF(BB29="","",IF(ISNUMBER('Dvd Calendar'!$P$318)=FALSE,"",IF((Summary!$C$13="N")*('Dvd Calendar'!$P$322='Field Check'!$C$25)&gt;0,"",'Dvd Calendar'!$P$318)))</f>
        <v/>
      </c>
      <c r="DQ29" s="85">
        <f>IF(BC29="","",IF(ISNUMBER('Dvd Calendar'!$Q$318)=FALSE,"",IF((Summary!$C$13="N")*('Dvd Calendar'!$Q$322='Field Check'!$C$25)&gt;0,"",'Dvd Calendar'!$Q$318)))</f>
        <v/>
      </c>
      <c r="DR29" s="85">
        <f>IF(BD29="","",IF(ISNUMBER('Dvd Calendar'!$R$318)=FALSE,"",IF((Summary!$C$13="N")*('Dvd Calendar'!$R$322='Field Check'!$C$25)&gt;0,"",'Dvd Calendar'!$R$318)))</f>
        <v/>
      </c>
      <c r="DS29" s="85">
        <f>IF(BE29="","",IF(ISNUMBER('Dvd Calendar'!$S$318)=FALSE,"",IF((Summary!$C$13="N")*('Dvd Calendar'!$S$322='Field Check'!$C$25)&gt;0,"",'Dvd Calendar'!$S$318)))</f>
        <v/>
      </c>
      <c r="DT29" s="85">
        <f>IF(BF29="","",IF(ISNUMBER('Dvd Calendar'!$T$318)=FALSE,"",IF((Summary!$C$13="N")*('Dvd Calendar'!$T$322='Field Check'!$C$25)&gt;0,"",'Dvd Calendar'!$T$318)))</f>
        <v/>
      </c>
      <c r="DU29" s="85">
        <f>IF(BG29="","",IF(ISNUMBER('Dvd Calendar'!$U$318)=FALSE,"",IF((Summary!$C$13="N")*('Dvd Calendar'!$U$322='Field Check'!$C$25)&gt;0,"",'Dvd Calendar'!$U$318)))</f>
        <v/>
      </c>
      <c r="DV29" s="85">
        <f>IF(BH29="","",IF(ISNUMBER('Dvd Calendar'!$V$318)=FALSE,"",IF((Summary!$C$13="N")*('Dvd Calendar'!$V$322='Field Check'!$C$25)&gt;0,"",'Dvd Calendar'!$V$318)))</f>
        <v/>
      </c>
      <c r="DW29" s="85">
        <f>IF(BI29="","",IF(ISNUMBER('Dvd Calendar'!$W$318)=FALSE,"",IF((Summary!$C$13="N")*('Dvd Calendar'!$W$322='Field Check'!$C$25)&gt;0,"",'Dvd Calendar'!$W$318)))</f>
        <v/>
      </c>
      <c r="DX29" s="85">
        <f>IF(BJ29="","",IF(ISNUMBER('Dvd Calendar'!$X$318)=FALSE,"",IF((Summary!$C$13="N")*('Dvd Calendar'!$X$322='Field Check'!$C$25)&gt;0,"",'Dvd Calendar'!$X$318)))</f>
        <v/>
      </c>
      <c r="DY29" s="85">
        <f>IF(BK29="","",IF(ISNUMBER('Dvd Calendar'!$Y$318)=FALSE,"",IF((Summary!$C$13="N")*('Dvd Calendar'!$Y$322='Field Check'!$C$25)&gt;0,"",'Dvd Calendar'!$Y$318)))</f>
        <v/>
      </c>
      <c r="DZ29" s="85">
        <f>IF(BL29="","",IF(ISNUMBER('Dvd Calendar'!$Z$318)=FALSE,"",IF((Summary!$C$13="N")*('Dvd Calendar'!$Z$322='Field Check'!$C$25)&gt;0,"",'Dvd Calendar'!$Z$318)))</f>
        <v/>
      </c>
      <c r="EA29" s="85">
        <f>IF(BM29="","",IF(ISNUMBER('Dvd Calendar'!$AA$318)=FALSE,"",IF((Summary!$C$13="N")*('Dvd Calendar'!$AA$322='Field Check'!$C$25)&gt;0,"",'Dvd Calendar'!$AA$318)))</f>
        <v/>
      </c>
      <c r="EB29" s="85">
        <f>IF(BN29="","",IF(ISNUMBER('Dvd Calendar'!$AB$318)=FALSE,"",IF((Summary!$C$13="N")*('Dvd Calendar'!$AB$322='Field Check'!$C$25)&gt;0,"",'Dvd Calendar'!$AB$318)))</f>
        <v/>
      </c>
      <c r="EC29" s="85">
        <f>IF(BO29="","",IF(ISNUMBER('Dvd Calendar'!$AC$318)=FALSE,"",IF((Summary!$C$13="N")*('Dvd Calendar'!$AC$322='Field Check'!$C$25)&gt;0,"",'Dvd Calendar'!$AC$318)))</f>
        <v/>
      </c>
      <c r="EE29" s="85">
        <f>IF(BQ29="","",IFERROR(BQ29*HSI!$B$27*HSI!$G$27/HSI!$B$3,""))</f>
        <v/>
      </c>
      <c r="EF29" s="85">
        <f>IF(BR29="","",IFERROR(BR29*HSI!$B$27*HSI!$G$27/HSI!$B$3,""))</f>
        <v/>
      </c>
      <c r="EG29" s="85">
        <f>IF(BS29="","",IFERROR(BS29*HSI!$B$27*HSI!$G$27/HSI!$B$3,""))</f>
        <v/>
      </c>
      <c r="EH29" s="85">
        <f>IF(BT29="","",IFERROR(BT29*HSI!$B$27*HSI!$G$27/HSI!$B$3,""))</f>
        <v/>
      </c>
      <c r="EI29" s="85">
        <f>IF(BU29="","",IFERROR(BU29*HSI!$B$27*HSI!$G$27/HSI!$B$3,""))</f>
        <v/>
      </c>
      <c r="EJ29" s="85">
        <f>IF(BV29="","",IFERROR(BV29*HSI!$B$27*HSI!$G$27/HSI!$B$3,""))</f>
        <v/>
      </c>
      <c r="EK29" s="85">
        <f>IF(BW29="","",IFERROR(BW29*HSI!$B$27*HSI!$G$27/HSI!$B$3,""))</f>
        <v/>
      </c>
      <c r="EL29" s="85">
        <f>IF(BX29="","",IFERROR(BX29*HSI!$B$27*HSI!$G$27/HSI!$B$3,""))</f>
        <v/>
      </c>
      <c r="EM29" s="85">
        <f>IF(BY29="","",IFERROR(BY29*HSI!$B$27*HSI!$G$27/HSI!$B$3,""))</f>
        <v/>
      </c>
      <c r="EN29" s="85">
        <f>IF(BZ29="","",IFERROR(BZ29*HSI!$B$27*HSI!$G$27/HSI!$B$3,""))</f>
        <v/>
      </c>
      <c r="EO29" s="85">
        <f>IF(CA29="","",IFERROR(CA29*HSI!$B$27*HSI!$G$27/HSI!$B$3,""))</f>
        <v/>
      </c>
      <c r="EP29" s="85">
        <f>IF(CB29="","",IFERROR(CB29*HSI!$B$27*HSI!$G$27/HSI!$B$3,""))</f>
        <v/>
      </c>
      <c r="EQ29" s="85">
        <f>IF(CC29="","",IFERROR(CC29*HSI!$B$27*HSI!$G$27/HSI!$B$3,""))</f>
        <v/>
      </c>
      <c r="ER29" s="85">
        <f>IF(CD29="","",IFERROR(CD29*HSI!$B$27*HSI!$G$27/HSI!$B$3,""))</f>
        <v/>
      </c>
      <c r="ES29" s="85">
        <f>IF(CE29="","",IFERROR(CE29*HSI!$B$27*HSI!$G$27/HSI!$B$3,""))</f>
        <v/>
      </c>
      <c r="ET29" s="85">
        <f>IF(CF29="","",IFERROR(CF29*HSI!$B$27*HSI!$G$27/HSI!$B$3,""))</f>
        <v/>
      </c>
      <c r="EU29" s="85">
        <f>IF(CG29="","",IFERROR(CG29*HSI!$B$27*HSI!$G$27/HSI!$B$3,""))</f>
        <v/>
      </c>
      <c r="EV29" s="85">
        <f>IF(CH29="","",IFERROR(CH29*HSI!$B$27*HSI!$G$27/HSI!$B$3,""))</f>
        <v/>
      </c>
      <c r="EW29" s="85">
        <f>IF(CI29="","",IFERROR(CI29*HSI!$B$27*HSI!$G$27/HSI!$B$3,""))</f>
        <v/>
      </c>
      <c r="EX29" s="85">
        <f>IF(CJ29="","",IFERROR(CJ29*HSI!$B$27*HSI!$G$27/HSI!$B$3,""))</f>
        <v/>
      </c>
      <c r="EY29" s="85">
        <f>IF(CK29="","",IFERROR(CK29*HSI!$B$27*HSI!$G$27/HSI!$B$3,""))</f>
        <v/>
      </c>
      <c r="EZ29" s="85">
        <f>IF(CL29="","",IFERROR(CL29*HSI!$B$27*HSI!$G$27/HSI!$B$3,""))</f>
        <v/>
      </c>
      <c r="FA29" s="85">
        <f>IF(CM29="","",IFERROR(CM29*HSI!$B$27*HSI!$G$27/HSI!$B$3,""))</f>
        <v/>
      </c>
      <c r="FB29" s="85">
        <f>IF(CN29="","",IFERROR(CN29*HSI!$B$27*HSI!$G$27/HSI!$B$3,""))</f>
        <v/>
      </c>
      <c r="FC29" s="85">
        <f>IF(CO29="","",IFERROR(CO29*HSI!$B$27*HSI!$G$27/HSI!$B$3,""))</f>
        <v/>
      </c>
      <c r="FD29" s="85">
        <f>IF(CP29="","",IFERROR(CP29*HSI!$B$27*HSI!$G$27/HSI!$B$3,""))</f>
        <v/>
      </c>
      <c r="FE29" s="85">
        <f>IF(CQ29="","",IFERROR(CQ29*HSI!$B$27*HSI!$G$27/HSI!$B$3,""))</f>
        <v/>
      </c>
      <c r="FF29" s="85">
        <f>IF(CR29="","",IFERROR(CR29*HSI!$B$27*HSI!$G$27/HSI!$B$3,""))</f>
        <v/>
      </c>
      <c r="FG29" s="85">
        <f>IF(CS29="","",IFERROR(CS29*HSI!$B$27*HSI!$G$27/HSI!$B$3,""))</f>
        <v/>
      </c>
      <c r="FH29" s="85">
        <f>IF(CT29="","",IFERROR(CT29*HSI!$B$27*HSI!$G$27/HSI!$B$3,""))</f>
        <v/>
      </c>
      <c r="FI29" s="85">
        <f>IF(CU29="","",IFERROR(CU29*HSI!$B$27*HSI!$G$27/HSI!$B$3,""))</f>
        <v/>
      </c>
      <c r="FJ29" s="85">
        <f>IF(CV29="","",IFERROR(CV29*HSI!$B$27*HSI!$G$27/HSI!$B$3,""))</f>
        <v/>
      </c>
      <c r="FK29" s="85">
        <f>IF(CW29="","",IFERROR(CW29*HSI!$B$27*HSI!$G$27/HSI!$B$3,""))</f>
        <v/>
      </c>
      <c r="FL29" s="85">
        <f>IF(CX29="","",IFERROR(CX29*HSI!$B$27*HSI!$G$27/HSI!$B$3,""))</f>
        <v/>
      </c>
      <c r="FM29" s="85">
        <f>IF(CY29="","",IFERROR(CY29*HSI!$B$27*HSI!$G$27/HSI!$B$3,""))</f>
        <v/>
      </c>
      <c r="FN29" s="85">
        <f>IF(CZ29="","",IFERROR(CZ29*HSI!$B$27*HSI!$G$27/HSI!$B$3,""))</f>
        <v/>
      </c>
      <c r="FO29" s="85">
        <f>IF(DA29="","",IFERROR(DA29*HSI!$B$27*HSI!$G$27/HSI!$B$3,""))</f>
        <v/>
      </c>
      <c r="FP29" s="85">
        <f>IF(DB29="","",IFERROR(DB29*HSI!$B$27*HSI!$G$27/HSI!$B$3,""))</f>
        <v/>
      </c>
      <c r="FQ29" s="85">
        <f>IF(DC29="","",IFERROR(DC29*HSI!$B$27*HSI!$G$27/HSI!$B$3,""))</f>
        <v/>
      </c>
      <c r="FR29" s="85">
        <f>IF(DD29="","",IFERROR(DD29*HSI!$B$27*HSI!$G$27/HSI!$B$3,""))</f>
        <v/>
      </c>
      <c r="FS29" s="85">
        <f>IF(DE29="","",IFERROR(DE29*HSI!$B$27*HSI!$G$27/HSI!$B$3,""))</f>
        <v/>
      </c>
      <c r="FT29" s="85">
        <f>IF(DF29="","",IFERROR(DF29*HSI!$B$27*HSI!$G$27/HSI!$B$3,""))</f>
        <v/>
      </c>
      <c r="FU29" s="85">
        <f>IF(DG29="","",IFERROR(DG29*HSI!$B$27*HSI!$G$27/HSI!$B$3,""))</f>
        <v/>
      </c>
      <c r="FV29" s="85">
        <f>IF(DH29="","",IFERROR(DH29*HSI!$B$27*HSI!$G$27/HSI!$B$3,""))</f>
        <v/>
      </c>
      <c r="FW29" s="85">
        <f>IF(DI29="","",IFERROR(DI29*HSI!$B$27*HSI!$G$27/HSI!$B$3,""))</f>
        <v/>
      </c>
      <c r="FX29" s="85">
        <f>IF(DJ29="","",IFERROR(DJ29*HSI!$B$27*HSI!$G$27/HSI!$B$3,""))</f>
        <v/>
      </c>
      <c r="FY29" s="85">
        <f>IF(DK29="","",IFERROR(DK29*HSI!$B$27*HSI!$G$27/HSI!$B$3,""))</f>
        <v/>
      </c>
      <c r="FZ29" s="85">
        <f>IF(DL29="","",IFERROR(DL29*HSI!$B$27*HSI!$G$27/HSI!$B$3,""))</f>
        <v/>
      </c>
      <c r="GA29" s="85">
        <f>IF(DM29="","",IFERROR(DM29*HSI!$B$27*HSI!$G$27/HSI!$B$3,""))</f>
        <v/>
      </c>
      <c r="GB29" s="85">
        <f>IF(DN29="","",IFERROR(DN29*HSI!$B$27*HSI!$G$27/HSI!$B$3,""))</f>
        <v/>
      </c>
      <c r="GC29" s="85">
        <f>IF(DO29="","",IFERROR(DO29*HSI!$B$27*HSI!$G$27/HSI!$B$3,""))</f>
        <v/>
      </c>
      <c r="GD29" s="85">
        <f>IF(DP29="","",IFERROR(DP29*HSI!$B$27*HSI!$G$27/HSI!$B$3,""))</f>
        <v/>
      </c>
      <c r="GE29" s="85">
        <f>IF(DQ29="","",IFERROR(DQ29*HSI!$B$27*HSI!$G$27/HSI!$B$3,""))</f>
        <v/>
      </c>
      <c r="GF29" s="85">
        <f>IF(DR29="","",IFERROR(DR29*HSI!$B$27*HSI!$G$27/HSI!$B$3,""))</f>
        <v/>
      </c>
      <c r="GG29" s="85">
        <f>IF(DS29="","",IFERROR(DS29*HSI!$B$27*HSI!$G$27/HSI!$B$3,""))</f>
        <v/>
      </c>
      <c r="GH29" s="85">
        <f>IF(DT29="","",IFERROR(DT29*HSI!$B$27*HSI!$G$27/HSI!$B$3,""))</f>
        <v/>
      </c>
      <c r="GI29" s="85">
        <f>IF(DU29="","",IFERROR(DU29*HSI!$B$27*HSI!$G$27/HSI!$B$3,""))</f>
        <v/>
      </c>
      <c r="GJ29" s="85">
        <f>IF(DV29="","",IFERROR(DV29*HSI!$B$27*HSI!$G$27/HSI!$B$3,""))</f>
        <v/>
      </c>
      <c r="GK29" s="85">
        <f>IF(DW29="","",IFERROR(DW29*HSI!$B$27*HSI!$G$27/HSI!$B$3,""))</f>
        <v/>
      </c>
      <c r="GL29" s="85">
        <f>IF(DX29="","",IFERROR(DX29*HSI!$B$27*HSI!$G$27/HSI!$B$3,""))</f>
        <v/>
      </c>
      <c r="GM29" s="85">
        <f>IF(DY29="","",IFERROR(DY29*HSI!$B$27*HSI!$G$27/HSI!$B$3,""))</f>
        <v/>
      </c>
      <c r="GN29" s="85">
        <f>IF(DZ29="","",IFERROR(DZ29*HSI!$B$27*HSI!$G$27/HSI!$B$3,""))</f>
        <v/>
      </c>
      <c r="GO29" s="85">
        <f>IF(EA29="","",IFERROR(EA29*HSI!$B$27*HSI!$G$27/HSI!$B$3,""))</f>
        <v/>
      </c>
      <c r="GP29" s="85">
        <f>IF(EB29="","",IFERROR(EB29*HSI!$B$27*HSI!$G$27/HSI!$B$3,""))</f>
        <v/>
      </c>
      <c r="GQ29" s="85">
        <f>IF(EC29="","",IFERROR(EC29*HSI!$B$27*HSI!$G$27/HSI!$B$3,""))</f>
        <v/>
      </c>
    </row>
    <row r="30">
      <c r="B30" s="2">
        <f>IF(HSI!$C$28="","",HSI!$C$28)</f>
        <v/>
      </c>
      <c r="C30" s="41">
        <f>IF(N('Dvd Calendar'!$E$325)=0,"",IF(('Dvd Calendar'!$E$325&gt;=MIN(DATE(Summary!$C$12,1,1),Summary!$C$11))*('Dvd Calendar'!$E$325&lt;=MAX(DATE(Summary!$C$12,12,31),Summary!$C$15))*('Dvd Calendar'!$E$325&lt;=Summary!$C$11)=0,"",'Dvd Calendar'!$E$325*1000000000+ISNUMBER('Dvd Calendar'!$E$326)*100000000+('Dvd Calendar'!$E$330='Field Check'!$C$25)*10000000+(N('Dvd Calendar'!$E$324)&gt;0)*1000000+22*1000+1))</f>
        <v/>
      </c>
      <c r="D30" s="41">
        <f>IF(N('Dvd Calendar'!$F$325)=0,"",IF(('Dvd Calendar'!$F$325&gt;=MIN(DATE(Summary!$C$12,1,1),Summary!$C$11))*('Dvd Calendar'!$F$325&lt;=MAX(DATE(Summary!$C$12,12,31),Summary!$C$15))*('Dvd Calendar'!$F$325&lt;=Summary!$C$11)=0,"",'Dvd Calendar'!$F$325*1000000000+ISNUMBER('Dvd Calendar'!$F$326)*100000000+('Dvd Calendar'!$F$330='Field Check'!$C$25)*10000000+(N('Dvd Calendar'!$F$324)&gt;0)*1000000+22*1000+2))</f>
        <v/>
      </c>
      <c r="E30" s="41">
        <f>IF(N('Dvd Calendar'!$G$325)=0,"",IF(('Dvd Calendar'!$G$325&gt;=MIN(DATE(Summary!$C$12,1,1),Summary!$C$11))*('Dvd Calendar'!$G$325&lt;=MAX(DATE(Summary!$C$12,12,31),Summary!$C$15))*('Dvd Calendar'!$G$325&lt;=Summary!$C$11)=0,"",'Dvd Calendar'!$G$325*1000000000+ISNUMBER('Dvd Calendar'!$G$326)*100000000+('Dvd Calendar'!$G$330='Field Check'!$C$25)*10000000+(N('Dvd Calendar'!$G$324)&gt;0)*1000000+22*1000+3))</f>
        <v/>
      </c>
      <c r="F30" s="41">
        <f>IF(N('Dvd Calendar'!$H$325)=0,"",IF(('Dvd Calendar'!$H$325&gt;=MIN(DATE(Summary!$C$12,1,1),Summary!$C$11))*('Dvd Calendar'!$H$325&lt;=MAX(DATE(Summary!$C$12,12,31),Summary!$C$15))*('Dvd Calendar'!$H$325&lt;=Summary!$C$11)=0,"",'Dvd Calendar'!$H$325*1000000000+ISNUMBER('Dvd Calendar'!$H$326)*100000000+('Dvd Calendar'!$H$330='Field Check'!$C$25)*10000000+(N('Dvd Calendar'!$H$324)&gt;0)*1000000+22*1000+4))</f>
        <v/>
      </c>
      <c r="G30" s="41">
        <f>IF(N('Dvd Calendar'!$I$325)=0,"",IF(('Dvd Calendar'!$I$325&gt;=MIN(DATE(Summary!$C$12,1,1),Summary!$C$11))*('Dvd Calendar'!$I$325&lt;=MAX(DATE(Summary!$C$12,12,31),Summary!$C$15))*('Dvd Calendar'!$I$325&lt;=Summary!$C$11)=0,"",'Dvd Calendar'!$I$325*1000000000+ISNUMBER('Dvd Calendar'!$I$326)*100000000+('Dvd Calendar'!$I$330='Field Check'!$C$25)*10000000+(N('Dvd Calendar'!$I$324)&gt;0)*1000000+22*1000+5))</f>
        <v/>
      </c>
      <c r="H30" s="41">
        <f>IF(N('Dvd Calendar'!$J$325)=0,"",IF(('Dvd Calendar'!$J$325&gt;=MIN(DATE(Summary!$C$12,1,1),Summary!$C$11))*('Dvd Calendar'!$J$325&lt;=MAX(DATE(Summary!$C$12,12,31),Summary!$C$15))*('Dvd Calendar'!$J$325&lt;=Summary!$C$11)=0,"",'Dvd Calendar'!$J$325*1000000000+ISNUMBER('Dvd Calendar'!$J$326)*100000000+('Dvd Calendar'!$J$330='Field Check'!$C$25)*10000000+(N('Dvd Calendar'!$J$324)&gt;0)*1000000+22*1000+6))</f>
        <v/>
      </c>
      <c r="I30" s="41">
        <f>IF(N('Dvd Calendar'!$K$325)=0,"",IF(('Dvd Calendar'!$K$325&gt;=MIN(DATE(Summary!$C$12,1,1),Summary!$C$11))*('Dvd Calendar'!$K$325&lt;=MAX(DATE(Summary!$C$12,12,31),Summary!$C$15))*('Dvd Calendar'!$K$325&lt;=Summary!$C$11)=0,"",'Dvd Calendar'!$K$325*1000000000+ISNUMBER('Dvd Calendar'!$K$326)*100000000+('Dvd Calendar'!$K$330='Field Check'!$C$25)*10000000+(N('Dvd Calendar'!$K$324)&gt;0)*1000000+22*1000+7))</f>
        <v/>
      </c>
      <c r="J30" s="41">
        <f>IF(N('Dvd Calendar'!$L$325)=0,"",IF(('Dvd Calendar'!$L$325&gt;=MIN(DATE(Summary!$C$12,1,1),Summary!$C$11))*('Dvd Calendar'!$L$325&lt;=MAX(DATE(Summary!$C$12,12,31),Summary!$C$15))*('Dvd Calendar'!$L$325&lt;=Summary!$C$11)=0,"",'Dvd Calendar'!$L$325*1000000000+ISNUMBER('Dvd Calendar'!$L$326)*100000000+('Dvd Calendar'!$L$330='Field Check'!$C$25)*10000000+(N('Dvd Calendar'!$L$324)&gt;0)*1000000+22*1000+8))</f>
        <v/>
      </c>
      <c r="K30" s="41">
        <f>IF(N('Dvd Calendar'!$M$325)=0,"",IF(('Dvd Calendar'!$M$325&gt;=MIN(DATE(Summary!$C$12,1,1),Summary!$C$11))*('Dvd Calendar'!$M$325&lt;=MAX(DATE(Summary!$C$12,12,31),Summary!$C$15))*('Dvd Calendar'!$M$325&lt;=Summary!$C$11)=0,"",'Dvd Calendar'!$M$325*1000000000+ISNUMBER('Dvd Calendar'!$M$326)*100000000+('Dvd Calendar'!$M$330='Field Check'!$C$25)*10000000+(N('Dvd Calendar'!$M$324)&gt;0)*1000000+22*1000+9))</f>
        <v/>
      </c>
      <c r="L30" s="41">
        <f>IF(N('Dvd Calendar'!$N$325)=0,"",IF(('Dvd Calendar'!$N$325&gt;=MIN(DATE(Summary!$C$12,1,1),Summary!$C$11))*('Dvd Calendar'!$N$325&lt;=MAX(DATE(Summary!$C$12,12,31),Summary!$C$15))*('Dvd Calendar'!$N$325&lt;=Summary!$C$11)=0,"",'Dvd Calendar'!$N$325*1000000000+ISNUMBER('Dvd Calendar'!$N$326)*100000000+('Dvd Calendar'!$N$330='Field Check'!$C$25)*10000000+(N('Dvd Calendar'!$N$324)&gt;0)*1000000+22*1000+10))</f>
        <v/>
      </c>
      <c r="M30" s="41">
        <f>IF(N('Dvd Calendar'!$O$325)=0,"",IF(('Dvd Calendar'!$O$325&gt;=MIN(DATE(Summary!$C$12,1,1),Summary!$C$11))*('Dvd Calendar'!$O$325&lt;=MAX(DATE(Summary!$C$12,12,31),Summary!$C$15))*('Dvd Calendar'!$O$325&lt;=Summary!$C$11)=0,"",'Dvd Calendar'!$O$325*1000000000+ISNUMBER('Dvd Calendar'!$O$326)*100000000+('Dvd Calendar'!$O$330='Field Check'!$C$25)*10000000+(N('Dvd Calendar'!$O$324)&gt;0)*1000000+22*1000+11))</f>
        <v/>
      </c>
      <c r="N30" s="41">
        <f>IF(N('Dvd Calendar'!$P$325)=0,"",IF(('Dvd Calendar'!$P$325&gt;=MIN(DATE(Summary!$C$12,1,1),Summary!$C$11))*('Dvd Calendar'!$P$325&lt;=MAX(DATE(Summary!$C$12,12,31),Summary!$C$15))*('Dvd Calendar'!$P$325&lt;=Summary!$C$11)=0,"",'Dvd Calendar'!$P$325*1000000000+ISNUMBER('Dvd Calendar'!$P$326)*100000000+('Dvd Calendar'!$P$330='Field Check'!$C$25)*10000000+(N('Dvd Calendar'!$P$324)&gt;0)*1000000+22*1000+12))</f>
        <v/>
      </c>
      <c r="O30" s="41">
        <f>IF(N('Dvd Calendar'!$Q$325)=0,"",IF(('Dvd Calendar'!$Q$325&gt;=MIN(DATE(Summary!$C$12,1,1),Summary!$C$11))*('Dvd Calendar'!$Q$325&lt;=MAX(DATE(Summary!$C$12,12,31),Summary!$C$15))*('Dvd Calendar'!$Q$325&lt;=Summary!$C$11)=0,"",'Dvd Calendar'!$Q$325*1000000000+ISNUMBER('Dvd Calendar'!$Q$326)*100000000+('Dvd Calendar'!$Q$330='Field Check'!$C$25)*10000000+(N('Dvd Calendar'!$Q$324)&gt;0)*1000000+22*1000+13))</f>
        <v/>
      </c>
      <c r="P30" s="41">
        <f>IF(N('Dvd Calendar'!$R$325)=0,"",IF(('Dvd Calendar'!$R$325&gt;=MIN(DATE(Summary!$C$12,1,1),Summary!$C$11))*('Dvd Calendar'!$R$325&lt;=MAX(DATE(Summary!$C$12,12,31),Summary!$C$15))*('Dvd Calendar'!$R$325&lt;=Summary!$C$11)=0,"",'Dvd Calendar'!$R$325*1000000000+ISNUMBER('Dvd Calendar'!$R$326)*100000000+('Dvd Calendar'!$R$330='Field Check'!$C$25)*10000000+(N('Dvd Calendar'!$R$324)&gt;0)*1000000+22*1000+14))</f>
        <v/>
      </c>
      <c r="Q30" s="41">
        <f>IF(N('Dvd Calendar'!$S$325)=0,"",IF(('Dvd Calendar'!$S$325&gt;=MIN(DATE(Summary!$C$12,1,1),Summary!$C$11))*('Dvd Calendar'!$S$325&lt;=MAX(DATE(Summary!$C$12,12,31),Summary!$C$15))*('Dvd Calendar'!$S$325&lt;=Summary!$C$11)=0,"",'Dvd Calendar'!$S$325*1000000000+ISNUMBER('Dvd Calendar'!$S$326)*100000000+('Dvd Calendar'!$S$330='Field Check'!$C$25)*10000000+(N('Dvd Calendar'!$S$324)&gt;0)*1000000+22*1000+15))</f>
        <v/>
      </c>
      <c r="R30" s="41">
        <f>IF(N('Dvd Calendar'!$T$325)=0,"",IF(('Dvd Calendar'!$T$325&gt;=MIN(DATE(Summary!$C$12,1,1),Summary!$C$11))*('Dvd Calendar'!$T$325&lt;=MAX(DATE(Summary!$C$12,12,31),Summary!$C$15))*('Dvd Calendar'!$T$325&lt;=Summary!$C$11)=0,"",'Dvd Calendar'!$T$325*1000000000+ISNUMBER('Dvd Calendar'!$T$326)*100000000+('Dvd Calendar'!$T$330='Field Check'!$C$25)*10000000+(N('Dvd Calendar'!$T$324)&gt;0)*1000000+22*1000+16))</f>
        <v/>
      </c>
      <c r="S30" s="41">
        <f>IF(N('Dvd Calendar'!$U$325)=0,"",IF(('Dvd Calendar'!$U$325&gt;=MIN(DATE(Summary!$C$12,1,1),Summary!$C$11))*('Dvd Calendar'!$U$325&lt;=MAX(DATE(Summary!$C$12,12,31),Summary!$C$15))*('Dvd Calendar'!$U$325&lt;=Summary!$C$11)=0,"",'Dvd Calendar'!$U$325*1000000000+ISNUMBER('Dvd Calendar'!$U$326)*100000000+('Dvd Calendar'!$U$330='Field Check'!$C$25)*10000000+(N('Dvd Calendar'!$U$324)&gt;0)*1000000+22*1000+17))</f>
        <v/>
      </c>
      <c r="T30" s="41">
        <f>IF(N('Dvd Calendar'!$V$325)=0,"",IF(('Dvd Calendar'!$V$325&gt;=MIN(DATE(Summary!$C$12,1,1),Summary!$C$11))*('Dvd Calendar'!$V$325&lt;=MAX(DATE(Summary!$C$12,12,31),Summary!$C$15))*('Dvd Calendar'!$V$325&lt;=Summary!$C$11)=0,"",'Dvd Calendar'!$V$325*1000000000+ISNUMBER('Dvd Calendar'!$V$326)*100000000+('Dvd Calendar'!$V$330='Field Check'!$C$25)*10000000+(N('Dvd Calendar'!$V$324)&gt;0)*1000000+22*1000+18))</f>
        <v/>
      </c>
      <c r="U30" s="41">
        <f>IF(N('Dvd Calendar'!$W$325)=0,"",IF(('Dvd Calendar'!$W$325&gt;=MIN(DATE(Summary!$C$12,1,1),Summary!$C$11))*('Dvd Calendar'!$W$325&lt;=MAX(DATE(Summary!$C$12,12,31),Summary!$C$15))*('Dvd Calendar'!$W$325&lt;=Summary!$C$11)=0,"",'Dvd Calendar'!$W$325*1000000000+ISNUMBER('Dvd Calendar'!$W$326)*100000000+('Dvd Calendar'!$W$330='Field Check'!$C$25)*10000000+(N('Dvd Calendar'!$W$324)&gt;0)*1000000+22*1000+19))</f>
        <v/>
      </c>
      <c r="V30" s="41">
        <f>IF(N('Dvd Calendar'!$X$325)=0,"",IF(('Dvd Calendar'!$X$325&gt;=MIN(DATE(Summary!$C$12,1,1),Summary!$C$11))*('Dvd Calendar'!$X$325&lt;=MAX(DATE(Summary!$C$12,12,31),Summary!$C$15))*('Dvd Calendar'!$X$325&lt;=Summary!$C$11)=0,"",'Dvd Calendar'!$X$325*1000000000+ISNUMBER('Dvd Calendar'!$X$326)*100000000+('Dvd Calendar'!$X$330='Field Check'!$C$25)*10000000+(N('Dvd Calendar'!$X$324)&gt;0)*1000000+22*1000+20))</f>
        <v/>
      </c>
      <c r="W30" s="41">
        <f>IF(N('Dvd Calendar'!$Y$325)=0,"",IF(('Dvd Calendar'!$Y$325&gt;=MIN(DATE(Summary!$C$12,1,1),Summary!$C$11))*('Dvd Calendar'!$Y$325&lt;=MAX(DATE(Summary!$C$12,12,31),Summary!$C$15))*('Dvd Calendar'!$Y$325&lt;=Summary!$C$11)=0,"",'Dvd Calendar'!$Y$325*1000000000+ISNUMBER('Dvd Calendar'!$Y$326)*100000000+('Dvd Calendar'!$Y$330='Field Check'!$C$25)*10000000+(N('Dvd Calendar'!$Y$324)&gt;0)*1000000+22*1000+21))</f>
        <v/>
      </c>
      <c r="X30" s="41">
        <f>IF(N('Dvd Calendar'!$Z$325)=0,"",IF(('Dvd Calendar'!$Z$325&gt;=MIN(DATE(Summary!$C$12,1,1),Summary!$C$11))*('Dvd Calendar'!$Z$325&lt;=MAX(DATE(Summary!$C$12,12,31),Summary!$C$15))*('Dvd Calendar'!$Z$325&lt;=Summary!$C$11)=0,"",'Dvd Calendar'!$Z$325*1000000000+ISNUMBER('Dvd Calendar'!$Z$326)*100000000+('Dvd Calendar'!$Z$330='Field Check'!$C$25)*10000000+(N('Dvd Calendar'!$Z$324)&gt;0)*1000000+22*1000+22))</f>
        <v/>
      </c>
      <c r="Y30" s="41">
        <f>IF(N('Dvd Calendar'!$AA$325)=0,"",IF(('Dvd Calendar'!$AA$325&gt;=MIN(DATE(Summary!$C$12,1,1),Summary!$C$11))*('Dvd Calendar'!$AA$325&lt;=MAX(DATE(Summary!$C$12,12,31),Summary!$C$15))*('Dvd Calendar'!$AA$325&lt;=Summary!$C$11)=0,"",'Dvd Calendar'!$AA$325*1000000000+ISNUMBER('Dvd Calendar'!$AA$326)*100000000+('Dvd Calendar'!$AA$330='Field Check'!$C$25)*10000000+(N('Dvd Calendar'!$AA$324)&gt;0)*1000000+22*1000+23))</f>
        <v/>
      </c>
      <c r="Z30" s="41">
        <f>IF(N('Dvd Calendar'!$AB$325)=0,"",IF(('Dvd Calendar'!$AB$325&gt;=MIN(DATE(Summary!$C$12,1,1),Summary!$C$11))*('Dvd Calendar'!$AB$325&lt;=MAX(DATE(Summary!$C$12,12,31),Summary!$C$15))*('Dvd Calendar'!$AB$325&lt;=Summary!$C$11)=0,"",'Dvd Calendar'!$AB$325*1000000000+ISNUMBER('Dvd Calendar'!$AB$326)*100000000+('Dvd Calendar'!$AB$330='Field Check'!$C$25)*10000000+(N('Dvd Calendar'!$AB$324)&gt;0)*1000000+22*1000+24))</f>
        <v/>
      </c>
      <c r="AA30" s="41">
        <f>IF(N('Dvd Calendar'!$AC$325)=0,"",IF(('Dvd Calendar'!$AC$325&gt;=MIN(DATE(Summary!$C$12,1,1),Summary!$C$11))*('Dvd Calendar'!$AC$325&lt;=MAX(DATE(Summary!$C$12,12,31),Summary!$C$15))*('Dvd Calendar'!$AC$325&lt;=Summary!$C$11)=0,"",'Dvd Calendar'!$AC$325*1000000000+ISNUMBER('Dvd Calendar'!$AC$326)*100000000+('Dvd Calendar'!$AC$330='Field Check'!$C$25)*10000000+(N('Dvd Calendar'!$AC$324)&gt;0)*1000000+22*1000+25))</f>
        <v/>
      </c>
      <c r="AB30" s="41">
        <f>IF(N('Dvd Calendar'!$AD$325)=0,"",IF(('Dvd Calendar'!$AD$325&gt;=MIN(DATE(Summary!$C$12,1,1),Summary!$C$11))*('Dvd Calendar'!$AD$325&lt;=MAX(DATE(Summary!$C$12,12,31),Summary!$C$15))*('Dvd Calendar'!$AD$325&lt;=Summary!$C$11)=0,"",'Dvd Calendar'!$AD$325*1000000000+ISNUMBER('Dvd Calendar'!$AD$326)*100000000+('Dvd Calendar'!$AD$330='Field Check'!$C$25)*10000000+(N('Dvd Calendar'!$AD$324)&gt;0)*1000000+22*1000+26))</f>
        <v/>
      </c>
      <c r="AC30" s="41">
        <f>IF(N('Dvd Calendar'!$AE$325)=0,"",IF(('Dvd Calendar'!$AE$325&gt;=MIN(DATE(Summary!$C$12,1,1),Summary!$C$11))*('Dvd Calendar'!$AE$325&lt;=MAX(DATE(Summary!$C$12,12,31),Summary!$C$15))*('Dvd Calendar'!$AE$325&lt;=Summary!$C$11)=0,"",'Dvd Calendar'!$AE$325*1000000000+ISNUMBER('Dvd Calendar'!$AE$326)*100000000+('Dvd Calendar'!$AE$330='Field Check'!$C$25)*10000000+(N('Dvd Calendar'!$AE$324)&gt;0)*1000000+22*1000+27))</f>
        <v/>
      </c>
      <c r="AD30" s="41">
        <f>IF(N('Dvd Calendar'!$AF$325)=0,"",IF(('Dvd Calendar'!$AF$325&gt;=MIN(DATE(Summary!$C$12,1,1),Summary!$C$11))*('Dvd Calendar'!$AF$325&lt;=MAX(DATE(Summary!$C$12,12,31),Summary!$C$15))*('Dvd Calendar'!$AF$325&lt;=Summary!$C$11)=0,"",'Dvd Calendar'!$AF$325*1000000000+ISNUMBER('Dvd Calendar'!$AF$326)*100000000+('Dvd Calendar'!$AF$330='Field Check'!$C$25)*10000000+(N('Dvd Calendar'!$AF$324)&gt;0)*1000000+22*1000+28))</f>
        <v/>
      </c>
      <c r="AE30" s="41">
        <f>IF(N('Dvd Calendar'!$AG$325)=0,"",IF(('Dvd Calendar'!$AG$325&gt;=MIN(DATE(Summary!$C$12,1,1),Summary!$C$11))*('Dvd Calendar'!$AG$325&lt;=MAX(DATE(Summary!$C$12,12,31),Summary!$C$15))*('Dvd Calendar'!$AG$325&lt;=Summary!$C$11)=0,"",'Dvd Calendar'!$AG$325*1000000000+ISNUMBER('Dvd Calendar'!$AG$326)*100000000+('Dvd Calendar'!$AG$330='Field Check'!$C$25)*10000000+(N('Dvd Calendar'!$AG$324)&gt;0)*1000000+22*1000+29))</f>
        <v/>
      </c>
      <c r="AF30" s="41">
        <f>IF(N('Dvd Calendar'!$AH$325)=0,"",IF(('Dvd Calendar'!$AH$325&gt;=MIN(DATE(Summary!$C$12,1,1),Summary!$C$11))*('Dvd Calendar'!$AH$325&lt;=MAX(DATE(Summary!$C$12,12,31),Summary!$C$15))*('Dvd Calendar'!$AH$325&lt;=Summary!$C$11)=0,"",'Dvd Calendar'!$AH$325*1000000000+ISNUMBER('Dvd Calendar'!$AH$326)*100000000+('Dvd Calendar'!$AH$330='Field Check'!$C$25)*10000000+(N('Dvd Calendar'!$AH$324)&gt;0)*1000000+22*1000+30))</f>
        <v/>
      </c>
      <c r="AG30" s="41">
        <f>IF(N('Dvd Calendar'!$AI$325)=0,"",IF(('Dvd Calendar'!$AI$325&gt;=MIN(DATE(Summary!$C$12,1,1),Summary!$C$11))*('Dvd Calendar'!$AI$325&lt;=MAX(DATE(Summary!$C$12,12,31),Summary!$C$15))*('Dvd Calendar'!$AI$325&lt;=Summary!$C$11)=0,"",'Dvd Calendar'!$AI$325*1000000000+ISNUMBER('Dvd Calendar'!$AI$326)*100000000+('Dvd Calendar'!$AI$330='Field Check'!$C$25)*10000000+(N('Dvd Calendar'!$AI$324)&gt;0)*1000000+22*1000+31))</f>
        <v/>
      </c>
      <c r="AH30" s="41">
        <f>IF(N('Dvd Calendar'!$AJ$325)=0,"",IF(('Dvd Calendar'!$AJ$325&gt;=MIN(DATE(Summary!$C$12,1,1),Summary!$C$11))*('Dvd Calendar'!$AJ$325&lt;=MAX(DATE(Summary!$C$12,12,31),Summary!$C$15))*('Dvd Calendar'!$AJ$325&lt;=Summary!$C$11)=0,"",'Dvd Calendar'!$AJ$325*1000000000+ISNUMBER('Dvd Calendar'!$AJ$326)*100000000+('Dvd Calendar'!$AJ$330='Field Check'!$C$25)*10000000+(N('Dvd Calendar'!$AJ$324)&gt;0)*1000000+22*1000+32))</f>
        <v/>
      </c>
      <c r="AI30" s="41">
        <f>IF(N('Dvd Calendar'!$AK$325)=0,"",IF(('Dvd Calendar'!$AK$325&gt;=MIN(DATE(Summary!$C$12,1,1),Summary!$C$11))*('Dvd Calendar'!$AK$325&lt;=MAX(DATE(Summary!$C$12,12,31),Summary!$C$15))*('Dvd Calendar'!$AK$325&lt;=Summary!$C$11)=0,"",'Dvd Calendar'!$AK$325*1000000000+ISNUMBER('Dvd Calendar'!$AK$326)*100000000+('Dvd Calendar'!$AK$330='Field Check'!$C$25)*10000000+(N('Dvd Calendar'!$AK$324)&gt;0)*1000000+22*1000+33))</f>
        <v/>
      </c>
      <c r="AJ30" s="41">
        <f>IF(N('Dvd Calendar'!$AL$325)=0,"",IF(('Dvd Calendar'!$AL$325&gt;=MIN(DATE(Summary!$C$12,1,1),Summary!$C$11))*('Dvd Calendar'!$AL$325&lt;=MAX(DATE(Summary!$C$12,12,31),Summary!$C$15))*('Dvd Calendar'!$AL$325&lt;=Summary!$C$11)=0,"",'Dvd Calendar'!$AL$325*1000000000+ISNUMBER('Dvd Calendar'!$AL$326)*100000000+('Dvd Calendar'!$AL$330='Field Check'!$C$25)*10000000+(N('Dvd Calendar'!$AL$324)&gt;0)*1000000+22*1000+34))</f>
        <v/>
      </c>
      <c r="AK30" s="41">
        <f>IF(N('Dvd Calendar'!$AM$325)=0,"",IF(('Dvd Calendar'!$AM$325&gt;=MIN(DATE(Summary!$C$12,1,1),Summary!$C$11))*('Dvd Calendar'!$AM$325&lt;=MAX(DATE(Summary!$C$12,12,31),Summary!$C$15))*('Dvd Calendar'!$AM$325&lt;=Summary!$C$11)=0,"",'Dvd Calendar'!$AM$325*1000000000+ISNUMBER('Dvd Calendar'!$AM$326)*100000000+('Dvd Calendar'!$AM$330='Field Check'!$C$25)*10000000+(N('Dvd Calendar'!$AM$324)&gt;0)*1000000+22*1000+35))</f>
        <v/>
      </c>
      <c r="AL30" s="41">
        <f>IF(N('Dvd Calendar'!$AN$325)=0,"",IF(('Dvd Calendar'!$AN$325&gt;=MIN(DATE(Summary!$C$12,1,1),Summary!$C$11))*('Dvd Calendar'!$AN$325&lt;=MAX(DATE(Summary!$C$12,12,31),Summary!$C$15))*('Dvd Calendar'!$AN$325&lt;=Summary!$C$11)=0,"",'Dvd Calendar'!$AN$325*1000000000+ISNUMBER('Dvd Calendar'!$AN$326)*100000000+('Dvd Calendar'!$AN$330='Field Check'!$C$25)*10000000+(N('Dvd Calendar'!$AN$324)&gt;0)*1000000+22*1000+36))</f>
        <v/>
      </c>
      <c r="AM30" s="41">
        <f>IF(N('Dvd Calendar'!$AO$325)=0,"",IF(('Dvd Calendar'!$AO$325&gt;=MIN(DATE(Summary!$C$12,1,1),Summary!$C$11))*('Dvd Calendar'!$AO$325&lt;=MAX(DATE(Summary!$C$12,12,31),Summary!$C$15))*('Dvd Calendar'!$AO$325&lt;=Summary!$C$11)=0,"",'Dvd Calendar'!$AO$325*1000000000+ISNUMBER('Dvd Calendar'!$AO$326)*100000000+('Dvd Calendar'!$AO$330='Field Check'!$C$25)*10000000+(N('Dvd Calendar'!$AO$324)&gt;0)*1000000+22*1000+37))</f>
        <v/>
      </c>
      <c r="AN30" s="41">
        <f>IF(N('Dvd Calendar'!$AP$325)=0,"",IF(('Dvd Calendar'!$AP$325&gt;=MIN(DATE(Summary!$C$12,1,1),Summary!$C$11))*('Dvd Calendar'!$AP$325&lt;=MAX(DATE(Summary!$C$12,12,31),Summary!$C$15))*('Dvd Calendar'!$AP$325&lt;=Summary!$C$11)=0,"",'Dvd Calendar'!$AP$325*1000000000+ISNUMBER('Dvd Calendar'!$AP$326)*100000000+('Dvd Calendar'!$AP$330='Field Check'!$C$25)*10000000+(N('Dvd Calendar'!$AP$324)&gt;0)*1000000+22*1000+38))</f>
        <v/>
      </c>
      <c r="AO30" s="41">
        <f>IF(N('Dvd Calendar'!$AQ$325)=0,"",IF(('Dvd Calendar'!$AQ$325&gt;=MIN(DATE(Summary!$C$12,1,1),Summary!$C$11))*('Dvd Calendar'!$AQ$325&lt;=MAX(DATE(Summary!$C$12,12,31),Summary!$C$15))*('Dvd Calendar'!$AQ$325&lt;=Summary!$C$11)=0,"",'Dvd Calendar'!$AQ$325*1000000000+ISNUMBER('Dvd Calendar'!$AQ$326)*100000000+('Dvd Calendar'!$AQ$330='Field Check'!$C$25)*10000000+(N('Dvd Calendar'!$AQ$324)&gt;0)*1000000+22*1000+39))</f>
        <v/>
      </c>
      <c r="AP30" s="41">
        <f>IF(N('Dvd Calendar'!$AR$325)=0,"",IF(('Dvd Calendar'!$AR$325&gt;=MIN(DATE(Summary!$C$12,1,1),Summary!$C$11))*('Dvd Calendar'!$AR$325&lt;=MAX(DATE(Summary!$C$12,12,31),Summary!$C$15))*('Dvd Calendar'!$AR$325&lt;=Summary!$C$11)=0,"",'Dvd Calendar'!$AR$325*1000000000+ISNUMBER('Dvd Calendar'!$AR$326)*100000000+('Dvd Calendar'!$AR$330='Field Check'!$C$25)*10000000+(N('Dvd Calendar'!$AR$324)&gt;0)*1000000+22*1000+40))</f>
        <v/>
      </c>
      <c r="AQ30" s="41">
        <f>IF(N('Dvd Calendar'!$E$332)=0,"",IF(('Dvd Calendar'!$E$332&gt;=MIN(DATE(Summary!$C$12,1,1),Summary!$C$11))*('Dvd Calendar'!$E$332&lt;=MAX(DATE(Summary!$C$12,12,31),Summary!$C$15))*('Dvd Calendar'!$E$332&gt;Summary!$C$11)=0,"",'Dvd Calendar'!$E$332*1000000000+ISNUMBER('Dvd Calendar'!$E$333)*100000000+('Dvd Calendar'!$E$337='Field Check'!$C$25)*10000000+(N('Dvd Calendar'!$E$331)&gt;0)*1000000+22*1000+41))</f>
        <v/>
      </c>
      <c r="AR30" s="41">
        <f>IF(N('Dvd Calendar'!$F$332)=0,"",IF(('Dvd Calendar'!$F$332&gt;=MIN(DATE(Summary!$C$12,1,1),Summary!$C$11))*('Dvd Calendar'!$F$332&lt;=MAX(DATE(Summary!$C$12,12,31),Summary!$C$15))*('Dvd Calendar'!$F$332&gt;Summary!$C$11)=0,"",'Dvd Calendar'!$F$332*1000000000+ISNUMBER('Dvd Calendar'!$F$333)*100000000+('Dvd Calendar'!$F$337='Field Check'!$C$25)*10000000+(N('Dvd Calendar'!$F$331)&gt;0)*1000000+22*1000+42))</f>
        <v/>
      </c>
      <c r="AS30" s="41">
        <f>IF(N('Dvd Calendar'!$G$332)=0,"",IF(('Dvd Calendar'!$G$332&gt;=MIN(DATE(Summary!$C$12,1,1),Summary!$C$11))*('Dvd Calendar'!$G$332&lt;=MAX(DATE(Summary!$C$12,12,31),Summary!$C$15))*('Dvd Calendar'!$G$332&gt;Summary!$C$11)=0,"",'Dvd Calendar'!$G$332*1000000000+ISNUMBER('Dvd Calendar'!$G$333)*100000000+('Dvd Calendar'!$G$337='Field Check'!$C$25)*10000000+(N('Dvd Calendar'!$G$331)&gt;0)*1000000+22*1000+43))</f>
        <v/>
      </c>
      <c r="AT30" s="41">
        <f>IF(N('Dvd Calendar'!$H$332)=0,"",IF(('Dvd Calendar'!$H$332&gt;=MIN(DATE(Summary!$C$12,1,1),Summary!$C$11))*('Dvd Calendar'!$H$332&lt;=MAX(DATE(Summary!$C$12,12,31),Summary!$C$15))*('Dvd Calendar'!$H$332&gt;Summary!$C$11)=0,"",'Dvd Calendar'!$H$332*1000000000+ISNUMBER('Dvd Calendar'!$H$333)*100000000+('Dvd Calendar'!$H$337='Field Check'!$C$25)*10000000+(N('Dvd Calendar'!$H$331)&gt;0)*1000000+22*1000+44))</f>
        <v/>
      </c>
      <c r="AU30" s="41">
        <f>IF(N('Dvd Calendar'!$I$332)=0,"",IF(('Dvd Calendar'!$I$332&gt;=MIN(DATE(Summary!$C$12,1,1),Summary!$C$11))*('Dvd Calendar'!$I$332&lt;=MAX(DATE(Summary!$C$12,12,31),Summary!$C$15))*('Dvd Calendar'!$I$332&gt;Summary!$C$11)=0,"",'Dvd Calendar'!$I$332*1000000000+ISNUMBER('Dvd Calendar'!$I$333)*100000000+('Dvd Calendar'!$I$337='Field Check'!$C$25)*10000000+(N('Dvd Calendar'!$I$331)&gt;0)*1000000+22*1000+45))</f>
        <v/>
      </c>
      <c r="AV30" s="41">
        <f>IF(N('Dvd Calendar'!$J$332)=0,"",IF(('Dvd Calendar'!$J$332&gt;=MIN(DATE(Summary!$C$12,1,1),Summary!$C$11))*('Dvd Calendar'!$J$332&lt;=MAX(DATE(Summary!$C$12,12,31),Summary!$C$15))*('Dvd Calendar'!$J$332&gt;Summary!$C$11)=0,"",'Dvd Calendar'!$J$332*1000000000+ISNUMBER('Dvd Calendar'!$J$333)*100000000+('Dvd Calendar'!$J$337='Field Check'!$C$25)*10000000+(N('Dvd Calendar'!$J$331)&gt;0)*1000000+22*1000+46))</f>
        <v/>
      </c>
      <c r="AW30" s="41">
        <f>IF(N('Dvd Calendar'!$K$332)=0,"",IF(('Dvd Calendar'!$K$332&gt;=MIN(DATE(Summary!$C$12,1,1),Summary!$C$11))*('Dvd Calendar'!$K$332&lt;=MAX(DATE(Summary!$C$12,12,31),Summary!$C$15))*('Dvd Calendar'!$K$332&gt;Summary!$C$11)=0,"",'Dvd Calendar'!$K$332*1000000000+ISNUMBER('Dvd Calendar'!$K$333)*100000000+('Dvd Calendar'!$K$337='Field Check'!$C$25)*10000000+(N('Dvd Calendar'!$K$331)&gt;0)*1000000+22*1000+47))</f>
        <v/>
      </c>
      <c r="AX30" s="41">
        <f>IF(N('Dvd Calendar'!$L$332)=0,"",IF(('Dvd Calendar'!$L$332&gt;=MIN(DATE(Summary!$C$12,1,1),Summary!$C$11))*('Dvd Calendar'!$L$332&lt;=MAX(DATE(Summary!$C$12,12,31),Summary!$C$15))*('Dvd Calendar'!$L$332&gt;Summary!$C$11)=0,"",'Dvd Calendar'!$L$332*1000000000+ISNUMBER('Dvd Calendar'!$L$333)*100000000+('Dvd Calendar'!$L$337='Field Check'!$C$25)*10000000+(N('Dvd Calendar'!$L$331)&gt;0)*1000000+22*1000+48))</f>
        <v/>
      </c>
      <c r="AY30" s="41">
        <f>IF(N('Dvd Calendar'!$M$332)=0,"",IF(('Dvd Calendar'!$M$332&gt;=MIN(DATE(Summary!$C$12,1,1),Summary!$C$11))*('Dvd Calendar'!$M$332&lt;=MAX(DATE(Summary!$C$12,12,31),Summary!$C$15))*('Dvd Calendar'!$M$332&gt;Summary!$C$11)=0,"",'Dvd Calendar'!$M$332*1000000000+ISNUMBER('Dvd Calendar'!$M$333)*100000000+('Dvd Calendar'!$M$337='Field Check'!$C$25)*10000000+(N('Dvd Calendar'!$M$331)&gt;0)*1000000+22*1000+49))</f>
        <v/>
      </c>
      <c r="AZ30" s="41">
        <f>IF(N('Dvd Calendar'!$N$332)=0,"",IF(('Dvd Calendar'!$N$332&gt;=MIN(DATE(Summary!$C$12,1,1),Summary!$C$11))*('Dvd Calendar'!$N$332&lt;=MAX(DATE(Summary!$C$12,12,31),Summary!$C$15))*('Dvd Calendar'!$N$332&gt;Summary!$C$11)=0,"",'Dvd Calendar'!$N$332*1000000000+ISNUMBER('Dvd Calendar'!$N$333)*100000000+('Dvd Calendar'!$N$337='Field Check'!$C$25)*10000000+(N('Dvd Calendar'!$N$331)&gt;0)*1000000+22*1000+50))</f>
        <v/>
      </c>
      <c r="BA30" s="41">
        <f>IF(N('Dvd Calendar'!$O$332)=0,"",IF(('Dvd Calendar'!$O$332&gt;=MIN(DATE(Summary!$C$12,1,1),Summary!$C$11))*('Dvd Calendar'!$O$332&lt;=MAX(DATE(Summary!$C$12,12,31),Summary!$C$15))*('Dvd Calendar'!$O$332&gt;Summary!$C$11)=0,"",'Dvd Calendar'!$O$332*1000000000+ISNUMBER('Dvd Calendar'!$O$333)*100000000+('Dvd Calendar'!$O$337='Field Check'!$C$25)*10000000+(N('Dvd Calendar'!$O$331)&gt;0)*1000000+22*1000+51))</f>
        <v/>
      </c>
      <c r="BB30" s="41">
        <f>IF(N('Dvd Calendar'!$P$332)=0,"",IF(('Dvd Calendar'!$P$332&gt;=MIN(DATE(Summary!$C$12,1,1),Summary!$C$11))*('Dvd Calendar'!$P$332&lt;=MAX(DATE(Summary!$C$12,12,31),Summary!$C$15))*('Dvd Calendar'!$P$332&gt;Summary!$C$11)=0,"",'Dvd Calendar'!$P$332*1000000000+ISNUMBER('Dvd Calendar'!$P$333)*100000000+('Dvd Calendar'!$P$337='Field Check'!$C$25)*10000000+(N('Dvd Calendar'!$P$331)&gt;0)*1000000+22*1000+52))</f>
        <v/>
      </c>
      <c r="BC30" s="41">
        <f>IF(N('Dvd Calendar'!$Q$332)=0,"",IF(('Dvd Calendar'!$Q$332&gt;=MIN(DATE(Summary!$C$12,1,1),Summary!$C$11))*('Dvd Calendar'!$Q$332&lt;=MAX(DATE(Summary!$C$12,12,31),Summary!$C$15))*('Dvd Calendar'!$Q$332&gt;Summary!$C$11)=0,"",'Dvd Calendar'!$Q$332*1000000000+ISNUMBER('Dvd Calendar'!$Q$333)*100000000+('Dvd Calendar'!$Q$337='Field Check'!$C$25)*10000000+(N('Dvd Calendar'!$Q$331)&gt;0)*1000000+22*1000+53))</f>
        <v/>
      </c>
      <c r="BD30" s="41">
        <f>IF(N('Dvd Calendar'!$R$332)=0,"",IF(('Dvd Calendar'!$R$332&gt;=MIN(DATE(Summary!$C$12,1,1),Summary!$C$11))*('Dvd Calendar'!$R$332&lt;=MAX(DATE(Summary!$C$12,12,31),Summary!$C$15))*('Dvd Calendar'!$R$332&gt;Summary!$C$11)=0,"",'Dvd Calendar'!$R$332*1000000000+ISNUMBER('Dvd Calendar'!$R$333)*100000000+('Dvd Calendar'!$R$337='Field Check'!$C$25)*10000000+(N('Dvd Calendar'!$R$331)&gt;0)*1000000+22*1000+54))</f>
        <v/>
      </c>
      <c r="BE30" s="41">
        <f>IF(N('Dvd Calendar'!$S$332)=0,"",IF(('Dvd Calendar'!$S$332&gt;=MIN(DATE(Summary!$C$12,1,1),Summary!$C$11))*('Dvd Calendar'!$S$332&lt;=MAX(DATE(Summary!$C$12,12,31),Summary!$C$15))*('Dvd Calendar'!$S$332&gt;Summary!$C$11)=0,"",'Dvd Calendar'!$S$332*1000000000+ISNUMBER('Dvd Calendar'!$S$333)*100000000+('Dvd Calendar'!$S$337='Field Check'!$C$25)*10000000+(N('Dvd Calendar'!$S$331)&gt;0)*1000000+22*1000+55))</f>
        <v/>
      </c>
      <c r="BF30" s="41">
        <f>IF(N('Dvd Calendar'!$T$332)=0,"",IF(('Dvd Calendar'!$T$332&gt;=MIN(DATE(Summary!$C$12,1,1),Summary!$C$11))*('Dvd Calendar'!$T$332&lt;=MAX(DATE(Summary!$C$12,12,31),Summary!$C$15))*('Dvd Calendar'!$T$332&gt;Summary!$C$11)=0,"",'Dvd Calendar'!$T$332*1000000000+ISNUMBER('Dvd Calendar'!$T$333)*100000000+('Dvd Calendar'!$T$337='Field Check'!$C$25)*10000000+(N('Dvd Calendar'!$T$331)&gt;0)*1000000+22*1000+56))</f>
        <v/>
      </c>
      <c r="BG30" s="41">
        <f>IF(N('Dvd Calendar'!$U$332)=0,"",IF(('Dvd Calendar'!$U$332&gt;=MIN(DATE(Summary!$C$12,1,1),Summary!$C$11))*('Dvd Calendar'!$U$332&lt;=MAX(DATE(Summary!$C$12,12,31),Summary!$C$15))*('Dvd Calendar'!$U$332&gt;Summary!$C$11)=0,"",'Dvd Calendar'!$U$332*1000000000+ISNUMBER('Dvd Calendar'!$U$333)*100000000+('Dvd Calendar'!$U$337='Field Check'!$C$25)*10000000+(N('Dvd Calendar'!$U$331)&gt;0)*1000000+22*1000+57))</f>
        <v/>
      </c>
      <c r="BH30" s="41">
        <f>IF(N('Dvd Calendar'!$V$332)=0,"",IF(('Dvd Calendar'!$V$332&gt;=MIN(DATE(Summary!$C$12,1,1),Summary!$C$11))*('Dvd Calendar'!$V$332&lt;=MAX(DATE(Summary!$C$12,12,31),Summary!$C$15))*('Dvd Calendar'!$V$332&gt;Summary!$C$11)=0,"",'Dvd Calendar'!$V$332*1000000000+ISNUMBER('Dvd Calendar'!$V$333)*100000000+('Dvd Calendar'!$V$337='Field Check'!$C$25)*10000000+(N('Dvd Calendar'!$V$331)&gt;0)*1000000+22*1000+58))</f>
        <v/>
      </c>
      <c r="BI30" s="41">
        <f>IF(N('Dvd Calendar'!$W$332)=0,"",IF(('Dvd Calendar'!$W$332&gt;=MIN(DATE(Summary!$C$12,1,1),Summary!$C$11))*('Dvd Calendar'!$W$332&lt;=MAX(DATE(Summary!$C$12,12,31),Summary!$C$15))*('Dvd Calendar'!$W$332&gt;Summary!$C$11)=0,"",'Dvd Calendar'!$W$332*1000000000+ISNUMBER('Dvd Calendar'!$W$333)*100000000+('Dvd Calendar'!$W$337='Field Check'!$C$25)*10000000+(N('Dvd Calendar'!$W$331)&gt;0)*1000000+22*1000+59))</f>
        <v/>
      </c>
      <c r="BJ30" s="41">
        <f>IF(N('Dvd Calendar'!$X$332)=0,"",IF(('Dvd Calendar'!$X$332&gt;=MIN(DATE(Summary!$C$12,1,1),Summary!$C$11))*('Dvd Calendar'!$X$332&lt;=MAX(DATE(Summary!$C$12,12,31),Summary!$C$15))*('Dvd Calendar'!$X$332&gt;Summary!$C$11)=0,"",'Dvd Calendar'!$X$332*1000000000+ISNUMBER('Dvd Calendar'!$X$333)*100000000+('Dvd Calendar'!$X$337='Field Check'!$C$25)*10000000+(N('Dvd Calendar'!$X$331)&gt;0)*1000000+22*1000+60))</f>
        <v/>
      </c>
      <c r="BK30" s="41">
        <f>IF(N('Dvd Calendar'!$Y$332)=0,"",IF(('Dvd Calendar'!$Y$332&gt;=MIN(DATE(Summary!$C$12,1,1),Summary!$C$11))*('Dvd Calendar'!$Y$332&lt;=MAX(DATE(Summary!$C$12,12,31),Summary!$C$15))*('Dvd Calendar'!$Y$332&gt;Summary!$C$11)=0,"",'Dvd Calendar'!$Y$332*1000000000+ISNUMBER('Dvd Calendar'!$Y$333)*100000000+('Dvd Calendar'!$Y$337='Field Check'!$C$25)*10000000+(N('Dvd Calendar'!$Y$331)&gt;0)*1000000+22*1000+61))</f>
        <v/>
      </c>
      <c r="BL30" s="41">
        <f>IF(N('Dvd Calendar'!$Z$332)=0,"",IF(('Dvd Calendar'!$Z$332&gt;=MIN(DATE(Summary!$C$12,1,1),Summary!$C$11))*('Dvd Calendar'!$Z$332&lt;=MAX(DATE(Summary!$C$12,12,31),Summary!$C$15))*('Dvd Calendar'!$Z$332&gt;Summary!$C$11)=0,"",'Dvd Calendar'!$Z$332*1000000000+ISNUMBER('Dvd Calendar'!$Z$333)*100000000+('Dvd Calendar'!$Z$337='Field Check'!$C$25)*10000000+(N('Dvd Calendar'!$Z$331)&gt;0)*1000000+22*1000+62))</f>
        <v/>
      </c>
      <c r="BM30" s="41">
        <f>IF(N('Dvd Calendar'!$AA$332)=0,"",IF(('Dvd Calendar'!$AA$332&gt;=MIN(DATE(Summary!$C$12,1,1),Summary!$C$11))*('Dvd Calendar'!$AA$332&lt;=MAX(DATE(Summary!$C$12,12,31),Summary!$C$15))*('Dvd Calendar'!$AA$332&gt;Summary!$C$11)=0,"",'Dvd Calendar'!$AA$332*1000000000+ISNUMBER('Dvd Calendar'!$AA$333)*100000000+('Dvd Calendar'!$AA$337='Field Check'!$C$25)*10000000+(N('Dvd Calendar'!$AA$331)&gt;0)*1000000+22*1000+63))</f>
        <v/>
      </c>
      <c r="BN30" s="41">
        <f>IF(N('Dvd Calendar'!$AB$332)=0,"",IF(('Dvd Calendar'!$AB$332&gt;=MIN(DATE(Summary!$C$12,1,1),Summary!$C$11))*('Dvd Calendar'!$AB$332&lt;=MAX(DATE(Summary!$C$12,12,31),Summary!$C$15))*('Dvd Calendar'!$AB$332&gt;Summary!$C$11)=0,"",'Dvd Calendar'!$AB$332*1000000000+ISNUMBER('Dvd Calendar'!$AB$333)*100000000+('Dvd Calendar'!$AB$337='Field Check'!$C$25)*10000000+(N('Dvd Calendar'!$AB$331)&gt;0)*1000000+22*1000+64))</f>
        <v/>
      </c>
      <c r="BO30" s="41">
        <f>IF(N('Dvd Calendar'!$AC$332)=0,"",IF(('Dvd Calendar'!$AC$332&gt;=MIN(DATE(Summary!$C$12,1,1),Summary!$C$11))*('Dvd Calendar'!$AC$332&lt;=MAX(DATE(Summary!$C$12,12,31),Summary!$C$15))*('Dvd Calendar'!$AC$332&gt;Summary!$C$11)=0,"",'Dvd Calendar'!$AC$332*1000000000+ISNUMBER('Dvd Calendar'!$AC$333)*100000000+('Dvd Calendar'!$AC$337='Field Check'!$C$25)*10000000+(N('Dvd Calendar'!$AC$331)&gt;0)*1000000+22*1000+65))</f>
        <v/>
      </c>
      <c r="BQ30" s="85">
        <f>IF(C30="","",IF(ISNUMBER('Dvd Calendar'!$E$326)=FALSE,"",IF((Summary!$C$13="N")*('Dvd Calendar'!$E$330='Field Check'!$C$25)&gt;0,"",'Dvd Calendar'!$E$326)))</f>
        <v/>
      </c>
      <c r="BR30" s="85">
        <f>IF(D30="","",IF(ISNUMBER('Dvd Calendar'!$F$326)=FALSE,"",IF((Summary!$C$13="N")*('Dvd Calendar'!$F$330='Field Check'!$C$25)&gt;0,"",'Dvd Calendar'!$F$326)))</f>
        <v/>
      </c>
      <c r="BS30" s="85">
        <f>IF(E30="","",IF(ISNUMBER('Dvd Calendar'!$G$326)=FALSE,"",IF((Summary!$C$13="N")*('Dvd Calendar'!$G$330='Field Check'!$C$25)&gt;0,"",'Dvd Calendar'!$G$326)))</f>
        <v/>
      </c>
      <c r="BT30" s="85">
        <f>IF(F30="","",IF(ISNUMBER('Dvd Calendar'!$H$326)=FALSE,"",IF((Summary!$C$13="N")*('Dvd Calendar'!$H$330='Field Check'!$C$25)&gt;0,"",'Dvd Calendar'!$H$326)))</f>
        <v/>
      </c>
      <c r="BU30" s="85">
        <f>IF(G30="","",IF(ISNUMBER('Dvd Calendar'!$I$326)=FALSE,"",IF((Summary!$C$13="N")*('Dvd Calendar'!$I$330='Field Check'!$C$25)&gt;0,"",'Dvd Calendar'!$I$326)))</f>
        <v/>
      </c>
      <c r="BV30" s="85">
        <f>IF(H30="","",IF(ISNUMBER('Dvd Calendar'!$J$326)=FALSE,"",IF((Summary!$C$13="N")*('Dvd Calendar'!$J$330='Field Check'!$C$25)&gt;0,"",'Dvd Calendar'!$J$326)))</f>
        <v/>
      </c>
      <c r="BW30" s="85">
        <f>IF(I30="","",IF(ISNUMBER('Dvd Calendar'!$K$326)=FALSE,"",IF((Summary!$C$13="N")*('Dvd Calendar'!$K$330='Field Check'!$C$25)&gt;0,"",'Dvd Calendar'!$K$326)))</f>
        <v/>
      </c>
      <c r="BX30" s="85">
        <f>IF(J30="","",IF(ISNUMBER('Dvd Calendar'!$L$326)=FALSE,"",IF((Summary!$C$13="N")*('Dvd Calendar'!$L$330='Field Check'!$C$25)&gt;0,"",'Dvd Calendar'!$L$326)))</f>
        <v/>
      </c>
      <c r="BY30" s="85">
        <f>IF(K30="","",IF(ISNUMBER('Dvd Calendar'!$M$326)=FALSE,"",IF((Summary!$C$13="N")*('Dvd Calendar'!$M$330='Field Check'!$C$25)&gt;0,"",'Dvd Calendar'!$M$326)))</f>
        <v/>
      </c>
      <c r="BZ30" s="85">
        <f>IF(L30="","",IF(ISNUMBER('Dvd Calendar'!$N$326)=FALSE,"",IF((Summary!$C$13="N")*('Dvd Calendar'!$N$330='Field Check'!$C$25)&gt;0,"",'Dvd Calendar'!$N$326)))</f>
        <v/>
      </c>
      <c r="CA30" s="85">
        <f>IF(M30="","",IF(ISNUMBER('Dvd Calendar'!$O$326)=FALSE,"",IF((Summary!$C$13="N")*('Dvd Calendar'!$O$330='Field Check'!$C$25)&gt;0,"",'Dvd Calendar'!$O$326)))</f>
        <v/>
      </c>
      <c r="CB30" s="85">
        <f>IF(N30="","",IF(ISNUMBER('Dvd Calendar'!$P$326)=FALSE,"",IF((Summary!$C$13="N")*('Dvd Calendar'!$P$330='Field Check'!$C$25)&gt;0,"",'Dvd Calendar'!$P$326)))</f>
        <v/>
      </c>
      <c r="CC30" s="85">
        <f>IF(O30="","",IF(ISNUMBER('Dvd Calendar'!$Q$326)=FALSE,"",IF((Summary!$C$13="N")*('Dvd Calendar'!$Q$330='Field Check'!$C$25)&gt;0,"",'Dvd Calendar'!$Q$326)))</f>
        <v/>
      </c>
      <c r="CD30" s="85">
        <f>IF(P30="","",IF(ISNUMBER('Dvd Calendar'!$R$326)=FALSE,"",IF((Summary!$C$13="N")*('Dvd Calendar'!$R$330='Field Check'!$C$25)&gt;0,"",'Dvd Calendar'!$R$326)))</f>
        <v/>
      </c>
      <c r="CE30" s="85">
        <f>IF(Q30="","",IF(ISNUMBER('Dvd Calendar'!$S$326)=FALSE,"",IF((Summary!$C$13="N")*('Dvd Calendar'!$S$330='Field Check'!$C$25)&gt;0,"",'Dvd Calendar'!$S$326)))</f>
        <v/>
      </c>
      <c r="CF30" s="85">
        <f>IF(R30="","",IF(ISNUMBER('Dvd Calendar'!$T$326)=FALSE,"",IF((Summary!$C$13="N")*('Dvd Calendar'!$T$330='Field Check'!$C$25)&gt;0,"",'Dvd Calendar'!$T$326)))</f>
        <v/>
      </c>
      <c r="CG30" s="85">
        <f>IF(S30="","",IF(ISNUMBER('Dvd Calendar'!$U$326)=FALSE,"",IF((Summary!$C$13="N")*('Dvd Calendar'!$U$330='Field Check'!$C$25)&gt;0,"",'Dvd Calendar'!$U$326)))</f>
        <v/>
      </c>
      <c r="CH30" s="85">
        <f>IF(T30="","",IF(ISNUMBER('Dvd Calendar'!$V$326)=FALSE,"",IF((Summary!$C$13="N")*('Dvd Calendar'!$V$330='Field Check'!$C$25)&gt;0,"",'Dvd Calendar'!$V$326)))</f>
        <v/>
      </c>
      <c r="CI30" s="85">
        <f>IF(U30="","",IF(ISNUMBER('Dvd Calendar'!$W$326)=FALSE,"",IF((Summary!$C$13="N")*('Dvd Calendar'!$W$330='Field Check'!$C$25)&gt;0,"",'Dvd Calendar'!$W$326)))</f>
        <v/>
      </c>
      <c r="CJ30" s="85">
        <f>IF(V30="","",IF(ISNUMBER('Dvd Calendar'!$X$326)=FALSE,"",IF((Summary!$C$13="N")*('Dvd Calendar'!$X$330='Field Check'!$C$25)&gt;0,"",'Dvd Calendar'!$X$326)))</f>
        <v/>
      </c>
      <c r="CK30" s="85">
        <f>IF(W30="","",IF(ISNUMBER('Dvd Calendar'!$Y$326)=FALSE,"",IF((Summary!$C$13="N")*('Dvd Calendar'!$Y$330='Field Check'!$C$25)&gt;0,"",'Dvd Calendar'!$Y$326)))</f>
        <v/>
      </c>
      <c r="CL30" s="85">
        <f>IF(X30="","",IF(ISNUMBER('Dvd Calendar'!$Z$326)=FALSE,"",IF((Summary!$C$13="N")*('Dvd Calendar'!$Z$330='Field Check'!$C$25)&gt;0,"",'Dvd Calendar'!$Z$326)))</f>
        <v/>
      </c>
      <c r="CM30" s="85">
        <f>IF(Y30="","",IF(ISNUMBER('Dvd Calendar'!$AA$326)=FALSE,"",IF((Summary!$C$13="N")*('Dvd Calendar'!$AA$330='Field Check'!$C$25)&gt;0,"",'Dvd Calendar'!$AA$326)))</f>
        <v/>
      </c>
      <c r="CN30" s="85">
        <f>IF(Z30="","",IF(ISNUMBER('Dvd Calendar'!$AB$326)=FALSE,"",IF((Summary!$C$13="N")*('Dvd Calendar'!$AB$330='Field Check'!$C$25)&gt;0,"",'Dvd Calendar'!$AB$326)))</f>
        <v/>
      </c>
      <c r="CO30" s="85">
        <f>IF(AA30="","",IF(ISNUMBER('Dvd Calendar'!$AC$326)=FALSE,"",IF((Summary!$C$13="N")*('Dvd Calendar'!$AC$330='Field Check'!$C$25)&gt;0,"",'Dvd Calendar'!$AC$326)))</f>
        <v/>
      </c>
      <c r="CP30" s="85">
        <f>IF(AB30="","",IF(ISNUMBER('Dvd Calendar'!$AD$326)=FALSE,"",IF((Summary!$C$13="N")*('Dvd Calendar'!$AD$330='Field Check'!$C$25)&gt;0,"",'Dvd Calendar'!$AD$326)))</f>
        <v/>
      </c>
      <c r="CQ30" s="85">
        <f>IF(AC30="","",IF(ISNUMBER('Dvd Calendar'!$AE$326)=FALSE,"",IF((Summary!$C$13="N")*('Dvd Calendar'!$AE$330='Field Check'!$C$25)&gt;0,"",'Dvd Calendar'!$AE$326)))</f>
        <v/>
      </c>
      <c r="CR30" s="85">
        <f>IF(AD30="","",IF(ISNUMBER('Dvd Calendar'!$AF$326)=FALSE,"",IF((Summary!$C$13="N")*('Dvd Calendar'!$AF$330='Field Check'!$C$25)&gt;0,"",'Dvd Calendar'!$AF$326)))</f>
        <v/>
      </c>
      <c r="CS30" s="85">
        <f>IF(AE30="","",IF(ISNUMBER('Dvd Calendar'!$AG$326)=FALSE,"",IF((Summary!$C$13="N")*('Dvd Calendar'!$AG$330='Field Check'!$C$25)&gt;0,"",'Dvd Calendar'!$AG$326)))</f>
        <v/>
      </c>
      <c r="CT30" s="85">
        <f>IF(AF30="","",IF(ISNUMBER('Dvd Calendar'!$AH$326)=FALSE,"",IF((Summary!$C$13="N")*('Dvd Calendar'!$AH$330='Field Check'!$C$25)&gt;0,"",'Dvd Calendar'!$AH$326)))</f>
        <v/>
      </c>
      <c r="CU30" s="85">
        <f>IF(AG30="","",IF(ISNUMBER('Dvd Calendar'!$AI$326)=FALSE,"",IF((Summary!$C$13="N")*('Dvd Calendar'!$AI$330='Field Check'!$C$25)&gt;0,"",'Dvd Calendar'!$AI$326)))</f>
        <v/>
      </c>
      <c r="CV30" s="85">
        <f>IF(AH30="","",IF(ISNUMBER('Dvd Calendar'!$AJ$326)=FALSE,"",IF((Summary!$C$13="N")*('Dvd Calendar'!$AJ$330='Field Check'!$C$25)&gt;0,"",'Dvd Calendar'!$AJ$326)))</f>
        <v/>
      </c>
      <c r="CW30" s="85">
        <f>IF(AI30="","",IF(ISNUMBER('Dvd Calendar'!$AK$326)=FALSE,"",IF((Summary!$C$13="N")*('Dvd Calendar'!$AK$330='Field Check'!$C$25)&gt;0,"",'Dvd Calendar'!$AK$326)))</f>
        <v/>
      </c>
      <c r="CX30" s="85">
        <f>IF(AJ30="","",IF(ISNUMBER('Dvd Calendar'!$AL$326)=FALSE,"",IF((Summary!$C$13="N")*('Dvd Calendar'!$AL$330='Field Check'!$C$25)&gt;0,"",'Dvd Calendar'!$AL$326)))</f>
        <v/>
      </c>
      <c r="CY30" s="85">
        <f>IF(AK30="","",IF(ISNUMBER('Dvd Calendar'!$AM$326)=FALSE,"",IF((Summary!$C$13="N")*('Dvd Calendar'!$AM$330='Field Check'!$C$25)&gt;0,"",'Dvd Calendar'!$AM$326)))</f>
        <v/>
      </c>
      <c r="CZ30" s="85">
        <f>IF(AL30="","",IF(ISNUMBER('Dvd Calendar'!$AN$326)=FALSE,"",IF((Summary!$C$13="N")*('Dvd Calendar'!$AN$330='Field Check'!$C$25)&gt;0,"",'Dvd Calendar'!$AN$326)))</f>
        <v/>
      </c>
      <c r="DA30" s="85">
        <f>IF(AM30="","",IF(ISNUMBER('Dvd Calendar'!$AO$326)=FALSE,"",IF((Summary!$C$13="N")*('Dvd Calendar'!$AO$330='Field Check'!$C$25)&gt;0,"",'Dvd Calendar'!$AO$326)))</f>
        <v/>
      </c>
      <c r="DB30" s="85">
        <f>IF(AN30="","",IF(ISNUMBER('Dvd Calendar'!$AP$326)=FALSE,"",IF((Summary!$C$13="N")*('Dvd Calendar'!$AP$330='Field Check'!$C$25)&gt;0,"",'Dvd Calendar'!$AP$326)))</f>
        <v/>
      </c>
      <c r="DC30" s="85">
        <f>IF(AO30="","",IF(ISNUMBER('Dvd Calendar'!$AQ$326)=FALSE,"",IF((Summary!$C$13="N")*('Dvd Calendar'!$AQ$330='Field Check'!$C$25)&gt;0,"",'Dvd Calendar'!$AQ$326)))</f>
        <v/>
      </c>
      <c r="DD30" s="85">
        <f>IF(AP30="","",IF(ISNUMBER('Dvd Calendar'!$AR$326)=FALSE,"",IF((Summary!$C$13="N")*('Dvd Calendar'!$AR$330='Field Check'!$C$25)&gt;0,"",'Dvd Calendar'!$AR$326)))</f>
        <v/>
      </c>
      <c r="DE30" s="85">
        <f>IF(AQ30="","",IF(ISNUMBER('Dvd Calendar'!$E$333)=FALSE,"",IF((Summary!$C$13="N")*('Dvd Calendar'!$E$337='Field Check'!$C$25)&gt;0,"",'Dvd Calendar'!$E$333)))</f>
        <v/>
      </c>
      <c r="DF30" s="85">
        <f>IF(AR30="","",IF(ISNUMBER('Dvd Calendar'!$F$333)=FALSE,"",IF((Summary!$C$13="N")*('Dvd Calendar'!$F$337='Field Check'!$C$25)&gt;0,"",'Dvd Calendar'!$F$333)))</f>
        <v/>
      </c>
      <c r="DG30" s="85">
        <f>IF(AS30="","",IF(ISNUMBER('Dvd Calendar'!$G$333)=FALSE,"",IF((Summary!$C$13="N")*('Dvd Calendar'!$G$337='Field Check'!$C$25)&gt;0,"",'Dvd Calendar'!$G$333)))</f>
        <v/>
      </c>
      <c r="DH30" s="85">
        <f>IF(AT30="","",IF(ISNUMBER('Dvd Calendar'!$H$333)=FALSE,"",IF((Summary!$C$13="N")*('Dvd Calendar'!$H$337='Field Check'!$C$25)&gt;0,"",'Dvd Calendar'!$H$333)))</f>
        <v/>
      </c>
      <c r="DI30" s="85">
        <f>IF(AU30="","",IF(ISNUMBER('Dvd Calendar'!$I$333)=FALSE,"",IF((Summary!$C$13="N")*('Dvd Calendar'!$I$337='Field Check'!$C$25)&gt;0,"",'Dvd Calendar'!$I$333)))</f>
        <v/>
      </c>
      <c r="DJ30" s="85">
        <f>IF(AV30="","",IF(ISNUMBER('Dvd Calendar'!$J$333)=FALSE,"",IF((Summary!$C$13="N")*('Dvd Calendar'!$J$337='Field Check'!$C$25)&gt;0,"",'Dvd Calendar'!$J$333)))</f>
        <v/>
      </c>
      <c r="DK30" s="85">
        <f>IF(AW30="","",IF(ISNUMBER('Dvd Calendar'!$K$333)=FALSE,"",IF((Summary!$C$13="N")*('Dvd Calendar'!$K$337='Field Check'!$C$25)&gt;0,"",'Dvd Calendar'!$K$333)))</f>
        <v/>
      </c>
      <c r="DL30" s="85">
        <f>IF(AX30="","",IF(ISNUMBER('Dvd Calendar'!$L$333)=FALSE,"",IF((Summary!$C$13="N")*('Dvd Calendar'!$L$337='Field Check'!$C$25)&gt;0,"",'Dvd Calendar'!$L$333)))</f>
        <v/>
      </c>
      <c r="DM30" s="85">
        <f>IF(AY30="","",IF(ISNUMBER('Dvd Calendar'!$M$333)=FALSE,"",IF((Summary!$C$13="N")*('Dvd Calendar'!$M$337='Field Check'!$C$25)&gt;0,"",'Dvd Calendar'!$M$333)))</f>
        <v/>
      </c>
      <c r="DN30" s="85">
        <f>IF(AZ30="","",IF(ISNUMBER('Dvd Calendar'!$N$333)=FALSE,"",IF((Summary!$C$13="N")*('Dvd Calendar'!$N$337='Field Check'!$C$25)&gt;0,"",'Dvd Calendar'!$N$333)))</f>
        <v/>
      </c>
      <c r="DO30" s="85">
        <f>IF(BA30="","",IF(ISNUMBER('Dvd Calendar'!$O$333)=FALSE,"",IF((Summary!$C$13="N")*('Dvd Calendar'!$O$337='Field Check'!$C$25)&gt;0,"",'Dvd Calendar'!$O$333)))</f>
        <v/>
      </c>
      <c r="DP30" s="85">
        <f>IF(BB30="","",IF(ISNUMBER('Dvd Calendar'!$P$333)=FALSE,"",IF((Summary!$C$13="N")*('Dvd Calendar'!$P$337='Field Check'!$C$25)&gt;0,"",'Dvd Calendar'!$P$333)))</f>
        <v/>
      </c>
      <c r="DQ30" s="85">
        <f>IF(BC30="","",IF(ISNUMBER('Dvd Calendar'!$Q$333)=FALSE,"",IF((Summary!$C$13="N")*('Dvd Calendar'!$Q$337='Field Check'!$C$25)&gt;0,"",'Dvd Calendar'!$Q$333)))</f>
        <v/>
      </c>
      <c r="DR30" s="85">
        <f>IF(BD30="","",IF(ISNUMBER('Dvd Calendar'!$R$333)=FALSE,"",IF((Summary!$C$13="N")*('Dvd Calendar'!$R$337='Field Check'!$C$25)&gt;0,"",'Dvd Calendar'!$R$333)))</f>
        <v/>
      </c>
      <c r="DS30" s="85">
        <f>IF(BE30="","",IF(ISNUMBER('Dvd Calendar'!$S$333)=FALSE,"",IF((Summary!$C$13="N")*('Dvd Calendar'!$S$337='Field Check'!$C$25)&gt;0,"",'Dvd Calendar'!$S$333)))</f>
        <v/>
      </c>
      <c r="DT30" s="85">
        <f>IF(BF30="","",IF(ISNUMBER('Dvd Calendar'!$T$333)=FALSE,"",IF((Summary!$C$13="N")*('Dvd Calendar'!$T$337='Field Check'!$C$25)&gt;0,"",'Dvd Calendar'!$T$333)))</f>
        <v/>
      </c>
      <c r="DU30" s="85">
        <f>IF(BG30="","",IF(ISNUMBER('Dvd Calendar'!$U$333)=FALSE,"",IF((Summary!$C$13="N")*('Dvd Calendar'!$U$337='Field Check'!$C$25)&gt;0,"",'Dvd Calendar'!$U$333)))</f>
        <v/>
      </c>
      <c r="DV30" s="85">
        <f>IF(BH30="","",IF(ISNUMBER('Dvd Calendar'!$V$333)=FALSE,"",IF((Summary!$C$13="N")*('Dvd Calendar'!$V$337='Field Check'!$C$25)&gt;0,"",'Dvd Calendar'!$V$333)))</f>
        <v/>
      </c>
      <c r="DW30" s="85">
        <f>IF(BI30="","",IF(ISNUMBER('Dvd Calendar'!$W$333)=FALSE,"",IF((Summary!$C$13="N")*('Dvd Calendar'!$W$337='Field Check'!$C$25)&gt;0,"",'Dvd Calendar'!$W$333)))</f>
        <v/>
      </c>
      <c r="DX30" s="85">
        <f>IF(BJ30="","",IF(ISNUMBER('Dvd Calendar'!$X$333)=FALSE,"",IF((Summary!$C$13="N")*('Dvd Calendar'!$X$337='Field Check'!$C$25)&gt;0,"",'Dvd Calendar'!$X$333)))</f>
        <v/>
      </c>
      <c r="DY30" s="85">
        <f>IF(BK30="","",IF(ISNUMBER('Dvd Calendar'!$Y$333)=FALSE,"",IF((Summary!$C$13="N")*('Dvd Calendar'!$Y$337='Field Check'!$C$25)&gt;0,"",'Dvd Calendar'!$Y$333)))</f>
        <v/>
      </c>
      <c r="DZ30" s="85">
        <f>IF(BL30="","",IF(ISNUMBER('Dvd Calendar'!$Z$333)=FALSE,"",IF((Summary!$C$13="N")*('Dvd Calendar'!$Z$337='Field Check'!$C$25)&gt;0,"",'Dvd Calendar'!$Z$333)))</f>
        <v/>
      </c>
      <c r="EA30" s="85">
        <f>IF(BM30="","",IF(ISNUMBER('Dvd Calendar'!$AA$333)=FALSE,"",IF((Summary!$C$13="N")*('Dvd Calendar'!$AA$337='Field Check'!$C$25)&gt;0,"",'Dvd Calendar'!$AA$333)))</f>
        <v/>
      </c>
      <c r="EB30" s="85">
        <f>IF(BN30="","",IF(ISNUMBER('Dvd Calendar'!$AB$333)=FALSE,"",IF((Summary!$C$13="N")*('Dvd Calendar'!$AB$337='Field Check'!$C$25)&gt;0,"",'Dvd Calendar'!$AB$333)))</f>
        <v/>
      </c>
      <c r="EC30" s="85">
        <f>IF(BO30="","",IF(ISNUMBER('Dvd Calendar'!$AC$333)=FALSE,"",IF((Summary!$C$13="N")*('Dvd Calendar'!$AC$337='Field Check'!$C$25)&gt;0,"",'Dvd Calendar'!$AC$333)))</f>
        <v/>
      </c>
      <c r="EE30" s="85">
        <f>IF(BQ30="","",IFERROR(BQ30*HSI!$B$28*HSI!$G$28/HSI!$B$3,""))</f>
        <v/>
      </c>
      <c r="EF30" s="85">
        <f>IF(BR30="","",IFERROR(BR30*HSI!$B$28*HSI!$G$28/HSI!$B$3,""))</f>
        <v/>
      </c>
      <c r="EG30" s="85">
        <f>IF(BS30="","",IFERROR(BS30*HSI!$B$28*HSI!$G$28/HSI!$B$3,""))</f>
        <v/>
      </c>
      <c r="EH30" s="85">
        <f>IF(BT30="","",IFERROR(BT30*HSI!$B$28*HSI!$G$28/HSI!$B$3,""))</f>
        <v/>
      </c>
      <c r="EI30" s="85">
        <f>IF(BU30="","",IFERROR(BU30*HSI!$B$28*HSI!$G$28/HSI!$B$3,""))</f>
        <v/>
      </c>
      <c r="EJ30" s="85">
        <f>IF(BV30="","",IFERROR(BV30*HSI!$B$28*HSI!$G$28/HSI!$B$3,""))</f>
        <v/>
      </c>
      <c r="EK30" s="85">
        <f>IF(BW30="","",IFERROR(BW30*HSI!$B$28*HSI!$G$28/HSI!$B$3,""))</f>
        <v/>
      </c>
      <c r="EL30" s="85">
        <f>IF(BX30="","",IFERROR(BX30*HSI!$B$28*HSI!$G$28/HSI!$B$3,""))</f>
        <v/>
      </c>
      <c r="EM30" s="85">
        <f>IF(BY30="","",IFERROR(BY30*HSI!$B$28*HSI!$G$28/HSI!$B$3,""))</f>
        <v/>
      </c>
      <c r="EN30" s="85">
        <f>IF(BZ30="","",IFERROR(BZ30*HSI!$B$28*HSI!$G$28/HSI!$B$3,""))</f>
        <v/>
      </c>
      <c r="EO30" s="85">
        <f>IF(CA30="","",IFERROR(CA30*HSI!$B$28*HSI!$G$28/HSI!$B$3,""))</f>
        <v/>
      </c>
      <c r="EP30" s="85">
        <f>IF(CB30="","",IFERROR(CB30*HSI!$B$28*HSI!$G$28/HSI!$B$3,""))</f>
        <v/>
      </c>
      <c r="EQ30" s="85">
        <f>IF(CC30="","",IFERROR(CC30*HSI!$B$28*HSI!$G$28/HSI!$B$3,""))</f>
        <v/>
      </c>
      <c r="ER30" s="85">
        <f>IF(CD30="","",IFERROR(CD30*HSI!$B$28*HSI!$G$28/HSI!$B$3,""))</f>
        <v/>
      </c>
      <c r="ES30" s="85">
        <f>IF(CE30="","",IFERROR(CE30*HSI!$B$28*HSI!$G$28/HSI!$B$3,""))</f>
        <v/>
      </c>
      <c r="ET30" s="85">
        <f>IF(CF30="","",IFERROR(CF30*HSI!$B$28*HSI!$G$28/HSI!$B$3,""))</f>
        <v/>
      </c>
      <c r="EU30" s="85">
        <f>IF(CG30="","",IFERROR(CG30*HSI!$B$28*HSI!$G$28/HSI!$B$3,""))</f>
        <v/>
      </c>
      <c r="EV30" s="85">
        <f>IF(CH30="","",IFERROR(CH30*HSI!$B$28*HSI!$G$28/HSI!$B$3,""))</f>
        <v/>
      </c>
      <c r="EW30" s="85">
        <f>IF(CI30="","",IFERROR(CI30*HSI!$B$28*HSI!$G$28/HSI!$B$3,""))</f>
        <v/>
      </c>
      <c r="EX30" s="85">
        <f>IF(CJ30="","",IFERROR(CJ30*HSI!$B$28*HSI!$G$28/HSI!$B$3,""))</f>
        <v/>
      </c>
      <c r="EY30" s="85">
        <f>IF(CK30="","",IFERROR(CK30*HSI!$B$28*HSI!$G$28/HSI!$B$3,""))</f>
        <v/>
      </c>
      <c r="EZ30" s="85">
        <f>IF(CL30="","",IFERROR(CL30*HSI!$B$28*HSI!$G$28/HSI!$B$3,""))</f>
        <v/>
      </c>
      <c r="FA30" s="85">
        <f>IF(CM30="","",IFERROR(CM30*HSI!$B$28*HSI!$G$28/HSI!$B$3,""))</f>
        <v/>
      </c>
      <c r="FB30" s="85">
        <f>IF(CN30="","",IFERROR(CN30*HSI!$B$28*HSI!$G$28/HSI!$B$3,""))</f>
        <v/>
      </c>
      <c r="FC30" s="85">
        <f>IF(CO30="","",IFERROR(CO30*HSI!$B$28*HSI!$G$28/HSI!$B$3,""))</f>
        <v/>
      </c>
      <c r="FD30" s="85">
        <f>IF(CP30="","",IFERROR(CP30*HSI!$B$28*HSI!$G$28/HSI!$B$3,""))</f>
        <v/>
      </c>
      <c r="FE30" s="85">
        <f>IF(CQ30="","",IFERROR(CQ30*HSI!$B$28*HSI!$G$28/HSI!$B$3,""))</f>
        <v/>
      </c>
      <c r="FF30" s="85">
        <f>IF(CR30="","",IFERROR(CR30*HSI!$B$28*HSI!$G$28/HSI!$B$3,""))</f>
        <v/>
      </c>
      <c r="FG30" s="85">
        <f>IF(CS30="","",IFERROR(CS30*HSI!$B$28*HSI!$G$28/HSI!$B$3,""))</f>
        <v/>
      </c>
      <c r="FH30" s="85">
        <f>IF(CT30="","",IFERROR(CT30*HSI!$B$28*HSI!$G$28/HSI!$B$3,""))</f>
        <v/>
      </c>
      <c r="FI30" s="85">
        <f>IF(CU30="","",IFERROR(CU30*HSI!$B$28*HSI!$G$28/HSI!$B$3,""))</f>
        <v/>
      </c>
      <c r="FJ30" s="85">
        <f>IF(CV30="","",IFERROR(CV30*HSI!$B$28*HSI!$G$28/HSI!$B$3,""))</f>
        <v/>
      </c>
      <c r="FK30" s="85">
        <f>IF(CW30="","",IFERROR(CW30*HSI!$B$28*HSI!$G$28/HSI!$B$3,""))</f>
        <v/>
      </c>
      <c r="FL30" s="85">
        <f>IF(CX30="","",IFERROR(CX30*HSI!$B$28*HSI!$G$28/HSI!$B$3,""))</f>
        <v/>
      </c>
      <c r="FM30" s="85">
        <f>IF(CY30="","",IFERROR(CY30*HSI!$B$28*HSI!$G$28/HSI!$B$3,""))</f>
        <v/>
      </c>
      <c r="FN30" s="85">
        <f>IF(CZ30="","",IFERROR(CZ30*HSI!$B$28*HSI!$G$28/HSI!$B$3,""))</f>
        <v/>
      </c>
      <c r="FO30" s="85">
        <f>IF(DA30="","",IFERROR(DA30*HSI!$B$28*HSI!$G$28/HSI!$B$3,""))</f>
        <v/>
      </c>
      <c r="FP30" s="85">
        <f>IF(DB30="","",IFERROR(DB30*HSI!$B$28*HSI!$G$28/HSI!$B$3,""))</f>
        <v/>
      </c>
      <c r="FQ30" s="85">
        <f>IF(DC30="","",IFERROR(DC30*HSI!$B$28*HSI!$G$28/HSI!$B$3,""))</f>
        <v/>
      </c>
      <c r="FR30" s="85">
        <f>IF(DD30="","",IFERROR(DD30*HSI!$B$28*HSI!$G$28/HSI!$B$3,""))</f>
        <v/>
      </c>
      <c r="FS30" s="85">
        <f>IF(DE30="","",IFERROR(DE30*HSI!$B$28*HSI!$G$28/HSI!$B$3,""))</f>
        <v/>
      </c>
      <c r="FT30" s="85">
        <f>IF(DF30="","",IFERROR(DF30*HSI!$B$28*HSI!$G$28/HSI!$B$3,""))</f>
        <v/>
      </c>
      <c r="FU30" s="85">
        <f>IF(DG30="","",IFERROR(DG30*HSI!$B$28*HSI!$G$28/HSI!$B$3,""))</f>
        <v/>
      </c>
      <c r="FV30" s="85">
        <f>IF(DH30="","",IFERROR(DH30*HSI!$B$28*HSI!$G$28/HSI!$B$3,""))</f>
        <v/>
      </c>
      <c r="FW30" s="85">
        <f>IF(DI30="","",IFERROR(DI30*HSI!$B$28*HSI!$G$28/HSI!$B$3,""))</f>
        <v/>
      </c>
      <c r="FX30" s="85">
        <f>IF(DJ30="","",IFERROR(DJ30*HSI!$B$28*HSI!$G$28/HSI!$B$3,""))</f>
        <v/>
      </c>
      <c r="FY30" s="85">
        <f>IF(DK30="","",IFERROR(DK30*HSI!$B$28*HSI!$G$28/HSI!$B$3,""))</f>
        <v/>
      </c>
      <c r="FZ30" s="85">
        <f>IF(DL30="","",IFERROR(DL30*HSI!$B$28*HSI!$G$28/HSI!$B$3,""))</f>
        <v/>
      </c>
      <c r="GA30" s="85">
        <f>IF(DM30="","",IFERROR(DM30*HSI!$B$28*HSI!$G$28/HSI!$B$3,""))</f>
        <v/>
      </c>
      <c r="GB30" s="85">
        <f>IF(DN30="","",IFERROR(DN30*HSI!$B$28*HSI!$G$28/HSI!$B$3,""))</f>
        <v/>
      </c>
      <c r="GC30" s="85">
        <f>IF(DO30="","",IFERROR(DO30*HSI!$B$28*HSI!$G$28/HSI!$B$3,""))</f>
        <v/>
      </c>
      <c r="GD30" s="85">
        <f>IF(DP30="","",IFERROR(DP30*HSI!$B$28*HSI!$G$28/HSI!$B$3,""))</f>
        <v/>
      </c>
      <c r="GE30" s="85">
        <f>IF(DQ30="","",IFERROR(DQ30*HSI!$B$28*HSI!$G$28/HSI!$B$3,""))</f>
        <v/>
      </c>
      <c r="GF30" s="85">
        <f>IF(DR30="","",IFERROR(DR30*HSI!$B$28*HSI!$G$28/HSI!$B$3,""))</f>
        <v/>
      </c>
      <c r="GG30" s="85">
        <f>IF(DS30="","",IFERROR(DS30*HSI!$B$28*HSI!$G$28/HSI!$B$3,""))</f>
        <v/>
      </c>
      <c r="GH30" s="85">
        <f>IF(DT30="","",IFERROR(DT30*HSI!$B$28*HSI!$G$28/HSI!$B$3,""))</f>
        <v/>
      </c>
      <c r="GI30" s="85">
        <f>IF(DU30="","",IFERROR(DU30*HSI!$B$28*HSI!$G$28/HSI!$B$3,""))</f>
        <v/>
      </c>
      <c r="GJ30" s="85">
        <f>IF(DV30="","",IFERROR(DV30*HSI!$B$28*HSI!$G$28/HSI!$B$3,""))</f>
        <v/>
      </c>
      <c r="GK30" s="85">
        <f>IF(DW30="","",IFERROR(DW30*HSI!$B$28*HSI!$G$28/HSI!$B$3,""))</f>
        <v/>
      </c>
      <c r="GL30" s="85">
        <f>IF(DX30="","",IFERROR(DX30*HSI!$B$28*HSI!$G$28/HSI!$B$3,""))</f>
        <v/>
      </c>
      <c r="GM30" s="85">
        <f>IF(DY30="","",IFERROR(DY30*HSI!$B$28*HSI!$G$28/HSI!$B$3,""))</f>
        <v/>
      </c>
      <c r="GN30" s="85">
        <f>IF(DZ30="","",IFERROR(DZ30*HSI!$B$28*HSI!$G$28/HSI!$B$3,""))</f>
        <v/>
      </c>
      <c r="GO30" s="85">
        <f>IF(EA30="","",IFERROR(EA30*HSI!$B$28*HSI!$G$28/HSI!$B$3,""))</f>
        <v/>
      </c>
      <c r="GP30" s="85">
        <f>IF(EB30="","",IFERROR(EB30*HSI!$B$28*HSI!$G$28/HSI!$B$3,""))</f>
        <v/>
      </c>
      <c r="GQ30" s="85">
        <f>IF(EC30="","",IFERROR(EC30*HSI!$B$28*HSI!$G$28/HSI!$B$3,""))</f>
        <v/>
      </c>
    </row>
    <row r="31">
      <c r="B31" s="2">
        <f>IF(HSI!$C$29="","",HSI!$C$29)</f>
        <v/>
      </c>
      <c r="C31" s="41">
        <f>IF(N('Dvd Calendar'!$E$340)=0,"",IF(('Dvd Calendar'!$E$340&gt;=MIN(DATE(Summary!$C$12,1,1),Summary!$C$11))*('Dvd Calendar'!$E$340&lt;=MAX(DATE(Summary!$C$12,12,31),Summary!$C$15))*('Dvd Calendar'!$E$340&lt;=Summary!$C$11)=0,"",'Dvd Calendar'!$E$340*1000000000+ISNUMBER('Dvd Calendar'!$E$341)*100000000+('Dvd Calendar'!$E$345='Field Check'!$C$25)*10000000+(N('Dvd Calendar'!$E$339)&gt;0)*1000000+23*1000+1))</f>
        <v/>
      </c>
      <c r="D31" s="41">
        <f>IF(N('Dvd Calendar'!$F$340)=0,"",IF(('Dvd Calendar'!$F$340&gt;=MIN(DATE(Summary!$C$12,1,1),Summary!$C$11))*('Dvd Calendar'!$F$340&lt;=MAX(DATE(Summary!$C$12,12,31),Summary!$C$15))*('Dvd Calendar'!$F$340&lt;=Summary!$C$11)=0,"",'Dvd Calendar'!$F$340*1000000000+ISNUMBER('Dvd Calendar'!$F$341)*100000000+('Dvd Calendar'!$F$345='Field Check'!$C$25)*10000000+(N('Dvd Calendar'!$F$339)&gt;0)*1000000+23*1000+2))</f>
        <v/>
      </c>
      <c r="E31" s="41">
        <f>IF(N('Dvd Calendar'!$G$340)=0,"",IF(('Dvd Calendar'!$G$340&gt;=MIN(DATE(Summary!$C$12,1,1),Summary!$C$11))*('Dvd Calendar'!$G$340&lt;=MAX(DATE(Summary!$C$12,12,31),Summary!$C$15))*('Dvd Calendar'!$G$340&lt;=Summary!$C$11)=0,"",'Dvd Calendar'!$G$340*1000000000+ISNUMBER('Dvd Calendar'!$G$341)*100000000+('Dvd Calendar'!$G$345='Field Check'!$C$25)*10000000+(N('Dvd Calendar'!$G$339)&gt;0)*1000000+23*1000+3))</f>
        <v/>
      </c>
      <c r="F31" s="41">
        <f>IF(N('Dvd Calendar'!$H$340)=0,"",IF(('Dvd Calendar'!$H$340&gt;=MIN(DATE(Summary!$C$12,1,1),Summary!$C$11))*('Dvd Calendar'!$H$340&lt;=MAX(DATE(Summary!$C$12,12,31),Summary!$C$15))*('Dvd Calendar'!$H$340&lt;=Summary!$C$11)=0,"",'Dvd Calendar'!$H$340*1000000000+ISNUMBER('Dvd Calendar'!$H$341)*100000000+('Dvd Calendar'!$H$345='Field Check'!$C$25)*10000000+(N('Dvd Calendar'!$H$339)&gt;0)*1000000+23*1000+4))</f>
        <v/>
      </c>
      <c r="G31" s="41">
        <f>IF(N('Dvd Calendar'!$I$340)=0,"",IF(('Dvd Calendar'!$I$340&gt;=MIN(DATE(Summary!$C$12,1,1),Summary!$C$11))*('Dvd Calendar'!$I$340&lt;=MAX(DATE(Summary!$C$12,12,31),Summary!$C$15))*('Dvd Calendar'!$I$340&lt;=Summary!$C$11)=0,"",'Dvd Calendar'!$I$340*1000000000+ISNUMBER('Dvd Calendar'!$I$341)*100000000+('Dvd Calendar'!$I$345='Field Check'!$C$25)*10000000+(N('Dvd Calendar'!$I$339)&gt;0)*1000000+23*1000+5))</f>
        <v/>
      </c>
      <c r="H31" s="41">
        <f>IF(N('Dvd Calendar'!$J$340)=0,"",IF(('Dvd Calendar'!$J$340&gt;=MIN(DATE(Summary!$C$12,1,1),Summary!$C$11))*('Dvd Calendar'!$J$340&lt;=MAX(DATE(Summary!$C$12,12,31),Summary!$C$15))*('Dvd Calendar'!$J$340&lt;=Summary!$C$11)=0,"",'Dvd Calendar'!$J$340*1000000000+ISNUMBER('Dvd Calendar'!$J$341)*100000000+('Dvd Calendar'!$J$345='Field Check'!$C$25)*10000000+(N('Dvd Calendar'!$J$339)&gt;0)*1000000+23*1000+6))</f>
        <v/>
      </c>
      <c r="I31" s="41">
        <f>IF(N('Dvd Calendar'!$K$340)=0,"",IF(('Dvd Calendar'!$K$340&gt;=MIN(DATE(Summary!$C$12,1,1),Summary!$C$11))*('Dvd Calendar'!$K$340&lt;=MAX(DATE(Summary!$C$12,12,31),Summary!$C$15))*('Dvd Calendar'!$K$340&lt;=Summary!$C$11)=0,"",'Dvd Calendar'!$K$340*1000000000+ISNUMBER('Dvd Calendar'!$K$341)*100000000+('Dvd Calendar'!$K$345='Field Check'!$C$25)*10000000+(N('Dvd Calendar'!$K$339)&gt;0)*1000000+23*1000+7))</f>
        <v/>
      </c>
      <c r="J31" s="41">
        <f>IF(N('Dvd Calendar'!$L$340)=0,"",IF(('Dvd Calendar'!$L$340&gt;=MIN(DATE(Summary!$C$12,1,1),Summary!$C$11))*('Dvd Calendar'!$L$340&lt;=MAX(DATE(Summary!$C$12,12,31),Summary!$C$15))*('Dvd Calendar'!$L$340&lt;=Summary!$C$11)=0,"",'Dvd Calendar'!$L$340*1000000000+ISNUMBER('Dvd Calendar'!$L$341)*100000000+('Dvd Calendar'!$L$345='Field Check'!$C$25)*10000000+(N('Dvd Calendar'!$L$339)&gt;0)*1000000+23*1000+8))</f>
        <v/>
      </c>
      <c r="K31" s="41">
        <f>IF(N('Dvd Calendar'!$M$340)=0,"",IF(('Dvd Calendar'!$M$340&gt;=MIN(DATE(Summary!$C$12,1,1),Summary!$C$11))*('Dvd Calendar'!$M$340&lt;=MAX(DATE(Summary!$C$12,12,31),Summary!$C$15))*('Dvd Calendar'!$M$340&lt;=Summary!$C$11)=0,"",'Dvd Calendar'!$M$340*1000000000+ISNUMBER('Dvd Calendar'!$M$341)*100000000+('Dvd Calendar'!$M$345='Field Check'!$C$25)*10000000+(N('Dvd Calendar'!$M$339)&gt;0)*1000000+23*1000+9))</f>
        <v/>
      </c>
      <c r="L31" s="41">
        <f>IF(N('Dvd Calendar'!$N$340)=0,"",IF(('Dvd Calendar'!$N$340&gt;=MIN(DATE(Summary!$C$12,1,1),Summary!$C$11))*('Dvd Calendar'!$N$340&lt;=MAX(DATE(Summary!$C$12,12,31),Summary!$C$15))*('Dvd Calendar'!$N$340&lt;=Summary!$C$11)=0,"",'Dvd Calendar'!$N$340*1000000000+ISNUMBER('Dvd Calendar'!$N$341)*100000000+('Dvd Calendar'!$N$345='Field Check'!$C$25)*10000000+(N('Dvd Calendar'!$N$339)&gt;0)*1000000+23*1000+10))</f>
        <v/>
      </c>
      <c r="M31" s="41">
        <f>IF(N('Dvd Calendar'!$O$340)=0,"",IF(('Dvd Calendar'!$O$340&gt;=MIN(DATE(Summary!$C$12,1,1),Summary!$C$11))*('Dvd Calendar'!$O$340&lt;=MAX(DATE(Summary!$C$12,12,31),Summary!$C$15))*('Dvd Calendar'!$O$340&lt;=Summary!$C$11)=0,"",'Dvd Calendar'!$O$340*1000000000+ISNUMBER('Dvd Calendar'!$O$341)*100000000+('Dvd Calendar'!$O$345='Field Check'!$C$25)*10000000+(N('Dvd Calendar'!$O$339)&gt;0)*1000000+23*1000+11))</f>
        <v/>
      </c>
      <c r="N31" s="41">
        <f>IF(N('Dvd Calendar'!$P$340)=0,"",IF(('Dvd Calendar'!$P$340&gt;=MIN(DATE(Summary!$C$12,1,1),Summary!$C$11))*('Dvd Calendar'!$P$340&lt;=MAX(DATE(Summary!$C$12,12,31),Summary!$C$15))*('Dvd Calendar'!$P$340&lt;=Summary!$C$11)=0,"",'Dvd Calendar'!$P$340*1000000000+ISNUMBER('Dvd Calendar'!$P$341)*100000000+('Dvd Calendar'!$P$345='Field Check'!$C$25)*10000000+(N('Dvd Calendar'!$P$339)&gt;0)*1000000+23*1000+12))</f>
        <v/>
      </c>
      <c r="O31" s="41">
        <f>IF(N('Dvd Calendar'!$Q$340)=0,"",IF(('Dvd Calendar'!$Q$340&gt;=MIN(DATE(Summary!$C$12,1,1),Summary!$C$11))*('Dvd Calendar'!$Q$340&lt;=MAX(DATE(Summary!$C$12,12,31),Summary!$C$15))*('Dvd Calendar'!$Q$340&lt;=Summary!$C$11)=0,"",'Dvd Calendar'!$Q$340*1000000000+ISNUMBER('Dvd Calendar'!$Q$341)*100000000+('Dvd Calendar'!$Q$345='Field Check'!$C$25)*10000000+(N('Dvd Calendar'!$Q$339)&gt;0)*1000000+23*1000+13))</f>
        <v/>
      </c>
      <c r="P31" s="41">
        <f>IF(N('Dvd Calendar'!$R$340)=0,"",IF(('Dvd Calendar'!$R$340&gt;=MIN(DATE(Summary!$C$12,1,1),Summary!$C$11))*('Dvd Calendar'!$R$340&lt;=MAX(DATE(Summary!$C$12,12,31),Summary!$C$15))*('Dvd Calendar'!$R$340&lt;=Summary!$C$11)=0,"",'Dvd Calendar'!$R$340*1000000000+ISNUMBER('Dvd Calendar'!$R$341)*100000000+('Dvd Calendar'!$R$345='Field Check'!$C$25)*10000000+(N('Dvd Calendar'!$R$339)&gt;0)*1000000+23*1000+14))</f>
        <v/>
      </c>
      <c r="Q31" s="41">
        <f>IF(N('Dvd Calendar'!$S$340)=0,"",IF(('Dvd Calendar'!$S$340&gt;=MIN(DATE(Summary!$C$12,1,1),Summary!$C$11))*('Dvd Calendar'!$S$340&lt;=MAX(DATE(Summary!$C$12,12,31),Summary!$C$15))*('Dvd Calendar'!$S$340&lt;=Summary!$C$11)=0,"",'Dvd Calendar'!$S$340*1000000000+ISNUMBER('Dvd Calendar'!$S$341)*100000000+('Dvd Calendar'!$S$345='Field Check'!$C$25)*10000000+(N('Dvd Calendar'!$S$339)&gt;0)*1000000+23*1000+15))</f>
        <v/>
      </c>
      <c r="R31" s="41">
        <f>IF(N('Dvd Calendar'!$T$340)=0,"",IF(('Dvd Calendar'!$T$340&gt;=MIN(DATE(Summary!$C$12,1,1),Summary!$C$11))*('Dvd Calendar'!$T$340&lt;=MAX(DATE(Summary!$C$12,12,31),Summary!$C$15))*('Dvd Calendar'!$T$340&lt;=Summary!$C$11)=0,"",'Dvd Calendar'!$T$340*1000000000+ISNUMBER('Dvd Calendar'!$T$341)*100000000+('Dvd Calendar'!$T$345='Field Check'!$C$25)*10000000+(N('Dvd Calendar'!$T$339)&gt;0)*1000000+23*1000+16))</f>
        <v/>
      </c>
      <c r="S31" s="41">
        <f>IF(N('Dvd Calendar'!$U$340)=0,"",IF(('Dvd Calendar'!$U$340&gt;=MIN(DATE(Summary!$C$12,1,1),Summary!$C$11))*('Dvd Calendar'!$U$340&lt;=MAX(DATE(Summary!$C$12,12,31),Summary!$C$15))*('Dvd Calendar'!$U$340&lt;=Summary!$C$11)=0,"",'Dvd Calendar'!$U$340*1000000000+ISNUMBER('Dvd Calendar'!$U$341)*100000000+('Dvd Calendar'!$U$345='Field Check'!$C$25)*10000000+(N('Dvd Calendar'!$U$339)&gt;0)*1000000+23*1000+17))</f>
        <v/>
      </c>
      <c r="T31" s="41">
        <f>IF(N('Dvd Calendar'!$V$340)=0,"",IF(('Dvd Calendar'!$V$340&gt;=MIN(DATE(Summary!$C$12,1,1),Summary!$C$11))*('Dvd Calendar'!$V$340&lt;=MAX(DATE(Summary!$C$12,12,31),Summary!$C$15))*('Dvd Calendar'!$V$340&lt;=Summary!$C$11)=0,"",'Dvd Calendar'!$V$340*1000000000+ISNUMBER('Dvd Calendar'!$V$341)*100000000+('Dvd Calendar'!$V$345='Field Check'!$C$25)*10000000+(N('Dvd Calendar'!$V$339)&gt;0)*1000000+23*1000+18))</f>
        <v/>
      </c>
      <c r="U31" s="41">
        <f>IF(N('Dvd Calendar'!$W$340)=0,"",IF(('Dvd Calendar'!$W$340&gt;=MIN(DATE(Summary!$C$12,1,1),Summary!$C$11))*('Dvd Calendar'!$W$340&lt;=MAX(DATE(Summary!$C$12,12,31),Summary!$C$15))*('Dvd Calendar'!$W$340&lt;=Summary!$C$11)=0,"",'Dvd Calendar'!$W$340*1000000000+ISNUMBER('Dvd Calendar'!$W$341)*100000000+('Dvd Calendar'!$W$345='Field Check'!$C$25)*10000000+(N('Dvd Calendar'!$W$339)&gt;0)*1000000+23*1000+19))</f>
        <v/>
      </c>
      <c r="V31" s="41">
        <f>IF(N('Dvd Calendar'!$X$340)=0,"",IF(('Dvd Calendar'!$X$340&gt;=MIN(DATE(Summary!$C$12,1,1),Summary!$C$11))*('Dvd Calendar'!$X$340&lt;=MAX(DATE(Summary!$C$12,12,31),Summary!$C$15))*('Dvd Calendar'!$X$340&lt;=Summary!$C$11)=0,"",'Dvd Calendar'!$X$340*1000000000+ISNUMBER('Dvd Calendar'!$X$341)*100000000+('Dvd Calendar'!$X$345='Field Check'!$C$25)*10000000+(N('Dvd Calendar'!$X$339)&gt;0)*1000000+23*1000+20))</f>
        <v/>
      </c>
      <c r="W31" s="41">
        <f>IF(N('Dvd Calendar'!$Y$340)=0,"",IF(('Dvd Calendar'!$Y$340&gt;=MIN(DATE(Summary!$C$12,1,1),Summary!$C$11))*('Dvd Calendar'!$Y$340&lt;=MAX(DATE(Summary!$C$12,12,31),Summary!$C$15))*('Dvd Calendar'!$Y$340&lt;=Summary!$C$11)=0,"",'Dvd Calendar'!$Y$340*1000000000+ISNUMBER('Dvd Calendar'!$Y$341)*100000000+('Dvd Calendar'!$Y$345='Field Check'!$C$25)*10000000+(N('Dvd Calendar'!$Y$339)&gt;0)*1000000+23*1000+21))</f>
        <v/>
      </c>
      <c r="X31" s="41">
        <f>IF(N('Dvd Calendar'!$Z$340)=0,"",IF(('Dvd Calendar'!$Z$340&gt;=MIN(DATE(Summary!$C$12,1,1),Summary!$C$11))*('Dvd Calendar'!$Z$340&lt;=MAX(DATE(Summary!$C$12,12,31),Summary!$C$15))*('Dvd Calendar'!$Z$340&lt;=Summary!$C$11)=0,"",'Dvd Calendar'!$Z$340*1000000000+ISNUMBER('Dvd Calendar'!$Z$341)*100000000+('Dvd Calendar'!$Z$345='Field Check'!$C$25)*10000000+(N('Dvd Calendar'!$Z$339)&gt;0)*1000000+23*1000+22))</f>
        <v/>
      </c>
      <c r="Y31" s="41">
        <f>IF(N('Dvd Calendar'!$AA$340)=0,"",IF(('Dvd Calendar'!$AA$340&gt;=MIN(DATE(Summary!$C$12,1,1),Summary!$C$11))*('Dvd Calendar'!$AA$340&lt;=MAX(DATE(Summary!$C$12,12,31),Summary!$C$15))*('Dvd Calendar'!$AA$340&lt;=Summary!$C$11)=0,"",'Dvd Calendar'!$AA$340*1000000000+ISNUMBER('Dvd Calendar'!$AA$341)*100000000+('Dvd Calendar'!$AA$345='Field Check'!$C$25)*10000000+(N('Dvd Calendar'!$AA$339)&gt;0)*1000000+23*1000+23))</f>
        <v/>
      </c>
      <c r="Z31" s="41">
        <f>IF(N('Dvd Calendar'!$AB$340)=0,"",IF(('Dvd Calendar'!$AB$340&gt;=MIN(DATE(Summary!$C$12,1,1),Summary!$C$11))*('Dvd Calendar'!$AB$340&lt;=MAX(DATE(Summary!$C$12,12,31),Summary!$C$15))*('Dvd Calendar'!$AB$340&lt;=Summary!$C$11)=0,"",'Dvd Calendar'!$AB$340*1000000000+ISNUMBER('Dvd Calendar'!$AB$341)*100000000+('Dvd Calendar'!$AB$345='Field Check'!$C$25)*10000000+(N('Dvd Calendar'!$AB$339)&gt;0)*1000000+23*1000+24))</f>
        <v/>
      </c>
      <c r="AA31" s="41">
        <f>IF(N('Dvd Calendar'!$AC$340)=0,"",IF(('Dvd Calendar'!$AC$340&gt;=MIN(DATE(Summary!$C$12,1,1),Summary!$C$11))*('Dvd Calendar'!$AC$340&lt;=MAX(DATE(Summary!$C$12,12,31),Summary!$C$15))*('Dvd Calendar'!$AC$340&lt;=Summary!$C$11)=0,"",'Dvd Calendar'!$AC$340*1000000000+ISNUMBER('Dvd Calendar'!$AC$341)*100000000+('Dvd Calendar'!$AC$345='Field Check'!$C$25)*10000000+(N('Dvd Calendar'!$AC$339)&gt;0)*1000000+23*1000+25))</f>
        <v/>
      </c>
      <c r="AB31" s="41">
        <f>IF(N('Dvd Calendar'!$AD$340)=0,"",IF(('Dvd Calendar'!$AD$340&gt;=MIN(DATE(Summary!$C$12,1,1),Summary!$C$11))*('Dvd Calendar'!$AD$340&lt;=MAX(DATE(Summary!$C$12,12,31),Summary!$C$15))*('Dvd Calendar'!$AD$340&lt;=Summary!$C$11)=0,"",'Dvd Calendar'!$AD$340*1000000000+ISNUMBER('Dvd Calendar'!$AD$341)*100000000+('Dvd Calendar'!$AD$345='Field Check'!$C$25)*10000000+(N('Dvd Calendar'!$AD$339)&gt;0)*1000000+23*1000+26))</f>
        <v/>
      </c>
      <c r="AC31" s="41">
        <f>IF(N('Dvd Calendar'!$AE$340)=0,"",IF(('Dvd Calendar'!$AE$340&gt;=MIN(DATE(Summary!$C$12,1,1),Summary!$C$11))*('Dvd Calendar'!$AE$340&lt;=MAX(DATE(Summary!$C$12,12,31),Summary!$C$15))*('Dvd Calendar'!$AE$340&lt;=Summary!$C$11)=0,"",'Dvd Calendar'!$AE$340*1000000000+ISNUMBER('Dvd Calendar'!$AE$341)*100000000+('Dvd Calendar'!$AE$345='Field Check'!$C$25)*10000000+(N('Dvd Calendar'!$AE$339)&gt;0)*1000000+23*1000+27))</f>
        <v/>
      </c>
      <c r="AD31" s="41">
        <f>IF(N('Dvd Calendar'!$AF$340)=0,"",IF(('Dvd Calendar'!$AF$340&gt;=MIN(DATE(Summary!$C$12,1,1),Summary!$C$11))*('Dvd Calendar'!$AF$340&lt;=MAX(DATE(Summary!$C$12,12,31),Summary!$C$15))*('Dvd Calendar'!$AF$340&lt;=Summary!$C$11)=0,"",'Dvd Calendar'!$AF$340*1000000000+ISNUMBER('Dvd Calendar'!$AF$341)*100000000+('Dvd Calendar'!$AF$345='Field Check'!$C$25)*10000000+(N('Dvd Calendar'!$AF$339)&gt;0)*1000000+23*1000+28))</f>
        <v/>
      </c>
      <c r="AE31" s="41">
        <f>IF(N('Dvd Calendar'!$AG$340)=0,"",IF(('Dvd Calendar'!$AG$340&gt;=MIN(DATE(Summary!$C$12,1,1),Summary!$C$11))*('Dvd Calendar'!$AG$340&lt;=MAX(DATE(Summary!$C$12,12,31),Summary!$C$15))*('Dvd Calendar'!$AG$340&lt;=Summary!$C$11)=0,"",'Dvd Calendar'!$AG$340*1000000000+ISNUMBER('Dvd Calendar'!$AG$341)*100000000+('Dvd Calendar'!$AG$345='Field Check'!$C$25)*10000000+(N('Dvd Calendar'!$AG$339)&gt;0)*1000000+23*1000+29))</f>
        <v/>
      </c>
      <c r="AF31" s="41">
        <f>IF(N('Dvd Calendar'!$AH$340)=0,"",IF(('Dvd Calendar'!$AH$340&gt;=MIN(DATE(Summary!$C$12,1,1),Summary!$C$11))*('Dvd Calendar'!$AH$340&lt;=MAX(DATE(Summary!$C$12,12,31),Summary!$C$15))*('Dvd Calendar'!$AH$340&lt;=Summary!$C$11)=0,"",'Dvd Calendar'!$AH$340*1000000000+ISNUMBER('Dvd Calendar'!$AH$341)*100000000+('Dvd Calendar'!$AH$345='Field Check'!$C$25)*10000000+(N('Dvd Calendar'!$AH$339)&gt;0)*1000000+23*1000+30))</f>
        <v/>
      </c>
      <c r="AG31" s="41">
        <f>IF(N('Dvd Calendar'!$AI$340)=0,"",IF(('Dvd Calendar'!$AI$340&gt;=MIN(DATE(Summary!$C$12,1,1),Summary!$C$11))*('Dvd Calendar'!$AI$340&lt;=MAX(DATE(Summary!$C$12,12,31),Summary!$C$15))*('Dvd Calendar'!$AI$340&lt;=Summary!$C$11)=0,"",'Dvd Calendar'!$AI$340*1000000000+ISNUMBER('Dvd Calendar'!$AI$341)*100000000+('Dvd Calendar'!$AI$345='Field Check'!$C$25)*10000000+(N('Dvd Calendar'!$AI$339)&gt;0)*1000000+23*1000+31))</f>
        <v/>
      </c>
      <c r="AH31" s="41">
        <f>IF(N('Dvd Calendar'!$AJ$340)=0,"",IF(('Dvd Calendar'!$AJ$340&gt;=MIN(DATE(Summary!$C$12,1,1),Summary!$C$11))*('Dvd Calendar'!$AJ$340&lt;=MAX(DATE(Summary!$C$12,12,31),Summary!$C$15))*('Dvd Calendar'!$AJ$340&lt;=Summary!$C$11)=0,"",'Dvd Calendar'!$AJ$340*1000000000+ISNUMBER('Dvd Calendar'!$AJ$341)*100000000+('Dvd Calendar'!$AJ$345='Field Check'!$C$25)*10000000+(N('Dvd Calendar'!$AJ$339)&gt;0)*1000000+23*1000+32))</f>
        <v/>
      </c>
      <c r="AI31" s="41">
        <f>IF(N('Dvd Calendar'!$AK$340)=0,"",IF(('Dvd Calendar'!$AK$340&gt;=MIN(DATE(Summary!$C$12,1,1),Summary!$C$11))*('Dvd Calendar'!$AK$340&lt;=MAX(DATE(Summary!$C$12,12,31),Summary!$C$15))*('Dvd Calendar'!$AK$340&lt;=Summary!$C$11)=0,"",'Dvd Calendar'!$AK$340*1000000000+ISNUMBER('Dvd Calendar'!$AK$341)*100000000+('Dvd Calendar'!$AK$345='Field Check'!$C$25)*10000000+(N('Dvd Calendar'!$AK$339)&gt;0)*1000000+23*1000+33))</f>
        <v/>
      </c>
      <c r="AJ31" s="41">
        <f>IF(N('Dvd Calendar'!$AL$340)=0,"",IF(('Dvd Calendar'!$AL$340&gt;=MIN(DATE(Summary!$C$12,1,1),Summary!$C$11))*('Dvd Calendar'!$AL$340&lt;=MAX(DATE(Summary!$C$12,12,31),Summary!$C$15))*('Dvd Calendar'!$AL$340&lt;=Summary!$C$11)=0,"",'Dvd Calendar'!$AL$340*1000000000+ISNUMBER('Dvd Calendar'!$AL$341)*100000000+('Dvd Calendar'!$AL$345='Field Check'!$C$25)*10000000+(N('Dvd Calendar'!$AL$339)&gt;0)*1000000+23*1000+34))</f>
        <v/>
      </c>
      <c r="AK31" s="41">
        <f>IF(N('Dvd Calendar'!$AM$340)=0,"",IF(('Dvd Calendar'!$AM$340&gt;=MIN(DATE(Summary!$C$12,1,1),Summary!$C$11))*('Dvd Calendar'!$AM$340&lt;=MAX(DATE(Summary!$C$12,12,31),Summary!$C$15))*('Dvd Calendar'!$AM$340&lt;=Summary!$C$11)=0,"",'Dvd Calendar'!$AM$340*1000000000+ISNUMBER('Dvd Calendar'!$AM$341)*100000000+('Dvd Calendar'!$AM$345='Field Check'!$C$25)*10000000+(N('Dvd Calendar'!$AM$339)&gt;0)*1000000+23*1000+35))</f>
        <v/>
      </c>
      <c r="AL31" s="41">
        <f>IF(N('Dvd Calendar'!$AN$340)=0,"",IF(('Dvd Calendar'!$AN$340&gt;=MIN(DATE(Summary!$C$12,1,1),Summary!$C$11))*('Dvd Calendar'!$AN$340&lt;=MAX(DATE(Summary!$C$12,12,31),Summary!$C$15))*('Dvd Calendar'!$AN$340&lt;=Summary!$C$11)=0,"",'Dvd Calendar'!$AN$340*1000000000+ISNUMBER('Dvd Calendar'!$AN$341)*100000000+('Dvd Calendar'!$AN$345='Field Check'!$C$25)*10000000+(N('Dvd Calendar'!$AN$339)&gt;0)*1000000+23*1000+36))</f>
        <v/>
      </c>
      <c r="AM31" s="41">
        <f>IF(N('Dvd Calendar'!$AO$340)=0,"",IF(('Dvd Calendar'!$AO$340&gt;=MIN(DATE(Summary!$C$12,1,1),Summary!$C$11))*('Dvd Calendar'!$AO$340&lt;=MAX(DATE(Summary!$C$12,12,31),Summary!$C$15))*('Dvd Calendar'!$AO$340&lt;=Summary!$C$11)=0,"",'Dvd Calendar'!$AO$340*1000000000+ISNUMBER('Dvd Calendar'!$AO$341)*100000000+('Dvd Calendar'!$AO$345='Field Check'!$C$25)*10000000+(N('Dvd Calendar'!$AO$339)&gt;0)*1000000+23*1000+37))</f>
        <v/>
      </c>
      <c r="AN31" s="41">
        <f>IF(N('Dvd Calendar'!$AP$340)=0,"",IF(('Dvd Calendar'!$AP$340&gt;=MIN(DATE(Summary!$C$12,1,1),Summary!$C$11))*('Dvd Calendar'!$AP$340&lt;=MAX(DATE(Summary!$C$12,12,31),Summary!$C$15))*('Dvd Calendar'!$AP$340&lt;=Summary!$C$11)=0,"",'Dvd Calendar'!$AP$340*1000000000+ISNUMBER('Dvd Calendar'!$AP$341)*100000000+('Dvd Calendar'!$AP$345='Field Check'!$C$25)*10000000+(N('Dvd Calendar'!$AP$339)&gt;0)*1000000+23*1000+38))</f>
        <v/>
      </c>
      <c r="AO31" s="41">
        <f>IF(N('Dvd Calendar'!$AQ$340)=0,"",IF(('Dvd Calendar'!$AQ$340&gt;=MIN(DATE(Summary!$C$12,1,1),Summary!$C$11))*('Dvd Calendar'!$AQ$340&lt;=MAX(DATE(Summary!$C$12,12,31),Summary!$C$15))*('Dvd Calendar'!$AQ$340&lt;=Summary!$C$11)=0,"",'Dvd Calendar'!$AQ$340*1000000000+ISNUMBER('Dvd Calendar'!$AQ$341)*100000000+('Dvd Calendar'!$AQ$345='Field Check'!$C$25)*10000000+(N('Dvd Calendar'!$AQ$339)&gt;0)*1000000+23*1000+39))</f>
        <v/>
      </c>
      <c r="AP31" s="41">
        <f>IF(N('Dvd Calendar'!$AR$340)=0,"",IF(('Dvd Calendar'!$AR$340&gt;=MIN(DATE(Summary!$C$12,1,1),Summary!$C$11))*('Dvd Calendar'!$AR$340&lt;=MAX(DATE(Summary!$C$12,12,31),Summary!$C$15))*('Dvd Calendar'!$AR$340&lt;=Summary!$C$11)=0,"",'Dvd Calendar'!$AR$340*1000000000+ISNUMBER('Dvd Calendar'!$AR$341)*100000000+('Dvd Calendar'!$AR$345='Field Check'!$C$25)*10000000+(N('Dvd Calendar'!$AR$339)&gt;0)*1000000+23*1000+40))</f>
        <v/>
      </c>
      <c r="AQ31" s="41">
        <f>IF(N('Dvd Calendar'!$E$347)=0,"",IF(('Dvd Calendar'!$E$347&gt;=MIN(DATE(Summary!$C$12,1,1),Summary!$C$11))*('Dvd Calendar'!$E$347&lt;=MAX(DATE(Summary!$C$12,12,31),Summary!$C$15))*('Dvd Calendar'!$E$347&gt;Summary!$C$11)=0,"",'Dvd Calendar'!$E$347*1000000000+ISNUMBER('Dvd Calendar'!$E$348)*100000000+('Dvd Calendar'!$E$352='Field Check'!$C$25)*10000000+(N('Dvd Calendar'!$E$346)&gt;0)*1000000+23*1000+41))</f>
        <v/>
      </c>
      <c r="AR31" s="41">
        <f>IF(N('Dvd Calendar'!$F$347)=0,"",IF(('Dvd Calendar'!$F$347&gt;=MIN(DATE(Summary!$C$12,1,1),Summary!$C$11))*('Dvd Calendar'!$F$347&lt;=MAX(DATE(Summary!$C$12,12,31),Summary!$C$15))*('Dvd Calendar'!$F$347&gt;Summary!$C$11)=0,"",'Dvd Calendar'!$F$347*1000000000+ISNUMBER('Dvd Calendar'!$F$348)*100000000+('Dvd Calendar'!$F$352='Field Check'!$C$25)*10000000+(N('Dvd Calendar'!$F$346)&gt;0)*1000000+23*1000+42))</f>
        <v/>
      </c>
      <c r="AS31" s="41">
        <f>IF(N('Dvd Calendar'!$G$347)=0,"",IF(('Dvd Calendar'!$G$347&gt;=MIN(DATE(Summary!$C$12,1,1),Summary!$C$11))*('Dvd Calendar'!$G$347&lt;=MAX(DATE(Summary!$C$12,12,31),Summary!$C$15))*('Dvd Calendar'!$G$347&gt;Summary!$C$11)=0,"",'Dvd Calendar'!$G$347*1000000000+ISNUMBER('Dvd Calendar'!$G$348)*100000000+('Dvd Calendar'!$G$352='Field Check'!$C$25)*10000000+(N('Dvd Calendar'!$G$346)&gt;0)*1000000+23*1000+43))</f>
        <v/>
      </c>
      <c r="AT31" s="41">
        <f>IF(N('Dvd Calendar'!$H$347)=0,"",IF(('Dvd Calendar'!$H$347&gt;=MIN(DATE(Summary!$C$12,1,1),Summary!$C$11))*('Dvd Calendar'!$H$347&lt;=MAX(DATE(Summary!$C$12,12,31),Summary!$C$15))*('Dvd Calendar'!$H$347&gt;Summary!$C$11)=0,"",'Dvd Calendar'!$H$347*1000000000+ISNUMBER('Dvd Calendar'!$H$348)*100000000+('Dvd Calendar'!$H$352='Field Check'!$C$25)*10000000+(N('Dvd Calendar'!$H$346)&gt;0)*1000000+23*1000+44))</f>
        <v/>
      </c>
      <c r="AU31" s="41">
        <f>IF(N('Dvd Calendar'!$I$347)=0,"",IF(('Dvd Calendar'!$I$347&gt;=MIN(DATE(Summary!$C$12,1,1),Summary!$C$11))*('Dvd Calendar'!$I$347&lt;=MAX(DATE(Summary!$C$12,12,31),Summary!$C$15))*('Dvd Calendar'!$I$347&gt;Summary!$C$11)=0,"",'Dvd Calendar'!$I$347*1000000000+ISNUMBER('Dvd Calendar'!$I$348)*100000000+('Dvd Calendar'!$I$352='Field Check'!$C$25)*10000000+(N('Dvd Calendar'!$I$346)&gt;0)*1000000+23*1000+45))</f>
        <v/>
      </c>
      <c r="AV31" s="41">
        <f>IF(N('Dvd Calendar'!$J$347)=0,"",IF(('Dvd Calendar'!$J$347&gt;=MIN(DATE(Summary!$C$12,1,1),Summary!$C$11))*('Dvd Calendar'!$J$347&lt;=MAX(DATE(Summary!$C$12,12,31),Summary!$C$15))*('Dvd Calendar'!$J$347&gt;Summary!$C$11)=0,"",'Dvd Calendar'!$J$347*1000000000+ISNUMBER('Dvd Calendar'!$J$348)*100000000+('Dvd Calendar'!$J$352='Field Check'!$C$25)*10000000+(N('Dvd Calendar'!$J$346)&gt;0)*1000000+23*1000+46))</f>
        <v/>
      </c>
      <c r="AW31" s="41">
        <f>IF(N('Dvd Calendar'!$K$347)=0,"",IF(('Dvd Calendar'!$K$347&gt;=MIN(DATE(Summary!$C$12,1,1),Summary!$C$11))*('Dvd Calendar'!$K$347&lt;=MAX(DATE(Summary!$C$12,12,31),Summary!$C$15))*('Dvd Calendar'!$K$347&gt;Summary!$C$11)=0,"",'Dvd Calendar'!$K$347*1000000000+ISNUMBER('Dvd Calendar'!$K$348)*100000000+('Dvd Calendar'!$K$352='Field Check'!$C$25)*10000000+(N('Dvd Calendar'!$K$346)&gt;0)*1000000+23*1000+47))</f>
        <v/>
      </c>
      <c r="AX31" s="41">
        <f>IF(N('Dvd Calendar'!$L$347)=0,"",IF(('Dvd Calendar'!$L$347&gt;=MIN(DATE(Summary!$C$12,1,1),Summary!$C$11))*('Dvd Calendar'!$L$347&lt;=MAX(DATE(Summary!$C$12,12,31),Summary!$C$15))*('Dvd Calendar'!$L$347&gt;Summary!$C$11)=0,"",'Dvd Calendar'!$L$347*1000000000+ISNUMBER('Dvd Calendar'!$L$348)*100000000+('Dvd Calendar'!$L$352='Field Check'!$C$25)*10000000+(N('Dvd Calendar'!$L$346)&gt;0)*1000000+23*1000+48))</f>
        <v/>
      </c>
      <c r="AY31" s="41">
        <f>IF(N('Dvd Calendar'!$M$347)=0,"",IF(('Dvd Calendar'!$M$347&gt;=MIN(DATE(Summary!$C$12,1,1),Summary!$C$11))*('Dvd Calendar'!$M$347&lt;=MAX(DATE(Summary!$C$12,12,31),Summary!$C$15))*('Dvd Calendar'!$M$347&gt;Summary!$C$11)=0,"",'Dvd Calendar'!$M$347*1000000000+ISNUMBER('Dvd Calendar'!$M$348)*100000000+('Dvd Calendar'!$M$352='Field Check'!$C$25)*10000000+(N('Dvd Calendar'!$M$346)&gt;0)*1000000+23*1000+49))</f>
        <v/>
      </c>
      <c r="AZ31" s="41">
        <f>IF(N('Dvd Calendar'!$N$347)=0,"",IF(('Dvd Calendar'!$N$347&gt;=MIN(DATE(Summary!$C$12,1,1),Summary!$C$11))*('Dvd Calendar'!$N$347&lt;=MAX(DATE(Summary!$C$12,12,31),Summary!$C$15))*('Dvd Calendar'!$N$347&gt;Summary!$C$11)=0,"",'Dvd Calendar'!$N$347*1000000000+ISNUMBER('Dvd Calendar'!$N$348)*100000000+('Dvd Calendar'!$N$352='Field Check'!$C$25)*10000000+(N('Dvd Calendar'!$N$346)&gt;0)*1000000+23*1000+50))</f>
        <v/>
      </c>
      <c r="BA31" s="41">
        <f>IF(N('Dvd Calendar'!$O$347)=0,"",IF(('Dvd Calendar'!$O$347&gt;=MIN(DATE(Summary!$C$12,1,1),Summary!$C$11))*('Dvd Calendar'!$O$347&lt;=MAX(DATE(Summary!$C$12,12,31),Summary!$C$15))*('Dvd Calendar'!$O$347&gt;Summary!$C$11)=0,"",'Dvd Calendar'!$O$347*1000000000+ISNUMBER('Dvd Calendar'!$O$348)*100000000+('Dvd Calendar'!$O$352='Field Check'!$C$25)*10000000+(N('Dvd Calendar'!$O$346)&gt;0)*1000000+23*1000+51))</f>
        <v/>
      </c>
      <c r="BB31" s="41">
        <f>IF(N('Dvd Calendar'!$P$347)=0,"",IF(('Dvd Calendar'!$P$347&gt;=MIN(DATE(Summary!$C$12,1,1),Summary!$C$11))*('Dvd Calendar'!$P$347&lt;=MAX(DATE(Summary!$C$12,12,31),Summary!$C$15))*('Dvd Calendar'!$P$347&gt;Summary!$C$11)=0,"",'Dvd Calendar'!$P$347*1000000000+ISNUMBER('Dvd Calendar'!$P$348)*100000000+('Dvd Calendar'!$P$352='Field Check'!$C$25)*10000000+(N('Dvd Calendar'!$P$346)&gt;0)*1000000+23*1000+52))</f>
        <v/>
      </c>
      <c r="BC31" s="41">
        <f>IF(N('Dvd Calendar'!$Q$347)=0,"",IF(('Dvd Calendar'!$Q$347&gt;=MIN(DATE(Summary!$C$12,1,1),Summary!$C$11))*('Dvd Calendar'!$Q$347&lt;=MAX(DATE(Summary!$C$12,12,31),Summary!$C$15))*('Dvd Calendar'!$Q$347&gt;Summary!$C$11)=0,"",'Dvd Calendar'!$Q$347*1000000000+ISNUMBER('Dvd Calendar'!$Q$348)*100000000+('Dvd Calendar'!$Q$352='Field Check'!$C$25)*10000000+(N('Dvd Calendar'!$Q$346)&gt;0)*1000000+23*1000+53))</f>
        <v/>
      </c>
      <c r="BD31" s="41">
        <f>IF(N('Dvd Calendar'!$R$347)=0,"",IF(('Dvd Calendar'!$R$347&gt;=MIN(DATE(Summary!$C$12,1,1),Summary!$C$11))*('Dvd Calendar'!$R$347&lt;=MAX(DATE(Summary!$C$12,12,31),Summary!$C$15))*('Dvd Calendar'!$R$347&gt;Summary!$C$11)=0,"",'Dvd Calendar'!$R$347*1000000000+ISNUMBER('Dvd Calendar'!$R$348)*100000000+('Dvd Calendar'!$R$352='Field Check'!$C$25)*10000000+(N('Dvd Calendar'!$R$346)&gt;0)*1000000+23*1000+54))</f>
        <v/>
      </c>
      <c r="BE31" s="41">
        <f>IF(N('Dvd Calendar'!$S$347)=0,"",IF(('Dvd Calendar'!$S$347&gt;=MIN(DATE(Summary!$C$12,1,1),Summary!$C$11))*('Dvd Calendar'!$S$347&lt;=MAX(DATE(Summary!$C$12,12,31),Summary!$C$15))*('Dvd Calendar'!$S$347&gt;Summary!$C$11)=0,"",'Dvd Calendar'!$S$347*1000000000+ISNUMBER('Dvd Calendar'!$S$348)*100000000+('Dvd Calendar'!$S$352='Field Check'!$C$25)*10000000+(N('Dvd Calendar'!$S$346)&gt;0)*1000000+23*1000+55))</f>
        <v/>
      </c>
      <c r="BF31" s="41">
        <f>IF(N('Dvd Calendar'!$T$347)=0,"",IF(('Dvd Calendar'!$T$347&gt;=MIN(DATE(Summary!$C$12,1,1),Summary!$C$11))*('Dvd Calendar'!$T$347&lt;=MAX(DATE(Summary!$C$12,12,31),Summary!$C$15))*('Dvd Calendar'!$T$347&gt;Summary!$C$11)=0,"",'Dvd Calendar'!$T$347*1000000000+ISNUMBER('Dvd Calendar'!$T$348)*100000000+('Dvd Calendar'!$T$352='Field Check'!$C$25)*10000000+(N('Dvd Calendar'!$T$346)&gt;0)*1000000+23*1000+56))</f>
        <v/>
      </c>
      <c r="BG31" s="41">
        <f>IF(N('Dvd Calendar'!$U$347)=0,"",IF(('Dvd Calendar'!$U$347&gt;=MIN(DATE(Summary!$C$12,1,1),Summary!$C$11))*('Dvd Calendar'!$U$347&lt;=MAX(DATE(Summary!$C$12,12,31),Summary!$C$15))*('Dvd Calendar'!$U$347&gt;Summary!$C$11)=0,"",'Dvd Calendar'!$U$347*1000000000+ISNUMBER('Dvd Calendar'!$U$348)*100000000+('Dvd Calendar'!$U$352='Field Check'!$C$25)*10000000+(N('Dvd Calendar'!$U$346)&gt;0)*1000000+23*1000+57))</f>
        <v/>
      </c>
      <c r="BH31" s="41">
        <f>IF(N('Dvd Calendar'!$V$347)=0,"",IF(('Dvd Calendar'!$V$347&gt;=MIN(DATE(Summary!$C$12,1,1),Summary!$C$11))*('Dvd Calendar'!$V$347&lt;=MAX(DATE(Summary!$C$12,12,31),Summary!$C$15))*('Dvd Calendar'!$V$347&gt;Summary!$C$11)=0,"",'Dvd Calendar'!$V$347*1000000000+ISNUMBER('Dvd Calendar'!$V$348)*100000000+('Dvd Calendar'!$V$352='Field Check'!$C$25)*10000000+(N('Dvd Calendar'!$V$346)&gt;0)*1000000+23*1000+58))</f>
        <v/>
      </c>
      <c r="BI31" s="41">
        <f>IF(N('Dvd Calendar'!$W$347)=0,"",IF(('Dvd Calendar'!$W$347&gt;=MIN(DATE(Summary!$C$12,1,1),Summary!$C$11))*('Dvd Calendar'!$W$347&lt;=MAX(DATE(Summary!$C$12,12,31),Summary!$C$15))*('Dvd Calendar'!$W$347&gt;Summary!$C$11)=0,"",'Dvd Calendar'!$W$347*1000000000+ISNUMBER('Dvd Calendar'!$W$348)*100000000+('Dvd Calendar'!$W$352='Field Check'!$C$25)*10000000+(N('Dvd Calendar'!$W$346)&gt;0)*1000000+23*1000+59))</f>
        <v/>
      </c>
      <c r="BJ31" s="41">
        <f>IF(N('Dvd Calendar'!$X$347)=0,"",IF(('Dvd Calendar'!$X$347&gt;=MIN(DATE(Summary!$C$12,1,1),Summary!$C$11))*('Dvd Calendar'!$X$347&lt;=MAX(DATE(Summary!$C$12,12,31),Summary!$C$15))*('Dvd Calendar'!$X$347&gt;Summary!$C$11)=0,"",'Dvd Calendar'!$X$347*1000000000+ISNUMBER('Dvd Calendar'!$X$348)*100000000+('Dvd Calendar'!$X$352='Field Check'!$C$25)*10000000+(N('Dvd Calendar'!$X$346)&gt;0)*1000000+23*1000+60))</f>
        <v/>
      </c>
      <c r="BK31" s="41">
        <f>IF(N('Dvd Calendar'!$Y$347)=0,"",IF(('Dvd Calendar'!$Y$347&gt;=MIN(DATE(Summary!$C$12,1,1),Summary!$C$11))*('Dvd Calendar'!$Y$347&lt;=MAX(DATE(Summary!$C$12,12,31),Summary!$C$15))*('Dvd Calendar'!$Y$347&gt;Summary!$C$11)=0,"",'Dvd Calendar'!$Y$347*1000000000+ISNUMBER('Dvd Calendar'!$Y$348)*100000000+('Dvd Calendar'!$Y$352='Field Check'!$C$25)*10000000+(N('Dvd Calendar'!$Y$346)&gt;0)*1000000+23*1000+61))</f>
        <v/>
      </c>
      <c r="BL31" s="41">
        <f>IF(N('Dvd Calendar'!$Z$347)=0,"",IF(('Dvd Calendar'!$Z$347&gt;=MIN(DATE(Summary!$C$12,1,1),Summary!$C$11))*('Dvd Calendar'!$Z$347&lt;=MAX(DATE(Summary!$C$12,12,31),Summary!$C$15))*('Dvd Calendar'!$Z$347&gt;Summary!$C$11)=0,"",'Dvd Calendar'!$Z$347*1000000000+ISNUMBER('Dvd Calendar'!$Z$348)*100000000+('Dvd Calendar'!$Z$352='Field Check'!$C$25)*10000000+(N('Dvd Calendar'!$Z$346)&gt;0)*1000000+23*1000+62))</f>
        <v/>
      </c>
      <c r="BM31" s="41">
        <f>IF(N('Dvd Calendar'!$AA$347)=0,"",IF(('Dvd Calendar'!$AA$347&gt;=MIN(DATE(Summary!$C$12,1,1),Summary!$C$11))*('Dvd Calendar'!$AA$347&lt;=MAX(DATE(Summary!$C$12,12,31),Summary!$C$15))*('Dvd Calendar'!$AA$347&gt;Summary!$C$11)=0,"",'Dvd Calendar'!$AA$347*1000000000+ISNUMBER('Dvd Calendar'!$AA$348)*100000000+('Dvd Calendar'!$AA$352='Field Check'!$C$25)*10000000+(N('Dvd Calendar'!$AA$346)&gt;0)*1000000+23*1000+63))</f>
        <v/>
      </c>
      <c r="BN31" s="41">
        <f>IF(N('Dvd Calendar'!$AB$347)=0,"",IF(('Dvd Calendar'!$AB$347&gt;=MIN(DATE(Summary!$C$12,1,1),Summary!$C$11))*('Dvd Calendar'!$AB$347&lt;=MAX(DATE(Summary!$C$12,12,31),Summary!$C$15))*('Dvd Calendar'!$AB$347&gt;Summary!$C$11)=0,"",'Dvd Calendar'!$AB$347*1000000000+ISNUMBER('Dvd Calendar'!$AB$348)*100000000+('Dvd Calendar'!$AB$352='Field Check'!$C$25)*10000000+(N('Dvd Calendar'!$AB$346)&gt;0)*1000000+23*1000+64))</f>
        <v/>
      </c>
      <c r="BO31" s="41">
        <f>IF(N('Dvd Calendar'!$AC$347)=0,"",IF(('Dvd Calendar'!$AC$347&gt;=MIN(DATE(Summary!$C$12,1,1),Summary!$C$11))*('Dvd Calendar'!$AC$347&lt;=MAX(DATE(Summary!$C$12,12,31),Summary!$C$15))*('Dvd Calendar'!$AC$347&gt;Summary!$C$11)=0,"",'Dvd Calendar'!$AC$347*1000000000+ISNUMBER('Dvd Calendar'!$AC$348)*100000000+('Dvd Calendar'!$AC$352='Field Check'!$C$25)*10000000+(N('Dvd Calendar'!$AC$346)&gt;0)*1000000+23*1000+65))</f>
        <v/>
      </c>
      <c r="BQ31" s="85">
        <f>IF(C31="","",IF(ISNUMBER('Dvd Calendar'!$E$341)=FALSE,"",IF((Summary!$C$13="N")*('Dvd Calendar'!$E$345='Field Check'!$C$25)&gt;0,"",'Dvd Calendar'!$E$341)))</f>
        <v/>
      </c>
      <c r="BR31" s="85">
        <f>IF(D31="","",IF(ISNUMBER('Dvd Calendar'!$F$341)=FALSE,"",IF((Summary!$C$13="N")*('Dvd Calendar'!$F$345='Field Check'!$C$25)&gt;0,"",'Dvd Calendar'!$F$341)))</f>
        <v/>
      </c>
      <c r="BS31" s="85">
        <f>IF(E31="","",IF(ISNUMBER('Dvd Calendar'!$G$341)=FALSE,"",IF((Summary!$C$13="N")*('Dvd Calendar'!$G$345='Field Check'!$C$25)&gt;0,"",'Dvd Calendar'!$G$341)))</f>
        <v/>
      </c>
      <c r="BT31" s="85">
        <f>IF(F31="","",IF(ISNUMBER('Dvd Calendar'!$H$341)=FALSE,"",IF((Summary!$C$13="N")*('Dvd Calendar'!$H$345='Field Check'!$C$25)&gt;0,"",'Dvd Calendar'!$H$341)))</f>
        <v/>
      </c>
      <c r="BU31" s="85">
        <f>IF(G31="","",IF(ISNUMBER('Dvd Calendar'!$I$341)=FALSE,"",IF((Summary!$C$13="N")*('Dvd Calendar'!$I$345='Field Check'!$C$25)&gt;0,"",'Dvd Calendar'!$I$341)))</f>
        <v/>
      </c>
      <c r="BV31" s="85">
        <f>IF(H31="","",IF(ISNUMBER('Dvd Calendar'!$J$341)=FALSE,"",IF((Summary!$C$13="N")*('Dvd Calendar'!$J$345='Field Check'!$C$25)&gt;0,"",'Dvd Calendar'!$J$341)))</f>
        <v/>
      </c>
      <c r="BW31" s="85">
        <f>IF(I31="","",IF(ISNUMBER('Dvd Calendar'!$K$341)=FALSE,"",IF((Summary!$C$13="N")*('Dvd Calendar'!$K$345='Field Check'!$C$25)&gt;0,"",'Dvd Calendar'!$K$341)))</f>
        <v/>
      </c>
      <c r="BX31" s="85">
        <f>IF(J31="","",IF(ISNUMBER('Dvd Calendar'!$L$341)=FALSE,"",IF((Summary!$C$13="N")*('Dvd Calendar'!$L$345='Field Check'!$C$25)&gt;0,"",'Dvd Calendar'!$L$341)))</f>
        <v/>
      </c>
      <c r="BY31" s="85">
        <f>IF(K31="","",IF(ISNUMBER('Dvd Calendar'!$M$341)=FALSE,"",IF((Summary!$C$13="N")*('Dvd Calendar'!$M$345='Field Check'!$C$25)&gt;0,"",'Dvd Calendar'!$M$341)))</f>
        <v/>
      </c>
      <c r="BZ31" s="85">
        <f>IF(L31="","",IF(ISNUMBER('Dvd Calendar'!$N$341)=FALSE,"",IF((Summary!$C$13="N")*('Dvd Calendar'!$N$345='Field Check'!$C$25)&gt;0,"",'Dvd Calendar'!$N$341)))</f>
        <v/>
      </c>
      <c r="CA31" s="85">
        <f>IF(M31="","",IF(ISNUMBER('Dvd Calendar'!$O$341)=FALSE,"",IF((Summary!$C$13="N")*('Dvd Calendar'!$O$345='Field Check'!$C$25)&gt;0,"",'Dvd Calendar'!$O$341)))</f>
        <v/>
      </c>
      <c r="CB31" s="85">
        <f>IF(N31="","",IF(ISNUMBER('Dvd Calendar'!$P$341)=FALSE,"",IF((Summary!$C$13="N")*('Dvd Calendar'!$P$345='Field Check'!$C$25)&gt;0,"",'Dvd Calendar'!$P$341)))</f>
        <v/>
      </c>
      <c r="CC31" s="85">
        <f>IF(O31="","",IF(ISNUMBER('Dvd Calendar'!$Q$341)=FALSE,"",IF((Summary!$C$13="N")*('Dvd Calendar'!$Q$345='Field Check'!$C$25)&gt;0,"",'Dvd Calendar'!$Q$341)))</f>
        <v/>
      </c>
      <c r="CD31" s="85">
        <f>IF(P31="","",IF(ISNUMBER('Dvd Calendar'!$R$341)=FALSE,"",IF((Summary!$C$13="N")*('Dvd Calendar'!$R$345='Field Check'!$C$25)&gt;0,"",'Dvd Calendar'!$R$341)))</f>
        <v/>
      </c>
      <c r="CE31" s="85">
        <f>IF(Q31="","",IF(ISNUMBER('Dvd Calendar'!$S$341)=FALSE,"",IF((Summary!$C$13="N")*('Dvd Calendar'!$S$345='Field Check'!$C$25)&gt;0,"",'Dvd Calendar'!$S$341)))</f>
        <v/>
      </c>
      <c r="CF31" s="85">
        <f>IF(R31="","",IF(ISNUMBER('Dvd Calendar'!$T$341)=FALSE,"",IF((Summary!$C$13="N")*('Dvd Calendar'!$T$345='Field Check'!$C$25)&gt;0,"",'Dvd Calendar'!$T$341)))</f>
        <v/>
      </c>
      <c r="CG31" s="85">
        <f>IF(S31="","",IF(ISNUMBER('Dvd Calendar'!$U$341)=FALSE,"",IF((Summary!$C$13="N")*('Dvd Calendar'!$U$345='Field Check'!$C$25)&gt;0,"",'Dvd Calendar'!$U$341)))</f>
        <v/>
      </c>
      <c r="CH31" s="85">
        <f>IF(T31="","",IF(ISNUMBER('Dvd Calendar'!$V$341)=FALSE,"",IF((Summary!$C$13="N")*('Dvd Calendar'!$V$345='Field Check'!$C$25)&gt;0,"",'Dvd Calendar'!$V$341)))</f>
        <v/>
      </c>
      <c r="CI31" s="85">
        <f>IF(U31="","",IF(ISNUMBER('Dvd Calendar'!$W$341)=FALSE,"",IF((Summary!$C$13="N")*('Dvd Calendar'!$W$345='Field Check'!$C$25)&gt;0,"",'Dvd Calendar'!$W$341)))</f>
        <v/>
      </c>
      <c r="CJ31" s="85">
        <f>IF(V31="","",IF(ISNUMBER('Dvd Calendar'!$X$341)=FALSE,"",IF((Summary!$C$13="N")*('Dvd Calendar'!$X$345='Field Check'!$C$25)&gt;0,"",'Dvd Calendar'!$X$341)))</f>
        <v/>
      </c>
      <c r="CK31" s="85">
        <f>IF(W31="","",IF(ISNUMBER('Dvd Calendar'!$Y$341)=FALSE,"",IF((Summary!$C$13="N")*('Dvd Calendar'!$Y$345='Field Check'!$C$25)&gt;0,"",'Dvd Calendar'!$Y$341)))</f>
        <v/>
      </c>
      <c r="CL31" s="85">
        <f>IF(X31="","",IF(ISNUMBER('Dvd Calendar'!$Z$341)=FALSE,"",IF((Summary!$C$13="N")*('Dvd Calendar'!$Z$345='Field Check'!$C$25)&gt;0,"",'Dvd Calendar'!$Z$341)))</f>
        <v/>
      </c>
      <c r="CM31" s="85">
        <f>IF(Y31="","",IF(ISNUMBER('Dvd Calendar'!$AA$341)=FALSE,"",IF((Summary!$C$13="N")*('Dvd Calendar'!$AA$345='Field Check'!$C$25)&gt;0,"",'Dvd Calendar'!$AA$341)))</f>
        <v/>
      </c>
      <c r="CN31" s="85">
        <f>IF(Z31="","",IF(ISNUMBER('Dvd Calendar'!$AB$341)=FALSE,"",IF((Summary!$C$13="N")*('Dvd Calendar'!$AB$345='Field Check'!$C$25)&gt;0,"",'Dvd Calendar'!$AB$341)))</f>
        <v/>
      </c>
      <c r="CO31" s="85">
        <f>IF(AA31="","",IF(ISNUMBER('Dvd Calendar'!$AC$341)=FALSE,"",IF((Summary!$C$13="N")*('Dvd Calendar'!$AC$345='Field Check'!$C$25)&gt;0,"",'Dvd Calendar'!$AC$341)))</f>
        <v/>
      </c>
      <c r="CP31" s="85">
        <f>IF(AB31="","",IF(ISNUMBER('Dvd Calendar'!$AD$341)=FALSE,"",IF((Summary!$C$13="N")*('Dvd Calendar'!$AD$345='Field Check'!$C$25)&gt;0,"",'Dvd Calendar'!$AD$341)))</f>
        <v/>
      </c>
      <c r="CQ31" s="85">
        <f>IF(AC31="","",IF(ISNUMBER('Dvd Calendar'!$AE$341)=FALSE,"",IF((Summary!$C$13="N")*('Dvd Calendar'!$AE$345='Field Check'!$C$25)&gt;0,"",'Dvd Calendar'!$AE$341)))</f>
        <v/>
      </c>
      <c r="CR31" s="85">
        <f>IF(AD31="","",IF(ISNUMBER('Dvd Calendar'!$AF$341)=FALSE,"",IF((Summary!$C$13="N")*('Dvd Calendar'!$AF$345='Field Check'!$C$25)&gt;0,"",'Dvd Calendar'!$AF$341)))</f>
        <v/>
      </c>
      <c r="CS31" s="85">
        <f>IF(AE31="","",IF(ISNUMBER('Dvd Calendar'!$AG$341)=FALSE,"",IF((Summary!$C$13="N")*('Dvd Calendar'!$AG$345='Field Check'!$C$25)&gt;0,"",'Dvd Calendar'!$AG$341)))</f>
        <v/>
      </c>
      <c r="CT31" s="85">
        <f>IF(AF31="","",IF(ISNUMBER('Dvd Calendar'!$AH$341)=FALSE,"",IF((Summary!$C$13="N")*('Dvd Calendar'!$AH$345='Field Check'!$C$25)&gt;0,"",'Dvd Calendar'!$AH$341)))</f>
        <v/>
      </c>
      <c r="CU31" s="85">
        <f>IF(AG31="","",IF(ISNUMBER('Dvd Calendar'!$AI$341)=FALSE,"",IF((Summary!$C$13="N")*('Dvd Calendar'!$AI$345='Field Check'!$C$25)&gt;0,"",'Dvd Calendar'!$AI$341)))</f>
        <v/>
      </c>
      <c r="CV31" s="85">
        <f>IF(AH31="","",IF(ISNUMBER('Dvd Calendar'!$AJ$341)=FALSE,"",IF((Summary!$C$13="N")*('Dvd Calendar'!$AJ$345='Field Check'!$C$25)&gt;0,"",'Dvd Calendar'!$AJ$341)))</f>
        <v/>
      </c>
      <c r="CW31" s="85">
        <f>IF(AI31="","",IF(ISNUMBER('Dvd Calendar'!$AK$341)=FALSE,"",IF((Summary!$C$13="N")*('Dvd Calendar'!$AK$345='Field Check'!$C$25)&gt;0,"",'Dvd Calendar'!$AK$341)))</f>
        <v/>
      </c>
      <c r="CX31" s="85">
        <f>IF(AJ31="","",IF(ISNUMBER('Dvd Calendar'!$AL$341)=FALSE,"",IF((Summary!$C$13="N")*('Dvd Calendar'!$AL$345='Field Check'!$C$25)&gt;0,"",'Dvd Calendar'!$AL$341)))</f>
        <v/>
      </c>
      <c r="CY31" s="85">
        <f>IF(AK31="","",IF(ISNUMBER('Dvd Calendar'!$AM$341)=FALSE,"",IF((Summary!$C$13="N")*('Dvd Calendar'!$AM$345='Field Check'!$C$25)&gt;0,"",'Dvd Calendar'!$AM$341)))</f>
        <v/>
      </c>
      <c r="CZ31" s="85">
        <f>IF(AL31="","",IF(ISNUMBER('Dvd Calendar'!$AN$341)=FALSE,"",IF((Summary!$C$13="N")*('Dvd Calendar'!$AN$345='Field Check'!$C$25)&gt;0,"",'Dvd Calendar'!$AN$341)))</f>
        <v/>
      </c>
      <c r="DA31" s="85">
        <f>IF(AM31="","",IF(ISNUMBER('Dvd Calendar'!$AO$341)=FALSE,"",IF((Summary!$C$13="N")*('Dvd Calendar'!$AO$345='Field Check'!$C$25)&gt;0,"",'Dvd Calendar'!$AO$341)))</f>
        <v/>
      </c>
      <c r="DB31" s="85">
        <f>IF(AN31="","",IF(ISNUMBER('Dvd Calendar'!$AP$341)=FALSE,"",IF((Summary!$C$13="N")*('Dvd Calendar'!$AP$345='Field Check'!$C$25)&gt;0,"",'Dvd Calendar'!$AP$341)))</f>
        <v/>
      </c>
      <c r="DC31" s="85">
        <f>IF(AO31="","",IF(ISNUMBER('Dvd Calendar'!$AQ$341)=FALSE,"",IF((Summary!$C$13="N")*('Dvd Calendar'!$AQ$345='Field Check'!$C$25)&gt;0,"",'Dvd Calendar'!$AQ$341)))</f>
        <v/>
      </c>
      <c r="DD31" s="85">
        <f>IF(AP31="","",IF(ISNUMBER('Dvd Calendar'!$AR$341)=FALSE,"",IF((Summary!$C$13="N")*('Dvd Calendar'!$AR$345='Field Check'!$C$25)&gt;0,"",'Dvd Calendar'!$AR$341)))</f>
        <v/>
      </c>
      <c r="DE31" s="85">
        <f>IF(AQ31="","",IF(ISNUMBER('Dvd Calendar'!$E$348)=FALSE,"",IF((Summary!$C$13="N")*('Dvd Calendar'!$E$352='Field Check'!$C$25)&gt;0,"",'Dvd Calendar'!$E$348)))</f>
        <v/>
      </c>
      <c r="DF31" s="85">
        <f>IF(AR31="","",IF(ISNUMBER('Dvd Calendar'!$F$348)=FALSE,"",IF((Summary!$C$13="N")*('Dvd Calendar'!$F$352='Field Check'!$C$25)&gt;0,"",'Dvd Calendar'!$F$348)))</f>
        <v/>
      </c>
      <c r="DG31" s="85">
        <f>IF(AS31="","",IF(ISNUMBER('Dvd Calendar'!$G$348)=FALSE,"",IF((Summary!$C$13="N")*('Dvd Calendar'!$G$352='Field Check'!$C$25)&gt;0,"",'Dvd Calendar'!$G$348)))</f>
        <v/>
      </c>
      <c r="DH31" s="85">
        <f>IF(AT31="","",IF(ISNUMBER('Dvd Calendar'!$H$348)=FALSE,"",IF((Summary!$C$13="N")*('Dvd Calendar'!$H$352='Field Check'!$C$25)&gt;0,"",'Dvd Calendar'!$H$348)))</f>
        <v/>
      </c>
      <c r="DI31" s="85">
        <f>IF(AU31="","",IF(ISNUMBER('Dvd Calendar'!$I$348)=FALSE,"",IF((Summary!$C$13="N")*('Dvd Calendar'!$I$352='Field Check'!$C$25)&gt;0,"",'Dvd Calendar'!$I$348)))</f>
        <v/>
      </c>
      <c r="DJ31" s="85">
        <f>IF(AV31="","",IF(ISNUMBER('Dvd Calendar'!$J$348)=FALSE,"",IF((Summary!$C$13="N")*('Dvd Calendar'!$J$352='Field Check'!$C$25)&gt;0,"",'Dvd Calendar'!$J$348)))</f>
        <v/>
      </c>
      <c r="DK31" s="85">
        <f>IF(AW31="","",IF(ISNUMBER('Dvd Calendar'!$K$348)=FALSE,"",IF((Summary!$C$13="N")*('Dvd Calendar'!$K$352='Field Check'!$C$25)&gt;0,"",'Dvd Calendar'!$K$348)))</f>
        <v/>
      </c>
      <c r="DL31" s="85">
        <f>IF(AX31="","",IF(ISNUMBER('Dvd Calendar'!$L$348)=FALSE,"",IF((Summary!$C$13="N")*('Dvd Calendar'!$L$352='Field Check'!$C$25)&gt;0,"",'Dvd Calendar'!$L$348)))</f>
        <v/>
      </c>
      <c r="DM31" s="85">
        <f>IF(AY31="","",IF(ISNUMBER('Dvd Calendar'!$M$348)=FALSE,"",IF((Summary!$C$13="N")*('Dvd Calendar'!$M$352='Field Check'!$C$25)&gt;0,"",'Dvd Calendar'!$M$348)))</f>
        <v/>
      </c>
      <c r="DN31" s="85">
        <f>IF(AZ31="","",IF(ISNUMBER('Dvd Calendar'!$N$348)=FALSE,"",IF((Summary!$C$13="N")*('Dvd Calendar'!$N$352='Field Check'!$C$25)&gt;0,"",'Dvd Calendar'!$N$348)))</f>
        <v/>
      </c>
      <c r="DO31" s="85">
        <f>IF(BA31="","",IF(ISNUMBER('Dvd Calendar'!$O$348)=FALSE,"",IF((Summary!$C$13="N")*('Dvd Calendar'!$O$352='Field Check'!$C$25)&gt;0,"",'Dvd Calendar'!$O$348)))</f>
        <v/>
      </c>
      <c r="DP31" s="85">
        <f>IF(BB31="","",IF(ISNUMBER('Dvd Calendar'!$P$348)=FALSE,"",IF((Summary!$C$13="N")*('Dvd Calendar'!$P$352='Field Check'!$C$25)&gt;0,"",'Dvd Calendar'!$P$348)))</f>
        <v/>
      </c>
      <c r="DQ31" s="85">
        <f>IF(BC31="","",IF(ISNUMBER('Dvd Calendar'!$Q$348)=FALSE,"",IF((Summary!$C$13="N")*('Dvd Calendar'!$Q$352='Field Check'!$C$25)&gt;0,"",'Dvd Calendar'!$Q$348)))</f>
        <v/>
      </c>
      <c r="DR31" s="85">
        <f>IF(BD31="","",IF(ISNUMBER('Dvd Calendar'!$R$348)=FALSE,"",IF((Summary!$C$13="N")*('Dvd Calendar'!$R$352='Field Check'!$C$25)&gt;0,"",'Dvd Calendar'!$R$348)))</f>
        <v/>
      </c>
      <c r="DS31" s="85">
        <f>IF(BE31="","",IF(ISNUMBER('Dvd Calendar'!$S$348)=FALSE,"",IF((Summary!$C$13="N")*('Dvd Calendar'!$S$352='Field Check'!$C$25)&gt;0,"",'Dvd Calendar'!$S$348)))</f>
        <v/>
      </c>
      <c r="DT31" s="85">
        <f>IF(BF31="","",IF(ISNUMBER('Dvd Calendar'!$T$348)=FALSE,"",IF((Summary!$C$13="N")*('Dvd Calendar'!$T$352='Field Check'!$C$25)&gt;0,"",'Dvd Calendar'!$T$348)))</f>
        <v/>
      </c>
      <c r="DU31" s="85">
        <f>IF(BG31="","",IF(ISNUMBER('Dvd Calendar'!$U$348)=FALSE,"",IF((Summary!$C$13="N")*('Dvd Calendar'!$U$352='Field Check'!$C$25)&gt;0,"",'Dvd Calendar'!$U$348)))</f>
        <v/>
      </c>
      <c r="DV31" s="85">
        <f>IF(BH31="","",IF(ISNUMBER('Dvd Calendar'!$V$348)=FALSE,"",IF((Summary!$C$13="N")*('Dvd Calendar'!$V$352='Field Check'!$C$25)&gt;0,"",'Dvd Calendar'!$V$348)))</f>
        <v/>
      </c>
      <c r="DW31" s="85">
        <f>IF(BI31="","",IF(ISNUMBER('Dvd Calendar'!$W$348)=FALSE,"",IF((Summary!$C$13="N")*('Dvd Calendar'!$W$352='Field Check'!$C$25)&gt;0,"",'Dvd Calendar'!$W$348)))</f>
        <v/>
      </c>
      <c r="DX31" s="85">
        <f>IF(BJ31="","",IF(ISNUMBER('Dvd Calendar'!$X$348)=FALSE,"",IF((Summary!$C$13="N")*('Dvd Calendar'!$X$352='Field Check'!$C$25)&gt;0,"",'Dvd Calendar'!$X$348)))</f>
        <v/>
      </c>
      <c r="DY31" s="85">
        <f>IF(BK31="","",IF(ISNUMBER('Dvd Calendar'!$Y$348)=FALSE,"",IF((Summary!$C$13="N")*('Dvd Calendar'!$Y$352='Field Check'!$C$25)&gt;0,"",'Dvd Calendar'!$Y$348)))</f>
        <v/>
      </c>
      <c r="DZ31" s="85">
        <f>IF(BL31="","",IF(ISNUMBER('Dvd Calendar'!$Z$348)=FALSE,"",IF((Summary!$C$13="N")*('Dvd Calendar'!$Z$352='Field Check'!$C$25)&gt;0,"",'Dvd Calendar'!$Z$348)))</f>
        <v/>
      </c>
      <c r="EA31" s="85">
        <f>IF(BM31="","",IF(ISNUMBER('Dvd Calendar'!$AA$348)=FALSE,"",IF((Summary!$C$13="N")*('Dvd Calendar'!$AA$352='Field Check'!$C$25)&gt;0,"",'Dvd Calendar'!$AA$348)))</f>
        <v/>
      </c>
      <c r="EB31" s="85">
        <f>IF(BN31="","",IF(ISNUMBER('Dvd Calendar'!$AB$348)=FALSE,"",IF((Summary!$C$13="N")*('Dvd Calendar'!$AB$352='Field Check'!$C$25)&gt;0,"",'Dvd Calendar'!$AB$348)))</f>
        <v/>
      </c>
      <c r="EC31" s="85">
        <f>IF(BO31="","",IF(ISNUMBER('Dvd Calendar'!$AC$348)=FALSE,"",IF((Summary!$C$13="N")*('Dvd Calendar'!$AC$352='Field Check'!$C$25)&gt;0,"",'Dvd Calendar'!$AC$348)))</f>
        <v/>
      </c>
      <c r="EE31" s="85">
        <f>IF(BQ31="","",IFERROR(BQ31*HSI!$B$29*HSI!$G$29/HSI!$B$3,""))</f>
        <v/>
      </c>
      <c r="EF31" s="85">
        <f>IF(BR31="","",IFERROR(BR31*HSI!$B$29*HSI!$G$29/HSI!$B$3,""))</f>
        <v/>
      </c>
      <c r="EG31" s="85">
        <f>IF(BS31="","",IFERROR(BS31*HSI!$B$29*HSI!$G$29/HSI!$B$3,""))</f>
        <v/>
      </c>
      <c r="EH31" s="85">
        <f>IF(BT31="","",IFERROR(BT31*HSI!$B$29*HSI!$G$29/HSI!$B$3,""))</f>
        <v/>
      </c>
      <c r="EI31" s="85">
        <f>IF(BU31="","",IFERROR(BU31*HSI!$B$29*HSI!$G$29/HSI!$B$3,""))</f>
        <v/>
      </c>
      <c r="EJ31" s="85">
        <f>IF(BV31="","",IFERROR(BV31*HSI!$B$29*HSI!$G$29/HSI!$B$3,""))</f>
        <v/>
      </c>
      <c r="EK31" s="85">
        <f>IF(BW31="","",IFERROR(BW31*HSI!$B$29*HSI!$G$29/HSI!$B$3,""))</f>
        <v/>
      </c>
      <c r="EL31" s="85">
        <f>IF(BX31="","",IFERROR(BX31*HSI!$B$29*HSI!$G$29/HSI!$B$3,""))</f>
        <v/>
      </c>
      <c r="EM31" s="85">
        <f>IF(BY31="","",IFERROR(BY31*HSI!$B$29*HSI!$G$29/HSI!$B$3,""))</f>
        <v/>
      </c>
      <c r="EN31" s="85">
        <f>IF(BZ31="","",IFERROR(BZ31*HSI!$B$29*HSI!$G$29/HSI!$B$3,""))</f>
        <v/>
      </c>
      <c r="EO31" s="85">
        <f>IF(CA31="","",IFERROR(CA31*HSI!$B$29*HSI!$G$29/HSI!$B$3,""))</f>
        <v/>
      </c>
      <c r="EP31" s="85">
        <f>IF(CB31="","",IFERROR(CB31*HSI!$B$29*HSI!$G$29/HSI!$B$3,""))</f>
        <v/>
      </c>
      <c r="EQ31" s="85">
        <f>IF(CC31="","",IFERROR(CC31*HSI!$B$29*HSI!$G$29/HSI!$B$3,""))</f>
        <v/>
      </c>
      <c r="ER31" s="85">
        <f>IF(CD31="","",IFERROR(CD31*HSI!$B$29*HSI!$G$29/HSI!$B$3,""))</f>
        <v/>
      </c>
      <c r="ES31" s="85">
        <f>IF(CE31="","",IFERROR(CE31*HSI!$B$29*HSI!$G$29/HSI!$B$3,""))</f>
        <v/>
      </c>
      <c r="ET31" s="85">
        <f>IF(CF31="","",IFERROR(CF31*HSI!$B$29*HSI!$G$29/HSI!$B$3,""))</f>
        <v/>
      </c>
      <c r="EU31" s="85">
        <f>IF(CG31="","",IFERROR(CG31*HSI!$B$29*HSI!$G$29/HSI!$B$3,""))</f>
        <v/>
      </c>
      <c r="EV31" s="85">
        <f>IF(CH31="","",IFERROR(CH31*HSI!$B$29*HSI!$G$29/HSI!$B$3,""))</f>
        <v/>
      </c>
      <c r="EW31" s="85">
        <f>IF(CI31="","",IFERROR(CI31*HSI!$B$29*HSI!$G$29/HSI!$B$3,""))</f>
        <v/>
      </c>
      <c r="EX31" s="85">
        <f>IF(CJ31="","",IFERROR(CJ31*HSI!$B$29*HSI!$G$29/HSI!$B$3,""))</f>
        <v/>
      </c>
      <c r="EY31" s="85">
        <f>IF(CK31="","",IFERROR(CK31*HSI!$B$29*HSI!$G$29/HSI!$B$3,""))</f>
        <v/>
      </c>
      <c r="EZ31" s="85">
        <f>IF(CL31="","",IFERROR(CL31*HSI!$B$29*HSI!$G$29/HSI!$B$3,""))</f>
        <v/>
      </c>
      <c r="FA31" s="85">
        <f>IF(CM31="","",IFERROR(CM31*HSI!$B$29*HSI!$G$29/HSI!$B$3,""))</f>
        <v/>
      </c>
      <c r="FB31" s="85">
        <f>IF(CN31="","",IFERROR(CN31*HSI!$B$29*HSI!$G$29/HSI!$B$3,""))</f>
        <v/>
      </c>
      <c r="FC31" s="85">
        <f>IF(CO31="","",IFERROR(CO31*HSI!$B$29*HSI!$G$29/HSI!$B$3,""))</f>
        <v/>
      </c>
      <c r="FD31" s="85">
        <f>IF(CP31="","",IFERROR(CP31*HSI!$B$29*HSI!$G$29/HSI!$B$3,""))</f>
        <v/>
      </c>
      <c r="FE31" s="85">
        <f>IF(CQ31="","",IFERROR(CQ31*HSI!$B$29*HSI!$G$29/HSI!$B$3,""))</f>
        <v/>
      </c>
      <c r="FF31" s="85">
        <f>IF(CR31="","",IFERROR(CR31*HSI!$B$29*HSI!$G$29/HSI!$B$3,""))</f>
        <v/>
      </c>
      <c r="FG31" s="85">
        <f>IF(CS31="","",IFERROR(CS31*HSI!$B$29*HSI!$G$29/HSI!$B$3,""))</f>
        <v/>
      </c>
      <c r="FH31" s="85">
        <f>IF(CT31="","",IFERROR(CT31*HSI!$B$29*HSI!$G$29/HSI!$B$3,""))</f>
        <v/>
      </c>
      <c r="FI31" s="85">
        <f>IF(CU31="","",IFERROR(CU31*HSI!$B$29*HSI!$G$29/HSI!$B$3,""))</f>
        <v/>
      </c>
      <c r="FJ31" s="85">
        <f>IF(CV31="","",IFERROR(CV31*HSI!$B$29*HSI!$G$29/HSI!$B$3,""))</f>
        <v/>
      </c>
      <c r="FK31" s="85">
        <f>IF(CW31="","",IFERROR(CW31*HSI!$B$29*HSI!$G$29/HSI!$B$3,""))</f>
        <v/>
      </c>
      <c r="FL31" s="85">
        <f>IF(CX31="","",IFERROR(CX31*HSI!$B$29*HSI!$G$29/HSI!$B$3,""))</f>
        <v/>
      </c>
      <c r="FM31" s="85">
        <f>IF(CY31="","",IFERROR(CY31*HSI!$B$29*HSI!$G$29/HSI!$B$3,""))</f>
        <v/>
      </c>
      <c r="FN31" s="85">
        <f>IF(CZ31="","",IFERROR(CZ31*HSI!$B$29*HSI!$G$29/HSI!$B$3,""))</f>
        <v/>
      </c>
      <c r="FO31" s="85">
        <f>IF(DA31="","",IFERROR(DA31*HSI!$B$29*HSI!$G$29/HSI!$B$3,""))</f>
        <v/>
      </c>
      <c r="FP31" s="85">
        <f>IF(DB31="","",IFERROR(DB31*HSI!$B$29*HSI!$G$29/HSI!$B$3,""))</f>
        <v/>
      </c>
      <c r="FQ31" s="85">
        <f>IF(DC31="","",IFERROR(DC31*HSI!$B$29*HSI!$G$29/HSI!$B$3,""))</f>
        <v/>
      </c>
      <c r="FR31" s="85">
        <f>IF(DD31="","",IFERROR(DD31*HSI!$B$29*HSI!$G$29/HSI!$B$3,""))</f>
        <v/>
      </c>
      <c r="FS31" s="85">
        <f>IF(DE31="","",IFERROR(DE31*HSI!$B$29*HSI!$G$29/HSI!$B$3,""))</f>
        <v/>
      </c>
      <c r="FT31" s="85">
        <f>IF(DF31="","",IFERROR(DF31*HSI!$B$29*HSI!$G$29/HSI!$B$3,""))</f>
        <v/>
      </c>
      <c r="FU31" s="85">
        <f>IF(DG31="","",IFERROR(DG31*HSI!$B$29*HSI!$G$29/HSI!$B$3,""))</f>
        <v/>
      </c>
      <c r="FV31" s="85">
        <f>IF(DH31="","",IFERROR(DH31*HSI!$B$29*HSI!$G$29/HSI!$B$3,""))</f>
        <v/>
      </c>
      <c r="FW31" s="85">
        <f>IF(DI31="","",IFERROR(DI31*HSI!$B$29*HSI!$G$29/HSI!$B$3,""))</f>
        <v/>
      </c>
      <c r="FX31" s="85">
        <f>IF(DJ31="","",IFERROR(DJ31*HSI!$B$29*HSI!$G$29/HSI!$B$3,""))</f>
        <v/>
      </c>
      <c r="FY31" s="85">
        <f>IF(DK31="","",IFERROR(DK31*HSI!$B$29*HSI!$G$29/HSI!$B$3,""))</f>
        <v/>
      </c>
      <c r="FZ31" s="85">
        <f>IF(DL31="","",IFERROR(DL31*HSI!$B$29*HSI!$G$29/HSI!$B$3,""))</f>
        <v/>
      </c>
      <c r="GA31" s="85">
        <f>IF(DM31="","",IFERROR(DM31*HSI!$B$29*HSI!$G$29/HSI!$B$3,""))</f>
        <v/>
      </c>
      <c r="GB31" s="85">
        <f>IF(DN31="","",IFERROR(DN31*HSI!$B$29*HSI!$G$29/HSI!$B$3,""))</f>
        <v/>
      </c>
      <c r="GC31" s="85">
        <f>IF(DO31="","",IFERROR(DO31*HSI!$B$29*HSI!$G$29/HSI!$B$3,""))</f>
        <v/>
      </c>
      <c r="GD31" s="85">
        <f>IF(DP31="","",IFERROR(DP31*HSI!$B$29*HSI!$G$29/HSI!$B$3,""))</f>
        <v/>
      </c>
      <c r="GE31" s="85">
        <f>IF(DQ31="","",IFERROR(DQ31*HSI!$B$29*HSI!$G$29/HSI!$B$3,""))</f>
        <v/>
      </c>
      <c r="GF31" s="85">
        <f>IF(DR31="","",IFERROR(DR31*HSI!$B$29*HSI!$G$29/HSI!$B$3,""))</f>
        <v/>
      </c>
      <c r="GG31" s="85">
        <f>IF(DS31="","",IFERROR(DS31*HSI!$B$29*HSI!$G$29/HSI!$B$3,""))</f>
        <v/>
      </c>
      <c r="GH31" s="85">
        <f>IF(DT31="","",IFERROR(DT31*HSI!$B$29*HSI!$G$29/HSI!$B$3,""))</f>
        <v/>
      </c>
      <c r="GI31" s="85">
        <f>IF(DU31="","",IFERROR(DU31*HSI!$B$29*HSI!$G$29/HSI!$B$3,""))</f>
        <v/>
      </c>
      <c r="GJ31" s="85">
        <f>IF(DV31="","",IFERROR(DV31*HSI!$B$29*HSI!$G$29/HSI!$B$3,""))</f>
        <v/>
      </c>
      <c r="GK31" s="85">
        <f>IF(DW31="","",IFERROR(DW31*HSI!$B$29*HSI!$G$29/HSI!$B$3,""))</f>
        <v/>
      </c>
      <c r="GL31" s="85">
        <f>IF(DX31="","",IFERROR(DX31*HSI!$B$29*HSI!$G$29/HSI!$B$3,""))</f>
        <v/>
      </c>
      <c r="GM31" s="85">
        <f>IF(DY31="","",IFERROR(DY31*HSI!$B$29*HSI!$G$29/HSI!$B$3,""))</f>
        <v/>
      </c>
      <c r="GN31" s="85">
        <f>IF(DZ31="","",IFERROR(DZ31*HSI!$B$29*HSI!$G$29/HSI!$B$3,""))</f>
        <v/>
      </c>
      <c r="GO31" s="85">
        <f>IF(EA31="","",IFERROR(EA31*HSI!$B$29*HSI!$G$29/HSI!$B$3,""))</f>
        <v/>
      </c>
      <c r="GP31" s="85">
        <f>IF(EB31="","",IFERROR(EB31*HSI!$B$29*HSI!$G$29/HSI!$B$3,""))</f>
        <v/>
      </c>
      <c r="GQ31" s="85">
        <f>IF(EC31="","",IFERROR(EC31*HSI!$B$29*HSI!$G$29/HSI!$B$3,""))</f>
        <v/>
      </c>
    </row>
    <row r="32">
      <c r="B32" s="2">
        <f>IF(HSI!$C$30="","",HSI!$C$30)</f>
        <v/>
      </c>
      <c r="C32" s="41">
        <f>IF(N('Dvd Calendar'!$E$355)=0,"",IF(('Dvd Calendar'!$E$355&gt;=MIN(DATE(Summary!$C$12,1,1),Summary!$C$11))*('Dvd Calendar'!$E$355&lt;=MAX(DATE(Summary!$C$12,12,31),Summary!$C$15))*('Dvd Calendar'!$E$355&lt;=Summary!$C$11)=0,"",'Dvd Calendar'!$E$355*1000000000+ISNUMBER('Dvd Calendar'!$E$356)*100000000+('Dvd Calendar'!$E$360='Field Check'!$C$25)*10000000+(N('Dvd Calendar'!$E$354)&gt;0)*1000000+24*1000+1))</f>
        <v/>
      </c>
      <c r="D32" s="41">
        <f>IF(N('Dvd Calendar'!$F$355)=0,"",IF(('Dvd Calendar'!$F$355&gt;=MIN(DATE(Summary!$C$12,1,1),Summary!$C$11))*('Dvd Calendar'!$F$355&lt;=MAX(DATE(Summary!$C$12,12,31),Summary!$C$15))*('Dvd Calendar'!$F$355&lt;=Summary!$C$11)=0,"",'Dvd Calendar'!$F$355*1000000000+ISNUMBER('Dvd Calendar'!$F$356)*100000000+('Dvd Calendar'!$F$360='Field Check'!$C$25)*10000000+(N('Dvd Calendar'!$F$354)&gt;0)*1000000+24*1000+2))</f>
        <v/>
      </c>
      <c r="E32" s="41">
        <f>IF(N('Dvd Calendar'!$G$355)=0,"",IF(('Dvd Calendar'!$G$355&gt;=MIN(DATE(Summary!$C$12,1,1),Summary!$C$11))*('Dvd Calendar'!$G$355&lt;=MAX(DATE(Summary!$C$12,12,31),Summary!$C$15))*('Dvd Calendar'!$G$355&lt;=Summary!$C$11)=0,"",'Dvd Calendar'!$G$355*1000000000+ISNUMBER('Dvd Calendar'!$G$356)*100000000+('Dvd Calendar'!$G$360='Field Check'!$C$25)*10000000+(N('Dvd Calendar'!$G$354)&gt;0)*1000000+24*1000+3))</f>
        <v/>
      </c>
      <c r="F32" s="41">
        <f>IF(N('Dvd Calendar'!$H$355)=0,"",IF(('Dvd Calendar'!$H$355&gt;=MIN(DATE(Summary!$C$12,1,1),Summary!$C$11))*('Dvd Calendar'!$H$355&lt;=MAX(DATE(Summary!$C$12,12,31),Summary!$C$15))*('Dvd Calendar'!$H$355&lt;=Summary!$C$11)=0,"",'Dvd Calendar'!$H$355*1000000000+ISNUMBER('Dvd Calendar'!$H$356)*100000000+('Dvd Calendar'!$H$360='Field Check'!$C$25)*10000000+(N('Dvd Calendar'!$H$354)&gt;0)*1000000+24*1000+4))</f>
        <v/>
      </c>
      <c r="G32" s="41">
        <f>IF(N('Dvd Calendar'!$I$355)=0,"",IF(('Dvd Calendar'!$I$355&gt;=MIN(DATE(Summary!$C$12,1,1),Summary!$C$11))*('Dvd Calendar'!$I$355&lt;=MAX(DATE(Summary!$C$12,12,31),Summary!$C$15))*('Dvd Calendar'!$I$355&lt;=Summary!$C$11)=0,"",'Dvd Calendar'!$I$355*1000000000+ISNUMBER('Dvd Calendar'!$I$356)*100000000+('Dvd Calendar'!$I$360='Field Check'!$C$25)*10000000+(N('Dvd Calendar'!$I$354)&gt;0)*1000000+24*1000+5))</f>
        <v/>
      </c>
      <c r="H32" s="41">
        <f>IF(N('Dvd Calendar'!$J$355)=0,"",IF(('Dvd Calendar'!$J$355&gt;=MIN(DATE(Summary!$C$12,1,1),Summary!$C$11))*('Dvd Calendar'!$J$355&lt;=MAX(DATE(Summary!$C$12,12,31),Summary!$C$15))*('Dvd Calendar'!$J$355&lt;=Summary!$C$11)=0,"",'Dvd Calendar'!$J$355*1000000000+ISNUMBER('Dvd Calendar'!$J$356)*100000000+('Dvd Calendar'!$J$360='Field Check'!$C$25)*10000000+(N('Dvd Calendar'!$J$354)&gt;0)*1000000+24*1000+6))</f>
        <v/>
      </c>
      <c r="I32" s="41">
        <f>IF(N('Dvd Calendar'!$K$355)=0,"",IF(('Dvd Calendar'!$K$355&gt;=MIN(DATE(Summary!$C$12,1,1),Summary!$C$11))*('Dvd Calendar'!$K$355&lt;=MAX(DATE(Summary!$C$12,12,31),Summary!$C$15))*('Dvd Calendar'!$K$355&lt;=Summary!$C$11)=0,"",'Dvd Calendar'!$K$355*1000000000+ISNUMBER('Dvd Calendar'!$K$356)*100000000+('Dvd Calendar'!$K$360='Field Check'!$C$25)*10000000+(N('Dvd Calendar'!$K$354)&gt;0)*1000000+24*1000+7))</f>
        <v/>
      </c>
      <c r="J32" s="41">
        <f>IF(N('Dvd Calendar'!$L$355)=0,"",IF(('Dvd Calendar'!$L$355&gt;=MIN(DATE(Summary!$C$12,1,1),Summary!$C$11))*('Dvd Calendar'!$L$355&lt;=MAX(DATE(Summary!$C$12,12,31),Summary!$C$15))*('Dvd Calendar'!$L$355&lt;=Summary!$C$11)=0,"",'Dvd Calendar'!$L$355*1000000000+ISNUMBER('Dvd Calendar'!$L$356)*100000000+('Dvd Calendar'!$L$360='Field Check'!$C$25)*10000000+(N('Dvd Calendar'!$L$354)&gt;0)*1000000+24*1000+8))</f>
        <v/>
      </c>
      <c r="K32" s="41">
        <f>IF(N('Dvd Calendar'!$M$355)=0,"",IF(('Dvd Calendar'!$M$355&gt;=MIN(DATE(Summary!$C$12,1,1),Summary!$C$11))*('Dvd Calendar'!$M$355&lt;=MAX(DATE(Summary!$C$12,12,31),Summary!$C$15))*('Dvd Calendar'!$M$355&lt;=Summary!$C$11)=0,"",'Dvd Calendar'!$M$355*1000000000+ISNUMBER('Dvd Calendar'!$M$356)*100000000+('Dvd Calendar'!$M$360='Field Check'!$C$25)*10000000+(N('Dvd Calendar'!$M$354)&gt;0)*1000000+24*1000+9))</f>
        <v/>
      </c>
      <c r="L32" s="41">
        <f>IF(N('Dvd Calendar'!$N$355)=0,"",IF(('Dvd Calendar'!$N$355&gt;=MIN(DATE(Summary!$C$12,1,1),Summary!$C$11))*('Dvd Calendar'!$N$355&lt;=MAX(DATE(Summary!$C$12,12,31),Summary!$C$15))*('Dvd Calendar'!$N$355&lt;=Summary!$C$11)=0,"",'Dvd Calendar'!$N$355*1000000000+ISNUMBER('Dvd Calendar'!$N$356)*100000000+('Dvd Calendar'!$N$360='Field Check'!$C$25)*10000000+(N('Dvd Calendar'!$N$354)&gt;0)*1000000+24*1000+10))</f>
        <v/>
      </c>
      <c r="M32" s="41">
        <f>IF(N('Dvd Calendar'!$O$355)=0,"",IF(('Dvd Calendar'!$O$355&gt;=MIN(DATE(Summary!$C$12,1,1),Summary!$C$11))*('Dvd Calendar'!$O$355&lt;=MAX(DATE(Summary!$C$12,12,31),Summary!$C$15))*('Dvd Calendar'!$O$355&lt;=Summary!$C$11)=0,"",'Dvd Calendar'!$O$355*1000000000+ISNUMBER('Dvd Calendar'!$O$356)*100000000+('Dvd Calendar'!$O$360='Field Check'!$C$25)*10000000+(N('Dvd Calendar'!$O$354)&gt;0)*1000000+24*1000+11))</f>
        <v/>
      </c>
      <c r="N32" s="41">
        <f>IF(N('Dvd Calendar'!$P$355)=0,"",IF(('Dvd Calendar'!$P$355&gt;=MIN(DATE(Summary!$C$12,1,1),Summary!$C$11))*('Dvd Calendar'!$P$355&lt;=MAX(DATE(Summary!$C$12,12,31),Summary!$C$15))*('Dvd Calendar'!$P$355&lt;=Summary!$C$11)=0,"",'Dvd Calendar'!$P$355*1000000000+ISNUMBER('Dvd Calendar'!$P$356)*100000000+('Dvd Calendar'!$P$360='Field Check'!$C$25)*10000000+(N('Dvd Calendar'!$P$354)&gt;0)*1000000+24*1000+12))</f>
        <v/>
      </c>
      <c r="O32" s="41">
        <f>IF(N('Dvd Calendar'!$Q$355)=0,"",IF(('Dvd Calendar'!$Q$355&gt;=MIN(DATE(Summary!$C$12,1,1),Summary!$C$11))*('Dvd Calendar'!$Q$355&lt;=MAX(DATE(Summary!$C$12,12,31),Summary!$C$15))*('Dvd Calendar'!$Q$355&lt;=Summary!$C$11)=0,"",'Dvd Calendar'!$Q$355*1000000000+ISNUMBER('Dvd Calendar'!$Q$356)*100000000+('Dvd Calendar'!$Q$360='Field Check'!$C$25)*10000000+(N('Dvd Calendar'!$Q$354)&gt;0)*1000000+24*1000+13))</f>
        <v/>
      </c>
      <c r="P32" s="41">
        <f>IF(N('Dvd Calendar'!$R$355)=0,"",IF(('Dvd Calendar'!$R$355&gt;=MIN(DATE(Summary!$C$12,1,1),Summary!$C$11))*('Dvd Calendar'!$R$355&lt;=MAX(DATE(Summary!$C$12,12,31),Summary!$C$15))*('Dvd Calendar'!$R$355&lt;=Summary!$C$11)=0,"",'Dvd Calendar'!$R$355*1000000000+ISNUMBER('Dvd Calendar'!$R$356)*100000000+('Dvd Calendar'!$R$360='Field Check'!$C$25)*10000000+(N('Dvd Calendar'!$R$354)&gt;0)*1000000+24*1000+14))</f>
        <v/>
      </c>
      <c r="Q32" s="41">
        <f>IF(N('Dvd Calendar'!$S$355)=0,"",IF(('Dvd Calendar'!$S$355&gt;=MIN(DATE(Summary!$C$12,1,1),Summary!$C$11))*('Dvd Calendar'!$S$355&lt;=MAX(DATE(Summary!$C$12,12,31),Summary!$C$15))*('Dvd Calendar'!$S$355&lt;=Summary!$C$11)=0,"",'Dvd Calendar'!$S$355*1000000000+ISNUMBER('Dvd Calendar'!$S$356)*100000000+('Dvd Calendar'!$S$360='Field Check'!$C$25)*10000000+(N('Dvd Calendar'!$S$354)&gt;0)*1000000+24*1000+15))</f>
        <v/>
      </c>
      <c r="R32" s="41">
        <f>IF(N('Dvd Calendar'!$T$355)=0,"",IF(('Dvd Calendar'!$T$355&gt;=MIN(DATE(Summary!$C$12,1,1),Summary!$C$11))*('Dvd Calendar'!$T$355&lt;=MAX(DATE(Summary!$C$12,12,31),Summary!$C$15))*('Dvd Calendar'!$T$355&lt;=Summary!$C$11)=0,"",'Dvd Calendar'!$T$355*1000000000+ISNUMBER('Dvd Calendar'!$T$356)*100000000+('Dvd Calendar'!$T$360='Field Check'!$C$25)*10000000+(N('Dvd Calendar'!$T$354)&gt;0)*1000000+24*1000+16))</f>
        <v/>
      </c>
      <c r="S32" s="41">
        <f>IF(N('Dvd Calendar'!$U$355)=0,"",IF(('Dvd Calendar'!$U$355&gt;=MIN(DATE(Summary!$C$12,1,1),Summary!$C$11))*('Dvd Calendar'!$U$355&lt;=MAX(DATE(Summary!$C$12,12,31),Summary!$C$15))*('Dvd Calendar'!$U$355&lt;=Summary!$C$11)=0,"",'Dvd Calendar'!$U$355*1000000000+ISNUMBER('Dvd Calendar'!$U$356)*100000000+('Dvd Calendar'!$U$360='Field Check'!$C$25)*10000000+(N('Dvd Calendar'!$U$354)&gt;0)*1000000+24*1000+17))</f>
        <v/>
      </c>
      <c r="T32" s="41">
        <f>IF(N('Dvd Calendar'!$V$355)=0,"",IF(('Dvd Calendar'!$V$355&gt;=MIN(DATE(Summary!$C$12,1,1),Summary!$C$11))*('Dvd Calendar'!$V$355&lt;=MAX(DATE(Summary!$C$12,12,31),Summary!$C$15))*('Dvd Calendar'!$V$355&lt;=Summary!$C$11)=0,"",'Dvd Calendar'!$V$355*1000000000+ISNUMBER('Dvd Calendar'!$V$356)*100000000+('Dvd Calendar'!$V$360='Field Check'!$C$25)*10000000+(N('Dvd Calendar'!$V$354)&gt;0)*1000000+24*1000+18))</f>
        <v/>
      </c>
      <c r="U32" s="41">
        <f>IF(N('Dvd Calendar'!$W$355)=0,"",IF(('Dvd Calendar'!$W$355&gt;=MIN(DATE(Summary!$C$12,1,1),Summary!$C$11))*('Dvd Calendar'!$W$355&lt;=MAX(DATE(Summary!$C$12,12,31),Summary!$C$15))*('Dvd Calendar'!$W$355&lt;=Summary!$C$11)=0,"",'Dvd Calendar'!$W$355*1000000000+ISNUMBER('Dvd Calendar'!$W$356)*100000000+('Dvd Calendar'!$W$360='Field Check'!$C$25)*10000000+(N('Dvd Calendar'!$W$354)&gt;0)*1000000+24*1000+19))</f>
        <v/>
      </c>
      <c r="V32" s="41">
        <f>IF(N('Dvd Calendar'!$X$355)=0,"",IF(('Dvd Calendar'!$X$355&gt;=MIN(DATE(Summary!$C$12,1,1),Summary!$C$11))*('Dvd Calendar'!$X$355&lt;=MAX(DATE(Summary!$C$12,12,31),Summary!$C$15))*('Dvd Calendar'!$X$355&lt;=Summary!$C$11)=0,"",'Dvd Calendar'!$X$355*1000000000+ISNUMBER('Dvd Calendar'!$X$356)*100000000+('Dvd Calendar'!$X$360='Field Check'!$C$25)*10000000+(N('Dvd Calendar'!$X$354)&gt;0)*1000000+24*1000+20))</f>
        <v/>
      </c>
      <c r="W32" s="41">
        <f>IF(N('Dvd Calendar'!$Y$355)=0,"",IF(('Dvd Calendar'!$Y$355&gt;=MIN(DATE(Summary!$C$12,1,1),Summary!$C$11))*('Dvd Calendar'!$Y$355&lt;=MAX(DATE(Summary!$C$12,12,31),Summary!$C$15))*('Dvd Calendar'!$Y$355&lt;=Summary!$C$11)=0,"",'Dvd Calendar'!$Y$355*1000000000+ISNUMBER('Dvd Calendar'!$Y$356)*100000000+('Dvd Calendar'!$Y$360='Field Check'!$C$25)*10000000+(N('Dvd Calendar'!$Y$354)&gt;0)*1000000+24*1000+21))</f>
        <v/>
      </c>
      <c r="X32" s="41">
        <f>IF(N('Dvd Calendar'!$Z$355)=0,"",IF(('Dvd Calendar'!$Z$355&gt;=MIN(DATE(Summary!$C$12,1,1),Summary!$C$11))*('Dvd Calendar'!$Z$355&lt;=MAX(DATE(Summary!$C$12,12,31),Summary!$C$15))*('Dvd Calendar'!$Z$355&lt;=Summary!$C$11)=0,"",'Dvd Calendar'!$Z$355*1000000000+ISNUMBER('Dvd Calendar'!$Z$356)*100000000+('Dvd Calendar'!$Z$360='Field Check'!$C$25)*10000000+(N('Dvd Calendar'!$Z$354)&gt;0)*1000000+24*1000+22))</f>
        <v/>
      </c>
      <c r="Y32" s="41">
        <f>IF(N('Dvd Calendar'!$AA$355)=0,"",IF(('Dvd Calendar'!$AA$355&gt;=MIN(DATE(Summary!$C$12,1,1),Summary!$C$11))*('Dvd Calendar'!$AA$355&lt;=MAX(DATE(Summary!$C$12,12,31),Summary!$C$15))*('Dvd Calendar'!$AA$355&lt;=Summary!$C$11)=0,"",'Dvd Calendar'!$AA$355*1000000000+ISNUMBER('Dvd Calendar'!$AA$356)*100000000+('Dvd Calendar'!$AA$360='Field Check'!$C$25)*10000000+(N('Dvd Calendar'!$AA$354)&gt;0)*1000000+24*1000+23))</f>
        <v/>
      </c>
      <c r="Z32" s="41">
        <f>IF(N('Dvd Calendar'!$AB$355)=0,"",IF(('Dvd Calendar'!$AB$355&gt;=MIN(DATE(Summary!$C$12,1,1),Summary!$C$11))*('Dvd Calendar'!$AB$355&lt;=MAX(DATE(Summary!$C$12,12,31),Summary!$C$15))*('Dvd Calendar'!$AB$355&lt;=Summary!$C$11)=0,"",'Dvd Calendar'!$AB$355*1000000000+ISNUMBER('Dvd Calendar'!$AB$356)*100000000+('Dvd Calendar'!$AB$360='Field Check'!$C$25)*10000000+(N('Dvd Calendar'!$AB$354)&gt;0)*1000000+24*1000+24))</f>
        <v/>
      </c>
      <c r="AA32" s="41">
        <f>IF(N('Dvd Calendar'!$AC$355)=0,"",IF(('Dvd Calendar'!$AC$355&gt;=MIN(DATE(Summary!$C$12,1,1),Summary!$C$11))*('Dvd Calendar'!$AC$355&lt;=MAX(DATE(Summary!$C$12,12,31),Summary!$C$15))*('Dvd Calendar'!$AC$355&lt;=Summary!$C$11)=0,"",'Dvd Calendar'!$AC$355*1000000000+ISNUMBER('Dvd Calendar'!$AC$356)*100000000+('Dvd Calendar'!$AC$360='Field Check'!$C$25)*10000000+(N('Dvd Calendar'!$AC$354)&gt;0)*1000000+24*1000+25))</f>
        <v/>
      </c>
      <c r="AB32" s="41">
        <f>IF(N('Dvd Calendar'!$AD$355)=0,"",IF(('Dvd Calendar'!$AD$355&gt;=MIN(DATE(Summary!$C$12,1,1),Summary!$C$11))*('Dvd Calendar'!$AD$355&lt;=MAX(DATE(Summary!$C$12,12,31),Summary!$C$15))*('Dvd Calendar'!$AD$355&lt;=Summary!$C$11)=0,"",'Dvd Calendar'!$AD$355*1000000000+ISNUMBER('Dvd Calendar'!$AD$356)*100000000+('Dvd Calendar'!$AD$360='Field Check'!$C$25)*10000000+(N('Dvd Calendar'!$AD$354)&gt;0)*1000000+24*1000+26))</f>
        <v/>
      </c>
      <c r="AC32" s="41">
        <f>IF(N('Dvd Calendar'!$AE$355)=0,"",IF(('Dvd Calendar'!$AE$355&gt;=MIN(DATE(Summary!$C$12,1,1),Summary!$C$11))*('Dvd Calendar'!$AE$355&lt;=MAX(DATE(Summary!$C$12,12,31),Summary!$C$15))*('Dvd Calendar'!$AE$355&lt;=Summary!$C$11)=0,"",'Dvd Calendar'!$AE$355*1000000000+ISNUMBER('Dvd Calendar'!$AE$356)*100000000+('Dvd Calendar'!$AE$360='Field Check'!$C$25)*10000000+(N('Dvd Calendar'!$AE$354)&gt;0)*1000000+24*1000+27))</f>
        <v/>
      </c>
      <c r="AD32" s="41">
        <f>IF(N('Dvd Calendar'!$AF$355)=0,"",IF(('Dvd Calendar'!$AF$355&gt;=MIN(DATE(Summary!$C$12,1,1),Summary!$C$11))*('Dvd Calendar'!$AF$355&lt;=MAX(DATE(Summary!$C$12,12,31),Summary!$C$15))*('Dvd Calendar'!$AF$355&lt;=Summary!$C$11)=0,"",'Dvd Calendar'!$AF$355*1000000000+ISNUMBER('Dvd Calendar'!$AF$356)*100000000+('Dvd Calendar'!$AF$360='Field Check'!$C$25)*10000000+(N('Dvd Calendar'!$AF$354)&gt;0)*1000000+24*1000+28))</f>
        <v/>
      </c>
      <c r="AE32" s="41">
        <f>IF(N('Dvd Calendar'!$AG$355)=0,"",IF(('Dvd Calendar'!$AG$355&gt;=MIN(DATE(Summary!$C$12,1,1),Summary!$C$11))*('Dvd Calendar'!$AG$355&lt;=MAX(DATE(Summary!$C$12,12,31),Summary!$C$15))*('Dvd Calendar'!$AG$355&lt;=Summary!$C$11)=0,"",'Dvd Calendar'!$AG$355*1000000000+ISNUMBER('Dvd Calendar'!$AG$356)*100000000+('Dvd Calendar'!$AG$360='Field Check'!$C$25)*10000000+(N('Dvd Calendar'!$AG$354)&gt;0)*1000000+24*1000+29))</f>
        <v/>
      </c>
      <c r="AF32" s="41">
        <f>IF(N('Dvd Calendar'!$AH$355)=0,"",IF(('Dvd Calendar'!$AH$355&gt;=MIN(DATE(Summary!$C$12,1,1),Summary!$C$11))*('Dvd Calendar'!$AH$355&lt;=MAX(DATE(Summary!$C$12,12,31),Summary!$C$15))*('Dvd Calendar'!$AH$355&lt;=Summary!$C$11)=0,"",'Dvd Calendar'!$AH$355*1000000000+ISNUMBER('Dvd Calendar'!$AH$356)*100000000+('Dvd Calendar'!$AH$360='Field Check'!$C$25)*10000000+(N('Dvd Calendar'!$AH$354)&gt;0)*1000000+24*1000+30))</f>
        <v/>
      </c>
      <c r="AG32" s="41">
        <f>IF(N('Dvd Calendar'!$AI$355)=0,"",IF(('Dvd Calendar'!$AI$355&gt;=MIN(DATE(Summary!$C$12,1,1),Summary!$C$11))*('Dvd Calendar'!$AI$355&lt;=MAX(DATE(Summary!$C$12,12,31),Summary!$C$15))*('Dvd Calendar'!$AI$355&lt;=Summary!$C$11)=0,"",'Dvd Calendar'!$AI$355*1000000000+ISNUMBER('Dvd Calendar'!$AI$356)*100000000+('Dvd Calendar'!$AI$360='Field Check'!$C$25)*10000000+(N('Dvd Calendar'!$AI$354)&gt;0)*1000000+24*1000+31))</f>
        <v/>
      </c>
      <c r="AH32" s="41">
        <f>IF(N('Dvd Calendar'!$AJ$355)=0,"",IF(('Dvd Calendar'!$AJ$355&gt;=MIN(DATE(Summary!$C$12,1,1),Summary!$C$11))*('Dvd Calendar'!$AJ$355&lt;=MAX(DATE(Summary!$C$12,12,31),Summary!$C$15))*('Dvd Calendar'!$AJ$355&lt;=Summary!$C$11)=0,"",'Dvd Calendar'!$AJ$355*1000000000+ISNUMBER('Dvd Calendar'!$AJ$356)*100000000+('Dvd Calendar'!$AJ$360='Field Check'!$C$25)*10000000+(N('Dvd Calendar'!$AJ$354)&gt;0)*1000000+24*1000+32))</f>
        <v/>
      </c>
      <c r="AI32" s="41">
        <f>IF(N('Dvd Calendar'!$AK$355)=0,"",IF(('Dvd Calendar'!$AK$355&gt;=MIN(DATE(Summary!$C$12,1,1),Summary!$C$11))*('Dvd Calendar'!$AK$355&lt;=MAX(DATE(Summary!$C$12,12,31),Summary!$C$15))*('Dvd Calendar'!$AK$355&lt;=Summary!$C$11)=0,"",'Dvd Calendar'!$AK$355*1000000000+ISNUMBER('Dvd Calendar'!$AK$356)*100000000+('Dvd Calendar'!$AK$360='Field Check'!$C$25)*10000000+(N('Dvd Calendar'!$AK$354)&gt;0)*1000000+24*1000+33))</f>
        <v/>
      </c>
      <c r="AJ32" s="41">
        <f>IF(N('Dvd Calendar'!$AL$355)=0,"",IF(('Dvd Calendar'!$AL$355&gt;=MIN(DATE(Summary!$C$12,1,1),Summary!$C$11))*('Dvd Calendar'!$AL$355&lt;=MAX(DATE(Summary!$C$12,12,31),Summary!$C$15))*('Dvd Calendar'!$AL$355&lt;=Summary!$C$11)=0,"",'Dvd Calendar'!$AL$355*1000000000+ISNUMBER('Dvd Calendar'!$AL$356)*100000000+('Dvd Calendar'!$AL$360='Field Check'!$C$25)*10000000+(N('Dvd Calendar'!$AL$354)&gt;0)*1000000+24*1000+34))</f>
        <v/>
      </c>
      <c r="AK32" s="41">
        <f>IF(N('Dvd Calendar'!$AM$355)=0,"",IF(('Dvd Calendar'!$AM$355&gt;=MIN(DATE(Summary!$C$12,1,1),Summary!$C$11))*('Dvd Calendar'!$AM$355&lt;=MAX(DATE(Summary!$C$12,12,31),Summary!$C$15))*('Dvd Calendar'!$AM$355&lt;=Summary!$C$11)=0,"",'Dvd Calendar'!$AM$355*1000000000+ISNUMBER('Dvd Calendar'!$AM$356)*100000000+('Dvd Calendar'!$AM$360='Field Check'!$C$25)*10000000+(N('Dvd Calendar'!$AM$354)&gt;0)*1000000+24*1000+35))</f>
        <v/>
      </c>
      <c r="AL32" s="41">
        <f>IF(N('Dvd Calendar'!$AN$355)=0,"",IF(('Dvd Calendar'!$AN$355&gt;=MIN(DATE(Summary!$C$12,1,1),Summary!$C$11))*('Dvd Calendar'!$AN$355&lt;=MAX(DATE(Summary!$C$12,12,31),Summary!$C$15))*('Dvd Calendar'!$AN$355&lt;=Summary!$C$11)=0,"",'Dvd Calendar'!$AN$355*1000000000+ISNUMBER('Dvd Calendar'!$AN$356)*100000000+('Dvd Calendar'!$AN$360='Field Check'!$C$25)*10000000+(N('Dvd Calendar'!$AN$354)&gt;0)*1000000+24*1000+36))</f>
        <v/>
      </c>
      <c r="AM32" s="41">
        <f>IF(N('Dvd Calendar'!$AO$355)=0,"",IF(('Dvd Calendar'!$AO$355&gt;=MIN(DATE(Summary!$C$12,1,1),Summary!$C$11))*('Dvd Calendar'!$AO$355&lt;=MAX(DATE(Summary!$C$12,12,31),Summary!$C$15))*('Dvd Calendar'!$AO$355&lt;=Summary!$C$11)=0,"",'Dvd Calendar'!$AO$355*1000000000+ISNUMBER('Dvd Calendar'!$AO$356)*100000000+('Dvd Calendar'!$AO$360='Field Check'!$C$25)*10000000+(N('Dvd Calendar'!$AO$354)&gt;0)*1000000+24*1000+37))</f>
        <v/>
      </c>
      <c r="AN32" s="41">
        <f>IF(N('Dvd Calendar'!$AP$355)=0,"",IF(('Dvd Calendar'!$AP$355&gt;=MIN(DATE(Summary!$C$12,1,1),Summary!$C$11))*('Dvd Calendar'!$AP$355&lt;=MAX(DATE(Summary!$C$12,12,31),Summary!$C$15))*('Dvd Calendar'!$AP$355&lt;=Summary!$C$11)=0,"",'Dvd Calendar'!$AP$355*1000000000+ISNUMBER('Dvd Calendar'!$AP$356)*100000000+('Dvd Calendar'!$AP$360='Field Check'!$C$25)*10000000+(N('Dvd Calendar'!$AP$354)&gt;0)*1000000+24*1000+38))</f>
        <v/>
      </c>
      <c r="AO32" s="41">
        <f>IF(N('Dvd Calendar'!$AQ$355)=0,"",IF(('Dvd Calendar'!$AQ$355&gt;=MIN(DATE(Summary!$C$12,1,1),Summary!$C$11))*('Dvd Calendar'!$AQ$355&lt;=MAX(DATE(Summary!$C$12,12,31),Summary!$C$15))*('Dvd Calendar'!$AQ$355&lt;=Summary!$C$11)=0,"",'Dvd Calendar'!$AQ$355*1000000000+ISNUMBER('Dvd Calendar'!$AQ$356)*100000000+('Dvd Calendar'!$AQ$360='Field Check'!$C$25)*10000000+(N('Dvd Calendar'!$AQ$354)&gt;0)*1000000+24*1000+39))</f>
        <v/>
      </c>
      <c r="AP32" s="41">
        <f>IF(N('Dvd Calendar'!$AR$355)=0,"",IF(('Dvd Calendar'!$AR$355&gt;=MIN(DATE(Summary!$C$12,1,1),Summary!$C$11))*('Dvd Calendar'!$AR$355&lt;=MAX(DATE(Summary!$C$12,12,31),Summary!$C$15))*('Dvd Calendar'!$AR$355&lt;=Summary!$C$11)=0,"",'Dvd Calendar'!$AR$355*1000000000+ISNUMBER('Dvd Calendar'!$AR$356)*100000000+('Dvd Calendar'!$AR$360='Field Check'!$C$25)*10000000+(N('Dvd Calendar'!$AR$354)&gt;0)*1000000+24*1000+40))</f>
        <v/>
      </c>
      <c r="AQ32" s="41">
        <f>IF(N('Dvd Calendar'!$E$362)=0,"",IF(('Dvd Calendar'!$E$362&gt;=MIN(DATE(Summary!$C$12,1,1),Summary!$C$11))*('Dvd Calendar'!$E$362&lt;=MAX(DATE(Summary!$C$12,12,31),Summary!$C$15))*('Dvd Calendar'!$E$362&gt;Summary!$C$11)=0,"",'Dvd Calendar'!$E$362*1000000000+ISNUMBER('Dvd Calendar'!$E$363)*100000000+('Dvd Calendar'!$E$367='Field Check'!$C$25)*10000000+(N('Dvd Calendar'!$E$361)&gt;0)*1000000+24*1000+41))</f>
        <v/>
      </c>
      <c r="AR32" s="41">
        <f>IF(N('Dvd Calendar'!$F$362)=0,"",IF(('Dvd Calendar'!$F$362&gt;=MIN(DATE(Summary!$C$12,1,1),Summary!$C$11))*('Dvd Calendar'!$F$362&lt;=MAX(DATE(Summary!$C$12,12,31),Summary!$C$15))*('Dvd Calendar'!$F$362&gt;Summary!$C$11)=0,"",'Dvd Calendar'!$F$362*1000000000+ISNUMBER('Dvd Calendar'!$F$363)*100000000+('Dvd Calendar'!$F$367='Field Check'!$C$25)*10000000+(N('Dvd Calendar'!$F$361)&gt;0)*1000000+24*1000+42))</f>
        <v/>
      </c>
      <c r="AS32" s="41">
        <f>IF(N('Dvd Calendar'!$G$362)=0,"",IF(('Dvd Calendar'!$G$362&gt;=MIN(DATE(Summary!$C$12,1,1),Summary!$C$11))*('Dvd Calendar'!$G$362&lt;=MAX(DATE(Summary!$C$12,12,31),Summary!$C$15))*('Dvd Calendar'!$G$362&gt;Summary!$C$11)=0,"",'Dvd Calendar'!$G$362*1000000000+ISNUMBER('Dvd Calendar'!$G$363)*100000000+('Dvd Calendar'!$G$367='Field Check'!$C$25)*10000000+(N('Dvd Calendar'!$G$361)&gt;0)*1000000+24*1000+43))</f>
        <v/>
      </c>
      <c r="AT32" s="41">
        <f>IF(N('Dvd Calendar'!$H$362)=0,"",IF(('Dvd Calendar'!$H$362&gt;=MIN(DATE(Summary!$C$12,1,1),Summary!$C$11))*('Dvd Calendar'!$H$362&lt;=MAX(DATE(Summary!$C$12,12,31),Summary!$C$15))*('Dvd Calendar'!$H$362&gt;Summary!$C$11)=0,"",'Dvd Calendar'!$H$362*1000000000+ISNUMBER('Dvd Calendar'!$H$363)*100000000+('Dvd Calendar'!$H$367='Field Check'!$C$25)*10000000+(N('Dvd Calendar'!$H$361)&gt;0)*1000000+24*1000+44))</f>
        <v/>
      </c>
      <c r="AU32" s="41">
        <f>IF(N('Dvd Calendar'!$I$362)=0,"",IF(('Dvd Calendar'!$I$362&gt;=MIN(DATE(Summary!$C$12,1,1),Summary!$C$11))*('Dvd Calendar'!$I$362&lt;=MAX(DATE(Summary!$C$12,12,31),Summary!$C$15))*('Dvd Calendar'!$I$362&gt;Summary!$C$11)=0,"",'Dvd Calendar'!$I$362*1000000000+ISNUMBER('Dvd Calendar'!$I$363)*100000000+('Dvd Calendar'!$I$367='Field Check'!$C$25)*10000000+(N('Dvd Calendar'!$I$361)&gt;0)*1000000+24*1000+45))</f>
        <v/>
      </c>
      <c r="AV32" s="41">
        <f>IF(N('Dvd Calendar'!$J$362)=0,"",IF(('Dvd Calendar'!$J$362&gt;=MIN(DATE(Summary!$C$12,1,1),Summary!$C$11))*('Dvd Calendar'!$J$362&lt;=MAX(DATE(Summary!$C$12,12,31),Summary!$C$15))*('Dvd Calendar'!$J$362&gt;Summary!$C$11)=0,"",'Dvd Calendar'!$J$362*1000000000+ISNUMBER('Dvd Calendar'!$J$363)*100000000+('Dvd Calendar'!$J$367='Field Check'!$C$25)*10000000+(N('Dvd Calendar'!$J$361)&gt;0)*1000000+24*1000+46))</f>
        <v/>
      </c>
      <c r="AW32" s="41">
        <f>IF(N('Dvd Calendar'!$K$362)=0,"",IF(('Dvd Calendar'!$K$362&gt;=MIN(DATE(Summary!$C$12,1,1),Summary!$C$11))*('Dvd Calendar'!$K$362&lt;=MAX(DATE(Summary!$C$12,12,31),Summary!$C$15))*('Dvd Calendar'!$K$362&gt;Summary!$C$11)=0,"",'Dvd Calendar'!$K$362*1000000000+ISNUMBER('Dvd Calendar'!$K$363)*100000000+('Dvd Calendar'!$K$367='Field Check'!$C$25)*10000000+(N('Dvd Calendar'!$K$361)&gt;0)*1000000+24*1000+47))</f>
        <v/>
      </c>
      <c r="AX32" s="41">
        <f>IF(N('Dvd Calendar'!$L$362)=0,"",IF(('Dvd Calendar'!$L$362&gt;=MIN(DATE(Summary!$C$12,1,1),Summary!$C$11))*('Dvd Calendar'!$L$362&lt;=MAX(DATE(Summary!$C$12,12,31),Summary!$C$15))*('Dvd Calendar'!$L$362&gt;Summary!$C$11)=0,"",'Dvd Calendar'!$L$362*1000000000+ISNUMBER('Dvd Calendar'!$L$363)*100000000+('Dvd Calendar'!$L$367='Field Check'!$C$25)*10000000+(N('Dvd Calendar'!$L$361)&gt;0)*1000000+24*1000+48))</f>
        <v/>
      </c>
      <c r="AY32" s="41">
        <f>IF(N('Dvd Calendar'!$M$362)=0,"",IF(('Dvd Calendar'!$M$362&gt;=MIN(DATE(Summary!$C$12,1,1),Summary!$C$11))*('Dvd Calendar'!$M$362&lt;=MAX(DATE(Summary!$C$12,12,31),Summary!$C$15))*('Dvd Calendar'!$M$362&gt;Summary!$C$11)=0,"",'Dvd Calendar'!$M$362*1000000000+ISNUMBER('Dvd Calendar'!$M$363)*100000000+('Dvd Calendar'!$M$367='Field Check'!$C$25)*10000000+(N('Dvd Calendar'!$M$361)&gt;0)*1000000+24*1000+49))</f>
        <v/>
      </c>
      <c r="AZ32" s="41">
        <f>IF(N('Dvd Calendar'!$N$362)=0,"",IF(('Dvd Calendar'!$N$362&gt;=MIN(DATE(Summary!$C$12,1,1),Summary!$C$11))*('Dvd Calendar'!$N$362&lt;=MAX(DATE(Summary!$C$12,12,31),Summary!$C$15))*('Dvd Calendar'!$N$362&gt;Summary!$C$11)=0,"",'Dvd Calendar'!$N$362*1000000000+ISNUMBER('Dvd Calendar'!$N$363)*100000000+('Dvd Calendar'!$N$367='Field Check'!$C$25)*10000000+(N('Dvd Calendar'!$N$361)&gt;0)*1000000+24*1000+50))</f>
        <v/>
      </c>
      <c r="BA32" s="41">
        <f>IF(N('Dvd Calendar'!$O$362)=0,"",IF(('Dvd Calendar'!$O$362&gt;=MIN(DATE(Summary!$C$12,1,1),Summary!$C$11))*('Dvd Calendar'!$O$362&lt;=MAX(DATE(Summary!$C$12,12,31),Summary!$C$15))*('Dvd Calendar'!$O$362&gt;Summary!$C$11)=0,"",'Dvd Calendar'!$O$362*1000000000+ISNUMBER('Dvd Calendar'!$O$363)*100000000+('Dvd Calendar'!$O$367='Field Check'!$C$25)*10000000+(N('Dvd Calendar'!$O$361)&gt;0)*1000000+24*1000+51))</f>
        <v/>
      </c>
      <c r="BB32" s="41">
        <f>IF(N('Dvd Calendar'!$P$362)=0,"",IF(('Dvd Calendar'!$P$362&gt;=MIN(DATE(Summary!$C$12,1,1),Summary!$C$11))*('Dvd Calendar'!$P$362&lt;=MAX(DATE(Summary!$C$12,12,31),Summary!$C$15))*('Dvd Calendar'!$P$362&gt;Summary!$C$11)=0,"",'Dvd Calendar'!$P$362*1000000000+ISNUMBER('Dvd Calendar'!$P$363)*100000000+('Dvd Calendar'!$P$367='Field Check'!$C$25)*10000000+(N('Dvd Calendar'!$P$361)&gt;0)*1000000+24*1000+52))</f>
        <v/>
      </c>
      <c r="BC32" s="41">
        <f>IF(N('Dvd Calendar'!$Q$362)=0,"",IF(('Dvd Calendar'!$Q$362&gt;=MIN(DATE(Summary!$C$12,1,1),Summary!$C$11))*('Dvd Calendar'!$Q$362&lt;=MAX(DATE(Summary!$C$12,12,31),Summary!$C$15))*('Dvd Calendar'!$Q$362&gt;Summary!$C$11)=0,"",'Dvd Calendar'!$Q$362*1000000000+ISNUMBER('Dvd Calendar'!$Q$363)*100000000+('Dvd Calendar'!$Q$367='Field Check'!$C$25)*10000000+(N('Dvd Calendar'!$Q$361)&gt;0)*1000000+24*1000+53))</f>
        <v/>
      </c>
      <c r="BD32" s="41">
        <f>IF(N('Dvd Calendar'!$R$362)=0,"",IF(('Dvd Calendar'!$R$362&gt;=MIN(DATE(Summary!$C$12,1,1),Summary!$C$11))*('Dvd Calendar'!$R$362&lt;=MAX(DATE(Summary!$C$12,12,31),Summary!$C$15))*('Dvd Calendar'!$R$362&gt;Summary!$C$11)=0,"",'Dvd Calendar'!$R$362*1000000000+ISNUMBER('Dvd Calendar'!$R$363)*100000000+('Dvd Calendar'!$R$367='Field Check'!$C$25)*10000000+(N('Dvd Calendar'!$R$361)&gt;0)*1000000+24*1000+54))</f>
        <v/>
      </c>
      <c r="BE32" s="41">
        <f>IF(N('Dvd Calendar'!$S$362)=0,"",IF(('Dvd Calendar'!$S$362&gt;=MIN(DATE(Summary!$C$12,1,1),Summary!$C$11))*('Dvd Calendar'!$S$362&lt;=MAX(DATE(Summary!$C$12,12,31),Summary!$C$15))*('Dvd Calendar'!$S$362&gt;Summary!$C$11)=0,"",'Dvd Calendar'!$S$362*1000000000+ISNUMBER('Dvd Calendar'!$S$363)*100000000+('Dvd Calendar'!$S$367='Field Check'!$C$25)*10000000+(N('Dvd Calendar'!$S$361)&gt;0)*1000000+24*1000+55))</f>
        <v/>
      </c>
      <c r="BF32" s="41">
        <f>IF(N('Dvd Calendar'!$T$362)=0,"",IF(('Dvd Calendar'!$T$362&gt;=MIN(DATE(Summary!$C$12,1,1),Summary!$C$11))*('Dvd Calendar'!$T$362&lt;=MAX(DATE(Summary!$C$12,12,31),Summary!$C$15))*('Dvd Calendar'!$T$362&gt;Summary!$C$11)=0,"",'Dvd Calendar'!$T$362*1000000000+ISNUMBER('Dvd Calendar'!$T$363)*100000000+('Dvd Calendar'!$T$367='Field Check'!$C$25)*10000000+(N('Dvd Calendar'!$T$361)&gt;0)*1000000+24*1000+56))</f>
        <v/>
      </c>
      <c r="BG32" s="41">
        <f>IF(N('Dvd Calendar'!$U$362)=0,"",IF(('Dvd Calendar'!$U$362&gt;=MIN(DATE(Summary!$C$12,1,1),Summary!$C$11))*('Dvd Calendar'!$U$362&lt;=MAX(DATE(Summary!$C$12,12,31),Summary!$C$15))*('Dvd Calendar'!$U$362&gt;Summary!$C$11)=0,"",'Dvd Calendar'!$U$362*1000000000+ISNUMBER('Dvd Calendar'!$U$363)*100000000+('Dvd Calendar'!$U$367='Field Check'!$C$25)*10000000+(N('Dvd Calendar'!$U$361)&gt;0)*1000000+24*1000+57))</f>
        <v/>
      </c>
      <c r="BH32" s="41">
        <f>IF(N('Dvd Calendar'!$V$362)=0,"",IF(('Dvd Calendar'!$V$362&gt;=MIN(DATE(Summary!$C$12,1,1),Summary!$C$11))*('Dvd Calendar'!$V$362&lt;=MAX(DATE(Summary!$C$12,12,31),Summary!$C$15))*('Dvd Calendar'!$V$362&gt;Summary!$C$11)=0,"",'Dvd Calendar'!$V$362*1000000000+ISNUMBER('Dvd Calendar'!$V$363)*100000000+('Dvd Calendar'!$V$367='Field Check'!$C$25)*10000000+(N('Dvd Calendar'!$V$361)&gt;0)*1000000+24*1000+58))</f>
        <v/>
      </c>
      <c r="BI32" s="41">
        <f>IF(N('Dvd Calendar'!$W$362)=0,"",IF(('Dvd Calendar'!$W$362&gt;=MIN(DATE(Summary!$C$12,1,1),Summary!$C$11))*('Dvd Calendar'!$W$362&lt;=MAX(DATE(Summary!$C$12,12,31),Summary!$C$15))*('Dvd Calendar'!$W$362&gt;Summary!$C$11)=0,"",'Dvd Calendar'!$W$362*1000000000+ISNUMBER('Dvd Calendar'!$W$363)*100000000+('Dvd Calendar'!$W$367='Field Check'!$C$25)*10000000+(N('Dvd Calendar'!$W$361)&gt;0)*1000000+24*1000+59))</f>
        <v/>
      </c>
      <c r="BJ32" s="41">
        <f>IF(N('Dvd Calendar'!$X$362)=0,"",IF(('Dvd Calendar'!$X$362&gt;=MIN(DATE(Summary!$C$12,1,1),Summary!$C$11))*('Dvd Calendar'!$X$362&lt;=MAX(DATE(Summary!$C$12,12,31),Summary!$C$15))*('Dvd Calendar'!$X$362&gt;Summary!$C$11)=0,"",'Dvd Calendar'!$X$362*1000000000+ISNUMBER('Dvd Calendar'!$X$363)*100000000+('Dvd Calendar'!$X$367='Field Check'!$C$25)*10000000+(N('Dvd Calendar'!$X$361)&gt;0)*1000000+24*1000+60))</f>
        <v/>
      </c>
      <c r="BK32" s="41">
        <f>IF(N('Dvd Calendar'!$Y$362)=0,"",IF(('Dvd Calendar'!$Y$362&gt;=MIN(DATE(Summary!$C$12,1,1),Summary!$C$11))*('Dvd Calendar'!$Y$362&lt;=MAX(DATE(Summary!$C$12,12,31),Summary!$C$15))*('Dvd Calendar'!$Y$362&gt;Summary!$C$11)=0,"",'Dvd Calendar'!$Y$362*1000000000+ISNUMBER('Dvd Calendar'!$Y$363)*100000000+('Dvd Calendar'!$Y$367='Field Check'!$C$25)*10000000+(N('Dvd Calendar'!$Y$361)&gt;0)*1000000+24*1000+61))</f>
        <v/>
      </c>
      <c r="BL32" s="41">
        <f>IF(N('Dvd Calendar'!$Z$362)=0,"",IF(('Dvd Calendar'!$Z$362&gt;=MIN(DATE(Summary!$C$12,1,1),Summary!$C$11))*('Dvd Calendar'!$Z$362&lt;=MAX(DATE(Summary!$C$12,12,31),Summary!$C$15))*('Dvd Calendar'!$Z$362&gt;Summary!$C$11)=0,"",'Dvd Calendar'!$Z$362*1000000000+ISNUMBER('Dvd Calendar'!$Z$363)*100000000+('Dvd Calendar'!$Z$367='Field Check'!$C$25)*10000000+(N('Dvd Calendar'!$Z$361)&gt;0)*1000000+24*1000+62))</f>
        <v/>
      </c>
      <c r="BM32" s="41">
        <f>IF(N('Dvd Calendar'!$AA$362)=0,"",IF(('Dvd Calendar'!$AA$362&gt;=MIN(DATE(Summary!$C$12,1,1),Summary!$C$11))*('Dvd Calendar'!$AA$362&lt;=MAX(DATE(Summary!$C$12,12,31),Summary!$C$15))*('Dvd Calendar'!$AA$362&gt;Summary!$C$11)=0,"",'Dvd Calendar'!$AA$362*1000000000+ISNUMBER('Dvd Calendar'!$AA$363)*100000000+('Dvd Calendar'!$AA$367='Field Check'!$C$25)*10000000+(N('Dvd Calendar'!$AA$361)&gt;0)*1000000+24*1000+63))</f>
        <v/>
      </c>
      <c r="BN32" s="41">
        <f>IF(N('Dvd Calendar'!$AB$362)=0,"",IF(('Dvd Calendar'!$AB$362&gt;=MIN(DATE(Summary!$C$12,1,1),Summary!$C$11))*('Dvd Calendar'!$AB$362&lt;=MAX(DATE(Summary!$C$12,12,31),Summary!$C$15))*('Dvd Calendar'!$AB$362&gt;Summary!$C$11)=0,"",'Dvd Calendar'!$AB$362*1000000000+ISNUMBER('Dvd Calendar'!$AB$363)*100000000+('Dvd Calendar'!$AB$367='Field Check'!$C$25)*10000000+(N('Dvd Calendar'!$AB$361)&gt;0)*1000000+24*1000+64))</f>
        <v/>
      </c>
      <c r="BO32" s="41">
        <f>IF(N('Dvd Calendar'!$AC$362)=0,"",IF(('Dvd Calendar'!$AC$362&gt;=MIN(DATE(Summary!$C$12,1,1),Summary!$C$11))*('Dvd Calendar'!$AC$362&lt;=MAX(DATE(Summary!$C$12,12,31),Summary!$C$15))*('Dvd Calendar'!$AC$362&gt;Summary!$C$11)=0,"",'Dvd Calendar'!$AC$362*1000000000+ISNUMBER('Dvd Calendar'!$AC$363)*100000000+('Dvd Calendar'!$AC$367='Field Check'!$C$25)*10000000+(N('Dvd Calendar'!$AC$361)&gt;0)*1000000+24*1000+65))</f>
        <v/>
      </c>
      <c r="BQ32" s="85">
        <f>IF(C32="","",IF(ISNUMBER('Dvd Calendar'!$E$356)=FALSE,"",IF((Summary!$C$13="N")*('Dvd Calendar'!$E$360='Field Check'!$C$25)&gt;0,"",'Dvd Calendar'!$E$356)))</f>
        <v/>
      </c>
      <c r="BR32" s="85">
        <f>IF(D32="","",IF(ISNUMBER('Dvd Calendar'!$F$356)=FALSE,"",IF((Summary!$C$13="N")*('Dvd Calendar'!$F$360='Field Check'!$C$25)&gt;0,"",'Dvd Calendar'!$F$356)))</f>
        <v/>
      </c>
      <c r="BS32" s="85">
        <f>IF(E32="","",IF(ISNUMBER('Dvd Calendar'!$G$356)=FALSE,"",IF((Summary!$C$13="N")*('Dvd Calendar'!$G$360='Field Check'!$C$25)&gt;0,"",'Dvd Calendar'!$G$356)))</f>
        <v/>
      </c>
      <c r="BT32" s="85">
        <f>IF(F32="","",IF(ISNUMBER('Dvd Calendar'!$H$356)=FALSE,"",IF((Summary!$C$13="N")*('Dvd Calendar'!$H$360='Field Check'!$C$25)&gt;0,"",'Dvd Calendar'!$H$356)))</f>
        <v/>
      </c>
      <c r="BU32" s="85">
        <f>IF(G32="","",IF(ISNUMBER('Dvd Calendar'!$I$356)=FALSE,"",IF((Summary!$C$13="N")*('Dvd Calendar'!$I$360='Field Check'!$C$25)&gt;0,"",'Dvd Calendar'!$I$356)))</f>
        <v/>
      </c>
      <c r="BV32" s="85">
        <f>IF(H32="","",IF(ISNUMBER('Dvd Calendar'!$J$356)=FALSE,"",IF((Summary!$C$13="N")*('Dvd Calendar'!$J$360='Field Check'!$C$25)&gt;0,"",'Dvd Calendar'!$J$356)))</f>
        <v/>
      </c>
      <c r="BW32" s="85">
        <f>IF(I32="","",IF(ISNUMBER('Dvd Calendar'!$K$356)=FALSE,"",IF((Summary!$C$13="N")*('Dvd Calendar'!$K$360='Field Check'!$C$25)&gt;0,"",'Dvd Calendar'!$K$356)))</f>
        <v/>
      </c>
      <c r="BX32" s="85">
        <f>IF(J32="","",IF(ISNUMBER('Dvd Calendar'!$L$356)=FALSE,"",IF((Summary!$C$13="N")*('Dvd Calendar'!$L$360='Field Check'!$C$25)&gt;0,"",'Dvd Calendar'!$L$356)))</f>
        <v/>
      </c>
      <c r="BY32" s="85">
        <f>IF(K32="","",IF(ISNUMBER('Dvd Calendar'!$M$356)=FALSE,"",IF((Summary!$C$13="N")*('Dvd Calendar'!$M$360='Field Check'!$C$25)&gt;0,"",'Dvd Calendar'!$M$356)))</f>
        <v/>
      </c>
      <c r="BZ32" s="85">
        <f>IF(L32="","",IF(ISNUMBER('Dvd Calendar'!$N$356)=FALSE,"",IF((Summary!$C$13="N")*('Dvd Calendar'!$N$360='Field Check'!$C$25)&gt;0,"",'Dvd Calendar'!$N$356)))</f>
        <v/>
      </c>
      <c r="CA32" s="85">
        <f>IF(M32="","",IF(ISNUMBER('Dvd Calendar'!$O$356)=FALSE,"",IF((Summary!$C$13="N")*('Dvd Calendar'!$O$360='Field Check'!$C$25)&gt;0,"",'Dvd Calendar'!$O$356)))</f>
        <v/>
      </c>
      <c r="CB32" s="85">
        <f>IF(N32="","",IF(ISNUMBER('Dvd Calendar'!$P$356)=FALSE,"",IF((Summary!$C$13="N")*('Dvd Calendar'!$P$360='Field Check'!$C$25)&gt;0,"",'Dvd Calendar'!$P$356)))</f>
        <v/>
      </c>
      <c r="CC32" s="85">
        <f>IF(O32="","",IF(ISNUMBER('Dvd Calendar'!$Q$356)=FALSE,"",IF((Summary!$C$13="N")*('Dvd Calendar'!$Q$360='Field Check'!$C$25)&gt;0,"",'Dvd Calendar'!$Q$356)))</f>
        <v/>
      </c>
      <c r="CD32" s="85">
        <f>IF(P32="","",IF(ISNUMBER('Dvd Calendar'!$R$356)=FALSE,"",IF((Summary!$C$13="N")*('Dvd Calendar'!$R$360='Field Check'!$C$25)&gt;0,"",'Dvd Calendar'!$R$356)))</f>
        <v/>
      </c>
      <c r="CE32" s="85">
        <f>IF(Q32="","",IF(ISNUMBER('Dvd Calendar'!$S$356)=FALSE,"",IF((Summary!$C$13="N")*('Dvd Calendar'!$S$360='Field Check'!$C$25)&gt;0,"",'Dvd Calendar'!$S$356)))</f>
        <v/>
      </c>
      <c r="CF32" s="85">
        <f>IF(R32="","",IF(ISNUMBER('Dvd Calendar'!$T$356)=FALSE,"",IF((Summary!$C$13="N")*('Dvd Calendar'!$T$360='Field Check'!$C$25)&gt;0,"",'Dvd Calendar'!$T$356)))</f>
        <v/>
      </c>
      <c r="CG32" s="85">
        <f>IF(S32="","",IF(ISNUMBER('Dvd Calendar'!$U$356)=FALSE,"",IF((Summary!$C$13="N")*('Dvd Calendar'!$U$360='Field Check'!$C$25)&gt;0,"",'Dvd Calendar'!$U$356)))</f>
        <v/>
      </c>
      <c r="CH32" s="85">
        <f>IF(T32="","",IF(ISNUMBER('Dvd Calendar'!$V$356)=FALSE,"",IF((Summary!$C$13="N")*('Dvd Calendar'!$V$360='Field Check'!$C$25)&gt;0,"",'Dvd Calendar'!$V$356)))</f>
        <v/>
      </c>
      <c r="CI32" s="85">
        <f>IF(U32="","",IF(ISNUMBER('Dvd Calendar'!$W$356)=FALSE,"",IF((Summary!$C$13="N")*('Dvd Calendar'!$W$360='Field Check'!$C$25)&gt;0,"",'Dvd Calendar'!$W$356)))</f>
        <v/>
      </c>
      <c r="CJ32" s="85">
        <f>IF(V32="","",IF(ISNUMBER('Dvd Calendar'!$X$356)=FALSE,"",IF((Summary!$C$13="N")*('Dvd Calendar'!$X$360='Field Check'!$C$25)&gt;0,"",'Dvd Calendar'!$X$356)))</f>
        <v/>
      </c>
      <c r="CK32" s="85">
        <f>IF(W32="","",IF(ISNUMBER('Dvd Calendar'!$Y$356)=FALSE,"",IF((Summary!$C$13="N")*('Dvd Calendar'!$Y$360='Field Check'!$C$25)&gt;0,"",'Dvd Calendar'!$Y$356)))</f>
        <v/>
      </c>
      <c r="CL32" s="85">
        <f>IF(X32="","",IF(ISNUMBER('Dvd Calendar'!$Z$356)=FALSE,"",IF((Summary!$C$13="N")*('Dvd Calendar'!$Z$360='Field Check'!$C$25)&gt;0,"",'Dvd Calendar'!$Z$356)))</f>
        <v/>
      </c>
      <c r="CM32" s="85">
        <f>IF(Y32="","",IF(ISNUMBER('Dvd Calendar'!$AA$356)=FALSE,"",IF((Summary!$C$13="N")*('Dvd Calendar'!$AA$360='Field Check'!$C$25)&gt;0,"",'Dvd Calendar'!$AA$356)))</f>
        <v/>
      </c>
      <c r="CN32" s="85">
        <f>IF(Z32="","",IF(ISNUMBER('Dvd Calendar'!$AB$356)=FALSE,"",IF((Summary!$C$13="N")*('Dvd Calendar'!$AB$360='Field Check'!$C$25)&gt;0,"",'Dvd Calendar'!$AB$356)))</f>
        <v/>
      </c>
      <c r="CO32" s="85">
        <f>IF(AA32="","",IF(ISNUMBER('Dvd Calendar'!$AC$356)=FALSE,"",IF((Summary!$C$13="N")*('Dvd Calendar'!$AC$360='Field Check'!$C$25)&gt;0,"",'Dvd Calendar'!$AC$356)))</f>
        <v/>
      </c>
      <c r="CP32" s="85">
        <f>IF(AB32="","",IF(ISNUMBER('Dvd Calendar'!$AD$356)=FALSE,"",IF((Summary!$C$13="N")*('Dvd Calendar'!$AD$360='Field Check'!$C$25)&gt;0,"",'Dvd Calendar'!$AD$356)))</f>
        <v/>
      </c>
      <c r="CQ32" s="85">
        <f>IF(AC32="","",IF(ISNUMBER('Dvd Calendar'!$AE$356)=FALSE,"",IF((Summary!$C$13="N")*('Dvd Calendar'!$AE$360='Field Check'!$C$25)&gt;0,"",'Dvd Calendar'!$AE$356)))</f>
        <v/>
      </c>
      <c r="CR32" s="85">
        <f>IF(AD32="","",IF(ISNUMBER('Dvd Calendar'!$AF$356)=FALSE,"",IF((Summary!$C$13="N")*('Dvd Calendar'!$AF$360='Field Check'!$C$25)&gt;0,"",'Dvd Calendar'!$AF$356)))</f>
        <v/>
      </c>
      <c r="CS32" s="85">
        <f>IF(AE32="","",IF(ISNUMBER('Dvd Calendar'!$AG$356)=FALSE,"",IF((Summary!$C$13="N")*('Dvd Calendar'!$AG$360='Field Check'!$C$25)&gt;0,"",'Dvd Calendar'!$AG$356)))</f>
        <v/>
      </c>
      <c r="CT32" s="85">
        <f>IF(AF32="","",IF(ISNUMBER('Dvd Calendar'!$AH$356)=FALSE,"",IF((Summary!$C$13="N")*('Dvd Calendar'!$AH$360='Field Check'!$C$25)&gt;0,"",'Dvd Calendar'!$AH$356)))</f>
        <v/>
      </c>
      <c r="CU32" s="85">
        <f>IF(AG32="","",IF(ISNUMBER('Dvd Calendar'!$AI$356)=FALSE,"",IF((Summary!$C$13="N")*('Dvd Calendar'!$AI$360='Field Check'!$C$25)&gt;0,"",'Dvd Calendar'!$AI$356)))</f>
        <v/>
      </c>
      <c r="CV32" s="85">
        <f>IF(AH32="","",IF(ISNUMBER('Dvd Calendar'!$AJ$356)=FALSE,"",IF((Summary!$C$13="N")*('Dvd Calendar'!$AJ$360='Field Check'!$C$25)&gt;0,"",'Dvd Calendar'!$AJ$356)))</f>
        <v/>
      </c>
      <c r="CW32" s="85">
        <f>IF(AI32="","",IF(ISNUMBER('Dvd Calendar'!$AK$356)=FALSE,"",IF((Summary!$C$13="N")*('Dvd Calendar'!$AK$360='Field Check'!$C$25)&gt;0,"",'Dvd Calendar'!$AK$356)))</f>
        <v/>
      </c>
      <c r="CX32" s="85">
        <f>IF(AJ32="","",IF(ISNUMBER('Dvd Calendar'!$AL$356)=FALSE,"",IF((Summary!$C$13="N")*('Dvd Calendar'!$AL$360='Field Check'!$C$25)&gt;0,"",'Dvd Calendar'!$AL$356)))</f>
        <v/>
      </c>
      <c r="CY32" s="85">
        <f>IF(AK32="","",IF(ISNUMBER('Dvd Calendar'!$AM$356)=FALSE,"",IF((Summary!$C$13="N")*('Dvd Calendar'!$AM$360='Field Check'!$C$25)&gt;0,"",'Dvd Calendar'!$AM$356)))</f>
        <v/>
      </c>
      <c r="CZ32" s="85">
        <f>IF(AL32="","",IF(ISNUMBER('Dvd Calendar'!$AN$356)=FALSE,"",IF((Summary!$C$13="N")*('Dvd Calendar'!$AN$360='Field Check'!$C$25)&gt;0,"",'Dvd Calendar'!$AN$356)))</f>
        <v/>
      </c>
      <c r="DA32" s="85">
        <f>IF(AM32="","",IF(ISNUMBER('Dvd Calendar'!$AO$356)=FALSE,"",IF((Summary!$C$13="N")*('Dvd Calendar'!$AO$360='Field Check'!$C$25)&gt;0,"",'Dvd Calendar'!$AO$356)))</f>
        <v/>
      </c>
      <c r="DB32" s="85">
        <f>IF(AN32="","",IF(ISNUMBER('Dvd Calendar'!$AP$356)=FALSE,"",IF((Summary!$C$13="N")*('Dvd Calendar'!$AP$360='Field Check'!$C$25)&gt;0,"",'Dvd Calendar'!$AP$356)))</f>
        <v/>
      </c>
      <c r="DC32" s="85">
        <f>IF(AO32="","",IF(ISNUMBER('Dvd Calendar'!$AQ$356)=FALSE,"",IF((Summary!$C$13="N")*('Dvd Calendar'!$AQ$360='Field Check'!$C$25)&gt;0,"",'Dvd Calendar'!$AQ$356)))</f>
        <v/>
      </c>
      <c r="DD32" s="85">
        <f>IF(AP32="","",IF(ISNUMBER('Dvd Calendar'!$AR$356)=FALSE,"",IF((Summary!$C$13="N")*('Dvd Calendar'!$AR$360='Field Check'!$C$25)&gt;0,"",'Dvd Calendar'!$AR$356)))</f>
        <v/>
      </c>
      <c r="DE32" s="85">
        <f>IF(AQ32="","",IF(ISNUMBER('Dvd Calendar'!$E$363)=FALSE,"",IF((Summary!$C$13="N")*('Dvd Calendar'!$E$367='Field Check'!$C$25)&gt;0,"",'Dvd Calendar'!$E$363)))</f>
        <v/>
      </c>
      <c r="DF32" s="85">
        <f>IF(AR32="","",IF(ISNUMBER('Dvd Calendar'!$F$363)=FALSE,"",IF((Summary!$C$13="N")*('Dvd Calendar'!$F$367='Field Check'!$C$25)&gt;0,"",'Dvd Calendar'!$F$363)))</f>
        <v/>
      </c>
      <c r="DG32" s="85">
        <f>IF(AS32="","",IF(ISNUMBER('Dvd Calendar'!$G$363)=FALSE,"",IF((Summary!$C$13="N")*('Dvd Calendar'!$G$367='Field Check'!$C$25)&gt;0,"",'Dvd Calendar'!$G$363)))</f>
        <v/>
      </c>
      <c r="DH32" s="85">
        <f>IF(AT32="","",IF(ISNUMBER('Dvd Calendar'!$H$363)=FALSE,"",IF((Summary!$C$13="N")*('Dvd Calendar'!$H$367='Field Check'!$C$25)&gt;0,"",'Dvd Calendar'!$H$363)))</f>
        <v/>
      </c>
      <c r="DI32" s="85">
        <f>IF(AU32="","",IF(ISNUMBER('Dvd Calendar'!$I$363)=FALSE,"",IF((Summary!$C$13="N")*('Dvd Calendar'!$I$367='Field Check'!$C$25)&gt;0,"",'Dvd Calendar'!$I$363)))</f>
        <v/>
      </c>
      <c r="DJ32" s="85">
        <f>IF(AV32="","",IF(ISNUMBER('Dvd Calendar'!$J$363)=FALSE,"",IF((Summary!$C$13="N")*('Dvd Calendar'!$J$367='Field Check'!$C$25)&gt;0,"",'Dvd Calendar'!$J$363)))</f>
        <v/>
      </c>
      <c r="DK32" s="85">
        <f>IF(AW32="","",IF(ISNUMBER('Dvd Calendar'!$K$363)=FALSE,"",IF((Summary!$C$13="N")*('Dvd Calendar'!$K$367='Field Check'!$C$25)&gt;0,"",'Dvd Calendar'!$K$363)))</f>
        <v/>
      </c>
      <c r="DL32" s="85">
        <f>IF(AX32="","",IF(ISNUMBER('Dvd Calendar'!$L$363)=FALSE,"",IF((Summary!$C$13="N")*('Dvd Calendar'!$L$367='Field Check'!$C$25)&gt;0,"",'Dvd Calendar'!$L$363)))</f>
        <v/>
      </c>
      <c r="DM32" s="85">
        <f>IF(AY32="","",IF(ISNUMBER('Dvd Calendar'!$M$363)=FALSE,"",IF((Summary!$C$13="N")*('Dvd Calendar'!$M$367='Field Check'!$C$25)&gt;0,"",'Dvd Calendar'!$M$363)))</f>
        <v/>
      </c>
      <c r="DN32" s="85">
        <f>IF(AZ32="","",IF(ISNUMBER('Dvd Calendar'!$N$363)=FALSE,"",IF((Summary!$C$13="N")*('Dvd Calendar'!$N$367='Field Check'!$C$25)&gt;0,"",'Dvd Calendar'!$N$363)))</f>
        <v/>
      </c>
      <c r="DO32" s="85">
        <f>IF(BA32="","",IF(ISNUMBER('Dvd Calendar'!$O$363)=FALSE,"",IF((Summary!$C$13="N")*('Dvd Calendar'!$O$367='Field Check'!$C$25)&gt;0,"",'Dvd Calendar'!$O$363)))</f>
        <v/>
      </c>
      <c r="DP32" s="85">
        <f>IF(BB32="","",IF(ISNUMBER('Dvd Calendar'!$P$363)=FALSE,"",IF((Summary!$C$13="N")*('Dvd Calendar'!$P$367='Field Check'!$C$25)&gt;0,"",'Dvd Calendar'!$P$363)))</f>
        <v/>
      </c>
      <c r="DQ32" s="85">
        <f>IF(BC32="","",IF(ISNUMBER('Dvd Calendar'!$Q$363)=FALSE,"",IF((Summary!$C$13="N")*('Dvd Calendar'!$Q$367='Field Check'!$C$25)&gt;0,"",'Dvd Calendar'!$Q$363)))</f>
        <v/>
      </c>
      <c r="DR32" s="85">
        <f>IF(BD32="","",IF(ISNUMBER('Dvd Calendar'!$R$363)=FALSE,"",IF((Summary!$C$13="N")*('Dvd Calendar'!$R$367='Field Check'!$C$25)&gt;0,"",'Dvd Calendar'!$R$363)))</f>
        <v/>
      </c>
      <c r="DS32" s="85">
        <f>IF(BE32="","",IF(ISNUMBER('Dvd Calendar'!$S$363)=FALSE,"",IF((Summary!$C$13="N")*('Dvd Calendar'!$S$367='Field Check'!$C$25)&gt;0,"",'Dvd Calendar'!$S$363)))</f>
        <v/>
      </c>
      <c r="DT32" s="85">
        <f>IF(BF32="","",IF(ISNUMBER('Dvd Calendar'!$T$363)=FALSE,"",IF((Summary!$C$13="N")*('Dvd Calendar'!$T$367='Field Check'!$C$25)&gt;0,"",'Dvd Calendar'!$T$363)))</f>
        <v/>
      </c>
      <c r="DU32" s="85">
        <f>IF(BG32="","",IF(ISNUMBER('Dvd Calendar'!$U$363)=FALSE,"",IF((Summary!$C$13="N")*('Dvd Calendar'!$U$367='Field Check'!$C$25)&gt;0,"",'Dvd Calendar'!$U$363)))</f>
        <v/>
      </c>
      <c r="DV32" s="85">
        <f>IF(BH32="","",IF(ISNUMBER('Dvd Calendar'!$V$363)=FALSE,"",IF((Summary!$C$13="N")*('Dvd Calendar'!$V$367='Field Check'!$C$25)&gt;0,"",'Dvd Calendar'!$V$363)))</f>
        <v/>
      </c>
      <c r="DW32" s="85">
        <f>IF(BI32="","",IF(ISNUMBER('Dvd Calendar'!$W$363)=FALSE,"",IF((Summary!$C$13="N")*('Dvd Calendar'!$W$367='Field Check'!$C$25)&gt;0,"",'Dvd Calendar'!$W$363)))</f>
        <v/>
      </c>
      <c r="DX32" s="85">
        <f>IF(BJ32="","",IF(ISNUMBER('Dvd Calendar'!$X$363)=FALSE,"",IF((Summary!$C$13="N")*('Dvd Calendar'!$X$367='Field Check'!$C$25)&gt;0,"",'Dvd Calendar'!$X$363)))</f>
        <v/>
      </c>
      <c r="DY32" s="85">
        <f>IF(BK32="","",IF(ISNUMBER('Dvd Calendar'!$Y$363)=FALSE,"",IF((Summary!$C$13="N")*('Dvd Calendar'!$Y$367='Field Check'!$C$25)&gt;0,"",'Dvd Calendar'!$Y$363)))</f>
        <v/>
      </c>
      <c r="DZ32" s="85">
        <f>IF(BL32="","",IF(ISNUMBER('Dvd Calendar'!$Z$363)=FALSE,"",IF((Summary!$C$13="N")*('Dvd Calendar'!$Z$367='Field Check'!$C$25)&gt;0,"",'Dvd Calendar'!$Z$363)))</f>
        <v/>
      </c>
      <c r="EA32" s="85">
        <f>IF(BM32="","",IF(ISNUMBER('Dvd Calendar'!$AA$363)=FALSE,"",IF((Summary!$C$13="N")*('Dvd Calendar'!$AA$367='Field Check'!$C$25)&gt;0,"",'Dvd Calendar'!$AA$363)))</f>
        <v/>
      </c>
      <c r="EB32" s="85">
        <f>IF(BN32="","",IF(ISNUMBER('Dvd Calendar'!$AB$363)=FALSE,"",IF((Summary!$C$13="N")*('Dvd Calendar'!$AB$367='Field Check'!$C$25)&gt;0,"",'Dvd Calendar'!$AB$363)))</f>
        <v/>
      </c>
      <c r="EC32" s="85">
        <f>IF(BO32="","",IF(ISNUMBER('Dvd Calendar'!$AC$363)=FALSE,"",IF((Summary!$C$13="N")*('Dvd Calendar'!$AC$367='Field Check'!$C$25)&gt;0,"",'Dvd Calendar'!$AC$363)))</f>
        <v/>
      </c>
      <c r="EE32" s="85">
        <f>IF(BQ32="","",IFERROR(BQ32*HSI!$B$30*HSI!$G$30/HSI!$B$3,""))</f>
        <v/>
      </c>
      <c r="EF32" s="85">
        <f>IF(BR32="","",IFERROR(BR32*HSI!$B$30*HSI!$G$30/HSI!$B$3,""))</f>
        <v/>
      </c>
      <c r="EG32" s="85">
        <f>IF(BS32="","",IFERROR(BS32*HSI!$B$30*HSI!$G$30/HSI!$B$3,""))</f>
        <v/>
      </c>
      <c r="EH32" s="85">
        <f>IF(BT32="","",IFERROR(BT32*HSI!$B$30*HSI!$G$30/HSI!$B$3,""))</f>
        <v/>
      </c>
      <c r="EI32" s="85">
        <f>IF(BU32="","",IFERROR(BU32*HSI!$B$30*HSI!$G$30/HSI!$B$3,""))</f>
        <v/>
      </c>
      <c r="EJ32" s="85">
        <f>IF(BV32="","",IFERROR(BV32*HSI!$B$30*HSI!$G$30/HSI!$B$3,""))</f>
        <v/>
      </c>
      <c r="EK32" s="85">
        <f>IF(BW32="","",IFERROR(BW32*HSI!$B$30*HSI!$G$30/HSI!$B$3,""))</f>
        <v/>
      </c>
      <c r="EL32" s="85">
        <f>IF(BX32="","",IFERROR(BX32*HSI!$B$30*HSI!$G$30/HSI!$B$3,""))</f>
        <v/>
      </c>
      <c r="EM32" s="85">
        <f>IF(BY32="","",IFERROR(BY32*HSI!$B$30*HSI!$G$30/HSI!$B$3,""))</f>
        <v/>
      </c>
      <c r="EN32" s="85">
        <f>IF(BZ32="","",IFERROR(BZ32*HSI!$B$30*HSI!$G$30/HSI!$B$3,""))</f>
        <v/>
      </c>
      <c r="EO32" s="85">
        <f>IF(CA32="","",IFERROR(CA32*HSI!$B$30*HSI!$G$30/HSI!$B$3,""))</f>
        <v/>
      </c>
      <c r="EP32" s="85">
        <f>IF(CB32="","",IFERROR(CB32*HSI!$B$30*HSI!$G$30/HSI!$B$3,""))</f>
        <v/>
      </c>
      <c r="EQ32" s="85">
        <f>IF(CC32="","",IFERROR(CC32*HSI!$B$30*HSI!$G$30/HSI!$B$3,""))</f>
        <v/>
      </c>
      <c r="ER32" s="85">
        <f>IF(CD32="","",IFERROR(CD32*HSI!$B$30*HSI!$G$30/HSI!$B$3,""))</f>
        <v/>
      </c>
      <c r="ES32" s="85">
        <f>IF(CE32="","",IFERROR(CE32*HSI!$B$30*HSI!$G$30/HSI!$B$3,""))</f>
        <v/>
      </c>
      <c r="ET32" s="85">
        <f>IF(CF32="","",IFERROR(CF32*HSI!$B$30*HSI!$G$30/HSI!$B$3,""))</f>
        <v/>
      </c>
      <c r="EU32" s="85">
        <f>IF(CG32="","",IFERROR(CG32*HSI!$B$30*HSI!$G$30/HSI!$B$3,""))</f>
        <v/>
      </c>
      <c r="EV32" s="85">
        <f>IF(CH32="","",IFERROR(CH32*HSI!$B$30*HSI!$G$30/HSI!$B$3,""))</f>
        <v/>
      </c>
      <c r="EW32" s="85">
        <f>IF(CI32="","",IFERROR(CI32*HSI!$B$30*HSI!$G$30/HSI!$B$3,""))</f>
        <v/>
      </c>
      <c r="EX32" s="85">
        <f>IF(CJ32="","",IFERROR(CJ32*HSI!$B$30*HSI!$G$30/HSI!$B$3,""))</f>
        <v/>
      </c>
      <c r="EY32" s="85">
        <f>IF(CK32="","",IFERROR(CK32*HSI!$B$30*HSI!$G$30/HSI!$B$3,""))</f>
        <v/>
      </c>
      <c r="EZ32" s="85">
        <f>IF(CL32="","",IFERROR(CL32*HSI!$B$30*HSI!$G$30/HSI!$B$3,""))</f>
        <v/>
      </c>
      <c r="FA32" s="85">
        <f>IF(CM32="","",IFERROR(CM32*HSI!$B$30*HSI!$G$30/HSI!$B$3,""))</f>
        <v/>
      </c>
      <c r="FB32" s="85">
        <f>IF(CN32="","",IFERROR(CN32*HSI!$B$30*HSI!$G$30/HSI!$B$3,""))</f>
        <v/>
      </c>
      <c r="FC32" s="85">
        <f>IF(CO32="","",IFERROR(CO32*HSI!$B$30*HSI!$G$30/HSI!$B$3,""))</f>
        <v/>
      </c>
      <c r="FD32" s="85">
        <f>IF(CP32="","",IFERROR(CP32*HSI!$B$30*HSI!$G$30/HSI!$B$3,""))</f>
        <v/>
      </c>
      <c r="FE32" s="85">
        <f>IF(CQ32="","",IFERROR(CQ32*HSI!$B$30*HSI!$G$30/HSI!$B$3,""))</f>
        <v/>
      </c>
      <c r="FF32" s="85">
        <f>IF(CR32="","",IFERROR(CR32*HSI!$B$30*HSI!$G$30/HSI!$B$3,""))</f>
        <v/>
      </c>
      <c r="FG32" s="85">
        <f>IF(CS32="","",IFERROR(CS32*HSI!$B$30*HSI!$G$30/HSI!$B$3,""))</f>
        <v/>
      </c>
      <c r="FH32" s="85">
        <f>IF(CT32="","",IFERROR(CT32*HSI!$B$30*HSI!$G$30/HSI!$B$3,""))</f>
        <v/>
      </c>
      <c r="FI32" s="85">
        <f>IF(CU32="","",IFERROR(CU32*HSI!$B$30*HSI!$G$30/HSI!$B$3,""))</f>
        <v/>
      </c>
      <c r="FJ32" s="85">
        <f>IF(CV32="","",IFERROR(CV32*HSI!$B$30*HSI!$G$30/HSI!$B$3,""))</f>
        <v/>
      </c>
      <c r="FK32" s="85">
        <f>IF(CW32="","",IFERROR(CW32*HSI!$B$30*HSI!$G$30/HSI!$B$3,""))</f>
        <v/>
      </c>
      <c r="FL32" s="85">
        <f>IF(CX32="","",IFERROR(CX32*HSI!$B$30*HSI!$G$30/HSI!$B$3,""))</f>
        <v/>
      </c>
      <c r="FM32" s="85">
        <f>IF(CY32="","",IFERROR(CY32*HSI!$B$30*HSI!$G$30/HSI!$B$3,""))</f>
        <v/>
      </c>
      <c r="FN32" s="85">
        <f>IF(CZ32="","",IFERROR(CZ32*HSI!$B$30*HSI!$G$30/HSI!$B$3,""))</f>
        <v/>
      </c>
      <c r="FO32" s="85">
        <f>IF(DA32="","",IFERROR(DA32*HSI!$B$30*HSI!$G$30/HSI!$B$3,""))</f>
        <v/>
      </c>
      <c r="FP32" s="85">
        <f>IF(DB32="","",IFERROR(DB32*HSI!$B$30*HSI!$G$30/HSI!$B$3,""))</f>
        <v/>
      </c>
      <c r="FQ32" s="85">
        <f>IF(DC32="","",IFERROR(DC32*HSI!$B$30*HSI!$G$30/HSI!$B$3,""))</f>
        <v/>
      </c>
      <c r="FR32" s="85">
        <f>IF(DD32="","",IFERROR(DD32*HSI!$B$30*HSI!$G$30/HSI!$B$3,""))</f>
        <v/>
      </c>
      <c r="FS32" s="85">
        <f>IF(DE32="","",IFERROR(DE32*HSI!$B$30*HSI!$G$30/HSI!$B$3,""))</f>
        <v/>
      </c>
      <c r="FT32" s="85">
        <f>IF(DF32="","",IFERROR(DF32*HSI!$B$30*HSI!$G$30/HSI!$B$3,""))</f>
        <v/>
      </c>
      <c r="FU32" s="85">
        <f>IF(DG32="","",IFERROR(DG32*HSI!$B$30*HSI!$G$30/HSI!$B$3,""))</f>
        <v/>
      </c>
      <c r="FV32" s="85">
        <f>IF(DH32="","",IFERROR(DH32*HSI!$B$30*HSI!$G$30/HSI!$B$3,""))</f>
        <v/>
      </c>
      <c r="FW32" s="85">
        <f>IF(DI32="","",IFERROR(DI32*HSI!$B$30*HSI!$G$30/HSI!$B$3,""))</f>
        <v/>
      </c>
      <c r="FX32" s="85">
        <f>IF(DJ32="","",IFERROR(DJ32*HSI!$B$30*HSI!$G$30/HSI!$B$3,""))</f>
        <v/>
      </c>
      <c r="FY32" s="85">
        <f>IF(DK32="","",IFERROR(DK32*HSI!$B$30*HSI!$G$30/HSI!$B$3,""))</f>
        <v/>
      </c>
      <c r="FZ32" s="85">
        <f>IF(DL32="","",IFERROR(DL32*HSI!$B$30*HSI!$G$30/HSI!$B$3,""))</f>
        <v/>
      </c>
      <c r="GA32" s="85">
        <f>IF(DM32="","",IFERROR(DM32*HSI!$B$30*HSI!$G$30/HSI!$B$3,""))</f>
        <v/>
      </c>
      <c r="GB32" s="85">
        <f>IF(DN32="","",IFERROR(DN32*HSI!$B$30*HSI!$G$30/HSI!$B$3,""))</f>
        <v/>
      </c>
      <c r="GC32" s="85">
        <f>IF(DO32="","",IFERROR(DO32*HSI!$B$30*HSI!$G$30/HSI!$B$3,""))</f>
        <v/>
      </c>
      <c r="GD32" s="85">
        <f>IF(DP32="","",IFERROR(DP32*HSI!$B$30*HSI!$G$30/HSI!$B$3,""))</f>
        <v/>
      </c>
      <c r="GE32" s="85">
        <f>IF(DQ32="","",IFERROR(DQ32*HSI!$B$30*HSI!$G$30/HSI!$B$3,""))</f>
        <v/>
      </c>
      <c r="GF32" s="85">
        <f>IF(DR32="","",IFERROR(DR32*HSI!$B$30*HSI!$G$30/HSI!$B$3,""))</f>
        <v/>
      </c>
      <c r="GG32" s="85">
        <f>IF(DS32="","",IFERROR(DS32*HSI!$B$30*HSI!$G$30/HSI!$B$3,""))</f>
        <v/>
      </c>
      <c r="GH32" s="85">
        <f>IF(DT32="","",IFERROR(DT32*HSI!$B$30*HSI!$G$30/HSI!$B$3,""))</f>
        <v/>
      </c>
      <c r="GI32" s="85">
        <f>IF(DU32="","",IFERROR(DU32*HSI!$B$30*HSI!$G$30/HSI!$B$3,""))</f>
        <v/>
      </c>
      <c r="GJ32" s="85">
        <f>IF(DV32="","",IFERROR(DV32*HSI!$B$30*HSI!$G$30/HSI!$B$3,""))</f>
        <v/>
      </c>
      <c r="GK32" s="85">
        <f>IF(DW32="","",IFERROR(DW32*HSI!$B$30*HSI!$G$30/HSI!$B$3,""))</f>
        <v/>
      </c>
      <c r="GL32" s="85">
        <f>IF(DX32="","",IFERROR(DX32*HSI!$B$30*HSI!$G$30/HSI!$B$3,""))</f>
        <v/>
      </c>
      <c r="GM32" s="85">
        <f>IF(DY32="","",IFERROR(DY32*HSI!$B$30*HSI!$G$30/HSI!$B$3,""))</f>
        <v/>
      </c>
      <c r="GN32" s="85">
        <f>IF(DZ32="","",IFERROR(DZ32*HSI!$B$30*HSI!$G$30/HSI!$B$3,""))</f>
        <v/>
      </c>
      <c r="GO32" s="85">
        <f>IF(EA32="","",IFERROR(EA32*HSI!$B$30*HSI!$G$30/HSI!$B$3,""))</f>
        <v/>
      </c>
      <c r="GP32" s="85">
        <f>IF(EB32="","",IFERROR(EB32*HSI!$B$30*HSI!$G$30/HSI!$B$3,""))</f>
        <v/>
      </c>
      <c r="GQ32" s="85">
        <f>IF(EC32="","",IFERROR(EC32*HSI!$B$30*HSI!$G$30/HSI!$B$3,""))</f>
        <v/>
      </c>
    </row>
    <row r="33">
      <c r="B33" s="2">
        <f>IF(HSI!$C$31="","",HSI!$C$31)</f>
        <v/>
      </c>
      <c r="C33" s="41">
        <f>IF(N('Dvd Calendar'!$E$370)=0,"",IF(('Dvd Calendar'!$E$370&gt;=MIN(DATE(Summary!$C$12,1,1),Summary!$C$11))*('Dvd Calendar'!$E$370&lt;=MAX(DATE(Summary!$C$12,12,31),Summary!$C$15))*('Dvd Calendar'!$E$370&lt;=Summary!$C$11)=0,"",'Dvd Calendar'!$E$370*1000000000+ISNUMBER('Dvd Calendar'!$E$371)*100000000+('Dvd Calendar'!$E$375='Field Check'!$C$25)*10000000+(N('Dvd Calendar'!$E$369)&gt;0)*1000000+25*1000+1))</f>
        <v/>
      </c>
      <c r="D33" s="41">
        <f>IF(N('Dvd Calendar'!$F$370)=0,"",IF(('Dvd Calendar'!$F$370&gt;=MIN(DATE(Summary!$C$12,1,1),Summary!$C$11))*('Dvd Calendar'!$F$370&lt;=MAX(DATE(Summary!$C$12,12,31),Summary!$C$15))*('Dvd Calendar'!$F$370&lt;=Summary!$C$11)=0,"",'Dvd Calendar'!$F$370*1000000000+ISNUMBER('Dvd Calendar'!$F$371)*100000000+('Dvd Calendar'!$F$375='Field Check'!$C$25)*10000000+(N('Dvd Calendar'!$F$369)&gt;0)*1000000+25*1000+2))</f>
        <v/>
      </c>
      <c r="E33" s="41">
        <f>IF(N('Dvd Calendar'!$G$370)=0,"",IF(('Dvd Calendar'!$G$370&gt;=MIN(DATE(Summary!$C$12,1,1),Summary!$C$11))*('Dvd Calendar'!$G$370&lt;=MAX(DATE(Summary!$C$12,12,31),Summary!$C$15))*('Dvd Calendar'!$G$370&lt;=Summary!$C$11)=0,"",'Dvd Calendar'!$G$370*1000000000+ISNUMBER('Dvd Calendar'!$G$371)*100000000+('Dvd Calendar'!$G$375='Field Check'!$C$25)*10000000+(N('Dvd Calendar'!$G$369)&gt;0)*1000000+25*1000+3))</f>
        <v/>
      </c>
      <c r="F33" s="41">
        <f>IF(N('Dvd Calendar'!$H$370)=0,"",IF(('Dvd Calendar'!$H$370&gt;=MIN(DATE(Summary!$C$12,1,1),Summary!$C$11))*('Dvd Calendar'!$H$370&lt;=MAX(DATE(Summary!$C$12,12,31),Summary!$C$15))*('Dvd Calendar'!$H$370&lt;=Summary!$C$11)=0,"",'Dvd Calendar'!$H$370*1000000000+ISNUMBER('Dvd Calendar'!$H$371)*100000000+('Dvd Calendar'!$H$375='Field Check'!$C$25)*10000000+(N('Dvd Calendar'!$H$369)&gt;0)*1000000+25*1000+4))</f>
        <v/>
      </c>
      <c r="G33" s="41">
        <f>IF(N('Dvd Calendar'!$I$370)=0,"",IF(('Dvd Calendar'!$I$370&gt;=MIN(DATE(Summary!$C$12,1,1),Summary!$C$11))*('Dvd Calendar'!$I$370&lt;=MAX(DATE(Summary!$C$12,12,31),Summary!$C$15))*('Dvd Calendar'!$I$370&lt;=Summary!$C$11)=0,"",'Dvd Calendar'!$I$370*1000000000+ISNUMBER('Dvd Calendar'!$I$371)*100000000+('Dvd Calendar'!$I$375='Field Check'!$C$25)*10000000+(N('Dvd Calendar'!$I$369)&gt;0)*1000000+25*1000+5))</f>
        <v/>
      </c>
      <c r="H33" s="41">
        <f>IF(N('Dvd Calendar'!$J$370)=0,"",IF(('Dvd Calendar'!$J$370&gt;=MIN(DATE(Summary!$C$12,1,1),Summary!$C$11))*('Dvd Calendar'!$J$370&lt;=MAX(DATE(Summary!$C$12,12,31),Summary!$C$15))*('Dvd Calendar'!$J$370&lt;=Summary!$C$11)=0,"",'Dvd Calendar'!$J$370*1000000000+ISNUMBER('Dvd Calendar'!$J$371)*100000000+('Dvd Calendar'!$J$375='Field Check'!$C$25)*10000000+(N('Dvd Calendar'!$J$369)&gt;0)*1000000+25*1000+6))</f>
        <v/>
      </c>
      <c r="I33" s="41">
        <f>IF(N('Dvd Calendar'!$K$370)=0,"",IF(('Dvd Calendar'!$K$370&gt;=MIN(DATE(Summary!$C$12,1,1),Summary!$C$11))*('Dvd Calendar'!$K$370&lt;=MAX(DATE(Summary!$C$12,12,31),Summary!$C$15))*('Dvd Calendar'!$K$370&lt;=Summary!$C$11)=0,"",'Dvd Calendar'!$K$370*1000000000+ISNUMBER('Dvd Calendar'!$K$371)*100000000+('Dvd Calendar'!$K$375='Field Check'!$C$25)*10000000+(N('Dvd Calendar'!$K$369)&gt;0)*1000000+25*1000+7))</f>
        <v/>
      </c>
      <c r="J33" s="41">
        <f>IF(N('Dvd Calendar'!$L$370)=0,"",IF(('Dvd Calendar'!$L$370&gt;=MIN(DATE(Summary!$C$12,1,1),Summary!$C$11))*('Dvd Calendar'!$L$370&lt;=MAX(DATE(Summary!$C$12,12,31),Summary!$C$15))*('Dvd Calendar'!$L$370&lt;=Summary!$C$11)=0,"",'Dvd Calendar'!$L$370*1000000000+ISNUMBER('Dvd Calendar'!$L$371)*100000000+('Dvd Calendar'!$L$375='Field Check'!$C$25)*10000000+(N('Dvd Calendar'!$L$369)&gt;0)*1000000+25*1000+8))</f>
        <v/>
      </c>
      <c r="K33" s="41">
        <f>IF(N('Dvd Calendar'!$M$370)=0,"",IF(('Dvd Calendar'!$M$370&gt;=MIN(DATE(Summary!$C$12,1,1),Summary!$C$11))*('Dvd Calendar'!$M$370&lt;=MAX(DATE(Summary!$C$12,12,31),Summary!$C$15))*('Dvd Calendar'!$M$370&lt;=Summary!$C$11)=0,"",'Dvd Calendar'!$M$370*1000000000+ISNUMBER('Dvd Calendar'!$M$371)*100000000+('Dvd Calendar'!$M$375='Field Check'!$C$25)*10000000+(N('Dvd Calendar'!$M$369)&gt;0)*1000000+25*1000+9))</f>
        <v/>
      </c>
      <c r="L33" s="41">
        <f>IF(N('Dvd Calendar'!$N$370)=0,"",IF(('Dvd Calendar'!$N$370&gt;=MIN(DATE(Summary!$C$12,1,1),Summary!$C$11))*('Dvd Calendar'!$N$370&lt;=MAX(DATE(Summary!$C$12,12,31),Summary!$C$15))*('Dvd Calendar'!$N$370&lt;=Summary!$C$11)=0,"",'Dvd Calendar'!$N$370*1000000000+ISNUMBER('Dvd Calendar'!$N$371)*100000000+('Dvd Calendar'!$N$375='Field Check'!$C$25)*10000000+(N('Dvd Calendar'!$N$369)&gt;0)*1000000+25*1000+10))</f>
        <v/>
      </c>
      <c r="M33" s="41">
        <f>IF(N('Dvd Calendar'!$O$370)=0,"",IF(('Dvd Calendar'!$O$370&gt;=MIN(DATE(Summary!$C$12,1,1),Summary!$C$11))*('Dvd Calendar'!$O$370&lt;=MAX(DATE(Summary!$C$12,12,31),Summary!$C$15))*('Dvd Calendar'!$O$370&lt;=Summary!$C$11)=0,"",'Dvd Calendar'!$O$370*1000000000+ISNUMBER('Dvd Calendar'!$O$371)*100000000+('Dvd Calendar'!$O$375='Field Check'!$C$25)*10000000+(N('Dvd Calendar'!$O$369)&gt;0)*1000000+25*1000+11))</f>
        <v/>
      </c>
      <c r="N33" s="41">
        <f>IF(N('Dvd Calendar'!$P$370)=0,"",IF(('Dvd Calendar'!$P$370&gt;=MIN(DATE(Summary!$C$12,1,1),Summary!$C$11))*('Dvd Calendar'!$P$370&lt;=MAX(DATE(Summary!$C$12,12,31),Summary!$C$15))*('Dvd Calendar'!$P$370&lt;=Summary!$C$11)=0,"",'Dvd Calendar'!$P$370*1000000000+ISNUMBER('Dvd Calendar'!$P$371)*100000000+('Dvd Calendar'!$P$375='Field Check'!$C$25)*10000000+(N('Dvd Calendar'!$P$369)&gt;0)*1000000+25*1000+12))</f>
        <v/>
      </c>
      <c r="O33" s="41">
        <f>IF(N('Dvd Calendar'!$Q$370)=0,"",IF(('Dvd Calendar'!$Q$370&gt;=MIN(DATE(Summary!$C$12,1,1),Summary!$C$11))*('Dvd Calendar'!$Q$370&lt;=MAX(DATE(Summary!$C$12,12,31),Summary!$C$15))*('Dvd Calendar'!$Q$370&lt;=Summary!$C$11)=0,"",'Dvd Calendar'!$Q$370*1000000000+ISNUMBER('Dvd Calendar'!$Q$371)*100000000+('Dvd Calendar'!$Q$375='Field Check'!$C$25)*10000000+(N('Dvd Calendar'!$Q$369)&gt;0)*1000000+25*1000+13))</f>
        <v/>
      </c>
      <c r="P33" s="41">
        <f>IF(N('Dvd Calendar'!$R$370)=0,"",IF(('Dvd Calendar'!$R$370&gt;=MIN(DATE(Summary!$C$12,1,1),Summary!$C$11))*('Dvd Calendar'!$R$370&lt;=MAX(DATE(Summary!$C$12,12,31),Summary!$C$15))*('Dvd Calendar'!$R$370&lt;=Summary!$C$11)=0,"",'Dvd Calendar'!$R$370*1000000000+ISNUMBER('Dvd Calendar'!$R$371)*100000000+('Dvd Calendar'!$R$375='Field Check'!$C$25)*10000000+(N('Dvd Calendar'!$R$369)&gt;0)*1000000+25*1000+14))</f>
        <v/>
      </c>
      <c r="Q33" s="41">
        <f>IF(N('Dvd Calendar'!$S$370)=0,"",IF(('Dvd Calendar'!$S$370&gt;=MIN(DATE(Summary!$C$12,1,1),Summary!$C$11))*('Dvd Calendar'!$S$370&lt;=MAX(DATE(Summary!$C$12,12,31),Summary!$C$15))*('Dvd Calendar'!$S$370&lt;=Summary!$C$11)=0,"",'Dvd Calendar'!$S$370*1000000000+ISNUMBER('Dvd Calendar'!$S$371)*100000000+('Dvd Calendar'!$S$375='Field Check'!$C$25)*10000000+(N('Dvd Calendar'!$S$369)&gt;0)*1000000+25*1000+15))</f>
        <v/>
      </c>
      <c r="R33" s="41">
        <f>IF(N('Dvd Calendar'!$T$370)=0,"",IF(('Dvd Calendar'!$T$370&gt;=MIN(DATE(Summary!$C$12,1,1),Summary!$C$11))*('Dvd Calendar'!$T$370&lt;=MAX(DATE(Summary!$C$12,12,31),Summary!$C$15))*('Dvd Calendar'!$T$370&lt;=Summary!$C$11)=0,"",'Dvd Calendar'!$T$370*1000000000+ISNUMBER('Dvd Calendar'!$T$371)*100000000+('Dvd Calendar'!$T$375='Field Check'!$C$25)*10000000+(N('Dvd Calendar'!$T$369)&gt;0)*1000000+25*1000+16))</f>
        <v/>
      </c>
      <c r="S33" s="41">
        <f>IF(N('Dvd Calendar'!$U$370)=0,"",IF(('Dvd Calendar'!$U$370&gt;=MIN(DATE(Summary!$C$12,1,1),Summary!$C$11))*('Dvd Calendar'!$U$370&lt;=MAX(DATE(Summary!$C$12,12,31),Summary!$C$15))*('Dvd Calendar'!$U$370&lt;=Summary!$C$11)=0,"",'Dvd Calendar'!$U$370*1000000000+ISNUMBER('Dvd Calendar'!$U$371)*100000000+('Dvd Calendar'!$U$375='Field Check'!$C$25)*10000000+(N('Dvd Calendar'!$U$369)&gt;0)*1000000+25*1000+17))</f>
        <v/>
      </c>
      <c r="T33" s="41">
        <f>IF(N('Dvd Calendar'!$V$370)=0,"",IF(('Dvd Calendar'!$V$370&gt;=MIN(DATE(Summary!$C$12,1,1),Summary!$C$11))*('Dvd Calendar'!$V$370&lt;=MAX(DATE(Summary!$C$12,12,31),Summary!$C$15))*('Dvd Calendar'!$V$370&lt;=Summary!$C$11)=0,"",'Dvd Calendar'!$V$370*1000000000+ISNUMBER('Dvd Calendar'!$V$371)*100000000+('Dvd Calendar'!$V$375='Field Check'!$C$25)*10000000+(N('Dvd Calendar'!$V$369)&gt;0)*1000000+25*1000+18))</f>
        <v/>
      </c>
      <c r="U33" s="41">
        <f>IF(N('Dvd Calendar'!$W$370)=0,"",IF(('Dvd Calendar'!$W$370&gt;=MIN(DATE(Summary!$C$12,1,1),Summary!$C$11))*('Dvd Calendar'!$W$370&lt;=MAX(DATE(Summary!$C$12,12,31),Summary!$C$15))*('Dvd Calendar'!$W$370&lt;=Summary!$C$11)=0,"",'Dvd Calendar'!$W$370*1000000000+ISNUMBER('Dvd Calendar'!$W$371)*100000000+('Dvd Calendar'!$W$375='Field Check'!$C$25)*10000000+(N('Dvd Calendar'!$W$369)&gt;0)*1000000+25*1000+19))</f>
        <v/>
      </c>
      <c r="V33" s="41">
        <f>IF(N('Dvd Calendar'!$X$370)=0,"",IF(('Dvd Calendar'!$X$370&gt;=MIN(DATE(Summary!$C$12,1,1),Summary!$C$11))*('Dvd Calendar'!$X$370&lt;=MAX(DATE(Summary!$C$12,12,31),Summary!$C$15))*('Dvd Calendar'!$X$370&lt;=Summary!$C$11)=0,"",'Dvd Calendar'!$X$370*1000000000+ISNUMBER('Dvd Calendar'!$X$371)*100000000+('Dvd Calendar'!$X$375='Field Check'!$C$25)*10000000+(N('Dvd Calendar'!$X$369)&gt;0)*1000000+25*1000+20))</f>
        <v/>
      </c>
      <c r="W33" s="41">
        <f>IF(N('Dvd Calendar'!$Y$370)=0,"",IF(('Dvd Calendar'!$Y$370&gt;=MIN(DATE(Summary!$C$12,1,1),Summary!$C$11))*('Dvd Calendar'!$Y$370&lt;=MAX(DATE(Summary!$C$12,12,31),Summary!$C$15))*('Dvd Calendar'!$Y$370&lt;=Summary!$C$11)=0,"",'Dvd Calendar'!$Y$370*1000000000+ISNUMBER('Dvd Calendar'!$Y$371)*100000000+('Dvd Calendar'!$Y$375='Field Check'!$C$25)*10000000+(N('Dvd Calendar'!$Y$369)&gt;0)*1000000+25*1000+21))</f>
        <v/>
      </c>
      <c r="X33" s="41">
        <f>IF(N('Dvd Calendar'!$Z$370)=0,"",IF(('Dvd Calendar'!$Z$370&gt;=MIN(DATE(Summary!$C$12,1,1),Summary!$C$11))*('Dvd Calendar'!$Z$370&lt;=MAX(DATE(Summary!$C$12,12,31),Summary!$C$15))*('Dvd Calendar'!$Z$370&lt;=Summary!$C$11)=0,"",'Dvd Calendar'!$Z$370*1000000000+ISNUMBER('Dvd Calendar'!$Z$371)*100000000+('Dvd Calendar'!$Z$375='Field Check'!$C$25)*10000000+(N('Dvd Calendar'!$Z$369)&gt;0)*1000000+25*1000+22))</f>
        <v/>
      </c>
      <c r="Y33" s="41">
        <f>IF(N('Dvd Calendar'!$AA$370)=0,"",IF(('Dvd Calendar'!$AA$370&gt;=MIN(DATE(Summary!$C$12,1,1),Summary!$C$11))*('Dvd Calendar'!$AA$370&lt;=MAX(DATE(Summary!$C$12,12,31),Summary!$C$15))*('Dvd Calendar'!$AA$370&lt;=Summary!$C$11)=0,"",'Dvd Calendar'!$AA$370*1000000000+ISNUMBER('Dvd Calendar'!$AA$371)*100000000+('Dvd Calendar'!$AA$375='Field Check'!$C$25)*10000000+(N('Dvd Calendar'!$AA$369)&gt;0)*1000000+25*1000+23))</f>
        <v/>
      </c>
      <c r="Z33" s="41">
        <f>IF(N('Dvd Calendar'!$AB$370)=0,"",IF(('Dvd Calendar'!$AB$370&gt;=MIN(DATE(Summary!$C$12,1,1),Summary!$C$11))*('Dvd Calendar'!$AB$370&lt;=MAX(DATE(Summary!$C$12,12,31),Summary!$C$15))*('Dvd Calendar'!$AB$370&lt;=Summary!$C$11)=0,"",'Dvd Calendar'!$AB$370*1000000000+ISNUMBER('Dvd Calendar'!$AB$371)*100000000+('Dvd Calendar'!$AB$375='Field Check'!$C$25)*10000000+(N('Dvd Calendar'!$AB$369)&gt;0)*1000000+25*1000+24))</f>
        <v/>
      </c>
      <c r="AA33" s="41">
        <f>IF(N('Dvd Calendar'!$AC$370)=0,"",IF(('Dvd Calendar'!$AC$370&gt;=MIN(DATE(Summary!$C$12,1,1),Summary!$C$11))*('Dvd Calendar'!$AC$370&lt;=MAX(DATE(Summary!$C$12,12,31),Summary!$C$15))*('Dvd Calendar'!$AC$370&lt;=Summary!$C$11)=0,"",'Dvd Calendar'!$AC$370*1000000000+ISNUMBER('Dvd Calendar'!$AC$371)*100000000+('Dvd Calendar'!$AC$375='Field Check'!$C$25)*10000000+(N('Dvd Calendar'!$AC$369)&gt;0)*1000000+25*1000+25))</f>
        <v/>
      </c>
      <c r="AB33" s="41">
        <f>IF(N('Dvd Calendar'!$AD$370)=0,"",IF(('Dvd Calendar'!$AD$370&gt;=MIN(DATE(Summary!$C$12,1,1),Summary!$C$11))*('Dvd Calendar'!$AD$370&lt;=MAX(DATE(Summary!$C$12,12,31),Summary!$C$15))*('Dvd Calendar'!$AD$370&lt;=Summary!$C$11)=0,"",'Dvd Calendar'!$AD$370*1000000000+ISNUMBER('Dvd Calendar'!$AD$371)*100000000+('Dvd Calendar'!$AD$375='Field Check'!$C$25)*10000000+(N('Dvd Calendar'!$AD$369)&gt;0)*1000000+25*1000+26))</f>
        <v/>
      </c>
      <c r="AC33" s="41">
        <f>IF(N('Dvd Calendar'!$AE$370)=0,"",IF(('Dvd Calendar'!$AE$370&gt;=MIN(DATE(Summary!$C$12,1,1),Summary!$C$11))*('Dvd Calendar'!$AE$370&lt;=MAX(DATE(Summary!$C$12,12,31),Summary!$C$15))*('Dvd Calendar'!$AE$370&lt;=Summary!$C$11)=0,"",'Dvd Calendar'!$AE$370*1000000000+ISNUMBER('Dvd Calendar'!$AE$371)*100000000+('Dvd Calendar'!$AE$375='Field Check'!$C$25)*10000000+(N('Dvd Calendar'!$AE$369)&gt;0)*1000000+25*1000+27))</f>
        <v/>
      </c>
      <c r="AD33" s="41">
        <f>IF(N('Dvd Calendar'!$AF$370)=0,"",IF(('Dvd Calendar'!$AF$370&gt;=MIN(DATE(Summary!$C$12,1,1),Summary!$C$11))*('Dvd Calendar'!$AF$370&lt;=MAX(DATE(Summary!$C$12,12,31),Summary!$C$15))*('Dvd Calendar'!$AF$370&lt;=Summary!$C$11)=0,"",'Dvd Calendar'!$AF$370*1000000000+ISNUMBER('Dvd Calendar'!$AF$371)*100000000+('Dvd Calendar'!$AF$375='Field Check'!$C$25)*10000000+(N('Dvd Calendar'!$AF$369)&gt;0)*1000000+25*1000+28))</f>
        <v/>
      </c>
      <c r="AE33" s="41">
        <f>IF(N('Dvd Calendar'!$AG$370)=0,"",IF(('Dvd Calendar'!$AG$370&gt;=MIN(DATE(Summary!$C$12,1,1),Summary!$C$11))*('Dvd Calendar'!$AG$370&lt;=MAX(DATE(Summary!$C$12,12,31),Summary!$C$15))*('Dvd Calendar'!$AG$370&lt;=Summary!$C$11)=0,"",'Dvd Calendar'!$AG$370*1000000000+ISNUMBER('Dvd Calendar'!$AG$371)*100000000+('Dvd Calendar'!$AG$375='Field Check'!$C$25)*10000000+(N('Dvd Calendar'!$AG$369)&gt;0)*1000000+25*1000+29))</f>
        <v/>
      </c>
      <c r="AF33" s="41">
        <f>IF(N('Dvd Calendar'!$AH$370)=0,"",IF(('Dvd Calendar'!$AH$370&gt;=MIN(DATE(Summary!$C$12,1,1),Summary!$C$11))*('Dvd Calendar'!$AH$370&lt;=MAX(DATE(Summary!$C$12,12,31),Summary!$C$15))*('Dvd Calendar'!$AH$370&lt;=Summary!$C$11)=0,"",'Dvd Calendar'!$AH$370*1000000000+ISNUMBER('Dvd Calendar'!$AH$371)*100000000+('Dvd Calendar'!$AH$375='Field Check'!$C$25)*10000000+(N('Dvd Calendar'!$AH$369)&gt;0)*1000000+25*1000+30))</f>
        <v/>
      </c>
      <c r="AG33" s="41">
        <f>IF(N('Dvd Calendar'!$AI$370)=0,"",IF(('Dvd Calendar'!$AI$370&gt;=MIN(DATE(Summary!$C$12,1,1),Summary!$C$11))*('Dvd Calendar'!$AI$370&lt;=MAX(DATE(Summary!$C$12,12,31),Summary!$C$15))*('Dvd Calendar'!$AI$370&lt;=Summary!$C$11)=0,"",'Dvd Calendar'!$AI$370*1000000000+ISNUMBER('Dvd Calendar'!$AI$371)*100000000+('Dvd Calendar'!$AI$375='Field Check'!$C$25)*10000000+(N('Dvd Calendar'!$AI$369)&gt;0)*1000000+25*1000+31))</f>
        <v/>
      </c>
      <c r="AH33" s="41">
        <f>IF(N('Dvd Calendar'!$AJ$370)=0,"",IF(('Dvd Calendar'!$AJ$370&gt;=MIN(DATE(Summary!$C$12,1,1),Summary!$C$11))*('Dvd Calendar'!$AJ$370&lt;=MAX(DATE(Summary!$C$12,12,31),Summary!$C$15))*('Dvd Calendar'!$AJ$370&lt;=Summary!$C$11)=0,"",'Dvd Calendar'!$AJ$370*1000000000+ISNUMBER('Dvd Calendar'!$AJ$371)*100000000+('Dvd Calendar'!$AJ$375='Field Check'!$C$25)*10000000+(N('Dvd Calendar'!$AJ$369)&gt;0)*1000000+25*1000+32))</f>
        <v/>
      </c>
      <c r="AI33" s="41">
        <f>IF(N('Dvd Calendar'!$AK$370)=0,"",IF(('Dvd Calendar'!$AK$370&gt;=MIN(DATE(Summary!$C$12,1,1),Summary!$C$11))*('Dvd Calendar'!$AK$370&lt;=MAX(DATE(Summary!$C$12,12,31),Summary!$C$15))*('Dvd Calendar'!$AK$370&lt;=Summary!$C$11)=0,"",'Dvd Calendar'!$AK$370*1000000000+ISNUMBER('Dvd Calendar'!$AK$371)*100000000+('Dvd Calendar'!$AK$375='Field Check'!$C$25)*10000000+(N('Dvd Calendar'!$AK$369)&gt;0)*1000000+25*1000+33))</f>
        <v/>
      </c>
      <c r="AJ33" s="41">
        <f>IF(N('Dvd Calendar'!$AL$370)=0,"",IF(('Dvd Calendar'!$AL$370&gt;=MIN(DATE(Summary!$C$12,1,1),Summary!$C$11))*('Dvd Calendar'!$AL$370&lt;=MAX(DATE(Summary!$C$12,12,31),Summary!$C$15))*('Dvd Calendar'!$AL$370&lt;=Summary!$C$11)=0,"",'Dvd Calendar'!$AL$370*1000000000+ISNUMBER('Dvd Calendar'!$AL$371)*100000000+('Dvd Calendar'!$AL$375='Field Check'!$C$25)*10000000+(N('Dvd Calendar'!$AL$369)&gt;0)*1000000+25*1000+34))</f>
        <v/>
      </c>
      <c r="AK33" s="41">
        <f>IF(N('Dvd Calendar'!$AM$370)=0,"",IF(('Dvd Calendar'!$AM$370&gt;=MIN(DATE(Summary!$C$12,1,1),Summary!$C$11))*('Dvd Calendar'!$AM$370&lt;=MAX(DATE(Summary!$C$12,12,31),Summary!$C$15))*('Dvd Calendar'!$AM$370&lt;=Summary!$C$11)=0,"",'Dvd Calendar'!$AM$370*1000000000+ISNUMBER('Dvd Calendar'!$AM$371)*100000000+('Dvd Calendar'!$AM$375='Field Check'!$C$25)*10000000+(N('Dvd Calendar'!$AM$369)&gt;0)*1000000+25*1000+35))</f>
        <v/>
      </c>
      <c r="AL33" s="41">
        <f>IF(N('Dvd Calendar'!$AN$370)=0,"",IF(('Dvd Calendar'!$AN$370&gt;=MIN(DATE(Summary!$C$12,1,1),Summary!$C$11))*('Dvd Calendar'!$AN$370&lt;=MAX(DATE(Summary!$C$12,12,31),Summary!$C$15))*('Dvd Calendar'!$AN$370&lt;=Summary!$C$11)=0,"",'Dvd Calendar'!$AN$370*1000000000+ISNUMBER('Dvd Calendar'!$AN$371)*100000000+('Dvd Calendar'!$AN$375='Field Check'!$C$25)*10000000+(N('Dvd Calendar'!$AN$369)&gt;0)*1000000+25*1000+36))</f>
        <v/>
      </c>
      <c r="AM33" s="41">
        <f>IF(N('Dvd Calendar'!$AO$370)=0,"",IF(('Dvd Calendar'!$AO$370&gt;=MIN(DATE(Summary!$C$12,1,1),Summary!$C$11))*('Dvd Calendar'!$AO$370&lt;=MAX(DATE(Summary!$C$12,12,31),Summary!$C$15))*('Dvd Calendar'!$AO$370&lt;=Summary!$C$11)=0,"",'Dvd Calendar'!$AO$370*1000000000+ISNUMBER('Dvd Calendar'!$AO$371)*100000000+('Dvd Calendar'!$AO$375='Field Check'!$C$25)*10000000+(N('Dvd Calendar'!$AO$369)&gt;0)*1000000+25*1000+37))</f>
        <v/>
      </c>
      <c r="AN33" s="41">
        <f>IF(N('Dvd Calendar'!$AP$370)=0,"",IF(('Dvd Calendar'!$AP$370&gt;=MIN(DATE(Summary!$C$12,1,1),Summary!$C$11))*('Dvd Calendar'!$AP$370&lt;=MAX(DATE(Summary!$C$12,12,31),Summary!$C$15))*('Dvd Calendar'!$AP$370&lt;=Summary!$C$11)=0,"",'Dvd Calendar'!$AP$370*1000000000+ISNUMBER('Dvd Calendar'!$AP$371)*100000000+('Dvd Calendar'!$AP$375='Field Check'!$C$25)*10000000+(N('Dvd Calendar'!$AP$369)&gt;0)*1000000+25*1000+38))</f>
        <v/>
      </c>
      <c r="AO33" s="41">
        <f>IF(N('Dvd Calendar'!$AQ$370)=0,"",IF(('Dvd Calendar'!$AQ$370&gt;=MIN(DATE(Summary!$C$12,1,1),Summary!$C$11))*('Dvd Calendar'!$AQ$370&lt;=MAX(DATE(Summary!$C$12,12,31),Summary!$C$15))*('Dvd Calendar'!$AQ$370&lt;=Summary!$C$11)=0,"",'Dvd Calendar'!$AQ$370*1000000000+ISNUMBER('Dvd Calendar'!$AQ$371)*100000000+('Dvd Calendar'!$AQ$375='Field Check'!$C$25)*10000000+(N('Dvd Calendar'!$AQ$369)&gt;0)*1000000+25*1000+39))</f>
        <v/>
      </c>
      <c r="AP33" s="41">
        <f>IF(N('Dvd Calendar'!$AR$370)=0,"",IF(('Dvd Calendar'!$AR$370&gt;=MIN(DATE(Summary!$C$12,1,1),Summary!$C$11))*('Dvd Calendar'!$AR$370&lt;=MAX(DATE(Summary!$C$12,12,31),Summary!$C$15))*('Dvd Calendar'!$AR$370&lt;=Summary!$C$11)=0,"",'Dvd Calendar'!$AR$370*1000000000+ISNUMBER('Dvd Calendar'!$AR$371)*100000000+('Dvd Calendar'!$AR$375='Field Check'!$C$25)*10000000+(N('Dvd Calendar'!$AR$369)&gt;0)*1000000+25*1000+40))</f>
        <v/>
      </c>
      <c r="AQ33" s="41">
        <f>IF(N('Dvd Calendar'!$E$377)=0,"",IF(('Dvd Calendar'!$E$377&gt;=MIN(DATE(Summary!$C$12,1,1),Summary!$C$11))*('Dvd Calendar'!$E$377&lt;=MAX(DATE(Summary!$C$12,12,31),Summary!$C$15))*('Dvd Calendar'!$E$377&gt;Summary!$C$11)=0,"",'Dvd Calendar'!$E$377*1000000000+ISNUMBER('Dvd Calendar'!$E$378)*100000000+('Dvd Calendar'!$E$382='Field Check'!$C$25)*10000000+(N('Dvd Calendar'!$E$376)&gt;0)*1000000+25*1000+41))</f>
        <v/>
      </c>
      <c r="AR33" s="41">
        <f>IF(N('Dvd Calendar'!$F$377)=0,"",IF(('Dvd Calendar'!$F$377&gt;=MIN(DATE(Summary!$C$12,1,1),Summary!$C$11))*('Dvd Calendar'!$F$377&lt;=MAX(DATE(Summary!$C$12,12,31),Summary!$C$15))*('Dvd Calendar'!$F$377&gt;Summary!$C$11)=0,"",'Dvd Calendar'!$F$377*1000000000+ISNUMBER('Dvd Calendar'!$F$378)*100000000+('Dvd Calendar'!$F$382='Field Check'!$C$25)*10000000+(N('Dvd Calendar'!$F$376)&gt;0)*1000000+25*1000+42))</f>
        <v/>
      </c>
      <c r="AS33" s="41">
        <f>IF(N('Dvd Calendar'!$G$377)=0,"",IF(('Dvd Calendar'!$G$377&gt;=MIN(DATE(Summary!$C$12,1,1),Summary!$C$11))*('Dvd Calendar'!$G$377&lt;=MAX(DATE(Summary!$C$12,12,31),Summary!$C$15))*('Dvd Calendar'!$G$377&gt;Summary!$C$11)=0,"",'Dvd Calendar'!$G$377*1000000000+ISNUMBER('Dvd Calendar'!$G$378)*100000000+('Dvd Calendar'!$G$382='Field Check'!$C$25)*10000000+(N('Dvd Calendar'!$G$376)&gt;0)*1000000+25*1000+43))</f>
        <v/>
      </c>
      <c r="AT33" s="41">
        <f>IF(N('Dvd Calendar'!$H$377)=0,"",IF(('Dvd Calendar'!$H$377&gt;=MIN(DATE(Summary!$C$12,1,1),Summary!$C$11))*('Dvd Calendar'!$H$377&lt;=MAX(DATE(Summary!$C$12,12,31),Summary!$C$15))*('Dvd Calendar'!$H$377&gt;Summary!$C$11)=0,"",'Dvd Calendar'!$H$377*1000000000+ISNUMBER('Dvd Calendar'!$H$378)*100000000+('Dvd Calendar'!$H$382='Field Check'!$C$25)*10000000+(N('Dvd Calendar'!$H$376)&gt;0)*1000000+25*1000+44))</f>
        <v/>
      </c>
      <c r="AU33" s="41">
        <f>IF(N('Dvd Calendar'!$I$377)=0,"",IF(('Dvd Calendar'!$I$377&gt;=MIN(DATE(Summary!$C$12,1,1),Summary!$C$11))*('Dvd Calendar'!$I$377&lt;=MAX(DATE(Summary!$C$12,12,31),Summary!$C$15))*('Dvd Calendar'!$I$377&gt;Summary!$C$11)=0,"",'Dvd Calendar'!$I$377*1000000000+ISNUMBER('Dvd Calendar'!$I$378)*100000000+('Dvd Calendar'!$I$382='Field Check'!$C$25)*10000000+(N('Dvd Calendar'!$I$376)&gt;0)*1000000+25*1000+45))</f>
        <v/>
      </c>
      <c r="AV33" s="41">
        <f>IF(N('Dvd Calendar'!$J$377)=0,"",IF(('Dvd Calendar'!$J$377&gt;=MIN(DATE(Summary!$C$12,1,1),Summary!$C$11))*('Dvd Calendar'!$J$377&lt;=MAX(DATE(Summary!$C$12,12,31),Summary!$C$15))*('Dvd Calendar'!$J$377&gt;Summary!$C$11)=0,"",'Dvd Calendar'!$J$377*1000000000+ISNUMBER('Dvd Calendar'!$J$378)*100000000+('Dvd Calendar'!$J$382='Field Check'!$C$25)*10000000+(N('Dvd Calendar'!$J$376)&gt;0)*1000000+25*1000+46))</f>
        <v/>
      </c>
      <c r="AW33" s="41">
        <f>IF(N('Dvd Calendar'!$K$377)=0,"",IF(('Dvd Calendar'!$K$377&gt;=MIN(DATE(Summary!$C$12,1,1),Summary!$C$11))*('Dvd Calendar'!$K$377&lt;=MAX(DATE(Summary!$C$12,12,31),Summary!$C$15))*('Dvd Calendar'!$K$377&gt;Summary!$C$11)=0,"",'Dvd Calendar'!$K$377*1000000000+ISNUMBER('Dvd Calendar'!$K$378)*100000000+('Dvd Calendar'!$K$382='Field Check'!$C$25)*10000000+(N('Dvd Calendar'!$K$376)&gt;0)*1000000+25*1000+47))</f>
        <v/>
      </c>
      <c r="AX33" s="41">
        <f>IF(N('Dvd Calendar'!$L$377)=0,"",IF(('Dvd Calendar'!$L$377&gt;=MIN(DATE(Summary!$C$12,1,1),Summary!$C$11))*('Dvd Calendar'!$L$377&lt;=MAX(DATE(Summary!$C$12,12,31),Summary!$C$15))*('Dvd Calendar'!$L$377&gt;Summary!$C$11)=0,"",'Dvd Calendar'!$L$377*1000000000+ISNUMBER('Dvd Calendar'!$L$378)*100000000+('Dvd Calendar'!$L$382='Field Check'!$C$25)*10000000+(N('Dvd Calendar'!$L$376)&gt;0)*1000000+25*1000+48))</f>
        <v/>
      </c>
      <c r="AY33" s="41">
        <f>IF(N('Dvd Calendar'!$M$377)=0,"",IF(('Dvd Calendar'!$M$377&gt;=MIN(DATE(Summary!$C$12,1,1),Summary!$C$11))*('Dvd Calendar'!$M$377&lt;=MAX(DATE(Summary!$C$12,12,31),Summary!$C$15))*('Dvd Calendar'!$M$377&gt;Summary!$C$11)=0,"",'Dvd Calendar'!$M$377*1000000000+ISNUMBER('Dvd Calendar'!$M$378)*100000000+('Dvd Calendar'!$M$382='Field Check'!$C$25)*10000000+(N('Dvd Calendar'!$M$376)&gt;0)*1000000+25*1000+49))</f>
        <v/>
      </c>
      <c r="AZ33" s="41">
        <f>IF(N('Dvd Calendar'!$N$377)=0,"",IF(('Dvd Calendar'!$N$377&gt;=MIN(DATE(Summary!$C$12,1,1),Summary!$C$11))*('Dvd Calendar'!$N$377&lt;=MAX(DATE(Summary!$C$12,12,31),Summary!$C$15))*('Dvd Calendar'!$N$377&gt;Summary!$C$11)=0,"",'Dvd Calendar'!$N$377*1000000000+ISNUMBER('Dvd Calendar'!$N$378)*100000000+('Dvd Calendar'!$N$382='Field Check'!$C$25)*10000000+(N('Dvd Calendar'!$N$376)&gt;0)*1000000+25*1000+50))</f>
        <v/>
      </c>
      <c r="BA33" s="41">
        <f>IF(N('Dvd Calendar'!$O$377)=0,"",IF(('Dvd Calendar'!$O$377&gt;=MIN(DATE(Summary!$C$12,1,1),Summary!$C$11))*('Dvd Calendar'!$O$377&lt;=MAX(DATE(Summary!$C$12,12,31),Summary!$C$15))*('Dvd Calendar'!$O$377&gt;Summary!$C$11)=0,"",'Dvd Calendar'!$O$377*1000000000+ISNUMBER('Dvd Calendar'!$O$378)*100000000+('Dvd Calendar'!$O$382='Field Check'!$C$25)*10000000+(N('Dvd Calendar'!$O$376)&gt;0)*1000000+25*1000+51))</f>
        <v/>
      </c>
      <c r="BB33" s="41">
        <f>IF(N('Dvd Calendar'!$P$377)=0,"",IF(('Dvd Calendar'!$P$377&gt;=MIN(DATE(Summary!$C$12,1,1),Summary!$C$11))*('Dvd Calendar'!$P$377&lt;=MAX(DATE(Summary!$C$12,12,31),Summary!$C$15))*('Dvd Calendar'!$P$377&gt;Summary!$C$11)=0,"",'Dvd Calendar'!$P$377*1000000000+ISNUMBER('Dvd Calendar'!$P$378)*100000000+('Dvd Calendar'!$P$382='Field Check'!$C$25)*10000000+(N('Dvd Calendar'!$P$376)&gt;0)*1000000+25*1000+52))</f>
        <v/>
      </c>
      <c r="BC33" s="41">
        <f>IF(N('Dvd Calendar'!$Q$377)=0,"",IF(('Dvd Calendar'!$Q$377&gt;=MIN(DATE(Summary!$C$12,1,1),Summary!$C$11))*('Dvd Calendar'!$Q$377&lt;=MAX(DATE(Summary!$C$12,12,31),Summary!$C$15))*('Dvd Calendar'!$Q$377&gt;Summary!$C$11)=0,"",'Dvd Calendar'!$Q$377*1000000000+ISNUMBER('Dvd Calendar'!$Q$378)*100000000+('Dvd Calendar'!$Q$382='Field Check'!$C$25)*10000000+(N('Dvd Calendar'!$Q$376)&gt;0)*1000000+25*1000+53))</f>
        <v/>
      </c>
      <c r="BD33" s="41">
        <f>IF(N('Dvd Calendar'!$R$377)=0,"",IF(('Dvd Calendar'!$R$377&gt;=MIN(DATE(Summary!$C$12,1,1),Summary!$C$11))*('Dvd Calendar'!$R$377&lt;=MAX(DATE(Summary!$C$12,12,31),Summary!$C$15))*('Dvd Calendar'!$R$377&gt;Summary!$C$11)=0,"",'Dvd Calendar'!$R$377*1000000000+ISNUMBER('Dvd Calendar'!$R$378)*100000000+('Dvd Calendar'!$R$382='Field Check'!$C$25)*10000000+(N('Dvd Calendar'!$R$376)&gt;0)*1000000+25*1000+54))</f>
        <v/>
      </c>
      <c r="BE33" s="41">
        <f>IF(N('Dvd Calendar'!$S$377)=0,"",IF(('Dvd Calendar'!$S$377&gt;=MIN(DATE(Summary!$C$12,1,1),Summary!$C$11))*('Dvd Calendar'!$S$377&lt;=MAX(DATE(Summary!$C$12,12,31),Summary!$C$15))*('Dvd Calendar'!$S$377&gt;Summary!$C$11)=0,"",'Dvd Calendar'!$S$377*1000000000+ISNUMBER('Dvd Calendar'!$S$378)*100000000+('Dvd Calendar'!$S$382='Field Check'!$C$25)*10000000+(N('Dvd Calendar'!$S$376)&gt;0)*1000000+25*1000+55))</f>
        <v/>
      </c>
      <c r="BF33" s="41">
        <f>IF(N('Dvd Calendar'!$T$377)=0,"",IF(('Dvd Calendar'!$T$377&gt;=MIN(DATE(Summary!$C$12,1,1),Summary!$C$11))*('Dvd Calendar'!$T$377&lt;=MAX(DATE(Summary!$C$12,12,31),Summary!$C$15))*('Dvd Calendar'!$T$377&gt;Summary!$C$11)=0,"",'Dvd Calendar'!$T$377*1000000000+ISNUMBER('Dvd Calendar'!$T$378)*100000000+('Dvd Calendar'!$T$382='Field Check'!$C$25)*10000000+(N('Dvd Calendar'!$T$376)&gt;0)*1000000+25*1000+56))</f>
        <v/>
      </c>
      <c r="BG33" s="41">
        <f>IF(N('Dvd Calendar'!$U$377)=0,"",IF(('Dvd Calendar'!$U$377&gt;=MIN(DATE(Summary!$C$12,1,1),Summary!$C$11))*('Dvd Calendar'!$U$377&lt;=MAX(DATE(Summary!$C$12,12,31),Summary!$C$15))*('Dvd Calendar'!$U$377&gt;Summary!$C$11)=0,"",'Dvd Calendar'!$U$377*1000000000+ISNUMBER('Dvd Calendar'!$U$378)*100000000+('Dvd Calendar'!$U$382='Field Check'!$C$25)*10000000+(N('Dvd Calendar'!$U$376)&gt;0)*1000000+25*1000+57))</f>
        <v/>
      </c>
      <c r="BH33" s="41">
        <f>IF(N('Dvd Calendar'!$V$377)=0,"",IF(('Dvd Calendar'!$V$377&gt;=MIN(DATE(Summary!$C$12,1,1),Summary!$C$11))*('Dvd Calendar'!$V$377&lt;=MAX(DATE(Summary!$C$12,12,31),Summary!$C$15))*('Dvd Calendar'!$V$377&gt;Summary!$C$11)=0,"",'Dvd Calendar'!$V$377*1000000000+ISNUMBER('Dvd Calendar'!$V$378)*100000000+('Dvd Calendar'!$V$382='Field Check'!$C$25)*10000000+(N('Dvd Calendar'!$V$376)&gt;0)*1000000+25*1000+58))</f>
        <v/>
      </c>
      <c r="BI33" s="41">
        <f>IF(N('Dvd Calendar'!$W$377)=0,"",IF(('Dvd Calendar'!$W$377&gt;=MIN(DATE(Summary!$C$12,1,1),Summary!$C$11))*('Dvd Calendar'!$W$377&lt;=MAX(DATE(Summary!$C$12,12,31),Summary!$C$15))*('Dvd Calendar'!$W$377&gt;Summary!$C$11)=0,"",'Dvd Calendar'!$W$377*1000000000+ISNUMBER('Dvd Calendar'!$W$378)*100000000+('Dvd Calendar'!$W$382='Field Check'!$C$25)*10000000+(N('Dvd Calendar'!$W$376)&gt;0)*1000000+25*1000+59))</f>
        <v/>
      </c>
      <c r="BJ33" s="41">
        <f>IF(N('Dvd Calendar'!$X$377)=0,"",IF(('Dvd Calendar'!$X$377&gt;=MIN(DATE(Summary!$C$12,1,1),Summary!$C$11))*('Dvd Calendar'!$X$377&lt;=MAX(DATE(Summary!$C$12,12,31),Summary!$C$15))*('Dvd Calendar'!$X$377&gt;Summary!$C$11)=0,"",'Dvd Calendar'!$X$377*1000000000+ISNUMBER('Dvd Calendar'!$X$378)*100000000+('Dvd Calendar'!$X$382='Field Check'!$C$25)*10000000+(N('Dvd Calendar'!$X$376)&gt;0)*1000000+25*1000+60))</f>
        <v/>
      </c>
      <c r="BK33" s="41">
        <f>IF(N('Dvd Calendar'!$Y$377)=0,"",IF(('Dvd Calendar'!$Y$377&gt;=MIN(DATE(Summary!$C$12,1,1),Summary!$C$11))*('Dvd Calendar'!$Y$377&lt;=MAX(DATE(Summary!$C$12,12,31),Summary!$C$15))*('Dvd Calendar'!$Y$377&gt;Summary!$C$11)=0,"",'Dvd Calendar'!$Y$377*1000000000+ISNUMBER('Dvd Calendar'!$Y$378)*100000000+('Dvd Calendar'!$Y$382='Field Check'!$C$25)*10000000+(N('Dvd Calendar'!$Y$376)&gt;0)*1000000+25*1000+61))</f>
        <v/>
      </c>
      <c r="BL33" s="41">
        <f>IF(N('Dvd Calendar'!$Z$377)=0,"",IF(('Dvd Calendar'!$Z$377&gt;=MIN(DATE(Summary!$C$12,1,1),Summary!$C$11))*('Dvd Calendar'!$Z$377&lt;=MAX(DATE(Summary!$C$12,12,31),Summary!$C$15))*('Dvd Calendar'!$Z$377&gt;Summary!$C$11)=0,"",'Dvd Calendar'!$Z$377*1000000000+ISNUMBER('Dvd Calendar'!$Z$378)*100000000+('Dvd Calendar'!$Z$382='Field Check'!$C$25)*10000000+(N('Dvd Calendar'!$Z$376)&gt;0)*1000000+25*1000+62))</f>
        <v/>
      </c>
      <c r="BM33" s="41">
        <f>IF(N('Dvd Calendar'!$AA$377)=0,"",IF(('Dvd Calendar'!$AA$377&gt;=MIN(DATE(Summary!$C$12,1,1),Summary!$C$11))*('Dvd Calendar'!$AA$377&lt;=MAX(DATE(Summary!$C$12,12,31),Summary!$C$15))*('Dvd Calendar'!$AA$377&gt;Summary!$C$11)=0,"",'Dvd Calendar'!$AA$377*1000000000+ISNUMBER('Dvd Calendar'!$AA$378)*100000000+('Dvd Calendar'!$AA$382='Field Check'!$C$25)*10000000+(N('Dvd Calendar'!$AA$376)&gt;0)*1000000+25*1000+63))</f>
        <v/>
      </c>
      <c r="BN33" s="41">
        <f>IF(N('Dvd Calendar'!$AB$377)=0,"",IF(('Dvd Calendar'!$AB$377&gt;=MIN(DATE(Summary!$C$12,1,1),Summary!$C$11))*('Dvd Calendar'!$AB$377&lt;=MAX(DATE(Summary!$C$12,12,31),Summary!$C$15))*('Dvd Calendar'!$AB$377&gt;Summary!$C$11)=0,"",'Dvd Calendar'!$AB$377*1000000000+ISNUMBER('Dvd Calendar'!$AB$378)*100000000+('Dvd Calendar'!$AB$382='Field Check'!$C$25)*10000000+(N('Dvd Calendar'!$AB$376)&gt;0)*1000000+25*1000+64))</f>
        <v/>
      </c>
      <c r="BO33" s="41">
        <f>IF(N('Dvd Calendar'!$AC$377)=0,"",IF(('Dvd Calendar'!$AC$377&gt;=MIN(DATE(Summary!$C$12,1,1),Summary!$C$11))*('Dvd Calendar'!$AC$377&lt;=MAX(DATE(Summary!$C$12,12,31),Summary!$C$15))*('Dvd Calendar'!$AC$377&gt;Summary!$C$11)=0,"",'Dvd Calendar'!$AC$377*1000000000+ISNUMBER('Dvd Calendar'!$AC$378)*100000000+('Dvd Calendar'!$AC$382='Field Check'!$C$25)*10000000+(N('Dvd Calendar'!$AC$376)&gt;0)*1000000+25*1000+65))</f>
        <v/>
      </c>
      <c r="BQ33" s="85">
        <f>IF(C33="","",IF(ISNUMBER('Dvd Calendar'!$E$371)=FALSE,"",IF((Summary!$C$13="N")*('Dvd Calendar'!$E$375='Field Check'!$C$25)&gt;0,"",'Dvd Calendar'!$E$371)))</f>
        <v/>
      </c>
      <c r="BR33" s="85">
        <f>IF(D33="","",IF(ISNUMBER('Dvd Calendar'!$F$371)=FALSE,"",IF((Summary!$C$13="N")*('Dvd Calendar'!$F$375='Field Check'!$C$25)&gt;0,"",'Dvd Calendar'!$F$371)))</f>
        <v/>
      </c>
      <c r="BS33" s="85">
        <f>IF(E33="","",IF(ISNUMBER('Dvd Calendar'!$G$371)=FALSE,"",IF((Summary!$C$13="N")*('Dvd Calendar'!$G$375='Field Check'!$C$25)&gt;0,"",'Dvd Calendar'!$G$371)))</f>
        <v/>
      </c>
      <c r="BT33" s="85">
        <f>IF(F33="","",IF(ISNUMBER('Dvd Calendar'!$H$371)=FALSE,"",IF((Summary!$C$13="N")*('Dvd Calendar'!$H$375='Field Check'!$C$25)&gt;0,"",'Dvd Calendar'!$H$371)))</f>
        <v/>
      </c>
      <c r="BU33" s="85">
        <f>IF(G33="","",IF(ISNUMBER('Dvd Calendar'!$I$371)=FALSE,"",IF((Summary!$C$13="N")*('Dvd Calendar'!$I$375='Field Check'!$C$25)&gt;0,"",'Dvd Calendar'!$I$371)))</f>
        <v/>
      </c>
      <c r="BV33" s="85">
        <f>IF(H33="","",IF(ISNUMBER('Dvd Calendar'!$J$371)=FALSE,"",IF((Summary!$C$13="N")*('Dvd Calendar'!$J$375='Field Check'!$C$25)&gt;0,"",'Dvd Calendar'!$J$371)))</f>
        <v/>
      </c>
      <c r="BW33" s="85">
        <f>IF(I33="","",IF(ISNUMBER('Dvd Calendar'!$K$371)=FALSE,"",IF((Summary!$C$13="N")*('Dvd Calendar'!$K$375='Field Check'!$C$25)&gt;0,"",'Dvd Calendar'!$K$371)))</f>
        <v/>
      </c>
      <c r="BX33" s="85">
        <f>IF(J33="","",IF(ISNUMBER('Dvd Calendar'!$L$371)=FALSE,"",IF((Summary!$C$13="N")*('Dvd Calendar'!$L$375='Field Check'!$C$25)&gt;0,"",'Dvd Calendar'!$L$371)))</f>
        <v/>
      </c>
      <c r="BY33" s="85">
        <f>IF(K33="","",IF(ISNUMBER('Dvd Calendar'!$M$371)=FALSE,"",IF((Summary!$C$13="N")*('Dvd Calendar'!$M$375='Field Check'!$C$25)&gt;0,"",'Dvd Calendar'!$M$371)))</f>
        <v/>
      </c>
      <c r="BZ33" s="85">
        <f>IF(L33="","",IF(ISNUMBER('Dvd Calendar'!$N$371)=FALSE,"",IF((Summary!$C$13="N")*('Dvd Calendar'!$N$375='Field Check'!$C$25)&gt;0,"",'Dvd Calendar'!$N$371)))</f>
        <v/>
      </c>
      <c r="CA33" s="85">
        <f>IF(M33="","",IF(ISNUMBER('Dvd Calendar'!$O$371)=FALSE,"",IF((Summary!$C$13="N")*('Dvd Calendar'!$O$375='Field Check'!$C$25)&gt;0,"",'Dvd Calendar'!$O$371)))</f>
        <v/>
      </c>
      <c r="CB33" s="85">
        <f>IF(N33="","",IF(ISNUMBER('Dvd Calendar'!$P$371)=FALSE,"",IF((Summary!$C$13="N")*('Dvd Calendar'!$P$375='Field Check'!$C$25)&gt;0,"",'Dvd Calendar'!$P$371)))</f>
        <v/>
      </c>
      <c r="CC33" s="85">
        <f>IF(O33="","",IF(ISNUMBER('Dvd Calendar'!$Q$371)=FALSE,"",IF((Summary!$C$13="N")*('Dvd Calendar'!$Q$375='Field Check'!$C$25)&gt;0,"",'Dvd Calendar'!$Q$371)))</f>
        <v/>
      </c>
      <c r="CD33" s="85">
        <f>IF(P33="","",IF(ISNUMBER('Dvd Calendar'!$R$371)=FALSE,"",IF((Summary!$C$13="N")*('Dvd Calendar'!$R$375='Field Check'!$C$25)&gt;0,"",'Dvd Calendar'!$R$371)))</f>
        <v/>
      </c>
      <c r="CE33" s="85">
        <f>IF(Q33="","",IF(ISNUMBER('Dvd Calendar'!$S$371)=FALSE,"",IF((Summary!$C$13="N")*('Dvd Calendar'!$S$375='Field Check'!$C$25)&gt;0,"",'Dvd Calendar'!$S$371)))</f>
        <v/>
      </c>
      <c r="CF33" s="85">
        <f>IF(R33="","",IF(ISNUMBER('Dvd Calendar'!$T$371)=FALSE,"",IF((Summary!$C$13="N")*('Dvd Calendar'!$T$375='Field Check'!$C$25)&gt;0,"",'Dvd Calendar'!$T$371)))</f>
        <v/>
      </c>
      <c r="CG33" s="85">
        <f>IF(S33="","",IF(ISNUMBER('Dvd Calendar'!$U$371)=FALSE,"",IF((Summary!$C$13="N")*('Dvd Calendar'!$U$375='Field Check'!$C$25)&gt;0,"",'Dvd Calendar'!$U$371)))</f>
        <v/>
      </c>
      <c r="CH33" s="85">
        <f>IF(T33="","",IF(ISNUMBER('Dvd Calendar'!$V$371)=FALSE,"",IF((Summary!$C$13="N")*('Dvd Calendar'!$V$375='Field Check'!$C$25)&gt;0,"",'Dvd Calendar'!$V$371)))</f>
        <v/>
      </c>
      <c r="CI33" s="85">
        <f>IF(U33="","",IF(ISNUMBER('Dvd Calendar'!$W$371)=FALSE,"",IF((Summary!$C$13="N")*('Dvd Calendar'!$W$375='Field Check'!$C$25)&gt;0,"",'Dvd Calendar'!$W$371)))</f>
        <v/>
      </c>
      <c r="CJ33" s="85">
        <f>IF(V33="","",IF(ISNUMBER('Dvd Calendar'!$X$371)=FALSE,"",IF((Summary!$C$13="N")*('Dvd Calendar'!$X$375='Field Check'!$C$25)&gt;0,"",'Dvd Calendar'!$X$371)))</f>
        <v/>
      </c>
      <c r="CK33" s="85">
        <f>IF(W33="","",IF(ISNUMBER('Dvd Calendar'!$Y$371)=FALSE,"",IF((Summary!$C$13="N")*('Dvd Calendar'!$Y$375='Field Check'!$C$25)&gt;0,"",'Dvd Calendar'!$Y$371)))</f>
        <v/>
      </c>
      <c r="CL33" s="85">
        <f>IF(X33="","",IF(ISNUMBER('Dvd Calendar'!$Z$371)=FALSE,"",IF((Summary!$C$13="N")*('Dvd Calendar'!$Z$375='Field Check'!$C$25)&gt;0,"",'Dvd Calendar'!$Z$371)))</f>
        <v/>
      </c>
      <c r="CM33" s="85">
        <f>IF(Y33="","",IF(ISNUMBER('Dvd Calendar'!$AA$371)=FALSE,"",IF((Summary!$C$13="N")*('Dvd Calendar'!$AA$375='Field Check'!$C$25)&gt;0,"",'Dvd Calendar'!$AA$371)))</f>
        <v/>
      </c>
      <c r="CN33" s="85">
        <f>IF(Z33="","",IF(ISNUMBER('Dvd Calendar'!$AB$371)=FALSE,"",IF((Summary!$C$13="N")*('Dvd Calendar'!$AB$375='Field Check'!$C$25)&gt;0,"",'Dvd Calendar'!$AB$371)))</f>
        <v/>
      </c>
      <c r="CO33" s="85">
        <f>IF(AA33="","",IF(ISNUMBER('Dvd Calendar'!$AC$371)=FALSE,"",IF((Summary!$C$13="N")*('Dvd Calendar'!$AC$375='Field Check'!$C$25)&gt;0,"",'Dvd Calendar'!$AC$371)))</f>
        <v/>
      </c>
      <c r="CP33" s="85">
        <f>IF(AB33="","",IF(ISNUMBER('Dvd Calendar'!$AD$371)=FALSE,"",IF((Summary!$C$13="N")*('Dvd Calendar'!$AD$375='Field Check'!$C$25)&gt;0,"",'Dvd Calendar'!$AD$371)))</f>
        <v/>
      </c>
      <c r="CQ33" s="85">
        <f>IF(AC33="","",IF(ISNUMBER('Dvd Calendar'!$AE$371)=FALSE,"",IF((Summary!$C$13="N")*('Dvd Calendar'!$AE$375='Field Check'!$C$25)&gt;0,"",'Dvd Calendar'!$AE$371)))</f>
        <v/>
      </c>
      <c r="CR33" s="85">
        <f>IF(AD33="","",IF(ISNUMBER('Dvd Calendar'!$AF$371)=FALSE,"",IF((Summary!$C$13="N")*('Dvd Calendar'!$AF$375='Field Check'!$C$25)&gt;0,"",'Dvd Calendar'!$AF$371)))</f>
        <v/>
      </c>
      <c r="CS33" s="85">
        <f>IF(AE33="","",IF(ISNUMBER('Dvd Calendar'!$AG$371)=FALSE,"",IF((Summary!$C$13="N")*('Dvd Calendar'!$AG$375='Field Check'!$C$25)&gt;0,"",'Dvd Calendar'!$AG$371)))</f>
        <v/>
      </c>
      <c r="CT33" s="85">
        <f>IF(AF33="","",IF(ISNUMBER('Dvd Calendar'!$AH$371)=FALSE,"",IF((Summary!$C$13="N")*('Dvd Calendar'!$AH$375='Field Check'!$C$25)&gt;0,"",'Dvd Calendar'!$AH$371)))</f>
        <v/>
      </c>
      <c r="CU33" s="85">
        <f>IF(AG33="","",IF(ISNUMBER('Dvd Calendar'!$AI$371)=FALSE,"",IF((Summary!$C$13="N")*('Dvd Calendar'!$AI$375='Field Check'!$C$25)&gt;0,"",'Dvd Calendar'!$AI$371)))</f>
        <v/>
      </c>
      <c r="CV33" s="85">
        <f>IF(AH33="","",IF(ISNUMBER('Dvd Calendar'!$AJ$371)=FALSE,"",IF((Summary!$C$13="N")*('Dvd Calendar'!$AJ$375='Field Check'!$C$25)&gt;0,"",'Dvd Calendar'!$AJ$371)))</f>
        <v/>
      </c>
      <c r="CW33" s="85">
        <f>IF(AI33="","",IF(ISNUMBER('Dvd Calendar'!$AK$371)=FALSE,"",IF((Summary!$C$13="N")*('Dvd Calendar'!$AK$375='Field Check'!$C$25)&gt;0,"",'Dvd Calendar'!$AK$371)))</f>
        <v/>
      </c>
      <c r="CX33" s="85">
        <f>IF(AJ33="","",IF(ISNUMBER('Dvd Calendar'!$AL$371)=FALSE,"",IF((Summary!$C$13="N")*('Dvd Calendar'!$AL$375='Field Check'!$C$25)&gt;0,"",'Dvd Calendar'!$AL$371)))</f>
        <v/>
      </c>
      <c r="CY33" s="85">
        <f>IF(AK33="","",IF(ISNUMBER('Dvd Calendar'!$AM$371)=FALSE,"",IF((Summary!$C$13="N")*('Dvd Calendar'!$AM$375='Field Check'!$C$25)&gt;0,"",'Dvd Calendar'!$AM$371)))</f>
        <v/>
      </c>
      <c r="CZ33" s="85">
        <f>IF(AL33="","",IF(ISNUMBER('Dvd Calendar'!$AN$371)=FALSE,"",IF((Summary!$C$13="N")*('Dvd Calendar'!$AN$375='Field Check'!$C$25)&gt;0,"",'Dvd Calendar'!$AN$371)))</f>
        <v/>
      </c>
      <c r="DA33" s="85">
        <f>IF(AM33="","",IF(ISNUMBER('Dvd Calendar'!$AO$371)=FALSE,"",IF((Summary!$C$13="N")*('Dvd Calendar'!$AO$375='Field Check'!$C$25)&gt;0,"",'Dvd Calendar'!$AO$371)))</f>
        <v/>
      </c>
      <c r="DB33" s="85">
        <f>IF(AN33="","",IF(ISNUMBER('Dvd Calendar'!$AP$371)=FALSE,"",IF((Summary!$C$13="N")*('Dvd Calendar'!$AP$375='Field Check'!$C$25)&gt;0,"",'Dvd Calendar'!$AP$371)))</f>
        <v/>
      </c>
      <c r="DC33" s="85">
        <f>IF(AO33="","",IF(ISNUMBER('Dvd Calendar'!$AQ$371)=FALSE,"",IF((Summary!$C$13="N")*('Dvd Calendar'!$AQ$375='Field Check'!$C$25)&gt;0,"",'Dvd Calendar'!$AQ$371)))</f>
        <v/>
      </c>
      <c r="DD33" s="85">
        <f>IF(AP33="","",IF(ISNUMBER('Dvd Calendar'!$AR$371)=FALSE,"",IF((Summary!$C$13="N")*('Dvd Calendar'!$AR$375='Field Check'!$C$25)&gt;0,"",'Dvd Calendar'!$AR$371)))</f>
        <v/>
      </c>
      <c r="DE33" s="85">
        <f>IF(AQ33="","",IF(ISNUMBER('Dvd Calendar'!$E$378)=FALSE,"",IF((Summary!$C$13="N")*('Dvd Calendar'!$E$382='Field Check'!$C$25)&gt;0,"",'Dvd Calendar'!$E$378)))</f>
        <v/>
      </c>
      <c r="DF33" s="85">
        <f>IF(AR33="","",IF(ISNUMBER('Dvd Calendar'!$F$378)=FALSE,"",IF((Summary!$C$13="N")*('Dvd Calendar'!$F$382='Field Check'!$C$25)&gt;0,"",'Dvd Calendar'!$F$378)))</f>
        <v/>
      </c>
      <c r="DG33" s="85">
        <f>IF(AS33="","",IF(ISNUMBER('Dvd Calendar'!$G$378)=FALSE,"",IF((Summary!$C$13="N")*('Dvd Calendar'!$G$382='Field Check'!$C$25)&gt;0,"",'Dvd Calendar'!$G$378)))</f>
        <v/>
      </c>
      <c r="DH33" s="85">
        <f>IF(AT33="","",IF(ISNUMBER('Dvd Calendar'!$H$378)=FALSE,"",IF((Summary!$C$13="N")*('Dvd Calendar'!$H$382='Field Check'!$C$25)&gt;0,"",'Dvd Calendar'!$H$378)))</f>
        <v/>
      </c>
      <c r="DI33" s="85">
        <f>IF(AU33="","",IF(ISNUMBER('Dvd Calendar'!$I$378)=FALSE,"",IF((Summary!$C$13="N")*('Dvd Calendar'!$I$382='Field Check'!$C$25)&gt;0,"",'Dvd Calendar'!$I$378)))</f>
        <v/>
      </c>
      <c r="DJ33" s="85">
        <f>IF(AV33="","",IF(ISNUMBER('Dvd Calendar'!$J$378)=FALSE,"",IF((Summary!$C$13="N")*('Dvd Calendar'!$J$382='Field Check'!$C$25)&gt;0,"",'Dvd Calendar'!$J$378)))</f>
        <v/>
      </c>
      <c r="DK33" s="85">
        <f>IF(AW33="","",IF(ISNUMBER('Dvd Calendar'!$K$378)=FALSE,"",IF((Summary!$C$13="N")*('Dvd Calendar'!$K$382='Field Check'!$C$25)&gt;0,"",'Dvd Calendar'!$K$378)))</f>
        <v/>
      </c>
      <c r="DL33" s="85">
        <f>IF(AX33="","",IF(ISNUMBER('Dvd Calendar'!$L$378)=FALSE,"",IF((Summary!$C$13="N")*('Dvd Calendar'!$L$382='Field Check'!$C$25)&gt;0,"",'Dvd Calendar'!$L$378)))</f>
        <v/>
      </c>
      <c r="DM33" s="85">
        <f>IF(AY33="","",IF(ISNUMBER('Dvd Calendar'!$M$378)=FALSE,"",IF((Summary!$C$13="N")*('Dvd Calendar'!$M$382='Field Check'!$C$25)&gt;0,"",'Dvd Calendar'!$M$378)))</f>
        <v/>
      </c>
      <c r="DN33" s="85">
        <f>IF(AZ33="","",IF(ISNUMBER('Dvd Calendar'!$N$378)=FALSE,"",IF((Summary!$C$13="N")*('Dvd Calendar'!$N$382='Field Check'!$C$25)&gt;0,"",'Dvd Calendar'!$N$378)))</f>
        <v/>
      </c>
      <c r="DO33" s="85">
        <f>IF(BA33="","",IF(ISNUMBER('Dvd Calendar'!$O$378)=FALSE,"",IF((Summary!$C$13="N")*('Dvd Calendar'!$O$382='Field Check'!$C$25)&gt;0,"",'Dvd Calendar'!$O$378)))</f>
        <v/>
      </c>
      <c r="DP33" s="85">
        <f>IF(BB33="","",IF(ISNUMBER('Dvd Calendar'!$P$378)=FALSE,"",IF((Summary!$C$13="N")*('Dvd Calendar'!$P$382='Field Check'!$C$25)&gt;0,"",'Dvd Calendar'!$P$378)))</f>
        <v/>
      </c>
      <c r="DQ33" s="85">
        <f>IF(BC33="","",IF(ISNUMBER('Dvd Calendar'!$Q$378)=FALSE,"",IF((Summary!$C$13="N")*('Dvd Calendar'!$Q$382='Field Check'!$C$25)&gt;0,"",'Dvd Calendar'!$Q$378)))</f>
        <v/>
      </c>
      <c r="DR33" s="85">
        <f>IF(BD33="","",IF(ISNUMBER('Dvd Calendar'!$R$378)=FALSE,"",IF((Summary!$C$13="N")*('Dvd Calendar'!$R$382='Field Check'!$C$25)&gt;0,"",'Dvd Calendar'!$R$378)))</f>
        <v/>
      </c>
      <c r="DS33" s="85">
        <f>IF(BE33="","",IF(ISNUMBER('Dvd Calendar'!$S$378)=FALSE,"",IF((Summary!$C$13="N")*('Dvd Calendar'!$S$382='Field Check'!$C$25)&gt;0,"",'Dvd Calendar'!$S$378)))</f>
        <v/>
      </c>
      <c r="DT33" s="85">
        <f>IF(BF33="","",IF(ISNUMBER('Dvd Calendar'!$T$378)=FALSE,"",IF((Summary!$C$13="N")*('Dvd Calendar'!$T$382='Field Check'!$C$25)&gt;0,"",'Dvd Calendar'!$T$378)))</f>
        <v/>
      </c>
      <c r="DU33" s="85">
        <f>IF(BG33="","",IF(ISNUMBER('Dvd Calendar'!$U$378)=FALSE,"",IF((Summary!$C$13="N")*('Dvd Calendar'!$U$382='Field Check'!$C$25)&gt;0,"",'Dvd Calendar'!$U$378)))</f>
        <v/>
      </c>
      <c r="DV33" s="85">
        <f>IF(BH33="","",IF(ISNUMBER('Dvd Calendar'!$V$378)=FALSE,"",IF((Summary!$C$13="N")*('Dvd Calendar'!$V$382='Field Check'!$C$25)&gt;0,"",'Dvd Calendar'!$V$378)))</f>
        <v/>
      </c>
      <c r="DW33" s="85">
        <f>IF(BI33="","",IF(ISNUMBER('Dvd Calendar'!$W$378)=FALSE,"",IF((Summary!$C$13="N")*('Dvd Calendar'!$W$382='Field Check'!$C$25)&gt;0,"",'Dvd Calendar'!$W$378)))</f>
        <v/>
      </c>
      <c r="DX33" s="85">
        <f>IF(BJ33="","",IF(ISNUMBER('Dvd Calendar'!$X$378)=FALSE,"",IF((Summary!$C$13="N")*('Dvd Calendar'!$X$382='Field Check'!$C$25)&gt;0,"",'Dvd Calendar'!$X$378)))</f>
        <v/>
      </c>
      <c r="DY33" s="85">
        <f>IF(BK33="","",IF(ISNUMBER('Dvd Calendar'!$Y$378)=FALSE,"",IF((Summary!$C$13="N")*('Dvd Calendar'!$Y$382='Field Check'!$C$25)&gt;0,"",'Dvd Calendar'!$Y$378)))</f>
        <v/>
      </c>
      <c r="DZ33" s="85">
        <f>IF(BL33="","",IF(ISNUMBER('Dvd Calendar'!$Z$378)=FALSE,"",IF((Summary!$C$13="N")*('Dvd Calendar'!$Z$382='Field Check'!$C$25)&gt;0,"",'Dvd Calendar'!$Z$378)))</f>
        <v/>
      </c>
      <c r="EA33" s="85">
        <f>IF(BM33="","",IF(ISNUMBER('Dvd Calendar'!$AA$378)=FALSE,"",IF((Summary!$C$13="N")*('Dvd Calendar'!$AA$382='Field Check'!$C$25)&gt;0,"",'Dvd Calendar'!$AA$378)))</f>
        <v/>
      </c>
      <c r="EB33" s="85">
        <f>IF(BN33="","",IF(ISNUMBER('Dvd Calendar'!$AB$378)=FALSE,"",IF((Summary!$C$13="N")*('Dvd Calendar'!$AB$382='Field Check'!$C$25)&gt;0,"",'Dvd Calendar'!$AB$378)))</f>
        <v/>
      </c>
      <c r="EC33" s="85">
        <f>IF(BO33="","",IF(ISNUMBER('Dvd Calendar'!$AC$378)=FALSE,"",IF((Summary!$C$13="N")*('Dvd Calendar'!$AC$382='Field Check'!$C$25)&gt;0,"",'Dvd Calendar'!$AC$378)))</f>
        <v/>
      </c>
      <c r="EE33" s="85">
        <f>IF(BQ33="","",IFERROR(BQ33*HSI!$B$31*HSI!$G$31/HSI!$B$3,""))</f>
        <v/>
      </c>
      <c r="EF33" s="85">
        <f>IF(BR33="","",IFERROR(BR33*HSI!$B$31*HSI!$G$31/HSI!$B$3,""))</f>
        <v/>
      </c>
      <c r="EG33" s="85">
        <f>IF(BS33="","",IFERROR(BS33*HSI!$B$31*HSI!$G$31/HSI!$B$3,""))</f>
        <v/>
      </c>
      <c r="EH33" s="85">
        <f>IF(BT33="","",IFERROR(BT33*HSI!$B$31*HSI!$G$31/HSI!$B$3,""))</f>
        <v/>
      </c>
      <c r="EI33" s="85">
        <f>IF(BU33="","",IFERROR(BU33*HSI!$B$31*HSI!$G$31/HSI!$B$3,""))</f>
        <v/>
      </c>
      <c r="EJ33" s="85">
        <f>IF(BV33="","",IFERROR(BV33*HSI!$B$31*HSI!$G$31/HSI!$B$3,""))</f>
        <v/>
      </c>
      <c r="EK33" s="85">
        <f>IF(BW33="","",IFERROR(BW33*HSI!$B$31*HSI!$G$31/HSI!$B$3,""))</f>
        <v/>
      </c>
      <c r="EL33" s="85">
        <f>IF(BX33="","",IFERROR(BX33*HSI!$B$31*HSI!$G$31/HSI!$B$3,""))</f>
        <v/>
      </c>
      <c r="EM33" s="85">
        <f>IF(BY33="","",IFERROR(BY33*HSI!$B$31*HSI!$G$31/HSI!$B$3,""))</f>
        <v/>
      </c>
      <c r="EN33" s="85">
        <f>IF(BZ33="","",IFERROR(BZ33*HSI!$B$31*HSI!$G$31/HSI!$B$3,""))</f>
        <v/>
      </c>
      <c r="EO33" s="85">
        <f>IF(CA33="","",IFERROR(CA33*HSI!$B$31*HSI!$G$31/HSI!$B$3,""))</f>
        <v/>
      </c>
      <c r="EP33" s="85">
        <f>IF(CB33="","",IFERROR(CB33*HSI!$B$31*HSI!$G$31/HSI!$B$3,""))</f>
        <v/>
      </c>
      <c r="EQ33" s="85">
        <f>IF(CC33="","",IFERROR(CC33*HSI!$B$31*HSI!$G$31/HSI!$B$3,""))</f>
        <v/>
      </c>
      <c r="ER33" s="85">
        <f>IF(CD33="","",IFERROR(CD33*HSI!$B$31*HSI!$G$31/HSI!$B$3,""))</f>
        <v/>
      </c>
      <c r="ES33" s="85">
        <f>IF(CE33="","",IFERROR(CE33*HSI!$B$31*HSI!$G$31/HSI!$B$3,""))</f>
        <v/>
      </c>
      <c r="ET33" s="85">
        <f>IF(CF33="","",IFERROR(CF33*HSI!$B$31*HSI!$G$31/HSI!$B$3,""))</f>
        <v/>
      </c>
      <c r="EU33" s="85">
        <f>IF(CG33="","",IFERROR(CG33*HSI!$B$31*HSI!$G$31/HSI!$B$3,""))</f>
        <v/>
      </c>
      <c r="EV33" s="85">
        <f>IF(CH33="","",IFERROR(CH33*HSI!$B$31*HSI!$G$31/HSI!$B$3,""))</f>
        <v/>
      </c>
      <c r="EW33" s="85">
        <f>IF(CI33="","",IFERROR(CI33*HSI!$B$31*HSI!$G$31/HSI!$B$3,""))</f>
        <v/>
      </c>
      <c r="EX33" s="85">
        <f>IF(CJ33="","",IFERROR(CJ33*HSI!$B$31*HSI!$G$31/HSI!$B$3,""))</f>
        <v/>
      </c>
      <c r="EY33" s="85">
        <f>IF(CK33="","",IFERROR(CK33*HSI!$B$31*HSI!$G$31/HSI!$B$3,""))</f>
        <v/>
      </c>
      <c r="EZ33" s="85">
        <f>IF(CL33="","",IFERROR(CL33*HSI!$B$31*HSI!$G$31/HSI!$B$3,""))</f>
        <v/>
      </c>
      <c r="FA33" s="85">
        <f>IF(CM33="","",IFERROR(CM33*HSI!$B$31*HSI!$G$31/HSI!$B$3,""))</f>
        <v/>
      </c>
      <c r="FB33" s="85">
        <f>IF(CN33="","",IFERROR(CN33*HSI!$B$31*HSI!$G$31/HSI!$B$3,""))</f>
        <v/>
      </c>
      <c r="FC33" s="85">
        <f>IF(CO33="","",IFERROR(CO33*HSI!$B$31*HSI!$G$31/HSI!$B$3,""))</f>
        <v/>
      </c>
      <c r="FD33" s="85">
        <f>IF(CP33="","",IFERROR(CP33*HSI!$B$31*HSI!$G$31/HSI!$B$3,""))</f>
        <v/>
      </c>
      <c r="FE33" s="85">
        <f>IF(CQ33="","",IFERROR(CQ33*HSI!$B$31*HSI!$G$31/HSI!$B$3,""))</f>
        <v/>
      </c>
      <c r="FF33" s="85">
        <f>IF(CR33="","",IFERROR(CR33*HSI!$B$31*HSI!$G$31/HSI!$B$3,""))</f>
        <v/>
      </c>
      <c r="FG33" s="85">
        <f>IF(CS33="","",IFERROR(CS33*HSI!$B$31*HSI!$G$31/HSI!$B$3,""))</f>
        <v/>
      </c>
      <c r="FH33" s="85">
        <f>IF(CT33="","",IFERROR(CT33*HSI!$B$31*HSI!$G$31/HSI!$B$3,""))</f>
        <v/>
      </c>
      <c r="FI33" s="85">
        <f>IF(CU33="","",IFERROR(CU33*HSI!$B$31*HSI!$G$31/HSI!$B$3,""))</f>
        <v/>
      </c>
      <c r="FJ33" s="85">
        <f>IF(CV33="","",IFERROR(CV33*HSI!$B$31*HSI!$G$31/HSI!$B$3,""))</f>
        <v/>
      </c>
      <c r="FK33" s="85">
        <f>IF(CW33="","",IFERROR(CW33*HSI!$B$31*HSI!$G$31/HSI!$B$3,""))</f>
        <v/>
      </c>
      <c r="FL33" s="85">
        <f>IF(CX33="","",IFERROR(CX33*HSI!$B$31*HSI!$G$31/HSI!$B$3,""))</f>
        <v/>
      </c>
      <c r="FM33" s="85">
        <f>IF(CY33="","",IFERROR(CY33*HSI!$B$31*HSI!$G$31/HSI!$B$3,""))</f>
        <v/>
      </c>
      <c r="FN33" s="85">
        <f>IF(CZ33="","",IFERROR(CZ33*HSI!$B$31*HSI!$G$31/HSI!$B$3,""))</f>
        <v/>
      </c>
      <c r="FO33" s="85">
        <f>IF(DA33="","",IFERROR(DA33*HSI!$B$31*HSI!$G$31/HSI!$B$3,""))</f>
        <v/>
      </c>
      <c r="FP33" s="85">
        <f>IF(DB33="","",IFERROR(DB33*HSI!$B$31*HSI!$G$31/HSI!$B$3,""))</f>
        <v/>
      </c>
      <c r="FQ33" s="85">
        <f>IF(DC33="","",IFERROR(DC33*HSI!$B$31*HSI!$G$31/HSI!$B$3,""))</f>
        <v/>
      </c>
      <c r="FR33" s="85">
        <f>IF(DD33="","",IFERROR(DD33*HSI!$B$31*HSI!$G$31/HSI!$B$3,""))</f>
        <v/>
      </c>
      <c r="FS33" s="85">
        <f>IF(DE33="","",IFERROR(DE33*HSI!$B$31*HSI!$G$31/HSI!$B$3,""))</f>
        <v/>
      </c>
      <c r="FT33" s="85">
        <f>IF(DF33="","",IFERROR(DF33*HSI!$B$31*HSI!$G$31/HSI!$B$3,""))</f>
        <v/>
      </c>
      <c r="FU33" s="85">
        <f>IF(DG33="","",IFERROR(DG33*HSI!$B$31*HSI!$G$31/HSI!$B$3,""))</f>
        <v/>
      </c>
      <c r="FV33" s="85">
        <f>IF(DH33="","",IFERROR(DH33*HSI!$B$31*HSI!$G$31/HSI!$B$3,""))</f>
        <v/>
      </c>
      <c r="FW33" s="85">
        <f>IF(DI33="","",IFERROR(DI33*HSI!$B$31*HSI!$G$31/HSI!$B$3,""))</f>
        <v/>
      </c>
      <c r="FX33" s="85">
        <f>IF(DJ33="","",IFERROR(DJ33*HSI!$B$31*HSI!$G$31/HSI!$B$3,""))</f>
        <v/>
      </c>
      <c r="FY33" s="85">
        <f>IF(DK33="","",IFERROR(DK33*HSI!$B$31*HSI!$G$31/HSI!$B$3,""))</f>
        <v/>
      </c>
      <c r="FZ33" s="85">
        <f>IF(DL33="","",IFERROR(DL33*HSI!$B$31*HSI!$G$31/HSI!$B$3,""))</f>
        <v/>
      </c>
      <c r="GA33" s="85">
        <f>IF(DM33="","",IFERROR(DM33*HSI!$B$31*HSI!$G$31/HSI!$B$3,""))</f>
        <v/>
      </c>
      <c r="GB33" s="85">
        <f>IF(DN33="","",IFERROR(DN33*HSI!$B$31*HSI!$G$31/HSI!$B$3,""))</f>
        <v/>
      </c>
      <c r="GC33" s="85">
        <f>IF(DO33="","",IFERROR(DO33*HSI!$B$31*HSI!$G$31/HSI!$B$3,""))</f>
        <v/>
      </c>
      <c r="GD33" s="85">
        <f>IF(DP33="","",IFERROR(DP33*HSI!$B$31*HSI!$G$31/HSI!$B$3,""))</f>
        <v/>
      </c>
      <c r="GE33" s="85">
        <f>IF(DQ33="","",IFERROR(DQ33*HSI!$B$31*HSI!$G$31/HSI!$B$3,""))</f>
        <v/>
      </c>
      <c r="GF33" s="85">
        <f>IF(DR33="","",IFERROR(DR33*HSI!$B$31*HSI!$G$31/HSI!$B$3,""))</f>
        <v/>
      </c>
      <c r="GG33" s="85">
        <f>IF(DS33="","",IFERROR(DS33*HSI!$B$31*HSI!$G$31/HSI!$B$3,""))</f>
        <v/>
      </c>
      <c r="GH33" s="85">
        <f>IF(DT33="","",IFERROR(DT33*HSI!$B$31*HSI!$G$31/HSI!$B$3,""))</f>
        <v/>
      </c>
      <c r="GI33" s="85">
        <f>IF(DU33="","",IFERROR(DU33*HSI!$B$31*HSI!$G$31/HSI!$B$3,""))</f>
        <v/>
      </c>
      <c r="GJ33" s="85">
        <f>IF(DV33="","",IFERROR(DV33*HSI!$B$31*HSI!$G$31/HSI!$B$3,""))</f>
        <v/>
      </c>
      <c r="GK33" s="85">
        <f>IF(DW33="","",IFERROR(DW33*HSI!$B$31*HSI!$G$31/HSI!$B$3,""))</f>
        <v/>
      </c>
      <c r="GL33" s="85">
        <f>IF(DX33="","",IFERROR(DX33*HSI!$B$31*HSI!$G$31/HSI!$B$3,""))</f>
        <v/>
      </c>
      <c r="GM33" s="85">
        <f>IF(DY33="","",IFERROR(DY33*HSI!$B$31*HSI!$G$31/HSI!$B$3,""))</f>
        <v/>
      </c>
      <c r="GN33" s="85">
        <f>IF(DZ33="","",IFERROR(DZ33*HSI!$B$31*HSI!$G$31/HSI!$B$3,""))</f>
        <v/>
      </c>
      <c r="GO33" s="85">
        <f>IF(EA33="","",IFERROR(EA33*HSI!$B$31*HSI!$G$31/HSI!$B$3,""))</f>
        <v/>
      </c>
      <c r="GP33" s="85">
        <f>IF(EB33="","",IFERROR(EB33*HSI!$B$31*HSI!$G$31/HSI!$B$3,""))</f>
        <v/>
      </c>
      <c r="GQ33" s="85">
        <f>IF(EC33="","",IFERROR(EC33*HSI!$B$31*HSI!$G$31/HSI!$B$3,""))</f>
        <v/>
      </c>
    </row>
    <row r="34">
      <c r="B34" s="2">
        <f>IF(HSI!$C$32="","",HSI!$C$32)</f>
        <v/>
      </c>
      <c r="C34" s="41">
        <f>IF(N('Dvd Calendar'!$E$385)=0,"",IF(('Dvd Calendar'!$E$385&gt;=MIN(DATE(Summary!$C$12,1,1),Summary!$C$11))*('Dvd Calendar'!$E$385&lt;=MAX(DATE(Summary!$C$12,12,31),Summary!$C$15))*('Dvd Calendar'!$E$385&lt;=Summary!$C$11)=0,"",'Dvd Calendar'!$E$385*1000000000+ISNUMBER('Dvd Calendar'!$E$386)*100000000+('Dvd Calendar'!$E$390='Field Check'!$C$25)*10000000+(N('Dvd Calendar'!$E$384)&gt;0)*1000000+26*1000+1))</f>
        <v/>
      </c>
      <c r="D34" s="41">
        <f>IF(N('Dvd Calendar'!$F$385)=0,"",IF(('Dvd Calendar'!$F$385&gt;=MIN(DATE(Summary!$C$12,1,1),Summary!$C$11))*('Dvd Calendar'!$F$385&lt;=MAX(DATE(Summary!$C$12,12,31),Summary!$C$15))*('Dvd Calendar'!$F$385&lt;=Summary!$C$11)=0,"",'Dvd Calendar'!$F$385*1000000000+ISNUMBER('Dvd Calendar'!$F$386)*100000000+('Dvd Calendar'!$F$390='Field Check'!$C$25)*10000000+(N('Dvd Calendar'!$F$384)&gt;0)*1000000+26*1000+2))</f>
        <v/>
      </c>
      <c r="E34" s="41">
        <f>IF(N('Dvd Calendar'!$G$385)=0,"",IF(('Dvd Calendar'!$G$385&gt;=MIN(DATE(Summary!$C$12,1,1),Summary!$C$11))*('Dvd Calendar'!$G$385&lt;=MAX(DATE(Summary!$C$12,12,31),Summary!$C$15))*('Dvd Calendar'!$G$385&lt;=Summary!$C$11)=0,"",'Dvd Calendar'!$G$385*1000000000+ISNUMBER('Dvd Calendar'!$G$386)*100000000+('Dvd Calendar'!$G$390='Field Check'!$C$25)*10000000+(N('Dvd Calendar'!$G$384)&gt;0)*1000000+26*1000+3))</f>
        <v/>
      </c>
      <c r="F34" s="41">
        <f>IF(N('Dvd Calendar'!$H$385)=0,"",IF(('Dvd Calendar'!$H$385&gt;=MIN(DATE(Summary!$C$12,1,1),Summary!$C$11))*('Dvd Calendar'!$H$385&lt;=MAX(DATE(Summary!$C$12,12,31),Summary!$C$15))*('Dvd Calendar'!$H$385&lt;=Summary!$C$11)=0,"",'Dvd Calendar'!$H$385*1000000000+ISNUMBER('Dvd Calendar'!$H$386)*100000000+('Dvd Calendar'!$H$390='Field Check'!$C$25)*10000000+(N('Dvd Calendar'!$H$384)&gt;0)*1000000+26*1000+4))</f>
        <v/>
      </c>
      <c r="G34" s="41">
        <f>IF(N('Dvd Calendar'!$I$385)=0,"",IF(('Dvd Calendar'!$I$385&gt;=MIN(DATE(Summary!$C$12,1,1),Summary!$C$11))*('Dvd Calendar'!$I$385&lt;=MAX(DATE(Summary!$C$12,12,31),Summary!$C$15))*('Dvd Calendar'!$I$385&lt;=Summary!$C$11)=0,"",'Dvd Calendar'!$I$385*1000000000+ISNUMBER('Dvd Calendar'!$I$386)*100000000+('Dvd Calendar'!$I$390='Field Check'!$C$25)*10000000+(N('Dvd Calendar'!$I$384)&gt;0)*1000000+26*1000+5))</f>
        <v/>
      </c>
      <c r="H34" s="41">
        <f>IF(N('Dvd Calendar'!$J$385)=0,"",IF(('Dvd Calendar'!$J$385&gt;=MIN(DATE(Summary!$C$12,1,1),Summary!$C$11))*('Dvd Calendar'!$J$385&lt;=MAX(DATE(Summary!$C$12,12,31),Summary!$C$15))*('Dvd Calendar'!$J$385&lt;=Summary!$C$11)=0,"",'Dvd Calendar'!$J$385*1000000000+ISNUMBER('Dvd Calendar'!$J$386)*100000000+('Dvd Calendar'!$J$390='Field Check'!$C$25)*10000000+(N('Dvd Calendar'!$J$384)&gt;0)*1000000+26*1000+6))</f>
        <v/>
      </c>
      <c r="I34" s="41">
        <f>IF(N('Dvd Calendar'!$K$385)=0,"",IF(('Dvd Calendar'!$K$385&gt;=MIN(DATE(Summary!$C$12,1,1),Summary!$C$11))*('Dvd Calendar'!$K$385&lt;=MAX(DATE(Summary!$C$12,12,31),Summary!$C$15))*('Dvd Calendar'!$K$385&lt;=Summary!$C$11)=0,"",'Dvd Calendar'!$K$385*1000000000+ISNUMBER('Dvd Calendar'!$K$386)*100000000+('Dvd Calendar'!$K$390='Field Check'!$C$25)*10000000+(N('Dvd Calendar'!$K$384)&gt;0)*1000000+26*1000+7))</f>
        <v/>
      </c>
      <c r="J34" s="41">
        <f>IF(N('Dvd Calendar'!$L$385)=0,"",IF(('Dvd Calendar'!$L$385&gt;=MIN(DATE(Summary!$C$12,1,1),Summary!$C$11))*('Dvd Calendar'!$L$385&lt;=MAX(DATE(Summary!$C$12,12,31),Summary!$C$15))*('Dvd Calendar'!$L$385&lt;=Summary!$C$11)=0,"",'Dvd Calendar'!$L$385*1000000000+ISNUMBER('Dvd Calendar'!$L$386)*100000000+('Dvd Calendar'!$L$390='Field Check'!$C$25)*10000000+(N('Dvd Calendar'!$L$384)&gt;0)*1000000+26*1000+8))</f>
        <v/>
      </c>
      <c r="K34" s="41">
        <f>IF(N('Dvd Calendar'!$M$385)=0,"",IF(('Dvd Calendar'!$M$385&gt;=MIN(DATE(Summary!$C$12,1,1),Summary!$C$11))*('Dvd Calendar'!$M$385&lt;=MAX(DATE(Summary!$C$12,12,31),Summary!$C$15))*('Dvd Calendar'!$M$385&lt;=Summary!$C$11)=0,"",'Dvd Calendar'!$M$385*1000000000+ISNUMBER('Dvd Calendar'!$M$386)*100000000+('Dvd Calendar'!$M$390='Field Check'!$C$25)*10000000+(N('Dvd Calendar'!$M$384)&gt;0)*1000000+26*1000+9))</f>
        <v/>
      </c>
      <c r="L34" s="41">
        <f>IF(N('Dvd Calendar'!$N$385)=0,"",IF(('Dvd Calendar'!$N$385&gt;=MIN(DATE(Summary!$C$12,1,1),Summary!$C$11))*('Dvd Calendar'!$N$385&lt;=MAX(DATE(Summary!$C$12,12,31),Summary!$C$15))*('Dvd Calendar'!$N$385&lt;=Summary!$C$11)=0,"",'Dvd Calendar'!$N$385*1000000000+ISNUMBER('Dvd Calendar'!$N$386)*100000000+('Dvd Calendar'!$N$390='Field Check'!$C$25)*10000000+(N('Dvd Calendar'!$N$384)&gt;0)*1000000+26*1000+10))</f>
        <v/>
      </c>
      <c r="M34" s="41">
        <f>IF(N('Dvd Calendar'!$O$385)=0,"",IF(('Dvd Calendar'!$O$385&gt;=MIN(DATE(Summary!$C$12,1,1),Summary!$C$11))*('Dvd Calendar'!$O$385&lt;=MAX(DATE(Summary!$C$12,12,31),Summary!$C$15))*('Dvd Calendar'!$O$385&lt;=Summary!$C$11)=0,"",'Dvd Calendar'!$O$385*1000000000+ISNUMBER('Dvd Calendar'!$O$386)*100000000+('Dvd Calendar'!$O$390='Field Check'!$C$25)*10000000+(N('Dvd Calendar'!$O$384)&gt;0)*1000000+26*1000+11))</f>
        <v/>
      </c>
      <c r="N34" s="41">
        <f>IF(N('Dvd Calendar'!$P$385)=0,"",IF(('Dvd Calendar'!$P$385&gt;=MIN(DATE(Summary!$C$12,1,1),Summary!$C$11))*('Dvd Calendar'!$P$385&lt;=MAX(DATE(Summary!$C$12,12,31),Summary!$C$15))*('Dvd Calendar'!$P$385&lt;=Summary!$C$11)=0,"",'Dvd Calendar'!$P$385*1000000000+ISNUMBER('Dvd Calendar'!$P$386)*100000000+('Dvd Calendar'!$P$390='Field Check'!$C$25)*10000000+(N('Dvd Calendar'!$P$384)&gt;0)*1000000+26*1000+12))</f>
        <v/>
      </c>
      <c r="O34" s="41">
        <f>IF(N('Dvd Calendar'!$Q$385)=0,"",IF(('Dvd Calendar'!$Q$385&gt;=MIN(DATE(Summary!$C$12,1,1),Summary!$C$11))*('Dvd Calendar'!$Q$385&lt;=MAX(DATE(Summary!$C$12,12,31),Summary!$C$15))*('Dvd Calendar'!$Q$385&lt;=Summary!$C$11)=0,"",'Dvd Calendar'!$Q$385*1000000000+ISNUMBER('Dvd Calendar'!$Q$386)*100000000+('Dvd Calendar'!$Q$390='Field Check'!$C$25)*10000000+(N('Dvd Calendar'!$Q$384)&gt;0)*1000000+26*1000+13))</f>
        <v/>
      </c>
      <c r="P34" s="41">
        <f>IF(N('Dvd Calendar'!$R$385)=0,"",IF(('Dvd Calendar'!$R$385&gt;=MIN(DATE(Summary!$C$12,1,1),Summary!$C$11))*('Dvd Calendar'!$R$385&lt;=MAX(DATE(Summary!$C$12,12,31),Summary!$C$15))*('Dvd Calendar'!$R$385&lt;=Summary!$C$11)=0,"",'Dvd Calendar'!$R$385*1000000000+ISNUMBER('Dvd Calendar'!$R$386)*100000000+('Dvd Calendar'!$R$390='Field Check'!$C$25)*10000000+(N('Dvd Calendar'!$R$384)&gt;0)*1000000+26*1000+14))</f>
        <v/>
      </c>
      <c r="Q34" s="41">
        <f>IF(N('Dvd Calendar'!$S$385)=0,"",IF(('Dvd Calendar'!$S$385&gt;=MIN(DATE(Summary!$C$12,1,1),Summary!$C$11))*('Dvd Calendar'!$S$385&lt;=MAX(DATE(Summary!$C$12,12,31),Summary!$C$15))*('Dvd Calendar'!$S$385&lt;=Summary!$C$11)=0,"",'Dvd Calendar'!$S$385*1000000000+ISNUMBER('Dvd Calendar'!$S$386)*100000000+('Dvd Calendar'!$S$390='Field Check'!$C$25)*10000000+(N('Dvd Calendar'!$S$384)&gt;0)*1000000+26*1000+15))</f>
        <v/>
      </c>
      <c r="R34" s="41">
        <f>IF(N('Dvd Calendar'!$T$385)=0,"",IF(('Dvd Calendar'!$T$385&gt;=MIN(DATE(Summary!$C$12,1,1),Summary!$C$11))*('Dvd Calendar'!$T$385&lt;=MAX(DATE(Summary!$C$12,12,31),Summary!$C$15))*('Dvd Calendar'!$T$385&lt;=Summary!$C$11)=0,"",'Dvd Calendar'!$T$385*1000000000+ISNUMBER('Dvd Calendar'!$T$386)*100000000+('Dvd Calendar'!$T$390='Field Check'!$C$25)*10000000+(N('Dvd Calendar'!$T$384)&gt;0)*1000000+26*1000+16))</f>
        <v/>
      </c>
      <c r="S34" s="41">
        <f>IF(N('Dvd Calendar'!$U$385)=0,"",IF(('Dvd Calendar'!$U$385&gt;=MIN(DATE(Summary!$C$12,1,1),Summary!$C$11))*('Dvd Calendar'!$U$385&lt;=MAX(DATE(Summary!$C$12,12,31),Summary!$C$15))*('Dvd Calendar'!$U$385&lt;=Summary!$C$11)=0,"",'Dvd Calendar'!$U$385*1000000000+ISNUMBER('Dvd Calendar'!$U$386)*100000000+('Dvd Calendar'!$U$390='Field Check'!$C$25)*10000000+(N('Dvd Calendar'!$U$384)&gt;0)*1000000+26*1000+17))</f>
        <v/>
      </c>
      <c r="T34" s="41">
        <f>IF(N('Dvd Calendar'!$V$385)=0,"",IF(('Dvd Calendar'!$V$385&gt;=MIN(DATE(Summary!$C$12,1,1),Summary!$C$11))*('Dvd Calendar'!$V$385&lt;=MAX(DATE(Summary!$C$12,12,31),Summary!$C$15))*('Dvd Calendar'!$V$385&lt;=Summary!$C$11)=0,"",'Dvd Calendar'!$V$385*1000000000+ISNUMBER('Dvd Calendar'!$V$386)*100000000+('Dvd Calendar'!$V$390='Field Check'!$C$25)*10000000+(N('Dvd Calendar'!$V$384)&gt;0)*1000000+26*1000+18))</f>
        <v/>
      </c>
      <c r="U34" s="41">
        <f>IF(N('Dvd Calendar'!$W$385)=0,"",IF(('Dvd Calendar'!$W$385&gt;=MIN(DATE(Summary!$C$12,1,1),Summary!$C$11))*('Dvd Calendar'!$W$385&lt;=MAX(DATE(Summary!$C$12,12,31),Summary!$C$15))*('Dvd Calendar'!$W$385&lt;=Summary!$C$11)=0,"",'Dvd Calendar'!$W$385*1000000000+ISNUMBER('Dvd Calendar'!$W$386)*100000000+('Dvd Calendar'!$W$390='Field Check'!$C$25)*10000000+(N('Dvd Calendar'!$W$384)&gt;0)*1000000+26*1000+19))</f>
        <v/>
      </c>
      <c r="V34" s="41">
        <f>IF(N('Dvd Calendar'!$X$385)=0,"",IF(('Dvd Calendar'!$X$385&gt;=MIN(DATE(Summary!$C$12,1,1),Summary!$C$11))*('Dvd Calendar'!$X$385&lt;=MAX(DATE(Summary!$C$12,12,31),Summary!$C$15))*('Dvd Calendar'!$X$385&lt;=Summary!$C$11)=0,"",'Dvd Calendar'!$X$385*1000000000+ISNUMBER('Dvd Calendar'!$X$386)*100000000+('Dvd Calendar'!$X$390='Field Check'!$C$25)*10000000+(N('Dvd Calendar'!$X$384)&gt;0)*1000000+26*1000+20))</f>
        <v/>
      </c>
      <c r="W34" s="41">
        <f>IF(N('Dvd Calendar'!$Y$385)=0,"",IF(('Dvd Calendar'!$Y$385&gt;=MIN(DATE(Summary!$C$12,1,1),Summary!$C$11))*('Dvd Calendar'!$Y$385&lt;=MAX(DATE(Summary!$C$12,12,31),Summary!$C$15))*('Dvd Calendar'!$Y$385&lt;=Summary!$C$11)=0,"",'Dvd Calendar'!$Y$385*1000000000+ISNUMBER('Dvd Calendar'!$Y$386)*100000000+('Dvd Calendar'!$Y$390='Field Check'!$C$25)*10000000+(N('Dvd Calendar'!$Y$384)&gt;0)*1000000+26*1000+21))</f>
        <v/>
      </c>
      <c r="X34" s="41">
        <f>IF(N('Dvd Calendar'!$Z$385)=0,"",IF(('Dvd Calendar'!$Z$385&gt;=MIN(DATE(Summary!$C$12,1,1),Summary!$C$11))*('Dvd Calendar'!$Z$385&lt;=MAX(DATE(Summary!$C$12,12,31),Summary!$C$15))*('Dvd Calendar'!$Z$385&lt;=Summary!$C$11)=0,"",'Dvd Calendar'!$Z$385*1000000000+ISNUMBER('Dvd Calendar'!$Z$386)*100000000+('Dvd Calendar'!$Z$390='Field Check'!$C$25)*10000000+(N('Dvd Calendar'!$Z$384)&gt;0)*1000000+26*1000+22))</f>
        <v/>
      </c>
      <c r="Y34" s="41">
        <f>IF(N('Dvd Calendar'!$AA$385)=0,"",IF(('Dvd Calendar'!$AA$385&gt;=MIN(DATE(Summary!$C$12,1,1),Summary!$C$11))*('Dvd Calendar'!$AA$385&lt;=MAX(DATE(Summary!$C$12,12,31),Summary!$C$15))*('Dvd Calendar'!$AA$385&lt;=Summary!$C$11)=0,"",'Dvd Calendar'!$AA$385*1000000000+ISNUMBER('Dvd Calendar'!$AA$386)*100000000+('Dvd Calendar'!$AA$390='Field Check'!$C$25)*10000000+(N('Dvd Calendar'!$AA$384)&gt;0)*1000000+26*1000+23))</f>
        <v/>
      </c>
      <c r="Z34" s="41">
        <f>IF(N('Dvd Calendar'!$AB$385)=0,"",IF(('Dvd Calendar'!$AB$385&gt;=MIN(DATE(Summary!$C$12,1,1),Summary!$C$11))*('Dvd Calendar'!$AB$385&lt;=MAX(DATE(Summary!$C$12,12,31),Summary!$C$15))*('Dvd Calendar'!$AB$385&lt;=Summary!$C$11)=0,"",'Dvd Calendar'!$AB$385*1000000000+ISNUMBER('Dvd Calendar'!$AB$386)*100000000+('Dvd Calendar'!$AB$390='Field Check'!$C$25)*10000000+(N('Dvd Calendar'!$AB$384)&gt;0)*1000000+26*1000+24))</f>
        <v/>
      </c>
      <c r="AA34" s="41">
        <f>IF(N('Dvd Calendar'!$AC$385)=0,"",IF(('Dvd Calendar'!$AC$385&gt;=MIN(DATE(Summary!$C$12,1,1),Summary!$C$11))*('Dvd Calendar'!$AC$385&lt;=MAX(DATE(Summary!$C$12,12,31),Summary!$C$15))*('Dvd Calendar'!$AC$385&lt;=Summary!$C$11)=0,"",'Dvd Calendar'!$AC$385*1000000000+ISNUMBER('Dvd Calendar'!$AC$386)*100000000+('Dvd Calendar'!$AC$390='Field Check'!$C$25)*10000000+(N('Dvd Calendar'!$AC$384)&gt;0)*1000000+26*1000+25))</f>
        <v/>
      </c>
      <c r="AB34" s="41">
        <f>IF(N('Dvd Calendar'!$AD$385)=0,"",IF(('Dvd Calendar'!$AD$385&gt;=MIN(DATE(Summary!$C$12,1,1),Summary!$C$11))*('Dvd Calendar'!$AD$385&lt;=MAX(DATE(Summary!$C$12,12,31),Summary!$C$15))*('Dvd Calendar'!$AD$385&lt;=Summary!$C$11)=0,"",'Dvd Calendar'!$AD$385*1000000000+ISNUMBER('Dvd Calendar'!$AD$386)*100000000+('Dvd Calendar'!$AD$390='Field Check'!$C$25)*10000000+(N('Dvd Calendar'!$AD$384)&gt;0)*1000000+26*1000+26))</f>
        <v/>
      </c>
      <c r="AC34" s="41">
        <f>IF(N('Dvd Calendar'!$AE$385)=0,"",IF(('Dvd Calendar'!$AE$385&gt;=MIN(DATE(Summary!$C$12,1,1),Summary!$C$11))*('Dvd Calendar'!$AE$385&lt;=MAX(DATE(Summary!$C$12,12,31),Summary!$C$15))*('Dvd Calendar'!$AE$385&lt;=Summary!$C$11)=0,"",'Dvd Calendar'!$AE$385*1000000000+ISNUMBER('Dvd Calendar'!$AE$386)*100000000+('Dvd Calendar'!$AE$390='Field Check'!$C$25)*10000000+(N('Dvd Calendar'!$AE$384)&gt;0)*1000000+26*1000+27))</f>
        <v/>
      </c>
      <c r="AD34" s="41">
        <f>IF(N('Dvd Calendar'!$AF$385)=0,"",IF(('Dvd Calendar'!$AF$385&gt;=MIN(DATE(Summary!$C$12,1,1),Summary!$C$11))*('Dvd Calendar'!$AF$385&lt;=MAX(DATE(Summary!$C$12,12,31),Summary!$C$15))*('Dvd Calendar'!$AF$385&lt;=Summary!$C$11)=0,"",'Dvd Calendar'!$AF$385*1000000000+ISNUMBER('Dvd Calendar'!$AF$386)*100000000+('Dvd Calendar'!$AF$390='Field Check'!$C$25)*10000000+(N('Dvd Calendar'!$AF$384)&gt;0)*1000000+26*1000+28))</f>
        <v/>
      </c>
      <c r="AE34" s="41">
        <f>IF(N('Dvd Calendar'!$AG$385)=0,"",IF(('Dvd Calendar'!$AG$385&gt;=MIN(DATE(Summary!$C$12,1,1),Summary!$C$11))*('Dvd Calendar'!$AG$385&lt;=MAX(DATE(Summary!$C$12,12,31),Summary!$C$15))*('Dvd Calendar'!$AG$385&lt;=Summary!$C$11)=0,"",'Dvd Calendar'!$AG$385*1000000000+ISNUMBER('Dvd Calendar'!$AG$386)*100000000+('Dvd Calendar'!$AG$390='Field Check'!$C$25)*10000000+(N('Dvd Calendar'!$AG$384)&gt;0)*1000000+26*1000+29))</f>
        <v/>
      </c>
      <c r="AF34" s="41">
        <f>IF(N('Dvd Calendar'!$AH$385)=0,"",IF(('Dvd Calendar'!$AH$385&gt;=MIN(DATE(Summary!$C$12,1,1),Summary!$C$11))*('Dvd Calendar'!$AH$385&lt;=MAX(DATE(Summary!$C$12,12,31),Summary!$C$15))*('Dvd Calendar'!$AH$385&lt;=Summary!$C$11)=0,"",'Dvd Calendar'!$AH$385*1000000000+ISNUMBER('Dvd Calendar'!$AH$386)*100000000+('Dvd Calendar'!$AH$390='Field Check'!$C$25)*10000000+(N('Dvd Calendar'!$AH$384)&gt;0)*1000000+26*1000+30))</f>
        <v/>
      </c>
      <c r="AG34" s="41">
        <f>IF(N('Dvd Calendar'!$AI$385)=0,"",IF(('Dvd Calendar'!$AI$385&gt;=MIN(DATE(Summary!$C$12,1,1),Summary!$C$11))*('Dvd Calendar'!$AI$385&lt;=MAX(DATE(Summary!$C$12,12,31),Summary!$C$15))*('Dvd Calendar'!$AI$385&lt;=Summary!$C$11)=0,"",'Dvd Calendar'!$AI$385*1000000000+ISNUMBER('Dvd Calendar'!$AI$386)*100000000+('Dvd Calendar'!$AI$390='Field Check'!$C$25)*10000000+(N('Dvd Calendar'!$AI$384)&gt;0)*1000000+26*1000+31))</f>
        <v/>
      </c>
      <c r="AH34" s="41">
        <f>IF(N('Dvd Calendar'!$AJ$385)=0,"",IF(('Dvd Calendar'!$AJ$385&gt;=MIN(DATE(Summary!$C$12,1,1),Summary!$C$11))*('Dvd Calendar'!$AJ$385&lt;=MAX(DATE(Summary!$C$12,12,31),Summary!$C$15))*('Dvd Calendar'!$AJ$385&lt;=Summary!$C$11)=0,"",'Dvd Calendar'!$AJ$385*1000000000+ISNUMBER('Dvd Calendar'!$AJ$386)*100000000+('Dvd Calendar'!$AJ$390='Field Check'!$C$25)*10000000+(N('Dvd Calendar'!$AJ$384)&gt;0)*1000000+26*1000+32))</f>
        <v/>
      </c>
      <c r="AI34" s="41">
        <f>IF(N('Dvd Calendar'!$AK$385)=0,"",IF(('Dvd Calendar'!$AK$385&gt;=MIN(DATE(Summary!$C$12,1,1),Summary!$C$11))*('Dvd Calendar'!$AK$385&lt;=MAX(DATE(Summary!$C$12,12,31),Summary!$C$15))*('Dvd Calendar'!$AK$385&lt;=Summary!$C$11)=0,"",'Dvd Calendar'!$AK$385*1000000000+ISNUMBER('Dvd Calendar'!$AK$386)*100000000+('Dvd Calendar'!$AK$390='Field Check'!$C$25)*10000000+(N('Dvd Calendar'!$AK$384)&gt;0)*1000000+26*1000+33))</f>
        <v/>
      </c>
      <c r="AJ34" s="41">
        <f>IF(N('Dvd Calendar'!$AL$385)=0,"",IF(('Dvd Calendar'!$AL$385&gt;=MIN(DATE(Summary!$C$12,1,1),Summary!$C$11))*('Dvd Calendar'!$AL$385&lt;=MAX(DATE(Summary!$C$12,12,31),Summary!$C$15))*('Dvd Calendar'!$AL$385&lt;=Summary!$C$11)=0,"",'Dvd Calendar'!$AL$385*1000000000+ISNUMBER('Dvd Calendar'!$AL$386)*100000000+('Dvd Calendar'!$AL$390='Field Check'!$C$25)*10000000+(N('Dvd Calendar'!$AL$384)&gt;0)*1000000+26*1000+34))</f>
        <v/>
      </c>
      <c r="AK34" s="41">
        <f>IF(N('Dvd Calendar'!$AM$385)=0,"",IF(('Dvd Calendar'!$AM$385&gt;=MIN(DATE(Summary!$C$12,1,1),Summary!$C$11))*('Dvd Calendar'!$AM$385&lt;=MAX(DATE(Summary!$C$12,12,31),Summary!$C$15))*('Dvd Calendar'!$AM$385&lt;=Summary!$C$11)=0,"",'Dvd Calendar'!$AM$385*1000000000+ISNUMBER('Dvd Calendar'!$AM$386)*100000000+('Dvd Calendar'!$AM$390='Field Check'!$C$25)*10000000+(N('Dvd Calendar'!$AM$384)&gt;0)*1000000+26*1000+35))</f>
        <v/>
      </c>
      <c r="AL34" s="41">
        <f>IF(N('Dvd Calendar'!$AN$385)=0,"",IF(('Dvd Calendar'!$AN$385&gt;=MIN(DATE(Summary!$C$12,1,1),Summary!$C$11))*('Dvd Calendar'!$AN$385&lt;=MAX(DATE(Summary!$C$12,12,31),Summary!$C$15))*('Dvd Calendar'!$AN$385&lt;=Summary!$C$11)=0,"",'Dvd Calendar'!$AN$385*1000000000+ISNUMBER('Dvd Calendar'!$AN$386)*100000000+('Dvd Calendar'!$AN$390='Field Check'!$C$25)*10000000+(N('Dvd Calendar'!$AN$384)&gt;0)*1000000+26*1000+36))</f>
        <v/>
      </c>
      <c r="AM34" s="41">
        <f>IF(N('Dvd Calendar'!$AO$385)=0,"",IF(('Dvd Calendar'!$AO$385&gt;=MIN(DATE(Summary!$C$12,1,1),Summary!$C$11))*('Dvd Calendar'!$AO$385&lt;=MAX(DATE(Summary!$C$12,12,31),Summary!$C$15))*('Dvd Calendar'!$AO$385&lt;=Summary!$C$11)=0,"",'Dvd Calendar'!$AO$385*1000000000+ISNUMBER('Dvd Calendar'!$AO$386)*100000000+('Dvd Calendar'!$AO$390='Field Check'!$C$25)*10000000+(N('Dvd Calendar'!$AO$384)&gt;0)*1000000+26*1000+37))</f>
        <v/>
      </c>
      <c r="AN34" s="41">
        <f>IF(N('Dvd Calendar'!$AP$385)=0,"",IF(('Dvd Calendar'!$AP$385&gt;=MIN(DATE(Summary!$C$12,1,1),Summary!$C$11))*('Dvd Calendar'!$AP$385&lt;=MAX(DATE(Summary!$C$12,12,31),Summary!$C$15))*('Dvd Calendar'!$AP$385&lt;=Summary!$C$11)=0,"",'Dvd Calendar'!$AP$385*1000000000+ISNUMBER('Dvd Calendar'!$AP$386)*100000000+('Dvd Calendar'!$AP$390='Field Check'!$C$25)*10000000+(N('Dvd Calendar'!$AP$384)&gt;0)*1000000+26*1000+38))</f>
        <v/>
      </c>
      <c r="AO34" s="41">
        <f>IF(N('Dvd Calendar'!$AQ$385)=0,"",IF(('Dvd Calendar'!$AQ$385&gt;=MIN(DATE(Summary!$C$12,1,1),Summary!$C$11))*('Dvd Calendar'!$AQ$385&lt;=MAX(DATE(Summary!$C$12,12,31),Summary!$C$15))*('Dvd Calendar'!$AQ$385&lt;=Summary!$C$11)=0,"",'Dvd Calendar'!$AQ$385*1000000000+ISNUMBER('Dvd Calendar'!$AQ$386)*100000000+('Dvd Calendar'!$AQ$390='Field Check'!$C$25)*10000000+(N('Dvd Calendar'!$AQ$384)&gt;0)*1000000+26*1000+39))</f>
        <v/>
      </c>
      <c r="AP34" s="41">
        <f>IF(N('Dvd Calendar'!$AR$385)=0,"",IF(('Dvd Calendar'!$AR$385&gt;=MIN(DATE(Summary!$C$12,1,1),Summary!$C$11))*('Dvd Calendar'!$AR$385&lt;=MAX(DATE(Summary!$C$12,12,31),Summary!$C$15))*('Dvd Calendar'!$AR$385&lt;=Summary!$C$11)=0,"",'Dvd Calendar'!$AR$385*1000000000+ISNUMBER('Dvd Calendar'!$AR$386)*100000000+('Dvd Calendar'!$AR$390='Field Check'!$C$25)*10000000+(N('Dvd Calendar'!$AR$384)&gt;0)*1000000+26*1000+40))</f>
        <v/>
      </c>
      <c r="AQ34" s="41">
        <f>IF(N('Dvd Calendar'!$E$392)=0,"",IF(('Dvd Calendar'!$E$392&gt;=MIN(DATE(Summary!$C$12,1,1),Summary!$C$11))*('Dvd Calendar'!$E$392&lt;=MAX(DATE(Summary!$C$12,12,31),Summary!$C$15))*('Dvd Calendar'!$E$392&gt;Summary!$C$11)=0,"",'Dvd Calendar'!$E$392*1000000000+ISNUMBER('Dvd Calendar'!$E$393)*100000000+('Dvd Calendar'!$E$397='Field Check'!$C$25)*10000000+(N('Dvd Calendar'!$E$391)&gt;0)*1000000+26*1000+41))</f>
        <v/>
      </c>
      <c r="AR34" s="41">
        <f>IF(N('Dvd Calendar'!$F$392)=0,"",IF(('Dvd Calendar'!$F$392&gt;=MIN(DATE(Summary!$C$12,1,1),Summary!$C$11))*('Dvd Calendar'!$F$392&lt;=MAX(DATE(Summary!$C$12,12,31),Summary!$C$15))*('Dvd Calendar'!$F$392&gt;Summary!$C$11)=0,"",'Dvd Calendar'!$F$392*1000000000+ISNUMBER('Dvd Calendar'!$F$393)*100000000+('Dvd Calendar'!$F$397='Field Check'!$C$25)*10000000+(N('Dvd Calendar'!$F$391)&gt;0)*1000000+26*1000+42))</f>
        <v/>
      </c>
      <c r="AS34" s="41">
        <f>IF(N('Dvd Calendar'!$G$392)=0,"",IF(('Dvd Calendar'!$G$392&gt;=MIN(DATE(Summary!$C$12,1,1),Summary!$C$11))*('Dvd Calendar'!$G$392&lt;=MAX(DATE(Summary!$C$12,12,31),Summary!$C$15))*('Dvd Calendar'!$G$392&gt;Summary!$C$11)=0,"",'Dvd Calendar'!$G$392*1000000000+ISNUMBER('Dvd Calendar'!$G$393)*100000000+('Dvd Calendar'!$G$397='Field Check'!$C$25)*10000000+(N('Dvd Calendar'!$G$391)&gt;0)*1000000+26*1000+43))</f>
        <v/>
      </c>
      <c r="AT34" s="41">
        <f>IF(N('Dvd Calendar'!$H$392)=0,"",IF(('Dvd Calendar'!$H$392&gt;=MIN(DATE(Summary!$C$12,1,1),Summary!$C$11))*('Dvd Calendar'!$H$392&lt;=MAX(DATE(Summary!$C$12,12,31),Summary!$C$15))*('Dvd Calendar'!$H$392&gt;Summary!$C$11)=0,"",'Dvd Calendar'!$H$392*1000000000+ISNUMBER('Dvd Calendar'!$H$393)*100000000+('Dvd Calendar'!$H$397='Field Check'!$C$25)*10000000+(N('Dvd Calendar'!$H$391)&gt;0)*1000000+26*1000+44))</f>
        <v/>
      </c>
      <c r="AU34" s="41">
        <f>IF(N('Dvd Calendar'!$I$392)=0,"",IF(('Dvd Calendar'!$I$392&gt;=MIN(DATE(Summary!$C$12,1,1),Summary!$C$11))*('Dvd Calendar'!$I$392&lt;=MAX(DATE(Summary!$C$12,12,31),Summary!$C$15))*('Dvd Calendar'!$I$392&gt;Summary!$C$11)=0,"",'Dvd Calendar'!$I$392*1000000000+ISNUMBER('Dvd Calendar'!$I$393)*100000000+('Dvd Calendar'!$I$397='Field Check'!$C$25)*10000000+(N('Dvd Calendar'!$I$391)&gt;0)*1000000+26*1000+45))</f>
        <v/>
      </c>
      <c r="AV34" s="41">
        <f>IF(N('Dvd Calendar'!$J$392)=0,"",IF(('Dvd Calendar'!$J$392&gt;=MIN(DATE(Summary!$C$12,1,1),Summary!$C$11))*('Dvd Calendar'!$J$392&lt;=MAX(DATE(Summary!$C$12,12,31),Summary!$C$15))*('Dvd Calendar'!$J$392&gt;Summary!$C$11)=0,"",'Dvd Calendar'!$J$392*1000000000+ISNUMBER('Dvd Calendar'!$J$393)*100000000+('Dvd Calendar'!$J$397='Field Check'!$C$25)*10000000+(N('Dvd Calendar'!$J$391)&gt;0)*1000000+26*1000+46))</f>
        <v/>
      </c>
      <c r="AW34" s="41">
        <f>IF(N('Dvd Calendar'!$K$392)=0,"",IF(('Dvd Calendar'!$K$392&gt;=MIN(DATE(Summary!$C$12,1,1),Summary!$C$11))*('Dvd Calendar'!$K$392&lt;=MAX(DATE(Summary!$C$12,12,31),Summary!$C$15))*('Dvd Calendar'!$K$392&gt;Summary!$C$11)=0,"",'Dvd Calendar'!$K$392*1000000000+ISNUMBER('Dvd Calendar'!$K$393)*100000000+('Dvd Calendar'!$K$397='Field Check'!$C$25)*10000000+(N('Dvd Calendar'!$K$391)&gt;0)*1000000+26*1000+47))</f>
        <v/>
      </c>
      <c r="AX34" s="41">
        <f>IF(N('Dvd Calendar'!$L$392)=0,"",IF(('Dvd Calendar'!$L$392&gt;=MIN(DATE(Summary!$C$12,1,1),Summary!$C$11))*('Dvd Calendar'!$L$392&lt;=MAX(DATE(Summary!$C$12,12,31),Summary!$C$15))*('Dvd Calendar'!$L$392&gt;Summary!$C$11)=0,"",'Dvd Calendar'!$L$392*1000000000+ISNUMBER('Dvd Calendar'!$L$393)*100000000+('Dvd Calendar'!$L$397='Field Check'!$C$25)*10000000+(N('Dvd Calendar'!$L$391)&gt;0)*1000000+26*1000+48))</f>
        <v/>
      </c>
      <c r="AY34" s="41">
        <f>IF(N('Dvd Calendar'!$M$392)=0,"",IF(('Dvd Calendar'!$M$392&gt;=MIN(DATE(Summary!$C$12,1,1),Summary!$C$11))*('Dvd Calendar'!$M$392&lt;=MAX(DATE(Summary!$C$12,12,31),Summary!$C$15))*('Dvd Calendar'!$M$392&gt;Summary!$C$11)=0,"",'Dvd Calendar'!$M$392*1000000000+ISNUMBER('Dvd Calendar'!$M$393)*100000000+('Dvd Calendar'!$M$397='Field Check'!$C$25)*10000000+(N('Dvd Calendar'!$M$391)&gt;0)*1000000+26*1000+49))</f>
        <v/>
      </c>
      <c r="AZ34" s="41">
        <f>IF(N('Dvd Calendar'!$N$392)=0,"",IF(('Dvd Calendar'!$N$392&gt;=MIN(DATE(Summary!$C$12,1,1),Summary!$C$11))*('Dvd Calendar'!$N$392&lt;=MAX(DATE(Summary!$C$12,12,31),Summary!$C$15))*('Dvd Calendar'!$N$392&gt;Summary!$C$11)=0,"",'Dvd Calendar'!$N$392*1000000000+ISNUMBER('Dvd Calendar'!$N$393)*100000000+('Dvd Calendar'!$N$397='Field Check'!$C$25)*10000000+(N('Dvd Calendar'!$N$391)&gt;0)*1000000+26*1000+50))</f>
        <v/>
      </c>
      <c r="BA34" s="41">
        <f>IF(N('Dvd Calendar'!$O$392)=0,"",IF(('Dvd Calendar'!$O$392&gt;=MIN(DATE(Summary!$C$12,1,1),Summary!$C$11))*('Dvd Calendar'!$O$392&lt;=MAX(DATE(Summary!$C$12,12,31),Summary!$C$15))*('Dvd Calendar'!$O$392&gt;Summary!$C$11)=0,"",'Dvd Calendar'!$O$392*1000000000+ISNUMBER('Dvd Calendar'!$O$393)*100000000+('Dvd Calendar'!$O$397='Field Check'!$C$25)*10000000+(N('Dvd Calendar'!$O$391)&gt;0)*1000000+26*1000+51))</f>
        <v/>
      </c>
      <c r="BB34" s="41">
        <f>IF(N('Dvd Calendar'!$P$392)=0,"",IF(('Dvd Calendar'!$P$392&gt;=MIN(DATE(Summary!$C$12,1,1),Summary!$C$11))*('Dvd Calendar'!$P$392&lt;=MAX(DATE(Summary!$C$12,12,31),Summary!$C$15))*('Dvd Calendar'!$P$392&gt;Summary!$C$11)=0,"",'Dvd Calendar'!$P$392*1000000000+ISNUMBER('Dvd Calendar'!$P$393)*100000000+('Dvd Calendar'!$P$397='Field Check'!$C$25)*10000000+(N('Dvd Calendar'!$P$391)&gt;0)*1000000+26*1000+52))</f>
        <v/>
      </c>
      <c r="BC34" s="41">
        <f>IF(N('Dvd Calendar'!$Q$392)=0,"",IF(('Dvd Calendar'!$Q$392&gt;=MIN(DATE(Summary!$C$12,1,1),Summary!$C$11))*('Dvd Calendar'!$Q$392&lt;=MAX(DATE(Summary!$C$12,12,31),Summary!$C$15))*('Dvd Calendar'!$Q$392&gt;Summary!$C$11)=0,"",'Dvd Calendar'!$Q$392*1000000000+ISNUMBER('Dvd Calendar'!$Q$393)*100000000+('Dvd Calendar'!$Q$397='Field Check'!$C$25)*10000000+(N('Dvd Calendar'!$Q$391)&gt;0)*1000000+26*1000+53))</f>
        <v/>
      </c>
      <c r="BD34" s="41">
        <f>IF(N('Dvd Calendar'!$R$392)=0,"",IF(('Dvd Calendar'!$R$392&gt;=MIN(DATE(Summary!$C$12,1,1),Summary!$C$11))*('Dvd Calendar'!$R$392&lt;=MAX(DATE(Summary!$C$12,12,31),Summary!$C$15))*('Dvd Calendar'!$R$392&gt;Summary!$C$11)=0,"",'Dvd Calendar'!$R$392*1000000000+ISNUMBER('Dvd Calendar'!$R$393)*100000000+('Dvd Calendar'!$R$397='Field Check'!$C$25)*10000000+(N('Dvd Calendar'!$R$391)&gt;0)*1000000+26*1000+54))</f>
        <v/>
      </c>
      <c r="BE34" s="41">
        <f>IF(N('Dvd Calendar'!$S$392)=0,"",IF(('Dvd Calendar'!$S$392&gt;=MIN(DATE(Summary!$C$12,1,1),Summary!$C$11))*('Dvd Calendar'!$S$392&lt;=MAX(DATE(Summary!$C$12,12,31),Summary!$C$15))*('Dvd Calendar'!$S$392&gt;Summary!$C$11)=0,"",'Dvd Calendar'!$S$392*1000000000+ISNUMBER('Dvd Calendar'!$S$393)*100000000+('Dvd Calendar'!$S$397='Field Check'!$C$25)*10000000+(N('Dvd Calendar'!$S$391)&gt;0)*1000000+26*1000+55))</f>
        <v/>
      </c>
      <c r="BF34" s="41">
        <f>IF(N('Dvd Calendar'!$T$392)=0,"",IF(('Dvd Calendar'!$T$392&gt;=MIN(DATE(Summary!$C$12,1,1),Summary!$C$11))*('Dvd Calendar'!$T$392&lt;=MAX(DATE(Summary!$C$12,12,31),Summary!$C$15))*('Dvd Calendar'!$T$392&gt;Summary!$C$11)=0,"",'Dvd Calendar'!$T$392*1000000000+ISNUMBER('Dvd Calendar'!$T$393)*100000000+('Dvd Calendar'!$T$397='Field Check'!$C$25)*10000000+(N('Dvd Calendar'!$T$391)&gt;0)*1000000+26*1000+56))</f>
        <v/>
      </c>
      <c r="BG34" s="41">
        <f>IF(N('Dvd Calendar'!$U$392)=0,"",IF(('Dvd Calendar'!$U$392&gt;=MIN(DATE(Summary!$C$12,1,1),Summary!$C$11))*('Dvd Calendar'!$U$392&lt;=MAX(DATE(Summary!$C$12,12,31),Summary!$C$15))*('Dvd Calendar'!$U$392&gt;Summary!$C$11)=0,"",'Dvd Calendar'!$U$392*1000000000+ISNUMBER('Dvd Calendar'!$U$393)*100000000+('Dvd Calendar'!$U$397='Field Check'!$C$25)*10000000+(N('Dvd Calendar'!$U$391)&gt;0)*1000000+26*1000+57))</f>
        <v/>
      </c>
      <c r="BH34" s="41">
        <f>IF(N('Dvd Calendar'!$V$392)=0,"",IF(('Dvd Calendar'!$V$392&gt;=MIN(DATE(Summary!$C$12,1,1),Summary!$C$11))*('Dvd Calendar'!$V$392&lt;=MAX(DATE(Summary!$C$12,12,31),Summary!$C$15))*('Dvd Calendar'!$V$392&gt;Summary!$C$11)=0,"",'Dvd Calendar'!$V$392*1000000000+ISNUMBER('Dvd Calendar'!$V$393)*100000000+('Dvd Calendar'!$V$397='Field Check'!$C$25)*10000000+(N('Dvd Calendar'!$V$391)&gt;0)*1000000+26*1000+58))</f>
        <v/>
      </c>
      <c r="BI34" s="41">
        <f>IF(N('Dvd Calendar'!$W$392)=0,"",IF(('Dvd Calendar'!$W$392&gt;=MIN(DATE(Summary!$C$12,1,1),Summary!$C$11))*('Dvd Calendar'!$W$392&lt;=MAX(DATE(Summary!$C$12,12,31),Summary!$C$15))*('Dvd Calendar'!$W$392&gt;Summary!$C$11)=0,"",'Dvd Calendar'!$W$392*1000000000+ISNUMBER('Dvd Calendar'!$W$393)*100000000+('Dvd Calendar'!$W$397='Field Check'!$C$25)*10000000+(N('Dvd Calendar'!$W$391)&gt;0)*1000000+26*1000+59))</f>
        <v/>
      </c>
      <c r="BJ34" s="41">
        <f>IF(N('Dvd Calendar'!$X$392)=0,"",IF(('Dvd Calendar'!$X$392&gt;=MIN(DATE(Summary!$C$12,1,1),Summary!$C$11))*('Dvd Calendar'!$X$392&lt;=MAX(DATE(Summary!$C$12,12,31),Summary!$C$15))*('Dvd Calendar'!$X$392&gt;Summary!$C$11)=0,"",'Dvd Calendar'!$X$392*1000000000+ISNUMBER('Dvd Calendar'!$X$393)*100000000+('Dvd Calendar'!$X$397='Field Check'!$C$25)*10000000+(N('Dvd Calendar'!$X$391)&gt;0)*1000000+26*1000+60))</f>
        <v/>
      </c>
      <c r="BK34" s="41">
        <f>IF(N('Dvd Calendar'!$Y$392)=0,"",IF(('Dvd Calendar'!$Y$392&gt;=MIN(DATE(Summary!$C$12,1,1),Summary!$C$11))*('Dvd Calendar'!$Y$392&lt;=MAX(DATE(Summary!$C$12,12,31),Summary!$C$15))*('Dvd Calendar'!$Y$392&gt;Summary!$C$11)=0,"",'Dvd Calendar'!$Y$392*1000000000+ISNUMBER('Dvd Calendar'!$Y$393)*100000000+('Dvd Calendar'!$Y$397='Field Check'!$C$25)*10000000+(N('Dvd Calendar'!$Y$391)&gt;0)*1000000+26*1000+61))</f>
        <v/>
      </c>
      <c r="BL34" s="41">
        <f>IF(N('Dvd Calendar'!$Z$392)=0,"",IF(('Dvd Calendar'!$Z$392&gt;=MIN(DATE(Summary!$C$12,1,1),Summary!$C$11))*('Dvd Calendar'!$Z$392&lt;=MAX(DATE(Summary!$C$12,12,31),Summary!$C$15))*('Dvd Calendar'!$Z$392&gt;Summary!$C$11)=0,"",'Dvd Calendar'!$Z$392*1000000000+ISNUMBER('Dvd Calendar'!$Z$393)*100000000+('Dvd Calendar'!$Z$397='Field Check'!$C$25)*10000000+(N('Dvd Calendar'!$Z$391)&gt;0)*1000000+26*1000+62))</f>
        <v/>
      </c>
      <c r="BM34" s="41">
        <f>IF(N('Dvd Calendar'!$AA$392)=0,"",IF(('Dvd Calendar'!$AA$392&gt;=MIN(DATE(Summary!$C$12,1,1),Summary!$C$11))*('Dvd Calendar'!$AA$392&lt;=MAX(DATE(Summary!$C$12,12,31),Summary!$C$15))*('Dvd Calendar'!$AA$392&gt;Summary!$C$11)=0,"",'Dvd Calendar'!$AA$392*1000000000+ISNUMBER('Dvd Calendar'!$AA$393)*100000000+('Dvd Calendar'!$AA$397='Field Check'!$C$25)*10000000+(N('Dvd Calendar'!$AA$391)&gt;0)*1000000+26*1000+63))</f>
        <v/>
      </c>
      <c r="BN34" s="41">
        <f>IF(N('Dvd Calendar'!$AB$392)=0,"",IF(('Dvd Calendar'!$AB$392&gt;=MIN(DATE(Summary!$C$12,1,1),Summary!$C$11))*('Dvd Calendar'!$AB$392&lt;=MAX(DATE(Summary!$C$12,12,31),Summary!$C$15))*('Dvd Calendar'!$AB$392&gt;Summary!$C$11)=0,"",'Dvd Calendar'!$AB$392*1000000000+ISNUMBER('Dvd Calendar'!$AB$393)*100000000+('Dvd Calendar'!$AB$397='Field Check'!$C$25)*10000000+(N('Dvd Calendar'!$AB$391)&gt;0)*1000000+26*1000+64))</f>
        <v/>
      </c>
      <c r="BO34" s="41">
        <f>IF(N('Dvd Calendar'!$AC$392)=0,"",IF(('Dvd Calendar'!$AC$392&gt;=MIN(DATE(Summary!$C$12,1,1),Summary!$C$11))*('Dvd Calendar'!$AC$392&lt;=MAX(DATE(Summary!$C$12,12,31),Summary!$C$15))*('Dvd Calendar'!$AC$392&gt;Summary!$C$11)=0,"",'Dvd Calendar'!$AC$392*1000000000+ISNUMBER('Dvd Calendar'!$AC$393)*100000000+('Dvd Calendar'!$AC$397='Field Check'!$C$25)*10000000+(N('Dvd Calendar'!$AC$391)&gt;0)*1000000+26*1000+65))</f>
        <v/>
      </c>
      <c r="BQ34" s="85">
        <f>IF(C34="","",IF(ISNUMBER('Dvd Calendar'!$E$386)=FALSE,"",IF((Summary!$C$13="N")*('Dvd Calendar'!$E$390='Field Check'!$C$25)&gt;0,"",'Dvd Calendar'!$E$386)))</f>
        <v/>
      </c>
      <c r="BR34" s="85">
        <f>IF(D34="","",IF(ISNUMBER('Dvd Calendar'!$F$386)=FALSE,"",IF((Summary!$C$13="N")*('Dvd Calendar'!$F$390='Field Check'!$C$25)&gt;0,"",'Dvd Calendar'!$F$386)))</f>
        <v/>
      </c>
      <c r="BS34" s="85">
        <f>IF(E34="","",IF(ISNUMBER('Dvd Calendar'!$G$386)=FALSE,"",IF((Summary!$C$13="N")*('Dvd Calendar'!$G$390='Field Check'!$C$25)&gt;0,"",'Dvd Calendar'!$G$386)))</f>
        <v/>
      </c>
      <c r="BT34" s="85">
        <f>IF(F34="","",IF(ISNUMBER('Dvd Calendar'!$H$386)=FALSE,"",IF((Summary!$C$13="N")*('Dvd Calendar'!$H$390='Field Check'!$C$25)&gt;0,"",'Dvd Calendar'!$H$386)))</f>
        <v/>
      </c>
      <c r="BU34" s="85">
        <f>IF(G34="","",IF(ISNUMBER('Dvd Calendar'!$I$386)=FALSE,"",IF((Summary!$C$13="N")*('Dvd Calendar'!$I$390='Field Check'!$C$25)&gt;0,"",'Dvd Calendar'!$I$386)))</f>
        <v/>
      </c>
      <c r="BV34" s="85">
        <f>IF(H34="","",IF(ISNUMBER('Dvd Calendar'!$J$386)=FALSE,"",IF((Summary!$C$13="N")*('Dvd Calendar'!$J$390='Field Check'!$C$25)&gt;0,"",'Dvd Calendar'!$J$386)))</f>
        <v/>
      </c>
      <c r="BW34" s="85">
        <f>IF(I34="","",IF(ISNUMBER('Dvd Calendar'!$K$386)=FALSE,"",IF((Summary!$C$13="N")*('Dvd Calendar'!$K$390='Field Check'!$C$25)&gt;0,"",'Dvd Calendar'!$K$386)))</f>
        <v/>
      </c>
      <c r="BX34" s="85">
        <f>IF(J34="","",IF(ISNUMBER('Dvd Calendar'!$L$386)=FALSE,"",IF((Summary!$C$13="N")*('Dvd Calendar'!$L$390='Field Check'!$C$25)&gt;0,"",'Dvd Calendar'!$L$386)))</f>
        <v/>
      </c>
      <c r="BY34" s="85">
        <f>IF(K34="","",IF(ISNUMBER('Dvd Calendar'!$M$386)=FALSE,"",IF((Summary!$C$13="N")*('Dvd Calendar'!$M$390='Field Check'!$C$25)&gt;0,"",'Dvd Calendar'!$M$386)))</f>
        <v/>
      </c>
      <c r="BZ34" s="85">
        <f>IF(L34="","",IF(ISNUMBER('Dvd Calendar'!$N$386)=FALSE,"",IF((Summary!$C$13="N")*('Dvd Calendar'!$N$390='Field Check'!$C$25)&gt;0,"",'Dvd Calendar'!$N$386)))</f>
        <v/>
      </c>
      <c r="CA34" s="85">
        <f>IF(M34="","",IF(ISNUMBER('Dvd Calendar'!$O$386)=FALSE,"",IF((Summary!$C$13="N")*('Dvd Calendar'!$O$390='Field Check'!$C$25)&gt;0,"",'Dvd Calendar'!$O$386)))</f>
        <v/>
      </c>
      <c r="CB34" s="85">
        <f>IF(N34="","",IF(ISNUMBER('Dvd Calendar'!$P$386)=FALSE,"",IF((Summary!$C$13="N")*('Dvd Calendar'!$P$390='Field Check'!$C$25)&gt;0,"",'Dvd Calendar'!$P$386)))</f>
        <v/>
      </c>
      <c r="CC34" s="85">
        <f>IF(O34="","",IF(ISNUMBER('Dvd Calendar'!$Q$386)=FALSE,"",IF((Summary!$C$13="N")*('Dvd Calendar'!$Q$390='Field Check'!$C$25)&gt;0,"",'Dvd Calendar'!$Q$386)))</f>
        <v/>
      </c>
      <c r="CD34" s="85">
        <f>IF(P34="","",IF(ISNUMBER('Dvd Calendar'!$R$386)=FALSE,"",IF((Summary!$C$13="N")*('Dvd Calendar'!$R$390='Field Check'!$C$25)&gt;0,"",'Dvd Calendar'!$R$386)))</f>
        <v/>
      </c>
      <c r="CE34" s="85">
        <f>IF(Q34="","",IF(ISNUMBER('Dvd Calendar'!$S$386)=FALSE,"",IF((Summary!$C$13="N")*('Dvd Calendar'!$S$390='Field Check'!$C$25)&gt;0,"",'Dvd Calendar'!$S$386)))</f>
        <v/>
      </c>
      <c r="CF34" s="85">
        <f>IF(R34="","",IF(ISNUMBER('Dvd Calendar'!$T$386)=FALSE,"",IF((Summary!$C$13="N")*('Dvd Calendar'!$T$390='Field Check'!$C$25)&gt;0,"",'Dvd Calendar'!$T$386)))</f>
        <v/>
      </c>
      <c r="CG34" s="85">
        <f>IF(S34="","",IF(ISNUMBER('Dvd Calendar'!$U$386)=FALSE,"",IF((Summary!$C$13="N")*('Dvd Calendar'!$U$390='Field Check'!$C$25)&gt;0,"",'Dvd Calendar'!$U$386)))</f>
        <v/>
      </c>
      <c r="CH34" s="85">
        <f>IF(T34="","",IF(ISNUMBER('Dvd Calendar'!$V$386)=FALSE,"",IF((Summary!$C$13="N")*('Dvd Calendar'!$V$390='Field Check'!$C$25)&gt;0,"",'Dvd Calendar'!$V$386)))</f>
        <v/>
      </c>
      <c r="CI34" s="85">
        <f>IF(U34="","",IF(ISNUMBER('Dvd Calendar'!$W$386)=FALSE,"",IF((Summary!$C$13="N")*('Dvd Calendar'!$W$390='Field Check'!$C$25)&gt;0,"",'Dvd Calendar'!$W$386)))</f>
        <v/>
      </c>
      <c r="CJ34" s="85">
        <f>IF(V34="","",IF(ISNUMBER('Dvd Calendar'!$X$386)=FALSE,"",IF((Summary!$C$13="N")*('Dvd Calendar'!$X$390='Field Check'!$C$25)&gt;0,"",'Dvd Calendar'!$X$386)))</f>
        <v/>
      </c>
      <c r="CK34" s="85">
        <f>IF(W34="","",IF(ISNUMBER('Dvd Calendar'!$Y$386)=FALSE,"",IF((Summary!$C$13="N")*('Dvd Calendar'!$Y$390='Field Check'!$C$25)&gt;0,"",'Dvd Calendar'!$Y$386)))</f>
        <v/>
      </c>
      <c r="CL34" s="85">
        <f>IF(X34="","",IF(ISNUMBER('Dvd Calendar'!$Z$386)=FALSE,"",IF((Summary!$C$13="N")*('Dvd Calendar'!$Z$390='Field Check'!$C$25)&gt;0,"",'Dvd Calendar'!$Z$386)))</f>
        <v/>
      </c>
      <c r="CM34" s="85">
        <f>IF(Y34="","",IF(ISNUMBER('Dvd Calendar'!$AA$386)=FALSE,"",IF((Summary!$C$13="N")*('Dvd Calendar'!$AA$390='Field Check'!$C$25)&gt;0,"",'Dvd Calendar'!$AA$386)))</f>
        <v/>
      </c>
      <c r="CN34" s="85">
        <f>IF(Z34="","",IF(ISNUMBER('Dvd Calendar'!$AB$386)=FALSE,"",IF((Summary!$C$13="N")*('Dvd Calendar'!$AB$390='Field Check'!$C$25)&gt;0,"",'Dvd Calendar'!$AB$386)))</f>
        <v/>
      </c>
      <c r="CO34" s="85">
        <f>IF(AA34="","",IF(ISNUMBER('Dvd Calendar'!$AC$386)=FALSE,"",IF((Summary!$C$13="N")*('Dvd Calendar'!$AC$390='Field Check'!$C$25)&gt;0,"",'Dvd Calendar'!$AC$386)))</f>
        <v/>
      </c>
      <c r="CP34" s="85">
        <f>IF(AB34="","",IF(ISNUMBER('Dvd Calendar'!$AD$386)=FALSE,"",IF((Summary!$C$13="N")*('Dvd Calendar'!$AD$390='Field Check'!$C$25)&gt;0,"",'Dvd Calendar'!$AD$386)))</f>
        <v/>
      </c>
      <c r="CQ34" s="85">
        <f>IF(AC34="","",IF(ISNUMBER('Dvd Calendar'!$AE$386)=FALSE,"",IF((Summary!$C$13="N")*('Dvd Calendar'!$AE$390='Field Check'!$C$25)&gt;0,"",'Dvd Calendar'!$AE$386)))</f>
        <v/>
      </c>
      <c r="CR34" s="85">
        <f>IF(AD34="","",IF(ISNUMBER('Dvd Calendar'!$AF$386)=FALSE,"",IF((Summary!$C$13="N")*('Dvd Calendar'!$AF$390='Field Check'!$C$25)&gt;0,"",'Dvd Calendar'!$AF$386)))</f>
        <v/>
      </c>
      <c r="CS34" s="85">
        <f>IF(AE34="","",IF(ISNUMBER('Dvd Calendar'!$AG$386)=FALSE,"",IF((Summary!$C$13="N")*('Dvd Calendar'!$AG$390='Field Check'!$C$25)&gt;0,"",'Dvd Calendar'!$AG$386)))</f>
        <v/>
      </c>
      <c r="CT34" s="85">
        <f>IF(AF34="","",IF(ISNUMBER('Dvd Calendar'!$AH$386)=FALSE,"",IF((Summary!$C$13="N")*('Dvd Calendar'!$AH$390='Field Check'!$C$25)&gt;0,"",'Dvd Calendar'!$AH$386)))</f>
        <v/>
      </c>
      <c r="CU34" s="85">
        <f>IF(AG34="","",IF(ISNUMBER('Dvd Calendar'!$AI$386)=FALSE,"",IF((Summary!$C$13="N")*('Dvd Calendar'!$AI$390='Field Check'!$C$25)&gt;0,"",'Dvd Calendar'!$AI$386)))</f>
        <v/>
      </c>
      <c r="CV34" s="85">
        <f>IF(AH34="","",IF(ISNUMBER('Dvd Calendar'!$AJ$386)=FALSE,"",IF((Summary!$C$13="N")*('Dvd Calendar'!$AJ$390='Field Check'!$C$25)&gt;0,"",'Dvd Calendar'!$AJ$386)))</f>
        <v/>
      </c>
      <c r="CW34" s="85">
        <f>IF(AI34="","",IF(ISNUMBER('Dvd Calendar'!$AK$386)=FALSE,"",IF((Summary!$C$13="N")*('Dvd Calendar'!$AK$390='Field Check'!$C$25)&gt;0,"",'Dvd Calendar'!$AK$386)))</f>
        <v/>
      </c>
      <c r="CX34" s="85">
        <f>IF(AJ34="","",IF(ISNUMBER('Dvd Calendar'!$AL$386)=FALSE,"",IF((Summary!$C$13="N")*('Dvd Calendar'!$AL$390='Field Check'!$C$25)&gt;0,"",'Dvd Calendar'!$AL$386)))</f>
        <v/>
      </c>
      <c r="CY34" s="85">
        <f>IF(AK34="","",IF(ISNUMBER('Dvd Calendar'!$AM$386)=FALSE,"",IF((Summary!$C$13="N")*('Dvd Calendar'!$AM$390='Field Check'!$C$25)&gt;0,"",'Dvd Calendar'!$AM$386)))</f>
        <v/>
      </c>
      <c r="CZ34" s="85">
        <f>IF(AL34="","",IF(ISNUMBER('Dvd Calendar'!$AN$386)=FALSE,"",IF((Summary!$C$13="N")*('Dvd Calendar'!$AN$390='Field Check'!$C$25)&gt;0,"",'Dvd Calendar'!$AN$386)))</f>
        <v/>
      </c>
      <c r="DA34" s="85">
        <f>IF(AM34="","",IF(ISNUMBER('Dvd Calendar'!$AO$386)=FALSE,"",IF((Summary!$C$13="N")*('Dvd Calendar'!$AO$390='Field Check'!$C$25)&gt;0,"",'Dvd Calendar'!$AO$386)))</f>
        <v/>
      </c>
      <c r="DB34" s="85">
        <f>IF(AN34="","",IF(ISNUMBER('Dvd Calendar'!$AP$386)=FALSE,"",IF((Summary!$C$13="N")*('Dvd Calendar'!$AP$390='Field Check'!$C$25)&gt;0,"",'Dvd Calendar'!$AP$386)))</f>
        <v/>
      </c>
      <c r="DC34" s="85">
        <f>IF(AO34="","",IF(ISNUMBER('Dvd Calendar'!$AQ$386)=FALSE,"",IF((Summary!$C$13="N")*('Dvd Calendar'!$AQ$390='Field Check'!$C$25)&gt;0,"",'Dvd Calendar'!$AQ$386)))</f>
        <v/>
      </c>
      <c r="DD34" s="85">
        <f>IF(AP34="","",IF(ISNUMBER('Dvd Calendar'!$AR$386)=FALSE,"",IF((Summary!$C$13="N")*('Dvd Calendar'!$AR$390='Field Check'!$C$25)&gt;0,"",'Dvd Calendar'!$AR$386)))</f>
        <v/>
      </c>
      <c r="DE34" s="85">
        <f>IF(AQ34="","",IF(ISNUMBER('Dvd Calendar'!$E$393)=FALSE,"",IF((Summary!$C$13="N")*('Dvd Calendar'!$E$397='Field Check'!$C$25)&gt;0,"",'Dvd Calendar'!$E$393)))</f>
        <v/>
      </c>
      <c r="DF34" s="85">
        <f>IF(AR34="","",IF(ISNUMBER('Dvd Calendar'!$F$393)=FALSE,"",IF((Summary!$C$13="N")*('Dvd Calendar'!$F$397='Field Check'!$C$25)&gt;0,"",'Dvd Calendar'!$F$393)))</f>
        <v/>
      </c>
      <c r="DG34" s="85">
        <f>IF(AS34="","",IF(ISNUMBER('Dvd Calendar'!$G$393)=FALSE,"",IF((Summary!$C$13="N")*('Dvd Calendar'!$G$397='Field Check'!$C$25)&gt;0,"",'Dvd Calendar'!$G$393)))</f>
        <v/>
      </c>
      <c r="DH34" s="85">
        <f>IF(AT34="","",IF(ISNUMBER('Dvd Calendar'!$H$393)=FALSE,"",IF((Summary!$C$13="N")*('Dvd Calendar'!$H$397='Field Check'!$C$25)&gt;0,"",'Dvd Calendar'!$H$393)))</f>
        <v/>
      </c>
      <c r="DI34" s="85">
        <f>IF(AU34="","",IF(ISNUMBER('Dvd Calendar'!$I$393)=FALSE,"",IF((Summary!$C$13="N")*('Dvd Calendar'!$I$397='Field Check'!$C$25)&gt;0,"",'Dvd Calendar'!$I$393)))</f>
        <v/>
      </c>
      <c r="DJ34" s="85">
        <f>IF(AV34="","",IF(ISNUMBER('Dvd Calendar'!$J$393)=FALSE,"",IF((Summary!$C$13="N")*('Dvd Calendar'!$J$397='Field Check'!$C$25)&gt;0,"",'Dvd Calendar'!$J$393)))</f>
        <v/>
      </c>
      <c r="DK34" s="85">
        <f>IF(AW34="","",IF(ISNUMBER('Dvd Calendar'!$K$393)=FALSE,"",IF((Summary!$C$13="N")*('Dvd Calendar'!$K$397='Field Check'!$C$25)&gt;0,"",'Dvd Calendar'!$K$393)))</f>
        <v/>
      </c>
      <c r="DL34" s="85">
        <f>IF(AX34="","",IF(ISNUMBER('Dvd Calendar'!$L$393)=FALSE,"",IF((Summary!$C$13="N")*('Dvd Calendar'!$L$397='Field Check'!$C$25)&gt;0,"",'Dvd Calendar'!$L$393)))</f>
        <v/>
      </c>
      <c r="DM34" s="85">
        <f>IF(AY34="","",IF(ISNUMBER('Dvd Calendar'!$M$393)=FALSE,"",IF((Summary!$C$13="N")*('Dvd Calendar'!$M$397='Field Check'!$C$25)&gt;0,"",'Dvd Calendar'!$M$393)))</f>
        <v/>
      </c>
      <c r="DN34" s="85">
        <f>IF(AZ34="","",IF(ISNUMBER('Dvd Calendar'!$N$393)=FALSE,"",IF((Summary!$C$13="N")*('Dvd Calendar'!$N$397='Field Check'!$C$25)&gt;0,"",'Dvd Calendar'!$N$393)))</f>
        <v/>
      </c>
      <c r="DO34" s="85">
        <f>IF(BA34="","",IF(ISNUMBER('Dvd Calendar'!$O$393)=FALSE,"",IF((Summary!$C$13="N")*('Dvd Calendar'!$O$397='Field Check'!$C$25)&gt;0,"",'Dvd Calendar'!$O$393)))</f>
        <v/>
      </c>
      <c r="DP34" s="85">
        <f>IF(BB34="","",IF(ISNUMBER('Dvd Calendar'!$P$393)=FALSE,"",IF((Summary!$C$13="N")*('Dvd Calendar'!$P$397='Field Check'!$C$25)&gt;0,"",'Dvd Calendar'!$P$393)))</f>
        <v/>
      </c>
      <c r="DQ34" s="85">
        <f>IF(BC34="","",IF(ISNUMBER('Dvd Calendar'!$Q$393)=FALSE,"",IF((Summary!$C$13="N")*('Dvd Calendar'!$Q$397='Field Check'!$C$25)&gt;0,"",'Dvd Calendar'!$Q$393)))</f>
        <v/>
      </c>
      <c r="DR34" s="85">
        <f>IF(BD34="","",IF(ISNUMBER('Dvd Calendar'!$R$393)=FALSE,"",IF((Summary!$C$13="N")*('Dvd Calendar'!$R$397='Field Check'!$C$25)&gt;0,"",'Dvd Calendar'!$R$393)))</f>
        <v/>
      </c>
      <c r="DS34" s="85">
        <f>IF(BE34="","",IF(ISNUMBER('Dvd Calendar'!$S$393)=FALSE,"",IF((Summary!$C$13="N")*('Dvd Calendar'!$S$397='Field Check'!$C$25)&gt;0,"",'Dvd Calendar'!$S$393)))</f>
        <v/>
      </c>
      <c r="DT34" s="85">
        <f>IF(BF34="","",IF(ISNUMBER('Dvd Calendar'!$T$393)=FALSE,"",IF((Summary!$C$13="N")*('Dvd Calendar'!$T$397='Field Check'!$C$25)&gt;0,"",'Dvd Calendar'!$T$393)))</f>
        <v/>
      </c>
      <c r="DU34" s="85">
        <f>IF(BG34="","",IF(ISNUMBER('Dvd Calendar'!$U$393)=FALSE,"",IF((Summary!$C$13="N")*('Dvd Calendar'!$U$397='Field Check'!$C$25)&gt;0,"",'Dvd Calendar'!$U$393)))</f>
        <v/>
      </c>
      <c r="DV34" s="85">
        <f>IF(BH34="","",IF(ISNUMBER('Dvd Calendar'!$V$393)=FALSE,"",IF((Summary!$C$13="N")*('Dvd Calendar'!$V$397='Field Check'!$C$25)&gt;0,"",'Dvd Calendar'!$V$393)))</f>
        <v/>
      </c>
      <c r="DW34" s="85">
        <f>IF(BI34="","",IF(ISNUMBER('Dvd Calendar'!$W$393)=FALSE,"",IF((Summary!$C$13="N")*('Dvd Calendar'!$W$397='Field Check'!$C$25)&gt;0,"",'Dvd Calendar'!$W$393)))</f>
        <v/>
      </c>
      <c r="DX34" s="85">
        <f>IF(BJ34="","",IF(ISNUMBER('Dvd Calendar'!$X$393)=FALSE,"",IF((Summary!$C$13="N")*('Dvd Calendar'!$X$397='Field Check'!$C$25)&gt;0,"",'Dvd Calendar'!$X$393)))</f>
        <v/>
      </c>
      <c r="DY34" s="85">
        <f>IF(BK34="","",IF(ISNUMBER('Dvd Calendar'!$Y$393)=FALSE,"",IF((Summary!$C$13="N")*('Dvd Calendar'!$Y$397='Field Check'!$C$25)&gt;0,"",'Dvd Calendar'!$Y$393)))</f>
        <v/>
      </c>
      <c r="DZ34" s="85">
        <f>IF(BL34="","",IF(ISNUMBER('Dvd Calendar'!$Z$393)=FALSE,"",IF((Summary!$C$13="N")*('Dvd Calendar'!$Z$397='Field Check'!$C$25)&gt;0,"",'Dvd Calendar'!$Z$393)))</f>
        <v/>
      </c>
      <c r="EA34" s="85">
        <f>IF(BM34="","",IF(ISNUMBER('Dvd Calendar'!$AA$393)=FALSE,"",IF((Summary!$C$13="N")*('Dvd Calendar'!$AA$397='Field Check'!$C$25)&gt;0,"",'Dvd Calendar'!$AA$393)))</f>
        <v/>
      </c>
      <c r="EB34" s="85">
        <f>IF(BN34="","",IF(ISNUMBER('Dvd Calendar'!$AB$393)=FALSE,"",IF((Summary!$C$13="N")*('Dvd Calendar'!$AB$397='Field Check'!$C$25)&gt;0,"",'Dvd Calendar'!$AB$393)))</f>
        <v/>
      </c>
      <c r="EC34" s="85">
        <f>IF(BO34="","",IF(ISNUMBER('Dvd Calendar'!$AC$393)=FALSE,"",IF((Summary!$C$13="N")*('Dvd Calendar'!$AC$397='Field Check'!$C$25)&gt;0,"",'Dvd Calendar'!$AC$393)))</f>
        <v/>
      </c>
      <c r="EE34" s="85">
        <f>IF(BQ34="","",IFERROR(BQ34*HSI!$B$32*HSI!$G$32/HSI!$B$3,""))</f>
        <v/>
      </c>
      <c r="EF34" s="85">
        <f>IF(BR34="","",IFERROR(BR34*HSI!$B$32*HSI!$G$32/HSI!$B$3,""))</f>
        <v/>
      </c>
      <c r="EG34" s="85">
        <f>IF(BS34="","",IFERROR(BS34*HSI!$B$32*HSI!$G$32/HSI!$B$3,""))</f>
        <v/>
      </c>
      <c r="EH34" s="85">
        <f>IF(BT34="","",IFERROR(BT34*HSI!$B$32*HSI!$G$32/HSI!$B$3,""))</f>
        <v/>
      </c>
      <c r="EI34" s="85">
        <f>IF(BU34="","",IFERROR(BU34*HSI!$B$32*HSI!$G$32/HSI!$B$3,""))</f>
        <v/>
      </c>
      <c r="EJ34" s="85">
        <f>IF(BV34="","",IFERROR(BV34*HSI!$B$32*HSI!$G$32/HSI!$B$3,""))</f>
        <v/>
      </c>
      <c r="EK34" s="85">
        <f>IF(BW34="","",IFERROR(BW34*HSI!$B$32*HSI!$G$32/HSI!$B$3,""))</f>
        <v/>
      </c>
      <c r="EL34" s="85">
        <f>IF(BX34="","",IFERROR(BX34*HSI!$B$32*HSI!$G$32/HSI!$B$3,""))</f>
        <v/>
      </c>
      <c r="EM34" s="85">
        <f>IF(BY34="","",IFERROR(BY34*HSI!$B$32*HSI!$G$32/HSI!$B$3,""))</f>
        <v/>
      </c>
      <c r="EN34" s="85">
        <f>IF(BZ34="","",IFERROR(BZ34*HSI!$B$32*HSI!$G$32/HSI!$B$3,""))</f>
        <v/>
      </c>
      <c r="EO34" s="85">
        <f>IF(CA34="","",IFERROR(CA34*HSI!$B$32*HSI!$G$32/HSI!$B$3,""))</f>
        <v/>
      </c>
      <c r="EP34" s="85">
        <f>IF(CB34="","",IFERROR(CB34*HSI!$B$32*HSI!$G$32/HSI!$B$3,""))</f>
        <v/>
      </c>
      <c r="EQ34" s="85">
        <f>IF(CC34="","",IFERROR(CC34*HSI!$B$32*HSI!$G$32/HSI!$B$3,""))</f>
        <v/>
      </c>
      <c r="ER34" s="85">
        <f>IF(CD34="","",IFERROR(CD34*HSI!$B$32*HSI!$G$32/HSI!$B$3,""))</f>
        <v/>
      </c>
      <c r="ES34" s="85">
        <f>IF(CE34="","",IFERROR(CE34*HSI!$B$32*HSI!$G$32/HSI!$B$3,""))</f>
        <v/>
      </c>
      <c r="ET34" s="85">
        <f>IF(CF34="","",IFERROR(CF34*HSI!$B$32*HSI!$G$32/HSI!$B$3,""))</f>
        <v/>
      </c>
      <c r="EU34" s="85">
        <f>IF(CG34="","",IFERROR(CG34*HSI!$B$32*HSI!$G$32/HSI!$B$3,""))</f>
        <v/>
      </c>
      <c r="EV34" s="85">
        <f>IF(CH34="","",IFERROR(CH34*HSI!$B$32*HSI!$G$32/HSI!$B$3,""))</f>
        <v/>
      </c>
      <c r="EW34" s="85">
        <f>IF(CI34="","",IFERROR(CI34*HSI!$B$32*HSI!$G$32/HSI!$B$3,""))</f>
        <v/>
      </c>
      <c r="EX34" s="85">
        <f>IF(CJ34="","",IFERROR(CJ34*HSI!$B$32*HSI!$G$32/HSI!$B$3,""))</f>
        <v/>
      </c>
      <c r="EY34" s="85">
        <f>IF(CK34="","",IFERROR(CK34*HSI!$B$32*HSI!$G$32/HSI!$B$3,""))</f>
        <v/>
      </c>
      <c r="EZ34" s="85">
        <f>IF(CL34="","",IFERROR(CL34*HSI!$B$32*HSI!$G$32/HSI!$B$3,""))</f>
        <v/>
      </c>
      <c r="FA34" s="85">
        <f>IF(CM34="","",IFERROR(CM34*HSI!$B$32*HSI!$G$32/HSI!$B$3,""))</f>
        <v/>
      </c>
      <c r="FB34" s="85">
        <f>IF(CN34="","",IFERROR(CN34*HSI!$B$32*HSI!$G$32/HSI!$B$3,""))</f>
        <v/>
      </c>
      <c r="FC34" s="85">
        <f>IF(CO34="","",IFERROR(CO34*HSI!$B$32*HSI!$G$32/HSI!$B$3,""))</f>
        <v/>
      </c>
      <c r="FD34" s="85">
        <f>IF(CP34="","",IFERROR(CP34*HSI!$B$32*HSI!$G$32/HSI!$B$3,""))</f>
        <v/>
      </c>
      <c r="FE34" s="85">
        <f>IF(CQ34="","",IFERROR(CQ34*HSI!$B$32*HSI!$G$32/HSI!$B$3,""))</f>
        <v/>
      </c>
      <c r="FF34" s="85">
        <f>IF(CR34="","",IFERROR(CR34*HSI!$B$32*HSI!$G$32/HSI!$B$3,""))</f>
        <v/>
      </c>
      <c r="FG34" s="85">
        <f>IF(CS34="","",IFERROR(CS34*HSI!$B$32*HSI!$G$32/HSI!$B$3,""))</f>
        <v/>
      </c>
      <c r="FH34" s="85">
        <f>IF(CT34="","",IFERROR(CT34*HSI!$B$32*HSI!$G$32/HSI!$B$3,""))</f>
        <v/>
      </c>
      <c r="FI34" s="85">
        <f>IF(CU34="","",IFERROR(CU34*HSI!$B$32*HSI!$G$32/HSI!$B$3,""))</f>
        <v/>
      </c>
      <c r="FJ34" s="85">
        <f>IF(CV34="","",IFERROR(CV34*HSI!$B$32*HSI!$G$32/HSI!$B$3,""))</f>
        <v/>
      </c>
      <c r="FK34" s="85">
        <f>IF(CW34="","",IFERROR(CW34*HSI!$B$32*HSI!$G$32/HSI!$B$3,""))</f>
        <v/>
      </c>
      <c r="FL34" s="85">
        <f>IF(CX34="","",IFERROR(CX34*HSI!$B$32*HSI!$G$32/HSI!$B$3,""))</f>
        <v/>
      </c>
      <c r="FM34" s="85">
        <f>IF(CY34="","",IFERROR(CY34*HSI!$B$32*HSI!$G$32/HSI!$B$3,""))</f>
        <v/>
      </c>
      <c r="FN34" s="85">
        <f>IF(CZ34="","",IFERROR(CZ34*HSI!$B$32*HSI!$G$32/HSI!$B$3,""))</f>
        <v/>
      </c>
      <c r="FO34" s="85">
        <f>IF(DA34="","",IFERROR(DA34*HSI!$B$32*HSI!$G$32/HSI!$B$3,""))</f>
        <v/>
      </c>
      <c r="FP34" s="85">
        <f>IF(DB34="","",IFERROR(DB34*HSI!$B$32*HSI!$G$32/HSI!$B$3,""))</f>
        <v/>
      </c>
      <c r="FQ34" s="85">
        <f>IF(DC34="","",IFERROR(DC34*HSI!$B$32*HSI!$G$32/HSI!$B$3,""))</f>
        <v/>
      </c>
      <c r="FR34" s="85">
        <f>IF(DD34="","",IFERROR(DD34*HSI!$B$32*HSI!$G$32/HSI!$B$3,""))</f>
        <v/>
      </c>
      <c r="FS34" s="85">
        <f>IF(DE34="","",IFERROR(DE34*HSI!$B$32*HSI!$G$32/HSI!$B$3,""))</f>
        <v/>
      </c>
      <c r="FT34" s="85">
        <f>IF(DF34="","",IFERROR(DF34*HSI!$B$32*HSI!$G$32/HSI!$B$3,""))</f>
        <v/>
      </c>
      <c r="FU34" s="85">
        <f>IF(DG34="","",IFERROR(DG34*HSI!$B$32*HSI!$G$32/HSI!$B$3,""))</f>
        <v/>
      </c>
      <c r="FV34" s="85">
        <f>IF(DH34="","",IFERROR(DH34*HSI!$B$32*HSI!$G$32/HSI!$B$3,""))</f>
        <v/>
      </c>
      <c r="FW34" s="85">
        <f>IF(DI34="","",IFERROR(DI34*HSI!$B$32*HSI!$G$32/HSI!$B$3,""))</f>
        <v/>
      </c>
      <c r="FX34" s="85">
        <f>IF(DJ34="","",IFERROR(DJ34*HSI!$B$32*HSI!$G$32/HSI!$B$3,""))</f>
        <v/>
      </c>
      <c r="FY34" s="85">
        <f>IF(DK34="","",IFERROR(DK34*HSI!$B$32*HSI!$G$32/HSI!$B$3,""))</f>
        <v/>
      </c>
      <c r="FZ34" s="85">
        <f>IF(DL34="","",IFERROR(DL34*HSI!$B$32*HSI!$G$32/HSI!$B$3,""))</f>
        <v/>
      </c>
      <c r="GA34" s="85">
        <f>IF(DM34="","",IFERROR(DM34*HSI!$B$32*HSI!$G$32/HSI!$B$3,""))</f>
        <v/>
      </c>
      <c r="GB34" s="85">
        <f>IF(DN34="","",IFERROR(DN34*HSI!$B$32*HSI!$G$32/HSI!$B$3,""))</f>
        <v/>
      </c>
      <c r="GC34" s="85">
        <f>IF(DO34="","",IFERROR(DO34*HSI!$B$32*HSI!$G$32/HSI!$B$3,""))</f>
        <v/>
      </c>
      <c r="GD34" s="85">
        <f>IF(DP34="","",IFERROR(DP34*HSI!$B$32*HSI!$G$32/HSI!$B$3,""))</f>
        <v/>
      </c>
      <c r="GE34" s="85">
        <f>IF(DQ34="","",IFERROR(DQ34*HSI!$B$32*HSI!$G$32/HSI!$B$3,""))</f>
        <v/>
      </c>
      <c r="GF34" s="85">
        <f>IF(DR34="","",IFERROR(DR34*HSI!$B$32*HSI!$G$32/HSI!$B$3,""))</f>
        <v/>
      </c>
      <c r="GG34" s="85">
        <f>IF(DS34="","",IFERROR(DS34*HSI!$B$32*HSI!$G$32/HSI!$B$3,""))</f>
        <v/>
      </c>
      <c r="GH34" s="85">
        <f>IF(DT34="","",IFERROR(DT34*HSI!$B$32*HSI!$G$32/HSI!$B$3,""))</f>
        <v/>
      </c>
      <c r="GI34" s="85">
        <f>IF(DU34="","",IFERROR(DU34*HSI!$B$32*HSI!$G$32/HSI!$B$3,""))</f>
        <v/>
      </c>
      <c r="GJ34" s="85">
        <f>IF(DV34="","",IFERROR(DV34*HSI!$B$32*HSI!$G$32/HSI!$B$3,""))</f>
        <v/>
      </c>
      <c r="GK34" s="85">
        <f>IF(DW34="","",IFERROR(DW34*HSI!$B$32*HSI!$G$32/HSI!$B$3,""))</f>
        <v/>
      </c>
      <c r="GL34" s="85">
        <f>IF(DX34="","",IFERROR(DX34*HSI!$B$32*HSI!$G$32/HSI!$B$3,""))</f>
        <v/>
      </c>
      <c r="GM34" s="85">
        <f>IF(DY34="","",IFERROR(DY34*HSI!$B$32*HSI!$G$32/HSI!$B$3,""))</f>
        <v/>
      </c>
      <c r="GN34" s="85">
        <f>IF(DZ34="","",IFERROR(DZ34*HSI!$B$32*HSI!$G$32/HSI!$B$3,""))</f>
        <v/>
      </c>
      <c r="GO34" s="85">
        <f>IF(EA34="","",IFERROR(EA34*HSI!$B$32*HSI!$G$32/HSI!$B$3,""))</f>
        <v/>
      </c>
      <c r="GP34" s="85">
        <f>IF(EB34="","",IFERROR(EB34*HSI!$B$32*HSI!$G$32/HSI!$B$3,""))</f>
        <v/>
      </c>
      <c r="GQ34" s="85">
        <f>IF(EC34="","",IFERROR(EC34*HSI!$B$32*HSI!$G$32/HSI!$B$3,""))</f>
        <v/>
      </c>
    </row>
    <row r="35">
      <c r="B35" s="2">
        <f>IF(HSI!$C$33="","",HSI!$C$33)</f>
        <v/>
      </c>
      <c r="C35" s="41">
        <f>IF(N('Dvd Calendar'!$E$400)=0,"",IF(('Dvd Calendar'!$E$400&gt;=MIN(DATE(Summary!$C$12,1,1),Summary!$C$11))*('Dvd Calendar'!$E$400&lt;=MAX(DATE(Summary!$C$12,12,31),Summary!$C$15))*('Dvd Calendar'!$E$400&lt;=Summary!$C$11)=0,"",'Dvd Calendar'!$E$400*1000000000+ISNUMBER('Dvd Calendar'!$E$401)*100000000+('Dvd Calendar'!$E$405='Field Check'!$C$25)*10000000+(N('Dvd Calendar'!$E$399)&gt;0)*1000000+27*1000+1))</f>
        <v/>
      </c>
      <c r="D35" s="41">
        <f>IF(N('Dvd Calendar'!$F$400)=0,"",IF(('Dvd Calendar'!$F$400&gt;=MIN(DATE(Summary!$C$12,1,1),Summary!$C$11))*('Dvd Calendar'!$F$400&lt;=MAX(DATE(Summary!$C$12,12,31),Summary!$C$15))*('Dvd Calendar'!$F$400&lt;=Summary!$C$11)=0,"",'Dvd Calendar'!$F$400*1000000000+ISNUMBER('Dvd Calendar'!$F$401)*100000000+('Dvd Calendar'!$F$405='Field Check'!$C$25)*10000000+(N('Dvd Calendar'!$F$399)&gt;0)*1000000+27*1000+2))</f>
        <v/>
      </c>
      <c r="E35" s="41">
        <f>IF(N('Dvd Calendar'!$G$400)=0,"",IF(('Dvd Calendar'!$G$400&gt;=MIN(DATE(Summary!$C$12,1,1),Summary!$C$11))*('Dvd Calendar'!$G$400&lt;=MAX(DATE(Summary!$C$12,12,31),Summary!$C$15))*('Dvd Calendar'!$G$400&lt;=Summary!$C$11)=0,"",'Dvd Calendar'!$G$400*1000000000+ISNUMBER('Dvd Calendar'!$G$401)*100000000+('Dvd Calendar'!$G$405='Field Check'!$C$25)*10000000+(N('Dvd Calendar'!$G$399)&gt;0)*1000000+27*1000+3))</f>
        <v/>
      </c>
      <c r="F35" s="41">
        <f>IF(N('Dvd Calendar'!$H$400)=0,"",IF(('Dvd Calendar'!$H$400&gt;=MIN(DATE(Summary!$C$12,1,1),Summary!$C$11))*('Dvd Calendar'!$H$400&lt;=MAX(DATE(Summary!$C$12,12,31),Summary!$C$15))*('Dvd Calendar'!$H$400&lt;=Summary!$C$11)=0,"",'Dvd Calendar'!$H$400*1000000000+ISNUMBER('Dvd Calendar'!$H$401)*100000000+('Dvd Calendar'!$H$405='Field Check'!$C$25)*10000000+(N('Dvd Calendar'!$H$399)&gt;0)*1000000+27*1000+4))</f>
        <v/>
      </c>
      <c r="G35" s="41">
        <f>IF(N('Dvd Calendar'!$I$400)=0,"",IF(('Dvd Calendar'!$I$400&gt;=MIN(DATE(Summary!$C$12,1,1),Summary!$C$11))*('Dvd Calendar'!$I$400&lt;=MAX(DATE(Summary!$C$12,12,31),Summary!$C$15))*('Dvd Calendar'!$I$400&lt;=Summary!$C$11)=0,"",'Dvd Calendar'!$I$400*1000000000+ISNUMBER('Dvd Calendar'!$I$401)*100000000+('Dvd Calendar'!$I$405='Field Check'!$C$25)*10000000+(N('Dvd Calendar'!$I$399)&gt;0)*1000000+27*1000+5))</f>
        <v/>
      </c>
      <c r="H35" s="41">
        <f>IF(N('Dvd Calendar'!$J$400)=0,"",IF(('Dvd Calendar'!$J$400&gt;=MIN(DATE(Summary!$C$12,1,1),Summary!$C$11))*('Dvd Calendar'!$J$400&lt;=MAX(DATE(Summary!$C$12,12,31),Summary!$C$15))*('Dvd Calendar'!$J$400&lt;=Summary!$C$11)=0,"",'Dvd Calendar'!$J$400*1000000000+ISNUMBER('Dvd Calendar'!$J$401)*100000000+('Dvd Calendar'!$J$405='Field Check'!$C$25)*10000000+(N('Dvd Calendar'!$J$399)&gt;0)*1000000+27*1000+6))</f>
        <v/>
      </c>
      <c r="I35" s="41">
        <f>IF(N('Dvd Calendar'!$K$400)=0,"",IF(('Dvd Calendar'!$K$400&gt;=MIN(DATE(Summary!$C$12,1,1),Summary!$C$11))*('Dvd Calendar'!$K$400&lt;=MAX(DATE(Summary!$C$12,12,31),Summary!$C$15))*('Dvd Calendar'!$K$400&lt;=Summary!$C$11)=0,"",'Dvd Calendar'!$K$400*1000000000+ISNUMBER('Dvd Calendar'!$K$401)*100000000+('Dvd Calendar'!$K$405='Field Check'!$C$25)*10000000+(N('Dvd Calendar'!$K$399)&gt;0)*1000000+27*1000+7))</f>
        <v/>
      </c>
      <c r="J35" s="41">
        <f>IF(N('Dvd Calendar'!$L$400)=0,"",IF(('Dvd Calendar'!$L$400&gt;=MIN(DATE(Summary!$C$12,1,1),Summary!$C$11))*('Dvd Calendar'!$L$400&lt;=MAX(DATE(Summary!$C$12,12,31),Summary!$C$15))*('Dvd Calendar'!$L$400&lt;=Summary!$C$11)=0,"",'Dvd Calendar'!$L$400*1000000000+ISNUMBER('Dvd Calendar'!$L$401)*100000000+('Dvd Calendar'!$L$405='Field Check'!$C$25)*10000000+(N('Dvd Calendar'!$L$399)&gt;0)*1000000+27*1000+8))</f>
        <v/>
      </c>
      <c r="K35" s="41">
        <f>IF(N('Dvd Calendar'!$M$400)=0,"",IF(('Dvd Calendar'!$M$400&gt;=MIN(DATE(Summary!$C$12,1,1),Summary!$C$11))*('Dvd Calendar'!$M$400&lt;=MAX(DATE(Summary!$C$12,12,31),Summary!$C$15))*('Dvd Calendar'!$M$400&lt;=Summary!$C$11)=0,"",'Dvd Calendar'!$M$400*1000000000+ISNUMBER('Dvd Calendar'!$M$401)*100000000+('Dvd Calendar'!$M$405='Field Check'!$C$25)*10000000+(N('Dvd Calendar'!$M$399)&gt;0)*1000000+27*1000+9))</f>
        <v/>
      </c>
      <c r="L35" s="41">
        <f>IF(N('Dvd Calendar'!$N$400)=0,"",IF(('Dvd Calendar'!$N$400&gt;=MIN(DATE(Summary!$C$12,1,1),Summary!$C$11))*('Dvd Calendar'!$N$400&lt;=MAX(DATE(Summary!$C$12,12,31),Summary!$C$15))*('Dvd Calendar'!$N$400&lt;=Summary!$C$11)=0,"",'Dvd Calendar'!$N$400*1000000000+ISNUMBER('Dvd Calendar'!$N$401)*100000000+('Dvd Calendar'!$N$405='Field Check'!$C$25)*10000000+(N('Dvd Calendar'!$N$399)&gt;0)*1000000+27*1000+10))</f>
        <v/>
      </c>
      <c r="M35" s="41">
        <f>IF(N('Dvd Calendar'!$O$400)=0,"",IF(('Dvd Calendar'!$O$400&gt;=MIN(DATE(Summary!$C$12,1,1),Summary!$C$11))*('Dvd Calendar'!$O$400&lt;=MAX(DATE(Summary!$C$12,12,31),Summary!$C$15))*('Dvd Calendar'!$O$400&lt;=Summary!$C$11)=0,"",'Dvd Calendar'!$O$400*1000000000+ISNUMBER('Dvd Calendar'!$O$401)*100000000+('Dvd Calendar'!$O$405='Field Check'!$C$25)*10000000+(N('Dvd Calendar'!$O$399)&gt;0)*1000000+27*1000+11))</f>
        <v/>
      </c>
      <c r="N35" s="41">
        <f>IF(N('Dvd Calendar'!$P$400)=0,"",IF(('Dvd Calendar'!$P$400&gt;=MIN(DATE(Summary!$C$12,1,1),Summary!$C$11))*('Dvd Calendar'!$P$400&lt;=MAX(DATE(Summary!$C$12,12,31),Summary!$C$15))*('Dvd Calendar'!$P$400&lt;=Summary!$C$11)=0,"",'Dvd Calendar'!$P$400*1000000000+ISNUMBER('Dvd Calendar'!$P$401)*100000000+('Dvd Calendar'!$P$405='Field Check'!$C$25)*10000000+(N('Dvd Calendar'!$P$399)&gt;0)*1000000+27*1000+12))</f>
        <v/>
      </c>
      <c r="O35" s="41">
        <f>IF(N('Dvd Calendar'!$Q$400)=0,"",IF(('Dvd Calendar'!$Q$400&gt;=MIN(DATE(Summary!$C$12,1,1),Summary!$C$11))*('Dvd Calendar'!$Q$400&lt;=MAX(DATE(Summary!$C$12,12,31),Summary!$C$15))*('Dvd Calendar'!$Q$400&lt;=Summary!$C$11)=0,"",'Dvd Calendar'!$Q$400*1000000000+ISNUMBER('Dvd Calendar'!$Q$401)*100000000+('Dvd Calendar'!$Q$405='Field Check'!$C$25)*10000000+(N('Dvd Calendar'!$Q$399)&gt;0)*1000000+27*1000+13))</f>
        <v/>
      </c>
      <c r="P35" s="41">
        <f>IF(N('Dvd Calendar'!$R$400)=0,"",IF(('Dvd Calendar'!$R$400&gt;=MIN(DATE(Summary!$C$12,1,1),Summary!$C$11))*('Dvd Calendar'!$R$400&lt;=MAX(DATE(Summary!$C$12,12,31),Summary!$C$15))*('Dvd Calendar'!$R$400&lt;=Summary!$C$11)=0,"",'Dvd Calendar'!$R$400*1000000000+ISNUMBER('Dvd Calendar'!$R$401)*100000000+('Dvd Calendar'!$R$405='Field Check'!$C$25)*10000000+(N('Dvd Calendar'!$R$399)&gt;0)*1000000+27*1000+14))</f>
        <v/>
      </c>
      <c r="Q35" s="41">
        <f>IF(N('Dvd Calendar'!$S$400)=0,"",IF(('Dvd Calendar'!$S$400&gt;=MIN(DATE(Summary!$C$12,1,1),Summary!$C$11))*('Dvd Calendar'!$S$400&lt;=MAX(DATE(Summary!$C$12,12,31),Summary!$C$15))*('Dvd Calendar'!$S$400&lt;=Summary!$C$11)=0,"",'Dvd Calendar'!$S$400*1000000000+ISNUMBER('Dvd Calendar'!$S$401)*100000000+('Dvd Calendar'!$S$405='Field Check'!$C$25)*10000000+(N('Dvd Calendar'!$S$399)&gt;0)*1000000+27*1000+15))</f>
        <v/>
      </c>
      <c r="R35" s="41">
        <f>IF(N('Dvd Calendar'!$T$400)=0,"",IF(('Dvd Calendar'!$T$400&gt;=MIN(DATE(Summary!$C$12,1,1),Summary!$C$11))*('Dvd Calendar'!$T$400&lt;=MAX(DATE(Summary!$C$12,12,31),Summary!$C$15))*('Dvd Calendar'!$T$400&lt;=Summary!$C$11)=0,"",'Dvd Calendar'!$T$400*1000000000+ISNUMBER('Dvd Calendar'!$T$401)*100000000+('Dvd Calendar'!$T$405='Field Check'!$C$25)*10000000+(N('Dvd Calendar'!$T$399)&gt;0)*1000000+27*1000+16))</f>
        <v/>
      </c>
      <c r="S35" s="41">
        <f>IF(N('Dvd Calendar'!$U$400)=0,"",IF(('Dvd Calendar'!$U$400&gt;=MIN(DATE(Summary!$C$12,1,1),Summary!$C$11))*('Dvd Calendar'!$U$400&lt;=MAX(DATE(Summary!$C$12,12,31),Summary!$C$15))*('Dvd Calendar'!$U$400&lt;=Summary!$C$11)=0,"",'Dvd Calendar'!$U$400*1000000000+ISNUMBER('Dvd Calendar'!$U$401)*100000000+('Dvd Calendar'!$U$405='Field Check'!$C$25)*10000000+(N('Dvd Calendar'!$U$399)&gt;0)*1000000+27*1000+17))</f>
        <v/>
      </c>
      <c r="T35" s="41">
        <f>IF(N('Dvd Calendar'!$V$400)=0,"",IF(('Dvd Calendar'!$V$400&gt;=MIN(DATE(Summary!$C$12,1,1),Summary!$C$11))*('Dvd Calendar'!$V$400&lt;=MAX(DATE(Summary!$C$12,12,31),Summary!$C$15))*('Dvd Calendar'!$V$400&lt;=Summary!$C$11)=0,"",'Dvd Calendar'!$V$400*1000000000+ISNUMBER('Dvd Calendar'!$V$401)*100000000+('Dvd Calendar'!$V$405='Field Check'!$C$25)*10000000+(N('Dvd Calendar'!$V$399)&gt;0)*1000000+27*1000+18))</f>
        <v/>
      </c>
      <c r="U35" s="41">
        <f>IF(N('Dvd Calendar'!$W$400)=0,"",IF(('Dvd Calendar'!$W$400&gt;=MIN(DATE(Summary!$C$12,1,1),Summary!$C$11))*('Dvd Calendar'!$W$400&lt;=MAX(DATE(Summary!$C$12,12,31),Summary!$C$15))*('Dvd Calendar'!$W$400&lt;=Summary!$C$11)=0,"",'Dvd Calendar'!$W$400*1000000000+ISNUMBER('Dvd Calendar'!$W$401)*100000000+('Dvd Calendar'!$W$405='Field Check'!$C$25)*10000000+(N('Dvd Calendar'!$W$399)&gt;0)*1000000+27*1000+19))</f>
        <v/>
      </c>
      <c r="V35" s="41">
        <f>IF(N('Dvd Calendar'!$X$400)=0,"",IF(('Dvd Calendar'!$X$400&gt;=MIN(DATE(Summary!$C$12,1,1),Summary!$C$11))*('Dvd Calendar'!$X$400&lt;=MAX(DATE(Summary!$C$12,12,31),Summary!$C$15))*('Dvd Calendar'!$X$400&lt;=Summary!$C$11)=0,"",'Dvd Calendar'!$X$400*1000000000+ISNUMBER('Dvd Calendar'!$X$401)*100000000+('Dvd Calendar'!$X$405='Field Check'!$C$25)*10000000+(N('Dvd Calendar'!$X$399)&gt;0)*1000000+27*1000+20))</f>
        <v/>
      </c>
      <c r="W35" s="41">
        <f>IF(N('Dvd Calendar'!$Y$400)=0,"",IF(('Dvd Calendar'!$Y$400&gt;=MIN(DATE(Summary!$C$12,1,1),Summary!$C$11))*('Dvd Calendar'!$Y$400&lt;=MAX(DATE(Summary!$C$12,12,31),Summary!$C$15))*('Dvd Calendar'!$Y$400&lt;=Summary!$C$11)=0,"",'Dvd Calendar'!$Y$400*1000000000+ISNUMBER('Dvd Calendar'!$Y$401)*100000000+('Dvd Calendar'!$Y$405='Field Check'!$C$25)*10000000+(N('Dvd Calendar'!$Y$399)&gt;0)*1000000+27*1000+21))</f>
        <v/>
      </c>
      <c r="X35" s="41">
        <f>IF(N('Dvd Calendar'!$Z$400)=0,"",IF(('Dvd Calendar'!$Z$400&gt;=MIN(DATE(Summary!$C$12,1,1),Summary!$C$11))*('Dvd Calendar'!$Z$400&lt;=MAX(DATE(Summary!$C$12,12,31),Summary!$C$15))*('Dvd Calendar'!$Z$400&lt;=Summary!$C$11)=0,"",'Dvd Calendar'!$Z$400*1000000000+ISNUMBER('Dvd Calendar'!$Z$401)*100000000+('Dvd Calendar'!$Z$405='Field Check'!$C$25)*10000000+(N('Dvd Calendar'!$Z$399)&gt;0)*1000000+27*1000+22))</f>
        <v/>
      </c>
      <c r="Y35" s="41">
        <f>IF(N('Dvd Calendar'!$AA$400)=0,"",IF(('Dvd Calendar'!$AA$400&gt;=MIN(DATE(Summary!$C$12,1,1),Summary!$C$11))*('Dvd Calendar'!$AA$400&lt;=MAX(DATE(Summary!$C$12,12,31),Summary!$C$15))*('Dvd Calendar'!$AA$400&lt;=Summary!$C$11)=0,"",'Dvd Calendar'!$AA$400*1000000000+ISNUMBER('Dvd Calendar'!$AA$401)*100000000+('Dvd Calendar'!$AA$405='Field Check'!$C$25)*10000000+(N('Dvd Calendar'!$AA$399)&gt;0)*1000000+27*1000+23))</f>
        <v/>
      </c>
      <c r="Z35" s="41">
        <f>IF(N('Dvd Calendar'!$AB$400)=0,"",IF(('Dvd Calendar'!$AB$400&gt;=MIN(DATE(Summary!$C$12,1,1),Summary!$C$11))*('Dvd Calendar'!$AB$400&lt;=MAX(DATE(Summary!$C$12,12,31),Summary!$C$15))*('Dvd Calendar'!$AB$400&lt;=Summary!$C$11)=0,"",'Dvd Calendar'!$AB$400*1000000000+ISNUMBER('Dvd Calendar'!$AB$401)*100000000+('Dvd Calendar'!$AB$405='Field Check'!$C$25)*10000000+(N('Dvd Calendar'!$AB$399)&gt;0)*1000000+27*1000+24))</f>
        <v/>
      </c>
      <c r="AA35" s="41">
        <f>IF(N('Dvd Calendar'!$AC$400)=0,"",IF(('Dvd Calendar'!$AC$400&gt;=MIN(DATE(Summary!$C$12,1,1),Summary!$C$11))*('Dvd Calendar'!$AC$400&lt;=MAX(DATE(Summary!$C$12,12,31),Summary!$C$15))*('Dvd Calendar'!$AC$400&lt;=Summary!$C$11)=0,"",'Dvd Calendar'!$AC$400*1000000000+ISNUMBER('Dvd Calendar'!$AC$401)*100000000+('Dvd Calendar'!$AC$405='Field Check'!$C$25)*10000000+(N('Dvd Calendar'!$AC$399)&gt;0)*1000000+27*1000+25))</f>
        <v/>
      </c>
      <c r="AB35" s="41">
        <f>IF(N('Dvd Calendar'!$AD$400)=0,"",IF(('Dvd Calendar'!$AD$400&gt;=MIN(DATE(Summary!$C$12,1,1),Summary!$C$11))*('Dvd Calendar'!$AD$400&lt;=MAX(DATE(Summary!$C$12,12,31),Summary!$C$15))*('Dvd Calendar'!$AD$400&lt;=Summary!$C$11)=0,"",'Dvd Calendar'!$AD$400*1000000000+ISNUMBER('Dvd Calendar'!$AD$401)*100000000+('Dvd Calendar'!$AD$405='Field Check'!$C$25)*10000000+(N('Dvd Calendar'!$AD$399)&gt;0)*1000000+27*1000+26))</f>
        <v/>
      </c>
      <c r="AC35" s="41">
        <f>IF(N('Dvd Calendar'!$AE$400)=0,"",IF(('Dvd Calendar'!$AE$400&gt;=MIN(DATE(Summary!$C$12,1,1),Summary!$C$11))*('Dvd Calendar'!$AE$400&lt;=MAX(DATE(Summary!$C$12,12,31),Summary!$C$15))*('Dvd Calendar'!$AE$400&lt;=Summary!$C$11)=0,"",'Dvd Calendar'!$AE$400*1000000000+ISNUMBER('Dvd Calendar'!$AE$401)*100000000+('Dvd Calendar'!$AE$405='Field Check'!$C$25)*10000000+(N('Dvd Calendar'!$AE$399)&gt;0)*1000000+27*1000+27))</f>
        <v/>
      </c>
      <c r="AD35" s="41">
        <f>IF(N('Dvd Calendar'!$AF$400)=0,"",IF(('Dvd Calendar'!$AF$400&gt;=MIN(DATE(Summary!$C$12,1,1),Summary!$C$11))*('Dvd Calendar'!$AF$400&lt;=MAX(DATE(Summary!$C$12,12,31),Summary!$C$15))*('Dvd Calendar'!$AF$400&lt;=Summary!$C$11)=0,"",'Dvd Calendar'!$AF$400*1000000000+ISNUMBER('Dvd Calendar'!$AF$401)*100000000+('Dvd Calendar'!$AF$405='Field Check'!$C$25)*10000000+(N('Dvd Calendar'!$AF$399)&gt;0)*1000000+27*1000+28))</f>
        <v/>
      </c>
      <c r="AE35" s="41">
        <f>IF(N('Dvd Calendar'!$AG$400)=0,"",IF(('Dvd Calendar'!$AG$400&gt;=MIN(DATE(Summary!$C$12,1,1),Summary!$C$11))*('Dvd Calendar'!$AG$400&lt;=MAX(DATE(Summary!$C$12,12,31),Summary!$C$15))*('Dvd Calendar'!$AG$400&lt;=Summary!$C$11)=0,"",'Dvd Calendar'!$AG$400*1000000000+ISNUMBER('Dvd Calendar'!$AG$401)*100000000+('Dvd Calendar'!$AG$405='Field Check'!$C$25)*10000000+(N('Dvd Calendar'!$AG$399)&gt;0)*1000000+27*1000+29))</f>
        <v/>
      </c>
      <c r="AF35" s="41">
        <f>IF(N('Dvd Calendar'!$AH$400)=0,"",IF(('Dvd Calendar'!$AH$400&gt;=MIN(DATE(Summary!$C$12,1,1),Summary!$C$11))*('Dvd Calendar'!$AH$400&lt;=MAX(DATE(Summary!$C$12,12,31),Summary!$C$15))*('Dvd Calendar'!$AH$400&lt;=Summary!$C$11)=0,"",'Dvd Calendar'!$AH$400*1000000000+ISNUMBER('Dvd Calendar'!$AH$401)*100000000+('Dvd Calendar'!$AH$405='Field Check'!$C$25)*10000000+(N('Dvd Calendar'!$AH$399)&gt;0)*1000000+27*1000+30))</f>
        <v/>
      </c>
      <c r="AG35" s="41">
        <f>IF(N('Dvd Calendar'!$AI$400)=0,"",IF(('Dvd Calendar'!$AI$400&gt;=MIN(DATE(Summary!$C$12,1,1),Summary!$C$11))*('Dvd Calendar'!$AI$400&lt;=MAX(DATE(Summary!$C$12,12,31),Summary!$C$15))*('Dvd Calendar'!$AI$400&lt;=Summary!$C$11)=0,"",'Dvd Calendar'!$AI$400*1000000000+ISNUMBER('Dvd Calendar'!$AI$401)*100000000+('Dvd Calendar'!$AI$405='Field Check'!$C$25)*10000000+(N('Dvd Calendar'!$AI$399)&gt;0)*1000000+27*1000+31))</f>
        <v/>
      </c>
      <c r="AH35" s="41">
        <f>IF(N('Dvd Calendar'!$AJ$400)=0,"",IF(('Dvd Calendar'!$AJ$400&gt;=MIN(DATE(Summary!$C$12,1,1),Summary!$C$11))*('Dvd Calendar'!$AJ$400&lt;=MAX(DATE(Summary!$C$12,12,31),Summary!$C$15))*('Dvd Calendar'!$AJ$400&lt;=Summary!$C$11)=0,"",'Dvd Calendar'!$AJ$400*1000000000+ISNUMBER('Dvd Calendar'!$AJ$401)*100000000+('Dvd Calendar'!$AJ$405='Field Check'!$C$25)*10000000+(N('Dvd Calendar'!$AJ$399)&gt;0)*1000000+27*1000+32))</f>
        <v/>
      </c>
      <c r="AI35" s="41">
        <f>IF(N('Dvd Calendar'!$AK$400)=0,"",IF(('Dvd Calendar'!$AK$400&gt;=MIN(DATE(Summary!$C$12,1,1),Summary!$C$11))*('Dvd Calendar'!$AK$400&lt;=MAX(DATE(Summary!$C$12,12,31),Summary!$C$15))*('Dvd Calendar'!$AK$400&lt;=Summary!$C$11)=0,"",'Dvd Calendar'!$AK$400*1000000000+ISNUMBER('Dvd Calendar'!$AK$401)*100000000+('Dvd Calendar'!$AK$405='Field Check'!$C$25)*10000000+(N('Dvd Calendar'!$AK$399)&gt;0)*1000000+27*1000+33))</f>
        <v/>
      </c>
      <c r="AJ35" s="41">
        <f>IF(N('Dvd Calendar'!$AL$400)=0,"",IF(('Dvd Calendar'!$AL$400&gt;=MIN(DATE(Summary!$C$12,1,1),Summary!$C$11))*('Dvd Calendar'!$AL$400&lt;=MAX(DATE(Summary!$C$12,12,31),Summary!$C$15))*('Dvd Calendar'!$AL$400&lt;=Summary!$C$11)=0,"",'Dvd Calendar'!$AL$400*1000000000+ISNUMBER('Dvd Calendar'!$AL$401)*100000000+('Dvd Calendar'!$AL$405='Field Check'!$C$25)*10000000+(N('Dvd Calendar'!$AL$399)&gt;0)*1000000+27*1000+34))</f>
        <v/>
      </c>
      <c r="AK35" s="41">
        <f>IF(N('Dvd Calendar'!$AM$400)=0,"",IF(('Dvd Calendar'!$AM$400&gt;=MIN(DATE(Summary!$C$12,1,1),Summary!$C$11))*('Dvd Calendar'!$AM$400&lt;=MAX(DATE(Summary!$C$12,12,31),Summary!$C$15))*('Dvd Calendar'!$AM$400&lt;=Summary!$C$11)=0,"",'Dvd Calendar'!$AM$400*1000000000+ISNUMBER('Dvd Calendar'!$AM$401)*100000000+('Dvd Calendar'!$AM$405='Field Check'!$C$25)*10000000+(N('Dvd Calendar'!$AM$399)&gt;0)*1000000+27*1000+35))</f>
        <v/>
      </c>
      <c r="AL35" s="41">
        <f>IF(N('Dvd Calendar'!$AN$400)=0,"",IF(('Dvd Calendar'!$AN$400&gt;=MIN(DATE(Summary!$C$12,1,1),Summary!$C$11))*('Dvd Calendar'!$AN$400&lt;=MAX(DATE(Summary!$C$12,12,31),Summary!$C$15))*('Dvd Calendar'!$AN$400&lt;=Summary!$C$11)=0,"",'Dvd Calendar'!$AN$400*1000000000+ISNUMBER('Dvd Calendar'!$AN$401)*100000000+('Dvd Calendar'!$AN$405='Field Check'!$C$25)*10000000+(N('Dvd Calendar'!$AN$399)&gt;0)*1000000+27*1000+36))</f>
        <v/>
      </c>
      <c r="AM35" s="41">
        <f>IF(N('Dvd Calendar'!$AO$400)=0,"",IF(('Dvd Calendar'!$AO$400&gt;=MIN(DATE(Summary!$C$12,1,1),Summary!$C$11))*('Dvd Calendar'!$AO$400&lt;=MAX(DATE(Summary!$C$12,12,31),Summary!$C$15))*('Dvd Calendar'!$AO$400&lt;=Summary!$C$11)=0,"",'Dvd Calendar'!$AO$400*1000000000+ISNUMBER('Dvd Calendar'!$AO$401)*100000000+('Dvd Calendar'!$AO$405='Field Check'!$C$25)*10000000+(N('Dvd Calendar'!$AO$399)&gt;0)*1000000+27*1000+37))</f>
        <v/>
      </c>
      <c r="AN35" s="41">
        <f>IF(N('Dvd Calendar'!$AP$400)=0,"",IF(('Dvd Calendar'!$AP$400&gt;=MIN(DATE(Summary!$C$12,1,1),Summary!$C$11))*('Dvd Calendar'!$AP$400&lt;=MAX(DATE(Summary!$C$12,12,31),Summary!$C$15))*('Dvd Calendar'!$AP$400&lt;=Summary!$C$11)=0,"",'Dvd Calendar'!$AP$400*1000000000+ISNUMBER('Dvd Calendar'!$AP$401)*100000000+('Dvd Calendar'!$AP$405='Field Check'!$C$25)*10000000+(N('Dvd Calendar'!$AP$399)&gt;0)*1000000+27*1000+38))</f>
        <v/>
      </c>
      <c r="AO35" s="41">
        <f>IF(N('Dvd Calendar'!$AQ$400)=0,"",IF(('Dvd Calendar'!$AQ$400&gt;=MIN(DATE(Summary!$C$12,1,1),Summary!$C$11))*('Dvd Calendar'!$AQ$400&lt;=MAX(DATE(Summary!$C$12,12,31),Summary!$C$15))*('Dvd Calendar'!$AQ$400&lt;=Summary!$C$11)=0,"",'Dvd Calendar'!$AQ$400*1000000000+ISNUMBER('Dvd Calendar'!$AQ$401)*100000000+('Dvd Calendar'!$AQ$405='Field Check'!$C$25)*10000000+(N('Dvd Calendar'!$AQ$399)&gt;0)*1000000+27*1000+39))</f>
        <v/>
      </c>
      <c r="AP35" s="41">
        <f>IF(N('Dvd Calendar'!$AR$400)=0,"",IF(('Dvd Calendar'!$AR$400&gt;=MIN(DATE(Summary!$C$12,1,1),Summary!$C$11))*('Dvd Calendar'!$AR$400&lt;=MAX(DATE(Summary!$C$12,12,31),Summary!$C$15))*('Dvd Calendar'!$AR$400&lt;=Summary!$C$11)=0,"",'Dvd Calendar'!$AR$400*1000000000+ISNUMBER('Dvd Calendar'!$AR$401)*100000000+('Dvd Calendar'!$AR$405='Field Check'!$C$25)*10000000+(N('Dvd Calendar'!$AR$399)&gt;0)*1000000+27*1000+40))</f>
        <v/>
      </c>
      <c r="AQ35" s="41">
        <f>IF(N('Dvd Calendar'!$E$407)=0,"",IF(('Dvd Calendar'!$E$407&gt;=MIN(DATE(Summary!$C$12,1,1),Summary!$C$11))*('Dvd Calendar'!$E$407&lt;=MAX(DATE(Summary!$C$12,12,31),Summary!$C$15))*('Dvd Calendar'!$E$407&gt;Summary!$C$11)=0,"",'Dvd Calendar'!$E$407*1000000000+ISNUMBER('Dvd Calendar'!$E$408)*100000000+('Dvd Calendar'!$E$412='Field Check'!$C$25)*10000000+(N('Dvd Calendar'!$E$406)&gt;0)*1000000+27*1000+41))</f>
        <v/>
      </c>
      <c r="AR35" s="41">
        <f>IF(N('Dvd Calendar'!$F$407)=0,"",IF(('Dvd Calendar'!$F$407&gt;=MIN(DATE(Summary!$C$12,1,1),Summary!$C$11))*('Dvd Calendar'!$F$407&lt;=MAX(DATE(Summary!$C$12,12,31),Summary!$C$15))*('Dvd Calendar'!$F$407&gt;Summary!$C$11)=0,"",'Dvd Calendar'!$F$407*1000000000+ISNUMBER('Dvd Calendar'!$F$408)*100000000+('Dvd Calendar'!$F$412='Field Check'!$C$25)*10000000+(N('Dvd Calendar'!$F$406)&gt;0)*1000000+27*1000+42))</f>
        <v/>
      </c>
      <c r="AS35" s="41">
        <f>IF(N('Dvd Calendar'!$G$407)=0,"",IF(('Dvd Calendar'!$G$407&gt;=MIN(DATE(Summary!$C$12,1,1),Summary!$C$11))*('Dvd Calendar'!$G$407&lt;=MAX(DATE(Summary!$C$12,12,31),Summary!$C$15))*('Dvd Calendar'!$G$407&gt;Summary!$C$11)=0,"",'Dvd Calendar'!$G$407*1000000000+ISNUMBER('Dvd Calendar'!$G$408)*100000000+('Dvd Calendar'!$G$412='Field Check'!$C$25)*10000000+(N('Dvd Calendar'!$G$406)&gt;0)*1000000+27*1000+43))</f>
        <v/>
      </c>
      <c r="AT35" s="41">
        <f>IF(N('Dvd Calendar'!$H$407)=0,"",IF(('Dvd Calendar'!$H$407&gt;=MIN(DATE(Summary!$C$12,1,1),Summary!$C$11))*('Dvd Calendar'!$H$407&lt;=MAX(DATE(Summary!$C$12,12,31),Summary!$C$15))*('Dvd Calendar'!$H$407&gt;Summary!$C$11)=0,"",'Dvd Calendar'!$H$407*1000000000+ISNUMBER('Dvd Calendar'!$H$408)*100000000+('Dvd Calendar'!$H$412='Field Check'!$C$25)*10000000+(N('Dvd Calendar'!$H$406)&gt;0)*1000000+27*1000+44))</f>
        <v/>
      </c>
      <c r="AU35" s="41">
        <f>IF(N('Dvd Calendar'!$I$407)=0,"",IF(('Dvd Calendar'!$I$407&gt;=MIN(DATE(Summary!$C$12,1,1),Summary!$C$11))*('Dvd Calendar'!$I$407&lt;=MAX(DATE(Summary!$C$12,12,31),Summary!$C$15))*('Dvd Calendar'!$I$407&gt;Summary!$C$11)=0,"",'Dvd Calendar'!$I$407*1000000000+ISNUMBER('Dvd Calendar'!$I$408)*100000000+('Dvd Calendar'!$I$412='Field Check'!$C$25)*10000000+(N('Dvd Calendar'!$I$406)&gt;0)*1000000+27*1000+45))</f>
        <v/>
      </c>
      <c r="AV35" s="41">
        <f>IF(N('Dvd Calendar'!$J$407)=0,"",IF(('Dvd Calendar'!$J$407&gt;=MIN(DATE(Summary!$C$12,1,1),Summary!$C$11))*('Dvd Calendar'!$J$407&lt;=MAX(DATE(Summary!$C$12,12,31),Summary!$C$15))*('Dvd Calendar'!$J$407&gt;Summary!$C$11)=0,"",'Dvd Calendar'!$J$407*1000000000+ISNUMBER('Dvd Calendar'!$J$408)*100000000+('Dvd Calendar'!$J$412='Field Check'!$C$25)*10000000+(N('Dvd Calendar'!$J$406)&gt;0)*1000000+27*1000+46))</f>
        <v/>
      </c>
      <c r="AW35" s="41">
        <f>IF(N('Dvd Calendar'!$K$407)=0,"",IF(('Dvd Calendar'!$K$407&gt;=MIN(DATE(Summary!$C$12,1,1),Summary!$C$11))*('Dvd Calendar'!$K$407&lt;=MAX(DATE(Summary!$C$12,12,31),Summary!$C$15))*('Dvd Calendar'!$K$407&gt;Summary!$C$11)=0,"",'Dvd Calendar'!$K$407*1000000000+ISNUMBER('Dvd Calendar'!$K$408)*100000000+('Dvd Calendar'!$K$412='Field Check'!$C$25)*10000000+(N('Dvd Calendar'!$K$406)&gt;0)*1000000+27*1000+47))</f>
        <v/>
      </c>
      <c r="AX35" s="41">
        <f>IF(N('Dvd Calendar'!$L$407)=0,"",IF(('Dvd Calendar'!$L$407&gt;=MIN(DATE(Summary!$C$12,1,1),Summary!$C$11))*('Dvd Calendar'!$L$407&lt;=MAX(DATE(Summary!$C$12,12,31),Summary!$C$15))*('Dvd Calendar'!$L$407&gt;Summary!$C$11)=0,"",'Dvd Calendar'!$L$407*1000000000+ISNUMBER('Dvd Calendar'!$L$408)*100000000+('Dvd Calendar'!$L$412='Field Check'!$C$25)*10000000+(N('Dvd Calendar'!$L$406)&gt;0)*1000000+27*1000+48))</f>
        <v/>
      </c>
      <c r="AY35" s="41">
        <f>IF(N('Dvd Calendar'!$M$407)=0,"",IF(('Dvd Calendar'!$M$407&gt;=MIN(DATE(Summary!$C$12,1,1),Summary!$C$11))*('Dvd Calendar'!$M$407&lt;=MAX(DATE(Summary!$C$12,12,31),Summary!$C$15))*('Dvd Calendar'!$M$407&gt;Summary!$C$11)=0,"",'Dvd Calendar'!$M$407*1000000000+ISNUMBER('Dvd Calendar'!$M$408)*100000000+('Dvd Calendar'!$M$412='Field Check'!$C$25)*10000000+(N('Dvd Calendar'!$M$406)&gt;0)*1000000+27*1000+49))</f>
        <v/>
      </c>
      <c r="AZ35" s="41">
        <f>IF(N('Dvd Calendar'!$N$407)=0,"",IF(('Dvd Calendar'!$N$407&gt;=MIN(DATE(Summary!$C$12,1,1),Summary!$C$11))*('Dvd Calendar'!$N$407&lt;=MAX(DATE(Summary!$C$12,12,31),Summary!$C$15))*('Dvd Calendar'!$N$407&gt;Summary!$C$11)=0,"",'Dvd Calendar'!$N$407*1000000000+ISNUMBER('Dvd Calendar'!$N$408)*100000000+('Dvd Calendar'!$N$412='Field Check'!$C$25)*10000000+(N('Dvd Calendar'!$N$406)&gt;0)*1000000+27*1000+50))</f>
        <v/>
      </c>
      <c r="BA35" s="41">
        <f>IF(N('Dvd Calendar'!$O$407)=0,"",IF(('Dvd Calendar'!$O$407&gt;=MIN(DATE(Summary!$C$12,1,1),Summary!$C$11))*('Dvd Calendar'!$O$407&lt;=MAX(DATE(Summary!$C$12,12,31),Summary!$C$15))*('Dvd Calendar'!$O$407&gt;Summary!$C$11)=0,"",'Dvd Calendar'!$O$407*1000000000+ISNUMBER('Dvd Calendar'!$O$408)*100000000+('Dvd Calendar'!$O$412='Field Check'!$C$25)*10000000+(N('Dvd Calendar'!$O$406)&gt;0)*1000000+27*1000+51))</f>
        <v/>
      </c>
      <c r="BB35" s="41">
        <f>IF(N('Dvd Calendar'!$P$407)=0,"",IF(('Dvd Calendar'!$P$407&gt;=MIN(DATE(Summary!$C$12,1,1),Summary!$C$11))*('Dvd Calendar'!$P$407&lt;=MAX(DATE(Summary!$C$12,12,31),Summary!$C$15))*('Dvd Calendar'!$P$407&gt;Summary!$C$11)=0,"",'Dvd Calendar'!$P$407*1000000000+ISNUMBER('Dvd Calendar'!$P$408)*100000000+('Dvd Calendar'!$P$412='Field Check'!$C$25)*10000000+(N('Dvd Calendar'!$P$406)&gt;0)*1000000+27*1000+52))</f>
        <v/>
      </c>
      <c r="BC35" s="41">
        <f>IF(N('Dvd Calendar'!$Q$407)=0,"",IF(('Dvd Calendar'!$Q$407&gt;=MIN(DATE(Summary!$C$12,1,1),Summary!$C$11))*('Dvd Calendar'!$Q$407&lt;=MAX(DATE(Summary!$C$12,12,31),Summary!$C$15))*('Dvd Calendar'!$Q$407&gt;Summary!$C$11)=0,"",'Dvd Calendar'!$Q$407*1000000000+ISNUMBER('Dvd Calendar'!$Q$408)*100000000+('Dvd Calendar'!$Q$412='Field Check'!$C$25)*10000000+(N('Dvd Calendar'!$Q$406)&gt;0)*1000000+27*1000+53))</f>
        <v/>
      </c>
      <c r="BD35" s="41">
        <f>IF(N('Dvd Calendar'!$R$407)=0,"",IF(('Dvd Calendar'!$R$407&gt;=MIN(DATE(Summary!$C$12,1,1),Summary!$C$11))*('Dvd Calendar'!$R$407&lt;=MAX(DATE(Summary!$C$12,12,31),Summary!$C$15))*('Dvd Calendar'!$R$407&gt;Summary!$C$11)=0,"",'Dvd Calendar'!$R$407*1000000000+ISNUMBER('Dvd Calendar'!$R$408)*100000000+('Dvd Calendar'!$R$412='Field Check'!$C$25)*10000000+(N('Dvd Calendar'!$R$406)&gt;0)*1000000+27*1000+54))</f>
        <v/>
      </c>
      <c r="BE35" s="41">
        <f>IF(N('Dvd Calendar'!$S$407)=0,"",IF(('Dvd Calendar'!$S$407&gt;=MIN(DATE(Summary!$C$12,1,1),Summary!$C$11))*('Dvd Calendar'!$S$407&lt;=MAX(DATE(Summary!$C$12,12,31),Summary!$C$15))*('Dvd Calendar'!$S$407&gt;Summary!$C$11)=0,"",'Dvd Calendar'!$S$407*1000000000+ISNUMBER('Dvd Calendar'!$S$408)*100000000+('Dvd Calendar'!$S$412='Field Check'!$C$25)*10000000+(N('Dvd Calendar'!$S$406)&gt;0)*1000000+27*1000+55))</f>
        <v/>
      </c>
      <c r="BF35" s="41">
        <f>IF(N('Dvd Calendar'!$T$407)=0,"",IF(('Dvd Calendar'!$T$407&gt;=MIN(DATE(Summary!$C$12,1,1),Summary!$C$11))*('Dvd Calendar'!$T$407&lt;=MAX(DATE(Summary!$C$12,12,31),Summary!$C$15))*('Dvd Calendar'!$T$407&gt;Summary!$C$11)=0,"",'Dvd Calendar'!$T$407*1000000000+ISNUMBER('Dvd Calendar'!$T$408)*100000000+('Dvd Calendar'!$T$412='Field Check'!$C$25)*10000000+(N('Dvd Calendar'!$T$406)&gt;0)*1000000+27*1000+56))</f>
        <v/>
      </c>
      <c r="BG35" s="41">
        <f>IF(N('Dvd Calendar'!$U$407)=0,"",IF(('Dvd Calendar'!$U$407&gt;=MIN(DATE(Summary!$C$12,1,1),Summary!$C$11))*('Dvd Calendar'!$U$407&lt;=MAX(DATE(Summary!$C$12,12,31),Summary!$C$15))*('Dvd Calendar'!$U$407&gt;Summary!$C$11)=0,"",'Dvd Calendar'!$U$407*1000000000+ISNUMBER('Dvd Calendar'!$U$408)*100000000+('Dvd Calendar'!$U$412='Field Check'!$C$25)*10000000+(N('Dvd Calendar'!$U$406)&gt;0)*1000000+27*1000+57))</f>
        <v/>
      </c>
      <c r="BH35" s="41">
        <f>IF(N('Dvd Calendar'!$V$407)=0,"",IF(('Dvd Calendar'!$V$407&gt;=MIN(DATE(Summary!$C$12,1,1),Summary!$C$11))*('Dvd Calendar'!$V$407&lt;=MAX(DATE(Summary!$C$12,12,31),Summary!$C$15))*('Dvd Calendar'!$V$407&gt;Summary!$C$11)=0,"",'Dvd Calendar'!$V$407*1000000000+ISNUMBER('Dvd Calendar'!$V$408)*100000000+('Dvd Calendar'!$V$412='Field Check'!$C$25)*10000000+(N('Dvd Calendar'!$V$406)&gt;0)*1000000+27*1000+58))</f>
        <v/>
      </c>
      <c r="BI35" s="41">
        <f>IF(N('Dvd Calendar'!$W$407)=0,"",IF(('Dvd Calendar'!$W$407&gt;=MIN(DATE(Summary!$C$12,1,1),Summary!$C$11))*('Dvd Calendar'!$W$407&lt;=MAX(DATE(Summary!$C$12,12,31),Summary!$C$15))*('Dvd Calendar'!$W$407&gt;Summary!$C$11)=0,"",'Dvd Calendar'!$W$407*1000000000+ISNUMBER('Dvd Calendar'!$W$408)*100000000+('Dvd Calendar'!$W$412='Field Check'!$C$25)*10000000+(N('Dvd Calendar'!$W$406)&gt;0)*1000000+27*1000+59))</f>
        <v/>
      </c>
      <c r="BJ35" s="41">
        <f>IF(N('Dvd Calendar'!$X$407)=0,"",IF(('Dvd Calendar'!$X$407&gt;=MIN(DATE(Summary!$C$12,1,1),Summary!$C$11))*('Dvd Calendar'!$X$407&lt;=MAX(DATE(Summary!$C$12,12,31),Summary!$C$15))*('Dvd Calendar'!$X$407&gt;Summary!$C$11)=0,"",'Dvd Calendar'!$X$407*1000000000+ISNUMBER('Dvd Calendar'!$X$408)*100000000+('Dvd Calendar'!$X$412='Field Check'!$C$25)*10000000+(N('Dvd Calendar'!$X$406)&gt;0)*1000000+27*1000+60))</f>
        <v/>
      </c>
      <c r="BK35" s="41">
        <f>IF(N('Dvd Calendar'!$Y$407)=0,"",IF(('Dvd Calendar'!$Y$407&gt;=MIN(DATE(Summary!$C$12,1,1),Summary!$C$11))*('Dvd Calendar'!$Y$407&lt;=MAX(DATE(Summary!$C$12,12,31),Summary!$C$15))*('Dvd Calendar'!$Y$407&gt;Summary!$C$11)=0,"",'Dvd Calendar'!$Y$407*1000000000+ISNUMBER('Dvd Calendar'!$Y$408)*100000000+('Dvd Calendar'!$Y$412='Field Check'!$C$25)*10000000+(N('Dvd Calendar'!$Y$406)&gt;0)*1000000+27*1000+61))</f>
        <v/>
      </c>
      <c r="BL35" s="41">
        <f>IF(N('Dvd Calendar'!$Z$407)=0,"",IF(('Dvd Calendar'!$Z$407&gt;=MIN(DATE(Summary!$C$12,1,1),Summary!$C$11))*('Dvd Calendar'!$Z$407&lt;=MAX(DATE(Summary!$C$12,12,31),Summary!$C$15))*('Dvd Calendar'!$Z$407&gt;Summary!$C$11)=0,"",'Dvd Calendar'!$Z$407*1000000000+ISNUMBER('Dvd Calendar'!$Z$408)*100000000+('Dvd Calendar'!$Z$412='Field Check'!$C$25)*10000000+(N('Dvd Calendar'!$Z$406)&gt;0)*1000000+27*1000+62))</f>
        <v/>
      </c>
      <c r="BM35" s="41">
        <f>IF(N('Dvd Calendar'!$AA$407)=0,"",IF(('Dvd Calendar'!$AA$407&gt;=MIN(DATE(Summary!$C$12,1,1),Summary!$C$11))*('Dvd Calendar'!$AA$407&lt;=MAX(DATE(Summary!$C$12,12,31),Summary!$C$15))*('Dvd Calendar'!$AA$407&gt;Summary!$C$11)=0,"",'Dvd Calendar'!$AA$407*1000000000+ISNUMBER('Dvd Calendar'!$AA$408)*100000000+('Dvd Calendar'!$AA$412='Field Check'!$C$25)*10000000+(N('Dvd Calendar'!$AA$406)&gt;0)*1000000+27*1000+63))</f>
        <v/>
      </c>
      <c r="BN35" s="41">
        <f>IF(N('Dvd Calendar'!$AB$407)=0,"",IF(('Dvd Calendar'!$AB$407&gt;=MIN(DATE(Summary!$C$12,1,1),Summary!$C$11))*('Dvd Calendar'!$AB$407&lt;=MAX(DATE(Summary!$C$12,12,31),Summary!$C$15))*('Dvd Calendar'!$AB$407&gt;Summary!$C$11)=0,"",'Dvd Calendar'!$AB$407*1000000000+ISNUMBER('Dvd Calendar'!$AB$408)*100000000+('Dvd Calendar'!$AB$412='Field Check'!$C$25)*10000000+(N('Dvd Calendar'!$AB$406)&gt;0)*1000000+27*1000+64))</f>
        <v/>
      </c>
      <c r="BO35" s="41">
        <f>IF(N('Dvd Calendar'!$AC$407)=0,"",IF(('Dvd Calendar'!$AC$407&gt;=MIN(DATE(Summary!$C$12,1,1),Summary!$C$11))*('Dvd Calendar'!$AC$407&lt;=MAX(DATE(Summary!$C$12,12,31),Summary!$C$15))*('Dvd Calendar'!$AC$407&gt;Summary!$C$11)=0,"",'Dvd Calendar'!$AC$407*1000000000+ISNUMBER('Dvd Calendar'!$AC$408)*100000000+('Dvd Calendar'!$AC$412='Field Check'!$C$25)*10000000+(N('Dvd Calendar'!$AC$406)&gt;0)*1000000+27*1000+65))</f>
        <v/>
      </c>
      <c r="BQ35" s="85">
        <f>IF(C35="","",IF(ISNUMBER('Dvd Calendar'!$E$401)=FALSE,"",IF((Summary!$C$13="N")*('Dvd Calendar'!$E$405='Field Check'!$C$25)&gt;0,"",'Dvd Calendar'!$E$401)))</f>
        <v/>
      </c>
      <c r="BR35" s="85">
        <f>IF(D35="","",IF(ISNUMBER('Dvd Calendar'!$F$401)=FALSE,"",IF((Summary!$C$13="N")*('Dvd Calendar'!$F$405='Field Check'!$C$25)&gt;0,"",'Dvd Calendar'!$F$401)))</f>
        <v/>
      </c>
      <c r="BS35" s="85">
        <f>IF(E35="","",IF(ISNUMBER('Dvd Calendar'!$G$401)=FALSE,"",IF((Summary!$C$13="N")*('Dvd Calendar'!$G$405='Field Check'!$C$25)&gt;0,"",'Dvd Calendar'!$G$401)))</f>
        <v/>
      </c>
      <c r="BT35" s="85">
        <f>IF(F35="","",IF(ISNUMBER('Dvd Calendar'!$H$401)=FALSE,"",IF((Summary!$C$13="N")*('Dvd Calendar'!$H$405='Field Check'!$C$25)&gt;0,"",'Dvd Calendar'!$H$401)))</f>
        <v/>
      </c>
      <c r="BU35" s="85">
        <f>IF(G35="","",IF(ISNUMBER('Dvd Calendar'!$I$401)=FALSE,"",IF((Summary!$C$13="N")*('Dvd Calendar'!$I$405='Field Check'!$C$25)&gt;0,"",'Dvd Calendar'!$I$401)))</f>
        <v/>
      </c>
      <c r="BV35" s="85">
        <f>IF(H35="","",IF(ISNUMBER('Dvd Calendar'!$J$401)=FALSE,"",IF((Summary!$C$13="N")*('Dvd Calendar'!$J$405='Field Check'!$C$25)&gt;0,"",'Dvd Calendar'!$J$401)))</f>
        <v/>
      </c>
      <c r="BW35" s="85">
        <f>IF(I35="","",IF(ISNUMBER('Dvd Calendar'!$K$401)=FALSE,"",IF((Summary!$C$13="N")*('Dvd Calendar'!$K$405='Field Check'!$C$25)&gt;0,"",'Dvd Calendar'!$K$401)))</f>
        <v/>
      </c>
      <c r="BX35" s="85">
        <f>IF(J35="","",IF(ISNUMBER('Dvd Calendar'!$L$401)=FALSE,"",IF((Summary!$C$13="N")*('Dvd Calendar'!$L$405='Field Check'!$C$25)&gt;0,"",'Dvd Calendar'!$L$401)))</f>
        <v/>
      </c>
      <c r="BY35" s="85">
        <f>IF(K35="","",IF(ISNUMBER('Dvd Calendar'!$M$401)=FALSE,"",IF((Summary!$C$13="N")*('Dvd Calendar'!$M$405='Field Check'!$C$25)&gt;0,"",'Dvd Calendar'!$M$401)))</f>
        <v/>
      </c>
      <c r="BZ35" s="85">
        <f>IF(L35="","",IF(ISNUMBER('Dvd Calendar'!$N$401)=FALSE,"",IF((Summary!$C$13="N")*('Dvd Calendar'!$N$405='Field Check'!$C$25)&gt;0,"",'Dvd Calendar'!$N$401)))</f>
        <v/>
      </c>
      <c r="CA35" s="85">
        <f>IF(M35="","",IF(ISNUMBER('Dvd Calendar'!$O$401)=FALSE,"",IF((Summary!$C$13="N")*('Dvd Calendar'!$O$405='Field Check'!$C$25)&gt;0,"",'Dvd Calendar'!$O$401)))</f>
        <v/>
      </c>
      <c r="CB35" s="85">
        <f>IF(N35="","",IF(ISNUMBER('Dvd Calendar'!$P$401)=FALSE,"",IF((Summary!$C$13="N")*('Dvd Calendar'!$P$405='Field Check'!$C$25)&gt;0,"",'Dvd Calendar'!$P$401)))</f>
        <v/>
      </c>
      <c r="CC35" s="85">
        <f>IF(O35="","",IF(ISNUMBER('Dvd Calendar'!$Q$401)=FALSE,"",IF((Summary!$C$13="N")*('Dvd Calendar'!$Q$405='Field Check'!$C$25)&gt;0,"",'Dvd Calendar'!$Q$401)))</f>
        <v/>
      </c>
      <c r="CD35" s="85">
        <f>IF(P35="","",IF(ISNUMBER('Dvd Calendar'!$R$401)=FALSE,"",IF((Summary!$C$13="N")*('Dvd Calendar'!$R$405='Field Check'!$C$25)&gt;0,"",'Dvd Calendar'!$R$401)))</f>
        <v/>
      </c>
      <c r="CE35" s="85">
        <f>IF(Q35="","",IF(ISNUMBER('Dvd Calendar'!$S$401)=FALSE,"",IF((Summary!$C$13="N")*('Dvd Calendar'!$S$405='Field Check'!$C$25)&gt;0,"",'Dvd Calendar'!$S$401)))</f>
        <v/>
      </c>
      <c r="CF35" s="85">
        <f>IF(R35="","",IF(ISNUMBER('Dvd Calendar'!$T$401)=FALSE,"",IF((Summary!$C$13="N")*('Dvd Calendar'!$T$405='Field Check'!$C$25)&gt;0,"",'Dvd Calendar'!$T$401)))</f>
        <v/>
      </c>
      <c r="CG35" s="85">
        <f>IF(S35="","",IF(ISNUMBER('Dvd Calendar'!$U$401)=FALSE,"",IF((Summary!$C$13="N")*('Dvd Calendar'!$U$405='Field Check'!$C$25)&gt;0,"",'Dvd Calendar'!$U$401)))</f>
        <v/>
      </c>
      <c r="CH35" s="85">
        <f>IF(T35="","",IF(ISNUMBER('Dvd Calendar'!$V$401)=FALSE,"",IF((Summary!$C$13="N")*('Dvd Calendar'!$V$405='Field Check'!$C$25)&gt;0,"",'Dvd Calendar'!$V$401)))</f>
        <v/>
      </c>
      <c r="CI35" s="85">
        <f>IF(U35="","",IF(ISNUMBER('Dvd Calendar'!$W$401)=FALSE,"",IF((Summary!$C$13="N")*('Dvd Calendar'!$W$405='Field Check'!$C$25)&gt;0,"",'Dvd Calendar'!$W$401)))</f>
        <v/>
      </c>
      <c r="CJ35" s="85">
        <f>IF(V35="","",IF(ISNUMBER('Dvd Calendar'!$X$401)=FALSE,"",IF((Summary!$C$13="N")*('Dvd Calendar'!$X$405='Field Check'!$C$25)&gt;0,"",'Dvd Calendar'!$X$401)))</f>
        <v/>
      </c>
      <c r="CK35" s="85">
        <f>IF(W35="","",IF(ISNUMBER('Dvd Calendar'!$Y$401)=FALSE,"",IF((Summary!$C$13="N")*('Dvd Calendar'!$Y$405='Field Check'!$C$25)&gt;0,"",'Dvd Calendar'!$Y$401)))</f>
        <v/>
      </c>
      <c r="CL35" s="85">
        <f>IF(X35="","",IF(ISNUMBER('Dvd Calendar'!$Z$401)=FALSE,"",IF((Summary!$C$13="N")*('Dvd Calendar'!$Z$405='Field Check'!$C$25)&gt;0,"",'Dvd Calendar'!$Z$401)))</f>
        <v/>
      </c>
      <c r="CM35" s="85">
        <f>IF(Y35="","",IF(ISNUMBER('Dvd Calendar'!$AA$401)=FALSE,"",IF((Summary!$C$13="N")*('Dvd Calendar'!$AA$405='Field Check'!$C$25)&gt;0,"",'Dvd Calendar'!$AA$401)))</f>
        <v/>
      </c>
      <c r="CN35" s="85">
        <f>IF(Z35="","",IF(ISNUMBER('Dvd Calendar'!$AB$401)=FALSE,"",IF((Summary!$C$13="N")*('Dvd Calendar'!$AB$405='Field Check'!$C$25)&gt;0,"",'Dvd Calendar'!$AB$401)))</f>
        <v/>
      </c>
      <c r="CO35" s="85">
        <f>IF(AA35="","",IF(ISNUMBER('Dvd Calendar'!$AC$401)=FALSE,"",IF((Summary!$C$13="N")*('Dvd Calendar'!$AC$405='Field Check'!$C$25)&gt;0,"",'Dvd Calendar'!$AC$401)))</f>
        <v/>
      </c>
      <c r="CP35" s="85">
        <f>IF(AB35="","",IF(ISNUMBER('Dvd Calendar'!$AD$401)=FALSE,"",IF((Summary!$C$13="N")*('Dvd Calendar'!$AD$405='Field Check'!$C$25)&gt;0,"",'Dvd Calendar'!$AD$401)))</f>
        <v/>
      </c>
      <c r="CQ35" s="85">
        <f>IF(AC35="","",IF(ISNUMBER('Dvd Calendar'!$AE$401)=FALSE,"",IF((Summary!$C$13="N")*('Dvd Calendar'!$AE$405='Field Check'!$C$25)&gt;0,"",'Dvd Calendar'!$AE$401)))</f>
        <v/>
      </c>
      <c r="CR35" s="85">
        <f>IF(AD35="","",IF(ISNUMBER('Dvd Calendar'!$AF$401)=FALSE,"",IF((Summary!$C$13="N")*('Dvd Calendar'!$AF$405='Field Check'!$C$25)&gt;0,"",'Dvd Calendar'!$AF$401)))</f>
        <v/>
      </c>
      <c r="CS35" s="85">
        <f>IF(AE35="","",IF(ISNUMBER('Dvd Calendar'!$AG$401)=FALSE,"",IF((Summary!$C$13="N")*('Dvd Calendar'!$AG$405='Field Check'!$C$25)&gt;0,"",'Dvd Calendar'!$AG$401)))</f>
        <v/>
      </c>
      <c r="CT35" s="85">
        <f>IF(AF35="","",IF(ISNUMBER('Dvd Calendar'!$AH$401)=FALSE,"",IF((Summary!$C$13="N")*('Dvd Calendar'!$AH$405='Field Check'!$C$25)&gt;0,"",'Dvd Calendar'!$AH$401)))</f>
        <v/>
      </c>
      <c r="CU35" s="85">
        <f>IF(AG35="","",IF(ISNUMBER('Dvd Calendar'!$AI$401)=FALSE,"",IF((Summary!$C$13="N")*('Dvd Calendar'!$AI$405='Field Check'!$C$25)&gt;0,"",'Dvd Calendar'!$AI$401)))</f>
        <v/>
      </c>
      <c r="CV35" s="85">
        <f>IF(AH35="","",IF(ISNUMBER('Dvd Calendar'!$AJ$401)=FALSE,"",IF((Summary!$C$13="N")*('Dvd Calendar'!$AJ$405='Field Check'!$C$25)&gt;0,"",'Dvd Calendar'!$AJ$401)))</f>
        <v/>
      </c>
      <c r="CW35" s="85">
        <f>IF(AI35="","",IF(ISNUMBER('Dvd Calendar'!$AK$401)=FALSE,"",IF((Summary!$C$13="N")*('Dvd Calendar'!$AK$405='Field Check'!$C$25)&gt;0,"",'Dvd Calendar'!$AK$401)))</f>
        <v/>
      </c>
      <c r="CX35" s="85">
        <f>IF(AJ35="","",IF(ISNUMBER('Dvd Calendar'!$AL$401)=FALSE,"",IF((Summary!$C$13="N")*('Dvd Calendar'!$AL$405='Field Check'!$C$25)&gt;0,"",'Dvd Calendar'!$AL$401)))</f>
        <v/>
      </c>
      <c r="CY35" s="85">
        <f>IF(AK35="","",IF(ISNUMBER('Dvd Calendar'!$AM$401)=FALSE,"",IF((Summary!$C$13="N")*('Dvd Calendar'!$AM$405='Field Check'!$C$25)&gt;0,"",'Dvd Calendar'!$AM$401)))</f>
        <v/>
      </c>
      <c r="CZ35" s="85">
        <f>IF(AL35="","",IF(ISNUMBER('Dvd Calendar'!$AN$401)=FALSE,"",IF((Summary!$C$13="N")*('Dvd Calendar'!$AN$405='Field Check'!$C$25)&gt;0,"",'Dvd Calendar'!$AN$401)))</f>
        <v/>
      </c>
      <c r="DA35" s="85">
        <f>IF(AM35="","",IF(ISNUMBER('Dvd Calendar'!$AO$401)=FALSE,"",IF((Summary!$C$13="N")*('Dvd Calendar'!$AO$405='Field Check'!$C$25)&gt;0,"",'Dvd Calendar'!$AO$401)))</f>
        <v/>
      </c>
      <c r="DB35" s="85">
        <f>IF(AN35="","",IF(ISNUMBER('Dvd Calendar'!$AP$401)=FALSE,"",IF((Summary!$C$13="N")*('Dvd Calendar'!$AP$405='Field Check'!$C$25)&gt;0,"",'Dvd Calendar'!$AP$401)))</f>
        <v/>
      </c>
      <c r="DC35" s="85">
        <f>IF(AO35="","",IF(ISNUMBER('Dvd Calendar'!$AQ$401)=FALSE,"",IF((Summary!$C$13="N")*('Dvd Calendar'!$AQ$405='Field Check'!$C$25)&gt;0,"",'Dvd Calendar'!$AQ$401)))</f>
        <v/>
      </c>
      <c r="DD35" s="85">
        <f>IF(AP35="","",IF(ISNUMBER('Dvd Calendar'!$AR$401)=FALSE,"",IF((Summary!$C$13="N")*('Dvd Calendar'!$AR$405='Field Check'!$C$25)&gt;0,"",'Dvd Calendar'!$AR$401)))</f>
        <v/>
      </c>
      <c r="DE35" s="85">
        <f>IF(AQ35="","",IF(ISNUMBER('Dvd Calendar'!$E$408)=FALSE,"",IF((Summary!$C$13="N")*('Dvd Calendar'!$E$412='Field Check'!$C$25)&gt;0,"",'Dvd Calendar'!$E$408)))</f>
        <v/>
      </c>
      <c r="DF35" s="85">
        <f>IF(AR35="","",IF(ISNUMBER('Dvd Calendar'!$F$408)=FALSE,"",IF((Summary!$C$13="N")*('Dvd Calendar'!$F$412='Field Check'!$C$25)&gt;0,"",'Dvd Calendar'!$F$408)))</f>
        <v/>
      </c>
      <c r="DG35" s="85">
        <f>IF(AS35="","",IF(ISNUMBER('Dvd Calendar'!$G$408)=FALSE,"",IF((Summary!$C$13="N")*('Dvd Calendar'!$G$412='Field Check'!$C$25)&gt;0,"",'Dvd Calendar'!$G$408)))</f>
        <v/>
      </c>
      <c r="DH35" s="85">
        <f>IF(AT35="","",IF(ISNUMBER('Dvd Calendar'!$H$408)=FALSE,"",IF((Summary!$C$13="N")*('Dvd Calendar'!$H$412='Field Check'!$C$25)&gt;0,"",'Dvd Calendar'!$H$408)))</f>
        <v/>
      </c>
      <c r="DI35" s="85">
        <f>IF(AU35="","",IF(ISNUMBER('Dvd Calendar'!$I$408)=FALSE,"",IF((Summary!$C$13="N")*('Dvd Calendar'!$I$412='Field Check'!$C$25)&gt;0,"",'Dvd Calendar'!$I$408)))</f>
        <v/>
      </c>
      <c r="DJ35" s="85">
        <f>IF(AV35="","",IF(ISNUMBER('Dvd Calendar'!$J$408)=FALSE,"",IF((Summary!$C$13="N")*('Dvd Calendar'!$J$412='Field Check'!$C$25)&gt;0,"",'Dvd Calendar'!$J$408)))</f>
        <v/>
      </c>
      <c r="DK35" s="85">
        <f>IF(AW35="","",IF(ISNUMBER('Dvd Calendar'!$K$408)=FALSE,"",IF((Summary!$C$13="N")*('Dvd Calendar'!$K$412='Field Check'!$C$25)&gt;0,"",'Dvd Calendar'!$K$408)))</f>
        <v/>
      </c>
      <c r="DL35" s="85">
        <f>IF(AX35="","",IF(ISNUMBER('Dvd Calendar'!$L$408)=FALSE,"",IF((Summary!$C$13="N")*('Dvd Calendar'!$L$412='Field Check'!$C$25)&gt;0,"",'Dvd Calendar'!$L$408)))</f>
        <v/>
      </c>
      <c r="DM35" s="85">
        <f>IF(AY35="","",IF(ISNUMBER('Dvd Calendar'!$M$408)=FALSE,"",IF((Summary!$C$13="N")*('Dvd Calendar'!$M$412='Field Check'!$C$25)&gt;0,"",'Dvd Calendar'!$M$408)))</f>
        <v/>
      </c>
      <c r="DN35" s="85">
        <f>IF(AZ35="","",IF(ISNUMBER('Dvd Calendar'!$N$408)=FALSE,"",IF((Summary!$C$13="N")*('Dvd Calendar'!$N$412='Field Check'!$C$25)&gt;0,"",'Dvd Calendar'!$N$408)))</f>
        <v/>
      </c>
      <c r="DO35" s="85">
        <f>IF(BA35="","",IF(ISNUMBER('Dvd Calendar'!$O$408)=FALSE,"",IF((Summary!$C$13="N")*('Dvd Calendar'!$O$412='Field Check'!$C$25)&gt;0,"",'Dvd Calendar'!$O$408)))</f>
        <v/>
      </c>
      <c r="DP35" s="85">
        <f>IF(BB35="","",IF(ISNUMBER('Dvd Calendar'!$P$408)=FALSE,"",IF((Summary!$C$13="N")*('Dvd Calendar'!$P$412='Field Check'!$C$25)&gt;0,"",'Dvd Calendar'!$P$408)))</f>
        <v/>
      </c>
      <c r="DQ35" s="85">
        <f>IF(BC35="","",IF(ISNUMBER('Dvd Calendar'!$Q$408)=FALSE,"",IF((Summary!$C$13="N")*('Dvd Calendar'!$Q$412='Field Check'!$C$25)&gt;0,"",'Dvd Calendar'!$Q$408)))</f>
        <v/>
      </c>
      <c r="DR35" s="85">
        <f>IF(BD35="","",IF(ISNUMBER('Dvd Calendar'!$R$408)=FALSE,"",IF((Summary!$C$13="N")*('Dvd Calendar'!$R$412='Field Check'!$C$25)&gt;0,"",'Dvd Calendar'!$R$408)))</f>
        <v/>
      </c>
      <c r="DS35" s="85">
        <f>IF(BE35="","",IF(ISNUMBER('Dvd Calendar'!$S$408)=FALSE,"",IF((Summary!$C$13="N")*('Dvd Calendar'!$S$412='Field Check'!$C$25)&gt;0,"",'Dvd Calendar'!$S$408)))</f>
        <v/>
      </c>
      <c r="DT35" s="85">
        <f>IF(BF35="","",IF(ISNUMBER('Dvd Calendar'!$T$408)=FALSE,"",IF((Summary!$C$13="N")*('Dvd Calendar'!$T$412='Field Check'!$C$25)&gt;0,"",'Dvd Calendar'!$T$408)))</f>
        <v/>
      </c>
      <c r="DU35" s="85">
        <f>IF(BG35="","",IF(ISNUMBER('Dvd Calendar'!$U$408)=FALSE,"",IF((Summary!$C$13="N")*('Dvd Calendar'!$U$412='Field Check'!$C$25)&gt;0,"",'Dvd Calendar'!$U$408)))</f>
        <v/>
      </c>
      <c r="DV35" s="85">
        <f>IF(BH35="","",IF(ISNUMBER('Dvd Calendar'!$V$408)=FALSE,"",IF((Summary!$C$13="N")*('Dvd Calendar'!$V$412='Field Check'!$C$25)&gt;0,"",'Dvd Calendar'!$V$408)))</f>
        <v/>
      </c>
      <c r="DW35" s="85">
        <f>IF(BI35="","",IF(ISNUMBER('Dvd Calendar'!$W$408)=FALSE,"",IF((Summary!$C$13="N")*('Dvd Calendar'!$W$412='Field Check'!$C$25)&gt;0,"",'Dvd Calendar'!$W$408)))</f>
        <v/>
      </c>
      <c r="DX35" s="85">
        <f>IF(BJ35="","",IF(ISNUMBER('Dvd Calendar'!$X$408)=FALSE,"",IF((Summary!$C$13="N")*('Dvd Calendar'!$X$412='Field Check'!$C$25)&gt;0,"",'Dvd Calendar'!$X$408)))</f>
        <v/>
      </c>
      <c r="DY35" s="85">
        <f>IF(BK35="","",IF(ISNUMBER('Dvd Calendar'!$Y$408)=FALSE,"",IF((Summary!$C$13="N")*('Dvd Calendar'!$Y$412='Field Check'!$C$25)&gt;0,"",'Dvd Calendar'!$Y$408)))</f>
        <v/>
      </c>
      <c r="DZ35" s="85">
        <f>IF(BL35="","",IF(ISNUMBER('Dvd Calendar'!$Z$408)=FALSE,"",IF((Summary!$C$13="N")*('Dvd Calendar'!$Z$412='Field Check'!$C$25)&gt;0,"",'Dvd Calendar'!$Z$408)))</f>
        <v/>
      </c>
      <c r="EA35" s="85">
        <f>IF(BM35="","",IF(ISNUMBER('Dvd Calendar'!$AA$408)=FALSE,"",IF((Summary!$C$13="N")*('Dvd Calendar'!$AA$412='Field Check'!$C$25)&gt;0,"",'Dvd Calendar'!$AA$408)))</f>
        <v/>
      </c>
      <c r="EB35" s="85">
        <f>IF(BN35="","",IF(ISNUMBER('Dvd Calendar'!$AB$408)=FALSE,"",IF((Summary!$C$13="N")*('Dvd Calendar'!$AB$412='Field Check'!$C$25)&gt;0,"",'Dvd Calendar'!$AB$408)))</f>
        <v/>
      </c>
      <c r="EC35" s="85">
        <f>IF(BO35="","",IF(ISNUMBER('Dvd Calendar'!$AC$408)=FALSE,"",IF((Summary!$C$13="N")*('Dvd Calendar'!$AC$412='Field Check'!$C$25)&gt;0,"",'Dvd Calendar'!$AC$408)))</f>
        <v/>
      </c>
      <c r="EE35" s="85">
        <f>IF(BQ35="","",IFERROR(BQ35*HSI!$B$33*HSI!$G$33/HSI!$B$3,""))</f>
        <v/>
      </c>
      <c r="EF35" s="85">
        <f>IF(BR35="","",IFERROR(BR35*HSI!$B$33*HSI!$G$33/HSI!$B$3,""))</f>
        <v/>
      </c>
      <c r="EG35" s="85">
        <f>IF(BS35="","",IFERROR(BS35*HSI!$B$33*HSI!$G$33/HSI!$B$3,""))</f>
        <v/>
      </c>
      <c r="EH35" s="85">
        <f>IF(BT35="","",IFERROR(BT35*HSI!$B$33*HSI!$G$33/HSI!$B$3,""))</f>
        <v/>
      </c>
      <c r="EI35" s="85">
        <f>IF(BU35="","",IFERROR(BU35*HSI!$B$33*HSI!$G$33/HSI!$B$3,""))</f>
        <v/>
      </c>
      <c r="EJ35" s="85">
        <f>IF(BV35="","",IFERROR(BV35*HSI!$B$33*HSI!$G$33/HSI!$B$3,""))</f>
        <v/>
      </c>
      <c r="EK35" s="85">
        <f>IF(BW35="","",IFERROR(BW35*HSI!$B$33*HSI!$G$33/HSI!$B$3,""))</f>
        <v/>
      </c>
      <c r="EL35" s="85">
        <f>IF(BX35="","",IFERROR(BX35*HSI!$B$33*HSI!$G$33/HSI!$B$3,""))</f>
        <v/>
      </c>
      <c r="EM35" s="85">
        <f>IF(BY35="","",IFERROR(BY35*HSI!$B$33*HSI!$G$33/HSI!$B$3,""))</f>
        <v/>
      </c>
      <c r="EN35" s="85">
        <f>IF(BZ35="","",IFERROR(BZ35*HSI!$B$33*HSI!$G$33/HSI!$B$3,""))</f>
        <v/>
      </c>
      <c r="EO35" s="85">
        <f>IF(CA35="","",IFERROR(CA35*HSI!$B$33*HSI!$G$33/HSI!$B$3,""))</f>
        <v/>
      </c>
      <c r="EP35" s="85">
        <f>IF(CB35="","",IFERROR(CB35*HSI!$B$33*HSI!$G$33/HSI!$B$3,""))</f>
        <v/>
      </c>
      <c r="EQ35" s="85">
        <f>IF(CC35="","",IFERROR(CC35*HSI!$B$33*HSI!$G$33/HSI!$B$3,""))</f>
        <v/>
      </c>
      <c r="ER35" s="85">
        <f>IF(CD35="","",IFERROR(CD35*HSI!$B$33*HSI!$G$33/HSI!$B$3,""))</f>
        <v/>
      </c>
      <c r="ES35" s="85">
        <f>IF(CE35="","",IFERROR(CE35*HSI!$B$33*HSI!$G$33/HSI!$B$3,""))</f>
        <v/>
      </c>
      <c r="ET35" s="85">
        <f>IF(CF35="","",IFERROR(CF35*HSI!$B$33*HSI!$G$33/HSI!$B$3,""))</f>
        <v/>
      </c>
      <c r="EU35" s="85">
        <f>IF(CG35="","",IFERROR(CG35*HSI!$B$33*HSI!$G$33/HSI!$B$3,""))</f>
        <v/>
      </c>
      <c r="EV35" s="85">
        <f>IF(CH35="","",IFERROR(CH35*HSI!$B$33*HSI!$G$33/HSI!$B$3,""))</f>
        <v/>
      </c>
      <c r="EW35" s="85">
        <f>IF(CI35="","",IFERROR(CI35*HSI!$B$33*HSI!$G$33/HSI!$B$3,""))</f>
        <v/>
      </c>
      <c r="EX35" s="85">
        <f>IF(CJ35="","",IFERROR(CJ35*HSI!$B$33*HSI!$G$33/HSI!$B$3,""))</f>
        <v/>
      </c>
      <c r="EY35" s="85">
        <f>IF(CK35="","",IFERROR(CK35*HSI!$B$33*HSI!$G$33/HSI!$B$3,""))</f>
        <v/>
      </c>
      <c r="EZ35" s="85">
        <f>IF(CL35="","",IFERROR(CL35*HSI!$B$33*HSI!$G$33/HSI!$B$3,""))</f>
        <v/>
      </c>
      <c r="FA35" s="85">
        <f>IF(CM35="","",IFERROR(CM35*HSI!$B$33*HSI!$G$33/HSI!$B$3,""))</f>
        <v/>
      </c>
      <c r="FB35" s="85">
        <f>IF(CN35="","",IFERROR(CN35*HSI!$B$33*HSI!$G$33/HSI!$B$3,""))</f>
        <v/>
      </c>
      <c r="FC35" s="85">
        <f>IF(CO35="","",IFERROR(CO35*HSI!$B$33*HSI!$G$33/HSI!$B$3,""))</f>
        <v/>
      </c>
      <c r="FD35" s="85">
        <f>IF(CP35="","",IFERROR(CP35*HSI!$B$33*HSI!$G$33/HSI!$B$3,""))</f>
        <v/>
      </c>
      <c r="FE35" s="85">
        <f>IF(CQ35="","",IFERROR(CQ35*HSI!$B$33*HSI!$G$33/HSI!$B$3,""))</f>
        <v/>
      </c>
      <c r="FF35" s="85">
        <f>IF(CR35="","",IFERROR(CR35*HSI!$B$33*HSI!$G$33/HSI!$B$3,""))</f>
        <v/>
      </c>
      <c r="FG35" s="85">
        <f>IF(CS35="","",IFERROR(CS35*HSI!$B$33*HSI!$G$33/HSI!$B$3,""))</f>
        <v/>
      </c>
      <c r="FH35" s="85">
        <f>IF(CT35="","",IFERROR(CT35*HSI!$B$33*HSI!$G$33/HSI!$B$3,""))</f>
        <v/>
      </c>
      <c r="FI35" s="85">
        <f>IF(CU35="","",IFERROR(CU35*HSI!$B$33*HSI!$G$33/HSI!$B$3,""))</f>
        <v/>
      </c>
      <c r="FJ35" s="85">
        <f>IF(CV35="","",IFERROR(CV35*HSI!$B$33*HSI!$G$33/HSI!$B$3,""))</f>
        <v/>
      </c>
      <c r="FK35" s="85">
        <f>IF(CW35="","",IFERROR(CW35*HSI!$B$33*HSI!$G$33/HSI!$B$3,""))</f>
        <v/>
      </c>
      <c r="FL35" s="85">
        <f>IF(CX35="","",IFERROR(CX35*HSI!$B$33*HSI!$G$33/HSI!$B$3,""))</f>
        <v/>
      </c>
      <c r="FM35" s="85">
        <f>IF(CY35="","",IFERROR(CY35*HSI!$B$33*HSI!$G$33/HSI!$B$3,""))</f>
        <v/>
      </c>
      <c r="FN35" s="85">
        <f>IF(CZ35="","",IFERROR(CZ35*HSI!$B$33*HSI!$G$33/HSI!$B$3,""))</f>
        <v/>
      </c>
      <c r="FO35" s="85">
        <f>IF(DA35="","",IFERROR(DA35*HSI!$B$33*HSI!$G$33/HSI!$B$3,""))</f>
        <v/>
      </c>
      <c r="FP35" s="85">
        <f>IF(DB35="","",IFERROR(DB35*HSI!$B$33*HSI!$G$33/HSI!$B$3,""))</f>
        <v/>
      </c>
      <c r="FQ35" s="85">
        <f>IF(DC35="","",IFERROR(DC35*HSI!$B$33*HSI!$G$33/HSI!$B$3,""))</f>
        <v/>
      </c>
      <c r="FR35" s="85">
        <f>IF(DD35="","",IFERROR(DD35*HSI!$B$33*HSI!$G$33/HSI!$B$3,""))</f>
        <v/>
      </c>
      <c r="FS35" s="85">
        <f>IF(DE35="","",IFERROR(DE35*HSI!$B$33*HSI!$G$33/HSI!$B$3,""))</f>
        <v/>
      </c>
      <c r="FT35" s="85">
        <f>IF(DF35="","",IFERROR(DF35*HSI!$B$33*HSI!$G$33/HSI!$B$3,""))</f>
        <v/>
      </c>
      <c r="FU35" s="85">
        <f>IF(DG35="","",IFERROR(DG35*HSI!$B$33*HSI!$G$33/HSI!$B$3,""))</f>
        <v/>
      </c>
      <c r="FV35" s="85">
        <f>IF(DH35="","",IFERROR(DH35*HSI!$B$33*HSI!$G$33/HSI!$B$3,""))</f>
        <v/>
      </c>
      <c r="FW35" s="85">
        <f>IF(DI35="","",IFERROR(DI35*HSI!$B$33*HSI!$G$33/HSI!$B$3,""))</f>
        <v/>
      </c>
      <c r="FX35" s="85">
        <f>IF(DJ35="","",IFERROR(DJ35*HSI!$B$33*HSI!$G$33/HSI!$B$3,""))</f>
        <v/>
      </c>
      <c r="FY35" s="85">
        <f>IF(DK35="","",IFERROR(DK35*HSI!$B$33*HSI!$G$33/HSI!$B$3,""))</f>
        <v/>
      </c>
      <c r="FZ35" s="85">
        <f>IF(DL35="","",IFERROR(DL35*HSI!$B$33*HSI!$G$33/HSI!$B$3,""))</f>
        <v/>
      </c>
      <c r="GA35" s="85">
        <f>IF(DM35="","",IFERROR(DM35*HSI!$B$33*HSI!$G$33/HSI!$B$3,""))</f>
        <v/>
      </c>
      <c r="GB35" s="85">
        <f>IF(DN35="","",IFERROR(DN35*HSI!$B$33*HSI!$G$33/HSI!$B$3,""))</f>
        <v/>
      </c>
      <c r="GC35" s="85">
        <f>IF(DO35="","",IFERROR(DO35*HSI!$B$33*HSI!$G$33/HSI!$B$3,""))</f>
        <v/>
      </c>
      <c r="GD35" s="85">
        <f>IF(DP35="","",IFERROR(DP35*HSI!$B$33*HSI!$G$33/HSI!$B$3,""))</f>
        <v/>
      </c>
      <c r="GE35" s="85">
        <f>IF(DQ35="","",IFERROR(DQ35*HSI!$B$33*HSI!$G$33/HSI!$B$3,""))</f>
        <v/>
      </c>
      <c r="GF35" s="85">
        <f>IF(DR35="","",IFERROR(DR35*HSI!$B$33*HSI!$G$33/HSI!$B$3,""))</f>
        <v/>
      </c>
      <c r="GG35" s="85">
        <f>IF(DS35="","",IFERROR(DS35*HSI!$B$33*HSI!$G$33/HSI!$B$3,""))</f>
        <v/>
      </c>
      <c r="GH35" s="85">
        <f>IF(DT35="","",IFERROR(DT35*HSI!$B$33*HSI!$G$33/HSI!$B$3,""))</f>
        <v/>
      </c>
      <c r="GI35" s="85">
        <f>IF(DU35="","",IFERROR(DU35*HSI!$B$33*HSI!$G$33/HSI!$B$3,""))</f>
        <v/>
      </c>
      <c r="GJ35" s="85">
        <f>IF(DV35="","",IFERROR(DV35*HSI!$B$33*HSI!$G$33/HSI!$B$3,""))</f>
        <v/>
      </c>
      <c r="GK35" s="85">
        <f>IF(DW35="","",IFERROR(DW35*HSI!$B$33*HSI!$G$33/HSI!$B$3,""))</f>
        <v/>
      </c>
      <c r="GL35" s="85">
        <f>IF(DX35="","",IFERROR(DX35*HSI!$B$33*HSI!$G$33/HSI!$B$3,""))</f>
        <v/>
      </c>
      <c r="GM35" s="85">
        <f>IF(DY35="","",IFERROR(DY35*HSI!$B$33*HSI!$G$33/HSI!$B$3,""))</f>
        <v/>
      </c>
      <c r="GN35" s="85">
        <f>IF(DZ35="","",IFERROR(DZ35*HSI!$B$33*HSI!$G$33/HSI!$B$3,""))</f>
        <v/>
      </c>
      <c r="GO35" s="85">
        <f>IF(EA35="","",IFERROR(EA35*HSI!$B$33*HSI!$G$33/HSI!$B$3,""))</f>
        <v/>
      </c>
      <c r="GP35" s="85">
        <f>IF(EB35="","",IFERROR(EB35*HSI!$B$33*HSI!$G$33/HSI!$B$3,""))</f>
        <v/>
      </c>
      <c r="GQ35" s="85">
        <f>IF(EC35="","",IFERROR(EC35*HSI!$B$33*HSI!$G$33/HSI!$B$3,""))</f>
        <v/>
      </c>
    </row>
    <row r="36">
      <c r="B36" s="2">
        <f>IF(HSI!$C$34="","",HSI!$C$34)</f>
        <v/>
      </c>
      <c r="C36" s="41">
        <f>IF(N('Dvd Calendar'!$E$415)=0,"",IF(('Dvd Calendar'!$E$415&gt;=MIN(DATE(Summary!$C$12,1,1),Summary!$C$11))*('Dvd Calendar'!$E$415&lt;=MAX(DATE(Summary!$C$12,12,31),Summary!$C$15))*('Dvd Calendar'!$E$415&lt;=Summary!$C$11)=0,"",'Dvd Calendar'!$E$415*1000000000+ISNUMBER('Dvd Calendar'!$E$416)*100000000+('Dvd Calendar'!$E$420='Field Check'!$C$25)*10000000+(N('Dvd Calendar'!$E$414)&gt;0)*1000000+28*1000+1))</f>
        <v/>
      </c>
      <c r="D36" s="41">
        <f>IF(N('Dvd Calendar'!$F$415)=0,"",IF(('Dvd Calendar'!$F$415&gt;=MIN(DATE(Summary!$C$12,1,1),Summary!$C$11))*('Dvd Calendar'!$F$415&lt;=MAX(DATE(Summary!$C$12,12,31),Summary!$C$15))*('Dvd Calendar'!$F$415&lt;=Summary!$C$11)=0,"",'Dvd Calendar'!$F$415*1000000000+ISNUMBER('Dvd Calendar'!$F$416)*100000000+('Dvd Calendar'!$F$420='Field Check'!$C$25)*10000000+(N('Dvd Calendar'!$F$414)&gt;0)*1000000+28*1000+2))</f>
        <v/>
      </c>
      <c r="E36" s="41">
        <f>IF(N('Dvd Calendar'!$G$415)=0,"",IF(('Dvd Calendar'!$G$415&gt;=MIN(DATE(Summary!$C$12,1,1),Summary!$C$11))*('Dvd Calendar'!$G$415&lt;=MAX(DATE(Summary!$C$12,12,31),Summary!$C$15))*('Dvd Calendar'!$G$415&lt;=Summary!$C$11)=0,"",'Dvd Calendar'!$G$415*1000000000+ISNUMBER('Dvd Calendar'!$G$416)*100000000+('Dvd Calendar'!$G$420='Field Check'!$C$25)*10000000+(N('Dvd Calendar'!$G$414)&gt;0)*1000000+28*1000+3))</f>
        <v/>
      </c>
      <c r="F36" s="41">
        <f>IF(N('Dvd Calendar'!$H$415)=0,"",IF(('Dvd Calendar'!$H$415&gt;=MIN(DATE(Summary!$C$12,1,1),Summary!$C$11))*('Dvd Calendar'!$H$415&lt;=MAX(DATE(Summary!$C$12,12,31),Summary!$C$15))*('Dvd Calendar'!$H$415&lt;=Summary!$C$11)=0,"",'Dvd Calendar'!$H$415*1000000000+ISNUMBER('Dvd Calendar'!$H$416)*100000000+('Dvd Calendar'!$H$420='Field Check'!$C$25)*10000000+(N('Dvd Calendar'!$H$414)&gt;0)*1000000+28*1000+4))</f>
        <v/>
      </c>
      <c r="G36" s="41">
        <f>IF(N('Dvd Calendar'!$I$415)=0,"",IF(('Dvd Calendar'!$I$415&gt;=MIN(DATE(Summary!$C$12,1,1),Summary!$C$11))*('Dvd Calendar'!$I$415&lt;=MAX(DATE(Summary!$C$12,12,31),Summary!$C$15))*('Dvd Calendar'!$I$415&lt;=Summary!$C$11)=0,"",'Dvd Calendar'!$I$415*1000000000+ISNUMBER('Dvd Calendar'!$I$416)*100000000+('Dvd Calendar'!$I$420='Field Check'!$C$25)*10000000+(N('Dvd Calendar'!$I$414)&gt;0)*1000000+28*1000+5))</f>
        <v/>
      </c>
      <c r="H36" s="41">
        <f>IF(N('Dvd Calendar'!$J$415)=0,"",IF(('Dvd Calendar'!$J$415&gt;=MIN(DATE(Summary!$C$12,1,1),Summary!$C$11))*('Dvd Calendar'!$J$415&lt;=MAX(DATE(Summary!$C$12,12,31),Summary!$C$15))*('Dvd Calendar'!$J$415&lt;=Summary!$C$11)=0,"",'Dvd Calendar'!$J$415*1000000000+ISNUMBER('Dvd Calendar'!$J$416)*100000000+('Dvd Calendar'!$J$420='Field Check'!$C$25)*10000000+(N('Dvd Calendar'!$J$414)&gt;0)*1000000+28*1000+6))</f>
        <v/>
      </c>
      <c r="I36" s="41">
        <f>IF(N('Dvd Calendar'!$K$415)=0,"",IF(('Dvd Calendar'!$K$415&gt;=MIN(DATE(Summary!$C$12,1,1),Summary!$C$11))*('Dvd Calendar'!$K$415&lt;=MAX(DATE(Summary!$C$12,12,31),Summary!$C$15))*('Dvd Calendar'!$K$415&lt;=Summary!$C$11)=0,"",'Dvd Calendar'!$K$415*1000000000+ISNUMBER('Dvd Calendar'!$K$416)*100000000+('Dvd Calendar'!$K$420='Field Check'!$C$25)*10000000+(N('Dvd Calendar'!$K$414)&gt;0)*1000000+28*1000+7))</f>
        <v/>
      </c>
      <c r="J36" s="41">
        <f>IF(N('Dvd Calendar'!$L$415)=0,"",IF(('Dvd Calendar'!$L$415&gt;=MIN(DATE(Summary!$C$12,1,1),Summary!$C$11))*('Dvd Calendar'!$L$415&lt;=MAX(DATE(Summary!$C$12,12,31),Summary!$C$15))*('Dvd Calendar'!$L$415&lt;=Summary!$C$11)=0,"",'Dvd Calendar'!$L$415*1000000000+ISNUMBER('Dvd Calendar'!$L$416)*100000000+('Dvd Calendar'!$L$420='Field Check'!$C$25)*10000000+(N('Dvd Calendar'!$L$414)&gt;0)*1000000+28*1000+8))</f>
        <v/>
      </c>
      <c r="K36" s="41">
        <f>IF(N('Dvd Calendar'!$M$415)=0,"",IF(('Dvd Calendar'!$M$415&gt;=MIN(DATE(Summary!$C$12,1,1),Summary!$C$11))*('Dvd Calendar'!$M$415&lt;=MAX(DATE(Summary!$C$12,12,31),Summary!$C$15))*('Dvd Calendar'!$M$415&lt;=Summary!$C$11)=0,"",'Dvd Calendar'!$M$415*1000000000+ISNUMBER('Dvd Calendar'!$M$416)*100000000+('Dvd Calendar'!$M$420='Field Check'!$C$25)*10000000+(N('Dvd Calendar'!$M$414)&gt;0)*1000000+28*1000+9))</f>
        <v/>
      </c>
      <c r="L36" s="41">
        <f>IF(N('Dvd Calendar'!$N$415)=0,"",IF(('Dvd Calendar'!$N$415&gt;=MIN(DATE(Summary!$C$12,1,1),Summary!$C$11))*('Dvd Calendar'!$N$415&lt;=MAX(DATE(Summary!$C$12,12,31),Summary!$C$15))*('Dvd Calendar'!$N$415&lt;=Summary!$C$11)=0,"",'Dvd Calendar'!$N$415*1000000000+ISNUMBER('Dvd Calendar'!$N$416)*100000000+('Dvd Calendar'!$N$420='Field Check'!$C$25)*10000000+(N('Dvd Calendar'!$N$414)&gt;0)*1000000+28*1000+10))</f>
        <v/>
      </c>
      <c r="M36" s="41">
        <f>IF(N('Dvd Calendar'!$O$415)=0,"",IF(('Dvd Calendar'!$O$415&gt;=MIN(DATE(Summary!$C$12,1,1),Summary!$C$11))*('Dvd Calendar'!$O$415&lt;=MAX(DATE(Summary!$C$12,12,31),Summary!$C$15))*('Dvd Calendar'!$O$415&lt;=Summary!$C$11)=0,"",'Dvd Calendar'!$O$415*1000000000+ISNUMBER('Dvd Calendar'!$O$416)*100000000+('Dvd Calendar'!$O$420='Field Check'!$C$25)*10000000+(N('Dvd Calendar'!$O$414)&gt;0)*1000000+28*1000+11))</f>
        <v/>
      </c>
      <c r="N36" s="41">
        <f>IF(N('Dvd Calendar'!$P$415)=0,"",IF(('Dvd Calendar'!$P$415&gt;=MIN(DATE(Summary!$C$12,1,1),Summary!$C$11))*('Dvd Calendar'!$P$415&lt;=MAX(DATE(Summary!$C$12,12,31),Summary!$C$15))*('Dvd Calendar'!$P$415&lt;=Summary!$C$11)=0,"",'Dvd Calendar'!$P$415*1000000000+ISNUMBER('Dvd Calendar'!$P$416)*100000000+('Dvd Calendar'!$P$420='Field Check'!$C$25)*10000000+(N('Dvd Calendar'!$P$414)&gt;0)*1000000+28*1000+12))</f>
        <v/>
      </c>
      <c r="O36" s="41">
        <f>IF(N('Dvd Calendar'!$Q$415)=0,"",IF(('Dvd Calendar'!$Q$415&gt;=MIN(DATE(Summary!$C$12,1,1),Summary!$C$11))*('Dvd Calendar'!$Q$415&lt;=MAX(DATE(Summary!$C$12,12,31),Summary!$C$15))*('Dvd Calendar'!$Q$415&lt;=Summary!$C$11)=0,"",'Dvd Calendar'!$Q$415*1000000000+ISNUMBER('Dvd Calendar'!$Q$416)*100000000+('Dvd Calendar'!$Q$420='Field Check'!$C$25)*10000000+(N('Dvd Calendar'!$Q$414)&gt;0)*1000000+28*1000+13))</f>
        <v/>
      </c>
      <c r="P36" s="41">
        <f>IF(N('Dvd Calendar'!$R$415)=0,"",IF(('Dvd Calendar'!$R$415&gt;=MIN(DATE(Summary!$C$12,1,1),Summary!$C$11))*('Dvd Calendar'!$R$415&lt;=MAX(DATE(Summary!$C$12,12,31),Summary!$C$15))*('Dvd Calendar'!$R$415&lt;=Summary!$C$11)=0,"",'Dvd Calendar'!$R$415*1000000000+ISNUMBER('Dvd Calendar'!$R$416)*100000000+('Dvd Calendar'!$R$420='Field Check'!$C$25)*10000000+(N('Dvd Calendar'!$R$414)&gt;0)*1000000+28*1000+14))</f>
        <v/>
      </c>
      <c r="Q36" s="41">
        <f>IF(N('Dvd Calendar'!$S$415)=0,"",IF(('Dvd Calendar'!$S$415&gt;=MIN(DATE(Summary!$C$12,1,1),Summary!$C$11))*('Dvd Calendar'!$S$415&lt;=MAX(DATE(Summary!$C$12,12,31),Summary!$C$15))*('Dvd Calendar'!$S$415&lt;=Summary!$C$11)=0,"",'Dvd Calendar'!$S$415*1000000000+ISNUMBER('Dvd Calendar'!$S$416)*100000000+('Dvd Calendar'!$S$420='Field Check'!$C$25)*10000000+(N('Dvd Calendar'!$S$414)&gt;0)*1000000+28*1000+15))</f>
        <v/>
      </c>
      <c r="R36" s="41">
        <f>IF(N('Dvd Calendar'!$T$415)=0,"",IF(('Dvd Calendar'!$T$415&gt;=MIN(DATE(Summary!$C$12,1,1),Summary!$C$11))*('Dvd Calendar'!$T$415&lt;=MAX(DATE(Summary!$C$12,12,31),Summary!$C$15))*('Dvd Calendar'!$T$415&lt;=Summary!$C$11)=0,"",'Dvd Calendar'!$T$415*1000000000+ISNUMBER('Dvd Calendar'!$T$416)*100000000+('Dvd Calendar'!$T$420='Field Check'!$C$25)*10000000+(N('Dvd Calendar'!$T$414)&gt;0)*1000000+28*1000+16))</f>
        <v/>
      </c>
      <c r="S36" s="41">
        <f>IF(N('Dvd Calendar'!$U$415)=0,"",IF(('Dvd Calendar'!$U$415&gt;=MIN(DATE(Summary!$C$12,1,1),Summary!$C$11))*('Dvd Calendar'!$U$415&lt;=MAX(DATE(Summary!$C$12,12,31),Summary!$C$15))*('Dvd Calendar'!$U$415&lt;=Summary!$C$11)=0,"",'Dvd Calendar'!$U$415*1000000000+ISNUMBER('Dvd Calendar'!$U$416)*100000000+('Dvd Calendar'!$U$420='Field Check'!$C$25)*10000000+(N('Dvd Calendar'!$U$414)&gt;0)*1000000+28*1000+17))</f>
        <v/>
      </c>
      <c r="T36" s="41">
        <f>IF(N('Dvd Calendar'!$V$415)=0,"",IF(('Dvd Calendar'!$V$415&gt;=MIN(DATE(Summary!$C$12,1,1),Summary!$C$11))*('Dvd Calendar'!$V$415&lt;=MAX(DATE(Summary!$C$12,12,31),Summary!$C$15))*('Dvd Calendar'!$V$415&lt;=Summary!$C$11)=0,"",'Dvd Calendar'!$V$415*1000000000+ISNUMBER('Dvd Calendar'!$V$416)*100000000+('Dvd Calendar'!$V$420='Field Check'!$C$25)*10000000+(N('Dvd Calendar'!$V$414)&gt;0)*1000000+28*1000+18))</f>
        <v/>
      </c>
      <c r="U36" s="41">
        <f>IF(N('Dvd Calendar'!$W$415)=0,"",IF(('Dvd Calendar'!$W$415&gt;=MIN(DATE(Summary!$C$12,1,1),Summary!$C$11))*('Dvd Calendar'!$W$415&lt;=MAX(DATE(Summary!$C$12,12,31),Summary!$C$15))*('Dvd Calendar'!$W$415&lt;=Summary!$C$11)=0,"",'Dvd Calendar'!$W$415*1000000000+ISNUMBER('Dvd Calendar'!$W$416)*100000000+('Dvd Calendar'!$W$420='Field Check'!$C$25)*10000000+(N('Dvd Calendar'!$W$414)&gt;0)*1000000+28*1000+19))</f>
        <v/>
      </c>
      <c r="V36" s="41">
        <f>IF(N('Dvd Calendar'!$X$415)=0,"",IF(('Dvd Calendar'!$X$415&gt;=MIN(DATE(Summary!$C$12,1,1),Summary!$C$11))*('Dvd Calendar'!$X$415&lt;=MAX(DATE(Summary!$C$12,12,31),Summary!$C$15))*('Dvd Calendar'!$X$415&lt;=Summary!$C$11)=0,"",'Dvd Calendar'!$X$415*1000000000+ISNUMBER('Dvd Calendar'!$X$416)*100000000+('Dvd Calendar'!$X$420='Field Check'!$C$25)*10000000+(N('Dvd Calendar'!$X$414)&gt;0)*1000000+28*1000+20))</f>
        <v/>
      </c>
      <c r="W36" s="41">
        <f>IF(N('Dvd Calendar'!$Y$415)=0,"",IF(('Dvd Calendar'!$Y$415&gt;=MIN(DATE(Summary!$C$12,1,1),Summary!$C$11))*('Dvd Calendar'!$Y$415&lt;=MAX(DATE(Summary!$C$12,12,31),Summary!$C$15))*('Dvd Calendar'!$Y$415&lt;=Summary!$C$11)=0,"",'Dvd Calendar'!$Y$415*1000000000+ISNUMBER('Dvd Calendar'!$Y$416)*100000000+('Dvd Calendar'!$Y$420='Field Check'!$C$25)*10000000+(N('Dvd Calendar'!$Y$414)&gt;0)*1000000+28*1000+21))</f>
        <v/>
      </c>
      <c r="X36" s="41">
        <f>IF(N('Dvd Calendar'!$Z$415)=0,"",IF(('Dvd Calendar'!$Z$415&gt;=MIN(DATE(Summary!$C$12,1,1),Summary!$C$11))*('Dvd Calendar'!$Z$415&lt;=MAX(DATE(Summary!$C$12,12,31),Summary!$C$15))*('Dvd Calendar'!$Z$415&lt;=Summary!$C$11)=0,"",'Dvd Calendar'!$Z$415*1000000000+ISNUMBER('Dvd Calendar'!$Z$416)*100000000+('Dvd Calendar'!$Z$420='Field Check'!$C$25)*10000000+(N('Dvd Calendar'!$Z$414)&gt;0)*1000000+28*1000+22))</f>
        <v/>
      </c>
      <c r="Y36" s="41">
        <f>IF(N('Dvd Calendar'!$AA$415)=0,"",IF(('Dvd Calendar'!$AA$415&gt;=MIN(DATE(Summary!$C$12,1,1),Summary!$C$11))*('Dvd Calendar'!$AA$415&lt;=MAX(DATE(Summary!$C$12,12,31),Summary!$C$15))*('Dvd Calendar'!$AA$415&lt;=Summary!$C$11)=0,"",'Dvd Calendar'!$AA$415*1000000000+ISNUMBER('Dvd Calendar'!$AA$416)*100000000+('Dvd Calendar'!$AA$420='Field Check'!$C$25)*10000000+(N('Dvd Calendar'!$AA$414)&gt;0)*1000000+28*1000+23))</f>
        <v/>
      </c>
      <c r="Z36" s="41">
        <f>IF(N('Dvd Calendar'!$AB$415)=0,"",IF(('Dvd Calendar'!$AB$415&gt;=MIN(DATE(Summary!$C$12,1,1),Summary!$C$11))*('Dvd Calendar'!$AB$415&lt;=MAX(DATE(Summary!$C$12,12,31),Summary!$C$15))*('Dvd Calendar'!$AB$415&lt;=Summary!$C$11)=0,"",'Dvd Calendar'!$AB$415*1000000000+ISNUMBER('Dvd Calendar'!$AB$416)*100000000+('Dvd Calendar'!$AB$420='Field Check'!$C$25)*10000000+(N('Dvd Calendar'!$AB$414)&gt;0)*1000000+28*1000+24))</f>
        <v/>
      </c>
      <c r="AA36" s="41">
        <f>IF(N('Dvd Calendar'!$AC$415)=0,"",IF(('Dvd Calendar'!$AC$415&gt;=MIN(DATE(Summary!$C$12,1,1),Summary!$C$11))*('Dvd Calendar'!$AC$415&lt;=MAX(DATE(Summary!$C$12,12,31),Summary!$C$15))*('Dvd Calendar'!$AC$415&lt;=Summary!$C$11)=0,"",'Dvd Calendar'!$AC$415*1000000000+ISNUMBER('Dvd Calendar'!$AC$416)*100000000+('Dvd Calendar'!$AC$420='Field Check'!$C$25)*10000000+(N('Dvd Calendar'!$AC$414)&gt;0)*1000000+28*1000+25))</f>
        <v/>
      </c>
      <c r="AB36" s="41">
        <f>IF(N('Dvd Calendar'!$AD$415)=0,"",IF(('Dvd Calendar'!$AD$415&gt;=MIN(DATE(Summary!$C$12,1,1),Summary!$C$11))*('Dvd Calendar'!$AD$415&lt;=MAX(DATE(Summary!$C$12,12,31),Summary!$C$15))*('Dvd Calendar'!$AD$415&lt;=Summary!$C$11)=0,"",'Dvd Calendar'!$AD$415*1000000000+ISNUMBER('Dvd Calendar'!$AD$416)*100000000+('Dvd Calendar'!$AD$420='Field Check'!$C$25)*10000000+(N('Dvd Calendar'!$AD$414)&gt;0)*1000000+28*1000+26))</f>
        <v/>
      </c>
      <c r="AC36" s="41">
        <f>IF(N('Dvd Calendar'!$AE$415)=0,"",IF(('Dvd Calendar'!$AE$415&gt;=MIN(DATE(Summary!$C$12,1,1),Summary!$C$11))*('Dvd Calendar'!$AE$415&lt;=MAX(DATE(Summary!$C$12,12,31),Summary!$C$15))*('Dvd Calendar'!$AE$415&lt;=Summary!$C$11)=0,"",'Dvd Calendar'!$AE$415*1000000000+ISNUMBER('Dvd Calendar'!$AE$416)*100000000+('Dvd Calendar'!$AE$420='Field Check'!$C$25)*10000000+(N('Dvd Calendar'!$AE$414)&gt;0)*1000000+28*1000+27))</f>
        <v/>
      </c>
      <c r="AD36" s="41">
        <f>IF(N('Dvd Calendar'!$AF$415)=0,"",IF(('Dvd Calendar'!$AF$415&gt;=MIN(DATE(Summary!$C$12,1,1),Summary!$C$11))*('Dvd Calendar'!$AF$415&lt;=MAX(DATE(Summary!$C$12,12,31),Summary!$C$15))*('Dvd Calendar'!$AF$415&lt;=Summary!$C$11)=0,"",'Dvd Calendar'!$AF$415*1000000000+ISNUMBER('Dvd Calendar'!$AF$416)*100000000+('Dvd Calendar'!$AF$420='Field Check'!$C$25)*10000000+(N('Dvd Calendar'!$AF$414)&gt;0)*1000000+28*1000+28))</f>
        <v/>
      </c>
      <c r="AE36" s="41">
        <f>IF(N('Dvd Calendar'!$AG$415)=0,"",IF(('Dvd Calendar'!$AG$415&gt;=MIN(DATE(Summary!$C$12,1,1),Summary!$C$11))*('Dvd Calendar'!$AG$415&lt;=MAX(DATE(Summary!$C$12,12,31),Summary!$C$15))*('Dvd Calendar'!$AG$415&lt;=Summary!$C$11)=0,"",'Dvd Calendar'!$AG$415*1000000000+ISNUMBER('Dvd Calendar'!$AG$416)*100000000+('Dvd Calendar'!$AG$420='Field Check'!$C$25)*10000000+(N('Dvd Calendar'!$AG$414)&gt;0)*1000000+28*1000+29))</f>
        <v/>
      </c>
      <c r="AF36" s="41">
        <f>IF(N('Dvd Calendar'!$AH$415)=0,"",IF(('Dvd Calendar'!$AH$415&gt;=MIN(DATE(Summary!$C$12,1,1),Summary!$C$11))*('Dvd Calendar'!$AH$415&lt;=MAX(DATE(Summary!$C$12,12,31),Summary!$C$15))*('Dvd Calendar'!$AH$415&lt;=Summary!$C$11)=0,"",'Dvd Calendar'!$AH$415*1000000000+ISNUMBER('Dvd Calendar'!$AH$416)*100000000+('Dvd Calendar'!$AH$420='Field Check'!$C$25)*10000000+(N('Dvd Calendar'!$AH$414)&gt;0)*1000000+28*1000+30))</f>
        <v/>
      </c>
      <c r="AG36" s="41">
        <f>IF(N('Dvd Calendar'!$AI$415)=0,"",IF(('Dvd Calendar'!$AI$415&gt;=MIN(DATE(Summary!$C$12,1,1),Summary!$C$11))*('Dvd Calendar'!$AI$415&lt;=MAX(DATE(Summary!$C$12,12,31),Summary!$C$15))*('Dvd Calendar'!$AI$415&lt;=Summary!$C$11)=0,"",'Dvd Calendar'!$AI$415*1000000000+ISNUMBER('Dvd Calendar'!$AI$416)*100000000+('Dvd Calendar'!$AI$420='Field Check'!$C$25)*10000000+(N('Dvd Calendar'!$AI$414)&gt;0)*1000000+28*1000+31))</f>
        <v/>
      </c>
      <c r="AH36" s="41">
        <f>IF(N('Dvd Calendar'!$AJ$415)=0,"",IF(('Dvd Calendar'!$AJ$415&gt;=MIN(DATE(Summary!$C$12,1,1),Summary!$C$11))*('Dvd Calendar'!$AJ$415&lt;=MAX(DATE(Summary!$C$12,12,31),Summary!$C$15))*('Dvd Calendar'!$AJ$415&lt;=Summary!$C$11)=0,"",'Dvd Calendar'!$AJ$415*1000000000+ISNUMBER('Dvd Calendar'!$AJ$416)*100000000+('Dvd Calendar'!$AJ$420='Field Check'!$C$25)*10000000+(N('Dvd Calendar'!$AJ$414)&gt;0)*1000000+28*1000+32))</f>
        <v/>
      </c>
      <c r="AI36" s="41">
        <f>IF(N('Dvd Calendar'!$AK$415)=0,"",IF(('Dvd Calendar'!$AK$415&gt;=MIN(DATE(Summary!$C$12,1,1),Summary!$C$11))*('Dvd Calendar'!$AK$415&lt;=MAX(DATE(Summary!$C$12,12,31),Summary!$C$15))*('Dvd Calendar'!$AK$415&lt;=Summary!$C$11)=0,"",'Dvd Calendar'!$AK$415*1000000000+ISNUMBER('Dvd Calendar'!$AK$416)*100000000+('Dvd Calendar'!$AK$420='Field Check'!$C$25)*10000000+(N('Dvd Calendar'!$AK$414)&gt;0)*1000000+28*1000+33))</f>
        <v/>
      </c>
      <c r="AJ36" s="41">
        <f>IF(N('Dvd Calendar'!$AL$415)=0,"",IF(('Dvd Calendar'!$AL$415&gt;=MIN(DATE(Summary!$C$12,1,1),Summary!$C$11))*('Dvd Calendar'!$AL$415&lt;=MAX(DATE(Summary!$C$12,12,31),Summary!$C$15))*('Dvd Calendar'!$AL$415&lt;=Summary!$C$11)=0,"",'Dvd Calendar'!$AL$415*1000000000+ISNUMBER('Dvd Calendar'!$AL$416)*100000000+('Dvd Calendar'!$AL$420='Field Check'!$C$25)*10000000+(N('Dvd Calendar'!$AL$414)&gt;0)*1000000+28*1000+34))</f>
        <v/>
      </c>
      <c r="AK36" s="41">
        <f>IF(N('Dvd Calendar'!$AM$415)=0,"",IF(('Dvd Calendar'!$AM$415&gt;=MIN(DATE(Summary!$C$12,1,1),Summary!$C$11))*('Dvd Calendar'!$AM$415&lt;=MAX(DATE(Summary!$C$12,12,31),Summary!$C$15))*('Dvd Calendar'!$AM$415&lt;=Summary!$C$11)=0,"",'Dvd Calendar'!$AM$415*1000000000+ISNUMBER('Dvd Calendar'!$AM$416)*100000000+('Dvd Calendar'!$AM$420='Field Check'!$C$25)*10000000+(N('Dvd Calendar'!$AM$414)&gt;0)*1000000+28*1000+35))</f>
        <v/>
      </c>
      <c r="AL36" s="41">
        <f>IF(N('Dvd Calendar'!$AN$415)=0,"",IF(('Dvd Calendar'!$AN$415&gt;=MIN(DATE(Summary!$C$12,1,1),Summary!$C$11))*('Dvd Calendar'!$AN$415&lt;=MAX(DATE(Summary!$C$12,12,31),Summary!$C$15))*('Dvd Calendar'!$AN$415&lt;=Summary!$C$11)=0,"",'Dvd Calendar'!$AN$415*1000000000+ISNUMBER('Dvd Calendar'!$AN$416)*100000000+('Dvd Calendar'!$AN$420='Field Check'!$C$25)*10000000+(N('Dvd Calendar'!$AN$414)&gt;0)*1000000+28*1000+36))</f>
        <v/>
      </c>
      <c r="AM36" s="41">
        <f>IF(N('Dvd Calendar'!$AO$415)=0,"",IF(('Dvd Calendar'!$AO$415&gt;=MIN(DATE(Summary!$C$12,1,1),Summary!$C$11))*('Dvd Calendar'!$AO$415&lt;=MAX(DATE(Summary!$C$12,12,31),Summary!$C$15))*('Dvd Calendar'!$AO$415&lt;=Summary!$C$11)=0,"",'Dvd Calendar'!$AO$415*1000000000+ISNUMBER('Dvd Calendar'!$AO$416)*100000000+('Dvd Calendar'!$AO$420='Field Check'!$C$25)*10000000+(N('Dvd Calendar'!$AO$414)&gt;0)*1000000+28*1000+37))</f>
        <v/>
      </c>
      <c r="AN36" s="41">
        <f>IF(N('Dvd Calendar'!$AP$415)=0,"",IF(('Dvd Calendar'!$AP$415&gt;=MIN(DATE(Summary!$C$12,1,1),Summary!$C$11))*('Dvd Calendar'!$AP$415&lt;=MAX(DATE(Summary!$C$12,12,31),Summary!$C$15))*('Dvd Calendar'!$AP$415&lt;=Summary!$C$11)=0,"",'Dvd Calendar'!$AP$415*1000000000+ISNUMBER('Dvd Calendar'!$AP$416)*100000000+('Dvd Calendar'!$AP$420='Field Check'!$C$25)*10000000+(N('Dvd Calendar'!$AP$414)&gt;0)*1000000+28*1000+38))</f>
        <v/>
      </c>
      <c r="AO36" s="41">
        <f>IF(N('Dvd Calendar'!$AQ$415)=0,"",IF(('Dvd Calendar'!$AQ$415&gt;=MIN(DATE(Summary!$C$12,1,1),Summary!$C$11))*('Dvd Calendar'!$AQ$415&lt;=MAX(DATE(Summary!$C$12,12,31),Summary!$C$15))*('Dvd Calendar'!$AQ$415&lt;=Summary!$C$11)=0,"",'Dvd Calendar'!$AQ$415*1000000000+ISNUMBER('Dvd Calendar'!$AQ$416)*100000000+('Dvd Calendar'!$AQ$420='Field Check'!$C$25)*10000000+(N('Dvd Calendar'!$AQ$414)&gt;0)*1000000+28*1000+39))</f>
        <v/>
      </c>
      <c r="AP36" s="41">
        <f>IF(N('Dvd Calendar'!$AR$415)=0,"",IF(('Dvd Calendar'!$AR$415&gt;=MIN(DATE(Summary!$C$12,1,1),Summary!$C$11))*('Dvd Calendar'!$AR$415&lt;=MAX(DATE(Summary!$C$12,12,31),Summary!$C$15))*('Dvd Calendar'!$AR$415&lt;=Summary!$C$11)=0,"",'Dvd Calendar'!$AR$415*1000000000+ISNUMBER('Dvd Calendar'!$AR$416)*100000000+('Dvd Calendar'!$AR$420='Field Check'!$C$25)*10000000+(N('Dvd Calendar'!$AR$414)&gt;0)*1000000+28*1000+40))</f>
        <v/>
      </c>
      <c r="AQ36" s="41">
        <f>IF(N('Dvd Calendar'!$E$422)=0,"",IF(('Dvd Calendar'!$E$422&gt;=MIN(DATE(Summary!$C$12,1,1),Summary!$C$11))*('Dvd Calendar'!$E$422&lt;=MAX(DATE(Summary!$C$12,12,31),Summary!$C$15))*('Dvd Calendar'!$E$422&gt;Summary!$C$11)=0,"",'Dvd Calendar'!$E$422*1000000000+ISNUMBER('Dvd Calendar'!$E$423)*100000000+('Dvd Calendar'!$E$427='Field Check'!$C$25)*10000000+(N('Dvd Calendar'!$E$421)&gt;0)*1000000+28*1000+41))</f>
        <v/>
      </c>
      <c r="AR36" s="41">
        <f>IF(N('Dvd Calendar'!$F$422)=0,"",IF(('Dvd Calendar'!$F$422&gt;=MIN(DATE(Summary!$C$12,1,1),Summary!$C$11))*('Dvd Calendar'!$F$422&lt;=MAX(DATE(Summary!$C$12,12,31),Summary!$C$15))*('Dvd Calendar'!$F$422&gt;Summary!$C$11)=0,"",'Dvd Calendar'!$F$422*1000000000+ISNUMBER('Dvd Calendar'!$F$423)*100000000+('Dvd Calendar'!$F$427='Field Check'!$C$25)*10000000+(N('Dvd Calendar'!$F$421)&gt;0)*1000000+28*1000+42))</f>
        <v/>
      </c>
      <c r="AS36" s="41">
        <f>IF(N('Dvd Calendar'!$G$422)=0,"",IF(('Dvd Calendar'!$G$422&gt;=MIN(DATE(Summary!$C$12,1,1),Summary!$C$11))*('Dvd Calendar'!$G$422&lt;=MAX(DATE(Summary!$C$12,12,31),Summary!$C$15))*('Dvd Calendar'!$G$422&gt;Summary!$C$11)=0,"",'Dvd Calendar'!$G$422*1000000000+ISNUMBER('Dvd Calendar'!$G$423)*100000000+('Dvd Calendar'!$G$427='Field Check'!$C$25)*10000000+(N('Dvd Calendar'!$G$421)&gt;0)*1000000+28*1000+43))</f>
        <v/>
      </c>
      <c r="AT36" s="41">
        <f>IF(N('Dvd Calendar'!$H$422)=0,"",IF(('Dvd Calendar'!$H$422&gt;=MIN(DATE(Summary!$C$12,1,1),Summary!$C$11))*('Dvd Calendar'!$H$422&lt;=MAX(DATE(Summary!$C$12,12,31),Summary!$C$15))*('Dvd Calendar'!$H$422&gt;Summary!$C$11)=0,"",'Dvd Calendar'!$H$422*1000000000+ISNUMBER('Dvd Calendar'!$H$423)*100000000+('Dvd Calendar'!$H$427='Field Check'!$C$25)*10000000+(N('Dvd Calendar'!$H$421)&gt;0)*1000000+28*1000+44))</f>
        <v/>
      </c>
      <c r="AU36" s="41">
        <f>IF(N('Dvd Calendar'!$I$422)=0,"",IF(('Dvd Calendar'!$I$422&gt;=MIN(DATE(Summary!$C$12,1,1),Summary!$C$11))*('Dvd Calendar'!$I$422&lt;=MAX(DATE(Summary!$C$12,12,31),Summary!$C$15))*('Dvd Calendar'!$I$422&gt;Summary!$C$11)=0,"",'Dvd Calendar'!$I$422*1000000000+ISNUMBER('Dvd Calendar'!$I$423)*100000000+('Dvd Calendar'!$I$427='Field Check'!$C$25)*10000000+(N('Dvd Calendar'!$I$421)&gt;0)*1000000+28*1000+45))</f>
        <v/>
      </c>
      <c r="AV36" s="41">
        <f>IF(N('Dvd Calendar'!$J$422)=0,"",IF(('Dvd Calendar'!$J$422&gt;=MIN(DATE(Summary!$C$12,1,1),Summary!$C$11))*('Dvd Calendar'!$J$422&lt;=MAX(DATE(Summary!$C$12,12,31),Summary!$C$15))*('Dvd Calendar'!$J$422&gt;Summary!$C$11)=0,"",'Dvd Calendar'!$J$422*1000000000+ISNUMBER('Dvd Calendar'!$J$423)*100000000+('Dvd Calendar'!$J$427='Field Check'!$C$25)*10000000+(N('Dvd Calendar'!$J$421)&gt;0)*1000000+28*1000+46))</f>
        <v/>
      </c>
      <c r="AW36" s="41">
        <f>IF(N('Dvd Calendar'!$K$422)=0,"",IF(('Dvd Calendar'!$K$422&gt;=MIN(DATE(Summary!$C$12,1,1),Summary!$C$11))*('Dvd Calendar'!$K$422&lt;=MAX(DATE(Summary!$C$12,12,31),Summary!$C$15))*('Dvd Calendar'!$K$422&gt;Summary!$C$11)=0,"",'Dvd Calendar'!$K$422*1000000000+ISNUMBER('Dvd Calendar'!$K$423)*100000000+('Dvd Calendar'!$K$427='Field Check'!$C$25)*10000000+(N('Dvd Calendar'!$K$421)&gt;0)*1000000+28*1000+47))</f>
        <v/>
      </c>
      <c r="AX36" s="41">
        <f>IF(N('Dvd Calendar'!$L$422)=0,"",IF(('Dvd Calendar'!$L$422&gt;=MIN(DATE(Summary!$C$12,1,1),Summary!$C$11))*('Dvd Calendar'!$L$422&lt;=MAX(DATE(Summary!$C$12,12,31),Summary!$C$15))*('Dvd Calendar'!$L$422&gt;Summary!$C$11)=0,"",'Dvd Calendar'!$L$422*1000000000+ISNUMBER('Dvd Calendar'!$L$423)*100000000+('Dvd Calendar'!$L$427='Field Check'!$C$25)*10000000+(N('Dvd Calendar'!$L$421)&gt;0)*1000000+28*1000+48))</f>
        <v/>
      </c>
      <c r="AY36" s="41">
        <f>IF(N('Dvd Calendar'!$M$422)=0,"",IF(('Dvd Calendar'!$M$422&gt;=MIN(DATE(Summary!$C$12,1,1),Summary!$C$11))*('Dvd Calendar'!$M$422&lt;=MAX(DATE(Summary!$C$12,12,31),Summary!$C$15))*('Dvd Calendar'!$M$422&gt;Summary!$C$11)=0,"",'Dvd Calendar'!$M$422*1000000000+ISNUMBER('Dvd Calendar'!$M$423)*100000000+('Dvd Calendar'!$M$427='Field Check'!$C$25)*10000000+(N('Dvd Calendar'!$M$421)&gt;0)*1000000+28*1000+49))</f>
        <v/>
      </c>
      <c r="AZ36" s="41">
        <f>IF(N('Dvd Calendar'!$N$422)=0,"",IF(('Dvd Calendar'!$N$422&gt;=MIN(DATE(Summary!$C$12,1,1),Summary!$C$11))*('Dvd Calendar'!$N$422&lt;=MAX(DATE(Summary!$C$12,12,31),Summary!$C$15))*('Dvd Calendar'!$N$422&gt;Summary!$C$11)=0,"",'Dvd Calendar'!$N$422*1000000000+ISNUMBER('Dvd Calendar'!$N$423)*100000000+('Dvd Calendar'!$N$427='Field Check'!$C$25)*10000000+(N('Dvd Calendar'!$N$421)&gt;0)*1000000+28*1000+50))</f>
        <v/>
      </c>
      <c r="BA36" s="41">
        <f>IF(N('Dvd Calendar'!$O$422)=0,"",IF(('Dvd Calendar'!$O$422&gt;=MIN(DATE(Summary!$C$12,1,1),Summary!$C$11))*('Dvd Calendar'!$O$422&lt;=MAX(DATE(Summary!$C$12,12,31),Summary!$C$15))*('Dvd Calendar'!$O$422&gt;Summary!$C$11)=0,"",'Dvd Calendar'!$O$422*1000000000+ISNUMBER('Dvd Calendar'!$O$423)*100000000+('Dvd Calendar'!$O$427='Field Check'!$C$25)*10000000+(N('Dvd Calendar'!$O$421)&gt;0)*1000000+28*1000+51))</f>
        <v/>
      </c>
      <c r="BB36" s="41">
        <f>IF(N('Dvd Calendar'!$P$422)=0,"",IF(('Dvd Calendar'!$P$422&gt;=MIN(DATE(Summary!$C$12,1,1),Summary!$C$11))*('Dvd Calendar'!$P$422&lt;=MAX(DATE(Summary!$C$12,12,31),Summary!$C$15))*('Dvd Calendar'!$P$422&gt;Summary!$C$11)=0,"",'Dvd Calendar'!$P$422*1000000000+ISNUMBER('Dvd Calendar'!$P$423)*100000000+('Dvd Calendar'!$P$427='Field Check'!$C$25)*10000000+(N('Dvd Calendar'!$P$421)&gt;0)*1000000+28*1000+52))</f>
        <v/>
      </c>
      <c r="BC36" s="41">
        <f>IF(N('Dvd Calendar'!$Q$422)=0,"",IF(('Dvd Calendar'!$Q$422&gt;=MIN(DATE(Summary!$C$12,1,1),Summary!$C$11))*('Dvd Calendar'!$Q$422&lt;=MAX(DATE(Summary!$C$12,12,31),Summary!$C$15))*('Dvd Calendar'!$Q$422&gt;Summary!$C$11)=0,"",'Dvd Calendar'!$Q$422*1000000000+ISNUMBER('Dvd Calendar'!$Q$423)*100000000+('Dvd Calendar'!$Q$427='Field Check'!$C$25)*10000000+(N('Dvd Calendar'!$Q$421)&gt;0)*1000000+28*1000+53))</f>
        <v/>
      </c>
      <c r="BD36" s="41">
        <f>IF(N('Dvd Calendar'!$R$422)=0,"",IF(('Dvd Calendar'!$R$422&gt;=MIN(DATE(Summary!$C$12,1,1),Summary!$C$11))*('Dvd Calendar'!$R$422&lt;=MAX(DATE(Summary!$C$12,12,31),Summary!$C$15))*('Dvd Calendar'!$R$422&gt;Summary!$C$11)=0,"",'Dvd Calendar'!$R$422*1000000000+ISNUMBER('Dvd Calendar'!$R$423)*100000000+('Dvd Calendar'!$R$427='Field Check'!$C$25)*10000000+(N('Dvd Calendar'!$R$421)&gt;0)*1000000+28*1000+54))</f>
        <v/>
      </c>
      <c r="BE36" s="41">
        <f>IF(N('Dvd Calendar'!$S$422)=0,"",IF(('Dvd Calendar'!$S$422&gt;=MIN(DATE(Summary!$C$12,1,1),Summary!$C$11))*('Dvd Calendar'!$S$422&lt;=MAX(DATE(Summary!$C$12,12,31),Summary!$C$15))*('Dvd Calendar'!$S$422&gt;Summary!$C$11)=0,"",'Dvd Calendar'!$S$422*1000000000+ISNUMBER('Dvd Calendar'!$S$423)*100000000+('Dvd Calendar'!$S$427='Field Check'!$C$25)*10000000+(N('Dvd Calendar'!$S$421)&gt;0)*1000000+28*1000+55))</f>
        <v/>
      </c>
      <c r="BF36" s="41">
        <f>IF(N('Dvd Calendar'!$T$422)=0,"",IF(('Dvd Calendar'!$T$422&gt;=MIN(DATE(Summary!$C$12,1,1),Summary!$C$11))*('Dvd Calendar'!$T$422&lt;=MAX(DATE(Summary!$C$12,12,31),Summary!$C$15))*('Dvd Calendar'!$T$422&gt;Summary!$C$11)=0,"",'Dvd Calendar'!$T$422*1000000000+ISNUMBER('Dvd Calendar'!$T$423)*100000000+('Dvd Calendar'!$T$427='Field Check'!$C$25)*10000000+(N('Dvd Calendar'!$T$421)&gt;0)*1000000+28*1000+56))</f>
        <v/>
      </c>
      <c r="BG36" s="41">
        <f>IF(N('Dvd Calendar'!$U$422)=0,"",IF(('Dvd Calendar'!$U$422&gt;=MIN(DATE(Summary!$C$12,1,1),Summary!$C$11))*('Dvd Calendar'!$U$422&lt;=MAX(DATE(Summary!$C$12,12,31),Summary!$C$15))*('Dvd Calendar'!$U$422&gt;Summary!$C$11)=0,"",'Dvd Calendar'!$U$422*1000000000+ISNUMBER('Dvd Calendar'!$U$423)*100000000+('Dvd Calendar'!$U$427='Field Check'!$C$25)*10000000+(N('Dvd Calendar'!$U$421)&gt;0)*1000000+28*1000+57))</f>
        <v/>
      </c>
      <c r="BH36" s="41">
        <f>IF(N('Dvd Calendar'!$V$422)=0,"",IF(('Dvd Calendar'!$V$422&gt;=MIN(DATE(Summary!$C$12,1,1),Summary!$C$11))*('Dvd Calendar'!$V$422&lt;=MAX(DATE(Summary!$C$12,12,31),Summary!$C$15))*('Dvd Calendar'!$V$422&gt;Summary!$C$11)=0,"",'Dvd Calendar'!$V$422*1000000000+ISNUMBER('Dvd Calendar'!$V$423)*100000000+('Dvd Calendar'!$V$427='Field Check'!$C$25)*10000000+(N('Dvd Calendar'!$V$421)&gt;0)*1000000+28*1000+58))</f>
        <v/>
      </c>
      <c r="BI36" s="41">
        <f>IF(N('Dvd Calendar'!$W$422)=0,"",IF(('Dvd Calendar'!$W$422&gt;=MIN(DATE(Summary!$C$12,1,1),Summary!$C$11))*('Dvd Calendar'!$W$422&lt;=MAX(DATE(Summary!$C$12,12,31),Summary!$C$15))*('Dvd Calendar'!$W$422&gt;Summary!$C$11)=0,"",'Dvd Calendar'!$W$422*1000000000+ISNUMBER('Dvd Calendar'!$W$423)*100000000+('Dvd Calendar'!$W$427='Field Check'!$C$25)*10000000+(N('Dvd Calendar'!$W$421)&gt;0)*1000000+28*1000+59))</f>
        <v/>
      </c>
      <c r="BJ36" s="41">
        <f>IF(N('Dvd Calendar'!$X$422)=0,"",IF(('Dvd Calendar'!$X$422&gt;=MIN(DATE(Summary!$C$12,1,1),Summary!$C$11))*('Dvd Calendar'!$X$422&lt;=MAX(DATE(Summary!$C$12,12,31),Summary!$C$15))*('Dvd Calendar'!$X$422&gt;Summary!$C$11)=0,"",'Dvd Calendar'!$X$422*1000000000+ISNUMBER('Dvd Calendar'!$X$423)*100000000+('Dvd Calendar'!$X$427='Field Check'!$C$25)*10000000+(N('Dvd Calendar'!$X$421)&gt;0)*1000000+28*1000+60))</f>
        <v/>
      </c>
      <c r="BK36" s="41">
        <f>IF(N('Dvd Calendar'!$Y$422)=0,"",IF(('Dvd Calendar'!$Y$422&gt;=MIN(DATE(Summary!$C$12,1,1),Summary!$C$11))*('Dvd Calendar'!$Y$422&lt;=MAX(DATE(Summary!$C$12,12,31),Summary!$C$15))*('Dvd Calendar'!$Y$422&gt;Summary!$C$11)=0,"",'Dvd Calendar'!$Y$422*1000000000+ISNUMBER('Dvd Calendar'!$Y$423)*100000000+('Dvd Calendar'!$Y$427='Field Check'!$C$25)*10000000+(N('Dvd Calendar'!$Y$421)&gt;0)*1000000+28*1000+61))</f>
        <v/>
      </c>
      <c r="BL36" s="41">
        <f>IF(N('Dvd Calendar'!$Z$422)=0,"",IF(('Dvd Calendar'!$Z$422&gt;=MIN(DATE(Summary!$C$12,1,1),Summary!$C$11))*('Dvd Calendar'!$Z$422&lt;=MAX(DATE(Summary!$C$12,12,31),Summary!$C$15))*('Dvd Calendar'!$Z$422&gt;Summary!$C$11)=0,"",'Dvd Calendar'!$Z$422*1000000000+ISNUMBER('Dvd Calendar'!$Z$423)*100000000+('Dvd Calendar'!$Z$427='Field Check'!$C$25)*10000000+(N('Dvd Calendar'!$Z$421)&gt;0)*1000000+28*1000+62))</f>
        <v/>
      </c>
      <c r="BM36" s="41">
        <f>IF(N('Dvd Calendar'!$AA$422)=0,"",IF(('Dvd Calendar'!$AA$422&gt;=MIN(DATE(Summary!$C$12,1,1),Summary!$C$11))*('Dvd Calendar'!$AA$422&lt;=MAX(DATE(Summary!$C$12,12,31),Summary!$C$15))*('Dvd Calendar'!$AA$422&gt;Summary!$C$11)=0,"",'Dvd Calendar'!$AA$422*1000000000+ISNUMBER('Dvd Calendar'!$AA$423)*100000000+('Dvd Calendar'!$AA$427='Field Check'!$C$25)*10000000+(N('Dvd Calendar'!$AA$421)&gt;0)*1000000+28*1000+63))</f>
        <v/>
      </c>
      <c r="BN36" s="41">
        <f>IF(N('Dvd Calendar'!$AB$422)=0,"",IF(('Dvd Calendar'!$AB$422&gt;=MIN(DATE(Summary!$C$12,1,1),Summary!$C$11))*('Dvd Calendar'!$AB$422&lt;=MAX(DATE(Summary!$C$12,12,31),Summary!$C$15))*('Dvd Calendar'!$AB$422&gt;Summary!$C$11)=0,"",'Dvd Calendar'!$AB$422*1000000000+ISNUMBER('Dvd Calendar'!$AB$423)*100000000+('Dvd Calendar'!$AB$427='Field Check'!$C$25)*10000000+(N('Dvd Calendar'!$AB$421)&gt;0)*1000000+28*1000+64))</f>
        <v/>
      </c>
      <c r="BO36" s="41">
        <f>IF(N('Dvd Calendar'!$AC$422)=0,"",IF(('Dvd Calendar'!$AC$422&gt;=MIN(DATE(Summary!$C$12,1,1),Summary!$C$11))*('Dvd Calendar'!$AC$422&lt;=MAX(DATE(Summary!$C$12,12,31),Summary!$C$15))*('Dvd Calendar'!$AC$422&gt;Summary!$C$11)=0,"",'Dvd Calendar'!$AC$422*1000000000+ISNUMBER('Dvd Calendar'!$AC$423)*100000000+('Dvd Calendar'!$AC$427='Field Check'!$C$25)*10000000+(N('Dvd Calendar'!$AC$421)&gt;0)*1000000+28*1000+65))</f>
        <v/>
      </c>
      <c r="BQ36" s="85">
        <f>IF(C36="","",IF(ISNUMBER('Dvd Calendar'!$E$416)=FALSE,"",IF((Summary!$C$13="N")*('Dvd Calendar'!$E$420='Field Check'!$C$25)&gt;0,"",'Dvd Calendar'!$E$416)))</f>
        <v/>
      </c>
      <c r="BR36" s="85">
        <f>IF(D36="","",IF(ISNUMBER('Dvd Calendar'!$F$416)=FALSE,"",IF((Summary!$C$13="N")*('Dvd Calendar'!$F$420='Field Check'!$C$25)&gt;0,"",'Dvd Calendar'!$F$416)))</f>
        <v/>
      </c>
      <c r="BS36" s="85">
        <f>IF(E36="","",IF(ISNUMBER('Dvd Calendar'!$G$416)=FALSE,"",IF((Summary!$C$13="N")*('Dvd Calendar'!$G$420='Field Check'!$C$25)&gt;0,"",'Dvd Calendar'!$G$416)))</f>
        <v/>
      </c>
      <c r="BT36" s="85">
        <f>IF(F36="","",IF(ISNUMBER('Dvd Calendar'!$H$416)=FALSE,"",IF((Summary!$C$13="N")*('Dvd Calendar'!$H$420='Field Check'!$C$25)&gt;0,"",'Dvd Calendar'!$H$416)))</f>
        <v/>
      </c>
      <c r="BU36" s="85">
        <f>IF(G36="","",IF(ISNUMBER('Dvd Calendar'!$I$416)=FALSE,"",IF((Summary!$C$13="N")*('Dvd Calendar'!$I$420='Field Check'!$C$25)&gt;0,"",'Dvd Calendar'!$I$416)))</f>
        <v/>
      </c>
      <c r="BV36" s="85">
        <f>IF(H36="","",IF(ISNUMBER('Dvd Calendar'!$J$416)=FALSE,"",IF((Summary!$C$13="N")*('Dvd Calendar'!$J$420='Field Check'!$C$25)&gt;0,"",'Dvd Calendar'!$J$416)))</f>
        <v/>
      </c>
      <c r="BW36" s="85">
        <f>IF(I36="","",IF(ISNUMBER('Dvd Calendar'!$K$416)=FALSE,"",IF((Summary!$C$13="N")*('Dvd Calendar'!$K$420='Field Check'!$C$25)&gt;0,"",'Dvd Calendar'!$K$416)))</f>
        <v/>
      </c>
      <c r="BX36" s="85">
        <f>IF(J36="","",IF(ISNUMBER('Dvd Calendar'!$L$416)=FALSE,"",IF((Summary!$C$13="N")*('Dvd Calendar'!$L$420='Field Check'!$C$25)&gt;0,"",'Dvd Calendar'!$L$416)))</f>
        <v/>
      </c>
      <c r="BY36" s="85">
        <f>IF(K36="","",IF(ISNUMBER('Dvd Calendar'!$M$416)=FALSE,"",IF((Summary!$C$13="N")*('Dvd Calendar'!$M$420='Field Check'!$C$25)&gt;0,"",'Dvd Calendar'!$M$416)))</f>
        <v/>
      </c>
      <c r="BZ36" s="85">
        <f>IF(L36="","",IF(ISNUMBER('Dvd Calendar'!$N$416)=FALSE,"",IF((Summary!$C$13="N")*('Dvd Calendar'!$N$420='Field Check'!$C$25)&gt;0,"",'Dvd Calendar'!$N$416)))</f>
        <v/>
      </c>
      <c r="CA36" s="85">
        <f>IF(M36="","",IF(ISNUMBER('Dvd Calendar'!$O$416)=FALSE,"",IF((Summary!$C$13="N")*('Dvd Calendar'!$O$420='Field Check'!$C$25)&gt;0,"",'Dvd Calendar'!$O$416)))</f>
        <v/>
      </c>
      <c r="CB36" s="85">
        <f>IF(N36="","",IF(ISNUMBER('Dvd Calendar'!$P$416)=FALSE,"",IF((Summary!$C$13="N")*('Dvd Calendar'!$P$420='Field Check'!$C$25)&gt;0,"",'Dvd Calendar'!$P$416)))</f>
        <v/>
      </c>
      <c r="CC36" s="85">
        <f>IF(O36="","",IF(ISNUMBER('Dvd Calendar'!$Q$416)=FALSE,"",IF((Summary!$C$13="N")*('Dvd Calendar'!$Q$420='Field Check'!$C$25)&gt;0,"",'Dvd Calendar'!$Q$416)))</f>
        <v/>
      </c>
      <c r="CD36" s="85">
        <f>IF(P36="","",IF(ISNUMBER('Dvd Calendar'!$R$416)=FALSE,"",IF((Summary!$C$13="N")*('Dvd Calendar'!$R$420='Field Check'!$C$25)&gt;0,"",'Dvd Calendar'!$R$416)))</f>
        <v/>
      </c>
      <c r="CE36" s="85">
        <f>IF(Q36="","",IF(ISNUMBER('Dvd Calendar'!$S$416)=FALSE,"",IF((Summary!$C$13="N")*('Dvd Calendar'!$S$420='Field Check'!$C$25)&gt;0,"",'Dvd Calendar'!$S$416)))</f>
        <v/>
      </c>
      <c r="CF36" s="85">
        <f>IF(R36="","",IF(ISNUMBER('Dvd Calendar'!$T$416)=FALSE,"",IF((Summary!$C$13="N")*('Dvd Calendar'!$T$420='Field Check'!$C$25)&gt;0,"",'Dvd Calendar'!$T$416)))</f>
        <v/>
      </c>
      <c r="CG36" s="85">
        <f>IF(S36="","",IF(ISNUMBER('Dvd Calendar'!$U$416)=FALSE,"",IF((Summary!$C$13="N")*('Dvd Calendar'!$U$420='Field Check'!$C$25)&gt;0,"",'Dvd Calendar'!$U$416)))</f>
        <v/>
      </c>
      <c r="CH36" s="85">
        <f>IF(T36="","",IF(ISNUMBER('Dvd Calendar'!$V$416)=FALSE,"",IF((Summary!$C$13="N")*('Dvd Calendar'!$V$420='Field Check'!$C$25)&gt;0,"",'Dvd Calendar'!$V$416)))</f>
        <v/>
      </c>
      <c r="CI36" s="85">
        <f>IF(U36="","",IF(ISNUMBER('Dvd Calendar'!$W$416)=FALSE,"",IF((Summary!$C$13="N")*('Dvd Calendar'!$W$420='Field Check'!$C$25)&gt;0,"",'Dvd Calendar'!$W$416)))</f>
        <v/>
      </c>
      <c r="CJ36" s="85">
        <f>IF(V36="","",IF(ISNUMBER('Dvd Calendar'!$X$416)=FALSE,"",IF((Summary!$C$13="N")*('Dvd Calendar'!$X$420='Field Check'!$C$25)&gt;0,"",'Dvd Calendar'!$X$416)))</f>
        <v/>
      </c>
      <c r="CK36" s="85">
        <f>IF(W36="","",IF(ISNUMBER('Dvd Calendar'!$Y$416)=FALSE,"",IF((Summary!$C$13="N")*('Dvd Calendar'!$Y$420='Field Check'!$C$25)&gt;0,"",'Dvd Calendar'!$Y$416)))</f>
        <v/>
      </c>
      <c r="CL36" s="85">
        <f>IF(X36="","",IF(ISNUMBER('Dvd Calendar'!$Z$416)=FALSE,"",IF((Summary!$C$13="N")*('Dvd Calendar'!$Z$420='Field Check'!$C$25)&gt;0,"",'Dvd Calendar'!$Z$416)))</f>
        <v/>
      </c>
      <c r="CM36" s="85">
        <f>IF(Y36="","",IF(ISNUMBER('Dvd Calendar'!$AA$416)=FALSE,"",IF((Summary!$C$13="N")*('Dvd Calendar'!$AA$420='Field Check'!$C$25)&gt;0,"",'Dvd Calendar'!$AA$416)))</f>
        <v/>
      </c>
      <c r="CN36" s="85">
        <f>IF(Z36="","",IF(ISNUMBER('Dvd Calendar'!$AB$416)=FALSE,"",IF((Summary!$C$13="N")*('Dvd Calendar'!$AB$420='Field Check'!$C$25)&gt;0,"",'Dvd Calendar'!$AB$416)))</f>
        <v/>
      </c>
      <c r="CO36" s="85">
        <f>IF(AA36="","",IF(ISNUMBER('Dvd Calendar'!$AC$416)=FALSE,"",IF((Summary!$C$13="N")*('Dvd Calendar'!$AC$420='Field Check'!$C$25)&gt;0,"",'Dvd Calendar'!$AC$416)))</f>
        <v/>
      </c>
      <c r="CP36" s="85">
        <f>IF(AB36="","",IF(ISNUMBER('Dvd Calendar'!$AD$416)=FALSE,"",IF((Summary!$C$13="N")*('Dvd Calendar'!$AD$420='Field Check'!$C$25)&gt;0,"",'Dvd Calendar'!$AD$416)))</f>
        <v/>
      </c>
      <c r="CQ36" s="85">
        <f>IF(AC36="","",IF(ISNUMBER('Dvd Calendar'!$AE$416)=FALSE,"",IF((Summary!$C$13="N")*('Dvd Calendar'!$AE$420='Field Check'!$C$25)&gt;0,"",'Dvd Calendar'!$AE$416)))</f>
        <v/>
      </c>
      <c r="CR36" s="85">
        <f>IF(AD36="","",IF(ISNUMBER('Dvd Calendar'!$AF$416)=FALSE,"",IF((Summary!$C$13="N")*('Dvd Calendar'!$AF$420='Field Check'!$C$25)&gt;0,"",'Dvd Calendar'!$AF$416)))</f>
        <v/>
      </c>
      <c r="CS36" s="85">
        <f>IF(AE36="","",IF(ISNUMBER('Dvd Calendar'!$AG$416)=FALSE,"",IF((Summary!$C$13="N")*('Dvd Calendar'!$AG$420='Field Check'!$C$25)&gt;0,"",'Dvd Calendar'!$AG$416)))</f>
        <v/>
      </c>
      <c r="CT36" s="85">
        <f>IF(AF36="","",IF(ISNUMBER('Dvd Calendar'!$AH$416)=FALSE,"",IF((Summary!$C$13="N")*('Dvd Calendar'!$AH$420='Field Check'!$C$25)&gt;0,"",'Dvd Calendar'!$AH$416)))</f>
        <v/>
      </c>
      <c r="CU36" s="85">
        <f>IF(AG36="","",IF(ISNUMBER('Dvd Calendar'!$AI$416)=FALSE,"",IF((Summary!$C$13="N")*('Dvd Calendar'!$AI$420='Field Check'!$C$25)&gt;0,"",'Dvd Calendar'!$AI$416)))</f>
        <v/>
      </c>
      <c r="CV36" s="85">
        <f>IF(AH36="","",IF(ISNUMBER('Dvd Calendar'!$AJ$416)=FALSE,"",IF((Summary!$C$13="N")*('Dvd Calendar'!$AJ$420='Field Check'!$C$25)&gt;0,"",'Dvd Calendar'!$AJ$416)))</f>
        <v/>
      </c>
      <c r="CW36" s="85">
        <f>IF(AI36="","",IF(ISNUMBER('Dvd Calendar'!$AK$416)=FALSE,"",IF((Summary!$C$13="N")*('Dvd Calendar'!$AK$420='Field Check'!$C$25)&gt;0,"",'Dvd Calendar'!$AK$416)))</f>
        <v/>
      </c>
      <c r="CX36" s="85">
        <f>IF(AJ36="","",IF(ISNUMBER('Dvd Calendar'!$AL$416)=FALSE,"",IF((Summary!$C$13="N")*('Dvd Calendar'!$AL$420='Field Check'!$C$25)&gt;0,"",'Dvd Calendar'!$AL$416)))</f>
        <v/>
      </c>
      <c r="CY36" s="85">
        <f>IF(AK36="","",IF(ISNUMBER('Dvd Calendar'!$AM$416)=FALSE,"",IF((Summary!$C$13="N")*('Dvd Calendar'!$AM$420='Field Check'!$C$25)&gt;0,"",'Dvd Calendar'!$AM$416)))</f>
        <v/>
      </c>
      <c r="CZ36" s="85">
        <f>IF(AL36="","",IF(ISNUMBER('Dvd Calendar'!$AN$416)=FALSE,"",IF((Summary!$C$13="N")*('Dvd Calendar'!$AN$420='Field Check'!$C$25)&gt;0,"",'Dvd Calendar'!$AN$416)))</f>
        <v/>
      </c>
      <c r="DA36" s="85">
        <f>IF(AM36="","",IF(ISNUMBER('Dvd Calendar'!$AO$416)=FALSE,"",IF((Summary!$C$13="N")*('Dvd Calendar'!$AO$420='Field Check'!$C$25)&gt;0,"",'Dvd Calendar'!$AO$416)))</f>
        <v/>
      </c>
      <c r="DB36" s="85">
        <f>IF(AN36="","",IF(ISNUMBER('Dvd Calendar'!$AP$416)=FALSE,"",IF((Summary!$C$13="N")*('Dvd Calendar'!$AP$420='Field Check'!$C$25)&gt;0,"",'Dvd Calendar'!$AP$416)))</f>
        <v/>
      </c>
      <c r="DC36" s="85">
        <f>IF(AO36="","",IF(ISNUMBER('Dvd Calendar'!$AQ$416)=FALSE,"",IF((Summary!$C$13="N")*('Dvd Calendar'!$AQ$420='Field Check'!$C$25)&gt;0,"",'Dvd Calendar'!$AQ$416)))</f>
        <v/>
      </c>
      <c r="DD36" s="85">
        <f>IF(AP36="","",IF(ISNUMBER('Dvd Calendar'!$AR$416)=FALSE,"",IF((Summary!$C$13="N")*('Dvd Calendar'!$AR$420='Field Check'!$C$25)&gt;0,"",'Dvd Calendar'!$AR$416)))</f>
        <v/>
      </c>
      <c r="DE36" s="85">
        <f>IF(AQ36="","",IF(ISNUMBER('Dvd Calendar'!$E$423)=FALSE,"",IF((Summary!$C$13="N")*('Dvd Calendar'!$E$427='Field Check'!$C$25)&gt;0,"",'Dvd Calendar'!$E$423)))</f>
        <v/>
      </c>
      <c r="DF36" s="85">
        <f>IF(AR36="","",IF(ISNUMBER('Dvd Calendar'!$F$423)=FALSE,"",IF((Summary!$C$13="N")*('Dvd Calendar'!$F$427='Field Check'!$C$25)&gt;0,"",'Dvd Calendar'!$F$423)))</f>
        <v/>
      </c>
      <c r="DG36" s="85">
        <f>IF(AS36="","",IF(ISNUMBER('Dvd Calendar'!$G$423)=FALSE,"",IF((Summary!$C$13="N")*('Dvd Calendar'!$G$427='Field Check'!$C$25)&gt;0,"",'Dvd Calendar'!$G$423)))</f>
        <v/>
      </c>
      <c r="DH36" s="85">
        <f>IF(AT36="","",IF(ISNUMBER('Dvd Calendar'!$H$423)=FALSE,"",IF((Summary!$C$13="N")*('Dvd Calendar'!$H$427='Field Check'!$C$25)&gt;0,"",'Dvd Calendar'!$H$423)))</f>
        <v/>
      </c>
      <c r="DI36" s="85">
        <f>IF(AU36="","",IF(ISNUMBER('Dvd Calendar'!$I$423)=FALSE,"",IF((Summary!$C$13="N")*('Dvd Calendar'!$I$427='Field Check'!$C$25)&gt;0,"",'Dvd Calendar'!$I$423)))</f>
        <v/>
      </c>
      <c r="DJ36" s="85">
        <f>IF(AV36="","",IF(ISNUMBER('Dvd Calendar'!$J$423)=FALSE,"",IF((Summary!$C$13="N")*('Dvd Calendar'!$J$427='Field Check'!$C$25)&gt;0,"",'Dvd Calendar'!$J$423)))</f>
        <v/>
      </c>
      <c r="DK36" s="85">
        <f>IF(AW36="","",IF(ISNUMBER('Dvd Calendar'!$K$423)=FALSE,"",IF((Summary!$C$13="N")*('Dvd Calendar'!$K$427='Field Check'!$C$25)&gt;0,"",'Dvd Calendar'!$K$423)))</f>
        <v/>
      </c>
      <c r="DL36" s="85">
        <f>IF(AX36="","",IF(ISNUMBER('Dvd Calendar'!$L$423)=FALSE,"",IF((Summary!$C$13="N")*('Dvd Calendar'!$L$427='Field Check'!$C$25)&gt;0,"",'Dvd Calendar'!$L$423)))</f>
        <v/>
      </c>
      <c r="DM36" s="85">
        <f>IF(AY36="","",IF(ISNUMBER('Dvd Calendar'!$M$423)=FALSE,"",IF((Summary!$C$13="N")*('Dvd Calendar'!$M$427='Field Check'!$C$25)&gt;0,"",'Dvd Calendar'!$M$423)))</f>
        <v/>
      </c>
      <c r="DN36" s="85">
        <f>IF(AZ36="","",IF(ISNUMBER('Dvd Calendar'!$N$423)=FALSE,"",IF((Summary!$C$13="N")*('Dvd Calendar'!$N$427='Field Check'!$C$25)&gt;0,"",'Dvd Calendar'!$N$423)))</f>
        <v/>
      </c>
      <c r="DO36" s="85">
        <f>IF(BA36="","",IF(ISNUMBER('Dvd Calendar'!$O$423)=FALSE,"",IF((Summary!$C$13="N")*('Dvd Calendar'!$O$427='Field Check'!$C$25)&gt;0,"",'Dvd Calendar'!$O$423)))</f>
        <v/>
      </c>
      <c r="DP36" s="85">
        <f>IF(BB36="","",IF(ISNUMBER('Dvd Calendar'!$P$423)=FALSE,"",IF((Summary!$C$13="N")*('Dvd Calendar'!$P$427='Field Check'!$C$25)&gt;0,"",'Dvd Calendar'!$P$423)))</f>
        <v/>
      </c>
      <c r="DQ36" s="85">
        <f>IF(BC36="","",IF(ISNUMBER('Dvd Calendar'!$Q$423)=FALSE,"",IF((Summary!$C$13="N")*('Dvd Calendar'!$Q$427='Field Check'!$C$25)&gt;0,"",'Dvd Calendar'!$Q$423)))</f>
        <v/>
      </c>
      <c r="DR36" s="85">
        <f>IF(BD36="","",IF(ISNUMBER('Dvd Calendar'!$R$423)=FALSE,"",IF((Summary!$C$13="N")*('Dvd Calendar'!$R$427='Field Check'!$C$25)&gt;0,"",'Dvd Calendar'!$R$423)))</f>
        <v/>
      </c>
      <c r="DS36" s="85">
        <f>IF(BE36="","",IF(ISNUMBER('Dvd Calendar'!$S$423)=FALSE,"",IF((Summary!$C$13="N")*('Dvd Calendar'!$S$427='Field Check'!$C$25)&gt;0,"",'Dvd Calendar'!$S$423)))</f>
        <v/>
      </c>
      <c r="DT36" s="85">
        <f>IF(BF36="","",IF(ISNUMBER('Dvd Calendar'!$T$423)=FALSE,"",IF((Summary!$C$13="N")*('Dvd Calendar'!$T$427='Field Check'!$C$25)&gt;0,"",'Dvd Calendar'!$T$423)))</f>
        <v/>
      </c>
      <c r="DU36" s="85">
        <f>IF(BG36="","",IF(ISNUMBER('Dvd Calendar'!$U$423)=FALSE,"",IF((Summary!$C$13="N")*('Dvd Calendar'!$U$427='Field Check'!$C$25)&gt;0,"",'Dvd Calendar'!$U$423)))</f>
        <v/>
      </c>
      <c r="DV36" s="85">
        <f>IF(BH36="","",IF(ISNUMBER('Dvd Calendar'!$V$423)=FALSE,"",IF((Summary!$C$13="N")*('Dvd Calendar'!$V$427='Field Check'!$C$25)&gt;0,"",'Dvd Calendar'!$V$423)))</f>
        <v/>
      </c>
      <c r="DW36" s="85">
        <f>IF(BI36="","",IF(ISNUMBER('Dvd Calendar'!$W$423)=FALSE,"",IF((Summary!$C$13="N")*('Dvd Calendar'!$W$427='Field Check'!$C$25)&gt;0,"",'Dvd Calendar'!$W$423)))</f>
        <v/>
      </c>
      <c r="DX36" s="85">
        <f>IF(BJ36="","",IF(ISNUMBER('Dvd Calendar'!$X$423)=FALSE,"",IF((Summary!$C$13="N")*('Dvd Calendar'!$X$427='Field Check'!$C$25)&gt;0,"",'Dvd Calendar'!$X$423)))</f>
        <v/>
      </c>
      <c r="DY36" s="85">
        <f>IF(BK36="","",IF(ISNUMBER('Dvd Calendar'!$Y$423)=FALSE,"",IF((Summary!$C$13="N")*('Dvd Calendar'!$Y$427='Field Check'!$C$25)&gt;0,"",'Dvd Calendar'!$Y$423)))</f>
        <v/>
      </c>
      <c r="DZ36" s="85">
        <f>IF(BL36="","",IF(ISNUMBER('Dvd Calendar'!$Z$423)=FALSE,"",IF((Summary!$C$13="N")*('Dvd Calendar'!$Z$427='Field Check'!$C$25)&gt;0,"",'Dvd Calendar'!$Z$423)))</f>
        <v/>
      </c>
      <c r="EA36" s="85">
        <f>IF(BM36="","",IF(ISNUMBER('Dvd Calendar'!$AA$423)=FALSE,"",IF((Summary!$C$13="N")*('Dvd Calendar'!$AA$427='Field Check'!$C$25)&gt;0,"",'Dvd Calendar'!$AA$423)))</f>
        <v/>
      </c>
      <c r="EB36" s="85">
        <f>IF(BN36="","",IF(ISNUMBER('Dvd Calendar'!$AB$423)=FALSE,"",IF((Summary!$C$13="N")*('Dvd Calendar'!$AB$427='Field Check'!$C$25)&gt;0,"",'Dvd Calendar'!$AB$423)))</f>
        <v/>
      </c>
      <c r="EC36" s="85">
        <f>IF(BO36="","",IF(ISNUMBER('Dvd Calendar'!$AC$423)=FALSE,"",IF((Summary!$C$13="N")*('Dvd Calendar'!$AC$427='Field Check'!$C$25)&gt;0,"",'Dvd Calendar'!$AC$423)))</f>
        <v/>
      </c>
      <c r="EE36" s="85">
        <f>IF(BQ36="","",IFERROR(BQ36*HSI!$B$34*HSI!$G$34/HSI!$B$3,""))</f>
        <v/>
      </c>
      <c r="EF36" s="85">
        <f>IF(BR36="","",IFERROR(BR36*HSI!$B$34*HSI!$G$34/HSI!$B$3,""))</f>
        <v/>
      </c>
      <c r="EG36" s="85">
        <f>IF(BS36="","",IFERROR(BS36*HSI!$B$34*HSI!$G$34/HSI!$B$3,""))</f>
        <v/>
      </c>
      <c r="EH36" s="85">
        <f>IF(BT36="","",IFERROR(BT36*HSI!$B$34*HSI!$G$34/HSI!$B$3,""))</f>
        <v/>
      </c>
      <c r="EI36" s="85">
        <f>IF(BU36="","",IFERROR(BU36*HSI!$B$34*HSI!$G$34/HSI!$B$3,""))</f>
        <v/>
      </c>
      <c r="EJ36" s="85">
        <f>IF(BV36="","",IFERROR(BV36*HSI!$B$34*HSI!$G$34/HSI!$B$3,""))</f>
        <v/>
      </c>
      <c r="EK36" s="85">
        <f>IF(BW36="","",IFERROR(BW36*HSI!$B$34*HSI!$G$34/HSI!$B$3,""))</f>
        <v/>
      </c>
      <c r="EL36" s="85">
        <f>IF(BX36="","",IFERROR(BX36*HSI!$B$34*HSI!$G$34/HSI!$B$3,""))</f>
        <v/>
      </c>
      <c r="EM36" s="85">
        <f>IF(BY36="","",IFERROR(BY36*HSI!$B$34*HSI!$G$34/HSI!$B$3,""))</f>
        <v/>
      </c>
      <c r="EN36" s="85">
        <f>IF(BZ36="","",IFERROR(BZ36*HSI!$B$34*HSI!$G$34/HSI!$B$3,""))</f>
        <v/>
      </c>
      <c r="EO36" s="85">
        <f>IF(CA36="","",IFERROR(CA36*HSI!$B$34*HSI!$G$34/HSI!$B$3,""))</f>
        <v/>
      </c>
      <c r="EP36" s="85">
        <f>IF(CB36="","",IFERROR(CB36*HSI!$B$34*HSI!$G$34/HSI!$B$3,""))</f>
        <v/>
      </c>
      <c r="EQ36" s="85">
        <f>IF(CC36="","",IFERROR(CC36*HSI!$B$34*HSI!$G$34/HSI!$B$3,""))</f>
        <v/>
      </c>
      <c r="ER36" s="85">
        <f>IF(CD36="","",IFERROR(CD36*HSI!$B$34*HSI!$G$34/HSI!$B$3,""))</f>
        <v/>
      </c>
      <c r="ES36" s="85">
        <f>IF(CE36="","",IFERROR(CE36*HSI!$B$34*HSI!$G$34/HSI!$B$3,""))</f>
        <v/>
      </c>
      <c r="ET36" s="85">
        <f>IF(CF36="","",IFERROR(CF36*HSI!$B$34*HSI!$G$34/HSI!$B$3,""))</f>
        <v/>
      </c>
      <c r="EU36" s="85">
        <f>IF(CG36="","",IFERROR(CG36*HSI!$B$34*HSI!$G$34/HSI!$B$3,""))</f>
        <v/>
      </c>
      <c r="EV36" s="85">
        <f>IF(CH36="","",IFERROR(CH36*HSI!$B$34*HSI!$G$34/HSI!$B$3,""))</f>
        <v/>
      </c>
      <c r="EW36" s="85">
        <f>IF(CI36="","",IFERROR(CI36*HSI!$B$34*HSI!$G$34/HSI!$B$3,""))</f>
        <v/>
      </c>
      <c r="EX36" s="85">
        <f>IF(CJ36="","",IFERROR(CJ36*HSI!$B$34*HSI!$G$34/HSI!$B$3,""))</f>
        <v/>
      </c>
      <c r="EY36" s="85">
        <f>IF(CK36="","",IFERROR(CK36*HSI!$B$34*HSI!$G$34/HSI!$B$3,""))</f>
        <v/>
      </c>
      <c r="EZ36" s="85">
        <f>IF(CL36="","",IFERROR(CL36*HSI!$B$34*HSI!$G$34/HSI!$B$3,""))</f>
        <v/>
      </c>
      <c r="FA36" s="85">
        <f>IF(CM36="","",IFERROR(CM36*HSI!$B$34*HSI!$G$34/HSI!$B$3,""))</f>
        <v/>
      </c>
      <c r="FB36" s="85">
        <f>IF(CN36="","",IFERROR(CN36*HSI!$B$34*HSI!$G$34/HSI!$B$3,""))</f>
        <v/>
      </c>
      <c r="FC36" s="85">
        <f>IF(CO36="","",IFERROR(CO36*HSI!$B$34*HSI!$G$34/HSI!$B$3,""))</f>
        <v/>
      </c>
      <c r="FD36" s="85">
        <f>IF(CP36="","",IFERROR(CP36*HSI!$B$34*HSI!$G$34/HSI!$B$3,""))</f>
        <v/>
      </c>
      <c r="FE36" s="85">
        <f>IF(CQ36="","",IFERROR(CQ36*HSI!$B$34*HSI!$G$34/HSI!$B$3,""))</f>
        <v/>
      </c>
      <c r="FF36" s="85">
        <f>IF(CR36="","",IFERROR(CR36*HSI!$B$34*HSI!$G$34/HSI!$B$3,""))</f>
        <v/>
      </c>
      <c r="FG36" s="85">
        <f>IF(CS36="","",IFERROR(CS36*HSI!$B$34*HSI!$G$34/HSI!$B$3,""))</f>
        <v/>
      </c>
      <c r="FH36" s="85">
        <f>IF(CT36="","",IFERROR(CT36*HSI!$B$34*HSI!$G$34/HSI!$B$3,""))</f>
        <v/>
      </c>
      <c r="FI36" s="85">
        <f>IF(CU36="","",IFERROR(CU36*HSI!$B$34*HSI!$G$34/HSI!$B$3,""))</f>
        <v/>
      </c>
      <c r="FJ36" s="85">
        <f>IF(CV36="","",IFERROR(CV36*HSI!$B$34*HSI!$G$34/HSI!$B$3,""))</f>
        <v/>
      </c>
      <c r="FK36" s="85">
        <f>IF(CW36="","",IFERROR(CW36*HSI!$B$34*HSI!$G$34/HSI!$B$3,""))</f>
        <v/>
      </c>
      <c r="FL36" s="85">
        <f>IF(CX36="","",IFERROR(CX36*HSI!$B$34*HSI!$G$34/HSI!$B$3,""))</f>
        <v/>
      </c>
      <c r="FM36" s="85">
        <f>IF(CY36="","",IFERROR(CY36*HSI!$B$34*HSI!$G$34/HSI!$B$3,""))</f>
        <v/>
      </c>
      <c r="FN36" s="85">
        <f>IF(CZ36="","",IFERROR(CZ36*HSI!$B$34*HSI!$G$34/HSI!$B$3,""))</f>
        <v/>
      </c>
      <c r="FO36" s="85">
        <f>IF(DA36="","",IFERROR(DA36*HSI!$B$34*HSI!$G$34/HSI!$B$3,""))</f>
        <v/>
      </c>
      <c r="FP36" s="85">
        <f>IF(DB36="","",IFERROR(DB36*HSI!$B$34*HSI!$G$34/HSI!$B$3,""))</f>
        <v/>
      </c>
      <c r="FQ36" s="85">
        <f>IF(DC36="","",IFERROR(DC36*HSI!$B$34*HSI!$G$34/HSI!$B$3,""))</f>
        <v/>
      </c>
      <c r="FR36" s="85">
        <f>IF(DD36="","",IFERROR(DD36*HSI!$B$34*HSI!$G$34/HSI!$B$3,""))</f>
        <v/>
      </c>
      <c r="FS36" s="85">
        <f>IF(DE36="","",IFERROR(DE36*HSI!$B$34*HSI!$G$34/HSI!$B$3,""))</f>
        <v/>
      </c>
      <c r="FT36" s="85">
        <f>IF(DF36="","",IFERROR(DF36*HSI!$B$34*HSI!$G$34/HSI!$B$3,""))</f>
        <v/>
      </c>
      <c r="FU36" s="85">
        <f>IF(DG36="","",IFERROR(DG36*HSI!$B$34*HSI!$G$34/HSI!$B$3,""))</f>
        <v/>
      </c>
      <c r="FV36" s="85">
        <f>IF(DH36="","",IFERROR(DH36*HSI!$B$34*HSI!$G$34/HSI!$B$3,""))</f>
        <v/>
      </c>
      <c r="FW36" s="85">
        <f>IF(DI36="","",IFERROR(DI36*HSI!$B$34*HSI!$G$34/HSI!$B$3,""))</f>
        <v/>
      </c>
      <c r="FX36" s="85">
        <f>IF(DJ36="","",IFERROR(DJ36*HSI!$B$34*HSI!$G$34/HSI!$B$3,""))</f>
        <v/>
      </c>
      <c r="FY36" s="85">
        <f>IF(DK36="","",IFERROR(DK36*HSI!$B$34*HSI!$G$34/HSI!$B$3,""))</f>
        <v/>
      </c>
      <c r="FZ36" s="85">
        <f>IF(DL36="","",IFERROR(DL36*HSI!$B$34*HSI!$G$34/HSI!$B$3,""))</f>
        <v/>
      </c>
      <c r="GA36" s="85">
        <f>IF(DM36="","",IFERROR(DM36*HSI!$B$34*HSI!$G$34/HSI!$B$3,""))</f>
        <v/>
      </c>
      <c r="GB36" s="85">
        <f>IF(DN36="","",IFERROR(DN36*HSI!$B$34*HSI!$G$34/HSI!$B$3,""))</f>
        <v/>
      </c>
      <c r="GC36" s="85">
        <f>IF(DO36="","",IFERROR(DO36*HSI!$B$34*HSI!$G$34/HSI!$B$3,""))</f>
        <v/>
      </c>
      <c r="GD36" s="85">
        <f>IF(DP36="","",IFERROR(DP36*HSI!$B$34*HSI!$G$34/HSI!$B$3,""))</f>
        <v/>
      </c>
      <c r="GE36" s="85">
        <f>IF(DQ36="","",IFERROR(DQ36*HSI!$B$34*HSI!$G$34/HSI!$B$3,""))</f>
        <v/>
      </c>
      <c r="GF36" s="85">
        <f>IF(DR36="","",IFERROR(DR36*HSI!$B$34*HSI!$G$34/HSI!$B$3,""))</f>
        <v/>
      </c>
      <c r="GG36" s="85">
        <f>IF(DS36="","",IFERROR(DS36*HSI!$B$34*HSI!$G$34/HSI!$B$3,""))</f>
        <v/>
      </c>
      <c r="GH36" s="85">
        <f>IF(DT36="","",IFERROR(DT36*HSI!$B$34*HSI!$G$34/HSI!$B$3,""))</f>
        <v/>
      </c>
      <c r="GI36" s="85">
        <f>IF(DU36="","",IFERROR(DU36*HSI!$B$34*HSI!$G$34/HSI!$B$3,""))</f>
        <v/>
      </c>
      <c r="GJ36" s="85">
        <f>IF(DV36="","",IFERROR(DV36*HSI!$B$34*HSI!$G$34/HSI!$B$3,""))</f>
        <v/>
      </c>
      <c r="GK36" s="85">
        <f>IF(DW36="","",IFERROR(DW36*HSI!$B$34*HSI!$G$34/HSI!$B$3,""))</f>
        <v/>
      </c>
      <c r="GL36" s="85">
        <f>IF(DX36="","",IFERROR(DX36*HSI!$B$34*HSI!$G$34/HSI!$B$3,""))</f>
        <v/>
      </c>
      <c r="GM36" s="85">
        <f>IF(DY36="","",IFERROR(DY36*HSI!$B$34*HSI!$G$34/HSI!$B$3,""))</f>
        <v/>
      </c>
      <c r="GN36" s="85">
        <f>IF(DZ36="","",IFERROR(DZ36*HSI!$B$34*HSI!$G$34/HSI!$B$3,""))</f>
        <v/>
      </c>
      <c r="GO36" s="85">
        <f>IF(EA36="","",IFERROR(EA36*HSI!$B$34*HSI!$G$34/HSI!$B$3,""))</f>
        <v/>
      </c>
      <c r="GP36" s="85">
        <f>IF(EB36="","",IFERROR(EB36*HSI!$B$34*HSI!$G$34/HSI!$B$3,""))</f>
        <v/>
      </c>
      <c r="GQ36" s="85">
        <f>IF(EC36="","",IFERROR(EC36*HSI!$B$34*HSI!$G$34/HSI!$B$3,""))</f>
        <v/>
      </c>
    </row>
    <row r="37">
      <c r="B37" s="2">
        <f>IF(HSI!$C$35="","",HSI!$C$35)</f>
        <v/>
      </c>
      <c r="C37" s="41">
        <f>IF(N('Dvd Calendar'!$E$430)=0,"",IF(('Dvd Calendar'!$E$430&gt;=MIN(DATE(Summary!$C$12,1,1),Summary!$C$11))*('Dvd Calendar'!$E$430&lt;=MAX(DATE(Summary!$C$12,12,31),Summary!$C$15))*('Dvd Calendar'!$E$430&lt;=Summary!$C$11)=0,"",'Dvd Calendar'!$E$430*1000000000+ISNUMBER('Dvd Calendar'!$E$431)*100000000+('Dvd Calendar'!$E$435='Field Check'!$C$25)*10000000+(N('Dvd Calendar'!$E$429)&gt;0)*1000000+29*1000+1))</f>
        <v/>
      </c>
      <c r="D37" s="41">
        <f>IF(N('Dvd Calendar'!$F$430)=0,"",IF(('Dvd Calendar'!$F$430&gt;=MIN(DATE(Summary!$C$12,1,1),Summary!$C$11))*('Dvd Calendar'!$F$430&lt;=MAX(DATE(Summary!$C$12,12,31),Summary!$C$15))*('Dvd Calendar'!$F$430&lt;=Summary!$C$11)=0,"",'Dvd Calendar'!$F$430*1000000000+ISNUMBER('Dvd Calendar'!$F$431)*100000000+('Dvd Calendar'!$F$435='Field Check'!$C$25)*10000000+(N('Dvd Calendar'!$F$429)&gt;0)*1000000+29*1000+2))</f>
        <v/>
      </c>
      <c r="E37" s="41">
        <f>IF(N('Dvd Calendar'!$G$430)=0,"",IF(('Dvd Calendar'!$G$430&gt;=MIN(DATE(Summary!$C$12,1,1),Summary!$C$11))*('Dvd Calendar'!$G$430&lt;=MAX(DATE(Summary!$C$12,12,31),Summary!$C$15))*('Dvd Calendar'!$G$430&lt;=Summary!$C$11)=0,"",'Dvd Calendar'!$G$430*1000000000+ISNUMBER('Dvd Calendar'!$G$431)*100000000+('Dvd Calendar'!$G$435='Field Check'!$C$25)*10000000+(N('Dvd Calendar'!$G$429)&gt;0)*1000000+29*1000+3))</f>
        <v/>
      </c>
      <c r="F37" s="41">
        <f>IF(N('Dvd Calendar'!$H$430)=0,"",IF(('Dvd Calendar'!$H$430&gt;=MIN(DATE(Summary!$C$12,1,1),Summary!$C$11))*('Dvd Calendar'!$H$430&lt;=MAX(DATE(Summary!$C$12,12,31),Summary!$C$15))*('Dvd Calendar'!$H$430&lt;=Summary!$C$11)=0,"",'Dvd Calendar'!$H$430*1000000000+ISNUMBER('Dvd Calendar'!$H$431)*100000000+('Dvd Calendar'!$H$435='Field Check'!$C$25)*10000000+(N('Dvd Calendar'!$H$429)&gt;0)*1000000+29*1000+4))</f>
        <v/>
      </c>
      <c r="G37" s="41">
        <f>IF(N('Dvd Calendar'!$I$430)=0,"",IF(('Dvd Calendar'!$I$430&gt;=MIN(DATE(Summary!$C$12,1,1),Summary!$C$11))*('Dvd Calendar'!$I$430&lt;=MAX(DATE(Summary!$C$12,12,31),Summary!$C$15))*('Dvd Calendar'!$I$430&lt;=Summary!$C$11)=0,"",'Dvd Calendar'!$I$430*1000000000+ISNUMBER('Dvd Calendar'!$I$431)*100000000+('Dvd Calendar'!$I$435='Field Check'!$C$25)*10000000+(N('Dvd Calendar'!$I$429)&gt;0)*1000000+29*1000+5))</f>
        <v/>
      </c>
      <c r="H37" s="41">
        <f>IF(N('Dvd Calendar'!$J$430)=0,"",IF(('Dvd Calendar'!$J$430&gt;=MIN(DATE(Summary!$C$12,1,1),Summary!$C$11))*('Dvd Calendar'!$J$430&lt;=MAX(DATE(Summary!$C$12,12,31),Summary!$C$15))*('Dvd Calendar'!$J$430&lt;=Summary!$C$11)=0,"",'Dvd Calendar'!$J$430*1000000000+ISNUMBER('Dvd Calendar'!$J$431)*100000000+('Dvd Calendar'!$J$435='Field Check'!$C$25)*10000000+(N('Dvd Calendar'!$J$429)&gt;0)*1000000+29*1000+6))</f>
        <v/>
      </c>
      <c r="I37" s="41">
        <f>IF(N('Dvd Calendar'!$K$430)=0,"",IF(('Dvd Calendar'!$K$430&gt;=MIN(DATE(Summary!$C$12,1,1),Summary!$C$11))*('Dvd Calendar'!$K$430&lt;=MAX(DATE(Summary!$C$12,12,31),Summary!$C$15))*('Dvd Calendar'!$K$430&lt;=Summary!$C$11)=0,"",'Dvd Calendar'!$K$430*1000000000+ISNUMBER('Dvd Calendar'!$K$431)*100000000+('Dvd Calendar'!$K$435='Field Check'!$C$25)*10000000+(N('Dvd Calendar'!$K$429)&gt;0)*1000000+29*1000+7))</f>
        <v/>
      </c>
      <c r="J37" s="41">
        <f>IF(N('Dvd Calendar'!$L$430)=0,"",IF(('Dvd Calendar'!$L$430&gt;=MIN(DATE(Summary!$C$12,1,1),Summary!$C$11))*('Dvd Calendar'!$L$430&lt;=MAX(DATE(Summary!$C$12,12,31),Summary!$C$15))*('Dvd Calendar'!$L$430&lt;=Summary!$C$11)=0,"",'Dvd Calendar'!$L$430*1000000000+ISNUMBER('Dvd Calendar'!$L$431)*100000000+('Dvd Calendar'!$L$435='Field Check'!$C$25)*10000000+(N('Dvd Calendar'!$L$429)&gt;0)*1000000+29*1000+8))</f>
        <v/>
      </c>
      <c r="K37" s="41">
        <f>IF(N('Dvd Calendar'!$M$430)=0,"",IF(('Dvd Calendar'!$M$430&gt;=MIN(DATE(Summary!$C$12,1,1),Summary!$C$11))*('Dvd Calendar'!$M$430&lt;=MAX(DATE(Summary!$C$12,12,31),Summary!$C$15))*('Dvd Calendar'!$M$430&lt;=Summary!$C$11)=0,"",'Dvd Calendar'!$M$430*1000000000+ISNUMBER('Dvd Calendar'!$M$431)*100000000+('Dvd Calendar'!$M$435='Field Check'!$C$25)*10000000+(N('Dvd Calendar'!$M$429)&gt;0)*1000000+29*1000+9))</f>
        <v/>
      </c>
      <c r="L37" s="41">
        <f>IF(N('Dvd Calendar'!$N$430)=0,"",IF(('Dvd Calendar'!$N$430&gt;=MIN(DATE(Summary!$C$12,1,1),Summary!$C$11))*('Dvd Calendar'!$N$430&lt;=MAX(DATE(Summary!$C$12,12,31),Summary!$C$15))*('Dvd Calendar'!$N$430&lt;=Summary!$C$11)=0,"",'Dvd Calendar'!$N$430*1000000000+ISNUMBER('Dvd Calendar'!$N$431)*100000000+('Dvd Calendar'!$N$435='Field Check'!$C$25)*10000000+(N('Dvd Calendar'!$N$429)&gt;0)*1000000+29*1000+10))</f>
        <v/>
      </c>
      <c r="M37" s="41">
        <f>IF(N('Dvd Calendar'!$O$430)=0,"",IF(('Dvd Calendar'!$O$430&gt;=MIN(DATE(Summary!$C$12,1,1),Summary!$C$11))*('Dvd Calendar'!$O$430&lt;=MAX(DATE(Summary!$C$12,12,31),Summary!$C$15))*('Dvd Calendar'!$O$430&lt;=Summary!$C$11)=0,"",'Dvd Calendar'!$O$430*1000000000+ISNUMBER('Dvd Calendar'!$O$431)*100000000+('Dvd Calendar'!$O$435='Field Check'!$C$25)*10000000+(N('Dvd Calendar'!$O$429)&gt;0)*1000000+29*1000+11))</f>
        <v/>
      </c>
      <c r="N37" s="41">
        <f>IF(N('Dvd Calendar'!$P$430)=0,"",IF(('Dvd Calendar'!$P$430&gt;=MIN(DATE(Summary!$C$12,1,1),Summary!$C$11))*('Dvd Calendar'!$P$430&lt;=MAX(DATE(Summary!$C$12,12,31),Summary!$C$15))*('Dvd Calendar'!$P$430&lt;=Summary!$C$11)=0,"",'Dvd Calendar'!$P$430*1000000000+ISNUMBER('Dvd Calendar'!$P$431)*100000000+('Dvd Calendar'!$P$435='Field Check'!$C$25)*10000000+(N('Dvd Calendar'!$P$429)&gt;0)*1000000+29*1000+12))</f>
        <v/>
      </c>
      <c r="O37" s="41">
        <f>IF(N('Dvd Calendar'!$Q$430)=0,"",IF(('Dvd Calendar'!$Q$430&gt;=MIN(DATE(Summary!$C$12,1,1),Summary!$C$11))*('Dvd Calendar'!$Q$430&lt;=MAX(DATE(Summary!$C$12,12,31),Summary!$C$15))*('Dvd Calendar'!$Q$430&lt;=Summary!$C$11)=0,"",'Dvd Calendar'!$Q$430*1000000000+ISNUMBER('Dvd Calendar'!$Q$431)*100000000+('Dvd Calendar'!$Q$435='Field Check'!$C$25)*10000000+(N('Dvd Calendar'!$Q$429)&gt;0)*1000000+29*1000+13))</f>
        <v/>
      </c>
      <c r="P37" s="41">
        <f>IF(N('Dvd Calendar'!$R$430)=0,"",IF(('Dvd Calendar'!$R$430&gt;=MIN(DATE(Summary!$C$12,1,1),Summary!$C$11))*('Dvd Calendar'!$R$430&lt;=MAX(DATE(Summary!$C$12,12,31),Summary!$C$15))*('Dvd Calendar'!$R$430&lt;=Summary!$C$11)=0,"",'Dvd Calendar'!$R$430*1000000000+ISNUMBER('Dvd Calendar'!$R$431)*100000000+('Dvd Calendar'!$R$435='Field Check'!$C$25)*10000000+(N('Dvd Calendar'!$R$429)&gt;0)*1000000+29*1000+14))</f>
        <v/>
      </c>
      <c r="Q37" s="41">
        <f>IF(N('Dvd Calendar'!$S$430)=0,"",IF(('Dvd Calendar'!$S$430&gt;=MIN(DATE(Summary!$C$12,1,1),Summary!$C$11))*('Dvd Calendar'!$S$430&lt;=MAX(DATE(Summary!$C$12,12,31),Summary!$C$15))*('Dvd Calendar'!$S$430&lt;=Summary!$C$11)=0,"",'Dvd Calendar'!$S$430*1000000000+ISNUMBER('Dvd Calendar'!$S$431)*100000000+('Dvd Calendar'!$S$435='Field Check'!$C$25)*10000000+(N('Dvd Calendar'!$S$429)&gt;0)*1000000+29*1000+15))</f>
        <v/>
      </c>
      <c r="R37" s="41">
        <f>IF(N('Dvd Calendar'!$T$430)=0,"",IF(('Dvd Calendar'!$T$430&gt;=MIN(DATE(Summary!$C$12,1,1),Summary!$C$11))*('Dvd Calendar'!$T$430&lt;=MAX(DATE(Summary!$C$12,12,31),Summary!$C$15))*('Dvd Calendar'!$T$430&lt;=Summary!$C$11)=0,"",'Dvd Calendar'!$T$430*1000000000+ISNUMBER('Dvd Calendar'!$T$431)*100000000+('Dvd Calendar'!$T$435='Field Check'!$C$25)*10000000+(N('Dvd Calendar'!$T$429)&gt;0)*1000000+29*1000+16))</f>
        <v/>
      </c>
      <c r="S37" s="41">
        <f>IF(N('Dvd Calendar'!$U$430)=0,"",IF(('Dvd Calendar'!$U$430&gt;=MIN(DATE(Summary!$C$12,1,1),Summary!$C$11))*('Dvd Calendar'!$U$430&lt;=MAX(DATE(Summary!$C$12,12,31),Summary!$C$15))*('Dvd Calendar'!$U$430&lt;=Summary!$C$11)=0,"",'Dvd Calendar'!$U$430*1000000000+ISNUMBER('Dvd Calendar'!$U$431)*100000000+('Dvd Calendar'!$U$435='Field Check'!$C$25)*10000000+(N('Dvd Calendar'!$U$429)&gt;0)*1000000+29*1000+17))</f>
        <v/>
      </c>
      <c r="T37" s="41">
        <f>IF(N('Dvd Calendar'!$V$430)=0,"",IF(('Dvd Calendar'!$V$430&gt;=MIN(DATE(Summary!$C$12,1,1),Summary!$C$11))*('Dvd Calendar'!$V$430&lt;=MAX(DATE(Summary!$C$12,12,31),Summary!$C$15))*('Dvd Calendar'!$V$430&lt;=Summary!$C$11)=0,"",'Dvd Calendar'!$V$430*1000000000+ISNUMBER('Dvd Calendar'!$V$431)*100000000+('Dvd Calendar'!$V$435='Field Check'!$C$25)*10000000+(N('Dvd Calendar'!$V$429)&gt;0)*1000000+29*1000+18))</f>
        <v/>
      </c>
      <c r="U37" s="41">
        <f>IF(N('Dvd Calendar'!$W$430)=0,"",IF(('Dvd Calendar'!$W$430&gt;=MIN(DATE(Summary!$C$12,1,1),Summary!$C$11))*('Dvd Calendar'!$W$430&lt;=MAX(DATE(Summary!$C$12,12,31),Summary!$C$15))*('Dvd Calendar'!$W$430&lt;=Summary!$C$11)=0,"",'Dvd Calendar'!$W$430*1000000000+ISNUMBER('Dvd Calendar'!$W$431)*100000000+('Dvd Calendar'!$W$435='Field Check'!$C$25)*10000000+(N('Dvd Calendar'!$W$429)&gt;0)*1000000+29*1000+19))</f>
        <v/>
      </c>
      <c r="V37" s="41">
        <f>IF(N('Dvd Calendar'!$X$430)=0,"",IF(('Dvd Calendar'!$X$430&gt;=MIN(DATE(Summary!$C$12,1,1),Summary!$C$11))*('Dvd Calendar'!$X$430&lt;=MAX(DATE(Summary!$C$12,12,31),Summary!$C$15))*('Dvd Calendar'!$X$430&lt;=Summary!$C$11)=0,"",'Dvd Calendar'!$X$430*1000000000+ISNUMBER('Dvd Calendar'!$X$431)*100000000+('Dvd Calendar'!$X$435='Field Check'!$C$25)*10000000+(N('Dvd Calendar'!$X$429)&gt;0)*1000000+29*1000+20))</f>
        <v/>
      </c>
      <c r="W37" s="41">
        <f>IF(N('Dvd Calendar'!$Y$430)=0,"",IF(('Dvd Calendar'!$Y$430&gt;=MIN(DATE(Summary!$C$12,1,1),Summary!$C$11))*('Dvd Calendar'!$Y$430&lt;=MAX(DATE(Summary!$C$12,12,31),Summary!$C$15))*('Dvd Calendar'!$Y$430&lt;=Summary!$C$11)=0,"",'Dvd Calendar'!$Y$430*1000000000+ISNUMBER('Dvd Calendar'!$Y$431)*100000000+('Dvd Calendar'!$Y$435='Field Check'!$C$25)*10000000+(N('Dvd Calendar'!$Y$429)&gt;0)*1000000+29*1000+21))</f>
        <v/>
      </c>
      <c r="X37" s="41">
        <f>IF(N('Dvd Calendar'!$Z$430)=0,"",IF(('Dvd Calendar'!$Z$430&gt;=MIN(DATE(Summary!$C$12,1,1),Summary!$C$11))*('Dvd Calendar'!$Z$430&lt;=MAX(DATE(Summary!$C$12,12,31),Summary!$C$15))*('Dvd Calendar'!$Z$430&lt;=Summary!$C$11)=0,"",'Dvd Calendar'!$Z$430*1000000000+ISNUMBER('Dvd Calendar'!$Z$431)*100000000+('Dvd Calendar'!$Z$435='Field Check'!$C$25)*10000000+(N('Dvd Calendar'!$Z$429)&gt;0)*1000000+29*1000+22))</f>
        <v/>
      </c>
      <c r="Y37" s="41">
        <f>IF(N('Dvd Calendar'!$AA$430)=0,"",IF(('Dvd Calendar'!$AA$430&gt;=MIN(DATE(Summary!$C$12,1,1),Summary!$C$11))*('Dvd Calendar'!$AA$430&lt;=MAX(DATE(Summary!$C$12,12,31),Summary!$C$15))*('Dvd Calendar'!$AA$430&lt;=Summary!$C$11)=0,"",'Dvd Calendar'!$AA$430*1000000000+ISNUMBER('Dvd Calendar'!$AA$431)*100000000+('Dvd Calendar'!$AA$435='Field Check'!$C$25)*10000000+(N('Dvd Calendar'!$AA$429)&gt;0)*1000000+29*1000+23))</f>
        <v/>
      </c>
      <c r="Z37" s="41">
        <f>IF(N('Dvd Calendar'!$AB$430)=0,"",IF(('Dvd Calendar'!$AB$430&gt;=MIN(DATE(Summary!$C$12,1,1),Summary!$C$11))*('Dvd Calendar'!$AB$430&lt;=MAX(DATE(Summary!$C$12,12,31),Summary!$C$15))*('Dvd Calendar'!$AB$430&lt;=Summary!$C$11)=0,"",'Dvd Calendar'!$AB$430*1000000000+ISNUMBER('Dvd Calendar'!$AB$431)*100000000+('Dvd Calendar'!$AB$435='Field Check'!$C$25)*10000000+(N('Dvd Calendar'!$AB$429)&gt;0)*1000000+29*1000+24))</f>
        <v/>
      </c>
      <c r="AA37" s="41">
        <f>IF(N('Dvd Calendar'!$AC$430)=0,"",IF(('Dvd Calendar'!$AC$430&gt;=MIN(DATE(Summary!$C$12,1,1),Summary!$C$11))*('Dvd Calendar'!$AC$430&lt;=MAX(DATE(Summary!$C$12,12,31),Summary!$C$15))*('Dvd Calendar'!$AC$430&lt;=Summary!$C$11)=0,"",'Dvd Calendar'!$AC$430*1000000000+ISNUMBER('Dvd Calendar'!$AC$431)*100000000+('Dvd Calendar'!$AC$435='Field Check'!$C$25)*10000000+(N('Dvd Calendar'!$AC$429)&gt;0)*1000000+29*1000+25))</f>
        <v/>
      </c>
      <c r="AB37" s="41">
        <f>IF(N('Dvd Calendar'!$AD$430)=0,"",IF(('Dvd Calendar'!$AD$430&gt;=MIN(DATE(Summary!$C$12,1,1),Summary!$C$11))*('Dvd Calendar'!$AD$430&lt;=MAX(DATE(Summary!$C$12,12,31),Summary!$C$15))*('Dvd Calendar'!$AD$430&lt;=Summary!$C$11)=0,"",'Dvd Calendar'!$AD$430*1000000000+ISNUMBER('Dvd Calendar'!$AD$431)*100000000+('Dvd Calendar'!$AD$435='Field Check'!$C$25)*10000000+(N('Dvd Calendar'!$AD$429)&gt;0)*1000000+29*1000+26))</f>
        <v/>
      </c>
      <c r="AC37" s="41">
        <f>IF(N('Dvd Calendar'!$AE$430)=0,"",IF(('Dvd Calendar'!$AE$430&gt;=MIN(DATE(Summary!$C$12,1,1),Summary!$C$11))*('Dvd Calendar'!$AE$430&lt;=MAX(DATE(Summary!$C$12,12,31),Summary!$C$15))*('Dvd Calendar'!$AE$430&lt;=Summary!$C$11)=0,"",'Dvd Calendar'!$AE$430*1000000000+ISNUMBER('Dvd Calendar'!$AE$431)*100000000+('Dvd Calendar'!$AE$435='Field Check'!$C$25)*10000000+(N('Dvd Calendar'!$AE$429)&gt;0)*1000000+29*1000+27))</f>
        <v/>
      </c>
      <c r="AD37" s="41">
        <f>IF(N('Dvd Calendar'!$AF$430)=0,"",IF(('Dvd Calendar'!$AF$430&gt;=MIN(DATE(Summary!$C$12,1,1),Summary!$C$11))*('Dvd Calendar'!$AF$430&lt;=MAX(DATE(Summary!$C$12,12,31),Summary!$C$15))*('Dvd Calendar'!$AF$430&lt;=Summary!$C$11)=0,"",'Dvd Calendar'!$AF$430*1000000000+ISNUMBER('Dvd Calendar'!$AF$431)*100000000+('Dvd Calendar'!$AF$435='Field Check'!$C$25)*10000000+(N('Dvd Calendar'!$AF$429)&gt;0)*1000000+29*1000+28))</f>
        <v/>
      </c>
      <c r="AE37" s="41">
        <f>IF(N('Dvd Calendar'!$AG$430)=0,"",IF(('Dvd Calendar'!$AG$430&gt;=MIN(DATE(Summary!$C$12,1,1),Summary!$C$11))*('Dvd Calendar'!$AG$430&lt;=MAX(DATE(Summary!$C$12,12,31),Summary!$C$15))*('Dvd Calendar'!$AG$430&lt;=Summary!$C$11)=0,"",'Dvd Calendar'!$AG$430*1000000000+ISNUMBER('Dvd Calendar'!$AG$431)*100000000+('Dvd Calendar'!$AG$435='Field Check'!$C$25)*10000000+(N('Dvd Calendar'!$AG$429)&gt;0)*1000000+29*1000+29))</f>
        <v/>
      </c>
      <c r="AF37" s="41">
        <f>IF(N('Dvd Calendar'!$AH$430)=0,"",IF(('Dvd Calendar'!$AH$430&gt;=MIN(DATE(Summary!$C$12,1,1),Summary!$C$11))*('Dvd Calendar'!$AH$430&lt;=MAX(DATE(Summary!$C$12,12,31),Summary!$C$15))*('Dvd Calendar'!$AH$430&lt;=Summary!$C$11)=0,"",'Dvd Calendar'!$AH$430*1000000000+ISNUMBER('Dvd Calendar'!$AH$431)*100000000+('Dvd Calendar'!$AH$435='Field Check'!$C$25)*10000000+(N('Dvd Calendar'!$AH$429)&gt;0)*1000000+29*1000+30))</f>
        <v/>
      </c>
      <c r="AG37" s="41">
        <f>IF(N('Dvd Calendar'!$AI$430)=0,"",IF(('Dvd Calendar'!$AI$430&gt;=MIN(DATE(Summary!$C$12,1,1),Summary!$C$11))*('Dvd Calendar'!$AI$430&lt;=MAX(DATE(Summary!$C$12,12,31),Summary!$C$15))*('Dvd Calendar'!$AI$430&lt;=Summary!$C$11)=0,"",'Dvd Calendar'!$AI$430*1000000000+ISNUMBER('Dvd Calendar'!$AI$431)*100000000+('Dvd Calendar'!$AI$435='Field Check'!$C$25)*10000000+(N('Dvd Calendar'!$AI$429)&gt;0)*1000000+29*1000+31))</f>
        <v/>
      </c>
      <c r="AH37" s="41">
        <f>IF(N('Dvd Calendar'!$AJ$430)=0,"",IF(('Dvd Calendar'!$AJ$430&gt;=MIN(DATE(Summary!$C$12,1,1),Summary!$C$11))*('Dvd Calendar'!$AJ$430&lt;=MAX(DATE(Summary!$C$12,12,31),Summary!$C$15))*('Dvd Calendar'!$AJ$430&lt;=Summary!$C$11)=0,"",'Dvd Calendar'!$AJ$430*1000000000+ISNUMBER('Dvd Calendar'!$AJ$431)*100000000+('Dvd Calendar'!$AJ$435='Field Check'!$C$25)*10000000+(N('Dvd Calendar'!$AJ$429)&gt;0)*1000000+29*1000+32))</f>
        <v/>
      </c>
      <c r="AI37" s="41">
        <f>IF(N('Dvd Calendar'!$AK$430)=0,"",IF(('Dvd Calendar'!$AK$430&gt;=MIN(DATE(Summary!$C$12,1,1),Summary!$C$11))*('Dvd Calendar'!$AK$430&lt;=MAX(DATE(Summary!$C$12,12,31),Summary!$C$15))*('Dvd Calendar'!$AK$430&lt;=Summary!$C$11)=0,"",'Dvd Calendar'!$AK$430*1000000000+ISNUMBER('Dvd Calendar'!$AK$431)*100000000+('Dvd Calendar'!$AK$435='Field Check'!$C$25)*10000000+(N('Dvd Calendar'!$AK$429)&gt;0)*1000000+29*1000+33))</f>
        <v/>
      </c>
      <c r="AJ37" s="41">
        <f>IF(N('Dvd Calendar'!$AL$430)=0,"",IF(('Dvd Calendar'!$AL$430&gt;=MIN(DATE(Summary!$C$12,1,1),Summary!$C$11))*('Dvd Calendar'!$AL$430&lt;=MAX(DATE(Summary!$C$12,12,31),Summary!$C$15))*('Dvd Calendar'!$AL$430&lt;=Summary!$C$11)=0,"",'Dvd Calendar'!$AL$430*1000000000+ISNUMBER('Dvd Calendar'!$AL$431)*100000000+('Dvd Calendar'!$AL$435='Field Check'!$C$25)*10000000+(N('Dvd Calendar'!$AL$429)&gt;0)*1000000+29*1000+34))</f>
        <v/>
      </c>
      <c r="AK37" s="41">
        <f>IF(N('Dvd Calendar'!$AM$430)=0,"",IF(('Dvd Calendar'!$AM$430&gt;=MIN(DATE(Summary!$C$12,1,1),Summary!$C$11))*('Dvd Calendar'!$AM$430&lt;=MAX(DATE(Summary!$C$12,12,31),Summary!$C$15))*('Dvd Calendar'!$AM$430&lt;=Summary!$C$11)=0,"",'Dvd Calendar'!$AM$430*1000000000+ISNUMBER('Dvd Calendar'!$AM$431)*100000000+('Dvd Calendar'!$AM$435='Field Check'!$C$25)*10000000+(N('Dvd Calendar'!$AM$429)&gt;0)*1000000+29*1000+35))</f>
        <v/>
      </c>
      <c r="AL37" s="41">
        <f>IF(N('Dvd Calendar'!$AN$430)=0,"",IF(('Dvd Calendar'!$AN$430&gt;=MIN(DATE(Summary!$C$12,1,1),Summary!$C$11))*('Dvd Calendar'!$AN$430&lt;=MAX(DATE(Summary!$C$12,12,31),Summary!$C$15))*('Dvd Calendar'!$AN$430&lt;=Summary!$C$11)=0,"",'Dvd Calendar'!$AN$430*1000000000+ISNUMBER('Dvd Calendar'!$AN$431)*100000000+('Dvd Calendar'!$AN$435='Field Check'!$C$25)*10000000+(N('Dvd Calendar'!$AN$429)&gt;0)*1000000+29*1000+36))</f>
        <v/>
      </c>
      <c r="AM37" s="41">
        <f>IF(N('Dvd Calendar'!$AO$430)=0,"",IF(('Dvd Calendar'!$AO$430&gt;=MIN(DATE(Summary!$C$12,1,1),Summary!$C$11))*('Dvd Calendar'!$AO$430&lt;=MAX(DATE(Summary!$C$12,12,31),Summary!$C$15))*('Dvd Calendar'!$AO$430&lt;=Summary!$C$11)=0,"",'Dvd Calendar'!$AO$430*1000000000+ISNUMBER('Dvd Calendar'!$AO$431)*100000000+('Dvd Calendar'!$AO$435='Field Check'!$C$25)*10000000+(N('Dvd Calendar'!$AO$429)&gt;0)*1000000+29*1000+37))</f>
        <v/>
      </c>
      <c r="AN37" s="41">
        <f>IF(N('Dvd Calendar'!$AP$430)=0,"",IF(('Dvd Calendar'!$AP$430&gt;=MIN(DATE(Summary!$C$12,1,1),Summary!$C$11))*('Dvd Calendar'!$AP$430&lt;=MAX(DATE(Summary!$C$12,12,31),Summary!$C$15))*('Dvd Calendar'!$AP$430&lt;=Summary!$C$11)=0,"",'Dvd Calendar'!$AP$430*1000000000+ISNUMBER('Dvd Calendar'!$AP$431)*100000000+('Dvd Calendar'!$AP$435='Field Check'!$C$25)*10000000+(N('Dvd Calendar'!$AP$429)&gt;0)*1000000+29*1000+38))</f>
        <v/>
      </c>
      <c r="AO37" s="41">
        <f>IF(N('Dvd Calendar'!$AQ$430)=0,"",IF(('Dvd Calendar'!$AQ$430&gt;=MIN(DATE(Summary!$C$12,1,1),Summary!$C$11))*('Dvd Calendar'!$AQ$430&lt;=MAX(DATE(Summary!$C$12,12,31),Summary!$C$15))*('Dvd Calendar'!$AQ$430&lt;=Summary!$C$11)=0,"",'Dvd Calendar'!$AQ$430*1000000000+ISNUMBER('Dvd Calendar'!$AQ$431)*100000000+('Dvd Calendar'!$AQ$435='Field Check'!$C$25)*10000000+(N('Dvd Calendar'!$AQ$429)&gt;0)*1000000+29*1000+39))</f>
        <v/>
      </c>
      <c r="AP37" s="41">
        <f>IF(N('Dvd Calendar'!$AR$430)=0,"",IF(('Dvd Calendar'!$AR$430&gt;=MIN(DATE(Summary!$C$12,1,1),Summary!$C$11))*('Dvd Calendar'!$AR$430&lt;=MAX(DATE(Summary!$C$12,12,31),Summary!$C$15))*('Dvd Calendar'!$AR$430&lt;=Summary!$C$11)=0,"",'Dvd Calendar'!$AR$430*1000000000+ISNUMBER('Dvd Calendar'!$AR$431)*100000000+('Dvd Calendar'!$AR$435='Field Check'!$C$25)*10000000+(N('Dvd Calendar'!$AR$429)&gt;0)*1000000+29*1000+40))</f>
        <v/>
      </c>
      <c r="AQ37" s="41">
        <f>IF(N('Dvd Calendar'!$E$437)=0,"",IF(('Dvd Calendar'!$E$437&gt;=MIN(DATE(Summary!$C$12,1,1),Summary!$C$11))*('Dvd Calendar'!$E$437&lt;=MAX(DATE(Summary!$C$12,12,31),Summary!$C$15))*('Dvd Calendar'!$E$437&gt;Summary!$C$11)=0,"",'Dvd Calendar'!$E$437*1000000000+ISNUMBER('Dvd Calendar'!$E$438)*100000000+('Dvd Calendar'!$E$442='Field Check'!$C$25)*10000000+(N('Dvd Calendar'!$E$436)&gt;0)*1000000+29*1000+41))</f>
        <v/>
      </c>
      <c r="AR37" s="41">
        <f>IF(N('Dvd Calendar'!$F$437)=0,"",IF(('Dvd Calendar'!$F$437&gt;=MIN(DATE(Summary!$C$12,1,1),Summary!$C$11))*('Dvd Calendar'!$F$437&lt;=MAX(DATE(Summary!$C$12,12,31),Summary!$C$15))*('Dvd Calendar'!$F$437&gt;Summary!$C$11)=0,"",'Dvd Calendar'!$F$437*1000000000+ISNUMBER('Dvd Calendar'!$F$438)*100000000+('Dvd Calendar'!$F$442='Field Check'!$C$25)*10000000+(N('Dvd Calendar'!$F$436)&gt;0)*1000000+29*1000+42))</f>
        <v/>
      </c>
      <c r="AS37" s="41">
        <f>IF(N('Dvd Calendar'!$G$437)=0,"",IF(('Dvd Calendar'!$G$437&gt;=MIN(DATE(Summary!$C$12,1,1),Summary!$C$11))*('Dvd Calendar'!$G$437&lt;=MAX(DATE(Summary!$C$12,12,31),Summary!$C$15))*('Dvd Calendar'!$G$437&gt;Summary!$C$11)=0,"",'Dvd Calendar'!$G$437*1000000000+ISNUMBER('Dvd Calendar'!$G$438)*100000000+('Dvd Calendar'!$G$442='Field Check'!$C$25)*10000000+(N('Dvd Calendar'!$G$436)&gt;0)*1000000+29*1000+43))</f>
        <v/>
      </c>
      <c r="AT37" s="41">
        <f>IF(N('Dvd Calendar'!$H$437)=0,"",IF(('Dvd Calendar'!$H$437&gt;=MIN(DATE(Summary!$C$12,1,1),Summary!$C$11))*('Dvd Calendar'!$H$437&lt;=MAX(DATE(Summary!$C$12,12,31),Summary!$C$15))*('Dvd Calendar'!$H$437&gt;Summary!$C$11)=0,"",'Dvd Calendar'!$H$437*1000000000+ISNUMBER('Dvd Calendar'!$H$438)*100000000+('Dvd Calendar'!$H$442='Field Check'!$C$25)*10000000+(N('Dvd Calendar'!$H$436)&gt;0)*1000000+29*1000+44))</f>
        <v/>
      </c>
      <c r="AU37" s="41">
        <f>IF(N('Dvd Calendar'!$I$437)=0,"",IF(('Dvd Calendar'!$I$437&gt;=MIN(DATE(Summary!$C$12,1,1),Summary!$C$11))*('Dvd Calendar'!$I$437&lt;=MAX(DATE(Summary!$C$12,12,31),Summary!$C$15))*('Dvd Calendar'!$I$437&gt;Summary!$C$11)=0,"",'Dvd Calendar'!$I$437*1000000000+ISNUMBER('Dvd Calendar'!$I$438)*100000000+('Dvd Calendar'!$I$442='Field Check'!$C$25)*10000000+(N('Dvd Calendar'!$I$436)&gt;0)*1000000+29*1000+45))</f>
        <v/>
      </c>
      <c r="AV37" s="41">
        <f>IF(N('Dvd Calendar'!$J$437)=0,"",IF(('Dvd Calendar'!$J$437&gt;=MIN(DATE(Summary!$C$12,1,1),Summary!$C$11))*('Dvd Calendar'!$J$437&lt;=MAX(DATE(Summary!$C$12,12,31),Summary!$C$15))*('Dvd Calendar'!$J$437&gt;Summary!$C$11)=0,"",'Dvd Calendar'!$J$437*1000000000+ISNUMBER('Dvd Calendar'!$J$438)*100000000+('Dvd Calendar'!$J$442='Field Check'!$C$25)*10000000+(N('Dvd Calendar'!$J$436)&gt;0)*1000000+29*1000+46))</f>
        <v/>
      </c>
      <c r="AW37" s="41">
        <f>IF(N('Dvd Calendar'!$K$437)=0,"",IF(('Dvd Calendar'!$K$437&gt;=MIN(DATE(Summary!$C$12,1,1),Summary!$C$11))*('Dvd Calendar'!$K$437&lt;=MAX(DATE(Summary!$C$12,12,31),Summary!$C$15))*('Dvd Calendar'!$K$437&gt;Summary!$C$11)=0,"",'Dvd Calendar'!$K$437*1000000000+ISNUMBER('Dvd Calendar'!$K$438)*100000000+('Dvd Calendar'!$K$442='Field Check'!$C$25)*10000000+(N('Dvd Calendar'!$K$436)&gt;0)*1000000+29*1000+47))</f>
        <v/>
      </c>
      <c r="AX37" s="41">
        <f>IF(N('Dvd Calendar'!$L$437)=0,"",IF(('Dvd Calendar'!$L$437&gt;=MIN(DATE(Summary!$C$12,1,1),Summary!$C$11))*('Dvd Calendar'!$L$437&lt;=MAX(DATE(Summary!$C$12,12,31),Summary!$C$15))*('Dvd Calendar'!$L$437&gt;Summary!$C$11)=0,"",'Dvd Calendar'!$L$437*1000000000+ISNUMBER('Dvd Calendar'!$L$438)*100000000+('Dvd Calendar'!$L$442='Field Check'!$C$25)*10000000+(N('Dvd Calendar'!$L$436)&gt;0)*1000000+29*1000+48))</f>
        <v/>
      </c>
      <c r="AY37" s="41">
        <f>IF(N('Dvd Calendar'!$M$437)=0,"",IF(('Dvd Calendar'!$M$437&gt;=MIN(DATE(Summary!$C$12,1,1),Summary!$C$11))*('Dvd Calendar'!$M$437&lt;=MAX(DATE(Summary!$C$12,12,31),Summary!$C$15))*('Dvd Calendar'!$M$437&gt;Summary!$C$11)=0,"",'Dvd Calendar'!$M$437*1000000000+ISNUMBER('Dvd Calendar'!$M$438)*100000000+('Dvd Calendar'!$M$442='Field Check'!$C$25)*10000000+(N('Dvd Calendar'!$M$436)&gt;0)*1000000+29*1000+49))</f>
        <v/>
      </c>
      <c r="AZ37" s="41">
        <f>IF(N('Dvd Calendar'!$N$437)=0,"",IF(('Dvd Calendar'!$N$437&gt;=MIN(DATE(Summary!$C$12,1,1),Summary!$C$11))*('Dvd Calendar'!$N$437&lt;=MAX(DATE(Summary!$C$12,12,31),Summary!$C$15))*('Dvd Calendar'!$N$437&gt;Summary!$C$11)=0,"",'Dvd Calendar'!$N$437*1000000000+ISNUMBER('Dvd Calendar'!$N$438)*100000000+('Dvd Calendar'!$N$442='Field Check'!$C$25)*10000000+(N('Dvd Calendar'!$N$436)&gt;0)*1000000+29*1000+50))</f>
        <v/>
      </c>
      <c r="BA37" s="41">
        <f>IF(N('Dvd Calendar'!$O$437)=0,"",IF(('Dvd Calendar'!$O$437&gt;=MIN(DATE(Summary!$C$12,1,1),Summary!$C$11))*('Dvd Calendar'!$O$437&lt;=MAX(DATE(Summary!$C$12,12,31),Summary!$C$15))*('Dvd Calendar'!$O$437&gt;Summary!$C$11)=0,"",'Dvd Calendar'!$O$437*1000000000+ISNUMBER('Dvd Calendar'!$O$438)*100000000+('Dvd Calendar'!$O$442='Field Check'!$C$25)*10000000+(N('Dvd Calendar'!$O$436)&gt;0)*1000000+29*1000+51))</f>
        <v/>
      </c>
      <c r="BB37" s="41">
        <f>IF(N('Dvd Calendar'!$P$437)=0,"",IF(('Dvd Calendar'!$P$437&gt;=MIN(DATE(Summary!$C$12,1,1),Summary!$C$11))*('Dvd Calendar'!$P$437&lt;=MAX(DATE(Summary!$C$12,12,31),Summary!$C$15))*('Dvd Calendar'!$P$437&gt;Summary!$C$11)=0,"",'Dvd Calendar'!$P$437*1000000000+ISNUMBER('Dvd Calendar'!$P$438)*100000000+('Dvd Calendar'!$P$442='Field Check'!$C$25)*10000000+(N('Dvd Calendar'!$P$436)&gt;0)*1000000+29*1000+52))</f>
        <v/>
      </c>
      <c r="BC37" s="41">
        <f>IF(N('Dvd Calendar'!$Q$437)=0,"",IF(('Dvd Calendar'!$Q$437&gt;=MIN(DATE(Summary!$C$12,1,1),Summary!$C$11))*('Dvd Calendar'!$Q$437&lt;=MAX(DATE(Summary!$C$12,12,31),Summary!$C$15))*('Dvd Calendar'!$Q$437&gt;Summary!$C$11)=0,"",'Dvd Calendar'!$Q$437*1000000000+ISNUMBER('Dvd Calendar'!$Q$438)*100000000+('Dvd Calendar'!$Q$442='Field Check'!$C$25)*10000000+(N('Dvd Calendar'!$Q$436)&gt;0)*1000000+29*1000+53))</f>
        <v/>
      </c>
      <c r="BD37" s="41">
        <f>IF(N('Dvd Calendar'!$R$437)=0,"",IF(('Dvd Calendar'!$R$437&gt;=MIN(DATE(Summary!$C$12,1,1),Summary!$C$11))*('Dvd Calendar'!$R$437&lt;=MAX(DATE(Summary!$C$12,12,31),Summary!$C$15))*('Dvd Calendar'!$R$437&gt;Summary!$C$11)=0,"",'Dvd Calendar'!$R$437*1000000000+ISNUMBER('Dvd Calendar'!$R$438)*100000000+('Dvd Calendar'!$R$442='Field Check'!$C$25)*10000000+(N('Dvd Calendar'!$R$436)&gt;0)*1000000+29*1000+54))</f>
        <v/>
      </c>
      <c r="BE37" s="41">
        <f>IF(N('Dvd Calendar'!$S$437)=0,"",IF(('Dvd Calendar'!$S$437&gt;=MIN(DATE(Summary!$C$12,1,1),Summary!$C$11))*('Dvd Calendar'!$S$437&lt;=MAX(DATE(Summary!$C$12,12,31),Summary!$C$15))*('Dvd Calendar'!$S$437&gt;Summary!$C$11)=0,"",'Dvd Calendar'!$S$437*1000000000+ISNUMBER('Dvd Calendar'!$S$438)*100000000+('Dvd Calendar'!$S$442='Field Check'!$C$25)*10000000+(N('Dvd Calendar'!$S$436)&gt;0)*1000000+29*1000+55))</f>
        <v/>
      </c>
      <c r="BF37" s="41">
        <f>IF(N('Dvd Calendar'!$T$437)=0,"",IF(('Dvd Calendar'!$T$437&gt;=MIN(DATE(Summary!$C$12,1,1),Summary!$C$11))*('Dvd Calendar'!$T$437&lt;=MAX(DATE(Summary!$C$12,12,31),Summary!$C$15))*('Dvd Calendar'!$T$437&gt;Summary!$C$11)=0,"",'Dvd Calendar'!$T$437*1000000000+ISNUMBER('Dvd Calendar'!$T$438)*100000000+('Dvd Calendar'!$T$442='Field Check'!$C$25)*10000000+(N('Dvd Calendar'!$T$436)&gt;0)*1000000+29*1000+56))</f>
        <v/>
      </c>
      <c r="BG37" s="41">
        <f>IF(N('Dvd Calendar'!$U$437)=0,"",IF(('Dvd Calendar'!$U$437&gt;=MIN(DATE(Summary!$C$12,1,1),Summary!$C$11))*('Dvd Calendar'!$U$437&lt;=MAX(DATE(Summary!$C$12,12,31),Summary!$C$15))*('Dvd Calendar'!$U$437&gt;Summary!$C$11)=0,"",'Dvd Calendar'!$U$437*1000000000+ISNUMBER('Dvd Calendar'!$U$438)*100000000+('Dvd Calendar'!$U$442='Field Check'!$C$25)*10000000+(N('Dvd Calendar'!$U$436)&gt;0)*1000000+29*1000+57))</f>
        <v/>
      </c>
      <c r="BH37" s="41">
        <f>IF(N('Dvd Calendar'!$V$437)=0,"",IF(('Dvd Calendar'!$V$437&gt;=MIN(DATE(Summary!$C$12,1,1),Summary!$C$11))*('Dvd Calendar'!$V$437&lt;=MAX(DATE(Summary!$C$12,12,31),Summary!$C$15))*('Dvd Calendar'!$V$437&gt;Summary!$C$11)=0,"",'Dvd Calendar'!$V$437*1000000000+ISNUMBER('Dvd Calendar'!$V$438)*100000000+('Dvd Calendar'!$V$442='Field Check'!$C$25)*10000000+(N('Dvd Calendar'!$V$436)&gt;0)*1000000+29*1000+58))</f>
        <v/>
      </c>
      <c r="BI37" s="41">
        <f>IF(N('Dvd Calendar'!$W$437)=0,"",IF(('Dvd Calendar'!$W$437&gt;=MIN(DATE(Summary!$C$12,1,1),Summary!$C$11))*('Dvd Calendar'!$W$437&lt;=MAX(DATE(Summary!$C$12,12,31),Summary!$C$15))*('Dvd Calendar'!$W$437&gt;Summary!$C$11)=0,"",'Dvd Calendar'!$W$437*1000000000+ISNUMBER('Dvd Calendar'!$W$438)*100000000+('Dvd Calendar'!$W$442='Field Check'!$C$25)*10000000+(N('Dvd Calendar'!$W$436)&gt;0)*1000000+29*1000+59))</f>
        <v/>
      </c>
      <c r="BJ37" s="41">
        <f>IF(N('Dvd Calendar'!$X$437)=0,"",IF(('Dvd Calendar'!$X$437&gt;=MIN(DATE(Summary!$C$12,1,1),Summary!$C$11))*('Dvd Calendar'!$X$437&lt;=MAX(DATE(Summary!$C$12,12,31),Summary!$C$15))*('Dvd Calendar'!$X$437&gt;Summary!$C$11)=0,"",'Dvd Calendar'!$X$437*1000000000+ISNUMBER('Dvd Calendar'!$X$438)*100000000+('Dvd Calendar'!$X$442='Field Check'!$C$25)*10000000+(N('Dvd Calendar'!$X$436)&gt;0)*1000000+29*1000+60))</f>
        <v/>
      </c>
      <c r="BK37" s="41">
        <f>IF(N('Dvd Calendar'!$Y$437)=0,"",IF(('Dvd Calendar'!$Y$437&gt;=MIN(DATE(Summary!$C$12,1,1),Summary!$C$11))*('Dvd Calendar'!$Y$437&lt;=MAX(DATE(Summary!$C$12,12,31),Summary!$C$15))*('Dvd Calendar'!$Y$437&gt;Summary!$C$11)=0,"",'Dvd Calendar'!$Y$437*1000000000+ISNUMBER('Dvd Calendar'!$Y$438)*100000000+('Dvd Calendar'!$Y$442='Field Check'!$C$25)*10000000+(N('Dvd Calendar'!$Y$436)&gt;0)*1000000+29*1000+61))</f>
        <v/>
      </c>
      <c r="BL37" s="41">
        <f>IF(N('Dvd Calendar'!$Z$437)=0,"",IF(('Dvd Calendar'!$Z$437&gt;=MIN(DATE(Summary!$C$12,1,1),Summary!$C$11))*('Dvd Calendar'!$Z$437&lt;=MAX(DATE(Summary!$C$12,12,31),Summary!$C$15))*('Dvd Calendar'!$Z$437&gt;Summary!$C$11)=0,"",'Dvd Calendar'!$Z$437*1000000000+ISNUMBER('Dvd Calendar'!$Z$438)*100000000+('Dvd Calendar'!$Z$442='Field Check'!$C$25)*10000000+(N('Dvd Calendar'!$Z$436)&gt;0)*1000000+29*1000+62))</f>
        <v/>
      </c>
      <c r="BM37" s="41">
        <f>IF(N('Dvd Calendar'!$AA$437)=0,"",IF(('Dvd Calendar'!$AA$437&gt;=MIN(DATE(Summary!$C$12,1,1),Summary!$C$11))*('Dvd Calendar'!$AA$437&lt;=MAX(DATE(Summary!$C$12,12,31),Summary!$C$15))*('Dvd Calendar'!$AA$437&gt;Summary!$C$11)=0,"",'Dvd Calendar'!$AA$437*1000000000+ISNUMBER('Dvd Calendar'!$AA$438)*100000000+('Dvd Calendar'!$AA$442='Field Check'!$C$25)*10000000+(N('Dvd Calendar'!$AA$436)&gt;0)*1000000+29*1000+63))</f>
        <v/>
      </c>
      <c r="BN37" s="41">
        <f>IF(N('Dvd Calendar'!$AB$437)=0,"",IF(('Dvd Calendar'!$AB$437&gt;=MIN(DATE(Summary!$C$12,1,1),Summary!$C$11))*('Dvd Calendar'!$AB$437&lt;=MAX(DATE(Summary!$C$12,12,31),Summary!$C$15))*('Dvd Calendar'!$AB$437&gt;Summary!$C$11)=0,"",'Dvd Calendar'!$AB$437*1000000000+ISNUMBER('Dvd Calendar'!$AB$438)*100000000+('Dvd Calendar'!$AB$442='Field Check'!$C$25)*10000000+(N('Dvd Calendar'!$AB$436)&gt;0)*1000000+29*1000+64))</f>
        <v/>
      </c>
      <c r="BO37" s="41">
        <f>IF(N('Dvd Calendar'!$AC$437)=0,"",IF(('Dvd Calendar'!$AC$437&gt;=MIN(DATE(Summary!$C$12,1,1),Summary!$C$11))*('Dvd Calendar'!$AC$437&lt;=MAX(DATE(Summary!$C$12,12,31),Summary!$C$15))*('Dvd Calendar'!$AC$437&gt;Summary!$C$11)=0,"",'Dvd Calendar'!$AC$437*1000000000+ISNUMBER('Dvd Calendar'!$AC$438)*100000000+('Dvd Calendar'!$AC$442='Field Check'!$C$25)*10000000+(N('Dvd Calendar'!$AC$436)&gt;0)*1000000+29*1000+65))</f>
        <v/>
      </c>
      <c r="BQ37" s="85">
        <f>IF(C37="","",IF(ISNUMBER('Dvd Calendar'!$E$431)=FALSE,"",IF((Summary!$C$13="N")*('Dvd Calendar'!$E$435='Field Check'!$C$25)&gt;0,"",'Dvd Calendar'!$E$431)))</f>
        <v/>
      </c>
      <c r="BR37" s="85">
        <f>IF(D37="","",IF(ISNUMBER('Dvd Calendar'!$F$431)=FALSE,"",IF((Summary!$C$13="N")*('Dvd Calendar'!$F$435='Field Check'!$C$25)&gt;0,"",'Dvd Calendar'!$F$431)))</f>
        <v/>
      </c>
      <c r="BS37" s="85">
        <f>IF(E37="","",IF(ISNUMBER('Dvd Calendar'!$G$431)=FALSE,"",IF((Summary!$C$13="N")*('Dvd Calendar'!$G$435='Field Check'!$C$25)&gt;0,"",'Dvd Calendar'!$G$431)))</f>
        <v/>
      </c>
      <c r="BT37" s="85">
        <f>IF(F37="","",IF(ISNUMBER('Dvd Calendar'!$H$431)=FALSE,"",IF((Summary!$C$13="N")*('Dvd Calendar'!$H$435='Field Check'!$C$25)&gt;0,"",'Dvd Calendar'!$H$431)))</f>
        <v/>
      </c>
      <c r="BU37" s="85">
        <f>IF(G37="","",IF(ISNUMBER('Dvd Calendar'!$I$431)=FALSE,"",IF((Summary!$C$13="N")*('Dvd Calendar'!$I$435='Field Check'!$C$25)&gt;0,"",'Dvd Calendar'!$I$431)))</f>
        <v/>
      </c>
      <c r="BV37" s="85">
        <f>IF(H37="","",IF(ISNUMBER('Dvd Calendar'!$J$431)=FALSE,"",IF((Summary!$C$13="N")*('Dvd Calendar'!$J$435='Field Check'!$C$25)&gt;0,"",'Dvd Calendar'!$J$431)))</f>
        <v/>
      </c>
      <c r="BW37" s="85">
        <f>IF(I37="","",IF(ISNUMBER('Dvd Calendar'!$K$431)=FALSE,"",IF((Summary!$C$13="N")*('Dvd Calendar'!$K$435='Field Check'!$C$25)&gt;0,"",'Dvd Calendar'!$K$431)))</f>
        <v/>
      </c>
      <c r="BX37" s="85">
        <f>IF(J37="","",IF(ISNUMBER('Dvd Calendar'!$L$431)=FALSE,"",IF((Summary!$C$13="N")*('Dvd Calendar'!$L$435='Field Check'!$C$25)&gt;0,"",'Dvd Calendar'!$L$431)))</f>
        <v/>
      </c>
      <c r="BY37" s="85">
        <f>IF(K37="","",IF(ISNUMBER('Dvd Calendar'!$M$431)=FALSE,"",IF((Summary!$C$13="N")*('Dvd Calendar'!$M$435='Field Check'!$C$25)&gt;0,"",'Dvd Calendar'!$M$431)))</f>
        <v/>
      </c>
      <c r="BZ37" s="85">
        <f>IF(L37="","",IF(ISNUMBER('Dvd Calendar'!$N$431)=FALSE,"",IF((Summary!$C$13="N")*('Dvd Calendar'!$N$435='Field Check'!$C$25)&gt;0,"",'Dvd Calendar'!$N$431)))</f>
        <v/>
      </c>
      <c r="CA37" s="85">
        <f>IF(M37="","",IF(ISNUMBER('Dvd Calendar'!$O$431)=FALSE,"",IF((Summary!$C$13="N")*('Dvd Calendar'!$O$435='Field Check'!$C$25)&gt;0,"",'Dvd Calendar'!$O$431)))</f>
        <v/>
      </c>
      <c r="CB37" s="85">
        <f>IF(N37="","",IF(ISNUMBER('Dvd Calendar'!$P$431)=FALSE,"",IF((Summary!$C$13="N")*('Dvd Calendar'!$P$435='Field Check'!$C$25)&gt;0,"",'Dvd Calendar'!$P$431)))</f>
        <v/>
      </c>
      <c r="CC37" s="85">
        <f>IF(O37="","",IF(ISNUMBER('Dvd Calendar'!$Q$431)=FALSE,"",IF((Summary!$C$13="N")*('Dvd Calendar'!$Q$435='Field Check'!$C$25)&gt;0,"",'Dvd Calendar'!$Q$431)))</f>
        <v/>
      </c>
      <c r="CD37" s="85">
        <f>IF(P37="","",IF(ISNUMBER('Dvd Calendar'!$R$431)=FALSE,"",IF((Summary!$C$13="N")*('Dvd Calendar'!$R$435='Field Check'!$C$25)&gt;0,"",'Dvd Calendar'!$R$431)))</f>
        <v/>
      </c>
      <c r="CE37" s="85">
        <f>IF(Q37="","",IF(ISNUMBER('Dvd Calendar'!$S$431)=FALSE,"",IF((Summary!$C$13="N")*('Dvd Calendar'!$S$435='Field Check'!$C$25)&gt;0,"",'Dvd Calendar'!$S$431)))</f>
        <v/>
      </c>
      <c r="CF37" s="85">
        <f>IF(R37="","",IF(ISNUMBER('Dvd Calendar'!$T$431)=FALSE,"",IF((Summary!$C$13="N")*('Dvd Calendar'!$T$435='Field Check'!$C$25)&gt;0,"",'Dvd Calendar'!$T$431)))</f>
        <v/>
      </c>
      <c r="CG37" s="85">
        <f>IF(S37="","",IF(ISNUMBER('Dvd Calendar'!$U$431)=FALSE,"",IF((Summary!$C$13="N")*('Dvd Calendar'!$U$435='Field Check'!$C$25)&gt;0,"",'Dvd Calendar'!$U$431)))</f>
        <v/>
      </c>
      <c r="CH37" s="85">
        <f>IF(T37="","",IF(ISNUMBER('Dvd Calendar'!$V$431)=FALSE,"",IF((Summary!$C$13="N")*('Dvd Calendar'!$V$435='Field Check'!$C$25)&gt;0,"",'Dvd Calendar'!$V$431)))</f>
        <v/>
      </c>
      <c r="CI37" s="85">
        <f>IF(U37="","",IF(ISNUMBER('Dvd Calendar'!$W$431)=FALSE,"",IF((Summary!$C$13="N")*('Dvd Calendar'!$W$435='Field Check'!$C$25)&gt;0,"",'Dvd Calendar'!$W$431)))</f>
        <v/>
      </c>
      <c r="CJ37" s="85">
        <f>IF(V37="","",IF(ISNUMBER('Dvd Calendar'!$X$431)=FALSE,"",IF((Summary!$C$13="N")*('Dvd Calendar'!$X$435='Field Check'!$C$25)&gt;0,"",'Dvd Calendar'!$X$431)))</f>
        <v/>
      </c>
      <c r="CK37" s="85">
        <f>IF(W37="","",IF(ISNUMBER('Dvd Calendar'!$Y$431)=FALSE,"",IF((Summary!$C$13="N")*('Dvd Calendar'!$Y$435='Field Check'!$C$25)&gt;0,"",'Dvd Calendar'!$Y$431)))</f>
        <v/>
      </c>
      <c r="CL37" s="85">
        <f>IF(X37="","",IF(ISNUMBER('Dvd Calendar'!$Z$431)=FALSE,"",IF((Summary!$C$13="N")*('Dvd Calendar'!$Z$435='Field Check'!$C$25)&gt;0,"",'Dvd Calendar'!$Z$431)))</f>
        <v/>
      </c>
      <c r="CM37" s="85">
        <f>IF(Y37="","",IF(ISNUMBER('Dvd Calendar'!$AA$431)=FALSE,"",IF((Summary!$C$13="N")*('Dvd Calendar'!$AA$435='Field Check'!$C$25)&gt;0,"",'Dvd Calendar'!$AA$431)))</f>
        <v/>
      </c>
      <c r="CN37" s="85">
        <f>IF(Z37="","",IF(ISNUMBER('Dvd Calendar'!$AB$431)=FALSE,"",IF((Summary!$C$13="N")*('Dvd Calendar'!$AB$435='Field Check'!$C$25)&gt;0,"",'Dvd Calendar'!$AB$431)))</f>
        <v/>
      </c>
      <c r="CO37" s="85">
        <f>IF(AA37="","",IF(ISNUMBER('Dvd Calendar'!$AC$431)=FALSE,"",IF((Summary!$C$13="N")*('Dvd Calendar'!$AC$435='Field Check'!$C$25)&gt;0,"",'Dvd Calendar'!$AC$431)))</f>
        <v/>
      </c>
      <c r="CP37" s="85">
        <f>IF(AB37="","",IF(ISNUMBER('Dvd Calendar'!$AD$431)=FALSE,"",IF((Summary!$C$13="N")*('Dvd Calendar'!$AD$435='Field Check'!$C$25)&gt;0,"",'Dvd Calendar'!$AD$431)))</f>
        <v/>
      </c>
      <c r="CQ37" s="85">
        <f>IF(AC37="","",IF(ISNUMBER('Dvd Calendar'!$AE$431)=FALSE,"",IF((Summary!$C$13="N")*('Dvd Calendar'!$AE$435='Field Check'!$C$25)&gt;0,"",'Dvd Calendar'!$AE$431)))</f>
        <v/>
      </c>
      <c r="CR37" s="85">
        <f>IF(AD37="","",IF(ISNUMBER('Dvd Calendar'!$AF$431)=FALSE,"",IF((Summary!$C$13="N")*('Dvd Calendar'!$AF$435='Field Check'!$C$25)&gt;0,"",'Dvd Calendar'!$AF$431)))</f>
        <v/>
      </c>
      <c r="CS37" s="85">
        <f>IF(AE37="","",IF(ISNUMBER('Dvd Calendar'!$AG$431)=FALSE,"",IF((Summary!$C$13="N")*('Dvd Calendar'!$AG$435='Field Check'!$C$25)&gt;0,"",'Dvd Calendar'!$AG$431)))</f>
        <v/>
      </c>
      <c r="CT37" s="85">
        <f>IF(AF37="","",IF(ISNUMBER('Dvd Calendar'!$AH$431)=FALSE,"",IF((Summary!$C$13="N")*('Dvd Calendar'!$AH$435='Field Check'!$C$25)&gt;0,"",'Dvd Calendar'!$AH$431)))</f>
        <v/>
      </c>
      <c r="CU37" s="85">
        <f>IF(AG37="","",IF(ISNUMBER('Dvd Calendar'!$AI$431)=FALSE,"",IF((Summary!$C$13="N")*('Dvd Calendar'!$AI$435='Field Check'!$C$25)&gt;0,"",'Dvd Calendar'!$AI$431)))</f>
        <v/>
      </c>
      <c r="CV37" s="85">
        <f>IF(AH37="","",IF(ISNUMBER('Dvd Calendar'!$AJ$431)=FALSE,"",IF((Summary!$C$13="N")*('Dvd Calendar'!$AJ$435='Field Check'!$C$25)&gt;0,"",'Dvd Calendar'!$AJ$431)))</f>
        <v/>
      </c>
      <c r="CW37" s="85">
        <f>IF(AI37="","",IF(ISNUMBER('Dvd Calendar'!$AK$431)=FALSE,"",IF((Summary!$C$13="N")*('Dvd Calendar'!$AK$435='Field Check'!$C$25)&gt;0,"",'Dvd Calendar'!$AK$431)))</f>
        <v/>
      </c>
      <c r="CX37" s="85">
        <f>IF(AJ37="","",IF(ISNUMBER('Dvd Calendar'!$AL$431)=FALSE,"",IF((Summary!$C$13="N")*('Dvd Calendar'!$AL$435='Field Check'!$C$25)&gt;0,"",'Dvd Calendar'!$AL$431)))</f>
        <v/>
      </c>
      <c r="CY37" s="85">
        <f>IF(AK37="","",IF(ISNUMBER('Dvd Calendar'!$AM$431)=FALSE,"",IF((Summary!$C$13="N")*('Dvd Calendar'!$AM$435='Field Check'!$C$25)&gt;0,"",'Dvd Calendar'!$AM$431)))</f>
        <v/>
      </c>
      <c r="CZ37" s="85">
        <f>IF(AL37="","",IF(ISNUMBER('Dvd Calendar'!$AN$431)=FALSE,"",IF((Summary!$C$13="N")*('Dvd Calendar'!$AN$435='Field Check'!$C$25)&gt;0,"",'Dvd Calendar'!$AN$431)))</f>
        <v/>
      </c>
      <c r="DA37" s="85">
        <f>IF(AM37="","",IF(ISNUMBER('Dvd Calendar'!$AO$431)=FALSE,"",IF((Summary!$C$13="N")*('Dvd Calendar'!$AO$435='Field Check'!$C$25)&gt;0,"",'Dvd Calendar'!$AO$431)))</f>
        <v/>
      </c>
      <c r="DB37" s="85">
        <f>IF(AN37="","",IF(ISNUMBER('Dvd Calendar'!$AP$431)=FALSE,"",IF((Summary!$C$13="N")*('Dvd Calendar'!$AP$435='Field Check'!$C$25)&gt;0,"",'Dvd Calendar'!$AP$431)))</f>
        <v/>
      </c>
      <c r="DC37" s="85">
        <f>IF(AO37="","",IF(ISNUMBER('Dvd Calendar'!$AQ$431)=FALSE,"",IF((Summary!$C$13="N")*('Dvd Calendar'!$AQ$435='Field Check'!$C$25)&gt;0,"",'Dvd Calendar'!$AQ$431)))</f>
        <v/>
      </c>
      <c r="DD37" s="85">
        <f>IF(AP37="","",IF(ISNUMBER('Dvd Calendar'!$AR$431)=FALSE,"",IF((Summary!$C$13="N")*('Dvd Calendar'!$AR$435='Field Check'!$C$25)&gt;0,"",'Dvd Calendar'!$AR$431)))</f>
        <v/>
      </c>
      <c r="DE37" s="85">
        <f>IF(AQ37="","",IF(ISNUMBER('Dvd Calendar'!$E$438)=FALSE,"",IF((Summary!$C$13="N")*('Dvd Calendar'!$E$442='Field Check'!$C$25)&gt;0,"",'Dvd Calendar'!$E$438)))</f>
        <v/>
      </c>
      <c r="DF37" s="85">
        <f>IF(AR37="","",IF(ISNUMBER('Dvd Calendar'!$F$438)=FALSE,"",IF((Summary!$C$13="N")*('Dvd Calendar'!$F$442='Field Check'!$C$25)&gt;0,"",'Dvd Calendar'!$F$438)))</f>
        <v/>
      </c>
      <c r="DG37" s="85">
        <f>IF(AS37="","",IF(ISNUMBER('Dvd Calendar'!$G$438)=FALSE,"",IF((Summary!$C$13="N")*('Dvd Calendar'!$G$442='Field Check'!$C$25)&gt;0,"",'Dvd Calendar'!$G$438)))</f>
        <v/>
      </c>
      <c r="DH37" s="85">
        <f>IF(AT37="","",IF(ISNUMBER('Dvd Calendar'!$H$438)=FALSE,"",IF((Summary!$C$13="N")*('Dvd Calendar'!$H$442='Field Check'!$C$25)&gt;0,"",'Dvd Calendar'!$H$438)))</f>
        <v/>
      </c>
      <c r="DI37" s="85">
        <f>IF(AU37="","",IF(ISNUMBER('Dvd Calendar'!$I$438)=FALSE,"",IF((Summary!$C$13="N")*('Dvd Calendar'!$I$442='Field Check'!$C$25)&gt;0,"",'Dvd Calendar'!$I$438)))</f>
        <v/>
      </c>
      <c r="DJ37" s="85">
        <f>IF(AV37="","",IF(ISNUMBER('Dvd Calendar'!$J$438)=FALSE,"",IF((Summary!$C$13="N")*('Dvd Calendar'!$J$442='Field Check'!$C$25)&gt;0,"",'Dvd Calendar'!$J$438)))</f>
        <v/>
      </c>
      <c r="DK37" s="85">
        <f>IF(AW37="","",IF(ISNUMBER('Dvd Calendar'!$K$438)=FALSE,"",IF((Summary!$C$13="N")*('Dvd Calendar'!$K$442='Field Check'!$C$25)&gt;0,"",'Dvd Calendar'!$K$438)))</f>
        <v/>
      </c>
      <c r="DL37" s="85">
        <f>IF(AX37="","",IF(ISNUMBER('Dvd Calendar'!$L$438)=FALSE,"",IF((Summary!$C$13="N")*('Dvd Calendar'!$L$442='Field Check'!$C$25)&gt;0,"",'Dvd Calendar'!$L$438)))</f>
        <v/>
      </c>
      <c r="DM37" s="85">
        <f>IF(AY37="","",IF(ISNUMBER('Dvd Calendar'!$M$438)=FALSE,"",IF((Summary!$C$13="N")*('Dvd Calendar'!$M$442='Field Check'!$C$25)&gt;0,"",'Dvd Calendar'!$M$438)))</f>
        <v/>
      </c>
      <c r="DN37" s="85">
        <f>IF(AZ37="","",IF(ISNUMBER('Dvd Calendar'!$N$438)=FALSE,"",IF((Summary!$C$13="N")*('Dvd Calendar'!$N$442='Field Check'!$C$25)&gt;0,"",'Dvd Calendar'!$N$438)))</f>
        <v/>
      </c>
      <c r="DO37" s="85">
        <f>IF(BA37="","",IF(ISNUMBER('Dvd Calendar'!$O$438)=FALSE,"",IF((Summary!$C$13="N")*('Dvd Calendar'!$O$442='Field Check'!$C$25)&gt;0,"",'Dvd Calendar'!$O$438)))</f>
        <v/>
      </c>
      <c r="DP37" s="85">
        <f>IF(BB37="","",IF(ISNUMBER('Dvd Calendar'!$P$438)=FALSE,"",IF((Summary!$C$13="N")*('Dvd Calendar'!$P$442='Field Check'!$C$25)&gt;0,"",'Dvd Calendar'!$P$438)))</f>
        <v/>
      </c>
      <c r="DQ37" s="85">
        <f>IF(BC37="","",IF(ISNUMBER('Dvd Calendar'!$Q$438)=FALSE,"",IF((Summary!$C$13="N")*('Dvd Calendar'!$Q$442='Field Check'!$C$25)&gt;0,"",'Dvd Calendar'!$Q$438)))</f>
        <v/>
      </c>
      <c r="DR37" s="85">
        <f>IF(BD37="","",IF(ISNUMBER('Dvd Calendar'!$R$438)=FALSE,"",IF((Summary!$C$13="N")*('Dvd Calendar'!$R$442='Field Check'!$C$25)&gt;0,"",'Dvd Calendar'!$R$438)))</f>
        <v/>
      </c>
      <c r="DS37" s="85">
        <f>IF(BE37="","",IF(ISNUMBER('Dvd Calendar'!$S$438)=FALSE,"",IF((Summary!$C$13="N")*('Dvd Calendar'!$S$442='Field Check'!$C$25)&gt;0,"",'Dvd Calendar'!$S$438)))</f>
        <v/>
      </c>
      <c r="DT37" s="85">
        <f>IF(BF37="","",IF(ISNUMBER('Dvd Calendar'!$T$438)=FALSE,"",IF((Summary!$C$13="N")*('Dvd Calendar'!$T$442='Field Check'!$C$25)&gt;0,"",'Dvd Calendar'!$T$438)))</f>
        <v/>
      </c>
      <c r="DU37" s="85">
        <f>IF(BG37="","",IF(ISNUMBER('Dvd Calendar'!$U$438)=FALSE,"",IF((Summary!$C$13="N")*('Dvd Calendar'!$U$442='Field Check'!$C$25)&gt;0,"",'Dvd Calendar'!$U$438)))</f>
        <v/>
      </c>
      <c r="DV37" s="85">
        <f>IF(BH37="","",IF(ISNUMBER('Dvd Calendar'!$V$438)=FALSE,"",IF((Summary!$C$13="N")*('Dvd Calendar'!$V$442='Field Check'!$C$25)&gt;0,"",'Dvd Calendar'!$V$438)))</f>
        <v/>
      </c>
      <c r="DW37" s="85">
        <f>IF(BI37="","",IF(ISNUMBER('Dvd Calendar'!$W$438)=FALSE,"",IF((Summary!$C$13="N")*('Dvd Calendar'!$W$442='Field Check'!$C$25)&gt;0,"",'Dvd Calendar'!$W$438)))</f>
        <v/>
      </c>
      <c r="DX37" s="85">
        <f>IF(BJ37="","",IF(ISNUMBER('Dvd Calendar'!$X$438)=FALSE,"",IF((Summary!$C$13="N")*('Dvd Calendar'!$X$442='Field Check'!$C$25)&gt;0,"",'Dvd Calendar'!$X$438)))</f>
        <v/>
      </c>
      <c r="DY37" s="85">
        <f>IF(BK37="","",IF(ISNUMBER('Dvd Calendar'!$Y$438)=FALSE,"",IF((Summary!$C$13="N")*('Dvd Calendar'!$Y$442='Field Check'!$C$25)&gt;0,"",'Dvd Calendar'!$Y$438)))</f>
        <v/>
      </c>
      <c r="DZ37" s="85">
        <f>IF(BL37="","",IF(ISNUMBER('Dvd Calendar'!$Z$438)=FALSE,"",IF((Summary!$C$13="N")*('Dvd Calendar'!$Z$442='Field Check'!$C$25)&gt;0,"",'Dvd Calendar'!$Z$438)))</f>
        <v/>
      </c>
      <c r="EA37" s="85">
        <f>IF(BM37="","",IF(ISNUMBER('Dvd Calendar'!$AA$438)=FALSE,"",IF((Summary!$C$13="N")*('Dvd Calendar'!$AA$442='Field Check'!$C$25)&gt;0,"",'Dvd Calendar'!$AA$438)))</f>
        <v/>
      </c>
      <c r="EB37" s="85">
        <f>IF(BN37="","",IF(ISNUMBER('Dvd Calendar'!$AB$438)=FALSE,"",IF((Summary!$C$13="N")*('Dvd Calendar'!$AB$442='Field Check'!$C$25)&gt;0,"",'Dvd Calendar'!$AB$438)))</f>
        <v/>
      </c>
      <c r="EC37" s="85">
        <f>IF(BO37="","",IF(ISNUMBER('Dvd Calendar'!$AC$438)=FALSE,"",IF((Summary!$C$13="N")*('Dvd Calendar'!$AC$442='Field Check'!$C$25)&gt;0,"",'Dvd Calendar'!$AC$438)))</f>
        <v/>
      </c>
      <c r="EE37" s="85">
        <f>IF(BQ37="","",IFERROR(BQ37*HSI!$B$35*HSI!$G$35/HSI!$B$3,""))</f>
        <v/>
      </c>
      <c r="EF37" s="85">
        <f>IF(BR37="","",IFERROR(BR37*HSI!$B$35*HSI!$G$35/HSI!$B$3,""))</f>
        <v/>
      </c>
      <c r="EG37" s="85">
        <f>IF(BS37="","",IFERROR(BS37*HSI!$B$35*HSI!$G$35/HSI!$B$3,""))</f>
        <v/>
      </c>
      <c r="EH37" s="85">
        <f>IF(BT37="","",IFERROR(BT37*HSI!$B$35*HSI!$G$35/HSI!$B$3,""))</f>
        <v/>
      </c>
      <c r="EI37" s="85">
        <f>IF(BU37="","",IFERROR(BU37*HSI!$B$35*HSI!$G$35/HSI!$B$3,""))</f>
        <v/>
      </c>
      <c r="EJ37" s="85">
        <f>IF(BV37="","",IFERROR(BV37*HSI!$B$35*HSI!$G$35/HSI!$B$3,""))</f>
        <v/>
      </c>
      <c r="EK37" s="85">
        <f>IF(BW37="","",IFERROR(BW37*HSI!$B$35*HSI!$G$35/HSI!$B$3,""))</f>
        <v/>
      </c>
      <c r="EL37" s="85">
        <f>IF(BX37="","",IFERROR(BX37*HSI!$B$35*HSI!$G$35/HSI!$B$3,""))</f>
        <v/>
      </c>
      <c r="EM37" s="85">
        <f>IF(BY37="","",IFERROR(BY37*HSI!$B$35*HSI!$G$35/HSI!$B$3,""))</f>
        <v/>
      </c>
      <c r="EN37" s="85">
        <f>IF(BZ37="","",IFERROR(BZ37*HSI!$B$35*HSI!$G$35/HSI!$B$3,""))</f>
        <v/>
      </c>
      <c r="EO37" s="85">
        <f>IF(CA37="","",IFERROR(CA37*HSI!$B$35*HSI!$G$35/HSI!$B$3,""))</f>
        <v/>
      </c>
      <c r="EP37" s="85">
        <f>IF(CB37="","",IFERROR(CB37*HSI!$B$35*HSI!$G$35/HSI!$B$3,""))</f>
        <v/>
      </c>
      <c r="EQ37" s="85">
        <f>IF(CC37="","",IFERROR(CC37*HSI!$B$35*HSI!$G$35/HSI!$B$3,""))</f>
        <v/>
      </c>
      <c r="ER37" s="85">
        <f>IF(CD37="","",IFERROR(CD37*HSI!$B$35*HSI!$G$35/HSI!$B$3,""))</f>
        <v/>
      </c>
      <c r="ES37" s="85">
        <f>IF(CE37="","",IFERROR(CE37*HSI!$B$35*HSI!$G$35/HSI!$B$3,""))</f>
        <v/>
      </c>
      <c r="ET37" s="85">
        <f>IF(CF37="","",IFERROR(CF37*HSI!$B$35*HSI!$G$35/HSI!$B$3,""))</f>
        <v/>
      </c>
      <c r="EU37" s="85">
        <f>IF(CG37="","",IFERROR(CG37*HSI!$B$35*HSI!$G$35/HSI!$B$3,""))</f>
        <v/>
      </c>
      <c r="EV37" s="85">
        <f>IF(CH37="","",IFERROR(CH37*HSI!$B$35*HSI!$G$35/HSI!$B$3,""))</f>
        <v/>
      </c>
      <c r="EW37" s="85">
        <f>IF(CI37="","",IFERROR(CI37*HSI!$B$35*HSI!$G$35/HSI!$B$3,""))</f>
        <v/>
      </c>
      <c r="EX37" s="85">
        <f>IF(CJ37="","",IFERROR(CJ37*HSI!$B$35*HSI!$G$35/HSI!$B$3,""))</f>
        <v/>
      </c>
      <c r="EY37" s="85">
        <f>IF(CK37="","",IFERROR(CK37*HSI!$B$35*HSI!$G$35/HSI!$B$3,""))</f>
        <v/>
      </c>
      <c r="EZ37" s="85">
        <f>IF(CL37="","",IFERROR(CL37*HSI!$B$35*HSI!$G$35/HSI!$B$3,""))</f>
        <v/>
      </c>
      <c r="FA37" s="85">
        <f>IF(CM37="","",IFERROR(CM37*HSI!$B$35*HSI!$G$35/HSI!$B$3,""))</f>
        <v/>
      </c>
      <c r="FB37" s="85">
        <f>IF(CN37="","",IFERROR(CN37*HSI!$B$35*HSI!$G$35/HSI!$B$3,""))</f>
        <v/>
      </c>
      <c r="FC37" s="85">
        <f>IF(CO37="","",IFERROR(CO37*HSI!$B$35*HSI!$G$35/HSI!$B$3,""))</f>
        <v/>
      </c>
      <c r="FD37" s="85">
        <f>IF(CP37="","",IFERROR(CP37*HSI!$B$35*HSI!$G$35/HSI!$B$3,""))</f>
        <v/>
      </c>
      <c r="FE37" s="85">
        <f>IF(CQ37="","",IFERROR(CQ37*HSI!$B$35*HSI!$G$35/HSI!$B$3,""))</f>
        <v/>
      </c>
      <c r="FF37" s="85">
        <f>IF(CR37="","",IFERROR(CR37*HSI!$B$35*HSI!$G$35/HSI!$B$3,""))</f>
        <v/>
      </c>
      <c r="FG37" s="85">
        <f>IF(CS37="","",IFERROR(CS37*HSI!$B$35*HSI!$G$35/HSI!$B$3,""))</f>
        <v/>
      </c>
      <c r="FH37" s="85">
        <f>IF(CT37="","",IFERROR(CT37*HSI!$B$35*HSI!$G$35/HSI!$B$3,""))</f>
        <v/>
      </c>
      <c r="FI37" s="85">
        <f>IF(CU37="","",IFERROR(CU37*HSI!$B$35*HSI!$G$35/HSI!$B$3,""))</f>
        <v/>
      </c>
      <c r="FJ37" s="85">
        <f>IF(CV37="","",IFERROR(CV37*HSI!$B$35*HSI!$G$35/HSI!$B$3,""))</f>
        <v/>
      </c>
      <c r="FK37" s="85">
        <f>IF(CW37="","",IFERROR(CW37*HSI!$B$35*HSI!$G$35/HSI!$B$3,""))</f>
        <v/>
      </c>
      <c r="FL37" s="85">
        <f>IF(CX37="","",IFERROR(CX37*HSI!$B$35*HSI!$G$35/HSI!$B$3,""))</f>
        <v/>
      </c>
      <c r="FM37" s="85">
        <f>IF(CY37="","",IFERROR(CY37*HSI!$B$35*HSI!$G$35/HSI!$B$3,""))</f>
        <v/>
      </c>
      <c r="FN37" s="85">
        <f>IF(CZ37="","",IFERROR(CZ37*HSI!$B$35*HSI!$G$35/HSI!$B$3,""))</f>
        <v/>
      </c>
      <c r="FO37" s="85">
        <f>IF(DA37="","",IFERROR(DA37*HSI!$B$35*HSI!$G$35/HSI!$B$3,""))</f>
        <v/>
      </c>
      <c r="FP37" s="85">
        <f>IF(DB37="","",IFERROR(DB37*HSI!$B$35*HSI!$G$35/HSI!$B$3,""))</f>
        <v/>
      </c>
      <c r="FQ37" s="85">
        <f>IF(DC37="","",IFERROR(DC37*HSI!$B$35*HSI!$G$35/HSI!$B$3,""))</f>
        <v/>
      </c>
      <c r="FR37" s="85">
        <f>IF(DD37="","",IFERROR(DD37*HSI!$B$35*HSI!$G$35/HSI!$B$3,""))</f>
        <v/>
      </c>
      <c r="FS37" s="85">
        <f>IF(DE37="","",IFERROR(DE37*HSI!$B$35*HSI!$G$35/HSI!$B$3,""))</f>
        <v/>
      </c>
      <c r="FT37" s="85">
        <f>IF(DF37="","",IFERROR(DF37*HSI!$B$35*HSI!$G$35/HSI!$B$3,""))</f>
        <v/>
      </c>
      <c r="FU37" s="85">
        <f>IF(DG37="","",IFERROR(DG37*HSI!$B$35*HSI!$G$35/HSI!$B$3,""))</f>
        <v/>
      </c>
      <c r="FV37" s="85">
        <f>IF(DH37="","",IFERROR(DH37*HSI!$B$35*HSI!$G$35/HSI!$B$3,""))</f>
        <v/>
      </c>
      <c r="FW37" s="85">
        <f>IF(DI37="","",IFERROR(DI37*HSI!$B$35*HSI!$G$35/HSI!$B$3,""))</f>
        <v/>
      </c>
      <c r="FX37" s="85">
        <f>IF(DJ37="","",IFERROR(DJ37*HSI!$B$35*HSI!$G$35/HSI!$B$3,""))</f>
        <v/>
      </c>
      <c r="FY37" s="85">
        <f>IF(DK37="","",IFERROR(DK37*HSI!$B$35*HSI!$G$35/HSI!$B$3,""))</f>
        <v/>
      </c>
      <c r="FZ37" s="85">
        <f>IF(DL37="","",IFERROR(DL37*HSI!$B$35*HSI!$G$35/HSI!$B$3,""))</f>
        <v/>
      </c>
      <c r="GA37" s="85">
        <f>IF(DM37="","",IFERROR(DM37*HSI!$B$35*HSI!$G$35/HSI!$B$3,""))</f>
        <v/>
      </c>
      <c r="GB37" s="85">
        <f>IF(DN37="","",IFERROR(DN37*HSI!$B$35*HSI!$G$35/HSI!$B$3,""))</f>
        <v/>
      </c>
      <c r="GC37" s="85">
        <f>IF(DO37="","",IFERROR(DO37*HSI!$B$35*HSI!$G$35/HSI!$B$3,""))</f>
        <v/>
      </c>
      <c r="GD37" s="85">
        <f>IF(DP37="","",IFERROR(DP37*HSI!$B$35*HSI!$G$35/HSI!$B$3,""))</f>
        <v/>
      </c>
      <c r="GE37" s="85">
        <f>IF(DQ37="","",IFERROR(DQ37*HSI!$B$35*HSI!$G$35/HSI!$B$3,""))</f>
        <v/>
      </c>
      <c r="GF37" s="85">
        <f>IF(DR37="","",IFERROR(DR37*HSI!$B$35*HSI!$G$35/HSI!$B$3,""))</f>
        <v/>
      </c>
      <c r="GG37" s="85">
        <f>IF(DS37="","",IFERROR(DS37*HSI!$B$35*HSI!$G$35/HSI!$B$3,""))</f>
        <v/>
      </c>
      <c r="GH37" s="85">
        <f>IF(DT37="","",IFERROR(DT37*HSI!$B$35*HSI!$G$35/HSI!$B$3,""))</f>
        <v/>
      </c>
      <c r="GI37" s="85">
        <f>IF(DU37="","",IFERROR(DU37*HSI!$B$35*HSI!$G$35/HSI!$B$3,""))</f>
        <v/>
      </c>
      <c r="GJ37" s="85">
        <f>IF(DV37="","",IFERROR(DV37*HSI!$B$35*HSI!$G$35/HSI!$B$3,""))</f>
        <v/>
      </c>
      <c r="GK37" s="85">
        <f>IF(DW37="","",IFERROR(DW37*HSI!$B$35*HSI!$G$35/HSI!$B$3,""))</f>
        <v/>
      </c>
      <c r="GL37" s="85">
        <f>IF(DX37="","",IFERROR(DX37*HSI!$B$35*HSI!$G$35/HSI!$B$3,""))</f>
        <v/>
      </c>
      <c r="GM37" s="85">
        <f>IF(DY37="","",IFERROR(DY37*HSI!$B$35*HSI!$G$35/HSI!$B$3,""))</f>
        <v/>
      </c>
      <c r="GN37" s="85">
        <f>IF(DZ37="","",IFERROR(DZ37*HSI!$B$35*HSI!$G$35/HSI!$B$3,""))</f>
        <v/>
      </c>
      <c r="GO37" s="85">
        <f>IF(EA37="","",IFERROR(EA37*HSI!$B$35*HSI!$G$35/HSI!$B$3,""))</f>
        <v/>
      </c>
      <c r="GP37" s="85">
        <f>IF(EB37="","",IFERROR(EB37*HSI!$B$35*HSI!$G$35/HSI!$B$3,""))</f>
        <v/>
      </c>
      <c r="GQ37" s="85">
        <f>IF(EC37="","",IFERROR(EC37*HSI!$B$35*HSI!$G$35/HSI!$B$3,""))</f>
        <v/>
      </c>
    </row>
    <row r="38">
      <c r="B38" s="2">
        <f>IF(HSI!$C$36="","",HSI!$C$36)</f>
        <v/>
      </c>
      <c r="C38" s="41">
        <f>IF(N('Dvd Calendar'!$E$445)=0,"",IF(('Dvd Calendar'!$E$445&gt;=MIN(DATE(Summary!$C$12,1,1),Summary!$C$11))*('Dvd Calendar'!$E$445&lt;=MAX(DATE(Summary!$C$12,12,31),Summary!$C$15))*('Dvd Calendar'!$E$445&lt;=Summary!$C$11)=0,"",'Dvd Calendar'!$E$445*1000000000+ISNUMBER('Dvd Calendar'!$E$446)*100000000+('Dvd Calendar'!$E$450='Field Check'!$C$25)*10000000+(N('Dvd Calendar'!$E$444)&gt;0)*1000000+30*1000+1))</f>
        <v/>
      </c>
      <c r="D38" s="41">
        <f>IF(N('Dvd Calendar'!$F$445)=0,"",IF(('Dvd Calendar'!$F$445&gt;=MIN(DATE(Summary!$C$12,1,1),Summary!$C$11))*('Dvd Calendar'!$F$445&lt;=MAX(DATE(Summary!$C$12,12,31),Summary!$C$15))*('Dvd Calendar'!$F$445&lt;=Summary!$C$11)=0,"",'Dvd Calendar'!$F$445*1000000000+ISNUMBER('Dvd Calendar'!$F$446)*100000000+('Dvd Calendar'!$F$450='Field Check'!$C$25)*10000000+(N('Dvd Calendar'!$F$444)&gt;0)*1000000+30*1000+2))</f>
        <v/>
      </c>
      <c r="E38" s="41">
        <f>IF(N('Dvd Calendar'!$G$445)=0,"",IF(('Dvd Calendar'!$G$445&gt;=MIN(DATE(Summary!$C$12,1,1),Summary!$C$11))*('Dvd Calendar'!$G$445&lt;=MAX(DATE(Summary!$C$12,12,31),Summary!$C$15))*('Dvd Calendar'!$G$445&lt;=Summary!$C$11)=0,"",'Dvd Calendar'!$G$445*1000000000+ISNUMBER('Dvd Calendar'!$G$446)*100000000+('Dvd Calendar'!$G$450='Field Check'!$C$25)*10000000+(N('Dvd Calendar'!$G$444)&gt;0)*1000000+30*1000+3))</f>
        <v/>
      </c>
      <c r="F38" s="41">
        <f>IF(N('Dvd Calendar'!$H$445)=0,"",IF(('Dvd Calendar'!$H$445&gt;=MIN(DATE(Summary!$C$12,1,1),Summary!$C$11))*('Dvd Calendar'!$H$445&lt;=MAX(DATE(Summary!$C$12,12,31),Summary!$C$15))*('Dvd Calendar'!$H$445&lt;=Summary!$C$11)=0,"",'Dvd Calendar'!$H$445*1000000000+ISNUMBER('Dvd Calendar'!$H$446)*100000000+('Dvd Calendar'!$H$450='Field Check'!$C$25)*10000000+(N('Dvd Calendar'!$H$444)&gt;0)*1000000+30*1000+4))</f>
        <v/>
      </c>
      <c r="G38" s="41">
        <f>IF(N('Dvd Calendar'!$I$445)=0,"",IF(('Dvd Calendar'!$I$445&gt;=MIN(DATE(Summary!$C$12,1,1),Summary!$C$11))*('Dvd Calendar'!$I$445&lt;=MAX(DATE(Summary!$C$12,12,31),Summary!$C$15))*('Dvd Calendar'!$I$445&lt;=Summary!$C$11)=0,"",'Dvd Calendar'!$I$445*1000000000+ISNUMBER('Dvd Calendar'!$I$446)*100000000+('Dvd Calendar'!$I$450='Field Check'!$C$25)*10000000+(N('Dvd Calendar'!$I$444)&gt;0)*1000000+30*1000+5))</f>
        <v/>
      </c>
      <c r="H38" s="41">
        <f>IF(N('Dvd Calendar'!$J$445)=0,"",IF(('Dvd Calendar'!$J$445&gt;=MIN(DATE(Summary!$C$12,1,1),Summary!$C$11))*('Dvd Calendar'!$J$445&lt;=MAX(DATE(Summary!$C$12,12,31),Summary!$C$15))*('Dvd Calendar'!$J$445&lt;=Summary!$C$11)=0,"",'Dvd Calendar'!$J$445*1000000000+ISNUMBER('Dvd Calendar'!$J$446)*100000000+('Dvd Calendar'!$J$450='Field Check'!$C$25)*10000000+(N('Dvd Calendar'!$J$444)&gt;0)*1000000+30*1000+6))</f>
        <v/>
      </c>
      <c r="I38" s="41">
        <f>IF(N('Dvd Calendar'!$K$445)=0,"",IF(('Dvd Calendar'!$K$445&gt;=MIN(DATE(Summary!$C$12,1,1),Summary!$C$11))*('Dvd Calendar'!$K$445&lt;=MAX(DATE(Summary!$C$12,12,31),Summary!$C$15))*('Dvd Calendar'!$K$445&lt;=Summary!$C$11)=0,"",'Dvd Calendar'!$K$445*1000000000+ISNUMBER('Dvd Calendar'!$K$446)*100000000+('Dvd Calendar'!$K$450='Field Check'!$C$25)*10000000+(N('Dvd Calendar'!$K$444)&gt;0)*1000000+30*1000+7))</f>
        <v/>
      </c>
      <c r="J38" s="41">
        <f>IF(N('Dvd Calendar'!$L$445)=0,"",IF(('Dvd Calendar'!$L$445&gt;=MIN(DATE(Summary!$C$12,1,1),Summary!$C$11))*('Dvd Calendar'!$L$445&lt;=MAX(DATE(Summary!$C$12,12,31),Summary!$C$15))*('Dvd Calendar'!$L$445&lt;=Summary!$C$11)=0,"",'Dvd Calendar'!$L$445*1000000000+ISNUMBER('Dvd Calendar'!$L$446)*100000000+('Dvd Calendar'!$L$450='Field Check'!$C$25)*10000000+(N('Dvd Calendar'!$L$444)&gt;0)*1000000+30*1000+8))</f>
        <v/>
      </c>
      <c r="K38" s="41">
        <f>IF(N('Dvd Calendar'!$M$445)=0,"",IF(('Dvd Calendar'!$M$445&gt;=MIN(DATE(Summary!$C$12,1,1),Summary!$C$11))*('Dvd Calendar'!$M$445&lt;=MAX(DATE(Summary!$C$12,12,31),Summary!$C$15))*('Dvd Calendar'!$M$445&lt;=Summary!$C$11)=0,"",'Dvd Calendar'!$M$445*1000000000+ISNUMBER('Dvd Calendar'!$M$446)*100000000+('Dvd Calendar'!$M$450='Field Check'!$C$25)*10000000+(N('Dvd Calendar'!$M$444)&gt;0)*1000000+30*1000+9))</f>
        <v/>
      </c>
      <c r="L38" s="41">
        <f>IF(N('Dvd Calendar'!$N$445)=0,"",IF(('Dvd Calendar'!$N$445&gt;=MIN(DATE(Summary!$C$12,1,1),Summary!$C$11))*('Dvd Calendar'!$N$445&lt;=MAX(DATE(Summary!$C$12,12,31),Summary!$C$15))*('Dvd Calendar'!$N$445&lt;=Summary!$C$11)=0,"",'Dvd Calendar'!$N$445*1000000000+ISNUMBER('Dvd Calendar'!$N$446)*100000000+('Dvd Calendar'!$N$450='Field Check'!$C$25)*10000000+(N('Dvd Calendar'!$N$444)&gt;0)*1000000+30*1000+10))</f>
        <v/>
      </c>
      <c r="M38" s="41">
        <f>IF(N('Dvd Calendar'!$O$445)=0,"",IF(('Dvd Calendar'!$O$445&gt;=MIN(DATE(Summary!$C$12,1,1),Summary!$C$11))*('Dvd Calendar'!$O$445&lt;=MAX(DATE(Summary!$C$12,12,31),Summary!$C$15))*('Dvd Calendar'!$O$445&lt;=Summary!$C$11)=0,"",'Dvd Calendar'!$O$445*1000000000+ISNUMBER('Dvd Calendar'!$O$446)*100000000+('Dvd Calendar'!$O$450='Field Check'!$C$25)*10000000+(N('Dvd Calendar'!$O$444)&gt;0)*1000000+30*1000+11))</f>
        <v/>
      </c>
      <c r="N38" s="41">
        <f>IF(N('Dvd Calendar'!$P$445)=0,"",IF(('Dvd Calendar'!$P$445&gt;=MIN(DATE(Summary!$C$12,1,1),Summary!$C$11))*('Dvd Calendar'!$P$445&lt;=MAX(DATE(Summary!$C$12,12,31),Summary!$C$15))*('Dvd Calendar'!$P$445&lt;=Summary!$C$11)=0,"",'Dvd Calendar'!$P$445*1000000000+ISNUMBER('Dvd Calendar'!$P$446)*100000000+('Dvd Calendar'!$P$450='Field Check'!$C$25)*10000000+(N('Dvd Calendar'!$P$444)&gt;0)*1000000+30*1000+12))</f>
        <v/>
      </c>
      <c r="O38" s="41">
        <f>IF(N('Dvd Calendar'!$Q$445)=0,"",IF(('Dvd Calendar'!$Q$445&gt;=MIN(DATE(Summary!$C$12,1,1),Summary!$C$11))*('Dvd Calendar'!$Q$445&lt;=MAX(DATE(Summary!$C$12,12,31),Summary!$C$15))*('Dvd Calendar'!$Q$445&lt;=Summary!$C$11)=0,"",'Dvd Calendar'!$Q$445*1000000000+ISNUMBER('Dvd Calendar'!$Q$446)*100000000+('Dvd Calendar'!$Q$450='Field Check'!$C$25)*10000000+(N('Dvd Calendar'!$Q$444)&gt;0)*1000000+30*1000+13))</f>
        <v/>
      </c>
      <c r="P38" s="41">
        <f>IF(N('Dvd Calendar'!$R$445)=0,"",IF(('Dvd Calendar'!$R$445&gt;=MIN(DATE(Summary!$C$12,1,1),Summary!$C$11))*('Dvd Calendar'!$R$445&lt;=MAX(DATE(Summary!$C$12,12,31),Summary!$C$15))*('Dvd Calendar'!$R$445&lt;=Summary!$C$11)=0,"",'Dvd Calendar'!$R$445*1000000000+ISNUMBER('Dvd Calendar'!$R$446)*100000000+('Dvd Calendar'!$R$450='Field Check'!$C$25)*10000000+(N('Dvd Calendar'!$R$444)&gt;0)*1000000+30*1000+14))</f>
        <v/>
      </c>
      <c r="Q38" s="41">
        <f>IF(N('Dvd Calendar'!$S$445)=0,"",IF(('Dvd Calendar'!$S$445&gt;=MIN(DATE(Summary!$C$12,1,1),Summary!$C$11))*('Dvd Calendar'!$S$445&lt;=MAX(DATE(Summary!$C$12,12,31),Summary!$C$15))*('Dvd Calendar'!$S$445&lt;=Summary!$C$11)=0,"",'Dvd Calendar'!$S$445*1000000000+ISNUMBER('Dvd Calendar'!$S$446)*100000000+('Dvd Calendar'!$S$450='Field Check'!$C$25)*10000000+(N('Dvd Calendar'!$S$444)&gt;0)*1000000+30*1000+15))</f>
        <v/>
      </c>
      <c r="R38" s="41">
        <f>IF(N('Dvd Calendar'!$T$445)=0,"",IF(('Dvd Calendar'!$T$445&gt;=MIN(DATE(Summary!$C$12,1,1),Summary!$C$11))*('Dvd Calendar'!$T$445&lt;=MAX(DATE(Summary!$C$12,12,31),Summary!$C$15))*('Dvd Calendar'!$T$445&lt;=Summary!$C$11)=0,"",'Dvd Calendar'!$T$445*1000000000+ISNUMBER('Dvd Calendar'!$T$446)*100000000+('Dvd Calendar'!$T$450='Field Check'!$C$25)*10000000+(N('Dvd Calendar'!$T$444)&gt;0)*1000000+30*1000+16))</f>
        <v/>
      </c>
      <c r="S38" s="41">
        <f>IF(N('Dvd Calendar'!$U$445)=0,"",IF(('Dvd Calendar'!$U$445&gt;=MIN(DATE(Summary!$C$12,1,1),Summary!$C$11))*('Dvd Calendar'!$U$445&lt;=MAX(DATE(Summary!$C$12,12,31),Summary!$C$15))*('Dvd Calendar'!$U$445&lt;=Summary!$C$11)=0,"",'Dvd Calendar'!$U$445*1000000000+ISNUMBER('Dvd Calendar'!$U$446)*100000000+('Dvd Calendar'!$U$450='Field Check'!$C$25)*10000000+(N('Dvd Calendar'!$U$444)&gt;0)*1000000+30*1000+17))</f>
        <v/>
      </c>
      <c r="T38" s="41">
        <f>IF(N('Dvd Calendar'!$V$445)=0,"",IF(('Dvd Calendar'!$V$445&gt;=MIN(DATE(Summary!$C$12,1,1),Summary!$C$11))*('Dvd Calendar'!$V$445&lt;=MAX(DATE(Summary!$C$12,12,31),Summary!$C$15))*('Dvd Calendar'!$V$445&lt;=Summary!$C$11)=0,"",'Dvd Calendar'!$V$445*1000000000+ISNUMBER('Dvd Calendar'!$V$446)*100000000+('Dvd Calendar'!$V$450='Field Check'!$C$25)*10000000+(N('Dvd Calendar'!$V$444)&gt;0)*1000000+30*1000+18))</f>
        <v/>
      </c>
      <c r="U38" s="41">
        <f>IF(N('Dvd Calendar'!$W$445)=0,"",IF(('Dvd Calendar'!$W$445&gt;=MIN(DATE(Summary!$C$12,1,1),Summary!$C$11))*('Dvd Calendar'!$W$445&lt;=MAX(DATE(Summary!$C$12,12,31),Summary!$C$15))*('Dvd Calendar'!$W$445&lt;=Summary!$C$11)=0,"",'Dvd Calendar'!$W$445*1000000000+ISNUMBER('Dvd Calendar'!$W$446)*100000000+('Dvd Calendar'!$W$450='Field Check'!$C$25)*10000000+(N('Dvd Calendar'!$W$444)&gt;0)*1000000+30*1000+19))</f>
        <v/>
      </c>
      <c r="V38" s="41">
        <f>IF(N('Dvd Calendar'!$X$445)=0,"",IF(('Dvd Calendar'!$X$445&gt;=MIN(DATE(Summary!$C$12,1,1),Summary!$C$11))*('Dvd Calendar'!$X$445&lt;=MAX(DATE(Summary!$C$12,12,31),Summary!$C$15))*('Dvd Calendar'!$X$445&lt;=Summary!$C$11)=0,"",'Dvd Calendar'!$X$445*1000000000+ISNUMBER('Dvd Calendar'!$X$446)*100000000+('Dvd Calendar'!$X$450='Field Check'!$C$25)*10000000+(N('Dvd Calendar'!$X$444)&gt;0)*1000000+30*1000+20))</f>
        <v/>
      </c>
      <c r="W38" s="41">
        <f>IF(N('Dvd Calendar'!$Y$445)=0,"",IF(('Dvd Calendar'!$Y$445&gt;=MIN(DATE(Summary!$C$12,1,1),Summary!$C$11))*('Dvd Calendar'!$Y$445&lt;=MAX(DATE(Summary!$C$12,12,31),Summary!$C$15))*('Dvd Calendar'!$Y$445&lt;=Summary!$C$11)=0,"",'Dvd Calendar'!$Y$445*1000000000+ISNUMBER('Dvd Calendar'!$Y$446)*100000000+('Dvd Calendar'!$Y$450='Field Check'!$C$25)*10000000+(N('Dvd Calendar'!$Y$444)&gt;0)*1000000+30*1000+21))</f>
        <v/>
      </c>
      <c r="X38" s="41">
        <f>IF(N('Dvd Calendar'!$Z$445)=0,"",IF(('Dvd Calendar'!$Z$445&gt;=MIN(DATE(Summary!$C$12,1,1),Summary!$C$11))*('Dvd Calendar'!$Z$445&lt;=MAX(DATE(Summary!$C$12,12,31),Summary!$C$15))*('Dvd Calendar'!$Z$445&lt;=Summary!$C$11)=0,"",'Dvd Calendar'!$Z$445*1000000000+ISNUMBER('Dvd Calendar'!$Z$446)*100000000+('Dvd Calendar'!$Z$450='Field Check'!$C$25)*10000000+(N('Dvd Calendar'!$Z$444)&gt;0)*1000000+30*1000+22))</f>
        <v/>
      </c>
      <c r="Y38" s="41">
        <f>IF(N('Dvd Calendar'!$AA$445)=0,"",IF(('Dvd Calendar'!$AA$445&gt;=MIN(DATE(Summary!$C$12,1,1),Summary!$C$11))*('Dvd Calendar'!$AA$445&lt;=MAX(DATE(Summary!$C$12,12,31),Summary!$C$15))*('Dvd Calendar'!$AA$445&lt;=Summary!$C$11)=0,"",'Dvd Calendar'!$AA$445*1000000000+ISNUMBER('Dvd Calendar'!$AA$446)*100000000+('Dvd Calendar'!$AA$450='Field Check'!$C$25)*10000000+(N('Dvd Calendar'!$AA$444)&gt;0)*1000000+30*1000+23))</f>
        <v/>
      </c>
      <c r="Z38" s="41">
        <f>IF(N('Dvd Calendar'!$AB$445)=0,"",IF(('Dvd Calendar'!$AB$445&gt;=MIN(DATE(Summary!$C$12,1,1),Summary!$C$11))*('Dvd Calendar'!$AB$445&lt;=MAX(DATE(Summary!$C$12,12,31),Summary!$C$15))*('Dvd Calendar'!$AB$445&lt;=Summary!$C$11)=0,"",'Dvd Calendar'!$AB$445*1000000000+ISNUMBER('Dvd Calendar'!$AB$446)*100000000+('Dvd Calendar'!$AB$450='Field Check'!$C$25)*10000000+(N('Dvd Calendar'!$AB$444)&gt;0)*1000000+30*1000+24))</f>
        <v/>
      </c>
      <c r="AA38" s="41">
        <f>IF(N('Dvd Calendar'!$AC$445)=0,"",IF(('Dvd Calendar'!$AC$445&gt;=MIN(DATE(Summary!$C$12,1,1),Summary!$C$11))*('Dvd Calendar'!$AC$445&lt;=MAX(DATE(Summary!$C$12,12,31),Summary!$C$15))*('Dvd Calendar'!$AC$445&lt;=Summary!$C$11)=0,"",'Dvd Calendar'!$AC$445*1000000000+ISNUMBER('Dvd Calendar'!$AC$446)*100000000+('Dvd Calendar'!$AC$450='Field Check'!$C$25)*10000000+(N('Dvd Calendar'!$AC$444)&gt;0)*1000000+30*1000+25))</f>
        <v/>
      </c>
      <c r="AB38" s="41">
        <f>IF(N('Dvd Calendar'!$AD$445)=0,"",IF(('Dvd Calendar'!$AD$445&gt;=MIN(DATE(Summary!$C$12,1,1),Summary!$C$11))*('Dvd Calendar'!$AD$445&lt;=MAX(DATE(Summary!$C$12,12,31),Summary!$C$15))*('Dvd Calendar'!$AD$445&lt;=Summary!$C$11)=0,"",'Dvd Calendar'!$AD$445*1000000000+ISNUMBER('Dvd Calendar'!$AD$446)*100000000+('Dvd Calendar'!$AD$450='Field Check'!$C$25)*10000000+(N('Dvd Calendar'!$AD$444)&gt;0)*1000000+30*1000+26))</f>
        <v/>
      </c>
      <c r="AC38" s="41">
        <f>IF(N('Dvd Calendar'!$AE$445)=0,"",IF(('Dvd Calendar'!$AE$445&gt;=MIN(DATE(Summary!$C$12,1,1),Summary!$C$11))*('Dvd Calendar'!$AE$445&lt;=MAX(DATE(Summary!$C$12,12,31),Summary!$C$15))*('Dvd Calendar'!$AE$445&lt;=Summary!$C$11)=0,"",'Dvd Calendar'!$AE$445*1000000000+ISNUMBER('Dvd Calendar'!$AE$446)*100000000+('Dvd Calendar'!$AE$450='Field Check'!$C$25)*10000000+(N('Dvd Calendar'!$AE$444)&gt;0)*1000000+30*1000+27))</f>
        <v/>
      </c>
      <c r="AD38" s="41">
        <f>IF(N('Dvd Calendar'!$AF$445)=0,"",IF(('Dvd Calendar'!$AF$445&gt;=MIN(DATE(Summary!$C$12,1,1),Summary!$C$11))*('Dvd Calendar'!$AF$445&lt;=MAX(DATE(Summary!$C$12,12,31),Summary!$C$15))*('Dvd Calendar'!$AF$445&lt;=Summary!$C$11)=0,"",'Dvd Calendar'!$AF$445*1000000000+ISNUMBER('Dvd Calendar'!$AF$446)*100000000+('Dvd Calendar'!$AF$450='Field Check'!$C$25)*10000000+(N('Dvd Calendar'!$AF$444)&gt;0)*1000000+30*1000+28))</f>
        <v/>
      </c>
      <c r="AE38" s="41">
        <f>IF(N('Dvd Calendar'!$AG$445)=0,"",IF(('Dvd Calendar'!$AG$445&gt;=MIN(DATE(Summary!$C$12,1,1),Summary!$C$11))*('Dvd Calendar'!$AG$445&lt;=MAX(DATE(Summary!$C$12,12,31),Summary!$C$15))*('Dvd Calendar'!$AG$445&lt;=Summary!$C$11)=0,"",'Dvd Calendar'!$AG$445*1000000000+ISNUMBER('Dvd Calendar'!$AG$446)*100000000+('Dvd Calendar'!$AG$450='Field Check'!$C$25)*10000000+(N('Dvd Calendar'!$AG$444)&gt;0)*1000000+30*1000+29))</f>
        <v/>
      </c>
      <c r="AF38" s="41">
        <f>IF(N('Dvd Calendar'!$AH$445)=0,"",IF(('Dvd Calendar'!$AH$445&gt;=MIN(DATE(Summary!$C$12,1,1),Summary!$C$11))*('Dvd Calendar'!$AH$445&lt;=MAX(DATE(Summary!$C$12,12,31),Summary!$C$15))*('Dvd Calendar'!$AH$445&lt;=Summary!$C$11)=0,"",'Dvd Calendar'!$AH$445*1000000000+ISNUMBER('Dvd Calendar'!$AH$446)*100000000+('Dvd Calendar'!$AH$450='Field Check'!$C$25)*10000000+(N('Dvd Calendar'!$AH$444)&gt;0)*1000000+30*1000+30))</f>
        <v/>
      </c>
      <c r="AG38" s="41">
        <f>IF(N('Dvd Calendar'!$AI$445)=0,"",IF(('Dvd Calendar'!$AI$445&gt;=MIN(DATE(Summary!$C$12,1,1),Summary!$C$11))*('Dvd Calendar'!$AI$445&lt;=MAX(DATE(Summary!$C$12,12,31),Summary!$C$15))*('Dvd Calendar'!$AI$445&lt;=Summary!$C$11)=0,"",'Dvd Calendar'!$AI$445*1000000000+ISNUMBER('Dvd Calendar'!$AI$446)*100000000+('Dvd Calendar'!$AI$450='Field Check'!$C$25)*10000000+(N('Dvd Calendar'!$AI$444)&gt;0)*1000000+30*1000+31))</f>
        <v/>
      </c>
      <c r="AH38" s="41">
        <f>IF(N('Dvd Calendar'!$AJ$445)=0,"",IF(('Dvd Calendar'!$AJ$445&gt;=MIN(DATE(Summary!$C$12,1,1),Summary!$C$11))*('Dvd Calendar'!$AJ$445&lt;=MAX(DATE(Summary!$C$12,12,31),Summary!$C$15))*('Dvd Calendar'!$AJ$445&lt;=Summary!$C$11)=0,"",'Dvd Calendar'!$AJ$445*1000000000+ISNUMBER('Dvd Calendar'!$AJ$446)*100000000+('Dvd Calendar'!$AJ$450='Field Check'!$C$25)*10000000+(N('Dvd Calendar'!$AJ$444)&gt;0)*1000000+30*1000+32))</f>
        <v/>
      </c>
      <c r="AI38" s="41">
        <f>IF(N('Dvd Calendar'!$AK$445)=0,"",IF(('Dvd Calendar'!$AK$445&gt;=MIN(DATE(Summary!$C$12,1,1),Summary!$C$11))*('Dvd Calendar'!$AK$445&lt;=MAX(DATE(Summary!$C$12,12,31),Summary!$C$15))*('Dvd Calendar'!$AK$445&lt;=Summary!$C$11)=0,"",'Dvd Calendar'!$AK$445*1000000000+ISNUMBER('Dvd Calendar'!$AK$446)*100000000+('Dvd Calendar'!$AK$450='Field Check'!$C$25)*10000000+(N('Dvd Calendar'!$AK$444)&gt;0)*1000000+30*1000+33))</f>
        <v/>
      </c>
      <c r="AJ38" s="41">
        <f>IF(N('Dvd Calendar'!$AL$445)=0,"",IF(('Dvd Calendar'!$AL$445&gt;=MIN(DATE(Summary!$C$12,1,1),Summary!$C$11))*('Dvd Calendar'!$AL$445&lt;=MAX(DATE(Summary!$C$12,12,31),Summary!$C$15))*('Dvd Calendar'!$AL$445&lt;=Summary!$C$11)=0,"",'Dvd Calendar'!$AL$445*1000000000+ISNUMBER('Dvd Calendar'!$AL$446)*100000000+('Dvd Calendar'!$AL$450='Field Check'!$C$25)*10000000+(N('Dvd Calendar'!$AL$444)&gt;0)*1000000+30*1000+34))</f>
        <v/>
      </c>
      <c r="AK38" s="41">
        <f>IF(N('Dvd Calendar'!$AM$445)=0,"",IF(('Dvd Calendar'!$AM$445&gt;=MIN(DATE(Summary!$C$12,1,1),Summary!$C$11))*('Dvd Calendar'!$AM$445&lt;=MAX(DATE(Summary!$C$12,12,31),Summary!$C$15))*('Dvd Calendar'!$AM$445&lt;=Summary!$C$11)=0,"",'Dvd Calendar'!$AM$445*1000000000+ISNUMBER('Dvd Calendar'!$AM$446)*100000000+('Dvd Calendar'!$AM$450='Field Check'!$C$25)*10000000+(N('Dvd Calendar'!$AM$444)&gt;0)*1000000+30*1000+35))</f>
        <v/>
      </c>
      <c r="AL38" s="41">
        <f>IF(N('Dvd Calendar'!$AN$445)=0,"",IF(('Dvd Calendar'!$AN$445&gt;=MIN(DATE(Summary!$C$12,1,1),Summary!$C$11))*('Dvd Calendar'!$AN$445&lt;=MAX(DATE(Summary!$C$12,12,31),Summary!$C$15))*('Dvd Calendar'!$AN$445&lt;=Summary!$C$11)=0,"",'Dvd Calendar'!$AN$445*1000000000+ISNUMBER('Dvd Calendar'!$AN$446)*100000000+('Dvd Calendar'!$AN$450='Field Check'!$C$25)*10000000+(N('Dvd Calendar'!$AN$444)&gt;0)*1000000+30*1000+36))</f>
        <v/>
      </c>
      <c r="AM38" s="41">
        <f>IF(N('Dvd Calendar'!$AO$445)=0,"",IF(('Dvd Calendar'!$AO$445&gt;=MIN(DATE(Summary!$C$12,1,1),Summary!$C$11))*('Dvd Calendar'!$AO$445&lt;=MAX(DATE(Summary!$C$12,12,31),Summary!$C$15))*('Dvd Calendar'!$AO$445&lt;=Summary!$C$11)=0,"",'Dvd Calendar'!$AO$445*1000000000+ISNUMBER('Dvd Calendar'!$AO$446)*100000000+('Dvd Calendar'!$AO$450='Field Check'!$C$25)*10000000+(N('Dvd Calendar'!$AO$444)&gt;0)*1000000+30*1000+37))</f>
        <v/>
      </c>
      <c r="AN38" s="41">
        <f>IF(N('Dvd Calendar'!$AP$445)=0,"",IF(('Dvd Calendar'!$AP$445&gt;=MIN(DATE(Summary!$C$12,1,1),Summary!$C$11))*('Dvd Calendar'!$AP$445&lt;=MAX(DATE(Summary!$C$12,12,31),Summary!$C$15))*('Dvd Calendar'!$AP$445&lt;=Summary!$C$11)=0,"",'Dvd Calendar'!$AP$445*1000000000+ISNUMBER('Dvd Calendar'!$AP$446)*100000000+('Dvd Calendar'!$AP$450='Field Check'!$C$25)*10000000+(N('Dvd Calendar'!$AP$444)&gt;0)*1000000+30*1000+38))</f>
        <v/>
      </c>
      <c r="AO38" s="41">
        <f>IF(N('Dvd Calendar'!$AQ$445)=0,"",IF(('Dvd Calendar'!$AQ$445&gt;=MIN(DATE(Summary!$C$12,1,1),Summary!$C$11))*('Dvd Calendar'!$AQ$445&lt;=MAX(DATE(Summary!$C$12,12,31),Summary!$C$15))*('Dvd Calendar'!$AQ$445&lt;=Summary!$C$11)=0,"",'Dvd Calendar'!$AQ$445*1000000000+ISNUMBER('Dvd Calendar'!$AQ$446)*100000000+('Dvd Calendar'!$AQ$450='Field Check'!$C$25)*10000000+(N('Dvd Calendar'!$AQ$444)&gt;0)*1000000+30*1000+39))</f>
        <v/>
      </c>
      <c r="AP38" s="41">
        <f>IF(N('Dvd Calendar'!$AR$445)=0,"",IF(('Dvd Calendar'!$AR$445&gt;=MIN(DATE(Summary!$C$12,1,1),Summary!$C$11))*('Dvd Calendar'!$AR$445&lt;=MAX(DATE(Summary!$C$12,12,31),Summary!$C$15))*('Dvd Calendar'!$AR$445&lt;=Summary!$C$11)=0,"",'Dvd Calendar'!$AR$445*1000000000+ISNUMBER('Dvd Calendar'!$AR$446)*100000000+('Dvd Calendar'!$AR$450='Field Check'!$C$25)*10000000+(N('Dvd Calendar'!$AR$444)&gt;0)*1000000+30*1000+40))</f>
        <v/>
      </c>
      <c r="AQ38" s="41">
        <f>IF(N('Dvd Calendar'!$E$452)=0,"",IF(('Dvd Calendar'!$E$452&gt;=MIN(DATE(Summary!$C$12,1,1),Summary!$C$11))*('Dvd Calendar'!$E$452&lt;=MAX(DATE(Summary!$C$12,12,31),Summary!$C$15))*('Dvd Calendar'!$E$452&gt;Summary!$C$11)=0,"",'Dvd Calendar'!$E$452*1000000000+ISNUMBER('Dvd Calendar'!$E$453)*100000000+('Dvd Calendar'!$E$457='Field Check'!$C$25)*10000000+(N('Dvd Calendar'!$E$451)&gt;0)*1000000+30*1000+41))</f>
        <v/>
      </c>
      <c r="AR38" s="41">
        <f>IF(N('Dvd Calendar'!$F$452)=0,"",IF(('Dvd Calendar'!$F$452&gt;=MIN(DATE(Summary!$C$12,1,1),Summary!$C$11))*('Dvd Calendar'!$F$452&lt;=MAX(DATE(Summary!$C$12,12,31),Summary!$C$15))*('Dvd Calendar'!$F$452&gt;Summary!$C$11)=0,"",'Dvd Calendar'!$F$452*1000000000+ISNUMBER('Dvd Calendar'!$F$453)*100000000+('Dvd Calendar'!$F$457='Field Check'!$C$25)*10000000+(N('Dvd Calendar'!$F$451)&gt;0)*1000000+30*1000+42))</f>
        <v/>
      </c>
      <c r="AS38" s="41">
        <f>IF(N('Dvd Calendar'!$G$452)=0,"",IF(('Dvd Calendar'!$G$452&gt;=MIN(DATE(Summary!$C$12,1,1),Summary!$C$11))*('Dvd Calendar'!$G$452&lt;=MAX(DATE(Summary!$C$12,12,31),Summary!$C$15))*('Dvd Calendar'!$G$452&gt;Summary!$C$11)=0,"",'Dvd Calendar'!$G$452*1000000000+ISNUMBER('Dvd Calendar'!$G$453)*100000000+('Dvd Calendar'!$G$457='Field Check'!$C$25)*10000000+(N('Dvd Calendar'!$G$451)&gt;0)*1000000+30*1000+43))</f>
        <v/>
      </c>
      <c r="AT38" s="41">
        <f>IF(N('Dvd Calendar'!$H$452)=0,"",IF(('Dvd Calendar'!$H$452&gt;=MIN(DATE(Summary!$C$12,1,1),Summary!$C$11))*('Dvd Calendar'!$H$452&lt;=MAX(DATE(Summary!$C$12,12,31),Summary!$C$15))*('Dvd Calendar'!$H$452&gt;Summary!$C$11)=0,"",'Dvd Calendar'!$H$452*1000000000+ISNUMBER('Dvd Calendar'!$H$453)*100000000+('Dvd Calendar'!$H$457='Field Check'!$C$25)*10000000+(N('Dvd Calendar'!$H$451)&gt;0)*1000000+30*1000+44))</f>
        <v/>
      </c>
      <c r="AU38" s="41">
        <f>IF(N('Dvd Calendar'!$I$452)=0,"",IF(('Dvd Calendar'!$I$452&gt;=MIN(DATE(Summary!$C$12,1,1),Summary!$C$11))*('Dvd Calendar'!$I$452&lt;=MAX(DATE(Summary!$C$12,12,31),Summary!$C$15))*('Dvd Calendar'!$I$452&gt;Summary!$C$11)=0,"",'Dvd Calendar'!$I$452*1000000000+ISNUMBER('Dvd Calendar'!$I$453)*100000000+('Dvd Calendar'!$I$457='Field Check'!$C$25)*10000000+(N('Dvd Calendar'!$I$451)&gt;0)*1000000+30*1000+45))</f>
        <v/>
      </c>
      <c r="AV38" s="41">
        <f>IF(N('Dvd Calendar'!$J$452)=0,"",IF(('Dvd Calendar'!$J$452&gt;=MIN(DATE(Summary!$C$12,1,1),Summary!$C$11))*('Dvd Calendar'!$J$452&lt;=MAX(DATE(Summary!$C$12,12,31),Summary!$C$15))*('Dvd Calendar'!$J$452&gt;Summary!$C$11)=0,"",'Dvd Calendar'!$J$452*1000000000+ISNUMBER('Dvd Calendar'!$J$453)*100000000+('Dvd Calendar'!$J$457='Field Check'!$C$25)*10000000+(N('Dvd Calendar'!$J$451)&gt;0)*1000000+30*1000+46))</f>
        <v/>
      </c>
      <c r="AW38" s="41">
        <f>IF(N('Dvd Calendar'!$K$452)=0,"",IF(('Dvd Calendar'!$K$452&gt;=MIN(DATE(Summary!$C$12,1,1),Summary!$C$11))*('Dvd Calendar'!$K$452&lt;=MAX(DATE(Summary!$C$12,12,31),Summary!$C$15))*('Dvd Calendar'!$K$452&gt;Summary!$C$11)=0,"",'Dvd Calendar'!$K$452*1000000000+ISNUMBER('Dvd Calendar'!$K$453)*100000000+('Dvd Calendar'!$K$457='Field Check'!$C$25)*10000000+(N('Dvd Calendar'!$K$451)&gt;0)*1000000+30*1000+47))</f>
        <v/>
      </c>
      <c r="AX38" s="41">
        <f>IF(N('Dvd Calendar'!$L$452)=0,"",IF(('Dvd Calendar'!$L$452&gt;=MIN(DATE(Summary!$C$12,1,1),Summary!$C$11))*('Dvd Calendar'!$L$452&lt;=MAX(DATE(Summary!$C$12,12,31),Summary!$C$15))*('Dvd Calendar'!$L$452&gt;Summary!$C$11)=0,"",'Dvd Calendar'!$L$452*1000000000+ISNUMBER('Dvd Calendar'!$L$453)*100000000+('Dvd Calendar'!$L$457='Field Check'!$C$25)*10000000+(N('Dvd Calendar'!$L$451)&gt;0)*1000000+30*1000+48))</f>
        <v/>
      </c>
      <c r="AY38" s="41">
        <f>IF(N('Dvd Calendar'!$M$452)=0,"",IF(('Dvd Calendar'!$M$452&gt;=MIN(DATE(Summary!$C$12,1,1),Summary!$C$11))*('Dvd Calendar'!$M$452&lt;=MAX(DATE(Summary!$C$12,12,31),Summary!$C$15))*('Dvd Calendar'!$M$452&gt;Summary!$C$11)=0,"",'Dvd Calendar'!$M$452*1000000000+ISNUMBER('Dvd Calendar'!$M$453)*100000000+('Dvd Calendar'!$M$457='Field Check'!$C$25)*10000000+(N('Dvd Calendar'!$M$451)&gt;0)*1000000+30*1000+49))</f>
        <v/>
      </c>
      <c r="AZ38" s="41">
        <f>IF(N('Dvd Calendar'!$N$452)=0,"",IF(('Dvd Calendar'!$N$452&gt;=MIN(DATE(Summary!$C$12,1,1),Summary!$C$11))*('Dvd Calendar'!$N$452&lt;=MAX(DATE(Summary!$C$12,12,31),Summary!$C$15))*('Dvd Calendar'!$N$452&gt;Summary!$C$11)=0,"",'Dvd Calendar'!$N$452*1000000000+ISNUMBER('Dvd Calendar'!$N$453)*100000000+('Dvd Calendar'!$N$457='Field Check'!$C$25)*10000000+(N('Dvd Calendar'!$N$451)&gt;0)*1000000+30*1000+50))</f>
        <v/>
      </c>
      <c r="BA38" s="41">
        <f>IF(N('Dvd Calendar'!$O$452)=0,"",IF(('Dvd Calendar'!$O$452&gt;=MIN(DATE(Summary!$C$12,1,1),Summary!$C$11))*('Dvd Calendar'!$O$452&lt;=MAX(DATE(Summary!$C$12,12,31),Summary!$C$15))*('Dvd Calendar'!$O$452&gt;Summary!$C$11)=0,"",'Dvd Calendar'!$O$452*1000000000+ISNUMBER('Dvd Calendar'!$O$453)*100000000+('Dvd Calendar'!$O$457='Field Check'!$C$25)*10000000+(N('Dvd Calendar'!$O$451)&gt;0)*1000000+30*1000+51))</f>
        <v/>
      </c>
      <c r="BB38" s="41">
        <f>IF(N('Dvd Calendar'!$P$452)=0,"",IF(('Dvd Calendar'!$P$452&gt;=MIN(DATE(Summary!$C$12,1,1),Summary!$C$11))*('Dvd Calendar'!$P$452&lt;=MAX(DATE(Summary!$C$12,12,31),Summary!$C$15))*('Dvd Calendar'!$P$452&gt;Summary!$C$11)=0,"",'Dvd Calendar'!$P$452*1000000000+ISNUMBER('Dvd Calendar'!$P$453)*100000000+('Dvd Calendar'!$P$457='Field Check'!$C$25)*10000000+(N('Dvd Calendar'!$P$451)&gt;0)*1000000+30*1000+52))</f>
        <v/>
      </c>
      <c r="BC38" s="41">
        <f>IF(N('Dvd Calendar'!$Q$452)=0,"",IF(('Dvd Calendar'!$Q$452&gt;=MIN(DATE(Summary!$C$12,1,1),Summary!$C$11))*('Dvd Calendar'!$Q$452&lt;=MAX(DATE(Summary!$C$12,12,31),Summary!$C$15))*('Dvd Calendar'!$Q$452&gt;Summary!$C$11)=0,"",'Dvd Calendar'!$Q$452*1000000000+ISNUMBER('Dvd Calendar'!$Q$453)*100000000+('Dvd Calendar'!$Q$457='Field Check'!$C$25)*10000000+(N('Dvd Calendar'!$Q$451)&gt;0)*1000000+30*1000+53))</f>
        <v/>
      </c>
      <c r="BD38" s="41">
        <f>IF(N('Dvd Calendar'!$R$452)=0,"",IF(('Dvd Calendar'!$R$452&gt;=MIN(DATE(Summary!$C$12,1,1),Summary!$C$11))*('Dvd Calendar'!$R$452&lt;=MAX(DATE(Summary!$C$12,12,31),Summary!$C$15))*('Dvd Calendar'!$R$452&gt;Summary!$C$11)=0,"",'Dvd Calendar'!$R$452*1000000000+ISNUMBER('Dvd Calendar'!$R$453)*100000000+('Dvd Calendar'!$R$457='Field Check'!$C$25)*10000000+(N('Dvd Calendar'!$R$451)&gt;0)*1000000+30*1000+54))</f>
        <v/>
      </c>
      <c r="BE38" s="41">
        <f>IF(N('Dvd Calendar'!$S$452)=0,"",IF(('Dvd Calendar'!$S$452&gt;=MIN(DATE(Summary!$C$12,1,1),Summary!$C$11))*('Dvd Calendar'!$S$452&lt;=MAX(DATE(Summary!$C$12,12,31),Summary!$C$15))*('Dvd Calendar'!$S$452&gt;Summary!$C$11)=0,"",'Dvd Calendar'!$S$452*1000000000+ISNUMBER('Dvd Calendar'!$S$453)*100000000+('Dvd Calendar'!$S$457='Field Check'!$C$25)*10000000+(N('Dvd Calendar'!$S$451)&gt;0)*1000000+30*1000+55))</f>
        <v/>
      </c>
      <c r="BF38" s="41">
        <f>IF(N('Dvd Calendar'!$T$452)=0,"",IF(('Dvd Calendar'!$T$452&gt;=MIN(DATE(Summary!$C$12,1,1),Summary!$C$11))*('Dvd Calendar'!$T$452&lt;=MAX(DATE(Summary!$C$12,12,31),Summary!$C$15))*('Dvd Calendar'!$T$452&gt;Summary!$C$11)=0,"",'Dvd Calendar'!$T$452*1000000000+ISNUMBER('Dvd Calendar'!$T$453)*100000000+('Dvd Calendar'!$T$457='Field Check'!$C$25)*10000000+(N('Dvd Calendar'!$T$451)&gt;0)*1000000+30*1000+56))</f>
        <v/>
      </c>
      <c r="BG38" s="41">
        <f>IF(N('Dvd Calendar'!$U$452)=0,"",IF(('Dvd Calendar'!$U$452&gt;=MIN(DATE(Summary!$C$12,1,1),Summary!$C$11))*('Dvd Calendar'!$U$452&lt;=MAX(DATE(Summary!$C$12,12,31),Summary!$C$15))*('Dvd Calendar'!$U$452&gt;Summary!$C$11)=0,"",'Dvd Calendar'!$U$452*1000000000+ISNUMBER('Dvd Calendar'!$U$453)*100000000+('Dvd Calendar'!$U$457='Field Check'!$C$25)*10000000+(N('Dvd Calendar'!$U$451)&gt;0)*1000000+30*1000+57))</f>
        <v/>
      </c>
      <c r="BH38" s="41">
        <f>IF(N('Dvd Calendar'!$V$452)=0,"",IF(('Dvd Calendar'!$V$452&gt;=MIN(DATE(Summary!$C$12,1,1),Summary!$C$11))*('Dvd Calendar'!$V$452&lt;=MAX(DATE(Summary!$C$12,12,31),Summary!$C$15))*('Dvd Calendar'!$V$452&gt;Summary!$C$11)=0,"",'Dvd Calendar'!$V$452*1000000000+ISNUMBER('Dvd Calendar'!$V$453)*100000000+('Dvd Calendar'!$V$457='Field Check'!$C$25)*10000000+(N('Dvd Calendar'!$V$451)&gt;0)*1000000+30*1000+58))</f>
        <v/>
      </c>
      <c r="BI38" s="41">
        <f>IF(N('Dvd Calendar'!$W$452)=0,"",IF(('Dvd Calendar'!$W$452&gt;=MIN(DATE(Summary!$C$12,1,1),Summary!$C$11))*('Dvd Calendar'!$W$452&lt;=MAX(DATE(Summary!$C$12,12,31),Summary!$C$15))*('Dvd Calendar'!$W$452&gt;Summary!$C$11)=0,"",'Dvd Calendar'!$W$452*1000000000+ISNUMBER('Dvd Calendar'!$W$453)*100000000+('Dvd Calendar'!$W$457='Field Check'!$C$25)*10000000+(N('Dvd Calendar'!$W$451)&gt;0)*1000000+30*1000+59))</f>
        <v/>
      </c>
      <c r="BJ38" s="41">
        <f>IF(N('Dvd Calendar'!$X$452)=0,"",IF(('Dvd Calendar'!$X$452&gt;=MIN(DATE(Summary!$C$12,1,1),Summary!$C$11))*('Dvd Calendar'!$X$452&lt;=MAX(DATE(Summary!$C$12,12,31),Summary!$C$15))*('Dvd Calendar'!$X$452&gt;Summary!$C$11)=0,"",'Dvd Calendar'!$X$452*1000000000+ISNUMBER('Dvd Calendar'!$X$453)*100000000+('Dvd Calendar'!$X$457='Field Check'!$C$25)*10000000+(N('Dvd Calendar'!$X$451)&gt;0)*1000000+30*1000+60))</f>
        <v/>
      </c>
      <c r="BK38" s="41">
        <f>IF(N('Dvd Calendar'!$Y$452)=0,"",IF(('Dvd Calendar'!$Y$452&gt;=MIN(DATE(Summary!$C$12,1,1),Summary!$C$11))*('Dvd Calendar'!$Y$452&lt;=MAX(DATE(Summary!$C$12,12,31),Summary!$C$15))*('Dvd Calendar'!$Y$452&gt;Summary!$C$11)=0,"",'Dvd Calendar'!$Y$452*1000000000+ISNUMBER('Dvd Calendar'!$Y$453)*100000000+('Dvd Calendar'!$Y$457='Field Check'!$C$25)*10000000+(N('Dvd Calendar'!$Y$451)&gt;0)*1000000+30*1000+61))</f>
        <v/>
      </c>
      <c r="BL38" s="41">
        <f>IF(N('Dvd Calendar'!$Z$452)=0,"",IF(('Dvd Calendar'!$Z$452&gt;=MIN(DATE(Summary!$C$12,1,1),Summary!$C$11))*('Dvd Calendar'!$Z$452&lt;=MAX(DATE(Summary!$C$12,12,31),Summary!$C$15))*('Dvd Calendar'!$Z$452&gt;Summary!$C$11)=0,"",'Dvd Calendar'!$Z$452*1000000000+ISNUMBER('Dvd Calendar'!$Z$453)*100000000+('Dvd Calendar'!$Z$457='Field Check'!$C$25)*10000000+(N('Dvd Calendar'!$Z$451)&gt;0)*1000000+30*1000+62))</f>
        <v/>
      </c>
      <c r="BM38" s="41">
        <f>IF(N('Dvd Calendar'!$AA$452)=0,"",IF(('Dvd Calendar'!$AA$452&gt;=MIN(DATE(Summary!$C$12,1,1),Summary!$C$11))*('Dvd Calendar'!$AA$452&lt;=MAX(DATE(Summary!$C$12,12,31),Summary!$C$15))*('Dvd Calendar'!$AA$452&gt;Summary!$C$11)=0,"",'Dvd Calendar'!$AA$452*1000000000+ISNUMBER('Dvd Calendar'!$AA$453)*100000000+('Dvd Calendar'!$AA$457='Field Check'!$C$25)*10000000+(N('Dvd Calendar'!$AA$451)&gt;0)*1000000+30*1000+63))</f>
        <v/>
      </c>
      <c r="BN38" s="41">
        <f>IF(N('Dvd Calendar'!$AB$452)=0,"",IF(('Dvd Calendar'!$AB$452&gt;=MIN(DATE(Summary!$C$12,1,1),Summary!$C$11))*('Dvd Calendar'!$AB$452&lt;=MAX(DATE(Summary!$C$12,12,31),Summary!$C$15))*('Dvd Calendar'!$AB$452&gt;Summary!$C$11)=0,"",'Dvd Calendar'!$AB$452*1000000000+ISNUMBER('Dvd Calendar'!$AB$453)*100000000+('Dvd Calendar'!$AB$457='Field Check'!$C$25)*10000000+(N('Dvd Calendar'!$AB$451)&gt;0)*1000000+30*1000+64))</f>
        <v/>
      </c>
      <c r="BO38" s="41">
        <f>IF(N('Dvd Calendar'!$AC$452)=0,"",IF(('Dvd Calendar'!$AC$452&gt;=MIN(DATE(Summary!$C$12,1,1),Summary!$C$11))*('Dvd Calendar'!$AC$452&lt;=MAX(DATE(Summary!$C$12,12,31),Summary!$C$15))*('Dvd Calendar'!$AC$452&gt;Summary!$C$11)=0,"",'Dvd Calendar'!$AC$452*1000000000+ISNUMBER('Dvd Calendar'!$AC$453)*100000000+('Dvd Calendar'!$AC$457='Field Check'!$C$25)*10000000+(N('Dvd Calendar'!$AC$451)&gt;0)*1000000+30*1000+65))</f>
        <v/>
      </c>
      <c r="BQ38" s="85">
        <f>IF(C38="","",IF(ISNUMBER('Dvd Calendar'!$E$446)=FALSE,"",IF((Summary!$C$13="N")*('Dvd Calendar'!$E$450='Field Check'!$C$25)&gt;0,"",'Dvd Calendar'!$E$446)))</f>
        <v/>
      </c>
      <c r="BR38" s="85">
        <f>IF(D38="","",IF(ISNUMBER('Dvd Calendar'!$F$446)=FALSE,"",IF((Summary!$C$13="N")*('Dvd Calendar'!$F$450='Field Check'!$C$25)&gt;0,"",'Dvd Calendar'!$F$446)))</f>
        <v/>
      </c>
      <c r="BS38" s="85">
        <f>IF(E38="","",IF(ISNUMBER('Dvd Calendar'!$G$446)=FALSE,"",IF((Summary!$C$13="N")*('Dvd Calendar'!$G$450='Field Check'!$C$25)&gt;0,"",'Dvd Calendar'!$G$446)))</f>
        <v/>
      </c>
      <c r="BT38" s="85">
        <f>IF(F38="","",IF(ISNUMBER('Dvd Calendar'!$H$446)=FALSE,"",IF((Summary!$C$13="N")*('Dvd Calendar'!$H$450='Field Check'!$C$25)&gt;0,"",'Dvd Calendar'!$H$446)))</f>
        <v/>
      </c>
      <c r="BU38" s="85">
        <f>IF(G38="","",IF(ISNUMBER('Dvd Calendar'!$I$446)=FALSE,"",IF((Summary!$C$13="N")*('Dvd Calendar'!$I$450='Field Check'!$C$25)&gt;0,"",'Dvd Calendar'!$I$446)))</f>
        <v/>
      </c>
      <c r="BV38" s="85">
        <f>IF(H38="","",IF(ISNUMBER('Dvd Calendar'!$J$446)=FALSE,"",IF((Summary!$C$13="N")*('Dvd Calendar'!$J$450='Field Check'!$C$25)&gt;0,"",'Dvd Calendar'!$J$446)))</f>
        <v/>
      </c>
      <c r="BW38" s="85">
        <f>IF(I38="","",IF(ISNUMBER('Dvd Calendar'!$K$446)=FALSE,"",IF((Summary!$C$13="N")*('Dvd Calendar'!$K$450='Field Check'!$C$25)&gt;0,"",'Dvd Calendar'!$K$446)))</f>
        <v/>
      </c>
      <c r="BX38" s="85">
        <f>IF(J38="","",IF(ISNUMBER('Dvd Calendar'!$L$446)=FALSE,"",IF((Summary!$C$13="N")*('Dvd Calendar'!$L$450='Field Check'!$C$25)&gt;0,"",'Dvd Calendar'!$L$446)))</f>
        <v/>
      </c>
      <c r="BY38" s="85">
        <f>IF(K38="","",IF(ISNUMBER('Dvd Calendar'!$M$446)=FALSE,"",IF((Summary!$C$13="N")*('Dvd Calendar'!$M$450='Field Check'!$C$25)&gt;0,"",'Dvd Calendar'!$M$446)))</f>
        <v/>
      </c>
      <c r="BZ38" s="85">
        <f>IF(L38="","",IF(ISNUMBER('Dvd Calendar'!$N$446)=FALSE,"",IF((Summary!$C$13="N")*('Dvd Calendar'!$N$450='Field Check'!$C$25)&gt;0,"",'Dvd Calendar'!$N$446)))</f>
        <v/>
      </c>
      <c r="CA38" s="85">
        <f>IF(M38="","",IF(ISNUMBER('Dvd Calendar'!$O$446)=FALSE,"",IF((Summary!$C$13="N")*('Dvd Calendar'!$O$450='Field Check'!$C$25)&gt;0,"",'Dvd Calendar'!$O$446)))</f>
        <v/>
      </c>
      <c r="CB38" s="85">
        <f>IF(N38="","",IF(ISNUMBER('Dvd Calendar'!$P$446)=FALSE,"",IF((Summary!$C$13="N")*('Dvd Calendar'!$P$450='Field Check'!$C$25)&gt;0,"",'Dvd Calendar'!$P$446)))</f>
        <v/>
      </c>
      <c r="CC38" s="85">
        <f>IF(O38="","",IF(ISNUMBER('Dvd Calendar'!$Q$446)=FALSE,"",IF((Summary!$C$13="N")*('Dvd Calendar'!$Q$450='Field Check'!$C$25)&gt;0,"",'Dvd Calendar'!$Q$446)))</f>
        <v/>
      </c>
      <c r="CD38" s="85">
        <f>IF(P38="","",IF(ISNUMBER('Dvd Calendar'!$R$446)=FALSE,"",IF((Summary!$C$13="N")*('Dvd Calendar'!$R$450='Field Check'!$C$25)&gt;0,"",'Dvd Calendar'!$R$446)))</f>
        <v/>
      </c>
      <c r="CE38" s="85">
        <f>IF(Q38="","",IF(ISNUMBER('Dvd Calendar'!$S$446)=FALSE,"",IF((Summary!$C$13="N")*('Dvd Calendar'!$S$450='Field Check'!$C$25)&gt;0,"",'Dvd Calendar'!$S$446)))</f>
        <v/>
      </c>
      <c r="CF38" s="85">
        <f>IF(R38="","",IF(ISNUMBER('Dvd Calendar'!$T$446)=FALSE,"",IF((Summary!$C$13="N")*('Dvd Calendar'!$T$450='Field Check'!$C$25)&gt;0,"",'Dvd Calendar'!$T$446)))</f>
        <v/>
      </c>
      <c r="CG38" s="85">
        <f>IF(S38="","",IF(ISNUMBER('Dvd Calendar'!$U$446)=FALSE,"",IF((Summary!$C$13="N")*('Dvd Calendar'!$U$450='Field Check'!$C$25)&gt;0,"",'Dvd Calendar'!$U$446)))</f>
        <v/>
      </c>
      <c r="CH38" s="85">
        <f>IF(T38="","",IF(ISNUMBER('Dvd Calendar'!$V$446)=FALSE,"",IF((Summary!$C$13="N")*('Dvd Calendar'!$V$450='Field Check'!$C$25)&gt;0,"",'Dvd Calendar'!$V$446)))</f>
        <v/>
      </c>
      <c r="CI38" s="85">
        <f>IF(U38="","",IF(ISNUMBER('Dvd Calendar'!$W$446)=FALSE,"",IF((Summary!$C$13="N")*('Dvd Calendar'!$W$450='Field Check'!$C$25)&gt;0,"",'Dvd Calendar'!$W$446)))</f>
        <v/>
      </c>
      <c r="CJ38" s="85">
        <f>IF(V38="","",IF(ISNUMBER('Dvd Calendar'!$X$446)=FALSE,"",IF((Summary!$C$13="N")*('Dvd Calendar'!$X$450='Field Check'!$C$25)&gt;0,"",'Dvd Calendar'!$X$446)))</f>
        <v/>
      </c>
      <c r="CK38" s="85">
        <f>IF(W38="","",IF(ISNUMBER('Dvd Calendar'!$Y$446)=FALSE,"",IF((Summary!$C$13="N")*('Dvd Calendar'!$Y$450='Field Check'!$C$25)&gt;0,"",'Dvd Calendar'!$Y$446)))</f>
        <v/>
      </c>
      <c r="CL38" s="85">
        <f>IF(X38="","",IF(ISNUMBER('Dvd Calendar'!$Z$446)=FALSE,"",IF((Summary!$C$13="N")*('Dvd Calendar'!$Z$450='Field Check'!$C$25)&gt;0,"",'Dvd Calendar'!$Z$446)))</f>
        <v/>
      </c>
      <c r="CM38" s="85">
        <f>IF(Y38="","",IF(ISNUMBER('Dvd Calendar'!$AA$446)=FALSE,"",IF((Summary!$C$13="N")*('Dvd Calendar'!$AA$450='Field Check'!$C$25)&gt;0,"",'Dvd Calendar'!$AA$446)))</f>
        <v/>
      </c>
      <c r="CN38" s="85">
        <f>IF(Z38="","",IF(ISNUMBER('Dvd Calendar'!$AB$446)=FALSE,"",IF((Summary!$C$13="N")*('Dvd Calendar'!$AB$450='Field Check'!$C$25)&gt;0,"",'Dvd Calendar'!$AB$446)))</f>
        <v/>
      </c>
      <c r="CO38" s="85">
        <f>IF(AA38="","",IF(ISNUMBER('Dvd Calendar'!$AC$446)=FALSE,"",IF((Summary!$C$13="N")*('Dvd Calendar'!$AC$450='Field Check'!$C$25)&gt;0,"",'Dvd Calendar'!$AC$446)))</f>
        <v/>
      </c>
      <c r="CP38" s="85">
        <f>IF(AB38="","",IF(ISNUMBER('Dvd Calendar'!$AD$446)=FALSE,"",IF((Summary!$C$13="N")*('Dvd Calendar'!$AD$450='Field Check'!$C$25)&gt;0,"",'Dvd Calendar'!$AD$446)))</f>
        <v/>
      </c>
      <c r="CQ38" s="85">
        <f>IF(AC38="","",IF(ISNUMBER('Dvd Calendar'!$AE$446)=FALSE,"",IF((Summary!$C$13="N")*('Dvd Calendar'!$AE$450='Field Check'!$C$25)&gt;0,"",'Dvd Calendar'!$AE$446)))</f>
        <v/>
      </c>
      <c r="CR38" s="85">
        <f>IF(AD38="","",IF(ISNUMBER('Dvd Calendar'!$AF$446)=FALSE,"",IF((Summary!$C$13="N")*('Dvd Calendar'!$AF$450='Field Check'!$C$25)&gt;0,"",'Dvd Calendar'!$AF$446)))</f>
        <v/>
      </c>
      <c r="CS38" s="85">
        <f>IF(AE38="","",IF(ISNUMBER('Dvd Calendar'!$AG$446)=FALSE,"",IF((Summary!$C$13="N")*('Dvd Calendar'!$AG$450='Field Check'!$C$25)&gt;0,"",'Dvd Calendar'!$AG$446)))</f>
        <v/>
      </c>
      <c r="CT38" s="85">
        <f>IF(AF38="","",IF(ISNUMBER('Dvd Calendar'!$AH$446)=FALSE,"",IF((Summary!$C$13="N")*('Dvd Calendar'!$AH$450='Field Check'!$C$25)&gt;0,"",'Dvd Calendar'!$AH$446)))</f>
        <v/>
      </c>
      <c r="CU38" s="85">
        <f>IF(AG38="","",IF(ISNUMBER('Dvd Calendar'!$AI$446)=FALSE,"",IF((Summary!$C$13="N")*('Dvd Calendar'!$AI$450='Field Check'!$C$25)&gt;0,"",'Dvd Calendar'!$AI$446)))</f>
        <v/>
      </c>
      <c r="CV38" s="85">
        <f>IF(AH38="","",IF(ISNUMBER('Dvd Calendar'!$AJ$446)=FALSE,"",IF((Summary!$C$13="N")*('Dvd Calendar'!$AJ$450='Field Check'!$C$25)&gt;0,"",'Dvd Calendar'!$AJ$446)))</f>
        <v/>
      </c>
      <c r="CW38" s="85">
        <f>IF(AI38="","",IF(ISNUMBER('Dvd Calendar'!$AK$446)=FALSE,"",IF((Summary!$C$13="N")*('Dvd Calendar'!$AK$450='Field Check'!$C$25)&gt;0,"",'Dvd Calendar'!$AK$446)))</f>
        <v/>
      </c>
      <c r="CX38" s="85">
        <f>IF(AJ38="","",IF(ISNUMBER('Dvd Calendar'!$AL$446)=FALSE,"",IF((Summary!$C$13="N")*('Dvd Calendar'!$AL$450='Field Check'!$C$25)&gt;0,"",'Dvd Calendar'!$AL$446)))</f>
        <v/>
      </c>
      <c r="CY38" s="85">
        <f>IF(AK38="","",IF(ISNUMBER('Dvd Calendar'!$AM$446)=FALSE,"",IF((Summary!$C$13="N")*('Dvd Calendar'!$AM$450='Field Check'!$C$25)&gt;0,"",'Dvd Calendar'!$AM$446)))</f>
        <v/>
      </c>
      <c r="CZ38" s="85">
        <f>IF(AL38="","",IF(ISNUMBER('Dvd Calendar'!$AN$446)=FALSE,"",IF((Summary!$C$13="N")*('Dvd Calendar'!$AN$450='Field Check'!$C$25)&gt;0,"",'Dvd Calendar'!$AN$446)))</f>
        <v/>
      </c>
      <c r="DA38" s="85">
        <f>IF(AM38="","",IF(ISNUMBER('Dvd Calendar'!$AO$446)=FALSE,"",IF((Summary!$C$13="N")*('Dvd Calendar'!$AO$450='Field Check'!$C$25)&gt;0,"",'Dvd Calendar'!$AO$446)))</f>
        <v/>
      </c>
      <c r="DB38" s="85">
        <f>IF(AN38="","",IF(ISNUMBER('Dvd Calendar'!$AP$446)=FALSE,"",IF((Summary!$C$13="N")*('Dvd Calendar'!$AP$450='Field Check'!$C$25)&gt;0,"",'Dvd Calendar'!$AP$446)))</f>
        <v/>
      </c>
      <c r="DC38" s="85">
        <f>IF(AO38="","",IF(ISNUMBER('Dvd Calendar'!$AQ$446)=FALSE,"",IF((Summary!$C$13="N")*('Dvd Calendar'!$AQ$450='Field Check'!$C$25)&gt;0,"",'Dvd Calendar'!$AQ$446)))</f>
        <v/>
      </c>
      <c r="DD38" s="85">
        <f>IF(AP38="","",IF(ISNUMBER('Dvd Calendar'!$AR$446)=FALSE,"",IF((Summary!$C$13="N")*('Dvd Calendar'!$AR$450='Field Check'!$C$25)&gt;0,"",'Dvd Calendar'!$AR$446)))</f>
        <v/>
      </c>
      <c r="DE38" s="85">
        <f>IF(AQ38="","",IF(ISNUMBER('Dvd Calendar'!$E$453)=FALSE,"",IF((Summary!$C$13="N")*('Dvd Calendar'!$E$457='Field Check'!$C$25)&gt;0,"",'Dvd Calendar'!$E$453)))</f>
        <v/>
      </c>
      <c r="DF38" s="85">
        <f>IF(AR38="","",IF(ISNUMBER('Dvd Calendar'!$F$453)=FALSE,"",IF((Summary!$C$13="N")*('Dvd Calendar'!$F$457='Field Check'!$C$25)&gt;0,"",'Dvd Calendar'!$F$453)))</f>
        <v/>
      </c>
      <c r="DG38" s="85">
        <f>IF(AS38="","",IF(ISNUMBER('Dvd Calendar'!$G$453)=FALSE,"",IF((Summary!$C$13="N")*('Dvd Calendar'!$G$457='Field Check'!$C$25)&gt;0,"",'Dvd Calendar'!$G$453)))</f>
        <v/>
      </c>
      <c r="DH38" s="85">
        <f>IF(AT38="","",IF(ISNUMBER('Dvd Calendar'!$H$453)=FALSE,"",IF((Summary!$C$13="N")*('Dvd Calendar'!$H$457='Field Check'!$C$25)&gt;0,"",'Dvd Calendar'!$H$453)))</f>
        <v/>
      </c>
      <c r="DI38" s="85">
        <f>IF(AU38="","",IF(ISNUMBER('Dvd Calendar'!$I$453)=FALSE,"",IF((Summary!$C$13="N")*('Dvd Calendar'!$I$457='Field Check'!$C$25)&gt;0,"",'Dvd Calendar'!$I$453)))</f>
        <v/>
      </c>
      <c r="DJ38" s="85">
        <f>IF(AV38="","",IF(ISNUMBER('Dvd Calendar'!$J$453)=FALSE,"",IF((Summary!$C$13="N")*('Dvd Calendar'!$J$457='Field Check'!$C$25)&gt;0,"",'Dvd Calendar'!$J$453)))</f>
        <v/>
      </c>
      <c r="DK38" s="85">
        <f>IF(AW38="","",IF(ISNUMBER('Dvd Calendar'!$K$453)=FALSE,"",IF((Summary!$C$13="N")*('Dvd Calendar'!$K$457='Field Check'!$C$25)&gt;0,"",'Dvd Calendar'!$K$453)))</f>
        <v/>
      </c>
      <c r="DL38" s="85">
        <f>IF(AX38="","",IF(ISNUMBER('Dvd Calendar'!$L$453)=FALSE,"",IF((Summary!$C$13="N")*('Dvd Calendar'!$L$457='Field Check'!$C$25)&gt;0,"",'Dvd Calendar'!$L$453)))</f>
        <v/>
      </c>
      <c r="DM38" s="85">
        <f>IF(AY38="","",IF(ISNUMBER('Dvd Calendar'!$M$453)=FALSE,"",IF((Summary!$C$13="N")*('Dvd Calendar'!$M$457='Field Check'!$C$25)&gt;0,"",'Dvd Calendar'!$M$453)))</f>
        <v/>
      </c>
      <c r="DN38" s="85">
        <f>IF(AZ38="","",IF(ISNUMBER('Dvd Calendar'!$N$453)=FALSE,"",IF((Summary!$C$13="N")*('Dvd Calendar'!$N$457='Field Check'!$C$25)&gt;0,"",'Dvd Calendar'!$N$453)))</f>
        <v/>
      </c>
      <c r="DO38" s="85">
        <f>IF(BA38="","",IF(ISNUMBER('Dvd Calendar'!$O$453)=FALSE,"",IF((Summary!$C$13="N")*('Dvd Calendar'!$O$457='Field Check'!$C$25)&gt;0,"",'Dvd Calendar'!$O$453)))</f>
        <v/>
      </c>
      <c r="DP38" s="85">
        <f>IF(BB38="","",IF(ISNUMBER('Dvd Calendar'!$P$453)=FALSE,"",IF((Summary!$C$13="N")*('Dvd Calendar'!$P$457='Field Check'!$C$25)&gt;0,"",'Dvd Calendar'!$P$453)))</f>
        <v/>
      </c>
      <c r="DQ38" s="85">
        <f>IF(BC38="","",IF(ISNUMBER('Dvd Calendar'!$Q$453)=FALSE,"",IF((Summary!$C$13="N")*('Dvd Calendar'!$Q$457='Field Check'!$C$25)&gt;0,"",'Dvd Calendar'!$Q$453)))</f>
        <v/>
      </c>
      <c r="DR38" s="85">
        <f>IF(BD38="","",IF(ISNUMBER('Dvd Calendar'!$R$453)=FALSE,"",IF((Summary!$C$13="N")*('Dvd Calendar'!$R$457='Field Check'!$C$25)&gt;0,"",'Dvd Calendar'!$R$453)))</f>
        <v/>
      </c>
      <c r="DS38" s="85">
        <f>IF(BE38="","",IF(ISNUMBER('Dvd Calendar'!$S$453)=FALSE,"",IF((Summary!$C$13="N")*('Dvd Calendar'!$S$457='Field Check'!$C$25)&gt;0,"",'Dvd Calendar'!$S$453)))</f>
        <v/>
      </c>
      <c r="DT38" s="85">
        <f>IF(BF38="","",IF(ISNUMBER('Dvd Calendar'!$T$453)=FALSE,"",IF((Summary!$C$13="N")*('Dvd Calendar'!$T$457='Field Check'!$C$25)&gt;0,"",'Dvd Calendar'!$T$453)))</f>
        <v/>
      </c>
      <c r="DU38" s="85">
        <f>IF(BG38="","",IF(ISNUMBER('Dvd Calendar'!$U$453)=FALSE,"",IF((Summary!$C$13="N")*('Dvd Calendar'!$U$457='Field Check'!$C$25)&gt;0,"",'Dvd Calendar'!$U$453)))</f>
        <v/>
      </c>
      <c r="DV38" s="85">
        <f>IF(BH38="","",IF(ISNUMBER('Dvd Calendar'!$V$453)=FALSE,"",IF((Summary!$C$13="N")*('Dvd Calendar'!$V$457='Field Check'!$C$25)&gt;0,"",'Dvd Calendar'!$V$453)))</f>
        <v/>
      </c>
      <c r="DW38" s="85">
        <f>IF(BI38="","",IF(ISNUMBER('Dvd Calendar'!$W$453)=FALSE,"",IF((Summary!$C$13="N")*('Dvd Calendar'!$W$457='Field Check'!$C$25)&gt;0,"",'Dvd Calendar'!$W$453)))</f>
        <v/>
      </c>
      <c r="DX38" s="85">
        <f>IF(BJ38="","",IF(ISNUMBER('Dvd Calendar'!$X$453)=FALSE,"",IF((Summary!$C$13="N")*('Dvd Calendar'!$X$457='Field Check'!$C$25)&gt;0,"",'Dvd Calendar'!$X$453)))</f>
        <v/>
      </c>
      <c r="DY38" s="85">
        <f>IF(BK38="","",IF(ISNUMBER('Dvd Calendar'!$Y$453)=FALSE,"",IF((Summary!$C$13="N")*('Dvd Calendar'!$Y$457='Field Check'!$C$25)&gt;0,"",'Dvd Calendar'!$Y$453)))</f>
        <v/>
      </c>
      <c r="DZ38" s="85">
        <f>IF(BL38="","",IF(ISNUMBER('Dvd Calendar'!$Z$453)=FALSE,"",IF((Summary!$C$13="N")*('Dvd Calendar'!$Z$457='Field Check'!$C$25)&gt;0,"",'Dvd Calendar'!$Z$453)))</f>
        <v/>
      </c>
      <c r="EA38" s="85">
        <f>IF(BM38="","",IF(ISNUMBER('Dvd Calendar'!$AA$453)=FALSE,"",IF((Summary!$C$13="N")*('Dvd Calendar'!$AA$457='Field Check'!$C$25)&gt;0,"",'Dvd Calendar'!$AA$453)))</f>
        <v/>
      </c>
      <c r="EB38" s="85">
        <f>IF(BN38="","",IF(ISNUMBER('Dvd Calendar'!$AB$453)=FALSE,"",IF((Summary!$C$13="N")*('Dvd Calendar'!$AB$457='Field Check'!$C$25)&gt;0,"",'Dvd Calendar'!$AB$453)))</f>
        <v/>
      </c>
      <c r="EC38" s="85">
        <f>IF(BO38="","",IF(ISNUMBER('Dvd Calendar'!$AC$453)=FALSE,"",IF((Summary!$C$13="N")*('Dvd Calendar'!$AC$457='Field Check'!$C$25)&gt;0,"",'Dvd Calendar'!$AC$453)))</f>
        <v/>
      </c>
      <c r="EE38" s="85">
        <f>IF(BQ38="","",IFERROR(BQ38*HSI!$B$36*HSI!$G$36/HSI!$B$3,""))</f>
        <v/>
      </c>
      <c r="EF38" s="85">
        <f>IF(BR38="","",IFERROR(BR38*HSI!$B$36*HSI!$G$36/HSI!$B$3,""))</f>
        <v/>
      </c>
      <c r="EG38" s="85">
        <f>IF(BS38="","",IFERROR(BS38*HSI!$B$36*HSI!$G$36/HSI!$B$3,""))</f>
        <v/>
      </c>
      <c r="EH38" s="85">
        <f>IF(BT38="","",IFERROR(BT38*HSI!$B$36*HSI!$G$36/HSI!$B$3,""))</f>
        <v/>
      </c>
      <c r="EI38" s="85">
        <f>IF(BU38="","",IFERROR(BU38*HSI!$B$36*HSI!$G$36/HSI!$B$3,""))</f>
        <v/>
      </c>
      <c r="EJ38" s="85">
        <f>IF(BV38="","",IFERROR(BV38*HSI!$B$36*HSI!$G$36/HSI!$B$3,""))</f>
        <v/>
      </c>
      <c r="EK38" s="85">
        <f>IF(BW38="","",IFERROR(BW38*HSI!$B$36*HSI!$G$36/HSI!$B$3,""))</f>
        <v/>
      </c>
      <c r="EL38" s="85">
        <f>IF(BX38="","",IFERROR(BX38*HSI!$B$36*HSI!$G$36/HSI!$B$3,""))</f>
        <v/>
      </c>
      <c r="EM38" s="85">
        <f>IF(BY38="","",IFERROR(BY38*HSI!$B$36*HSI!$G$36/HSI!$B$3,""))</f>
        <v/>
      </c>
      <c r="EN38" s="85">
        <f>IF(BZ38="","",IFERROR(BZ38*HSI!$B$36*HSI!$G$36/HSI!$B$3,""))</f>
        <v/>
      </c>
      <c r="EO38" s="85">
        <f>IF(CA38="","",IFERROR(CA38*HSI!$B$36*HSI!$G$36/HSI!$B$3,""))</f>
        <v/>
      </c>
      <c r="EP38" s="85">
        <f>IF(CB38="","",IFERROR(CB38*HSI!$B$36*HSI!$G$36/HSI!$B$3,""))</f>
        <v/>
      </c>
      <c r="EQ38" s="85">
        <f>IF(CC38="","",IFERROR(CC38*HSI!$B$36*HSI!$G$36/HSI!$B$3,""))</f>
        <v/>
      </c>
      <c r="ER38" s="85">
        <f>IF(CD38="","",IFERROR(CD38*HSI!$B$36*HSI!$G$36/HSI!$B$3,""))</f>
        <v/>
      </c>
      <c r="ES38" s="85">
        <f>IF(CE38="","",IFERROR(CE38*HSI!$B$36*HSI!$G$36/HSI!$B$3,""))</f>
        <v/>
      </c>
      <c r="ET38" s="85">
        <f>IF(CF38="","",IFERROR(CF38*HSI!$B$36*HSI!$G$36/HSI!$B$3,""))</f>
        <v/>
      </c>
      <c r="EU38" s="85">
        <f>IF(CG38="","",IFERROR(CG38*HSI!$B$36*HSI!$G$36/HSI!$B$3,""))</f>
        <v/>
      </c>
      <c r="EV38" s="85">
        <f>IF(CH38="","",IFERROR(CH38*HSI!$B$36*HSI!$G$36/HSI!$B$3,""))</f>
        <v/>
      </c>
      <c r="EW38" s="85">
        <f>IF(CI38="","",IFERROR(CI38*HSI!$B$36*HSI!$G$36/HSI!$B$3,""))</f>
        <v/>
      </c>
      <c r="EX38" s="85">
        <f>IF(CJ38="","",IFERROR(CJ38*HSI!$B$36*HSI!$G$36/HSI!$B$3,""))</f>
        <v/>
      </c>
      <c r="EY38" s="85">
        <f>IF(CK38="","",IFERROR(CK38*HSI!$B$36*HSI!$G$36/HSI!$B$3,""))</f>
        <v/>
      </c>
      <c r="EZ38" s="85">
        <f>IF(CL38="","",IFERROR(CL38*HSI!$B$36*HSI!$G$36/HSI!$B$3,""))</f>
        <v/>
      </c>
      <c r="FA38" s="85">
        <f>IF(CM38="","",IFERROR(CM38*HSI!$B$36*HSI!$G$36/HSI!$B$3,""))</f>
        <v/>
      </c>
      <c r="FB38" s="85">
        <f>IF(CN38="","",IFERROR(CN38*HSI!$B$36*HSI!$G$36/HSI!$B$3,""))</f>
        <v/>
      </c>
      <c r="FC38" s="85">
        <f>IF(CO38="","",IFERROR(CO38*HSI!$B$36*HSI!$G$36/HSI!$B$3,""))</f>
        <v/>
      </c>
      <c r="FD38" s="85">
        <f>IF(CP38="","",IFERROR(CP38*HSI!$B$36*HSI!$G$36/HSI!$B$3,""))</f>
        <v/>
      </c>
      <c r="FE38" s="85">
        <f>IF(CQ38="","",IFERROR(CQ38*HSI!$B$36*HSI!$G$36/HSI!$B$3,""))</f>
        <v/>
      </c>
      <c r="FF38" s="85">
        <f>IF(CR38="","",IFERROR(CR38*HSI!$B$36*HSI!$G$36/HSI!$B$3,""))</f>
        <v/>
      </c>
      <c r="FG38" s="85">
        <f>IF(CS38="","",IFERROR(CS38*HSI!$B$36*HSI!$G$36/HSI!$B$3,""))</f>
        <v/>
      </c>
      <c r="FH38" s="85">
        <f>IF(CT38="","",IFERROR(CT38*HSI!$B$36*HSI!$G$36/HSI!$B$3,""))</f>
        <v/>
      </c>
      <c r="FI38" s="85">
        <f>IF(CU38="","",IFERROR(CU38*HSI!$B$36*HSI!$G$36/HSI!$B$3,""))</f>
        <v/>
      </c>
      <c r="FJ38" s="85">
        <f>IF(CV38="","",IFERROR(CV38*HSI!$B$36*HSI!$G$36/HSI!$B$3,""))</f>
        <v/>
      </c>
      <c r="FK38" s="85">
        <f>IF(CW38="","",IFERROR(CW38*HSI!$B$36*HSI!$G$36/HSI!$B$3,""))</f>
        <v/>
      </c>
      <c r="FL38" s="85">
        <f>IF(CX38="","",IFERROR(CX38*HSI!$B$36*HSI!$G$36/HSI!$B$3,""))</f>
        <v/>
      </c>
      <c r="FM38" s="85">
        <f>IF(CY38="","",IFERROR(CY38*HSI!$B$36*HSI!$G$36/HSI!$B$3,""))</f>
        <v/>
      </c>
      <c r="FN38" s="85">
        <f>IF(CZ38="","",IFERROR(CZ38*HSI!$B$36*HSI!$G$36/HSI!$B$3,""))</f>
        <v/>
      </c>
      <c r="FO38" s="85">
        <f>IF(DA38="","",IFERROR(DA38*HSI!$B$36*HSI!$G$36/HSI!$B$3,""))</f>
        <v/>
      </c>
      <c r="FP38" s="85">
        <f>IF(DB38="","",IFERROR(DB38*HSI!$B$36*HSI!$G$36/HSI!$B$3,""))</f>
        <v/>
      </c>
      <c r="FQ38" s="85">
        <f>IF(DC38="","",IFERROR(DC38*HSI!$B$36*HSI!$G$36/HSI!$B$3,""))</f>
        <v/>
      </c>
      <c r="FR38" s="85">
        <f>IF(DD38="","",IFERROR(DD38*HSI!$B$36*HSI!$G$36/HSI!$B$3,""))</f>
        <v/>
      </c>
      <c r="FS38" s="85">
        <f>IF(DE38="","",IFERROR(DE38*HSI!$B$36*HSI!$G$36/HSI!$B$3,""))</f>
        <v/>
      </c>
      <c r="FT38" s="85">
        <f>IF(DF38="","",IFERROR(DF38*HSI!$B$36*HSI!$G$36/HSI!$B$3,""))</f>
        <v/>
      </c>
      <c r="FU38" s="85">
        <f>IF(DG38="","",IFERROR(DG38*HSI!$B$36*HSI!$G$36/HSI!$B$3,""))</f>
        <v/>
      </c>
      <c r="FV38" s="85">
        <f>IF(DH38="","",IFERROR(DH38*HSI!$B$36*HSI!$G$36/HSI!$B$3,""))</f>
        <v/>
      </c>
      <c r="FW38" s="85">
        <f>IF(DI38="","",IFERROR(DI38*HSI!$B$36*HSI!$G$36/HSI!$B$3,""))</f>
        <v/>
      </c>
      <c r="FX38" s="85">
        <f>IF(DJ38="","",IFERROR(DJ38*HSI!$B$36*HSI!$G$36/HSI!$B$3,""))</f>
        <v/>
      </c>
      <c r="FY38" s="85">
        <f>IF(DK38="","",IFERROR(DK38*HSI!$B$36*HSI!$G$36/HSI!$B$3,""))</f>
        <v/>
      </c>
      <c r="FZ38" s="85">
        <f>IF(DL38="","",IFERROR(DL38*HSI!$B$36*HSI!$G$36/HSI!$B$3,""))</f>
        <v/>
      </c>
      <c r="GA38" s="85">
        <f>IF(DM38="","",IFERROR(DM38*HSI!$B$36*HSI!$G$36/HSI!$B$3,""))</f>
        <v/>
      </c>
      <c r="GB38" s="85">
        <f>IF(DN38="","",IFERROR(DN38*HSI!$B$36*HSI!$G$36/HSI!$B$3,""))</f>
        <v/>
      </c>
      <c r="GC38" s="85">
        <f>IF(DO38="","",IFERROR(DO38*HSI!$B$36*HSI!$G$36/HSI!$B$3,""))</f>
        <v/>
      </c>
      <c r="GD38" s="85">
        <f>IF(DP38="","",IFERROR(DP38*HSI!$B$36*HSI!$G$36/HSI!$B$3,""))</f>
        <v/>
      </c>
      <c r="GE38" s="85">
        <f>IF(DQ38="","",IFERROR(DQ38*HSI!$B$36*HSI!$G$36/HSI!$B$3,""))</f>
        <v/>
      </c>
      <c r="GF38" s="85">
        <f>IF(DR38="","",IFERROR(DR38*HSI!$B$36*HSI!$G$36/HSI!$B$3,""))</f>
        <v/>
      </c>
      <c r="GG38" s="85">
        <f>IF(DS38="","",IFERROR(DS38*HSI!$B$36*HSI!$G$36/HSI!$B$3,""))</f>
        <v/>
      </c>
      <c r="GH38" s="85">
        <f>IF(DT38="","",IFERROR(DT38*HSI!$B$36*HSI!$G$36/HSI!$B$3,""))</f>
        <v/>
      </c>
      <c r="GI38" s="85">
        <f>IF(DU38="","",IFERROR(DU38*HSI!$B$36*HSI!$G$36/HSI!$B$3,""))</f>
        <v/>
      </c>
      <c r="GJ38" s="85">
        <f>IF(DV38="","",IFERROR(DV38*HSI!$B$36*HSI!$G$36/HSI!$B$3,""))</f>
        <v/>
      </c>
      <c r="GK38" s="85">
        <f>IF(DW38="","",IFERROR(DW38*HSI!$B$36*HSI!$G$36/HSI!$B$3,""))</f>
        <v/>
      </c>
      <c r="GL38" s="85">
        <f>IF(DX38="","",IFERROR(DX38*HSI!$B$36*HSI!$G$36/HSI!$B$3,""))</f>
        <v/>
      </c>
      <c r="GM38" s="85">
        <f>IF(DY38="","",IFERROR(DY38*HSI!$B$36*HSI!$G$36/HSI!$B$3,""))</f>
        <v/>
      </c>
      <c r="GN38" s="85">
        <f>IF(DZ38="","",IFERROR(DZ38*HSI!$B$36*HSI!$G$36/HSI!$B$3,""))</f>
        <v/>
      </c>
      <c r="GO38" s="85">
        <f>IF(EA38="","",IFERROR(EA38*HSI!$B$36*HSI!$G$36/HSI!$B$3,""))</f>
        <v/>
      </c>
      <c r="GP38" s="85">
        <f>IF(EB38="","",IFERROR(EB38*HSI!$B$36*HSI!$G$36/HSI!$B$3,""))</f>
        <v/>
      </c>
      <c r="GQ38" s="85">
        <f>IF(EC38="","",IFERROR(EC38*HSI!$B$36*HSI!$G$36/HSI!$B$3,""))</f>
        <v/>
      </c>
    </row>
    <row r="39">
      <c r="B39" s="2">
        <f>IF(HSI!$C$37="","",HSI!$C$37)</f>
        <v/>
      </c>
      <c r="C39" s="41">
        <f>IF(N('Dvd Calendar'!$E$460)=0,"",IF(('Dvd Calendar'!$E$460&gt;=MIN(DATE(Summary!$C$12,1,1),Summary!$C$11))*('Dvd Calendar'!$E$460&lt;=MAX(DATE(Summary!$C$12,12,31),Summary!$C$15))*('Dvd Calendar'!$E$460&lt;=Summary!$C$11)=0,"",'Dvd Calendar'!$E$460*1000000000+ISNUMBER('Dvd Calendar'!$E$461)*100000000+('Dvd Calendar'!$E$465='Field Check'!$C$25)*10000000+(N('Dvd Calendar'!$E$459)&gt;0)*1000000+31*1000+1))</f>
        <v/>
      </c>
      <c r="D39" s="41">
        <f>IF(N('Dvd Calendar'!$F$460)=0,"",IF(('Dvd Calendar'!$F$460&gt;=MIN(DATE(Summary!$C$12,1,1),Summary!$C$11))*('Dvd Calendar'!$F$460&lt;=MAX(DATE(Summary!$C$12,12,31),Summary!$C$15))*('Dvd Calendar'!$F$460&lt;=Summary!$C$11)=0,"",'Dvd Calendar'!$F$460*1000000000+ISNUMBER('Dvd Calendar'!$F$461)*100000000+('Dvd Calendar'!$F$465='Field Check'!$C$25)*10000000+(N('Dvd Calendar'!$F$459)&gt;0)*1000000+31*1000+2))</f>
        <v/>
      </c>
      <c r="E39" s="41">
        <f>IF(N('Dvd Calendar'!$G$460)=0,"",IF(('Dvd Calendar'!$G$460&gt;=MIN(DATE(Summary!$C$12,1,1),Summary!$C$11))*('Dvd Calendar'!$G$460&lt;=MAX(DATE(Summary!$C$12,12,31),Summary!$C$15))*('Dvd Calendar'!$G$460&lt;=Summary!$C$11)=0,"",'Dvd Calendar'!$G$460*1000000000+ISNUMBER('Dvd Calendar'!$G$461)*100000000+('Dvd Calendar'!$G$465='Field Check'!$C$25)*10000000+(N('Dvd Calendar'!$G$459)&gt;0)*1000000+31*1000+3))</f>
        <v/>
      </c>
      <c r="F39" s="41">
        <f>IF(N('Dvd Calendar'!$H$460)=0,"",IF(('Dvd Calendar'!$H$460&gt;=MIN(DATE(Summary!$C$12,1,1),Summary!$C$11))*('Dvd Calendar'!$H$460&lt;=MAX(DATE(Summary!$C$12,12,31),Summary!$C$15))*('Dvd Calendar'!$H$460&lt;=Summary!$C$11)=0,"",'Dvd Calendar'!$H$460*1000000000+ISNUMBER('Dvd Calendar'!$H$461)*100000000+('Dvd Calendar'!$H$465='Field Check'!$C$25)*10000000+(N('Dvd Calendar'!$H$459)&gt;0)*1000000+31*1000+4))</f>
        <v/>
      </c>
      <c r="G39" s="41">
        <f>IF(N('Dvd Calendar'!$I$460)=0,"",IF(('Dvd Calendar'!$I$460&gt;=MIN(DATE(Summary!$C$12,1,1),Summary!$C$11))*('Dvd Calendar'!$I$460&lt;=MAX(DATE(Summary!$C$12,12,31),Summary!$C$15))*('Dvd Calendar'!$I$460&lt;=Summary!$C$11)=0,"",'Dvd Calendar'!$I$460*1000000000+ISNUMBER('Dvd Calendar'!$I$461)*100000000+('Dvd Calendar'!$I$465='Field Check'!$C$25)*10000000+(N('Dvd Calendar'!$I$459)&gt;0)*1000000+31*1000+5))</f>
        <v/>
      </c>
      <c r="H39" s="41">
        <f>IF(N('Dvd Calendar'!$J$460)=0,"",IF(('Dvd Calendar'!$J$460&gt;=MIN(DATE(Summary!$C$12,1,1),Summary!$C$11))*('Dvd Calendar'!$J$460&lt;=MAX(DATE(Summary!$C$12,12,31),Summary!$C$15))*('Dvd Calendar'!$J$460&lt;=Summary!$C$11)=0,"",'Dvd Calendar'!$J$460*1000000000+ISNUMBER('Dvd Calendar'!$J$461)*100000000+('Dvd Calendar'!$J$465='Field Check'!$C$25)*10000000+(N('Dvd Calendar'!$J$459)&gt;0)*1000000+31*1000+6))</f>
        <v/>
      </c>
      <c r="I39" s="41">
        <f>IF(N('Dvd Calendar'!$K$460)=0,"",IF(('Dvd Calendar'!$K$460&gt;=MIN(DATE(Summary!$C$12,1,1),Summary!$C$11))*('Dvd Calendar'!$K$460&lt;=MAX(DATE(Summary!$C$12,12,31),Summary!$C$15))*('Dvd Calendar'!$K$460&lt;=Summary!$C$11)=0,"",'Dvd Calendar'!$K$460*1000000000+ISNUMBER('Dvd Calendar'!$K$461)*100000000+('Dvd Calendar'!$K$465='Field Check'!$C$25)*10000000+(N('Dvd Calendar'!$K$459)&gt;0)*1000000+31*1000+7))</f>
        <v/>
      </c>
      <c r="J39" s="41">
        <f>IF(N('Dvd Calendar'!$L$460)=0,"",IF(('Dvd Calendar'!$L$460&gt;=MIN(DATE(Summary!$C$12,1,1),Summary!$C$11))*('Dvd Calendar'!$L$460&lt;=MAX(DATE(Summary!$C$12,12,31),Summary!$C$15))*('Dvd Calendar'!$L$460&lt;=Summary!$C$11)=0,"",'Dvd Calendar'!$L$460*1000000000+ISNUMBER('Dvd Calendar'!$L$461)*100000000+('Dvd Calendar'!$L$465='Field Check'!$C$25)*10000000+(N('Dvd Calendar'!$L$459)&gt;0)*1000000+31*1000+8))</f>
        <v/>
      </c>
      <c r="K39" s="41">
        <f>IF(N('Dvd Calendar'!$M$460)=0,"",IF(('Dvd Calendar'!$M$460&gt;=MIN(DATE(Summary!$C$12,1,1),Summary!$C$11))*('Dvd Calendar'!$M$460&lt;=MAX(DATE(Summary!$C$12,12,31),Summary!$C$15))*('Dvd Calendar'!$M$460&lt;=Summary!$C$11)=0,"",'Dvd Calendar'!$M$460*1000000000+ISNUMBER('Dvd Calendar'!$M$461)*100000000+('Dvd Calendar'!$M$465='Field Check'!$C$25)*10000000+(N('Dvd Calendar'!$M$459)&gt;0)*1000000+31*1000+9))</f>
        <v/>
      </c>
      <c r="L39" s="41">
        <f>IF(N('Dvd Calendar'!$N$460)=0,"",IF(('Dvd Calendar'!$N$460&gt;=MIN(DATE(Summary!$C$12,1,1),Summary!$C$11))*('Dvd Calendar'!$N$460&lt;=MAX(DATE(Summary!$C$12,12,31),Summary!$C$15))*('Dvd Calendar'!$N$460&lt;=Summary!$C$11)=0,"",'Dvd Calendar'!$N$460*1000000000+ISNUMBER('Dvd Calendar'!$N$461)*100000000+('Dvd Calendar'!$N$465='Field Check'!$C$25)*10000000+(N('Dvd Calendar'!$N$459)&gt;0)*1000000+31*1000+10))</f>
        <v/>
      </c>
      <c r="M39" s="41">
        <f>IF(N('Dvd Calendar'!$O$460)=0,"",IF(('Dvd Calendar'!$O$460&gt;=MIN(DATE(Summary!$C$12,1,1),Summary!$C$11))*('Dvd Calendar'!$O$460&lt;=MAX(DATE(Summary!$C$12,12,31),Summary!$C$15))*('Dvd Calendar'!$O$460&lt;=Summary!$C$11)=0,"",'Dvd Calendar'!$O$460*1000000000+ISNUMBER('Dvd Calendar'!$O$461)*100000000+('Dvd Calendar'!$O$465='Field Check'!$C$25)*10000000+(N('Dvd Calendar'!$O$459)&gt;0)*1000000+31*1000+11))</f>
        <v/>
      </c>
      <c r="N39" s="41">
        <f>IF(N('Dvd Calendar'!$P$460)=0,"",IF(('Dvd Calendar'!$P$460&gt;=MIN(DATE(Summary!$C$12,1,1),Summary!$C$11))*('Dvd Calendar'!$P$460&lt;=MAX(DATE(Summary!$C$12,12,31),Summary!$C$15))*('Dvd Calendar'!$P$460&lt;=Summary!$C$11)=0,"",'Dvd Calendar'!$P$460*1000000000+ISNUMBER('Dvd Calendar'!$P$461)*100000000+('Dvd Calendar'!$P$465='Field Check'!$C$25)*10000000+(N('Dvd Calendar'!$P$459)&gt;0)*1000000+31*1000+12))</f>
        <v/>
      </c>
      <c r="O39" s="41">
        <f>IF(N('Dvd Calendar'!$Q$460)=0,"",IF(('Dvd Calendar'!$Q$460&gt;=MIN(DATE(Summary!$C$12,1,1),Summary!$C$11))*('Dvd Calendar'!$Q$460&lt;=MAX(DATE(Summary!$C$12,12,31),Summary!$C$15))*('Dvd Calendar'!$Q$460&lt;=Summary!$C$11)=0,"",'Dvd Calendar'!$Q$460*1000000000+ISNUMBER('Dvd Calendar'!$Q$461)*100000000+('Dvd Calendar'!$Q$465='Field Check'!$C$25)*10000000+(N('Dvd Calendar'!$Q$459)&gt;0)*1000000+31*1000+13))</f>
        <v/>
      </c>
      <c r="P39" s="41">
        <f>IF(N('Dvd Calendar'!$R$460)=0,"",IF(('Dvd Calendar'!$R$460&gt;=MIN(DATE(Summary!$C$12,1,1),Summary!$C$11))*('Dvd Calendar'!$R$460&lt;=MAX(DATE(Summary!$C$12,12,31),Summary!$C$15))*('Dvd Calendar'!$R$460&lt;=Summary!$C$11)=0,"",'Dvd Calendar'!$R$460*1000000000+ISNUMBER('Dvd Calendar'!$R$461)*100000000+('Dvd Calendar'!$R$465='Field Check'!$C$25)*10000000+(N('Dvd Calendar'!$R$459)&gt;0)*1000000+31*1000+14))</f>
        <v/>
      </c>
      <c r="Q39" s="41">
        <f>IF(N('Dvd Calendar'!$S$460)=0,"",IF(('Dvd Calendar'!$S$460&gt;=MIN(DATE(Summary!$C$12,1,1),Summary!$C$11))*('Dvd Calendar'!$S$460&lt;=MAX(DATE(Summary!$C$12,12,31),Summary!$C$15))*('Dvd Calendar'!$S$460&lt;=Summary!$C$11)=0,"",'Dvd Calendar'!$S$460*1000000000+ISNUMBER('Dvd Calendar'!$S$461)*100000000+('Dvd Calendar'!$S$465='Field Check'!$C$25)*10000000+(N('Dvd Calendar'!$S$459)&gt;0)*1000000+31*1000+15))</f>
        <v/>
      </c>
      <c r="R39" s="41">
        <f>IF(N('Dvd Calendar'!$T$460)=0,"",IF(('Dvd Calendar'!$T$460&gt;=MIN(DATE(Summary!$C$12,1,1),Summary!$C$11))*('Dvd Calendar'!$T$460&lt;=MAX(DATE(Summary!$C$12,12,31),Summary!$C$15))*('Dvd Calendar'!$T$460&lt;=Summary!$C$11)=0,"",'Dvd Calendar'!$T$460*1000000000+ISNUMBER('Dvd Calendar'!$T$461)*100000000+('Dvd Calendar'!$T$465='Field Check'!$C$25)*10000000+(N('Dvd Calendar'!$T$459)&gt;0)*1000000+31*1000+16))</f>
        <v/>
      </c>
      <c r="S39" s="41">
        <f>IF(N('Dvd Calendar'!$U$460)=0,"",IF(('Dvd Calendar'!$U$460&gt;=MIN(DATE(Summary!$C$12,1,1),Summary!$C$11))*('Dvd Calendar'!$U$460&lt;=MAX(DATE(Summary!$C$12,12,31),Summary!$C$15))*('Dvd Calendar'!$U$460&lt;=Summary!$C$11)=0,"",'Dvd Calendar'!$U$460*1000000000+ISNUMBER('Dvd Calendar'!$U$461)*100000000+('Dvd Calendar'!$U$465='Field Check'!$C$25)*10000000+(N('Dvd Calendar'!$U$459)&gt;0)*1000000+31*1000+17))</f>
        <v/>
      </c>
      <c r="T39" s="41">
        <f>IF(N('Dvd Calendar'!$V$460)=0,"",IF(('Dvd Calendar'!$V$460&gt;=MIN(DATE(Summary!$C$12,1,1),Summary!$C$11))*('Dvd Calendar'!$V$460&lt;=MAX(DATE(Summary!$C$12,12,31),Summary!$C$15))*('Dvd Calendar'!$V$460&lt;=Summary!$C$11)=0,"",'Dvd Calendar'!$V$460*1000000000+ISNUMBER('Dvd Calendar'!$V$461)*100000000+('Dvd Calendar'!$V$465='Field Check'!$C$25)*10000000+(N('Dvd Calendar'!$V$459)&gt;0)*1000000+31*1000+18))</f>
        <v/>
      </c>
      <c r="U39" s="41">
        <f>IF(N('Dvd Calendar'!$W$460)=0,"",IF(('Dvd Calendar'!$W$460&gt;=MIN(DATE(Summary!$C$12,1,1),Summary!$C$11))*('Dvd Calendar'!$W$460&lt;=MAX(DATE(Summary!$C$12,12,31),Summary!$C$15))*('Dvd Calendar'!$W$460&lt;=Summary!$C$11)=0,"",'Dvd Calendar'!$W$460*1000000000+ISNUMBER('Dvd Calendar'!$W$461)*100000000+('Dvd Calendar'!$W$465='Field Check'!$C$25)*10000000+(N('Dvd Calendar'!$W$459)&gt;0)*1000000+31*1000+19))</f>
        <v/>
      </c>
      <c r="V39" s="41">
        <f>IF(N('Dvd Calendar'!$X$460)=0,"",IF(('Dvd Calendar'!$X$460&gt;=MIN(DATE(Summary!$C$12,1,1),Summary!$C$11))*('Dvd Calendar'!$X$460&lt;=MAX(DATE(Summary!$C$12,12,31),Summary!$C$15))*('Dvd Calendar'!$X$460&lt;=Summary!$C$11)=0,"",'Dvd Calendar'!$X$460*1000000000+ISNUMBER('Dvd Calendar'!$X$461)*100000000+('Dvd Calendar'!$X$465='Field Check'!$C$25)*10000000+(N('Dvd Calendar'!$X$459)&gt;0)*1000000+31*1000+20))</f>
        <v/>
      </c>
      <c r="W39" s="41">
        <f>IF(N('Dvd Calendar'!$Y$460)=0,"",IF(('Dvd Calendar'!$Y$460&gt;=MIN(DATE(Summary!$C$12,1,1),Summary!$C$11))*('Dvd Calendar'!$Y$460&lt;=MAX(DATE(Summary!$C$12,12,31),Summary!$C$15))*('Dvd Calendar'!$Y$460&lt;=Summary!$C$11)=0,"",'Dvd Calendar'!$Y$460*1000000000+ISNUMBER('Dvd Calendar'!$Y$461)*100000000+('Dvd Calendar'!$Y$465='Field Check'!$C$25)*10000000+(N('Dvd Calendar'!$Y$459)&gt;0)*1000000+31*1000+21))</f>
        <v/>
      </c>
      <c r="X39" s="41">
        <f>IF(N('Dvd Calendar'!$Z$460)=0,"",IF(('Dvd Calendar'!$Z$460&gt;=MIN(DATE(Summary!$C$12,1,1),Summary!$C$11))*('Dvd Calendar'!$Z$460&lt;=MAX(DATE(Summary!$C$12,12,31),Summary!$C$15))*('Dvd Calendar'!$Z$460&lt;=Summary!$C$11)=0,"",'Dvd Calendar'!$Z$460*1000000000+ISNUMBER('Dvd Calendar'!$Z$461)*100000000+('Dvd Calendar'!$Z$465='Field Check'!$C$25)*10000000+(N('Dvd Calendar'!$Z$459)&gt;0)*1000000+31*1000+22))</f>
        <v/>
      </c>
      <c r="Y39" s="41">
        <f>IF(N('Dvd Calendar'!$AA$460)=0,"",IF(('Dvd Calendar'!$AA$460&gt;=MIN(DATE(Summary!$C$12,1,1),Summary!$C$11))*('Dvd Calendar'!$AA$460&lt;=MAX(DATE(Summary!$C$12,12,31),Summary!$C$15))*('Dvd Calendar'!$AA$460&lt;=Summary!$C$11)=0,"",'Dvd Calendar'!$AA$460*1000000000+ISNUMBER('Dvd Calendar'!$AA$461)*100000000+('Dvd Calendar'!$AA$465='Field Check'!$C$25)*10000000+(N('Dvd Calendar'!$AA$459)&gt;0)*1000000+31*1000+23))</f>
        <v/>
      </c>
      <c r="Z39" s="41">
        <f>IF(N('Dvd Calendar'!$AB$460)=0,"",IF(('Dvd Calendar'!$AB$460&gt;=MIN(DATE(Summary!$C$12,1,1),Summary!$C$11))*('Dvd Calendar'!$AB$460&lt;=MAX(DATE(Summary!$C$12,12,31),Summary!$C$15))*('Dvd Calendar'!$AB$460&lt;=Summary!$C$11)=0,"",'Dvd Calendar'!$AB$460*1000000000+ISNUMBER('Dvd Calendar'!$AB$461)*100000000+('Dvd Calendar'!$AB$465='Field Check'!$C$25)*10000000+(N('Dvd Calendar'!$AB$459)&gt;0)*1000000+31*1000+24))</f>
        <v/>
      </c>
      <c r="AA39" s="41">
        <f>IF(N('Dvd Calendar'!$AC$460)=0,"",IF(('Dvd Calendar'!$AC$460&gt;=MIN(DATE(Summary!$C$12,1,1),Summary!$C$11))*('Dvd Calendar'!$AC$460&lt;=MAX(DATE(Summary!$C$12,12,31),Summary!$C$15))*('Dvd Calendar'!$AC$460&lt;=Summary!$C$11)=0,"",'Dvd Calendar'!$AC$460*1000000000+ISNUMBER('Dvd Calendar'!$AC$461)*100000000+('Dvd Calendar'!$AC$465='Field Check'!$C$25)*10000000+(N('Dvd Calendar'!$AC$459)&gt;0)*1000000+31*1000+25))</f>
        <v/>
      </c>
      <c r="AB39" s="41">
        <f>IF(N('Dvd Calendar'!$AD$460)=0,"",IF(('Dvd Calendar'!$AD$460&gt;=MIN(DATE(Summary!$C$12,1,1),Summary!$C$11))*('Dvd Calendar'!$AD$460&lt;=MAX(DATE(Summary!$C$12,12,31),Summary!$C$15))*('Dvd Calendar'!$AD$460&lt;=Summary!$C$11)=0,"",'Dvd Calendar'!$AD$460*1000000000+ISNUMBER('Dvd Calendar'!$AD$461)*100000000+('Dvd Calendar'!$AD$465='Field Check'!$C$25)*10000000+(N('Dvd Calendar'!$AD$459)&gt;0)*1000000+31*1000+26))</f>
        <v/>
      </c>
      <c r="AC39" s="41">
        <f>IF(N('Dvd Calendar'!$AE$460)=0,"",IF(('Dvd Calendar'!$AE$460&gt;=MIN(DATE(Summary!$C$12,1,1),Summary!$C$11))*('Dvd Calendar'!$AE$460&lt;=MAX(DATE(Summary!$C$12,12,31),Summary!$C$15))*('Dvd Calendar'!$AE$460&lt;=Summary!$C$11)=0,"",'Dvd Calendar'!$AE$460*1000000000+ISNUMBER('Dvd Calendar'!$AE$461)*100000000+('Dvd Calendar'!$AE$465='Field Check'!$C$25)*10000000+(N('Dvd Calendar'!$AE$459)&gt;0)*1000000+31*1000+27))</f>
        <v/>
      </c>
      <c r="AD39" s="41">
        <f>IF(N('Dvd Calendar'!$AF$460)=0,"",IF(('Dvd Calendar'!$AF$460&gt;=MIN(DATE(Summary!$C$12,1,1),Summary!$C$11))*('Dvd Calendar'!$AF$460&lt;=MAX(DATE(Summary!$C$12,12,31),Summary!$C$15))*('Dvd Calendar'!$AF$460&lt;=Summary!$C$11)=0,"",'Dvd Calendar'!$AF$460*1000000000+ISNUMBER('Dvd Calendar'!$AF$461)*100000000+('Dvd Calendar'!$AF$465='Field Check'!$C$25)*10000000+(N('Dvd Calendar'!$AF$459)&gt;0)*1000000+31*1000+28))</f>
        <v/>
      </c>
      <c r="AE39" s="41">
        <f>IF(N('Dvd Calendar'!$AG$460)=0,"",IF(('Dvd Calendar'!$AG$460&gt;=MIN(DATE(Summary!$C$12,1,1),Summary!$C$11))*('Dvd Calendar'!$AG$460&lt;=MAX(DATE(Summary!$C$12,12,31),Summary!$C$15))*('Dvd Calendar'!$AG$460&lt;=Summary!$C$11)=0,"",'Dvd Calendar'!$AG$460*1000000000+ISNUMBER('Dvd Calendar'!$AG$461)*100000000+('Dvd Calendar'!$AG$465='Field Check'!$C$25)*10000000+(N('Dvd Calendar'!$AG$459)&gt;0)*1000000+31*1000+29))</f>
        <v/>
      </c>
      <c r="AF39" s="41">
        <f>IF(N('Dvd Calendar'!$AH$460)=0,"",IF(('Dvd Calendar'!$AH$460&gt;=MIN(DATE(Summary!$C$12,1,1),Summary!$C$11))*('Dvd Calendar'!$AH$460&lt;=MAX(DATE(Summary!$C$12,12,31),Summary!$C$15))*('Dvd Calendar'!$AH$460&lt;=Summary!$C$11)=0,"",'Dvd Calendar'!$AH$460*1000000000+ISNUMBER('Dvd Calendar'!$AH$461)*100000000+('Dvd Calendar'!$AH$465='Field Check'!$C$25)*10000000+(N('Dvd Calendar'!$AH$459)&gt;0)*1000000+31*1000+30))</f>
        <v/>
      </c>
      <c r="AG39" s="41">
        <f>IF(N('Dvd Calendar'!$AI$460)=0,"",IF(('Dvd Calendar'!$AI$460&gt;=MIN(DATE(Summary!$C$12,1,1),Summary!$C$11))*('Dvd Calendar'!$AI$460&lt;=MAX(DATE(Summary!$C$12,12,31),Summary!$C$15))*('Dvd Calendar'!$AI$460&lt;=Summary!$C$11)=0,"",'Dvd Calendar'!$AI$460*1000000000+ISNUMBER('Dvd Calendar'!$AI$461)*100000000+('Dvd Calendar'!$AI$465='Field Check'!$C$25)*10000000+(N('Dvd Calendar'!$AI$459)&gt;0)*1000000+31*1000+31))</f>
        <v/>
      </c>
      <c r="AH39" s="41">
        <f>IF(N('Dvd Calendar'!$AJ$460)=0,"",IF(('Dvd Calendar'!$AJ$460&gt;=MIN(DATE(Summary!$C$12,1,1),Summary!$C$11))*('Dvd Calendar'!$AJ$460&lt;=MAX(DATE(Summary!$C$12,12,31),Summary!$C$15))*('Dvd Calendar'!$AJ$460&lt;=Summary!$C$11)=0,"",'Dvd Calendar'!$AJ$460*1000000000+ISNUMBER('Dvd Calendar'!$AJ$461)*100000000+('Dvd Calendar'!$AJ$465='Field Check'!$C$25)*10000000+(N('Dvd Calendar'!$AJ$459)&gt;0)*1000000+31*1000+32))</f>
        <v/>
      </c>
      <c r="AI39" s="41">
        <f>IF(N('Dvd Calendar'!$AK$460)=0,"",IF(('Dvd Calendar'!$AK$460&gt;=MIN(DATE(Summary!$C$12,1,1),Summary!$C$11))*('Dvd Calendar'!$AK$460&lt;=MAX(DATE(Summary!$C$12,12,31),Summary!$C$15))*('Dvd Calendar'!$AK$460&lt;=Summary!$C$11)=0,"",'Dvd Calendar'!$AK$460*1000000000+ISNUMBER('Dvd Calendar'!$AK$461)*100000000+('Dvd Calendar'!$AK$465='Field Check'!$C$25)*10000000+(N('Dvd Calendar'!$AK$459)&gt;0)*1000000+31*1000+33))</f>
        <v/>
      </c>
      <c r="AJ39" s="41">
        <f>IF(N('Dvd Calendar'!$AL$460)=0,"",IF(('Dvd Calendar'!$AL$460&gt;=MIN(DATE(Summary!$C$12,1,1),Summary!$C$11))*('Dvd Calendar'!$AL$460&lt;=MAX(DATE(Summary!$C$12,12,31),Summary!$C$15))*('Dvd Calendar'!$AL$460&lt;=Summary!$C$11)=0,"",'Dvd Calendar'!$AL$460*1000000000+ISNUMBER('Dvd Calendar'!$AL$461)*100000000+('Dvd Calendar'!$AL$465='Field Check'!$C$25)*10000000+(N('Dvd Calendar'!$AL$459)&gt;0)*1000000+31*1000+34))</f>
        <v/>
      </c>
      <c r="AK39" s="41">
        <f>IF(N('Dvd Calendar'!$AM$460)=0,"",IF(('Dvd Calendar'!$AM$460&gt;=MIN(DATE(Summary!$C$12,1,1),Summary!$C$11))*('Dvd Calendar'!$AM$460&lt;=MAX(DATE(Summary!$C$12,12,31),Summary!$C$15))*('Dvd Calendar'!$AM$460&lt;=Summary!$C$11)=0,"",'Dvd Calendar'!$AM$460*1000000000+ISNUMBER('Dvd Calendar'!$AM$461)*100000000+('Dvd Calendar'!$AM$465='Field Check'!$C$25)*10000000+(N('Dvd Calendar'!$AM$459)&gt;0)*1000000+31*1000+35))</f>
        <v/>
      </c>
      <c r="AL39" s="41">
        <f>IF(N('Dvd Calendar'!$AN$460)=0,"",IF(('Dvd Calendar'!$AN$460&gt;=MIN(DATE(Summary!$C$12,1,1),Summary!$C$11))*('Dvd Calendar'!$AN$460&lt;=MAX(DATE(Summary!$C$12,12,31),Summary!$C$15))*('Dvd Calendar'!$AN$460&lt;=Summary!$C$11)=0,"",'Dvd Calendar'!$AN$460*1000000000+ISNUMBER('Dvd Calendar'!$AN$461)*100000000+('Dvd Calendar'!$AN$465='Field Check'!$C$25)*10000000+(N('Dvd Calendar'!$AN$459)&gt;0)*1000000+31*1000+36))</f>
        <v/>
      </c>
      <c r="AM39" s="41">
        <f>IF(N('Dvd Calendar'!$AO$460)=0,"",IF(('Dvd Calendar'!$AO$460&gt;=MIN(DATE(Summary!$C$12,1,1),Summary!$C$11))*('Dvd Calendar'!$AO$460&lt;=MAX(DATE(Summary!$C$12,12,31),Summary!$C$15))*('Dvd Calendar'!$AO$460&lt;=Summary!$C$11)=0,"",'Dvd Calendar'!$AO$460*1000000000+ISNUMBER('Dvd Calendar'!$AO$461)*100000000+('Dvd Calendar'!$AO$465='Field Check'!$C$25)*10000000+(N('Dvd Calendar'!$AO$459)&gt;0)*1000000+31*1000+37))</f>
        <v/>
      </c>
      <c r="AN39" s="41">
        <f>IF(N('Dvd Calendar'!$AP$460)=0,"",IF(('Dvd Calendar'!$AP$460&gt;=MIN(DATE(Summary!$C$12,1,1),Summary!$C$11))*('Dvd Calendar'!$AP$460&lt;=MAX(DATE(Summary!$C$12,12,31),Summary!$C$15))*('Dvd Calendar'!$AP$460&lt;=Summary!$C$11)=0,"",'Dvd Calendar'!$AP$460*1000000000+ISNUMBER('Dvd Calendar'!$AP$461)*100000000+('Dvd Calendar'!$AP$465='Field Check'!$C$25)*10000000+(N('Dvd Calendar'!$AP$459)&gt;0)*1000000+31*1000+38))</f>
        <v/>
      </c>
      <c r="AO39" s="41">
        <f>IF(N('Dvd Calendar'!$AQ$460)=0,"",IF(('Dvd Calendar'!$AQ$460&gt;=MIN(DATE(Summary!$C$12,1,1),Summary!$C$11))*('Dvd Calendar'!$AQ$460&lt;=MAX(DATE(Summary!$C$12,12,31),Summary!$C$15))*('Dvd Calendar'!$AQ$460&lt;=Summary!$C$11)=0,"",'Dvd Calendar'!$AQ$460*1000000000+ISNUMBER('Dvd Calendar'!$AQ$461)*100000000+('Dvd Calendar'!$AQ$465='Field Check'!$C$25)*10000000+(N('Dvd Calendar'!$AQ$459)&gt;0)*1000000+31*1000+39))</f>
        <v/>
      </c>
      <c r="AP39" s="41">
        <f>IF(N('Dvd Calendar'!$AR$460)=0,"",IF(('Dvd Calendar'!$AR$460&gt;=MIN(DATE(Summary!$C$12,1,1),Summary!$C$11))*('Dvd Calendar'!$AR$460&lt;=MAX(DATE(Summary!$C$12,12,31),Summary!$C$15))*('Dvd Calendar'!$AR$460&lt;=Summary!$C$11)=0,"",'Dvd Calendar'!$AR$460*1000000000+ISNUMBER('Dvd Calendar'!$AR$461)*100000000+('Dvd Calendar'!$AR$465='Field Check'!$C$25)*10000000+(N('Dvd Calendar'!$AR$459)&gt;0)*1000000+31*1000+40))</f>
        <v/>
      </c>
      <c r="AQ39" s="41">
        <f>IF(N('Dvd Calendar'!$E$467)=0,"",IF(('Dvd Calendar'!$E$467&gt;=MIN(DATE(Summary!$C$12,1,1),Summary!$C$11))*('Dvd Calendar'!$E$467&lt;=MAX(DATE(Summary!$C$12,12,31),Summary!$C$15))*('Dvd Calendar'!$E$467&gt;Summary!$C$11)=0,"",'Dvd Calendar'!$E$467*1000000000+ISNUMBER('Dvd Calendar'!$E$468)*100000000+('Dvd Calendar'!$E$472='Field Check'!$C$25)*10000000+(N('Dvd Calendar'!$E$466)&gt;0)*1000000+31*1000+41))</f>
        <v/>
      </c>
      <c r="AR39" s="41">
        <f>IF(N('Dvd Calendar'!$F$467)=0,"",IF(('Dvd Calendar'!$F$467&gt;=MIN(DATE(Summary!$C$12,1,1),Summary!$C$11))*('Dvd Calendar'!$F$467&lt;=MAX(DATE(Summary!$C$12,12,31),Summary!$C$15))*('Dvd Calendar'!$F$467&gt;Summary!$C$11)=0,"",'Dvd Calendar'!$F$467*1000000000+ISNUMBER('Dvd Calendar'!$F$468)*100000000+('Dvd Calendar'!$F$472='Field Check'!$C$25)*10000000+(N('Dvd Calendar'!$F$466)&gt;0)*1000000+31*1000+42))</f>
        <v/>
      </c>
      <c r="AS39" s="41">
        <f>IF(N('Dvd Calendar'!$G$467)=0,"",IF(('Dvd Calendar'!$G$467&gt;=MIN(DATE(Summary!$C$12,1,1),Summary!$C$11))*('Dvd Calendar'!$G$467&lt;=MAX(DATE(Summary!$C$12,12,31),Summary!$C$15))*('Dvd Calendar'!$G$467&gt;Summary!$C$11)=0,"",'Dvd Calendar'!$G$467*1000000000+ISNUMBER('Dvd Calendar'!$G$468)*100000000+('Dvd Calendar'!$G$472='Field Check'!$C$25)*10000000+(N('Dvd Calendar'!$G$466)&gt;0)*1000000+31*1000+43))</f>
        <v/>
      </c>
      <c r="AT39" s="41">
        <f>IF(N('Dvd Calendar'!$H$467)=0,"",IF(('Dvd Calendar'!$H$467&gt;=MIN(DATE(Summary!$C$12,1,1),Summary!$C$11))*('Dvd Calendar'!$H$467&lt;=MAX(DATE(Summary!$C$12,12,31),Summary!$C$15))*('Dvd Calendar'!$H$467&gt;Summary!$C$11)=0,"",'Dvd Calendar'!$H$467*1000000000+ISNUMBER('Dvd Calendar'!$H$468)*100000000+('Dvd Calendar'!$H$472='Field Check'!$C$25)*10000000+(N('Dvd Calendar'!$H$466)&gt;0)*1000000+31*1000+44))</f>
        <v/>
      </c>
      <c r="AU39" s="41">
        <f>IF(N('Dvd Calendar'!$I$467)=0,"",IF(('Dvd Calendar'!$I$467&gt;=MIN(DATE(Summary!$C$12,1,1),Summary!$C$11))*('Dvd Calendar'!$I$467&lt;=MAX(DATE(Summary!$C$12,12,31),Summary!$C$15))*('Dvd Calendar'!$I$467&gt;Summary!$C$11)=0,"",'Dvd Calendar'!$I$467*1000000000+ISNUMBER('Dvd Calendar'!$I$468)*100000000+('Dvd Calendar'!$I$472='Field Check'!$C$25)*10000000+(N('Dvd Calendar'!$I$466)&gt;0)*1000000+31*1000+45))</f>
        <v/>
      </c>
      <c r="AV39" s="41">
        <f>IF(N('Dvd Calendar'!$J$467)=0,"",IF(('Dvd Calendar'!$J$467&gt;=MIN(DATE(Summary!$C$12,1,1),Summary!$C$11))*('Dvd Calendar'!$J$467&lt;=MAX(DATE(Summary!$C$12,12,31),Summary!$C$15))*('Dvd Calendar'!$J$467&gt;Summary!$C$11)=0,"",'Dvd Calendar'!$J$467*1000000000+ISNUMBER('Dvd Calendar'!$J$468)*100000000+('Dvd Calendar'!$J$472='Field Check'!$C$25)*10000000+(N('Dvd Calendar'!$J$466)&gt;0)*1000000+31*1000+46))</f>
        <v/>
      </c>
      <c r="AW39" s="41">
        <f>IF(N('Dvd Calendar'!$K$467)=0,"",IF(('Dvd Calendar'!$K$467&gt;=MIN(DATE(Summary!$C$12,1,1),Summary!$C$11))*('Dvd Calendar'!$K$467&lt;=MAX(DATE(Summary!$C$12,12,31),Summary!$C$15))*('Dvd Calendar'!$K$467&gt;Summary!$C$11)=0,"",'Dvd Calendar'!$K$467*1000000000+ISNUMBER('Dvd Calendar'!$K$468)*100000000+('Dvd Calendar'!$K$472='Field Check'!$C$25)*10000000+(N('Dvd Calendar'!$K$466)&gt;0)*1000000+31*1000+47))</f>
        <v/>
      </c>
      <c r="AX39" s="41">
        <f>IF(N('Dvd Calendar'!$L$467)=0,"",IF(('Dvd Calendar'!$L$467&gt;=MIN(DATE(Summary!$C$12,1,1),Summary!$C$11))*('Dvd Calendar'!$L$467&lt;=MAX(DATE(Summary!$C$12,12,31),Summary!$C$15))*('Dvd Calendar'!$L$467&gt;Summary!$C$11)=0,"",'Dvd Calendar'!$L$467*1000000000+ISNUMBER('Dvd Calendar'!$L$468)*100000000+('Dvd Calendar'!$L$472='Field Check'!$C$25)*10000000+(N('Dvd Calendar'!$L$466)&gt;0)*1000000+31*1000+48))</f>
        <v/>
      </c>
      <c r="AY39" s="41">
        <f>IF(N('Dvd Calendar'!$M$467)=0,"",IF(('Dvd Calendar'!$M$467&gt;=MIN(DATE(Summary!$C$12,1,1),Summary!$C$11))*('Dvd Calendar'!$M$467&lt;=MAX(DATE(Summary!$C$12,12,31),Summary!$C$15))*('Dvd Calendar'!$M$467&gt;Summary!$C$11)=0,"",'Dvd Calendar'!$M$467*1000000000+ISNUMBER('Dvd Calendar'!$M$468)*100000000+('Dvd Calendar'!$M$472='Field Check'!$C$25)*10000000+(N('Dvd Calendar'!$M$466)&gt;0)*1000000+31*1000+49))</f>
        <v/>
      </c>
      <c r="AZ39" s="41">
        <f>IF(N('Dvd Calendar'!$N$467)=0,"",IF(('Dvd Calendar'!$N$467&gt;=MIN(DATE(Summary!$C$12,1,1),Summary!$C$11))*('Dvd Calendar'!$N$467&lt;=MAX(DATE(Summary!$C$12,12,31),Summary!$C$15))*('Dvd Calendar'!$N$467&gt;Summary!$C$11)=0,"",'Dvd Calendar'!$N$467*1000000000+ISNUMBER('Dvd Calendar'!$N$468)*100000000+('Dvd Calendar'!$N$472='Field Check'!$C$25)*10000000+(N('Dvd Calendar'!$N$466)&gt;0)*1000000+31*1000+50))</f>
        <v/>
      </c>
      <c r="BA39" s="41">
        <f>IF(N('Dvd Calendar'!$O$467)=0,"",IF(('Dvd Calendar'!$O$467&gt;=MIN(DATE(Summary!$C$12,1,1),Summary!$C$11))*('Dvd Calendar'!$O$467&lt;=MAX(DATE(Summary!$C$12,12,31),Summary!$C$15))*('Dvd Calendar'!$O$467&gt;Summary!$C$11)=0,"",'Dvd Calendar'!$O$467*1000000000+ISNUMBER('Dvd Calendar'!$O$468)*100000000+('Dvd Calendar'!$O$472='Field Check'!$C$25)*10000000+(N('Dvd Calendar'!$O$466)&gt;0)*1000000+31*1000+51))</f>
        <v/>
      </c>
      <c r="BB39" s="41">
        <f>IF(N('Dvd Calendar'!$P$467)=0,"",IF(('Dvd Calendar'!$P$467&gt;=MIN(DATE(Summary!$C$12,1,1),Summary!$C$11))*('Dvd Calendar'!$P$467&lt;=MAX(DATE(Summary!$C$12,12,31),Summary!$C$15))*('Dvd Calendar'!$P$467&gt;Summary!$C$11)=0,"",'Dvd Calendar'!$P$467*1000000000+ISNUMBER('Dvd Calendar'!$P$468)*100000000+('Dvd Calendar'!$P$472='Field Check'!$C$25)*10000000+(N('Dvd Calendar'!$P$466)&gt;0)*1000000+31*1000+52))</f>
        <v/>
      </c>
      <c r="BC39" s="41">
        <f>IF(N('Dvd Calendar'!$Q$467)=0,"",IF(('Dvd Calendar'!$Q$467&gt;=MIN(DATE(Summary!$C$12,1,1),Summary!$C$11))*('Dvd Calendar'!$Q$467&lt;=MAX(DATE(Summary!$C$12,12,31),Summary!$C$15))*('Dvd Calendar'!$Q$467&gt;Summary!$C$11)=0,"",'Dvd Calendar'!$Q$467*1000000000+ISNUMBER('Dvd Calendar'!$Q$468)*100000000+('Dvd Calendar'!$Q$472='Field Check'!$C$25)*10000000+(N('Dvd Calendar'!$Q$466)&gt;0)*1000000+31*1000+53))</f>
        <v/>
      </c>
      <c r="BD39" s="41">
        <f>IF(N('Dvd Calendar'!$R$467)=0,"",IF(('Dvd Calendar'!$R$467&gt;=MIN(DATE(Summary!$C$12,1,1),Summary!$C$11))*('Dvd Calendar'!$R$467&lt;=MAX(DATE(Summary!$C$12,12,31),Summary!$C$15))*('Dvd Calendar'!$R$467&gt;Summary!$C$11)=0,"",'Dvd Calendar'!$R$467*1000000000+ISNUMBER('Dvd Calendar'!$R$468)*100000000+('Dvd Calendar'!$R$472='Field Check'!$C$25)*10000000+(N('Dvd Calendar'!$R$466)&gt;0)*1000000+31*1000+54))</f>
        <v/>
      </c>
      <c r="BE39" s="41">
        <f>IF(N('Dvd Calendar'!$S$467)=0,"",IF(('Dvd Calendar'!$S$467&gt;=MIN(DATE(Summary!$C$12,1,1),Summary!$C$11))*('Dvd Calendar'!$S$467&lt;=MAX(DATE(Summary!$C$12,12,31),Summary!$C$15))*('Dvd Calendar'!$S$467&gt;Summary!$C$11)=0,"",'Dvd Calendar'!$S$467*1000000000+ISNUMBER('Dvd Calendar'!$S$468)*100000000+('Dvd Calendar'!$S$472='Field Check'!$C$25)*10000000+(N('Dvd Calendar'!$S$466)&gt;0)*1000000+31*1000+55))</f>
        <v/>
      </c>
      <c r="BF39" s="41">
        <f>IF(N('Dvd Calendar'!$T$467)=0,"",IF(('Dvd Calendar'!$T$467&gt;=MIN(DATE(Summary!$C$12,1,1),Summary!$C$11))*('Dvd Calendar'!$T$467&lt;=MAX(DATE(Summary!$C$12,12,31),Summary!$C$15))*('Dvd Calendar'!$T$467&gt;Summary!$C$11)=0,"",'Dvd Calendar'!$T$467*1000000000+ISNUMBER('Dvd Calendar'!$T$468)*100000000+('Dvd Calendar'!$T$472='Field Check'!$C$25)*10000000+(N('Dvd Calendar'!$T$466)&gt;0)*1000000+31*1000+56))</f>
        <v/>
      </c>
      <c r="BG39" s="41">
        <f>IF(N('Dvd Calendar'!$U$467)=0,"",IF(('Dvd Calendar'!$U$467&gt;=MIN(DATE(Summary!$C$12,1,1),Summary!$C$11))*('Dvd Calendar'!$U$467&lt;=MAX(DATE(Summary!$C$12,12,31),Summary!$C$15))*('Dvd Calendar'!$U$467&gt;Summary!$C$11)=0,"",'Dvd Calendar'!$U$467*1000000000+ISNUMBER('Dvd Calendar'!$U$468)*100000000+('Dvd Calendar'!$U$472='Field Check'!$C$25)*10000000+(N('Dvd Calendar'!$U$466)&gt;0)*1000000+31*1000+57))</f>
        <v/>
      </c>
      <c r="BH39" s="41">
        <f>IF(N('Dvd Calendar'!$V$467)=0,"",IF(('Dvd Calendar'!$V$467&gt;=MIN(DATE(Summary!$C$12,1,1),Summary!$C$11))*('Dvd Calendar'!$V$467&lt;=MAX(DATE(Summary!$C$12,12,31),Summary!$C$15))*('Dvd Calendar'!$V$467&gt;Summary!$C$11)=0,"",'Dvd Calendar'!$V$467*1000000000+ISNUMBER('Dvd Calendar'!$V$468)*100000000+('Dvd Calendar'!$V$472='Field Check'!$C$25)*10000000+(N('Dvd Calendar'!$V$466)&gt;0)*1000000+31*1000+58))</f>
        <v/>
      </c>
      <c r="BI39" s="41">
        <f>IF(N('Dvd Calendar'!$W$467)=0,"",IF(('Dvd Calendar'!$W$467&gt;=MIN(DATE(Summary!$C$12,1,1),Summary!$C$11))*('Dvd Calendar'!$W$467&lt;=MAX(DATE(Summary!$C$12,12,31),Summary!$C$15))*('Dvd Calendar'!$W$467&gt;Summary!$C$11)=0,"",'Dvd Calendar'!$W$467*1000000000+ISNUMBER('Dvd Calendar'!$W$468)*100000000+('Dvd Calendar'!$W$472='Field Check'!$C$25)*10000000+(N('Dvd Calendar'!$W$466)&gt;0)*1000000+31*1000+59))</f>
        <v/>
      </c>
      <c r="BJ39" s="41">
        <f>IF(N('Dvd Calendar'!$X$467)=0,"",IF(('Dvd Calendar'!$X$467&gt;=MIN(DATE(Summary!$C$12,1,1),Summary!$C$11))*('Dvd Calendar'!$X$467&lt;=MAX(DATE(Summary!$C$12,12,31),Summary!$C$15))*('Dvd Calendar'!$X$467&gt;Summary!$C$11)=0,"",'Dvd Calendar'!$X$467*1000000000+ISNUMBER('Dvd Calendar'!$X$468)*100000000+('Dvd Calendar'!$X$472='Field Check'!$C$25)*10000000+(N('Dvd Calendar'!$X$466)&gt;0)*1000000+31*1000+60))</f>
        <v/>
      </c>
      <c r="BK39" s="41">
        <f>IF(N('Dvd Calendar'!$Y$467)=0,"",IF(('Dvd Calendar'!$Y$467&gt;=MIN(DATE(Summary!$C$12,1,1),Summary!$C$11))*('Dvd Calendar'!$Y$467&lt;=MAX(DATE(Summary!$C$12,12,31),Summary!$C$15))*('Dvd Calendar'!$Y$467&gt;Summary!$C$11)=0,"",'Dvd Calendar'!$Y$467*1000000000+ISNUMBER('Dvd Calendar'!$Y$468)*100000000+('Dvd Calendar'!$Y$472='Field Check'!$C$25)*10000000+(N('Dvd Calendar'!$Y$466)&gt;0)*1000000+31*1000+61))</f>
        <v/>
      </c>
      <c r="BL39" s="41">
        <f>IF(N('Dvd Calendar'!$Z$467)=0,"",IF(('Dvd Calendar'!$Z$467&gt;=MIN(DATE(Summary!$C$12,1,1),Summary!$C$11))*('Dvd Calendar'!$Z$467&lt;=MAX(DATE(Summary!$C$12,12,31),Summary!$C$15))*('Dvd Calendar'!$Z$467&gt;Summary!$C$11)=0,"",'Dvd Calendar'!$Z$467*1000000000+ISNUMBER('Dvd Calendar'!$Z$468)*100000000+('Dvd Calendar'!$Z$472='Field Check'!$C$25)*10000000+(N('Dvd Calendar'!$Z$466)&gt;0)*1000000+31*1000+62))</f>
        <v/>
      </c>
      <c r="BM39" s="41">
        <f>IF(N('Dvd Calendar'!$AA$467)=0,"",IF(('Dvd Calendar'!$AA$467&gt;=MIN(DATE(Summary!$C$12,1,1),Summary!$C$11))*('Dvd Calendar'!$AA$467&lt;=MAX(DATE(Summary!$C$12,12,31),Summary!$C$15))*('Dvd Calendar'!$AA$467&gt;Summary!$C$11)=0,"",'Dvd Calendar'!$AA$467*1000000000+ISNUMBER('Dvd Calendar'!$AA$468)*100000000+('Dvd Calendar'!$AA$472='Field Check'!$C$25)*10000000+(N('Dvd Calendar'!$AA$466)&gt;0)*1000000+31*1000+63))</f>
        <v/>
      </c>
      <c r="BN39" s="41">
        <f>IF(N('Dvd Calendar'!$AB$467)=0,"",IF(('Dvd Calendar'!$AB$467&gt;=MIN(DATE(Summary!$C$12,1,1),Summary!$C$11))*('Dvd Calendar'!$AB$467&lt;=MAX(DATE(Summary!$C$12,12,31),Summary!$C$15))*('Dvd Calendar'!$AB$467&gt;Summary!$C$11)=0,"",'Dvd Calendar'!$AB$467*1000000000+ISNUMBER('Dvd Calendar'!$AB$468)*100000000+('Dvd Calendar'!$AB$472='Field Check'!$C$25)*10000000+(N('Dvd Calendar'!$AB$466)&gt;0)*1000000+31*1000+64))</f>
        <v/>
      </c>
      <c r="BO39" s="41">
        <f>IF(N('Dvd Calendar'!$AC$467)=0,"",IF(('Dvd Calendar'!$AC$467&gt;=MIN(DATE(Summary!$C$12,1,1),Summary!$C$11))*('Dvd Calendar'!$AC$467&lt;=MAX(DATE(Summary!$C$12,12,31),Summary!$C$15))*('Dvd Calendar'!$AC$467&gt;Summary!$C$11)=0,"",'Dvd Calendar'!$AC$467*1000000000+ISNUMBER('Dvd Calendar'!$AC$468)*100000000+('Dvd Calendar'!$AC$472='Field Check'!$C$25)*10000000+(N('Dvd Calendar'!$AC$466)&gt;0)*1000000+31*1000+65))</f>
        <v/>
      </c>
      <c r="BQ39" s="85">
        <f>IF(C39="","",IF(ISNUMBER('Dvd Calendar'!$E$461)=FALSE,"",IF((Summary!$C$13="N")*('Dvd Calendar'!$E$465='Field Check'!$C$25)&gt;0,"",'Dvd Calendar'!$E$461)))</f>
        <v/>
      </c>
      <c r="BR39" s="85">
        <f>IF(D39="","",IF(ISNUMBER('Dvd Calendar'!$F$461)=FALSE,"",IF((Summary!$C$13="N")*('Dvd Calendar'!$F$465='Field Check'!$C$25)&gt;0,"",'Dvd Calendar'!$F$461)))</f>
        <v/>
      </c>
      <c r="BS39" s="85">
        <f>IF(E39="","",IF(ISNUMBER('Dvd Calendar'!$G$461)=FALSE,"",IF((Summary!$C$13="N")*('Dvd Calendar'!$G$465='Field Check'!$C$25)&gt;0,"",'Dvd Calendar'!$G$461)))</f>
        <v/>
      </c>
      <c r="BT39" s="85">
        <f>IF(F39="","",IF(ISNUMBER('Dvd Calendar'!$H$461)=FALSE,"",IF((Summary!$C$13="N")*('Dvd Calendar'!$H$465='Field Check'!$C$25)&gt;0,"",'Dvd Calendar'!$H$461)))</f>
        <v/>
      </c>
      <c r="BU39" s="85">
        <f>IF(G39="","",IF(ISNUMBER('Dvd Calendar'!$I$461)=FALSE,"",IF((Summary!$C$13="N")*('Dvd Calendar'!$I$465='Field Check'!$C$25)&gt;0,"",'Dvd Calendar'!$I$461)))</f>
        <v/>
      </c>
      <c r="BV39" s="85">
        <f>IF(H39="","",IF(ISNUMBER('Dvd Calendar'!$J$461)=FALSE,"",IF((Summary!$C$13="N")*('Dvd Calendar'!$J$465='Field Check'!$C$25)&gt;0,"",'Dvd Calendar'!$J$461)))</f>
        <v/>
      </c>
      <c r="BW39" s="85">
        <f>IF(I39="","",IF(ISNUMBER('Dvd Calendar'!$K$461)=FALSE,"",IF((Summary!$C$13="N")*('Dvd Calendar'!$K$465='Field Check'!$C$25)&gt;0,"",'Dvd Calendar'!$K$461)))</f>
        <v/>
      </c>
      <c r="BX39" s="85">
        <f>IF(J39="","",IF(ISNUMBER('Dvd Calendar'!$L$461)=FALSE,"",IF((Summary!$C$13="N")*('Dvd Calendar'!$L$465='Field Check'!$C$25)&gt;0,"",'Dvd Calendar'!$L$461)))</f>
        <v/>
      </c>
      <c r="BY39" s="85">
        <f>IF(K39="","",IF(ISNUMBER('Dvd Calendar'!$M$461)=FALSE,"",IF((Summary!$C$13="N")*('Dvd Calendar'!$M$465='Field Check'!$C$25)&gt;0,"",'Dvd Calendar'!$M$461)))</f>
        <v/>
      </c>
      <c r="BZ39" s="85">
        <f>IF(L39="","",IF(ISNUMBER('Dvd Calendar'!$N$461)=FALSE,"",IF((Summary!$C$13="N")*('Dvd Calendar'!$N$465='Field Check'!$C$25)&gt;0,"",'Dvd Calendar'!$N$461)))</f>
        <v/>
      </c>
      <c r="CA39" s="85">
        <f>IF(M39="","",IF(ISNUMBER('Dvd Calendar'!$O$461)=FALSE,"",IF((Summary!$C$13="N")*('Dvd Calendar'!$O$465='Field Check'!$C$25)&gt;0,"",'Dvd Calendar'!$O$461)))</f>
        <v/>
      </c>
      <c r="CB39" s="85">
        <f>IF(N39="","",IF(ISNUMBER('Dvd Calendar'!$P$461)=FALSE,"",IF((Summary!$C$13="N")*('Dvd Calendar'!$P$465='Field Check'!$C$25)&gt;0,"",'Dvd Calendar'!$P$461)))</f>
        <v/>
      </c>
      <c r="CC39" s="85">
        <f>IF(O39="","",IF(ISNUMBER('Dvd Calendar'!$Q$461)=FALSE,"",IF((Summary!$C$13="N")*('Dvd Calendar'!$Q$465='Field Check'!$C$25)&gt;0,"",'Dvd Calendar'!$Q$461)))</f>
        <v/>
      </c>
      <c r="CD39" s="85">
        <f>IF(P39="","",IF(ISNUMBER('Dvd Calendar'!$R$461)=FALSE,"",IF((Summary!$C$13="N")*('Dvd Calendar'!$R$465='Field Check'!$C$25)&gt;0,"",'Dvd Calendar'!$R$461)))</f>
        <v/>
      </c>
      <c r="CE39" s="85">
        <f>IF(Q39="","",IF(ISNUMBER('Dvd Calendar'!$S$461)=FALSE,"",IF((Summary!$C$13="N")*('Dvd Calendar'!$S$465='Field Check'!$C$25)&gt;0,"",'Dvd Calendar'!$S$461)))</f>
        <v/>
      </c>
      <c r="CF39" s="85">
        <f>IF(R39="","",IF(ISNUMBER('Dvd Calendar'!$T$461)=FALSE,"",IF((Summary!$C$13="N")*('Dvd Calendar'!$T$465='Field Check'!$C$25)&gt;0,"",'Dvd Calendar'!$T$461)))</f>
        <v/>
      </c>
      <c r="CG39" s="85">
        <f>IF(S39="","",IF(ISNUMBER('Dvd Calendar'!$U$461)=FALSE,"",IF((Summary!$C$13="N")*('Dvd Calendar'!$U$465='Field Check'!$C$25)&gt;0,"",'Dvd Calendar'!$U$461)))</f>
        <v/>
      </c>
      <c r="CH39" s="85">
        <f>IF(T39="","",IF(ISNUMBER('Dvd Calendar'!$V$461)=FALSE,"",IF((Summary!$C$13="N")*('Dvd Calendar'!$V$465='Field Check'!$C$25)&gt;0,"",'Dvd Calendar'!$V$461)))</f>
        <v/>
      </c>
      <c r="CI39" s="85">
        <f>IF(U39="","",IF(ISNUMBER('Dvd Calendar'!$W$461)=FALSE,"",IF((Summary!$C$13="N")*('Dvd Calendar'!$W$465='Field Check'!$C$25)&gt;0,"",'Dvd Calendar'!$W$461)))</f>
        <v/>
      </c>
      <c r="CJ39" s="85">
        <f>IF(V39="","",IF(ISNUMBER('Dvd Calendar'!$X$461)=FALSE,"",IF((Summary!$C$13="N")*('Dvd Calendar'!$X$465='Field Check'!$C$25)&gt;0,"",'Dvd Calendar'!$X$461)))</f>
        <v/>
      </c>
      <c r="CK39" s="85">
        <f>IF(W39="","",IF(ISNUMBER('Dvd Calendar'!$Y$461)=FALSE,"",IF((Summary!$C$13="N")*('Dvd Calendar'!$Y$465='Field Check'!$C$25)&gt;0,"",'Dvd Calendar'!$Y$461)))</f>
        <v/>
      </c>
      <c r="CL39" s="85">
        <f>IF(X39="","",IF(ISNUMBER('Dvd Calendar'!$Z$461)=FALSE,"",IF((Summary!$C$13="N")*('Dvd Calendar'!$Z$465='Field Check'!$C$25)&gt;0,"",'Dvd Calendar'!$Z$461)))</f>
        <v/>
      </c>
      <c r="CM39" s="85">
        <f>IF(Y39="","",IF(ISNUMBER('Dvd Calendar'!$AA$461)=FALSE,"",IF((Summary!$C$13="N")*('Dvd Calendar'!$AA$465='Field Check'!$C$25)&gt;0,"",'Dvd Calendar'!$AA$461)))</f>
        <v/>
      </c>
      <c r="CN39" s="85">
        <f>IF(Z39="","",IF(ISNUMBER('Dvd Calendar'!$AB$461)=FALSE,"",IF((Summary!$C$13="N")*('Dvd Calendar'!$AB$465='Field Check'!$C$25)&gt;0,"",'Dvd Calendar'!$AB$461)))</f>
        <v/>
      </c>
      <c r="CO39" s="85">
        <f>IF(AA39="","",IF(ISNUMBER('Dvd Calendar'!$AC$461)=FALSE,"",IF((Summary!$C$13="N")*('Dvd Calendar'!$AC$465='Field Check'!$C$25)&gt;0,"",'Dvd Calendar'!$AC$461)))</f>
        <v/>
      </c>
      <c r="CP39" s="85">
        <f>IF(AB39="","",IF(ISNUMBER('Dvd Calendar'!$AD$461)=FALSE,"",IF((Summary!$C$13="N")*('Dvd Calendar'!$AD$465='Field Check'!$C$25)&gt;0,"",'Dvd Calendar'!$AD$461)))</f>
        <v/>
      </c>
      <c r="CQ39" s="85">
        <f>IF(AC39="","",IF(ISNUMBER('Dvd Calendar'!$AE$461)=FALSE,"",IF((Summary!$C$13="N")*('Dvd Calendar'!$AE$465='Field Check'!$C$25)&gt;0,"",'Dvd Calendar'!$AE$461)))</f>
        <v/>
      </c>
      <c r="CR39" s="85">
        <f>IF(AD39="","",IF(ISNUMBER('Dvd Calendar'!$AF$461)=FALSE,"",IF((Summary!$C$13="N")*('Dvd Calendar'!$AF$465='Field Check'!$C$25)&gt;0,"",'Dvd Calendar'!$AF$461)))</f>
        <v/>
      </c>
      <c r="CS39" s="85">
        <f>IF(AE39="","",IF(ISNUMBER('Dvd Calendar'!$AG$461)=FALSE,"",IF((Summary!$C$13="N")*('Dvd Calendar'!$AG$465='Field Check'!$C$25)&gt;0,"",'Dvd Calendar'!$AG$461)))</f>
        <v/>
      </c>
      <c r="CT39" s="85">
        <f>IF(AF39="","",IF(ISNUMBER('Dvd Calendar'!$AH$461)=FALSE,"",IF((Summary!$C$13="N")*('Dvd Calendar'!$AH$465='Field Check'!$C$25)&gt;0,"",'Dvd Calendar'!$AH$461)))</f>
        <v/>
      </c>
      <c r="CU39" s="85">
        <f>IF(AG39="","",IF(ISNUMBER('Dvd Calendar'!$AI$461)=FALSE,"",IF((Summary!$C$13="N")*('Dvd Calendar'!$AI$465='Field Check'!$C$25)&gt;0,"",'Dvd Calendar'!$AI$461)))</f>
        <v/>
      </c>
      <c r="CV39" s="85">
        <f>IF(AH39="","",IF(ISNUMBER('Dvd Calendar'!$AJ$461)=FALSE,"",IF((Summary!$C$13="N")*('Dvd Calendar'!$AJ$465='Field Check'!$C$25)&gt;0,"",'Dvd Calendar'!$AJ$461)))</f>
        <v/>
      </c>
      <c r="CW39" s="85">
        <f>IF(AI39="","",IF(ISNUMBER('Dvd Calendar'!$AK$461)=FALSE,"",IF((Summary!$C$13="N")*('Dvd Calendar'!$AK$465='Field Check'!$C$25)&gt;0,"",'Dvd Calendar'!$AK$461)))</f>
        <v/>
      </c>
      <c r="CX39" s="85">
        <f>IF(AJ39="","",IF(ISNUMBER('Dvd Calendar'!$AL$461)=FALSE,"",IF((Summary!$C$13="N")*('Dvd Calendar'!$AL$465='Field Check'!$C$25)&gt;0,"",'Dvd Calendar'!$AL$461)))</f>
        <v/>
      </c>
      <c r="CY39" s="85">
        <f>IF(AK39="","",IF(ISNUMBER('Dvd Calendar'!$AM$461)=FALSE,"",IF((Summary!$C$13="N")*('Dvd Calendar'!$AM$465='Field Check'!$C$25)&gt;0,"",'Dvd Calendar'!$AM$461)))</f>
        <v/>
      </c>
      <c r="CZ39" s="85">
        <f>IF(AL39="","",IF(ISNUMBER('Dvd Calendar'!$AN$461)=FALSE,"",IF((Summary!$C$13="N")*('Dvd Calendar'!$AN$465='Field Check'!$C$25)&gt;0,"",'Dvd Calendar'!$AN$461)))</f>
        <v/>
      </c>
      <c r="DA39" s="85">
        <f>IF(AM39="","",IF(ISNUMBER('Dvd Calendar'!$AO$461)=FALSE,"",IF((Summary!$C$13="N")*('Dvd Calendar'!$AO$465='Field Check'!$C$25)&gt;0,"",'Dvd Calendar'!$AO$461)))</f>
        <v/>
      </c>
      <c r="DB39" s="85">
        <f>IF(AN39="","",IF(ISNUMBER('Dvd Calendar'!$AP$461)=FALSE,"",IF((Summary!$C$13="N")*('Dvd Calendar'!$AP$465='Field Check'!$C$25)&gt;0,"",'Dvd Calendar'!$AP$461)))</f>
        <v/>
      </c>
      <c r="DC39" s="85">
        <f>IF(AO39="","",IF(ISNUMBER('Dvd Calendar'!$AQ$461)=FALSE,"",IF((Summary!$C$13="N")*('Dvd Calendar'!$AQ$465='Field Check'!$C$25)&gt;0,"",'Dvd Calendar'!$AQ$461)))</f>
        <v/>
      </c>
      <c r="DD39" s="85">
        <f>IF(AP39="","",IF(ISNUMBER('Dvd Calendar'!$AR$461)=FALSE,"",IF((Summary!$C$13="N")*('Dvd Calendar'!$AR$465='Field Check'!$C$25)&gt;0,"",'Dvd Calendar'!$AR$461)))</f>
        <v/>
      </c>
      <c r="DE39" s="85">
        <f>IF(AQ39="","",IF(ISNUMBER('Dvd Calendar'!$E$468)=FALSE,"",IF((Summary!$C$13="N")*('Dvd Calendar'!$E$472='Field Check'!$C$25)&gt;0,"",'Dvd Calendar'!$E$468)))</f>
        <v/>
      </c>
      <c r="DF39" s="85">
        <f>IF(AR39="","",IF(ISNUMBER('Dvd Calendar'!$F$468)=FALSE,"",IF((Summary!$C$13="N")*('Dvd Calendar'!$F$472='Field Check'!$C$25)&gt;0,"",'Dvd Calendar'!$F$468)))</f>
        <v/>
      </c>
      <c r="DG39" s="85">
        <f>IF(AS39="","",IF(ISNUMBER('Dvd Calendar'!$G$468)=FALSE,"",IF((Summary!$C$13="N")*('Dvd Calendar'!$G$472='Field Check'!$C$25)&gt;0,"",'Dvd Calendar'!$G$468)))</f>
        <v/>
      </c>
      <c r="DH39" s="85">
        <f>IF(AT39="","",IF(ISNUMBER('Dvd Calendar'!$H$468)=FALSE,"",IF((Summary!$C$13="N")*('Dvd Calendar'!$H$472='Field Check'!$C$25)&gt;0,"",'Dvd Calendar'!$H$468)))</f>
        <v/>
      </c>
      <c r="DI39" s="85">
        <f>IF(AU39="","",IF(ISNUMBER('Dvd Calendar'!$I$468)=FALSE,"",IF((Summary!$C$13="N")*('Dvd Calendar'!$I$472='Field Check'!$C$25)&gt;0,"",'Dvd Calendar'!$I$468)))</f>
        <v/>
      </c>
      <c r="DJ39" s="85">
        <f>IF(AV39="","",IF(ISNUMBER('Dvd Calendar'!$J$468)=FALSE,"",IF((Summary!$C$13="N")*('Dvd Calendar'!$J$472='Field Check'!$C$25)&gt;0,"",'Dvd Calendar'!$J$468)))</f>
        <v/>
      </c>
      <c r="DK39" s="85">
        <f>IF(AW39="","",IF(ISNUMBER('Dvd Calendar'!$K$468)=FALSE,"",IF((Summary!$C$13="N")*('Dvd Calendar'!$K$472='Field Check'!$C$25)&gt;0,"",'Dvd Calendar'!$K$468)))</f>
        <v/>
      </c>
      <c r="DL39" s="85">
        <f>IF(AX39="","",IF(ISNUMBER('Dvd Calendar'!$L$468)=FALSE,"",IF((Summary!$C$13="N")*('Dvd Calendar'!$L$472='Field Check'!$C$25)&gt;0,"",'Dvd Calendar'!$L$468)))</f>
        <v/>
      </c>
      <c r="DM39" s="85">
        <f>IF(AY39="","",IF(ISNUMBER('Dvd Calendar'!$M$468)=FALSE,"",IF((Summary!$C$13="N")*('Dvd Calendar'!$M$472='Field Check'!$C$25)&gt;0,"",'Dvd Calendar'!$M$468)))</f>
        <v/>
      </c>
      <c r="DN39" s="85">
        <f>IF(AZ39="","",IF(ISNUMBER('Dvd Calendar'!$N$468)=FALSE,"",IF((Summary!$C$13="N")*('Dvd Calendar'!$N$472='Field Check'!$C$25)&gt;0,"",'Dvd Calendar'!$N$468)))</f>
        <v/>
      </c>
      <c r="DO39" s="85">
        <f>IF(BA39="","",IF(ISNUMBER('Dvd Calendar'!$O$468)=FALSE,"",IF((Summary!$C$13="N")*('Dvd Calendar'!$O$472='Field Check'!$C$25)&gt;0,"",'Dvd Calendar'!$O$468)))</f>
        <v/>
      </c>
      <c r="DP39" s="85">
        <f>IF(BB39="","",IF(ISNUMBER('Dvd Calendar'!$P$468)=FALSE,"",IF((Summary!$C$13="N")*('Dvd Calendar'!$P$472='Field Check'!$C$25)&gt;0,"",'Dvd Calendar'!$P$468)))</f>
        <v/>
      </c>
      <c r="DQ39" s="85">
        <f>IF(BC39="","",IF(ISNUMBER('Dvd Calendar'!$Q$468)=FALSE,"",IF((Summary!$C$13="N")*('Dvd Calendar'!$Q$472='Field Check'!$C$25)&gt;0,"",'Dvd Calendar'!$Q$468)))</f>
        <v/>
      </c>
      <c r="DR39" s="85">
        <f>IF(BD39="","",IF(ISNUMBER('Dvd Calendar'!$R$468)=FALSE,"",IF((Summary!$C$13="N")*('Dvd Calendar'!$R$472='Field Check'!$C$25)&gt;0,"",'Dvd Calendar'!$R$468)))</f>
        <v/>
      </c>
      <c r="DS39" s="85">
        <f>IF(BE39="","",IF(ISNUMBER('Dvd Calendar'!$S$468)=FALSE,"",IF((Summary!$C$13="N")*('Dvd Calendar'!$S$472='Field Check'!$C$25)&gt;0,"",'Dvd Calendar'!$S$468)))</f>
        <v/>
      </c>
      <c r="DT39" s="85">
        <f>IF(BF39="","",IF(ISNUMBER('Dvd Calendar'!$T$468)=FALSE,"",IF((Summary!$C$13="N")*('Dvd Calendar'!$T$472='Field Check'!$C$25)&gt;0,"",'Dvd Calendar'!$T$468)))</f>
        <v/>
      </c>
      <c r="DU39" s="85">
        <f>IF(BG39="","",IF(ISNUMBER('Dvd Calendar'!$U$468)=FALSE,"",IF((Summary!$C$13="N")*('Dvd Calendar'!$U$472='Field Check'!$C$25)&gt;0,"",'Dvd Calendar'!$U$468)))</f>
        <v/>
      </c>
      <c r="DV39" s="85">
        <f>IF(BH39="","",IF(ISNUMBER('Dvd Calendar'!$V$468)=FALSE,"",IF((Summary!$C$13="N")*('Dvd Calendar'!$V$472='Field Check'!$C$25)&gt;0,"",'Dvd Calendar'!$V$468)))</f>
        <v/>
      </c>
      <c r="DW39" s="85">
        <f>IF(BI39="","",IF(ISNUMBER('Dvd Calendar'!$W$468)=FALSE,"",IF((Summary!$C$13="N")*('Dvd Calendar'!$W$472='Field Check'!$C$25)&gt;0,"",'Dvd Calendar'!$W$468)))</f>
        <v/>
      </c>
      <c r="DX39" s="85">
        <f>IF(BJ39="","",IF(ISNUMBER('Dvd Calendar'!$X$468)=FALSE,"",IF((Summary!$C$13="N")*('Dvd Calendar'!$X$472='Field Check'!$C$25)&gt;0,"",'Dvd Calendar'!$X$468)))</f>
        <v/>
      </c>
      <c r="DY39" s="85">
        <f>IF(BK39="","",IF(ISNUMBER('Dvd Calendar'!$Y$468)=FALSE,"",IF((Summary!$C$13="N")*('Dvd Calendar'!$Y$472='Field Check'!$C$25)&gt;0,"",'Dvd Calendar'!$Y$468)))</f>
        <v/>
      </c>
      <c r="DZ39" s="85">
        <f>IF(BL39="","",IF(ISNUMBER('Dvd Calendar'!$Z$468)=FALSE,"",IF((Summary!$C$13="N")*('Dvd Calendar'!$Z$472='Field Check'!$C$25)&gt;0,"",'Dvd Calendar'!$Z$468)))</f>
        <v/>
      </c>
      <c r="EA39" s="85">
        <f>IF(BM39="","",IF(ISNUMBER('Dvd Calendar'!$AA$468)=FALSE,"",IF((Summary!$C$13="N")*('Dvd Calendar'!$AA$472='Field Check'!$C$25)&gt;0,"",'Dvd Calendar'!$AA$468)))</f>
        <v/>
      </c>
      <c r="EB39" s="85">
        <f>IF(BN39="","",IF(ISNUMBER('Dvd Calendar'!$AB$468)=FALSE,"",IF((Summary!$C$13="N")*('Dvd Calendar'!$AB$472='Field Check'!$C$25)&gt;0,"",'Dvd Calendar'!$AB$468)))</f>
        <v/>
      </c>
      <c r="EC39" s="85">
        <f>IF(BO39="","",IF(ISNUMBER('Dvd Calendar'!$AC$468)=FALSE,"",IF((Summary!$C$13="N")*('Dvd Calendar'!$AC$472='Field Check'!$C$25)&gt;0,"",'Dvd Calendar'!$AC$468)))</f>
        <v/>
      </c>
      <c r="EE39" s="85">
        <f>IF(BQ39="","",IFERROR(BQ39*HSI!$B$37*HSI!$G$37/HSI!$B$3,""))</f>
        <v/>
      </c>
      <c r="EF39" s="85">
        <f>IF(BR39="","",IFERROR(BR39*HSI!$B$37*HSI!$G$37/HSI!$B$3,""))</f>
        <v/>
      </c>
      <c r="EG39" s="85">
        <f>IF(BS39="","",IFERROR(BS39*HSI!$B$37*HSI!$G$37/HSI!$B$3,""))</f>
        <v/>
      </c>
      <c r="EH39" s="85">
        <f>IF(BT39="","",IFERROR(BT39*HSI!$B$37*HSI!$G$37/HSI!$B$3,""))</f>
        <v/>
      </c>
      <c r="EI39" s="85">
        <f>IF(BU39="","",IFERROR(BU39*HSI!$B$37*HSI!$G$37/HSI!$B$3,""))</f>
        <v/>
      </c>
      <c r="EJ39" s="85">
        <f>IF(BV39="","",IFERROR(BV39*HSI!$B$37*HSI!$G$37/HSI!$B$3,""))</f>
        <v/>
      </c>
      <c r="EK39" s="85">
        <f>IF(BW39="","",IFERROR(BW39*HSI!$B$37*HSI!$G$37/HSI!$B$3,""))</f>
        <v/>
      </c>
      <c r="EL39" s="85">
        <f>IF(BX39="","",IFERROR(BX39*HSI!$B$37*HSI!$G$37/HSI!$B$3,""))</f>
        <v/>
      </c>
      <c r="EM39" s="85">
        <f>IF(BY39="","",IFERROR(BY39*HSI!$B$37*HSI!$G$37/HSI!$B$3,""))</f>
        <v/>
      </c>
      <c r="EN39" s="85">
        <f>IF(BZ39="","",IFERROR(BZ39*HSI!$B$37*HSI!$G$37/HSI!$B$3,""))</f>
        <v/>
      </c>
      <c r="EO39" s="85">
        <f>IF(CA39="","",IFERROR(CA39*HSI!$B$37*HSI!$G$37/HSI!$B$3,""))</f>
        <v/>
      </c>
      <c r="EP39" s="85">
        <f>IF(CB39="","",IFERROR(CB39*HSI!$B$37*HSI!$G$37/HSI!$B$3,""))</f>
        <v/>
      </c>
      <c r="EQ39" s="85">
        <f>IF(CC39="","",IFERROR(CC39*HSI!$B$37*HSI!$G$37/HSI!$B$3,""))</f>
        <v/>
      </c>
      <c r="ER39" s="85">
        <f>IF(CD39="","",IFERROR(CD39*HSI!$B$37*HSI!$G$37/HSI!$B$3,""))</f>
        <v/>
      </c>
      <c r="ES39" s="85">
        <f>IF(CE39="","",IFERROR(CE39*HSI!$B$37*HSI!$G$37/HSI!$B$3,""))</f>
        <v/>
      </c>
      <c r="ET39" s="85">
        <f>IF(CF39="","",IFERROR(CF39*HSI!$B$37*HSI!$G$37/HSI!$B$3,""))</f>
        <v/>
      </c>
      <c r="EU39" s="85">
        <f>IF(CG39="","",IFERROR(CG39*HSI!$B$37*HSI!$G$37/HSI!$B$3,""))</f>
        <v/>
      </c>
      <c r="EV39" s="85">
        <f>IF(CH39="","",IFERROR(CH39*HSI!$B$37*HSI!$G$37/HSI!$B$3,""))</f>
        <v/>
      </c>
      <c r="EW39" s="85">
        <f>IF(CI39="","",IFERROR(CI39*HSI!$B$37*HSI!$G$37/HSI!$B$3,""))</f>
        <v/>
      </c>
      <c r="EX39" s="85">
        <f>IF(CJ39="","",IFERROR(CJ39*HSI!$B$37*HSI!$G$37/HSI!$B$3,""))</f>
        <v/>
      </c>
      <c r="EY39" s="85">
        <f>IF(CK39="","",IFERROR(CK39*HSI!$B$37*HSI!$G$37/HSI!$B$3,""))</f>
        <v/>
      </c>
      <c r="EZ39" s="85">
        <f>IF(CL39="","",IFERROR(CL39*HSI!$B$37*HSI!$G$37/HSI!$B$3,""))</f>
        <v/>
      </c>
      <c r="FA39" s="85">
        <f>IF(CM39="","",IFERROR(CM39*HSI!$B$37*HSI!$G$37/HSI!$B$3,""))</f>
        <v/>
      </c>
      <c r="FB39" s="85">
        <f>IF(CN39="","",IFERROR(CN39*HSI!$B$37*HSI!$G$37/HSI!$B$3,""))</f>
        <v/>
      </c>
      <c r="FC39" s="85">
        <f>IF(CO39="","",IFERROR(CO39*HSI!$B$37*HSI!$G$37/HSI!$B$3,""))</f>
        <v/>
      </c>
      <c r="FD39" s="85">
        <f>IF(CP39="","",IFERROR(CP39*HSI!$B$37*HSI!$G$37/HSI!$B$3,""))</f>
        <v/>
      </c>
      <c r="FE39" s="85">
        <f>IF(CQ39="","",IFERROR(CQ39*HSI!$B$37*HSI!$G$37/HSI!$B$3,""))</f>
        <v/>
      </c>
      <c r="FF39" s="85">
        <f>IF(CR39="","",IFERROR(CR39*HSI!$B$37*HSI!$G$37/HSI!$B$3,""))</f>
        <v/>
      </c>
      <c r="FG39" s="85">
        <f>IF(CS39="","",IFERROR(CS39*HSI!$B$37*HSI!$G$37/HSI!$B$3,""))</f>
        <v/>
      </c>
      <c r="FH39" s="85">
        <f>IF(CT39="","",IFERROR(CT39*HSI!$B$37*HSI!$G$37/HSI!$B$3,""))</f>
        <v/>
      </c>
      <c r="FI39" s="85">
        <f>IF(CU39="","",IFERROR(CU39*HSI!$B$37*HSI!$G$37/HSI!$B$3,""))</f>
        <v/>
      </c>
      <c r="FJ39" s="85">
        <f>IF(CV39="","",IFERROR(CV39*HSI!$B$37*HSI!$G$37/HSI!$B$3,""))</f>
        <v/>
      </c>
      <c r="FK39" s="85">
        <f>IF(CW39="","",IFERROR(CW39*HSI!$B$37*HSI!$G$37/HSI!$B$3,""))</f>
        <v/>
      </c>
      <c r="FL39" s="85">
        <f>IF(CX39="","",IFERROR(CX39*HSI!$B$37*HSI!$G$37/HSI!$B$3,""))</f>
        <v/>
      </c>
      <c r="FM39" s="85">
        <f>IF(CY39="","",IFERROR(CY39*HSI!$B$37*HSI!$G$37/HSI!$B$3,""))</f>
        <v/>
      </c>
      <c r="FN39" s="85">
        <f>IF(CZ39="","",IFERROR(CZ39*HSI!$B$37*HSI!$G$37/HSI!$B$3,""))</f>
        <v/>
      </c>
      <c r="FO39" s="85">
        <f>IF(DA39="","",IFERROR(DA39*HSI!$B$37*HSI!$G$37/HSI!$B$3,""))</f>
        <v/>
      </c>
      <c r="FP39" s="85">
        <f>IF(DB39="","",IFERROR(DB39*HSI!$B$37*HSI!$G$37/HSI!$B$3,""))</f>
        <v/>
      </c>
      <c r="FQ39" s="85">
        <f>IF(DC39="","",IFERROR(DC39*HSI!$B$37*HSI!$G$37/HSI!$B$3,""))</f>
        <v/>
      </c>
      <c r="FR39" s="85">
        <f>IF(DD39="","",IFERROR(DD39*HSI!$B$37*HSI!$G$37/HSI!$B$3,""))</f>
        <v/>
      </c>
      <c r="FS39" s="85">
        <f>IF(DE39="","",IFERROR(DE39*HSI!$B$37*HSI!$G$37/HSI!$B$3,""))</f>
        <v/>
      </c>
      <c r="FT39" s="85">
        <f>IF(DF39="","",IFERROR(DF39*HSI!$B$37*HSI!$G$37/HSI!$B$3,""))</f>
        <v/>
      </c>
      <c r="FU39" s="85">
        <f>IF(DG39="","",IFERROR(DG39*HSI!$B$37*HSI!$G$37/HSI!$B$3,""))</f>
        <v/>
      </c>
      <c r="FV39" s="85">
        <f>IF(DH39="","",IFERROR(DH39*HSI!$B$37*HSI!$G$37/HSI!$B$3,""))</f>
        <v/>
      </c>
      <c r="FW39" s="85">
        <f>IF(DI39="","",IFERROR(DI39*HSI!$B$37*HSI!$G$37/HSI!$B$3,""))</f>
        <v/>
      </c>
      <c r="FX39" s="85">
        <f>IF(DJ39="","",IFERROR(DJ39*HSI!$B$37*HSI!$G$37/HSI!$B$3,""))</f>
        <v/>
      </c>
      <c r="FY39" s="85">
        <f>IF(DK39="","",IFERROR(DK39*HSI!$B$37*HSI!$G$37/HSI!$B$3,""))</f>
        <v/>
      </c>
      <c r="FZ39" s="85">
        <f>IF(DL39="","",IFERROR(DL39*HSI!$B$37*HSI!$G$37/HSI!$B$3,""))</f>
        <v/>
      </c>
      <c r="GA39" s="85">
        <f>IF(DM39="","",IFERROR(DM39*HSI!$B$37*HSI!$G$37/HSI!$B$3,""))</f>
        <v/>
      </c>
      <c r="GB39" s="85">
        <f>IF(DN39="","",IFERROR(DN39*HSI!$B$37*HSI!$G$37/HSI!$B$3,""))</f>
        <v/>
      </c>
      <c r="GC39" s="85">
        <f>IF(DO39="","",IFERROR(DO39*HSI!$B$37*HSI!$G$37/HSI!$B$3,""))</f>
        <v/>
      </c>
      <c r="GD39" s="85">
        <f>IF(DP39="","",IFERROR(DP39*HSI!$B$37*HSI!$G$37/HSI!$B$3,""))</f>
        <v/>
      </c>
      <c r="GE39" s="85">
        <f>IF(DQ39="","",IFERROR(DQ39*HSI!$B$37*HSI!$G$37/HSI!$B$3,""))</f>
        <v/>
      </c>
      <c r="GF39" s="85">
        <f>IF(DR39="","",IFERROR(DR39*HSI!$B$37*HSI!$G$37/HSI!$B$3,""))</f>
        <v/>
      </c>
      <c r="GG39" s="85">
        <f>IF(DS39="","",IFERROR(DS39*HSI!$B$37*HSI!$G$37/HSI!$B$3,""))</f>
        <v/>
      </c>
      <c r="GH39" s="85">
        <f>IF(DT39="","",IFERROR(DT39*HSI!$B$37*HSI!$G$37/HSI!$B$3,""))</f>
        <v/>
      </c>
      <c r="GI39" s="85">
        <f>IF(DU39="","",IFERROR(DU39*HSI!$B$37*HSI!$G$37/HSI!$B$3,""))</f>
        <v/>
      </c>
      <c r="GJ39" s="85">
        <f>IF(DV39="","",IFERROR(DV39*HSI!$B$37*HSI!$G$37/HSI!$B$3,""))</f>
        <v/>
      </c>
      <c r="GK39" s="85">
        <f>IF(DW39="","",IFERROR(DW39*HSI!$B$37*HSI!$G$37/HSI!$B$3,""))</f>
        <v/>
      </c>
      <c r="GL39" s="85">
        <f>IF(DX39="","",IFERROR(DX39*HSI!$B$37*HSI!$G$37/HSI!$B$3,""))</f>
        <v/>
      </c>
      <c r="GM39" s="85">
        <f>IF(DY39="","",IFERROR(DY39*HSI!$B$37*HSI!$G$37/HSI!$B$3,""))</f>
        <v/>
      </c>
      <c r="GN39" s="85">
        <f>IF(DZ39="","",IFERROR(DZ39*HSI!$B$37*HSI!$G$37/HSI!$B$3,""))</f>
        <v/>
      </c>
      <c r="GO39" s="85">
        <f>IF(EA39="","",IFERROR(EA39*HSI!$B$37*HSI!$G$37/HSI!$B$3,""))</f>
        <v/>
      </c>
      <c r="GP39" s="85">
        <f>IF(EB39="","",IFERROR(EB39*HSI!$B$37*HSI!$G$37/HSI!$B$3,""))</f>
        <v/>
      </c>
      <c r="GQ39" s="85">
        <f>IF(EC39="","",IFERROR(EC39*HSI!$B$37*HSI!$G$37/HSI!$B$3,""))</f>
        <v/>
      </c>
    </row>
    <row r="40">
      <c r="B40" s="2">
        <f>IF(HSI!$C$38="","",HSI!$C$38)</f>
        <v/>
      </c>
      <c r="C40" s="41">
        <f>IF(N('Dvd Calendar'!$E$475)=0,"",IF(('Dvd Calendar'!$E$475&gt;=MIN(DATE(Summary!$C$12,1,1),Summary!$C$11))*('Dvd Calendar'!$E$475&lt;=MAX(DATE(Summary!$C$12,12,31),Summary!$C$15))*('Dvd Calendar'!$E$475&lt;=Summary!$C$11)=0,"",'Dvd Calendar'!$E$475*1000000000+ISNUMBER('Dvd Calendar'!$E$476)*100000000+('Dvd Calendar'!$E$480='Field Check'!$C$25)*10000000+(N('Dvd Calendar'!$E$474)&gt;0)*1000000+32*1000+1))</f>
        <v/>
      </c>
      <c r="D40" s="41">
        <f>IF(N('Dvd Calendar'!$F$475)=0,"",IF(('Dvd Calendar'!$F$475&gt;=MIN(DATE(Summary!$C$12,1,1),Summary!$C$11))*('Dvd Calendar'!$F$475&lt;=MAX(DATE(Summary!$C$12,12,31),Summary!$C$15))*('Dvd Calendar'!$F$475&lt;=Summary!$C$11)=0,"",'Dvd Calendar'!$F$475*1000000000+ISNUMBER('Dvd Calendar'!$F$476)*100000000+('Dvd Calendar'!$F$480='Field Check'!$C$25)*10000000+(N('Dvd Calendar'!$F$474)&gt;0)*1000000+32*1000+2))</f>
        <v/>
      </c>
      <c r="E40" s="41">
        <f>IF(N('Dvd Calendar'!$G$475)=0,"",IF(('Dvd Calendar'!$G$475&gt;=MIN(DATE(Summary!$C$12,1,1),Summary!$C$11))*('Dvd Calendar'!$G$475&lt;=MAX(DATE(Summary!$C$12,12,31),Summary!$C$15))*('Dvd Calendar'!$G$475&lt;=Summary!$C$11)=0,"",'Dvd Calendar'!$G$475*1000000000+ISNUMBER('Dvd Calendar'!$G$476)*100000000+('Dvd Calendar'!$G$480='Field Check'!$C$25)*10000000+(N('Dvd Calendar'!$G$474)&gt;0)*1000000+32*1000+3))</f>
        <v/>
      </c>
      <c r="F40" s="41">
        <f>IF(N('Dvd Calendar'!$H$475)=0,"",IF(('Dvd Calendar'!$H$475&gt;=MIN(DATE(Summary!$C$12,1,1),Summary!$C$11))*('Dvd Calendar'!$H$475&lt;=MAX(DATE(Summary!$C$12,12,31),Summary!$C$15))*('Dvd Calendar'!$H$475&lt;=Summary!$C$11)=0,"",'Dvd Calendar'!$H$475*1000000000+ISNUMBER('Dvd Calendar'!$H$476)*100000000+('Dvd Calendar'!$H$480='Field Check'!$C$25)*10000000+(N('Dvd Calendar'!$H$474)&gt;0)*1000000+32*1000+4))</f>
        <v/>
      </c>
      <c r="G40" s="41">
        <f>IF(N('Dvd Calendar'!$I$475)=0,"",IF(('Dvd Calendar'!$I$475&gt;=MIN(DATE(Summary!$C$12,1,1),Summary!$C$11))*('Dvd Calendar'!$I$475&lt;=MAX(DATE(Summary!$C$12,12,31),Summary!$C$15))*('Dvd Calendar'!$I$475&lt;=Summary!$C$11)=0,"",'Dvd Calendar'!$I$475*1000000000+ISNUMBER('Dvd Calendar'!$I$476)*100000000+('Dvd Calendar'!$I$480='Field Check'!$C$25)*10000000+(N('Dvd Calendar'!$I$474)&gt;0)*1000000+32*1000+5))</f>
        <v/>
      </c>
      <c r="H40" s="41">
        <f>IF(N('Dvd Calendar'!$J$475)=0,"",IF(('Dvd Calendar'!$J$475&gt;=MIN(DATE(Summary!$C$12,1,1),Summary!$C$11))*('Dvd Calendar'!$J$475&lt;=MAX(DATE(Summary!$C$12,12,31),Summary!$C$15))*('Dvd Calendar'!$J$475&lt;=Summary!$C$11)=0,"",'Dvd Calendar'!$J$475*1000000000+ISNUMBER('Dvd Calendar'!$J$476)*100000000+('Dvd Calendar'!$J$480='Field Check'!$C$25)*10000000+(N('Dvd Calendar'!$J$474)&gt;0)*1000000+32*1000+6))</f>
        <v/>
      </c>
      <c r="I40" s="41">
        <f>IF(N('Dvd Calendar'!$K$475)=0,"",IF(('Dvd Calendar'!$K$475&gt;=MIN(DATE(Summary!$C$12,1,1),Summary!$C$11))*('Dvd Calendar'!$K$475&lt;=MAX(DATE(Summary!$C$12,12,31),Summary!$C$15))*('Dvd Calendar'!$K$475&lt;=Summary!$C$11)=0,"",'Dvd Calendar'!$K$475*1000000000+ISNUMBER('Dvd Calendar'!$K$476)*100000000+('Dvd Calendar'!$K$480='Field Check'!$C$25)*10000000+(N('Dvd Calendar'!$K$474)&gt;0)*1000000+32*1000+7))</f>
        <v/>
      </c>
      <c r="J40" s="41">
        <f>IF(N('Dvd Calendar'!$L$475)=0,"",IF(('Dvd Calendar'!$L$475&gt;=MIN(DATE(Summary!$C$12,1,1),Summary!$C$11))*('Dvd Calendar'!$L$475&lt;=MAX(DATE(Summary!$C$12,12,31),Summary!$C$15))*('Dvd Calendar'!$L$475&lt;=Summary!$C$11)=0,"",'Dvd Calendar'!$L$475*1000000000+ISNUMBER('Dvd Calendar'!$L$476)*100000000+('Dvd Calendar'!$L$480='Field Check'!$C$25)*10000000+(N('Dvd Calendar'!$L$474)&gt;0)*1000000+32*1000+8))</f>
        <v/>
      </c>
      <c r="K40" s="41">
        <f>IF(N('Dvd Calendar'!$M$475)=0,"",IF(('Dvd Calendar'!$M$475&gt;=MIN(DATE(Summary!$C$12,1,1),Summary!$C$11))*('Dvd Calendar'!$M$475&lt;=MAX(DATE(Summary!$C$12,12,31),Summary!$C$15))*('Dvd Calendar'!$M$475&lt;=Summary!$C$11)=0,"",'Dvd Calendar'!$M$475*1000000000+ISNUMBER('Dvd Calendar'!$M$476)*100000000+('Dvd Calendar'!$M$480='Field Check'!$C$25)*10000000+(N('Dvd Calendar'!$M$474)&gt;0)*1000000+32*1000+9))</f>
        <v/>
      </c>
      <c r="L40" s="41">
        <f>IF(N('Dvd Calendar'!$N$475)=0,"",IF(('Dvd Calendar'!$N$475&gt;=MIN(DATE(Summary!$C$12,1,1),Summary!$C$11))*('Dvd Calendar'!$N$475&lt;=MAX(DATE(Summary!$C$12,12,31),Summary!$C$15))*('Dvd Calendar'!$N$475&lt;=Summary!$C$11)=0,"",'Dvd Calendar'!$N$475*1000000000+ISNUMBER('Dvd Calendar'!$N$476)*100000000+('Dvd Calendar'!$N$480='Field Check'!$C$25)*10000000+(N('Dvd Calendar'!$N$474)&gt;0)*1000000+32*1000+10))</f>
        <v/>
      </c>
      <c r="M40" s="41">
        <f>IF(N('Dvd Calendar'!$O$475)=0,"",IF(('Dvd Calendar'!$O$475&gt;=MIN(DATE(Summary!$C$12,1,1),Summary!$C$11))*('Dvd Calendar'!$O$475&lt;=MAX(DATE(Summary!$C$12,12,31),Summary!$C$15))*('Dvd Calendar'!$O$475&lt;=Summary!$C$11)=0,"",'Dvd Calendar'!$O$475*1000000000+ISNUMBER('Dvd Calendar'!$O$476)*100000000+('Dvd Calendar'!$O$480='Field Check'!$C$25)*10000000+(N('Dvd Calendar'!$O$474)&gt;0)*1000000+32*1000+11))</f>
        <v/>
      </c>
      <c r="N40" s="41">
        <f>IF(N('Dvd Calendar'!$P$475)=0,"",IF(('Dvd Calendar'!$P$475&gt;=MIN(DATE(Summary!$C$12,1,1),Summary!$C$11))*('Dvd Calendar'!$P$475&lt;=MAX(DATE(Summary!$C$12,12,31),Summary!$C$15))*('Dvd Calendar'!$P$475&lt;=Summary!$C$11)=0,"",'Dvd Calendar'!$P$475*1000000000+ISNUMBER('Dvd Calendar'!$P$476)*100000000+('Dvd Calendar'!$P$480='Field Check'!$C$25)*10000000+(N('Dvd Calendar'!$P$474)&gt;0)*1000000+32*1000+12))</f>
        <v/>
      </c>
      <c r="O40" s="41">
        <f>IF(N('Dvd Calendar'!$Q$475)=0,"",IF(('Dvd Calendar'!$Q$475&gt;=MIN(DATE(Summary!$C$12,1,1),Summary!$C$11))*('Dvd Calendar'!$Q$475&lt;=MAX(DATE(Summary!$C$12,12,31),Summary!$C$15))*('Dvd Calendar'!$Q$475&lt;=Summary!$C$11)=0,"",'Dvd Calendar'!$Q$475*1000000000+ISNUMBER('Dvd Calendar'!$Q$476)*100000000+('Dvd Calendar'!$Q$480='Field Check'!$C$25)*10000000+(N('Dvd Calendar'!$Q$474)&gt;0)*1000000+32*1000+13))</f>
        <v/>
      </c>
      <c r="P40" s="41">
        <f>IF(N('Dvd Calendar'!$R$475)=0,"",IF(('Dvd Calendar'!$R$475&gt;=MIN(DATE(Summary!$C$12,1,1),Summary!$C$11))*('Dvd Calendar'!$R$475&lt;=MAX(DATE(Summary!$C$12,12,31),Summary!$C$15))*('Dvd Calendar'!$R$475&lt;=Summary!$C$11)=0,"",'Dvd Calendar'!$R$475*1000000000+ISNUMBER('Dvd Calendar'!$R$476)*100000000+('Dvd Calendar'!$R$480='Field Check'!$C$25)*10000000+(N('Dvd Calendar'!$R$474)&gt;0)*1000000+32*1000+14))</f>
        <v/>
      </c>
      <c r="Q40" s="41">
        <f>IF(N('Dvd Calendar'!$S$475)=0,"",IF(('Dvd Calendar'!$S$475&gt;=MIN(DATE(Summary!$C$12,1,1),Summary!$C$11))*('Dvd Calendar'!$S$475&lt;=MAX(DATE(Summary!$C$12,12,31),Summary!$C$15))*('Dvd Calendar'!$S$475&lt;=Summary!$C$11)=0,"",'Dvd Calendar'!$S$475*1000000000+ISNUMBER('Dvd Calendar'!$S$476)*100000000+('Dvd Calendar'!$S$480='Field Check'!$C$25)*10000000+(N('Dvd Calendar'!$S$474)&gt;0)*1000000+32*1000+15))</f>
        <v/>
      </c>
      <c r="R40" s="41">
        <f>IF(N('Dvd Calendar'!$T$475)=0,"",IF(('Dvd Calendar'!$T$475&gt;=MIN(DATE(Summary!$C$12,1,1),Summary!$C$11))*('Dvd Calendar'!$T$475&lt;=MAX(DATE(Summary!$C$12,12,31),Summary!$C$15))*('Dvd Calendar'!$T$475&lt;=Summary!$C$11)=0,"",'Dvd Calendar'!$T$475*1000000000+ISNUMBER('Dvd Calendar'!$T$476)*100000000+('Dvd Calendar'!$T$480='Field Check'!$C$25)*10000000+(N('Dvd Calendar'!$T$474)&gt;0)*1000000+32*1000+16))</f>
        <v/>
      </c>
      <c r="S40" s="41">
        <f>IF(N('Dvd Calendar'!$U$475)=0,"",IF(('Dvd Calendar'!$U$475&gt;=MIN(DATE(Summary!$C$12,1,1),Summary!$C$11))*('Dvd Calendar'!$U$475&lt;=MAX(DATE(Summary!$C$12,12,31),Summary!$C$15))*('Dvd Calendar'!$U$475&lt;=Summary!$C$11)=0,"",'Dvd Calendar'!$U$475*1000000000+ISNUMBER('Dvd Calendar'!$U$476)*100000000+('Dvd Calendar'!$U$480='Field Check'!$C$25)*10000000+(N('Dvd Calendar'!$U$474)&gt;0)*1000000+32*1000+17))</f>
        <v/>
      </c>
      <c r="T40" s="41">
        <f>IF(N('Dvd Calendar'!$V$475)=0,"",IF(('Dvd Calendar'!$V$475&gt;=MIN(DATE(Summary!$C$12,1,1),Summary!$C$11))*('Dvd Calendar'!$V$475&lt;=MAX(DATE(Summary!$C$12,12,31),Summary!$C$15))*('Dvd Calendar'!$V$475&lt;=Summary!$C$11)=0,"",'Dvd Calendar'!$V$475*1000000000+ISNUMBER('Dvd Calendar'!$V$476)*100000000+('Dvd Calendar'!$V$480='Field Check'!$C$25)*10000000+(N('Dvd Calendar'!$V$474)&gt;0)*1000000+32*1000+18))</f>
        <v/>
      </c>
      <c r="U40" s="41">
        <f>IF(N('Dvd Calendar'!$W$475)=0,"",IF(('Dvd Calendar'!$W$475&gt;=MIN(DATE(Summary!$C$12,1,1),Summary!$C$11))*('Dvd Calendar'!$W$475&lt;=MAX(DATE(Summary!$C$12,12,31),Summary!$C$15))*('Dvd Calendar'!$W$475&lt;=Summary!$C$11)=0,"",'Dvd Calendar'!$W$475*1000000000+ISNUMBER('Dvd Calendar'!$W$476)*100000000+('Dvd Calendar'!$W$480='Field Check'!$C$25)*10000000+(N('Dvd Calendar'!$W$474)&gt;0)*1000000+32*1000+19))</f>
        <v/>
      </c>
      <c r="V40" s="41">
        <f>IF(N('Dvd Calendar'!$X$475)=0,"",IF(('Dvd Calendar'!$X$475&gt;=MIN(DATE(Summary!$C$12,1,1),Summary!$C$11))*('Dvd Calendar'!$X$475&lt;=MAX(DATE(Summary!$C$12,12,31),Summary!$C$15))*('Dvd Calendar'!$X$475&lt;=Summary!$C$11)=0,"",'Dvd Calendar'!$X$475*1000000000+ISNUMBER('Dvd Calendar'!$X$476)*100000000+('Dvd Calendar'!$X$480='Field Check'!$C$25)*10000000+(N('Dvd Calendar'!$X$474)&gt;0)*1000000+32*1000+20))</f>
        <v/>
      </c>
      <c r="W40" s="41">
        <f>IF(N('Dvd Calendar'!$Y$475)=0,"",IF(('Dvd Calendar'!$Y$475&gt;=MIN(DATE(Summary!$C$12,1,1),Summary!$C$11))*('Dvd Calendar'!$Y$475&lt;=MAX(DATE(Summary!$C$12,12,31),Summary!$C$15))*('Dvd Calendar'!$Y$475&lt;=Summary!$C$11)=0,"",'Dvd Calendar'!$Y$475*1000000000+ISNUMBER('Dvd Calendar'!$Y$476)*100000000+('Dvd Calendar'!$Y$480='Field Check'!$C$25)*10000000+(N('Dvd Calendar'!$Y$474)&gt;0)*1000000+32*1000+21))</f>
        <v/>
      </c>
      <c r="X40" s="41">
        <f>IF(N('Dvd Calendar'!$Z$475)=0,"",IF(('Dvd Calendar'!$Z$475&gt;=MIN(DATE(Summary!$C$12,1,1),Summary!$C$11))*('Dvd Calendar'!$Z$475&lt;=MAX(DATE(Summary!$C$12,12,31),Summary!$C$15))*('Dvd Calendar'!$Z$475&lt;=Summary!$C$11)=0,"",'Dvd Calendar'!$Z$475*1000000000+ISNUMBER('Dvd Calendar'!$Z$476)*100000000+('Dvd Calendar'!$Z$480='Field Check'!$C$25)*10000000+(N('Dvd Calendar'!$Z$474)&gt;0)*1000000+32*1000+22))</f>
        <v/>
      </c>
      <c r="Y40" s="41">
        <f>IF(N('Dvd Calendar'!$AA$475)=0,"",IF(('Dvd Calendar'!$AA$475&gt;=MIN(DATE(Summary!$C$12,1,1),Summary!$C$11))*('Dvd Calendar'!$AA$475&lt;=MAX(DATE(Summary!$C$12,12,31),Summary!$C$15))*('Dvd Calendar'!$AA$475&lt;=Summary!$C$11)=0,"",'Dvd Calendar'!$AA$475*1000000000+ISNUMBER('Dvd Calendar'!$AA$476)*100000000+('Dvd Calendar'!$AA$480='Field Check'!$C$25)*10000000+(N('Dvd Calendar'!$AA$474)&gt;0)*1000000+32*1000+23))</f>
        <v/>
      </c>
      <c r="Z40" s="41">
        <f>IF(N('Dvd Calendar'!$AB$475)=0,"",IF(('Dvd Calendar'!$AB$475&gt;=MIN(DATE(Summary!$C$12,1,1),Summary!$C$11))*('Dvd Calendar'!$AB$475&lt;=MAX(DATE(Summary!$C$12,12,31),Summary!$C$15))*('Dvd Calendar'!$AB$475&lt;=Summary!$C$11)=0,"",'Dvd Calendar'!$AB$475*1000000000+ISNUMBER('Dvd Calendar'!$AB$476)*100000000+('Dvd Calendar'!$AB$480='Field Check'!$C$25)*10000000+(N('Dvd Calendar'!$AB$474)&gt;0)*1000000+32*1000+24))</f>
        <v/>
      </c>
      <c r="AA40" s="41">
        <f>IF(N('Dvd Calendar'!$AC$475)=0,"",IF(('Dvd Calendar'!$AC$475&gt;=MIN(DATE(Summary!$C$12,1,1),Summary!$C$11))*('Dvd Calendar'!$AC$475&lt;=MAX(DATE(Summary!$C$12,12,31),Summary!$C$15))*('Dvd Calendar'!$AC$475&lt;=Summary!$C$11)=0,"",'Dvd Calendar'!$AC$475*1000000000+ISNUMBER('Dvd Calendar'!$AC$476)*100000000+('Dvd Calendar'!$AC$480='Field Check'!$C$25)*10000000+(N('Dvd Calendar'!$AC$474)&gt;0)*1000000+32*1000+25))</f>
        <v/>
      </c>
      <c r="AB40" s="41">
        <f>IF(N('Dvd Calendar'!$AD$475)=0,"",IF(('Dvd Calendar'!$AD$475&gt;=MIN(DATE(Summary!$C$12,1,1),Summary!$C$11))*('Dvd Calendar'!$AD$475&lt;=MAX(DATE(Summary!$C$12,12,31),Summary!$C$15))*('Dvd Calendar'!$AD$475&lt;=Summary!$C$11)=0,"",'Dvd Calendar'!$AD$475*1000000000+ISNUMBER('Dvd Calendar'!$AD$476)*100000000+('Dvd Calendar'!$AD$480='Field Check'!$C$25)*10000000+(N('Dvd Calendar'!$AD$474)&gt;0)*1000000+32*1000+26))</f>
        <v/>
      </c>
      <c r="AC40" s="41">
        <f>IF(N('Dvd Calendar'!$AE$475)=0,"",IF(('Dvd Calendar'!$AE$475&gt;=MIN(DATE(Summary!$C$12,1,1),Summary!$C$11))*('Dvd Calendar'!$AE$475&lt;=MAX(DATE(Summary!$C$12,12,31),Summary!$C$15))*('Dvd Calendar'!$AE$475&lt;=Summary!$C$11)=0,"",'Dvd Calendar'!$AE$475*1000000000+ISNUMBER('Dvd Calendar'!$AE$476)*100000000+('Dvd Calendar'!$AE$480='Field Check'!$C$25)*10000000+(N('Dvd Calendar'!$AE$474)&gt;0)*1000000+32*1000+27))</f>
        <v/>
      </c>
      <c r="AD40" s="41">
        <f>IF(N('Dvd Calendar'!$AF$475)=0,"",IF(('Dvd Calendar'!$AF$475&gt;=MIN(DATE(Summary!$C$12,1,1),Summary!$C$11))*('Dvd Calendar'!$AF$475&lt;=MAX(DATE(Summary!$C$12,12,31),Summary!$C$15))*('Dvd Calendar'!$AF$475&lt;=Summary!$C$11)=0,"",'Dvd Calendar'!$AF$475*1000000000+ISNUMBER('Dvd Calendar'!$AF$476)*100000000+('Dvd Calendar'!$AF$480='Field Check'!$C$25)*10000000+(N('Dvd Calendar'!$AF$474)&gt;0)*1000000+32*1000+28))</f>
        <v/>
      </c>
      <c r="AE40" s="41">
        <f>IF(N('Dvd Calendar'!$AG$475)=0,"",IF(('Dvd Calendar'!$AG$475&gt;=MIN(DATE(Summary!$C$12,1,1),Summary!$C$11))*('Dvd Calendar'!$AG$475&lt;=MAX(DATE(Summary!$C$12,12,31),Summary!$C$15))*('Dvd Calendar'!$AG$475&lt;=Summary!$C$11)=0,"",'Dvd Calendar'!$AG$475*1000000000+ISNUMBER('Dvd Calendar'!$AG$476)*100000000+('Dvd Calendar'!$AG$480='Field Check'!$C$25)*10000000+(N('Dvd Calendar'!$AG$474)&gt;0)*1000000+32*1000+29))</f>
        <v/>
      </c>
      <c r="AF40" s="41">
        <f>IF(N('Dvd Calendar'!$AH$475)=0,"",IF(('Dvd Calendar'!$AH$475&gt;=MIN(DATE(Summary!$C$12,1,1),Summary!$C$11))*('Dvd Calendar'!$AH$475&lt;=MAX(DATE(Summary!$C$12,12,31),Summary!$C$15))*('Dvd Calendar'!$AH$475&lt;=Summary!$C$11)=0,"",'Dvd Calendar'!$AH$475*1000000000+ISNUMBER('Dvd Calendar'!$AH$476)*100000000+('Dvd Calendar'!$AH$480='Field Check'!$C$25)*10000000+(N('Dvd Calendar'!$AH$474)&gt;0)*1000000+32*1000+30))</f>
        <v/>
      </c>
      <c r="AG40" s="41">
        <f>IF(N('Dvd Calendar'!$AI$475)=0,"",IF(('Dvd Calendar'!$AI$475&gt;=MIN(DATE(Summary!$C$12,1,1),Summary!$C$11))*('Dvd Calendar'!$AI$475&lt;=MAX(DATE(Summary!$C$12,12,31),Summary!$C$15))*('Dvd Calendar'!$AI$475&lt;=Summary!$C$11)=0,"",'Dvd Calendar'!$AI$475*1000000000+ISNUMBER('Dvd Calendar'!$AI$476)*100000000+('Dvd Calendar'!$AI$480='Field Check'!$C$25)*10000000+(N('Dvd Calendar'!$AI$474)&gt;0)*1000000+32*1000+31))</f>
        <v/>
      </c>
      <c r="AH40" s="41">
        <f>IF(N('Dvd Calendar'!$AJ$475)=0,"",IF(('Dvd Calendar'!$AJ$475&gt;=MIN(DATE(Summary!$C$12,1,1),Summary!$C$11))*('Dvd Calendar'!$AJ$475&lt;=MAX(DATE(Summary!$C$12,12,31),Summary!$C$15))*('Dvd Calendar'!$AJ$475&lt;=Summary!$C$11)=0,"",'Dvd Calendar'!$AJ$475*1000000000+ISNUMBER('Dvd Calendar'!$AJ$476)*100000000+('Dvd Calendar'!$AJ$480='Field Check'!$C$25)*10000000+(N('Dvd Calendar'!$AJ$474)&gt;0)*1000000+32*1000+32))</f>
        <v/>
      </c>
      <c r="AI40" s="41">
        <f>IF(N('Dvd Calendar'!$AK$475)=0,"",IF(('Dvd Calendar'!$AK$475&gt;=MIN(DATE(Summary!$C$12,1,1),Summary!$C$11))*('Dvd Calendar'!$AK$475&lt;=MAX(DATE(Summary!$C$12,12,31),Summary!$C$15))*('Dvd Calendar'!$AK$475&lt;=Summary!$C$11)=0,"",'Dvd Calendar'!$AK$475*1000000000+ISNUMBER('Dvd Calendar'!$AK$476)*100000000+('Dvd Calendar'!$AK$480='Field Check'!$C$25)*10000000+(N('Dvd Calendar'!$AK$474)&gt;0)*1000000+32*1000+33))</f>
        <v/>
      </c>
      <c r="AJ40" s="41">
        <f>IF(N('Dvd Calendar'!$AL$475)=0,"",IF(('Dvd Calendar'!$AL$475&gt;=MIN(DATE(Summary!$C$12,1,1),Summary!$C$11))*('Dvd Calendar'!$AL$475&lt;=MAX(DATE(Summary!$C$12,12,31),Summary!$C$15))*('Dvd Calendar'!$AL$475&lt;=Summary!$C$11)=0,"",'Dvd Calendar'!$AL$475*1000000000+ISNUMBER('Dvd Calendar'!$AL$476)*100000000+('Dvd Calendar'!$AL$480='Field Check'!$C$25)*10000000+(N('Dvd Calendar'!$AL$474)&gt;0)*1000000+32*1000+34))</f>
        <v/>
      </c>
      <c r="AK40" s="41">
        <f>IF(N('Dvd Calendar'!$AM$475)=0,"",IF(('Dvd Calendar'!$AM$475&gt;=MIN(DATE(Summary!$C$12,1,1),Summary!$C$11))*('Dvd Calendar'!$AM$475&lt;=MAX(DATE(Summary!$C$12,12,31),Summary!$C$15))*('Dvd Calendar'!$AM$475&lt;=Summary!$C$11)=0,"",'Dvd Calendar'!$AM$475*1000000000+ISNUMBER('Dvd Calendar'!$AM$476)*100000000+('Dvd Calendar'!$AM$480='Field Check'!$C$25)*10000000+(N('Dvd Calendar'!$AM$474)&gt;0)*1000000+32*1000+35))</f>
        <v/>
      </c>
      <c r="AL40" s="41">
        <f>IF(N('Dvd Calendar'!$AN$475)=0,"",IF(('Dvd Calendar'!$AN$475&gt;=MIN(DATE(Summary!$C$12,1,1),Summary!$C$11))*('Dvd Calendar'!$AN$475&lt;=MAX(DATE(Summary!$C$12,12,31),Summary!$C$15))*('Dvd Calendar'!$AN$475&lt;=Summary!$C$11)=0,"",'Dvd Calendar'!$AN$475*1000000000+ISNUMBER('Dvd Calendar'!$AN$476)*100000000+('Dvd Calendar'!$AN$480='Field Check'!$C$25)*10000000+(N('Dvd Calendar'!$AN$474)&gt;0)*1000000+32*1000+36))</f>
        <v/>
      </c>
      <c r="AM40" s="41">
        <f>IF(N('Dvd Calendar'!$AO$475)=0,"",IF(('Dvd Calendar'!$AO$475&gt;=MIN(DATE(Summary!$C$12,1,1),Summary!$C$11))*('Dvd Calendar'!$AO$475&lt;=MAX(DATE(Summary!$C$12,12,31),Summary!$C$15))*('Dvd Calendar'!$AO$475&lt;=Summary!$C$11)=0,"",'Dvd Calendar'!$AO$475*1000000000+ISNUMBER('Dvd Calendar'!$AO$476)*100000000+('Dvd Calendar'!$AO$480='Field Check'!$C$25)*10000000+(N('Dvd Calendar'!$AO$474)&gt;0)*1000000+32*1000+37))</f>
        <v/>
      </c>
      <c r="AN40" s="41">
        <f>IF(N('Dvd Calendar'!$AP$475)=0,"",IF(('Dvd Calendar'!$AP$475&gt;=MIN(DATE(Summary!$C$12,1,1),Summary!$C$11))*('Dvd Calendar'!$AP$475&lt;=MAX(DATE(Summary!$C$12,12,31),Summary!$C$15))*('Dvd Calendar'!$AP$475&lt;=Summary!$C$11)=0,"",'Dvd Calendar'!$AP$475*1000000000+ISNUMBER('Dvd Calendar'!$AP$476)*100000000+('Dvd Calendar'!$AP$480='Field Check'!$C$25)*10000000+(N('Dvd Calendar'!$AP$474)&gt;0)*1000000+32*1000+38))</f>
        <v/>
      </c>
      <c r="AO40" s="41">
        <f>IF(N('Dvd Calendar'!$AQ$475)=0,"",IF(('Dvd Calendar'!$AQ$475&gt;=MIN(DATE(Summary!$C$12,1,1),Summary!$C$11))*('Dvd Calendar'!$AQ$475&lt;=MAX(DATE(Summary!$C$12,12,31),Summary!$C$15))*('Dvd Calendar'!$AQ$475&lt;=Summary!$C$11)=0,"",'Dvd Calendar'!$AQ$475*1000000000+ISNUMBER('Dvd Calendar'!$AQ$476)*100000000+('Dvd Calendar'!$AQ$480='Field Check'!$C$25)*10000000+(N('Dvd Calendar'!$AQ$474)&gt;0)*1000000+32*1000+39))</f>
        <v/>
      </c>
      <c r="AP40" s="41">
        <f>IF(N('Dvd Calendar'!$AR$475)=0,"",IF(('Dvd Calendar'!$AR$475&gt;=MIN(DATE(Summary!$C$12,1,1),Summary!$C$11))*('Dvd Calendar'!$AR$475&lt;=MAX(DATE(Summary!$C$12,12,31),Summary!$C$15))*('Dvd Calendar'!$AR$475&lt;=Summary!$C$11)=0,"",'Dvd Calendar'!$AR$475*1000000000+ISNUMBER('Dvd Calendar'!$AR$476)*100000000+('Dvd Calendar'!$AR$480='Field Check'!$C$25)*10000000+(N('Dvd Calendar'!$AR$474)&gt;0)*1000000+32*1000+40))</f>
        <v/>
      </c>
      <c r="AQ40" s="41">
        <f>IF(N('Dvd Calendar'!$E$482)=0,"",IF(('Dvd Calendar'!$E$482&gt;=MIN(DATE(Summary!$C$12,1,1),Summary!$C$11))*('Dvd Calendar'!$E$482&lt;=MAX(DATE(Summary!$C$12,12,31),Summary!$C$15))*('Dvd Calendar'!$E$482&gt;Summary!$C$11)=0,"",'Dvd Calendar'!$E$482*1000000000+ISNUMBER('Dvd Calendar'!$E$483)*100000000+('Dvd Calendar'!$E$487='Field Check'!$C$25)*10000000+(N('Dvd Calendar'!$E$481)&gt;0)*1000000+32*1000+41))</f>
        <v/>
      </c>
      <c r="AR40" s="41">
        <f>IF(N('Dvd Calendar'!$F$482)=0,"",IF(('Dvd Calendar'!$F$482&gt;=MIN(DATE(Summary!$C$12,1,1),Summary!$C$11))*('Dvd Calendar'!$F$482&lt;=MAX(DATE(Summary!$C$12,12,31),Summary!$C$15))*('Dvd Calendar'!$F$482&gt;Summary!$C$11)=0,"",'Dvd Calendar'!$F$482*1000000000+ISNUMBER('Dvd Calendar'!$F$483)*100000000+('Dvd Calendar'!$F$487='Field Check'!$C$25)*10000000+(N('Dvd Calendar'!$F$481)&gt;0)*1000000+32*1000+42))</f>
        <v/>
      </c>
      <c r="AS40" s="41">
        <f>IF(N('Dvd Calendar'!$G$482)=0,"",IF(('Dvd Calendar'!$G$482&gt;=MIN(DATE(Summary!$C$12,1,1),Summary!$C$11))*('Dvd Calendar'!$G$482&lt;=MAX(DATE(Summary!$C$12,12,31),Summary!$C$15))*('Dvd Calendar'!$G$482&gt;Summary!$C$11)=0,"",'Dvd Calendar'!$G$482*1000000000+ISNUMBER('Dvd Calendar'!$G$483)*100000000+('Dvd Calendar'!$G$487='Field Check'!$C$25)*10000000+(N('Dvd Calendar'!$G$481)&gt;0)*1000000+32*1000+43))</f>
        <v/>
      </c>
      <c r="AT40" s="41">
        <f>IF(N('Dvd Calendar'!$H$482)=0,"",IF(('Dvd Calendar'!$H$482&gt;=MIN(DATE(Summary!$C$12,1,1),Summary!$C$11))*('Dvd Calendar'!$H$482&lt;=MAX(DATE(Summary!$C$12,12,31),Summary!$C$15))*('Dvd Calendar'!$H$482&gt;Summary!$C$11)=0,"",'Dvd Calendar'!$H$482*1000000000+ISNUMBER('Dvd Calendar'!$H$483)*100000000+('Dvd Calendar'!$H$487='Field Check'!$C$25)*10000000+(N('Dvd Calendar'!$H$481)&gt;0)*1000000+32*1000+44))</f>
        <v/>
      </c>
      <c r="AU40" s="41">
        <f>IF(N('Dvd Calendar'!$I$482)=0,"",IF(('Dvd Calendar'!$I$482&gt;=MIN(DATE(Summary!$C$12,1,1),Summary!$C$11))*('Dvd Calendar'!$I$482&lt;=MAX(DATE(Summary!$C$12,12,31),Summary!$C$15))*('Dvd Calendar'!$I$482&gt;Summary!$C$11)=0,"",'Dvd Calendar'!$I$482*1000000000+ISNUMBER('Dvd Calendar'!$I$483)*100000000+('Dvd Calendar'!$I$487='Field Check'!$C$25)*10000000+(N('Dvd Calendar'!$I$481)&gt;0)*1000000+32*1000+45))</f>
        <v/>
      </c>
      <c r="AV40" s="41">
        <f>IF(N('Dvd Calendar'!$J$482)=0,"",IF(('Dvd Calendar'!$J$482&gt;=MIN(DATE(Summary!$C$12,1,1),Summary!$C$11))*('Dvd Calendar'!$J$482&lt;=MAX(DATE(Summary!$C$12,12,31),Summary!$C$15))*('Dvd Calendar'!$J$482&gt;Summary!$C$11)=0,"",'Dvd Calendar'!$J$482*1000000000+ISNUMBER('Dvd Calendar'!$J$483)*100000000+('Dvd Calendar'!$J$487='Field Check'!$C$25)*10000000+(N('Dvd Calendar'!$J$481)&gt;0)*1000000+32*1000+46))</f>
        <v/>
      </c>
      <c r="AW40" s="41">
        <f>IF(N('Dvd Calendar'!$K$482)=0,"",IF(('Dvd Calendar'!$K$482&gt;=MIN(DATE(Summary!$C$12,1,1),Summary!$C$11))*('Dvd Calendar'!$K$482&lt;=MAX(DATE(Summary!$C$12,12,31),Summary!$C$15))*('Dvd Calendar'!$K$482&gt;Summary!$C$11)=0,"",'Dvd Calendar'!$K$482*1000000000+ISNUMBER('Dvd Calendar'!$K$483)*100000000+('Dvd Calendar'!$K$487='Field Check'!$C$25)*10000000+(N('Dvd Calendar'!$K$481)&gt;0)*1000000+32*1000+47))</f>
        <v/>
      </c>
      <c r="AX40" s="41">
        <f>IF(N('Dvd Calendar'!$L$482)=0,"",IF(('Dvd Calendar'!$L$482&gt;=MIN(DATE(Summary!$C$12,1,1),Summary!$C$11))*('Dvd Calendar'!$L$482&lt;=MAX(DATE(Summary!$C$12,12,31),Summary!$C$15))*('Dvd Calendar'!$L$482&gt;Summary!$C$11)=0,"",'Dvd Calendar'!$L$482*1000000000+ISNUMBER('Dvd Calendar'!$L$483)*100000000+('Dvd Calendar'!$L$487='Field Check'!$C$25)*10000000+(N('Dvd Calendar'!$L$481)&gt;0)*1000000+32*1000+48))</f>
        <v/>
      </c>
      <c r="AY40" s="41">
        <f>IF(N('Dvd Calendar'!$M$482)=0,"",IF(('Dvd Calendar'!$M$482&gt;=MIN(DATE(Summary!$C$12,1,1),Summary!$C$11))*('Dvd Calendar'!$M$482&lt;=MAX(DATE(Summary!$C$12,12,31),Summary!$C$15))*('Dvd Calendar'!$M$482&gt;Summary!$C$11)=0,"",'Dvd Calendar'!$M$482*1000000000+ISNUMBER('Dvd Calendar'!$M$483)*100000000+('Dvd Calendar'!$M$487='Field Check'!$C$25)*10000000+(N('Dvd Calendar'!$M$481)&gt;0)*1000000+32*1000+49))</f>
        <v/>
      </c>
      <c r="AZ40" s="41">
        <f>IF(N('Dvd Calendar'!$N$482)=0,"",IF(('Dvd Calendar'!$N$482&gt;=MIN(DATE(Summary!$C$12,1,1),Summary!$C$11))*('Dvd Calendar'!$N$482&lt;=MAX(DATE(Summary!$C$12,12,31),Summary!$C$15))*('Dvd Calendar'!$N$482&gt;Summary!$C$11)=0,"",'Dvd Calendar'!$N$482*1000000000+ISNUMBER('Dvd Calendar'!$N$483)*100000000+('Dvd Calendar'!$N$487='Field Check'!$C$25)*10000000+(N('Dvd Calendar'!$N$481)&gt;0)*1000000+32*1000+50))</f>
        <v/>
      </c>
      <c r="BA40" s="41">
        <f>IF(N('Dvd Calendar'!$O$482)=0,"",IF(('Dvd Calendar'!$O$482&gt;=MIN(DATE(Summary!$C$12,1,1),Summary!$C$11))*('Dvd Calendar'!$O$482&lt;=MAX(DATE(Summary!$C$12,12,31),Summary!$C$15))*('Dvd Calendar'!$O$482&gt;Summary!$C$11)=0,"",'Dvd Calendar'!$O$482*1000000000+ISNUMBER('Dvd Calendar'!$O$483)*100000000+('Dvd Calendar'!$O$487='Field Check'!$C$25)*10000000+(N('Dvd Calendar'!$O$481)&gt;0)*1000000+32*1000+51))</f>
        <v/>
      </c>
      <c r="BB40" s="41">
        <f>IF(N('Dvd Calendar'!$P$482)=0,"",IF(('Dvd Calendar'!$P$482&gt;=MIN(DATE(Summary!$C$12,1,1),Summary!$C$11))*('Dvd Calendar'!$P$482&lt;=MAX(DATE(Summary!$C$12,12,31),Summary!$C$15))*('Dvd Calendar'!$P$482&gt;Summary!$C$11)=0,"",'Dvd Calendar'!$P$482*1000000000+ISNUMBER('Dvd Calendar'!$P$483)*100000000+('Dvd Calendar'!$P$487='Field Check'!$C$25)*10000000+(N('Dvd Calendar'!$P$481)&gt;0)*1000000+32*1000+52))</f>
        <v/>
      </c>
      <c r="BC40" s="41">
        <f>IF(N('Dvd Calendar'!$Q$482)=0,"",IF(('Dvd Calendar'!$Q$482&gt;=MIN(DATE(Summary!$C$12,1,1),Summary!$C$11))*('Dvd Calendar'!$Q$482&lt;=MAX(DATE(Summary!$C$12,12,31),Summary!$C$15))*('Dvd Calendar'!$Q$482&gt;Summary!$C$11)=0,"",'Dvd Calendar'!$Q$482*1000000000+ISNUMBER('Dvd Calendar'!$Q$483)*100000000+('Dvd Calendar'!$Q$487='Field Check'!$C$25)*10000000+(N('Dvd Calendar'!$Q$481)&gt;0)*1000000+32*1000+53))</f>
        <v/>
      </c>
      <c r="BD40" s="41">
        <f>IF(N('Dvd Calendar'!$R$482)=0,"",IF(('Dvd Calendar'!$R$482&gt;=MIN(DATE(Summary!$C$12,1,1),Summary!$C$11))*('Dvd Calendar'!$R$482&lt;=MAX(DATE(Summary!$C$12,12,31),Summary!$C$15))*('Dvd Calendar'!$R$482&gt;Summary!$C$11)=0,"",'Dvd Calendar'!$R$482*1000000000+ISNUMBER('Dvd Calendar'!$R$483)*100000000+('Dvd Calendar'!$R$487='Field Check'!$C$25)*10000000+(N('Dvd Calendar'!$R$481)&gt;0)*1000000+32*1000+54))</f>
        <v/>
      </c>
      <c r="BE40" s="41">
        <f>IF(N('Dvd Calendar'!$S$482)=0,"",IF(('Dvd Calendar'!$S$482&gt;=MIN(DATE(Summary!$C$12,1,1),Summary!$C$11))*('Dvd Calendar'!$S$482&lt;=MAX(DATE(Summary!$C$12,12,31),Summary!$C$15))*('Dvd Calendar'!$S$482&gt;Summary!$C$11)=0,"",'Dvd Calendar'!$S$482*1000000000+ISNUMBER('Dvd Calendar'!$S$483)*100000000+('Dvd Calendar'!$S$487='Field Check'!$C$25)*10000000+(N('Dvd Calendar'!$S$481)&gt;0)*1000000+32*1000+55))</f>
        <v/>
      </c>
      <c r="BF40" s="41">
        <f>IF(N('Dvd Calendar'!$T$482)=0,"",IF(('Dvd Calendar'!$T$482&gt;=MIN(DATE(Summary!$C$12,1,1),Summary!$C$11))*('Dvd Calendar'!$T$482&lt;=MAX(DATE(Summary!$C$12,12,31),Summary!$C$15))*('Dvd Calendar'!$T$482&gt;Summary!$C$11)=0,"",'Dvd Calendar'!$T$482*1000000000+ISNUMBER('Dvd Calendar'!$T$483)*100000000+('Dvd Calendar'!$T$487='Field Check'!$C$25)*10000000+(N('Dvd Calendar'!$T$481)&gt;0)*1000000+32*1000+56))</f>
        <v/>
      </c>
      <c r="BG40" s="41">
        <f>IF(N('Dvd Calendar'!$U$482)=0,"",IF(('Dvd Calendar'!$U$482&gt;=MIN(DATE(Summary!$C$12,1,1),Summary!$C$11))*('Dvd Calendar'!$U$482&lt;=MAX(DATE(Summary!$C$12,12,31),Summary!$C$15))*('Dvd Calendar'!$U$482&gt;Summary!$C$11)=0,"",'Dvd Calendar'!$U$482*1000000000+ISNUMBER('Dvd Calendar'!$U$483)*100000000+('Dvd Calendar'!$U$487='Field Check'!$C$25)*10000000+(N('Dvd Calendar'!$U$481)&gt;0)*1000000+32*1000+57))</f>
        <v/>
      </c>
      <c r="BH40" s="41">
        <f>IF(N('Dvd Calendar'!$V$482)=0,"",IF(('Dvd Calendar'!$V$482&gt;=MIN(DATE(Summary!$C$12,1,1),Summary!$C$11))*('Dvd Calendar'!$V$482&lt;=MAX(DATE(Summary!$C$12,12,31),Summary!$C$15))*('Dvd Calendar'!$V$482&gt;Summary!$C$11)=0,"",'Dvd Calendar'!$V$482*1000000000+ISNUMBER('Dvd Calendar'!$V$483)*100000000+('Dvd Calendar'!$V$487='Field Check'!$C$25)*10000000+(N('Dvd Calendar'!$V$481)&gt;0)*1000000+32*1000+58))</f>
        <v/>
      </c>
      <c r="BI40" s="41">
        <f>IF(N('Dvd Calendar'!$W$482)=0,"",IF(('Dvd Calendar'!$W$482&gt;=MIN(DATE(Summary!$C$12,1,1),Summary!$C$11))*('Dvd Calendar'!$W$482&lt;=MAX(DATE(Summary!$C$12,12,31),Summary!$C$15))*('Dvd Calendar'!$W$482&gt;Summary!$C$11)=0,"",'Dvd Calendar'!$W$482*1000000000+ISNUMBER('Dvd Calendar'!$W$483)*100000000+('Dvd Calendar'!$W$487='Field Check'!$C$25)*10000000+(N('Dvd Calendar'!$W$481)&gt;0)*1000000+32*1000+59))</f>
        <v/>
      </c>
      <c r="BJ40" s="41">
        <f>IF(N('Dvd Calendar'!$X$482)=0,"",IF(('Dvd Calendar'!$X$482&gt;=MIN(DATE(Summary!$C$12,1,1),Summary!$C$11))*('Dvd Calendar'!$X$482&lt;=MAX(DATE(Summary!$C$12,12,31),Summary!$C$15))*('Dvd Calendar'!$X$482&gt;Summary!$C$11)=0,"",'Dvd Calendar'!$X$482*1000000000+ISNUMBER('Dvd Calendar'!$X$483)*100000000+('Dvd Calendar'!$X$487='Field Check'!$C$25)*10000000+(N('Dvd Calendar'!$X$481)&gt;0)*1000000+32*1000+60))</f>
        <v/>
      </c>
      <c r="BK40" s="41">
        <f>IF(N('Dvd Calendar'!$Y$482)=0,"",IF(('Dvd Calendar'!$Y$482&gt;=MIN(DATE(Summary!$C$12,1,1),Summary!$C$11))*('Dvd Calendar'!$Y$482&lt;=MAX(DATE(Summary!$C$12,12,31),Summary!$C$15))*('Dvd Calendar'!$Y$482&gt;Summary!$C$11)=0,"",'Dvd Calendar'!$Y$482*1000000000+ISNUMBER('Dvd Calendar'!$Y$483)*100000000+('Dvd Calendar'!$Y$487='Field Check'!$C$25)*10000000+(N('Dvd Calendar'!$Y$481)&gt;0)*1000000+32*1000+61))</f>
        <v/>
      </c>
      <c r="BL40" s="41">
        <f>IF(N('Dvd Calendar'!$Z$482)=0,"",IF(('Dvd Calendar'!$Z$482&gt;=MIN(DATE(Summary!$C$12,1,1),Summary!$C$11))*('Dvd Calendar'!$Z$482&lt;=MAX(DATE(Summary!$C$12,12,31),Summary!$C$15))*('Dvd Calendar'!$Z$482&gt;Summary!$C$11)=0,"",'Dvd Calendar'!$Z$482*1000000000+ISNUMBER('Dvd Calendar'!$Z$483)*100000000+('Dvd Calendar'!$Z$487='Field Check'!$C$25)*10000000+(N('Dvd Calendar'!$Z$481)&gt;0)*1000000+32*1000+62))</f>
        <v/>
      </c>
      <c r="BM40" s="41">
        <f>IF(N('Dvd Calendar'!$AA$482)=0,"",IF(('Dvd Calendar'!$AA$482&gt;=MIN(DATE(Summary!$C$12,1,1),Summary!$C$11))*('Dvd Calendar'!$AA$482&lt;=MAX(DATE(Summary!$C$12,12,31),Summary!$C$15))*('Dvd Calendar'!$AA$482&gt;Summary!$C$11)=0,"",'Dvd Calendar'!$AA$482*1000000000+ISNUMBER('Dvd Calendar'!$AA$483)*100000000+('Dvd Calendar'!$AA$487='Field Check'!$C$25)*10000000+(N('Dvd Calendar'!$AA$481)&gt;0)*1000000+32*1000+63))</f>
        <v/>
      </c>
      <c r="BN40" s="41">
        <f>IF(N('Dvd Calendar'!$AB$482)=0,"",IF(('Dvd Calendar'!$AB$482&gt;=MIN(DATE(Summary!$C$12,1,1),Summary!$C$11))*('Dvd Calendar'!$AB$482&lt;=MAX(DATE(Summary!$C$12,12,31),Summary!$C$15))*('Dvd Calendar'!$AB$482&gt;Summary!$C$11)=0,"",'Dvd Calendar'!$AB$482*1000000000+ISNUMBER('Dvd Calendar'!$AB$483)*100000000+('Dvd Calendar'!$AB$487='Field Check'!$C$25)*10000000+(N('Dvd Calendar'!$AB$481)&gt;0)*1000000+32*1000+64))</f>
        <v/>
      </c>
      <c r="BO40" s="41">
        <f>IF(N('Dvd Calendar'!$AC$482)=0,"",IF(('Dvd Calendar'!$AC$482&gt;=MIN(DATE(Summary!$C$12,1,1),Summary!$C$11))*('Dvd Calendar'!$AC$482&lt;=MAX(DATE(Summary!$C$12,12,31),Summary!$C$15))*('Dvd Calendar'!$AC$482&gt;Summary!$C$11)=0,"",'Dvd Calendar'!$AC$482*1000000000+ISNUMBER('Dvd Calendar'!$AC$483)*100000000+('Dvd Calendar'!$AC$487='Field Check'!$C$25)*10000000+(N('Dvd Calendar'!$AC$481)&gt;0)*1000000+32*1000+65))</f>
        <v/>
      </c>
      <c r="BQ40" s="85">
        <f>IF(C40="","",IF(ISNUMBER('Dvd Calendar'!$E$476)=FALSE,"",IF((Summary!$C$13="N")*('Dvd Calendar'!$E$480='Field Check'!$C$25)&gt;0,"",'Dvd Calendar'!$E$476)))</f>
        <v/>
      </c>
      <c r="BR40" s="85">
        <f>IF(D40="","",IF(ISNUMBER('Dvd Calendar'!$F$476)=FALSE,"",IF((Summary!$C$13="N")*('Dvd Calendar'!$F$480='Field Check'!$C$25)&gt;0,"",'Dvd Calendar'!$F$476)))</f>
        <v/>
      </c>
      <c r="BS40" s="85">
        <f>IF(E40="","",IF(ISNUMBER('Dvd Calendar'!$G$476)=FALSE,"",IF((Summary!$C$13="N")*('Dvd Calendar'!$G$480='Field Check'!$C$25)&gt;0,"",'Dvd Calendar'!$G$476)))</f>
        <v/>
      </c>
      <c r="BT40" s="85">
        <f>IF(F40="","",IF(ISNUMBER('Dvd Calendar'!$H$476)=FALSE,"",IF((Summary!$C$13="N")*('Dvd Calendar'!$H$480='Field Check'!$C$25)&gt;0,"",'Dvd Calendar'!$H$476)))</f>
        <v/>
      </c>
      <c r="BU40" s="85">
        <f>IF(G40="","",IF(ISNUMBER('Dvd Calendar'!$I$476)=FALSE,"",IF((Summary!$C$13="N")*('Dvd Calendar'!$I$480='Field Check'!$C$25)&gt;0,"",'Dvd Calendar'!$I$476)))</f>
        <v/>
      </c>
      <c r="BV40" s="85">
        <f>IF(H40="","",IF(ISNUMBER('Dvd Calendar'!$J$476)=FALSE,"",IF((Summary!$C$13="N")*('Dvd Calendar'!$J$480='Field Check'!$C$25)&gt;0,"",'Dvd Calendar'!$J$476)))</f>
        <v/>
      </c>
      <c r="BW40" s="85">
        <f>IF(I40="","",IF(ISNUMBER('Dvd Calendar'!$K$476)=FALSE,"",IF((Summary!$C$13="N")*('Dvd Calendar'!$K$480='Field Check'!$C$25)&gt;0,"",'Dvd Calendar'!$K$476)))</f>
        <v/>
      </c>
      <c r="BX40" s="85">
        <f>IF(J40="","",IF(ISNUMBER('Dvd Calendar'!$L$476)=FALSE,"",IF((Summary!$C$13="N")*('Dvd Calendar'!$L$480='Field Check'!$C$25)&gt;0,"",'Dvd Calendar'!$L$476)))</f>
        <v/>
      </c>
      <c r="BY40" s="85">
        <f>IF(K40="","",IF(ISNUMBER('Dvd Calendar'!$M$476)=FALSE,"",IF((Summary!$C$13="N")*('Dvd Calendar'!$M$480='Field Check'!$C$25)&gt;0,"",'Dvd Calendar'!$M$476)))</f>
        <v/>
      </c>
      <c r="BZ40" s="85">
        <f>IF(L40="","",IF(ISNUMBER('Dvd Calendar'!$N$476)=FALSE,"",IF((Summary!$C$13="N")*('Dvd Calendar'!$N$480='Field Check'!$C$25)&gt;0,"",'Dvd Calendar'!$N$476)))</f>
        <v/>
      </c>
      <c r="CA40" s="85">
        <f>IF(M40="","",IF(ISNUMBER('Dvd Calendar'!$O$476)=FALSE,"",IF((Summary!$C$13="N")*('Dvd Calendar'!$O$480='Field Check'!$C$25)&gt;0,"",'Dvd Calendar'!$O$476)))</f>
        <v/>
      </c>
      <c r="CB40" s="85">
        <f>IF(N40="","",IF(ISNUMBER('Dvd Calendar'!$P$476)=FALSE,"",IF((Summary!$C$13="N")*('Dvd Calendar'!$P$480='Field Check'!$C$25)&gt;0,"",'Dvd Calendar'!$P$476)))</f>
        <v/>
      </c>
      <c r="CC40" s="85">
        <f>IF(O40="","",IF(ISNUMBER('Dvd Calendar'!$Q$476)=FALSE,"",IF((Summary!$C$13="N")*('Dvd Calendar'!$Q$480='Field Check'!$C$25)&gt;0,"",'Dvd Calendar'!$Q$476)))</f>
        <v/>
      </c>
      <c r="CD40" s="85">
        <f>IF(P40="","",IF(ISNUMBER('Dvd Calendar'!$R$476)=FALSE,"",IF((Summary!$C$13="N")*('Dvd Calendar'!$R$480='Field Check'!$C$25)&gt;0,"",'Dvd Calendar'!$R$476)))</f>
        <v/>
      </c>
      <c r="CE40" s="85">
        <f>IF(Q40="","",IF(ISNUMBER('Dvd Calendar'!$S$476)=FALSE,"",IF((Summary!$C$13="N")*('Dvd Calendar'!$S$480='Field Check'!$C$25)&gt;0,"",'Dvd Calendar'!$S$476)))</f>
        <v/>
      </c>
      <c r="CF40" s="85">
        <f>IF(R40="","",IF(ISNUMBER('Dvd Calendar'!$T$476)=FALSE,"",IF((Summary!$C$13="N")*('Dvd Calendar'!$T$480='Field Check'!$C$25)&gt;0,"",'Dvd Calendar'!$T$476)))</f>
        <v/>
      </c>
      <c r="CG40" s="85">
        <f>IF(S40="","",IF(ISNUMBER('Dvd Calendar'!$U$476)=FALSE,"",IF((Summary!$C$13="N")*('Dvd Calendar'!$U$480='Field Check'!$C$25)&gt;0,"",'Dvd Calendar'!$U$476)))</f>
        <v/>
      </c>
      <c r="CH40" s="85">
        <f>IF(T40="","",IF(ISNUMBER('Dvd Calendar'!$V$476)=FALSE,"",IF((Summary!$C$13="N")*('Dvd Calendar'!$V$480='Field Check'!$C$25)&gt;0,"",'Dvd Calendar'!$V$476)))</f>
        <v/>
      </c>
      <c r="CI40" s="85">
        <f>IF(U40="","",IF(ISNUMBER('Dvd Calendar'!$W$476)=FALSE,"",IF((Summary!$C$13="N")*('Dvd Calendar'!$W$480='Field Check'!$C$25)&gt;0,"",'Dvd Calendar'!$W$476)))</f>
        <v/>
      </c>
      <c r="CJ40" s="85">
        <f>IF(V40="","",IF(ISNUMBER('Dvd Calendar'!$X$476)=FALSE,"",IF((Summary!$C$13="N")*('Dvd Calendar'!$X$480='Field Check'!$C$25)&gt;0,"",'Dvd Calendar'!$X$476)))</f>
        <v/>
      </c>
      <c r="CK40" s="85">
        <f>IF(W40="","",IF(ISNUMBER('Dvd Calendar'!$Y$476)=FALSE,"",IF((Summary!$C$13="N")*('Dvd Calendar'!$Y$480='Field Check'!$C$25)&gt;0,"",'Dvd Calendar'!$Y$476)))</f>
        <v/>
      </c>
      <c r="CL40" s="85">
        <f>IF(X40="","",IF(ISNUMBER('Dvd Calendar'!$Z$476)=FALSE,"",IF((Summary!$C$13="N")*('Dvd Calendar'!$Z$480='Field Check'!$C$25)&gt;0,"",'Dvd Calendar'!$Z$476)))</f>
        <v/>
      </c>
      <c r="CM40" s="85">
        <f>IF(Y40="","",IF(ISNUMBER('Dvd Calendar'!$AA$476)=FALSE,"",IF((Summary!$C$13="N")*('Dvd Calendar'!$AA$480='Field Check'!$C$25)&gt;0,"",'Dvd Calendar'!$AA$476)))</f>
        <v/>
      </c>
      <c r="CN40" s="85">
        <f>IF(Z40="","",IF(ISNUMBER('Dvd Calendar'!$AB$476)=FALSE,"",IF((Summary!$C$13="N")*('Dvd Calendar'!$AB$480='Field Check'!$C$25)&gt;0,"",'Dvd Calendar'!$AB$476)))</f>
        <v/>
      </c>
      <c r="CO40" s="85">
        <f>IF(AA40="","",IF(ISNUMBER('Dvd Calendar'!$AC$476)=FALSE,"",IF((Summary!$C$13="N")*('Dvd Calendar'!$AC$480='Field Check'!$C$25)&gt;0,"",'Dvd Calendar'!$AC$476)))</f>
        <v/>
      </c>
      <c r="CP40" s="85">
        <f>IF(AB40="","",IF(ISNUMBER('Dvd Calendar'!$AD$476)=FALSE,"",IF((Summary!$C$13="N")*('Dvd Calendar'!$AD$480='Field Check'!$C$25)&gt;0,"",'Dvd Calendar'!$AD$476)))</f>
        <v/>
      </c>
      <c r="CQ40" s="85">
        <f>IF(AC40="","",IF(ISNUMBER('Dvd Calendar'!$AE$476)=FALSE,"",IF((Summary!$C$13="N")*('Dvd Calendar'!$AE$480='Field Check'!$C$25)&gt;0,"",'Dvd Calendar'!$AE$476)))</f>
        <v/>
      </c>
      <c r="CR40" s="85">
        <f>IF(AD40="","",IF(ISNUMBER('Dvd Calendar'!$AF$476)=FALSE,"",IF((Summary!$C$13="N")*('Dvd Calendar'!$AF$480='Field Check'!$C$25)&gt;0,"",'Dvd Calendar'!$AF$476)))</f>
        <v/>
      </c>
      <c r="CS40" s="85">
        <f>IF(AE40="","",IF(ISNUMBER('Dvd Calendar'!$AG$476)=FALSE,"",IF((Summary!$C$13="N")*('Dvd Calendar'!$AG$480='Field Check'!$C$25)&gt;0,"",'Dvd Calendar'!$AG$476)))</f>
        <v/>
      </c>
      <c r="CT40" s="85">
        <f>IF(AF40="","",IF(ISNUMBER('Dvd Calendar'!$AH$476)=FALSE,"",IF((Summary!$C$13="N")*('Dvd Calendar'!$AH$480='Field Check'!$C$25)&gt;0,"",'Dvd Calendar'!$AH$476)))</f>
        <v/>
      </c>
      <c r="CU40" s="85">
        <f>IF(AG40="","",IF(ISNUMBER('Dvd Calendar'!$AI$476)=FALSE,"",IF((Summary!$C$13="N")*('Dvd Calendar'!$AI$480='Field Check'!$C$25)&gt;0,"",'Dvd Calendar'!$AI$476)))</f>
        <v/>
      </c>
      <c r="CV40" s="85">
        <f>IF(AH40="","",IF(ISNUMBER('Dvd Calendar'!$AJ$476)=FALSE,"",IF((Summary!$C$13="N")*('Dvd Calendar'!$AJ$480='Field Check'!$C$25)&gt;0,"",'Dvd Calendar'!$AJ$476)))</f>
        <v/>
      </c>
      <c r="CW40" s="85">
        <f>IF(AI40="","",IF(ISNUMBER('Dvd Calendar'!$AK$476)=FALSE,"",IF((Summary!$C$13="N")*('Dvd Calendar'!$AK$480='Field Check'!$C$25)&gt;0,"",'Dvd Calendar'!$AK$476)))</f>
        <v/>
      </c>
      <c r="CX40" s="85">
        <f>IF(AJ40="","",IF(ISNUMBER('Dvd Calendar'!$AL$476)=FALSE,"",IF((Summary!$C$13="N")*('Dvd Calendar'!$AL$480='Field Check'!$C$25)&gt;0,"",'Dvd Calendar'!$AL$476)))</f>
        <v/>
      </c>
      <c r="CY40" s="85">
        <f>IF(AK40="","",IF(ISNUMBER('Dvd Calendar'!$AM$476)=FALSE,"",IF((Summary!$C$13="N")*('Dvd Calendar'!$AM$480='Field Check'!$C$25)&gt;0,"",'Dvd Calendar'!$AM$476)))</f>
        <v/>
      </c>
      <c r="CZ40" s="85">
        <f>IF(AL40="","",IF(ISNUMBER('Dvd Calendar'!$AN$476)=FALSE,"",IF((Summary!$C$13="N")*('Dvd Calendar'!$AN$480='Field Check'!$C$25)&gt;0,"",'Dvd Calendar'!$AN$476)))</f>
        <v/>
      </c>
      <c r="DA40" s="85">
        <f>IF(AM40="","",IF(ISNUMBER('Dvd Calendar'!$AO$476)=FALSE,"",IF((Summary!$C$13="N")*('Dvd Calendar'!$AO$480='Field Check'!$C$25)&gt;0,"",'Dvd Calendar'!$AO$476)))</f>
        <v/>
      </c>
      <c r="DB40" s="85">
        <f>IF(AN40="","",IF(ISNUMBER('Dvd Calendar'!$AP$476)=FALSE,"",IF((Summary!$C$13="N")*('Dvd Calendar'!$AP$480='Field Check'!$C$25)&gt;0,"",'Dvd Calendar'!$AP$476)))</f>
        <v/>
      </c>
      <c r="DC40" s="85">
        <f>IF(AO40="","",IF(ISNUMBER('Dvd Calendar'!$AQ$476)=FALSE,"",IF((Summary!$C$13="N")*('Dvd Calendar'!$AQ$480='Field Check'!$C$25)&gt;0,"",'Dvd Calendar'!$AQ$476)))</f>
        <v/>
      </c>
      <c r="DD40" s="85">
        <f>IF(AP40="","",IF(ISNUMBER('Dvd Calendar'!$AR$476)=FALSE,"",IF((Summary!$C$13="N")*('Dvd Calendar'!$AR$480='Field Check'!$C$25)&gt;0,"",'Dvd Calendar'!$AR$476)))</f>
        <v/>
      </c>
      <c r="DE40" s="85">
        <f>IF(AQ40="","",IF(ISNUMBER('Dvd Calendar'!$E$483)=FALSE,"",IF((Summary!$C$13="N")*('Dvd Calendar'!$E$487='Field Check'!$C$25)&gt;0,"",'Dvd Calendar'!$E$483)))</f>
        <v/>
      </c>
      <c r="DF40" s="85">
        <f>IF(AR40="","",IF(ISNUMBER('Dvd Calendar'!$F$483)=FALSE,"",IF((Summary!$C$13="N")*('Dvd Calendar'!$F$487='Field Check'!$C$25)&gt;0,"",'Dvd Calendar'!$F$483)))</f>
        <v/>
      </c>
      <c r="DG40" s="85">
        <f>IF(AS40="","",IF(ISNUMBER('Dvd Calendar'!$G$483)=FALSE,"",IF((Summary!$C$13="N")*('Dvd Calendar'!$G$487='Field Check'!$C$25)&gt;0,"",'Dvd Calendar'!$G$483)))</f>
        <v/>
      </c>
      <c r="DH40" s="85">
        <f>IF(AT40="","",IF(ISNUMBER('Dvd Calendar'!$H$483)=FALSE,"",IF((Summary!$C$13="N")*('Dvd Calendar'!$H$487='Field Check'!$C$25)&gt;0,"",'Dvd Calendar'!$H$483)))</f>
        <v/>
      </c>
      <c r="DI40" s="85">
        <f>IF(AU40="","",IF(ISNUMBER('Dvd Calendar'!$I$483)=FALSE,"",IF((Summary!$C$13="N")*('Dvd Calendar'!$I$487='Field Check'!$C$25)&gt;0,"",'Dvd Calendar'!$I$483)))</f>
        <v/>
      </c>
      <c r="DJ40" s="85">
        <f>IF(AV40="","",IF(ISNUMBER('Dvd Calendar'!$J$483)=FALSE,"",IF((Summary!$C$13="N")*('Dvd Calendar'!$J$487='Field Check'!$C$25)&gt;0,"",'Dvd Calendar'!$J$483)))</f>
        <v/>
      </c>
      <c r="DK40" s="85">
        <f>IF(AW40="","",IF(ISNUMBER('Dvd Calendar'!$K$483)=FALSE,"",IF((Summary!$C$13="N")*('Dvd Calendar'!$K$487='Field Check'!$C$25)&gt;0,"",'Dvd Calendar'!$K$483)))</f>
        <v/>
      </c>
      <c r="DL40" s="85">
        <f>IF(AX40="","",IF(ISNUMBER('Dvd Calendar'!$L$483)=FALSE,"",IF((Summary!$C$13="N")*('Dvd Calendar'!$L$487='Field Check'!$C$25)&gt;0,"",'Dvd Calendar'!$L$483)))</f>
        <v/>
      </c>
      <c r="DM40" s="85">
        <f>IF(AY40="","",IF(ISNUMBER('Dvd Calendar'!$M$483)=FALSE,"",IF((Summary!$C$13="N")*('Dvd Calendar'!$M$487='Field Check'!$C$25)&gt;0,"",'Dvd Calendar'!$M$483)))</f>
        <v/>
      </c>
      <c r="DN40" s="85">
        <f>IF(AZ40="","",IF(ISNUMBER('Dvd Calendar'!$N$483)=FALSE,"",IF((Summary!$C$13="N")*('Dvd Calendar'!$N$487='Field Check'!$C$25)&gt;0,"",'Dvd Calendar'!$N$483)))</f>
        <v/>
      </c>
      <c r="DO40" s="85">
        <f>IF(BA40="","",IF(ISNUMBER('Dvd Calendar'!$O$483)=FALSE,"",IF((Summary!$C$13="N")*('Dvd Calendar'!$O$487='Field Check'!$C$25)&gt;0,"",'Dvd Calendar'!$O$483)))</f>
        <v/>
      </c>
      <c r="DP40" s="85">
        <f>IF(BB40="","",IF(ISNUMBER('Dvd Calendar'!$P$483)=FALSE,"",IF((Summary!$C$13="N")*('Dvd Calendar'!$P$487='Field Check'!$C$25)&gt;0,"",'Dvd Calendar'!$P$483)))</f>
        <v/>
      </c>
      <c r="DQ40" s="85">
        <f>IF(BC40="","",IF(ISNUMBER('Dvd Calendar'!$Q$483)=FALSE,"",IF((Summary!$C$13="N")*('Dvd Calendar'!$Q$487='Field Check'!$C$25)&gt;0,"",'Dvd Calendar'!$Q$483)))</f>
        <v/>
      </c>
      <c r="DR40" s="85">
        <f>IF(BD40="","",IF(ISNUMBER('Dvd Calendar'!$R$483)=FALSE,"",IF((Summary!$C$13="N")*('Dvd Calendar'!$R$487='Field Check'!$C$25)&gt;0,"",'Dvd Calendar'!$R$483)))</f>
        <v/>
      </c>
      <c r="DS40" s="85">
        <f>IF(BE40="","",IF(ISNUMBER('Dvd Calendar'!$S$483)=FALSE,"",IF((Summary!$C$13="N")*('Dvd Calendar'!$S$487='Field Check'!$C$25)&gt;0,"",'Dvd Calendar'!$S$483)))</f>
        <v/>
      </c>
      <c r="DT40" s="85">
        <f>IF(BF40="","",IF(ISNUMBER('Dvd Calendar'!$T$483)=FALSE,"",IF((Summary!$C$13="N")*('Dvd Calendar'!$T$487='Field Check'!$C$25)&gt;0,"",'Dvd Calendar'!$T$483)))</f>
        <v/>
      </c>
      <c r="DU40" s="85">
        <f>IF(BG40="","",IF(ISNUMBER('Dvd Calendar'!$U$483)=FALSE,"",IF((Summary!$C$13="N")*('Dvd Calendar'!$U$487='Field Check'!$C$25)&gt;0,"",'Dvd Calendar'!$U$483)))</f>
        <v/>
      </c>
      <c r="DV40" s="85">
        <f>IF(BH40="","",IF(ISNUMBER('Dvd Calendar'!$V$483)=FALSE,"",IF((Summary!$C$13="N")*('Dvd Calendar'!$V$487='Field Check'!$C$25)&gt;0,"",'Dvd Calendar'!$V$483)))</f>
        <v/>
      </c>
      <c r="DW40" s="85">
        <f>IF(BI40="","",IF(ISNUMBER('Dvd Calendar'!$W$483)=FALSE,"",IF((Summary!$C$13="N")*('Dvd Calendar'!$W$487='Field Check'!$C$25)&gt;0,"",'Dvd Calendar'!$W$483)))</f>
        <v/>
      </c>
      <c r="DX40" s="85">
        <f>IF(BJ40="","",IF(ISNUMBER('Dvd Calendar'!$X$483)=FALSE,"",IF((Summary!$C$13="N")*('Dvd Calendar'!$X$487='Field Check'!$C$25)&gt;0,"",'Dvd Calendar'!$X$483)))</f>
        <v/>
      </c>
      <c r="DY40" s="85">
        <f>IF(BK40="","",IF(ISNUMBER('Dvd Calendar'!$Y$483)=FALSE,"",IF((Summary!$C$13="N")*('Dvd Calendar'!$Y$487='Field Check'!$C$25)&gt;0,"",'Dvd Calendar'!$Y$483)))</f>
        <v/>
      </c>
      <c r="DZ40" s="85">
        <f>IF(BL40="","",IF(ISNUMBER('Dvd Calendar'!$Z$483)=FALSE,"",IF((Summary!$C$13="N")*('Dvd Calendar'!$Z$487='Field Check'!$C$25)&gt;0,"",'Dvd Calendar'!$Z$483)))</f>
        <v/>
      </c>
      <c r="EA40" s="85">
        <f>IF(BM40="","",IF(ISNUMBER('Dvd Calendar'!$AA$483)=FALSE,"",IF((Summary!$C$13="N")*('Dvd Calendar'!$AA$487='Field Check'!$C$25)&gt;0,"",'Dvd Calendar'!$AA$483)))</f>
        <v/>
      </c>
      <c r="EB40" s="85">
        <f>IF(BN40="","",IF(ISNUMBER('Dvd Calendar'!$AB$483)=FALSE,"",IF((Summary!$C$13="N")*('Dvd Calendar'!$AB$487='Field Check'!$C$25)&gt;0,"",'Dvd Calendar'!$AB$483)))</f>
        <v/>
      </c>
      <c r="EC40" s="85">
        <f>IF(BO40="","",IF(ISNUMBER('Dvd Calendar'!$AC$483)=FALSE,"",IF((Summary!$C$13="N")*('Dvd Calendar'!$AC$487='Field Check'!$C$25)&gt;0,"",'Dvd Calendar'!$AC$483)))</f>
        <v/>
      </c>
      <c r="EE40" s="85">
        <f>IF(BQ40="","",IFERROR(BQ40*HSI!$B$38*HSI!$G$38/HSI!$B$3,""))</f>
        <v/>
      </c>
      <c r="EF40" s="85">
        <f>IF(BR40="","",IFERROR(BR40*HSI!$B$38*HSI!$G$38/HSI!$B$3,""))</f>
        <v/>
      </c>
      <c r="EG40" s="85">
        <f>IF(BS40="","",IFERROR(BS40*HSI!$B$38*HSI!$G$38/HSI!$B$3,""))</f>
        <v/>
      </c>
      <c r="EH40" s="85">
        <f>IF(BT40="","",IFERROR(BT40*HSI!$B$38*HSI!$G$38/HSI!$B$3,""))</f>
        <v/>
      </c>
      <c r="EI40" s="85">
        <f>IF(BU40="","",IFERROR(BU40*HSI!$B$38*HSI!$G$38/HSI!$B$3,""))</f>
        <v/>
      </c>
      <c r="EJ40" s="85">
        <f>IF(BV40="","",IFERROR(BV40*HSI!$B$38*HSI!$G$38/HSI!$B$3,""))</f>
        <v/>
      </c>
      <c r="EK40" s="85">
        <f>IF(BW40="","",IFERROR(BW40*HSI!$B$38*HSI!$G$38/HSI!$B$3,""))</f>
        <v/>
      </c>
      <c r="EL40" s="85">
        <f>IF(BX40="","",IFERROR(BX40*HSI!$B$38*HSI!$G$38/HSI!$B$3,""))</f>
        <v/>
      </c>
      <c r="EM40" s="85">
        <f>IF(BY40="","",IFERROR(BY40*HSI!$B$38*HSI!$G$38/HSI!$B$3,""))</f>
        <v/>
      </c>
      <c r="EN40" s="85">
        <f>IF(BZ40="","",IFERROR(BZ40*HSI!$B$38*HSI!$G$38/HSI!$B$3,""))</f>
        <v/>
      </c>
      <c r="EO40" s="85">
        <f>IF(CA40="","",IFERROR(CA40*HSI!$B$38*HSI!$G$38/HSI!$B$3,""))</f>
        <v/>
      </c>
      <c r="EP40" s="85">
        <f>IF(CB40="","",IFERROR(CB40*HSI!$B$38*HSI!$G$38/HSI!$B$3,""))</f>
        <v/>
      </c>
      <c r="EQ40" s="85">
        <f>IF(CC40="","",IFERROR(CC40*HSI!$B$38*HSI!$G$38/HSI!$B$3,""))</f>
        <v/>
      </c>
      <c r="ER40" s="85">
        <f>IF(CD40="","",IFERROR(CD40*HSI!$B$38*HSI!$G$38/HSI!$B$3,""))</f>
        <v/>
      </c>
      <c r="ES40" s="85">
        <f>IF(CE40="","",IFERROR(CE40*HSI!$B$38*HSI!$G$38/HSI!$B$3,""))</f>
        <v/>
      </c>
      <c r="ET40" s="85">
        <f>IF(CF40="","",IFERROR(CF40*HSI!$B$38*HSI!$G$38/HSI!$B$3,""))</f>
        <v/>
      </c>
      <c r="EU40" s="85">
        <f>IF(CG40="","",IFERROR(CG40*HSI!$B$38*HSI!$G$38/HSI!$B$3,""))</f>
        <v/>
      </c>
      <c r="EV40" s="85">
        <f>IF(CH40="","",IFERROR(CH40*HSI!$B$38*HSI!$G$38/HSI!$B$3,""))</f>
        <v/>
      </c>
      <c r="EW40" s="85">
        <f>IF(CI40="","",IFERROR(CI40*HSI!$B$38*HSI!$G$38/HSI!$B$3,""))</f>
        <v/>
      </c>
      <c r="EX40" s="85">
        <f>IF(CJ40="","",IFERROR(CJ40*HSI!$B$38*HSI!$G$38/HSI!$B$3,""))</f>
        <v/>
      </c>
      <c r="EY40" s="85">
        <f>IF(CK40="","",IFERROR(CK40*HSI!$B$38*HSI!$G$38/HSI!$B$3,""))</f>
        <v/>
      </c>
      <c r="EZ40" s="85">
        <f>IF(CL40="","",IFERROR(CL40*HSI!$B$38*HSI!$G$38/HSI!$B$3,""))</f>
        <v/>
      </c>
      <c r="FA40" s="85">
        <f>IF(CM40="","",IFERROR(CM40*HSI!$B$38*HSI!$G$38/HSI!$B$3,""))</f>
        <v/>
      </c>
      <c r="FB40" s="85">
        <f>IF(CN40="","",IFERROR(CN40*HSI!$B$38*HSI!$G$38/HSI!$B$3,""))</f>
        <v/>
      </c>
      <c r="FC40" s="85">
        <f>IF(CO40="","",IFERROR(CO40*HSI!$B$38*HSI!$G$38/HSI!$B$3,""))</f>
        <v/>
      </c>
      <c r="FD40" s="85">
        <f>IF(CP40="","",IFERROR(CP40*HSI!$B$38*HSI!$G$38/HSI!$B$3,""))</f>
        <v/>
      </c>
      <c r="FE40" s="85">
        <f>IF(CQ40="","",IFERROR(CQ40*HSI!$B$38*HSI!$G$38/HSI!$B$3,""))</f>
        <v/>
      </c>
      <c r="FF40" s="85">
        <f>IF(CR40="","",IFERROR(CR40*HSI!$B$38*HSI!$G$38/HSI!$B$3,""))</f>
        <v/>
      </c>
      <c r="FG40" s="85">
        <f>IF(CS40="","",IFERROR(CS40*HSI!$B$38*HSI!$G$38/HSI!$B$3,""))</f>
        <v/>
      </c>
      <c r="FH40" s="85">
        <f>IF(CT40="","",IFERROR(CT40*HSI!$B$38*HSI!$G$38/HSI!$B$3,""))</f>
        <v/>
      </c>
      <c r="FI40" s="85">
        <f>IF(CU40="","",IFERROR(CU40*HSI!$B$38*HSI!$G$38/HSI!$B$3,""))</f>
        <v/>
      </c>
      <c r="FJ40" s="85">
        <f>IF(CV40="","",IFERROR(CV40*HSI!$B$38*HSI!$G$38/HSI!$B$3,""))</f>
        <v/>
      </c>
      <c r="FK40" s="85">
        <f>IF(CW40="","",IFERROR(CW40*HSI!$B$38*HSI!$G$38/HSI!$B$3,""))</f>
        <v/>
      </c>
      <c r="FL40" s="85">
        <f>IF(CX40="","",IFERROR(CX40*HSI!$B$38*HSI!$G$38/HSI!$B$3,""))</f>
        <v/>
      </c>
      <c r="FM40" s="85">
        <f>IF(CY40="","",IFERROR(CY40*HSI!$B$38*HSI!$G$38/HSI!$B$3,""))</f>
        <v/>
      </c>
      <c r="FN40" s="85">
        <f>IF(CZ40="","",IFERROR(CZ40*HSI!$B$38*HSI!$G$38/HSI!$B$3,""))</f>
        <v/>
      </c>
      <c r="FO40" s="85">
        <f>IF(DA40="","",IFERROR(DA40*HSI!$B$38*HSI!$G$38/HSI!$B$3,""))</f>
        <v/>
      </c>
      <c r="FP40" s="85">
        <f>IF(DB40="","",IFERROR(DB40*HSI!$B$38*HSI!$G$38/HSI!$B$3,""))</f>
        <v/>
      </c>
      <c r="FQ40" s="85">
        <f>IF(DC40="","",IFERROR(DC40*HSI!$B$38*HSI!$G$38/HSI!$B$3,""))</f>
        <v/>
      </c>
      <c r="FR40" s="85">
        <f>IF(DD40="","",IFERROR(DD40*HSI!$B$38*HSI!$G$38/HSI!$B$3,""))</f>
        <v/>
      </c>
      <c r="FS40" s="85">
        <f>IF(DE40="","",IFERROR(DE40*HSI!$B$38*HSI!$G$38/HSI!$B$3,""))</f>
        <v/>
      </c>
      <c r="FT40" s="85">
        <f>IF(DF40="","",IFERROR(DF40*HSI!$B$38*HSI!$G$38/HSI!$B$3,""))</f>
        <v/>
      </c>
      <c r="FU40" s="85">
        <f>IF(DG40="","",IFERROR(DG40*HSI!$B$38*HSI!$G$38/HSI!$B$3,""))</f>
        <v/>
      </c>
      <c r="FV40" s="85">
        <f>IF(DH40="","",IFERROR(DH40*HSI!$B$38*HSI!$G$38/HSI!$B$3,""))</f>
        <v/>
      </c>
      <c r="FW40" s="85">
        <f>IF(DI40="","",IFERROR(DI40*HSI!$B$38*HSI!$G$38/HSI!$B$3,""))</f>
        <v/>
      </c>
      <c r="FX40" s="85">
        <f>IF(DJ40="","",IFERROR(DJ40*HSI!$B$38*HSI!$G$38/HSI!$B$3,""))</f>
        <v/>
      </c>
      <c r="FY40" s="85">
        <f>IF(DK40="","",IFERROR(DK40*HSI!$B$38*HSI!$G$38/HSI!$B$3,""))</f>
        <v/>
      </c>
      <c r="FZ40" s="85">
        <f>IF(DL40="","",IFERROR(DL40*HSI!$B$38*HSI!$G$38/HSI!$B$3,""))</f>
        <v/>
      </c>
      <c r="GA40" s="85">
        <f>IF(DM40="","",IFERROR(DM40*HSI!$B$38*HSI!$G$38/HSI!$B$3,""))</f>
        <v/>
      </c>
      <c r="GB40" s="85">
        <f>IF(DN40="","",IFERROR(DN40*HSI!$B$38*HSI!$G$38/HSI!$B$3,""))</f>
        <v/>
      </c>
      <c r="GC40" s="85">
        <f>IF(DO40="","",IFERROR(DO40*HSI!$B$38*HSI!$G$38/HSI!$B$3,""))</f>
        <v/>
      </c>
      <c r="GD40" s="85">
        <f>IF(DP40="","",IFERROR(DP40*HSI!$B$38*HSI!$G$38/HSI!$B$3,""))</f>
        <v/>
      </c>
      <c r="GE40" s="85">
        <f>IF(DQ40="","",IFERROR(DQ40*HSI!$B$38*HSI!$G$38/HSI!$B$3,""))</f>
        <v/>
      </c>
      <c r="GF40" s="85">
        <f>IF(DR40="","",IFERROR(DR40*HSI!$B$38*HSI!$G$38/HSI!$B$3,""))</f>
        <v/>
      </c>
      <c r="GG40" s="85">
        <f>IF(DS40="","",IFERROR(DS40*HSI!$B$38*HSI!$G$38/HSI!$B$3,""))</f>
        <v/>
      </c>
      <c r="GH40" s="85">
        <f>IF(DT40="","",IFERROR(DT40*HSI!$B$38*HSI!$G$38/HSI!$B$3,""))</f>
        <v/>
      </c>
      <c r="GI40" s="85">
        <f>IF(DU40="","",IFERROR(DU40*HSI!$B$38*HSI!$G$38/HSI!$B$3,""))</f>
        <v/>
      </c>
      <c r="GJ40" s="85">
        <f>IF(DV40="","",IFERROR(DV40*HSI!$B$38*HSI!$G$38/HSI!$B$3,""))</f>
        <v/>
      </c>
      <c r="GK40" s="85">
        <f>IF(DW40="","",IFERROR(DW40*HSI!$B$38*HSI!$G$38/HSI!$B$3,""))</f>
        <v/>
      </c>
      <c r="GL40" s="85">
        <f>IF(DX40="","",IFERROR(DX40*HSI!$B$38*HSI!$G$38/HSI!$B$3,""))</f>
        <v/>
      </c>
      <c r="GM40" s="85">
        <f>IF(DY40="","",IFERROR(DY40*HSI!$B$38*HSI!$G$38/HSI!$B$3,""))</f>
        <v/>
      </c>
      <c r="GN40" s="85">
        <f>IF(DZ40="","",IFERROR(DZ40*HSI!$B$38*HSI!$G$38/HSI!$B$3,""))</f>
        <v/>
      </c>
      <c r="GO40" s="85">
        <f>IF(EA40="","",IFERROR(EA40*HSI!$B$38*HSI!$G$38/HSI!$B$3,""))</f>
        <v/>
      </c>
      <c r="GP40" s="85">
        <f>IF(EB40="","",IFERROR(EB40*HSI!$B$38*HSI!$G$38/HSI!$B$3,""))</f>
        <v/>
      </c>
      <c r="GQ40" s="85">
        <f>IF(EC40="","",IFERROR(EC40*HSI!$B$38*HSI!$G$38/HSI!$B$3,""))</f>
        <v/>
      </c>
    </row>
    <row r="41">
      <c r="B41" s="2">
        <f>IF(HSI!$C$39="","",HSI!$C$39)</f>
        <v/>
      </c>
      <c r="C41" s="41">
        <f>IF(N('Dvd Calendar'!$E$490)=0,"",IF(('Dvd Calendar'!$E$490&gt;=MIN(DATE(Summary!$C$12,1,1),Summary!$C$11))*('Dvd Calendar'!$E$490&lt;=MAX(DATE(Summary!$C$12,12,31),Summary!$C$15))*('Dvd Calendar'!$E$490&lt;=Summary!$C$11)=0,"",'Dvd Calendar'!$E$490*1000000000+ISNUMBER('Dvd Calendar'!$E$491)*100000000+('Dvd Calendar'!$E$495='Field Check'!$C$25)*10000000+(N('Dvd Calendar'!$E$489)&gt;0)*1000000+33*1000+1))</f>
        <v/>
      </c>
      <c r="D41" s="41">
        <f>IF(N('Dvd Calendar'!$F$490)=0,"",IF(('Dvd Calendar'!$F$490&gt;=MIN(DATE(Summary!$C$12,1,1),Summary!$C$11))*('Dvd Calendar'!$F$490&lt;=MAX(DATE(Summary!$C$12,12,31),Summary!$C$15))*('Dvd Calendar'!$F$490&lt;=Summary!$C$11)=0,"",'Dvd Calendar'!$F$490*1000000000+ISNUMBER('Dvd Calendar'!$F$491)*100000000+('Dvd Calendar'!$F$495='Field Check'!$C$25)*10000000+(N('Dvd Calendar'!$F$489)&gt;0)*1000000+33*1000+2))</f>
        <v/>
      </c>
      <c r="E41" s="41">
        <f>IF(N('Dvd Calendar'!$G$490)=0,"",IF(('Dvd Calendar'!$G$490&gt;=MIN(DATE(Summary!$C$12,1,1),Summary!$C$11))*('Dvd Calendar'!$G$490&lt;=MAX(DATE(Summary!$C$12,12,31),Summary!$C$15))*('Dvd Calendar'!$G$490&lt;=Summary!$C$11)=0,"",'Dvd Calendar'!$G$490*1000000000+ISNUMBER('Dvd Calendar'!$G$491)*100000000+('Dvd Calendar'!$G$495='Field Check'!$C$25)*10000000+(N('Dvd Calendar'!$G$489)&gt;0)*1000000+33*1000+3))</f>
        <v/>
      </c>
      <c r="F41" s="41">
        <f>IF(N('Dvd Calendar'!$H$490)=0,"",IF(('Dvd Calendar'!$H$490&gt;=MIN(DATE(Summary!$C$12,1,1),Summary!$C$11))*('Dvd Calendar'!$H$490&lt;=MAX(DATE(Summary!$C$12,12,31),Summary!$C$15))*('Dvd Calendar'!$H$490&lt;=Summary!$C$11)=0,"",'Dvd Calendar'!$H$490*1000000000+ISNUMBER('Dvd Calendar'!$H$491)*100000000+('Dvd Calendar'!$H$495='Field Check'!$C$25)*10000000+(N('Dvd Calendar'!$H$489)&gt;0)*1000000+33*1000+4))</f>
        <v/>
      </c>
      <c r="G41" s="41">
        <f>IF(N('Dvd Calendar'!$I$490)=0,"",IF(('Dvd Calendar'!$I$490&gt;=MIN(DATE(Summary!$C$12,1,1),Summary!$C$11))*('Dvd Calendar'!$I$490&lt;=MAX(DATE(Summary!$C$12,12,31),Summary!$C$15))*('Dvd Calendar'!$I$490&lt;=Summary!$C$11)=0,"",'Dvd Calendar'!$I$490*1000000000+ISNUMBER('Dvd Calendar'!$I$491)*100000000+('Dvd Calendar'!$I$495='Field Check'!$C$25)*10000000+(N('Dvd Calendar'!$I$489)&gt;0)*1000000+33*1000+5))</f>
        <v/>
      </c>
      <c r="H41" s="41">
        <f>IF(N('Dvd Calendar'!$J$490)=0,"",IF(('Dvd Calendar'!$J$490&gt;=MIN(DATE(Summary!$C$12,1,1),Summary!$C$11))*('Dvd Calendar'!$J$490&lt;=MAX(DATE(Summary!$C$12,12,31),Summary!$C$15))*('Dvd Calendar'!$J$490&lt;=Summary!$C$11)=0,"",'Dvd Calendar'!$J$490*1000000000+ISNUMBER('Dvd Calendar'!$J$491)*100000000+('Dvd Calendar'!$J$495='Field Check'!$C$25)*10000000+(N('Dvd Calendar'!$J$489)&gt;0)*1000000+33*1000+6))</f>
        <v/>
      </c>
      <c r="I41" s="41">
        <f>IF(N('Dvd Calendar'!$K$490)=0,"",IF(('Dvd Calendar'!$K$490&gt;=MIN(DATE(Summary!$C$12,1,1),Summary!$C$11))*('Dvd Calendar'!$K$490&lt;=MAX(DATE(Summary!$C$12,12,31),Summary!$C$15))*('Dvd Calendar'!$K$490&lt;=Summary!$C$11)=0,"",'Dvd Calendar'!$K$490*1000000000+ISNUMBER('Dvd Calendar'!$K$491)*100000000+('Dvd Calendar'!$K$495='Field Check'!$C$25)*10000000+(N('Dvd Calendar'!$K$489)&gt;0)*1000000+33*1000+7))</f>
        <v/>
      </c>
      <c r="J41" s="41">
        <f>IF(N('Dvd Calendar'!$L$490)=0,"",IF(('Dvd Calendar'!$L$490&gt;=MIN(DATE(Summary!$C$12,1,1),Summary!$C$11))*('Dvd Calendar'!$L$490&lt;=MAX(DATE(Summary!$C$12,12,31),Summary!$C$15))*('Dvd Calendar'!$L$490&lt;=Summary!$C$11)=0,"",'Dvd Calendar'!$L$490*1000000000+ISNUMBER('Dvd Calendar'!$L$491)*100000000+('Dvd Calendar'!$L$495='Field Check'!$C$25)*10000000+(N('Dvd Calendar'!$L$489)&gt;0)*1000000+33*1000+8))</f>
        <v/>
      </c>
      <c r="K41" s="41">
        <f>IF(N('Dvd Calendar'!$M$490)=0,"",IF(('Dvd Calendar'!$M$490&gt;=MIN(DATE(Summary!$C$12,1,1),Summary!$C$11))*('Dvd Calendar'!$M$490&lt;=MAX(DATE(Summary!$C$12,12,31),Summary!$C$15))*('Dvd Calendar'!$M$490&lt;=Summary!$C$11)=0,"",'Dvd Calendar'!$M$490*1000000000+ISNUMBER('Dvd Calendar'!$M$491)*100000000+('Dvd Calendar'!$M$495='Field Check'!$C$25)*10000000+(N('Dvd Calendar'!$M$489)&gt;0)*1000000+33*1000+9))</f>
        <v/>
      </c>
      <c r="L41" s="41">
        <f>IF(N('Dvd Calendar'!$N$490)=0,"",IF(('Dvd Calendar'!$N$490&gt;=MIN(DATE(Summary!$C$12,1,1),Summary!$C$11))*('Dvd Calendar'!$N$490&lt;=MAX(DATE(Summary!$C$12,12,31),Summary!$C$15))*('Dvd Calendar'!$N$490&lt;=Summary!$C$11)=0,"",'Dvd Calendar'!$N$490*1000000000+ISNUMBER('Dvd Calendar'!$N$491)*100000000+('Dvd Calendar'!$N$495='Field Check'!$C$25)*10000000+(N('Dvd Calendar'!$N$489)&gt;0)*1000000+33*1000+10))</f>
        <v/>
      </c>
      <c r="M41" s="41">
        <f>IF(N('Dvd Calendar'!$O$490)=0,"",IF(('Dvd Calendar'!$O$490&gt;=MIN(DATE(Summary!$C$12,1,1),Summary!$C$11))*('Dvd Calendar'!$O$490&lt;=MAX(DATE(Summary!$C$12,12,31),Summary!$C$15))*('Dvd Calendar'!$O$490&lt;=Summary!$C$11)=0,"",'Dvd Calendar'!$O$490*1000000000+ISNUMBER('Dvd Calendar'!$O$491)*100000000+('Dvd Calendar'!$O$495='Field Check'!$C$25)*10000000+(N('Dvd Calendar'!$O$489)&gt;0)*1000000+33*1000+11))</f>
        <v/>
      </c>
      <c r="N41" s="41">
        <f>IF(N('Dvd Calendar'!$P$490)=0,"",IF(('Dvd Calendar'!$P$490&gt;=MIN(DATE(Summary!$C$12,1,1),Summary!$C$11))*('Dvd Calendar'!$P$490&lt;=MAX(DATE(Summary!$C$12,12,31),Summary!$C$15))*('Dvd Calendar'!$P$490&lt;=Summary!$C$11)=0,"",'Dvd Calendar'!$P$490*1000000000+ISNUMBER('Dvd Calendar'!$P$491)*100000000+('Dvd Calendar'!$P$495='Field Check'!$C$25)*10000000+(N('Dvd Calendar'!$P$489)&gt;0)*1000000+33*1000+12))</f>
        <v/>
      </c>
      <c r="O41" s="41">
        <f>IF(N('Dvd Calendar'!$Q$490)=0,"",IF(('Dvd Calendar'!$Q$490&gt;=MIN(DATE(Summary!$C$12,1,1),Summary!$C$11))*('Dvd Calendar'!$Q$490&lt;=MAX(DATE(Summary!$C$12,12,31),Summary!$C$15))*('Dvd Calendar'!$Q$490&lt;=Summary!$C$11)=0,"",'Dvd Calendar'!$Q$490*1000000000+ISNUMBER('Dvd Calendar'!$Q$491)*100000000+('Dvd Calendar'!$Q$495='Field Check'!$C$25)*10000000+(N('Dvd Calendar'!$Q$489)&gt;0)*1000000+33*1000+13))</f>
        <v/>
      </c>
      <c r="P41" s="41">
        <f>IF(N('Dvd Calendar'!$R$490)=0,"",IF(('Dvd Calendar'!$R$490&gt;=MIN(DATE(Summary!$C$12,1,1),Summary!$C$11))*('Dvd Calendar'!$R$490&lt;=MAX(DATE(Summary!$C$12,12,31),Summary!$C$15))*('Dvd Calendar'!$R$490&lt;=Summary!$C$11)=0,"",'Dvd Calendar'!$R$490*1000000000+ISNUMBER('Dvd Calendar'!$R$491)*100000000+('Dvd Calendar'!$R$495='Field Check'!$C$25)*10000000+(N('Dvd Calendar'!$R$489)&gt;0)*1000000+33*1000+14))</f>
        <v/>
      </c>
      <c r="Q41" s="41">
        <f>IF(N('Dvd Calendar'!$S$490)=0,"",IF(('Dvd Calendar'!$S$490&gt;=MIN(DATE(Summary!$C$12,1,1),Summary!$C$11))*('Dvd Calendar'!$S$490&lt;=MAX(DATE(Summary!$C$12,12,31),Summary!$C$15))*('Dvd Calendar'!$S$490&lt;=Summary!$C$11)=0,"",'Dvd Calendar'!$S$490*1000000000+ISNUMBER('Dvd Calendar'!$S$491)*100000000+('Dvd Calendar'!$S$495='Field Check'!$C$25)*10000000+(N('Dvd Calendar'!$S$489)&gt;0)*1000000+33*1000+15))</f>
        <v/>
      </c>
      <c r="R41" s="41">
        <f>IF(N('Dvd Calendar'!$T$490)=0,"",IF(('Dvd Calendar'!$T$490&gt;=MIN(DATE(Summary!$C$12,1,1),Summary!$C$11))*('Dvd Calendar'!$T$490&lt;=MAX(DATE(Summary!$C$12,12,31),Summary!$C$15))*('Dvd Calendar'!$T$490&lt;=Summary!$C$11)=0,"",'Dvd Calendar'!$T$490*1000000000+ISNUMBER('Dvd Calendar'!$T$491)*100000000+('Dvd Calendar'!$T$495='Field Check'!$C$25)*10000000+(N('Dvd Calendar'!$T$489)&gt;0)*1000000+33*1000+16))</f>
        <v/>
      </c>
      <c r="S41" s="41">
        <f>IF(N('Dvd Calendar'!$U$490)=0,"",IF(('Dvd Calendar'!$U$490&gt;=MIN(DATE(Summary!$C$12,1,1),Summary!$C$11))*('Dvd Calendar'!$U$490&lt;=MAX(DATE(Summary!$C$12,12,31),Summary!$C$15))*('Dvd Calendar'!$U$490&lt;=Summary!$C$11)=0,"",'Dvd Calendar'!$U$490*1000000000+ISNUMBER('Dvd Calendar'!$U$491)*100000000+('Dvd Calendar'!$U$495='Field Check'!$C$25)*10000000+(N('Dvd Calendar'!$U$489)&gt;0)*1000000+33*1000+17))</f>
        <v/>
      </c>
      <c r="T41" s="41">
        <f>IF(N('Dvd Calendar'!$V$490)=0,"",IF(('Dvd Calendar'!$V$490&gt;=MIN(DATE(Summary!$C$12,1,1),Summary!$C$11))*('Dvd Calendar'!$V$490&lt;=MAX(DATE(Summary!$C$12,12,31),Summary!$C$15))*('Dvd Calendar'!$V$490&lt;=Summary!$C$11)=0,"",'Dvd Calendar'!$V$490*1000000000+ISNUMBER('Dvd Calendar'!$V$491)*100000000+('Dvd Calendar'!$V$495='Field Check'!$C$25)*10000000+(N('Dvd Calendar'!$V$489)&gt;0)*1000000+33*1000+18))</f>
        <v/>
      </c>
      <c r="U41" s="41">
        <f>IF(N('Dvd Calendar'!$W$490)=0,"",IF(('Dvd Calendar'!$W$490&gt;=MIN(DATE(Summary!$C$12,1,1),Summary!$C$11))*('Dvd Calendar'!$W$490&lt;=MAX(DATE(Summary!$C$12,12,31),Summary!$C$15))*('Dvd Calendar'!$W$490&lt;=Summary!$C$11)=0,"",'Dvd Calendar'!$W$490*1000000000+ISNUMBER('Dvd Calendar'!$W$491)*100000000+('Dvd Calendar'!$W$495='Field Check'!$C$25)*10000000+(N('Dvd Calendar'!$W$489)&gt;0)*1000000+33*1000+19))</f>
        <v/>
      </c>
      <c r="V41" s="41">
        <f>IF(N('Dvd Calendar'!$X$490)=0,"",IF(('Dvd Calendar'!$X$490&gt;=MIN(DATE(Summary!$C$12,1,1),Summary!$C$11))*('Dvd Calendar'!$X$490&lt;=MAX(DATE(Summary!$C$12,12,31),Summary!$C$15))*('Dvd Calendar'!$X$490&lt;=Summary!$C$11)=0,"",'Dvd Calendar'!$X$490*1000000000+ISNUMBER('Dvd Calendar'!$X$491)*100000000+('Dvd Calendar'!$X$495='Field Check'!$C$25)*10000000+(N('Dvd Calendar'!$X$489)&gt;0)*1000000+33*1000+20))</f>
        <v/>
      </c>
      <c r="W41" s="41">
        <f>IF(N('Dvd Calendar'!$Y$490)=0,"",IF(('Dvd Calendar'!$Y$490&gt;=MIN(DATE(Summary!$C$12,1,1),Summary!$C$11))*('Dvd Calendar'!$Y$490&lt;=MAX(DATE(Summary!$C$12,12,31),Summary!$C$15))*('Dvd Calendar'!$Y$490&lt;=Summary!$C$11)=0,"",'Dvd Calendar'!$Y$490*1000000000+ISNUMBER('Dvd Calendar'!$Y$491)*100000000+('Dvd Calendar'!$Y$495='Field Check'!$C$25)*10000000+(N('Dvd Calendar'!$Y$489)&gt;0)*1000000+33*1000+21))</f>
        <v/>
      </c>
      <c r="X41" s="41">
        <f>IF(N('Dvd Calendar'!$Z$490)=0,"",IF(('Dvd Calendar'!$Z$490&gt;=MIN(DATE(Summary!$C$12,1,1),Summary!$C$11))*('Dvd Calendar'!$Z$490&lt;=MAX(DATE(Summary!$C$12,12,31),Summary!$C$15))*('Dvd Calendar'!$Z$490&lt;=Summary!$C$11)=0,"",'Dvd Calendar'!$Z$490*1000000000+ISNUMBER('Dvd Calendar'!$Z$491)*100000000+('Dvd Calendar'!$Z$495='Field Check'!$C$25)*10000000+(N('Dvd Calendar'!$Z$489)&gt;0)*1000000+33*1000+22))</f>
        <v/>
      </c>
      <c r="Y41" s="41">
        <f>IF(N('Dvd Calendar'!$AA$490)=0,"",IF(('Dvd Calendar'!$AA$490&gt;=MIN(DATE(Summary!$C$12,1,1),Summary!$C$11))*('Dvd Calendar'!$AA$490&lt;=MAX(DATE(Summary!$C$12,12,31),Summary!$C$15))*('Dvd Calendar'!$AA$490&lt;=Summary!$C$11)=0,"",'Dvd Calendar'!$AA$490*1000000000+ISNUMBER('Dvd Calendar'!$AA$491)*100000000+('Dvd Calendar'!$AA$495='Field Check'!$C$25)*10000000+(N('Dvd Calendar'!$AA$489)&gt;0)*1000000+33*1000+23))</f>
        <v/>
      </c>
      <c r="Z41" s="41">
        <f>IF(N('Dvd Calendar'!$AB$490)=0,"",IF(('Dvd Calendar'!$AB$490&gt;=MIN(DATE(Summary!$C$12,1,1),Summary!$C$11))*('Dvd Calendar'!$AB$490&lt;=MAX(DATE(Summary!$C$12,12,31),Summary!$C$15))*('Dvd Calendar'!$AB$490&lt;=Summary!$C$11)=0,"",'Dvd Calendar'!$AB$490*1000000000+ISNUMBER('Dvd Calendar'!$AB$491)*100000000+('Dvd Calendar'!$AB$495='Field Check'!$C$25)*10000000+(N('Dvd Calendar'!$AB$489)&gt;0)*1000000+33*1000+24))</f>
        <v/>
      </c>
      <c r="AA41" s="41">
        <f>IF(N('Dvd Calendar'!$AC$490)=0,"",IF(('Dvd Calendar'!$AC$490&gt;=MIN(DATE(Summary!$C$12,1,1),Summary!$C$11))*('Dvd Calendar'!$AC$490&lt;=MAX(DATE(Summary!$C$12,12,31),Summary!$C$15))*('Dvd Calendar'!$AC$490&lt;=Summary!$C$11)=0,"",'Dvd Calendar'!$AC$490*1000000000+ISNUMBER('Dvd Calendar'!$AC$491)*100000000+('Dvd Calendar'!$AC$495='Field Check'!$C$25)*10000000+(N('Dvd Calendar'!$AC$489)&gt;0)*1000000+33*1000+25))</f>
        <v/>
      </c>
      <c r="AB41" s="41">
        <f>IF(N('Dvd Calendar'!$AD$490)=0,"",IF(('Dvd Calendar'!$AD$490&gt;=MIN(DATE(Summary!$C$12,1,1),Summary!$C$11))*('Dvd Calendar'!$AD$490&lt;=MAX(DATE(Summary!$C$12,12,31),Summary!$C$15))*('Dvd Calendar'!$AD$490&lt;=Summary!$C$11)=0,"",'Dvd Calendar'!$AD$490*1000000000+ISNUMBER('Dvd Calendar'!$AD$491)*100000000+('Dvd Calendar'!$AD$495='Field Check'!$C$25)*10000000+(N('Dvd Calendar'!$AD$489)&gt;0)*1000000+33*1000+26))</f>
        <v/>
      </c>
      <c r="AC41" s="41">
        <f>IF(N('Dvd Calendar'!$AE$490)=0,"",IF(('Dvd Calendar'!$AE$490&gt;=MIN(DATE(Summary!$C$12,1,1),Summary!$C$11))*('Dvd Calendar'!$AE$490&lt;=MAX(DATE(Summary!$C$12,12,31),Summary!$C$15))*('Dvd Calendar'!$AE$490&lt;=Summary!$C$11)=0,"",'Dvd Calendar'!$AE$490*1000000000+ISNUMBER('Dvd Calendar'!$AE$491)*100000000+('Dvd Calendar'!$AE$495='Field Check'!$C$25)*10000000+(N('Dvd Calendar'!$AE$489)&gt;0)*1000000+33*1000+27))</f>
        <v/>
      </c>
      <c r="AD41" s="41">
        <f>IF(N('Dvd Calendar'!$AF$490)=0,"",IF(('Dvd Calendar'!$AF$490&gt;=MIN(DATE(Summary!$C$12,1,1),Summary!$C$11))*('Dvd Calendar'!$AF$490&lt;=MAX(DATE(Summary!$C$12,12,31),Summary!$C$15))*('Dvd Calendar'!$AF$490&lt;=Summary!$C$11)=0,"",'Dvd Calendar'!$AF$490*1000000000+ISNUMBER('Dvd Calendar'!$AF$491)*100000000+('Dvd Calendar'!$AF$495='Field Check'!$C$25)*10000000+(N('Dvd Calendar'!$AF$489)&gt;0)*1000000+33*1000+28))</f>
        <v/>
      </c>
      <c r="AE41" s="41">
        <f>IF(N('Dvd Calendar'!$AG$490)=0,"",IF(('Dvd Calendar'!$AG$490&gt;=MIN(DATE(Summary!$C$12,1,1),Summary!$C$11))*('Dvd Calendar'!$AG$490&lt;=MAX(DATE(Summary!$C$12,12,31),Summary!$C$15))*('Dvd Calendar'!$AG$490&lt;=Summary!$C$11)=0,"",'Dvd Calendar'!$AG$490*1000000000+ISNUMBER('Dvd Calendar'!$AG$491)*100000000+('Dvd Calendar'!$AG$495='Field Check'!$C$25)*10000000+(N('Dvd Calendar'!$AG$489)&gt;0)*1000000+33*1000+29))</f>
        <v/>
      </c>
      <c r="AF41" s="41">
        <f>IF(N('Dvd Calendar'!$AH$490)=0,"",IF(('Dvd Calendar'!$AH$490&gt;=MIN(DATE(Summary!$C$12,1,1),Summary!$C$11))*('Dvd Calendar'!$AH$490&lt;=MAX(DATE(Summary!$C$12,12,31),Summary!$C$15))*('Dvd Calendar'!$AH$490&lt;=Summary!$C$11)=0,"",'Dvd Calendar'!$AH$490*1000000000+ISNUMBER('Dvd Calendar'!$AH$491)*100000000+('Dvd Calendar'!$AH$495='Field Check'!$C$25)*10000000+(N('Dvd Calendar'!$AH$489)&gt;0)*1000000+33*1000+30))</f>
        <v/>
      </c>
      <c r="AG41" s="41">
        <f>IF(N('Dvd Calendar'!$AI$490)=0,"",IF(('Dvd Calendar'!$AI$490&gt;=MIN(DATE(Summary!$C$12,1,1),Summary!$C$11))*('Dvd Calendar'!$AI$490&lt;=MAX(DATE(Summary!$C$12,12,31),Summary!$C$15))*('Dvd Calendar'!$AI$490&lt;=Summary!$C$11)=0,"",'Dvd Calendar'!$AI$490*1000000000+ISNUMBER('Dvd Calendar'!$AI$491)*100000000+('Dvd Calendar'!$AI$495='Field Check'!$C$25)*10000000+(N('Dvd Calendar'!$AI$489)&gt;0)*1000000+33*1000+31))</f>
        <v/>
      </c>
      <c r="AH41" s="41">
        <f>IF(N('Dvd Calendar'!$AJ$490)=0,"",IF(('Dvd Calendar'!$AJ$490&gt;=MIN(DATE(Summary!$C$12,1,1),Summary!$C$11))*('Dvd Calendar'!$AJ$490&lt;=MAX(DATE(Summary!$C$12,12,31),Summary!$C$15))*('Dvd Calendar'!$AJ$490&lt;=Summary!$C$11)=0,"",'Dvd Calendar'!$AJ$490*1000000000+ISNUMBER('Dvd Calendar'!$AJ$491)*100000000+('Dvd Calendar'!$AJ$495='Field Check'!$C$25)*10000000+(N('Dvd Calendar'!$AJ$489)&gt;0)*1000000+33*1000+32))</f>
        <v/>
      </c>
      <c r="AI41" s="41">
        <f>IF(N('Dvd Calendar'!$AK$490)=0,"",IF(('Dvd Calendar'!$AK$490&gt;=MIN(DATE(Summary!$C$12,1,1),Summary!$C$11))*('Dvd Calendar'!$AK$490&lt;=MAX(DATE(Summary!$C$12,12,31),Summary!$C$15))*('Dvd Calendar'!$AK$490&lt;=Summary!$C$11)=0,"",'Dvd Calendar'!$AK$490*1000000000+ISNUMBER('Dvd Calendar'!$AK$491)*100000000+('Dvd Calendar'!$AK$495='Field Check'!$C$25)*10000000+(N('Dvd Calendar'!$AK$489)&gt;0)*1000000+33*1000+33))</f>
        <v/>
      </c>
      <c r="AJ41" s="41">
        <f>IF(N('Dvd Calendar'!$AL$490)=0,"",IF(('Dvd Calendar'!$AL$490&gt;=MIN(DATE(Summary!$C$12,1,1),Summary!$C$11))*('Dvd Calendar'!$AL$490&lt;=MAX(DATE(Summary!$C$12,12,31),Summary!$C$15))*('Dvd Calendar'!$AL$490&lt;=Summary!$C$11)=0,"",'Dvd Calendar'!$AL$490*1000000000+ISNUMBER('Dvd Calendar'!$AL$491)*100000000+('Dvd Calendar'!$AL$495='Field Check'!$C$25)*10000000+(N('Dvd Calendar'!$AL$489)&gt;0)*1000000+33*1000+34))</f>
        <v/>
      </c>
      <c r="AK41" s="41">
        <f>IF(N('Dvd Calendar'!$AM$490)=0,"",IF(('Dvd Calendar'!$AM$490&gt;=MIN(DATE(Summary!$C$12,1,1),Summary!$C$11))*('Dvd Calendar'!$AM$490&lt;=MAX(DATE(Summary!$C$12,12,31),Summary!$C$15))*('Dvd Calendar'!$AM$490&lt;=Summary!$C$11)=0,"",'Dvd Calendar'!$AM$490*1000000000+ISNUMBER('Dvd Calendar'!$AM$491)*100000000+('Dvd Calendar'!$AM$495='Field Check'!$C$25)*10000000+(N('Dvd Calendar'!$AM$489)&gt;0)*1000000+33*1000+35))</f>
        <v/>
      </c>
      <c r="AL41" s="41">
        <f>IF(N('Dvd Calendar'!$AN$490)=0,"",IF(('Dvd Calendar'!$AN$490&gt;=MIN(DATE(Summary!$C$12,1,1),Summary!$C$11))*('Dvd Calendar'!$AN$490&lt;=MAX(DATE(Summary!$C$12,12,31),Summary!$C$15))*('Dvd Calendar'!$AN$490&lt;=Summary!$C$11)=0,"",'Dvd Calendar'!$AN$490*1000000000+ISNUMBER('Dvd Calendar'!$AN$491)*100000000+('Dvd Calendar'!$AN$495='Field Check'!$C$25)*10000000+(N('Dvd Calendar'!$AN$489)&gt;0)*1000000+33*1000+36))</f>
        <v/>
      </c>
      <c r="AM41" s="41">
        <f>IF(N('Dvd Calendar'!$AO$490)=0,"",IF(('Dvd Calendar'!$AO$490&gt;=MIN(DATE(Summary!$C$12,1,1),Summary!$C$11))*('Dvd Calendar'!$AO$490&lt;=MAX(DATE(Summary!$C$12,12,31),Summary!$C$15))*('Dvd Calendar'!$AO$490&lt;=Summary!$C$11)=0,"",'Dvd Calendar'!$AO$490*1000000000+ISNUMBER('Dvd Calendar'!$AO$491)*100000000+('Dvd Calendar'!$AO$495='Field Check'!$C$25)*10000000+(N('Dvd Calendar'!$AO$489)&gt;0)*1000000+33*1000+37))</f>
        <v/>
      </c>
      <c r="AN41" s="41">
        <f>IF(N('Dvd Calendar'!$AP$490)=0,"",IF(('Dvd Calendar'!$AP$490&gt;=MIN(DATE(Summary!$C$12,1,1),Summary!$C$11))*('Dvd Calendar'!$AP$490&lt;=MAX(DATE(Summary!$C$12,12,31),Summary!$C$15))*('Dvd Calendar'!$AP$490&lt;=Summary!$C$11)=0,"",'Dvd Calendar'!$AP$490*1000000000+ISNUMBER('Dvd Calendar'!$AP$491)*100000000+('Dvd Calendar'!$AP$495='Field Check'!$C$25)*10000000+(N('Dvd Calendar'!$AP$489)&gt;0)*1000000+33*1000+38))</f>
        <v/>
      </c>
      <c r="AO41" s="41">
        <f>IF(N('Dvd Calendar'!$AQ$490)=0,"",IF(('Dvd Calendar'!$AQ$490&gt;=MIN(DATE(Summary!$C$12,1,1),Summary!$C$11))*('Dvd Calendar'!$AQ$490&lt;=MAX(DATE(Summary!$C$12,12,31),Summary!$C$15))*('Dvd Calendar'!$AQ$490&lt;=Summary!$C$11)=0,"",'Dvd Calendar'!$AQ$490*1000000000+ISNUMBER('Dvd Calendar'!$AQ$491)*100000000+('Dvd Calendar'!$AQ$495='Field Check'!$C$25)*10000000+(N('Dvd Calendar'!$AQ$489)&gt;0)*1000000+33*1000+39))</f>
        <v/>
      </c>
      <c r="AP41" s="41">
        <f>IF(N('Dvd Calendar'!$AR$490)=0,"",IF(('Dvd Calendar'!$AR$490&gt;=MIN(DATE(Summary!$C$12,1,1),Summary!$C$11))*('Dvd Calendar'!$AR$490&lt;=MAX(DATE(Summary!$C$12,12,31),Summary!$C$15))*('Dvd Calendar'!$AR$490&lt;=Summary!$C$11)=0,"",'Dvd Calendar'!$AR$490*1000000000+ISNUMBER('Dvd Calendar'!$AR$491)*100000000+('Dvd Calendar'!$AR$495='Field Check'!$C$25)*10000000+(N('Dvd Calendar'!$AR$489)&gt;0)*1000000+33*1000+40))</f>
        <v/>
      </c>
      <c r="AQ41" s="41">
        <f>IF(N('Dvd Calendar'!$E$497)=0,"",IF(('Dvd Calendar'!$E$497&gt;=MIN(DATE(Summary!$C$12,1,1),Summary!$C$11))*('Dvd Calendar'!$E$497&lt;=MAX(DATE(Summary!$C$12,12,31),Summary!$C$15))*('Dvd Calendar'!$E$497&gt;Summary!$C$11)=0,"",'Dvd Calendar'!$E$497*1000000000+ISNUMBER('Dvd Calendar'!$E$498)*100000000+('Dvd Calendar'!$E$502='Field Check'!$C$25)*10000000+(N('Dvd Calendar'!$E$496)&gt;0)*1000000+33*1000+41))</f>
        <v/>
      </c>
      <c r="AR41" s="41">
        <f>IF(N('Dvd Calendar'!$F$497)=0,"",IF(('Dvd Calendar'!$F$497&gt;=MIN(DATE(Summary!$C$12,1,1),Summary!$C$11))*('Dvd Calendar'!$F$497&lt;=MAX(DATE(Summary!$C$12,12,31),Summary!$C$15))*('Dvd Calendar'!$F$497&gt;Summary!$C$11)=0,"",'Dvd Calendar'!$F$497*1000000000+ISNUMBER('Dvd Calendar'!$F$498)*100000000+('Dvd Calendar'!$F$502='Field Check'!$C$25)*10000000+(N('Dvd Calendar'!$F$496)&gt;0)*1000000+33*1000+42))</f>
        <v/>
      </c>
      <c r="AS41" s="41">
        <f>IF(N('Dvd Calendar'!$G$497)=0,"",IF(('Dvd Calendar'!$G$497&gt;=MIN(DATE(Summary!$C$12,1,1),Summary!$C$11))*('Dvd Calendar'!$G$497&lt;=MAX(DATE(Summary!$C$12,12,31),Summary!$C$15))*('Dvd Calendar'!$G$497&gt;Summary!$C$11)=0,"",'Dvd Calendar'!$G$497*1000000000+ISNUMBER('Dvd Calendar'!$G$498)*100000000+('Dvd Calendar'!$G$502='Field Check'!$C$25)*10000000+(N('Dvd Calendar'!$G$496)&gt;0)*1000000+33*1000+43))</f>
        <v/>
      </c>
      <c r="AT41" s="41">
        <f>IF(N('Dvd Calendar'!$H$497)=0,"",IF(('Dvd Calendar'!$H$497&gt;=MIN(DATE(Summary!$C$12,1,1),Summary!$C$11))*('Dvd Calendar'!$H$497&lt;=MAX(DATE(Summary!$C$12,12,31),Summary!$C$15))*('Dvd Calendar'!$H$497&gt;Summary!$C$11)=0,"",'Dvd Calendar'!$H$497*1000000000+ISNUMBER('Dvd Calendar'!$H$498)*100000000+('Dvd Calendar'!$H$502='Field Check'!$C$25)*10000000+(N('Dvd Calendar'!$H$496)&gt;0)*1000000+33*1000+44))</f>
        <v/>
      </c>
      <c r="AU41" s="41">
        <f>IF(N('Dvd Calendar'!$I$497)=0,"",IF(('Dvd Calendar'!$I$497&gt;=MIN(DATE(Summary!$C$12,1,1),Summary!$C$11))*('Dvd Calendar'!$I$497&lt;=MAX(DATE(Summary!$C$12,12,31),Summary!$C$15))*('Dvd Calendar'!$I$497&gt;Summary!$C$11)=0,"",'Dvd Calendar'!$I$497*1000000000+ISNUMBER('Dvd Calendar'!$I$498)*100000000+('Dvd Calendar'!$I$502='Field Check'!$C$25)*10000000+(N('Dvd Calendar'!$I$496)&gt;0)*1000000+33*1000+45))</f>
        <v/>
      </c>
      <c r="AV41" s="41">
        <f>IF(N('Dvd Calendar'!$J$497)=0,"",IF(('Dvd Calendar'!$J$497&gt;=MIN(DATE(Summary!$C$12,1,1),Summary!$C$11))*('Dvd Calendar'!$J$497&lt;=MAX(DATE(Summary!$C$12,12,31),Summary!$C$15))*('Dvd Calendar'!$J$497&gt;Summary!$C$11)=0,"",'Dvd Calendar'!$J$497*1000000000+ISNUMBER('Dvd Calendar'!$J$498)*100000000+('Dvd Calendar'!$J$502='Field Check'!$C$25)*10000000+(N('Dvd Calendar'!$J$496)&gt;0)*1000000+33*1000+46))</f>
        <v/>
      </c>
      <c r="AW41" s="41">
        <f>IF(N('Dvd Calendar'!$K$497)=0,"",IF(('Dvd Calendar'!$K$497&gt;=MIN(DATE(Summary!$C$12,1,1),Summary!$C$11))*('Dvd Calendar'!$K$497&lt;=MAX(DATE(Summary!$C$12,12,31),Summary!$C$15))*('Dvd Calendar'!$K$497&gt;Summary!$C$11)=0,"",'Dvd Calendar'!$K$497*1000000000+ISNUMBER('Dvd Calendar'!$K$498)*100000000+('Dvd Calendar'!$K$502='Field Check'!$C$25)*10000000+(N('Dvd Calendar'!$K$496)&gt;0)*1000000+33*1000+47))</f>
        <v/>
      </c>
      <c r="AX41" s="41">
        <f>IF(N('Dvd Calendar'!$L$497)=0,"",IF(('Dvd Calendar'!$L$497&gt;=MIN(DATE(Summary!$C$12,1,1),Summary!$C$11))*('Dvd Calendar'!$L$497&lt;=MAX(DATE(Summary!$C$12,12,31),Summary!$C$15))*('Dvd Calendar'!$L$497&gt;Summary!$C$11)=0,"",'Dvd Calendar'!$L$497*1000000000+ISNUMBER('Dvd Calendar'!$L$498)*100000000+('Dvd Calendar'!$L$502='Field Check'!$C$25)*10000000+(N('Dvd Calendar'!$L$496)&gt;0)*1000000+33*1000+48))</f>
        <v/>
      </c>
      <c r="AY41" s="41">
        <f>IF(N('Dvd Calendar'!$M$497)=0,"",IF(('Dvd Calendar'!$M$497&gt;=MIN(DATE(Summary!$C$12,1,1),Summary!$C$11))*('Dvd Calendar'!$M$497&lt;=MAX(DATE(Summary!$C$12,12,31),Summary!$C$15))*('Dvd Calendar'!$M$497&gt;Summary!$C$11)=0,"",'Dvd Calendar'!$M$497*1000000000+ISNUMBER('Dvd Calendar'!$M$498)*100000000+('Dvd Calendar'!$M$502='Field Check'!$C$25)*10000000+(N('Dvd Calendar'!$M$496)&gt;0)*1000000+33*1000+49))</f>
        <v/>
      </c>
      <c r="AZ41" s="41">
        <f>IF(N('Dvd Calendar'!$N$497)=0,"",IF(('Dvd Calendar'!$N$497&gt;=MIN(DATE(Summary!$C$12,1,1),Summary!$C$11))*('Dvd Calendar'!$N$497&lt;=MAX(DATE(Summary!$C$12,12,31),Summary!$C$15))*('Dvd Calendar'!$N$497&gt;Summary!$C$11)=0,"",'Dvd Calendar'!$N$497*1000000000+ISNUMBER('Dvd Calendar'!$N$498)*100000000+('Dvd Calendar'!$N$502='Field Check'!$C$25)*10000000+(N('Dvd Calendar'!$N$496)&gt;0)*1000000+33*1000+50))</f>
        <v/>
      </c>
      <c r="BA41" s="41">
        <f>IF(N('Dvd Calendar'!$O$497)=0,"",IF(('Dvd Calendar'!$O$497&gt;=MIN(DATE(Summary!$C$12,1,1),Summary!$C$11))*('Dvd Calendar'!$O$497&lt;=MAX(DATE(Summary!$C$12,12,31),Summary!$C$15))*('Dvd Calendar'!$O$497&gt;Summary!$C$11)=0,"",'Dvd Calendar'!$O$497*1000000000+ISNUMBER('Dvd Calendar'!$O$498)*100000000+('Dvd Calendar'!$O$502='Field Check'!$C$25)*10000000+(N('Dvd Calendar'!$O$496)&gt;0)*1000000+33*1000+51))</f>
        <v/>
      </c>
      <c r="BB41" s="41">
        <f>IF(N('Dvd Calendar'!$P$497)=0,"",IF(('Dvd Calendar'!$P$497&gt;=MIN(DATE(Summary!$C$12,1,1),Summary!$C$11))*('Dvd Calendar'!$P$497&lt;=MAX(DATE(Summary!$C$12,12,31),Summary!$C$15))*('Dvd Calendar'!$P$497&gt;Summary!$C$11)=0,"",'Dvd Calendar'!$P$497*1000000000+ISNUMBER('Dvd Calendar'!$P$498)*100000000+('Dvd Calendar'!$P$502='Field Check'!$C$25)*10000000+(N('Dvd Calendar'!$P$496)&gt;0)*1000000+33*1000+52))</f>
        <v/>
      </c>
      <c r="BC41" s="41">
        <f>IF(N('Dvd Calendar'!$Q$497)=0,"",IF(('Dvd Calendar'!$Q$497&gt;=MIN(DATE(Summary!$C$12,1,1),Summary!$C$11))*('Dvd Calendar'!$Q$497&lt;=MAX(DATE(Summary!$C$12,12,31),Summary!$C$15))*('Dvd Calendar'!$Q$497&gt;Summary!$C$11)=0,"",'Dvd Calendar'!$Q$497*1000000000+ISNUMBER('Dvd Calendar'!$Q$498)*100000000+('Dvd Calendar'!$Q$502='Field Check'!$C$25)*10000000+(N('Dvd Calendar'!$Q$496)&gt;0)*1000000+33*1000+53))</f>
        <v/>
      </c>
      <c r="BD41" s="41">
        <f>IF(N('Dvd Calendar'!$R$497)=0,"",IF(('Dvd Calendar'!$R$497&gt;=MIN(DATE(Summary!$C$12,1,1),Summary!$C$11))*('Dvd Calendar'!$R$497&lt;=MAX(DATE(Summary!$C$12,12,31),Summary!$C$15))*('Dvd Calendar'!$R$497&gt;Summary!$C$11)=0,"",'Dvd Calendar'!$R$497*1000000000+ISNUMBER('Dvd Calendar'!$R$498)*100000000+('Dvd Calendar'!$R$502='Field Check'!$C$25)*10000000+(N('Dvd Calendar'!$R$496)&gt;0)*1000000+33*1000+54))</f>
        <v/>
      </c>
      <c r="BE41" s="41">
        <f>IF(N('Dvd Calendar'!$S$497)=0,"",IF(('Dvd Calendar'!$S$497&gt;=MIN(DATE(Summary!$C$12,1,1),Summary!$C$11))*('Dvd Calendar'!$S$497&lt;=MAX(DATE(Summary!$C$12,12,31),Summary!$C$15))*('Dvd Calendar'!$S$497&gt;Summary!$C$11)=0,"",'Dvd Calendar'!$S$497*1000000000+ISNUMBER('Dvd Calendar'!$S$498)*100000000+('Dvd Calendar'!$S$502='Field Check'!$C$25)*10000000+(N('Dvd Calendar'!$S$496)&gt;0)*1000000+33*1000+55))</f>
        <v/>
      </c>
      <c r="BF41" s="41">
        <f>IF(N('Dvd Calendar'!$T$497)=0,"",IF(('Dvd Calendar'!$T$497&gt;=MIN(DATE(Summary!$C$12,1,1),Summary!$C$11))*('Dvd Calendar'!$T$497&lt;=MAX(DATE(Summary!$C$12,12,31),Summary!$C$15))*('Dvd Calendar'!$T$497&gt;Summary!$C$11)=0,"",'Dvd Calendar'!$T$497*1000000000+ISNUMBER('Dvd Calendar'!$T$498)*100000000+('Dvd Calendar'!$T$502='Field Check'!$C$25)*10000000+(N('Dvd Calendar'!$T$496)&gt;0)*1000000+33*1000+56))</f>
        <v/>
      </c>
      <c r="BG41" s="41">
        <f>IF(N('Dvd Calendar'!$U$497)=0,"",IF(('Dvd Calendar'!$U$497&gt;=MIN(DATE(Summary!$C$12,1,1),Summary!$C$11))*('Dvd Calendar'!$U$497&lt;=MAX(DATE(Summary!$C$12,12,31),Summary!$C$15))*('Dvd Calendar'!$U$497&gt;Summary!$C$11)=0,"",'Dvd Calendar'!$U$497*1000000000+ISNUMBER('Dvd Calendar'!$U$498)*100000000+('Dvd Calendar'!$U$502='Field Check'!$C$25)*10000000+(N('Dvd Calendar'!$U$496)&gt;0)*1000000+33*1000+57))</f>
        <v/>
      </c>
      <c r="BH41" s="41">
        <f>IF(N('Dvd Calendar'!$V$497)=0,"",IF(('Dvd Calendar'!$V$497&gt;=MIN(DATE(Summary!$C$12,1,1),Summary!$C$11))*('Dvd Calendar'!$V$497&lt;=MAX(DATE(Summary!$C$12,12,31),Summary!$C$15))*('Dvd Calendar'!$V$497&gt;Summary!$C$11)=0,"",'Dvd Calendar'!$V$497*1000000000+ISNUMBER('Dvd Calendar'!$V$498)*100000000+('Dvd Calendar'!$V$502='Field Check'!$C$25)*10000000+(N('Dvd Calendar'!$V$496)&gt;0)*1000000+33*1000+58))</f>
        <v/>
      </c>
      <c r="BI41" s="41">
        <f>IF(N('Dvd Calendar'!$W$497)=0,"",IF(('Dvd Calendar'!$W$497&gt;=MIN(DATE(Summary!$C$12,1,1),Summary!$C$11))*('Dvd Calendar'!$W$497&lt;=MAX(DATE(Summary!$C$12,12,31),Summary!$C$15))*('Dvd Calendar'!$W$497&gt;Summary!$C$11)=0,"",'Dvd Calendar'!$W$497*1000000000+ISNUMBER('Dvd Calendar'!$W$498)*100000000+('Dvd Calendar'!$W$502='Field Check'!$C$25)*10000000+(N('Dvd Calendar'!$W$496)&gt;0)*1000000+33*1000+59))</f>
        <v/>
      </c>
      <c r="BJ41" s="41">
        <f>IF(N('Dvd Calendar'!$X$497)=0,"",IF(('Dvd Calendar'!$X$497&gt;=MIN(DATE(Summary!$C$12,1,1),Summary!$C$11))*('Dvd Calendar'!$X$497&lt;=MAX(DATE(Summary!$C$12,12,31),Summary!$C$15))*('Dvd Calendar'!$X$497&gt;Summary!$C$11)=0,"",'Dvd Calendar'!$X$497*1000000000+ISNUMBER('Dvd Calendar'!$X$498)*100000000+('Dvd Calendar'!$X$502='Field Check'!$C$25)*10000000+(N('Dvd Calendar'!$X$496)&gt;0)*1000000+33*1000+60))</f>
        <v/>
      </c>
      <c r="BK41" s="41">
        <f>IF(N('Dvd Calendar'!$Y$497)=0,"",IF(('Dvd Calendar'!$Y$497&gt;=MIN(DATE(Summary!$C$12,1,1),Summary!$C$11))*('Dvd Calendar'!$Y$497&lt;=MAX(DATE(Summary!$C$12,12,31),Summary!$C$15))*('Dvd Calendar'!$Y$497&gt;Summary!$C$11)=0,"",'Dvd Calendar'!$Y$497*1000000000+ISNUMBER('Dvd Calendar'!$Y$498)*100000000+('Dvd Calendar'!$Y$502='Field Check'!$C$25)*10000000+(N('Dvd Calendar'!$Y$496)&gt;0)*1000000+33*1000+61))</f>
        <v/>
      </c>
      <c r="BL41" s="41">
        <f>IF(N('Dvd Calendar'!$Z$497)=0,"",IF(('Dvd Calendar'!$Z$497&gt;=MIN(DATE(Summary!$C$12,1,1),Summary!$C$11))*('Dvd Calendar'!$Z$497&lt;=MAX(DATE(Summary!$C$12,12,31),Summary!$C$15))*('Dvd Calendar'!$Z$497&gt;Summary!$C$11)=0,"",'Dvd Calendar'!$Z$497*1000000000+ISNUMBER('Dvd Calendar'!$Z$498)*100000000+('Dvd Calendar'!$Z$502='Field Check'!$C$25)*10000000+(N('Dvd Calendar'!$Z$496)&gt;0)*1000000+33*1000+62))</f>
        <v/>
      </c>
      <c r="BM41" s="41">
        <f>IF(N('Dvd Calendar'!$AA$497)=0,"",IF(('Dvd Calendar'!$AA$497&gt;=MIN(DATE(Summary!$C$12,1,1),Summary!$C$11))*('Dvd Calendar'!$AA$497&lt;=MAX(DATE(Summary!$C$12,12,31),Summary!$C$15))*('Dvd Calendar'!$AA$497&gt;Summary!$C$11)=0,"",'Dvd Calendar'!$AA$497*1000000000+ISNUMBER('Dvd Calendar'!$AA$498)*100000000+('Dvd Calendar'!$AA$502='Field Check'!$C$25)*10000000+(N('Dvd Calendar'!$AA$496)&gt;0)*1000000+33*1000+63))</f>
        <v/>
      </c>
      <c r="BN41" s="41">
        <f>IF(N('Dvd Calendar'!$AB$497)=0,"",IF(('Dvd Calendar'!$AB$497&gt;=MIN(DATE(Summary!$C$12,1,1),Summary!$C$11))*('Dvd Calendar'!$AB$497&lt;=MAX(DATE(Summary!$C$12,12,31),Summary!$C$15))*('Dvd Calendar'!$AB$497&gt;Summary!$C$11)=0,"",'Dvd Calendar'!$AB$497*1000000000+ISNUMBER('Dvd Calendar'!$AB$498)*100000000+('Dvd Calendar'!$AB$502='Field Check'!$C$25)*10000000+(N('Dvd Calendar'!$AB$496)&gt;0)*1000000+33*1000+64))</f>
        <v/>
      </c>
      <c r="BO41" s="41">
        <f>IF(N('Dvd Calendar'!$AC$497)=0,"",IF(('Dvd Calendar'!$AC$497&gt;=MIN(DATE(Summary!$C$12,1,1),Summary!$C$11))*('Dvd Calendar'!$AC$497&lt;=MAX(DATE(Summary!$C$12,12,31),Summary!$C$15))*('Dvd Calendar'!$AC$497&gt;Summary!$C$11)=0,"",'Dvd Calendar'!$AC$497*1000000000+ISNUMBER('Dvd Calendar'!$AC$498)*100000000+('Dvd Calendar'!$AC$502='Field Check'!$C$25)*10000000+(N('Dvd Calendar'!$AC$496)&gt;0)*1000000+33*1000+65))</f>
        <v/>
      </c>
      <c r="BQ41" s="85">
        <f>IF(C41="","",IF(ISNUMBER('Dvd Calendar'!$E$491)=FALSE,"",IF((Summary!$C$13="N")*('Dvd Calendar'!$E$495='Field Check'!$C$25)&gt;0,"",'Dvd Calendar'!$E$491)))</f>
        <v/>
      </c>
      <c r="BR41" s="85">
        <f>IF(D41="","",IF(ISNUMBER('Dvd Calendar'!$F$491)=FALSE,"",IF((Summary!$C$13="N")*('Dvd Calendar'!$F$495='Field Check'!$C$25)&gt;0,"",'Dvd Calendar'!$F$491)))</f>
        <v/>
      </c>
      <c r="BS41" s="85">
        <f>IF(E41="","",IF(ISNUMBER('Dvd Calendar'!$G$491)=FALSE,"",IF((Summary!$C$13="N")*('Dvd Calendar'!$G$495='Field Check'!$C$25)&gt;0,"",'Dvd Calendar'!$G$491)))</f>
        <v/>
      </c>
      <c r="BT41" s="85">
        <f>IF(F41="","",IF(ISNUMBER('Dvd Calendar'!$H$491)=FALSE,"",IF((Summary!$C$13="N")*('Dvd Calendar'!$H$495='Field Check'!$C$25)&gt;0,"",'Dvd Calendar'!$H$491)))</f>
        <v/>
      </c>
      <c r="BU41" s="85">
        <f>IF(G41="","",IF(ISNUMBER('Dvd Calendar'!$I$491)=FALSE,"",IF((Summary!$C$13="N")*('Dvd Calendar'!$I$495='Field Check'!$C$25)&gt;0,"",'Dvd Calendar'!$I$491)))</f>
        <v/>
      </c>
      <c r="BV41" s="85">
        <f>IF(H41="","",IF(ISNUMBER('Dvd Calendar'!$J$491)=FALSE,"",IF((Summary!$C$13="N")*('Dvd Calendar'!$J$495='Field Check'!$C$25)&gt;0,"",'Dvd Calendar'!$J$491)))</f>
        <v/>
      </c>
      <c r="BW41" s="85">
        <f>IF(I41="","",IF(ISNUMBER('Dvd Calendar'!$K$491)=FALSE,"",IF((Summary!$C$13="N")*('Dvd Calendar'!$K$495='Field Check'!$C$25)&gt;0,"",'Dvd Calendar'!$K$491)))</f>
        <v/>
      </c>
      <c r="BX41" s="85">
        <f>IF(J41="","",IF(ISNUMBER('Dvd Calendar'!$L$491)=FALSE,"",IF((Summary!$C$13="N")*('Dvd Calendar'!$L$495='Field Check'!$C$25)&gt;0,"",'Dvd Calendar'!$L$491)))</f>
        <v/>
      </c>
      <c r="BY41" s="85">
        <f>IF(K41="","",IF(ISNUMBER('Dvd Calendar'!$M$491)=FALSE,"",IF((Summary!$C$13="N")*('Dvd Calendar'!$M$495='Field Check'!$C$25)&gt;0,"",'Dvd Calendar'!$M$491)))</f>
        <v/>
      </c>
      <c r="BZ41" s="85">
        <f>IF(L41="","",IF(ISNUMBER('Dvd Calendar'!$N$491)=FALSE,"",IF((Summary!$C$13="N")*('Dvd Calendar'!$N$495='Field Check'!$C$25)&gt;0,"",'Dvd Calendar'!$N$491)))</f>
        <v/>
      </c>
      <c r="CA41" s="85">
        <f>IF(M41="","",IF(ISNUMBER('Dvd Calendar'!$O$491)=FALSE,"",IF((Summary!$C$13="N")*('Dvd Calendar'!$O$495='Field Check'!$C$25)&gt;0,"",'Dvd Calendar'!$O$491)))</f>
        <v/>
      </c>
      <c r="CB41" s="85">
        <f>IF(N41="","",IF(ISNUMBER('Dvd Calendar'!$P$491)=FALSE,"",IF((Summary!$C$13="N")*('Dvd Calendar'!$P$495='Field Check'!$C$25)&gt;0,"",'Dvd Calendar'!$P$491)))</f>
        <v/>
      </c>
      <c r="CC41" s="85">
        <f>IF(O41="","",IF(ISNUMBER('Dvd Calendar'!$Q$491)=FALSE,"",IF((Summary!$C$13="N")*('Dvd Calendar'!$Q$495='Field Check'!$C$25)&gt;0,"",'Dvd Calendar'!$Q$491)))</f>
        <v/>
      </c>
      <c r="CD41" s="85">
        <f>IF(P41="","",IF(ISNUMBER('Dvd Calendar'!$R$491)=FALSE,"",IF((Summary!$C$13="N")*('Dvd Calendar'!$R$495='Field Check'!$C$25)&gt;0,"",'Dvd Calendar'!$R$491)))</f>
        <v/>
      </c>
      <c r="CE41" s="85">
        <f>IF(Q41="","",IF(ISNUMBER('Dvd Calendar'!$S$491)=FALSE,"",IF((Summary!$C$13="N")*('Dvd Calendar'!$S$495='Field Check'!$C$25)&gt;0,"",'Dvd Calendar'!$S$491)))</f>
        <v/>
      </c>
      <c r="CF41" s="85">
        <f>IF(R41="","",IF(ISNUMBER('Dvd Calendar'!$T$491)=FALSE,"",IF((Summary!$C$13="N")*('Dvd Calendar'!$T$495='Field Check'!$C$25)&gt;0,"",'Dvd Calendar'!$T$491)))</f>
        <v/>
      </c>
      <c r="CG41" s="85">
        <f>IF(S41="","",IF(ISNUMBER('Dvd Calendar'!$U$491)=FALSE,"",IF((Summary!$C$13="N")*('Dvd Calendar'!$U$495='Field Check'!$C$25)&gt;0,"",'Dvd Calendar'!$U$491)))</f>
        <v/>
      </c>
      <c r="CH41" s="85">
        <f>IF(T41="","",IF(ISNUMBER('Dvd Calendar'!$V$491)=FALSE,"",IF((Summary!$C$13="N")*('Dvd Calendar'!$V$495='Field Check'!$C$25)&gt;0,"",'Dvd Calendar'!$V$491)))</f>
        <v/>
      </c>
      <c r="CI41" s="85">
        <f>IF(U41="","",IF(ISNUMBER('Dvd Calendar'!$W$491)=FALSE,"",IF((Summary!$C$13="N")*('Dvd Calendar'!$W$495='Field Check'!$C$25)&gt;0,"",'Dvd Calendar'!$W$491)))</f>
        <v/>
      </c>
      <c r="CJ41" s="85">
        <f>IF(V41="","",IF(ISNUMBER('Dvd Calendar'!$X$491)=FALSE,"",IF((Summary!$C$13="N")*('Dvd Calendar'!$X$495='Field Check'!$C$25)&gt;0,"",'Dvd Calendar'!$X$491)))</f>
        <v/>
      </c>
      <c r="CK41" s="85">
        <f>IF(W41="","",IF(ISNUMBER('Dvd Calendar'!$Y$491)=FALSE,"",IF((Summary!$C$13="N")*('Dvd Calendar'!$Y$495='Field Check'!$C$25)&gt;0,"",'Dvd Calendar'!$Y$491)))</f>
        <v/>
      </c>
      <c r="CL41" s="85">
        <f>IF(X41="","",IF(ISNUMBER('Dvd Calendar'!$Z$491)=FALSE,"",IF((Summary!$C$13="N")*('Dvd Calendar'!$Z$495='Field Check'!$C$25)&gt;0,"",'Dvd Calendar'!$Z$491)))</f>
        <v/>
      </c>
      <c r="CM41" s="85">
        <f>IF(Y41="","",IF(ISNUMBER('Dvd Calendar'!$AA$491)=FALSE,"",IF((Summary!$C$13="N")*('Dvd Calendar'!$AA$495='Field Check'!$C$25)&gt;0,"",'Dvd Calendar'!$AA$491)))</f>
        <v/>
      </c>
      <c r="CN41" s="85">
        <f>IF(Z41="","",IF(ISNUMBER('Dvd Calendar'!$AB$491)=FALSE,"",IF((Summary!$C$13="N")*('Dvd Calendar'!$AB$495='Field Check'!$C$25)&gt;0,"",'Dvd Calendar'!$AB$491)))</f>
        <v/>
      </c>
      <c r="CO41" s="85">
        <f>IF(AA41="","",IF(ISNUMBER('Dvd Calendar'!$AC$491)=FALSE,"",IF((Summary!$C$13="N")*('Dvd Calendar'!$AC$495='Field Check'!$C$25)&gt;0,"",'Dvd Calendar'!$AC$491)))</f>
        <v/>
      </c>
      <c r="CP41" s="85">
        <f>IF(AB41="","",IF(ISNUMBER('Dvd Calendar'!$AD$491)=FALSE,"",IF((Summary!$C$13="N")*('Dvd Calendar'!$AD$495='Field Check'!$C$25)&gt;0,"",'Dvd Calendar'!$AD$491)))</f>
        <v/>
      </c>
      <c r="CQ41" s="85">
        <f>IF(AC41="","",IF(ISNUMBER('Dvd Calendar'!$AE$491)=FALSE,"",IF((Summary!$C$13="N")*('Dvd Calendar'!$AE$495='Field Check'!$C$25)&gt;0,"",'Dvd Calendar'!$AE$491)))</f>
        <v/>
      </c>
      <c r="CR41" s="85">
        <f>IF(AD41="","",IF(ISNUMBER('Dvd Calendar'!$AF$491)=FALSE,"",IF((Summary!$C$13="N")*('Dvd Calendar'!$AF$495='Field Check'!$C$25)&gt;0,"",'Dvd Calendar'!$AF$491)))</f>
        <v/>
      </c>
      <c r="CS41" s="85">
        <f>IF(AE41="","",IF(ISNUMBER('Dvd Calendar'!$AG$491)=FALSE,"",IF((Summary!$C$13="N")*('Dvd Calendar'!$AG$495='Field Check'!$C$25)&gt;0,"",'Dvd Calendar'!$AG$491)))</f>
        <v/>
      </c>
      <c r="CT41" s="85">
        <f>IF(AF41="","",IF(ISNUMBER('Dvd Calendar'!$AH$491)=FALSE,"",IF((Summary!$C$13="N")*('Dvd Calendar'!$AH$495='Field Check'!$C$25)&gt;0,"",'Dvd Calendar'!$AH$491)))</f>
        <v/>
      </c>
      <c r="CU41" s="85">
        <f>IF(AG41="","",IF(ISNUMBER('Dvd Calendar'!$AI$491)=FALSE,"",IF((Summary!$C$13="N")*('Dvd Calendar'!$AI$495='Field Check'!$C$25)&gt;0,"",'Dvd Calendar'!$AI$491)))</f>
        <v/>
      </c>
      <c r="CV41" s="85">
        <f>IF(AH41="","",IF(ISNUMBER('Dvd Calendar'!$AJ$491)=FALSE,"",IF((Summary!$C$13="N")*('Dvd Calendar'!$AJ$495='Field Check'!$C$25)&gt;0,"",'Dvd Calendar'!$AJ$491)))</f>
        <v/>
      </c>
      <c r="CW41" s="85">
        <f>IF(AI41="","",IF(ISNUMBER('Dvd Calendar'!$AK$491)=FALSE,"",IF((Summary!$C$13="N")*('Dvd Calendar'!$AK$495='Field Check'!$C$25)&gt;0,"",'Dvd Calendar'!$AK$491)))</f>
        <v/>
      </c>
      <c r="CX41" s="85">
        <f>IF(AJ41="","",IF(ISNUMBER('Dvd Calendar'!$AL$491)=FALSE,"",IF((Summary!$C$13="N")*('Dvd Calendar'!$AL$495='Field Check'!$C$25)&gt;0,"",'Dvd Calendar'!$AL$491)))</f>
        <v/>
      </c>
      <c r="CY41" s="85">
        <f>IF(AK41="","",IF(ISNUMBER('Dvd Calendar'!$AM$491)=FALSE,"",IF((Summary!$C$13="N")*('Dvd Calendar'!$AM$495='Field Check'!$C$25)&gt;0,"",'Dvd Calendar'!$AM$491)))</f>
        <v/>
      </c>
      <c r="CZ41" s="85">
        <f>IF(AL41="","",IF(ISNUMBER('Dvd Calendar'!$AN$491)=FALSE,"",IF((Summary!$C$13="N")*('Dvd Calendar'!$AN$495='Field Check'!$C$25)&gt;0,"",'Dvd Calendar'!$AN$491)))</f>
        <v/>
      </c>
      <c r="DA41" s="85">
        <f>IF(AM41="","",IF(ISNUMBER('Dvd Calendar'!$AO$491)=FALSE,"",IF((Summary!$C$13="N")*('Dvd Calendar'!$AO$495='Field Check'!$C$25)&gt;0,"",'Dvd Calendar'!$AO$491)))</f>
        <v/>
      </c>
      <c r="DB41" s="85">
        <f>IF(AN41="","",IF(ISNUMBER('Dvd Calendar'!$AP$491)=FALSE,"",IF((Summary!$C$13="N")*('Dvd Calendar'!$AP$495='Field Check'!$C$25)&gt;0,"",'Dvd Calendar'!$AP$491)))</f>
        <v/>
      </c>
      <c r="DC41" s="85">
        <f>IF(AO41="","",IF(ISNUMBER('Dvd Calendar'!$AQ$491)=FALSE,"",IF((Summary!$C$13="N")*('Dvd Calendar'!$AQ$495='Field Check'!$C$25)&gt;0,"",'Dvd Calendar'!$AQ$491)))</f>
        <v/>
      </c>
      <c r="DD41" s="85">
        <f>IF(AP41="","",IF(ISNUMBER('Dvd Calendar'!$AR$491)=FALSE,"",IF((Summary!$C$13="N")*('Dvd Calendar'!$AR$495='Field Check'!$C$25)&gt;0,"",'Dvd Calendar'!$AR$491)))</f>
        <v/>
      </c>
      <c r="DE41" s="85">
        <f>IF(AQ41="","",IF(ISNUMBER('Dvd Calendar'!$E$498)=FALSE,"",IF((Summary!$C$13="N")*('Dvd Calendar'!$E$502='Field Check'!$C$25)&gt;0,"",'Dvd Calendar'!$E$498)))</f>
        <v/>
      </c>
      <c r="DF41" s="85">
        <f>IF(AR41="","",IF(ISNUMBER('Dvd Calendar'!$F$498)=FALSE,"",IF((Summary!$C$13="N")*('Dvd Calendar'!$F$502='Field Check'!$C$25)&gt;0,"",'Dvd Calendar'!$F$498)))</f>
        <v/>
      </c>
      <c r="DG41" s="85">
        <f>IF(AS41="","",IF(ISNUMBER('Dvd Calendar'!$G$498)=FALSE,"",IF((Summary!$C$13="N")*('Dvd Calendar'!$G$502='Field Check'!$C$25)&gt;0,"",'Dvd Calendar'!$G$498)))</f>
        <v/>
      </c>
      <c r="DH41" s="85">
        <f>IF(AT41="","",IF(ISNUMBER('Dvd Calendar'!$H$498)=FALSE,"",IF((Summary!$C$13="N")*('Dvd Calendar'!$H$502='Field Check'!$C$25)&gt;0,"",'Dvd Calendar'!$H$498)))</f>
        <v/>
      </c>
      <c r="DI41" s="85">
        <f>IF(AU41="","",IF(ISNUMBER('Dvd Calendar'!$I$498)=FALSE,"",IF((Summary!$C$13="N")*('Dvd Calendar'!$I$502='Field Check'!$C$25)&gt;0,"",'Dvd Calendar'!$I$498)))</f>
        <v/>
      </c>
      <c r="DJ41" s="85">
        <f>IF(AV41="","",IF(ISNUMBER('Dvd Calendar'!$J$498)=FALSE,"",IF((Summary!$C$13="N")*('Dvd Calendar'!$J$502='Field Check'!$C$25)&gt;0,"",'Dvd Calendar'!$J$498)))</f>
        <v/>
      </c>
      <c r="DK41" s="85">
        <f>IF(AW41="","",IF(ISNUMBER('Dvd Calendar'!$K$498)=FALSE,"",IF((Summary!$C$13="N")*('Dvd Calendar'!$K$502='Field Check'!$C$25)&gt;0,"",'Dvd Calendar'!$K$498)))</f>
        <v/>
      </c>
      <c r="DL41" s="85">
        <f>IF(AX41="","",IF(ISNUMBER('Dvd Calendar'!$L$498)=FALSE,"",IF((Summary!$C$13="N")*('Dvd Calendar'!$L$502='Field Check'!$C$25)&gt;0,"",'Dvd Calendar'!$L$498)))</f>
        <v/>
      </c>
      <c r="DM41" s="85">
        <f>IF(AY41="","",IF(ISNUMBER('Dvd Calendar'!$M$498)=FALSE,"",IF((Summary!$C$13="N")*('Dvd Calendar'!$M$502='Field Check'!$C$25)&gt;0,"",'Dvd Calendar'!$M$498)))</f>
        <v/>
      </c>
      <c r="DN41" s="85">
        <f>IF(AZ41="","",IF(ISNUMBER('Dvd Calendar'!$N$498)=FALSE,"",IF((Summary!$C$13="N")*('Dvd Calendar'!$N$502='Field Check'!$C$25)&gt;0,"",'Dvd Calendar'!$N$498)))</f>
        <v/>
      </c>
      <c r="DO41" s="85">
        <f>IF(BA41="","",IF(ISNUMBER('Dvd Calendar'!$O$498)=FALSE,"",IF((Summary!$C$13="N")*('Dvd Calendar'!$O$502='Field Check'!$C$25)&gt;0,"",'Dvd Calendar'!$O$498)))</f>
        <v/>
      </c>
      <c r="DP41" s="85">
        <f>IF(BB41="","",IF(ISNUMBER('Dvd Calendar'!$P$498)=FALSE,"",IF((Summary!$C$13="N")*('Dvd Calendar'!$P$502='Field Check'!$C$25)&gt;0,"",'Dvd Calendar'!$P$498)))</f>
        <v/>
      </c>
      <c r="DQ41" s="85">
        <f>IF(BC41="","",IF(ISNUMBER('Dvd Calendar'!$Q$498)=FALSE,"",IF((Summary!$C$13="N")*('Dvd Calendar'!$Q$502='Field Check'!$C$25)&gt;0,"",'Dvd Calendar'!$Q$498)))</f>
        <v/>
      </c>
      <c r="DR41" s="85">
        <f>IF(BD41="","",IF(ISNUMBER('Dvd Calendar'!$R$498)=FALSE,"",IF((Summary!$C$13="N")*('Dvd Calendar'!$R$502='Field Check'!$C$25)&gt;0,"",'Dvd Calendar'!$R$498)))</f>
        <v/>
      </c>
      <c r="DS41" s="85">
        <f>IF(BE41="","",IF(ISNUMBER('Dvd Calendar'!$S$498)=FALSE,"",IF((Summary!$C$13="N")*('Dvd Calendar'!$S$502='Field Check'!$C$25)&gt;0,"",'Dvd Calendar'!$S$498)))</f>
        <v/>
      </c>
      <c r="DT41" s="85">
        <f>IF(BF41="","",IF(ISNUMBER('Dvd Calendar'!$T$498)=FALSE,"",IF((Summary!$C$13="N")*('Dvd Calendar'!$T$502='Field Check'!$C$25)&gt;0,"",'Dvd Calendar'!$T$498)))</f>
        <v/>
      </c>
      <c r="DU41" s="85">
        <f>IF(BG41="","",IF(ISNUMBER('Dvd Calendar'!$U$498)=FALSE,"",IF((Summary!$C$13="N")*('Dvd Calendar'!$U$502='Field Check'!$C$25)&gt;0,"",'Dvd Calendar'!$U$498)))</f>
        <v/>
      </c>
      <c r="DV41" s="85">
        <f>IF(BH41="","",IF(ISNUMBER('Dvd Calendar'!$V$498)=FALSE,"",IF((Summary!$C$13="N")*('Dvd Calendar'!$V$502='Field Check'!$C$25)&gt;0,"",'Dvd Calendar'!$V$498)))</f>
        <v/>
      </c>
      <c r="DW41" s="85">
        <f>IF(BI41="","",IF(ISNUMBER('Dvd Calendar'!$W$498)=FALSE,"",IF((Summary!$C$13="N")*('Dvd Calendar'!$W$502='Field Check'!$C$25)&gt;0,"",'Dvd Calendar'!$W$498)))</f>
        <v/>
      </c>
      <c r="DX41" s="85">
        <f>IF(BJ41="","",IF(ISNUMBER('Dvd Calendar'!$X$498)=FALSE,"",IF((Summary!$C$13="N")*('Dvd Calendar'!$X$502='Field Check'!$C$25)&gt;0,"",'Dvd Calendar'!$X$498)))</f>
        <v/>
      </c>
      <c r="DY41" s="85">
        <f>IF(BK41="","",IF(ISNUMBER('Dvd Calendar'!$Y$498)=FALSE,"",IF((Summary!$C$13="N")*('Dvd Calendar'!$Y$502='Field Check'!$C$25)&gt;0,"",'Dvd Calendar'!$Y$498)))</f>
        <v/>
      </c>
      <c r="DZ41" s="85">
        <f>IF(BL41="","",IF(ISNUMBER('Dvd Calendar'!$Z$498)=FALSE,"",IF((Summary!$C$13="N")*('Dvd Calendar'!$Z$502='Field Check'!$C$25)&gt;0,"",'Dvd Calendar'!$Z$498)))</f>
        <v/>
      </c>
      <c r="EA41" s="85">
        <f>IF(BM41="","",IF(ISNUMBER('Dvd Calendar'!$AA$498)=FALSE,"",IF((Summary!$C$13="N")*('Dvd Calendar'!$AA$502='Field Check'!$C$25)&gt;0,"",'Dvd Calendar'!$AA$498)))</f>
        <v/>
      </c>
      <c r="EB41" s="85">
        <f>IF(BN41="","",IF(ISNUMBER('Dvd Calendar'!$AB$498)=FALSE,"",IF((Summary!$C$13="N")*('Dvd Calendar'!$AB$502='Field Check'!$C$25)&gt;0,"",'Dvd Calendar'!$AB$498)))</f>
        <v/>
      </c>
      <c r="EC41" s="85">
        <f>IF(BO41="","",IF(ISNUMBER('Dvd Calendar'!$AC$498)=FALSE,"",IF((Summary!$C$13="N")*('Dvd Calendar'!$AC$502='Field Check'!$C$25)&gt;0,"",'Dvd Calendar'!$AC$498)))</f>
        <v/>
      </c>
      <c r="EE41" s="85">
        <f>IF(BQ41="","",IFERROR(BQ41*HSI!$B$39*HSI!$G$39/HSI!$B$3,""))</f>
        <v/>
      </c>
      <c r="EF41" s="85">
        <f>IF(BR41="","",IFERROR(BR41*HSI!$B$39*HSI!$G$39/HSI!$B$3,""))</f>
        <v/>
      </c>
      <c r="EG41" s="85">
        <f>IF(BS41="","",IFERROR(BS41*HSI!$B$39*HSI!$G$39/HSI!$B$3,""))</f>
        <v/>
      </c>
      <c r="EH41" s="85">
        <f>IF(BT41="","",IFERROR(BT41*HSI!$B$39*HSI!$G$39/HSI!$B$3,""))</f>
        <v/>
      </c>
      <c r="EI41" s="85">
        <f>IF(BU41="","",IFERROR(BU41*HSI!$B$39*HSI!$G$39/HSI!$B$3,""))</f>
        <v/>
      </c>
      <c r="EJ41" s="85">
        <f>IF(BV41="","",IFERROR(BV41*HSI!$B$39*HSI!$G$39/HSI!$B$3,""))</f>
        <v/>
      </c>
      <c r="EK41" s="85">
        <f>IF(BW41="","",IFERROR(BW41*HSI!$B$39*HSI!$G$39/HSI!$B$3,""))</f>
        <v/>
      </c>
      <c r="EL41" s="85">
        <f>IF(BX41="","",IFERROR(BX41*HSI!$B$39*HSI!$G$39/HSI!$B$3,""))</f>
        <v/>
      </c>
      <c r="EM41" s="85">
        <f>IF(BY41="","",IFERROR(BY41*HSI!$B$39*HSI!$G$39/HSI!$B$3,""))</f>
        <v/>
      </c>
      <c r="EN41" s="85">
        <f>IF(BZ41="","",IFERROR(BZ41*HSI!$B$39*HSI!$G$39/HSI!$B$3,""))</f>
        <v/>
      </c>
      <c r="EO41" s="85">
        <f>IF(CA41="","",IFERROR(CA41*HSI!$B$39*HSI!$G$39/HSI!$B$3,""))</f>
        <v/>
      </c>
      <c r="EP41" s="85">
        <f>IF(CB41="","",IFERROR(CB41*HSI!$B$39*HSI!$G$39/HSI!$B$3,""))</f>
        <v/>
      </c>
      <c r="EQ41" s="85">
        <f>IF(CC41="","",IFERROR(CC41*HSI!$B$39*HSI!$G$39/HSI!$B$3,""))</f>
        <v/>
      </c>
      <c r="ER41" s="85">
        <f>IF(CD41="","",IFERROR(CD41*HSI!$B$39*HSI!$G$39/HSI!$B$3,""))</f>
        <v/>
      </c>
      <c r="ES41" s="85">
        <f>IF(CE41="","",IFERROR(CE41*HSI!$B$39*HSI!$G$39/HSI!$B$3,""))</f>
        <v/>
      </c>
      <c r="ET41" s="85">
        <f>IF(CF41="","",IFERROR(CF41*HSI!$B$39*HSI!$G$39/HSI!$B$3,""))</f>
        <v/>
      </c>
      <c r="EU41" s="85">
        <f>IF(CG41="","",IFERROR(CG41*HSI!$B$39*HSI!$G$39/HSI!$B$3,""))</f>
        <v/>
      </c>
      <c r="EV41" s="85">
        <f>IF(CH41="","",IFERROR(CH41*HSI!$B$39*HSI!$G$39/HSI!$B$3,""))</f>
        <v/>
      </c>
      <c r="EW41" s="85">
        <f>IF(CI41="","",IFERROR(CI41*HSI!$B$39*HSI!$G$39/HSI!$B$3,""))</f>
        <v/>
      </c>
      <c r="EX41" s="85">
        <f>IF(CJ41="","",IFERROR(CJ41*HSI!$B$39*HSI!$G$39/HSI!$B$3,""))</f>
        <v/>
      </c>
      <c r="EY41" s="85">
        <f>IF(CK41="","",IFERROR(CK41*HSI!$B$39*HSI!$G$39/HSI!$B$3,""))</f>
        <v/>
      </c>
      <c r="EZ41" s="85">
        <f>IF(CL41="","",IFERROR(CL41*HSI!$B$39*HSI!$G$39/HSI!$B$3,""))</f>
        <v/>
      </c>
      <c r="FA41" s="85">
        <f>IF(CM41="","",IFERROR(CM41*HSI!$B$39*HSI!$G$39/HSI!$B$3,""))</f>
        <v/>
      </c>
      <c r="FB41" s="85">
        <f>IF(CN41="","",IFERROR(CN41*HSI!$B$39*HSI!$G$39/HSI!$B$3,""))</f>
        <v/>
      </c>
      <c r="FC41" s="85">
        <f>IF(CO41="","",IFERROR(CO41*HSI!$B$39*HSI!$G$39/HSI!$B$3,""))</f>
        <v/>
      </c>
      <c r="FD41" s="85">
        <f>IF(CP41="","",IFERROR(CP41*HSI!$B$39*HSI!$G$39/HSI!$B$3,""))</f>
        <v/>
      </c>
      <c r="FE41" s="85">
        <f>IF(CQ41="","",IFERROR(CQ41*HSI!$B$39*HSI!$G$39/HSI!$B$3,""))</f>
        <v/>
      </c>
      <c r="FF41" s="85">
        <f>IF(CR41="","",IFERROR(CR41*HSI!$B$39*HSI!$G$39/HSI!$B$3,""))</f>
        <v/>
      </c>
      <c r="FG41" s="85">
        <f>IF(CS41="","",IFERROR(CS41*HSI!$B$39*HSI!$G$39/HSI!$B$3,""))</f>
        <v/>
      </c>
      <c r="FH41" s="85">
        <f>IF(CT41="","",IFERROR(CT41*HSI!$B$39*HSI!$G$39/HSI!$B$3,""))</f>
        <v/>
      </c>
      <c r="FI41" s="85">
        <f>IF(CU41="","",IFERROR(CU41*HSI!$B$39*HSI!$G$39/HSI!$B$3,""))</f>
        <v/>
      </c>
      <c r="FJ41" s="85">
        <f>IF(CV41="","",IFERROR(CV41*HSI!$B$39*HSI!$G$39/HSI!$B$3,""))</f>
        <v/>
      </c>
      <c r="FK41" s="85">
        <f>IF(CW41="","",IFERROR(CW41*HSI!$B$39*HSI!$G$39/HSI!$B$3,""))</f>
        <v/>
      </c>
      <c r="FL41" s="85">
        <f>IF(CX41="","",IFERROR(CX41*HSI!$B$39*HSI!$G$39/HSI!$B$3,""))</f>
        <v/>
      </c>
      <c r="FM41" s="85">
        <f>IF(CY41="","",IFERROR(CY41*HSI!$B$39*HSI!$G$39/HSI!$B$3,""))</f>
        <v/>
      </c>
      <c r="FN41" s="85">
        <f>IF(CZ41="","",IFERROR(CZ41*HSI!$B$39*HSI!$G$39/HSI!$B$3,""))</f>
        <v/>
      </c>
      <c r="FO41" s="85">
        <f>IF(DA41="","",IFERROR(DA41*HSI!$B$39*HSI!$G$39/HSI!$B$3,""))</f>
        <v/>
      </c>
      <c r="FP41" s="85">
        <f>IF(DB41="","",IFERROR(DB41*HSI!$B$39*HSI!$G$39/HSI!$B$3,""))</f>
        <v/>
      </c>
      <c r="FQ41" s="85">
        <f>IF(DC41="","",IFERROR(DC41*HSI!$B$39*HSI!$G$39/HSI!$B$3,""))</f>
        <v/>
      </c>
      <c r="FR41" s="85">
        <f>IF(DD41="","",IFERROR(DD41*HSI!$B$39*HSI!$G$39/HSI!$B$3,""))</f>
        <v/>
      </c>
      <c r="FS41" s="85">
        <f>IF(DE41="","",IFERROR(DE41*HSI!$B$39*HSI!$G$39/HSI!$B$3,""))</f>
        <v/>
      </c>
      <c r="FT41" s="85">
        <f>IF(DF41="","",IFERROR(DF41*HSI!$B$39*HSI!$G$39/HSI!$B$3,""))</f>
        <v/>
      </c>
      <c r="FU41" s="85">
        <f>IF(DG41="","",IFERROR(DG41*HSI!$B$39*HSI!$G$39/HSI!$B$3,""))</f>
        <v/>
      </c>
      <c r="FV41" s="85">
        <f>IF(DH41="","",IFERROR(DH41*HSI!$B$39*HSI!$G$39/HSI!$B$3,""))</f>
        <v/>
      </c>
      <c r="FW41" s="85">
        <f>IF(DI41="","",IFERROR(DI41*HSI!$B$39*HSI!$G$39/HSI!$B$3,""))</f>
        <v/>
      </c>
      <c r="FX41" s="85">
        <f>IF(DJ41="","",IFERROR(DJ41*HSI!$B$39*HSI!$G$39/HSI!$B$3,""))</f>
        <v/>
      </c>
      <c r="FY41" s="85">
        <f>IF(DK41="","",IFERROR(DK41*HSI!$B$39*HSI!$G$39/HSI!$B$3,""))</f>
        <v/>
      </c>
      <c r="FZ41" s="85">
        <f>IF(DL41="","",IFERROR(DL41*HSI!$B$39*HSI!$G$39/HSI!$B$3,""))</f>
        <v/>
      </c>
      <c r="GA41" s="85">
        <f>IF(DM41="","",IFERROR(DM41*HSI!$B$39*HSI!$G$39/HSI!$B$3,""))</f>
        <v/>
      </c>
      <c r="GB41" s="85">
        <f>IF(DN41="","",IFERROR(DN41*HSI!$B$39*HSI!$G$39/HSI!$B$3,""))</f>
        <v/>
      </c>
      <c r="GC41" s="85">
        <f>IF(DO41="","",IFERROR(DO41*HSI!$B$39*HSI!$G$39/HSI!$B$3,""))</f>
        <v/>
      </c>
      <c r="GD41" s="85">
        <f>IF(DP41="","",IFERROR(DP41*HSI!$B$39*HSI!$G$39/HSI!$B$3,""))</f>
        <v/>
      </c>
      <c r="GE41" s="85">
        <f>IF(DQ41="","",IFERROR(DQ41*HSI!$B$39*HSI!$G$39/HSI!$B$3,""))</f>
        <v/>
      </c>
      <c r="GF41" s="85">
        <f>IF(DR41="","",IFERROR(DR41*HSI!$B$39*HSI!$G$39/HSI!$B$3,""))</f>
        <v/>
      </c>
      <c r="GG41" s="85">
        <f>IF(DS41="","",IFERROR(DS41*HSI!$B$39*HSI!$G$39/HSI!$B$3,""))</f>
        <v/>
      </c>
      <c r="GH41" s="85">
        <f>IF(DT41="","",IFERROR(DT41*HSI!$B$39*HSI!$G$39/HSI!$B$3,""))</f>
        <v/>
      </c>
      <c r="GI41" s="85">
        <f>IF(DU41="","",IFERROR(DU41*HSI!$B$39*HSI!$G$39/HSI!$B$3,""))</f>
        <v/>
      </c>
      <c r="GJ41" s="85">
        <f>IF(DV41="","",IFERROR(DV41*HSI!$B$39*HSI!$G$39/HSI!$B$3,""))</f>
        <v/>
      </c>
      <c r="GK41" s="85">
        <f>IF(DW41="","",IFERROR(DW41*HSI!$B$39*HSI!$G$39/HSI!$B$3,""))</f>
        <v/>
      </c>
      <c r="GL41" s="85">
        <f>IF(DX41="","",IFERROR(DX41*HSI!$B$39*HSI!$G$39/HSI!$B$3,""))</f>
        <v/>
      </c>
      <c r="GM41" s="85">
        <f>IF(DY41="","",IFERROR(DY41*HSI!$B$39*HSI!$G$39/HSI!$B$3,""))</f>
        <v/>
      </c>
      <c r="GN41" s="85">
        <f>IF(DZ41="","",IFERROR(DZ41*HSI!$B$39*HSI!$G$39/HSI!$B$3,""))</f>
        <v/>
      </c>
      <c r="GO41" s="85">
        <f>IF(EA41="","",IFERROR(EA41*HSI!$B$39*HSI!$G$39/HSI!$B$3,""))</f>
        <v/>
      </c>
      <c r="GP41" s="85">
        <f>IF(EB41="","",IFERROR(EB41*HSI!$B$39*HSI!$G$39/HSI!$B$3,""))</f>
        <v/>
      </c>
      <c r="GQ41" s="85">
        <f>IF(EC41="","",IFERROR(EC41*HSI!$B$39*HSI!$G$39/HSI!$B$3,""))</f>
        <v/>
      </c>
    </row>
    <row r="42">
      <c r="B42" s="2">
        <f>IF(HSI!$C$40="","",HSI!$C$40)</f>
        <v/>
      </c>
      <c r="C42" s="41">
        <f>IF(N('Dvd Calendar'!$E$505)=0,"",IF(('Dvd Calendar'!$E$505&gt;=MIN(DATE(Summary!$C$12,1,1),Summary!$C$11))*('Dvd Calendar'!$E$505&lt;=MAX(DATE(Summary!$C$12,12,31),Summary!$C$15))*('Dvd Calendar'!$E$505&lt;=Summary!$C$11)=0,"",'Dvd Calendar'!$E$505*1000000000+ISNUMBER('Dvd Calendar'!$E$506)*100000000+('Dvd Calendar'!$E$510='Field Check'!$C$25)*10000000+(N('Dvd Calendar'!$E$504)&gt;0)*1000000+34*1000+1))</f>
        <v/>
      </c>
      <c r="D42" s="41">
        <f>IF(N('Dvd Calendar'!$F$505)=0,"",IF(('Dvd Calendar'!$F$505&gt;=MIN(DATE(Summary!$C$12,1,1),Summary!$C$11))*('Dvd Calendar'!$F$505&lt;=MAX(DATE(Summary!$C$12,12,31),Summary!$C$15))*('Dvd Calendar'!$F$505&lt;=Summary!$C$11)=0,"",'Dvd Calendar'!$F$505*1000000000+ISNUMBER('Dvd Calendar'!$F$506)*100000000+('Dvd Calendar'!$F$510='Field Check'!$C$25)*10000000+(N('Dvd Calendar'!$F$504)&gt;0)*1000000+34*1000+2))</f>
        <v/>
      </c>
      <c r="E42" s="41">
        <f>IF(N('Dvd Calendar'!$G$505)=0,"",IF(('Dvd Calendar'!$G$505&gt;=MIN(DATE(Summary!$C$12,1,1),Summary!$C$11))*('Dvd Calendar'!$G$505&lt;=MAX(DATE(Summary!$C$12,12,31),Summary!$C$15))*('Dvd Calendar'!$G$505&lt;=Summary!$C$11)=0,"",'Dvd Calendar'!$G$505*1000000000+ISNUMBER('Dvd Calendar'!$G$506)*100000000+('Dvd Calendar'!$G$510='Field Check'!$C$25)*10000000+(N('Dvd Calendar'!$G$504)&gt;0)*1000000+34*1000+3))</f>
        <v/>
      </c>
      <c r="F42" s="41">
        <f>IF(N('Dvd Calendar'!$H$505)=0,"",IF(('Dvd Calendar'!$H$505&gt;=MIN(DATE(Summary!$C$12,1,1),Summary!$C$11))*('Dvd Calendar'!$H$505&lt;=MAX(DATE(Summary!$C$12,12,31),Summary!$C$15))*('Dvd Calendar'!$H$505&lt;=Summary!$C$11)=0,"",'Dvd Calendar'!$H$505*1000000000+ISNUMBER('Dvd Calendar'!$H$506)*100000000+('Dvd Calendar'!$H$510='Field Check'!$C$25)*10000000+(N('Dvd Calendar'!$H$504)&gt;0)*1000000+34*1000+4))</f>
        <v/>
      </c>
      <c r="G42" s="41">
        <f>IF(N('Dvd Calendar'!$I$505)=0,"",IF(('Dvd Calendar'!$I$505&gt;=MIN(DATE(Summary!$C$12,1,1),Summary!$C$11))*('Dvd Calendar'!$I$505&lt;=MAX(DATE(Summary!$C$12,12,31),Summary!$C$15))*('Dvd Calendar'!$I$505&lt;=Summary!$C$11)=0,"",'Dvd Calendar'!$I$505*1000000000+ISNUMBER('Dvd Calendar'!$I$506)*100000000+('Dvd Calendar'!$I$510='Field Check'!$C$25)*10000000+(N('Dvd Calendar'!$I$504)&gt;0)*1000000+34*1000+5))</f>
        <v/>
      </c>
      <c r="H42" s="41">
        <f>IF(N('Dvd Calendar'!$J$505)=0,"",IF(('Dvd Calendar'!$J$505&gt;=MIN(DATE(Summary!$C$12,1,1),Summary!$C$11))*('Dvd Calendar'!$J$505&lt;=MAX(DATE(Summary!$C$12,12,31),Summary!$C$15))*('Dvd Calendar'!$J$505&lt;=Summary!$C$11)=0,"",'Dvd Calendar'!$J$505*1000000000+ISNUMBER('Dvd Calendar'!$J$506)*100000000+('Dvd Calendar'!$J$510='Field Check'!$C$25)*10000000+(N('Dvd Calendar'!$J$504)&gt;0)*1000000+34*1000+6))</f>
        <v/>
      </c>
      <c r="I42" s="41">
        <f>IF(N('Dvd Calendar'!$K$505)=0,"",IF(('Dvd Calendar'!$K$505&gt;=MIN(DATE(Summary!$C$12,1,1),Summary!$C$11))*('Dvd Calendar'!$K$505&lt;=MAX(DATE(Summary!$C$12,12,31),Summary!$C$15))*('Dvd Calendar'!$K$505&lt;=Summary!$C$11)=0,"",'Dvd Calendar'!$K$505*1000000000+ISNUMBER('Dvd Calendar'!$K$506)*100000000+('Dvd Calendar'!$K$510='Field Check'!$C$25)*10000000+(N('Dvd Calendar'!$K$504)&gt;0)*1000000+34*1000+7))</f>
        <v/>
      </c>
      <c r="J42" s="41">
        <f>IF(N('Dvd Calendar'!$L$505)=0,"",IF(('Dvd Calendar'!$L$505&gt;=MIN(DATE(Summary!$C$12,1,1),Summary!$C$11))*('Dvd Calendar'!$L$505&lt;=MAX(DATE(Summary!$C$12,12,31),Summary!$C$15))*('Dvd Calendar'!$L$505&lt;=Summary!$C$11)=0,"",'Dvd Calendar'!$L$505*1000000000+ISNUMBER('Dvd Calendar'!$L$506)*100000000+('Dvd Calendar'!$L$510='Field Check'!$C$25)*10000000+(N('Dvd Calendar'!$L$504)&gt;0)*1000000+34*1000+8))</f>
        <v/>
      </c>
      <c r="K42" s="41">
        <f>IF(N('Dvd Calendar'!$M$505)=0,"",IF(('Dvd Calendar'!$M$505&gt;=MIN(DATE(Summary!$C$12,1,1),Summary!$C$11))*('Dvd Calendar'!$M$505&lt;=MAX(DATE(Summary!$C$12,12,31),Summary!$C$15))*('Dvd Calendar'!$M$505&lt;=Summary!$C$11)=0,"",'Dvd Calendar'!$M$505*1000000000+ISNUMBER('Dvd Calendar'!$M$506)*100000000+('Dvd Calendar'!$M$510='Field Check'!$C$25)*10000000+(N('Dvd Calendar'!$M$504)&gt;0)*1000000+34*1000+9))</f>
        <v/>
      </c>
      <c r="L42" s="41">
        <f>IF(N('Dvd Calendar'!$N$505)=0,"",IF(('Dvd Calendar'!$N$505&gt;=MIN(DATE(Summary!$C$12,1,1),Summary!$C$11))*('Dvd Calendar'!$N$505&lt;=MAX(DATE(Summary!$C$12,12,31),Summary!$C$15))*('Dvd Calendar'!$N$505&lt;=Summary!$C$11)=0,"",'Dvd Calendar'!$N$505*1000000000+ISNUMBER('Dvd Calendar'!$N$506)*100000000+('Dvd Calendar'!$N$510='Field Check'!$C$25)*10000000+(N('Dvd Calendar'!$N$504)&gt;0)*1000000+34*1000+10))</f>
        <v/>
      </c>
      <c r="M42" s="41">
        <f>IF(N('Dvd Calendar'!$O$505)=0,"",IF(('Dvd Calendar'!$O$505&gt;=MIN(DATE(Summary!$C$12,1,1),Summary!$C$11))*('Dvd Calendar'!$O$505&lt;=MAX(DATE(Summary!$C$12,12,31),Summary!$C$15))*('Dvd Calendar'!$O$505&lt;=Summary!$C$11)=0,"",'Dvd Calendar'!$O$505*1000000000+ISNUMBER('Dvd Calendar'!$O$506)*100000000+('Dvd Calendar'!$O$510='Field Check'!$C$25)*10000000+(N('Dvd Calendar'!$O$504)&gt;0)*1000000+34*1000+11))</f>
        <v/>
      </c>
      <c r="N42" s="41">
        <f>IF(N('Dvd Calendar'!$P$505)=0,"",IF(('Dvd Calendar'!$P$505&gt;=MIN(DATE(Summary!$C$12,1,1),Summary!$C$11))*('Dvd Calendar'!$P$505&lt;=MAX(DATE(Summary!$C$12,12,31),Summary!$C$15))*('Dvd Calendar'!$P$505&lt;=Summary!$C$11)=0,"",'Dvd Calendar'!$P$505*1000000000+ISNUMBER('Dvd Calendar'!$P$506)*100000000+('Dvd Calendar'!$P$510='Field Check'!$C$25)*10000000+(N('Dvd Calendar'!$P$504)&gt;0)*1000000+34*1000+12))</f>
        <v/>
      </c>
      <c r="O42" s="41">
        <f>IF(N('Dvd Calendar'!$Q$505)=0,"",IF(('Dvd Calendar'!$Q$505&gt;=MIN(DATE(Summary!$C$12,1,1),Summary!$C$11))*('Dvd Calendar'!$Q$505&lt;=MAX(DATE(Summary!$C$12,12,31),Summary!$C$15))*('Dvd Calendar'!$Q$505&lt;=Summary!$C$11)=0,"",'Dvd Calendar'!$Q$505*1000000000+ISNUMBER('Dvd Calendar'!$Q$506)*100000000+('Dvd Calendar'!$Q$510='Field Check'!$C$25)*10000000+(N('Dvd Calendar'!$Q$504)&gt;0)*1000000+34*1000+13))</f>
        <v/>
      </c>
      <c r="P42" s="41">
        <f>IF(N('Dvd Calendar'!$R$505)=0,"",IF(('Dvd Calendar'!$R$505&gt;=MIN(DATE(Summary!$C$12,1,1),Summary!$C$11))*('Dvd Calendar'!$R$505&lt;=MAX(DATE(Summary!$C$12,12,31),Summary!$C$15))*('Dvd Calendar'!$R$505&lt;=Summary!$C$11)=0,"",'Dvd Calendar'!$R$505*1000000000+ISNUMBER('Dvd Calendar'!$R$506)*100000000+('Dvd Calendar'!$R$510='Field Check'!$C$25)*10000000+(N('Dvd Calendar'!$R$504)&gt;0)*1000000+34*1000+14))</f>
        <v/>
      </c>
      <c r="Q42" s="41">
        <f>IF(N('Dvd Calendar'!$S$505)=0,"",IF(('Dvd Calendar'!$S$505&gt;=MIN(DATE(Summary!$C$12,1,1),Summary!$C$11))*('Dvd Calendar'!$S$505&lt;=MAX(DATE(Summary!$C$12,12,31),Summary!$C$15))*('Dvd Calendar'!$S$505&lt;=Summary!$C$11)=0,"",'Dvd Calendar'!$S$505*1000000000+ISNUMBER('Dvd Calendar'!$S$506)*100000000+('Dvd Calendar'!$S$510='Field Check'!$C$25)*10000000+(N('Dvd Calendar'!$S$504)&gt;0)*1000000+34*1000+15))</f>
        <v/>
      </c>
      <c r="R42" s="41">
        <f>IF(N('Dvd Calendar'!$T$505)=0,"",IF(('Dvd Calendar'!$T$505&gt;=MIN(DATE(Summary!$C$12,1,1),Summary!$C$11))*('Dvd Calendar'!$T$505&lt;=MAX(DATE(Summary!$C$12,12,31),Summary!$C$15))*('Dvd Calendar'!$T$505&lt;=Summary!$C$11)=0,"",'Dvd Calendar'!$T$505*1000000000+ISNUMBER('Dvd Calendar'!$T$506)*100000000+('Dvd Calendar'!$T$510='Field Check'!$C$25)*10000000+(N('Dvd Calendar'!$T$504)&gt;0)*1000000+34*1000+16))</f>
        <v/>
      </c>
      <c r="S42" s="41">
        <f>IF(N('Dvd Calendar'!$U$505)=0,"",IF(('Dvd Calendar'!$U$505&gt;=MIN(DATE(Summary!$C$12,1,1),Summary!$C$11))*('Dvd Calendar'!$U$505&lt;=MAX(DATE(Summary!$C$12,12,31),Summary!$C$15))*('Dvd Calendar'!$U$505&lt;=Summary!$C$11)=0,"",'Dvd Calendar'!$U$505*1000000000+ISNUMBER('Dvd Calendar'!$U$506)*100000000+('Dvd Calendar'!$U$510='Field Check'!$C$25)*10000000+(N('Dvd Calendar'!$U$504)&gt;0)*1000000+34*1000+17))</f>
        <v/>
      </c>
      <c r="T42" s="41">
        <f>IF(N('Dvd Calendar'!$V$505)=0,"",IF(('Dvd Calendar'!$V$505&gt;=MIN(DATE(Summary!$C$12,1,1),Summary!$C$11))*('Dvd Calendar'!$V$505&lt;=MAX(DATE(Summary!$C$12,12,31),Summary!$C$15))*('Dvd Calendar'!$V$505&lt;=Summary!$C$11)=0,"",'Dvd Calendar'!$V$505*1000000000+ISNUMBER('Dvd Calendar'!$V$506)*100000000+('Dvd Calendar'!$V$510='Field Check'!$C$25)*10000000+(N('Dvd Calendar'!$V$504)&gt;0)*1000000+34*1000+18))</f>
        <v/>
      </c>
      <c r="U42" s="41">
        <f>IF(N('Dvd Calendar'!$W$505)=0,"",IF(('Dvd Calendar'!$W$505&gt;=MIN(DATE(Summary!$C$12,1,1),Summary!$C$11))*('Dvd Calendar'!$W$505&lt;=MAX(DATE(Summary!$C$12,12,31),Summary!$C$15))*('Dvd Calendar'!$W$505&lt;=Summary!$C$11)=0,"",'Dvd Calendar'!$W$505*1000000000+ISNUMBER('Dvd Calendar'!$W$506)*100000000+('Dvd Calendar'!$W$510='Field Check'!$C$25)*10000000+(N('Dvd Calendar'!$W$504)&gt;0)*1000000+34*1000+19))</f>
        <v/>
      </c>
      <c r="V42" s="41">
        <f>IF(N('Dvd Calendar'!$X$505)=0,"",IF(('Dvd Calendar'!$X$505&gt;=MIN(DATE(Summary!$C$12,1,1),Summary!$C$11))*('Dvd Calendar'!$X$505&lt;=MAX(DATE(Summary!$C$12,12,31),Summary!$C$15))*('Dvd Calendar'!$X$505&lt;=Summary!$C$11)=0,"",'Dvd Calendar'!$X$505*1000000000+ISNUMBER('Dvd Calendar'!$X$506)*100000000+('Dvd Calendar'!$X$510='Field Check'!$C$25)*10000000+(N('Dvd Calendar'!$X$504)&gt;0)*1000000+34*1000+20))</f>
        <v/>
      </c>
      <c r="W42" s="41">
        <f>IF(N('Dvd Calendar'!$Y$505)=0,"",IF(('Dvd Calendar'!$Y$505&gt;=MIN(DATE(Summary!$C$12,1,1),Summary!$C$11))*('Dvd Calendar'!$Y$505&lt;=MAX(DATE(Summary!$C$12,12,31),Summary!$C$15))*('Dvd Calendar'!$Y$505&lt;=Summary!$C$11)=0,"",'Dvd Calendar'!$Y$505*1000000000+ISNUMBER('Dvd Calendar'!$Y$506)*100000000+('Dvd Calendar'!$Y$510='Field Check'!$C$25)*10000000+(N('Dvd Calendar'!$Y$504)&gt;0)*1000000+34*1000+21))</f>
        <v/>
      </c>
      <c r="X42" s="41">
        <f>IF(N('Dvd Calendar'!$Z$505)=0,"",IF(('Dvd Calendar'!$Z$505&gt;=MIN(DATE(Summary!$C$12,1,1),Summary!$C$11))*('Dvd Calendar'!$Z$505&lt;=MAX(DATE(Summary!$C$12,12,31),Summary!$C$15))*('Dvd Calendar'!$Z$505&lt;=Summary!$C$11)=0,"",'Dvd Calendar'!$Z$505*1000000000+ISNUMBER('Dvd Calendar'!$Z$506)*100000000+('Dvd Calendar'!$Z$510='Field Check'!$C$25)*10000000+(N('Dvd Calendar'!$Z$504)&gt;0)*1000000+34*1000+22))</f>
        <v/>
      </c>
      <c r="Y42" s="41">
        <f>IF(N('Dvd Calendar'!$AA$505)=0,"",IF(('Dvd Calendar'!$AA$505&gt;=MIN(DATE(Summary!$C$12,1,1),Summary!$C$11))*('Dvd Calendar'!$AA$505&lt;=MAX(DATE(Summary!$C$12,12,31),Summary!$C$15))*('Dvd Calendar'!$AA$505&lt;=Summary!$C$11)=0,"",'Dvd Calendar'!$AA$505*1000000000+ISNUMBER('Dvd Calendar'!$AA$506)*100000000+('Dvd Calendar'!$AA$510='Field Check'!$C$25)*10000000+(N('Dvd Calendar'!$AA$504)&gt;0)*1000000+34*1000+23))</f>
        <v/>
      </c>
      <c r="Z42" s="41">
        <f>IF(N('Dvd Calendar'!$AB$505)=0,"",IF(('Dvd Calendar'!$AB$505&gt;=MIN(DATE(Summary!$C$12,1,1),Summary!$C$11))*('Dvd Calendar'!$AB$505&lt;=MAX(DATE(Summary!$C$12,12,31),Summary!$C$15))*('Dvd Calendar'!$AB$505&lt;=Summary!$C$11)=0,"",'Dvd Calendar'!$AB$505*1000000000+ISNUMBER('Dvd Calendar'!$AB$506)*100000000+('Dvd Calendar'!$AB$510='Field Check'!$C$25)*10000000+(N('Dvd Calendar'!$AB$504)&gt;0)*1000000+34*1000+24))</f>
        <v/>
      </c>
      <c r="AA42" s="41">
        <f>IF(N('Dvd Calendar'!$AC$505)=0,"",IF(('Dvd Calendar'!$AC$505&gt;=MIN(DATE(Summary!$C$12,1,1),Summary!$C$11))*('Dvd Calendar'!$AC$505&lt;=MAX(DATE(Summary!$C$12,12,31),Summary!$C$15))*('Dvd Calendar'!$AC$505&lt;=Summary!$C$11)=0,"",'Dvd Calendar'!$AC$505*1000000000+ISNUMBER('Dvd Calendar'!$AC$506)*100000000+('Dvd Calendar'!$AC$510='Field Check'!$C$25)*10000000+(N('Dvd Calendar'!$AC$504)&gt;0)*1000000+34*1000+25))</f>
        <v/>
      </c>
      <c r="AB42" s="41">
        <f>IF(N('Dvd Calendar'!$AD$505)=0,"",IF(('Dvd Calendar'!$AD$505&gt;=MIN(DATE(Summary!$C$12,1,1),Summary!$C$11))*('Dvd Calendar'!$AD$505&lt;=MAX(DATE(Summary!$C$12,12,31),Summary!$C$15))*('Dvd Calendar'!$AD$505&lt;=Summary!$C$11)=0,"",'Dvd Calendar'!$AD$505*1000000000+ISNUMBER('Dvd Calendar'!$AD$506)*100000000+('Dvd Calendar'!$AD$510='Field Check'!$C$25)*10000000+(N('Dvd Calendar'!$AD$504)&gt;0)*1000000+34*1000+26))</f>
        <v/>
      </c>
      <c r="AC42" s="41">
        <f>IF(N('Dvd Calendar'!$AE$505)=0,"",IF(('Dvd Calendar'!$AE$505&gt;=MIN(DATE(Summary!$C$12,1,1),Summary!$C$11))*('Dvd Calendar'!$AE$505&lt;=MAX(DATE(Summary!$C$12,12,31),Summary!$C$15))*('Dvd Calendar'!$AE$505&lt;=Summary!$C$11)=0,"",'Dvd Calendar'!$AE$505*1000000000+ISNUMBER('Dvd Calendar'!$AE$506)*100000000+('Dvd Calendar'!$AE$510='Field Check'!$C$25)*10000000+(N('Dvd Calendar'!$AE$504)&gt;0)*1000000+34*1000+27))</f>
        <v/>
      </c>
      <c r="AD42" s="41">
        <f>IF(N('Dvd Calendar'!$AF$505)=0,"",IF(('Dvd Calendar'!$AF$505&gt;=MIN(DATE(Summary!$C$12,1,1),Summary!$C$11))*('Dvd Calendar'!$AF$505&lt;=MAX(DATE(Summary!$C$12,12,31),Summary!$C$15))*('Dvd Calendar'!$AF$505&lt;=Summary!$C$11)=0,"",'Dvd Calendar'!$AF$505*1000000000+ISNUMBER('Dvd Calendar'!$AF$506)*100000000+('Dvd Calendar'!$AF$510='Field Check'!$C$25)*10000000+(N('Dvd Calendar'!$AF$504)&gt;0)*1000000+34*1000+28))</f>
        <v/>
      </c>
      <c r="AE42" s="41">
        <f>IF(N('Dvd Calendar'!$AG$505)=0,"",IF(('Dvd Calendar'!$AG$505&gt;=MIN(DATE(Summary!$C$12,1,1),Summary!$C$11))*('Dvd Calendar'!$AG$505&lt;=MAX(DATE(Summary!$C$12,12,31),Summary!$C$15))*('Dvd Calendar'!$AG$505&lt;=Summary!$C$11)=0,"",'Dvd Calendar'!$AG$505*1000000000+ISNUMBER('Dvd Calendar'!$AG$506)*100000000+('Dvd Calendar'!$AG$510='Field Check'!$C$25)*10000000+(N('Dvd Calendar'!$AG$504)&gt;0)*1000000+34*1000+29))</f>
        <v/>
      </c>
      <c r="AF42" s="41">
        <f>IF(N('Dvd Calendar'!$AH$505)=0,"",IF(('Dvd Calendar'!$AH$505&gt;=MIN(DATE(Summary!$C$12,1,1),Summary!$C$11))*('Dvd Calendar'!$AH$505&lt;=MAX(DATE(Summary!$C$12,12,31),Summary!$C$15))*('Dvd Calendar'!$AH$505&lt;=Summary!$C$11)=0,"",'Dvd Calendar'!$AH$505*1000000000+ISNUMBER('Dvd Calendar'!$AH$506)*100000000+('Dvd Calendar'!$AH$510='Field Check'!$C$25)*10000000+(N('Dvd Calendar'!$AH$504)&gt;0)*1000000+34*1000+30))</f>
        <v/>
      </c>
      <c r="AG42" s="41">
        <f>IF(N('Dvd Calendar'!$AI$505)=0,"",IF(('Dvd Calendar'!$AI$505&gt;=MIN(DATE(Summary!$C$12,1,1),Summary!$C$11))*('Dvd Calendar'!$AI$505&lt;=MAX(DATE(Summary!$C$12,12,31),Summary!$C$15))*('Dvd Calendar'!$AI$505&lt;=Summary!$C$11)=0,"",'Dvd Calendar'!$AI$505*1000000000+ISNUMBER('Dvd Calendar'!$AI$506)*100000000+('Dvd Calendar'!$AI$510='Field Check'!$C$25)*10000000+(N('Dvd Calendar'!$AI$504)&gt;0)*1000000+34*1000+31))</f>
        <v/>
      </c>
      <c r="AH42" s="41">
        <f>IF(N('Dvd Calendar'!$AJ$505)=0,"",IF(('Dvd Calendar'!$AJ$505&gt;=MIN(DATE(Summary!$C$12,1,1),Summary!$C$11))*('Dvd Calendar'!$AJ$505&lt;=MAX(DATE(Summary!$C$12,12,31),Summary!$C$15))*('Dvd Calendar'!$AJ$505&lt;=Summary!$C$11)=0,"",'Dvd Calendar'!$AJ$505*1000000000+ISNUMBER('Dvd Calendar'!$AJ$506)*100000000+('Dvd Calendar'!$AJ$510='Field Check'!$C$25)*10000000+(N('Dvd Calendar'!$AJ$504)&gt;0)*1000000+34*1000+32))</f>
        <v/>
      </c>
      <c r="AI42" s="41">
        <f>IF(N('Dvd Calendar'!$AK$505)=0,"",IF(('Dvd Calendar'!$AK$505&gt;=MIN(DATE(Summary!$C$12,1,1),Summary!$C$11))*('Dvd Calendar'!$AK$505&lt;=MAX(DATE(Summary!$C$12,12,31),Summary!$C$15))*('Dvd Calendar'!$AK$505&lt;=Summary!$C$11)=0,"",'Dvd Calendar'!$AK$505*1000000000+ISNUMBER('Dvd Calendar'!$AK$506)*100000000+('Dvd Calendar'!$AK$510='Field Check'!$C$25)*10000000+(N('Dvd Calendar'!$AK$504)&gt;0)*1000000+34*1000+33))</f>
        <v/>
      </c>
      <c r="AJ42" s="41">
        <f>IF(N('Dvd Calendar'!$AL$505)=0,"",IF(('Dvd Calendar'!$AL$505&gt;=MIN(DATE(Summary!$C$12,1,1),Summary!$C$11))*('Dvd Calendar'!$AL$505&lt;=MAX(DATE(Summary!$C$12,12,31),Summary!$C$15))*('Dvd Calendar'!$AL$505&lt;=Summary!$C$11)=0,"",'Dvd Calendar'!$AL$505*1000000000+ISNUMBER('Dvd Calendar'!$AL$506)*100000000+('Dvd Calendar'!$AL$510='Field Check'!$C$25)*10000000+(N('Dvd Calendar'!$AL$504)&gt;0)*1000000+34*1000+34))</f>
        <v/>
      </c>
      <c r="AK42" s="41">
        <f>IF(N('Dvd Calendar'!$AM$505)=0,"",IF(('Dvd Calendar'!$AM$505&gt;=MIN(DATE(Summary!$C$12,1,1),Summary!$C$11))*('Dvd Calendar'!$AM$505&lt;=MAX(DATE(Summary!$C$12,12,31),Summary!$C$15))*('Dvd Calendar'!$AM$505&lt;=Summary!$C$11)=0,"",'Dvd Calendar'!$AM$505*1000000000+ISNUMBER('Dvd Calendar'!$AM$506)*100000000+('Dvd Calendar'!$AM$510='Field Check'!$C$25)*10000000+(N('Dvd Calendar'!$AM$504)&gt;0)*1000000+34*1000+35))</f>
        <v/>
      </c>
      <c r="AL42" s="41">
        <f>IF(N('Dvd Calendar'!$AN$505)=0,"",IF(('Dvd Calendar'!$AN$505&gt;=MIN(DATE(Summary!$C$12,1,1),Summary!$C$11))*('Dvd Calendar'!$AN$505&lt;=MAX(DATE(Summary!$C$12,12,31),Summary!$C$15))*('Dvd Calendar'!$AN$505&lt;=Summary!$C$11)=0,"",'Dvd Calendar'!$AN$505*1000000000+ISNUMBER('Dvd Calendar'!$AN$506)*100000000+('Dvd Calendar'!$AN$510='Field Check'!$C$25)*10000000+(N('Dvd Calendar'!$AN$504)&gt;0)*1000000+34*1000+36))</f>
        <v/>
      </c>
      <c r="AM42" s="41">
        <f>IF(N('Dvd Calendar'!$AO$505)=0,"",IF(('Dvd Calendar'!$AO$505&gt;=MIN(DATE(Summary!$C$12,1,1),Summary!$C$11))*('Dvd Calendar'!$AO$505&lt;=MAX(DATE(Summary!$C$12,12,31),Summary!$C$15))*('Dvd Calendar'!$AO$505&lt;=Summary!$C$11)=0,"",'Dvd Calendar'!$AO$505*1000000000+ISNUMBER('Dvd Calendar'!$AO$506)*100000000+('Dvd Calendar'!$AO$510='Field Check'!$C$25)*10000000+(N('Dvd Calendar'!$AO$504)&gt;0)*1000000+34*1000+37))</f>
        <v/>
      </c>
      <c r="AN42" s="41">
        <f>IF(N('Dvd Calendar'!$AP$505)=0,"",IF(('Dvd Calendar'!$AP$505&gt;=MIN(DATE(Summary!$C$12,1,1),Summary!$C$11))*('Dvd Calendar'!$AP$505&lt;=MAX(DATE(Summary!$C$12,12,31),Summary!$C$15))*('Dvd Calendar'!$AP$505&lt;=Summary!$C$11)=0,"",'Dvd Calendar'!$AP$505*1000000000+ISNUMBER('Dvd Calendar'!$AP$506)*100000000+('Dvd Calendar'!$AP$510='Field Check'!$C$25)*10000000+(N('Dvd Calendar'!$AP$504)&gt;0)*1000000+34*1000+38))</f>
        <v/>
      </c>
      <c r="AO42" s="41">
        <f>IF(N('Dvd Calendar'!$AQ$505)=0,"",IF(('Dvd Calendar'!$AQ$505&gt;=MIN(DATE(Summary!$C$12,1,1),Summary!$C$11))*('Dvd Calendar'!$AQ$505&lt;=MAX(DATE(Summary!$C$12,12,31),Summary!$C$15))*('Dvd Calendar'!$AQ$505&lt;=Summary!$C$11)=0,"",'Dvd Calendar'!$AQ$505*1000000000+ISNUMBER('Dvd Calendar'!$AQ$506)*100000000+('Dvd Calendar'!$AQ$510='Field Check'!$C$25)*10000000+(N('Dvd Calendar'!$AQ$504)&gt;0)*1000000+34*1000+39))</f>
        <v/>
      </c>
      <c r="AP42" s="41">
        <f>IF(N('Dvd Calendar'!$AR$505)=0,"",IF(('Dvd Calendar'!$AR$505&gt;=MIN(DATE(Summary!$C$12,1,1),Summary!$C$11))*('Dvd Calendar'!$AR$505&lt;=MAX(DATE(Summary!$C$12,12,31),Summary!$C$15))*('Dvd Calendar'!$AR$505&lt;=Summary!$C$11)=0,"",'Dvd Calendar'!$AR$505*1000000000+ISNUMBER('Dvd Calendar'!$AR$506)*100000000+('Dvd Calendar'!$AR$510='Field Check'!$C$25)*10000000+(N('Dvd Calendar'!$AR$504)&gt;0)*1000000+34*1000+40))</f>
        <v/>
      </c>
      <c r="AQ42" s="41">
        <f>IF(N('Dvd Calendar'!$E$512)=0,"",IF(('Dvd Calendar'!$E$512&gt;=MIN(DATE(Summary!$C$12,1,1),Summary!$C$11))*('Dvd Calendar'!$E$512&lt;=MAX(DATE(Summary!$C$12,12,31),Summary!$C$15))*('Dvd Calendar'!$E$512&gt;Summary!$C$11)=0,"",'Dvd Calendar'!$E$512*1000000000+ISNUMBER('Dvd Calendar'!$E$513)*100000000+('Dvd Calendar'!$E$517='Field Check'!$C$25)*10000000+(N('Dvd Calendar'!$E$511)&gt;0)*1000000+34*1000+41))</f>
        <v/>
      </c>
      <c r="AR42" s="41">
        <f>IF(N('Dvd Calendar'!$F$512)=0,"",IF(('Dvd Calendar'!$F$512&gt;=MIN(DATE(Summary!$C$12,1,1),Summary!$C$11))*('Dvd Calendar'!$F$512&lt;=MAX(DATE(Summary!$C$12,12,31),Summary!$C$15))*('Dvd Calendar'!$F$512&gt;Summary!$C$11)=0,"",'Dvd Calendar'!$F$512*1000000000+ISNUMBER('Dvd Calendar'!$F$513)*100000000+('Dvd Calendar'!$F$517='Field Check'!$C$25)*10000000+(N('Dvd Calendar'!$F$511)&gt;0)*1000000+34*1000+42))</f>
        <v/>
      </c>
      <c r="AS42" s="41">
        <f>IF(N('Dvd Calendar'!$G$512)=0,"",IF(('Dvd Calendar'!$G$512&gt;=MIN(DATE(Summary!$C$12,1,1),Summary!$C$11))*('Dvd Calendar'!$G$512&lt;=MAX(DATE(Summary!$C$12,12,31),Summary!$C$15))*('Dvd Calendar'!$G$512&gt;Summary!$C$11)=0,"",'Dvd Calendar'!$G$512*1000000000+ISNUMBER('Dvd Calendar'!$G$513)*100000000+('Dvd Calendar'!$G$517='Field Check'!$C$25)*10000000+(N('Dvd Calendar'!$G$511)&gt;0)*1000000+34*1000+43))</f>
        <v/>
      </c>
      <c r="AT42" s="41">
        <f>IF(N('Dvd Calendar'!$H$512)=0,"",IF(('Dvd Calendar'!$H$512&gt;=MIN(DATE(Summary!$C$12,1,1),Summary!$C$11))*('Dvd Calendar'!$H$512&lt;=MAX(DATE(Summary!$C$12,12,31),Summary!$C$15))*('Dvd Calendar'!$H$512&gt;Summary!$C$11)=0,"",'Dvd Calendar'!$H$512*1000000000+ISNUMBER('Dvd Calendar'!$H$513)*100000000+('Dvd Calendar'!$H$517='Field Check'!$C$25)*10000000+(N('Dvd Calendar'!$H$511)&gt;0)*1000000+34*1000+44))</f>
        <v/>
      </c>
      <c r="AU42" s="41">
        <f>IF(N('Dvd Calendar'!$I$512)=0,"",IF(('Dvd Calendar'!$I$512&gt;=MIN(DATE(Summary!$C$12,1,1),Summary!$C$11))*('Dvd Calendar'!$I$512&lt;=MAX(DATE(Summary!$C$12,12,31),Summary!$C$15))*('Dvd Calendar'!$I$512&gt;Summary!$C$11)=0,"",'Dvd Calendar'!$I$512*1000000000+ISNUMBER('Dvd Calendar'!$I$513)*100000000+('Dvd Calendar'!$I$517='Field Check'!$C$25)*10000000+(N('Dvd Calendar'!$I$511)&gt;0)*1000000+34*1000+45))</f>
        <v/>
      </c>
      <c r="AV42" s="41">
        <f>IF(N('Dvd Calendar'!$J$512)=0,"",IF(('Dvd Calendar'!$J$512&gt;=MIN(DATE(Summary!$C$12,1,1),Summary!$C$11))*('Dvd Calendar'!$J$512&lt;=MAX(DATE(Summary!$C$12,12,31),Summary!$C$15))*('Dvd Calendar'!$J$512&gt;Summary!$C$11)=0,"",'Dvd Calendar'!$J$512*1000000000+ISNUMBER('Dvd Calendar'!$J$513)*100000000+('Dvd Calendar'!$J$517='Field Check'!$C$25)*10000000+(N('Dvd Calendar'!$J$511)&gt;0)*1000000+34*1000+46))</f>
        <v/>
      </c>
      <c r="AW42" s="41">
        <f>IF(N('Dvd Calendar'!$K$512)=0,"",IF(('Dvd Calendar'!$K$512&gt;=MIN(DATE(Summary!$C$12,1,1),Summary!$C$11))*('Dvd Calendar'!$K$512&lt;=MAX(DATE(Summary!$C$12,12,31),Summary!$C$15))*('Dvd Calendar'!$K$512&gt;Summary!$C$11)=0,"",'Dvd Calendar'!$K$512*1000000000+ISNUMBER('Dvd Calendar'!$K$513)*100000000+('Dvd Calendar'!$K$517='Field Check'!$C$25)*10000000+(N('Dvd Calendar'!$K$511)&gt;0)*1000000+34*1000+47))</f>
        <v/>
      </c>
      <c r="AX42" s="41">
        <f>IF(N('Dvd Calendar'!$L$512)=0,"",IF(('Dvd Calendar'!$L$512&gt;=MIN(DATE(Summary!$C$12,1,1),Summary!$C$11))*('Dvd Calendar'!$L$512&lt;=MAX(DATE(Summary!$C$12,12,31),Summary!$C$15))*('Dvd Calendar'!$L$512&gt;Summary!$C$11)=0,"",'Dvd Calendar'!$L$512*1000000000+ISNUMBER('Dvd Calendar'!$L$513)*100000000+('Dvd Calendar'!$L$517='Field Check'!$C$25)*10000000+(N('Dvd Calendar'!$L$511)&gt;0)*1000000+34*1000+48))</f>
        <v/>
      </c>
      <c r="AY42" s="41">
        <f>IF(N('Dvd Calendar'!$M$512)=0,"",IF(('Dvd Calendar'!$M$512&gt;=MIN(DATE(Summary!$C$12,1,1),Summary!$C$11))*('Dvd Calendar'!$M$512&lt;=MAX(DATE(Summary!$C$12,12,31),Summary!$C$15))*('Dvd Calendar'!$M$512&gt;Summary!$C$11)=0,"",'Dvd Calendar'!$M$512*1000000000+ISNUMBER('Dvd Calendar'!$M$513)*100000000+('Dvd Calendar'!$M$517='Field Check'!$C$25)*10000000+(N('Dvd Calendar'!$M$511)&gt;0)*1000000+34*1000+49))</f>
        <v/>
      </c>
      <c r="AZ42" s="41">
        <f>IF(N('Dvd Calendar'!$N$512)=0,"",IF(('Dvd Calendar'!$N$512&gt;=MIN(DATE(Summary!$C$12,1,1),Summary!$C$11))*('Dvd Calendar'!$N$512&lt;=MAX(DATE(Summary!$C$12,12,31),Summary!$C$15))*('Dvd Calendar'!$N$512&gt;Summary!$C$11)=0,"",'Dvd Calendar'!$N$512*1000000000+ISNUMBER('Dvd Calendar'!$N$513)*100000000+('Dvd Calendar'!$N$517='Field Check'!$C$25)*10000000+(N('Dvd Calendar'!$N$511)&gt;0)*1000000+34*1000+50))</f>
        <v/>
      </c>
      <c r="BA42" s="41">
        <f>IF(N('Dvd Calendar'!$O$512)=0,"",IF(('Dvd Calendar'!$O$512&gt;=MIN(DATE(Summary!$C$12,1,1),Summary!$C$11))*('Dvd Calendar'!$O$512&lt;=MAX(DATE(Summary!$C$12,12,31),Summary!$C$15))*('Dvd Calendar'!$O$512&gt;Summary!$C$11)=0,"",'Dvd Calendar'!$O$512*1000000000+ISNUMBER('Dvd Calendar'!$O$513)*100000000+('Dvd Calendar'!$O$517='Field Check'!$C$25)*10000000+(N('Dvd Calendar'!$O$511)&gt;0)*1000000+34*1000+51))</f>
        <v/>
      </c>
      <c r="BB42" s="41">
        <f>IF(N('Dvd Calendar'!$P$512)=0,"",IF(('Dvd Calendar'!$P$512&gt;=MIN(DATE(Summary!$C$12,1,1),Summary!$C$11))*('Dvd Calendar'!$P$512&lt;=MAX(DATE(Summary!$C$12,12,31),Summary!$C$15))*('Dvd Calendar'!$P$512&gt;Summary!$C$11)=0,"",'Dvd Calendar'!$P$512*1000000000+ISNUMBER('Dvd Calendar'!$P$513)*100000000+('Dvd Calendar'!$P$517='Field Check'!$C$25)*10000000+(N('Dvd Calendar'!$P$511)&gt;0)*1000000+34*1000+52))</f>
        <v/>
      </c>
      <c r="BC42" s="41">
        <f>IF(N('Dvd Calendar'!$Q$512)=0,"",IF(('Dvd Calendar'!$Q$512&gt;=MIN(DATE(Summary!$C$12,1,1),Summary!$C$11))*('Dvd Calendar'!$Q$512&lt;=MAX(DATE(Summary!$C$12,12,31),Summary!$C$15))*('Dvd Calendar'!$Q$512&gt;Summary!$C$11)=0,"",'Dvd Calendar'!$Q$512*1000000000+ISNUMBER('Dvd Calendar'!$Q$513)*100000000+('Dvd Calendar'!$Q$517='Field Check'!$C$25)*10000000+(N('Dvd Calendar'!$Q$511)&gt;0)*1000000+34*1000+53))</f>
        <v/>
      </c>
      <c r="BD42" s="41">
        <f>IF(N('Dvd Calendar'!$R$512)=0,"",IF(('Dvd Calendar'!$R$512&gt;=MIN(DATE(Summary!$C$12,1,1),Summary!$C$11))*('Dvd Calendar'!$R$512&lt;=MAX(DATE(Summary!$C$12,12,31),Summary!$C$15))*('Dvd Calendar'!$R$512&gt;Summary!$C$11)=0,"",'Dvd Calendar'!$R$512*1000000000+ISNUMBER('Dvd Calendar'!$R$513)*100000000+('Dvd Calendar'!$R$517='Field Check'!$C$25)*10000000+(N('Dvd Calendar'!$R$511)&gt;0)*1000000+34*1000+54))</f>
        <v/>
      </c>
      <c r="BE42" s="41">
        <f>IF(N('Dvd Calendar'!$S$512)=0,"",IF(('Dvd Calendar'!$S$512&gt;=MIN(DATE(Summary!$C$12,1,1),Summary!$C$11))*('Dvd Calendar'!$S$512&lt;=MAX(DATE(Summary!$C$12,12,31),Summary!$C$15))*('Dvd Calendar'!$S$512&gt;Summary!$C$11)=0,"",'Dvd Calendar'!$S$512*1000000000+ISNUMBER('Dvd Calendar'!$S$513)*100000000+('Dvd Calendar'!$S$517='Field Check'!$C$25)*10000000+(N('Dvd Calendar'!$S$511)&gt;0)*1000000+34*1000+55))</f>
        <v/>
      </c>
      <c r="BF42" s="41">
        <f>IF(N('Dvd Calendar'!$T$512)=0,"",IF(('Dvd Calendar'!$T$512&gt;=MIN(DATE(Summary!$C$12,1,1),Summary!$C$11))*('Dvd Calendar'!$T$512&lt;=MAX(DATE(Summary!$C$12,12,31),Summary!$C$15))*('Dvd Calendar'!$T$512&gt;Summary!$C$11)=0,"",'Dvd Calendar'!$T$512*1000000000+ISNUMBER('Dvd Calendar'!$T$513)*100000000+('Dvd Calendar'!$T$517='Field Check'!$C$25)*10000000+(N('Dvd Calendar'!$T$511)&gt;0)*1000000+34*1000+56))</f>
        <v/>
      </c>
      <c r="BG42" s="41">
        <f>IF(N('Dvd Calendar'!$U$512)=0,"",IF(('Dvd Calendar'!$U$512&gt;=MIN(DATE(Summary!$C$12,1,1),Summary!$C$11))*('Dvd Calendar'!$U$512&lt;=MAX(DATE(Summary!$C$12,12,31),Summary!$C$15))*('Dvd Calendar'!$U$512&gt;Summary!$C$11)=0,"",'Dvd Calendar'!$U$512*1000000000+ISNUMBER('Dvd Calendar'!$U$513)*100000000+('Dvd Calendar'!$U$517='Field Check'!$C$25)*10000000+(N('Dvd Calendar'!$U$511)&gt;0)*1000000+34*1000+57))</f>
        <v/>
      </c>
      <c r="BH42" s="41">
        <f>IF(N('Dvd Calendar'!$V$512)=0,"",IF(('Dvd Calendar'!$V$512&gt;=MIN(DATE(Summary!$C$12,1,1),Summary!$C$11))*('Dvd Calendar'!$V$512&lt;=MAX(DATE(Summary!$C$12,12,31),Summary!$C$15))*('Dvd Calendar'!$V$512&gt;Summary!$C$11)=0,"",'Dvd Calendar'!$V$512*1000000000+ISNUMBER('Dvd Calendar'!$V$513)*100000000+('Dvd Calendar'!$V$517='Field Check'!$C$25)*10000000+(N('Dvd Calendar'!$V$511)&gt;0)*1000000+34*1000+58))</f>
        <v/>
      </c>
      <c r="BI42" s="41">
        <f>IF(N('Dvd Calendar'!$W$512)=0,"",IF(('Dvd Calendar'!$W$512&gt;=MIN(DATE(Summary!$C$12,1,1),Summary!$C$11))*('Dvd Calendar'!$W$512&lt;=MAX(DATE(Summary!$C$12,12,31),Summary!$C$15))*('Dvd Calendar'!$W$512&gt;Summary!$C$11)=0,"",'Dvd Calendar'!$W$512*1000000000+ISNUMBER('Dvd Calendar'!$W$513)*100000000+('Dvd Calendar'!$W$517='Field Check'!$C$25)*10000000+(N('Dvd Calendar'!$W$511)&gt;0)*1000000+34*1000+59))</f>
        <v/>
      </c>
      <c r="BJ42" s="41">
        <f>IF(N('Dvd Calendar'!$X$512)=0,"",IF(('Dvd Calendar'!$X$512&gt;=MIN(DATE(Summary!$C$12,1,1),Summary!$C$11))*('Dvd Calendar'!$X$512&lt;=MAX(DATE(Summary!$C$12,12,31),Summary!$C$15))*('Dvd Calendar'!$X$512&gt;Summary!$C$11)=0,"",'Dvd Calendar'!$X$512*1000000000+ISNUMBER('Dvd Calendar'!$X$513)*100000000+('Dvd Calendar'!$X$517='Field Check'!$C$25)*10000000+(N('Dvd Calendar'!$X$511)&gt;0)*1000000+34*1000+60))</f>
        <v/>
      </c>
      <c r="BK42" s="41">
        <f>IF(N('Dvd Calendar'!$Y$512)=0,"",IF(('Dvd Calendar'!$Y$512&gt;=MIN(DATE(Summary!$C$12,1,1),Summary!$C$11))*('Dvd Calendar'!$Y$512&lt;=MAX(DATE(Summary!$C$12,12,31),Summary!$C$15))*('Dvd Calendar'!$Y$512&gt;Summary!$C$11)=0,"",'Dvd Calendar'!$Y$512*1000000000+ISNUMBER('Dvd Calendar'!$Y$513)*100000000+('Dvd Calendar'!$Y$517='Field Check'!$C$25)*10000000+(N('Dvd Calendar'!$Y$511)&gt;0)*1000000+34*1000+61))</f>
        <v/>
      </c>
      <c r="BL42" s="41">
        <f>IF(N('Dvd Calendar'!$Z$512)=0,"",IF(('Dvd Calendar'!$Z$512&gt;=MIN(DATE(Summary!$C$12,1,1),Summary!$C$11))*('Dvd Calendar'!$Z$512&lt;=MAX(DATE(Summary!$C$12,12,31),Summary!$C$15))*('Dvd Calendar'!$Z$512&gt;Summary!$C$11)=0,"",'Dvd Calendar'!$Z$512*1000000000+ISNUMBER('Dvd Calendar'!$Z$513)*100000000+('Dvd Calendar'!$Z$517='Field Check'!$C$25)*10000000+(N('Dvd Calendar'!$Z$511)&gt;0)*1000000+34*1000+62))</f>
        <v/>
      </c>
      <c r="BM42" s="41">
        <f>IF(N('Dvd Calendar'!$AA$512)=0,"",IF(('Dvd Calendar'!$AA$512&gt;=MIN(DATE(Summary!$C$12,1,1),Summary!$C$11))*('Dvd Calendar'!$AA$512&lt;=MAX(DATE(Summary!$C$12,12,31),Summary!$C$15))*('Dvd Calendar'!$AA$512&gt;Summary!$C$11)=0,"",'Dvd Calendar'!$AA$512*1000000000+ISNUMBER('Dvd Calendar'!$AA$513)*100000000+('Dvd Calendar'!$AA$517='Field Check'!$C$25)*10000000+(N('Dvd Calendar'!$AA$511)&gt;0)*1000000+34*1000+63))</f>
        <v/>
      </c>
      <c r="BN42" s="41">
        <f>IF(N('Dvd Calendar'!$AB$512)=0,"",IF(('Dvd Calendar'!$AB$512&gt;=MIN(DATE(Summary!$C$12,1,1),Summary!$C$11))*('Dvd Calendar'!$AB$512&lt;=MAX(DATE(Summary!$C$12,12,31),Summary!$C$15))*('Dvd Calendar'!$AB$512&gt;Summary!$C$11)=0,"",'Dvd Calendar'!$AB$512*1000000000+ISNUMBER('Dvd Calendar'!$AB$513)*100000000+('Dvd Calendar'!$AB$517='Field Check'!$C$25)*10000000+(N('Dvd Calendar'!$AB$511)&gt;0)*1000000+34*1000+64))</f>
        <v/>
      </c>
      <c r="BO42" s="41">
        <f>IF(N('Dvd Calendar'!$AC$512)=0,"",IF(('Dvd Calendar'!$AC$512&gt;=MIN(DATE(Summary!$C$12,1,1),Summary!$C$11))*('Dvd Calendar'!$AC$512&lt;=MAX(DATE(Summary!$C$12,12,31),Summary!$C$15))*('Dvd Calendar'!$AC$512&gt;Summary!$C$11)=0,"",'Dvd Calendar'!$AC$512*1000000000+ISNUMBER('Dvd Calendar'!$AC$513)*100000000+('Dvd Calendar'!$AC$517='Field Check'!$C$25)*10000000+(N('Dvd Calendar'!$AC$511)&gt;0)*1000000+34*1000+65))</f>
        <v/>
      </c>
      <c r="BQ42" s="85">
        <f>IF(C42="","",IF(ISNUMBER('Dvd Calendar'!$E$506)=FALSE,"",IF((Summary!$C$13="N")*('Dvd Calendar'!$E$510='Field Check'!$C$25)&gt;0,"",'Dvd Calendar'!$E$506)))</f>
        <v/>
      </c>
      <c r="BR42" s="85">
        <f>IF(D42="","",IF(ISNUMBER('Dvd Calendar'!$F$506)=FALSE,"",IF((Summary!$C$13="N")*('Dvd Calendar'!$F$510='Field Check'!$C$25)&gt;0,"",'Dvd Calendar'!$F$506)))</f>
        <v/>
      </c>
      <c r="BS42" s="85">
        <f>IF(E42="","",IF(ISNUMBER('Dvd Calendar'!$G$506)=FALSE,"",IF((Summary!$C$13="N")*('Dvd Calendar'!$G$510='Field Check'!$C$25)&gt;0,"",'Dvd Calendar'!$G$506)))</f>
        <v/>
      </c>
      <c r="BT42" s="85">
        <f>IF(F42="","",IF(ISNUMBER('Dvd Calendar'!$H$506)=FALSE,"",IF((Summary!$C$13="N")*('Dvd Calendar'!$H$510='Field Check'!$C$25)&gt;0,"",'Dvd Calendar'!$H$506)))</f>
        <v/>
      </c>
      <c r="BU42" s="85">
        <f>IF(G42="","",IF(ISNUMBER('Dvd Calendar'!$I$506)=FALSE,"",IF((Summary!$C$13="N")*('Dvd Calendar'!$I$510='Field Check'!$C$25)&gt;0,"",'Dvd Calendar'!$I$506)))</f>
        <v/>
      </c>
      <c r="BV42" s="85">
        <f>IF(H42="","",IF(ISNUMBER('Dvd Calendar'!$J$506)=FALSE,"",IF((Summary!$C$13="N")*('Dvd Calendar'!$J$510='Field Check'!$C$25)&gt;0,"",'Dvd Calendar'!$J$506)))</f>
        <v/>
      </c>
      <c r="BW42" s="85">
        <f>IF(I42="","",IF(ISNUMBER('Dvd Calendar'!$K$506)=FALSE,"",IF((Summary!$C$13="N")*('Dvd Calendar'!$K$510='Field Check'!$C$25)&gt;0,"",'Dvd Calendar'!$K$506)))</f>
        <v/>
      </c>
      <c r="BX42" s="85">
        <f>IF(J42="","",IF(ISNUMBER('Dvd Calendar'!$L$506)=FALSE,"",IF((Summary!$C$13="N")*('Dvd Calendar'!$L$510='Field Check'!$C$25)&gt;0,"",'Dvd Calendar'!$L$506)))</f>
        <v/>
      </c>
      <c r="BY42" s="85">
        <f>IF(K42="","",IF(ISNUMBER('Dvd Calendar'!$M$506)=FALSE,"",IF((Summary!$C$13="N")*('Dvd Calendar'!$M$510='Field Check'!$C$25)&gt;0,"",'Dvd Calendar'!$M$506)))</f>
        <v/>
      </c>
      <c r="BZ42" s="85">
        <f>IF(L42="","",IF(ISNUMBER('Dvd Calendar'!$N$506)=FALSE,"",IF((Summary!$C$13="N")*('Dvd Calendar'!$N$510='Field Check'!$C$25)&gt;0,"",'Dvd Calendar'!$N$506)))</f>
        <v/>
      </c>
      <c r="CA42" s="85">
        <f>IF(M42="","",IF(ISNUMBER('Dvd Calendar'!$O$506)=FALSE,"",IF((Summary!$C$13="N")*('Dvd Calendar'!$O$510='Field Check'!$C$25)&gt;0,"",'Dvd Calendar'!$O$506)))</f>
        <v/>
      </c>
      <c r="CB42" s="85">
        <f>IF(N42="","",IF(ISNUMBER('Dvd Calendar'!$P$506)=FALSE,"",IF((Summary!$C$13="N")*('Dvd Calendar'!$P$510='Field Check'!$C$25)&gt;0,"",'Dvd Calendar'!$P$506)))</f>
        <v/>
      </c>
      <c r="CC42" s="85">
        <f>IF(O42="","",IF(ISNUMBER('Dvd Calendar'!$Q$506)=FALSE,"",IF((Summary!$C$13="N")*('Dvd Calendar'!$Q$510='Field Check'!$C$25)&gt;0,"",'Dvd Calendar'!$Q$506)))</f>
        <v/>
      </c>
      <c r="CD42" s="85">
        <f>IF(P42="","",IF(ISNUMBER('Dvd Calendar'!$R$506)=FALSE,"",IF((Summary!$C$13="N")*('Dvd Calendar'!$R$510='Field Check'!$C$25)&gt;0,"",'Dvd Calendar'!$R$506)))</f>
        <v/>
      </c>
      <c r="CE42" s="85">
        <f>IF(Q42="","",IF(ISNUMBER('Dvd Calendar'!$S$506)=FALSE,"",IF((Summary!$C$13="N")*('Dvd Calendar'!$S$510='Field Check'!$C$25)&gt;0,"",'Dvd Calendar'!$S$506)))</f>
        <v/>
      </c>
      <c r="CF42" s="85">
        <f>IF(R42="","",IF(ISNUMBER('Dvd Calendar'!$T$506)=FALSE,"",IF((Summary!$C$13="N")*('Dvd Calendar'!$T$510='Field Check'!$C$25)&gt;0,"",'Dvd Calendar'!$T$506)))</f>
        <v/>
      </c>
      <c r="CG42" s="85">
        <f>IF(S42="","",IF(ISNUMBER('Dvd Calendar'!$U$506)=FALSE,"",IF((Summary!$C$13="N")*('Dvd Calendar'!$U$510='Field Check'!$C$25)&gt;0,"",'Dvd Calendar'!$U$506)))</f>
        <v/>
      </c>
      <c r="CH42" s="85">
        <f>IF(T42="","",IF(ISNUMBER('Dvd Calendar'!$V$506)=FALSE,"",IF((Summary!$C$13="N")*('Dvd Calendar'!$V$510='Field Check'!$C$25)&gt;0,"",'Dvd Calendar'!$V$506)))</f>
        <v/>
      </c>
      <c r="CI42" s="85">
        <f>IF(U42="","",IF(ISNUMBER('Dvd Calendar'!$W$506)=FALSE,"",IF((Summary!$C$13="N")*('Dvd Calendar'!$W$510='Field Check'!$C$25)&gt;0,"",'Dvd Calendar'!$W$506)))</f>
        <v/>
      </c>
      <c r="CJ42" s="85">
        <f>IF(V42="","",IF(ISNUMBER('Dvd Calendar'!$X$506)=FALSE,"",IF((Summary!$C$13="N")*('Dvd Calendar'!$X$510='Field Check'!$C$25)&gt;0,"",'Dvd Calendar'!$X$506)))</f>
        <v/>
      </c>
      <c r="CK42" s="85">
        <f>IF(W42="","",IF(ISNUMBER('Dvd Calendar'!$Y$506)=FALSE,"",IF((Summary!$C$13="N")*('Dvd Calendar'!$Y$510='Field Check'!$C$25)&gt;0,"",'Dvd Calendar'!$Y$506)))</f>
        <v/>
      </c>
      <c r="CL42" s="85">
        <f>IF(X42="","",IF(ISNUMBER('Dvd Calendar'!$Z$506)=FALSE,"",IF((Summary!$C$13="N")*('Dvd Calendar'!$Z$510='Field Check'!$C$25)&gt;0,"",'Dvd Calendar'!$Z$506)))</f>
        <v/>
      </c>
      <c r="CM42" s="85">
        <f>IF(Y42="","",IF(ISNUMBER('Dvd Calendar'!$AA$506)=FALSE,"",IF((Summary!$C$13="N")*('Dvd Calendar'!$AA$510='Field Check'!$C$25)&gt;0,"",'Dvd Calendar'!$AA$506)))</f>
        <v/>
      </c>
      <c r="CN42" s="85">
        <f>IF(Z42="","",IF(ISNUMBER('Dvd Calendar'!$AB$506)=FALSE,"",IF((Summary!$C$13="N")*('Dvd Calendar'!$AB$510='Field Check'!$C$25)&gt;0,"",'Dvd Calendar'!$AB$506)))</f>
        <v/>
      </c>
      <c r="CO42" s="85">
        <f>IF(AA42="","",IF(ISNUMBER('Dvd Calendar'!$AC$506)=FALSE,"",IF((Summary!$C$13="N")*('Dvd Calendar'!$AC$510='Field Check'!$C$25)&gt;0,"",'Dvd Calendar'!$AC$506)))</f>
        <v/>
      </c>
      <c r="CP42" s="85">
        <f>IF(AB42="","",IF(ISNUMBER('Dvd Calendar'!$AD$506)=FALSE,"",IF((Summary!$C$13="N")*('Dvd Calendar'!$AD$510='Field Check'!$C$25)&gt;0,"",'Dvd Calendar'!$AD$506)))</f>
        <v/>
      </c>
      <c r="CQ42" s="85">
        <f>IF(AC42="","",IF(ISNUMBER('Dvd Calendar'!$AE$506)=FALSE,"",IF((Summary!$C$13="N")*('Dvd Calendar'!$AE$510='Field Check'!$C$25)&gt;0,"",'Dvd Calendar'!$AE$506)))</f>
        <v/>
      </c>
      <c r="CR42" s="85">
        <f>IF(AD42="","",IF(ISNUMBER('Dvd Calendar'!$AF$506)=FALSE,"",IF((Summary!$C$13="N")*('Dvd Calendar'!$AF$510='Field Check'!$C$25)&gt;0,"",'Dvd Calendar'!$AF$506)))</f>
        <v/>
      </c>
      <c r="CS42" s="85">
        <f>IF(AE42="","",IF(ISNUMBER('Dvd Calendar'!$AG$506)=FALSE,"",IF((Summary!$C$13="N")*('Dvd Calendar'!$AG$510='Field Check'!$C$25)&gt;0,"",'Dvd Calendar'!$AG$506)))</f>
        <v/>
      </c>
      <c r="CT42" s="85">
        <f>IF(AF42="","",IF(ISNUMBER('Dvd Calendar'!$AH$506)=FALSE,"",IF((Summary!$C$13="N")*('Dvd Calendar'!$AH$510='Field Check'!$C$25)&gt;0,"",'Dvd Calendar'!$AH$506)))</f>
        <v/>
      </c>
      <c r="CU42" s="85">
        <f>IF(AG42="","",IF(ISNUMBER('Dvd Calendar'!$AI$506)=FALSE,"",IF((Summary!$C$13="N")*('Dvd Calendar'!$AI$510='Field Check'!$C$25)&gt;0,"",'Dvd Calendar'!$AI$506)))</f>
        <v/>
      </c>
      <c r="CV42" s="85">
        <f>IF(AH42="","",IF(ISNUMBER('Dvd Calendar'!$AJ$506)=FALSE,"",IF((Summary!$C$13="N")*('Dvd Calendar'!$AJ$510='Field Check'!$C$25)&gt;0,"",'Dvd Calendar'!$AJ$506)))</f>
        <v/>
      </c>
      <c r="CW42" s="85">
        <f>IF(AI42="","",IF(ISNUMBER('Dvd Calendar'!$AK$506)=FALSE,"",IF((Summary!$C$13="N")*('Dvd Calendar'!$AK$510='Field Check'!$C$25)&gt;0,"",'Dvd Calendar'!$AK$506)))</f>
        <v/>
      </c>
      <c r="CX42" s="85">
        <f>IF(AJ42="","",IF(ISNUMBER('Dvd Calendar'!$AL$506)=FALSE,"",IF((Summary!$C$13="N")*('Dvd Calendar'!$AL$510='Field Check'!$C$25)&gt;0,"",'Dvd Calendar'!$AL$506)))</f>
        <v/>
      </c>
      <c r="CY42" s="85">
        <f>IF(AK42="","",IF(ISNUMBER('Dvd Calendar'!$AM$506)=FALSE,"",IF((Summary!$C$13="N")*('Dvd Calendar'!$AM$510='Field Check'!$C$25)&gt;0,"",'Dvd Calendar'!$AM$506)))</f>
        <v/>
      </c>
      <c r="CZ42" s="85">
        <f>IF(AL42="","",IF(ISNUMBER('Dvd Calendar'!$AN$506)=FALSE,"",IF((Summary!$C$13="N")*('Dvd Calendar'!$AN$510='Field Check'!$C$25)&gt;0,"",'Dvd Calendar'!$AN$506)))</f>
        <v/>
      </c>
      <c r="DA42" s="85">
        <f>IF(AM42="","",IF(ISNUMBER('Dvd Calendar'!$AO$506)=FALSE,"",IF((Summary!$C$13="N")*('Dvd Calendar'!$AO$510='Field Check'!$C$25)&gt;0,"",'Dvd Calendar'!$AO$506)))</f>
        <v/>
      </c>
      <c r="DB42" s="85">
        <f>IF(AN42="","",IF(ISNUMBER('Dvd Calendar'!$AP$506)=FALSE,"",IF((Summary!$C$13="N")*('Dvd Calendar'!$AP$510='Field Check'!$C$25)&gt;0,"",'Dvd Calendar'!$AP$506)))</f>
        <v/>
      </c>
      <c r="DC42" s="85">
        <f>IF(AO42="","",IF(ISNUMBER('Dvd Calendar'!$AQ$506)=FALSE,"",IF((Summary!$C$13="N")*('Dvd Calendar'!$AQ$510='Field Check'!$C$25)&gt;0,"",'Dvd Calendar'!$AQ$506)))</f>
        <v/>
      </c>
      <c r="DD42" s="85">
        <f>IF(AP42="","",IF(ISNUMBER('Dvd Calendar'!$AR$506)=FALSE,"",IF((Summary!$C$13="N")*('Dvd Calendar'!$AR$510='Field Check'!$C$25)&gt;0,"",'Dvd Calendar'!$AR$506)))</f>
        <v/>
      </c>
      <c r="DE42" s="85">
        <f>IF(AQ42="","",IF(ISNUMBER('Dvd Calendar'!$E$513)=FALSE,"",IF((Summary!$C$13="N")*('Dvd Calendar'!$E$517='Field Check'!$C$25)&gt;0,"",'Dvd Calendar'!$E$513)))</f>
        <v/>
      </c>
      <c r="DF42" s="85">
        <f>IF(AR42="","",IF(ISNUMBER('Dvd Calendar'!$F$513)=FALSE,"",IF((Summary!$C$13="N")*('Dvd Calendar'!$F$517='Field Check'!$C$25)&gt;0,"",'Dvd Calendar'!$F$513)))</f>
        <v/>
      </c>
      <c r="DG42" s="85">
        <f>IF(AS42="","",IF(ISNUMBER('Dvd Calendar'!$G$513)=FALSE,"",IF((Summary!$C$13="N")*('Dvd Calendar'!$G$517='Field Check'!$C$25)&gt;0,"",'Dvd Calendar'!$G$513)))</f>
        <v/>
      </c>
      <c r="DH42" s="85">
        <f>IF(AT42="","",IF(ISNUMBER('Dvd Calendar'!$H$513)=FALSE,"",IF((Summary!$C$13="N")*('Dvd Calendar'!$H$517='Field Check'!$C$25)&gt;0,"",'Dvd Calendar'!$H$513)))</f>
        <v/>
      </c>
      <c r="DI42" s="85">
        <f>IF(AU42="","",IF(ISNUMBER('Dvd Calendar'!$I$513)=FALSE,"",IF((Summary!$C$13="N")*('Dvd Calendar'!$I$517='Field Check'!$C$25)&gt;0,"",'Dvd Calendar'!$I$513)))</f>
        <v/>
      </c>
      <c r="DJ42" s="85">
        <f>IF(AV42="","",IF(ISNUMBER('Dvd Calendar'!$J$513)=FALSE,"",IF((Summary!$C$13="N")*('Dvd Calendar'!$J$517='Field Check'!$C$25)&gt;0,"",'Dvd Calendar'!$J$513)))</f>
        <v/>
      </c>
      <c r="DK42" s="85">
        <f>IF(AW42="","",IF(ISNUMBER('Dvd Calendar'!$K$513)=FALSE,"",IF((Summary!$C$13="N")*('Dvd Calendar'!$K$517='Field Check'!$C$25)&gt;0,"",'Dvd Calendar'!$K$513)))</f>
        <v/>
      </c>
      <c r="DL42" s="85">
        <f>IF(AX42="","",IF(ISNUMBER('Dvd Calendar'!$L$513)=FALSE,"",IF((Summary!$C$13="N")*('Dvd Calendar'!$L$517='Field Check'!$C$25)&gt;0,"",'Dvd Calendar'!$L$513)))</f>
        <v/>
      </c>
      <c r="DM42" s="85">
        <f>IF(AY42="","",IF(ISNUMBER('Dvd Calendar'!$M$513)=FALSE,"",IF((Summary!$C$13="N")*('Dvd Calendar'!$M$517='Field Check'!$C$25)&gt;0,"",'Dvd Calendar'!$M$513)))</f>
        <v/>
      </c>
      <c r="DN42" s="85">
        <f>IF(AZ42="","",IF(ISNUMBER('Dvd Calendar'!$N$513)=FALSE,"",IF((Summary!$C$13="N")*('Dvd Calendar'!$N$517='Field Check'!$C$25)&gt;0,"",'Dvd Calendar'!$N$513)))</f>
        <v/>
      </c>
      <c r="DO42" s="85">
        <f>IF(BA42="","",IF(ISNUMBER('Dvd Calendar'!$O$513)=FALSE,"",IF((Summary!$C$13="N")*('Dvd Calendar'!$O$517='Field Check'!$C$25)&gt;0,"",'Dvd Calendar'!$O$513)))</f>
        <v/>
      </c>
      <c r="DP42" s="85">
        <f>IF(BB42="","",IF(ISNUMBER('Dvd Calendar'!$P$513)=FALSE,"",IF((Summary!$C$13="N")*('Dvd Calendar'!$P$517='Field Check'!$C$25)&gt;0,"",'Dvd Calendar'!$P$513)))</f>
        <v/>
      </c>
      <c r="DQ42" s="85">
        <f>IF(BC42="","",IF(ISNUMBER('Dvd Calendar'!$Q$513)=FALSE,"",IF((Summary!$C$13="N")*('Dvd Calendar'!$Q$517='Field Check'!$C$25)&gt;0,"",'Dvd Calendar'!$Q$513)))</f>
        <v/>
      </c>
      <c r="DR42" s="85">
        <f>IF(BD42="","",IF(ISNUMBER('Dvd Calendar'!$R$513)=FALSE,"",IF((Summary!$C$13="N")*('Dvd Calendar'!$R$517='Field Check'!$C$25)&gt;0,"",'Dvd Calendar'!$R$513)))</f>
        <v/>
      </c>
      <c r="DS42" s="85">
        <f>IF(BE42="","",IF(ISNUMBER('Dvd Calendar'!$S$513)=FALSE,"",IF((Summary!$C$13="N")*('Dvd Calendar'!$S$517='Field Check'!$C$25)&gt;0,"",'Dvd Calendar'!$S$513)))</f>
        <v/>
      </c>
      <c r="DT42" s="85">
        <f>IF(BF42="","",IF(ISNUMBER('Dvd Calendar'!$T$513)=FALSE,"",IF((Summary!$C$13="N")*('Dvd Calendar'!$T$517='Field Check'!$C$25)&gt;0,"",'Dvd Calendar'!$T$513)))</f>
        <v/>
      </c>
      <c r="DU42" s="85">
        <f>IF(BG42="","",IF(ISNUMBER('Dvd Calendar'!$U$513)=FALSE,"",IF((Summary!$C$13="N")*('Dvd Calendar'!$U$517='Field Check'!$C$25)&gt;0,"",'Dvd Calendar'!$U$513)))</f>
        <v/>
      </c>
      <c r="DV42" s="85">
        <f>IF(BH42="","",IF(ISNUMBER('Dvd Calendar'!$V$513)=FALSE,"",IF((Summary!$C$13="N")*('Dvd Calendar'!$V$517='Field Check'!$C$25)&gt;0,"",'Dvd Calendar'!$V$513)))</f>
        <v/>
      </c>
      <c r="DW42" s="85">
        <f>IF(BI42="","",IF(ISNUMBER('Dvd Calendar'!$W$513)=FALSE,"",IF((Summary!$C$13="N")*('Dvd Calendar'!$W$517='Field Check'!$C$25)&gt;0,"",'Dvd Calendar'!$W$513)))</f>
        <v/>
      </c>
      <c r="DX42" s="85">
        <f>IF(BJ42="","",IF(ISNUMBER('Dvd Calendar'!$X$513)=FALSE,"",IF((Summary!$C$13="N")*('Dvd Calendar'!$X$517='Field Check'!$C$25)&gt;0,"",'Dvd Calendar'!$X$513)))</f>
        <v/>
      </c>
      <c r="DY42" s="85">
        <f>IF(BK42="","",IF(ISNUMBER('Dvd Calendar'!$Y$513)=FALSE,"",IF((Summary!$C$13="N")*('Dvd Calendar'!$Y$517='Field Check'!$C$25)&gt;0,"",'Dvd Calendar'!$Y$513)))</f>
        <v/>
      </c>
      <c r="DZ42" s="85">
        <f>IF(BL42="","",IF(ISNUMBER('Dvd Calendar'!$Z$513)=FALSE,"",IF((Summary!$C$13="N")*('Dvd Calendar'!$Z$517='Field Check'!$C$25)&gt;0,"",'Dvd Calendar'!$Z$513)))</f>
        <v/>
      </c>
      <c r="EA42" s="85">
        <f>IF(BM42="","",IF(ISNUMBER('Dvd Calendar'!$AA$513)=FALSE,"",IF((Summary!$C$13="N")*('Dvd Calendar'!$AA$517='Field Check'!$C$25)&gt;0,"",'Dvd Calendar'!$AA$513)))</f>
        <v/>
      </c>
      <c r="EB42" s="85">
        <f>IF(BN42="","",IF(ISNUMBER('Dvd Calendar'!$AB$513)=FALSE,"",IF((Summary!$C$13="N")*('Dvd Calendar'!$AB$517='Field Check'!$C$25)&gt;0,"",'Dvd Calendar'!$AB$513)))</f>
        <v/>
      </c>
      <c r="EC42" s="85">
        <f>IF(BO42="","",IF(ISNUMBER('Dvd Calendar'!$AC$513)=FALSE,"",IF((Summary!$C$13="N")*('Dvd Calendar'!$AC$517='Field Check'!$C$25)&gt;0,"",'Dvd Calendar'!$AC$513)))</f>
        <v/>
      </c>
      <c r="EE42" s="85">
        <f>IF(BQ42="","",IFERROR(BQ42*HSI!$B$40*HSI!$G$40/HSI!$B$3,""))</f>
        <v/>
      </c>
      <c r="EF42" s="85">
        <f>IF(BR42="","",IFERROR(BR42*HSI!$B$40*HSI!$G$40/HSI!$B$3,""))</f>
        <v/>
      </c>
      <c r="EG42" s="85">
        <f>IF(BS42="","",IFERROR(BS42*HSI!$B$40*HSI!$G$40/HSI!$B$3,""))</f>
        <v/>
      </c>
      <c r="EH42" s="85">
        <f>IF(BT42="","",IFERROR(BT42*HSI!$B$40*HSI!$G$40/HSI!$B$3,""))</f>
        <v/>
      </c>
      <c r="EI42" s="85">
        <f>IF(BU42="","",IFERROR(BU42*HSI!$B$40*HSI!$G$40/HSI!$B$3,""))</f>
        <v/>
      </c>
      <c r="EJ42" s="85">
        <f>IF(BV42="","",IFERROR(BV42*HSI!$B$40*HSI!$G$40/HSI!$B$3,""))</f>
        <v/>
      </c>
      <c r="EK42" s="85">
        <f>IF(BW42="","",IFERROR(BW42*HSI!$B$40*HSI!$G$40/HSI!$B$3,""))</f>
        <v/>
      </c>
      <c r="EL42" s="85">
        <f>IF(BX42="","",IFERROR(BX42*HSI!$B$40*HSI!$G$40/HSI!$B$3,""))</f>
        <v/>
      </c>
      <c r="EM42" s="85">
        <f>IF(BY42="","",IFERROR(BY42*HSI!$B$40*HSI!$G$40/HSI!$B$3,""))</f>
        <v/>
      </c>
      <c r="EN42" s="85">
        <f>IF(BZ42="","",IFERROR(BZ42*HSI!$B$40*HSI!$G$40/HSI!$B$3,""))</f>
        <v/>
      </c>
      <c r="EO42" s="85">
        <f>IF(CA42="","",IFERROR(CA42*HSI!$B$40*HSI!$G$40/HSI!$B$3,""))</f>
        <v/>
      </c>
      <c r="EP42" s="85">
        <f>IF(CB42="","",IFERROR(CB42*HSI!$B$40*HSI!$G$40/HSI!$B$3,""))</f>
        <v/>
      </c>
      <c r="EQ42" s="85">
        <f>IF(CC42="","",IFERROR(CC42*HSI!$B$40*HSI!$G$40/HSI!$B$3,""))</f>
        <v/>
      </c>
      <c r="ER42" s="85">
        <f>IF(CD42="","",IFERROR(CD42*HSI!$B$40*HSI!$G$40/HSI!$B$3,""))</f>
        <v/>
      </c>
      <c r="ES42" s="85">
        <f>IF(CE42="","",IFERROR(CE42*HSI!$B$40*HSI!$G$40/HSI!$B$3,""))</f>
        <v/>
      </c>
      <c r="ET42" s="85">
        <f>IF(CF42="","",IFERROR(CF42*HSI!$B$40*HSI!$G$40/HSI!$B$3,""))</f>
        <v/>
      </c>
      <c r="EU42" s="85">
        <f>IF(CG42="","",IFERROR(CG42*HSI!$B$40*HSI!$G$40/HSI!$B$3,""))</f>
        <v/>
      </c>
      <c r="EV42" s="85">
        <f>IF(CH42="","",IFERROR(CH42*HSI!$B$40*HSI!$G$40/HSI!$B$3,""))</f>
        <v/>
      </c>
      <c r="EW42" s="85">
        <f>IF(CI42="","",IFERROR(CI42*HSI!$B$40*HSI!$G$40/HSI!$B$3,""))</f>
        <v/>
      </c>
      <c r="EX42" s="85">
        <f>IF(CJ42="","",IFERROR(CJ42*HSI!$B$40*HSI!$G$40/HSI!$B$3,""))</f>
        <v/>
      </c>
      <c r="EY42" s="85">
        <f>IF(CK42="","",IFERROR(CK42*HSI!$B$40*HSI!$G$40/HSI!$B$3,""))</f>
        <v/>
      </c>
      <c r="EZ42" s="85">
        <f>IF(CL42="","",IFERROR(CL42*HSI!$B$40*HSI!$G$40/HSI!$B$3,""))</f>
        <v/>
      </c>
      <c r="FA42" s="85">
        <f>IF(CM42="","",IFERROR(CM42*HSI!$B$40*HSI!$G$40/HSI!$B$3,""))</f>
        <v/>
      </c>
      <c r="FB42" s="85">
        <f>IF(CN42="","",IFERROR(CN42*HSI!$B$40*HSI!$G$40/HSI!$B$3,""))</f>
        <v/>
      </c>
      <c r="FC42" s="85">
        <f>IF(CO42="","",IFERROR(CO42*HSI!$B$40*HSI!$G$40/HSI!$B$3,""))</f>
        <v/>
      </c>
      <c r="FD42" s="85">
        <f>IF(CP42="","",IFERROR(CP42*HSI!$B$40*HSI!$G$40/HSI!$B$3,""))</f>
        <v/>
      </c>
      <c r="FE42" s="85">
        <f>IF(CQ42="","",IFERROR(CQ42*HSI!$B$40*HSI!$G$40/HSI!$B$3,""))</f>
        <v/>
      </c>
      <c r="FF42" s="85">
        <f>IF(CR42="","",IFERROR(CR42*HSI!$B$40*HSI!$G$40/HSI!$B$3,""))</f>
        <v/>
      </c>
      <c r="FG42" s="85">
        <f>IF(CS42="","",IFERROR(CS42*HSI!$B$40*HSI!$G$40/HSI!$B$3,""))</f>
        <v/>
      </c>
      <c r="FH42" s="85">
        <f>IF(CT42="","",IFERROR(CT42*HSI!$B$40*HSI!$G$40/HSI!$B$3,""))</f>
        <v/>
      </c>
      <c r="FI42" s="85">
        <f>IF(CU42="","",IFERROR(CU42*HSI!$B$40*HSI!$G$40/HSI!$B$3,""))</f>
        <v/>
      </c>
      <c r="FJ42" s="85">
        <f>IF(CV42="","",IFERROR(CV42*HSI!$B$40*HSI!$G$40/HSI!$B$3,""))</f>
        <v/>
      </c>
      <c r="FK42" s="85">
        <f>IF(CW42="","",IFERROR(CW42*HSI!$B$40*HSI!$G$40/HSI!$B$3,""))</f>
        <v/>
      </c>
      <c r="FL42" s="85">
        <f>IF(CX42="","",IFERROR(CX42*HSI!$B$40*HSI!$G$40/HSI!$B$3,""))</f>
        <v/>
      </c>
      <c r="FM42" s="85">
        <f>IF(CY42="","",IFERROR(CY42*HSI!$B$40*HSI!$G$40/HSI!$B$3,""))</f>
        <v/>
      </c>
      <c r="FN42" s="85">
        <f>IF(CZ42="","",IFERROR(CZ42*HSI!$B$40*HSI!$G$40/HSI!$B$3,""))</f>
        <v/>
      </c>
      <c r="FO42" s="85">
        <f>IF(DA42="","",IFERROR(DA42*HSI!$B$40*HSI!$G$40/HSI!$B$3,""))</f>
        <v/>
      </c>
      <c r="FP42" s="85">
        <f>IF(DB42="","",IFERROR(DB42*HSI!$B$40*HSI!$G$40/HSI!$B$3,""))</f>
        <v/>
      </c>
      <c r="FQ42" s="85">
        <f>IF(DC42="","",IFERROR(DC42*HSI!$B$40*HSI!$G$40/HSI!$B$3,""))</f>
        <v/>
      </c>
      <c r="FR42" s="85">
        <f>IF(DD42="","",IFERROR(DD42*HSI!$B$40*HSI!$G$40/HSI!$B$3,""))</f>
        <v/>
      </c>
      <c r="FS42" s="85">
        <f>IF(DE42="","",IFERROR(DE42*HSI!$B$40*HSI!$G$40/HSI!$B$3,""))</f>
        <v/>
      </c>
      <c r="FT42" s="85">
        <f>IF(DF42="","",IFERROR(DF42*HSI!$B$40*HSI!$G$40/HSI!$B$3,""))</f>
        <v/>
      </c>
      <c r="FU42" s="85">
        <f>IF(DG42="","",IFERROR(DG42*HSI!$B$40*HSI!$G$40/HSI!$B$3,""))</f>
        <v/>
      </c>
      <c r="FV42" s="85">
        <f>IF(DH42="","",IFERROR(DH42*HSI!$B$40*HSI!$G$40/HSI!$B$3,""))</f>
        <v/>
      </c>
      <c r="FW42" s="85">
        <f>IF(DI42="","",IFERROR(DI42*HSI!$B$40*HSI!$G$40/HSI!$B$3,""))</f>
        <v/>
      </c>
      <c r="FX42" s="85">
        <f>IF(DJ42="","",IFERROR(DJ42*HSI!$B$40*HSI!$G$40/HSI!$B$3,""))</f>
        <v/>
      </c>
      <c r="FY42" s="85">
        <f>IF(DK42="","",IFERROR(DK42*HSI!$B$40*HSI!$G$40/HSI!$B$3,""))</f>
        <v/>
      </c>
      <c r="FZ42" s="85">
        <f>IF(DL42="","",IFERROR(DL42*HSI!$B$40*HSI!$G$40/HSI!$B$3,""))</f>
        <v/>
      </c>
      <c r="GA42" s="85">
        <f>IF(DM42="","",IFERROR(DM42*HSI!$B$40*HSI!$G$40/HSI!$B$3,""))</f>
        <v/>
      </c>
      <c r="GB42" s="85">
        <f>IF(DN42="","",IFERROR(DN42*HSI!$B$40*HSI!$G$40/HSI!$B$3,""))</f>
        <v/>
      </c>
      <c r="GC42" s="85">
        <f>IF(DO42="","",IFERROR(DO42*HSI!$B$40*HSI!$G$40/HSI!$B$3,""))</f>
        <v/>
      </c>
      <c r="GD42" s="85">
        <f>IF(DP42="","",IFERROR(DP42*HSI!$B$40*HSI!$G$40/HSI!$B$3,""))</f>
        <v/>
      </c>
      <c r="GE42" s="85">
        <f>IF(DQ42="","",IFERROR(DQ42*HSI!$B$40*HSI!$G$40/HSI!$B$3,""))</f>
        <v/>
      </c>
      <c r="GF42" s="85">
        <f>IF(DR42="","",IFERROR(DR42*HSI!$B$40*HSI!$G$40/HSI!$B$3,""))</f>
        <v/>
      </c>
      <c r="GG42" s="85">
        <f>IF(DS42="","",IFERROR(DS42*HSI!$B$40*HSI!$G$40/HSI!$B$3,""))</f>
        <v/>
      </c>
      <c r="GH42" s="85">
        <f>IF(DT42="","",IFERROR(DT42*HSI!$B$40*HSI!$G$40/HSI!$B$3,""))</f>
        <v/>
      </c>
      <c r="GI42" s="85">
        <f>IF(DU42="","",IFERROR(DU42*HSI!$B$40*HSI!$G$40/HSI!$B$3,""))</f>
        <v/>
      </c>
      <c r="GJ42" s="85">
        <f>IF(DV42="","",IFERROR(DV42*HSI!$B$40*HSI!$G$40/HSI!$B$3,""))</f>
        <v/>
      </c>
      <c r="GK42" s="85">
        <f>IF(DW42="","",IFERROR(DW42*HSI!$B$40*HSI!$G$40/HSI!$B$3,""))</f>
        <v/>
      </c>
      <c r="GL42" s="85">
        <f>IF(DX42="","",IFERROR(DX42*HSI!$B$40*HSI!$G$40/HSI!$B$3,""))</f>
        <v/>
      </c>
      <c r="GM42" s="85">
        <f>IF(DY42="","",IFERROR(DY42*HSI!$B$40*HSI!$G$40/HSI!$B$3,""))</f>
        <v/>
      </c>
      <c r="GN42" s="85">
        <f>IF(DZ42="","",IFERROR(DZ42*HSI!$B$40*HSI!$G$40/HSI!$B$3,""))</f>
        <v/>
      </c>
      <c r="GO42" s="85">
        <f>IF(EA42="","",IFERROR(EA42*HSI!$B$40*HSI!$G$40/HSI!$B$3,""))</f>
        <v/>
      </c>
      <c r="GP42" s="85">
        <f>IF(EB42="","",IFERROR(EB42*HSI!$B$40*HSI!$G$40/HSI!$B$3,""))</f>
        <v/>
      </c>
      <c r="GQ42" s="85">
        <f>IF(EC42="","",IFERROR(EC42*HSI!$B$40*HSI!$G$40/HSI!$B$3,""))</f>
        <v/>
      </c>
    </row>
    <row r="43">
      <c r="B43" s="2">
        <f>IF(HSI!$C$41="","",HSI!$C$41)</f>
        <v/>
      </c>
      <c r="C43" s="41">
        <f>IF(N('Dvd Calendar'!$E$520)=0,"",IF(('Dvd Calendar'!$E$520&gt;=MIN(DATE(Summary!$C$12,1,1),Summary!$C$11))*('Dvd Calendar'!$E$520&lt;=MAX(DATE(Summary!$C$12,12,31),Summary!$C$15))*('Dvd Calendar'!$E$520&lt;=Summary!$C$11)=0,"",'Dvd Calendar'!$E$520*1000000000+ISNUMBER('Dvd Calendar'!$E$521)*100000000+('Dvd Calendar'!$E$525='Field Check'!$C$25)*10000000+(N('Dvd Calendar'!$E$519)&gt;0)*1000000+35*1000+1))</f>
        <v/>
      </c>
      <c r="D43" s="41">
        <f>IF(N('Dvd Calendar'!$F$520)=0,"",IF(('Dvd Calendar'!$F$520&gt;=MIN(DATE(Summary!$C$12,1,1),Summary!$C$11))*('Dvd Calendar'!$F$520&lt;=MAX(DATE(Summary!$C$12,12,31),Summary!$C$15))*('Dvd Calendar'!$F$520&lt;=Summary!$C$11)=0,"",'Dvd Calendar'!$F$520*1000000000+ISNUMBER('Dvd Calendar'!$F$521)*100000000+('Dvd Calendar'!$F$525='Field Check'!$C$25)*10000000+(N('Dvd Calendar'!$F$519)&gt;0)*1000000+35*1000+2))</f>
        <v/>
      </c>
      <c r="E43" s="41">
        <f>IF(N('Dvd Calendar'!$G$520)=0,"",IF(('Dvd Calendar'!$G$520&gt;=MIN(DATE(Summary!$C$12,1,1),Summary!$C$11))*('Dvd Calendar'!$G$520&lt;=MAX(DATE(Summary!$C$12,12,31),Summary!$C$15))*('Dvd Calendar'!$G$520&lt;=Summary!$C$11)=0,"",'Dvd Calendar'!$G$520*1000000000+ISNUMBER('Dvd Calendar'!$G$521)*100000000+('Dvd Calendar'!$G$525='Field Check'!$C$25)*10000000+(N('Dvd Calendar'!$G$519)&gt;0)*1000000+35*1000+3))</f>
        <v/>
      </c>
      <c r="F43" s="41">
        <f>IF(N('Dvd Calendar'!$H$520)=0,"",IF(('Dvd Calendar'!$H$520&gt;=MIN(DATE(Summary!$C$12,1,1),Summary!$C$11))*('Dvd Calendar'!$H$520&lt;=MAX(DATE(Summary!$C$12,12,31),Summary!$C$15))*('Dvd Calendar'!$H$520&lt;=Summary!$C$11)=0,"",'Dvd Calendar'!$H$520*1000000000+ISNUMBER('Dvd Calendar'!$H$521)*100000000+('Dvd Calendar'!$H$525='Field Check'!$C$25)*10000000+(N('Dvd Calendar'!$H$519)&gt;0)*1000000+35*1000+4))</f>
        <v/>
      </c>
      <c r="G43" s="41">
        <f>IF(N('Dvd Calendar'!$I$520)=0,"",IF(('Dvd Calendar'!$I$520&gt;=MIN(DATE(Summary!$C$12,1,1),Summary!$C$11))*('Dvd Calendar'!$I$520&lt;=MAX(DATE(Summary!$C$12,12,31),Summary!$C$15))*('Dvd Calendar'!$I$520&lt;=Summary!$C$11)=0,"",'Dvd Calendar'!$I$520*1000000000+ISNUMBER('Dvd Calendar'!$I$521)*100000000+('Dvd Calendar'!$I$525='Field Check'!$C$25)*10000000+(N('Dvd Calendar'!$I$519)&gt;0)*1000000+35*1000+5))</f>
        <v/>
      </c>
      <c r="H43" s="41">
        <f>IF(N('Dvd Calendar'!$J$520)=0,"",IF(('Dvd Calendar'!$J$520&gt;=MIN(DATE(Summary!$C$12,1,1),Summary!$C$11))*('Dvd Calendar'!$J$520&lt;=MAX(DATE(Summary!$C$12,12,31),Summary!$C$15))*('Dvd Calendar'!$J$520&lt;=Summary!$C$11)=0,"",'Dvd Calendar'!$J$520*1000000000+ISNUMBER('Dvd Calendar'!$J$521)*100000000+('Dvd Calendar'!$J$525='Field Check'!$C$25)*10000000+(N('Dvd Calendar'!$J$519)&gt;0)*1000000+35*1000+6))</f>
        <v/>
      </c>
      <c r="I43" s="41">
        <f>IF(N('Dvd Calendar'!$K$520)=0,"",IF(('Dvd Calendar'!$K$520&gt;=MIN(DATE(Summary!$C$12,1,1),Summary!$C$11))*('Dvd Calendar'!$K$520&lt;=MAX(DATE(Summary!$C$12,12,31),Summary!$C$15))*('Dvd Calendar'!$K$520&lt;=Summary!$C$11)=0,"",'Dvd Calendar'!$K$520*1000000000+ISNUMBER('Dvd Calendar'!$K$521)*100000000+('Dvd Calendar'!$K$525='Field Check'!$C$25)*10000000+(N('Dvd Calendar'!$K$519)&gt;0)*1000000+35*1000+7))</f>
        <v/>
      </c>
      <c r="J43" s="41">
        <f>IF(N('Dvd Calendar'!$L$520)=0,"",IF(('Dvd Calendar'!$L$520&gt;=MIN(DATE(Summary!$C$12,1,1),Summary!$C$11))*('Dvd Calendar'!$L$520&lt;=MAX(DATE(Summary!$C$12,12,31),Summary!$C$15))*('Dvd Calendar'!$L$520&lt;=Summary!$C$11)=0,"",'Dvd Calendar'!$L$520*1000000000+ISNUMBER('Dvd Calendar'!$L$521)*100000000+('Dvd Calendar'!$L$525='Field Check'!$C$25)*10000000+(N('Dvd Calendar'!$L$519)&gt;0)*1000000+35*1000+8))</f>
        <v/>
      </c>
      <c r="K43" s="41">
        <f>IF(N('Dvd Calendar'!$M$520)=0,"",IF(('Dvd Calendar'!$M$520&gt;=MIN(DATE(Summary!$C$12,1,1),Summary!$C$11))*('Dvd Calendar'!$M$520&lt;=MAX(DATE(Summary!$C$12,12,31),Summary!$C$15))*('Dvd Calendar'!$M$520&lt;=Summary!$C$11)=0,"",'Dvd Calendar'!$M$520*1000000000+ISNUMBER('Dvd Calendar'!$M$521)*100000000+('Dvd Calendar'!$M$525='Field Check'!$C$25)*10000000+(N('Dvd Calendar'!$M$519)&gt;0)*1000000+35*1000+9))</f>
        <v/>
      </c>
      <c r="L43" s="41">
        <f>IF(N('Dvd Calendar'!$N$520)=0,"",IF(('Dvd Calendar'!$N$520&gt;=MIN(DATE(Summary!$C$12,1,1),Summary!$C$11))*('Dvd Calendar'!$N$520&lt;=MAX(DATE(Summary!$C$12,12,31),Summary!$C$15))*('Dvd Calendar'!$N$520&lt;=Summary!$C$11)=0,"",'Dvd Calendar'!$N$520*1000000000+ISNUMBER('Dvd Calendar'!$N$521)*100000000+('Dvd Calendar'!$N$525='Field Check'!$C$25)*10000000+(N('Dvd Calendar'!$N$519)&gt;0)*1000000+35*1000+10))</f>
        <v/>
      </c>
      <c r="M43" s="41">
        <f>IF(N('Dvd Calendar'!$O$520)=0,"",IF(('Dvd Calendar'!$O$520&gt;=MIN(DATE(Summary!$C$12,1,1),Summary!$C$11))*('Dvd Calendar'!$O$520&lt;=MAX(DATE(Summary!$C$12,12,31),Summary!$C$15))*('Dvd Calendar'!$O$520&lt;=Summary!$C$11)=0,"",'Dvd Calendar'!$O$520*1000000000+ISNUMBER('Dvd Calendar'!$O$521)*100000000+('Dvd Calendar'!$O$525='Field Check'!$C$25)*10000000+(N('Dvd Calendar'!$O$519)&gt;0)*1000000+35*1000+11))</f>
        <v/>
      </c>
      <c r="N43" s="41">
        <f>IF(N('Dvd Calendar'!$P$520)=0,"",IF(('Dvd Calendar'!$P$520&gt;=MIN(DATE(Summary!$C$12,1,1),Summary!$C$11))*('Dvd Calendar'!$P$520&lt;=MAX(DATE(Summary!$C$12,12,31),Summary!$C$15))*('Dvd Calendar'!$P$520&lt;=Summary!$C$11)=0,"",'Dvd Calendar'!$P$520*1000000000+ISNUMBER('Dvd Calendar'!$P$521)*100000000+('Dvd Calendar'!$P$525='Field Check'!$C$25)*10000000+(N('Dvd Calendar'!$P$519)&gt;0)*1000000+35*1000+12))</f>
        <v/>
      </c>
      <c r="O43" s="41">
        <f>IF(N('Dvd Calendar'!$Q$520)=0,"",IF(('Dvd Calendar'!$Q$520&gt;=MIN(DATE(Summary!$C$12,1,1),Summary!$C$11))*('Dvd Calendar'!$Q$520&lt;=MAX(DATE(Summary!$C$12,12,31),Summary!$C$15))*('Dvd Calendar'!$Q$520&lt;=Summary!$C$11)=0,"",'Dvd Calendar'!$Q$520*1000000000+ISNUMBER('Dvd Calendar'!$Q$521)*100000000+('Dvd Calendar'!$Q$525='Field Check'!$C$25)*10000000+(N('Dvd Calendar'!$Q$519)&gt;0)*1000000+35*1000+13))</f>
        <v/>
      </c>
      <c r="P43" s="41">
        <f>IF(N('Dvd Calendar'!$R$520)=0,"",IF(('Dvd Calendar'!$R$520&gt;=MIN(DATE(Summary!$C$12,1,1),Summary!$C$11))*('Dvd Calendar'!$R$520&lt;=MAX(DATE(Summary!$C$12,12,31),Summary!$C$15))*('Dvd Calendar'!$R$520&lt;=Summary!$C$11)=0,"",'Dvd Calendar'!$R$520*1000000000+ISNUMBER('Dvd Calendar'!$R$521)*100000000+('Dvd Calendar'!$R$525='Field Check'!$C$25)*10000000+(N('Dvd Calendar'!$R$519)&gt;0)*1000000+35*1000+14))</f>
        <v/>
      </c>
      <c r="Q43" s="41">
        <f>IF(N('Dvd Calendar'!$S$520)=0,"",IF(('Dvd Calendar'!$S$520&gt;=MIN(DATE(Summary!$C$12,1,1),Summary!$C$11))*('Dvd Calendar'!$S$520&lt;=MAX(DATE(Summary!$C$12,12,31),Summary!$C$15))*('Dvd Calendar'!$S$520&lt;=Summary!$C$11)=0,"",'Dvd Calendar'!$S$520*1000000000+ISNUMBER('Dvd Calendar'!$S$521)*100000000+('Dvd Calendar'!$S$525='Field Check'!$C$25)*10000000+(N('Dvd Calendar'!$S$519)&gt;0)*1000000+35*1000+15))</f>
        <v/>
      </c>
      <c r="R43" s="41">
        <f>IF(N('Dvd Calendar'!$T$520)=0,"",IF(('Dvd Calendar'!$T$520&gt;=MIN(DATE(Summary!$C$12,1,1),Summary!$C$11))*('Dvd Calendar'!$T$520&lt;=MAX(DATE(Summary!$C$12,12,31),Summary!$C$15))*('Dvd Calendar'!$T$520&lt;=Summary!$C$11)=0,"",'Dvd Calendar'!$T$520*1000000000+ISNUMBER('Dvd Calendar'!$T$521)*100000000+('Dvd Calendar'!$T$525='Field Check'!$C$25)*10000000+(N('Dvd Calendar'!$T$519)&gt;0)*1000000+35*1000+16))</f>
        <v/>
      </c>
      <c r="S43" s="41">
        <f>IF(N('Dvd Calendar'!$U$520)=0,"",IF(('Dvd Calendar'!$U$520&gt;=MIN(DATE(Summary!$C$12,1,1),Summary!$C$11))*('Dvd Calendar'!$U$520&lt;=MAX(DATE(Summary!$C$12,12,31),Summary!$C$15))*('Dvd Calendar'!$U$520&lt;=Summary!$C$11)=0,"",'Dvd Calendar'!$U$520*1000000000+ISNUMBER('Dvd Calendar'!$U$521)*100000000+('Dvd Calendar'!$U$525='Field Check'!$C$25)*10000000+(N('Dvd Calendar'!$U$519)&gt;0)*1000000+35*1000+17))</f>
        <v/>
      </c>
      <c r="T43" s="41">
        <f>IF(N('Dvd Calendar'!$V$520)=0,"",IF(('Dvd Calendar'!$V$520&gt;=MIN(DATE(Summary!$C$12,1,1),Summary!$C$11))*('Dvd Calendar'!$V$520&lt;=MAX(DATE(Summary!$C$12,12,31),Summary!$C$15))*('Dvd Calendar'!$V$520&lt;=Summary!$C$11)=0,"",'Dvd Calendar'!$V$520*1000000000+ISNUMBER('Dvd Calendar'!$V$521)*100000000+('Dvd Calendar'!$V$525='Field Check'!$C$25)*10000000+(N('Dvd Calendar'!$V$519)&gt;0)*1000000+35*1000+18))</f>
        <v/>
      </c>
      <c r="U43" s="41">
        <f>IF(N('Dvd Calendar'!$W$520)=0,"",IF(('Dvd Calendar'!$W$520&gt;=MIN(DATE(Summary!$C$12,1,1),Summary!$C$11))*('Dvd Calendar'!$W$520&lt;=MAX(DATE(Summary!$C$12,12,31),Summary!$C$15))*('Dvd Calendar'!$W$520&lt;=Summary!$C$11)=0,"",'Dvd Calendar'!$W$520*1000000000+ISNUMBER('Dvd Calendar'!$W$521)*100000000+('Dvd Calendar'!$W$525='Field Check'!$C$25)*10000000+(N('Dvd Calendar'!$W$519)&gt;0)*1000000+35*1000+19))</f>
        <v/>
      </c>
      <c r="V43" s="41">
        <f>IF(N('Dvd Calendar'!$X$520)=0,"",IF(('Dvd Calendar'!$X$520&gt;=MIN(DATE(Summary!$C$12,1,1),Summary!$C$11))*('Dvd Calendar'!$X$520&lt;=MAX(DATE(Summary!$C$12,12,31),Summary!$C$15))*('Dvd Calendar'!$X$520&lt;=Summary!$C$11)=0,"",'Dvd Calendar'!$X$520*1000000000+ISNUMBER('Dvd Calendar'!$X$521)*100000000+('Dvd Calendar'!$X$525='Field Check'!$C$25)*10000000+(N('Dvd Calendar'!$X$519)&gt;0)*1000000+35*1000+20))</f>
        <v/>
      </c>
      <c r="W43" s="41">
        <f>IF(N('Dvd Calendar'!$Y$520)=0,"",IF(('Dvd Calendar'!$Y$520&gt;=MIN(DATE(Summary!$C$12,1,1),Summary!$C$11))*('Dvd Calendar'!$Y$520&lt;=MAX(DATE(Summary!$C$12,12,31),Summary!$C$15))*('Dvd Calendar'!$Y$520&lt;=Summary!$C$11)=0,"",'Dvd Calendar'!$Y$520*1000000000+ISNUMBER('Dvd Calendar'!$Y$521)*100000000+('Dvd Calendar'!$Y$525='Field Check'!$C$25)*10000000+(N('Dvd Calendar'!$Y$519)&gt;0)*1000000+35*1000+21))</f>
        <v/>
      </c>
      <c r="X43" s="41">
        <f>IF(N('Dvd Calendar'!$Z$520)=0,"",IF(('Dvd Calendar'!$Z$520&gt;=MIN(DATE(Summary!$C$12,1,1),Summary!$C$11))*('Dvd Calendar'!$Z$520&lt;=MAX(DATE(Summary!$C$12,12,31),Summary!$C$15))*('Dvd Calendar'!$Z$520&lt;=Summary!$C$11)=0,"",'Dvd Calendar'!$Z$520*1000000000+ISNUMBER('Dvd Calendar'!$Z$521)*100000000+('Dvd Calendar'!$Z$525='Field Check'!$C$25)*10000000+(N('Dvd Calendar'!$Z$519)&gt;0)*1000000+35*1000+22))</f>
        <v/>
      </c>
      <c r="Y43" s="41">
        <f>IF(N('Dvd Calendar'!$AA$520)=0,"",IF(('Dvd Calendar'!$AA$520&gt;=MIN(DATE(Summary!$C$12,1,1),Summary!$C$11))*('Dvd Calendar'!$AA$520&lt;=MAX(DATE(Summary!$C$12,12,31),Summary!$C$15))*('Dvd Calendar'!$AA$520&lt;=Summary!$C$11)=0,"",'Dvd Calendar'!$AA$520*1000000000+ISNUMBER('Dvd Calendar'!$AA$521)*100000000+('Dvd Calendar'!$AA$525='Field Check'!$C$25)*10000000+(N('Dvd Calendar'!$AA$519)&gt;0)*1000000+35*1000+23))</f>
        <v/>
      </c>
      <c r="Z43" s="41">
        <f>IF(N('Dvd Calendar'!$AB$520)=0,"",IF(('Dvd Calendar'!$AB$520&gt;=MIN(DATE(Summary!$C$12,1,1),Summary!$C$11))*('Dvd Calendar'!$AB$520&lt;=MAX(DATE(Summary!$C$12,12,31),Summary!$C$15))*('Dvd Calendar'!$AB$520&lt;=Summary!$C$11)=0,"",'Dvd Calendar'!$AB$520*1000000000+ISNUMBER('Dvd Calendar'!$AB$521)*100000000+('Dvd Calendar'!$AB$525='Field Check'!$C$25)*10000000+(N('Dvd Calendar'!$AB$519)&gt;0)*1000000+35*1000+24))</f>
        <v/>
      </c>
      <c r="AA43" s="41">
        <f>IF(N('Dvd Calendar'!$AC$520)=0,"",IF(('Dvd Calendar'!$AC$520&gt;=MIN(DATE(Summary!$C$12,1,1),Summary!$C$11))*('Dvd Calendar'!$AC$520&lt;=MAX(DATE(Summary!$C$12,12,31),Summary!$C$15))*('Dvd Calendar'!$AC$520&lt;=Summary!$C$11)=0,"",'Dvd Calendar'!$AC$520*1000000000+ISNUMBER('Dvd Calendar'!$AC$521)*100000000+('Dvd Calendar'!$AC$525='Field Check'!$C$25)*10000000+(N('Dvd Calendar'!$AC$519)&gt;0)*1000000+35*1000+25))</f>
        <v/>
      </c>
      <c r="AB43" s="41">
        <f>IF(N('Dvd Calendar'!$AD$520)=0,"",IF(('Dvd Calendar'!$AD$520&gt;=MIN(DATE(Summary!$C$12,1,1),Summary!$C$11))*('Dvd Calendar'!$AD$520&lt;=MAX(DATE(Summary!$C$12,12,31),Summary!$C$15))*('Dvd Calendar'!$AD$520&lt;=Summary!$C$11)=0,"",'Dvd Calendar'!$AD$520*1000000000+ISNUMBER('Dvd Calendar'!$AD$521)*100000000+('Dvd Calendar'!$AD$525='Field Check'!$C$25)*10000000+(N('Dvd Calendar'!$AD$519)&gt;0)*1000000+35*1000+26))</f>
        <v/>
      </c>
      <c r="AC43" s="41">
        <f>IF(N('Dvd Calendar'!$AE$520)=0,"",IF(('Dvd Calendar'!$AE$520&gt;=MIN(DATE(Summary!$C$12,1,1),Summary!$C$11))*('Dvd Calendar'!$AE$520&lt;=MAX(DATE(Summary!$C$12,12,31),Summary!$C$15))*('Dvd Calendar'!$AE$520&lt;=Summary!$C$11)=0,"",'Dvd Calendar'!$AE$520*1000000000+ISNUMBER('Dvd Calendar'!$AE$521)*100000000+('Dvd Calendar'!$AE$525='Field Check'!$C$25)*10000000+(N('Dvd Calendar'!$AE$519)&gt;0)*1000000+35*1000+27))</f>
        <v/>
      </c>
      <c r="AD43" s="41">
        <f>IF(N('Dvd Calendar'!$AF$520)=0,"",IF(('Dvd Calendar'!$AF$520&gt;=MIN(DATE(Summary!$C$12,1,1),Summary!$C$11))*('Dvd Calendar'!$AF$520&lt;=MAX(DATE(Summary!$C$12,12,31),Summary!$C$15))*('Dvd Calendar'!$AF$520&lt;=Summary!$C$11)=0,"",'Dvd Calendar'!$AF$520*1000000000+ISNUMBER('Dvd Calendar'!$AF$521)*100000000+('Dvd Calendar'!$AF$525='Field Check'!$C$25)*10000000+(N('Dvd Calendar'!$AF$519)&gt;0)*1000000+35*1000+28))</f>
        <v/>
      </c>
      <c r="AE43" s="41">
        <f>IF(N('Dvd Calendar'!$AG$520)=0,"",IF(('Dvd Calendar'!$AG$520&gt;=MIN(DATE(Summary!$C$12,1,1),Summary!$C$11))*('Dvd Calendar'!$AG$520&lt;=MAX(DATE(Summary!$C$12,12,31),Summary!$C$15))*('Dvd Calendar'!$AG$520&lt;=Summary!$C$11)=0,"",'Dvd Calendar'!$AG$520*1000000000+ISNUMBER('Dvd Calendar'!$AG$521)*100000000+('Dvd Calendar'!$AG$525='Field Check'!$C$25)*10000000+(N('Dvd Calendar'!$AG$519)&gt;0)*1000000+35*1000+29))</f>
        <v/>
      </c>
      <c r="AF43" s="41">
        <f>IF(N('Dvd Calendar'!$AH$520)=0,"",IF(('Dvd Calendar'!$AH$520&gt;=MIN(DATE(Summary!$C$12,1,1),Summary!$C$11))*('Dvd Calendar'!$AH$520&lt;=MAX(DATE(Summary!$C$12,12,31),Summary!$C$15))*('Dvd Calendar'!$AH$520&lt;=Summary!$C$11)=0,"",'Dvd Calendar'!$AH$520*1000000000+ISNUMBER('Dvd Calendar'!$AH$521)*100000000+('Dvd Calendar'!$AH$525='Field Check'!$C$25)*10000000+(N('Dvd Calendar'!$AH$519)&gt;0)*1000000+35*1000+30))</f>
        <v/>
      </c>
      <c r="AG43" s="41">
        <f>IF(N('Dvd Calendar'!$AI$520)=0,"",IF(('Dvd Calendar'!$AI$520&gt;=MIN(DATE(Summary!$C$12,1,1),Summary!$C$11))*('Dvd Calendar'!$AI$520&lt;=MAX(DATE(Summary!$C$12,12,31),Summary!$C$15))*('Dvd Calendar'!$AI$520&lt;=Summary!$C$11)=0,"",'Dvd Calendar'!$AI$520*1000000000+ISNUMBER('Dvd Calendar'!$AI$521)*100000000+('Dvd Calendar'!$AI$525='Field Check'!$C$25)*10000000+(N('Dvd Calendar'!$AI$519)&gt;0)*1000000+35*1000+31))</f>
        <v/>
      </c>
      <c r="AH43" s="41">
        <f>IF(N('Dvd Calendar'!$AJ$520)=0,"",IF(('Dvd Calendar'!$AJ$520&gt;=MIN(DATE(Summary!$C$12,1,1),Summary!$C$11))*('Dvd Calendar'!$AJ$520&lt;=MAX(DATE(Summary!$C$12,12,31),Summary!$C$15))*('Dvd Calendar'!$AJ$520&lt;=Summary!$C$11)=0,"",'Dvd Calendar'!$AJ$520*1000000000+ISNUMBER('Dvd Calendar'!$AJ$521)*100000000+('Dvd Calendar'!$AJ$525='Field Check'!$C$25)*10000000+(N('Dvd Calendar'!$AJ$519)&gt;0)*1000000+35*1000+32))</f>
        <v/>
      </c>
      <c r="AI43" s="41">
        <f>IF(N('Dvd Calendar'!$AK$520)=0,"",IF(('Dvd Calendar'!$AK$520&gt;=MIN(DATE(Summary!$C$12,1,1),Summary!$C$11))*('Dvd Calendar'!$AK$520&lt;=MAX(DATE(Summary!$C$12,12,31),Summary!$C$15))*('Dvd Calendar'!$AK$520&lt;=Summary!$C$11)=0,"",'Dvd Calendar'!$AK$520*1000000000+ISNUMBER('Dvd Calendar'!$AK$521)*100000000+('Dvd Calendar'!$AK$525='Field Check'!$C$25)*10000000+(N('Dvd Calendar'!$AK$519)&gt;0)*1000000+35*1000+33))</f>
        <v/>
      </c>
      <c r="AJ43" s="41">
        <f>IF(N('Dvd Calendar'!$AL$520)=0,"",IF(('Dvd Calendar'!$AL$520&gt;=MIN(DATE(Summary!$C$12,1,1),Summary!$C$11))*('Dvd Calendar'!$AL$520&lt;=MAX(DATE(Summary!$C$12,12,31),Summary!$C$15))*('Dvd Calendar'!$AL$520&lt;=Summary!$C$11)=0,"",'Dvd Calendar'!$AL$520*1000000000+ISNUMBER('Dvd Calendar'!$AL$521)*100000000+('Dvd Calendar'!$AL$525='Field Check'!$C$25)*10000000+(N('Dvd Calendar'!$AL$519)&gt;0)*1000000+35*1000+34))</f>
        <v/>
      </c>
      <c r="AK43" s="41">
        <f>IF(N('Dvd Calendar'!$AM$520)=0,"",IF(('Dvd Calendar'!$AM$520&gt;=MIN(DATE(Summary!$C$12,1,1),Summary!$C$11))*('Dvd Calendar'!$AM$520&lt;=MAX(DATE(Summary!$C$12,12,31),Summary!$C$15))*('Dvd Calendar'!$AM$520&lt;=Summary!$C$11)=0,"",'Dvd Calendar'!$AM$520*1000000000+ISNUMBER('Dvd Calendar'!$AM$521)*100000000+('Dvd Calendar'!$AM$525='Field Check'!$C$25)*10000000+(N('Dvd Calendar'!$AM$519)&gt;0)*1000000+35*1000+35))</f>
        <v/>
      </c>
      <c r="AL43" s="41">
        <f>IF(N('Dvd Calendar'!$AN$520)=0,"",IF(('Dvd Calendar'!$AN$520&gt;=MIN(DATE(Summary!$C$12,1,1),Summary!$C$11))*('Dvd Calendar'!$AN$520&lt;=MAX(DATE(Summary!$C$12,12,31),Summary!$C$15))*('Dvd Calendar'!$AN$520&lt;=Summary!$C$11)=0,"",'Dvd Calendar'!$AN$520*1000000000+ISNUMBER('Dvd Calendar'!$AN$521)*100000000+('Dvd Calendar'!$AN$525='Field Check'!$C$25)*10000000+(N('Dvd Calendar'!$AN$519)&gt;0)*1000000+35*1000+36))</f>
        <v/>
      </c>
      <c r="AM43" s="41">
        <f>IF(N('Dvd Calendar'!$AO$520)=0,"",IF(('Dvd Calendar'!$AO$520&gt;=MIN(DATE(Summary!$C$12,1,1),Summary!$C$11))*('Dvd Calendar'!$AO$520&lt;=MAX(DATE(Summary!$C$12,12,31),Summary!$C$15))*('Dvd Calendar'!$AO$520&lt;=Summary!$C$11)=0,"",'Dvd Calendar'!$AO$520*1000000000+ISNUMBER('Dvd Calendar'!$AO$521)*100000000+('Dvd Calendar'!$AO$525='Field Check'!$C$25)*10000000+(N('Dvd Calendar'!$AO$519)&gt;0)*1000000+35*1000+37))</f>
        <v/>
      </c>
      <c r="AN43" s="41">
        <f>IF(N('Dvd Calendar'!$AP$520)=0,"",IF(('Dvd Calendar'!$AP$520&gt;=MIN(DATE(Summary!$C$12,1,1),Summary!$C$11))*('Dvd Calendar'!$AP$520&lt;=MAX(DATE(Summary!$C$12,12,31),Summary!$C$15))*('Dvd Calendar'!$AP$520&lt;=Summary!$C$11)=0,"",'Dvd Calendar'!$AP$520*1000000000+ISNUMBER('Dvd Calendar'!$AP$521)*100000000+('Dvd Calendar'!$AP$525='Field Check'!$C$25)*10000000+(N('Dvd Calendar'!$AP$519)&gt;0)*1000000+35*1000+38))</f>
        <v/>
      </c>
      <c r="AO43" s="41">
        <f>IF(N('Dvd Calendar'!$AQ$520)=0,"",IF(('Dvd Calendar'!$AQ$520&gt;=MIN(DATE(Summary!$C$12,1,1),Summary!$C$11))*('Dvd Calendar'!$AQ$520&lt;=MAX(DATE(Summary!$C$12,12,31),Summary!$C$15))*('Dvd Calendar'!$AQ$520&lt;=Summary!$C$11)=0,"",'Dvd Calendar'!$AQ$520*1000000000+ISNUMBER('Dvd Calendar'!$AQ$521)*100000000+('Dvd Calendar'!$AQ$525='Field Check'!$C$25)*10000000+(N('Dvd Calendar'!$AQ$519)&gt;0)*1000000+35*1000+39))</f>
        <v/>
      </c>
      <c r="AP43" s="41">
        <f>IF(N('Dvd Calendar'!$AR$520)=0,"",IF(('Dvd Calendar'!$AR$520&gt;=MIN(DATE(Summary!$C$12,1,1),Summary!$C$11))*('Dvd Calendar'!$AR$520&lt;=MAX(DATE(Summary!$C$12,12,31),Summary!$C$15))*('Dvd Calendar'!$AR$520&lt;=Summary!$C$11)=0,"",'Dvd Calendar'!$AR$520*1000000000+ISNUMBER('Dvd Calendar'!$AR$521)*100000000+('Dvd Calendar'!$AR$525='Field Check'!$C$25)*10000000+(N('Dvd Calendar'!$AR$519)&gt;0)*1000000+35*1000+40))</f>
        <v/>
      </c>
      <c r="AQ43" s="41">
        <f>IF(N('Dvd Calendar'!$E$527)=0,"",IF(('Dvd Calendar'!$E$527&gt;=MIN(DATE(Summary!$C$12,1,1),Summary!$C$11))*('Dvd Calendar'!$E$527&lt;=MAX(DATE(Summary!$C$12,12,31),Summary!$C$15))*('Dvd Calendar'!$E$527&gt;Summary!$C$11)=0,"",'Dvd Calendar'!$E$527*1000000000+ISNUMBER('Dvd Calendar'!$E$528)*100000000+('Dvd Calendar'!$E$532='Field Check'!$C$25)*10000000+(N('Dvd Calendar'!$E$526)&gt;0)*1000000+35*1000+41))</f>
        <v/>
      </c>
      <c r="AR43" s="41">
        <f>IF(N('Dvd Calendar'!$F$527)=0,"",IF(('Dvd Calendar'!$F$527&gt;=MIN(DATE(Summary!$C$12,1,1),Summary!$C$11))*('Dvd Calendar'!$F$527&lt;=MAX(DATE(Summary!$C$12,12,31),Summary!$C$15))*('Dvd Calendar'!$F$527&gt;Summary!$C$11)=0,"",'Dvd Calendar'!$F$527*1000000000+ISNUMBER('Dvd Calendar'!$F$528)*100000000+('Dvd Calendar'!$F$532='Field Check'!$C$25)*10000000+(N('Dvd Calendar'!$F$526)&gt;0)*1000000+35*1000+42))</f>
        <v/>
      </c>
      <c r="AS43" s="41">
        <f>IF(N('Dvd Calendar'!$G$527)=0,"",IF(('Dvd Calendar'!$G$527&gt;=MIN(DATE(Summary!$C$12,1,1),Summary!$C$11))*('Dvd Calendar'!$G$527&lt;=MAX(DATE(Summary!$C$12,12,31),Summary!$C$15))*('Dvd Calendar'!$G$527&gt;Summary!$C$11)=0,"",'Dvd Calendar'!$G$527*1000000000+ISNUMBER('Dvd Calendar'!$G$528)*100000000+('Dvd Calendar'!$G$532='Field Check'!$C$25)*10000000+(N('Dvd Calendar'!$G$526)&gt;0)*1000000+35*1000+43))</f>
        <v/>
      </c>
      <c r="AT43" s="41">
        <f>IF(N('Dvd Calendar'!$H$527)=0,"",IF(('Dvd Calendar'!$H$527&gt;=MIN(DATE(Summary!$C$12,1,1),Summary!$C$11))*('Dvd Calendar'!$H$527&lt;=MAX(DATE(Summary!$C$12,12,31),Summary!$C$15))*('Dvd Calendar'!$H$527&gt;Summary!$C$11)=0,"",'Dvd Calendar'!$H$527*1000000000+ISNUMBER('Dvd Calendar'!$H$528)*100000000+('Dvd Calendar'!$H$532='Field Check'!$C$25)*10000000+(N('Dvd Calendar'!$H$526)&gt;0)*1000000+35*1000+44))</f>
        <v/>
      </c>
      <c r="AU43" s="41">
        <f>IF(N('Dvd Calendar'!$I$527)=0,"",IF(('Dvd Calendar'!$I$527&gt;=MIN(DATE(Summary!$C$12,1,1),Summary!$C$11))*('Dvd Calendar'!$I$527&lt;=MAX(DATE(Summary!$C$12,12,31),Summary!$C$15))*('Dvd Calendar'!$I$527&gt;Summary!$C$11)=0,"",'Dvd Calendar'!$I$527*1000000000+ISNUMBER('Dvd Calendar'!$I$528)*100000000+('Dvd Calendar'!$I$532='Field Check'!$C$25)*10000000+(N('Dvd Calendar'!$I$526)&gt;0)*1000000+35*1000+45))</f>
        <v/>
      </c>
      <c r="AV43" s="41">
        <f>IF(N('Dvd Calendar'!$J$527)=0,"",IF(('Dvd Calendar'!$J$527&gt;=MIN(DATE(Summary!$C$12,1,1),Summary!$C$11))*('Dvd Calendar'!$J$527&lt;=MAX(DATE(Summary!$C$12,12,31),Summary!$C$15))*('Dvd Calendar'!$J$527&gt;Summary!$C$11)=0,"",'Dvd Calendar'!$J$527*1000000000+ISNUMBER('Dvd Calendar'!$J$528)*100000000+('Dvd Calendar'!$J$532='Field Check'!$C$25)*10000000+(N('Dvd Calendar'!$J$526)&gt;0)*1000000+35*1000+46))</f>
        <v/>
      </c>
      <c r="AW43" s="41">
        <f>IF(N('Dvd Calendar'!$K$527)=0,"",IF(('Dvd Calendar'!$K$527&gt;=MIN(DATE(Summary!$C$12,1,1),Summary!$C$11))*('Dvd Calendar'!$K$527&lt;=MAX(DATE(Summary!$C$12,12,31),Summary!$C$15))*('Dvd Calendar'!$K$527&gt;Summary!$C$11)=0,"",'Dvd Calendar'!$K$527*1000000000+ISNUMBER('Dvd Calendar'!$K$528)*100000000+('Dvd Calendar'!$K$532='Field Check'!$C$25)*10000000+(N('Dvd Calendar'!$K$526)&gt;0)*1000000+35*1000+47))</f>
        <v/>
      </c>
      <c r="AX43" s="41">
        <f>IF(N('Dvd Calendar'!$L$527)=0,"",IF(('Dvd Calendar'!$L$527&gt;=MIN(DATE(Summary!$C$12,1,1),Summary!$C$11))*('Dvd Calendar'!$L$527&lt;=MAX(DATE(Summary!$C$12,12,31),Summary!$C$15))*('Dvd Calendar'!$L$527&gt;Summary!$C$11)=0,"",'Dvd Calendar'!$L$527*1000000000+ISNUMBER('Dvd Calendar'!$L$528)*100000000+('Dvd Calendar'!$L$532='Field Check'!$C$25)*10000000+(N('Dvd Calendar'!$L$526)&gt;0)*1000000+35*1000+48))</f>
        <v/>
      </c>
      <c r="AY43" s="41">
        <f>IF(N('Dvd Calendar'!$M$527)=0,"",IF(('Dvd Calendar'!$M$527&gt;=MIN(DATE(Summary!$C$12,1,1),Summary!$C$11))*('Dvd Calendar'!$M$527&lt;=MAX(DATE(Summary!$C$12,12,31),Summary!$C$15))*('Dvd Calendar'!$M$527&gt;Summary!$C$11)=0,"",'Dvd Calendar'!$M$527*1000000000+ISNUMBER('Dvd Calendar'!$M$528)*100000000+('Dvd Calendar'!$M$532='Field Check'!$C$25)*10000000+(N('Dvd Calendar'!$M$526)&gt;0)*1000000+35*1000+49))</f>
        <v/>
      </c>
      <c r="AZ43" s="41">
        <f>IF(N('Dvd Calendar'!$N$527)=0,"",IF(('Dvd Calendar'!$N$527&gt;=MIN(DATE(Summary!$C$12,1,1),Summary!$C$11))*('Dvd Calendar'!$N$527&lt;=MAX(DATE(Summary!$C$12,12,31),Summary!$C$15))*('Dvd Calendar'!$N$527&gt;Summary!$C$11)=0,"",'Dvd Calendar'!$N$527*1000000000+ISNUMBER('Dvd Calendar'!$N$528)*100000000+('Dvd Calendar'!$N$532='Field Check'!$C$25)*10000000+(N('Dvd Calendar'!$N$526)&gt;0)*1000000+35*1000+50))</f>
        <v/>
      </c>
      <c r="BA43" s="41">
        <f>IF(N('Dvd Calendar'!$O$527)=0,"",IF(('Dvd Calendar'!$O$527&gt;=MIN(DATE(Summary!$C$12,1,1),Summary!$C$11))*('Dvd Calendar'!$O$527&lt;=MAX(DATE(Summary!$C$12,12,31),Summary!$C$15))*('Dvd Calendar'!$O$527&gt;Summary!$C$11)=0,"",'Dvd Calendar'!$O$527*1000000000+ISNUMBER('Dvd Calendar'!$O$528)*100000000+('Dvd Calendar'!$O$532='Field Check'!$C$25)*10000000+(N('Dvd Calendar'!$O$526)&gt;0)*1000000+35*1000+51))</f>
        <v/>
      </c>
      <c r="BB43" s="41">
        <f>IF(N('Dvd Calendar'!$P$527)=0,"",IF(('Dvd Calendar'!$P$527&gt;=MIN(DATE(Summary!$C$12,1,1),Summary!$C$11))*('Dvd Calendar'!$P$527&lt;=MAX(DATE(Summary!$C$12,12,31),Summary!$C$15))*('Dvd Calendar'!$P$527&gt;Summary!$C$11)=0,"",'Dvd Calendar'!$P$527*1000000000+ISNUMBER('Dvd Calendar'!$P$528)*100000000+('Dvd Calendar'!$P$532='Field Check'!$C$25)*10000000+(N('Dvd Calendar'!$P$526)&gt;0)*1000000+35*1000+52))</f>
        <v/>
      </c>
      <c r="BC43" s="41">
        <f>IF(N('Dvd Calendar'!$Q$527)=0,"",IF(('Dvd Calendar'!$Q$527&gt;=MIN(DATE(Summary!$C$12,1,1),Summary!$C$11))*('Dvd Calendar'!$Q$527&lt;=MAX(DATE(Summary!$C$12,12,31),Summary!$C$15))*('Dvd Calendar'!$Q$527&gt;Summary!$C$11)=0,"",'Dvd Calendar'!$Q$527*1000000000+ISNUMBER('Dvd Calendar'!$Q$528)*100000000+('Dvd Calendar'!$Q$532='Field Check'!$C$25)*10000000+(N('Dvd Calendar'!$Q$526)&gt;0)*1000000+35*1000+53))</f>
        <v/>
      </c>
      <c r="BD43" s="41">
        <f>IF(N('Dvd Calendar'!$R$527)=0,"",IF(('Dvd Calendar'!$R$527&gt;=MIN(DATE(Summary!$C$12,1,1),Summary!$C$11))*('Dvd Calendar'!$R$527&lt;=MAX(DATE(Summary!$C$12,12,31),Summary!$C$15))*('Dvd Calendar'!$R$527&gt;Summary!$C$11)=0,"",'Dvd Calendar'!$R$527*1000000000+ISNUMBER('Dvd Calendar'!$R$528)*100000000+('Dvd Calendar'!$R$532='Field Check'!$C$25)*10000000+(N('Dvd Calendar'!$R$526)&gt;0)*1000000+35*1000+54))</f>
        <v/>
      </c>
      <c r="BE43" s="41">
        <f>IF(N('Dvd Calendar'!$S$527)=0,"",IF(('Dvd Calendar'!$S$527&gt;=MIN(DATE(Summary!$C$12,1,1),Summary!$C$11))*('Dvd Calendar'!$S$527&lt;=MAX(DATE(Summary!$C$12,12,31),Summary!$C$15))*('Dvd Calendar'!$S$527&gt;Summary!$C$11)=0,"",'Dvd Calendar'!$S$527*1000000000+ISNUMBER('Dvd Calendar'!$S$528)*100000000+('Dvd Calendar'!$S$532='Field Check'!$C$25)*10000000+(N('Dvd Calendar'!$S$526)&gt;0)*1000000+35*1000+55))</f>
        <v/>
      </c>
      <c r="BF43" s="41">
        <f>IF(N('Dvd Calendar'!$T$527)=0,"",IF(('Dvd Calendar'!$T$527&gt;=MIN(DATE(Summary!$C$12,1,1),Summary!$C$11))*('Dvd Calendar'!$T$527&lt;=MAX(DATE(Summary!$C$12,12,31),Summary!$C$15))*('Dvd Calendar'!$T$527&gt;Summary!$C$11)=0,"",'Dvd Calendar'!$T$527*1000000000+ISNUMBER('Dvd Calendar'!$T$528)*100000000+('Dvd Calendar'!$T$532='Field Check'!$C$25)*10000000+(N('Dvd Calendar'!$T$526)&gt;0)*1000000+35*1000+56))</f>
        <v/>
      </c>
      <c r="BG43" s="41">
        <f>IF(N('Dvd Calendar'!$U$527)=0,"",IF(('Dvd Calendar'!$U$527&gt;=MIN(DATE(Summary!$C$12,1,1),Summary!$C$11))*('Dvd Calendar'!$U$527&lt;=MAX(DATE(Summary!$C$12,12,31),Summary!$C$15))*('Dvd Calendar'!$U$527&gt;Summary!$C$11)=0,"",'Dvd Calendar'!$U$527*1000000000+ISNUMBER('Dvd Calendar'!$U$528)*100000000+('Dvd Calendar'!$U$532='Field Check'!$C$25)*10000000+(N('Dvd Calendar'!$U$526)&gt;0)*1000000+35*1000+57))</f>
        <v/>
      </c>
      <c r="BH43" s="41">
        <f>IF(N('Dvd Calendar'!$V$527)=0,"",IF(('Dvd Calendar'!$V$527&gt;=MIN(DATE(Summary!$C$12,1,1),Summary!$C$11))*('Dvd Calendar'!$V$527&lt;=MAX(DATE(Summary!$C$12,12,31),Summary!$C$15))*('Dvd Calendar'!$V$527&gt;Summary!$C$11)=0,"",'Dvd Calendar'!$V$527*1000000000+ISNUMBER('Dvd Calendar'!$V$528)*100000000+('Dvd Calendar'!$V$532='Field Check'!$C$25)*10000000+(N('Dvd Calendar'!$V$526)&gt;0)*1000000+35*1000+58))</f>
        <v/>
      </c>
      <c r="BI43" s="41">
        <f>IF(N('Dvd Calendar'!$W$527)=0,"",IF(('Dvd Calendar'!$W$527&gt;=MIN(DATE(Summary!$C$12,1,1),Summary!$C$11))*('Dvd Calendar'!$W$527&lt;=MAX(DATE(Summary!$C$12,12,31),Summary!$C$15))*('Dvd Calendar'!$W$527&gt;Summary!$C$11)=0,"",'Dvd Calendar'!$W$527*1000000000+ISNUMBER('Dvd Calendar'!$W$528)*100000000+('Dvd Calendar'!$W$532='Field Check'!$C$25)*10000000+(N('Dvd Calendar'!$W$526)&gt;0)*1000000+35*1000+59))</f>
        <v/>
      </c>
      <c r="BJ43" s="41">
        <f>IF(N('Dvd Calendar'!$X$527)=0,"",IF(('Dvd Calendar'!$X$527&gt;=MIN(DATE(Summary!$C$12,1,1),Summary!$C$11))*('Dvd Calendar'!$X$527&lt;=MAX(DATE(Summary!$C$12,12,31),Summary!$C$15))*('Dvd Calendar'!$X$527&gt;Summary!$C$11)=0,"",'Dvd Calendar'!$X$527*1000000000+ISNUMBER('Dvd Calendar'!$X$528)*100000000+('Dvd Calendar'!$X$532='Field Check'!$C$25)*10000000+(N('Dvd Calendar'!$X$526)&gt;0)*1000000+35*1000+60))</f>
        <v/>
      </c>
      <c r="BK43" s="41">
        <f>IF(N('Dvd Calendar'!$Y$527)=0,"",IF(('Dvd Calendar'!$Y$527&gt;=MIN(DATE(Summary!$C$12,1,1),Summary!$C$11))*('Dvd Calendar'!$Y$527&lt;=MAX(DATE(Summary!$C$12,12,31),Summary!$C$15))*('Dvd Calendar'!$Y$527&gt;Summary!$C$11)=0,"",'Dvd Calendar'!$Y$527*1000000000+ISNUMBER('Dvd Calendar'!$Y$528)*100000000+('Dvd Calendar'!$Y$532='Field Check'!$C$25)*10000000+(N('Dvd Calendar'!$Y$526)&gt;0)*1000000+35*1000+61))</f>
        <v/>
      </c>
      <c r="BL43" s="41">
        <f>IF(N('Dvd Calendar'!$Z$527)=0,"",IF(('Dvd Calendar'!$Z$527&gt;=MIN(DATE(Summary!$C$12,1,1),Summary!$C$11))*('Dvd Calendar'!$Z$527&lt;=MAX(DATE(Summary!$C$12,12,31),Summary!$C$15))*('Dvd Calendar'!$Z$527&gt;Summary!$C$11)=0,"",'Dvd Calendar'!$Z$527*1000000000+ISNUMBER('Dvd Calendar'!$Z$528)*100000000+('Dvd Calendar'!$Z$532='Field Check'!$C$25)*10000000+(N('Dvd Calendar'!$Z$526)&gt;0)*1000000+35*1000+62))</f>
        <v/>
      </c>
      <c r="BM43" s="41">
        <f>IF(N('Dvd Calendar'!$AA$527)=0,"",IF(('Dvd Calendar'!$AA$527&gt;=MIN(DATE(Summary!$C$12,1,1),Summary!$C$11))*('Dvd Calendar'!$AA$527&lt;=MAX(DATE(Summary!$C$12,12,31),Summary!$C$15))*('Dvd Calendar'!$AA$527&gt;Summary!$C$11)=0,"",'Dvd Calendar'!$AA$527*1000000000+ISNUMBER('Dvd Calendar'!$AA$528)*100000000+('Dvd Calendar'!$AA$532='Field Check'!$C$25)*10000000+(N('Dvd Calendar'!$AA$526)&gt;0)*1000000+35*1000+63))</f>
        <v/>
      </c>
      <c r="BN43" s="41">
        <f>IF(N('Dvd Calendar'!$AB$527)=0,"",IF(('Dvd Calendar'!$AB$527&gt;=MIN(DATE(Summary!$C$12,1,1),Summary!$C$11))*('Dvd Calendar'!$AB$527&lt;=MAX(DATE(Summary!$C$12,12,31),Summary!$C$15))*('Dvd Calendar'!$AB$527&gt;Summary!$C$11)=0,"",'Dvd Calendar'!$AB$527*1000000000+ISNUMBER('Dvd Calendar'!$AB$528)*100000000+('Dvd Calendar'!$AB$532='Field Check'!$C$25)*10000000+(N('Dvd Calendar'!$AB$526)&gt;0)*1000000+35*1000+64))</f>
        <v/>
      </c>
      <c r="BO43" s="41">
        <f>IF(N('Dvd Calendar'!$AC$527)=0,"",IF(('Dvd Calendar'!$AC$527&gt;=MIN(DATE(Summary!$C$12,1,1),Summary!$C$11))*('Dvd Calendar'!$AC$527&lt;=MAX(DATE(Summary!$C$12,12,31),Summary!$C$15))*('Dvd Calendar'!$AC$527&gt;Summary!$C$11)=0,"",'Dvd Calendar'!$AC$527*1000000000+ISNUMBER('Dvd Calendar'!$AC$528)*100000000+('Dvd Calendar'!$AC$532='Field Check'!$C$25)*10000000+(N('Dvd Calendar'!$AC$526)&gt;0)*1000000+35*1000+65))</f>
        <v/>
      </c>
      <c r="BQ43" s="85">
        <f>IF(C43="","",IF(ISNUMBER('Dvd Calendar'!$E$521)=FALSE,"",IF((Summary!$C$13="N")*('Dvd Calendar'!$E$525='Field Check'!$C$25)&gt;0,"",'Dvd Calendar'!$E$521)))</f>
        <v/>
      </c>
      <c r="BR43" s="85">
        <f>IF(D43="","",IF(ISNUMBER('Dvd Calendar'!$F$521)=FALSE,"",IF((Summary!$C$13="N")*('Dvd Calendar'!$F$525='Field Check'!$C$25)&gt;0,"",'Dvd Calendar'!$F$521)))</f>
        <v/>
      </c>
      <c r="BS43" s="85">
        <f>IF(E43="","",IF(ISNUMBER('Dvd Calendar'!$G$521)=FALSE,"",IF((Summary!$C$13="N")*('Dvd Calendar'!$G$525='Field Check'!$C$25)&gt;0,"",'Dvd Calendar'!$G$521)))</f>
        <v/>
      </c>
      <c r="BT43" s="85">
        <f>IF(F43="","",IF(ISNUMBER('Dvd Calendar'!$H$521)=FALSE,"",IF((Summary!$C$13="N")*('Dvd Calendar'!$H$525='Field Check'!$C$25)&gt;0,"",'Dvd Calendar'!$H$521)))</f>
        <v/>
      </c>
      <c r="BU43" s="85">
        <f>IF(G43="","",IF(ISNUMBER('Dvd Calendar'!$I$521)=FALSE,"",IF((Summary!$C$13="N")*('Dvd Calendar'!$I$525='Field Check'!$C$25)&gt;0,"",'Dvd Calendar'!$I$521)))</f>
        <v/>
      </c>
      <c r="BV43" s="85">
        <f>IF(H43="","",IF(ISNUMBER('Dvd Calendar'!$J$521)=FALSE,"",IF((Summary!$C$13="N")*('Dvd Calendar'!$J$525='Field Check'!$C$25)&gt;0,"",'Dvd Calendar'!$J$521)))</f>
        <v/>
      </c>
      <c r="BW43" s="85">
        <f>IF(I43="","",IF(ISNUMBER('Dvd Calendar'!$K$521)=FALSE,"",IF((Summary!$C$13="N")*('Dvd Calendar'!$K$525='Field Check'!$C$25)&gt;0,"",'Dvd Calendar'!$K$521)))</f>
        <v/>
      </c>
      <c r="BX43" s="85">
        <f>IF(J43="","",IF(ISNUMBER('Dvd Calendar'!$L$521)=FALSE,"",IF((Summary!$C$13="N")*('Dvd Calendar'!$L$525='Field Check'!$C$25)&gt;0,"",'Dvd Calendar'!$L$521)))</f>
        <v/>
      </c>
      <c r="BY43" s="85">
        <f>IF(K43="","",IF(ISNUMBER('Dvd Calendar'!$M$521)=FALSE,"",IF((Summary!$C$13="N")*('Dvd Calendar'!$M$525='Field Check'!$C$25)&gt;0,"",'Dvd Calendar'!$M$521)))</f>
        <v/>
      </c>
      <c r="BZ43" s="85">
        <f>IF(L43="","",IF(ISNUMBER('Dvd Calendar'!$N$521)=FALSE,"",IF((Summary!$C$13="N")*('Dvd Calendar'!$N$525='Field Check'!$C$25)&gt;0,"",'Dvd Calendar'!$N$521)))</f>
        <v/>
      </c>
      <c r="CA43" s="85">
        <f>IF(M43="","",IF(ISNUMBER('Dvd Calendar'!$O$521)=FALSE,"",IF((Summary!$C$13="N")*('Dvd Calendar'!$O$525='Field Check'!$C$25)&gt;0,"",'Dvd Calendar'!$O$521)))</f>
        <v/>
      </c>
      <c r="CB43" s="85">
        <f>IF(N43="","",IF(ISNUMBER('Dvd Calendar'!$P$521)=FALSE,"",IF((Summary!$C$13="N")*('Dvd Calendar'!$P$525='Field Check'!$C$25)&gt;0,"",'Dvd Calendar'!$P$521)))</f>
        <v/>
      </c>
      <c r="CC43" s="85">
        <f>IF(O43="","",IF(ISNUMBER('Dvd Calendar'!$Q$521)=FALSE,"",IF((Summary!$C$13="N")*('Dvd Calendar'!$Q$525='Field Check'!$C$25)&gt;0,"",'Dvd Calendar'!$Q$521)))</f>
        <v/>
      </c>
      <c r="CD43" s="85">
        <f>IF(P43="","",IF(ISNUMBER('Dvd Calendar'!$R$521)=FALSE,"",IF((Summary!$C$13="N")*('Dvd Calendar'!$R$525='Field Check'!$C$25)&gt;0,"",'Dvd Calendar'!$R$521)))</f>
        <v/>
      </c>
      <c r="CE43" s="85">
        <f>IF(Q43="","",IF(ISNUMBER('Dvd Calendar'!$S$521)=FALSE,"",IF((Summary!$C$13="N")*('Dvd Calendar'!$S$525='Field Check'!$C$25)&gt;0,"",'Dvd Calendar'!$S$521)))</f>
        <v/>
      </c>
      <c r="CF43" s="85">
        <f>IF(R43="","",IF(ISNUMBER('Dvd Calendar'!$T$521)=FALSE,"",IF((Summary!$C$13="N")*('Dvd Calendar'!$T$525='Field Check'!$C$25)&gt;0,"",'Dvd Calendar'!$T$521)))</f>
        <v/>
      </c>
      <c r="CG43" s="85">
        <f>IF(S43="","",IF(ISNUMBER('Dvd Calendar'!$U$521)=FALSE,"",IF((Summary!$C$13="N")*('Dvd Calendar'!$U$525='Field Check'!$C$25)&gt;0,"",'Dvd Calendar'!$U$521)))</f>
        <v/>
      </c>
      <c r="CH43" s="85">
        <f>IF(T43="","",IF(ISNUMBER('Dvd Calendar'!$V$521)=FALSE,"",IF((Summary!$C$13="N")*('Dvd Calendar'!$V$525='Field Check'!$C$25)&gt;0,"",'Dvd Calendar'!$V$521)))</f>
        <v/>
      </c>
      <c r="CI43" s="85">
        <f>IF(U43="","",IF(ISNUMBER('Dvd Calendar'!$W$521)=FALSE,"",IF((Summary!$C$13="N")*('Dvd Calendar'!$W$525='Field Check'!$C$25)&gt;0,"",'Dvd Calendar'!$W$521)))</f>
        <v/>
      </c>
      <c r="CJ43" s="85">
        <f>IF(V43="","",IF(ISNUMBER('Dvd Calendar'!$X$521)=FALSE,"",IF((Summary!$C$13="N")*('Dvd Calendar'!$X$525='Field Check'!$C$25)&gt;0,"",'Dvd Calendar'!$X$521)))</f>
        <v/>
      </c>
      <c r="CK43" s="85">
        <f>IF(W43="","",IF(ISNUMBER('Dvd Calendar'!$Y$521)=FALSE,"",IF((Summary!$C$13="N")*('Dvd Calendar'!$Y$525='Field Check'!$C$25)&gt;0,"",'Dvd Calendar'!$Y$521)))</f>
        <v/>
      </c>
      <c r="CL43" s="85">
        <f>IF(X43="","",IF(ISNUMBER('Dvd Calendar'!$Z$521)=FALSE,"",IF((Summary!$C$13="N")*('Dvd Calendar'!$Z$525='Field Check'!$C$25)&gt;0,"",'Dvd Calendar'!$Z$521)))</f>
        <v/>
      </c>
      <c r="CM43" s="85">
        <f>IF(Y43="","",IF(ISNUMBER('Dvd Calendar'!$AA$521)=FALSE,"",IF((Summary!$C$13="N")*('Dvd Calendar'!$AA$525='Field Check'!$C$25)&gt;0,"",'Dvd Calendar'!$AA$521)))</f>
        <v/>
      </c>
      <c r="CN43" s="85">
        <f>IF(Z43="","",IF(ISNUMBER('Dvd Calendar'!$AB$521)=FALSE,"",IF((Summary!$C$13="N")*('Dvd Calendar'!$AB$525='Field Check'!$C$25)&gt;0,"",'Dvd Calendar'!$AB$521)))</f>
        <v/>
      </c>
      <c r="CO43" s="85">
        <f>IF(AA43="","",IF(ISNUMBER('Dvd Calendar'!$AC$521)=FALSE,"",IF((Summary!$C$13="N")*('Dvd Calendar'!$AC$525='Field Check'!$C$25)&gt;0,"",'Dvd Calendar'!$AC$521)))</f>
        <v/>
      </c>
      <c r="CP43" s="85">
        <f>IF(AB43="","",IF(ISNUMBER('Dvd Calendar'!$AD$521)=FALSE,"",IF((Summary!$C$13="N")*('Dvd Calendar'!$AD$525='Field Check'!$C$25)&gt;0,"",'Dvd Calendar'!$AD$521)))</f>
        <v/>
      </c>
      <c r="CQ43" s="85">
        <f>IF(AC43="","",IF(ISNUMBER('Dvd Calendar'!$AE$521)=FALSE,"",IF((Summary!$C$13="N")*('Dvd Calendar'!$AE$525='Field Check'!$C$25)&gt;0,"",'Dvd Calendar'!$AE$521)))</f>
        <v/>
      </c>
      <c r="CR43" s="85">
        <f>IF(AD43="","",IF(ISNUMBER('Dvd Calendar'!$AF$521)=FALSE,"",IF((Summary!$C$13="N")*('Dvd Calendar'!$AF$525='Field Check'!$C$25)&gt;0,"",'Dvd Calendar'!$AF$521)))</f>
        <v/>
      </c>
      <c r="CS43" s="85">
        <f>IF(AE43="","",IF(ISNUMBER('Dvd Calendar'!$AG$521)=FALSE,"",IF((Summary!$C$13="N")*('Dvd Calendar'!$AG$525='Field Check'!$C$25)&gt;0,"",'Dvd Calendar'!$AG$521)))</f>
        <v/>
      </c>
      <c r="CT43" s="85">
        <f>IF(AF43="","",IF(ISNUMBER('Dvd Calendar'!$AH$521)=FALSE,"",IF((Summary!$C$13="N")*('Dvd Calendar'!$AH$525='Field Check'!$C$25)&gt;0,"",'Dvd Calendar'!$AH$521)))</f>
        <v/>
      </c>
      <c r="CU43" s="85">
        <f>IF(AG43="","",IF(ISNUMBER('Dvd Calendar'!$AI$521)=FALSE,"",IF((Summary!$C$13="N")*('Dvd Calendar'!$AI$525='Field Check'!$C$25)&gt;0,"",'Dvd Calendar'!$AI$521)))</f>
        <v/>
      </c>
      <c r="CV43" s="85">
        <f>IF(AH43="","",IF(ISNUMBER('Dvd Calendar'!$AJ$521)=FALSE,"",IF((Summary!$C$13="N")*('Dvd Calendar'!$AJ$525='Field Check'!$C$25)&gt;0,"",'Dvd Calendar'!$AJ$521)))</f>
        <v/>
      </c>
      <c r="CW43" s="85">
        <f>IF(AI43="","",IF(ISNUMBER('Dvd Calendar'!$AK$521)=FALSE,"",IF((Summary!$C$13="N")*('Dvd Calendar'!$AK$525='Field Check'!$C$25)&gt;0,"",'Dvd Calendar'!$AK$521)))</f>
        <v/>
      </c>
      <c r="CX43" s="85">
        <f>IF(AJ43="","",IF(ISNUMBER('Dvd Calendar'!$AL$521)=FALSE,"",IF((Summary!$C$13="N")*('Dvd Calendar'!$AL$525='Field Check'!$C$25)&gt;0,"",'Dvd Calendar'!$AL$521)))</f>
        <v/>
      </c>
      <c r="CY43" s="85">
        <f>IF(AK43="","",IF(ISNUMBER('Dvd Calendar'!$AM$521)=FALSE,"",IF((Summary!$C$13="N")*('Dvd Calendar'!$AM$525='Field Check'!$C$25)&gt;0,"",'Dvd Calendar'!$AM$521)))</f>
        <v/>
      </c>
      <c r="CZ43" s="85">
        <f>IF(AL43="","",IF(ISNUMBER('Dvd Calendar'!$AN$521)=FALSE,"",IF((Summary!$C$13="N")*('Dvd Calendar'!$AN$525='Field Check'!$C$25)&gt;0,"",'Dvd Calendar'!$AN$521)))</f>
        <v/>
      </c>
      <c r="DA43" s="85">
        <f>IF(AM43="","",IF(ISNUMBER('Dvd Calendar'!$AO$521)=FALSE,"",IF((Summary!$C$13="N")*('Dvd Calendar'!$AO$525='Field Check'!$C$25)&gt;0,"",'Dvd Calendar'!$AO$521)))</f>
        <v/>
      </c>
      <c r="DB43" s="85">
        <f>IF(AN43="","",IF(ISNUMBER('Dvd Calendar'!$AP$521)=FALSE,"",IF((Summary!$C$13="N")*('Dvd Calendar'!$AP$525='Field Check'!$C$25)&gt;0,"",'Dvd Calendar'!$AP$521)))</f>
        <v/>
      </c>
      <c r="DC43" s="85">
        <f>IF(AO43="","",IF(ISNUMBER('Dvd Calendar'!$AQ$521)=FALSE,"",IF((Summary!$C$13="N")*('Dvd Calendar'!$AQ$525='Field Check'!$C$25)&gt;0,"",'Dvd Calendar'!$AQ$521)))</f>
        <v/>
      </c>
      <c r="DD43" s="85">
        <f>IF(AP43="","",IF(ISNUMBER('Dvd Calendar'!$AR$521)=FALSE,"",IF((Summary!$C$13="N")*('Dvd Calendar'!$AR$525='Field Check'!$C$25)&gt;0,"",'Dvd Calendar'!$AR$521)))</f>
        <v/>
      </c>
      <c r="DE43" s="85">
        <f>IF(AQ43="","",IF(ISNUMBER('Dvd Calendar'!$E$528)=FALSE,"",IF((Summary!$C$13="N")*('Dvd Calendar'!$E$532='Field Check'!$C$25)&gt;0,"",'Dvd Calendar'!$E$528)))</f>
        <v/>
      </c>
      <c r="DF43" s="85">
        <f>IF(AR43="","",IF(ISNUMBER('Dvd Calendar'!$F$528)=FALSE,"",IF((Summary!$C$13="N")*('Dvd Calendar'!$F$532='Field Check'!$C$25)&gt;0,"",'Dvd Calendar'!$F$528)))</f>
        <v/>
      </c>
      <c r="DG43" s="85">
        <f>IF(AS43="","",IF(ISNUMBER('Dvd Calendar'!$G$528)=FALSE,"",IF((Summary!$C$13="N")*('Dvd Calendar'!$G$532='Field Check'!$C$25)&gt;0,"",'Dvd Calendar'!$G$528)))</f>
        <v/>
      </c>
      <c r="DH43" s="85">
        <f>IF(AT43="","",IF(ISNUMBER('Dvd Calendar'!$H$528)=FALSE,"",IF((Summary!$C$13="N")*('Dvd Calendar'!$H$532='Field Check'!$C$25)&gt;0,"",'Dvd Calendar'!$H$528)))</f>
        <v/>
      </c>
      <c r="DI43" s="85">
        <f>IF(AU43="","",IF(ISNUMBER('Dvd Calendar'!$I$528)=FALSE,"",IF((Summary!$C$13="N")*('Dvd Calendar'!$I$532='Field Check'!$C$25)&gt;0,"",'Dvd Calendar'!$I$528)))</f>
        <v/>
      </c>
      <c r="DJ43" s="85">
        <f>IF(AV43="","",IF(ISNUMBER('Dvd Calendar'!$J$528)=FALSE,"",IF((Summary!$C$13="N")*('Dvd Calendar'!$J$532='Field Check'!$C$25)&gt;0,"",'Dvd Calendar'!$J$528)))</f>
        <v/>
      </c>
      <c r="DK43" s="85">
        <f>IF(AW43="","",IF(ISNUMBER('Dvd Calendar'!$K$528)=FALSE,"",IF((Summary!$C$13="N")*('Dvd Calendar'!$K$532='Field Check'!$C$25)&gt;0,"",'Dvd Calendar'!$K$528)))</f>
        <v/>
      </c>
      <c r="DL43" s="85">
        <f>IF(AX43="","",IF(ISNUMBER('Dvd Calendar'!$L$528)=FALSE,"",IF((Summary!$C$13="N")*('Dvd Calendar'!$L$532='Field Check'!$C$25)&gt;0,"",'Dvd Calendar'!$L$528)))</f>
        <v/>
      </c>
      <c r="DM43" s="85">
        <f>IF(AY43="","",IF(ISNUMBER('Dvd Calendar'!$M$528)=FALSE,"",IF((Summary!$C$13="N")*('Dvd Calendar'!$M$532='Field Check'!$C$25)&gt;0,"",'Dvd Calendar'!$M$528)))</f>
        <v/>
      </c>
      <c r="DN43" s="85">
        <f>IF(AZ43="","",IF(ISNUMBER('Dvd Calendar'!$N$528)=FALSE,"",IF((Summary!$C$13="N")*('Dvd Calendar'!$N$532='Field Check'!$C$25)&gt;0,"",'Dvd Calendar'!$N$528)))</f>
        <v/>
      </c>
      <c r="DO43" s="85">
        <f>IF(BA43="","",IF(ISNUMBER('Dvd Calendar'!$O$528)=FALSE,"",IF((Summary!$C$13="N")*('Dvd Calendar'!$O$532='Field Check'!$C$25)&gt;0,"",'Dvd Calendar'!$O$528)))</f>
        <v/>
      </c>
      <c r="DP43" s="85">
        <f>IF(BB43="","",IF(ISNUMBER('Dvd Calendar'!$P$528)=FALSE,"",IF((Summary!$C$13="N")*('Dvd Calendar'!$P$532='Field Check'!$C$25)&gt;0,"",'Dvd Calendar'!$P$528)))</f>
        <v/>
      </c>
      <c r="DQ43" s="85">
        <f>IF(BC43="","",IF(ISNUMBER('Dvd Calendar'!$Q$528)=FALSE,"",IF((Summary!$C$13="N")*('Dvd Calendar'!$Q$532='Field Check'!$C$25)&gt;0,"",'Dvd Calendar'!$Q$528)))</f>
        <v/>
      </c>
      <c r="DR43" s="85">
        <f>IF(BD43="","",IF(ISNUMBER('Dvd Calendar'!$R$528)=FALSE,"",IF((Summary!$C$13="N")*('Dvd Calendar'!$R$532='Field Check'!$C$25)&gt;0,"",'Dvd Calendar'!$R$528)))</f>
        <v/>
      </c>
      <c r="DS43" s="85">
        <f>IF(BE43="","",IF(ISNUMBER('Dvd Calendar'!$S$528)=FALSE,"",IF((Summary!$C$13="N")*('Dvd Calendar'!$S$532='Field Check'!$C$25)&gt;0,"",'Dvd Calendar'!$S$528)))</f>
        <v/>
      </c>
      <c r="DT43" s="85">
        <f>IF(BF43="","",IF(ISNUMBER('Dvd Calendar'!$T$528)=FALSE,"",IF((Summary!$C$13="N")*('Dvd Calendar'!$T$532='Field Check'!$C$25)&gt;0,"",'Dvd Calendar'!$T$528)))</f>
        <v/>
      </c>
      <c r="DU43" s="85">
        <f>IF(BG43="","",IF(ISNUMBER('Dvd Calendar'!$U$528)=FALSE,"",IF((Summary!$C$13="N")*('Dvd Calendar'!$U$532='Field Check'!$C$25)&gt;0,"",'Dvd Calendar'!$U$528)))</f>
        <v/>
      </c>
      <c r="DV43" s="85">
        <f>IF(BH43="","",IF(ISNUMBER('Dvd Calendar'!$V$528)=FALSE,"",IF((Summary!$C$13="N")*('Dvd Calendar'!$V$532='Field Check'!$C$25)&gt;0,"",'Dvd Calendar'!$V$528)))</f>
        <v/>
      </c>
      <c r="DW43" s="85">
        <f>IF(BI43="","",IF(ISNUMBER('Dvd Calendar'!$W$528)=FALSE,"",IF((Summary!$C$13="N")*('Dvd Calendar'!$W$532='Field Check'!$C$25)&gt;0,"",'Dvd Calendar'!$W$528)))</f>
        <v/>
      </c>
      <c r="DX43" s="85">
        <f>IF(BJ43="","",IF(ISNUMBER('Dvd Calendar'!$X$528)=FALSE,"",IF((Summary!$C$13="N")*('Dvd Calendar'!$X$532='Field Check'!$C$25)&gt;0,"",'Dvd Calendar'!$X$528)))</f>
        <v/>
      </c>
      <c r="DY43" s="85">
        <f>IF(BK43="","",IF(ISNUMBER('Dvd Calendar'!$Y$528)=FALSE,"",IF((Summary!$C$13="N")*('Dvd Calendar'!$Y$532='Field Check'!$C$25)&gt;0,"",'Dvd Calendar'!$Y$528)))</f>
        <v/>
      </c>
      <c r="DZ43" s="85">
        <f>IF(BL43="","",IF(ISNUMBER('Dvd Calendar'!$Z$528)=FALSE,"",IF((Summary!$C$13="N")*('Dvd Calendar'!$Z$532='Field Check'!$C$25)&gt;0,"",'Dvd Calendar'!$Z$528)))</f>
        <v/>
      </c>
      <c r="EA43" s="85">
        <f>IF(BM43="","",IF(ISNUMBER('Dvd Calendar'!$AA$528)=FALSE,"",IF((Summary!$C$13="N")*('Dvd Calendar'!$AA$532='Field Check'!$C$25)&gt;0,"",'Dvd Calendar'!$AA$528)))</f>
        <v/>
      </c>
      <c r="EB43" s="85">
        <f>IF(BN43="","",IF(ISNUMBER('Dvd Calendar'!$AB$528)=FALSE,"",IF((Summary!$C$13="N")*('Dvd Calendar'!$AB$532='Field Check'!$C$25)&gt;0,"",'Dvd Calendar'!$AB$528)))</f>
        <v/>
      </c>
      <c r="EC43" s="85">
        <f>IF(BO43="","",IF(ISNUMBER('Dvd Calendar'!$AC$528)=FALSE,"",IF((Summary!$C$13="N")*('Dvd Calendar'!$AC$532='Field Check'!$C$25)&gt;0,"",'Dvd Calendar'!$AC$528)))</f>
        <v/>
      </c>
      <c r="EE43" s="85">
        <f>IF(BQ43="","",IFERROR(BQ43*HSI!$B$41*HSI!$G$41/HSI!$B$3,""))</f>
        <v/>
      </c>
      <c r="EF43" s="85">
        <f>IF(BR43="","",IFERROR(BR43*HSI!$B$41*HSI!$G$41/HSI!$B$3,""))</f>
        <v/>
      </c>
      <c r="EG43" s="85">
        <f>IF(BS43="","",IFERROR(BS43*HSI!$B$41*HSI!$G$41/HSI!$B$3,""))</f>
        <v/>
      </c>
      <c r="EH43" s="85">
        <f>IF(BT43="","",IFERROR(BT43*HSI!$B$41*HSI!$G$41/HSI!$B$3,""))</f>
        <v/>
      </c>
      <c r="EI43" s="85">
        <f>IF(BU43="","",IFERROR(BU43*HSI!$B$41*HSI!$G$41/HSI!$B$3,""))</f>
        <v/>
      </c>
      <c r="EJ43" s="85">
        <f>IF(BV43="","",IFERROR(BV43*HSI!$B$41*HSI!$G$41/HSI!$B$3,""))</f>
        <v/>
      </c>
      <c r="EK43" s="85">
        <f>IF(BW43="","",IFERROR(BW43*HSI!$B$41*HSI!$G$41/HSI!$B$3,""))</f>
        <v/>
      </c>
      <c r="EL43" s="85">
        <f>IF(BX43="","",IFERROR(BX43*HSI!$B$41*HSI!$G$41/HSI!$B$3,""))</f>
        <v/>
      </c>
      <c r="EM43" s="85">
        <f>IF(BY43="","",IFERROR(BY43*HSI!$B$41*HSI!$G$41/HSI!$B$3,""))</f>
        <v/>
      </c>
      <c r="EN43" s="85">
        <f>IF(BZ43="","",IFERROR(BZ43*HSI!$B$41*HSI!$G$41/HSI!$B$3,""))</f>
        <v/>
      </c>
      <c r="EO43" s="85">
        <f>IF(CA43="","",IFERROR(CA43*HSI!$B$41*HSI!$G$41/HSI!$B$3,""))</f>
        <v/>
      </c>
      <c r="EP43" s="85">
        <f>IF(CB43="","",IFERROR(CB43*HSI!$B$41*HSI!$G$41/HSI!$B$3,""))</f>
        <v/>
      </c>
      <c r="EQ43" s="85">
        <f>IF(CC43="","",IFERROR(CC43*HSI!$B$41*HSI!$G$41/HSI!$B$3,""))</f>
        <v/>
      </c>
      <c r="ER43" s="85">
        <f>IF(CD43="","",IFERROR(CD43*HSI!$B$41*HSI!$G$41/HSI!$B$3,""))</f>
        <v/>
      </c>
      <c r="ES43" s="85">
        <f>IF(CE43="","",IFERROR(CE43*HSI!$B$41*HSI!$G$41/HSI!$B$3,""))</f>
        <v/>
      </c>
      <c r="ET43" s="85">
        <f>IF(CF43="","",IFERROR(CF43*HSI!$B$41*HSI!$G$41/HSI!$B$3,""))</f>
        <v/>
      </c>
      <c r="EU43" s="85">
        <f>IF(CG43="","",IFERROR(CG43*HSI!$B$41*HSI!$G$41/HSI!$B$3,""))</f>
        <v/>
      </c>
      <c r="EV43" s="85">
        <f>IF(CH43="","",IFERROR(CH43*HSI!$B$41*HSI!$G$41/HSI!$B$3,""))</f>
        <v/>
      </c>
      <c r="EW43" s="85">
        <f>IF(CI43="","",IFERROR(CI43*HSI!$B$41*HSI!$G$41/HSI!$B$3,""))</f>
        <v/>
      </c>
      <c r="EX43" s="85">
        <f>IF(CJ43="","",IFERROR(CJ43*HSI!$B$41*HSI!$G$41/HSI!$B$3,""))</f>
        <v/>
      </c>
      <c r="EY43" s="85">
        <f>IF(CK43="","",IFERROR(CK43*HSI!$B$41*HSI!$G$41/HSI!$B$3,""))</f>
        <v/>
      </c>
      <c r="EZ43" s="85">
        <f>IF(CL43="","",IFERROR(CL43*HSI!$B$41*HSI!$G$41/HSI!$B$3,""))</f>
        <v/>
      </c>
      <c r="FA43" s="85">
        <f>IF(CM43="","",IFERROR(CM43*HSI!$B$41*HSI!$G$41/HSI!$B$3,""))</f>
        <v/>
      </c>
      <c r="FB43" s="85">
        <f>IF(CN43="","",IFERROR(CN43*HSI!$B$41*HSI!$G$41/HSI!$B$3,""))</f>
        <v/>
      </c>
      <c r="FC43" s="85">
        <f>IF(CO43="","",IFERROR(CO43*HSI!$B$41*HSI!$G$41/HSI!$B$3,""))</f>
        <v/>
      </c>
      <c r="FD43" s="85">
        <f>IF(CP43="","",IFERROR(CP43*HSI!$B$41*HSI!$G$41/HSI!$B$3,""))</f>
        <v/>
      </c>
      <c r="FE43" s="85">
        <f>IF(CQ43="","",IFERROR(CQ43*HSI!$B$41*HSI!$G$41/HSI!$B$3,""))</f>
        <v/>
      </c>
      <c r="FF43" s="85">
        <f>IF(CR43="","",IFERROR(CR43*HSI!$B$41*HSI!$G$41/HSI!$B$3,""))</f>
        <v/>
      </c>
      <c r="FG43" s="85">
        <f>IF(CS43="","",IFERROR(CS43*HSI!$B$41*HSI!$G$41/HSI!$B$3,""))</f>
        <v/>
      </c>
      <c r="FH43" s="85">
        <f>IF(CT43="","",IFERROR(CT43*HSI!$B$41*HSI!$G$41/HSI!$B$3,""))</f>
        <v/>
      </c>
      <c r="FI43" s="85">
        <f>IF(CU43="","",IFERROR(CU43*HSI!$B$41*HSI!$G$41/HSI!$B$3,""))</f>
        <v/>
      </c>
      <c r="FJ43" s="85">
        <f>IF(CV43="","",IFERROR(CV43*HSI!$B$41*HSI!$G$41/HSI!$B$3,""))</f>
        <v/>
      </c>
      <c r="FK43" s="85">
        <f>IF(CW43="","",IFERROR(CW43*HSI!$B$41*HSI!$G$41/HSI!$B$3,""))</f>
        <v/>
      </c>
      <c r="FL43" s="85">
        <f>IF(CX43="","",IFERROR(CX43*HSI!$B$41*HSI!$G$41/HSI!$B$3,""))</f>
        <v/>
      </c>
      <c r="FM43" s="85">
        <f>IF(CY43="","",IFERROR(CY43*HSI!$B$41*HSI!$G$41/HSI!$B$3,""))</f>
        <v/>
      </c>
      <c r="FN43" s="85">
        <f>IF(CZ43="","",IFERROR(CZ43*HSI!$B$41*HSI!$G$41/HSI!$B$3,""))</f>
        <v/>
      </c>
      <c r="FO43" s="85">
        <f>IF(DA43="","",IFERROR(DA43*HSI!$B$41*HSI!$G$41/HSI!$B$3,""))</f>
        <v/>
      </c>
      <c r="FP43" s="85">
        <f>IF(DB43="","",IFERROR(DB43*HSI!$B$41*HSI!$G$41/HSI!$B$3,""))</f>
        <v/>
      </c>
      <c r="FQ43" s="85">
        <f>IF(DC43="","",IFERROR(DC43*HSI!$B$41*HSI!$G$41/HSI!$B$3,""))</f>
        <v/>
      </c>
      <c r="FR43" s="85">
        <f>IF(DD43="","",IFERROR(DD43*HSI!$B$41*HSI!$G$41/HSI!$B$3,""))</f>
        <v/>
      </c>
      <c r="FS43" s="85">
        <f>IF(DE43="","",IFERROR(DE43*HSI!$B$41*HSI!$G$41/HSI!$B$3,""))</f>
        <v/>
      </c>
      <c r="FT43" s="85">
        <f>IF(DF43="","",IFERROR(DF43*HSI!$B$41*HSI!$G$41/HSI!$B$3,""))</f>
        <v/>
      </c>
      <c r="FU43" s="85">
        <f>IF(DG43="","",IFERROR(DG43*HSI!$B$41*HSI!$G$41/HSI!$B$3,""))</f>
        <v/>
      </c>
      <c r="FV43" s="85">
        <f>IF(DH43="","",IFERROR(DH43*HSI!$B$41*HSI!$G$41/HSI!$B$3,""))</f>
        <v/>
      </c>
      <c r="FW43" s="85">
        <f>IF(DI43="","",IFERROR(DI43*HSI!$B$41*HSI!$G$41/HSI!$B$3,""))</f>
        <v/>
      </c>
      <c r="FX43" s="85">
        <f>IF(DJ43="","",IFERROR(DJ43*HSI!$B$41*HSI!$G$41/HSI!$B$3,""))</f>
        <v/>
      </c>
      <c r="FY43" s="85">
        <f>IF(DK43="","",IFERROR(DK43*HSI!$B$41*HSI!$G$41/HSI!$B$3,""))</f>
        <v/>
      </c>
      <c r="FZ43" s="85">
        <f>IF(DL43="","",IFERROR(DL43*HSI!$B$41*HSI!$G$41/HSI!$B$3,""))</f>
        <v/>
      </c>
      <c r="GA43" s="85">
        <f>IF(DM43="","",IFERROR(DM43*HSI!$B$41*HSI!$G$41/HSI!$B$3,""))</f>
        <v/>
      </c>
      <c r="GB43" s="85">
        <f>IF(DN43="","",IFERROR(DN43*HSI!$B$41*HSI!$G$41/HSI!$B$3,""))</f>
        <v/>
      </c>
      <c r="GC43" s="85">
        <f>IF(DO43="","",IFERROR(DO43*HSI!$B$41*HSI!$G$41/HSI!$B$3,""))</f>
        <v/>
      </c>
      <c r="GD43" s="85">
        <f>IF(DP43="","",IFERROR(DP43*HSI!$B$41*HSI!$G$41/HSI!$B$3,""))</f>
        <v/>
      </c>
      <c r="GE43" s="85">
        <f>IF(DQ43="","",IFERROR(DQ43*HSI!$B$41*HSI!$G$41/HSI!$B$3,""))</f>
        <v/>
      </c>
      <c r="GF43" s="85">
        <f>IF(DR43="","",IFERROR(DR43*HSI!$B$41*HSI!$G$41/HSI!$B$3,""))</f>
        <v/>
      </c>
      <c r="GG43" s="85">
        <f>IF(DS43="","",IFERROR(DS43*HSI!$B$41*HSI!$G$41/HSI!$B$3,""))</f>
        <v/>
      </c>
      <c r="GH43" s="85">
        <f>IF(DT43="","",IFERROR(DT43*HSI!$B$41*HSI!$G$41/HSI!$B$3,""))</f>
        <v/>
      </c>
      <c r="GI43" s="85">
        <f>IF(DU43="","",IFERROR(DU43*HSI!$B$41*HSI!$G$41/HSI!$B$3,""))</f>
        <v/>
      </c>
      <c r="GJ43" s="85">
        <f>IF(DV43="","",IFERROR(DV43*HSI!$B$41*HSI!$G$41/HSI!$B$3,""))</f>
        <v/>
      </c>
      <c r="GK43" s="85">
        <f>IF(DW43="","",IFERROR(DW43*HSI!$B$41*HSI!$G$41/HSI!$B$3,""))</f>
        <v/>
      </c>
      <c r="GL43" s="85">
        <f>IF(DX43="","",IFERROR(DX43*HSI!$B$41*HSI!$G$41/HSI!$B$3,""))</f>
        <v/>
      </c>
      <c r="GM43" s="85">
        <f>IF(DY43="","",IFERROR(DY43*HSI!$B$41*HSI!$G$41/HSI!$B$3,""))</f>
        <v/>
      </c>
      <c r="GN43" s="85">
        <f>IF(DZ43="","",IFERROR(DZ43*HSI!$B$41*HSI!$G$41/HSI!$B$3,""))</f>
        <v/>
      </c>
      <c r="GO43" s="85">
        <f>IF(EA43="","",IFERROR(EA43*HSI!$B$41*HSI!$G$41/HSI!$B$3,""))</f>
        <v/>
      </c>
      <c r="GP43" s="85">
        <f>IF(EB43="","",IFERROR(EB43*HSI!$B$41*HSI!$G$41/HSI!$B$3,""))</f>
        <v/>
      </c>
      <c r="GQ43" s="85">
        <f>IF(EC43="","",IFERROR(EC43*HSI!$B$41*HSI!$G$41/HSI!$B$3,""))</f>
        <v/>
      </c>
    </row>
    <row r="44">
      <c r="B44" s="2">
        <f>IF(HSI!$C$42="","",HSI!$C$42)</f>
        <v/>
      </c>
      <c r="C44" s="41">
        <f>IF(N('Dvd Calendar'!$E$535)=0,"",IF(('Dvd Calendar'!$E$535&gt;=MIN(DATE(Summary!$C$12,1,1),Summary!$C$11))*('Dvd Calendar'!$E$535&lt;=MAX(DATE(Summary!$C$12,12,31),Summary!$C$15))*('Dvd Calendar'!$E$535&lt;=Summary!$C$11)=0,"",'Dvd Calendar'!$E$535*1000000000+ISNUMBER('Dvd Calendar'!$E$536)*100000000+('Dvd Calendar'!$E$540='Field Check'!$C$25)*10000000+(N('Dvd Calendar'!$E$534)&gt;0)*1000000+36*1000+1))</f>
        <v/>
      </c>
      <c r="D44" s="41">
        <f>IF(N('Dvd Calendar'!$F$535)=0,"",IF(('Dvd Calendar'!$F$535&gt;=MIN(DATE(Summary!$C$12,1,1),Summary!$C$11))*('Dvd Calendar'!$F$535&lt;=MAX(DATE(Summary!$C$12,12,31),Summary!$C$15))*('Dvd Calendar'!$F$535&lt;=Summary!$C$11)=0,"",'Dvd Calendar'!$F$535*1000000000+ISNUMBER('Dvd Calendar'!$F$536)*100000000+('Dvd Calendar'!$F$540='Field Check'!$C$25)*10000000+(N('Dvd Calendar'!$F$534)&gt;0)*1000000+36*1000+2))</f>
        <v/>
      </c>
      <c r="E44" s="41">
        <f>IF(N('Dvd Calendar'!$G$535)=0,"",IF(('Dvd Calendar'!$G$535&gt;=MIN(DATE(Summary!$C$12,1,1),Summary!$C$11))*('Dvd Calendar'!$G$535&lt;=MAX(DATE(Summary!$C$12,12,31),Summary!$C$15))*('Dvd Calendar'!$G$535&lt;=Summary!$C$11)=0,"",'Dvd Calendar'!$G$535*1000000000+ISNUMBER('Dvd Calendar'!$G$536)*100000000+('Dvd Calendar'!$G$540='Field Check'!$C$25)*10000000+(N('Dvd Calendar'!$G$534)&gt;0)*1000000+36*1000+3))</f>
        <v/>
      </c>
      <c r="F44" s="41">
        <f>IF(N('Dvd Calendar'!$H$535)=0,"",IF(('Dvd Calendar'!$H$535&gt;=MIN(DATE(Summary!$C$12,1,1),Summary!$C$11))*('Dvd Calendar'!$H$535&lt;=MAX(DATE(Summary!$C$12,12,31),Summary!$C$15))*('Dvd Calendar'!$H$535&lt;=Summary!$C$11)=0,"",'Dvd Calendar'!$H$535*1000000000+ISNUMBER('Dvd Calendar'!$H$536)*100000000+('Dvd Calendar'!$H$540='Field Check'!$C$25)*10000000+(N('Dvd Calendar'!$H$534)&gt;0)*1000000+36*1000+4))</f>
        <v/>
      </c>
      <c r="G44" s="41">
        <f>IF(N('Dvd Calendar'!$I$535)=0,"",IF(('Dvd Calendar'!$I$535&gt;=MIN(DATE(Summary!$C$12,1,1),Summary!$C$11))*('Dvd Calendar'!$I$535&lt;=MAX(DATE(Summary!$C$12,12,31),Summary!$C$15))*('Dvd Calendar'!$I$535&lt;=Summary!$C$11)=0,"",'Dvd Calendar'!$I$535*1000000000+ISNUMBER('Dvd Calendar'!$I$536)*100000000+('Dvd Calendar'!$I$540='Field Check'!$C$25)*10000000+(N('Dvd Calendar'!$I$534)&gt;0)*1000000+36*1000+5))</f>
        <v/>
      </c>
      <c r="H44" s="41">
        <f>IF(N('Dvd Calendar'!$J$535)=0,"",IF(('Dvd Calendar'!$J$535&gt;=MIN(DATE(Summary!$C$12,1,1),Summary!$C$11))*('Dvd Calendar'!$J$535&lt;=MAX(DATE(Summary!$C$12,12,31),Summary!$C$15))*('Dvd Calendar'!$J$535&lt;=Summary!$C$11)=0,"",'Dvd Calendar'!$J$535*1000000000+ISNUMBER('Dvd Calendar'!$J$536)*100000000+('Dvd Calendar'!$J$540='Field Check'!$C$25)*10000000+(N('Dvd Calendar'!$J$534)&gt;0)*1000000+36*1000+6))</f>
        <v/>
      </c>
      <c r="I44" s="41">
        <f>IF(N('Dvd Calendar'!$K$535)=0,"",IF(('Dvd Calendar'!$K$535&gt;=MIN(DATE(Summary!$C$12,1,1),Summary!$C$11))*('Dvd Calendar'!$K$535&lt;=MAX(DATE(Summary!$C$12,12,31),Summary!$C$15))*('Dvd Calendar'!$K$535&lt;=Summary!$C$11)=0,"",'Dvd Calendar'!$K$535*1000000000+ISNUMBER('Dvd Calendar'!$K$536)*100000000+('Dvd Calendar'!$K$540='Field Check'!$C$25)*10000000+(N('Dvd Calendar'!$K$534)&gt;0)*1000000+36*1000+7))</f>
        <v/>
      </c>
      <c r="J44" s="41">
        <f>IF(N('Dvd Calendar'!$L$535)=0,"",IF(('Dvd Calendar'!$L$535&gt;=MIN(DATE(Summary!$C$12,1,1),Summary!$C$11))*('Dvd Calendar'!$L$535&lt;=MAX(DATE(Summary!$C$12,12,31),Summary!$C$15))*('Dvd Calendar'!$L$535&lt;=Summary!$C$11)=0,"",'Dvd Calendar'!$L$535*1000000000+ISNUMBER('Dvd Calendar'!$L$536)*100000000+('Dvd Calendar'!$L$540='Field Check'!$C$25)*10000000+(N('Dvd Calendar'!$L$534)&gt;0)*1000000+36*1000+8))</f>
        <v/>
      </c>
      <c r="K44" s="41">
        <f>IF(N('Dvd Calendar'!$M$535)=0,"",IF(('Dvd Calendar'!$M$535&gt;=MIN(DATE(Summary!$C$12,1,1),Summary!$C$11))*('Dvd Calendar'!$M$535&lt;=MAX(DATE(Summary!$C$12,12,31),Summary!$C$15))*('Dvd Calendar'!$M$535&lt;=Summary!$C$11)=0,"",'Dvd Calendar'!$M$535*1000000000+ISNUMBER('Dvd Calendar'!$M$536)*100000000+('Dvd Calendar'!$M$540='Field Check'!$C$25)*10000000+(N('Dvd Calendar'!$M$534)&gt;0)*1000000+36*1000+9))</f>
        <v/>
      </c>
      <c r="L44" s="41">
        <f>IF(N('Dvd Calendar'!$N$535)=0,"",IF(('Dvd Calendar'!$N$535&gt;=MIN(DATE(Summary!$C$12,1,1),Summary!$C$11))*('Dvd Calendar'!$N$535&lt;=MAX(DATE(Summary!$C$12,12,31),Summary!$C$15))*('Dvd Calendar'!$N$535&lt;=Summary!$C$11)=0,"",'Dvd Calendar'!$N$535*1000000000+ISNUMBER('Dvd Calendar'!$N$536)*100000000+('Dvd Calendar'!$N$540='Field Check'!$C$25)*10000000+(N('Dvd Calendar'!$N$534)&gt;0)*1000000+36*1000+10))</f>
        <v/>
      </c>
      <c r="M44" s="41">
        <f>IF(N('Dvd Calendar'!$O$535)=0,"",IF(('Dvd Calendar'!$O$535&gt;=MIN(DATE(Summary!$C$12,1,1),Summary!$C$11))*('Dvd Calendar'!$O$535&lt;=MAX(DATE(Summary!$C$12,12,31),Summary!$C$15))*('Dvd Calendar'!$O$535&lt;=Summary!$C$11)=0,"",'Dvd Calendar'!$O$535*1000000000+ISNUMBER('Dvd Calendar'!$O$536)*100000000+('Dvd Calendar'!$O$540='Field Check'!$C$25)*10000000+(N('Dvd Calendar'!$O$534)&gt;0)*1000000+36*1000+11))</f>
        <v/>
      </c>
      <c r="N44" s="41">
        <f>IF(N('Dvd Calendar'!$P$535)=0,"",IF(('Dvd Calendar'!$P$535&gt;=MIN(DATE(Summary!$C$12,1,1),Summary!$C$11))*('Dvd Calendar'!$P$535&lt;=MAX(DATE(Summary!$C$12,12,31),Summary!$C$15))*('Dvd Calendar'!$P$535&lt;=Summary!$C$11)=0,"",'Dvd Calendar'!$P$535*1000000000+ISNUMBER('Dvd Calendar'!$P$536)*100000000+('Dvd Calendar'!$P$540='Field Check'!$C$25)*10000000+(N('Dvd Calendar'!$P$534)&gt;0)*1000000+36*1000+12))</f>
        <v/>
      </c>
      <c r="O44" s="41">
        <f>IF(N('Dvd Calendar'!$Q$535)=0,"",IF(('Dvd Calendar'!$Q$535&gt;=MIN(DATE(Summary!$C$12,1,1),Summary!$C$11))*('Dvd Calendar'!$Q$535&lt;=MAX(DATE(Summary!$C$12,12,31),Summary!$C$15))*('Dvd Calendar'!$Q$535&lt;=Summary!$C$11)=0,"",'Dvd Calendar'!$Q$535*1000000000+ISNUMBER('Dvd Calendar'!$Q$536)*100000000+('Dvd Calendar'!$Q$540='Field Check'!$C$25)*10000000+(N('Dvd Calendar'!$Q$534)&gt;0)*1000000+36*1000+13))</f>
        <v/>
      </c>
      <c r="P44" s="41">
        <f>IF(N('Dvd Calendar'!$R$535)=0,"",IF(('Dvd Calendar'!$R$535&gt;=MIN(DATE(Summary!$C$12,1,1),Summary!$C$11))*('Dvd Calendar'!$R$535&lt;=MAX(DATE(Summary!$C$12,12,31),Summary!$C$15))*('Dvd Calendar'!$R$535&lt;=Summary!$C$11)=0,"",'Dvd Calendar'!$R$535*1000000000+ISNUMBER('Dvd Calendar'!$R$536)*100000000+('Dvd Calendar'!$R$540='Field Check'!$C$25)*10000000+(N('Dvd Calendar'!$R$534)&gt;0)*1000000+36*1000+14))</f>
        <v/>
      </c>
      <c r="Q44" s="41">
        <f>IF(N('Dvd Calendar'!$S$535)=0,"",IF(('Dvd Calendar'!$S$535&gt;=MIN(DATE(Summary!$C$12,1,1),Summary!$C$11))*('Dvd Calendar'!$S$535&lt;=MAX(DATE(Summary!$C$12,12,31),Summary!$C$15))*('Dvd Calendar'!$S$535&lt;=Summary!$C$11)=0,"",'Dvd Calendar'!$S$535*1000000000+ISNUMBER('Dvd Calendar'!$S$536)*100000000+('Dvd Calendar'!$S$540='Field Check'!$C$25)*10000000+(N('Dvd Calendar'!$S$534)&gt;0)*1000000+36*1000+15))</f>
        <v/>
      </c>
      <c r="R44" s="41">
        <f>IF(N('Dvd Calendar'!$T$535)=0,"",IF(('Dvd Calendar'!$T$535&gt;=MIN(DATE(Summary!$C$12,1,1),Summary!$C$11))*('Dvd Calendar'!$T$535&lt;=MAX(DATE(Summary!$C$12,12,31),Summary!$C$15))*('Dvd Calendar'!$T$535&lt;=Summary!$C$11)=0,"",'Dvd Calendar'!$T$535*1000000000+ISNUMBER('Dvd Calendar'!$T$536)*100000000+('Dvd Calendar'!$T$540='Field Check'!$C$25)*10000000+(N('Dvd Calendar'!$T$534)&gt;0)*1000000+36*1000+16))</f>
        <v/>
      </c>
      <c r="S44" s="41">
        <f>IF(N('Dvd Calendar'!$U$535)=0,"",IF(('Dvd Calendar'!$U$535&gt;=MIN(DATE(Summary!$C$12,1,1),Summary!$C$11))*('Dvd Calendar'!$U$535&lt;=MAX(DATE(Summary!$C$12,12,31),Summary!$C$15))*('Dvd Calendar'!$U$535&lt;=Summary!$C$11)=0,"",'Dvd Calendar'!$U$535*1000000000+ISNUMBER('Dvd Calendar'!$U$536)*100000000+('Dvd Calendar'!$U$540='Field Check'!$C$25)*10000000+(N('Dvd Calendar'!$U$534)&gt;0)*1000000+36*1000+17))</f>
        <v/>
      </c>
      <c r="T44" s="41">
        <f>IF(N('Dvd Calendar'!$V$535)=0,"",IF(('Dvd Calendar'!$V$535&gt;=MIN(DATE(Summary!$C$12,1,1),Summary!$C$11))*('Dvd Calendar'!$V$535&lt;=MAX(DATE(Summary!$C$12,12,31),Summary!$C$15))*('Dvd Calendar'!$V$535&lt;=Summary!$C$11)=0,"",'Dvd Calendar'!$V$535*1000000000+ISNUMBER('Dvd Calendar'!$V$536)*100000000+('Dvd Calendar'!$V$540='Field Check'!$C$25)*10000000+(N('Dvd Calendar'!$V$534)&gt;0)*1000000+36*1000+18))</f>
        <v/>
      </c>
      <c r="U44" s="41">
        <f>IF(N('Dvd Calendar'!$W$535)=0,"",IF(('Dvd Calendar'!$W$535&gt;=MIN(DATE(Summary!$C$12,1,1),Summary!$C$11))*('Dvd Calendar'!$W$535&lt;=MAX(DATE(Summary!$C$12,12,31),Summary!$C$15))*('Dvd Calendar'!$W$535&lt;=Summary!$C$11)=0,"",'Dvd Calendar'!$W$535*1000000000+ISNUMBER('Dvd Calendar'!$W$536)*100000000+('Dvd Calendar'!$W$540='Field Check'!$C$25)*10000000+(N('Dvd Calendar'!$W$534)&gt;0)*1000000+36*1000+19))</f>
        <v/>
      </c>
      <c r="V44" s="41">
        <f>IF(N('Dvd Calendar'!$X$535)=0,"",IF(('Dvd Calendar'!$X$535&gt;=MIN(DATE(Summary!$C$12,1,1),Summary!$C$11))*('Dvd Calendar'!$X$535&lt;=MAX(DATE(Summary!$C$12,12,31),Summary!$C$15))*('Dvd Calendar'!$X$535&lt;=Summary!$C$11)=0,"",'Dvd Calendar'!$X$535*1000000000+ISNUMBER('Dvd Calendar'!$X$536)*100000000+('Dvd Calendar'!$X$540='Field Check'!$C$25)*10000000+(N('Dvd Calendar'!$X$534)&gt;0)*1000000+36*1000+20))</f>
        <v/>
      </c>
      <c r="W44" s="41">
        <f>IF(N('Dvd Calendar'!$Y$535)=0,"",IF(('Dvd Calendar'!$Y$535&gt;=MIN(DATE(Summary!$C$12,1,1),Summary!$C$11))*('Dvd Calendar'!$Y$535&lt;=MAX(DATE(Summary!$C$12,12,31),Summary!$C$15))*('Dvd Calendar'!$Y$535&lt;=Summary!$C$11)=0,"",'Dvd Calendar'!$Y$535*1000000000+ISNUMBER('Dvd Calendar'!$Y$536)*100000000+('Dvd Calendar'!$Y$540='Field Check'!$C$25)*10000000+(N('Dvd Calendar'!$Y$534)&gt;0)*1000000+36*1000+21))</f>
        <v/>
      </c>
      <c r="X44" s="41">
        <f>IF(N('Dvd Calendar'!$Z$535)=0,"",IF(('Dvd Calendar'!$Z$535&gt;=MIN(DATE(Summary!$C$12,1,1),Summary!$C$11))*('Dvd Calendar'!$Z$535&lt;=MAX(DATE(Summary!$C$12,12,31),Summary!$C$15))*('Dvd Calendar'!$Z$535&lt;=Summary!$C$11)=0,"",'Dvd Calendar'!$Z$535*1000000000+ISNUMBER('Dvd Calendar'!$Z$536)*100000000+('Dvd Calendar'!$Z$540='Field Check'!$C$25)*10000000+(N('Dvd Calendar'!$Z$534)&gt;0)*1000000+36*1000+22))</f>
        <v/>
      </c>
      <c r="Y44" s="41">
        <f>IF(N('Dvd Calendar'!$AA$535)=0,"",IF(('Dvd Calendar'!$AA$535&gt;=MIN(DATE(Summary!$C$12,1,1),Summary!$C$11))*('Dvd Calendar'!$AA$535&lt;=MAX(DATE(Summary!$C$12,12,31),Summary!$C$15))*('Dvd Calendar'!$AA$535&lt;=Summary!$C$11)=0,"",'Dvd Calendar'!$AA$535*1000000000+ISNUMBER('Dvd Calendar'!$AA$536)*100000000+('Dvd Calendar'!$AA$540='Field Check'!$C$25)*10000000+(N('Dvd Calendar'!$AA$534)&gt;0)*1000000+36*1000+23))</f>
        <v/>
      </c>
      <c r="Z44" s="41">
        <f>IF(N('Dvd Calendar'!$AB$535)=0,"",IF(('Dvd Calendar'!$AB$535&gt;=MIN(DATE(Summary!$C$12,1,1),Summary!$C$11))*('Dvd Calendar'!$AB$535&lt;=MAX(DATE(Summary!$C$12,12,31),Summary!$C$15))*('Dvd Calendar'!$AB$535&lt;=Summary!$C$11)=0,"",'Dvd Calendar'!$AB$535*1000000000+ISNUMBER('Dvd Calendar'!$AB$536)*100000000+('Dvd Calendar'!$AB$540='Field Check'!$C$25)*10000000+(N('Dvd Calendar'!$AB$534)&gt;0)*1000000+36*1000+24))</f>
        <v/>
      </c>
      <c r="AA44" s="41">
        <f>IF(N('Dvd Calendar'!$AC$535)=0,"",IF(('Dvd Calendar'!$AC$535&gt;=MIN(DATE(Summary!$C$12,1,1),Summary!$C$11))*('Dvd Calendar'!$AC$535&lt;=MAX(DATE(Summary!$C$12,12,31),Summary!$C$15))*('Dvd Calendar'!$AC$535&lt;=Summary!$C$11)=0,"",'Dvd Calendar'!$AC$535*1000000000+ISNUMBER('Dvd Calendar'!$AC$536)*100000000+('Dvd Calendar'!$AC$540='Field Check'!$C$25)*10000000+(N('Dvd Calendar'!$AC$534)&gt;0)*1000000+36*1000+25))</f>
        <v/>
      </c>
      <c r="AB44" s="41">
        <f>IF(N('Dvd Calendar'!$AD$535)=0,"",IF(('Dvd Calendar'!$AD$535&gt;=MIN(DATE(Summary!$C$12,1,1),Summary!$C$11))*('Dvd Calendar'!$AD$535&lt;=MAX(DATE(Summary!$C$12,12,31),Summary!$C$15))*('Dvd Calendar'!$AD$535&lt;=Summary!$C$11)=0,"",'Dvd Calendar'!$AD$535*1000000000+ISNUMBER('Dvd Calendar'!$AD$536)*100000000+('Dvd Calendar'!$AD$540='Field Check'!$C$25)*10000000+(N('Dvd Calendar'!$AD$534)&gt;0)*1000000+36*1000+26))</f>
        <v/>
      </c>
      <c r="AC44" s="41">
        <f>IF(N('Dvd Calendar'!$AE$535)=0,"",IF(('Dvd Calendar'!$AE$535&gt;=MIN(DATE(Summary!$C$12,1,1),Summary!$C$11))*('Dvd Calendar'!$AE$535&lt;=MAX(DATE(Summary!$C$12,12,31),Summary!$C$15))*('Dvd Calendar'!$AE$535&lt;=Summary!$C$11)=0,"",'Dvd Calendar'!$AE$535*1000000000+ISNUMBER('Dvd Calendar'!$AE$536)*100000000+('Dvd Calendar'!$AE$540='Field Check'!$C$25)*10000000+(N('Dvd Calendar'!$AE$534)&gt;0)*1000000+36*1000+27))</f>
        <v/>
      </c>
      <c r="AD44" s="41">
        <f>IF(N('Dvd Calendar'!$AF$535)=0,"",IF(('Dvd Calendar'!$AF$535&gt;=MIN(DATE(Summary!$C$12,1,1),Summary!$C$11))*('Dvd Calendar'!$AF$535&lt;=MAX(DATE(Summary!$C$12,12,31),Summary!$C$15))*('Dvd Calendar'!$AF$535&lt;=Summary!$C$11)=0,"",'Dvd Calendar'!$AF$535*1000000000+ISNUMBER('Dvd Calendar'!$AF$536)*100000000+('Dvd Calendar'!$AF$540='Field Check'!$C$25)*10000000+(N('Dvd Calendar'!$AF$534)&gt;0)*1000000+36*1000+28))</f>
        <v/>
      </c>
      <c r="AE44" s="41">
        <f>IF(N('Dvd Calendar'!$AG$535)=0,"",IF(('Dvd Calendar'!$AG$535&gt;=MIN(DATE(Summary!$C$12,1,1),Summary!$C$11))*('Dvd Calendar'!$AG$535&lt;=MAX(DATE(Summary!$C$12,12,31),Summary!$C$15))*('Dvd Calendar'!$AG$535&lt;=Summary!$C$11)=0,"",'Dvd Calendar'!$AG$535*1000000000+ISNUMBER('Dvd Calendar'!$AG$536)*100000000+('Dvd Calendar'!$AG$540='Field Check'!$C$25)*10000000+(N('Dvd Calendar'!$AG$534)&gt;0)*1000000+36*1000+29))</f>
        <v/>
      </c>
      <c r="AF44" s="41">
        <f>IF(N('Dvd Calendar'!$AH$535)=0,"",IF(('Dvd Calendar'!$AH$535&gt;=MIN(DATE(Summary!$C$12,1,1),Summary!$C$11))*('Dvd Calendar'!$AH$535&lt;=MAX(DATE(Summary!$C$12,12,31),Summary!$C$15))*('Dvd Calendar'!$AH$535&lt;=Summary!$C$11)=0,"",'Dvd Calendar'!$AH$535*1000000000+ISNUMBER('Dvd Calendar'!$AH$536)*100000000+('Dvd Calendar'!$AH$540='Field Check'!$C$25)*10000000+(N('Dvd Calendar'!$AH$534)&gt;0)*1000000+36*1000+30))</f>
        <v/>
      </c>
      <c r="AG44" s="41">
        <f>IF(N('Dvd Calendar'!$AI$535)=0,"",IF(('Dvd Calendar'!$AI$535&gt;=MIN(DATE(Summary!$C$12,1,1),Summary!$C$11))*('Dvd Calendar'!$AI$535&lt;=MAX(DATE(Summary!$C$12,12,31),Summary!$C$15))*('Dvd Calendar'!$AI$535&lt;=Summary!$C$11)=0,"",'Dvd Calendar'!$AI$535*1000000000+ISNUMBER('Dvd Calendar'!$AI$536)*100000000+('Dvd Calendar'!$AI$540='Field Check'!$C$25)*10000000+(N('Dvd Calendar'!$AI$534)&gt;0)*1000000+36*1000+31))</f>
        <v/>
      </c>
      <c r="AH44" s="41">
        <f>IF(N('Dvd Calendar'!$AJ$535)=0,"",IF(('Dvd Calendar'!$AJ$535&gt;=MIN(DATE(Summary!$C$12,1,1),Summary!$C$11))*('Dvd Calendar'!$AJ$535&lt;=MAX(DATE(Summary!$C$12,12,31),Summary!$C$15))*('Dvd Calendar'!$AJ$535&lt;=Summary!$C$11)=0,"",'Dvd Calendar'!$AJ$535*1000000000+ISNUMBER('Dvd Calendar'!$AJ$536)*100000000+('Dvd Calendar'!$AJ$540='Field Check'!$C$25)*10000000+(N('Dvd Calendar'!$AJ$534)&gt;0)*1000000+36*1000+32))</f>
        <v/>
      </c>
      <c r="AI44" s="41">
        <f>IF(N('Dvd Calendar'!$AK$535)=0,"",IF(('Dvd Calendar'!$AK$535&gt;=MIN(DATE(Summary!$C$12,1,1),Summary!$C$11))*('Dvd Calendar'!$AK$535&lt;=MAX(DATE(Summary!$C$12,12,31),Summary!$C$15))*('Dvd Calendar'!$AK$535&lt;=Summary!$C$11)=0,"",'Dvd Calendar'!$AK$535*1000000000+ISNUMBER('Dvd Calendar'!$AK$536)*100000000+('Dvd Calendar'!$AK$540='Field Check'!$C$25)*10000000+(N('Dvd Calendar'!$AK$534)&gt;0)*1000000+36*1000+33))</f>
        <v/>
      </c>
      <c r="AJ44" s="41">
        <f>IF(N('Dvd Calendar'!$AL$535)=0,"",IF(('Dvd Calendar'!$AL$535&gt;=MIN(DATE(Summary!$C$12,1,1),Summary!$C$11))*('Dvd Calendar'!$AL$535&lt;=MAX(DATE(Summary!$C$12,12,31),Summary!$C$15))*('Dvd Calendar'!$AL$535&lt;=Summary!$C$11)=0,"",'Dvd Calendar'!$AL$535*1000000000+ISNUMBER('Dvd Calendar'!$AL$536)*100000000+('Dvd Calendar'!$AL$540='Field Check'!$C$25)*10000000+(N('Dvd Calendar'!$AL$534)&gt;0)*1000000+36*1000+34))</f>
        <v/>
      </c>
      <c r="AK44" s="41">
        <f>IF(N('Dvd Calendar'!$AM$535)=0,"",IF(('Dvd Calendar'!$AM$535&gt;=MIN(DATE(Summary!$C$12,1,1),Summary!$C$11))*('Dvd Calendar'!$AM$535&lt;=MAX(DATE(Summary!$C$12,12,31),Summary!$C$15))*('Dvd Calendar'!$AM$535&lt;=Summary!$C$11)=0,"",'Dvd Calendar'!$AM$535*1000000000+ISNUMBER('Dvd Calendar'!$AM$536)*100000000+('Dvd Calendar'!$AM$540='Field Check'!$C$25)*10000000+(N('Dvd Calendar'!$AM$534)&gt;0)*1000000+36*1000+35))</f>
        <v/>
      </c>
      <c r="AL44" s="41">
        <f>IF(N('Dvd Calendar'!$AN$535)=0,"",IF(('Dvd Calendar'!$AN$535&gt;=MIN(DATE(Summary!$C$12,1,1),Summary!$C$11))*('Dvd Calendar'!$AN$535&lt;=MAX(DATE(Summary!$C$12,12,31),Summary!$C$15))*('Dvd Calendar'!$AN$535&lt;=Summary!$C$11)=0,"",'Dvd Calendar'!$AN$535*1000000000+ISNUMBER('Dvd Calendar'!$AN$536)*100000000+('Dvd Calendar'!$AN$540='Field Check'!$C$25)*10000000+(N('Dvd Calendar'!$AN$534)&gt;0)*1000000+36*1000+36))</f>
        <v/>
      </c>
      <c r="AM44" s="41">
        <f>IF(N('Dvd Calendar'!$AO$535)=0,"",IF(('Dvd Calendar'!$AO$535&gt;=MIN(DATE(Summary!$C$12,1,1),Summary!$C$11))*('Dvd Calendar'!$AO$535&lt;=MAX(DATE(Summary!$C$12,12,31),Summary!$C$15))*('Dvd Calendar'!$AO$535&lt;=Summary!$C$11)=0,"",'Dvd Calendar'!$AO$535*1000000000+ISNUMBER('Dvd Calendar'!$AO$536)*100000000+('Dvd Calendar'!$AO$540='Field Check'!$C$25)*10000000+(N('Dvd Calendar'!$AO$534)&gt;0)*1000000+36*1000+37))</f>
        <v/>
      </c>
      <c r="AN44" s="41">
        <f>IF(N('Dvd Calendar'!$AP$535)=0,"",IF(('Dvd Calendar'!$AP$535&gt;=MIN(DATE(Summary!$C$12,1,1),Summary!$C$11))*('Dvd Calendar'!$AP$535&lt;=MAX(DATE(Summary!$C$12,12,31),Summary!$C$15))*('Dvd Calendar'!$AP$535&lt;=Summary!$C$11)=0,"",'Dvd Calendar'!$AP$535*1000000000+ISNUMBER('Dvd Calendar'!$AP$536)*100000000+('Dvd Calendar'!$AP$540='Field Check'!$C$25)*10000000+(N('Dvd Calendar'!$AP$534)&gt;0)*1000000+36*1000+38))</f>
        <v/>
      </c>
      <c r="AO44" s="41">
        <f>IF(N('Dvd Calendar'!$AQ$535)=0,"",IF(('Dvd Calendar'!$AQ$535&gt;=MIN(DATE(Summary!$C$12,1,1),Summary!$C$11))*('Dvd Calendar'!$AQ$535&lt;=MAX(DATE(Summary!$C$12,12,31),Summary!$C$15))*('Dvd Calendar'!$AQ$535&lt;=Summary!$C$11)=0,"",'Dvd Calendar'!$AQ$535*1000000000+ISNUMBER('Dvd Calendar'!$AQ$536)*100000000+('Dvd Calendar'!$AQ$540='Field Check'!$C$25)*10000000+(N('Dvd Calendar'!$AQ$534)&gt;0)*1000000+36*1000+39))</f>
        <v/>
      </c>
      <c r="AP44" s="41">
        <f>IF(N('Dvd Calendar'!$AR$535)=0,"",IF(('Dvd Calendar'!$AR$535&gt;=MIN(DATE(Summary!$C$12,1,1),Summary!$C$11))*('Dvd Calendar'!$AR$535&lt;=MAX(DATE(Summary!$C$12,12,31),Summary!$C$15))*('Dvd Calendar'!$AR$535&lt;=Summary!$C$11)=0,"",'Dvd Calendar'!$AR$535*1000000000+ISNUMBER('Dvd Calendar'!$AR$536)*100000000+('Dvd Calendar'!$AR$540='Field Check'!$C$25)*10000000+(N('Dvd Calendar'!$AR$534)&gt;0)*1000000+36*1000+40))</f>
        <v/>
      </c>
      <c r="AQ44" s="41">
        <f>IF(N('Dvd Calendar'!$E$542)=0,"",IF(('Dvd Calendar'!$E$542&gt;=MIN(DATE(Summary!$C$12,1,1),Summary!$C$11))*('Dvd Calendar'!$E$542&lt;=MAX(DATE(Summary!$C$12,12,31),Summary!$C$15))*('Dvd Calendar'!$E$542&gt;Summary!$C$11)=0,"",'Dvd Calendar'!$E$542*1000000000+ISNUMBER('Dvd Calendar'!$E$543)*100000000+('Dvd Calendar'!$E$547='Field Check'!$C$25)*10000000+(N('Dvd Calendar'!$E$541)&gt;0)*1000000+36*1000+41))</f>
        <v/>
      </c>
      <c r="AR44" s="41">
        <f>IF(N('Dvd Calendar'!$F$542)=0,"",IF(('Dvd Calendar'!$F$542&gt;=MIN(DATE(Summary!$C$12,1,1),Summary!$C$11))*('Dvd Calendar'!$F$542&lt;=MAX(DATE(Summary!$C$12,12,31),Summary!$C$15))*('Dvd Calendar'!$F$542&gt;Summary!$C$11)=0,"",'Dvd Calendar'!$F$542*1000000000+ISNUMBER('Dvd Calendar'!$F$543)*100000000+('Dvd Calendar'!$F$547='Field Check'!$C$25)*10000000+(N('Dvd Calendar'!$F$541)&gt;0)*1000000+36*1000+42))</f>
        <v/>
      </c>
      <c r="AS44" s="41">
        <f>IF(N('Dvd Calendar'!$G$542)=0,"",IF(('Dvd Calendar'!$G$542&gt;=MIN(DATE(Summary!$C$12,1,1),Summary!$C$11))*('Dvd Calendar'!$G$542&lt;=MAX(DATE(Summary!$C$12,12,31),Summary!$C$15))*('Dvd Calendar'!$G$542&gt;Summary!$C$11)=0,"",'Dvd Calendar'!$G$542*1000000000+ISNUMBER('Dvd Calendar'!$G$543)*100000000+('Dvd Calendar'!$G$547='Field Check'!$C$25)*10000000+(N('Dvd Calendar'!$G$541)&gt;0)*1000000+36*1000+43))</f>
        <v/>
      </c>
      <c r="AT44" s="41">
        <f>IF(N('Dvd Calendar'!$H$542)=0,"",IF(('Dvd Calendar'!$H$542&gt;=MIN(DATE(Summary!$C$12,1,1),Summary!$C$11))*('Dvd Calendar'!$H$542&lt;=MAX(DATE(Summary!$C$12,12,31),Summary!$C$15))*('Dvd Calendar'!$H$542&gt;Summary!$C$11)=0,"",'Dvd Calendar'!$H$542*1000000000+ISNUMBER('Dvd Calendar'!$H$543)*100000000+('Dvd Calendar'!$H$547='Field Check'!$C$25)*10000000+(N('Dvd Calendar'!$H$541)&gt;0)*1000000+36*1000+44))</f>
        <v/>
      </c>
      <c r="AU44" s="41">
        <f>IF(N('Dvd Calendar'!$I$542)=0,"",IF(('Dvd Calendar'!$I$542&gt;=MIN(DATE(Summary!$C$12,1,1),Summary!$C$11))*('Dvd Calendar'!$I$542&lt;=MAX(DATE(Summary!$C$12,12,31),Summary!$C$15))*('Dvd Calendar'!$I$542&gt;Summary!$C$11)=0,"",'Dvd Calendar'!$I$542*1000000000+ISNUMBER('Dvd Calendar'!$I$543)*100000000+('Dvd Calendar'!$I$547='Field Check'!$C$25)*10000000+(N('Dvd Calendar'!$I$541)&gt;0)*1000000+36*1000+45))</f>
        <v/>
      </c>
      <c r="AV44" s="41">
        <f>IF(N('Dvd Calendar'!$J$542)=0,"",IF(('Dvd Calendar'!$J$542&gt;=MIN(DATE(Summary!$C$12,1,1),Summary!$C$11))*('Dvd Calendar'!$J$542&lt;=MAX(DATE(Summary!$C$12,12,31),Summary!$C$15))*('Dvd Calendar'!$J$542&gt;Summary!$C$11)=0,"",'Dvd Calendar'!$J$542*1000000000+ISNUMBER('Dvd Calendar'!$J$543)*100000000+('Dvd Calendar'!$J$547='Field Check'!$C$25)*10000000+(N('Dvd Calendar'!$J$541)&gt;0)*1000000+36*1000+46))</f>
        <v/>
      </c>
      <c r="AW44" s="41">
        <f>IF(N('Dvd Calendar'!$K$542)=0,"",IF(('Dvd Calendar'!$K$542&gt;=MIN(DATE(Summary!$C$12,1,1),Summary!$C$11))*('Dvd Calendar'!$K$542&lt;=MAX(DATE(Summary!$C$12,12,31),Summary!$C$15))*('Dvd Calendar'!$K$542&gt;Summary!$C$11)=0,"",'Dvd Calendar'!$K$542*1000000000+ISNUMBER('Dvd Calendar'!$K$543)*100000000+('Dvd Calendar'!$K$547='Field Check'!$C$25)*10000000+(N('Dvd Calendar'!$K$541)&gt;0)*1000000+36*1000+47))</f>
        <v/>
      </c>
      <c r="AX44" s="41">
        <f>IF(N('Dvd Calendar'!$L$542)=0,"",IF(('Dvd Calendar'!$L$542&gt;=MIN(DATE(Summary!$C$12,1,1),Summary!$C$11))*('Dvd Calendar'!$L$542&lt;=MAX(DATE(Summary!$C$12,12,31),Summary!$C$15))*('Dvd Calendar'!$L$542&gt;Summary!$C$11)=0,"",'Dvd Calendar'!$L$542*1000000000+ISNUMBER('Dvd Calendar'!$L$543)*100000000+('Dvd Calendar'!$L$547='Field Check'!$C$25)*10000000+(N('Dvd Calendar'!$L$541)&gt;0)*1000000+36*1000+48))</f>
        <v/>
      </c>
      <c r="AY44" s="41">
        <f>IF(N('Dvd Calendar'!$M$542)=0,"",IF(('Dvd Calendar'!$M$542&gt;=MIN(DATE(Summary!$C$12,1,1),Summary!$C$11))*('Dvd Calendar'!$M$542&lt;=MAX(DATE(Summary!$C$12,12,31),Summary!$C$15))*('Dvd Calendar'!$M$542&gt;Summary!$C$11)=0,"",'Dvd Calendar'!$M$542*1000000000+ISNUMBER('Dvd Calendar'!$M$543)*100000000+('Dvd Calendar'!$M$547='Field Check'!$C$25)*10000000+(N('Dvd Calendar'!$M$541)&gt;0)*1000000+36*1000+49))</f>
        <v/>
      </c>
      <c r="AZ44" s="41">
        <f>IF(N('Dvd Calendar'!$N$542)=0,"",IF(('Dvd Calendar'!$N$542&gt;=MIN(DATE(Summary!$C$12,1,1),Summary!$C$11))*('Dvd Calendar'!$N$542&lt;=MAX(DATE(Summary!$C$12,12,31),Summary!$C$15))*('Dvd Calendar'!$N$542&gt;Summary!$C$11)=0,"",'Dvd Calendar'!$N$542*1000000000+ISNUMBER('Dvd Calendar'!$N$543)*100000000+('Dvd Calendar'!$N$547='Field Check'!$C$25)*10000000+(N('Dvd Calendar'!$N$541)&gt;0)*1000000+36*1000+50))</f>
        <v/>
      </c>
      <c r="BA44" s="41">
        <f>IF(N('Dvd Calendar'!$O$542)=0,"",IF(('Dvd Calendar'!$O$542&gt;=MIN(DATE(Summary!$C$12,1,1),Summary!$C$11))*('Dvd Calendar'!$O$542&lt;=MAX(DATE(Summary!$C$12,12,31),Summary!$C$15))*('Dvd Calendar'!$O$542&gt;Summary!$C$11)=0,"",'Dvd Calendar'!$O$542*1000000000+ISNUMBER('Dvd Calendar'!$O$543)*100000000+('Dvd Calendar'!$O$547='Field Check'!$C$25)*10000000+(N('Dvd Calendar'!$O$541)&gt;0)*1000000+36*1000+51))</f>
        <v/>
      </c>
      <c r="BB44" s="41">
        <f>IF(N('Dvd Calendar'!$P$542)=0,"",IF(('Dvd Calendar'!$P$542&gt;=MIN(DATE(Summary!$C$12,1,1),Summary!$C$11))*('Dvd Calendar'!$P$542&lt;=MAX(DATE(Summary!$C$12,12,31),Summary!$C$15))*('Dvd Calendar'!$P$542&gt;Summary!$C$11)=0,"",'Dvd Calendar'!$P$542*1000000000+ISNUMBER('Dvd Calendar'!$P$543)*100000000+('Dvd Calendar'!$P$547='Field Check'!$C$25)*10000000+(N('Dvd Calendar'!$P$541)&gt;0)*1000000+36*1000+52))</f>
        <v/>
      </c>
      <c r="BC44" s="41">
        <f>IF(N('Dvd Calendar'!$Q$542)=0,"",IF(('Dvd Calendar'!$Q$542&gt;=MIN(DATE(Summary!$C$12,1,1),Summary!$C$11))*('Dvd Calendar'!$Q$542&lt;=MAX(DATE(Summary!$C$12,12,31),Summary!$C$15))*('Dvd Calendar'!$Q$542&gt;Summary!$C$11)=0,"",'Dvd Calendar'!$Q$542*1000000000+ISNUMBER('Dvd Calendar'!$Q$543)*100000000+('Dvd Calendar'!$Q$547='Field Check'!$C$25)*10000000+(N('Dvd Calendar'!$Q$541)&gt;0)*1000000+36*1000+53))</f>
        <v/>
      </c>
      <c r="BD44" s="41">
        <f>IF(N('Dvd Calendar'!$R$542)=0,"",IF(('Dvd Calendar'!$R$542&gt;=MIN(DATE(Summary!$C$12,1,1),Summary!$C$11))*('Dvd Calendar'!$R$542&lt;=MAX(DATE(Summary!$C$12,12,31),Summary!$C$15))*('Dvd Calendar'!$R$542&gt;Summary!$C$11)=0,"",'Dvd Calendar'!$R$542*1000000000+ISNUMBER('Dvd Calendar'!$R$543)*100000000+('Dvd Calendar'!$R$547='Field Check'!$C$25)*10000000+(N('Dvd Calendar'!$R$541)&gt;0)*1000000+36*1000+54))</f>
        <v/>
      </c>
      <c r="BE44" s="41">
        <f>IF(N('Dvd Calendar'!$S$542)=0,"",IF(('Dvd Calendar'!$S$542&gt;=MIN(DATE(Summary!$C$12,1,1),Summary!$C$11))*('Dvd Calendar'!$S$542&lt;=MAX(DATE(Summary!$C$12,12,31),Summary!$C$15))*('Dvd Calendar'!$S$542&gt;Summary!$C$11)=0,"",'Dvd Calendar'!$S$542*1000000000+ISNUMBER('Dvd Calendar'!$S$543)*100000000+('Dvd Calendar'!$S$547='Field Check'!$C$25)*10000000+(N('Dvd Calendar'!$S$541)&gt;0)*1000000+36*1000+55))</f>
        <v/>
      </c>
      <c r="BF44" s="41">
        <f>IF(N('Dvd Calendar'!$T$542)=0,"",IF(('Dvd Calendar'!$T$542&gt;=MIN(DATE(Summary!$C$12,1,1),Summary!$C$11))*('Dvd Calendar'!$T$542&lt;=MAX(DATE(Summary!$C$12,12,31),Summary!$C$15))*('Dvd Calendar'!$T$542&gt;Summary!$C$11)=0,"",'Dvd Calendar'!$T$542*1000000000+ISNUMBER('Dvd Calendar'!$T$543)*100000000+('Dvd Calendar'!$T$547='Field Check'!$C$25)*10000000+(N('Dvd Calendar'!$T$541)&gt;0)*1000000+36*1000+56))</f>
        <v/>
      </c>
      <c r="BG44" s="41">
        <f>IF(N('Dvd Calendar'!$U$542)=0,"",IF(('Dvd Calendar'!$U$542&gt;=MIN(DATE(Summary!$C$12,1,1),Summary!$C$11))*('Dvd Calendar'!$U$542&lt;=MAX(DATE(Summary!$C$12,12,31),Summary!$C$15))*('Dvd Calendar'!$U$542&gt;Summary!$C$11)=0,"",'Dvd Calendar'!$U$542*1000000000+ISNUMBER('Dvd Calendar'!$U$543)*100000000+('Dvd Calendar'!$U$547='Field Check'!$C$25)*10000000+(N('Dvd Calendar'!$U$541)&gt;0)*1000000+36*1000+57))</f>
        <v/>
      </c>
      <c r="BH44" s="41">
        <f>IF(N('Dvd Calendar'!$V$542)=0,"",IF(('Dvd Calendar'!$V$542&gt;=MIN(DATE(Summary!$C$12,1,1),Summary!$C$11))*('Dvd Calendar'!$V$542&lt;=MAX(DATE(Summary!$C$12,12,31),Summary!$C$15))*('Dvd Calendar'!$V$542&gt;Summary!$C$11)=0,"",'Dvd Calendar'!$V$542*1000000000+ISNUMBER('Dvd Calendar'!$V$543)*100000000+('Dvd Calendar'!$V$547='Field Check'!$C$25)*10000000+(N('Dvd Calendar'!$V$541)&gt;0)*1000000+36*1000+58))</f>
        <v/>
      </c>
      <c r="BI44" s="41">
        <f>IF(N('Dvd Calendar'!$W$542)=0,"",IF(('Dvd Calendar'!$W$542&gt;=MIN(DATE(Summary!$C$12,1,1),Summary!$C$11))*('Dvd Calendar'!$W$542&lt;=MAX(DATE(Summary!$C$12,12,31),Summary!$C$15))*('Dvd Calendar'!$W$542&gt;Summary!$C$11)=0,"",'Dvd Calendar'!$W$542*1000000000+ISNUMBER('Dvd Calendar'!$W$543)*100000000+('Dvd Calendar'!$W$547='Field Check'!$C$25)*10000000+(N('Dvd Calendar'!$W$541)&gt;0)*1000000+36*1000+59))</f>
        <v/>
      </c>
      <c r="BJ44" s="41">
        <f>IF(N('Dvd Calendar'!$X$542)=0,"",IF(('Dvd Calendar'!$X$542&gt;=MIN(DATE(Summary!$C$12,1,1),Summary!$C$11))*('Dvd Calendar'!$X$542&lt;=MAX(DATE(Summary!$C$12,12,31),Summary!$C$15))*('Dvd Calendar'!$X$542&gt;Summary!$C$11)=0,"",'Dvd Calendar'!$X$542*1000000000+ISNUMBER('Dvd Calendar'!$X$543)*100000000+('Dvd Calendar'!$X$547='Field Check'!$C$25)*10000000+(N('Dvd Calendar'!$X$541)&gt;0)*1000000+36*1000+60))</f>
        <v/>
      </c>
      <c r="BK44" s="41">
        <f>IF(N('Dvd Calendar'!$Y$542)=0,"",IF(('Dvd Calendar'!$Y$542&gt;=MIN(DATE(Summary!$C$12,1,1),Summary!$C$11))*('Dvd Calendar'!$Y$542&lt;=MAX(DATE(Summary!$C$12,12,31),Summary!$C$15))*('Dvd Calendar'!$Y$542&gt;Summary!$C$11)=0,"",'Dvd Calendar'!$Y$542*1000000000+ISNUMBER('Dvd Calendar'!$Y$543)*100000000+('Dvd Calendar'!$Y$547='Field Check'!$C$25)*10000000+(N('Dvd Calendar'!$Y$541)&gt;0)*1000000+36*1000+61))</f>
        <v/>
      </c>
      <c r="BL44" s="41">
        <f>IF(N('Dvd Calendar'!$Z$542)=0,"",IF(('Dvd Calendar'!$Z$542&gt;=MIN(DATE(Summary!$C$12,1,1),Summary!$C$11))*('Dvd Calendar'!$Z$542&lt;=MAX(DATE(Summary!$C$12,12,31),Summary!$C$15))*('Dvd Calendar'!$Z$542&gt;Summary!$C$11)=0,"",'Dvd Calendar'!$Z$542*1000000000+ISNUMBER('Dvd Calendar'!$Z$543)*100000000+('Dvd Calendar'!$Z$547='Field Check'!$C$25)*10000000+(N('Dvd Calendar'!$Z$541)&gt;0)*1000000+36*1000+62))</f>
        <v/>
      </c>
      <c r="BM44" s="41">
        <f>IF(N('Dvd Calendar'!$AA$542)=0,"",IF(('Dvd Calendar'!$AA$542&gt;=MIN(DATE(Summary!$C$12,1,1),Summary!$C$11))*('Dvd Calendar'!$AA$542&lt;=MAX(DATE(Summary!$C$12,12,31),Summary!$C$15))*('Dvd Calendar'!$AA$542&gt;Summary!$C$11)=0,"",'Dvd Calendar'!$AA$542*1000000000+ISNUMBER('Dvd Calendar'!$AA$543)*100000000+('Dvd Calendar'!$AA$547='Field Check'!$C$25)*10000000+(N('Dvd Calendar'!$AA$541)&gt;0)*1000000+36*1000+63))</f>
        <v/>
      </c>
      <c r="BN44" s="41">
        <f>IF(N('Dvd Calendar'!$AB$542)=0,"",IF(('Dvd Calendar'!$AB$542&gt;=MIN(DATE(Summary!$C$12,1,1),Summary!$C$11))*('Dvd Calendar'!$AB$542&lt;=MAX(DATE(Summary!$C$12,12,31),Summary!$C$15))*('Dvd Calendar'!$AB$542&gt;Summary!$C$11)=0,"",'Dvd Calendar'!$AB$542*1000000000+ISNUMBER('Dvd Calendar'!$AB$543)*100000000+('Dvd Calendar'!$AB$547='Field Check'!$C$25)*10000000+(N('Dvd Calendar'!$AB$541)&gt;0)*1000000+36*1000+64))</f>
        <v/>
      </c>
      <c r="BO44" s="41">
        <f>IF(N('Dvd Calendar'!$AC$542)=0,"",IF(('Dvd Calendar'!$AC$542&gt;=MIN(DATE(Summary!$C$12,1,1),Summary!$C$11))*('Dvd Calendar'!$AC$542&lt;=MAX(DATE(Summary!$C$12,12,31),Summary!$C$15))*('Dvd Calendar'!$AC$542&gt;Summary!$C$11)=0,"",'Dvd Calendar'!$AC$542*1000000000+ISNUMBER('Dvd Calendar'!$AC$543)*100000000+('Dvd Calendar'!$AC$547='Field Check'!$C$25)*10000000+(N('Dvd Calendar'!$AC$541)&gt;0)*1000000+36*1000+65))</f>
        <v/>
      </c>
      <c r="BQ44" s="85">
        <f>IF(C44="","",IF(ISNUMBER('Dvd Calendar'!$E$536)=FALSE,"",IF((Summary!$C$13="N")*('Dvd Calendar'!$E$540='Field Check'!$C$25)&gt;0,"",'Dvd Calendar'!$E$536)))</f>
        <v/>
      </c>
      <c r="BR44" s="85">
        <f>IF(D44="","",IF(ISNUMBER('Dvd Calendar'!$F$536)=FALSE,"",IF((Summary!$C$13="N")*('Dvd Calendar'!$F$540='Field Check'!$C$25)&gt;0,"",'Dvd Calendar'!$F$536)))</f>
        <v/>
      </c>
      <c r="BS44" s="85">
        <f>IF(E44="","",IF(ISNUMBER('Dvd Calendar'!$G$536)=FALSE,"",IF((Summary!$C$13="N")*('Dvd Calendar'!$G$540='Field Check'!$C$25)&gt;0,"",'Dvd Calendar'!$G$536)))</f>
        <v/>
      </c>
      <c r="BT44" s="85">
        <f>IF(F44="","",IF(ISNUMBER('Dvd Calendar'!$H$536)=FALSE,"",IF((Summary!$C$13="N")*('Dvd Calendar'!$H$540='Field Check'!$C$25)&gt;0,"",'Dvd Calendar'!$H$536)))</f>
        <v/>
      </c>
      <c r="BU44" s="85">
        <f>IF(G44="","",IF(ISNUMBER('Dvd Calendar'!$I$536)=FALSE,"",IF((Summary!$C$13="N")*('Dvd Calendar'!$I$540='Field Check'!$C$25)&gt;0,"",'Dvd Calendar'!$I$536)))</f>
        <v/>
      </c>
      <c r="BV44" s="85">
        <f>IF(H44="","",IF(ISNUMBER('Dvd Calendar'!$J$536)=FALSE,"",IF((Summary!$C$13="N")*('Dvd Calendar'!$J$540='Field Check'!$C$25)&gt;0,"",'Dvd Calendar'!$J$536)))</f>
        <v/>
      </c>
      <c r="BW44" s="85">
        <f>IF(I44="","",IF(ISNUMBER('Dvd Calendar'!$K$536)=FALSE,"",IF((Summary!$C$13="N")*('Dvd Calendar'!$K$540='Field Check'!$C$25)&gt;0,"",'Dvd Calendar'!$K$536)))</f>
        <v/>
      </c>
      <c r="BX44" s="85">
        <f>IF(J44="","",IF(ISNUMBER('Dvd Calendar'!$L$536)=FALSE,"",IF((Summary!$C$13="N")*('Dvd Calendar'!$L$540='Field Check'!$C$25)&gt;0,"",'Dvd Calendar'!$L$536)))</f>
        <v/>
      </c>
      <c r="BY44" s="85">
        <f>IF(K44="","",IF(ISNUMBER('Dvd Calendar'!$M$536)=FALSE,"",IF((Summary!$C$13="N")*('Dvd Calendar'!$M$540='Field Check'!$C$25)&gt;0,"",'Dvd Calendar'!$M$536)))</f>
        <v/>
      </c>
      <c r="BZ44" s="85">
        <f>IF(L44="","",IF(ISNUMBER('Dvd Calendar'!$N$536)=FALSE,"",IF((Summary!$C$13="N")*('Dvd Calendar'!$N$540='Field Check'!$C$25)&gt;0,"",'Dvd Calendar'!$N$536)))</f>
        <v/>
      </c>
      <c r="CA44" s="85">
        <f>IF(M44="","",IF(ISNUMBER('Dvd Calendar'!$O$536)=FALSE,"",IF((Summary!$C$13="N")*('Dvd Calendar'!$O$540='Field Check'!$C$25)&gt;0,"",'Dvd Calendar'!$O$536)))</f>
        <v/>
      </c>
      <c r="CB44" s="85">
        <f>IF(N44="","",IF(ISNUMBER('Dvd Calendar'!$P$536)=FALSE,"",IF((Summary!$C$13="N")*('Dvd Calendar'!$P$540='Field Check'!$C$25)&gt;0,"",'Dvd Calendar'!$P$536)))</f>
        <v/>
      </c>
      <c r="CC44" s="85">
        <f>IF(O44="","",IF(ISNUMBER('Dvd Calendar'!$Q$536)=FALSE,"",IF((Summary!$C$13="N")*('Dvd Calendar'!$Q$540='Field Check'!$C$25)&gt;0,"",'Dvd Calendar'!$Q$536)))</f>
        <v/>
      </c>
      <c r="CD44" s="85">
        <f>IF(P44="","",IF(ISNUMBER('Dvd Calendar'!$R$536)=FALSE,"",IF((Summary!$C$13="N")*('Dvd Calendar'!$R$540='Field Check'!$C$25)&gt;0,"",'Dvd Calendar'!$R$536)))</f>
        <v/>
      </c>
      <c r="CE44" s="85">
        <f>IF(Q44="","",IF(ISNUMBER('Dvd Calendar'!$S$536)=FALSE,"",IF((Summary!$C$13="N")*('Dvd Calendar'!$S$540='Field Check'!$C$25)&gt;0,"",'Dvd Calendar'!$S$536)))</f>
        <v/>
      </c>
      <c r="CF44" s="85">
        <f>IF(R44="","",IF(ISNUMBER('Dvd Calendar'!$T$536)=FALSE,"",IF((Summary!$C$13="N")*('Dvd Calendar'!$T$540='Field Check'!$C$25)&gt;0,"",'Dvd Calendar'!$T$536)))</f>
        <v/>
      </c>
      <c r="CG44" s="85">
        <f>IF(S44="","",IF(ISNUMBER('Dvd Calendar'!$U$536)=FALSE,"",IF((Summary!$C$13="N")*('Dvd Calendar'!$U$540='Field Check'!$C$25)&gt;0,"",'Dvd Calendar'!$U$536)))</f>
        <v/>
      </c>
      <c r="CH44" s="85">
        <f>IF(T44="","",IF(ISNUMBER('Dvd Calendar'!$V$536)=FALSE,"",IF((Summary!$C$13="N")*('Dvd Calendar'!$V$540='Field Check'!$C$25)&gt;0,"",'Dvd Calendar'!$V$536)))</f>
        <v/>
      </c>
      <c r="CI44" s="85">
        <f>IF(U44="","",IF(ISNUMBER('Dvd Calendar'!$W$536)=FALSE,"",IF((Summary!$C$13="N")*('Dvd Calendar'!$W$540='Field Check'!$C$25)&gt;0,"",'Dvd Calendar'!$W$536)))</f>
        <v/>
      </c>
      <c r="CJ44" s="85">
        <f>IF(V44="","",IF(ISNUMBER('Dvd Calendar'!$X$536)=FALSE,"",IF((Summary!$C$13="N")*('Dvd Calendar'!$X$540='Field Check'!$C$25)&gt;0,"",'Dvd Calendar'!$X$536)))</f>
        <v/>
      </c>
      <c r="CK44" s="85">
        <f>IF(W44="","",IF(ISNUMBER('Dvd Calendar'!$Y$536)=FALSE,"",IF((Summary!$C$13="N")*('Dvd Calendar'!$Y$540='Field Check'!$C$25)&gt;0,"",'Dvd Calendar'!$Y$536)))</f>
        <v/>
      </c>
      <c r="CL44" s="85">
        <f>IF(X44="","",IF(ISNUMBER('Dvd Calendar'!$Z$536)=FALSE,"",IF((Summary!$C$13="N")*('Dvd Calendar'!$Z$540='Field Check'!$C$25)&gt;0,"",'Dvd Calendar'!$Z$536)))</f>
        <v/>
      </c>
      <c r="CM44" s="85">
        <f>IF(Y44="","",IF(ISNUMBER('Dvd Calendar'!$AA$536)=FALSE,"",IF((Summary!$C$13="N")*('Dvd Calendar'!$AA$540='Field Check'!$C$25)&gt;0,"",'Dvd Calendar'!$AA$536)))</f>
        <v/>
      </c>
      <c r="CN44" s="85">
        <f>IF(Z44="","",IF(ISNUMBER('Dvd Calendar'!$AB$536)=FALSE,"",IF((Summary!$C$13="N")*('Dvd Calendar'!$AB$540='Field Check'!$C$25)&gt;0,"",'Dvd Calendar'!$AB$536)))</f>
        <v/>
      </c>
      <c r="CO44" s="85">
        <f>IF(AA44="","",IF(ISNUMBER('Dvd Calendar'!$AC$536)=FALSE,"",IF((Summary!$C$13="N")*('Dvd Calendar'!$AC$540='Field Check'!$C$25)&gt;0,"",'Dvd Calendar'!$AC$536)))</f>
        <v/>
      </c>
      <c r="CP44" s="85">
        <f>IF(AB44="","",IF(ISNUMBER('Dvd Calendar'!$AD$536)=FALSE,"",IF((Summary!$C$13="N")*('Dvd Calendar'!$AD$540='Field Check'!$C$25)&gt;0,"",'Dvd Calendar'!$AD$536)))</f>
        <v/>
      </c>
      <c r="CQ44" s="85">
        <f>IF(AC44="","",IF(ISNUMBER('Dvd Calendar'!$AE$536)=FALSE,"",IF((Summary!$C$13="N")*('Dvd Calendar'!$AE$540='Field Check'!$C$25)&gt;0,"",'Dvd Calendar'!$AE$536)))</f>
        <v/>
      </c>
      <c r="CR44" s="85">
        <f>IF(AD44="","",IF(ISNUMBER('Dvd Calendar'!$AF$536)=FALSE,"",IF((Summary!$C$13="N")*('Dvd Calendar'!$AF$540='Field Check'!$C$25)&gt;0,"",'Dvd Calendar'!$AF$536)))</f>
        <v/>
      </c>
      <c r="CS44" s="85">
        <f>IF(AE44="","",IF(ISNUMBER('Dvd Calendar'!$AG$536)=FALSE,"",IF((Summary!$C$13="N")*('Dvd Calendar'!$AG$540='Field Check'!$C$25)&gt;0,"",'Dvd Calendar'!$AG$536)))</f>
        <v/>
      </c>
      <c r="CT44" s="85">
        <f>IF(AF44="","",IF(ISNUMBER('Dvd Calendar'!$AH$536)=FALSE,"",IF((Summary!$C$13="N")*('Dvd Calendar'!$AH$540='Field Check'!$C$25)&gt;0,"",'Dvd Calendar'!$AH$536)))</f>
        <v/>
      </c>
      <c r="CU44" s="85">
        <f>IF(AG44="","",IF(ISNUMBER('Dvd Calendar'!$AI$536)=FALSE,"",IF((Summary!$C$13="N")*('Dvd Calendar'!$AI$540='Field Check'!$C$25)&gt;0,"",'Dvd Calendar'!$AI$536)))</f>
        <v/>
      </c>
      <c r="CV44" s="85">
        <f>IF(AH44="","",IF(ISNUMBER('Dvd Calendar'!$AJ$536)=FALSE,"",IF((Summary!$C$13="N")*('Dvd Calendar'!$AJ$540='Field Check'!$C$25)&gt;0,"",'Dvd Calendar'!$AJ$536)))</f>
        <v/>
      </c>
      <c r="CW44" s="85">
        <f>IF(AI44="","",IF(ISNUMBER('Dvd Calendar'!$AK$536)=FALSE,"",IF((Summary!$C$13="N")*('Dvd Calendar'!$AK$540='Field Check'!$C$25)&gt;0,"",'Dvd Calendar'!$AK$536)))</f>
        <v/>
      </c>
      <c r="CX44" s="85">
        <f>IF(AJ44="","",IF(ISNUMBER('Dvd Calendar'!$AL$536)=FALSE,"",IF((Summary!$C$13="N")*('Dvd Calendar'!$AL$540='Field Check'!$C$25)&gt;0,"",'Dvd Calendar'!$AL$536)))</f>
        <v/>
      </c>
      <c r="CY44" s="85">
        <f>IF(AK44="","",IF(ISNUMBER('Dvd Calendar'!$AM$536)=FALSE,"",IF((Summary!$C$13="N")*('Dvd Calendar'!$AM$540='Field Check'!$C$25)&gt;0,"",'Dvd Calendar'!$AM$536)))</f>
        <v/>
      </c>
      <c r="CZ44" s="85">
        <f>IF(AL44="","",IF(ISNUMBER('Dvd Calendar'!$AN$536)=FALSE,"",IF((Summary!$C$13="N")*('Dvd Calendar'!$AN$540='Field Check'!$C$25)&gt;0,"",'Dvd Calendar'!$AN$536)))</f>
        <v/>
      </c>
      <c r="DA44" s="85">
        <f>IF(AM44="","",IF(ISNUMBER('Dvd Calendar'!$AO$536)=FALSE,"",IF((Summary!$C$13="N")*('Dvd Calendar'!$AO$540='Field Check'!$C$25)&gt;0,"",'Dvd Calendar'!$AO$536)))</f>
        <v/>
      </c>
      <c r="DB44" s="85">
        <f>IF(AN44="","",IF(ISNUMBER('Dvd Calendar'!$AP$536)=FALSE,"",IF((Summary!$C$13="N")*('Dvd Calendar'!$AP$540='Field Check'!$C$25)&gt;0,"",'Dvd Calendar'!$AP$536)))</f>
        <v/>
      </c>
      <c r="DC44" s="85">
        <f>IF(AO44="","",IF(ISNUMBER('Dvd Calendar'!$AQ$536)=FALSE,"",IF((Summary!$C$13="N")*('Dvd Calendar'!$AQ$540='Field Check'!$C$25)&gt;0,"",'Dvd Calendar'!$AQ$536)))</f>
        <v/>
      </c>
      <c r="DD44" s="85">
        <f>IF(AP44="","",IF(ISNUMBER('Dvd Calendar'!$AR$536)=FALSE,"",IF((Summary!$C$13="N")*('Dvd Calendar'!$AR$540='Field Check'!$C$25)&gt;0,"",'Dvd Calendar'!$AR$536)))</f>
        <v/>
      </c>
      <c r="DE44" s="85">
        <f>IF(AQ44="","",IF(ISNUMBER('Dvd Calendar'!$E$543)=FALSE,"",IF((Summary!$C$13="N")*('Dvd Calendar'!$E$547='Field Check'!$C$25)&gt;0,"",'Dvd Calendar'!$E$543)))</f>
        <v/>
      </c>
      <c r="DF44" s="85">
        <f>IF(AR44="","",IF(ISNUMBER('Dvd Calendar'!$F$543)=FALSE,"",IF((Summary!$C$13="N")*('Dvd Calendar'!$F$547='Field Check'!$C$25)&gt;0,"",'Dvd Calendar'!$F$543)))</f>
        <v/>
      </c>
      <c r="DG44" s="85">
        <f>IF(AS44="","",IF(ISNUMBER('Dvd Calendar'!$G$543)=FALSE,"",IF((Summary!$C$13="N")*('Dvd Calendar'!$G$547='Field Check'!$C$25)&gt;0,"",'Dvd Calendar'!$G$543)))</f>
        <v/>
      </c>
      <c r="DH44" s="85">
        <f>IF(AT44="","",IF(ISNUMBER('Dvd Calendar'!$H$543)=FALSE,"",IF((Summary!$C$13="N")*('Dvd Calendar'!$H$547='Field Check'!$C$25)&gt;0,"",'Dvd Calendar'!$H$543)))</f>
        <v/>
      </c>
      <c r="DI44" s="85">
        <f>IF(AU44="","",IF(ISNUMBER('Dvd Calendar'!$I$543)=FALSE,"",IF((Summary!$C$13="N")*('Dvd Calendar'!$I$547='Field Check'!$C$25)&gt;0,"",'Dvd Calendar'!$I$543)))</f>
        <v/>
      </c>
      <c r="DJ44" s="85">
        <f>IF(AV44="","",IF(ISNUMBER('Dvd Calendar'!$J$543)=FALSE,"",IF((Summary!$C$13="N")*('Dvd Calendar'!$J$547='Field Check'!$C$25)&gt;0,"",'Dvd Calendar'!$J$543)))</f>
        <v/>
      </c>
      <c r="DK44" s="85">
        <f>IF(AW44="","",IF(ISNUMBER('Dvd Calendar'!$K$543)=FALSE,"",IF((Summary!$C$13="N")*('Dvd Calendar'!$K$547='Field Check'!$C$25)&gt;0,"",'Dvd Calendar'!$K$543)))</f>
        <v/>
      </c>
      <c r="DL44" s="85">
        <f>IF(AX44="","",IF(ISNUMBER('Dvd Calendar'!$L$543)=FALSE,"",IF((Summary!$C$13="N")*('Dvd Calendar'!$L$547='Field Check'!$C$25)&gt;0,"",'Dvd Calendar'!$L$543)))</f>
        <v/>
      </c>
      <c r="DM44" s="85">
        <f>IF(AY44="","",IF(ISNUMBER('Dvd Calendar'!$M$543)=FALSE,"",IF((Summary!$C$13="N")*('Dvd Calendar'!$M$547='Field Check'!$C$25)&gt;0,"",'Dvd Calendar'!$M$543)))</f>
        <v/>
      </c>
      <c r="DN44" s="85">
        <f>IF(AZ44="","",IF(ISNUMBER('Dvd Calendar'!$N$543)=FALSE,"",IF((Summary!$C$13="N")*('Dvd Calendar'!$N$547='Field Check'!$C$25)&gt;0,"",'Dvd Calendar'!$N$543)))</f>
        <v/>
      </c>
      <c r="DO44" s="85">
        <f>IF(BA44="","",IF(ISNUMBER('Dvd Calendar'!$O$543)=FALSE,"",IF((Summary!$C$13="N")*('Dvd Calendar'!$O$547='Field Check'!$C$25)&gt;0,"",'Dvd Calendar'!$O$543)))</f>
        <v/>
      </c>
      <c r="DP44" s="85">
        <f>IF(BB44="","",IF(ISNUMBER('Dvd Calendar'!$P$543)=FALSE,"",IF((Summary!$C$13="N")*('Dvd Calendar'!$P$547='Field Check'!$C$25)&gt;0,"",'Dvd Calendar'!$P$543)))</f>
        <v/>
      </c>
      <c r="DQ44" s="85">
        <f>IF(BC44="","",IF(ISNUMBER('Dvd Calendar'!$Q$543)=FALSE,"",IF((Summary!$C$13="N")*('Dvd Calendar'!$Q$547='Field Check'!$C$25)&gt;0,"",'Dvd Calendar'!$Q$543)))</f>
        <v/>
      </c>
      <c r="DR44" s="85">
        <f>IF(BD44="","",IF(ISNUMBER('Dvd Calendar'!$R$543)=FALSE,"",IF((Summary!$C$13="N")*('Dvd Calendar'!$R$547='Field Check'!$C$25)&gt;0,"",'Dvd Calendar'!$R$543)))</f>
        <v/>
      </c>
      <c r="DS44" s="85">
        <f>IF(BE44="","",IF(ISNUMBER('Dvd Calendar'!$S$543)=FALSE,"",IF((Summary!$C$13="N")*('Dvd Calendar'!$S$547='Field Check'!$C$25)&gt;0,"",'Dvd Calendar'!$S$543)))</f>
        <v/>
      </c>
      <c r="DT44" s="85">
        <f>IF(BF44="","",IF(ISNUMBER('Dvd Calendar'!$T$543)=FALSE,"",IF((Summary!$C$13="N")*('Dvd Calendar'!$T$547='Field Check'!$C$25)&gt;0,"",'Dvd Calendar'!$T$543)))</f>
        <v/>
      </c>
      <c r="DU44" s="85">
        <f>IF(BG44="","",IF(ISNUMBER('Dvd Calendar'!$U$543)=FALSE,"",IF((Summary!$C$13="N")*('Dvd Calendar'!$U$547='Field Check'!$C$25)&gt;0,"",'Dvd Calendar'!$U$543)))</f>
        <v/>
      </c>
      <c r="DV44" s="85">
        <f>IF(BH44="","",IF(ISNUMBER('Dvd Calendar'!$V$543)=FALSE,"",IF((Summary!$C$13="N")*('Dvd Calendar'!$V$547='Field Check'!$C$25)&gt;0,"",'Dvd Calendar'!$V$543)))</f>
        <v/>
      </c>
      <c r="DW44" s="85">
        <f>IF(BI44="","",IF(ISNUMBER('Dvd Calendar'!$W$543)=FALSE,"",IF((Summary!$C$13="N")*('Dvd Calendar'!$W$547='Field Check'!$C$25)&gt;0,"",'Dvd Calendar'!$W$543)))</f>
        <v/>
      </c>
      <c r="DX44" s="85">
        <f>IF(BJ44="","",IF(ISNUMBER('Dvd Calendar'!$X$543)=FALSE,"",IF((Summary!$C$13="N")*('Dvd Calendar'!$X$547='Field Check'!$C$25)&gt;0,"",'Dvd Calendar'!$X$543)))</f>
        <v/>
      </c>
      <c r="DY44" s="85">
        <f>IF(BK44="","",IF(ISNUMBER('Dvd Calendar'!$Y$543)=FALSE,"",IF((Summary!$C$13="N")*('Dvd Calendar'!$Y$547='Field Check'!$C$25)&gt;0,"",'Dvd Calendar'!$Y$543)))</f>
        <v/>
      </c>
      <c r="DZ44" s="85">
        <f>IF(BL44="","",IF(ISNUMBER('Dvd Calendar'!$Z$543)=FALSE,"",IF((Summary!$C$13="N")*('Dvd Calendar'!$Z$547='Field Check'!$C$25)&gt;0,"",'Dvd Calendar'!$Z$543)))</f>
        <v/>
      </c>
      <c r="EA44" s="85">
        <f>IF(BM44="","",IF(ISNUMBER('Dvd Calendar'!$AA$543)=FALSE,"",IF((Summary!$C$13="N")*('Dvd Calendar'!$AA$547='Field Check'!$C$25)&gt;0,"",'Dvd Calendar'!$AA$543)))</f>
        <v/>
      </c>
      <c r="EB44" s="85">
        <f>IF(BN44="","",IF(ISNUMBER('Dvd Calendar'!$AB$543)=FALSE,"",IF((Summary!$C$13="N")*('Dvd Calendar'!$AB$547='Field Check'!$C$25)&gt;0,"",'Dvd Calendar'!$AB$543)))</f>
        <v/>
      </c>
      <c r="EC44" s="85">
        <f>IF(BO44="","",IF(ISNUMBER('Dvd Calendar'!$AC$543)=FALSE,"",IF((Summary!$C$13="N")*('Dvd Calendar'!$AC$547='Field Check'!$C$25)&gt;0,"",'Dvd Calendar'!$AC$543)))</f>
        <v/>
      </c>
      <c r="EE44" s="85">
        <f>IF(BQ44="","",IFERROR(BQ44*HSI!$B$42*HSI!$G$42/HSI!$B$3,""))</f>
        <v/>
      </c>
      <c r="EF44" s="85">
        <f>IF(BR44="","",IFERROR(BR44*HSI!$B$42*HSI!$G$42/HSI!$B$3,""))</f>
        <v/>
      </c>
      <c r="EG44" s="85">
        <f>IF(BS44="","",IFERROR(BS44*HSI!$B$42*HSI!$G$42/HSI!$B$3,""))</f>
        <v/>
      </c>
      <c r="EH44" s="85">
        <f>IF(BT44="","",IFERROR(BT44*HSI!$B$42*HSI!$G$42/HSI!$B$3,""))</f>
        <v/>
      </c>
      <c r="EI44" s="85">
        <f>IF(BU44="","",IFERROR(BU44*HSI!$B$42*HSI!$G$42/HSI!$B$3,""))</f>
        <v/>
      </c>
      <c r="EJ44" s="85">
        <f>IF(BV44="","",IFERROR(BV44*HSI!$B$42*HSI!$G$42/HSI!$B$3,""))</f>
        <v/>
      </c>
      <c r="EK44" s="85">
        <f>IF(BW44="","",IFERROR(BW44*HSI!$B$42*HSI!$G$42/HSI!$B$3,""))</f>
        <v/>
      </c>
      <c r="EL44" s="85">
        <f>IF(BX44="","",IFERROR(BX44*HSI!$B$42*HSI!$G$42/HSI!$B$3,""))</f>
        <v/>
      </c>
      <c r="EM44" s="85">
        <f>IF(BY44="","",IFERROR(BY44*HSI!$B$42*HSI!$G$42/HSI!$B$3,""))</f>
        <v/>
      </c>
      <c r="EN44" s="85">
        <f>IF(BZ44="","",IFERROR(BZ44*HSI!$B$42*HSI!$G$42/HSI!$B$3,""))</f>
        <v/>
      </c>
      <c r="EO44" s="85">
        <f>IF(CA44="","",IFERROR(CA44*HSI!$B$42*HSI!$G$42/HSI!$B$3,""))</f>
        <v/>
      </c>
      <c r="EP44" s="85">
        <f>IF(CB44="","",IFERROR(CB44*HSI!$B$42*HSI!$G$42/HSI!$B$3,""))</f>
        <v/>
      </c>
      <c r="EQ44" s="85">
        <f>IF(CC44="","",IFERROR(CC44*HSI!$B$42*HSI!$G$42/HSI!$B$3,""))</f>
        <v/>
      </c>
      <c r="ER44" s="85">
        <f>IF(CD44="","",IFERROR(CD44*HSI!$B$42*HSI!$G$42/HSI!$B$3,""))</f>
        <v/>
      </c>
      <c r="ES44" s="85">
        <f>IF(CE44="","",IFERROR(CE44*HSI!$B$42*HSI!$G$42/HSI!$B$3,""))</f>
        <v/>
      </c>
      <c r="ET44" s="85">
        <f>IF(CF44="","",IFERROR(CF44*HSI!$B$42*HSI!$G$42/HSI!$B$3,""))</f>
        <v/>
      </c>
      <c r="EU44" s="85">
        <f>IF(CG44="","",IFERROR(CG44*HSI!$B$42*HSI!$G$42/HSI!$B$3,""))</f>
        <v/>
      </c>
      <c r="EV44" s="85">
        <f>IF(CH44="","",IFERROR(CH44*HSI!$B$42*HSI!$G$42/HSI!$B$3,""))</f>
        <v/>
      </c>
      <c r="EW44" s="85">
        <f>IF(CI44="","",IFERROR(CI44*HSI!$B$42*HSI!$G$42/HSI!$B$3,""))</f>
        <v/>
      </c>
      <c r="EX44" s="85">
        <f>IF(CJ44="","",IFERROR(CJ44*HSI!$B$42*HSI!$G$42/HSI!$B$3,""))</f>
        <v/>
      </c>
      <c r="EY44" s="85">
        <f>IF(CK44="","",IFERROR(CK44*HSI!$B$42*HSI!$G$42/HSI!$B$3,""))</f>
        <v/>
      </c>
      <c r="EZ44" s="85">
        <f>IF(CL44="","",IFERROR(CL44*HSI!$B$42*HSI!$G$42/HSI!$B$3,""))</f>
        <v/>
      </c>
      <c r="FA44" s="85">
        <f>IF(CM44="","",IFERROR(CM44*HSI!$B$42*HSI!$G$42/HSI!$B$3,""))</f>
        <v/>
      </c>
      <c r="FB44" s="85">
        <f>IF(CN44="","",IFERROR(CN44*HSI!$B$42*HSI!$G$42/HSI!$B$3,""))</f>
        <v/>
      </c>
      <c r="FC44" s="85">
        <f>IF(CO44="","",IFERROR(CO44*HSI!$B$42*HSI!$G$42/HSI!$B$3,""))</f>
        <v/>
      </c>
      <c r="FD44" s="85">
        <f>IF(CP44="","",IFERROR(CP44*HSI!$B$42*HSI!$G$42/HSI!$B$3,""))</f>
        <v/>
      </c>
      <c r="FE44" s="85">
        <f>IF(CQ44="","",IFERROR(CQ44*HSI!$B$42*HSI!$G$42/HSI!$B$3,""))</f>
        <v/>
      </c>
      <c r="FF44" s="85">
        <f>IF(CR44="","",IFERROR(CR44*HSI!$B$42*HSI!$G$42/HSI!$B$3,""))</f>
        <v/>
      </c>
      <c r="FG44" s="85">
        <f>IF(CS44="","",IFERROR(CS44*HSI!$B$42*HSI!$G$42/HSI!$B$3,""))</f>
        <v/>
      </c>
      <c r="FH44" s="85">
        <f>IF(CT44="","",IFERROR(CT44*HSI!$B$42*HSI!$G$42/HSI!$B$3,""))</f>
        <v/>
      </c>
      <c r="FI44" s="85">
        <f>IF(CU44="","",IFERROR(CU44*HSI!$B$42*HSI!$G$42/HSI!$B$3,""))</f>
        <v/>
      </c>
      <c r="FJ44" s="85">
        <f>IF(CV44="","",IFERROR(CV44*HSI!$B$42*HSI!$G$42/HSI!$B$3,""))</f>
        <v/>
      </c>
      <c r="FK44" s="85">
        <f>IF(CW44="","",IFERROR(CW44*HSI!$B$42*HSI!$G$42/HSI!$B$3,""))</f>
        <v/>
      </c>
      <c r="FL44" s="85">
        <f>IF(CX44="","",IFERROR(CX44*HSI!$B$42*HSI!$G$42/HSI!$B$3,""))</f>
        <v/>
      </c>
      <c r="FM44" s="85">
        <f>IF(CY44="","",IFERROR(CY44*HSI!$B$42*HSI!$G$42/HSI!$B$3,""))</f>
        <v/>
      </c>
      <c r="FN44" s="85">
        <f>IF(CZ44="","",IFERROR(CZ44*HSI!$B$42*HSI!$G$42/HSI!$B$3,""))</f>
        <v/>
      </c>
      <c r="FO44" s="85">
        <f>IF(DA44="","",IFERROR(DA44*HSI!$B$42*HSI!$G$42/HSI!$B$3,""))</f>
        <v/>
      </c>
      <c r="FP44" s="85">
        <f>IF(DB44="","",IFERROR(DB44*HSI!$B$42*HSI!$G$42/HSI!$B$3,""))</f>
        <v/>
      </c>
      <c r="FQ44" s="85">
        <f>IF(DC44="","",IFERROR(DC44*HSI!$B$42*HSI!$G$42/HSI!$B$3,""))</f>
        <v/>
      </c>
      <c r="FR44" s="85">
        <f>IF(DD44="","",IFERROR(DD44*HSI!$B$42*HSI!$G$42/HSI!$B$3,""))</f>
        <v/>
      </c>
      <c r="FS44" s="85">
        <f>IF(DE44="","",IFERROR(DE44*HSI!$B$42*HSI!$G$42/HSI!$B$3,""))</f>
        <v/>
      </c>
      <c r="FT44" s="85">
        <f>IF(DF44="","",IFERROR(DF44*HSI!$B$42*HSI!$G$42/HSI!$B$3,""))</f>
        <v/>
      </c>
      <c r="FU44" s="85">
        <f>IF(DG44="","",IFERROR(DG44*HSI!$B$42*HSI!$G$42/HSI!$B$3,""))</f>
        <v/>
      </c>
      <c r="FV44" s="85">
        <f>IF(DH44="","",IFERROR(DH44*HSI!$B$42*HSI!$G$42/HSI!$B$3,""))</f>
        <v/>
      </c>
      <c r="FW44" s="85">
        <f>IF(DI44="","",IFERROR(DI44*HSI!$B$42*HSI!$G$42/HSI!$B$3,""))</f>
        <v/>
      </c>
      <c r="FX44" s="85">
        <f>IF(DJ44="","",IFERROR(DJ44*HSI!$B$42*HSI!$G$42/HSI!$B$3,""))</f>
        <v/>
      </c>
      <c r="FY44" s="85">
        <f>IF(DK44="","",IFERROR(DK44*HSI!$B$42*HSI!$G$42/HSI!$B$3,""))</f>
        <v/>
      </c>
      <c r="FZ44" s="85">
        <f>IF(DL44="","",IFERROR(DL44*HSI!$B$42*HSI!$G$42/HSI!$B$3,""))</f>
        <v/>
      </c>
      <c r="GA44" s="85">
        <f>IF(DM44="","",IFERROR(DM44*HSI!$B$42*HSI!$G$42/HSI!$B$3,""))</f>
        <v/>
      </c>
      <c r="GB44" s="85">
        <f>IF(DN44="","",IFERROR(DN44*HSI!$B$42*HSI!$G$42/HSI!$B$3,""))</f>
        <v/>
      </c>
      <c r="GC44" s="85">
        <f>IF(DO44="","",IFERROR(DO44*HSI!$B$42*HSI!$G$42/HSI!$B$3,""))</f>
        <v/>
      </c>
      <c r="GD44" s="85">
        <f>IF(DP44="","",IFERROR(DP44*HSI!$B$42*HSI!$G$42/HSI!$B$3,""))</f>
        <v/>
      </c>
      <c r="GE44" s="85">
        <f>IF(DQ44="","",IFERROR(DQ44*HSI!$B$42*HSI!$G$42/HSI!$B$3,""))</f>
        <v/>
      </c>
      <c r="GF44" s="85">
        <f>IF(DR44="","",IFERROR(DR44*HSI!$B$42*HSI!$G$42/HSI!$B$3,""))</f>
        <v/>
      </c>
      <c r="GG44" s="85">
        <f>IF(DS44="","",IFERROR(DS44*HSI!$B$42*HSI!$G$42/HSI!$B$3,""))</f>
        <v/>
      </c>
      <c r="GH44" s="85">
        <f>IF(DT44="","",IFERROR(DT44*HSI!$B$42*HSI!$G$42/HSI!$B$3,""))</f>
        <v/>
      </c>
      <c r="GI44" s="85">
        <f>IF(DU44="","",IFERROR(DU44*HSI!$B$42*HSI!$G$42/HSI!$B$3,""))</f>
        <v/>
      </c>
      <c r="GJ44" s="85">
        <f>IF(DV44="","",IFERROR(DV44*HSI!$B$42*HSI!$G$42/HSI!$B$3,""))</f>
        <v/>
      </c>
      <c r="GK44" s="85">
        <f>IF(DW44="","",IFERROR(DW44*HSI!$B$42*HSI!$G$42/HSI!$B$3,""))</f>
        <v/>
      </c>
      <c r="GL44" s="85">
        <f>IF(DX44="","",IFERROR(DX44*HSI!$B$42*HSI!$G$42/HSI!$B$3,""))</f>
        <v/>
      </c>
      <c r="GM44" s="85">
        <f>IF(DY44="","",IFERROR(DY44*HSI!$B$42*HSI!$G$42/HSI!$B$3,""))</f>
        <v/>
      </c>
      <c r="GN44" s="85">
        <f>IF(DZ44="","",IFERROR(DZ44*HSI!$B$42*HSI!$G$42/HSI!$B$3,""))</f>
        <v/>
      </c>
      <c r="GO44" s="85">
        <f>IF(EA44="","",IFERROR(EA44*HSI!$B$42*HSI!$G$42/HSI!$B$3,""))</f>
        <v/>
      </c>
      <c r="GP44" s="85">
        <f>IF(EB44="","",IFERROR(EB44*HSI!$B$42*HSI!$G$42/HSI!$B$3,""))</f>
        <v/>
      </c>
      <c r="GQ44" s="85">
        <f>IF(EC44="","",IFERROR(EC44*HSI!$B$42*HSI!$G$42/HSI!$B$3,""))</f>
        <v/>
      </c>
    </row>
    <row r="45">
      <c r="B45" s="2">
        <f>IF(HSI!$C$43="","",HSI!$C$43)</f>
        <v/>
      </c>
      <c r="C45" s="41">
        <f>IF(N('Dvd Calendar'!$E$550)=0,"",IF(('Dvd Calendar'!$E$550&gt;=MIN(DATE(Summary!$C$12,1,1),Summary!$C$11))*('Dvd Calendar'!$E$550&lt;=MAX(DATE(Summary!$C$12,12,31),Summary!$C$15))*('Dvd Calendar'!$E$550&lt;=Summary!$C$11)=0,"",'Dvd Calendar'!$E$550*1000000000+ISNUMBER('Dvd Calendar'!$E$551)*100000000+('Dvd Calendar'!$E$555='Field Check'!$C$25)*10000000+(N('Dvd Calendar'!$E$549)&gt;0)*1000000+37*1000+1))</f>
        <v/>
      </c>
      <c r="D45" s="41">
        <f>IF(N('Dvd Calendar'!$F$550)=0,"",IF(('Dvd Calendar'!$F$550&gt;=MIN(DATE(Summary!$C$12,1,1),Summary!$C$11))*('Dvd Calendar'!$F$550&lt;=MAX(DATE(Summary!$C$12,12,31),Summary!$C$15))*('Dvd Calendar'!$F$550&lt;=Summary!$C$11)=0,"",'Dvd Calendar'!$F$550*1000000000+ISNUMBER('Dvd Calendar'!$F$551)*100000000+('Dvd Calendar'!$F$555='Field Check'!$C$25)*10000000+(N('Dvd Calendar'!$F$549)&gt;0)*1000000+37*1000+2))</f>
        <v/>
      </c>
      <c r="E45" s="41">
        <f>IF(N('Dvd Calendar'!$G$550)=0,"",IF(('Dvd Calendar'!$G$550&gt;=MIN(DATE(Summary!$C$12,1,1),Summary!$C$11))*('Dvd Calendar'!$G$550&lt;=MAX(DATE(Summary!$C$12,12,31),Summary!$C$15))*('Dvd Calendar'!$G$550&lt;=Summary!$C$11)=0,"",'Dvd Calendar'!$G$550*1000000000+ISNUMBER('Dvd Calendar'!$G$551)*100000000+('Dvd Calendar'!$G$555='Field Check'!$C$25)*10000000+(N('Dvd Calendar'!$G$549)&gt;0)*1000000+37*1000+3))</f>
        <v/>
      </c>
      <c r="F45" s="41">
        <f>IF(N('Dvd Calendar'!$H$550)=0,"",IF(('Dvd Calendar'!$H$550&gt;=MIN(DATE(Summary!$C$12,1,1),Summary!$C$11))*('Dvd Calendar'!$H$550&lt;=MAX(DATE(Summary!$C$12,12,31),Summary!$C$15))*('Dvd Calendar'!$H$550&lt;=Summary!$C$11)=0,"",'Dvd Calendar'!$H$550*1000000000+ISNUMBER('Dvd Calendar'!$H$551)*100000000+('Dvd Calendar'!$H$555='Field Check'!$C$25)*10000000+(N('Dvd Calendar'!$H$549)&gt;0)*1000000+37*1000+4))</f>
        <v/>
      </c>
      <c r="G45" s="41">
        <f>IF(N('Dvd Calendar'!$I$550)=0,"",IF(('Dvd Calendar'!$I$550&gt;=MIN(DATE(Summary!$C$12,1,1),Summary!$C$11))*('Dvd Calendar'!$I$550&lt;=MAX(DATE(Summary!$C$12,12,31),Summary!$C$15))*('Dvd Calendar'!$I$550&lt;=Summary!$C$11)=0,"",'Dvd Calendar'!$I$550*1000000000+ISNUMBER('Dvd Calendar'!$I$551)*100000000+('Dvd Calendar'!$I$555='Field Check'!$C$25)*10000000+(N('Dvd Calendar'!$I$549)&gt;0)*1000000+37*1000+5))</f>
        <v/>
      </c>
      <c r="H45" s="41">
        <f>IF(N('Dvd Calendar'!$J$550)=0,"",IF(('Dvd Calendar'!$J$550&gt;=MIN(DATE(Summary!$C$12,1,1),Summary!$C$11))*('Dvd Calendar'!$J$550&lt;=MAX(DATE(Summary!$C$12,12,31),Summary!$C$15))*('Dvd Calendar'!$J$550&lt;=Summary!$C$11)=0,"",'Dvd Calendar'!$J$550*1000000000+ISNUMBER('Dvd Calendar'!$J$551)*100000000+('Dvd Calendar'!$J$555='Field Check'!$C$25)*10000000+(N('Dvd Calendar'!$J$549)&gt;0)*1000000+37*1000+6))</f>
        <v/>
      </c>
      <c r="I45" s="41">
        <f>IF(N('Dvd Calendar'!$K$550)=0,"",IF(('Dvd Calendar'!$K$550&gt;=MIN(DATE(Summary!$C$12,1,1),Summary!$C$11))*('Dvd Calendar'!$K$550&lt;=MAX(DATE(Summary!$C$12,12,31),Summary!$C$15))*('Dvd Calendar'!$K$550&lt;=Summary!$C$11)=0,"",'Dvd Calendar'!$K$550*1000000000+ISNUMBER('Dvd Calendar'!$K$551)*100000000+('Dvd Calendar'!$K$555='Field Check'!$C$25)*10000000+(N('Dvd Calendar'!$K$549)&gt;0)*1000000+37*1000+7))</f>
        <v/>
      </c>
      <c r="J45" s="41">
        <f>IF(N('Dvd Calendar'!$L$550)=0,"",IF(('Dvd Calendar'!$L$550&gt;=MIN(DATE(Summary!$C$12,1,1),Summary!$C$11))*('Dvd Calendar'!$L$550&lt;=MAX(DATE(Summary!$C$12,12,31),Summary!$C$15))*('Dvd Calendar'!$L$550&lt;=Summary!$C$11)=0,"",'Dvd Calendar'!$L$550*1000000000+ISNUMBER('Dvd Calendar'!$L$551)*100000000+('Dvd Calendar'!$L$555='Field Check'!$C$25)*10000000+(N('Dvd Calendar'!$L$549)&gt;0)*1000000+37*1000+8))</f>
        <v/>
      </c>
      <c r="K45" s="41">
        <f>IF(N('Dvd Calendar'!$M$550)=0,"",IF(('Dvd Calendar'!$M$550&gt;=MIN(DATE(Summary!$C$12,1,1),Summary!$C$11))*('Dvd Calendar'!$M$550&lt;=MAX(DATE(Summary!$C$12,12,31),Summary!$C$15))*('Dvd Calendar'!$M$550&lt;=Summary!$C$11)=0,"",'Dvd Calendar'!$M$550*1000000000+ISNUMBER('Dvd Calendar'!$M$551)*100000000+('Dvd Calendar'!$M$555='Field Check'!$C$25)*10000000+(N('Dvd Calendar'!$M$549)&gt;0)*1000000+37*1000+9))</f>
        <v/>
      </c>
      <c r="L45" s="41">
        <f>IF(N('Dvd Calendar'!$N$550)=0,"",IF(('Dvd Calendar'!$N$550&gt;=MIN(DATE(Summary!$C$12,1,1),Summary!$C$11))*('Dvd Calendar'!$N$550&lt;=MAX(DATE(Summary!$C$12,12,31),Summary!$C$15))*('Dvd Calendar'!$N$550&lt;=Summary!$C$11)=0,"",'Dvd Calendar'!$N$550*1000000000+ISNUMBER('Dvd Calendar'!$N$551)*100000000+('Dvd Calendar'!$N$555='Field Check'!$C$25)*10000000+(N('Dvd Calendar'!$N$549)&gt;0)*1000000+37*1000+10))</f>
        <v/>
      </c>
      <c r="M45" s="41">
        <f>IF(N('Dvd Calendar'!$O$550)=0,"",IF(('Dvd Calendar'!$O$550&gt;=MIN(DATE(Summary!$C$12,1,1),Summary!$C$11))*('Dvd Calendar'!$O$550&lt;=MAX(DATE(Summary!$C$12,12,31),Summary!$C$15))*('Dvd Calendar'!$O$550&lt;=Summary!$C$11)=0,"",'Dvd Calendar'!$O$550*1000000000+ISNUMBER('Dvd Calendar'!$O$551)*100000000+('Dvd Calendar'!$O$555='Field Check'!$C$25)*10000000+(N('Dvd Calendar'!$O$549)&gt;0)*1000000+37*1000+11))</f>
        <v/>
      </c>
      <c r="N45" s="41">
        <f>IF(N('Dvd Calendar'!$P$550)=0,"",IF(('Dvd Calendar'!$P$550&gt;=MIN(DATE(Summary!$C$12,1,1),Summary!$C$11))*('Dvd Calendar'!$P$550&lt;=MAX(DATE(Summary!$C$12,12,31),Summary!$C$15))*('Dvd Calendar'!$P$550&lt;=Summary!$C$11)=0,"",'Dvd Calendar'!$P$550*1000000000+ISNUMBER('Dvd Calendar'!$P$551)*100000000+('Dvd Calendar'!$P$555='Field Check'!$C$25)*10000000+(N('Dvd Calendar'!$P$549)&gt;0)*1000000+37*1000+12))</f>
        <v/>
      </c>
      <c r="O45" s="41">
        <f>IF(N('Dvd Calendar'!$Q$550)=0,"",IF(('Dvd Calendar'!$Q$550&gt;=MIN(DATE(Summary!$C$12,1,1),Summary!$C$11))*('Dvd Calendar'!$Q$550&lt;=MAX(DATE(Summary!$C$12,12,31),Summary!$C$15))*('Dvd Calendar'!$Q$550&lt;=Summary!$C$11)=0,"",'Dvd Calendar'!$Q$550*1000000000+ISNUMBER('Dvd Calendar'!$Q$551)*100000000+('Dvd Calendar'!$Q$555='Field Check'!$C$25)*10000000+(N('Dvd Calendar'!$Q$549)&gt;0)*1000000+37*1000+13))</f>
        <v/>
      </c>
      <c r="P45" s="41">
        <f>IF(N('Dvd Calendar'!$R$550)=0,"",IF(('Dvd Calendar'!$R$550&gt;=MIN(DATE(Summary!$C$12,1,1),Summary!$C$11))*('Dvd Calendar'!$R$550&lt;=MAX(DATE(Summary!$C$12,12,31),Summary!$C$15))*('Dvd Calendar'!$R$550&lt;=Summary!$C$11)=0,"",'Dvd Calendar'!$R$550*1000000000+ISNUMBER('Dvd Calendar'!$R$551)*100000000+('Dvd Calendar'!$R$555='Field Check'!$C$25)*10000000+(N('Dvd Calendar'!$R$549)&gt;0)*1000000+37*1000+14))</f>
        <v/>
      </c>
      <c r="Q45" s="41">
        <f>IF(N('Dvd Calendar'!$S$550)=0,"",IF(('Dvd Calendar'!$S$550&gt;=MIN(DATE(Summary!$C$12,1,1),Summary!$C$11))*('Dvd Calendar'!$S$550&lt;=MAX(DATE(Summary!$C$12,12,31),Summary!$C$15))*('Dvd Calendar'!$S$550&lt;=Summary!$C$11)=0,"",'Dvd Calendar'!$S$550*1000000000+ISNUMBER('Dvd Calendar'!$S$551)*100000000+('Dvd Calendar'!$S$555='Field Check'!$C$25)*10000000+(N('Dvd Calendar'!$S$549)&gt;0)*1000000+37*1000+15))</f>
        <v/>
      </c>
      <c r="R45" s="41">
        <f>IF(N('Dvd Calendar'!$T$550)=0,"",IF(('Dvd Calendar'!$T$550&gt;=MIN(DATE(Summary!$C$12,1,1),Summary!$C$11))*('Dvd Calendar'!$T$550&lt;=MAX(DATE(Summary!$C$12,12,31),Summary!$C$15))*('Dvd Calendar'!$T$550&lt;=Summary!$C$11)=0,"",'Dvd Calendar'!$T$550*1000000000+ISNUMBER('Dvd Calendar'!$T$551)*100000000+('Dvd Calendar'!$T$555='Field Check'!$C$25)*10000000+(N('Dvd Calendar'!$T$549)&gt;0)*1000000+37*1000+16))</f>
        <v/>
      </c>
      <c r="S45" s="41">
        <f>IF(N('Dvd Calendar'!$U$550)=0,"",IF(('Dvd Calendar'!$U$550&gt;=MIN(DATE(Summary!$C$12,1,1),Summary!$C$11))*('Dvd Calendar'!$U$550&lt;=MAX(DATE(Summary!$C$12,12,31),Summary!$C$15))*('Dvd Calendar'!$U$550&lt;=Summary!$C$11)=0,"",'Dvd Calendar'!$U$550*1000000000+ISNUMBER('Dvd Calendar'!$U$551)*100000000+('Dvd Calendar'!$U$555='Field Check'!$C$25)*10000000+(N('Dvd Calendar'!$U$549)&gt;0)*1000000+37*1000+17))</f>
        <v/>
      </c>
      <c r="T45" s="41">
        <f>IF(N('Dvd Calendar'!$V$550)=0,"",IF(('Dvd Calendar'!$V$550&gt;=MIN(DATE(Summary!$C$12,1,1),Summary!$C$11))*('Dvd Calendar'!$V$550&lt;=MAX(DATE(Summary!$C$12,12,31),Summary!$C$15))*('Dvd Calendar'!$V$550&lt;=Summary!$C$11)=0,"",'Dvd Calendar'!$V$550*1000000000+ISNUMBER('Dvd Calendar'!$V$551)*100000000+('Dvd Calendar'!$V$555='Field Check'!$C$25)*10000000+(N('Dvd Calendar'!$V$549)&gt;0)*1000000+37*1000+18))</f>
        <v/>
      </c>
      <c r="U45" s="41">
        <f>IF(N('Dvd Calendar'!$W$550)=0,"",IF(('Dvd Calendar'!$W$550&gt;=MIN(DATE(Summary!$C$12,1,1),Summary!$C$11))*('Dvd Calendar'!$W$550&lt;=MAX(DATE(Summary!$C$12,12,31),Summary!$C$15))*('Dvd Calendar'!$W$550&lt;=Summary!$C$11)=0,"",'Dvd Calendar'!$W$550*1000000000+ISNUMBER('Dvd Calendar'!$W$551)*100000000+('Dvd Calendar'!$W$555='Field Check'!$C$25)*10000000+(N('Dvd Calendar'!$W$549)&gt;0)*1000000+37*1000+19))</f>
        <v/>
      </c>
      <c r="V45" s="41">
        <f>IF(N('Dvd Calendar'!$X$550)=0,"",IF(('Dvd Calendar'!$X$550&gt;=MIN(DATE(Summary!$C$12,1,1),Summary!$C$11))*('Dvd Calendar'!$X$550&lt;=MAX(DATE(Summary!$C$12,12,31),Summary!$C$15))*('Dvd Calendar'!$X$550&lt;=Summary!$C$11)=0,"",'Dvd Calendar'!$X$550*1000000000+ISNUMBER('Dvd Calendar'!$X$551)*100000000+('Dvd Calendar'!$X$555='Field Check'!$C$25)*10000000+(N('Dvd Calendar'!$X$549)&gt;0)*1000000+37*1000+20))</f>
        <v/>
      </c>
      <c r="W45" s="41">
        <f>IF(N('Dvd Calendar'!$Y$550)=0,"",IF(('Dvd Calendar'!$Y$550&gt;=MIN(DATE(Summary!$C$12,1,1),Summary!$C$11))*('Dvd Calendar'!$Y$550&lt;=MAX(DATE(Summary!$C$12,12,31),Summary!$C$15))*('Dvd Calendar'!$Y$550&lt;=Summary!$C$11)=0,"",'Dvd Calendar'!$Y$550*1000000000+ISNUMBER('Dvd Calendar'!$Y$551)*100000000+('Dvd Calendar'!$Y$555='Field Check'!$C$25)*10000000+(N('Dvd Calendar'!$Y$549)&gt;0)*1000000+37*1000+21))</f>
        <v/>
      </c>
      <c r="X45" s="41">
        <f>IF(N('Dvd Calendar'!$Z$550)=0,"",IF(('Dvd Calendar'!$Z$550&gt;=MIN(DATE(Summary!$C$12,1,1),Summary!$C$11))*('Dvd Calendar'!$Z$550&lt;=MAX(DATE(Summary!$C$12,12,31),Summary!$C$15))*('Dvd Calendar'!$Z$550&lt;=Summary!$C$11)=0,"",'Dvd Calendar'!$Z$550*1000000000+ISNUMBER('Dvd Calendar'!$Z$551)*100000000+('Dvd Calendar'!$Z$555='Field Check'!$C$25)*10000000+(N('Dvd Calendar'!$Z$549)&gt;0)*1000000+37*1000+22))</f>
        <v/>
      </c>
      <c r="Y45" s="41">
        <f>IF(N('Dvd Calendar'!$AA$550)=0,"",IF(('Dvd Calendar'!$AA$550&gt;=MIN(DATE(Summary!$C$12,1,1),Summary!$C$11))*('Dvd Calendar'!$AA$550&lt;=MAX(DATE(Summary!$C$12,12,31),Summary!$C$15))*('Dvd Calendar'!$AA$550&lt;=Summary!$C$11)=0,"",'Dvd Calendar'!$AA$550*1000000000+ISNUMBER('Dvd Calendar'!$AA$551)*100000000+('Dvd Calendar'!$AA$555='Field Check'!$C$25)*10000000+(N('Dvd Calendar'!$AA$549)&gt;0)*1000000+37*1000+23))</f>
        <v/>
      </c>
      <c r="Z45" s="41">
        <f>IF(N('Dvd Calendar'!$AB$550)=0,"",IF(('Dvd Calendar'!$AB$550&gt;=MIN(DATE(Summary!$C$12,1,1),Summary!$C$11))*('Dvd Calendar'!$AB$550&lt;=MAX(DATE(Summary!$C$12,12,31),Summary!$C$15))*('Dvd Calendar'!$AB$550&lt;=Summary!$C$11)=0,"",'Dvd Calendar'!$AB$550*1000000000+ISNUMBER('Dvd Calendar'!$AB$551)*100000000+('Dvd Calendar'!$AB$555='Field Check'!$C$25)*10000000+(N('Dvd Calendar'!$AB$549)&gt;0)*1000000+37*1000+24))</f>
        <v/>
      </c>
      <c r="AA45" s="41">
        <f>IF(N('Dvd Calendar'!$AC$550)=0,"",IF(('Dvd Calendar'!$AC$550&gt;=MIN(DATE(Summary!$C$12,1,1),Summary!$C$11))*('Dvd Calendar'!$AC$550&lt;=MAX(DATE(Summary!$C$12,12,31),Summary!$C$15))*('Dvd Calendar'!$AC$550&lt;=Summary!$C$11)=0,"",'Dvd Calendar'!$AC$550*1000000000+ISNUMBER('Dvd Calendar'!$AC$551)*100000000+('Dvd Calendar'!$AC$555='Field Check'!$C$25)*10000000+(N('Dvd Calendar'!$AC$549)&gt;0)*1000000+37*1000+25))</f>
        <v/>
      </c>
      <c r="AB45" s="41">
        <f>IF(N('Dvd Calendar'!$AD$550)=0,"",IF(('Dvd Calendar'!$AD$550&gt;=MIN(DATE(Summary!$C$12,1,1),Summary!$C$11))*('Dvd Calendar'!$AD$550&lt;=MAX(DATE(Summary!$C$12,12,31),Summary!$C$15))*('Dvd Calendar'!$AD$550&lt;=Summary!$C$11)=0,"",'Dvd Calendar'!$AD$550*1000000000+ISNUMBER('Dvd Calendar'!$AD$551)*100000000+('Dvd Calendar'!$AD$555='Field Check'!$C$25)*10000000+(N('Dvd Calendar'!$AD$549)&gt;0)*1000000+37*1000+26))</f>
        <v/>
      </c>
      <c r="AC45" s="41">
        <f>IF(N('Dvd Calendar'!$AE$550)=0,"",IF(('Dvd Calendar'!$AE$550&gt;=MIN(DATE(Summary!$C$12,1,1),Summary!$C$11))*('Dvd Calendar'!$AE$550&lt;=MAX(DATE(Summary!$C$12,12,31),Summary!$C$15))*('Dvd Calendar'!$AE$550&lt;=Summary!$C$11)=0,"",'Dvd Calendar'!$AE$550*1000000000+ISNUMBER('Dvd Calendar'!$AE$551)*100000000+('Dvd Calendar'!$AE$555='Field Check'!$C$25)*10000000+(N('Dvd Calendar'!$AE$549)&gt;0)*1000000+37*1000+27))</f>
        <v/>
      </c>
      <c r="AD45" s="41">
        <f>IF(N('Dvd Calendar'!$AF$550)=0,"",IF(('Dvd Calendar'!$AF$550&gt;=MIN(DATE(Summary!$C$12,1,1),Summary!$C$11))*('Dvd Calendar'!$AF$550&lt;=MAX(DATE(Summary!$C$12,12,31),Summary!$C$15))*('Dvd Calendar'!$AF$550&lt;=Summary!$C$11)=0,"",'Dvd Calendar'!$AF$550*1000000000+ISNUMBER('Dvd Calendar'!$AF$551)*100000000+('Dvd Calendar'!$AF$555='Field Check'!$C$25)*10000000+(N('Dvd Calendar'!$AF$549)&gt;0)*1000000+37*1000+28))</f>
        <v/>
      </c>
      <c r="AE45" s="41">
        <f>IF(N('Dvd Calendar'!$AG$550)=0,"",IF(('Dvd Calendar'!$AG$550&gt;=MIN(DATE(Summary!$C$12,1,1),Summary!$C$11))*('Dvd Calendar'!$AG$550&lt;=MAX(DATE(Summary!$C$12,12,31),Summary!$C$15))*('Dvd Calendar'!$AG$550&lt;=Summary!$C$11)=0,"",'Dvd Calendar'!$AG$550*1000000000+ISNUMBER('Dvd Calendar'!$AG$551)*100000000+('Dvd Calendar'!$AG$555='Field Check'!$C$25)*10000000+(N('Dvd Calendar'!$AG$549)&gt;0)*1000000+37*1000+29))</f>
        <v/>
      </c>
      <c r="AF45" s="41">
        <f>IF(N('Dvd Calendar'!$AH$550)=0,"",IF(('Dvd Calendar'!$AH$550&gt;=MIN(DATE(Summary!$C$12,1,1),Summary!$C$11))*('Dvd Calendar'!$AH$550&lt;=MAX(DATE(Summary!$C$12,12,31),Summary!$C$15))*('Dvd Calendar'!$AH$550&lt;=Summary!$C$11)=0,"",'Dvd Calendar'!$AH$550*1000000000+ISNUMBER('Dvd Calendar'!$AH$551)*100000000+('Dvd Calendar'!$AH$555='Field Check'!$C$25)*10000000+(N('Dvd Calendar'!$AH$549)&gt;0)*1000000+37*1000+30))</f>
        <v/>
      </c>
      <c r="AG45" s="41">
        <f>IF(N('Dvd Calendar'!$AI$550)=0,"",IF(('Dvd Calendar'!$AI$550&gt;=MIN(DATE(Summary!$C$12,1,1),Summary!$C$11))*('Dvd Calendar'!$AI$550&lt;=MAX(DATE(Summary!$C$12,12,31),Summary!$C$15))*('Dvd Calendar'!$AI$550&lt;=Summary!$C$11)=0,"",'Dvd Calendar'!$AI$550*1000000000+ISNUMBER('Dvd Calendar'!$AI$551)*100000000+('Dvd Calendar'!$AI$555='Field Check'!$C$25)*10000000+(N('Dvd Calendar'!$AI$549)&gt;0)*1000000+37*1000+31))</f>
        <v/>
      </c>
      <c r="AH45" s="41">
        <f>IF(N('Dvd Calendar'!$AJ$550)=0,"",IF(('Dvd Calendar'!$AJ$550&gt;=MIN(DATE(Summary!$C$12,1,1),Summary!$C$11))*('Dvd Calendar'!$AJ$550&lt;=MAX(DATE(Summary!$C$12,12,31),Summary!$C$15))*('Dvd Calendar'!$AJ$550&lt;=Summary!$C$11)=0,"",'Dvd Calendar'!$AJ$550*1000000000+ISNUMBER('Dvd Calendar'!$AJ$551)*100000000+('Dvd Calendar'!$AJ$555='Field Check'!$C$25)*10000000+(N('Dvd Calendar'!$AJ$549)&gt;0)*1000000+37*1000+32))</f>
        <v/>
      </c>
      <c r="AI45" s="41">
        <f>IF(N('Dvd Calendar'!$AK$550)=0,"",IF(('Dvd Calendar'!$AK$550&gt;=MIN(DATE(Summary!$C$12,1,1),Summary!$C$11))*('Dvd Calendar'!$AK$550&lt;=MAX(DATE(Summary!$C$12,12,31),Summary!$C$15))*('Dvd Calendar'!$AK$550&lt;=Summary!$C$11)=0,"",'Dvd Calendar'!$AK$550*1000000000+ISNUMBER('Dvd Calendar'!$AK$551)*100000000+('Dvd Calendar'!$AK$555='Field Check'!$C$25)*10000000+(N('Dvd Calendar'!$AK$549)&gt;0)*1000000+37*1000+33))</f>
        <v/>
      </c>
      <c r="AJ45" s="41">
        <f>IF(N('Dvd Calendar'!$AL$550)=0,"",IF(('Dvd Calendar'!$AL$550&gt;=MIN(DATE(Summary!$C$12,1,1),Summary!$C$11))*('Dvd Calendar'!$AL$550&lt;=MAX(DATE(Summary!$C$12,12,31),Summary!$C$15))*('Dvd Calendar'!$AL$550&lt;=Summary!$C$11)=0,"",'Dvd Calendar'!$AL$550*1000000000+ISNUMBER('Dvd Calendar'!$AL$551)*100000000+('Dvd Calendar'!$AL$555='Field Check'!$C$25)*10000000+(N('Dvd Calendar'!$AL$549)&gt;0)*1000000+37*1000+34))</f>
        <v/>
      </c>
      <c r="AK45" s="41">
        <f>IF(N('Dvd Calendar'!$AM$550)=0,"",IF(('Dvd Calendar'!$AM$550&gt;=MIN(DATE(Summary!$C$12,1,1),Summary!$C$11))*('Dvd Calendar'!$AM$550&lt;=MAX(DATE(Summary!$C$12,12,31),Summary!$C$15))*('Dvd Calendar'!$AM$550&lt;=Summary!$C$11)=0,"",'Dvd Calendar'!$AM$550*1000000000+ISNUMBER('Dvd Calendar'!$AM$551)*100000000+('Dvd Calendar'!$AM$555='Field Check'!$C$25)*10000000+(N('Dvd Calendar'!$AM$549)&gt;0)*1000000+37*1000+35))</f>
        <v/>
      </c>
      <c r="AL45" s="41">
        <f>IF(N('Dvd Calendar'!$AN$550)=0,"",IF(('Dvd Calendar'!$AN$550&gt;=MIN(DATE(Summary!$C$12,1,1),Summary!$C$11))*('Dvd Calendar'!$AN$550&lt;=MAX(DATE(Summary!$C$12,12,31),Summary!$C$15))*('Dvd Calendar'!$AN$550&lt;=Summary!$C$11)=0,"",'Dvd Calendar'!$AN$550*1000000000+ISNUMBER('Dvd Calendar'!$AN$551)*100000000+('Dvd Calendar'!$AN$555='Field Check'!$C$25)*10000000+(N('Dvd Calendar'!$AN$549)&gt;0)*1000000+37*1000+36))</f>
        <v/>
      </c>
      <c r="AM45" s="41">
        <f>IF(N('Dvd Calendar'!$AO$550)=0,"",IF(('Dvd Calendar'!$AO$550&gt;=MIN(DATE(Summary!$C$12,1,1),Summary!$C$11))*('Dvd Calendar'!$AO$550&lt;=MAX(DATE(Summary!$C$12,12,31),Summary!$C$15))*('Dvd Calendar'!$AO$550&lt;=Summary!$C$11)=0,"",'Dvd Calendar'!$AO$550*1000000000+ISNUMBER('Dvd Calendar'!$AO$551)*100000000+('Dvd Calendar'!$AO$555='Field Check'!$C$25)*10000000+(N('Dvd Calendar'!$AO$549)&gt;0)*1000000+37*1000+37))</f>
        <v/>
      </c>
      <c r="AN45" s="41">
        <f>IF(N('Dvd Calendar'!$AP$550)=0,"",IF(('Dvd Calendar'!$AP$550&gt;=MIN(DATE(Summary!$C$12,1,1),Summary!$C$11))*('Dvd Calendar'!$AP$550&lt;=MAX(DATE(Summary!$C$12,12,31),Summary!$C$15))*('Dvd Calendar'!$AP$550&lt;=Summary!$C$11)=0,"",'Dvd Calendar'!$AP$550*1000000000+ISNUMBER('Dvd Calendar'!$AP$551)*100000000+('Dvd Calendar'!$AP$555='Field Check'!$C$25)*10000000+(N('Dvd Calendar'!$AP$549)&gt;0)*1000000+37*1000+38))</f>
        <v/>
      </c>
      <c r="AO45" s="41">
        <f>IF(N('Dvd Calendar'!$AQ$550)=0,"",IF(('Dvd Calendar'!$AQ$550&gt;=MIN(DATE(Summary!$C$12,1,1),Summary!$C$11))*('Dvd Calendar'!$AQ$550&lt;=MAX(DATE(Summary!$C$12,12,31),Summary!$C$15))*('Dvd Calendar'!$AQ$550&lt;=Summary!$C$11)=0,"",'Dvd Calendar'!$AQ$550*1000000000+ISNUMBER('Dvd Calendar'!$AQ$551)*100000000+('Dvd Calendar'!$AQ$555='Field Check'!$C$25)*10000000+(N('Dvd Calendar'!$AQ$549)&gt;0)*1000000+37*1000+39))</f>
        <v/>
      </c>
      <c r="AP45" s="41">
        <f>IF(N('Dvd Calendar'!$AR$550)=0,"",IF(('Dvd Calendar'!$AR$550&gt;=MIN(DATE(Summary!$C$12,1,1),Summary!$C$11))*('Dvd Calendar'!$AR$550&lt;=MAX(DATE(Summary!$C$12,12,31),Summary!$C$15))*('Dvd Calendar'!$AR$550&lt;=Summary!$C$11)=0,"",'Dvd Calendar'!$AR$550*1000000000+ISNUMBER('Dvd Calendar'!$AR$551)*100000000+('Dvd Calendar'!$AR$555='Field Check'!$C$25)*10000000+(N('Dvd Calendar'!$AR$549)&gt;0)*1000000+37*1000+40))</f>
        <v/>
      </c>
      <c r="AQ45" s="41">
        <f>IF(N('Dvd Calendar'!$E$557)=0,"",IF(('Dvd Calendar'!$E$557&gt;=MIN(DATE(Summary!$C$12,1,1),Summary!$C$11))*('Dvd Calendar'!$E$557&lt;=MAX(DATE(Summary!$C$12,12,31),Summary!$C$15))*('Dvd Calendar'!$E$557&gt;Summary!$C$11)=0,"",'Dvd Calendar'!$E$557*1000000000+ISNUMBER('Dvd Calendar'!$E$558)*100000000+('Dvd Calendar'!$E$562='Field Check'!$C$25)*10000000+(N('Dvd Calendar'!$E$556)&gt;0)*1000000+37*1000+41))</f>
        <v/>
      </c>
      <c r="AR45" s="41">
        <f>IF(N('Dvd Calendar'!$F$557)=0,"",IF(('Dvd Calendar'!$F$557&gt;=MIN(DATE(Summary!$C$12,1,1),Summary!$C$11))*('Dvd Calendar'!$F$557&lt;=MAX(DATE(Summary!$C$12,12,31),Summary!$C$15))*('Dvd Calendar'!$F$557&gt;Summary!$C$11)=0,"",'Dvd Calendar'!$F$557*1000000000+ISNUMBER('Dvd Calendar'!$F$558)*100000000+('Dvd Calendar'!$F$562='Field Check'!$C$25)*10000000+(N('Dvd Calendar'!$F$556)&gt;0)*1000000+37*1000+42))</f>
        <v/>
      </c>
      <c r="AS45" s="41">
        <f>IF(N('Dvd Calendar'!$G$557)=0,"",IF(('Dvd Calendar'!$G$557&gt;=MIN(DATE(Summary!$C$12,1,1),Summary!$C$11))*('Dvd Calendar'!$G$557&lt;=MAX(DATE(Summary!$C$12,12,31),Summary!$C$15))*('Dvd Calendar'!$G$557&gt;Summary!$C$11)=0,"",'Dvd Calendar'!$G$557*1000000000+ISNUMBER('Dvd Calendar'!$G$558)*100000000+('Dvd Calendar'!$G$562='Field Check'!$C$25)*10000000+(N('Dvd Calendar'!$G$556)&gt;0)*1000000+37*1000+43))</f>
        <v/>
      </c>
      <c r="AT45" s="41">
        <f>IF(N('Dvd Calendar'!$H$557)=0,"",IF(('Dvd Calendar'!$H$557&gt;=MIN(DATE(Summary!$C$12,1,1),Summary!$C$11))*('Dvd Calendar'!$H$557&lt;=MAX(DATE(Summary!$C$12,12,31),Summary!$C$15))*('Dvd Calendar'!$H$557&gt;Summary!$C$11)=0,"",'Dvd Calendar'!$H$557*1000000000+ISNUMBER('Dvd Calendar'!$H$558)*100000000+('Dvd Calendar'!$H$562='Field Check'!$C$25)*10000000+(N('Dvd Calendar'!$H$556)&gt;0)*1000000+37*1000+44))</f>
        <v/>
      </c>
      <c r="AU45" s="41">
        <f>IF(N('Dvd Calendar'!$I$557)=0,"",IF(('Dvd Calendar'!$I$557&gt;=MIN(DATE(Summary!$C$12,1,1),Summary!$C$11))*('Dvd Calendar'!$I$557&lt;=MAX(DATE(Summary!$C$12,12,31),Summary!$C$15))*('Dvd Calendar'!$I$557&gt;Summary!$C$11)=0,"",'Dvd Calendar'!$I$557*1000000000+ISNUMBER('Dvd Calendar'!$I$558)*100000000+('Dvd Calendar'!$I$562='Field Check'!$C$25)*10000000+(N('Dvd Calendar'!$I$556)&gt;0)*1000000+37*1000+45))</f>
        <v/>
      </c>
      <c r="AV45" s="41">
        <f>IF(N('Dvd Calendar'!$J$557)=0,"",IF(('Dvd Calendar'!$J$557&gt;=MIN(DATE(Summary!$C$12,1,1),Summary!$C$11))*('Dvd Calendar'!$J$557&lt;=MAX(DATE(Summary!$C$12,12,31),Summary!$C$15))*('Dvd Calendar'!$J$557&gt;Summary!$C$11)=0,"",'Dvd Calendar'!$J$557*1000000000+ISNUMBER('Dvd Calendar'!$J$558)*100000000+('Dvd Calendar'!$J$562='Field Check'!$C$25)*10000000+(N('Dvd Calendar'!$J$556)&gt;0)*1000000+37*1000+46))</f>
        <v/>
      </c>
      <c r="AW45" s="41">
        <f>IF(N('Dvd Calendar'!$K$557)=0,"",IF(('Dvd Calendar'!$K$557&gt;=MIN(DATE(Summary!$C$12,1,1),Summary!$C$11))*('Dvd Calendar'!$K$557&lt;=MAX(DATE(Summary!$C$12,12,31),Summary!$C$15))*('Dvd Calendar'!$K$557&gt;Summary!$C$11)=0,"",'Dvd Calendar'!$K$557*1000000000+ISNUMBER('Dvd Calendar'!$K$558)*100000000+('Dvd Calendar'!$K$562='Field Check'!$C$25)*10000000+(N('Dvd Calendar'!$K$556)&gt;0)*1000000+37*1000+47))</f>
        <v/>
      </c>
      <c r="AX45" s="41">
        <f>IF(N('Dvd Calendar'!$L$557)=0,"",IF(('Dvd Calendar'!$L$557&gt;=MIN(DATE(Summary!$C$12,1,1),Summary!$C$11))*('Dvd Calendar'!$L$557&lt;=MAX(DATE(Summary!$C$12,12,31),Summary!$C$15))*('Dvd Calendar'!$L$557&gt;Summary!$C$11)=0,"",'Dvd Calendar'!$L$557*1000000000+ISNUMBER('Dvd Calendar'!$L$558)*100000000+('Dvd Calendar'!$L$562='Field Check'!$C$25)*10000000+(N('Dvd Calendar'!$L$556)&gt;0)*1000000+37*1000+48))</f>
        <v/>
      </c>
      <c r="AY45" s="41">
        <f>IF(N('Dvd Calendar'!$M$557)=0,"",IF(('Dvd Calendar'!$M$557&gt;=MIN(DATE(Summary!$C$12,1,1),Summary!$C$11))*('Dvd Calendar'!$M$557&lt;=MAX(DATE(Summary!$C$12,12,31),Summary!$C$15))*('Dvd Calendar'!$M$557&gt;Summary!$C$11)=0,"",'Dvd Calendar'!$M$557*1000000000+ISNUMBER('Dvd Calendar'!$M$558)*100000000+('Dvd Calendar'!$M$562='Field Check'!$C$25)*10000000+(N('Dvd Calendar'!$M$556)&gt;0)*1000000+37*1000+49))</f>
        <v/>
      </c>
      <c r="AZ45" s="41">
        <f>IF(N('Dvd Calendar'!$N$557)=0,"",IF(('Dvd Calendar'!$N$557&gt;=MIN(DATE(Summary!$C$12,1,1),Summary!$C$11))*('Dvd Calendar'!$N$557&lt;=MAX(DATE(Summary!$C$12,12,31),Summary!$C$15))*('Dvd Calendar'!$N$557&gt;Summary!$C$11)=0,"",'Dvd Calendar'!$N$557*1000000000+ISNUMBER('Dvd Calendar'!$N$558)*100000000+('Dvd Calendar'!$N$562='Field Check'!$C$25)*10000000+(N('Dvd Calendar'!$N$556)&gt;0)*1000000+37*1000+50))</f>
        <v/>
      </c>
      <c r="BA45" s="41">
        <f>IF(N('Dvd Calendar'!$O$557)=0,"",IF(('Dvd Calendar'!$O$557&gt;=MIN(DATE(Summary!$C$12,1,1),Summary!$C$11))*('Dvd Calendar'!$O$557&lt;=MAX(DATE(Summary!$C$12,12,31),Summary!$C$15))*('Dvd Calendar'!$O$557&gt;Summary!$C$11)=0,"",'Dvd Calendar'!$O$557*1000000000+ISNUMBER('Dvd Calendar'!$O$558)*100000000+('Dvd Calendar'!$O$562='Field Check'!$C$25)*10000000+(N('Dvd Calendar'!$O$556)&gt;0)*1000000+37*1000+51))</f>
        <v/>
      </c>
      <c r="BB45" s="41">
        <f>IF(N('Dvd Calendar'!$P$557)=0,"",IF(('Dvd Calendar'!$P$557&gt;=MIN(DATE(Summary!$C$12,1,1),Summary!$C$11))*('Dvd Calendar'!$P$557&lt;=MAX(DATE(Summary!$C$12,12,31),Summary!$C$15))*('Dvd Calendar'!$P$557&gt;Summary!$C$11)=0,"",'Dvd Calendar'!$P$557*1000000000+ISNUMBER('Dvd Calendar'!$P$558)*100000000+('Dvd Calendar'!$P$562='Field Check'!$C$25)*10000000+(N('Dvd Calendar'!$P$556)&gt;0)*1000000+37*1000+52))</f>
        <v/>
      </c>
      <c r="BC45" s="41">
        <f>IF(N('Dvd Calendar'!$Q$557)=0,"",IF(('Dvd Calendar'!$Q$557&gt;=MIN(DATE(Summary!$C$12,1,1),Summary!$C$11))*('Dvd Calendar'!$Q$557&lt;=MAX(DATE(Summary!$C$12,12,31),Summary!$C$15))*('Dvd Calendar'!$Q$557&gt;Summary!$C$11)=0,"",'Dvd Calendar'!$Q$557*1000000000+ISNUMBER('Dvd Calendar'!$Q$558)*100000000+('Dvd Calendar'!$Q$562='Field Check'!$C$25)*10000000+(N('Dvd Calendar'!$Q$556)&gt;0)*1000000+37*1000+53))</f>
        <v/>
      </c>
      <c r="BD45" s="41">
        <f>IF(N('Dvd Calendar'!$R$557)=0,"",IF(('Dvd Calendar'!$R$557&gt;=MIN(DATE(Summary!$C$12,1,1),Summary!$C$11))*('Dvd Calendar'!$R$557&lt;=MAX(DATE(Summary!$C$12,12,31),Summary!$C$15))*('Dvd Calendar'!$R$557&gt;Summary!$C$11)=0,"",'Dvd Calendar'!$R$557*1000000000+ISNUMBER('Dvd Calendar'!$R$558)*100000000+('Dvd Calendar'!$R$562='Field Check'!$C$25)*10000000+(N('Dvd Calendar'!$R$556)&gt;0)*1000000+37*1000+54))</f>
        <v/>
      </c>
      <c r="BE45" s="41">
        <f>IF(N('Dvd Calendar'!$S$557)=0,"",IF(('Dvd Calendar'!$S$557&gt;=MIN(DATE(Summary!$C$12,1,1),Summary!$C$11))*('Dvd Calendar'!$S$557&lt;=MAX(DATE(Summary!$C$12,12,31),Summary!$C$15))*('Dvd Calendar'!$S$557&gt;Summary!$C$11)=0,"",'Dvd Calendar'!$S$557*1000000000+ISNUMBER('Dvd Calendar'!$S$558)*100000000+('Dvd Calendar'!$S$562='Field Check'!$C$25)*10000000+(N('Dvd Calendar'!$S$556)&gt;0)*1000000+37*1000+55))</f>
        <v/>
      </c>
      <c r="BF45" s="41">
        <f>IF(N('Dvd Calendar'!$T$557)=0,"",IF(('Dvd Calendar'!$T$557&gt;=MIN(DATE(Summary!$C$12,1,1),Summary!$C$11))*('Dvd Calendar'!$T$557&lt;=MAX(DATE(Summary!$C$12,12,31),Summary!$C$15))*('Dvd Calendar'!$T$557&gt;Summary!$C$11)=0,"",'Dvd Calendar'!$T$557*1000000000+ISNUMBER('Dvd Calendar'!$T$558)*100000000+('Dvd Calendar'!$T$562='Field Check'!$C$25)*10000000+(N('Dvd Calendar'!$T$556)&gt;0)*1000000+37*1000+56))</f>
        <v/>
      </c>
      <c r="BG45" s="41">
        <f>IF(N('Dvd Calendar'!$U$557)=0,"",IF(('Dvd Calendar'!$U$557&gt;=MIN(DATE(Summary!$C$12,1,1),Summary!$C$11))*('Dvd Calendar'!$U$557&lt;=MAX(DATE(Summary!$C$12,12,31),Summary!$C$15))*('Dvd Calendar'!$U$557&gt;Summary!$C$11)=0,"",'Dvd Calendar'!$U$557*1000000000+ISNUMBER('Dvd Calendar'!$U$558)*100000000+('Dvd Calendar'!$U$562='Field Check'!$C$25)*10000000+(N('Dvd Calendar'!$U$556)&gt;0)*1000000+37*1000+57))</f>
        <v/>
      </c>
      <c r="BH45" s="41">
        <f>IF(N('Dvd Calendar'!$V$557)=0,"",IF(('Dvd Calendar'!$V$557&gt;=MIN(DATE(Summary!$C$12,1,1),Summary!$C$11))*('Dvd Calendar'!$V$557&lt;=MAX(DATE(Summary!$C$12,12,31),Summary!$C$15))*('Dvd Calendar'!$V$557&gt;Summary!$C$11)=0,"",'Dvd Calendar'!$V$557*1000000000+ISNUMBER('Dvd Calendar'!$V$558)*100000000+('Dvd Calendar'!$V$562='Field Check'!$C$25)*10000000+(N('Dvd Calendar'!$V$556)&gt;0)*1000000+37*1000+58))</f>
        <v/>
      </c>
      <c r="BI45" s="41">
        <f>IF(N('Dvd Calendar'!$W$557)=0,"",IF(('Dvd Calendar'!$W$557&gt;=MIN(DATE(Summary!$C$12,1,1),Summary!$C$11))*('Dvd Calendar'!$W$557&lt;=MAX(DATE(Summary!$C$12,12,31),Summary!$C$15))*('Dvd Calendar'!$W$557&gt;Summary!$C$11)=0,"",'Dvd Calendar'!$W$557*1000000000+ISNUMBER('Dvd Calendar'!$W$558)*100000000+('Dvd Calendar'!$W$562='Field Check'!$C$25)*10000000+(N('Dvd Calendar'!$W$556)&gt;0)*1000000+37*1000+59))</f>
        <v/>
      </c>
      <c r="BJ45" s="41">
        <f>IF(N('Dvd Calendar'!$X$557)=0,"",IF(('Dvd Calendar'!$X$557&gt;=MIN(DATE(Summary!$C$12,1,1),Summary!$C$11))*('Dvd Calendar'!$X$557&lt;=MAX(DATE(Summary!$C$12,12,31),Summary!$C$15))*('Dvd Calendar'!$X$557&gt;Summary!$C$11)=0,"",'Dvd Calendar'!$X$557*1000000000+ISNUMBER('Dvd Calendar'!$X$558)*100000000+('Dvd Calendar'!$X$562='Field Check'!$C$25)*10000000+(N('Dvd Calendar'!$X$556)&gt;0)*1000000+37*1000+60))</f>
        <v/>
      </c>
      <c r="BK45" s="41">
        <f>IF(N('Dvd Calendar'!$Y$557)=0,"",IF(('Dvd Calendar'!$Y$557&gt;=MIN(DATE(Summary!$C$12,1,1),Summary!$C$11))*('Dvd Calendar'!$Y$557&lt;=MAX(DATE(Summary!$C$12,12,31),Summary!$C$15))*('Dvd Calendar'!$Y$557&gt;Summary!$C$11)=0,"",'Dvd Calendar'!$Y$557*1000000000+ISNUMBER('Dvd Calendar'!$Y$558)*100000000+('Dvd Calendar'!$Y$562='Field Check'!$C$25)*10000000+(N('Dvd Calendar'!$Y$556)&gt;0)*1000000+37*1000+61))</f>
        <v/>
      </c>
      <c r="BL45" s="41">
        <f>IF(N('Dvd Calendar'!$Z$557)=0,"",IF(('Dvd Calendar'!$Z$557&gt;=MIN(DATE(Summary!$C$12,1,1),Summary!$C$11))*('Dvd Calendar'!$Z$557&lt;=MAX(DATE(Summary!$C$12,12,31),Summary!$C$15))*('Dvd Calendar'!$Z$557&gt;Summary!$C$11)=0,"",'Dvd Calendar'!$Z$557*1000000000+ISNUMBER('Dvd Calendar'!$Z$558)*100000000+('Dvd Calendar'!$Z$562='Field Check'!$C$25)*10000000+(N('Dvd Calendar'!$Z$556)&gt;0)*1000000+37*1000+62))</f>
        <v/>
      </c>
      <c r="BM45" s="41">
        <f>IF(N('Dvd Calendar'!$AA$557)=0,"",IF(('Dvd Calendar'!$AA$557&gt;=MIN(DATE(Summary!$C$12,1,1),Summary!$C$11))*('Dvd Calendar'!$AA$557&lt;=MAX(DATE(Summary!$C$12,12,31),Summary!$C$15))*('Dvd Calendar'!$AA$557&gt;Summary!$C$11)=0,"",'Dvd Calendar'!$AA$557*1000000000+ISNUMBER('Dvd Calendar'!$AA$558)*100000000+('Dvd Calendar'!$AA$562='Field Check'!$C$25)*10000000+(N('Dvd Calendar'!$AA$556)&gt;0)*1000000+37*1000+63))</f>
        <v/>
      </c>
      <c r="BN45" s="41">
        <f>IF(N('Dvd Calendar'!$AB$557)=0,"",IF(('Dvd Calendar'!$AB$557&gt;=MIN(DATE(Summary!$C$12,1,1),Summary!$C$11))*('Dvd Calendar'!$AB$557&lt;=MAX(DATE(Summary!$C$12,12,31),Summary!$C$15))*('Dvd Calendar'!$AB$557&gt;Summary!$C$11)=0,"",'Dvd Calendar'!$AB$557*1000000000+ISNUMBER('Dvd Calendar'!$AB$558)*100000000+('Dvd Calendar'!$AB$562='Field Check'!$C$25)*10000000+(N('Dvd Calendar'!$AB$556)&gt;0)*1000000+37*1000+64))</f>
        <v/>
      </c>
      <c r="BO45" s="41">
        <f>IF(N('Dvd Calendar'!$AC$557)=0,"",IF(('Dvd Calendar'!$AC$557&gt;=MIN(DATE(Summary!$C$12,1,1),Summary!$C$11))*('Dvd Calendar'!$AC$557&lt;=MAX(DATE(Summary!$C$12,12,31),Summary!$C$15))*('Dvd Calendar'!$AC$557&gt;Summary!$C$11)=0,"",'Dvd Calendar'!$AC$557*1000000000+ISNUMBER('Dvd Calendar'!$AC$558)*100000000+('Dvd Calendar'!$AC$562='Field Check'!$C$25)*10000000+(N('Dvd Calendar'!$AC$556)&gt;0)*1000000+37*1000+65))</f>
        <v/>
      </c>
      <c r="BQ45" s="85">
        <f>IF(C45="","",IF(ISNUMBER('Dvd Calendar'!$E$551)=FALSE,"",IF((Summary!$C$13="N")*('Dvd Calendar'!$E$555='Field Check'!$C$25)&gt;0,"",'Dvd Calendar'!$E$551)))</f>
        <v/>
      </c>
      <c r="BR45" s="85">
        <f>IF(D45="","",IF(ISNUMBER('Dvd Calendar'!$F$551)=FALSE,"",IF((Summary!$C$13="N")*('Dvd Calendar'!$F$555='Field Check'!$C$25)&gt;0,"",'Dvd Calendar'!$F$551)))</f>
        <v/>
      </c>
      <c r="BS45" s="85">
        <f>IF(E45="","",IF(ISNUMBER('Dvd Calendar'!$G$551)=FALSE,"",IF((Summary!$C$13="N")*('Dvd Calendar'!$G$555='Field Check'!$C$25)&gt;0,"",'Dvd Calendar'!$G$551)))</f>
        <v/>
      </c>
      <c r="BT45" s="85">
        <f>IF(F45="","",IF(ISNUMBER('Dvd Calendar'!$H$551)=FALSE,"",IF((Summary!$C$13="N")*('Dvd Calendar'!$H$555='Field Check'!$C$25)&gt;0,"",'Dvd Calendar'!$H$551)))</f>
        <v/>
      </c>
      <c r="BU45" s="85">
        <f>IF(G45="","",IF(ISNUMBER('Dvd Calendar'!$I$551)=FALSE,"",IF((Summary!$C$13="N")*('Dvd Calendar'!$I$555='Field Check'!$C$25)&gt;0,"",'Dvd Calendar'!$I$551)))</f>
        <v/>
      </c>
      <c r="BV45" s="85">
        <f>IF(H45="","",IF(ISNUMBER('Dvd Calendar'!$J$551)=FALSE,"",IF((Summary!$C$13="N")*('Dvd Calendar'!$J$555='Field Check'!$C$25)&gt;0,"",'Dvd Calendar'!$J$551)))</f>
        <v/>
      </c>
      <c r="BW45" s="85">
        <f>IF(I45="","",IF(ISNUMBER('Dvd Calendar'!$K$551)=FALSE,"",IF((Summary!$C$13="N")*('Dvd Calendar'!$K$555='Field Check'!$C$25)&gt;0,"",'Dvd Calendar'!$K$551)))</f>
        <v/>
      </c>
      <c r="BX45" s="85">
        <f>IF(J45="","",IF(ISNUMBER('Dvd Calendar'!$L$551)=FALSE,"",IF((Summary!$C$13="N")*('Dvd Calendar'!$L$555='Field Check'!$C$25)&gt;0,"",'Dvd Calendar'!$L$551)))</f>
        <v/>
      </c>
      <c r="BY45" s="85">
        <f>IF(K45="","",IF(ISNUMBER('Dvd Calendar'!$M$551)=FALSE,"",IF((Summary!$C$13="N")*('Dvd Calendar'!$M$555='Field Check'!$C$25)&gt;0,"",'Dvd Calendar'!$M$551)))</f>
        <v/>
      </c>
      <c r="BZ45" s="85">
        <f>IF(L45="","",IF(ISNUMBER('Dvd Calendar'!$N$551)=FALSE,"",IF((Summary!$C$13="N")*('Dvd Calendar'!$N$555='Field Check'!$C$25)&gt;0,"",'Dvd Calendar'!$N$551)))</f>
        <v/>
      </c>
      <c r="CA45" s="85">
        <f>IF(M45="","",IF(ISNUMBER('Dvd Calendar'!$O$551)=FALSE,"",IF((Summary!$C$13="N")*('Dvd Calendar'!$O$555='Field Check'!$C$25)&gt;0,"",'Dvd Calendar'!$O$551)))</f>
        <v/>
      </c>
      <c r="CB45" s="85">
        <f>IF(N45="","",IF(ISNUMBER('Dvd Calendar'!$P$551)=FALSE,"",IF((Summary!$C$13="N")*('Dvd Calendar'!$P$555='Field Check'!$C$25)&gt;0,"",'Dvd Calendar'!$P$551)))</f>
        <v/>
      </c>
      <c r="CC45" s="85">
        <f>IF(O45="","",IF(ISNUMBER('Dvd Calendar'!$Q$551)=FALSE,"",IF((Summary!$C$13="N")*('Dvd Calendar'!$Q$555='Field Check'!$C$25)&gt;0,"",'Dvd Calendar'!$Q$551)))</f>
        <v/>
      </c>
      <c r="CD45" s="85">
        <f>IF(P45="","",IF(ISNUMBER('Dvd Calendar'!$R$551)=FALSE,"",IF((Summary!$C$13="N")*('Dvd Calendar'!$R$555='Field Check'!$C$25)&gt;0,"",'Dvd Calendar'!$R$551)))</f>
        <v/>
      </c>
      <c r="CE45" s="85">
        <f>IF(Q45="","",IF(ISNUMBER('Dvd Calendar'!$S$551)=FALSE,"",IF((Summary!$C$13="N")*('Dvd Calendar'!$S$555='Field Check'!$C$25)&gt;0,"",'Dvd Calendar'!$S$551)))</f>
        <v/>
      </c>
      <c r="CF45" s="85">
        <f>IF(R45="","",IF(ISNUMBER('Dvd Calendar'!$T$551)=FALSE,"",IF((Summary!$C$13="N")*('Dvd Calendar'!$T$555='Field Check'!$C$25)&gt;0,"",'Dvd Calendar'!$T$551)))</f>
        <v/>
      </c>
      <c r="CG45" s="85">
        <f>IF(S45="","",IF(ISNUMBER('Dvd Calendar'!$U$551)=FALSE,"",IF((Summary!$C$13="N")*('Dvd Calendar'!$U$555='Field Check'!$C$25)&gt;0,"",'Dvd Calendar'!$U$551)))</f>
        <v/>
      </c>
      <c r="CH45" s="85">
        <f>IF(T45="","",IF(ISNUMBER('Dvd Calendar'!$V$551)=FALSE,"",IF((Summary!$C$13="N")*('Dvd Calendar'!$V$555='Field Check'!$C$25)&gt;0,"",'Dvd Calendar'!$V$551)))</f>
        <v/>
      </c>
      <c r="CI45" s="85">
        <f>IF(U45="","",IF(ISNUMBER('Dvd Calendar'!$W$551)=FALSE,"",IF((Summary!$C$13="N")*('Dvd Calendar'!$W$555='Field Check'!$C$25)&gt;0,"",'Dvd Calendar'!$W$551)))</f>
        <v/>
      </c>
      <c r="CJ45" s="85">
        <f>IF(V45="","",IF(ISNUMBER('Dvd Calendar'!$X$551)=FALSE,"",IF((Summary!$C$13="N")*('Dvd Calendar'!$X$555='Field Check'!$C$25)&gt;0,"",'Dvd Calendar'!$X$551)))</f>
        <v/>
      </c>
      <c r="CK45" s="85">
        <f>IF(W45="","",IF(ISNUMBER('Dvd Calendar'!$Y$551)=FALSE,"",IF((Summary!$C$13="N")*('Dvd Calendar'!$Y$555='Field Check'!$C$25)&gt;0,"",'Dvd Calendar'!$Y$551)))</f>
        <v/>
      </c>
      <c r="CL45" s="85">
        <f>IF(X45="","",IF(ISNUMBER('Dvd Calendar'!$Z$551)=FALSE,"",IF((Summary!$C$13="N")*('Dvd Calendar'!$Z$555='Field Check'!$C$25)&gt;0,"",'Dvd Calendar'!$Z$551)))</f>
        <v/>
      </c>
      <c r="CM45" s="85">
        <f>IF(Y45="","",IF(ISNUMBER('Dvd Calendar'!$AA$551)=FALSE,"",IF((Summary!$C$13="N")*('Dvd Calendar'!$AA$555='Field Check'!$C$25)&gt;0,"",'Dvd Calendar'!$AA$551)))</f>
        <v/>
      </c>
      <c r="CN45" s="85">
        <f>IF(Z45="","",IF(ISNUMBER('Dvd Calendar'!$AB$551)=FALSE,"",IF((Summary!$C$13="N")*('Dvd Calendar'!$AB$555='Field Check'!$C$25)&gt;0,"",'Dvd Calendar'!$AB$551)))</f>
        <v/>
      </c>
      <c r="CO45" s="85">
        <f>IF(AA45="","",IF(ISNUMBER('Dvd Calendar'!$AC$551)=FALSE,"",IF((Summary!$C$13="N")*('Dvd Calendar'!$AC$555='Field Check'!$C$25)&gt;0,"",'Dvd Calendar'!$AC$551)))</f>
        <v/>
      </c>
      <c r="CP45" s="85">
        <f>IF(AB45="","",IF(ISNUMBER('Dvd Calendar'!$AD$551)=FALSE,"",IF((Summary!$C$13="N")*('Dvd Calendar'!$AD$555='Field Check'!$C$25)&gt;0,"",'Dvd Calendar'!$AD$551)))</f>
        <v/>
      </c>
      <c r="CQ45" s="85">
        <f>IF(AC45="","",IF(ISNUMBER('Dvd Calendar'!$AE$551)=FALSE,"",IF((Summary!$C$13="N")*('Dvd Calendar'!$AE$555='Field Check'!$C$25)&gt;0,"",'Dvd Calendar'!$AE$551)))</f>
        <v/>
      </c>
      <c r="CR45" s="85">
        <f>IF(AD45="","",IF(ISNUMBER('Dvd Calendar'!$AF$551)=FALSE,"",IF((Summary!$C$13="N")*('Dvd Calendar'!$AF$555='Field Check'!$C$25)&gt;0,"",'Dvd Calendar'!$AF$551)))</f>
        <v/>
      </c>
      <c r="CS45" s="85">
        <f>IF(AE45="","",IF(ISNUMBER('Dvd Calendar'!$AG$551)=FALSE,"",IF((Summary!$C$13="N")*('Dvd Calendar'!$AG$555='Field Check'!$C$25)&gt;0,"",'Dvd Calendar'!$AG$551)))</f>
        <v/>
      </c>
      <c r="CT45" s="85">
        <f>IF(AF45="","",IF(ISNUMBER('Dvd Calendar'!$AH$551)=FALSE,"",IF((Summary!$C$13="N")*('Dvd Calendar'!$AH$555='Field Check'!$C$25)&gt;0,"",'Dvd Calendar'!$AH$551)))</f>
        <v/>
      </c>
      <c r="CU45" s="85">
        <f>IF(AG45="","",IF(ISNUMBER('Dvd Calendar'!$AI$551)=FALSE,"",IF((Summary!$C$13="N")*('Dvd Calendar'!$AI$555='Field Check'!$C$25)&gt;0,"",'Dvd Calendar'!$AI$551)))</f>
        <v/>
      </c>
      <c r="CV45" s="85">
        <f>IF(AH45="","",IF(ISNUMBER('Dvd Calendar'!$AJ$551)=FALSE,"",IF((Summary!$C$13="N")*('Dvd Calendar'!$AJ$555='Field Check'!$C$25)&gt;0,"",'Dvd Calendar'!$AJ$551)))</f>
        <v/>
      </c>
      <c r="CW45" s="85">
        <f>IF(AI45="","",IF(ISNUMBER('Dvd Calendar'!$AK$551)=FALSE,"",IF((Summary!$C$13="N")*('Dvd Calendar'!$AK$555='Field Check'!$C$25)&gt;0,"",'Dvd Calendar'!$AK$551)))</f>
        <v/>
      </c>
      <c r="CX45" s="85">
        <f>IF(AJ45="","",IF(ISNUMBER('Dvd Calendar'!$AL$551)=FALSE,"",IF((Summary!$C$13="N")*('Dvd Calendar'!$AL$555='Field Check'!$C$25)&gt;0,"",'Dvd Calendar'!$AL$551)))</f>
        <v/>
      </c>
      <c r="CY45" s="85">
        <f>IF(AK45="","",IF(ISNUMBER('Dvd Calendar'!$AM$551)=FALSE,"",IF((Summary!$C$13="N")*('Dvd Calendar'!$AM$555='Field Check'!$C$25)&gt;0,"",'Dvd Calendar'!$AM$551)))</f>
        <v/>
      </c>
      <c r="CZ45" s="85">
        <f>IF(AL45="","",IF(ISNUMBER('Dvd Calendar'!$AN$551)=FALSE,"",IF((Summary!$C$13="N")*('Dvd Calendar'!$AN$555='Field Check'!$C$25)&gt;0,"",'Dvd Calendar'!$AN$551)))</f>
        <v/>
      </c>
      <c r="DA45" s="85">
        <f>IF(AM45="","",IF(ISNUMBER('Dvd Calendar'!$AO$551)=FALSE,"",IF((Summary!$C$13="N")*('Dvd Calendar'!$AO$555='Field Check'!$C$25)&gt;0,"",'Dvd Calendar'!$AO$551)))</f>
        <v/>
      </c>
      <c r="DB45" s="85">
        <f>IF(AN45="","",IF(ISNUMBER('Dvd Calendar'!$AP$551)=FALSE,"",IF((Summary!$C$13="N")*('Dvd Calendar'!$AP$555='Field Check'!$C$25)&gt;0,"",'Dvd Calendar'!$AP$551)))</f>
        <v/>
      </c>
      <c r="DC45" s="85">
        <f>IF(AO45="","",IF(ISNUMBER('Dvd Calendar'!$AQ$551)=FALSE,"",IF((Summary!$C$13="N")*('Dvd Calendar'!$AQ$555='Field Check'!$C$25)&gt;0,"",'Dvd Calendar'!$AQ$551)))</f>
        <v/>
      </c>
      <c r="DD45" s="85">
        <f>IF(AP45="","",IF(ISNUMBER('Dvd Calendar'!$AR$551)=FALSE,"",IF((Summary!$C$13="N")*('Dvd Calendar'!$AR$555='Field Check'!$C$25)&gt;0,"",'Dvd Calendar'!$AR$551)))</f>
        <v/>
      </c>
      <c r="DE45" s="85">
        <f>IF(AQ45="","",IF(ISNUMBER('Dvd Calendar'!$E$558)=FALSE,"",IF((Summary!$C$13="N")*('Dvd Calendar'!$E$562='Field Check'!$C$25)&gt;0,"",'Dvd Calendar'!$E$558)))</f>
        <v/>
      </c>
      <c r="DF45" s="85">
        <f>IF(AR45="","",IF(ISNUMBER('Dvd Calendar'!$F$558)=FALSE,"",IF((Summary!$C$13="N")*('Dvd Calendar'!$F$562='Field Check'!$C$25)&gt;0,"",'Dvd Calendar'!$F$558)))</f>
        <v/>
      </c>
      <c r="DG45" s="85">
        <f>IF(AS45="","",IF(ISNUMBER('Dvd Calendar'!$G$558)=FALSE,"",IF((Summary!$C$13="N")*('Dvd Calendar'!$G$562='Field Check'!$C$25)&gt;0,"",'Dvd Calendar'!$G$558)))</f>
        <v/>
      </c>
      <c r="DH45" s="85">
        <f>IF(AT45="","",IF(ISNUMBER('Dvd Calendar'!$H$558)=FALSE,"",IF((Summary!$C$13="N")*('Dvd Calendar'!$H$562='Field Check'!$C$25)&gt;0,"",'Dvd Calendar'!$H$558)))</f>
        <v/>
      </c>
      <c r="DI45" s="85">
        <f>IF(AU45="","",IF(ISNUMBER('Dvd Calendar'!$I$558)=FALSE,"",IF((Summary!$C$13="N")*('Dvd Calendar'!$I$562='Field Check'!$C$25)&gt;0,"",'Dvd Calendar'!$I$558)))</f>
        <v/>
      </c>
      <c r="DJ45" s="85">
        <f>IF(AV45="","",IF(ISNUMBER('Dvd Calendar'!$J$558)=FALSE,"",IF((Summary!$C$13="N")*('Dvd Calendar'!$J$562='Field Check'!$C$25)&gt;0,"",'Dvd Calendar'!$J$558)))</f>
        <v/>
      </c>
      <c r="DK45" s="85">
        <f>IF(AW45="","",IF(ISNUMBER('Dvd Calendar'!$K$558)=FALSE,"",IF((Summary!$C$13="N")*('Dvd Calendar'!$K$562='Field Check'!$C$25)&gt;0,"",'Dvd Calendar'!$K$558)))</f>
        <v/>
      </c>
      <c r="DL45" s="85">
        <f>IF(AX45="","",IF(ISNUMBER('Dvd Calendar'!$L$558)=FALSE,"",IF((Summary!$C$13="N")*('Dvd Calendar'!$L$562='Field Check'!$C$25)&gt;0,"",'Dvd Calendar'!$L$558)))</f>
        <v/>
      </c>
      <c r="DM45" s="85">
        <f>IF(AY45="","",IF(ISNUMBER('Dvd Calendar'!$M$558)=FALSE,"",IF((Summary!$C$13="N")*('Dvd Calendar'!$M$562='Field Check'!$C$25)&gt;0,"",'Dvd Calendar'!$M$558)))</f>
        <v/>
      </c>
      <c r="DN45" s="85">
        <f>IF(AZ45="","",IF(ISNUMBER('Dvd Calendar'!$N$558)=FALSE,"",IF((Summary!$C$13="N")*('Dvd Calendar'!$N$562='Field Check'!$C$25)&gt;0,"",'Dvd Calendar'!$N$558)))</f>
        <v/>
      </c>
      <c r="DO45" s="85">
        <f>IF(BA45="","",IF(ISNUMBER('Dvd Calendar'!$O$558)=FALSE,"",IF((Summary!$C$13="N")*('Dvd Calendar'!$O$562='Field Check'!$C$25)&gt;0,"",'Dvd Calendar'!$O$558)))</f>
        <v/>
      </c>
      <c r="DP45" s="85">
        <f>IF(BB45="","",IF(ISNUMBER('Dvd Calendar'!$P$558)=FALSE,"",IF((Summary!$C$13="N")*('Dvd Calendar'!$P$562='Field Check'!$C$25)&gt;0,"",'Dvd Calendar'!$P$558)))</f>
        <v/>
      </c>
      <c r="DQ45" s="85">
        <f>IF(BC45="","",IF(ISNUMBER('Dvd Calendar'!$Q$558)=FALSE,"",IF((Summary!$C$13="N")*('Dvd Calendar'!$Q$562='Field Check'!$C$25)&gt;0,"",'Dvd Calendar'!$Q$558)))</f>
        <v/>
      </c>
      <c r="DR45" s="85">
        <f>IF(BD45="","",IF(ISNUMBER('Dvd Calendar'!$R$558)=FALSE,"",IF((Summary!$C$13="N")*('Dvd Calendar'!$R$562='Field Check'!$C$25)&gt;0,"",'Dvd Calendar'!$R$558)))</f>
        <v/>
      </c>
      <c r="DS45" s="85">
        <f>IF(BE45="","",IF(ISNUMBER('Dvd Calendar'!$S$558)=FALSE,"",IF((Summary!$C$13="N")*('Dvd Calendar'!$S$562='Field Check'!$C$25)&gt;0,"",'Dvd Calendar'!$S$558)))</f>
        <v/>
      </c>
      <c r="DT45" s="85">
        <f>IF(BF45="","",IF(ISNUMBER('Dvd Calendar'!$T$558)=FALSE,"",IF((Summary!$C$13="N")*('Dvd Calendar'!$T$562='Field Check'!$C$25)&gt;0,"",'Dvd Calendar'!$T$558)))</f>
        <v/>
      </c>
      <c r="DU45" s="85">
        <f>IF(BG45="","",IF(ISNUMBER('Dvd Calendar'!$U$558)=FALSE,"",IF((Summary!$C$13="N")*('Dvd Calendar'!$U$562='Field Check'!$C$25)&gt;0,"",'Dvd Calendar'!$U$558)))</f>
        <v/>
      </c>
      <c r="DV45" s="85">
        <f>IF(BH45="","",IF(ISNUMBER('Dvd Calendar'!$V$558)=FALSE,"",IF((Summary!$C$13="N")*('Dvd Calendar'!$V$562='Field Check'!$C$25)&gt;0,"",'Dvd Calendar'!$V$558)))</f>
        <v/>
      </c>
      <c r="DW45" s="85">
        <f>IF(BI45="","",IF(ISNUMBER('Dvd Calendar'!$W$558)=FALSE,"",IF((Summary!$C$13="N")*('Dvd Calendar'!$W$562='Field Check'!$C$25)&gt;0,"",'Dvd Calendar'!$W$558)))</f>
        <v/>
      </c>
      <c r="DX45" s="85">
        <f>IF(BJ45="","",IF(ISNUMBER('Dvd Calendar'!$X$558)=FALSE,"",IF((Summary!$C$13="N")*('Dvd Calendar'!$X$562='Field Check'!$C$25)&gt;0,"",'Dvd Calendar'!$X$558)))</f>
        <v/>
      </c>
      <c r="DY45" s="85">
        <f>IF(BK45="","",IF(ISNUMBER('Dvd Calendar'!$Y$558)=FALSE,"",IF((Summary!$C$13="N")*('Dvd Calendar'!$Y$562='Field Check'!$C$25)&gt;0,"",'Dvd Calendar'!$Y$558)))</f>
        <v/>
      </c>
      <c r="DZ45" s="85">
        <f>IF(BL45="","",IF(ISNUMBER('Dvd Calendar'!$Z$558)=FALSE,"",IF((Summary!$C$13="N")*('Dvd Calendar'!$Z$562='Field Check'!$C$25)&gt;0,"",'Dvd Calendar'!$Z$558)))</f>
        <v/>
      </c>
      <c r="EA45" s="85">
        <f>IF(BM45="","",IF(ISNUMBER('Dvd Calendar'!$AA$558)=FALSE,"",IF((Summary!$C$13="N")*('Dvd Calendar'!$AA$562='Field Check'!$C$25)&gt;0,"",'Dvd Calendar'!$AA$558)))</f>
        <v/>
      </c>
      <c r="EB45" s="85">
        <f>IF(BN45="","",IF(ISNUMBER('Dvd Calendar'!$AB$558)=FALSE,"",IF((Summary!$C$13="N")*('Dvd Calendar'!$AB$562='Field Check'!$C$25)&gt;0,"",'Dvd Calendar'!$AB$558)))</f>
        <v/>
      </c>
      <c r="EC45" s="85">
        <f>IF(BO45="","",IF(ISNUMBER('Dvd Calendar'!$AC$558)=FALSE,"",IF((Summary!$C$13="N")*('Dvd Calendar'!$AC$562='Field Check'!$C$25)&gt;0,"",'Dvd Calendar'!$AC$558)))</f>
        <v/>
      </c>
      <c r="EE45" s="85">
        <f>IF(BQ45="","",IFERROR(BQ45*HSI!$B$43*HSI!$G$43/HSI!$B$3,""))</f>
        <v/>
      </c>
      <c r="EF45" s="85">
        <f>IF(BR45="","",IFERROR(BR45*HSI!$B$43*HSI!$G$43/HSI!$B$3,""))</f>
        <v/>
      </c>
      <c r="EG45" s="85">
        <f>IF(BS45="","",IFERROR(BS45*HSI!$B$43*HSI!$G$43/HSI!$B$3,""))</f>
        <v/>
      </c>
      <c r="EH45" s="85">
        <f>IF(BT45="","",IFERROR(BT45*HSI!$B$43*HSI!$G$43/HSI!$B$3,""))</f>
        <v/>
      </c>
      <c r="EI45" s="85">
        <f>IF(BU45="","",IFERROR(BU45*HSI!$B$43*HSI!$G$43/HSI!$B$3,""))</f>
        <v/>
      </c>
      <c r="EJ45" s="85">
        <f>IF(BV45="","",IFERROR(BV45*HSI!$B$43*HSI!$G$43/HSI!$B$3,""))</f>
        <v/>
      </c>
      <c r="EK45" s="85">
        <f>IF(BW45="","",IFERROR(BW45*HSI!$B$43*HSI!$G$43/HSI!$B$3,""))</f>
        <v/>
      </c>
      <c r="EL45" s="85">
        <f>IF(BX45="","",IFERROR(BX45*HSI!$B$43*HSI!$G$43/HSI!$B$3,""))</f>
        <v/>
      </c>
      <c r="EM45" s="85">
        <f>IF(BY45="","",IFERROR(BY45*HSI!$B$43*HSI!$G$43/HSI!$B$3,""))</f>
        <v/>
      </c>
      <c r="EN45" s="85">
        <f>IF(BZ45="","",IFERROR(BZ45*HSI!$B$43*HSI!$G$43/HSI!$B$3,""))</f>
        <v/>
      </c>
      <c r="EO45" s="85">
        <f>IF(CA45="","",IFERROR(CA45*HSI!$B$43*HSI!$G$43/HSI!$B$3,""))</f>
        <v/>
      </c>
      <c r="EP45" s="85">
        <f>IF(CB45="","",IFERROR(CB45*HSI!$B$43*HSI!$G$43/HSI!$B$3,""))</f>
        <v/>
      </c>
      <c r="EQ45" s="85">
        <f>IF(CC45="","",IFERROR(CC45*HSI!$B$43*HSI!$G$43/HSI!$B$3,""))</f>
        <v/>
      </c>
      <c r="ER45" s="85">
        <f>IF(CD45="","",IFERROR(CD45*HSI!$B$43*HSI!$G$43/HSI!$B$3,""))</f>
        <v/>
      </c>
      <c r="ES45" s="85">
        <f>IF(CE45="","",IFERROR(CE45*HSI!$B$43*HSI!$G$43/HSI!$B$3,""))</f>
        <v/>
      </c>
      <c r="ET45" s="85">
        <f>IF(CF45="","",IFERROR(CF45*HSI!$B$43*HSI!$G$43/HSI!$B$3,""))</f>
        <v/>
      </c>
      <c r="EU45" s="85">
        <f>IF(CG45="","",IFERROR(CG45*HSI!$B$43*HSI!$G$43/HSI!$B$3,""))</f>
        <v/>
      </c>
      <c r="EV45" s="85">
        <f>IF(CH45="","",IFERROR(CH45*HSI!$B$43*HSI!$G$43/HSI!$B$3,""))</f>
        <v/>
      </c>
      <c r="EW45" s="85">
        <f>IF(CI45="","",IFERROR(CI45*HSI!$B$43*HSI!$G$43/HSI!$B$3,""))</f>
        <v/>
      </c>
      <c r="EX45" s="85">
        <f>IF(CJ45="","",IFERROR(CJ45*HSI!$B$43*HSI!$G$43/HSI!$B$3,""))</f>
        <v/>
      </c>
      <c r="EY45" s="85">
        <f>IF(CK45="","",IFERROR(CK45*HSI!$B$43*HSI!$G$43/HSI!$B$3,""))</f>
        <v/>
      </c>
      <c r="EZ45" s="85">
        <f>IF(CL45="","",IFERROR(CL45*HSI!$B$43*HSI!$G$43/HSI!$B$3,""))</f>
        <v/>
      </c>
      <c r="FA45" s="85">
        <f>IF(CM45="","",IFERROR(CM45*HSI!$B$43*HSI!$G$43/HSI!$B$3,""))</f>
        <v/>
      </c>
      <c r="FB45" s="85">
        <f>IF(CN45="","",IFERROR(CN45*HSI!$B$43*HSI!$G$43/HSI!$B$3,""))</f>
        <v/>
      </c>
      <c r="FC45" s="85">
        <f>IF(CO45="","",IFERROR(CO45*HSI!$B$43*HSI!$G$43/HSI!$B$3,""))</f>
        <v/>
      </c>
      <c r="FD45" s="85">
        <f>IF(CP45="","",IFERROR(CP45*HSI!$B$43*HSI!$G$43/HSI!$B$3,""))</f>
        <v/>
      </c>
      <c r="FE45" s="85">
        <f>IF(CQ45="","",IFERROR(CQ45*HSI!$B$43*HSI!$G$43/HSI!$B$3,""))</f>
        <v/>
      </c>
      <c r="FF45" s="85">
        <f>IF(CR45="","",IFERROR(CR45*HSI!$B$43*HSI!$G$43/HSI!$B$3,""))</f>
        <v/>
      </c>
      <c r="FG45" s="85">
        <f>IF(CS45="","",IFERROR(CS45*HSI!$B$43*HSI!$G$43/HSI!$B$3,""))</f>
        <v/>
      </c>
      <c r="FH45" s="85">
        <f>IF(CT45="","",IFERROR(CT45*HSI!$B$43*HSI!$G$43/HSI!$B$3,""))</f>
        <v/>
      </c>
      <c r="FI45" s="85">
        <f>IF(CU45="","",IFERROR(CU45*HSI!$B$43*HSI!$G$43/HSI!$B$3,""))</f>
        <v/>
      </c>
      <c r="FJ45" s="85">
        <f>IF(CV45="","",IFERROR(CV45*HSI!$B$43*HSI!$G$43/HSI!$B$3,""))</f>
        <v/>
      </c>
      <c r="FK45" s="85">
        <f>IF(CW45="","",IFERROR(CW45*HSI!$B$43*HSI!$G$43/HSI!$B$3,""))</f>
        <v/>
      </c>
      <c r="FL45" s="85">
        <f>IF(CX45="","",IFERROR(CX45*HSI!$B$43*HSI!$G$43/HSI!$B$3,""))</f>
        <v/>
      </c>
      <c r="FM45" s="85">
        <f>IF(CY45="","",IFERROR(CY45*HSI!$B$43*HSI!$G$43/HSI!$B$3,""))</f>
        <v/>
      </c>
      <c r="FN45" s="85">
        <f>IF(CZ45="","",IFERROR(CZ45*HSI!$B$43*HSI!$G$43/HSI!$B$3,""))</f>
        <v/>
      </c>
      <c r="FO45" s="85">
        <f>IF(DA45="","",IFERROR(DA45*HSI!$B$43*HSI!$G$43/HSI!$B$3,""))</f>
        <v/>
      </c>
      <c r="FP45" s="85">
        <f>IF(DB45="","",IFERROR(DB45*HSI!$B$43*HSI!$G$43/HSI!$B$3,""))</f>
        <v/>
      </c>
      <c r="FQ45" s="85">
        <f>IF(DC45="","",IFERROR(DC45*HSI!$B$43*HSI!$G$43/HSI!$B$3,""))</f>
        <v/>
      </c>
      <c r="FR45" s="85">
        <f>IF(DD45="","",IFERROR(DD45*HSI!$B$43*HSI!$G$43/HSI!$B$3,""))</f>
        <v/>
      </c>
      <c r="FS45" s="85">
        <f>IF(DE45="","",IFERROR(DE45*HSI!$B$43*HSI!$G$43/HSI!$B$3,""))</f>
        <v/>
      </c>
      <c r="FT45" s="85">
        <f>IF(DF45="","",IFERROR(DF45*HSI!$B$43*HSI!$G$43/HSI!$B$3,""))</f>
        <v/>
      </c>
      <c r="FU45" s="85">
        <f>IF(DG45="","",IFERROR(DG45*HSI!$B$43*HSI!$G$43/HSI!$B$3,""))</f>
        <v/>
      </c>
      <c r="FV45" s="85">
        <f>IF(DH45="","",IFERROR(DH45*HSI!$B$43*HSI!$G$43/HSI!$B$3,""))</f>
        <v/>
      </c>
      <c r="FW45" s="85">
        <f>IF(DI45="","",IFERROR(DI45*HSI!$B$43*HSI!$G$43/HSI!$B$3,""))</f>
        <v/>
      </c>
      <c r="FX45" s="85">
        <f>IF(DJ45="","",IFERROR(DJ45*HSI!$B$43*HSI!$G$43/HSI!$B$3,""))</f>
        <v/>
      </c>
      <c r="FY45" s="85">
        <f>IF(DK45="","",IFERROR(DK45*HSI!$B$43*HSI!$G$43/HSI!$B$3,""))</f>
        <v/>
      </c>
      <c r="FZ45" s="85">
        <f>IF(DL45="","",IFERROR(DL45*HSI!$B$43*HSI!$G$43/HSI!$B$3,""))</f>
        <v/>
      </c>
      <c r="GA45" s="85">
        <f>IF(DM45="","",IFERROR(DM45*HSI!$B$43*HSI!$G$43/HSI!$B$3,""))</f>
        <v/>
      </c>
      <c r="GB45" s="85">
        <f>IF(DN45="","",IFERROR(DN45*HSI!$B$43*HSI!$G$43/HSI!$B$3,""))</f>
        <v/>
      </c>
      <c r="GC45" s="85">
        <f>IF(DO45="","",IFERROR(DO45*HSI!$B$43*HSI!$G$43/HSI!$B$3,""))</f>
        <v/>
      </c>
      <c r="GD45" s="85">
        <f>IF(DP45="","",IFERROR(DP45*HSI!$B$43*HSI!$G$43/HSI!$B$3,""))</f>
        <v/>
      </c>
      <c r="GE45" s="85">
        <f>IF(DQ45="","",IFERROR(DQ45*HSI!$B$43*HSI!$G$43/HSI!$B$3,""))</f>
        <v/>
      </c>
      <c r="GF45" s="85">
        <f>IF(DR45="","",IFERROR(DR45*HSI!$B$43*HSI!$G$43/HSI!$B$3,""))</f>
        <v/>
      </c>
      <c r="GG45" s="85">
        <f>IF(DS45="","",IFERROR(DS45*HSI!$B$43*HSI!$G$43/HSI!$B$3,""))</f>
        <v/>
      </c>
      <c r="GH45" s="85">
        <f>IF(DT45="","",IFERROR(DT45*HSI!$B$43*HSI!$G$43/HSI!$B$3,""))</f>
        <v/>
      </c>
      <c r="GI45" s="85">
        <f>IF(DU45="","",IFERROR(DU45*HSI!$B$43*HSI!$G$43/HSI!$B$3,""))</f>
        <v/>
      </c>
      <c r="GJ45" s="85">
        <f>IF(DV45="","",IFERROR(DV45*HSI!$B$43*HSI!$G$43/HSI!$B$3,""))</f>
        <v/>
      </c>
      <c r="GK45" s="85">
        <f>IF(DW45="","",IFERROR(DW45*HSI!$B$43*HSI!$G$43/HSI!$B$3,""))</f>
        <v/>
      </c>
      <c r="GL45" s="85">
        <f>IF(DX45="","",IFERROR(DX45*HSI!$B$43*HSI!$G$43/HSI!$B$3,""))</f>
        <v/>
      </c>
      <c r="GM45" s="85">
        <f>IF(DY45="","",IFERROR(DY45*HSI!$B$43*HSI!$G$43/HSI!$B$3,""))</f>
        <v/>
      </c>
      <c r="GN45" s="85">
        <f>IF(DZ45="","",IFERROR(DZ45*HSI!$B$43*HSI!$G$43/HSI!$B$3,""))</f>
        <v/>
      </c>
      <c r="GO45" s="85">
        <f>IF(EA45="","",IFERROR(EA45*HSI!$B$43*HSI!$G$43/HSI!$B$3,""))</f>
        <v/>
      </c>
      <c r="GP45" s="85">
        <f>IF(EB45="","",IFERROR(EB45*HSI!$B$43*HSI!$G$43/HSI!$B$3,""))</f>
        <v/>
      </c>
      <c r="GQ45" s="85">
        <f>IF(EC45="","",IFERROR(EC45*HSI!$B$43*HSI!$G$43/HSI!$B$3,""))</f>
        <v/>
      </c>
    </row>
    <row r="46">
      <c r="B46" s="2">
        <f>IF(HSI!$C$44="","",HSI!$C$44)</f>
        <v/>
      </c>
      <c r="C46" s="41">
        <f>IF(N('Dvd Calendar'!$E$565)=0,"",IF(('Dvd Calendar'!$E$565&gt;=MIN(DATE(Summary!$C$12,1,1),Summary!$C$11))*('Dvd Calendar'!$E$565&lt;=MAX(DATE(Summary!$C$12,12,31),Summary!$C$15))*('Dvd Calendar'!$E$565&lt;=Summary!$C$11)=0,"",'Dvd Calendar'!$E$565*1000000000+ISNUMBER('Dvd Calendar'!$E$566)*100000000+('Dvd Calendar'!$E$570='Field Check'!$C$25)*10000000+(N('Dvd Calendar'!$E$564)&gt;0)*1000000+38*1000+1))</f>
        <v/>
      </c>
      <c r="D46" s="41">
        <f>IF(N('Dvd Calendar'!$F$565)=0,"",IF(('Dvd Calendar'!$F$565&gt;=MIN(DATE(Summary!$C$12,1,1),Summary!$C$11))*('Dvd Calendar'!$F$565&lt;=MAX(DATE(Summary!$C$12,12,31),Summary!$C$15))*('Dvd Calendar'!$F$565&lt;=Summary!$C$11)=0,"",'Dvd Calendar'!$F$565*1000000000+ISNUMBER('Dvd Calendar'!$F$566)*100000000+('Dvd Calendar'!$F$570='Field Check'!$C$25)*10000000+(N('Dvd Calendar'!$F$564)&gt;0)*1000000+38*1000+2))</f>
        <v/>
      </c>
      <c r="E46" s="41">
        <f>IF(N('Dvd Calendar'!$G$565)=0,"",IF(('Dvd Calendar'!$G$565&gt;=MIN(DATE(Summary!$C$12,1,1),Summary!$C$11))*('Dvd Calendar'!$G$565&lt;=MAX(DATE(Summary!$C$12,12,31),Summary!$C$15))*('Dvd Calendar'!$G$565&lt;=Summary!$C$11)=0,"",'Dvd Calendar'!$G$565*1000000000+ISNUMBER('Dvd Calendar'!$G$566)*100000000+('Dvd Calendar'!$G$570='Field Check'!$C$25)*10000000+(N('Dvd Calendar'!$G$564)&gt;0)*1000000+38*1000+3))</f>
        <v/>
      </c>
      <c r="F46" s="41">
        <f>IF(N('Dvd Calendar'!$H$565)=0,"",IF(('Dvd Calendar'!$H$565&gt;=MIN(DATE(Summary!$C$12,1,1),Summary!$C$11))*('Dvd Calendar'!$H$565&lt;=MAX(DATE(Summary!$C$12,12,31),Summary!$C$15))*('Dvd Calendar'!$H$565&lt;=Summary!$C$11)=0,"",'Dvd Calendar'!$H$565*1000000000+ISNUMBER('Dvd Calendar'!$H$566)*100000000+('Dvd Calendar'!$H$570='Field Check'!$C$25)*10000000+(N('Dvd Calendar'!$H$564)&gt;0)*1000000+38*1000+4))</f>
        <v/>
      </c>
      <c r="G46" s="41">
        <f>IF(N('Dvd Calendar'!$I$565)=0,"",IF(('Dvd Calendar'!$I$565&gt;=MIN(DATE(Summary!$C$12,1,1),Summary!$C$11))*('Dvd Calendar'!$I$565&lt;=MAX(DATE(Summary!$C$12,12,31),Summary!$C$15))*('Dvd Calendar'!$I$565&lt;=Summary!$C$11)=0,"",'Dvd Calendar'!$I$565*1000000000+ISNUMBER('Dvd Calendar'!$I$566)*100000000+('Dvd Calendar'!$I$570='Field Check'!$C$25)*10000000+(N('Dvd Calendar'!$I$564)&gt;0)*1000000+38*1000+5))</f>
        <v/>
      </c>
      <c r="H46" s="41">
        <f>IF(N('Dvd Calendar'!$J$565)=0,"",IF(('Dvd Calendar'!$J$565&gt;=MIN(DATE(Summary!$C$12,1,1),Summary!$C$11))*('Dvd Calendar'!$J$565&lt;=MAX(DATE(Summary!$C$12,12,31),Summary!$C$15))*('Dvd Calendar'!$J$565&lt;=Summary!$C$11)=0,"",'Dvd Calendar'!$J$565*1000000000+ISNUMBER('Dvd Calendar'!$J$566)*100000000+('Dvd Calendar'!$J$570='Field Check'!$C$25)*10000000+(N('Dvd Calendar'!$J$564)&gt;0)*1000000+38*1000+6))</f>
        <v/>
      </c>
      <c r="I46" s="41">
        <f>IF(N('Dvd Calendar'!$K$565)=0,"",IF(('Dvd Calendar'!$K$565&gt;=MIN(DATE(Summary!$C$12,1,1),Summary!$C$11))*('Dvd Calendar'!$K$565&lt;=MAX(DATE(Summary!$C$12,12,31),Summary!$C$15))*('Dvd Calendar'!$K$565&lt;=Summary!$C$11)=0,"",'Dvd Calendar'!$K$565*1000000000+ISNUMBER('Dvd Calendar'!$K$566)*100000000+('Dvd Calendar'!$K$570='Field Check'!$C$25)*10000000+(N('Dvd Calendar'!$K$564)&gt;0)*1000000+38*1000+7))</f>
        <v/>
      </c>
      <c r="J46" s="41">
        <f>IF(N('Dvd Calendar'!$L$565)=0,"",IF(('Dvd Calendar'!$L$565&gt;=MIN(DATE(Summary!$C$12,1,1),Summary!$C$11))*('Dvd Calendar'!$L$565&lt;=MAX(DATE(Summary!$C$12,12,31),Summary!$C$15))*('Dvd Calendar'!$L$565&lt;=Summary!$C$11)=0,"",'Dvd Calendar'!$L$565*1000000000+ISNUMBER('Dvd Calendar'!$L$566)*100000000+('Dvd Calendar'!$L$570='Field Check'!$C$25)*10000000+(N('Dvd Calendar'!$L$564)&gt;0)*1000000+38*1000+8))</f>
        <v/>
      </c>
      <c r="K46" s="41">
        <f>IF(N('Dvd Calendar'!$M$565)=0,"",IF(('Dvd Calendar'!$M$565&gt;=MIN(DATE(Summary!$C$12,1,1),Summary!$C$11))*('Dvd Calendar'!$M$565&lt;=MAX(DATE(Summary!$C$12,12,31),Summary!$C$15))*('Dvd Calendar'!$M$565&lt;=Summary!$C$11)=0,"",'Dvd Calendar'!$M$565*1000000000+ISNUMBER('Dvd Calendar'!$M$566)*100000000+('Dvd Calendar'!$M$570='Field Check'!$C$25)*10000000+(N('Dvd Calendar'!$M$564)&gt;0)*1000000+38*1000+9))</f>
        <v/>
      </c>
      <c r="L46" s="41">
        <f>IF(N('Dvd Calendar'!$N$565)=0,"",IF(('Dvd Calendar'!$N$565&gt;=MIN(DATE(Summary!$C$12,1,1),Summary!$C$11))*('Dvd Calendar'!$N$565&lt;=MAX(DATE(Summary!$C$12,12,31),Summary!$C$15))*('Dvd Calendar'!$N$565&lt;=Summary!$C$11)=0,"",'Dvd Calendar'!$N$565*1000000000+ISNUMBER('Dvd Calendar'!$N$566)*100000000+('Dvd Calendar'!$N$570='Field Check'!$C$25)*10000000+(N('Dvd Calendar'!$N$564)&gt;0)*1000000+38*1000+10))</f>
        <v/>
      </c>
      <c r="M46" s="41">
        <f>IF(N('Dvd Calendar'!$O$565)=0,"",IF(('Dvd Calendar'!$O$565&gt;=MIN(DATE(Summary!$C$12,1,1),Summary!$C$11))*('Dvd Calendar'!$O$565&lt;=MAX(DATE(Summary!$C$12,12,31),Summary!$C$15))*('Dvd Calendar'!$O$565&lt;=Summary!$C$11)=0,"",'Dvd Calendar'!$O$565*1000000000+ISNUMBER('Dvd Calendar'!$O$566)*100000000+('Dvd Calendar'!$O$570='Field Check'!$C$25)*10000000+(N('Dvd Calendar'!$O$564)&gt;0)*1000000+38*1000+11))</f>
        <v/>
      </c>
      <c r="N46" s="41">
        <f>IF(N('Dvd Calendar'!$P$565)=0,"",IF(('Dvd Calendar'!$P$565&gt;=MIN(DATE(Summary!$C$12,1,1),Summary!$C$11))*('Dvd Calendar'!$P$565&lt;=MAX(DATE(Summary!$C$12,12,31),Summary!$C$15))*('Dvd Calendar'!$P$565&lt;=Summary!$C$11)=0,"",'Dvd Calendar'!$P$565*1000000000+ISNUMBER('Dvd Calendar'!$P$566)*100000000+('Dvd Calendar'!$P$570='Field Check'!$C$25)*10000000+(N('Dvd Calendar'!$P$564)&gt;0)*1000000+38*1000+12))</f>
        <v/>
      </c>
      <c r="O46" s="41">
        <f>IF(N('Dvd Calendar'!$Q$565)=0,"",IF(('Dvd Calendar'!$Q$565&gt;=MIN(DATE(Summary!$C$12,1,1),Summary!$C$11))*('Dvd Calendar'!$Q$565&lt;=MAX(DATE(Summary!$C$12,12,31),Summary!$C$15))*('Dvd Calendar'!$Q$565&lt;=Summary!$C$11)=0,"",'Dvd Calendar'!$Q$565*1000000000+ISNUMBER('Dvd Calendar'!$Q$566)*100000000+('Dvd Calendar'!$Q$570='Field Check'!$C$25)*10000000+(N('Dvd Calendar'!$Q$564)&gt;0)*1000000+38*1000+13))</f>
        <v/>
      </c>
      <c r="P46" s="41">
        <f>IF(N('Dvd Calendar'!$R$565)=0,"",IF(('Dvd Calendar'!$R$565&gt;=MIN(DATE(Summary!$C$12,1,1),Summary!$C$11))*('Dvd Calendar'!$R$565&lt;=MAX(DATE(Summary!$C$12,12,31),Summary!$C$15))*('Dvd Calendar'!$R$565&lt;=Summary!$C$11)=0,"",'Dvd Calendar'!$R$565*1000000000+ISNUMBER('Dvd Calendar'!$R$566)*100000000+('Dvd Calendar'!$R$570='Field Check'!$C$25)*10000000+(N('Dvd Calendar'!$R$564)&gt;0)*1000000+38*1000+14))</f>
        <v/>
      </c>
      <c r="Q46" s="41">
        <f>IF(N('Dvd Calendar'!$S$565)=0,"",IF(('Dvd Calendar'!$S$565&gt;=MIN(DATE(Summary!$C$12,1,1),Summary!$C$11))*('Dvd Calendar'!$S$565&lt;=MAX(DATE(Summary!$C$12,12,31),Summary!$C$15))*('Dvd Calendar'!$S$565&lt;=Summary!$C$11)=0,"",'Dvd Calendar'!$S$565*1000000000+ISNUMBER('Dvd Calendar'!$S$566)*100000000+('Dvd Calendar'!$S$570='Field Check'!$C$25)*10000000+(N('Dvd Calendar'!$S$564)&gt;0)*1000000+38*1000+15))</f>
        <v/>
      </c>
      <c r="R46" s="41">
        <f>IF(N('Dvd Calendar'!$T$565)=0,"",IF(('Dvd Calendar'!$T$565&gt;=MIN(DATE(Summary!$C$12,1,1),Summary!$C$11))*('Dvd Calendar'!$T$565&lt;=MAX(DATE(Summary!$C$12,12,31),Summary!$C$15))*('Dvd Calendar'!$T$565&lt;=Summary!$C$11)=0,"",'Dvd Calendar'!$T$565*1000000000+ISNUMBER('Dvd Calendar'!$T$566)*100000000+('Dvd Calendar'!$T$570='Field Check'!$C$25)*10000000+(N('Dvd Calendar'!$T$564)&gt;0)*1000000+38*1000+16))</f>
        <v/>
      </c>
      <c r="S46" s="41">
        <f>IF(N('Dvd Calendar'!$U$565)=0,"",IF(('Dvd Calendar'!$U$565&gt;=MIN(DATE(Summary!$C$12,1,1),Summary!$C$11))*('Dvd Calendar'!$U$565&lt;=MAX(DATE(Summary!$C$12,12,31),Summary!$C$15))*('Dvd Calendar'!$U$565&lt;=Summary!$C$11)=0,"",'Dvd Calendar'!$U$565*1000000000+ISNUMBER('Dvd Calendar'!$U$566)*100000000+('Dvd Calendar'!$U$570='Field Check'!$C$25)*10000000+(N('Dvd Calendar'!$U$564)&gt;0)*1000000+38*1000+17))</f>
        <v/>
      </c>
      <c r="T46" s="41">
        <f>IF(N('Dvd Calendar'!$V$565)=0,"",IF(('Dvd Calendar'!$V$565&gt;=MIN(DATE(Summary!$C$12,1,1),Summary!$C$11))*('Dvd Calendar'!$V$565&lt;=MAX(DATE(Summary!$C$12,12,31),Summary!$C$15))*('Dvd Calendar'!$V$565&lt;=Summary!$C$11)=0,"",'Dvd Calendar'!$V$565*1000000000+ISNUMBER('Dvd Calendar'!$V$566)*100000000+('Dvd Calendar'!$V$570='Field Check'!$C$25)*10000000+(N('Dvd Calendar'!$V$564)&gt;0)*1000000+38*1000+18))</f>
        <v/>
      </c>
      <c r="U46" s="41">
        <f>IF(N('Dvd Calendar'!$W$565)=0,"",IF(('Dvd Calendar'!$W$565&gt;=MIN(DATE(Summary!$C$12,1,1),Summary!$C$11))*('Dvd Calendar'!$W$565&lt;=MAX(DATE(Summary!$C$12,12,31),Summary!$C$15))*('Dvd Calendar'!$W$565&lt;=Summary!$C$11)=0,"",'Dvd Calendar'!$W$565*1000000000+ISNUMBER('Dvd Calendar'!$W$566)*100000000+('Dvd Calendar'!$W$570='Field Check'!$C$25)*10000000+(N('Dvd Calendar'!$W$564)&gt;0)*1000000+38*1000+19))</f>
        <v/>
      </c>
      <c r="V46" s="41">
        <f>IF(N('Dvd Calendar'!$X$565)=0,"",IF(('Dvd Calendar'!$X$565&gt;=MIN(DATE(Summary!$C$12,1,1),Summary!$C$11))*('Dvd Calendar'!$X$565&lt;=MAX(DATE(Summary!$C$12,12,31),Summary!$C$15))*('Dvd Calendar'!$X$565&lt;=Summary!$C$11)=0,"",'Dvd Calendar'!$X$565*1000000000+ISNUMBER('Dvd Calendar'!$X$566)*100000000+('Dvd Calendar'!$X$570='Field Check'!$C$25)*10000000+(N('Dvd Calendar'!$X$564)&gt;0)*1000000+38*1000+20))</f>
        <v/>
      </c>
      <c r="W46" s="41">
        <f>IF(N('Dvd Calendar'!$Y$565)=0,"",IF(('Dvd Calendar'!$Y$565&gt;=MIN(DATE(Summary!$C$12,1,1),Summary!$C$11))*('Dvd Calendar'!$Y$565&lt;=MAX(DATE(Summary!$C$12,12,31),Summary!$C$15))*('Dvd Calendar'!$Y$565&lt;=Summary!$C$11)=0,"",'Dvd Calendar'!$Y$565*1000000000+ISNUMBER('Dvd Calendar'!$Y$566)*100000000+('Dvd Calendar'!$Y$570='Field Check'!$C$25)*10000000+(N('Dvd Calendar'!$Y$564)&gt;0)*1000000+38*1000+21))</f>
        <v/>
      </c>
      <c r="X46" s="41">
        <f>IF(N('Dvd Calendar'!$Z$565)=0,"",IF(('Dvd Calendar'!$Z$565&gt;=MIN(DATE(Summary!$C$12,1,1),Summary!$C$11))*('Dvd Calendar'!$Z$565&lt;=MAX(DATE(Summary!$C$12,12,31),Summary!$C$15))*('Dvd Calendar'!$Z$565&lt;=Summary!$C$11)=0,"",'Dvd Calendar'!$Z$565*1000000000+ISNUMBER('Dvd Calendar'!$Z$566)*100000000+('Dvd Calendar'!$Z$570='Field Check'!$C$25)*10000000+(N('Dvd Calendar'!$Z$564)&gt;0)*1000000+38*1000+22))</f>
        <v/>
      </c>
      <c r="Y46" s="41">
        <f>IF(N('Dvd Calendar'!$AA$565)=0,"",IF(('Dvd Calendar'!$AA$565&gt;=MIN(DATE(Summary!$C$12,1,1),Summary!$C$11))*('Dvd Calendar'!$AA$565&lt;=MAX(DATE(Summary!$C$12,12,31),Summary!$C$15))*('Dvd Calendar'!$AA$565&lt;=Summary!$C$11)=0,"",'Dvd Calendar'!$AA$565*1000000000+ISNUMBER('Dvd Calendar'!$AA$566)*100000000+('Dvd Calendar'!$AA$570='Field Check'!$C$25)*10000000+(N('Dvd Calendar'!$AA$564)&gt;0)*1000000+38*1000+23))</f>
        <v/>
      </c>
      <c r="Z46" s="41">
        <f>IF(N('Dvd Calendar'!$AB$565)=0,"",IF(('Dvd Calendar'!$AB$565&gt;=MIN(DATE(Summary!$C$12,1,1),Summary!$C$11))*('Dvd Calendar'!$AB$565&lt;=MAX(DATE(Summary!$C$12,12,31),Summary!$C$15))*('Dvd Calendar'!$AB$565&lt;=Summary!$C$11)=0,"",'Dvd Calendar'!$AB$565*1000000000+ISNUMBER('Dvd Calendar'!$AB$566)*100000000+('Dvd Calendar'!$AB$570='Field Check'!$C$25)*10000000+(N('Dvd Calendar'!$AB$564)&gt;0)*1000000+38*1000+24))</f>
        <v/>
      </c>
      <c r="AA46" s="41">
        <f>IF(N('Dvd Calendar'!$AC$565)=0,"",IF(('Dvd Calendar'!$AC$565&gt;=MIN(DATE(Summary!$C$12,1,1),Summary!$C$11))*('Dvd Calendar'!$AC$565&lt;=MAX(DATE(Summary!$C$12,12,31),Summary!$C$15))*('Dvd Calendar'!$AC$565&lt;=Summary!$C$11)=0,"",'Dvd Calendar'!$AC$565*1000000000+ISNUMBER('Dvd Calendar'!$AC$566)*100000000+('Dvd Calendar'!$AC$570='Field Check'!$C$25)*10000000+(N('Dvd Calendar'!$AC$564)&gt;0)*1000000+38*1000+25))</f>
        <v/>
      </c>
      <c r="AB46" s="41">
        <f>IF(N('Dvd Calendar'!$AD$565)=0,"",IF(('Dvd Calendar'!$AD$565&gt;=MIN(DATE(Summary!$C$12,1,1),Summary!$C$11))*('Dvd Calendar'!$AD$565&lt;=MAX(DATE(Summary!$C$12,12,31),Summary!$C$15))*('Dvd Calendar'!$AD$565&lt;=Summary!$C$11)=0,"",'Dvd Calendar'!$AD$565*1000000000+ISNUMBER('Dvd Calendar'!$AD$566)*100000000+('Dvd Calendar'!$AD$570='Field Check'!$C$25)*10000000+(N('Dvd Calendar'!$AD$564)&gt;0)*1000000+38*1000+26))</f>
        <v/>
      </c>
      <c r="AC46" s="41">
        <f>IF(N('Dvd Calendar'!$AE$565)=0,"",IF(('Dvd Calendar'!$AE$565&gt;=MIN(DATE(Summary!$C$12,1,1),Summary!$C$11))*('Dvd Calendar'!$AE$565&lt;=MAX(DATE(Summary!$C$12,12,31),Summary!$C$15))*('Dvd Calendar'!$AE$565&lt;=Summary!$C$11)=0,"",'Dvd Calendar'!$AE$565*1000000000+ISNUMBER('Dvd Calendar'!$AE$566)*100000000+('Dvd Calendar'!$AE$570='Field Check'!$C$25)*10000000+(N('Dvd Calendar'!$AE$564)&gt;0)*1000000+38*1000+27))</f>
        <v/>
      </c>
      <c r="AD46" s="41">
        <f>IF(N('Dvd Calendar'!$AF$565)=0,"",IF(('Dvd Calendar'!$AF$565&gt;=MIN(DATE(Summary!$C$12,1,1),Summary!$C$11))*('Dvd Calendar'!$AF$565&lt;=MAX(DATE(Summary!$C$12,12,31),Summary!$C$15))*('Dvd Calendar'!$AF$565&lt;=Summary!$C$11)=0,"",'Dvd Calendar'!$AF$565*1000000000+ISNUMBER('Dvd Calendar'!$AF$566)*100000000+('Dvd Calendar'!$AF$570='Field Check'!$C$25)*10000000+(N('Dvd Calendar'!$AF$564)&gt;0)*1000000+38*1000+28))</f>
        <v/>
      </c>
      <c r="AE46" s="41">
        <f>IF(N('Dvd Calendar'!$AG$565)=0,"",IF(('Dvd Calendar'!$AG$565&gt;=MIN(DATE(Summary!$C$12,1,1),Summary!$C$11))*('Dvd Calendar'!$AG$565&lt;=MAX(DATE(Summary!$C$12,12,31),Summary!$C$15))*('Dvd Calendar'!$AG$565&lt;=Summary!$C$11)=0,"",'Dvd Calendar'!$AG$565*1000000000+ISNUMBER('Dvd Calendar'!$AG$566)*100000000+('Dvd Calendar'!$AG$570='Field Check'!$C$25)*10000000+(N('Dvd Calendar'!$AG$564)&gt;0)*1000000+38*1000+29))</f>
        <v/>
      </c>
      <c r="AF46" s="41">
        <f>IF(N('Dvd Calendar'!$AH$565)=0,"",IF(('Dvd Calendar'!$AH$565&gt;=MIN(DATE(Summary!$C$12,1,1),Summary!$C$11))*('Dvd Calendar'!$AH$565&lt;=MAX(DATE(Summary!$C$12,12,31),Summary!$C$15))*('Dvd Calendar'!$AH$565&lt;=Summary!$C$11)=0,"",'Dvd Calendar'!$AH$565*1000000000+ISNUMBER('Dvd Calendar'!$AH$566)*100000000+('Dvd Calendar'!$AH$570='Field Check'!$C$25)*10000000+(N('Dvd Calendar'!$AH$564)&gt;0)*1000000+38*1000+30))</f>
        <v/>
      </c>
      <c r="AG46" s="41">
        <f>IF(N('Dvd Calendar'!$AI$565)=0,"",IF(('Dvd Calendar'!$AI$565&gt;=MIN(DATE(Summary!$C$12,1,1),Summary!$C$11))*('Dvd Calendar'!$AI$565&lt;=MAX(DATE(Summary!$C$12,12,31),Summary!$C$15))*('Dvd Calendar'!$AI$565&lt;=Summary!$C$11)=0,"",'Dvd Calendar'!$AI$565*1000000000+ISNUMBER('Dvd Calendar'!$AI$566)*100000000+('Dvd Calendar'!$AI$570='Field Check'!$C$25)*10000000+(N('Dvd Calendar'!$AI$564)&gt;0)*1000000+38*1000+31))</f>
        <v/>
      </c>
      <c r="AH46" s="41">
        <f>IF(N('Dvd Calendar'!$AJ$565)=0,"",IF(('Dvd Calendar'!$AJ$565&gt;=MIN(DATE(Summary!$C$12,1,1),Summary!$C$11))*('Dvd Calendar'!$AJ$565&lt;=MAX(DATE(Summary!$C$12,12,31),Summary!$C$15))*('Dvd Calendar'!$AJ$565&lt;=Summary!$C$11)=0,"",'Dvd Calendar'!$AJ$565*1000000000+ISNUMBER('Dvd Calendar'!$AJ$566)*100000000+('Dvd Calendar'!$AJ$570='Field Check'!$C$25)*10000000+(N('Dvd Calendar'!$AJ$564)&gt;0)*1000000+38*1000+32))</f>
        <v/>
      </c>
      <c r="AI46" s="41">
        <f>IF(N('Dvd Calendar'!$AK$565)=0,"",IF(('Dvd Calendar'!$AK$565&gt;=MIN(DATE(Summary!$C$12,1,1),Summary!$C$11))*('Dvd Calendar'!$AK$565&lt;=MAX(DATE(Summary!$C$12,12,31),Summary!$C$15))*('Dvd Calendar'!$AK$565&lt;=Summary!$C$11)=0,"",'Dvd Calendar'!$AK$565*1000000000+ISNUMBER('Dvd Calendar'!$AK$566)*100000000+('Dvd Calendar'!$AK$570='Field Check'!$C$25)*10000000+(N('Dvd Calendar'!$AK$564)&gt;0)*1000000+38*1000+33))</f>
        <v/>
      </c>
      <c r="AJ46" s="41">
        <f>IF(N('Dvd Calendar'!$AL$565)=0,"",IF(('Dvd Calendar'!$AL$565&gt;=MIN(DATE(Summary!$C$12,1,1),Summary!$C$11))*('Dvd Calendar'!$AL$565&lt;=MAX(DATE(Summary!$C$12,12,31),Summary!$C$15))*('Dvd Calendar'!$AL$565&lt;=Summary!$C$11)=0,"",'Dvd Calendar'!$AL$565*1000000000+ISNUMBER('Dvd Calendar'!$AL$566)*100000000+('Dvd Calendar'!$AL$570='Field Check'!$C$25)*10000000+(N('Dvd Calendar'!$AL$564)&gt;0)*1000000+38*1000+34))</f>
        <v/>
      </c>
      <c r="AK46" s="41">
        <f>IF(N('Dvd Calendar'!$AM$565)=0,"",IF(('Dvd Calendar'!$AM$565&gt;=MIN(DATE(Summary!$C$12,1,1),Summary!$C$11))*('Dvd Calendar'!$AM$565&lt;=MAX(DATE(Summary!$C$12,12,31),Summary!$C$15))*('Dvd Calendar'!$AM$565&lt;=Summary!$C$11)=0,"",'Dvd Calendar'!$AM$565*1000000000+ISNUMBER('Dvd Calendar'!$AM$566)*100000000+('Dvd Calendar'!$AM$570='Field Check'!$C$25)*10000000+(N('Dvd Calendar'!$AM$564)&gt;0)*1000000+38*1000+35))</f>
        <v/>
      </c>
      <c r="AL46" s="41">
        <f>IF(N('Dvd Calendar'!$AN$565)=0,"",IF(('Dvd Calendar'!$AN$565&gt;=MIN(DATE(Summary!$C$12,1,1),Summary!$C$11))*('Dvd Calendar'!$AN$565&lt;=MAX(DATE(Summary!$C$12,12,31),Summary!$C$15))*('Dvd Calendar'!$AN$565&lt;=Summary!$C$11)=0,"",'Dvd Calendar'!$AN$565*1000000000+ISNUMBER('Dvd Calendar'!$AN$566)*100000000+('Dvd Calendar'!$AN$570='Field Check'!$C$25)*10000000+(N('Dvd Calendar'!$AN$564)&gt;0)*1000000+38*1000+36))</f>
        <v/>
      </c>
      <c r="AM46" s="41">
        <f>IF(N('Dvd Calendar'!$AO$565)=0,"",IF(('Dvd Calendar'!$AO$565&gt;=MIN(DATE(Summary!$C$12,1,1),Summary!$C$11))*('Dvd Calendar'!$AO$565&lt;=MAX(DATE(Summary!$C$12,12,31),Summary!$C$15))*('Dvd Calendar'!$AO$565&lt;=Summary!$C$11)=0,"",'Dvd Calendar'!$AO$565*1000000000+ISNUMBER('Dvd Calendar'!$AO$566)*100000000+('Dvd Calendar'!$AO$570='Field Check'!$C$25)*10000000+(N('Dvd Calendar'!$AO$564)&gt;0)*1000000+38*1000+37))</f>
        <v/>
      </c>
      <c r="AN46" s="41">
        <f>IF(N('Dvd Calendar'!$AP$565)=0,"",IF(('Dvd Calendar'!$AP$565&gt;=MIN(DATE(Summary!$C$12,1,1),Summary!$C$11))*('Dvd Calendar'!$AP$565&lt;=MAX(DATE(Summary!$C$12,12,31),Summary!$C$15))*('Dvd Calendar'!$AP$565&lt;=Summary!$C$11)=0,"",'Dvd Calendar'!$AP$565*1000000000+ISNUMBER('Dvd Calendar'!$AP$566)*100000000+('Dvd Calendar'!$AP$570='Field Check'!$C$25)*10000000+(N('Dvd Calendar'!$AP$564)&gt;0)*1000000+38*1000+38))</f>
        <v/>
      </c>
      <c r="AO46" s="41">
        <f>IF(N('Dvd Calendar'!$AQ$565)=0,"",IF(('Dvd Calendar'!$AQ$565&gt;=MIN(DATE(Summary!$C$12,1,1),Summary!$C$11))*('Dvd Calendar'!$AQ$565&lt;=MAX(DATE(Summary!$C$12,12,31),Summary!$C$15))*('Dvd Calendar'!$AQ$565&lt;=Summary!$C$11)=0,"",'Dvd Calendar'!$AQ$565*1000000000+ISNUMBER('Dvd Calendar'!$AQ$566)*100000000+('Dvd Calendar'!$AQ$570='Field Check'!$C$25)*10000000+(N('Dvd Calendar'!$AQ$564)&gt;0)*1000000+38*1000+39))</f>
        <v/>
      </c>
      <c r="AP46" s="41">
        <f>IF(N('Dvd Calendar'!$AR$565)=0,"",IF(('Dvd Calendar'!$AR$565&gt;=MIN(DATE(Summary!$C$12,1,1),Summary!$C$11))*('Dvd Calendar'!$AR$565&lt;=MAX(DATE(Summary!$C$12,12,31),Summary!$C$15))*('Dvd Calendar'!$AR$565&lt;=Summary!$C$11)=0,"",'Dvd Calendar'!$AR$565*1000000000+ISNUMBER('Dvd Calendar'!$AR$566)*100000000+('Dvd Calendar'!$AR$570='Field Check'!$C$25)*10000000+(N('Dvd Calendar'!$AR$564)&gt;0)*1000000+38*1000+40))</f>
        <v/>
      </c>
      <c r="AQ46" s="41">
        <f>IF(N('Dvd Calendar'!$E$572)=0,"",IF(('Dvd Calendar'!$E$572&gt;=MIN(DATE(Summary!$C$12,1,1),Summary!$C$11))*('Dvd Calendar'!$E$572&lt;=MAX(DATE(Summary!$C$12,12,31),Summary!$C$15))*('Dvd Calendar'!$E$572&gt;Summary!$C$11)=0,"",'Dvd Calendar'!$E$572*1000000000+ISNUMBER('Dvd Calendar'!$E$573)*100000000+('Dvd Calendar'!$E$577='Field Check'!$C$25)*10000000+(N('Dvd Calendar'!$E$571)&gt;0)*1000000+38*1000+41))</f>
        <v/>
      </c>
      <c r="AR46" s="41">
        <f>IF(N('Dvd Calendar'!$F$572)=0,"",IF(('Dvd Calendar'!$F$572&gt;=MIN(DATE(Summary!$C$12,1,1),Summary!$C$11))*('Dvd Calendar'!$F$572&lt;=MAX(DATE(Summary!$C$12,12,31),Summary!$C$15))*('Dvd Calendar'!$F$572&gt;Summary!$C$11)=0,"",'Dvd Calendar'!$F$572*1000000000+ISNUMBER('Dvd Calendar'!$F$573)*100000000+('Dvd Calendar'!$F$577='Field Check'!$C$25)*10000000+(N('Dvd Calendar'!$F$571)&gt;0)*1000000+38*1000+42))</f>
        <v/>
      </c>
      <c r="AS46" s="41">
        <f>IF(N('Dvd Calendar'!$G$572)=0,"",IF(('Dvd Calendar'!$G$572&gt;=MIN(DATE(Summary!$C$12,1,1),Summary!$C$11))*('Dvd Calendar'!$G$572&lt;=MAX(DATE(Summary!$C$12,12,31),Summary!$C$15))*('Dvd Calendar'!$G$572&gt;Summary!$C$11)=0,"",'Dvd Calendar'!$G$572*1000000000+ISNUMBER('Dvd Calendar'!$G$573)*100000000+('Dvd Calendar'!$G$577='Field Check'!$C$25)*10000000+(N('Dvd Calendar'!$G$571)&gt;0)*1000000+38*1000+43))</f>
        <v/>
      </c>
      <c r="AT46" s="41">
        <f>IF(N('Dvd Calendar'!$H$572)=0,"",IF(('Dvd Calendar'!$H$572&gt;=MIN(DATE(Summary!$C$12,1,1),Summary!$C$11))*('Dvd Calendar'!$H$572&lt;=MAX(DATE(Summary!$C$12,12,31),Summary!$C$15))*('Dvd Calendar'!$H$572&gt;Summary!$C$11)=0,"",'Dvd Calendar'!$H$572*1000000000+ISNUMBER('Dvd Calendar'!$H$573)*100000000+('Dvd Calendar'!$H$577='Field Check'!$C$25)*10000000+(N('Dvd Calendar'!$H$571)&gt;0)*1000000+38*1000+44))</f>
        <v/>
      </c>
      <c r="AU46" s="41">
        <f>IF(N('Dvd Calendar'!$I$572)=0,"",IF(('Dvd Calendar'!$I$572&gt;=MIN(DATE(Summary!$C$12,1,1),Summary!$C$11))*('Dvd Calendar'!$I$572&lt;=MAX(DATE(Summary!$C$12,12,31),Summary!$C$15))*('Dvd Calendar'!$I$572&gt;Summary!$C$11)=0,"",'Dvd Calendar'!$I$572*1000000000+ISNUMBER('Dvd Calendar'!$I$573)*100000000+('Dvd Calendar'!$I$577='Field Check'!$C$25)*10000000+(N('Dvd Calendar'!$I$571)&gt;0)*1000000+38*1000+45))</f>
        <v/>
      </c>
      <c r="AV46" s="41">
        <f>IF(N('Dvd Calendar'!$J$572)=0,"",IF(('Dvd Calendar'!$J$572&gt;=MIN(DATE(Summary!$C$12,1,1),Summary!$C$11))*('Dvd Calendar'!$J$572&lt;=MAX(DATE(Summary!$C$12,12,31),Summary!$C$15))*('Dvd Calendar'!$J$572&gt;Summary!$C$11)=0,"",'Dvd Calendar'!$J$572*1000000000+ISNUMBER('Dvd Calendar'!$J$573)*100000000+('Dvd Calendar'!$J$577='Field Check'!$C$25)*10000000+(N('Dvd Calendar'!$J$571)&gt;0)*1000000+38*1000+46))</f>
        <v/>
      </c>
      <c r="AW46" s="41">
        <f>IF(N('Dvd Calendar'!$K$572)=0,"",IF(('Dvd Calendar'!$K$572&gt;=MIN(DATE(Summary!$C$12,1,1),Summary!$C$11))*('Dvd Calendar'!$K$572&lt;=MAX(DATE(Summary!$C$12,12,31),Summary!$C$15))*('Dvd Calendar'!$K$572&gt;Summary!$C$11)=0,"",'Dvd Calendar'!$K$572*1000000000+ISNUMBER('Dvd Calendar'!$K$573)*100000000+('Dvd Calendar'!$K$577='Field Check'!$C$25)*10000000+(N('Dvd Calendar'!$K$571)&gt;0)*1000000+38*1000+47))</f>
        <v/>
      </c>
      <c r="AX46" s="41">
        <f>IF(N('Dvd Calendar'!$L$572)=0,"",IF(('Dvd Calendar'!$L$572&gt;=MIN(DATE(Summary!$C$12,1,1),Summary!$C$11))*('Dvd Calendar'!$L$572&lt;=MAX(DATE(Summary!$C$12,12,31),Summary!$C$15))*('Dvd Calendar'!$L$572&gt;Summary!$C$11)=0,"",'Dvd Calendar'!$L$572*1000000000+ISNUMBER('Dvd Calendar'!$L$573)*100000000+('Dvd Calendar'!$L$577='Field Check'!$C$25)*10000000+(N('Dvd Calendar'!$L$571)&gt;0)*1000000+38*1000+48))</f>
        <v/>
      </c>
      <c r="AY46" s="41">
        <f>IF(N('Dvd Calendar'!$M$572)=0,"",IF(('Dvd Calendar'!$M$572&gt;=MIN(DATE(Summary!$C$12,1,1),Summary!$C$11))*('Dvd Calendar'!$M$572&lt;=MAX(DATE(Summary!$C$12,12,31),Summary!$C$15))*('Dvd Calendar'!$M$572&gt;Summary!$C$11)=0,"",'Dvd Calendar'!$M$572*1000000000+ISNUMBER('Dvd Calendar'!$M$573)*100000000+('Dvd Calendar'!$M$577='Field Check'!$C$25)*10000000+(N('Dvd Calendar'!$M$571)&gt;0)*1000000+38*1000+49))</f>
        <v/>
      </c>
      <c r="AZ46" s="41">
        <f>IF(N('Dvd Calendar'!$N$572)=0,"",IF(('Dvd Calendar'!$N$572&gt;=MIN(DATE(Summary!$C$12,1,1),Summary!$C$11))*('Dvd Calendar'!$N$572&lt;=MAX(DATE(Summary!$C$12,12,31),Summary!$C$15))*('Dvd Calendar'!$N$572&gt;Summary!$C$11)=0,"",'Dvd Calendar'!$N$572*1000000000+ISNUMBER('Dvd Calendar'!$N$573)*100000000+('Dvd Calendar'!$N$577='Field Check'!$C$25)*10000000+(N('Dvd Calendar'!$N$571)&gt;0)*1000000+38*1000+50))</f>
        <v/>
      </c>
      <c r="BA46" s="41">
        <f>IF(N('Dvd Calendar'!$O$572)=0,"",IF(('Dvd Calendar'!$O$572&gt;=MIN(DATE(Summary!$C$12,1,1),Summary!$C$11))*('Dvd Calendar'!$O$572&lt;=MAX(DATE(Summary!$C$12,12,31),Summary!$C$15))*('Dvd Calendar'!$O$572&gt;Summary!$C$11)=0,"",'Dvd Calendar'!$O$572*1000000000+ISNUMBER('Dvd Calendar'!$O$573)*100000000+('Dvd Calendar'!$O$577='Field Check'!$C$25)*10000000+(N('Dvd Calendar'!$O$571)&gt;0)*1000000+38*1000+51))</f>
        <v/>
      </c>
      <c r="BB46" s="41">
        <f>IF(N('Dvd Calendar'!$P$572)=0,"",IF(('Dvd Calendar'!$P$572&gt;=MIN(DATE(Summary!$C$12,1,1),Summary!$C$11))*('Dvd Calendar'!$P$572&lt;=MAX(DATE(Summary!$C$12,12,31),Summary!$C$15))*('Dvd Calendar'!$P$572&gt;Summary!$C$11)=0,"",'Dvd Calendar'!$P$572*1000000000+ISNUMBER('Dvd Calendar'!$P$573)*100000000+('Dvd Calendar'!$P$577='Field Check'!$C$25)*10000000+(N('Dvd Calendar'!$P$571)&gt;0)*1000000+38*1000+52))</f>
        <v/>
      </c>
      <c r="BC46" s="41">
        <f>IF(N('Dvd Calendar'!$Q$572)=0,"",IF(('Dvd Calendar'!$Q$572&gt;=MIN(DATE(Summary!$C$12,1,1),Summary!$C$11))*('Dvd Calendar'!$Q$572&lt;=MAX(DATE(Summary!$C$12,12,31),Summary!$C$15))*('Dvd Calendar'!$Q$572&gt;Summary!$C$11)=0,"",'Dvd Calendar'!$Q$572*1000000000+ISNUMBER('Dvd Calendar'!$Q$573)*100000000+('Dvd Calendar'!$Q$577='Field Check'!$C$25)*10000000+(N('Dvd Calendar'!$Q$571)&gt;0)*1000000+38*1000+53))</f>
        <v/>
      </c>
      <c r="BD46" s="41">
        <f>IF(N('Dvd Calendar'!$R$572)=0,"",IF(('Dvd Calendar'!$R$572&gt;=MIN(DATE(Summary!$C$12,1,1),Summary!$C$11))*('Dvd Calendar'!$R$572&lt;=MAX(DATE(Summary!$C$12,12,31),Summary!$C$15))*('Dvd Calendar'!$R$572&gt;Summary!$C$11)=0,"",'Dvd Calendar'!$R$572*1000000000+ISNUMBER('Dvd Calendar'!$R$573)*100000000+('Dvd Calendar'!$R$577='Field Check'!$C$25)*10000000+(N('Dvd Calendar'!$R$571)&gt;0)*1000000+38*1000+54))</f>
        <v/>
      </c>
      <c r="BE46" s="41">
        <f>IF(N('Dvd Calendar'!$S$572)=0,"",IF(('Dvd Calendar'!$S$572&gt;=MIN(DATE(Summary!$C$12,1,1),Summary!$C$11))*('Dvd Calendar'!$S$572&lt;=MAX(DATE(Summary!$C$12,12,31),Summary!$C$15))*('Dvd Calendar'!$S$572&gt;Summary!$C$11)=0,"",'Dvd Calendar'!$S$572*1000000000+ISNUMBER('Dvd Calendar'!$S$573)*100000000+('Dvd Calendar'!$S$577='Field Check'!$C$25)*10000000+(N('Dvd Calendar'!$S$571)&gt;0)*1000000+38*1000+55))</f>
        <v/>
      </c>
      <c r="BF46" s="41">
        <f>IF(N('Dvd Calendar'!$T$572)=0,"",IF(('Dvd Calendar'!$T$572&gt;=MIN(DATE(Summary!$C$12,1,1),Summary!$C$11))*('Dvd Calendar'!$T$572&lt;=MAX(DATE(Summary!$C$12,12,31),Summary!$C$15))*('Dvd Calendar'!$T$572&gt;Summary!$C$11)=0,"",'Dvd Calendar'!$T$572*1000000000+ISNUMBER('Dvd Calendar'!$T$573)*100000000+('Dvd Calendar'!$T$577='Field Check'!$C$25)*10000000+(N('Dvd Calendar'!$T$571)&gt;0)*1000000+38*1000+56))</f>
        <v/>
      </c>
      <c r="BG46" s="41">
        <f>IF(N('Dvd Calendar'!$U$572)=0,"",IF(('Dvd Calendar'!$U$572&gt;=MIN(DATE(Summary!$C$12,1,1),Summary!$C$11))*('Dvd Calendar'!$U$572&lt;=MAX(DATE(Summary!$C$12,12,31),Summary!$C$15))*('Dvd Calendar'!$U$572&gt;Summary!$C$11)=0,"",'Dvd Calendar'!$U$572*1000000000+ISNUMBER('Dvd Calendar'!$U$573)*100000000+('Dvd Calendar'!$U$577='Field Check'!$C$25)*10000000+(N('Dvd Calendar'!$U$571)&gt;0)*1000000+38*1000+57))</f>
        <v/>
      </c>
      <c r="BH46" s="41">
        <f>IF(N('Dvd Calendar'!$V$572)=0,"",IF(('Dvd Calendar'!$V$572&gt;=MIN(DATE(Summary!$C$12,1,1),Summary!$C$11))*('Dvd Calendar'!$V$572&lt;=MAX(DATE(Summary!$C$12,12,31),Summary!$C$15))*('Dvd Calendar'!$V$572&gt;Summary!$C$11)=0,"",'Dvd Calendar'!$V$572*1000000000+ISNUMBER('Dvd Calendar'!$V$573)*100000000+('Dvd Calendar'!$V$577='Field Check'!$C$25)*10000000+(N('Dvd Calendar'!$V$571)&gt;0)*1000000+38*1000+58))</f>
        <v/>
      </c>
      <c r="BI46" s="41">
        <f>IF(N('Dvd Calendar'!$W$572)=0,"",IF(('Dvd Calendar'!$W$572&gt;=MIN(DATE(Summary!$C$12,1,1),Summary!$C$11))*('Dvd Calendar'!$W$572&lt;=MAX(DATE(Summary!$C$12,12,31),Summary!$C$15))*('Dvd Calendar'!$W$572&gt;Summary!$C$11)=0,"",'Dvd Calendar'!$W$572*1000000000+ISNUMBER('Dvd Calendar'!$W$573)*100000000+('Dvd Calendar'!$W$577='Field Check'!$C$25)*10000000+(N('Dvd Calendar'!$W$571)&gt;0)*1000000+38*1000+59))</f>
        <v/>
      </c>
      <c r="BJ46" s="41">
        <f>IF(N('Dvd Calendar'!$X$572)=0,"",IF(('Dvd Calendar'!$X$572&gt;=MIN(DATE(Summary!$C$12,1,1),Summary!$C$11))*('Dvd Calendar'!$X$572&lt;=MAX(DATE(Summary!$C$12,12,31),Summary!$C$15))*('Dvd Calendar'!$X$572&gt;Summary!$C$11)=0,"",'Dvd Calendar'!$X$572*1000000000+ISNUMBER('Dvd Calendar'!$X$573)*100000000+('Dvd Calendar'!$X$577='Field Check'!$C$25)*10000000+(N('Dvd Calendar'!$X$571)&gt;0)*1000000+38*1000+60))</f>
        <v/>
      </c>
      <c r="BK46" s="41">
        <f>IF(N('Dvd Calendar'!$Y$572)=0,"",IF(('Dvd Calendar'!$Y$572&gt;=MIN(DATE(Summary!$C$12,1,1),Summary!$C$11))*('Dvd Calendar'!$Y$572&lt;=MAX(DATE(Summary!$C$12,12,31),Summary!$C$15))*('Dvd Calendar'!$Y$572&gt;Summary!$C$11)=0,"",'Dvd Calendar'!$Y$572*1000000000+ISNUMBER('Dvd Calendar'!$Y$573)*100000000+('Dvd Calendar'!$Y$577='Field Check'!$C$25)*10000000+(N('Dvd Calendar'!$Y$571)&gt;0)*1000000+38*1000+61))</f>
        <v/>
      </c>
      <c r="BL46" s="41">
        <f>IF(N('Dvd Calendar'!$Z$572)=0,"",IF(('Dvd Calendar'!$Z$572&gt;=MIN(DATE(Summary!$C$12,1,1),Summary!$C$11))*('Dvd Calendar'!$Z$572&lt;=MAX(DATE(Summary!$C$12,12,31),Summary!$C$15))*('Dvd Calendar'!$Z$572&gt;Summary!$C$11)=0,"",'Dvd Calendar'!$Z$572*1000000000+ISNUMBER('Dvd Calendar'!$Z$573)*100000000+('Dvd Calendar'!$Z$577='Field Check'!$C$25)*10000000+(N('Dvd Calendar'!$Z$571)&gt;0)*1000000+38*1000+62))</f>
        <v/>
      </c>
      <c r="BM46" s="41">
        <f>IF(N('Dvd Calendar'!$AA$572)=0,"",IF(('Dvd Calendar'!$AA$572&gt;=MIN(DATE(Summary!$C$12,1,1),Summary!$C$11))*('Dvd Calendar'!$AA$572&lt;=MAX(DATE(Summary!$C$12,12,31),Summary!$C$15))*('Dvd Calendar'!$AA$572&gt;Summary!$C$11)=0,"",'Dvd Calendar'!$AA$572*1000000000+ISNUMBER('Dvd Calendar'!$AA$573)*100000000+('Dvd Calendar'!$AA$577='Field Check'!$C$25)*10000000+(N('Dvd Calendar'!$AA$571)&gt;0)*1000000+38*1000+63))</f>
        <v/>
      </c>
      <c r="BN46" s="41">
        <f>IF(N('Dvd Calendar'!$AB$572)=0,"",IF(('Dvd Calendar'!$AB$572&gt;=MIN(DATE(Summary!$C$12,1,1),Summary!$C$11))*('Dvd Calendar'!$AB$572&lt;=MAX(DATE(Summary!$C$12,12,31),Summary!$C$15))*('Dvd Calendar'!$AB$572&gt;Summary!$C$11)=0,"",'Dvd Calendar'!$AB$572*1000000000+ISNUMBER('Dvd Calendar'!$AB$573)*100000000+('Dvd Calendar'!$AB$577='Field Check'!$C$25)*10000000+(N('Dvd Calendar'!$AB$571)&gt;0)*1000000+38*1000+64))</f>
        <v/>
      </c>
      <c r="BO46" s="41">
        <f>IF(N('Dvd Calendar'!$AC$572)=0,"",IF(('Dvd Calendar'!$AC$572&gt;=MIN(DATE(Summary!$C$12,1,1),Summary!$C$11))*('Dvd Calendar'!$AC$572&lt;=MAX(DATE(Summary!$C$12,12,31),Summary!$C$15))*('Dvd Calendar'!$AC$572&gt;Summary!$C$11)=0,"",'Dvd Calendar'!$AC$572*1000000000+ISNUMBER('Dvd Calendar'!$AC$573)*100000000+('Dvd Calendar'!$AC$577='Field Check'!$C$25)*10000000+(N('Dvd Calendar'!$AC$571)&gt;0)*1000000+38*1000+65))</f>
        <v/>
      </c>
      <c r="BQ46" s="85">
        <f>IF(C46="","",IF(ISNUMBER('Dvd Calendar'!$E$566)=FALSE,"",IF((Summary!$C$13="N")*('Dvd Calendar'!$E$570='Field Check'!$C$25)&gt;0,"",'Dvd Calendar'!$E$566)))</f>
        <v/>
      </c>
      <c r="BR46" s="85">
        <f>IF(D46="","",IF(ISNUMBER('Dvd Calendar'!$F$566)=FALSE,"",IF((Summary!$C$13="N")*('Dvd Calendar'!$F$570='Field Check'!$C$25)&gt;0,"",'Dvd Calendar'!$F$566)))</f>
        <v/>
      </c>
      <c r="BS46" s="85">
        <f>IF(E46="","",IF(ISNUMBER('Dvd Calendar'!$G$566)=FALSE,"",IF((Summary!$C$13="N")*('Dvd Calendar'!$G$570='Field Check'!$C$25)&gt;0,"",'Dvd Calendar'!$G$566)))</f>
        <v/>
      </c>
      <c r="BT46" s="85">
        <f>IF(F46="","",IF(ISNUMBER('Dvd Calendar'!$H$566)=FALSE,"",IF((Summary!$C$13="N")*('Dvd Calendar'!$H$570='Field Check'!$C$25)&gt;0,"",'Dvd Calendar'!$H$566)))</f>
        <v/>
      </c>
      <c r="BU46" s="85">
        <f>IF(G46="","",IF(ISNUMBER('Dvd Calendar'!$I$566)=FALSE,"",IF((Summary!$C$13="N")*('Dvd Calendar'!$I$570='Field Check'!$C$25)&gt;0,"",'Dvd Calendar'!$I$566)))</f>
        <v/>
      </c>
      <c r="BV46" s="85">
        <f>IF(H46="","",IF(ISNUMBER('Dvd Calendar'!$J$566)=FALSE,"",IF((Summary!$C$13="N")*('Dvd Calendar'!$J$570='Field Check'!$C$25)&gt;0,"",'Dvd Calendar'!$J$566)))</f>
        <v/>
      </c>
      <c r="BW46" s="85">
        <f>IF(I46="","",IF(ISNUMBER('Dvd Calendar'!$K$566)=FALSE,"",IF((Summary!$C$13="N")*('Dvd Calendar'!$K$570='Field Check'!$C$25)&gt;0,"",'Dvd Calendar'!$K$566)))</f>
        <v/>
      </c>
      <c r="BX46" s="85">
        <f>IF(J46="","",IF(ISNUMBER('Dvd Calendar'!$L$566)=FALSE,"",IF((Summary!$C$13="N")*('Dvd Calendar'!$L$570='Field Check'!$C$25)&gt;0,"",'Dvd Calendar'!$L$566)))</f>
        <v/>
      </c>
      <c r="BY46" s="85">
        <f>IF(K46="","",IF(ISNUMBER('Dvd Calendar'!$M$566)=FALSE,"",IF((Summary!$C$13="N")*('Dvd Calendar'!$M$570='Field Check'!$C$25)&gt;0,"",'Dvd Calendar'!$M$566)))</f>
        <v/>
      </c>
      <c r="BZ46" s="85">
        <f>IF(L46="","",IF(ISNUMBER('Dvd Calendar'!$N$566)=FALSE,"",IF((Summary!$C$13="N")*('Dvd Calendar'!$N$570='Field Check'!$C$25)&gt;0,"",'Dvd Calendar'!$N$566)))</f>
        <v/>
      </c>
      <c r="CA46" s="85">
        <f>IF(M46="","",IF(ISNUMBER('Dvd Calendar'!$O$566)=FALSE,"",IF((Summary!$C$13="N")*('Dvd Calendar'!$O$570='Field Check'!$C$25)&gt;0,"",'Dvd Calendar'!$O$566)))</f>
        <v/>
      </c>
      <c r="CB46" s="85">
        <f>IF(N46="","",IF(ISNUMBER('Dvd Calendar'!$P$566)=FALSE,"",IF((Summary!$C$13="N")*('Dvd Calendar'!$P$570='Field Check'!$C$25)&gt;0,"",'Dvd Calendar'!$P$566)))</f>
        <v/>
      </c>
      <c r="CC46" s="85">
        <f>IF(O46="","",IF(ISNUMBER('Dvd Calendar'!$Q$566)=FALSE,"",IF((Summary!$C$13="N")*('Dvd Calendar'!$Q$570='Field Check'!$C$25)&gt;0,"",'Dvd Calendar'!$Q$566)))</f>
        <v/>
      </c>
      <c r="CD46" s="85">
        <f>IF(P46="","",IF(ISNUMBER('Dvd Calendar'!$R$566)=FALSE,"",IF((Summary!$C$13="N")*('Dvd Calendar'!$R$570='Field Check'!$C$25)&gt;0,"",'Dvd Calendar'!$R$566)))</f>
        <v/>
      </c>
      <c r="CE46" s="85">
        <f>IF(Q46="","",IF(ISNUMBER('Dvd Calendar'!$S$566)=FALSE,"",IF((Summary!$C$13="N")*('Dvd Calendar'!$S$570='Field Check'!$C$25)&gt;0,"",'Dvd Calendar'!$S$566)))</f>
        <v/>
      </c>
      <c r="CF46" s="85">
        <f>IF(R46="","",IF(ISNUMBER('Dvd Calendar'!$T$566)=FALSE,"",IF((Summary!$C$13="N")*('Dvd Calendar'!$T$570='Field Check'!$C$25)&gt;0,"",'Dvd Calendar'!$T$566)))</f>
        <v/>
      </c>
      <c r="CG46" s="85">
        <f>IF(S46="","",IF(ISNUMBER('Dvd Calendar'!$U$566)=FALSE,"",IF((Summary!$C$13="N")*('Dvd Calendar'!$U$570='Field Check'!$C$25)&gt;0,"",'Dvd Calendar'!$U$566)))</f>
        <v/>
      </c>
      <c r="CH46" s="85">
        <f>IF(T46="","",IF(ISNUMBER('Dvd Calendar'!$V$566)=FALSE,"",IF((Summary!$C$13="N")*('Dvd Calendar'!$V$570='Field Check'!$C$25)&gt;0,"",'Dvd Calendar'!$V$566)))</f>
        <v/>
      </c>
      <c r="CI46" s="85">
        <f>IF(U46="","",IF(ISNUMBER('Dvd Calendar'!$W$566)=FALSE,"",IF((Summary!$C$13="N")*('Dvd Calendar'!$W$570='Field Check'!$C$25)&gt;0,"",'Dvd Calendar'!$W$566)))</f>
        <v/>
      </c>
      <c r="CJ46" s="85">
        <f>IF(V46="","",IF(ISNUMBER('Dvd Calendar'!$X$566)=FALSE,"",IF((Summary!$C$13="N")*('Dvd Calendar'!$X$570='Field Check'!$C$25)&gt;0,"",'Dvd Calendar'!$X$566)))</f>
        <v/>
      </c>
      <c r="CK46" s="85">
        <f>IF(W46="","",IF(ISNUMBER('Dvd Calendar'!$Y$566)=FALSE,"",IF((Summary!$C$13="N")*('Dvd Calendar'!$Y$570='Field Check'!$C$25)&gt;0,"",'Dvd Calendar'!$Y$566)))</f>
        <v/>
      </c>
      <c r="CL46" s="85">
        <f>IF(X46="","",IF(ISNUMBER('Dvd Calendar'!$Z$566)=FALSE,"",IF((Summary!$C$13="N")*('Dvd Calendar'!$Z$570='Field Check'!$C$25)&gt;0,"",'Dvd Calendar'!$Z$566)))</f>
        <v/>
      </c>
      <c r="CM46" s="85">
        <f>IF(Y46="","",IF(ISNUMBER('Dvd Calendar'!$AA$566)=FALSE,"",IF((Summary!$C$13="N")*('Dvd Calendar'!$AA$570='Field Check'!$C$25)&gt;0,"",'Dvd Calendar'!$AA$566)))</f>
        <v/>
      </c>
      <c r="CN46" s="85">
        <f>IF(Z46="","",IF(ISNUMBER('Dvd Calendar'!$AB$566)=FALSE,"",IF((Summary!$C$13="N")*('Dvd Calendar'!$AB$570='Field Check'!$C$25)&gt;0,"",'Dvd Calendar'!$AB$566)))</f>
        <v/>
      </c>
      <c r="CO46" s="85">
        <f>IF(AA46="","",IF(ISNUMBER('Dvd Calendar'!$AC$566)=FALSE,"",IF((Summary!$C$13="N")*('Dvd Calendar'!$AC$570='Field Check'!$C$25)&gt;0,"",'Dvd Calendar'!$AC$566)))</f>
        <v/>
      </c>
      <c r="CP46" s="85">
        <f>IF(AB46="","",IF(ISNUMBER('Dvd Calendar'!$AD$566)=FALSE,"",IF((Summary!$C$13="N")*('Dvd Calendar'!$AD$570='Field Check'!$C$25)&gt;0,"",'Dvd Calendar'!$AD$566)))</f>
        <v/>
      </c>
      <c r="CQ46" s="85">
        <f>IF(AC46="","",IF(ISNUMBER('Dvd Calendar'!$AE$566)=FALSE,"",IF((Summary!$C$13="N")*('Dvd Calendar'!$AE$570='Field Check'!$C$25)&gt;0,"",'Dvd Calendar'!$AE$566)))</f>
        <v/>
      </c>
      <c r="CR46" s="85">
        <f>IF(AD46="","",IF(ISNUMBER('Dvd Calendar'!$AF$566)=FALSE,"",IF((Summary!$C$13="N")*('Dvd Calendar'!$AF$570='Field Check'!$C$25)&gt;0,"",'Dvd Calendar'!$AF$566)))</f>
        <v/>
      </c>
      <c r="CS46" s="85">
        <f>IF(AE46="","",IF(ISNUMBER('Dvd Calendar'!$AG$566)=FALSE,"",IF((Summary!$C$13="N")*('Dvd Calendar'!$AG$570='Field Check'!$C$25)&gt;0,"",'Dvd Calendar'!$AG$566)))</f>
        <v/>
      </c>
      <c r="CT46" s="85">
        <f>IF(AF46="","",IF(ISNUMBER('Dvd Calendar'!$AH$566)=FALSE,"",IF((Summary!$C$13="N")*('Dvd Calendar'!$AH$570='Field Check'!$C$25)&gt;0,"",'Dvd Calendar'!$AH$566)))</f>
        <v/>
      </c>
      <c r="CU46" s="85">
        <f>IF(AG46="","",IF(ISNUMBER('Dvd Calendar'!$AI$566)=FALSE,"",IF((Summary!$C$13="N")*('Dvd Calendar'!$AI$570='Field Check'!$C$25)&gt;0,"",'Dvd Calendar'!$AI$566)))</f>
        <v/>
      </c>
      <c r="CV46" s="85">
        <f>IF(AH46="","",IF(ISNUMBER('Dvd Calendar'!$AJ$566)=FALSE,"",IF((Summary!$C$13="N")*('Dvd Calendar'!$AJ$570='Field Check'!$C$25)&gt;0,"",'Dvd Calendar'!$AJ$566)))</f>
        <v/>
      </c>
      <c r="CW46" s="85">
        <f>IF(AI46="","",IF(ISNUMBER('Dvd Calendar'!$AK$566)=FALSE,"",IF((Summary!$C$13="N")*('Dvd Calendar'!$AK$570='Field Check'!$C$25)&gt;0,"",'Dvd Calendar'!$AK$566)))</f>
        <v/>
      </c>
      <c r="CX46" s="85">
        <f>IF(AJ46="","",IF(ISNUMBER('Dvd Calendar'!$AL$566)=FALSE,"",IF((Summary!$C$13="N")*('Dvd Calendar'!$AL$570='Field Check'!$C$25)&gt;0,"",'Dvd Calendar'!$AL$566)))</f>
        <v/>
      </c>
      <c r="CY46" s="85">
        <f>IF(AK46="","",IF(ISNUMBER('Dvd Calendar'!$AM$566)=FALSE,"",IF((Summary!$C$13="N")*('Dvd Calendar'!$AM$570='Field Check'!$C$25)&gt;0,"",'Dvd Calendar'!$AM$566)))</f>
        <v/>
      </c>
      <c r="CZ46" s="85">
        <f>IF(AL46="","",IF(ISNUMBER('Dvd Calendar'!$AN$566)=FALSE,"",IF((Summary!$C$13="N")*('Dvd Calendar'!$AN$570='Field Check'!$C$25)&gt;0,"",'Dvd Calendar'!$AN$566)))</f>
        <v/>
      </c>
      <c r="DA46" s="85">
        <f>IF(AM46="","",IF(ISNUMBER('Dvd Calendar'!$AO$566)=FALSE,"",IF((Summary!$C$13="N")*('Dvd Calendar'!$AO$570='Field Check'!$C$25)&gt;0,"",'Dvd Calendar'!$AO$566)))</f>
        <v/>
      </c>
      <c r="DB46" s="85">
        <f>IF(AN46="","",IF(ISNUMBER('Dvd Calendar'!$AP$566)=FALSE,"",IF((Summary!$C$13="N")*('Dvd Calendar'!$AP$570='Field Check'!$C$25)&gt;0,"",'Dvd Calendar'!$AP$566)))</f>
        <v/>
      </c>
      <c r="DC46" s="85">
        <f>IF(AO46="","",IF(ISNUMBER('Dvd Calendar'!$AQ$566)=FALSE,"",IF((Summary!$C$13="N")*('Dvd Calendar'!$AQ$570='Field Check'!$C$25)&gt;0,"",'Dvd Calendar'!$AQ$566)))</f>
        <v/>
      </c>
      <c r="DD46" s="85">
        <f>IF(AP46="","",IF(ISNUMBER('Dvd Calendar'!$AR$566)=FALSE,"",IF((Summary!$C$13="N")*('Dvd Calendar'!$AR$570='Field Check'!$C$25)&gt;0,"",'Dvd Calendar'!$AR$566)))</f>
        <v/>
      </c>
      <c r="DE46" s="85">
        <f>IF(AQ46="","",IF(ISNUMBER('Dvd Calendar'!$E$573)=FALSE,"",IF((Summary!$C$13="N")*('Dvd Calendar'!$E$577='Field Check'!$C$25)&gt;0,"",'Dvd Calendar'!$E$573)))</f>
        <v/>
      </c>
      <c r="DF46" s="85">
        <f>IF(AR46="","",IF(ISNUMBER('Dvd Calendar'!$F$573)=FALSE,"",IF((Summary!$C$13="N")*('Dvd Calendar'!$F$577='Field Check'!$C$25)&gt;0,"",'Dvd Calendar'!$F$573)))</f>
        <v/>
      </c>
      <c r="DG46" s="85">
        <f>IF(AS46="","",IF(ISNUMBER('Dvd Calendar'!$G$573)=FALSE,"",IF((Summary!$C$13="N")*('Dvd Calendar'!$G$577='Field Check'!$C$25)&gt;0,"",'Dvd Calendar'!$G$573)))</f>
        <v/>
      </c>
      <c r="DH46" s="85">
        <f>IF(AT46="","",IF(ISNUMBER('Dvd Calendar'!$H$573)=FALSE,"",IF((Summary!$C$13="N")*('Dvd Calendar'!$H$577='Field Check'!$C$25)&gt;0,"",'Dvd Calendar'!$H$573)))</f>
        <v/>
      </c>
      <c r="DI46" s="85">
        <f>IF(AU46="","",IF(ISNUMBER('Dvd Calendar'!$I$573)=FALSE,"",IF((Summary!$C$13="N")*('Dvd Calendar'!$I$577='Field Check'!$C$25)&gt;0,"",'Dvd Calendar'!$I$573)))</f>
        <v/>
      </c>
      <c r="DJ46" s="85">
        <f>IF(AV46="","",IF(ISNUMBER('Dvd Calendar'!$J$573)=FALSE,"",IF((Summary!$C$13="N")*('Dvd Calendar'!$J$577='Field Check'!$C$25)&gt;0,"",'Dvd Calendar'!$J$573)))</f>
        <v/>
      </c>
      <c r="DK46" s="85">
        <f>IF(AW46="","",IF(ISNUMBER('Dvd Calendar'!$K$573)=FALSE,"",IF((Summary!$C$13="N")*('Dvd Calendar'!$K$577='Field Check'!$C$25)&gt;0,"",'Dvd Calendar'!$K$573)))</f>
        <v/>
      </c>
      <c r="DL46" s="85">
        <f>IF(AX46="","",IF(ISNUMBER('Dvd Calendar'!$L$573)=FALSE,"",IF((Summary!$C$13="N")*('Dvd Calendar'!$L$577='Field Check'!$C$25)&gt;0,"",'Dvd Calendar'!$L$573)))</f>
        <v/>
      </c>
      <c r="DM46" s="85">
        <f>IF(AY46="","",IF(ISNUMBER('Dvd Calendar'!$M$573)=FALSE,"",IF((Summary!$C$13="N")*('Dvd Calendar'!$M$577='Field Check'!$C$25)&gt;0,"",'Dvd Calendar'!$M$573)))</f>
        <v/>
      </c>
      <c r="DN46" s="85">
        <f>IF(AZ46="","",IF(ISNUMBER('Dvd Calendar'!$N$573)=FALSE,"",IF((Summary!$C$13="N")*('Dvd Calendar'!$N$577='Field Check'!$C$25)&gt;0,"",'Dvd Calendar'!$N$573)))</f>
        <v/>
      </c>
      <c r="DO46" s="85">
        <f>IF(BA46="","",IF(ISNUMBER('Dvd Calendar'!$O$573)=FALSE,"",IF((Summary!$C$13="N")*('Dvd Calendar'!$O$577='Field Check'!$C$25)&gt;0,"",'Dvd Calendar'!$O$573)))</f>
        <v/>
      </c>
      <c r="DP46" s="85">
        <f>IF(BB46="","",IF(ISNUMBER('Dvd Calendar'!$P$573)=FALSE,"",IF((Summary!$C$13="N")*('Dvd Calendar'!$P$577='Field Check'!$C$25)&gt;0,"",'Dvd Calendar'!$P$573)))</f>
        <v/>
      </c>
      <c r="DQ46" s="85">
        <f>IF(BC46="","",IF(ISNUMBER('Dvd Calendar'!$Q$573)=FALSE,"",IF((Summary!$C$13="N")*('Dvd Calendar'!$Q$577='Field Check'!$C$25)&gt;0,"",'Dvd Calendar'!$Q$573)))</f>
        <v/>
      </c>
      <c r="DR46" s="85">
        <f>IF(BD46="","",IF(ISNUMBER('Dvd Calendar'!$R$573)=FALSE,"",IF((Summary!$C$13="N")*('Dvd Calendar'!$R$577='Field Check'!$C$25)&gt;0,"",'Dvd Calendar'!$R$573)))</f>
        <v/>
      </c>
      <c r="DS46" s="85">
        <f>IF(BE46="","",IF(ISNUMBER('Dvd Calendar'!$S$573)=FALSE,"",IF((Summary!$C$13="N")*('Dvd Calendar'!$S$577='Field Check'!$C$25)&gt;0,"",'Dvd Calendar'!$S$573)))</f>
        <v/>
      </c>
      <c r="DT46" s="85">
        <f>IF(BF46="","",IF(ISNUMBER('Dvd Calendar'!$T$573)=FALSE,"",IF((Summary!$C$13="N")*('Dvd Calendar'!$T$577='Field Check'!$C$25)&gt;0,"",'Dvd Calendar'!$T$573)))</f>
        <v/>
      </c>
      <c r="DU46" s="85">
        <f>IF(BG46="","",IF(ISNUMBER('Dvd Calendar'!$U$573)=FALSE,"",IF((Summary!$C$13="N")*('Dvd Calendar'!$U$577='Field Check'!$C$25)&gt;0,"",'Dvd Calendar'!$U$573)))</f>
        <v/>
      </c>
      <c r="DV46" s="85">
        <f>IF(BH46="","",IF(ISNUMBER('Dvd Calendar'!$V$573)=FALSE,"",IF((Summary!$C$13="N")*('Dvd Calendar'!$V$577='Field Check'!$C$25)&gt;0,"",'Dvd Calendar'!$V$573)))</f>
        <v/>
      </c>
      <c r="DW46" s="85">
        <f>IF(BI46="","",IF(ISNUMBER('Dvd Calendar'!$W$573)=FALSE,"",IF((Summary!$C$13="N")*('Dvd Calendar'!$W$577='Field Check'!$C$25)&gt;0,"",'Dvd Calendar'!$W$573)))</f>
        <v/>
      </c>
      <c r="DX46" s="85">
        <f>IF(BJ46="","",IF(ISNUMBER('Dvd Calendar'!$X$573)=FALSE,"",IF((Summary!$C$13="N")*('Dvd Calendar'!$X$577='Field Check'!$C$25)&gt;0,"",'Dvd Calendar'!$X$573)))</f>
        <v/>
      </c>
      <c r="DY46" s="85">
        <f>IF(BK46="","",IF(ISNUMBER('Dvd Calendar'!$Y$573)=FALSE,"",IF((Summary!$C$13="N")*('Dvd Calendar'!$Y$577='Field Check'!$C$25)&gt;0,"",'Dvd Calendar'!$Y$573)))</f>
        <v/>
      </c>
      <c r="DZ46" s="85">
        <f>IF(BL46="","",IF(ISNUMBER('Dvd Calendar'!$Z$573)=FALSE,"",IF((Summary!$C$13="N")*('Dvd Calendar'!$Z$577='Field Check'!$C$25)&gt;0,"",'Dvd Calendar'!$Z$573)))</f>
        <v/>
      </c>
      <c r="EA46" s="85">
        <f>IF(BM46="","",IF(ISNUMBER('Dvd Calendar'!$AA$573)=FALSE,"",IF((Summary!$C$13="N")*('Dvd Calendar'!$AA$577='Field Check'!$C$25)&gt;0,"",'Dvd Calendar'!$AA$573)))</f>
        <v/>
      </c>
      <c r="EB46" s="85">
        <f>IF(BN46="","",IF(ISNUMBER('Dvd Calendar'!$AB$573)=FALSE,"",IF((Summary!$C$13="N")*('Dvd Calendar'!$AB$577='Field Check'!$C$25)&gt;0,"",'Dvd Calendar'!$AB$573)))</f>
        <v/>
      </c>
      <c r="EC46" s="85">
        <f>IF(BO46="","",IF(ISNUMBER('Dvd Calendar'!$AC$573)=FALSE,"",IF((Summary!$C$13="N")*('Dvd Calendar'!$AC$577='Field Check'!$C$25)&gt;0,"",'Dvd Calendar'!$AC$573)))</f>
        <v/>
      </c>
      <c r="EE46" s="85">
        <f>IF(BQ46="","",IFERROR(BQ46*HSI!$B$44*HSI!$G$44/HSI!$B$3,""))</f>
        <v/>
      </c>
      <c r="EF46" s="85">
        <f>IF(BR46="","",IFERROR(BR46*HSI!$B$44*HSI!$G$44/HSI!$B$3,""))</f>
        <v/>
      </c>
      <c r="EG46" s="85">
        <f>IF(BS46="","",IFERROR(BS46*HSI!$B$44*HSI!$G$44/HSI!$B$3,""))</f>
        <v/>
      </c>
      <c r="EH46" s="85">
        <f>IF(BT46="","",IFERROR(BT46*HSI!$B$44*HSI!$G$44/HSI!$B$3,""))</f>
        <v/>
      </c>
      <c r="EI46" s="85">
        <f>IF(BU46="","",IFERROR(BU46*HSI!$B$44*HSI!$G$44/HSI!$B$3,""))</f>
        <v/>
      </c>
      <c r="EJ46" s="85">
        <f>IF(BV46="","",IFERROR(BV46*HSI!$B$44*HSI!$G$44/HSI!$B$3,""))</f>
        <v/>
      </c>
      <c r="EK46" s="85">
        <f>IF(BW46="","",IFERROR(BW46*HSI!$B$44*HSI!$G$44/HSI!$B$3,""))</f>
        <v/>
      </c>
      <c r="EL46" s="85">
        <f>IF(BX46="","",IFERROR(BX46*HSI!$B$44*HSI!$G$44/HSI!$B$3,""))</f>
        <v/>
      </c>
      <c r="EM46" s="85">
        <f>IF(BY46="","",IFERROR(BY46*HSI!$B$44*HSI!$G$44/HSI!$B$3,""))</f>
        <v/>
      </c>
      <c r="EN46" s="85">
        <f>IF(BZ46="","",IFERROR(BZ46*HSI!$B$44*HSI!$G$44/HSI!$B$3,""))</f>
        <v/>
      </c>
      <c r="EO46" s="85">
        <f>IF(CA46="","",IFERROR(CA46*HSI!$B$44*HSI!$G$44/HSI!$B$3,""))</f>
        <v/>
      </c>
      <c r="EP46" s="85">
        <f>IF(CB46="","",IFERROR(CB46*HSI!$B$44*HSI!$G$44/HSI!$B$3,""))</f>
        <v/>
      </c>
      <c r="EQ46" s="85">
        <f>IF(CC46="","",IFERROR(CC46*HSI!$B$44*HSI!$G$44/HSI!$B$3,""))</f>
        <v/>
      </c>
      <c r="ER46" s="85">
        <f>IF(CD46="","",IFERROR(CD46*HSI!$B$44*HSI!$G$44/HSI!$B$3,""))</f>
        <v/>
      </c>
      <c r="ES46" s="85">
        <f>IF(CE46="","",IFERROR(CE46*HSI!$B$44*HSI!$G$44/HSI!$B$3,""))</f>
        <v/>
      </c>
      <c r="ET46" s="85">
        <f>IF(CF46="","",IFERROR(CF46*HSI!$B$44*HSI!$G$44/HSI!$B$3,""))</f>
        <v/>
      </c>
      <c r="EU46" s="85">
        <f>IF(CG46="","",IFERROR(CG46*HSI!$B$44*HSI!$G$44/HSI!$B$3,""))</f>
        <v/>
      </c>
      <c r="EV46" s="85">
        <f>IF(CH46="","",IFERROR(CH46*HSI!$B$44*HSI!$G$44/HSI!$B$3,""))</f>
        <v/>
      </c>
      <c r="EW46" s="85">
        <f>IF(CI46="","",IFERROR(CI46*HSI!$B$44*HSI!$G$44/HSI!$B$3,""))</f>
        <v/>
      </c>
      <c r="EX46" s="85">
        <f>IF(CJ46="","",IFERROR(CJ46*HSI!$B$44*HSI!$G$44/HSI!$B$3,""))</f>
        <v/>
      </c>
      <c r="EY46" s="85">
        <f>IF(CK46="","",IFERROR(CK46*HSI!$B$44*HSI!$G$44/HSI!$B$3,""))</f>
        <v/>
      </c>
      <c r="EZ46" s="85">
        <f>IF(CL46="","",IFERROR(CL46*HSI!$B$44*HSI!$G$44/HSI!$B$3,""))</f>
        <v/>
      </c>
      <c r="FA46" s="85">
        <f>IF(CM46="","",IFERROR(CM46*HSI!$B$44*HSI!$G$44/HSI!$B$3,""))</f>
        <v/>
      </c>
      <c r="FB46" s="85">
        <f>IF(CN46="","",IFERROR(CN46*HSI!$B$44*HSI!$G$44/HSI!$B$3,""))</f>
        <v/>
      </c>
      <c r="FC46" s="85">
        <f>IF(CO46="","",IFERROR(CO46*HSI!$B$44*HSI!$G$44/HSI!$B$3,""))</f>
        <v/>
      </c>
      <c r="FD46" s="85">
        <f>IF(CP46="","",IFERROR(CP46*HSI!$B$44*HSI!$G$44/HSI!$B$3,""))</f>
        <v/>
      </c>
      <c r="FE46" s="85">
        <f>IF(CQ46="","",IFERROR(CQ46*HSI!$B$44*HSI!$G$44/HSI!$B$3,""))</f>
        <v/>
      </c>
      <c r="FF46" s="85">
        <f>IF(CR46="","",IFERROR(CR46*HSI!$B$44*HSI!$G$44/HSI!$B$3,""))</f>
        <v/>
      </c>
      <c r="FG46" s="85">
        <f>IF(CS46="","",IFERROR(CS46*HSI!$B$44*HSI!$G$44/HSI!$B$3,""))</f>
        <v/>
      </c>
      <c r="FH46" s="85">
        <f>IF(CT46="","",IFERROR(CT46*HSI!$B$44*HSI!$G$44/HSI!$B$3,""))</f>
        <v/>
      </c>
      <c r="FI46" s="85">
        <f>IF(CU46="","",IFERROR(CU46*HSI!$B$44*HSI!$G$44/HSI!$B$3,""))</f>
        <v/>
      </c>
      <c r="FJ46" s="85">
        <f>IF(CV46="","",IFERROR(CV46*HSI!$B$44*HSI!$G$44/HSI!$B$3,""))</f>
        <v/>
      </c>
      <c r="FK46" s="85">
        <f>IF(CW46="","",IFERROR(CW46*HSI!$B$44*HSI!$G$44/HSI!$B$3,""))</f>
        <v/>
      </c>
      <c r="FL46" s="85">
        <f>IF(CX46="","",IFERROR(CX46*HSI!$B$44*HSI!$G$44/HSI!$B$3,""))</f>
        <v/>
      </c>
      <c r="FM46" s="85">
        <f>IF(CY46="","",IFERROR(CY46*HSI!$B$44*HSI!$G$44/HSI!$B$3,""))</f>
        <v/>
      </c>
      <c r="FN46" s="85">
        <f>IF(CZ46="","",IFERROR(CZ46*HSI!$B$44*HSI!$G$44/HSI!$B$3,""))</f>
        <v/>
      </c>
      <c r="FO46" s="85">
        <f>IF(DA46="","",IFERROR(DA46*HSI!$B$44*HSI!$G$44/HSI!$B$3,""))</f>
        <v/>
      </c>
      <c r="FP46" s="85">
        <f>IF(DB46="","",IFERROR(DB46*HSI!$B$44*HSI!$G$44/HSI!$B$3,""))</f>
        <v/>
      </c>
      <c r="FQ46" s="85">
        <f>IF(DC46="","",IFERROR(DC46*HSI!$B$44*HSI!$G$44/HSI!$B$3,""))</f>
        <v/>
      </c>
      <c r="FR46" s="85">
        <f>IF(DD46="","",IFERROR(DD46*HSI!$B$44*HSI!$G$44/HSI!$B$3,""))</f>
        <v/>
      </c>
      <c r="FS46" s="85">
        <f>IF(DE46="","",IFERROR(DE46*HSI!$B$44*HSI!$G$44/HSI!$B$3,""))</f>
        <v/>
      </c>
      <c r="FT46" s="85">
        <f>IF(DF46="","",IFERROR(DF46*HSI!$B$44*HSI!$G$44/HSI!$B$3,""))</f>
        <v/>
      </c>
      <c r="FU46" s="85">
        <f>IF(DG46="","",IFERROR(DG46*HSI!$B$44*HSI!$G$44/HSI!$B$3,""))</f>
        <v/>
      </c>
      <c r="FV46" s="85">
        <f>IF(DH46="","",IFERROR(DH46*HSI!$B$44*HSI!$G$44/HSI!$B$3,""))</f>
        <v/>
      </c>
      <c r="FW46" s="85">
        <f>IF(DI46="","",IFERROR(DI46*HSI!$B$44*HSI!$G$44/HSI!$B$3,""))</f>
        <v/>
      </c>
      <c r="FX46" s="85">
        <f>IF(DJ46="","",IFERROR(DJ46*HSI!$B$44*HSI!$G$44/HSI!$B$3,""))</f>
        <v/>
      </c>
      <c r="FY46" s="85">
        <f>IF(DK46="","",IFERROR(DK46*HSI!$B$44*HSI!$G$44/HSI!$B$3,""))</f>
        <v/>
      </c>
      <c r="FZ46" s="85">
        <f>IF(DL46="","",IFERROR(DL46*HSI!$B$44*HSI!$G$44/HSI!$B$3,""))</f>
        <v/>
      </c>
      <c r="GA46" s="85">
        <f>IF(DM46="","",IFERROR(DM46*HSI!$B$44*HSI!$G$44/HSI!$B$3,""))</f>
        <v/>
      </c>
      <c r="GB46" s="85">
        <f>IF(DN46="","",IFERROR(DN46*HSI!$B$44*HSI!$G$44/HSI!$B$3,""))</f>
        <v/>
      </c>
      <c r="GC46" s="85">
        <f>IF(DO46="","",IFERROR(DO46*HSI!$B$44*HSI!$G$44/HSI!$B$3,""))</f>
        <v/>
      </c>
      <c r="GD46" s="85">
        <f>IF(DP46="","",IFERROR(DP46*HSI!$B$44*HSI!$G$44/HSI!$B$3,""))</f>
        <v/>
      </c>
      <c r="GE46" s="85">
        <f>IF(DQ46="","",IFERROR(DQ46*HSI!$B$44*HSI!$G$44/HSI!$B$3,""))</f>
        <v/>
      </c>
      <c r="GF46" s="85">
        <f>IF(DR46="","",IFERROR(DR46*HSI!$B$44*HSI!$G$44/HSI!$B$3,""))</f>
        <v/>
      </c>
      <c r="GG46" s="85">
        <f>IF(DS46="","",IFERROR(DS46*HSI!$B$44*HSI!$G$44/HSI!$B$3,""))</f>
        <v/>
      </c>
      <c r="GH46" s="85">
        <f>IF(DT46="","",IFERROR(DT46*HSI!$B$44*HSI!$G$44/HSI!$B$3,""))</f>
        <v/>
      </c>
      <c r="GI46" s="85">
        <f>IF(DU46="","",IFERROR(DU46*HSI!$B$44*HSI!$G$44/HSI!$B$3,""))</f>
        <v/>
      </c>
      <c r="GJ46" s="85">
        <f>IF(DV46="","",IFERROR(DV46*HSI!$B$44*HSI!$G$44/HSI!$B$3,""))</f>
        <v/>
      </c>
      <c r="GK46" s="85">
        <f>IF(DW46="","",IFERROR(DW46*HSI!$B$44*HSI!$G$44/HSI!$B$3,""))</f>
        <v/>
      </c>
      <c r="GL46" s="85">
        <f>IF(DX46="","",IFERROR(DX46*HSI!$B$44*HSI!$G$44/HSI!$B$3,""))</f>
        <v/>
      </c>
      <c r="GM46" s="85">
        <f>IF(DY46="","",IFERROR(DY46*HSI!$B$44*HSI!$G$44/HSI!$B$3,""))</f>
        <v/>
      </c>
      <c r="GN46" s="85">
        <f>IF(DZ46="","",IFERROR(DZ46*HSI!$B$44*HSI!$G$44/HSI!$B$3,""))</f>
        <v/>
      </c>
      <c r="GO46" s="85">
        <f>IF(EA46="","",IFERROR(EA46*HSI!$B$44*HSI!$G$44/HSI!$B$3,""))</f>
        <v/>
      </c>
      <c r="GP46" s="85">
        <f>IF(EB46="","",IFERROR(EB46*HSI!$B$44*HSI!$G$44/HSI!$B$3,""))</f>
        <v/>
      </c>
      <c r="GQ46" s="85">
        <f>IF(EC46="","",IFERROR(EC46*HSI!$B$44*HSI!$G$44/HSI!$B$3,""))</f>
        <v/>
      </c>
    </row>
    <row r="47">
      <c r="B47" s="2">
        <f>IF(HSI!$C$45="","",HSI!$C$45)</f>
        <v/>
      </c>
      <c r="C47" s="41">
        <f>IF(N('Dvd Calendar'!$E$580)=0,"",IF(('Dvd Calendar'!$E$580&gt;=MIN(DATE(Summary!$C$12,1,1),Summary!$C$11))*('Dvd Calendar'!$E$580&lt;=MAX(DATE(Summary!$C$12,12,31),Summary!$C$15))*('Dvd Calendar'!$E$580&lt;=Summary!$C$11)=0,"",'Dvd Calendar'!$E$580*1000000000+ISNUMBER('Dvd Calendar'!$E$581)*100000000+('Dvd Calendar'!$E$585='Field Check'!$C$25)*10000000+(N('Dvd Calendar'!$E$579)&gt;0)*1000000+39*1000+1))</f>
        <v/>
      </c>
      <c r="D47" s="41">
        <f>IF(N('Dvd Calendar'!$F$580)=0,"",IF(('Dvd Calendar'!$F$580&gt;=MIN(DATE(Summary!$C$12,1,1),Summary!$C$11))*('Dvd Calendar'!$F$580&lt;=MAX(DATE(Summary!$C$12,12,31),Summary!$C$15))*('Dvd Calendar'!$F$580&lt;=Summary!$C$11)=0,"",'Dvd Calendar'!$F$580*1000000000+ISNUMBER('Dvd Calendar'!$F$581)*100000000+('Dvd Calendar'!$F$585='Field Check'!$C$25)*10000000+(N('Dvd Calendar'!$F$579)&gt;0)*1000000+39*1000+2))</f>
        <v/>
      </c>
      <c r="E47" s="41">
        <f>IF(N('Dvd Calendar'!$G$580)=0,"",IF(('Dvd Calendar'!$G$580&gt;=MIN(DATE(Summary!$C$12,1,1),Summary!$C$11))*('Dvd Calendar'!$G$580&lt;=MAX(DATE(Summary!$C$12,12,31),Summary!$C$15))*('Dvd Calendar'!$G$580&lt;=Summary!$C$11)=0,"",'Dvd Calendar'!$G$580*1000000000+ISNUMBER('Dvd Calendar'!$G$581)*100000000+('Dvd Calendar'!$G$585='Field Check'!$C$25)*10000000+(N('Dvd Calendar'!$G$579)&gt;0)*1000000+39*1000+3))</f>
        <v/>
      </c>
      <c r="F47" s="41">
        <f>IF(N('Dvd Calendar'!$H$580)=0,"",IF(('Dvd Calendar'!$H$580&gt;=MIN(DATE(Summary!$C$12,1,1),Summary!$C$11))*('Dvd Calendar'!$H$580&lt;=MAX(DATE(Summary!$C$12,12,31),Summary!$C$15))*('Dvd Calendar'!$H$580&lt;=Summary!$C$11)=0,"",'Dvd Calendar'!$H$580*1000000000+ISNUMBER('Dvd Calendar'!$H$581)*100000000+('Dvd Calendar'!$H$585='Field Check'!$C$25)*10000000+(N('Dvd Calendar'!$H$579)&gt;0)*1000000+39*1000+4))</f>
        <v/>
      </c>
      <c r="G47" s="41">
        <f>IF(N('Dvd Calendar'!$I$580)=0,"",IF(('Dvd Calendar'!$I$580&gt;=MIN(DATE(Summary!$C$12,1,1),Summary!$C$11))*('Dvd Calendar'!$I$580&lt;=MAX(DATE(Summary!$C$12,12,31),Summary!$C$15))*('Dvd Calendar'!$I$580&lt;=Summary!$C$11)=0,"",'Dvd Calendar'!$I$580*1000000000+ISNUMBER('Dvd Calendar'!$I$581)*100000000+('Dvd Calendar'!$I$585='Field Check'!$C$25)*10000000+(N('Dvd Calendar'!$I$579)&gt;0)*1000000+39*1000+5))</f>
        <v/>
      </c>
      <c r="H47" s="41">
        <f>IF(N('Dvd Calendar'!$J$580)=0,"",IF(('Dvd Calendar'!$J$580&gt;=MIN(DATE(Summary!$C$12,1,1),Summary!$C$11))*('Dvd Calendar'!$J$580&lt;=MAX(DATE(Summary!$C$12,12,31),Summary!$C$15))*('Dvd Calendar'!$J$580&lt;=Summary!$C$11)=0,"",'Dvd Calendar'!$J$580*1000000000+ISNUMBER('Dvd Calendar'!$J$581)*100000000+('Dvd Calendar'!$J$585='Field Check'!$C$25)*10000000+(N('Dvd Calendar'!$J$579)&gt;0)*1000000+39*1000+6))</f>
        <v/>
      </c>
      <c r="I47" s="41">
        <f>IF(N('Dvd Calendar'!$K$580)=0,"",IF(('Dvd Calendar'!$K$580&gt;=MIN(DATE(Summary!$C$12,1,1),Summary!$C$11))*('Dvd Calendar'!$K$580&lt;=MAX(DATE(Summary!$C$12,12,31),Summary!$C$15))*('Dvd Calendar'!$K$580&lt;=Summary!$C$11)=0,"",'Dvd Calendar'!$K$580*1000000000+ISNUMBER('Dvd Calendar'!$K$581)*100000000+('Dvd Calendar'!$K$585='Field Check'!$C$25)*10000000+(N('Dvd Calendar'!$K$579)&gt;0)*1000000+39*1000+7))</f>
        <v/>
      </c>
      <c r="J47" s="41">
        <f>IF(N('Dvd Calendar'!$L$580)=0,"",IF(('Dvd Calendar'!$L$580&gt;=MIN(DATE(Summary!$C$12,1,1),Summary!$C$11))*('Dvd Calendar'!$L$580&lt;=MAX(DATE(Summary!$C$12,12,31),Summary!$C$15))*('Dvd Calendar'!$L$580&lt;=Summary!$C$11)=0,"",'Dvd Calendar'!$L$580*1000000000+ISNUMBER('Dvd Calendar'!$L$581)*100000000+('Dvd Calendar'!$L$585='Field Check'!$C$25)*10000000+(N('Dvd Calendar'!$L$579)&gt;0)*1000000+39*1000+8))</f>
        <v/>
      </c>
      <c r="K47" s="41">
        <f>IF(N('Dvd Calendar'!$M$580)=0,"",IF(('Dvd Calendar'!$M$580&gt;=MIN(DATE(Summary!$C$12,1,1),Summary!$C$11))*('Dvd Calendar'!$M$580&lt;=MAX(DATE(Summary!$C$12,12,31),Summary!$C$15))*('Dvd Calendar'!$M$580&lt;=Summary!$C$11)=0,"",'Dvd Calendar'!$M$580*1000000000+ISNUMBER('Dvd Calendar'!$M$581)*100000000+('Dvd Calendar'!$M$585='Field Check'!$C$25)*10000000+(N('Dvd Calendar'!$M$579)&gt;0)*1000000+39*1000+9))</f>
        <v/>
      </c>
      <c r="L47" s="41">
        <f>IF(N('Dvd Calendar'!$N$580)=0,"",IF(('Dvd Calendar'!$N$580&gt;=MIN(DATE(Summary!$C$12,1,1),Summary!$C$11))*('Dvd Calendar'!$N$580&lt;=MAX(DATE(Summary!$C$12,12,31),Summary!$C$15))*('Dvd Calendar'!$N$580&lt;=Summary!$C$11)=0,"",'Dvd Calendar'!$N$580*1000000000+ISNUMBER('Dvd Calendar'!$N$581)*100000000+('Dvd Calendar'!$N$585='Field Check'!$C$25)*10000000+(N('Dvd Calendar'!$N$579)&gt;0)*1000000+39*1000+10))</f>
        <v/>
      </c>
      <c r="M47" s="41">
        <f>IF(N('Dvd Calendar'!$O$580)=0,"",IF(('Dvd Calendar'!$O$580&gt;=MIN(DATE(Summary!$C$12,1,1),Summary!$C$11))*('Dvd Calendar'!$O$580&lt;=MAX(DATE(Summary!$C$12,12,31),Summary!$C$15))*('Dvd Calendar'!$O$580&lt;=Summary!$C$11)=0,"",'Dvd Calendar'!$O$580*1000000000+ISNUMBER('Dvd Calendar'!$O$581)*100000000+('Dvd Calendar'!$O$585='Field Check'!$C$25)*10000000+(N('Dvd Calendar'!$O$579)&gt;0)*1000000+39*1000+11))</f>
        <v/>
      </c>
      <c r="N47" s="41">
        <f>IF(N('Dvd Calendar'!$P$580)=0,"",IF(('Dvd Calendar'!$P$580&gt;=MIN(DATE(Summary!$C$12,1,1),Summary!$C$11))*('Dvd Calendar'!$P$580&lt;=MAX(DATE(Summary!$C$12,12,31),Summary!$C$15))*('Dvd Calendar'!$P$580&lt;=Summary!$C$11)=0,"",'Dvd Calendar'!$P$580*1000000000+ISNUMBER('Dvd Calendar'!$P$581)*100000000+('Dvd Calendar'!$P$585='Field Check'!$C$25)*10000000+(N('Dvd Calendar'!$P$579)&gt;0)*1000000+39*1000+12))</f>
        <v/>
      </c>
      <c r="O47" s="41">
        <f>IF(N('Dvd Calendar'!$Q$580)=0,"",IF(('Dvd Calendar'!$Q$580&gt;=MIN(DATE(Summary!$C$12,1,1),Summary!$C$11))*('Dvd Calendar'!$Q$580&lt;=MAX(DATE(Summary!$C$12,12,31),Summary!$C$15))*('Dvd Calendar'!$Q$580&lt;=Summary!$C$11)=0,"",'Dvd Calendar'!$Q$580*1000000000+ISNUMBER('Dvd Calendar'!$Q$581)*100000000+('Dvd Calendar'!$Q$585='Field Check'!$C$25)*10000000+(N('Dvd Calendar'!$Q$579)&gt;0)*1000000+39*1000+13))</f>
        <v/>
      </c>
      <c r="P47" s="41">
        <f>IF(N('Dvd Calendar'!$R$580)=0,"",IF(('Dvd Calendar'!$R$580&gt;=MIN(DATE(Summary!$C$12,1,1),Summary!$C$11))*('Dvd Calendar'!$R$580&lt;=MAX(DATE(Summary!$C$12,12,31),Summary!$C$15))*('Dvd Calendar'!$R$580&lt;=Summary!$C$11)=0,"",'Dvd Calendar'!$R$580*1000000000+ISNUMBER('Dvd Calendar'!$R$581)*100000000+('Dvd Calendar'!$R$585='Field Check'!$C$25)*10000000+(N('Dvd Calendar'!$R$579)&gt;0)*1000000+39*1000+14))</f>
        <v/>
      </c>
      <c r="Q47" s="41">
        <f>IF(N('Dvd Calendar'!$S$580)=0,"",IF(('Dvd Calendar'!$S$580&gt;=MIN(DATE(Summary!$C$12,1,1),Summary!$C$11))*('Dvd Calendar'!$S$580&lt;=MAX(DATE(Summary!$C$12,12,31),Summary!$C$15))*('Dvd Calendar'!$S$580&lt;=Summary!$C$11)=0,"",'Dvd Calendar'!$S$580*1000000000+ISNUMBER('Dvd Calendar'!$S$581)*100000000+('Dvd Calendar'!$S$585='Field Check'!$C$25)*10000000+(N('Dvd Calendar'!$S$579)&gt;0)*1000000+39*1000+15))</f>
        <v/>
      </c>
      <c r="R47" s="41">
        <f>IF(N('Dvd Calendar'!$T$580)=0,"",IF(('Dvd Calendar'!$T$580&gt;=MIN(DATE(Summary!$C$12,1,1),Summary!$C$11))*('Dvd Calendar'!$T$580&lt;=MAX(DATE(Summary!$C$12,12,31),Summary!$C$15))*('Dvd Calendar'!$T$580&lt;=Summary!$C$11)=0,"",'Dvd Calendar'!$T$580*1000000000+ISNUMBER('Dvd Calendar'!$T$581)*100000000+('Dvd Calendar'!$T$585='Field Check'!$C$25)*10000000+(N('Dvd Calendar'!$T$579)&gt;0)*1000000+39*1000+16))</f>
        <v/>
      </c>
      <c r="S47" s="41">
        <f>IF(N('Dvd Calendar'!$U$580)=0,"",IF(('Dvd Calendar'!$U$580&gt;=MIN(DATE(Summary!$C$12,1,1),Summary!$C$11))*('Dvd Calendar'!$U$580&lt;=MAX(DATE(Summary!$C$12,12,31),Summary!$C$15))*('Dvd Calendar'!$U$580&lt;=Summary!$C$11)=0,"",'Dvd Calendar'!$U$580*1000000000+ISNUMBER('Dvd Calendar'!$U$581)*100000000+('Dvd Calendar'!$U$585='Field Check'!$C$25)*10000000+(N('Dvd Calendar'!$U$579)&gt;0)*1000000+39*1000+17))</f>
        <v/>
      </c>
      <c r="T47" s="41">
        <f>IF(N('Dvd Calendar'!$V$580)=0,"",IF(('Dvd Calendar'!$V$580&gt;=MIN(DATE(Summary!$C$12,1,1),Summary!$C$11))*('Dvd Calendar'!$V$580&lt;=MAX(DATE(Summary!$C$12,12,31),Summary!$C$15))*('Dvd Calendar'!$V$580&lt;=Summary!$C$11)=0,"",'Dvd Calendar'!$V$580*1000000000+ISNUMBER('Dvd Calendar'!$V$581)*100000000+('Dvd Calendar'!$V$585='Field Check'!$C$25)*10000000+(N('Dvd Calendar'!$V$579)&gt;0)*1000000+39*1000+18))</f>
        <v/>
      </c>
      <c r="U47" s="41">
        <f>IF(N('Dvd Calendar'!$W$580)=0,"",IF(('Dvd Calendar'!$W$580&gt;=MIN(DATE(Summary!$C$12,1,1),Summary!$C$11))*('Dvd Calendar'!$W$580&lt;=MAX(DATE(Summary!$C$12,12,31),Summary!$C$15))*('Dvd Calendar'!$W$580&lt;=Summary!$C$11)=0,"",'Dvd Calendar'!$W$580*1000000000+ISNUMBER('Dvd Calendar'!$W$581)*100000000+('Dvd Calendar'!$W$585='Field Check'!$C$25)*10000000+(N('Dvd Calendar'!$W$579)&gt;0)*1000000+39*1000+19))</f>
        <v/>
      </c>
      <c r="V47" s="41">
        <f>IF(N('Dvd Calendar'!$X$580)=0,"",IF(('Dvd Calendar'!$X$580&gt;=MIN(DATE(Summary!$C$12,1,1),Summary!$C$11))*('Dvd Calendar'!$X$580&lt;=MAX(DATE(Summary!$C$12,12,31),Summary!$C$15))*('Dvd Calendar'!$X$580&lt;=Summary!$C$11)=0,"",'Dvd Calendar'!$X$580*1000000000+ISNUMBER('Dvd Calendar'!$X$581)*100000000+('Dvd Calendar'!$X$585='Field Check'!$C$25)*10000000+(N('Dvd Calendar'!$X$579)&gt;0)*1000000+39*1000+20))</f>
        <v/>
      </c>
      <c r="W47" s="41">
        <f>IF(N('Dvd Calendar'!$Y$580)=0,"",IF(('Dvd Calendar'!$Y$580&gt;=MIN(DATE(Summary!$C$12,1,1),Summary!$C$11))*('Dvd Calendar'!$Y$580&lt;=MAX(DATE(Summary!$C$12,12,31),Summary!$C$15))*('Dvd Calendar'!$Y$580&lt;=Summary!$C$11)=0,"",'Dvd Calendar'!$Y$580*1000000000+ISNUMBER('Dvd Calendar'!$Y$581)*100000000+('Dvd Calendar'!$Y$585='Field Check'!$C$25)*10000000+(N('Dvd Calendar'!$Y$579)&gt;0)*1000000+39*1000+21))</f>
        <v/>
      </c>
      <c r="X47" s="41">
        <f>IF(N('Dvd Calendar'!$Z$580)=0,"",IF(('Dvd Calendar'!$Z$580&gt;=MIN(DATE(Summary!$C$12,1,1),Summary!$C$11))*('Dvd Calendar'!$Z$580&lt;=MAX(DATE(Summary!$C$12,12,31),Summary!$C$15))*('Dvd Calendar'!$Z$580&lt;=Summary!$C$11)=0,"",'Dvd Calendar'!$Z$580*1000000000+ISNUMBER('Dvd Calendar'!$Z$581)*100000000+('Dvd Calendar'!$Z$585='Field Check'!$C$25)*10000000+(N('Dvd Calendar'!$Z$579)&gt;0)*1000000+39*1000+22))</f>
        <v/>
      </c>
      <c r="Y47" s="41">
        <f>IF(N('Dvd Calendar'!$AA$580)=0,"",IF(('Dvd Calendar'!$AA$580&gt;=MIN(DATE(Summary!$C$12,1,1),Summary!$C$11))*('Dvd Calendar'!$AA$580&lt;=MAX(DATE(Summary!$C$12,12,31),Summary!$C$15))*('Dvd Calendar'!$AA$580&lt;=Summary!$C$11)=0,"",'Dvd Calendar'!$AA$580*1000000000+ISNUMBER('Dvd Calendar'!$AA$581)*100000000+('Dvd Calendar'!$AA$585='Field Check'!$C$25)*10000000+(N('Dvd Calendar'!$AA$579)&gt;0)*1000000+39*1000+23))</f>
        <v/>
      </c>
      <c r="Z47" s="41">
        <f>IF(N('Dvd Calendar'!$AB$580)=0,"",IF(('Dvd Calendar'!$AB$580&gt;=MIN(DATE(Summary!$C$12,1,1),Summary!$C$11))*('Dvd Calendar'!$AB$580&lt;=MAX(DATE(Summary!$C$12,12,31),Summary!$C$15))*('Dvd Calendar'!$AB$580&lt;=Summary!$C$11)=0,"",'Dvd Calendar'!$AB$580*1000000000+ISNUMBER('Dvd Calendar'!$AB$581)*100000000+('Dvd Calendar'!$AB$585='Field Check'!$C$25)*10000000+(N('Dvd Calendar'!$AB$579)&gt;0)*1000000+39*1000+24))</f>
        <v/>
      </c>
      <c r="AA47" s="41">
        <f>IF(N('Dvd Calendar'!$AC$580)=0,"",IF(('Dvd Calendar'!$AC$580&gt;=MIN(DATE(Summary!$C$12,1,1),Summary!$C$11))*('Dvd Calendar'!$AC$580&lt;=MAX(DATE(Summary!$C$12,12,31),Summary!$C$15))*('Dvd Calendar'!$AC$580&lt;=Summary!$C$11)=0,"",'Dvd Calendar'!$AC$580*1000000000+ISNUMBER('Dvd Calendar'!$AC$581)*100000000+('Dvd Calendar'!$AC$585='Field Check'!$C$25)*10000000+(N('Dvd Calendar'!$AC$579)&gt;0)*1000000+39*1000+25))</f>
        <v/>
      </c>
      <c r="AB47" s="41">
        <f>IF(N('Dvd Calendar'!$AD$580)=0,"",IF(('Dvd Calendar'!$AD$580&gt;=MIN(DATE(Summary!$C$12,1,1),Summary!$C$11))*('Dvd Calendar'!$AD$580&lt;=MAX(DATE(Summary!$C$12,12,31),Summary!$C$15))*('Dvd Calendar'!$AD$580&lt;=Summary!$C$11)=0,"",'Dvd Calendar'!$AD$580*1000000000+ISNUMBER('Dvd Calendar'!$AD$581)*100000000+('Dvd Calendar'!$AD$585='Field Check'!$C$25)*10000000+(N('Dvd Calendar'!$AD$579)&gt;0)*1000000+39*1000+26))</f>
        <v/>
      </c>
      <c r="AC47" s="41">
        <f>IF(N('Dvd Calendar'!$AE$580)=0,"",IF(('Dvd Calendar'!$AE$580&gt;=MIN(DATE(Summary!$C$12,1,1),Summary!$C$11))*('Dvd Calendar'!$AE$580&lt;=MAX(DATE(Summary!$C$12,12,31),Summary!$C$15))*('Dvd Calendar'!$AE$580&lt;=Summary!$C$11)=0,"",'Dvd Calendar'!$AE$580*1000000000+ISNUMBER('Dvd Calendar'!$AE$581)*100000000+('Dvd Calendar'!$AE$585='Field Check'!$C$25)*10000000+(N('Dvd Calendar'!$AE$579)&gt;0)*1000000+39*1000+27))</f>
        <v/>
      </c>
      <c r="AD47" s="41">
        <f>IF(N('Dvd Calendar'!$AF$580)=0,"",IF(('Dvd Calendar'!$AF$580&gt;=MIN(DATE(Summary!$C$12,1,1),Summary!$C$11))*('Dvd Calendar'!$AF$580&lt;=MAX(DATE(Summary!$C$12,12,31),Summary!$C$15))*('Dvd Calendar'!$AF$580&lt;=Summary!$C$11)=0,"",'Dvd Calendar'!$AF$580*1000000000+ISNUMBER('Dvd Calendar'!$AF$581)*100000000+('Dvd Calendar'!$AF$585='Field Check'!$C$25)*10000000+(N('Dvd Calendar'!$AF$579)&gt;0)*1000000+39*1000+28))</f>
        <v/>
      </c>
      <c r="AE47" s="41">
        <f>IF(N('Dvd Calendar'!$AG$580)=0,"",IF(('Dvd Calendar'!$AG$580&gt;=MIN(DATE(Summary!$C$12,1,1),Summary!$C$11))*('Dvd Calendar'!$AG$580&lt;=MAX(DATE(Summary!$C$12,12,31),Summary!$C$15))*('Dvd Calendar'!$AG$580&lt;=Summary!$C$11)=0,"",'Dvd Calendar'!$AG$580*1000000000+ISNUMBER('Dvd Calendar'!$AG$581)*100000000+('Dvd Calendar'!$AG$585='Field Check'!$C$25)*10000000+(N('Dvd Calendar'!$AG$579)&gt;0)*1000000+39*1000+29))</f>
        <v/>
      </c>
      <c r="AF47" s="41">
        <f>IF(N('Dvd Calendar'!$AH$580)=0,"",IF(('Dvd Calendar'!$AH$580&gt;=MIN(DATE(Summary!$C$12,1,1),Summary!$C$11))*('Dvd Calendar'!$AH$580&lt;=MAX(DATE(Summary!$C$12,12,31),Summary!$C$15))*('Dvd Calendar'!$AH$580&lt;=Summary!$C$11)=0,"",'Dvd Calendar'!$AH$580*1000000000+ISNUMBER('Dvd Calendar'!$AH$581)*100000000+('Dvd Calendar'!$AH$585='Field Check'!$C$25)*10000000+(N('Dvd Calendar'!$AH$579)&gt;0)*1000000+39*1000+30))</f>
        <v/>
      </c>
      <c r="AG47" s="41">
        <f>IF(N('Dvd Calendar'!$AI$580)=0,"",IF(('Dvd Calendar'!$AI$580&gt;=MIN(DATE(Summary!$C$12,1,1),Summary!$C$11))*('Dvd Calendar'!$AI$580&lt;=MAX(DATE(Summary!$C$12,12,31),Summary!$C$15))*('Dvd Calendar'!$AI$580&lt;=Summary!$C$11)=0,"",'Dvd Calendar'!$AI$580*1000000000+ISNUMBER('Dvd Calendar'!$AI$581)*100000000+('Dvd Calendar'!$AI$585='Field Check'!$C$25)*10000000+(N('Dvd Calendar'!$AI$579)&gt;0)*1000000+39*1000+31))</f>
        <v/>
      </c>
      <c r="AH47" s="41">
        <f>IF(N('Dvd Calendar'!$AJ$580)=0,"",IF(('Dvd Calendar'!$AJ$580&gt;=MIN(DATE(Summary!$C$12,1,1),Summary!$C$11))*('Dvd Calendar'!$AJ$580&lt;=MAX(DATE(Summary!$C$12,12,31),Summary!$C$15))*('Dvd Calendar'!$AJ$580&lt;=Summary!$C$11)=0,"",'Dvd Calendar'!$AJ$580*1000000000+ISNUMBER('Dvd Calendar'!$AJ$581)*100000000+('Dvd Calendar'!$AJ$585='Field Check'!$C$25)*10000000+(N('Dvd Calendar'!$AJ$579)&gt;0)*1000000+39*1000+32))</f>
        <v/>
      </c>
      <c r="AI47" s="41">
        <f>IF(N('Dvd Calendar'!$AK$580)=0,"",IF(('Dvd Calendar'!$AK$580&gt;=MIN(DATE(Summary!$C$12,1,1),Summary!$C$11))*('Dvd Calendar'!$AK$580&lt;=MAX(DATE(Summary!$C$12,12,31),Summary!$C$15))*('Dvd Calendar'!$AK$580&lt;=Summary!$C$11)=0,"",'Dvd Calendar'!$AK$580*1000000000+ISNUMBER('Dvd Calendar'!$AK$581)*100000000+('Dvd Calendar'!$AK$585='Field Check'!$C$25)*10000000+(N('Dvd Calendar'!$AK$579)&gt;0)*1000000+39*1000+33))</f>
        <v/>
      </c>
      <c r="AJ47" s="41">
        <f>IF(N('Dvd Calendar'!$AL$580)=0,"",IF(('Dvd Calendar'!$AL$580&gt;=MIN(DATE(Summary!$C$12,1,1),Summary!$C$11))*('Dvd Calendar'!$AL$580&lt;=MAX(DATE(Summary!$C$12,12,31),Summary!$C$15))*('Dvd Calendar'!$AL$580&lt;=Summary!$C$11)=0,"",'Dvd Calendar'!$AL$580*1000000000+ISNUMBER('Dvd Calendar'!$AL$581)*100000000+('Dvd Calendar'!$AL$585='Field Check'!$C$25)*10000000+(N('Dvd Calendar'!$AL$579)&gt;0)*1000000+39*1000+34))</f>
        <v/>
      </c>
      <c r="AK47" s="41">
        <f>IF(N('Dvd Calendar'!$AM$580)=0,"",IF(('Dvd Calendar'!$AM$580&gt;=MIN(DATE(Summary!$C$12,1,1),Summary!$C$11))*('Dvd Calendar'!$AM$580&lt;=MAX(DATE(Summary!$C$12,12,31),Summary!$C$15))*('Dvd Calendar'!$AM$580&lt;=Summary!$C$11)=0,"",'Dvd Calendar'!$AM$580*1000000000+ISNUMBER('Dvd Calendar'!$AM$581)*100000000+('Dvd Calendar'!$AM$585='Field Check'!$C$25)*10000000+(N('Dvd Calendar'!$AM$579)&gt;0)*1000000+39*1000+35))</f>
        <v/>
      </c>
      <c r="AL47" s="41">
        <f>IF(N('Dvd Calendar'!$AN$580)=0,"",IF(('Dvd Calendar'!$AN$580&gt;=MIN(DATE(Summary!$C$12,1,1),Summary!$C$11))*('Dvd Calendar'!$AN$580&lt;=MAX(DATE(Summary!$C$12,12,31),Summary!$C$15))*('Dvd Calendar'!$AN$580&lt;=Summary!$C$11)=0,"",'Dvd Calendar'!$AN$580*1000000000+ISNUMBER('Dvd Calendar'!$AN$581)*100000000+('Dvd Calendar'!$AN$585='Field Check'!$C$25)*10000000+(N('Dvd Calendar'!$AN$579)&gt;0)*1000000+39*1000+36))</f>
        <v/>
      </c>
      <c r="AM47" s="41">
        <f>IF(N('Dvd Calendar'!$AO$580)=0,"",IF(('Dvd Calendar'!$AO$580&gt;=MIN(DATE(Summary!$C$12,1,1),Summary!$C$11))*('Dvd Calendar'!$AO$580&lt;=MAX(DATE(Summary!$C$12,12,31),Summary!$C$15))*('Dvd Calendar'!$AO$580&lt;=Summary!$C$11)=0,"",'Dvd Calendar'!$AO$580*1000000000+ISNUMBER('Dvd Calendar'!$AO$581)*100000000+('Dvd Calendar'!$AO$585='Field Check'!$C$25)*10000000+(N('Dvd Calendar'!$AO$579)&gt;0)*1000000+39*1000+37))</f>
        <v/>
      </c>
      <c r="AN47" s="41">
        <f>IF(N('Dvd Calendar'!$AP$580)=0,"",IF(('Dvd Calendar'!$AP$580&gt;=MIN(DATE(Summary!$C$12,1,1),Summary!$C$11))*('Dvd Calendar'!$AP$580&lt;=MAX(DATE(Summary!$C$12,12,31),Summary!$C$15))*('Dvd Calendar'!$AP$580&lt;=Summary!$C$11)=0,"",'Dvd Calendar'!$AP$580*1000000000+ISNUMBER('Dvd Calendar'!$AP$581)*100000000+('Dvd Calendar'!$AP$585='Field Check'!$C$25)*10000000+(N('Dvd Calendar'!$AP$579)&gt;0)*1000000+39*1000+38))</f>
        <v/>
      </c>
      <c r="AO47" s="41">
        <f>IF(N('Dvd Calendar'!$AQ$580)=0,"",IF(('Dvd Calendar'!$AQ$580&gt;=MIN(DATE(Summary!$C$12,1,1),Summary!$C$11))*('Dvd Calendar'!$AQ$580&lt;=MAX(DATE(Summary!$C$12,12,31),Summary!$C$15))*('Dvd Calendar'!$AQ$580&lt;=Summary!$C$11)=0,"",'Dvd Calendar'!$AQ$580*1000000000+ISNUMBER('Dvd Calendar'!$AQ$581)*100000000+('Dvd Calendar'!$AQ$585='Field Check'!$C$25)*10000000+(N('Dvd Calendar'!$AQ$579)&gt;0)*1000000+39*1000+39))</f>
        <v/>
      </c>
      <c r="AP47" s="41">
        <f>IF(N('Dvd Calendar'!$AR$580)=0,"",IF(('Dvd Calendar'!$AR$580&gt;=MIN(DATE(Summary!$C$12,1,1),Summary!$C$11))*('Dvd Calendar'!$AR$580&lt;=MAX(DATE(Summary!$C$12,12,31),Summary!$C$15))*('Dvd Calendar'!$AR$580&lt;=Summary!$C$11)=0,"",'Dvd Calendar'!$AR$580*1000000000+ISNUMBER('Dvd Calendar'!$AR$581)*100000000+('Dvd Calendar'!$AR$585='Field Check'!$C$25)*10000000+(N('Dvd Calendar'!$AR$579)&gt;0)*1000000+39*1000+40))</f>
        <v/>
      </c>
      <c r="AQ47" s="41">
        <f>IF(N('Dvd Calendar'!$E$587)=0,"",IF(('Dvd Calendar'!$E$587&gt;=MIN(DATE(Summary!$C$12,1,1),Summary!$C$11))*('Dvd Calendar'!$E$587&lt;=MAX(DATE(Summary!$C$12,12,31),Summary!$C$15))*('Dvd Calendar'!$E$587&gt;Summary!$C$11)=0,"",'Dvd Calendar'!$E$587*1000000000+ISNUMBER('Dvd Calendar'!$E$588)*100000000+('Dvd Calendar'!$E$592='Field Check'!$C$25)*10000000+(N('Dvd Calendar'!$E$586)&gt;0)*1000000+39*1000+41))</f>
        <v/>
      </c>
      <c r="AR47" s="41">
        <f>IF(N('Dvd Calendar'!$F$587)=0,"",IF(('Dvd Calendar'!$F$587&gt;=MIN(DATE(Summary!$C$12,1,1),Summary!$C$11))*('Dvd Calendar'!$F$587&lt;=MAX(DATE(Summary!$C$12,12,31),Summary!$C$15))*('Dvd Calendar'!$F$587&gt;Summary!$C$11)=0,"",'Dvd Calendar'!$F$587*1000000000+ISNUMBER('Dvd Calendar'!$F$588)*100000000+('Dvd Calendar'!$F$592='Field Check'!$C$25)*10000000+(N('Dvd Calendar'!$F$586)&gt;0)*1000000+39*1000+42))</f>
        <v/>
      </c>
      <c r="AS47" s="41">
        <f>IF(N('Dvd Calendar'!$G$587)=0,"",IF(('Dvd Calendar'!$G$587&gt;=MIN(DATE(Summary!$C$12,1,1),Summary!$C$11))*('Dvd Calendar'!$G$587&lt;=MAX(DATE(Summary!$C$12,12,31),Summary!$C$15))*('Dvd Calendar'!$G$587&gt;Summary!$C$11)=0,"",'Dvd Calendar'!$G$587*1000000000+ISNUMBER('Dvd Calendar'!$G$588)*100000000+('Dvd Calendar'!$G$592='Field Check'!$C$25)*10000000+(N('Dvd Calendar'!$G$586)&gt;0)*1000000+39*1000+43))</f>
        <v/>
      </c>
      <c r="AT47" s="41">
        <f>IF(N('Dvd Calendar'!$H$587)=0,"",IF(('Dvd Calendar'!$H$587&gt;=MIN(DATE(Summary!$C$12,1,1),Summary!$C$11))*('Dvd Calendar'!$H$587&lt;=MAX(DATE(Summary!$C$12,12,31),Summary!$C$15))*('Dvd Calendar'!$H$587&gt;Summary!$C$11)=0,"",'Dvd Calendar'!$H$587*1000000000+ISNUMBER('Dvd Calendar'!$H$588)*100000000+('Dvd Calendar'!$H$592='Field Check'!$C$25)*10000000+(N('Dvd Calendar'!$H$586)&gt;0)*1000000+39*1000+44))</f>
        <v/>
      </c>
      <c r="AU47" s="41">
        <f>IF(N('Dvd Calendar'!$I$587)=0,"",IF(('Dvd Calendar'!$I$587&gt;=MIN(DATE(Summary!$C$12,1,1),Summary!$C$11))*('Dvd Calendar'!$I$587&lt;=MAX(DATE(Summary!$C$12,12,31),Summary!$C$15))*('Dvd Calendar'!$I$587&gt;Summary!$C$11)=0,"",'Dvd Calendar'!$I$587*1000000000+ISNUMBER('Dvd Calendar'!$I$588)*100000000+('Dvd Calendar'!$I$592='Field Check'!$C$25)*10000000+(N('Dvd Calendar'!$I$586)&gt;0)*1000000+39*1000+45))</f>
        <v/>
      </c>
      <c r="AV47" s="41">
        <f>IF(N('Dvd Calendar'!$J$587)=0,"",IF(('Dvd Calendar'!$J$587&gt;=MIN(DATE(Summary!$C$12,1,1),Summary!$C$11))*('Dvd Calendar'!$J$587&lt;=MAX(DATE(Summary!$C$12,12,31),Summary!$C$15))*('Dvd Calendar'!$J$587&gt;Summary!$C$11)=0,"",'Dvd Calendar'!$J$587*1000000000+ISNUMBER('Dvd Calendar'!$J$588)*100000000+('Dvd Calendar'!$J$592='Field Check'!$C$25)*10000000+(N('Dvd Calendar'!$J$586)&gt;0)*1000000+39*1000+46))</f>
        <v/>
      </c>
      <c r="AW47" s="41">
        <f>IF(N('Dvd Calendar'!$K$587)=0,"",IF(('Dvd Calendar'!$K$587&gt;=MIN(DATE(Summary!$C$12,1,1),Summary!$C$11))*('Dvd Calendar'!$K$587&lt;=MAX(DATE(Summary!$C$12,12,31),Summary!$C$15))*('Dvd Calendar'!$K$587&gt;Summary!$C$11)=0,"",'Dvd Calendar'!$K$587*1000000000+ISNUMBER('Dvd Calendar'!$K$588)*100000000+('Dvd Calendar'!$K$592='Field Check'!$C$25)*10000000+(N('Dvd Calendar'!$K$586)&gt;0)*1000000+39*1000+47))</f>
        <v/>
      </c>
      <c r="AX47" s="41">
        <f>IF(N('Dvd Calendar'!$L$587)=0,"",IF(('Dvd Calendar'!$L$587&gt;=MIN(DATE(Summary!$C$12,1,1),Summary!$C$11))*('Dvd Calendar'!$L$587&lt;=MAX(DATE(Summary!$C$12,12,31),Summary!$C$15))*('Dvd Calendar'!$L$587&gt;Summary!$C$11)=0,"",'Dvd Calendar'!$L$587*1000000000+ISNUMBER('Dvd Calendar'!$L$588)*100000000+('Dvd Calendar'!$L$592='Field Check'!$C$25)*10000000+(N('Dvd Calendar'!$L$586)&gt;0)*1000000+39*1000+48))</f>
        <v/>
      </c>
      <c r="AY47" s="41">
        <f>IF(N('Dvd Calendar'!$M$587)=0,"",IF(('Dvd Calendar'!$M$587&gt;=MIN(DATE(Summary!$C$12,1,1),Summary!$C$11))*('Dvd Calendar'!$M$587&lt;=MAX(DATE(Summary!$C$12,12,31),Summary!$C$15))*('Dvd Calendar'!$M$587&gt;Summary!$C$11)=0,"",'Dvd Calendar'!$M$587*1000000000+ISNUMBER('Dvd Calendar'!$M$588)*100000000+('Dvd Calendar'!$M$592='Field Check'!$C$25)*10000000+(N('Dvd Calendar'!$M$586)&gt;0)*1000000+39*1000+49))</f>
        <v/>
      </c>
      <c r="AZ47" s="41">
        <f>IF(N('Dvd Calendar'!$N$587)=0,"",IF(('Dvd Calendar'!$N$587&gt;=MIN(DATE(Summary!$C$12,1,1),Summary!$C$11))*('Dvd Calendar'!$N$587&lt;=MAX(DATE(Summary!$C$12,12,31),Summary!$C$15))*('Dvd Calendar'!$N$587&gt;Summary!$C$11)=0,"",'Dvd Calendar'!$N$587*1000000000+ISNUMBER('Dvd Calendar'!$N$588)*100000000+('Dvd Calendar'!$N$592='Field Check'!$C$25)*10000000+(N('Dvd Calendar'!$N$586)&gt;0)*1000000+39*1000+50))</f>
        <v/>
      </c>
      <c r="BA47" s="41">
        <f>IF(N('Dvd Calendar'!$O$587)=0,"",IF(('Dvd Calendar'!$O$587&gt;=MIN(DATE(Summary!$C$12,1,1),Summary!$C$11))*('Dvd Calendar'!$O$587&lt;=MAX(DATE(Summary!$C$12,12,31),Summary!$C$15))*('Dvd Calendar'!$O$587&gt;Summary!$C$11)=0,"",'Dvd Calendar'!$O$587*1000000000+ISNUMBER('Dvd Calendar'!$O$588)*100000000+('Dvd Calendar'!$O$592='Field Check'!$C$25)*10000000+(N('Dvd Calendar'!$O$586)&gt;0)*1000000+39*1000+51))</f>
        <v/>
      </c>
      <c r="BB47" s="41">
        <f>IF(N('Dvd Calendar'!$P$587)=0,"",IF(('Dvd Calendar'!$P$587&gt;=MIN(DATE(Summary!$C$12,1,1),Summary!$C$11))*('Dvd Calendar'!$P$587&lt;=MAX(DATE(Summary!$C$12,12,31),Summary!$C$15))*('Dvd Calendar'!$P$587&gt;Summary!$C$11)=0,"",'Dvd Calendar'!$P$587*1000000000+ISNUMBER('Dvd Calendar'!$P$588)*100000000+('Dvd Calendar'!$P$592='Field Check'!$C$25)*10000000+(N('Dvd Calendar'!$P$586)&gt;0)*1000000+39*1000+52))</f>
        <v/>
      </c>
      <c r="BC47" s="41">
        <f>IF(N('Dvd Calendar'!$Q$587)=0,"",IF(('Dvd Calendar'!$Q$587&gt;=MIN(DATE(Summary!$C$12,1,1),Summary!$C$11))*('Dvd Calendar'!$Q$587&lt;=MAX(DATE(Summary!$C$12,12,31),Summary!$C$15))*('Dvd Calendar'!$Q$587&gt;Summary!$C$11)=0,"",'Dvd Calendar'!$Q$587*1000000000+ISNUMBER('Dvd Calendar'!$Q$588)*100000000+('Dvd Calendar'!$Q$592='Field Check'!$C$25)*10000000+(N('Dvd Calendar'!$Q$586)&gt;0)*1000000+39*1000+53))</f>
        <v/>
      </c>
      <c r="BD47" s="41">
        <f>IF(N('Dvd Calendar'!$R$587)=0,"",IF(('Dvd Calendar'!$R$587&gt;=MIN(DATE(Summary!$C$12,1,1),Summary!$C$11))*('Dvd Calendar'!$R$587&lt;=MAX(DATE(Summary!$C$12,12,31),Summary!$C$15))*('Dvd Calendar'!$R$587&gt;Summary!$C$11)=0,"",'Dvd Calendar'!$R$587*1000000000+ISNUMBER('Dvd Calendar'!$R$588)*100000000+('Dvd Calendar'!$R$592='Field Check'!$C$25)*10000000+(N('Dvd Calendar'!$R$586)&gt;0)*1000000+39*1000+54))</f>
        <v/>
      </c>
      <c r="BE47" s="41">
        <f>IF(N('Dvd Calendar'!$S$587)=0,"",IF(('Dvd Calendar'!$S$587&gt;=MIN(DATE(Summary!$C$12,1,1),Summary!$C$11))*('Dvd Calendar'!$S$587&lt;=MAX(DATE(Summary!$C$12,12,31),Summary!$C$15))*('Dvd Calendar'!$S$587&gt;Summary!$C$11)=0,"",'Dvd Calendar'!$S$587*1000000000+ISNUMBER('Dvd Calendar'!$S$588)*100000000+('Dvd Calendar'!$S$592='Field Check'!$C$25)*10000000+(N('Dvd Calendar'!$S$586)&gt;0)*1000000+39*1000+55))</f>
        <v/>
      </c>
      <c r="BF47" s="41">
        <f>IF(N('Dvd Calendar'!$T$587)=0,"",IF(('Dvd Calendar'!$T$587&gt;=MIN(DATE(Summary!$C$12,1,1),Summary!$C$11))*('Dvd Calendar'!$T$587&lt;=MAX(DATE(Summary!$C$12,12,31),Summary!$C$15))*('Dvd Calendar'!$T$587&gt;Summary!$C$11)=0,"",'Dvd Calendar'!$T$587*1000000000+ISNUMBER('Dvd Calendar'!$T$588)*100000000+('Dvd Calendar'!$T$592='Field Check'!$C$25)*10000000+(N('Dvd Calendar'!$T$586)&gt;0)*1000000+39*1000+56))</f>
        <v/>
      </c>
      <c r="BG47" s="41">
        <f>IF(N('Dvd Calendar'!$U$587)=0,"",IF(('Dvd Calendar'!$U$587&gt;=MIN(DATE(Summary!$C$12,1,1),Summary!$C$11))*('Dvd Calendar'!$U$587&lt;=MAX(DATE(Summary!$C$12,12,31),Summary!$C$15))*('Dvd Calendar'!$U$587&gt;Summary!$C$11)=0,"",'Dvd Calendar'!$U$587*1000000000+ISNUMBER('Dvd Calendar'!$U$588)*100000000+('Dvd Calendar'!$U$592='Field Check'!$C$25)*10000000+(N('Dvd Calendar'!$U$586)&gt;0)*1000000+39*1000+57))</f>
        <v/>
      </c>
      <c r="BH47" s="41">
        <f>IF(N('Dvd Calendar'!$V$587)=0,"",IF(('Dvd Calendar'!$V$587&gt;=MIN(DATE(Summary!$C$12,1,1),Summary!$C$11))*('Dvd Calendar'!$V$587&lt;=MAX(DATE(Summary!$C$12,12,31),Summary!$C$15))*('Dvd Calendar'!$V$587&gt;Summary!$C$11)=0,"",'Dvd Calendar'!$V$587*1000000000+ISNUMBER('Dvd Calendar'!$V$588)*100000000+('Dvd Calendar'!$V$592='Field Check'!$C$25)*10000000+(N('Dvd Calendar'!$V$586)&gt;0)*1000000+39*1000+58))</f>
        <v/>
      </c>
      <c r="BI47" s="41">
        <f>IF(N('Dvd Calendar'!$W$587)=0,"",IF(('Dvd Calendar'!$W$587&gt;=MIN(DATE(Summary!$C$12,1,1),Summary!$C$11))*('Dvd Calendar'!$W$587&lt;=MAX(DATE(Summary!$C$12,12,31),Summary!$C$15))*('Dvd Calendar'!$W$587&gt;Summary!$C$11)=0,"",'Dvd Calendar'!$W$587*1000000000+ISNUMBER('Dvd Calendar'!$W$588)*100000000+('Dvd Calendar'!$W$592='Field Check'!$C$25)*10000000+(N('Dvd Calendar'!$W$586)&gt;0)*1000000+39*1000+59))</f>
        <v/>
      </c>
      <c r="BJ47" s="41">
        <f>IF(N('Dvd Calendar'!$X$587)=0,"",IF(('Dvd Calendar'!$X$587&gt;=MIN(DATE(Summary!$C$12,1,1),Summary!$C$11))*('Dvd Calendar'!$X$587&lt;=MAX(DATE(Summary!$C$12,12,31),Summary!$C$15))*('Dvd Calendar'!$X$587&gt;Summary!$C$11)=0,"",'Dvd Calendar'!$X$587*1000000000+ISNUMBER('Dvd Calendar'!$X$588)*100000000+('Dvd Calendar'!$X$592='Field Check'!$C$25)*10000000+(N('Dvd Calendar'!$X$586)&gt;0)*1000000+39*1000+60))</f>
        <v/>
      </c>
      <c r="BK47" s="41">
        <f>IF(N('Dvd Calendar'!$Y$587)=0,"",IF(('Dvd Calendar'!$Y$587&gt;=MIN(DATE(Summary!$C$12,1,1),Summary!$C$11))*('Dvd Calendar'!$Y$587&lt;=MAX(DATE(Summary!$C$12,12,31),Summary!$C$15))*('Dvd Calendar'!$Y$587&gt;Summary!$C$11)=0,"",'Dvd Calendar'!$Y$587*1000000000+ISNUMBER('Dvd Calendar'!$Y$588)*100000000+('Dvd Calendar'!$Y$592='Field Check'!$C$25)*10000000+(N('Dvd Calendar'!$Y$586)&gt;0)*1000000+39*1000+61))</f>
        <v/>
      </c>
      <c r="BL47" s="41">
        <f>IF(N('Dvd Calendar'!$Z$587)=0,"",IF(('Dvd Calendar'!$Z$587&gt;=MIN(DATE(Summary!$C$12,1,1),Summary!$C$11))*('Dvd Calendar'!$Z$587&lt;=MAX(DATE(Summary!$C$12,12,31),Summary!$C$15))*('Dvd Calendar'!$Z$587&gt;Summary!$C$11)=0,"",'Dvd Calendar'!$Z$587*1000000000+ISNUMBER('Dvd Calendar'!$Z$588)*100000000+('Dvd Calendar'!$Z$592='Field Check'!$C$25)*10000000+(N('Dvd Calendar'!$Z$586)&gt;0)*1000000+39*1000+62))</f>
        <v/>
      </c>
      <c r="BM47" s="41">
        <f>IF(N('Dvd Calendar'!$AA$587)=0,"",IF(('Dvd Calendar'!$AA$587&gt;=MIN(DATE(Summary!$C$12,1,1),Summary!$C$11))*('Dvd Calendar'!$AA$587&lt;=MAX(DATE(Summary!$C$12,12,31),Summary!$C$15))*('Dvd Calendar'!$AA$587&gt;Summary!$C$11)=0,"",'Dvd Calendar'!$AA$587*1000000000+ISNUMBER('Dvd Calendar'!$AA$588)*100000000+('Dvd Calendar'!$AA$592='Field Check'!$C$25)*10000000+(N('Dvd Calendar'!$AA$586)&gt;0)*1000000+39*1000+63))</f>
        <v/>
      </c>
      <c r="BN47" s="41">
        <f>IF(N('Dvd Calendar'!$AB$587)=0,"",IF(('Dvd Calendar'!$AB$587&gt;=MIN(DATE(Summary!$C$12,1,1),Summary!$C$11))*('Dvd Calendar'!$AB$587&lt;=MAX(DATE(Summary!$C$12,12,31),Summary!$C$15))*('Dvd Calendar'!$AB$587&gt;Summary!$C$11)=0,"",'Dvd Calendar'!$AB$587*1000000000+ISNUMBER('Dvd Calendar'!$AB$588)*100000000+('Dvd Calendar'!$AB$592='Field Check'!$C$25)*10000000+(N('Dvd Calendar'!$AB$586)&gt;0)*1000000+39*1000+64))</f>
        <v/>
      </c>
      <c r="BO47" s="41">
        <f>IF(N('Dvd Calendar'!$AC$587)=0,"",IF(('Dvd Calendar'!$AC$587&gt;=MIN(DATE(Summary!$C$12,1,1),Summary!$C$11))*('Dvd Calendar'!$AC$587&lt;=MAX(DATE(Summary!$C$12,12,31),Summary!$C$15))*('Dvd Calendar'!$AC$587&gt;Summary!$C$11)=0,"",'Dvd Calendar'!$AC$587*1000000000+ISNUMBER('Dvd Calendar'!$AC$588)*100000000+('Dvd Calendar'!$AC$592='Field Check'!$C$25)*10000000+(N('Dvd Calendar'!$AC$586)&gt;0)*1000000+39*1000+65))</f>
        <v/>
      </c>
      <c r="BQ47" s="85">
        <f>IF(C47="","",IF(ISNUMBER('Dvd Calendar'!$E$581)=FALSE,"",IF((Summary!$C$13="N")*('Dvd Calendar'!$E$585='Field Check'!$C$25)&gt;0,"",'Dvd Calendar'!$E$581)))</f>
        <v/>
      </c>
      <c r="BR47" s="85">
        <f>IF(D47="","",IF(ISNUMBER('Dvd Calendar'!$F$581)=FALSE,"",IF((Summary!$C$13="N")*('Dvd Calendar'!$F$585='Field Check'!$C$25)&gt;0,"",'Dvd Calendar'!$F$581)))</f>
        <v/>
      </c>
      <c r="BS47" s="85">
        <f>IF(E47="","",IF(ISNUMBER('Dvd Calendar'!$G$581)=FALSE,"",IF((Summary!$C$13="N")*('Dvd Calendar'!$G$585='Field Check'!$C$25)&gt;0,"",'Dvd Calendar'!$G$581)))</f>
        <v/>
      </c>
      <c r="BT47" s="85">
        <f>IF(F47="","",IF(ISNUMBER('Dvd Calendar'!$H$581)=FALSE,"",IF((Summary!$C$13="N")*('Dvd Calendar'!$H$585='Field Check'!$C$25)&gt;0,"",'Dvd Calendar'!$H$581)))</f>
        <v/>
      </c>
      <c r="BU47" s="85">
        <f>IF(G47="","",IF(ISNUMBER('Dvd Calendar'!$I$581)=FALSE,"",IF((Summary!$C$13="N")*('Dvd Calendar'!$I$585='Field Check'!$C$25)&gt;0,"",'Dvd Calendar'!$I$581)))</f>
        <v/>
      </c>
      <c r="BV47" s="85">
        <f>IF(H47="","",IF(ISNUMBER('Dvd Calendar'!$J$581)=FALSE,"",IF((Summary!$C$13="N")*('Dvd Calendar'!$J$585='Field Check'!$C$25)&gt;0,"",'Dvd Calendar'!$J$581)))</f>
        <v/>
      </c>
      <c r="BW47" s="85">
        <f>IF(I47="","",IF(ISNUMBER('Dvd Calendar'!$K$581)=FALSE,"",IF((Summary!$C$13="N")*('Dvd Calendar'!$K$585='Field Check'!$C$25)&gt;0,"",'Dvd Calendar'!$K$581)))</f>
        <v/>
      </c>
      <c r="BX47" s="85">
        <f>IF(J47="","",IF(ISNUMBER('Dvd Calendar'!$L$581)=FALSE,"",IF((Summary!$C$13="N")*('Dvd Calendar'!$L$585='Field Check'!$C$25)&gt;0,"",'Dvd Calendar'!$L$581)))</f>
        <v/>
      </c>
      <c r="BY47" s="85">
        <f>IF(K47="","",IF(ISNUMBER('Dvd Calendar'!$M$581)=FALSE,"",IF((Summary!$C$13="N")*('Dvd Calendar'!$M$585='Field Check'!$C$25)&gt;0,"",'Dvd Calendar'!$M$581)))</f>
        <v/>
      </c>
      <c r="BZ47" s="85">
        <f>IF(L47="","",IF(ISNUMBER('Dvd Calendar'!$N$581)=FALSE,"",IF((Summary!$C$13="N")*('Dvd Calendar'!$N$585='Field Check'!$C$25)&gt;0,"",'Dvd Calendar'!$N$581)))</f>
        <v/>
      </c>
      <c r="CA47" s="85">
        <f>IF(M47="","",IF(ISNUMBER('Dvd Calendar'!$O$581)=FALSE,"",IF((Summary!$C$13="N")*('Dvd Calendar'!$O$585='Field Check'!$C$25)&gt;0,"",'Dvd Calendar'!$O$581)))</f>
        <v/>
      </c>
      <c r="CB47" s="85">
        <f>IF(N47="","",IF(ISNUMBER('Dvd Calendar'!$P$581)=FALSE,"",IF((Summary!$C$13="N")*('Dvd Calendar'!$P$585='Field Check'!$C$25)&gt;0,"",'Dvd Calendar'!$P$581)))</f>
        <v/>
      </c>
      <c r="CC47" s="85">
        <f>IF(O47="","",IF(ISNUMBER('Dvd Calendar'!$Q$581)=FALSE,"",IF((Summary!$C$13="N")*('Dvd Calendar'!$Q$585='Field Check'!$C$25)&gt;0,"",'Dvd Calendar'!$Q$581)))</f>
        <v/>
      </c>
      <c r="CD47" s="85">
        <f>IF(P47="","",IF(ISNUMBER('Dvd Calendar'!$R$581)=FALSE,"",IF((Summary!$C$13="N")*('Dvd Calendar'!$R$585='Field Check'!$C$25)&gt;0,"",'Dvd Calendar'!$R$581)))</f>
        <v/>
      </c>
      <c r="CE47" s="85">
        <f>IF(Q47="","",IF(ISNUMBER('Dvd Calendar'!$S$581)=FALSE,"",IF((Summary!$C$13="N")*('Dvd Calendar'!$S$585='Field Check'!$C$25)&gt;0,"",'Dvd Calendar'!$S$581)))</f>
        <v/>
      </c>
      <c r="CF47" s="85">
        <f>IF(R47="","",IF(ISNUMBER('Dvd Calendar'!$T$581)=FALSE,"",IF((Summary!$C$13="N")*('Dvd Calendar'!$T$585='Field Check'!$C$25)&gt;0,"",'Dvd Calendar'!$T$581)))</f>
        <v/>
      </c>
      <c r="CG47" s="85">
        <f>IF(S47="","",IF(ISNUMBER('Dvd Calendar'!$U$581)=FALSE,"",IF((Summary!$C$13="N")*('Dvd Calendar'!$U$585='Field Check'!$C$25)&gt;0,"",'Dvd Calendar'!$U$581)))</f>
        <v/>
      </c>
      <c r="CH47" s="85">
        <f>IF(T47="","",IF(ISNUMBER('Dvd Calendar'!$V$581)=FALSE,"",IF((Summary!$C$13="N")*('Dvd Calendar'!$V$585='Field Check'!$C$25)&gt;0,"",'Dvd Calendar'!$V$581)))</f>
        <v/>
      </c>
      <c r="CI47" s="85">
        <f>IF(U47="","",IF(ISNUMBER('Dvd Calendar'!$W$581)=FALSE,"",IF((Summary!$C$13="N")*('Dvd Calendar'!$W$585='Field Check'!$C$25)&gt;0,"",'Dvd Calendar'!$W$581)))</f>
        <v/>
      </c>
      <c r="CJ47" s="85">
        <f>IF(V47="","",IF(ISNUMBER('Dvd Calendar'!$X$581)=FALSE,"",IF((Summary!$C$13="N")*('Dvd Calendar'!$X$585='Field Check'!$C$25)&gt;0,"",'Dvd Calendar'!$X$581)))</f>
        <v/>
      </c>
      <c r="CK47" s="85">
        <f>IF(W47="","",IF(ISNUMBER('Dvd Calendar'!$Y$581)=FALSE,"",IF((Summary!$C$13="N")*('Dvd Calendar'!$Y$585='Field Check'!$C$25)&gt;0,"",'Dvd Calendar'!$Y$581)))</f>
        <v/>
      </c>
      <c r="CL47" s="85">
        <f>IF(X47="","",IF(ISNUMBER('Dvd Calendar'!$Z$581)=FALSE,"",IF((Summary!$C$13="N")*('Dvd Calendar'!$Z$585='Field Check'!$C$25)&gt;0,"",'Dvd Calendar'!$Z$581)))</f>
        <v/>
      </c>
      <c r="CM47" s="85">
        <f>IF(Y47="","",IF(ISNUMBER('Dvd Calendar'!$AA$581)=FALSE,"",IF((Summary!$C$13="N")*('Dvd Calendar'!$AA$585='Field Check'!$C$25)&gt;0,"",'Dvd Calendar'!$AA$581)))</f>
        <v/>
      </c>
      <c r="CN47" s="85">
        <f>IF(Z47="","",IF(ISNUMBER('Dvd Calendar'!$AB$581)=FALSE,"",IF((Summary!$C$13="N")*('Dvd Calendar'!$AB$585='Field Check'!$C$25)&gt;0,"",'Dvd Calendar'!$AB$581)))</f>
        <v/>
      </c>
      <c r="CO47" s="85">
        <f>IF(AA47="","",IF(ISNUMBER('Dvd Calendar'!$AC$581)=FALSE,"",IF((Summary!$C$13="N")*('Dvd Calendar'!$AC$585='Field Check'!$C$25)&gt;0,"",'Dvd Calendar'!$AC$581)))</f>
        <v/>
      </c>
      <c r="CP47" s="85">
        <f>IF(AB47="","",IF(ISNUMBER('Dvd Calendar'!$AD$581)=FALSE,"",IF((Summary!$C$13="N")*('Dvd Calendar'!$AD$585='Field Check'!$C$25)&gt;0,"",'Dvd Calendar'!$AD$581)))</f>
        <v/>
      </c>
      <c r="CQ47" s="85">
        <f>IF(AC47="","",IF(ISNUMBER('Dvd Calendar'!$AE$581)=FALSE,"",IF((Summary!$C$13="N")*('Dvd Calendar'!$AE$585='Field Check'!$C$25)&gt;0,"",'Dvd Calendar'!$AE$581)))</f>
        <v/>
      </c>
      <c r="CR47" s="85">
        <f>IF(AD47="","",IF(ISNUMBER('Dvd Calendar'!$AF$581)=FALSE,"",IF((Summary!$C$13="N")*('Dvd Calendar'!$AF$585='Field Check'!$C$25)&gt;0,"",'Dvd Calendar'!$AF$581)))</f>
        <v/>
      </c>
      <c r="CS47" s="85">
        <f>IF(AE47="","",IF(ISNUMBER('Dvd Calendar'!$AG$581)=FALSE,"",IF((Summary!$C$13="N")*('Dvd Calendar'!$AG$585='Field Check'!$C$25)&gt;0,"",'Dvd Calendar'!$AG$581)))</f>
        <v/>
      </c>
      <c r="CT47" s="85">
        <f>IF(AF47="","",IF(ISNUMBER('Dvd Calendar'!$AH$581)=FALSE,"",IF((Summary!$C$13="N")*('Dvd Calendar'!$AH$585='Field Check'!$C$25)&gt;0,"",'Dvd Calendar'!$AH$581)))</f>
        <v/>
      </c>
      <c r="CU47" s="85">
        <f>IF(AG47="","",IF(ISNUMBER('Dvd Calendar'!$AI$581)=FALSE,"",IF((Summary!$C$13="N")*('Dvd Calendar'!$AI$585='Field Check'!$C$25)&gt;0,"",'Dvd Calendar'!$AI$581)))</f>
        <v/>
      </c>
      <c r="CV47" s="85">
        <f>IF(AH47="","",IF(ISNUMBER('Dvd Calendar'!$AJ$581)=FALSE,"",IF((Summary!$C$13="N")*('Dvd Calendar'!$AJ$585='Field Check'!$C$25)&gt;0,"",'Dvd Calendar'!$AJ$581)))</f>
        <v/>
      </c>
      <c r="CW47" s="85">
        <f>IF(AI47="","",IF(ISNUMBER('Dvd Calendar'!$AK$581)=FALSE,"",IF((Summary!$C$13="N")*('Dvd Calendar'!$AK$585='Field Check'!$C$25)&gt;0,"",'Dvd Calendar'!$AK$581)))</f>
        <v/>
      </c>
      <c r="CX47" s="85">
        <f>IF(AJ47="","",IF(ISNUMBER('Dvd Calendar'!$AL$581)=FALSE,"",IF((Summary!$C$13="N")*('Dvd Calendar'!$AL$585='Field Check'!$C$25)&gt;0,"",'Dvd Calendar'!$AL$581)))</f>
        <v/>
      </c>
      <c r="CY47" s="85">
        <f>IF(AK47="","",IF(ISNUMBER('Dvd Calendar'!$AM$581)=FALSE,"",IF((Summary!$C$13="N")*('Dvd Calendar'!$AM$585='Field Check'!$C$25)&gt;0,"",'Dvd Calendar'!$AM$581)))</f>
        <v/>
      </c>
      <c r="CZ47" s="85">
        <f>IF(AL47="","",IF(ISNUMBER('Dvd Calendar'!$AN$581)=FALSE,"",IF((Summary!$C$13="N")*('Dvd Calendar'!$AN$585='Field Check'!$C$25)&gt;0,"",'Dvd Calendar'!$AN$581)))</f>
        <v/>
      </c>
      <c r="DA47" s="85">
        <f>IF(AM47="","",IF(ISNUMBER('Dvd Calendar'!$AO$581)=FALSE,"",IF((Summary!$C$13="N")*('Dvd Calendar'!$AO$585='Field Check'!$C$25)&gt;0,"",'Dvd Calendar'!$AO$581)))</f>
        <v/>
      </c>
      <c r="DB47" s="85">
        <f>IF(AN47="","",IF(ISNUMBER('Dvd Calendar'!$AP$581)=FALSE,"",IF((Summary!$C$13="N")*('Dvd Calendar'!$AP$585='Field Check'!$C$25)&gt;0,"",'Dvd Calendar'!$AP$581)))</f>
        <v/>
      </c>
      <c r="DC47" s="85">
        <f>IF(AO47="","",IF(ISNUMBER('Dvd Calendar'!$AQ$581)=FALSE,"",IF((Summary!$C$13="N")*('Dvd Calendar'!$AQ$585='Field Check'!$C$25)&gt;0,"",'Dvd Calendar'!$AQ$581)))</f>
        <v/>
      </c>
      <c r="DD47" s="85">
        <f>IF(AP47="","",IF(ISNUMBER('Dvd Calendar'!$AR$581)=FALSE,"",IF((Summary!$C$13="N")*('Dvd Calendar'!$AR$585='Field Check'!$C$25)&gt;0,"",'Dvd Calendar'!$AR$581)))</f>
        <v/>
      </c>
      <c r="DE47" s="85">
        <f>IF(AQ47="","",IF(ISNUMBER('Dvd Calendar'!$E$588)=FALSE,"",IF((Summary!$C$13="N")*('Dvd Calendar'!$E$592='Field Check'!$C$25)&gt;0,"",'Dvd Calendar'!$E$588)))</f>
        <v/>
      </c>
      <c r="DF47" s="85">
        <f>IF(AR47="","",IF(ISNUMBER('Dvd Calendar'!$F$588)=FALSE,"",IF((Summary!$C$13="N")*('Dvd Calendar'!$F$592='Field Check'!$C$25)&gt;0,"",'Dvd Calendar'!$F$588)))</f>
        <v/>
      </c>
      <c r="DG47" s="85">
        <f>IF(AS47="","",IF(ISNUMBER('Dvd Calendar'!$G$588)=FALSE,"",IF((Summary!$C$13="N")*('Dvd Calendar'!$G$592='Field Check'!$C$25)&gt;0,"",'Dvd Calendar'!$G$588)))</f>
        <v/>
      </c>
      <c r="DH47" s="85">
        <f>IF(AT47="","",IF(ISNUMBER('Dvd Calendar'!$H$588)=FALSE,"",IF((Summary!$C$13="N")*('Dvd Calendar'!$H$592='Field Check'!$C$25)&gt;0,"",'Dvd Calendar'!$H$588)))</f>
        <v/>
      </c>
      <c r="DI47" s="85">
        <f>IF(AU47="","",IF(ISNUMBER('Dvd Calendar'!$I$588)=FALSE,"",IF((Summary!$C$13="N")*('Dvd Calendar'!$I$592='Field Check'!$C$25)&gt;0,"",'Dvd Calendar'!$I$588)))</f>
        <v/>
      </c>
      <c r="DJ47" s="85">
        <f>IF(AV47="","",IF(ISNUMBER('Dvd Calendar'!$J$588)=FALSE,"",IF((Summary!$C$13="N")*('Dvd Calendar'!$J$592='Field Check'!$C$25)&gt;0,"",'Dvd Calendar'!$J$588)))</f>
        <v/>
      </c>
      <c r="DK47" s="85">
        <f>IF(AW47="","",IF(ISNUMBER('Dvd Calendar'!$K$588)=FALSE,"",IF((Summary!$C$13="N")*('Dvd Calendar'!$K$592='Field Check'!$C$25)&gt;0,"",'Dvd Calendar'!$K$588)))</f>
        <v/>
      </c>
      <c r="DL47" s="85">
        <f>IF(AX47="","",IF(ISNUMBER('Dvd Calendar'!$L$588)=FALSE,"",IF((Summary!$C$13="N")*('Dvd Calendar'!$L$592='Field Check'!$C$25)&gt;0,"",'Dvd Calendar'!$L$588)))</f>
        <v/>
      </c>
      <c r="DM47" s="85">
        <f>IF(AY47="","",IF(ISNUMBER('Dvd Calendar'!$M$588)=FALSE,"",IF((Summary!$C$13="N")*('Dvd Calendar'!$M$592='Field Check'!$C$25)&gt;0,"",'Dvd Calendar'!$M$588)))</f>
        <v/>
      </c>
      <c r="DN47" s="85">
        <f>IF(AZ47="","",IF(ISNUMBER('Dvd Calendar'!$N$588)=FALSE,"",IF((Summary!$C$13="N")*('Dvd Calendar'!$N$592='Field Check'!$C$25)&gt;0,"",'Dvd Calendar'!$N$588)))</f>
        <v/>
      </c>
      <c r="DO47" s="85">
        <f>IF(BA47="","",IF(ISNUMBER('Dvd Calendar'!$O$588)=FALSE,"",IF((Summary!$C$13="N")*('Dvd Calendar'!$O$592='Field Check'!$C$25)&gt;0,"",'Dvd Calendar'!$O$588)))</f>
        <v/>
      </c>
      <c r="DP47" s="85">
        <f>IF(BB47="","",IF(ISNUMBER('Dvd Calendar'!$P$588)=FALSE,"",IF((Summary!$C$13="N")*('Dvd Calendar'!$P$592='Field Check'!$C$25)&gt;0,"",'Dvd Calendar'!$P$588)))</f>
        <v/>
      </c>
      <c r="DQ47" s="85">
        <f>IF(BC47="","",IF(ISNUMBER('Dvd Calendar'!$Q$588)=FALSE,"",IF((Summary!$C$13="N")*('Dvd Calendar'!$Q$592='Field Check'!$C$25)&gt;0,"",'Dvd Calendar'!$Q$588)))</f>
        <v/>
      </c>
      <c r="DR47" s="85">
        <f>IF(BD47="","",IF(ISNUMBER('Dvd Calendar'!$R$588)=FALSE,"",IF((Summary!$C$13="N")*('Dvd Calendar'!$R$592='Field Check'!$C$25)&gt;0,"",'Dvd Calendar'!$R$588)))</f>
        <v/>
      </c>
      <c r="DS47" s="85">
        <f>IF(BE47="","",IF(ISNUMBER('Dvd Calendar'!$S$588)=FALSE,"",IF((Summary!$C$13="N")*('Dvd Calendar'!$S$592='Field Check'!$C$25)&gt;0,"",'Dvd Calendar'!$S$588)))</f>
        <v/>
      </c>
      <c r="DT47" s="85">
        <f>IF(BF47="","",IF(ISNUMBER('Dvd Calendar'!$T$588)=FALSE,"",IF((Summary!$C$13="N")*('Dvd Calendar'!$T$592='Field Check'!$C$25)&gt;0,"",'Dvd Calendar'!$T$588)))</f>
        <v/>
      </c>
      <c r="DU47" s="85">
        <f>IF(BG47="","",IF(ISNUMBER('Dvd Calendar'!$U$588)=FALSE,"",IF((Summary!$C$13="N")*('Dvd Calendar'!$U$592='Field Check'!$C$25)&gt;0,"",'Dvd Calendar'!$U$588)))</f>
        <v/>
      </c>
      <c r="DV47" s="85">
        <f>IF(BH47="","",IF(ISNUMBER('Dvd Calendar'!$V$588)=FALSE,"",IF((Summary!$C$13="N")*('Dvd Calendar'!$V$592='Field Check'!$C$25)&gt;0,"",'Dvd Calendar'!$V$588)))</f>
        <v/>
      </c>
      <c r="DW47" s="85">
        <f>IF(BI47="","",IF(ISNUMBER('Dvd Calendar'!$W$588)=FALSE,"",IF((Summary!$C$13="N")*('Dvd Calendar'!$W$592='Field Check'!$C$25)&gt;0,"",'Dvd Calendar'!$W$588)))</f>
        <v/>
      </c>
      <c r="DX47" s="85">
        <f>IF(BJ47="","",IF(ISNUMBER('Dvd Calendar'!$X$588)=FALSE,"",IF((Summary!$C$13="N")*('Dvd Calendar'!$X$592='Field Check'!$C$25)&gt;0,"",'Dvd Calendar'!$X$588)))</f>
        <v/>
      </c>
      <c r="DY47" s="85">
        <f>IF(BK47="","",IF(ISNUMBER('Dvd Calendar'!$Y$588)=FALSE,"",IF((Summary!$C$13="N")*('Dvd Calendar'!$Y$592='Field Check'!$C$25)&gt;0,"",'Dvd Calendar'!$Y$588)))</f>
        <v/>
      </c>
      <c r="DZ47" s="85">
        <f>IF(BL47="","",IF(ISNUMBER('Dvd Calendar'!$Z$588)=FALSE,"",IF((Summary!$C$13="N")*('Dvd Calendar'!$Z$592='Field Check'!$C$25)&gt;0,"",'Dvd Calendar'!$Z$588)))</f>
        <v/>
      </c>
      <c r="EA47" s="85">
        <f>IF(BM47="","",IF(ISNUMBER('Dvd Calendar'!$AA$588)=FALSE,"",IF((Summary!$C$13="N")*('Dvd Calendar'!$AA$592='Field Check'!$C$25)&gt;0,"",'Dvd Calendar'!$AA$588)))</f>
        <v/>
      </c>
      <c r="EB47" s="85">
        <f>IF(BN47="","",IF(ISNUMBER('Dvd Calendar'!$AB$588)=FALSE,"",IF((Summary!$C$13="N")*('Dvd Calendar'!$AB$592='Field Check'!$C$25)&gt;0,"",'Dvd Calendar'!$AB$588)))</f>
        <v/>
      </c>
      <c r="EC47" s="85">
        <f>IF(BO47="","",IF(ISNUMBER('Dvd Calendar'!$AC$588)=FALSE,"",IF((Summary!$C$13="N")*('Dvd Calendar'!$AC$592='Field Check'!$C$25)&gt;0,"",'Dvd Calendar'!$AC$588)))</f>
        <v/>
      </c>
      <c r="EE47" s="85">
        <f>IF(BQ47="","",IFERROR(BQ47*HSI!$B$45*HSI!$G$45/HSI!$B$3,""))</f>
        <v/>
      </c>
      <c r="EF47" s="85">
        <f>IF(BR47="","",IFERROR(BR47*HSI!$B$45*HSI!$G$45/HSI!$B$3,""))</f>
        <v/>
      </c>
      <c r="EG47" s="85">
        <f>IF(BS47="","",IFERROR(BS47*HSI!$B$45*HSI!$G$45/HSI!$B$3,""))</f>
        <v/>
      </c>
      <c r="EH47" s="85">
        <f>IF(BT47="","",IFERROR(BT47*HSI!$B$45*HSI!$G$45/HSI!$B$3,""))</f>
        <v/>
      </c>
      <c r="EI47" s="85">
        <f>IF(BU47="","",IFERROR(BU47*HSI!$B$45*HSI!$G$45/HSI!$B$3,""))</f>
        <v/>
      </c>
      <c r="EJ47" s="85">
        <f>IF(BV47="","",IFERROR(BV47*HSI!$B$45*HSI!$G$45/HSI!$B$3,""))</f>
        <v/>
      </c>
      <c r="EK47" s="85">
        <f>IF(BW47="","",IFERROR(BW47*HSI!$B$45*HSI!$G$45/HSI!$B$3,""))</f>
        <v/>
      </c>
      <c r="EL47" s="85">
        <f>IF(BX47="","",IFERROR(BX47*HSI!$B$45*HSI!$G$45/HSI!$B$3,""))</f>
        <v/>
      </c>
      <c r="EM47" s="85">
        <f>IF(BY47="","",IFERROR(BY47*HSI!$B$45*HSI!$G$45/HSI!$B$3,""))</f>
        <v/>
      </c>
      <c r="EN47" s="85">
        <f>IF(BZ47="","",IFERROR(BZ47*HSI!$B$45*HSI!$G$45/HSI!$B$3,""))</f>
        <v/>
      </c>
      <c r="EO47" s="85">
        <f>IF(CA47="","",IFERROR(CA47*HSI!$B$45*HSI!$G$45/HSI!$B$3,""))</f>
        <v/>
      </c>
      <c r="EP47" s="85">
        <f>IF(CB47="","",IFERROR(CB47*HSI!$B$45*HSI!$G$45/HSI!$B$3,""))</f>
        <v/>
      </c>
      <c r="EQ47" s="85">
        <f>IF(CC47="","",IFERROR(CC47*HSI!$B$45*HSI!$G$45/HSI!$B$3,""))</f>
        <v/>
      </c>
      <c r="ER47" s="85">
        <f>IF(CD47="","",IFERROR(CD47*HSI!$B$45*HSI!$G$45/HSI!$B$3,""))</f>
        <v/>
      </c>
      <c r="ES47" s="85">
        <f>IF(CE47="","",IFERROR(CE47*HSI!$B$45*HSI!$G$45/HSI!$B$3,""))</f>
        <v/>
      </c>
      <c r="ET47" s="85">
        <f>IF(CF47="","",IFERROR(CF47*HSI!$B$45*HSI!$G$45/HSI!$B$3,""))</f>
        <v/>
      </c>
      <c r="EU47" s="85">
        <f>IF(CG47="","",IFERROR(CG47*HSI!$B$45*HSI!$G$45/HSI!$B$3,""))</f>
        <v/>
      </c>
      <c r="EV47" s="85">
        <f>IF(CH47="","",IFERROR(CH47*HSI!$B$45*HSI!$G$45/HSI!$B$3,""))</f>
        <v/>
      </c>
      <c r="EW47" s="85">
        <f>IF(CI47="","",IFERROR(CI47*HSI!$B$45*HSI!$G$45/HSI!$B$3,""))</f>
        <v/>
      </c>
      <c r="EX47" s="85">
        <f>IF(CJ47="","",IFERROR(CJ47*HSI!$B$45*HSI!$G$45/HSI!$B$3,""))</f>
        <v/>
      </c>
      <c r="EY47" s="85">
        <f>IF(CK47="","",IFERROR(CK47*HSI!$B$45*HSI!$G$45/HSI!$B$3,""))</f>
        <v/>
      </c>
      <c r="EZ47" s="85">
        <f>IF(CL47="","",IFERROR(CL47*HSI!$B$45*HSI!$G$45/HSI!$B$3,""))</f>
        <v/>
      </c>
      <c r="FA47" s="85">
        <f>IF(CM47="","",IFERROR(CM47*HSI!$B$45*HSI!$G$45/HSI!$B$3,""))</f>
        <v/>
      </c>
      <c r="FB47" s="85">
        <f>IF(CN47="","",IFERROR(CN47*HSI!$B$45*HSI!$G$45/HSI!$B$3,""))</f>
        <v/>
      </c>
      <c r="FC47" s="85">
        <f>IF(CO47="","",IFERROR(CO47*HSI!$B$45*HSI!$G$45/HSI!$B$3,""))</f>
        <v/>
      </c>
      <c r="FD47" s="85">
        <f>IF(CP47="","",IFERROR(CP47*HSI!$B$45*HSI!$G$45/HSI!$B$3,""))</f>
        <v/>
      </c>
      <c r="FE47" s="85">
        <f>IF(CQ47="","",IFERROR(CQ47*HSI!$B$45*HSI!$G$45/HSI!$B$3,""))</f>
        <v/>
      </c>
      <c r="FF47" s="85">
        <f>IF(CR47="","",IFERROR(CR47*HSI!$B$45*HSI!$G$45/HSI!$B$3,""))</f>
        <v/>
      </c>
      <c r="FG47" s="85">
        <f>IF(CS47="","",IFERROR(CS47*HSI!$B$45*HSI!$G$45/HSI!$B$3,""))</f>
        <v/>
      </c>
      <c r="FH47" s="85">
        <f>IF(CT47="","",IFERROR(CT47*HSI!$B$45*HSI!$G$45/HSI!$B$3,""))</f>
        <v/>
      </c>
      <c r="FI47" s="85">
        <f>IF(CU47="","",IFERROR(CU47*HSI!$B$45*HSI!$G$45/HSI!$B$3,""))</f>
        <v/>
      </c>
      <c r="FJ47" s="85">
        <f>IF(CV47="","",IFERROR(CV47*HSI!$B$45*HSI!$G$45/HSI!$B$3,""))</f>
        <v/>
      </c>
      <c r="FK47" s="85">
        <f>IF(CW47="","",IFERROR(CW47*HSI!$B$45*HSI!$G$45/HSI!$B$3,""))</f>
        <v/>
      </c>
      <c r="FL47" s="85">
        <f>IF(CX47="","",IFERROR(CX47*HSI!$B$45*HSI!$G$45/HSI!$B$3,""))</f>
        <v/>
      </c>
      <c r="FM47" s="85">
        <f>IF(CY47="","",IFERROR(CY47*HSI!$B$45*HSI!$G$45/HSI!$B$3,""))</f>
        <v/>
      </c>
      <c r="FN47" s="85">
        <f>IF(CZ47="","",IFERROR(CZ47*HSI!$B$45*HSI!$G$45/HSI!$B$3,""))</f>
        <v/>
      </c>
      <c r="FO47" s="85">
        <f>IF(DA47="","",IFERROR(DA47*HSI!$B$45*HSI!$G$45/HSI!$B$3,""))</f>
        <v/>
      </c>
      <c r="FP47" s="85">
        <f>IF(DB47="","",IFERROR(DB47*HSI!$B$45*HSI!$G$45/HSI!$B$3,""))</f>
        <v/>
      </c>
      <c r="FQ47" s="85">
        <f>IF(DC47="","",IFERROR(DC47*HSI!$B$45*HSI!$G$45/HSI!$B$3,""))</f>
        <v/>
      </c>
      <c r="FR47" s="85">
        <f>IF(DD47="","",IFERROR(DD47*HSI!$B$45*HSI!$G$45/HSI!$B$3,""))</f>
        <v/>
      </c>
      <c r="FS47" s="85">
        <f>IF(DE47="","",IFERROR(DE47*HSI!$B$45*HSI!$G$45/HSI!$B$3,""))</f>
        <v/>
      </c>
      <c r="FT47" s="85">
        <f>IF(DF47="","",IFERROR(DF47*HSI!$B$45*HSI!$G$45/HSI!$B$3,""))</f>
        <v/>
      </c>
      <c r="FU47" s="85">
        <f>IF(DG47="","",IFERROR(DG47*HSI!$B$45*HSI!$G$45/HSI!$B$3,""))</f>
        <v/>
      </c>
      <c r="FV47" s="85">
        <f>IF(DH47="","",IFERROR(DH47*HSI!$B$45*HSI!$G$45/HSI!$B$3,""))</f>
        <v/>
      </c>
      <c r="FW47" s="85">
        <f>IF(DI47="","",IFERROR(DI47*HSI!$B$45*HSI!$G$45/HSI!$B$3,""))</f>
        <v/>
      </c>
      <c r="FX47" s="85">
        <f>IF(DJ47="","",IFERROR(DJ47*HSI!$B$45*HSI!$G$45/HSI!$B$3,""))</f>
        <v/>
      </c>
      <c r="FY47" s="85">
        <f>IF(DK47="","",IFERROR(DK47*HSI!$B$45*HSI!$G$45/HSI!$B$3,""))</f>
        <v/>
      </c>
      <c r="FZ47" s="85">
        <f>IF(DL47="","",IFERROR(DL47*HSI!$B$45*HSI!$G$45/HSI!$B$3,""))</f>
        <v/>
      </c>
      <c r="GA47" s="85">
        <f>IF(DM47="","",IFERROR(DM47*HSI!$B$45*HSI!$G$45/HSI!$B$3,""))</f>
        <v/>
      </c>
      <c r="GB47" s="85">
        <f>IF(DN47="","",IFERROR(DN47*HSI!$B$45*HSI!$G$45/HSI!$B$3,""))</f>
        <v/>
      </c>
      <c r="GC47" s="85">
        <f>IF(DO47="","",IFERROR(DO47*HSI!$B$45*HSI!$G$45/HSI!$B$3,""))</f>
        <v/>
      </c>
      <c r="GD47" s="85">
        <f>IF(DP47="","",IFERROR(DP47*HSI!$B$45*HSI!$G$45/HSI!$B$3,""))</f>
        <v/>
      </c>
      <c r="GE47" s="85">
        <f>IF(DQ47="","",IFERROR(DQ47*HSI!$B$45*HSI!$G$45/HSI!$B$3,""))</f>
        <v/>
      </c>
      <c r="GF47" s="85">
        <f>IF(DR47="","",IFERROR(DR47*HSI!$B$45*HSI!$G$45/HSI!$B$3,""))</f>
        <v/>
      </c>
      <c r="GG47" s="85">
        <f>IF(DS47="","",IFERROR(DS47*HSI!$B$45*HSI!$G$45/HSI!$B$3,""))</f>
        <v/>
      </c>
      <c r="GH47" s="85">
        <f>IF(DT47="","",IFERROR(DT47*HSI!$B$45*HSI!$G$45/HSI!$B$3,""))</f>
        <v/>
      </c>
      <c r="GI47" s="85">
        <f>IF(DU47="","",IFERROR(DU47*HSI!$B$45*HSI!$G$45/HSI!$B$3,""))</f>
        <v/>
      </c>
      <c r="GJ47" s="85">
        <f>IF(DV47="","",IFERROR(DV47*HSI!$B$45*HSI!$G$45/HSI!$B$3,""))</f>
        <v/>
      </c>
      <c r="GK47" s="85">
        <f>IF(DW47="","",IFERROR(DW47*HSI!$B$45*HSI!$G$45/HSI!$B$3,""))</f>
        <v/>
      </c>
      <c r="GL47" s="85">
        <f>IF(DX47="","",IFERROR(DX47*HSI!$B$45*HSI!$G$45/HSI!$B$3,""))</f>
        <v/>
      </c>
      <c r="GM47" s="85">
        <f>IF(DY47="","",IFERROR(DY47*HSI!$B$45*HSI!$G$45/HSI!$B$3,""))</f>
        <v/>
      </c>
      <c r="GN47" s="85">
        <f>IF(DZ47="","",IFERROR(DZ47*HSI!$B$45*HSI!$G$45/HSI!$B$3,""))</f>
        <v/>
      </c>
      <c r="GO47" s="85">
        <f>IF(EA47="","",IFERROR(EA47*HSI!$B$45*HSI!$G$45/HSI!$B$3,""))</f>
        <v/>
      </c>
      <c r="GP47" s="85">
        <f>IF(EB47="","",IFERROR(EB47*HSI!$B$45*HSI!$G$45/HSI!$B$3,""))</f>
        <v/>
      </c>
      <c r="GQ47" s="85">
        <f>IF(EC47="","",IFERROR(EC47*HSI!$B$45*HSI!$G$45/HSI!$B$3,""))</f>
        <v/>
      </c>
    </row>
    <row r="48">
      <c r="B48" s="2">
        <f>IF(HSI!$C$46="","",HSI!$C$46)</f>
        <v/>
      </c>
      <c r="C48" s="41">
        <f>IF(N('Dvd Calendar'!$E$595)=0,"",IF(('Dvd Calendar'!$E$595&gt;=MIN(DATE(Summary!$C$12,1,1),Summary!$C$11))*('Dvd Calendar'!$E$595&lt;=MAX(DATE(Summary!$C$12,12,31),Summary!$C$15))*('Dvd Calendar'!$E$595&lt;=Summary!$C$11)=0,"",'Dvd Calendar'!$E$595*1000000000+ISNUMBER('Dvd Calendar'!$E$596)*100000000+('Dvd Calendar'!$E$600='Field Check'!$C$25)*10000000+(N('Dvd Calendar'!$E$594)&gt;0)*1000000+40*1000+1))</f>
        <v/>
      </c>
      <c r="D48" s="41">
        <f>IF(N('Dvd Calendar'!$F$595)=0,"",IF(('Dvd Calendar'!$F$595&gt;=MIN(DATE(Summary!$C$12,1,1),Summary!$C$11))*('Dvd Calendar'!$F$595&lt;=MAX(DATE(Summary!$C$12,12,31),Summary!$C$15))*('Dvd Calendar'!$F$595&lt;=Summary!$C$11)=0,"",'Dvd Calendar'!$F$595*1000000000+ISNUMBER('Dvd Calendar'!$F$596)*100000000+('Dvd Calendar'!$F$600='Field Check'!$C$25)*10000000+(N('Dvd Calendar'!$F$594)&gt;0)*1000000+40*1000+2))</f>
        <v/>
      </c>
      <c r="E48" s="41">
        <f>IF(N('Dvd Calendar'!$G$595)=0,"",IF(('Dvd Calendar'!$G$595&gt;=MIN(DATE(Summary!$C$12,1,1),Summary!$C$11))*('Dvd Calendar'!$G$595&lt;=MAX(DATE(Summary!$C$12,12,31),Summary!$C$15))*('Dvd Calendar'!$G$595&lt;=Summary!$C$11)=0,"",'Dvd Calendar'!$G$595*1000000000+ISNUMBER('Dvd Calendar'!$G$596)*100000000+('Dvd Calendar'!$G$600='Field Check'!$C$25)*10000000+(N('Dvd Calendar'!$G$594)&gt;0)*1000000+40*1000+3))</f>
        <v/>
      </c>
      <c r="F48" s="41">
        <f>IF(N('Dvd Calendar'!$H$595)=0,"",IF(('Dvd Calendar'!$H$595&gt;=MIN(DATE(Summary!$C$12,1,1),Summary!$C$11))*('Dvd Calendar'!$H$595&lt;=MAX(DATE(Summary!$C$12,12,31),Summary!$C$15))*('Dvd Calendar'!$H$595&lt;=Summary!$C$11)=0,"",'Dvd Calendar'!$H$595*1000000000+ISNUMBER('Dvd Calendar'!$H$596)*100000000+('Dvd Calendar'!$H$600='Field Check'!$C$25)*10000000+(N('Dvd Calendar'!$H$594)&gt;0)*1000000+40*1000+4))</f>
        <v/>
      </c>
      <c r="G48" s="41">
        <f>IF(N('Dvd Calendar'!$I$595)=0,"",IF(('Dvd Calendar'!$I$595&gt;=MIN(DATE(Summary!$C$12,1,1),Summary!$C$11))*('Dvd Calendar'!$I$595&lt;=MAX(DATE(Summary!$C$12,12,31),Summary!$C$15))*('Dvd Calendar'!$I$595&lt;=Summary!$C$11)=0,"",'Dvd Calendar'!$I$595*1000000000+ISNUMBER('Dvd Calendar'!$I$596)*100000000+('Dvd Calendar'!$I$600='Field Check'!$C$25)*10000000+(N('Dvd Calendar'!$I$594)&gt;0)*1000000+40*1000+5))</f>
        <v/>
      </c>
      <c r="H48" s="41">
        <f>IF(N('Dvd Calendar'!$J$595)=0,"",IF(('Dvd Calendar'!$J$595&gt;=MIN(DATE(Summary!$C$12,1,1),Summary!$C$11))*('Dvd Calendar'!$J$595&lt;=MAX(DATE(Summary!$C$12,12,31),Summary!$C$15))*('Dvd Calendar'!$J$595&lt;=Summary!$C$11)=0,"",'Dvd Calendar'!$J$595*1000000000+ISNUMBER('Dvd Calendar'!$J$596)*100000000+('Dvd Calendar'!$J$600='Field Check'!$C$25)*10000000+(N('Dvd Calendar'!$J$594)&gt;0)*1000000+40*1000+6))</f>
        <v/>
      </c>
      <c r="I48" s="41">
        <f>IF(N('Dvd Calendar'!$K$595)=0,"",IF(('Dvd Calendar'!$K$595&gt;=MIN(DATE(Summary!$C$12,1,1),Summary!$C$11))*('Dvd Calendar'!$K$595&lt;=MAX(DATE(Summary!$C$12,12,31),Summary!$C$15))*('Dvd Calendar'!$K$595&lt;=Summary!$C$11)=0,"",'Dvd Calendar'!$K$595*1000000000+ISNUMBER('Dvd Calendar'!$K$596)*100000000+('Dvd Calendar'!$K$600='Field Check'!$C$25)*10000000+(N('Dvd Calendar'!$K$594)&gt;0)*1000000+40*1000+7))</f>
        <v/>
      </c>
      <c r="J48" s="41">
        <f>IF(N('Dvd Calendar'!$L$595)=0,"",IF(('Dvd Calendar'!$L$595&gt;=MIN(DATE(Summary!$C$12,1,1),Summary!$C$11))*('Dvd Calendar'!$L$595&lt;=MAX(DATE(Summary!$C$12,12,31),Summary!$C$15))*('Dvd Calendar'!$L$595&lt;=Summary!$C$11)=0,"",'Dvd Calendar'!$L$595*1000000000+ISNUMBER('Dvd Calendar'!$L$596)*100000000+('Dvd Calendar'!$L$600='Field Check'!$C$25)*10000000+(N('Dvd Calendar'!$L$594)&gt;0)*1000000+40*1000+8))</f>
        <v/>
      </c>
      <c r="K48" s="41">
        <f>IF(N('Dvd Calendar'!$M$595)=0,"",IF(('Dvd Calendar'!$M$595&gt;=MIN(DATE(Summary!$C$12,1,1),Summary!$C$11))*('Dvd Calendar'!$M$595&lt;=MAX(DATE(Summary!$C$12,12,31),Summary!$C$15))*('Dvd Calendar'!$M$595&lt;=Summary!$C$11)=0,"",'Dvd Calendar'!$M$595*1000000000+ISNUMBER('Dvd Calendar'!$M$596)*100000000+('Dvd Calendar'!$M$600='Field Check'!$C$25)*10000000+(N('Dvd Calendar'!$M$594)&gt;0)*1000000+40*1000+9))</f>
        <v/>
      </c>
      <c r="L48" s="41">
        <f>IF(N('Dvd Calendar'!$N$595)=0,"",IF(('Dvd Calendar'!$N$595&gt;=MIN(DATE(Summary!$C$12,1,1),Summary!$C$11))*('Dvd Calendar'!$N$595&lt;=MAX(DATE(Summary!$C$12,12,31),Summary!$C$15))*('Dvd Calendar'!$N$595&lt;=Summary!$C$11)=0,"",'Dvd Calendar'!$N$595*1000000000+ISNUMBER('Dvd Calendar'!$N$596)*100000000+('Dvd Calendar'!$N$600='Field Check'!$C$25)*10000000+(N('Dvd Calendar'!$N$594)&gt;0)*1000000+40*1000+10))</f>
        <v/>
      </c>
      <c r="M48" s="41">
        <f>IF(N('Dvd Calendar'!$O$595)=0,"",IF(('Dvd Calendar'!$O$595&gt;=MIN(DATE(Summary!$C$12,1,1),Summary!$C$11))*('Dvd Calendar'!$O$595&lt;=MAX(DATE(Summary!$C$12,12,31),Summary!$C$15))*('Dvd Calendar'!$O$595&lt;=Summary!$C$11)=0,"",'Dvd Calendar'!$O$595*1000000000+ISNUMBER('Dvd Calendar'!$O$596)*100000000+('Dvd Calendar'!$O$600='Field Check'!$C$25)*10000000+(N('Dvd Calendar'!$O$594)&gt;0)*1000000+40*1000+11))</f>
        <v/>
      </c>
      <c r="N48" s="41">
        <f>IF(N('Dvd Calendar'!$P$595)=0,"",IF(('Dvd Calendar'!$P$595&gt;=MIN(DATE(Summary!$C$12,1,1),Summary!$C$11))*('Dvd Calendar'!$P$595&lt;=MAX(DATE(Summary!$C$12,12,31),Summary!$C$15))*('Dvd Calendar'!$P$595&lt;=Summary!$C$11)=0,"",'Dvd Calendar'!$P$595*1000000000+ISNUMBER('Dvd Calendar'!$P$596)*100000000+('Dvd Calendar'!$P$600='Field Check'!$C$25)*10000000+(N('Dvd Calendar'!$P$594)&gt;0)*1000000+40*1000+12))</f>
        <v/>
      </c>
      <c r="O48" s="41">
        <f>IF(N('Dvd Calendar'!$Q$595)=0,"",IF(('Dvd Calendar'!$Q$595&gt;=MIN(DATE(Summary!$C$12,1,1),Summary!$C$11))*('Dvd Calendar'!$Q$595&lt;=MAX(DATE(Summary!$C$12,12,31),Summary!$C$15))*('Dvd Calendar'!$Q$595&lt;=Summary!$C$11)=0,"",'Dvd Calendar'!$Q$595*1000000000+ISNUMBER('Dvd Calendar'!$Q$596)*100000000+('Dvd Calendar'!$Q$600='Field Check'!$C$25)*10000000+(N('Dvd Calendar'!$Q$594)&gt;0)*1000000+40*1000+13))</f>
        <v/>
      </c>
      <c r="P48" s="41">
        <f>IF(N('Dvd Calendar'!$R$595)=0,"",IF(('Dvd Calendar'!$R$595&gt;=MIN(DATE(Summary!$C$12,1,1),Summary!$C$11))*('Dvd Calendar'!$R$595&lt;=MAX(DATE(Summary!$C$12,12,31),Summary!$C$15))*('Dvd Calendar'!$R$595&lt;=Summary!$C$11)=0,"",'Dvd Calendar'!$R$595*1000000000+ISNUMBER('Dvd Calendar'!$R$596)*100000000+('Dvd Calendar'!$R$600='Field Check'!$C$25)*10000000+(N('Dvd Calendar'!$R$594)&gt;0)*1000000+40*1000+14))</f>
        <v/>
      </c>
      <c r="Q48" s="41">
        <f>IF(N('Dvd Calendar'!$S$595)=0,"",IF(('Dvd Calendar'!$S$595&gt;=MIN(DATE(Summary!$C$12,1,1),Summary!$C$11))*('Dvd Calendar'!$S$595&lt;=MAX(DATE(Summary!$C$12,12,31),Summary!$C$15))*('Dvd Calendar'!$S$595&lt;=Summary!$C$11)=0,"",'Dvd Calendar'!$S$595*1000000000+ISNUMBER('Dvd Calendar'!$S$596)*100000000+('Dvd Calendar'!$S$600='Field Check'!$C$25)*10000000+(N('Dvd Calendar'!$S$594)&gt;0)*1000000+40*1000+15))</f>
        <v/>
      </c>
      <c r="R48" s="41">
        <f>IF(N('Dvd Calendar'!$T$595)=0,"",IF(('Dvd Calendar'!$T$595&gt;=MIN(DATE(Summary!$C$12,1,1),Summary!$C$11))*('Dvd Calendar'!$T$595&lt;=MAX(DATE(Summary!$C$12,12,31),Summary!$C$15))*('Dvd Calendar'!$T$595&lt;=Summary!$C$11)=0,"",'Dvd Calendar'!$T$595*1000000000+ISNUMBER('Dvd Calendar'!$T$596)*100000000+('Dvd Calendar'!$T$600='Field Check'!$C$25)*10000000+(N('Dvd Calendar'!$T$594)&gt;0)*1000000+40*1000+16))</f>
        <v/>
      </c>
      <c r="S48" s="41">
        <f>IF(N('Dvd Calendar'!$U$595)=0,"",IF(('Dvd Calendar'!$U$595&gt;=MIN(DATE(Summary!$C$12,1,1),Summary!$C$11))*('Dvd Calendar'!$U$595&lt;=MAX(DATE(Summary!$C$12,12,31),Summary!$C$15))*('Dvd Calendar'!$U$595&lt;=Summary!$C$11)=0,"",'Dvd Calendar'!$U$595*1000000000+ISNUMBER('Dvd Calendar'!$U$596)*100000000+('Dvd Calendar'!$U$600='Field Check'!$C$25)*10000000+(N('Dvd Calendar'!$U$594)&gt;0)*1000000+40*1000+17))</f>
        <v/>
      </c>
      <c r="T48" s="41">
        <f>IF(N('Dvd Calendar'!$V$595)=0,"",IF(('Dvd Calendar'!$V$595&gt;=MIN(DATE(Summary!$C$12,1,1),Summary!$C$11))*('Dvd Calendar'!$V$595&lt;=MAX(DATE(Summary!$C$12,12,31),Summary!$C$15))*('Dvd Calendar'!$V$595&lt;=Summary!$C$11)=0,"",'Dvd Calendar'!$V$595*1000000000+ISNUMBER('Dvd Calendar'!$V$596)*100000000+('Dvd Calendar'!$V$600='Field Check'!$C$25)*10000000+(N('Dvd Calendar'!$V$594)&gt;0)*1000000+40*1000+18))</f>
        <v/>
      </c>
      <c r="U48" s="41">
        <f>IF(N('Dvd Calendar'!$W$595)=0,"",IF(('Dvd Calendar'!$W$595&gt;=MIN(DATE(Summary!$C$12,1,1),Summary!$C$11))*('Dvd Calendar'!$W$595&lt;=MAX(DATE(Summary!$C$12,12,31),Summary!$C$15))*('Dvd Calendar'!$W$595&lt;=Summary!$C$11)=0,"",'Dvd Calendar'!$W$595*1000000000+ISNUMBER('Dvd Calendar'!$W$596)*100000000+('Dvd Calendar'!$W$600='Field Check'!$C$25)*10000000+(N('Dvd Calendar'!$W$594)&gt;0)*1000000+40*1000+19))</f>
        <v/>
      </c>
      <c r="V48" s="41">
        <f>IF(N('Dvd Calendar'!$X$595)=0,"",IF(('Dvd Calendar'!$X$595&gt;=MIN(DATE(Summary!$C$12,1,1),Summary!$C$11))*('Dvd Calendar'!$X$595&lt;=MAX(DATE(Summary!$C$12,12,31),Summary!$C$15))*('Dvd Calendar'!$X$595&lt;=Summary!$C$11)=0,"",'Dvd Calendar'!$X$595*1000000000+ISNUMBER('Dvd Calendar'!$X$596)*100000000+('Dvd Calendar'!$X$600='Field Check'!$C$25)*10000000+(N('Dvd Calendar'!$X$594)&gt;0)*1000000+40*1000+20))</f>
        <v/>
      </c>
      <c r="W48" s="41">
        <f>IF(N('Dvd Calendar'!$Y$595)=0,"",IF(('Dvd Calendar'!$Y$595&gt;=MIN(DATE(Summary!$C$12,1,1),Summary!$C$11))*('Dvd Calendar'!$Y$595&lt;=MAX(DATE(Summary!$C$12,12,31),Summary!$C$15))*('Dvd Calendar'!$Y$595&lt;=Summary!$C$11)=0,"",'Dvd Calendar'!$Y$595*1000000000+ISNUMBER('Dvd Calendar'!$Y$596)*100000000+('Dvd Calendar'!$Y$600='Field Check'!$C$25)*10000000+(N('Dvd Calendar'!$Y$594)&gt;0)*1000000+40*1000+21))</f>
        <v/>
      </c>
      <c r="X48" s="41">
        <f>IF(N('Dvd Calendar'!$Z$595)=0,"",IF(('Dvd Calendar'!$Z$595&gt;=MIN(DATE(Summary!$C$12,1,1),Summary!$C$11))*('Dvd Calendar'!$Z$595&lt;=MAX(DATE(Summary!$C$12,12,31),Summary!$C$15))*('Dvd Calendar'!$Z$595&lt;=Summary!$C$11)=0,"",'Dvd Calendar'!$Z$595*1000000000+ISNUMBER('Dvd Calendar'!$Z$596)*100000000+('Dvd Calendar'!$Z$600='Field Check'!$C$25)*10000000+(N('Dvd Calendar'!$Z$594)&gt;0)*1000000+40*1000+22))</f>
        <v/>
      </c>
      <c r="Y48" s="41">
        <f>IF(N('Dvd Calendar'!$AA$595)=0,"",IF(('Dvd Calendar'!$AA$595&gt;=MIN(DATE(Summary!$C$12,1,1),Summary!$C$11))*('Dvd Calendar'!$AA$595&lt;=MAX(DATE(Summary!$C$12,12,31),Summary!$C$15))*('Dvd Calendar'!$AA$595&lt;=Summary!$C$11)=0,"",'Dvd Calendar'!$AA$595*1000000000+ISNUMBER('Dvd Calendar'!$AA$596)*100000000+('Dvd Calendar'!$AA$600='Field Check'!$C$25)*10000000+(N('Dvd Calendar'!$AA$594)&gt;0)*1000000+40*1000+23))</f>
        <v/>
      </c>
      <c r="Z48" s="41">
        <f>IF(N('Dvd Calendar'!$AB$595)=0,"",IF(('Dvd Calendar'!$AB$595&gt;=MIN(DATE(Summary!$C$12,1,1),Summary!$C$11))*('Dvd Calendar'!$AB$595&lt;=MAX(DATE(Summary!$C$12,12,31),Summary!$C$15))*('Dvd Calendar'!$AB$595&lt;=Summary!$C$11)=0,"",'Dvd Calendar'!$AB$595*1000000000+ISNUMBER('Dvd Calendar'!$AB$596)*100000000+('Dvd Calendar'!$AB$600='Field Check'!$C$25)*10000000+(N('Dvd Calendar'!$AB$594)&gt;0)*1000000+40*1000+24))</f>
        <v/>
      </c>
      <c r="AA48" s="41">
        <f>IF(N('Dvd Calendar'!$AC$595)=0,"",IF(('Dvd Calendar'!$AC$595&gt;=MIN(DATE(Summary!$C$12,1,1),Summary!$C$11))*('Dvd Calendar'!$AC$595&lt;=MAX(DATE(Summary!$C$12,12,31),Summary!$C$15))*('Dvd Calendar'!$AC$595&lt;=Summary!$C$11)=0,"",'Dvd Calendar'!$AC$595*1000000000+ISNUMBER('Dvd Calendar'!$AC$596)*100000000+('Dvd Calendar'!$AC$600='Field Check'!$C$25)*10000000+(N('Dvd Calendar'!$AC$594)&gt;0)*1000000+40*1000+25))</f>
        <v/>
      </c>
      <c r="AB48" s="41">
        <f>IF(N('Dvd Calendar'!$AD$595)=0,"",IF(('Dvd Calendar'!$AD$595&gt;=MIN(DATE(Summary!$C$12,1,1),Summary!$C$11))*('Dvd Calendar'!$AD$595&lt;=MAX(DATE(Summary!$C$12,12,31),Summary!$C$15))*('Dvd Calendar'!$AD$595&lt;=Summary!$C$11)=0,"",'Dvd Calendar'!$AD$595*1000000000+ISNUMBER('Dvd Calendar'!$AD$596)*100000000+('Dvd Calendar'!$AD$600='Field Check'!$C$25)*10000000+(N('Dvd Calendar'!$AD$594)&gt;0)*1000000+40*1000+26))</f>
        <v/>
      </c>
      <c r="AC48" s="41">
        <f>IF(N('Dvd Calendar'!$AE$595)=0,"",IF(('Dvd Calendar'!$AE$595&gt;=MIN(DATE(Summary!$C$12,1,1),Summary!$C$11))*('Dvd Calendar'!$AE$595&lt;=MAX(DATE(Summary!$C$12,12,31),Summary!$C$15))*('Dvd Calendar'!$AE$595&lt;=Summary!$C$11)=0,"",'Dvd Calendar'!$AE$595*1000000000+ISNUMBER('Dvd Calendar'!$AE$596)*100000000+('Dvd Calendar'!$AE$600='Field Check'!$C$25)*10000000+(N('Dvd Calendar'!$AE$594)&gt;0)*1000000+40*1000+27))</f>
        <v/>
      </c>
      <c r="AD48" s="41">
        <f>IF(N('Dvd Calendar'!$AF$595)=0,"",IF(('Dvd Calendar'!$AF$595&gt;=MIN(DATE(Summary!$C$12,1,1),Summary!$C$11))*('Dvd Calendar'!$AF$595&lt;=MAX(DATE(Summary!$C$12,12,31),Summary!$C$15))*('Dvd Calendar'!$AF$595&lt;=Summary!$C$11)=0,"",'Dvd Calendar'!$AF$595*1000000000+ISNUMBER('Dvd Calendar'!$AF$596)*100000000+('Dvd Calendar'!$AF$600='Field Check'!$C$25)*10000000+(N('Dvd Calendar'!$AF$594)&gt;0)*1000000+40*1000+28))</f>
        <v/>
      </c>
      <c r="AE48" s="41">
        <f>IF(N('Dvd Calendar'!$AG$595)=0,"",IF(('Dvd Calendar'!$AG$595&gt;=MIN(DATE(Summary!$C$12,1,1),Summary!$C$11))*('Dvd Calendar'!$AG$595&lt;=MAX(DATE(Summary!$C$12,12,31),Summary!$C$15))*('Dvd Calendar'!$AG$595&lt;=Summary!$C$11)=0,"",'Dvd Calendar'!$AG$595*1000000000+ISNUMBER('Dvd Calendar'!$AG$596)*100000000+('Dvd Calendar'!$AG$600='Field Check'!$C$25)*10000000+(N('Dvd Calendar'!$AG$594)&gt;0)*1000000+40*1000+29))</f>
        <v/>
      </c>
      <c r="AF48" s="41">
        <f>IF(N('Dvd Calendar'!$AH$595)=0,"",IF(('Dvd Calendar'!$AH$595&gt;=MIN(DATE(Summary!$C$12,1,1),Summary!$C$11))*('Dvd Calendar'!$AH$595&lt;=MAX(DATE(Summary!$C$12,12,31),Summary!$C$15))*('Dvd Calendar'!$AH$595&lt;=Summary!$C$11)=0,"",'Dvd Calendar'!$AH$595*1000000000+ISNUMBER('Dvd Calendar'!$AH$596)*100000000+('Dvd Calendar'!$AH$600='Field Check'!$C$25)*10000000+(N('Dvd Calendar'!$AH$594)&gt;0)*1000000+40*1000+30))</f>
        <v/>
      </c>
      <c r="AG48" s="41">
        <f>IF(N('Dvd Calendar'!$AI$595)=0,"",IF(('Dvd Calendar'!$AI$595&gt;=MIN(DATE(Summary!$C$12,1,1),Summary!$C$11))*('Dvd Calendar'!$AI$595&lt;=MAX(DATE(Summary!$C$12,12,31),Summary!$C$15))*('Dvd Calendar'!$AI$595&lt;=Summary!$C$11)=0,"",'Dvd Calendar'!$AI$595*1000000000+ISNUMBER('Dvd Calendar'!$AI$596)*100000000+('Dvd Calendar'!$AI$600='Field Check'!$C$25)*10000000+(N('Dvd Calendar'!$AI$594)&gt;0)*1000000+40*1000+31))</f>
        <v/>
      </c>
      <c r="AH48" s="41">
        <f>IF(N('Dvd Calendar'!$AJ$595)=0,"",IF(('Dvd Calendar'!$AJ$595&gt;=MIN(DATE(Summary!$C$12,1,1),Summary!$C$11))*('Dvd Calendar'!$AJ$595&lt;=MAX(DATE(Summary!$C$12,12,31),Summary!$C$15))*('Dvd Calendar'!$AJ$595&lt;=Summary!$C$11)=0,"",'Dvd Calendar'!$AJ$595*1000000000+ISNUMBER('Dvd Calendar'!$AJ$596)*100000000+('Dvd Calendar'!$AJ$600='Field Check'!$C$25)*10000000+(N('Dvd Calendar'!$AJ$594)&gt;0)*1000000+40*1000+32))</f>
        <v/>
      </c>
      <c r="AI48" s="41">
        <f>IF(N('Dvd Calendar'!$AK$595)=0,"",IF(('Dvd Calendar'!$AK$595&gt;=MIN(DATE(Summary!$C$12,1,1),Summary!$C$11))*('Dvd Calendar'!$AK$595&lt;=MAX(DATE(Summary!$C$12,12,31),Summary!$C$15))*('Dvd Calendar'!$AK$595&lt;=Summary!$C$11)=0,"",'Dvd Calendar'!$AK$595*1000000000+ISNUMBER('Dvd Calendar'!$AK$596)*100000000+('Dvd Calendar'!$AK$600='Field Check'!$C$25)*10000000+(N('Dvd Calendar'!$AK$594)&gt;0)*1000000+40*1000+33))</f>
        <v/>
      </c>
      <c r="AJ48" s="41">
        <f>IF(N('Dvd Calendar'!$AL$595)=0,"",IF(('Dvd Calendar'!$AL$595&gt;=MIN(DATE(Summary!$C$12,1,1),Summary!$C$11))*('Dvd Calendar'!$AL$595&lt;=MAX(DATE(Summary!$C$12,12,31),Summary!$C$15))*('Dvd Calendar'!$AL$595&lt;=Summary!$C$11)=0,"",'Dvd Calendar'!$AL$595*1000000000+ISNUMBER('Dvd Calendar'!$AL$596)*100000000+('Dvd Calendar'!$AL$600='Field Check'!$C$25)*10000000+(N('Dvd Calendar'!$AL$594)&gt;0)*1000000+40*1000+34))</f>
        <v/>
      </c>
      <c r="AK48" s="41">
        <f>IF(N('Dvd Calendar'!$AM$595)=0,"",IF(('Dvd Calendar'!$AM$595&gt;=MIN(DATE(Summary!$C$12,1,1),Summary!$C$11))*('Dvd Calendar'!$AM$595&lt;=MAX(DATE(Summary!$C$12,12,31),Summary!$C$15))*('Dvd Calendar'!$AM$595&lt;=Summary!$C$11)=0,"",'Dvd Calendar'!$AM$595*1000000000+ISNUMBER('Dvd Calendar'!$AM$596)*100000000+('Dvd Calendar'!$AM$600='Field Check'!$C$25)*10000000+(N('Dvd Calendar'!$AM$594)&gt;0)*1000000+40*1000+35))</f>
        <v/>
      </c>
      <c r="AL48" s="41">
        <f>IF(N('Dvd Calendar'!$AN$595)=0,"",IF(('Dvd Calendar'!$AN$595&gt;=MIN(DATE(Summary!$C$12,1,1),Summary!$C$11))*('Dvd Calendar'!$AN$595&lt;=MAX(DATE(Summary!$C$12,12,31),Summary!$C$15))*('Dvd Calendar'!$AN$595&lt;=Summary!$C$11)=0,"",'Dvd Calendar'!$AN$595*1000000000+ISNUMBER('Dvd Calendar'!$AN$596)*100000000+('Dvd Calendar'!$AN$600='Field Check'!$C$25)*10000000+(N('Dvd Calendar'!$AN$594)&gt;0)*1000000+40*1000+36))</f>
        <v/>
      </c>
      <c r="AM48" s="41">
        <f>IF(N('Dvd Calendar'!$AO$595)=0,"",IF(('Dvd Calendar'!$AO$595&gt;=MIN(DATE(Summary!$C$12,1,1),Summary!$C$11))*('Dvd Calendar'!$AO$595&lt;=MAX(DATE(Summary!$C$12,12,31),Summary!$C$15))*('Dvd Calendar'!$AO$595&lt;=Summary!$C$11)=0,"",'Dvd Calendar'!$AO$595*1000000000+ISNUMBER('Dvd Calendar'!$AO$596)*100000000+('Dvd Calendar'!$AO$600='Field Check'!$C$25)*10000000+(N('Dvd Calendar'!$AO$594)&gt;0)*1000000+40*1000+37))</f>
        <v/>
      </c>
      <c r="AN48" s="41">
        <f>IF(N('Dvd Calendar'!$AP$595)=0,"",IF(('Dvd Calendar'!$AP$595&gt;=MIN(DATE(Summary!$C$12,1,1),Summary!$C$11))*('Dvd Calendar'!$AP$595&lt;=MAX(DATE(Summary!$C$12,12,31),Summary!$C$15))*('Dvd Calendar'!$AP$595&lt;=Summary!$C$11)=0,"",'Dvd Calendar'!$AP$595*1000000000+ISNUMBER('Dvd Calendar'!$AP$596)*100000000+('Dvd Calendar'!$AP$600='Field Check'!$C$25)*10000000+(N('Dvd Calendar'!$AP$594)&gt;0)*1000000+40*1000+38))</f>
        <v/>
      </c>
      <c r="AO48" s="41">
        <f>IF(N('Dvd Calendar'!$AQ$595)=0,"",IF(('Dvd Calendar'!$AQ$595&gt;=MIN(DATE(Summary!$C$12,1,1),Summary!$C$11))*('Dvd Calendar'!$AQ$595&lt;=MAX(DATE(Summary!$C$12,12,31),Summary!$C$15))*('Dvd Calendar'!$AQ$595&lt;=Summary!$C$11)=0,"",'Dvd Calendar'!$AQ$595*1000000000+ISNUMBER('Dvd Calendar'!$AQ$596)*100000000+('Dvd Calendar'!$AQ$600='Field Check'!$C$25)*10000000+(N('Dvd Calendar'!$AQ$594)&gt;0)*1000000+40*1000+39))</f>
        <v/>
      </c>
      <c r="AP48" s="41">
        <f>IF(N('Dvd Calendar'!$AR$595)=0,"",IF(('Dvd Calendar'!$AR$595&gt;=MIN(DATE(Summary!$C$12,1,1),Summary!$C$11))*('Dvd Calendar'!$AR$595&lt;=MAX(DATE(Summary!$C$12,12,31),Summary!$C$15))*('Dvd Calendar'!$AR$595&lt;=Summary!$C$11)=0,"",'Dvd Calendar'!$AR$595*1000000000+ISNUMBER('Dvd Calendar'!$AR$596)*100000000+('Dvd Calendar'!$AR$600='Field Check'!$C$25)*10000000+(N('Dvd Calendar'!$AR$594)&gt;0)*1000000+40*1000+40))</f>
        <v/>
      </c>
      <c r="AQ48" s="41">
        <f>IF(N('Dvd Calendar'!$E$602)=0,"",IF(('Dvd Calendar'!$E$602&gt;=MIN(DATE(Summary!$C$12,1,1),Summary!$C$11))*('Dvd Calendar'!$E$602&lt;=MAX(DATE(Summary!$C$12,12,31),Summary!$C$15))*('Dvd Calendar'!$E$602&gt;Summary!$C$11)=0,"",'Dvd Calendar'!$E$602*1000000000+ISNUMBER('Dvd Calendar'!$E$603)*100000000+('Dvd Calendar'!$E$607='Field Check'!$C$25)*10000000+(N('Dvd Calendar'!$E$601)&gt;0)*1000000+40*1000+41))</f>
        <v/>
      </c>
      <c r="AR48" s="41">
        <f>IF(N('Dvd Calendar'!$F$602)=0,"",IF(('Dvd Calendar'!$F$602&gt;=MIN(DATE(Summary!$C$12,1,1),Summary!$C$11))*('Dvd Calendar'!$F$602&lt;=MAX(DATE(Summary!$C$12,12,31),Summary!$C$15))*('Dvd Calendar'!$F$602&gt;Summary!$C$11)=0,"",'Dvd Calendar'!$F$602*1000000000+ISNUMBER('Dvd Calendar'!$F$603)*100000000+('Dvd Calendar'!$F$607='Field Check'!$C$25)*10000000+(N('Dvd Calendar'!$F$601)&gt;0)*1000000+40*1000+42))</f>
        <v/>
      </c>
      <c r="AS48" s="41">
        <f>IF(N('Dvd Calendar'!$G$602)=0,"",IF(('Dvd Calendar'!$G$602&gt;=MIN(DATE(Summary!$C$12,1,1),Summary!$C$11))*('Dvd Calendar'!$G$602&lt;=MAX(DATE(Summary!$C$12,12,31),Summary!$C$15))*('Dvd Calendar'!$G$602&gt;Summary!$C$11)=0,"",'Dvd Calendar'!$G$602*1000000000+ISNUMBER('Dvd Calendar'!$G$603)*100000000+('Dvd Calendar'!$G$607='Field Check'!$C$25)*10000000+(N('Dvd Calendar'!$G$601)&gt;0)*1000000+40*1000+43))</f>
        <v/>
      </c>
      <c r="AT48" s="41">
        <f>IF(N('Dvd Calendar'!$H$602)=0,"",IF(('Dvd Calendar'!$H$602&gt;=MIN(DATE(Summary!$C$12,1,1),Summary!$C$11))*('Dvd Calendar'!$H$602&lt;=MAX(DATE(Summary!$C$12,12,31),Summary!$C$15))*('Dvd Calendar'!$H$602&gt;Summary!$C$11)=0,"",'Dvd Calendar'!$H$602*1000000000+ISNUMBER('Dvd Calendar'!$H$603)*100000000+('Dvd Calendar'!$H$607='Field Check'!$C$25)*10000000+(N('Dvd Calendar'!$H$601)&gt;0)*1000000+40*1000+44))</f>
        <v/>
      </c>
      <c r="AU48" s="41">
        <f>IF(N('Dvd Calendar'!$I$602)=0,"",IF(('Dvd Calendar'!$I$602&gt;=MIN(DATE(Summary!$C$12,1,1),Summary!$C$11))*('Dvd Calendar'!$I$602&lt;=MAX(DATE(Summary!$C$12,12,31),Summary!$C$15))*('Dvd Calendar'!$I$602&gt;Summary!$C$11)=0,"",'Dvd Calendar'!$I$602*1000000000+ISNUMBER('Dvd Calendar'!$I$603)*100000000+('Dvd Calendar'!$I$607='Field Check'!$C$25)*10000000+(N('Dvd Calendar'!$I$601)&gt;0)*1000000+40*1000+45))</f>
        <v/>
      </c>
      <c r="AV48" s="41">
        <f>IF(N('Dvd Calendar'!$J$602)=0,"",IF(('Dvd Calendar'!$J$602&gt;=MIN(DATE(Summary!$C$12,1,1),Summary!$C$11))*('Dvd Calendar'!$J$602&lt;=MAX(DATE(Summary!$C$12,12,31),Summary!$C$15))*('Dvd Calendar'!$J$602&gt;Summary!$C$11)=0,"",'Dvd Calendar'!$J$602*1000000000+ISNUMBER('Dvd Calendar'!$J$603)*100000000+('Dvd Calendar'!$J$607='Field Check'!$C$25)*10000000+(N('Dvd Calendar'!$J$601)&gt;0)*1000000+40*1000+46))</f>
        <v/>
      </c>
      <c r="AW48" s="41">
        <f>IF(N('Dvd Calendar'!$K$602)=0,"",IF(('Dvd Calendar'!$K$602&gt;=MIN(DATE(Summary!$C$12,1,1),Summary!$C$11))*('Dvd Calendar'!$K$602&lt;=MAX(DATE(Summary!$C$12,12,31),Summary!$C$15))*('Dvd Calendar'!$K$602&gt;Summary!$C$11)=0,"",'Dvd Calendar'!$K$602*1000000000+ISNUMBER('Dvd Calendar'!$K$603)*100000000+('Dvd Calendar'!$K$607='Field Check'!$C$25)*10000000+(N('Dvd Calendar'!$K$601)&gt;0)*1000000+40*1000+47))</f>
        <v/>
      </c>
      <c r="AX48" s="41">
        <f>IF(N('Dvd Calendar'!$L$602)=0,"",IF(('Dvd Calendar'!$L$602&gt;=MIN(DATE(Summary!$C$12,1,1),Summary!$C$11))*('Dvd Calendar'!$L$602&lt;=MAX(DATE(Summary!$C$12,12,31),Summary!$C$15))*('Dvd Calendar'!$L$602&gt;Summary!$C$11)=0,"",'Dvd Calendar'!$L$602*1000000000+ISNUMBER('Dvd Calendar'!$L$603)*100000000+('Dvd Calendar'!$L$607='Field Check'!$C$25)*10000000+(N('Dvd Calendar'!$L$601)&gt;0)*1000000+40*1000+48))</f>
        <v/>
      </c>
      <c r="AY48" s="41">
        <f>IF(N('Dvd Calendar'!$M$602)=0,"",IF(('Dvd Calendar'!$M$602&gt;=MIN(DATE(Summary!$C$12,1,1),Summary!$C$11))*('Dvd Calendar'!$M$602&lt;=MAX(DATE(Summary!$C$12,12,31),Summary!$C$15))*('Dvd Calendar'!$M$602&gt;Summary!$C$11)=0,"",'Dvd Calendar'!$M$602*1000000000+ISNUMBER('Dvd Calendar'!$M$603)*100000000+('Dvd Calendar'!$M$607='Field Check'!$C$25)*10000000+(N('Dvd Calendar'!$M$601)&gt;0)*1000000+40*1000+49))</f>
        <v/>
      </c>
      <c r="AZ48" s="41">
        <f>IF(N('Dvd Calendar'!$N$602)=0,"",IF(('Dvd Calendar'!$N$602&gt;=MIN(DATE(Summary!$C$12,1,1),Summary!$C$11))*('Dvd Calendar'!$N$602&lt;=MAX(DATE(Summary!$C$12,12,31),Summary!$C$15))*('Dvd Calendar'!$N$602&gt;Summary!$C$11)=0,"",'Dvd Calendar'!$N$602*1000000000+ISNUMBER('Dvd Calendar'!$N$603)*100000000+('Dvd Calendar'!$N$607='Field Check'!$C$25)*10000000+(N('Dvd Calendar'!$N$601)&gt;0)*1000000+40*1000+50))</f>
        <v/>
      </c>
      <c r="BA48" s="41">
        <f>IF(N('Dvd Calendar'!$O$602)=0,"",IF(('Dvd Calendar'!$O$602&gt;=MIN(DATE(Summary!$C$12,1,1),Summary!$C$11))*('Dvd Calendar'!$O$602&lt;=MAX(DATE(Summary!$C$12,12,31),Summary!$C$15))*('Dvd Calendar'!$O$602&gt;Summary!$C$11)=0,"",'Dvd Calendar'!$O$602*1000000000+ISNUMBER('Dvd Calendar'!$O$603)*100000000+('Dvd Calendar'!$O$607='Field Check'!$C$25)*10000000+(N('Dvd Calendar'!$O$601)&gt;0)*1000000+40*1000+51))</f>
        <v/>
      </c>
      <c r="BB48" s="41">
        <f>IF(N('Dvd Calendar'!$P$602)=0,"",IF(('Dvd Calendar'!$P$602&gt;=MIN(DATE(Summary!$C$12,1,1),Summary!$C$11))*('Dvd Calendar'!$P$602&lt;=MAX(DATE(Summary!$C$12,12,31),Summary!$C$15))*('Dvd Calendar'!$P$602&gt;Summary!$C$11)=0,"",'Dvd Calendar'!$P$602*1000000000+ISNUMBER('Dvd Calendar'!$P$603)*100000000+('Dvd Calendar'!$P$607='Field Check'!$C$25)*10000000+(N('Dvd Calendar'!$P$601)&gt;0)*1000000+40*1000+52))</f>
        <v/>
      </c>
      <c r="BC48" s="41">
        <f>IF(N('Dvd Calendar'!$Q$602)=0,"",IF(('Dvd Calendar'!$Q$602&gt;=MIN(DATE(Summary!$C$12,1,1),Summary!$C$11))*('Dvd Calendar'!$Q$602&lt;=MAX(DATE(Summary!$C$12,12,31),Summary!$C$15))*('Dvd Calendar'!$Q$602&gt;Summary!$C$11)=0,"",'Dvd Calendar'!$Q$602*1000000000+ISNUMBER('Dvd Calendar'!$Q$603)*100000000+('Dvd Calendar'!$Q$607='Field Check'!$C$25)*10000000+(N('Dvd Calendar'!$Q$601)&gt;0)*1000000+40*1000+53))</f>
        <v/>
      </c>
      <c r="BD48" s="41">
        <f>IF(N('Dvd Calendar'!$R$602)=0,"",IF(('Dvd Calendar'!$R$602&gt;=MIN(DATE(Summary!$C$12,1,1),Summary!$C$11))*('Dvd Calendar'!$R$602&lt;=MAX(DATE(Summary!$C$12,12,31),Summary!$C$15))*('Dvd Calendar'!$R$602&gt;Summary!$C$11)=0,"",'Dvd Calendar'!$R$602*1000000000+ISNUMBER('Dvd Calendar'!$R$603)*100000000+('Dvd Calendar'!$R$607='Field Check'!$C$25)*10000000+(N('Dvd Calendar'!$R$601)&gt;0)*1000000+40*1000+54))</f>
        <v/>
      </c>
      <c r="BE48" s="41">
        <f>IF(N('Dvd Calendar'!$S$602)=0,"",IF(('Dvd Calendar'!$S$602&gt;=MIN(DATE(Summary!$C$12,1,1),Summary!$C$11))*('Dvd Calendar'!$S$602&lt;=MAX(DATE(Summary!$C$12,12,31),Summary!$C$15))*('Dvd Calendar'!$S$602&gt;Summary!$C$11)=0,"",'Dvd Calendar'!$S$602*1000000000+ISNUMBER('Dvd Calendar'!$S$603)*100000000+('Dvd Calendar'!$S$607='Field Check'!$C$25)*10000000+(N('Dvd Calendar'!$S$601)&gt;0)*1000000+40*1000+55))</f>
        <v/>
      </c>
      <c r="BF48" s="41">
        <f>IF(N('Dvd Calendar'!$T$602)=0,"",IF(('Dvd Calendar'!$T$602&gt;=MIN(DATE(Summary!$C$12,1,1),Summary!$C$11))*('Dvd Calendar'!$T$602&lt;=MAX(DATE(Summary!$C$12,12,31),Summary!$C$15))*('Dvd Calendar'!$T$602&gt;Summary!$C$11)=0,"",'Dvd Calendar'!$T$602*1000000000+ISNUMBER('Dvd Calendar'!$T$603)*100000000+('Dvd Calendar'!$T$607='Field Check'!$C$25)*10000000+(N('Dvd Calendar'!$T$601)&gt;0)*1000000+40*1000+56))</f>
        <v/>
      </c>
      <c r="BG48" s="41">
        <f>IF(N('Dvd Calendar'!$U$602)=0,"",IF(('Dvd Calendar'!$U$602&gt;=MIN(DATE(Summary!$C$12,1,1),Summary!$C$11))*('Dvd Calendar'!$U$602&lt;=MAX(DATE(Summary!$C$12,12,31),Summary!$C$15))*('Dvd Calendar'!$U$602&gt;Summary!$C$11)=0,"",'Dvd Calendar'!$U$602*1000000000+ISNUMBER('Dvd Calendar'!$U$603)*100000000+('Dvd Calendar'!$U$607='Field Check'!$C$25)*10000000+(N('Dvd Calendar'!$U$601)&gt;0)*1000000+40*1000+57))</f>
        <v/>
      </c>
      <c r="BH48" s="41">
        <f>IF(N('Dvd Calendar'!$V$602)=0,"",IF(('Dvd Calendar'!$V$602&gt;=MIN(DATE(Summary!$C$12,1,1),Summary!$C$11))*('Dvd Calendar'!$V$602&lt;=MAX(DATE(Summary!$C$12,12,31),Summary!$C$15))*('Dvd Calendar'!$V$602&gt;Summary!$C$11)=0,"",'Dvd Calendar'!$V$602*1000000000+ISNUMBER('Dvd Calendar'!$V$603)*100000000+('Dvd Calendar'!$V$607='Field Check'!$C$25)*10000000+(N('Dvd Calendar'!$V$601)&gt;0)*1000000+40*1000+58))</f>
        <v/>
      </c>
      <c r="BI48" s="41">
        <f>IF(N('Dvd Calendar'!$W$602)=0,"",IF(('Dvd Calendar'!$W$602&gt;=MIN(DATE(Summary!$C$12,1,1),Summary!$C$11))*('Dvd Calendar'!$W$602&lt;=MAX(DATE(Summary!$C$12,12,31),Summary!$C$15))*('Dvd Calendar'!$W$602&gt;Summary!$C$11)=0,"",'Dvd Calendar'!$W$602*1000000000+ISNUMBER('Dvd Calendar'!$W$603)*100000000+('Dvd Calendar'!$W$607='Field Check'!$C$25)*10000000+(N('Dvd Calendar'!$W$601)&gt;0)*1000000+40*1000+59))</f>
        <v/>
      </c>
      <c r="BJ48" s="41">
        <f>IF(N('Dvd Calendar'!$X$602)=0,"",IF(('Dvd Calendar'!$X$602&gt;=MIN(DATE(Summary!$C$12,1,1),Summary!$C$11))*('Dvd Calendar'!$X$602&lt;=MAX(DATE(Summary!$C$12,12,31),Summary!$C$15))*('Dvd Calendar'!$X$602&gt;Summary!$C$11)=0,"",'Dvd Calendar'!$X$602*1000000000+ISNUMBER('Dvd Calendar'!$X$603)*100000000+('Dvd Calendar'!$X$607='Field Check'!$C$25)*10000000+(N('Dvd Calendar'!$X$601)&gt;0)*1000000+40*1000+60))</f>
        <v/>
      </c>
      <c r="BK48" s="41">
        <f>IF(N('Dvd Calendar'!$Y$602)=0,"",IF(('Dvd Calendar'!$Y$602&gt;=MIN(DATE(Summary!$C$12,1,1),Summary!$C$11))*('Dvd Calendar'!$Y$602&lt;=MAX(DATE(Summary!$C$12,12,31),Summary!$C$15))*('Dvd Calendar'!$Y$602&gt;Summary!$C$11)=0,"",'Dvd Calendar'!$Y$602*1000000000+ISNUMBER('Dvd Calendar'!$Y$603)*100000000+('Dvd Calendar'!$Y$607='Field Check'!$C$25)*10000000+(N('Dvd Calendar'!$Y$601)&gt;0)*1000000+40*1000+61))</f>
        <v/>
      </c>
      <c r="BL48" s="41">
        <f>IF(N('Dvd Calendar'!$Z$602)=0,"",IF(('Dvd Calendar'!$Z$602&gt;=MIN(DATE(Summary!$C$12,1,1),Summary!$C$11))*('Dvd Calendar'!$Z$602&lt;=MAX(DATE(Summary!$C$12,12,31),Summary!$C$15))*('Dvd Calendar'!$Z$602&gt;Summary!$C$11)=0,"",'Dvd Calendar'!$Z$602*1000000000+ISNUMBER('Dvd Calendar'!$Z$603)*100000000+('Dvd Calendar'!$Z$607='Field Check'!$C$25)*10000000+(N('Dvd Calendar'!$Z$601)&gt;0)*1000000+40*1000+62))</f>
        <v/>
      </c>
      <c r="BM48" s="41">
        <f>IF(N('Dvd Calendar'!$AA$602)=0,"",IF(('Dvd Calendar'!$AA$602&gt;=MIN(DATE(Summary!$C$12,1,1),Summary!$C$11))*('Dvd Calendar'!$AA$602&lt;=MAX(DATE(Summary!$C$12,12,31),Summary!$C$15))*('Dvd Calendar'!$AA$602&gt;Summary!$C$11)=0,"",'Dvd Calendar'!$AA$602*1000000000+ISNUMBER('Dvd Calendar'!$AA$603)*100000000+('Dvd Calendar'!$AA$607='Field Check'!$C$25)*10000000+(N('Dvd Calendar'!$AA$601)&gt;0)*1000000+40*1000+63))</f>
        <v/>
      </c>
      <c r="BN48" s="41">
        <f>IF(N('Dvd Calendar'!$AB$602)=0,"",IF(('Dvd Calendar'!$AB$602&gt;=MIN(DATE(Summary!$C$12,1,1),Summary!$C$11))*('Dvd Calendar'!$AB$602&lt;=MAX(DATE(Summary!$C$12,12,31),Summary!$C$15))*('Dvd Calendar'!$AB$602&gt;Summary!$C$11)=0,"",'Dvd Calendar'!$AB$602*1000000000+ISNUMBER('Dvd Calendar'!$AB$603)*100000000+('Dvd Calendar'!$AB$607='Field Check'!$C$25)*10000000+(N('Dvd Calendar'!$AB$601)&gt;0)*1000000+40*1000+64))</f>
        <v/>
      </c>
      <c r="BO48" s="41">
        <f>IF(N('Dvd Calendar'!$AC$602)=0,"",IF(('Dvd Calendar'!$AC$602&gt;=MIN(DATE(Summary!$C$12,1,1),Summary!$C$11))*('Dvd Calendar'!$AC$602&lt;=MAX(DATE(Summary!$C$12,12,31),Summary!$C$15))*('Dvd Calendar'!$AC$602&gt;Summary!$C$11)=0,"",'Dvd Calendar'!$AC$602*1000000000+ISNUMBER('Dvd Calendar'!$AC$603)*100000000+('Dvd Calendar'!$AC$607='Field Check'!$C$25)*10000000+(N('Dvd Calendar'!$AC$601)&gt;0)*1000000+40*1000+65))</f>
        <v/>
      </c>
      <c r="BQ48" s="85">
        <f>IF(C48="","",IF(ISNUMBER('Dvd Calendar'!$E$596)=FALSE,"",IF((Summary!$C$13="N")*('Dvd Calendar'!$E$600='Field Check'!$C$25)&gt;0,"",'Dvd Calendar'!$E$596)))</f>
        <v/>
      </c>
      <c r="BR48" s="85">
        <f>IF(D48="","",IF(ISNUMBER('Dvd Calendar'!$F$596)=FALSE,"",IF((Summary!$C$13="N")*('Dvd Calendar'!$F$600='Field Check'!$C$25)&gt;0,"",'Dvd Calendar'!$F$596)))</f>
        <v/>
      </c>
      <c r="BS48" s="85">
        <f>IF(E48="","",IF(ISNUMBER('Dvd Calendar'!$G$596)=FALSE,"",IF((Summary!$C$13="N")*('Dvd Calendar'!$G$600='Field Check'!$C$25)&gt;0,"",'Dvd Calendar'!$G$596)))</f>
        <v/>
      </c>
      <c r="BT48" s="85">
        <f>IF(F48="","",IF(ISNUMBER('Dvd Calendar'!$H$596)=FALSE,"",IF((Summary!$C$13="N")*('Dvd Calendar'!$H$600='Field Check'!$C$25)&gt;0,"",'Dvd Calendar'!$H$596)))</f>
        <v/>
      </c>
      <c r="BU48" s="85">
        <f>IF(G48="","",IF(ISNUMBER('Dvd Calendar'!$I$596)=FALSE,"",IF((Summary!$C$13="N")*('Dvd Calendar'!$I$600='Field Check'!$C$25)&gt;0,"",'Dvd Calendar'!$I$596)))</f>
        <v/>
      </c>
      <c r="BV48" s="85">
        <f>IF(H48="","",IF(ISNUMBER('Dvd Calendar'!$J$596)=FALSE,"",IF((Summary!$C$13="N")*('Dvd Calendar'!$J$600='Field Check'!$C$25)&gt;0,"",'Dvd Calendar'!$J$596)))</f>
        <v/>
      </c>
      <c r="BW48" s="85">
        <f>IF(I48="","",IF(ISNUMBER('Dvd Calendar'!$K$596)=FALSE,"",IF((Summary!$C$13="N")*('Dvd Calendar'!$K$600='Field Check'!$C$25)&gt;0,"",'Dvd Calendar'!$K$596)))</f>
        <v/>
      </c>
      <c r="BX48" s="85">
        <f>IF(J48="","",IF(ISNUMBER('Dvd Calendar'!$L$596)=FALSE,"",IF((Summary!$C$13="N")*('Dvd Calendar'!$L$600='Field Check'!$C$25)&gt;0,"",'Dvd Calendar'!$L$596)))</f>
        <v/>
      </c>
      <c r="BY48" s="85">
        <f>IF(K48="","",IF(ISNUMBER('Dvd Calendar'!$M$596)=FALSE,"",IF((Summary!$C$13="N")*('Dvd Calendar'!$M$600='Field Check'!$C$25)&gt;0,"",'Dvd Calendar'!$M$596)))</f>
        <v/>
      </c>
      <c r="BZ48" s="85">
        <f>IF(L48="","",IF(ISNUMBER('Dvd Calendar'!$N$596)=FALSE,"",IF((Summary!$C$13="N")*('Dvd Calendar'!$N$600='Field Check'!$C$25)&gt;0,"",'Dvd Calendar'!$N$596)))</f>
        <v/>
      </c>
      <c r="CA48" s="85">
        <f>IF(M48="","",IF(ISNUMBER('Dvd Calendar'!$O$596)=FALSE,"",IF((Summary!$C$13="N")*('Dvd Calendar'!$O$600='Field Check'!$C$25)&gt;0,"",'Dvd Calendar'!$O$596)))</f>
        <v/>
      </c>
      <c r="CB48" s="85">
        <f>IF(N48="","",IF(ISNUMBER('Dvd Calendar'!$P$596)=FALSE,"",IF((Summary!$C$13="N")*('Dvd Calendar'!$P$600='Field Check'!$C$25)&gt;0,"",'Dvd Calendar'!$P$596)))</f>
        <v/>
      </c>
      <c r="CC48" s="85">
        <f>IF(O48="","",IF(ISNUMBER('Dvd Calendar'!$Q$596)=FALSE,"",IF((Summary!$C$13="N")*('Dvd Calendar'!$Q$600='Field Check'!$C$25)&gt;0,"",'Dvd Calendar'!$Q$596)))</f>
        <v/>
      </c>
      <c r="CD48" s="85">
        <f>IF(P48="","",IF(ISNUMBER('Dvd Calendar'!$R$596)=FALSE,"",IF((Summary!$C$13="N")*('Dvd Calendar'!$R$600='Field Check'!$C$25)&gt;0,"",'Dvd Calendar'!$R$596)))</f>
        <v/>
      </c>
      <c r="CE48" s="85">
        <f>IF(Q48="","",IF(ISNUMBER('Dvd Calendar'!$S$596)=FALSE,"",IF((Summary!$C$13="N")*('Dvd Calendar'!$S$600='Field Check'!$C$25)&gt;0,"",'Dvd Calendar'!$S$596)))</f>
        <v/>
      </c>
      <c r="CF48" s="85">
        <f>IF(R48="","",IF(ISNUMBER('Dvd Calendar'!$T$596)=FALSE,"",IF((Summary!$C$13="N")*('Dvd Calendar'!$T$600='Field Check'!$C$25)&gt;0,"",'Dvd Calendar'!$T$596)))</f>
        <v/>
      </c>
      <c r="CG48" s="85">
        <f>IF(S48="","",IF(ISNUMBER('Dvd Calendar'!$U$596)=FALSE,"",IF((Summary!$C$13="N")*('Dvd Calendar'!$U$600='Field Check'!$C$25)&gt;0,"",'Dvd Calendar'!$U$596)))</f>
        <v/>
      </c>
      <c r="CH48" s="85">
        <f>IF(T48="","",IF(ISNUMBER('Dvd Calendar'!$V$596)=FALSE,"",IF((Summary!$C$13="N")*('Dvd Calendar'!$V$600='Field Check'!$C$25)&gt;0,"",'Dvd Calendar'!$V$596)))</f>
        <v/>
      </c>
      <c r="CI48" s="85">
        <f>IF(U48="","",IF(ISNUMBER('Dvd Calendar'!$W$596)=FALSE,"",IF((Summary!$C$13="N")*('Dvd Calendar'!$W$600='Field Check'!$C$25)&gt;0,"",'Dvd Calendar'!$W$596)))</f>
        <v/>
      </c>
      <c r="CJ48" s="85">
        <f>IF(V48="","",IF(ISNUMBER('Dvd Calendar'!$X$596)=FALSE,"",IF((Summary!$C$13="N")*('Dvd Calendar'!$X$600='Field Check'!$C$25)&gt;0,"",'Dvd Calendar'!$X$596)))</f>
        <v/>
      </c>
      <c r="CK48" s="85">
        <f>IF(W48="","",IF(ISNUMBER('Dvd Calendar'!$Y$596)=FALSE,"",IF((Summary!$C$13="N")*('Dvd Calendar'!$Y$600='Field Check'!$C$25)&gt;0,"",'Dvd Calendar'!$Y$596)))</f>
        <v/>
      </c>
      <c r="CL48" s="85">
        <f>IF(X48="","",IF(ISNUMBER('Dvd Calendar'!$Z$596)=FALSE,"",IF((Summary!$C$13="N")*('Dvd Calendar'!$Z$600='Field Check'!$C$25)&gt;0,"",'Dvd Calendar'!$Z$596)))</f>
        <v/>
      </c>
      <c r="CM48" s="85">
        <f>IF(Y48="","",IF(ISNUMBER('Dvd Calendar'!$AA$596)=FALSE,"",IF((Summary!$C$13="N")*('Dvd Calendar'!$AA$600='Field Check'!$C$25)&gt;0,"",'Dvd Calendar'!$AA$596)))</f>
        <v/>
      </c>
      <c r="CN48" s="85">
        <f>IF(Z48="","",IF(ISNUMBER('Dvd Calendar'!$AB$596)=FALSE,"",IF((Summary!$C$13="N")*('Dvd Calendar'!$AB$600='Field Check'!$C$25)&gt;0,"",'Dvd Calendar'!$AB$596)))</f>
        <v/>
      </c>
      <c r="CO48" s="85">
        <f>IF(AA48="","",IF(ISNUMBER('Dvd Calendar'!$AC$596)=FALSE,"",IF((Summary!$C$13="N")*('Dvd Calendar'!$AC$600='Field Check'!$C$25)&gt;0,"",'Dvd Calendar'!$AC$596)))</f>
        <v/>
      </c>
      <c r="CP48" s="85">
        <f>IF(AB48="","",IF(ISNUMBER('Dvd Calendar'!$AD$596)=FALSE,"",IF((Summary!$C$13="N")*('Dvd Calendar'!$AD$600='Field Check'!$C$25)&gt;0,"",'Dvd Calendar'!$AD$596)))</f>
        <v/>
      </c>
      <c r="CQ48" s="85">
        <f>IF(AC48="","",IF(ISNUMBER('Dvd Calendar'!$AE$596)=FALSE,"",IF((Summary!$C$13="N")*('Dvd Calendar'!$AE$600='Field Check'!$C$25)&gt;0,"",'Dvd Calendar'!$AE$596)))</f>
        <v/>
      </c>
      <c r="CR48" s="85">
        <f>IF(AD48="","",IF(ISNUMBER('Dvd Calendar'!$AF$596)=FALSE,"",IF((Summary!$C$13="N")*('Dvd Calendar'!$AF$600='Field Check'!$C$25)&gt;0,"",'Dvd Calendar'!$AF$596)))</f>
        <v/>
      </c>
      <c r="CS48" s="85">
        <f>IF(AE48="","",IF(ISNUMBER('Dvd Calendar'!$AG$596)=FALSE,"",IF((Summary!$C$13="N")*('Dvd Calendar'!$AG$600='Field Check'!$C$25)&gt;0,"",'Dvd Calendar'!$AG$596)))</f>
        <v/>
      </c>
      <c r="CT48" s="85">
        <f>IF(AF48="","",IF(ISNUMBER('Dvd Calendar'!$AH$596)=FALSE,"",IF((Summary!$C$13="N")*('Dvd Calendar'!$AH$600='Field Check'!$C$25)&gt;0,"",'Dvd Calendar'!$AH$596)))</f>
        <v/>
      </c>
      <c r="CU48" s="85">
        <f>IF(AG48="","",IF(ISNUMBER('Dvd Calendar'!$AI$596)=FALSE,"",IF((Summary!$C$13="N")*('Dvd Calendar'!$AI$600='Field Check'!$C$25)&gt;0,"",'Dvd Calendar'!$AI$596)))</f>
        <v/>
      </c>
      <c r="CV48" s="85">
        <f>IF(AH48="","",IF(ISNUMBER('Dvd Calendar'!$AJ$596)=FALSE,"",IF((Summary!$C$13="N")*('Dvd Calendar'!$AJ$600='Field Check'!$C$25)&gt;0,"",'Dvd Calendar'!$AJ$596)))</f>
        <v/>
      </c>
      <c r="CW48" s="85">
        <f>IF(AI48="","",IF(ISNUMBER('Dvd Calendar'!$AK$596)=FALSE,"",IF((Summary!$C$13="N")*('Dvd Calendar'!$AK$600='Field Check'!$C$25)&gt;0,"",'Dvd Calendar'!$AK$596)))</f>
        <v/>
      </c>
      <c r="CX48" s="85">
        <f>IF(AJ48="","",IF(ISNUMBER('Dvd Calendar'!$AL$596)=FALSE,"",IF((Summary!$C$13="N")*('Dvd Calendar'!$AL$600='Field Check'!$C$25)&gt;0,"",'Dvd Calendar'!$AL$596)))</f>
        <v/>
      </c>
      <c r="CY48" s="85">
        <f>IF(AK48="","",IF(ISNUMBER('Dvd Calendar'!$AM$596)=FALSE,"",IF((Summary!$C$13="N")*('Dvd Calendar'!$AM$600='Field Check'!$C$25)&gt;0,"",'Dvd Calendar'!$AM$596)))</f>
        <v/>
      </c>
      <c r="CZ48" s="85">
        <f>IF(AL48="","",IF(ISNUMBER('Dvd Calendar'!$AN$596)=FALSE,"",IF((Summary!$C$13="N")*('Dvd Calendar'!$AN$600='Field Check'!$C$25)&gt;0,"",'Dvd Calendar'!$AN$596)))</f>
        <v/>
      </c>
      <c r="DA48" s="85">
        <f>IF(AM48="","",IF(ISNUMBER('Dvd Calendar'!$AO$596)=FALSE,"",IF((Summary!$C$13="N")*('Dvd Calendar'!$AO$600='Field Check'!$C$25)&gt;0,"",'Dvd Calendar'!$AO$596)))</f>
        <v/>
      </c>
      <c r="DB48" s="85">
        <f>IF(AN48="","",IF(ISNUMBER('Dvd Calendar'!$AP$596)=FALSE,"",IF((Summary!$C$13="N")*('Dvd Calendar'!$AP$600='Field Check'!$C$25)&gt;0,"",'Dvd Calendar'!$AP$596)))</f>
        <v/>
      </c>
      <c r="DC48" s="85">
        <f>IF(AO48="","",IF(ISNUMBER('Dvd Calendar'!$AQ$596)=FALSE,"",IF((Summary!$C$13="N")*('Dvd Calendar'!$AQ$600='Field Check'!$C$25)&gt;0,"",'Dvd Calendar'!$AQ$596)))</f>
        <v/>
      </c>
      <c r="DD48" s="85">
        <f>IF(AP48="","",IF(ISNUMBER('Dvd Calendar'!$AR$596)=FALSE,"",IF((Summary!$C$13="N")*('Dvd Calendar'!$AR$600='Field Check'!$C$25)&gt;0,"",'Dvd Calendar'!$AR$596)))</f>
        <v/>
      </c>
      <c r="DE48" s="85">
        <f>IF(AQ48="","",IF(ISNUMBER('Dvd Calendar'!$E$603)=FALSE,"",IF((Summary!$C$13="N")*('Dvd Calendar'!$E$607='Field Check'!$C$25)&gt;0,"",'Dvd Calendar'!$E$603)))</f>
        <v/>
      </c>
      <c r="DF48" s="85">
        <f>IF(AR48="","",IF(ISNUMBER('Dvd Calendar'!$F$603)=FALSE,"",IF((Summary!$C$13="N")*('Dvd Calendar'!$F$607='Field Check'!$C$25)&gt;0,"",'Dvd Calendar'!$F$603)))</f>
        <v/>
      </c>
      <c r="DG48" s="85">
        <f>IF(AS48="","",IF(ISNUMBER('Dvd Calendar'!$G$603)=FALSE,"",IF((Summary!$C$13="N")*('Dvd Calendar'!$G$607='Field Check'!$C$25)&gt;0,"",'Dvd Calendar'!$G$603)))</f>
        <v/>
      </c>
      <c r="DH48" s="85">
        <f>IF(AT48="","",IF(ISNUMBER('Dvd Calendar'!$H$603)=FALSE,"",IF((Summary!$C$13="N")*('Dvd Calendar'!$H$607='Field Check'!$C$25)&gt;0,"",'Dvd Calendar'!$H$603)))</f>
        <v/>
      </c>
      <c r="DI48" s="85">
        <f>IF(AU48="","",IF(ISNUMBER('Dvd Calendar'!$I$603)=FALSE,"",IF((Summary!$C$13="N")*('Dvd Calendar'!$I$607='Field Check'!$C$25)&gt;0,"",'Dvd Calendar'!$I$603)))</f>
        <v/>
      </c>
      <c r="DJ48" s="85">
        <f>IF(AV48="","",IF(ISNUMBER('Dvd Calendar'!$J$603)=FALSE,"",IF((Summary!$C$13="N")*('Dvd Calendar'!$J$607='Field Check'!$C$25)&gt;0,"",'Dvd Calendar'!$J$603)))</f>
        <v/>
      </c>
      <c r="DK48" s="85">
        <f>IF(AW48="","",IF(ISNUMBER('Dvd Calendar'!$K$603)=FALSE,"",IF((Summary!$C$13="N")*('Dvd Calendar'!$K$607='Field Check'!$C$25)&gt;0,"",'Dvd Calendar'!$K$603)))</f>
        <v/>
      </c>
      <c r="DL48" s="85">
        <f>IF(AX48="","",IF(ISNUMBER('Dvd Calendar'!$L$603)=FALSE,"",IF((Summary!$C$13="N")*('Dvd Calendar'!$L$607='Field Check'!$C$25)&gt;0,"",'Dvd Calendar'!$L$603)))</f>
        <v/>
      </c>
      <c r="DM48" s="85">
        <f>IF(AY48="","",IF(ISNUMBER('Dvd Calendar'!$M$603)=FALSE,"",IF((Summary!$C$13="N")*('Dvd Calendar'!$M$607='Field Check'!$C$25)&gt;0,"",'Dvd Calendar'!$M$603)))</f>
        <v/>
      </c>
      <c r="DN48" s="85">
        <f>IF(AZ48="","",IF(ISNUMBER('Dvd Calendar'!$N$603)=FALSE,"",IF((Summary!$C$13="N")*('Dvd Calendar'!$N$607='Field Check'!$C$25)&gt;0,"",'Dvd Calendar'!$N$603)))</f>
        <v/>
      </c>
      <c r="DO48" s="85">
        <f>IF(BA48="","",IF(ISNUMBER('Dvd Calendar'!$O$603)=FALSE,"",IF((Summary!$C$13="N")*('Dvd Calendar'!$O$607='Field Check'!$C$25)&gt;0,"",'Dvd Calendar'!$O$603)))</f>
        <v/>
      </c>
      <c r="DP48" s="85">
        <f>IF(BB48="","",IF(ISNUMBER('Dvd Calendar'!$P$603)=FALSE,"",IF((Summary!$C$13="N")*('Dvd Calendar'!$P$607='Field Check'!$C$25)&gt;0,"",'Dvd Calendar'!$P$603)))</f>
        <v/>
      </c>
      <c r="DQ48" s="85">
        <f>IF(BC48="","",IF(ISNUMBER('Dvd Calendar'!$Q$603)=FALSE,"",IF((Summary!$C$13="N")*('Dvd Calendar'!$Q$607='Field Check'!$C$25)&gt;0,"",'Dvd Calendar'!$Q$603)))</f>
        <v/>
      </c>
      <c r="DR48" s="85">
        <f>IF(BD48="","",IF(ISNUMBER('Dvd Calendar'!$R$603)=FALSE,"",IF((Summary!$C$13="N")*('Dvd Calendar'!$R$607='Field Check'!$C$25)&gt;0,"",'Dvd Calendar'!$R$603)))</f>
        <v/>
      </c>
      <c r="DS48" s="85">
        <f>IF(BE48="","",IF(ISNUMBER('Dvd Calendar'!$S$603)=FALSE,"",IF((Summary!$C$13="N")*('Dvd Calendar'!$S$607='Field Check'!$C$25)&gt;0,"",'Dvd Calendar'!$S$603)))</f>
        <v/>
      </c>
      <c r="DT48" s="85">
        <f>IF(BF48="","",IF(ISNUMBER('Dvd Calendar'!$T$603)=FALSE,"",IF((Summary!$C$13="N")*('Dvd Calendar'!$T$607='Field Check'!$C$25)&gt;0,"",'Dvd Calendar'!$T$603)))</f>
        <v/>
      </c>
      <c r="DU48" s="85">
        <f>IF(BG48="","",IF(ISNUMBER('Dvd Calendar'!$U$603)=FALSE,"",IF((Summary!$C$13="N")*('Dvd Calendar'!$U$607='Field Check'!$C$25)&gt;0,"",'Dvd Calendar'!$U$603)))</f>
        <v/>
      </c>
      <c r="DV48" s="85">
        <f>IF(BH48="","",IF(ISNUMBER('Dvd Calendar'!$V$603)=FALSE,"",IF((Summary!$C$13="N")*('Dvd Calendar'!$V$607='Field Check'!$C$25)&gt;0,"",'Dvd Calendar'!$V$603)))</f>
        <v/>
      </c>
      <c r="DW48" s="85">
        <f>IF(BI48="","",IF(ISNUMBER('Dvd Calendar'!$W$603)=FALSE,"",IF((Summary!$C$13="N")*('Dvd Calendar'!$W$607='Field Check'!$C$25)&gt;0,"",'Dvd Calendar'!$W$603)))</f>
        <v/>
      </c>
      <c r="DX48" s="85">
        <f>IF(BJ48="","",IF(ISNUMBER('Dvd Calendar'!$X$603)=FALSE,"",IF((Summary!$C$13="N")*('Dvd Calendar'!$X$607='Field Check'!$C$25)&gt;0,"",'Dvd Calendar'!$X$603)))</f>
        <v/>
      </c>
      <c r="DY48" s="85">
        <f>IF(BK48="","",IF(ISNUMBER('Dvd Calendar'!$Y$603)=FALSE,"",IF((Summary!$C$13="N")*('Dvd Calendar'!$Y$607='Field Check'!$C$25)&gt;0,"",'Dvd Calendar'!$Y$603)))</f>
        <v/>
      </c>
      <c r="DZ48" s="85">
        <f>IF(BL48="","",IF(ISNUMBER('Dvd Calendar'!$Z$603)=FALSE,"",IF((Summary!$C$13="N")*('Dvd Calendar'!$Z$607='Field Check'!$C$25)&gt;0,"",'Dvd Calendar'!$Z$603)))</f>
        <v/>
      </c>
      <c r="EA48" s="85">
        <f>IF(BM48="","",IF(ISNUMBER('Dvd Calendar'!$AA$603)=FALSE,"",IF((Summary!$C$13="N")*('Dvd Calendar'!$AA$607='Field Check'!$C$25)&gt;0,"",'Dvd Calendar'!$AA$603)))</f>
        <v/>
      </c>
      <c r="EB48" s="85">
        <f>IF(BN48="","",IF(ISNUMBER('Dvd Calendar'!$AB$603)=FALSE,"",IF((Summary!$C$13="N")*('Dvd Calendar'!$AB$607='Field Check'!$C$25)&gt;0,"",'Dvd Calendar'!$AB$603)))</f>
        <v/>
      </c>
      <c r="EC48" s="85">
        <f>IF(BO48="","",IF(ISNUMBER('Dvd Calendar'!$AC$603)=FALSE,"",IF((Summary!$C$13="N")*('Dvd Calendar'!$AC$607='Field Check'!$C$25)&gt;0,"",'Dvd Calendar'!$AC$603)))</f>
        <v/>
      </c>
      <c r="EE48" s="85">
        <f>IF(BQ48="","",IFERROR(BQ48*HSI!$B$46*HSI!$G$46/HSI!$B$3,""))</f>
        <v/>
      </c>
      <c r="EF48" s="85">
        <f>IF(BR48="","",IFERROR(BR48*HSI!$B$46*HSI!$G$46/HSI!$B$3,""))</f>
        <v/>
      </c>
      <c r="EG48" s="85">
        <f>IF(BS48="","",IFERROR(BS48*HSI!$B$46*HSI!$G$46/HSI!$B$3,""))</f>
        <v/>
      </c>
      <c r="EH48" s="85">
        <f>IF(BT48="","",IFERROR(BT48*HSI!$B$46*HSI!$G$46/HSI!$B$3,""))</f>
        <v/>
      </c>
      <c r="EI48" s="85">
        <f>IF(BU48="","",IFERROR(BU48*HSI!$B$46*HSI!$G$46/HSI!$B$3,""))</f>
        <v/>
      </c>
      <c r="EJ48" s="85">
        <f>IF(BV48="","",IFERROR(BV48*HSI!$B$46*HSI!$G$46/HSI!$B$3,""))</f>
        <v/>
      </c>
      <c r="EK48" s="85">
        <f>IF(BW48="","",IFERROR(BW48*HSI!$B$46*HSI!$G$46/HSI!$B$3,""))</f>
        <v/>
      </c>
      <c r="EL48" s="85">
        <f>IF(BX48="","",IFERROR(BX48*HSI!$B$46*HSI!$G$46/HSI!$B$3,""))</f>
        <v/>
      </c>
      <c r="EM48" s="85">
        <f>IF(BY48="","",IFERROR(BY48*HSI!$B$46*HSI!$G$46/HSI!$B$3,""))</f>
        <v/>
      </c>
      <c r="EN48" s="85">
        <f>IF(BZ48="","",IFERROR(BZ48*HSI!$B$46*HSI!$G$46/HSI!$B$3,""))</f>
        <v/>
      </c>
      <c r="EO48" s="85">
        <f>IF(CA48="","",IFERROR(CA48*HSI!$B$46*HSI!$G$46/HSI!$B$3,""))</f>
        <v/>
      </c>
      <c r="EP48" s="85">
        <f>IF(CB48="","",IFERROR(CB48*HSI!$B$46*HSI!$G$46/HSI!$B$3,""))</f>
        <v/>
      </c>
      <c r="EQ48" s="85">
        <f>IF(CC48="","",IFERROR(CC48*HSI!$B$46*HSI!$G$46/HSI!$B$3,""))</f>
        <v/>
      </c>
      <c r="ER48" s="85">
        <f>IF(CD48="","",IFERROR(CD48*HSI!$B$46*HSI!$G$46/HSI!$B$3,""))</f>
        <v/>
      </c>
      <c r="ES48" s="85">
        <f>IF(CE48="","",IFERROR(CE48*HSI!$B$46*HSI!$G$46/HSI!$B$3,""))</f>
        <v/>
      </c>
      <c r="ET48" s="85">
        <f>IF(CF48="","",IFERROR(CF48*HSI!$B$46*HSI!$G$46/HSI!$B$3,""))</f>
        <v/>
      </c>
      <c r="EU48" s="85">
        <f>IF(CG48="","",IFERROR(CG48*HSI!$B$46*HSI!$G$46/HSI!$B$3,""))</f>
        <v/>
      </c>
      <c r="EV48" s="85">
        <f>IF(CH48="","",IFERROR(CH48*HSI!$B$46*HSI!$G$46/HSI!$B$3,""))</f>
        <v/>
      </c>
      <c r="EW48" s="85">
        <f>IF(CI48="","",IFERROR(CI48*HSI!$B$46*HSI!$G$46/HSI!$B$3,""))</f>
        <v/>
      </c>
      <c r="EX48" s="85">
        <f>IF(CJ48="","",IFERROR(CJ48*HSI!$B$46*HSI!$G$46/HSI!$B$3,""))</f>
        <v/>
      </c>
      <c r="EY48" s="85">
        <f>IF(CK48="","",IFERROR(CK48*HSI!$B$46*HSI!$G$46/HSI!$B$3,""))</f>
        <v/>
      </c>
      <c r="EZ48" s="85">
        <f>IF(CL48="","",IFERROR(CL48*HSI!$B$46*HSI!$G$46/HSI!$B$3,""))</f>
        <v/>
      </c>
      <c r="FA48" s="85">
        <f>IF(CM48="","",IFERROR(CM48*HSI!$B$46*HSI!$G$46/HSI!$B$3,""))</f>
        <v/>
      </c>
      <c r="FB48" s="85">
        <f>IF(CN48="","",IFERROR(CN48*HSI!$B$46*HSI!$G$46/HSI!$B$3,""))</f>
        <v/>
      </c>
      <c r="FC48" s="85">
        <f>IF(CO48="","",IFERROR(CO48*HSI!$B$46*HSI!$G$46/HSI!$B$3,""))</f>
        <v/>
      </c>
      <c r="FD48" s="85">
        <f>IF(CP48="","",IFERROR(CP48*HSI!$B$46*HSI!$G$46/HSI!$B$3,""))</f>
        <v/>
      </c>
      <c r="FE48" s="85">
        <f>IF(CQ48="","",IFERROR(CQ48*HSI!$B$46*HSI!$G$46/HSI!$B$3,""))</f>
        <v/>
      </c>
      <c r="FF48" s="85">
        <f>IF(CR48="","",IFERROR(CR48*HSI!$B$46*HSI!$G$46/HSI!$B$3,""))</f>
        <v/>
      </c>
      <c r="FG48" s="85">
        <f>IF(CS48="","",IFERROR(CS48*HSI!$B$46*HSI!$G$46/HSI!$B$3,""))</f>
        <v/>
      </c>
      <c r="FH48" s="85">
        <f>IF(CT48="","",IFERROR(CT48*HSI!$B$46*HSI!$G$46/HSI!$B$3,""))</f>
        <v/>
      </c>
      <c r="FI48" s="85">
        <f>IF(CU48="","",IFERROR(CU48*HSI!$B$46*HSI!$G$46/HSI!$B$3,""))</f>
        <v/>
      </c>
      <c r="FJ48" s="85">
        <f>IF(CV48="","",IFERROR(CV48*HSI!$B$46*HSI!$G$46/HSI!$B$3,""))</f>
        <v/>
      </c>
      <c r="FK48" s="85">
        <f>IF(CW48="","",IFERROR(CW48*HSI!$B$46*HSI!$G$46/HSI!$B$3,""))</f>
        <v/>
      </c>
      <c r="FL48" s="85">
        <f>IF(CX48="","",IFERROR(CX48*HSI!$B$46*HSI!$G$46/HSI!$B$3,""))</f>
        <v/>
      </c>
      <c r="FM48" s="85">
        <f>IF(CY48="","",IFERROR(CY48*HSI!$B$46*HSI!$G$46/HSI!$B$3,""))</f>
        <v/>
      </c>
      <c r="FN48" s="85">
        <f>IF(CZ48="","",IFERROR(CZ48*HSI!$B$46*HSI!$G$46/HSI!$B$3,""))</f>
        <v/>
      </c>
      <c r="FO48" s="85">
        <f>IF(DA48="","",IFERROR(DA48*HSI!$B$46*HSI!$G$46/HSI!$B$3,""))</f>
        <v/>
      </c>
      <c r="FP48" s="85">
        <f>IF(DB48="","",IFERROR(DB48*HSI!$B$46*HSI!$G$46/HSI!$B$3,""))</f>
        <v/>
      </c>
      <c r="FQ48" s="85">
        <f>IF(DC48="","",IFERROR(DC48*HSI!$B$46*HSI!$G$46/HSI!$B$3,""))</f>
        <v/>
      </c>
      <c r="FR48" s="85">
        <f>IF(DD48="","",IFERROR(DD48*HSI!$B$46*HSI!$G$46/HSI!$B$3,""))</f>
        <v/>
      </c>
      <c r="FS48" s="85">
        <f>IF(DE48="","",IFERROR(DE48*HSI!$B$46*HSI!$G$46/HSI!$B$3,""))</f>
        <v/>
      </c>
      <c r="FT48" s="85">
        <f>IF(DF48="","",IFERROR(DF48*HSI!$B$46*HSI!$G$46/HSI!$B$3,""))</f>
        <v/>
      </c>
      <c r="FU48" s="85">
        <f>IF(DG48="","",IFERROR(DG48*HSI!$B$46*HSI!$G$46/HSI!$B$3,""))</f>
        <v/>
      </c>
      <c r="FV48" s="85">
        <f>IF(DH48="","",IFERROR(DH48*HSI!$B$46*HSI!$G$46/HSI!$B$3,""))</f>
        <v/>
      </c>
      <c r="FW48" s="85">
        <f>IF(DI48="","",IFERROR(DI48*HSI!$B$46*HSI!$G$46/HSI!$B$3,""))</f>
        <v/>
      </c>
      <c r="FX48" s="85">
        <f>IF(DJ48="","",IFERROR(DJ48*HSI!$B$46*HSI!$G$46/HSI!$B$3,""))</f>
        <v/>
      </c>
      <c r="FY48" s="85">
        <f>IF(DK48="","",IFERROR(DK48*HSI!$B$46*HSI!$G$46/HSI!$B$3,""))</f>
        <v/>
      </c>
      <c r="FZ48" s="85">
        <f>IF(DL48="","",IFERROR(DL48*HSI!$B$46*HSI!$G$46/HSI!$B$3,""))</f>
        <v/>
      </c>
      <c r="GA48" s="85">
        <f>IF(DM48="","",IFERROR(DM48*HSI!$B$46*HSI!$G$46/HSI!$B$3,""))</f>
        <v/>
      </c>
      <c r="GB48" s="85">
        <f>IF(DN48="","",IFERROR(DN48*HSI!$B$46*HSI!$G$46/HSI!$B$3,""))</f>
        <v/>
      </c>
      <c r="GC48" s="85">
        <f>IF(DO48="","",IFERROR(DO48*HSI!$B$46*HSI!$G$46/HSI!$B$3,""))</f>
        <v/>
      </c>
      <c r="GD48" s="85">
        <f>IF(DP48="","",IFERROR(DP48*HSI!$B$46*HSI!$G$46/HSI!$B$3,""))</f>
        <v/>
      </c>
      <c r="GE48" s="85">
        <f>IF(DQ48="","",IFERROR(DQ48*HSI!$B$46*HSI!$G$46/HSI!$B$3,""))</f>
        <v/>
      </c>
      <c r="GF48" s="85">
        <f>IF(DR48="","",IFERROR(DR48*HSI!$B$46*HSI!$G$46/HSI!$B$3,""))</f>
        <v/>
      </c>
      <c r="GG48" s="85">
        <f>IF(DS48="","",IFERROR(DS48*HSI!$B$46*HSI!$G$46/HSI!$B$3,""))</f>
        <v/>
      </c>
      <c r="GH48" s="85">
        <f>IF(DT48="","",IFERROR(DT48*HSI!$B$46*HSI!$G$46/HSI!$B$3,""))</f>
        <v/>
      </c>
      <c r="GI48" s="85">
        <f>IF(DU48="","",IFERROR(DU48*HSI!$B$46*HSI!$G$46/HSI!$B$3,""))</f>
        <v/>
      </c>
      <c r="GJ48" s="85">
        <f>IF(DV48="","",IFERROR(DV48*HSI!$B$46*HSI!$G$46/HSI!$B$3,""))</f>
        <v/>
      </c>
      <c r="GK48" s="85">
        <f>IF(DW48="","",IFERROR(DW48*HSI!$B$46*HSI!$G$46/HSI!$B$3,""))</f>
        <v/>
      </c>
      <c r="GL48" s="85">
        <f>IF(DX48="","",IFERROR(DX48*HSI!$B$46*HSI!$G$46/HSI!$B$3,""))</f>
        <v/>
      </c>
      <c r="GM48" s="85">
        <f>IF(DY48="","",IFERROR(DY48*HSI!$B$46*HSI!$G$46/HSI!$B$3,""))</f>
        <v/>
      </c>
      <c r="GN48" s="85">
        <f>IF(DZ48="","",IFERROR(DZ48*HSI!$B$46*HSI!$G$46/HSI!$B$3,""))</f>
        <v/>
      </c>
      <c r="GO48" s="85">
        <f>IF(EA48="","",IFERROR(EA48*HSI!$B$46*HSI!$G$46/HSI!$B$3,""))</f>
        <v/>
      </c>
      <c r="GP48" s="85">
        <f>IF(EB48="","",IFERROR(EB48*HSI!$B$46*HSI!$G$46/HSI!$B$3,""))</f>
        <v/>
      </c>
      <c r="GQ48" s="85">
        <f>IF(EC48="","",IFERROR(EC48*HSI!$B$46*HSI!$G$46/HSI!$B$3,""))</f>
        <v/>
      </c>
    </row>
    <row r="49">
      <c r="B49" s="2">
        <f>IF(HSI!$C$47="","",HSI!$C$47)</f>
        <v/>
      </c>
      <c r="C49" s="41">
        <f>IF(N('Dvd Calendar'!$E$610)=0,"",IF(('Dvd Calendar'!$E$610&gt;=MIN(DATE(Summary!$C$12,1,1),Summary!$C$11))*('Dvd Calendar'!$E$610&lt;=MAX(DATE(Summary!$C$12,12,31),Summary!$C$15))*('Dvd Calendar'!$E$610&lt;=Summary!$C$11)=0,"",'Dvd Calendar'!$E$610*1000000000+ISNUMBER('Dvd Calendar'!$E$611)*100000000+('Dvd Calendar'!$E$615='Field Check'!$C$25)*10000000+(N('Dvd Calendar'!$E$609)&gt;0)*1000000+41*1000+1))</f>
        <v/>
      </c>
      <c r="D49" s="41">
        <f>IF(N('Dvd Calendar'!$F$610)=0,"",IF(('Dvd Calendar'!$F$610&gt;=MIN(DATE(Summary!$C$12,1,1),Summary!$C$11))*('Dvd Calendar'!$F$610&lt;=MAX(DATE(Summary!$C$12,12,31),Summary!$C$15))*('Dvd Calendar'!$F$610&lt;=Summary!$C$11)=0,"",'Dvd Calendar'!$F$610*1000000000+ISNUMBER('Dvd Calendar'!$F$611)*100000000+('Dvd Calendar'!$F$615='Field Check'!$C$25)*10000000+(N('Dvd Calendar'!$F$609)&gt;0)*1000000+41*1000+2))</f>
        <v/>
      </c>
      <c r="E49" s="41">
        <f>IF(N('Dvd Calendar'!$G$610)=0,"",IF(('Dvd Calendar'!$G$610&gt;=MIN(DATE(Summary!$C$12,1,1),Summary!$C$11))*('Dvd Calendar'!$G$610&lt;=MAX(DATE(Summary!$C$12,12,31),Summary!$C$15))*('Dvd Calendar'!$G$610&lt;=Summary!$C$11)=0,"",'Dvd Calendar'!$G$610*1000000000+ISNUMBER('Dvd Calendar'!$G$611)*100000000+('Dvd Calendar'!$G$615='Field Check'!$C$25)*10000000+(N('Dvd Calendar'!$G$609)&gt;0)*1000000+41*1000+3))</f>
        <v/>
      </c>
      <c r="F49" s="41">
        <f>IF(N('Dvd Calendar'!$H$610)=0,"",IF(('Dvd Calendar'!$H$610&gt;=MIN(DATE(Summary!$C$12,1,1),Summary!$C$11))*('Dvd Calendar'!$H$610&lt;=MAX(DATE(Summary!$C$12,12,31),Summary!$C$15))*('Dvd Calendar'!$H$610&lt;=Summary!$C$11)=0,"",'Dvd Calendar'!$H$610*1000000000+ISNUMBER('Dvd Calendar'!$H$611)*100000000+('Dvd Calendar'!$H$615='Field Check'!$C$25)*10000000+(N('Dvd Calendar'!$H$609)&gt;0)*1000000+41*1000+4))</f>
        <v/>
      </c>
      <c r="G49" s="41">
        <f>IF(N('Dvd Calendar'!$I$610)=0,"",IF(('Dvd Calendar'!$I$610&gt;=MIN(DATE(Summary!$C$12,1,1),Summary!$C$11))*('Dvd Calendar'!$I$610&lt;=MAX(DATE(Summary!$C$12,12,31),Summary!$C$15))*('Dvd Calendar'!$I$610&lt;=Summary!$C$11)=0,"",'Dvd Calendar'!$I$610*1000000000+ISNUMBER('Dvd Calendar'!$I$611)*100000000+('Dvd Calendar'!$I$615='Field Check'!$C$25)*10000000+(N('Dvd Calendar'!$I$609)&gt;0)*1000000+41*1000+5))</f>
        <v/>
      </c>
      <c r="H49" s="41">
        <f>IF(N('Dvd Calendar'!$J$610)=0,"",IF(('Dvd Calendar'!$J$610&gt;=MIN(DATE(Summary!$C$12,1,1),Summary!$C$11))*('Dvd Calendar'!$J$610&lt;=MAX(DATE(Summary!$C$12,12,31),Summary!$C$15))*('Dvd Calendar'!$J$610&lt;=Summary!$C$11)=0,"",'Dvd Calendar'!$J$610*1000000000+ISNUMBER('Dvd Calendar'!$J$611)*100000000+('Dvd Calendar'!$J$615='Field Check'!$C$25)*10000000+(N('Dvd Calendar'!$J$609)&gt;0)*1000000+41*1000+6))</f>
        <v/>
      </c>
      <c r="I49" s="41">
        <f>IF(N('Dvd Calendar'!$K$610)=0,"",IF(('Dvd Calendar'!$K$610&gt;=MIN(DATE(Summary!$C$12,1,1),Summary!$C$11))*('Dvd Calendar'!$K$610&lt;=MAX(DATE(Summary!$C$12,12,31),Summary!$C$15))*('Dvd Calendar'!$K$610&lt;=Summary!$C$11)=0,"",'Dvd Calendar'!$K$610*1000000000+ISNUMBER('Dvd Calendar'!$K$611)*100000000+('Dvd Calendar'!$K$615='Field Check'!$C$25)*10000000+(N('Dvd Calendar'!$K$609)&gt;0)*1000000+41*1000+7))</f>
        <v/>
      </c>
      <c r="J49" s="41">
        <f>IF(N('Dvd Calendar'!$L$610)=0,"",IF(('Dvd Calendar'!$L$610&gt;=MIN(DATE(Summary!$C$12,1,1),Summary!$C$11))*('Dvd Calendar'!$L$610&lt;=MAX(DATE(Summary!$C$12,12,31),Summary!$C$15))*('Dvd Calendar'!$L$610&lt;=Summary!$C$11)=0,"",'Dvd Calendar'!$L$610*1000000000+ISNUMBER('Dvd Calendar'!$L$611)*100000000+('Dvd Calendar'!$L$615='Field Check'!$C$25)*10000000+(N('Dvd Calendar'!$L$609)&gt;0)*1000000+41*1000+8))</f>
        <v/>
      </c>
      <c r="K49" s="41">
        <f>IF(N('Dvd Calendar'!$M$610)=0,"",IF(('Dvd Calendar'!$M$610&gt;=MIN(DATE(Summary!$C$12,1,1),Summary!$C$11))*('Dvd Calendar'!$M$610&lt;=MAX(DATE(Summary!$C$12,12,31),Summary!$C$15))*('Dvd Calendar'!$M$610&lt;=Summary!$C$11)=0,"",'Dvd Calendar'!$M$610*1000000000+ISNUMBER('Dvd Calendar'!$M$611)*100000000+('Dvd Calendar'!$M$615='Field Check'!$C$25)*10000000+(N('Dvd Calendar'!$M$609)&gt;0)*1000000+41*1000+9))</f>
        <v/>
      </c>
      <c r="L49" s="41">
        <f>IF(N('Dvd Calendar'!$N$610)=0,"",IF(('Dvd Calendar'!$N$610&gt;=MIN(DATE(Summary!$C$12,1,1),Summary!$C$11))*('Dvd Calendar'!$N$610&lt;=MAX(DATE(Summary!$C$12,12,31),Summary!$C$15))*('Dvd Calendar'!$N$610&lt;=Summary!$C$11)=0,"",'Dvd Calendar'!$N$610*1000000000+ISNUMBER('Dvd Calendar'!$N$611)*100000000+('Dvd Calendar'!$N$615='Field Check'!$C$25)*10000000+(N('Dvd Calendar'!$N$609)&gt;0)*1000000+41*1000+10))</f>
        <v/>
      </c>
      <c r="M49" s="41">
        <f>IF(N('Dvd Calendar'!$O$610)=0,"",IF(('Dvd Calendar'!$O$610&gt;=MIN(DATE(Summary!$C$12,1,1),Summary!$C$11))*('Dvd Calendar'!$O$610&lt;=MAX(DATE(Summary!$C$12,12,31),Summary!$C$15))*('Dvd Calendar'!$O$610&lt;=Summary!$C$11)=0,"",'Dvd Calendar'!$O$610*1000000000+ISNUMBER('Dvd Calendar'!$O$611)*100000000+('Dvd Calendar'!$O$615='Field Check'!$C$25)*10000000+(N('Dvd Calendar'!$O$609)&gt;0)*1000000+41*1000+11))</f>
        <v/>
      </c>
      <c r="N49" s="41">
        <f>IF(N('Dvd Calendar'!$P$610)=0,"",IF(('Dvd Calendar'!$P$610&gt;=MIN(DATE(Summary!$C$12,1,1),Summary!$C$11))*('Dvd Calendar'!$P$610&lt;=MAX(DATE(Summary!$C$12,12,31),Summary!$C$15))*('Dvd Calendar'!$P$610&lt;=Summary!$C$11)=0,"",'Dvd Calendar'!$P$610*1000000000+ISNUMBER('Dvd Calendar'!$P$611)*100000000+('Dvd Calendar'!$P$615='Field Check'!$C$25)*10000000+(N('Dvd Calendar'!$P$609)&gt;0)*1000000+41*1000+12))</f>
        <v/>
      </c>
      <c r="O49" s="41">
        <f>IF(N('Dvd Calendar'!$Q$610)=0,"",IF(('Dvd Calendar'!$Q$610&gt;=MIN(DATE(Summary!$C$12,1,1),Summary!$C$11))*('Dvd Calendar'!$Q$610&lt;=MAX(DATE(Summary!$C$12,12,31),Summary!$C$15))*('Dvd Calendar'!$Q$610&lt;=Summary!$C$11)=0,"",'Dvd Calendar'!$Q$610*1000000000+ISNUMBER('Dvd Calendar'!$Q$611)*100000000+('Dvd Calendar'!$Q$615='Field Check'!$C$25)*10000000+(N('Dvd Calendar'!$Q$609)&gt;0)*1000000+41*1000+13))</f>
        <v/>
      </c>
      <c r="P49" s="41">
        <f>IF(N('Dvd Calendar'!$R$610)=0,"",IF(('Dvd Calendar'!$R$610&gt;=MIN(DATE(Summary!$C$12,1,1),Summary!$C$11))*('Dvd Calendar'!$R$610&lt;=MAX(DATE(Summary!$C$12,12,31),Summary!$C$15))*('Dvd Calendar'!$R$610&lt;=Summary!$C$11)=0,"",'Dvd Calendar'!$R$610*1000000000+ISNUMBER('Dvd Calendar'!$R$611)*100000000+('Dvd Calendar'!$R$615='Field Check'!$C$25)*10000000+(N('Dvd Calendar'!$R$609)&gt;0)*1000000+41*1000+14))</f>
        <v/>
      </c>
      <c r="Q49" s="41">
        <f>IF(N('Dvd Calendar'!$S$610)=0,"",IF(('Dvd Calendar'!$S$610&gt;=MIN(DATE(Summary!$C$12,1,1),Summary!$C$11))*('Dvd Calendar'!$S$610&lt;=MAX(DATE(Summary!$C$12,12,31),Summary!$C$15))*('Dvd Calendar'!$S$610&lt;=Summary!$C$11)=0,"",'Dvd Calendar'!$S$610*1000000000+ISNUMBER('Dvd Calendar'!$S$611)*100000000+('Dvd Calendar'!$S$615='Field Check'!$C$25)*10000000+(N('Dvd Calendar'!$S$609)&gt;0)*1000000+41*1000+15))</f>
        <v/>
      </c>
      <c r="R49" s="41">
        <f>IF(N('Dvd Calendar'!$T$610)=0,"",IF(('Dvd Calendar'!$T$610&gt;=MIN(DATE(Summary!$C$12,1,1),Summary!$C$11))*('Dvd Calendar'!$T$610&lt;=MAX(DATE(Summary!$C$12,12,31),Summary!$C$15))*('Dvd Calendar'!$T$610&lt;=Summary!$C$11)=0,"",'Dvd Calendar'!$T$610*1000000000+ISNUMBER('Dvd Calendar'!$T$611)*100000000+('Dvd Calendar'!$T$615='Field Check'!$C$25)*10000000+(N('Dvd Calendar'!$T$609)&gt;0)*1000000+41*1000+16))</f>
        <v/>
      </c>
      <c r="S49" s="41">
        <f>IF(N('Dvd Calendar'!$U$610)=0,"",IF(('Dvd Calendar'!$U$610&gt;=MIN(DATE(Summary!$C$12,1,1),Summary!$C$11))*('Dvd Calendar'!$U$610&lt;=MAX(DATE(Summary!$C$12,12,31),Summary!$C$15))*('Dvd Calendar'!$U$610&lt;=Summary!$C$11)=0,"",'Dvd Calendar'!$U$610*1000000000+ISNUMBER('Dvd Calendar'!$U$611)*100000000+('Dvd Calendar'!$U$615='Field Check'!$C$25)*10000000+(N('Dvd Calendar'!$U$609)&gt;0)*1000000+41*1000+17))</f>
        <v/>
      </c>
      <c r="T49" s="41">
        <f>IF(N('Dvd Calendar'!$V$610)=0,"",IF(('Dvd Calendar'!$V$610&gt;=MIN(DATE(Summary!$C$12,1,1),Summary!$C$11))*('Dvd Calendar'!$V$610&lt;=MAX(DATE(Summary!$C$12,12,31),Summary!$C$15))*('Dvd Calendar'!$V$610&lt;=Summary!$C$11)=0,"",'Dvd Calendar'!$V$610*1000000000+ISNUMBER('Dvd Calendar'!$V$611)*100000000+('Dvd Calendar'!$V$615='Field Check'!$C$25)*10000000+(N('Dvd Calendar'!$V$609)&gt;0)*1000000+41*1000+18))</f>
        <v/>
      </c>
      <c r="U49" s="41">
        <f>IF(N('Dvd Calendar'!$W$610)=0,"",IF(('Dvd Calendar'!$W$610&gt;=MIN(DATE(Summary!$C$12,1,1),Summary!$C$11))*('Dvd Calendar'!$W$610&lt;=MAX(DATE(Summary!$C$12,12,31),Summary!$C$15))*('Dvd Calendar'!$W$610&lt;=Summary!$C$11)=0,"",'Dvd Calendar'!$W$610*1000000000+ISNUMBER('Dvd Calendar'!$W$611)*100000000+('Dvd Calendar'!$W$615='Field Check'!$C$25)*10000000+(N('Dvd Calendar'!$W$609)&gt;0)*1000000+41*1000+19))</f>
        <v/>
      </c>
      <c r="V49" s="41">
        <f>IF(N('Dvd Calendar'!$X$610)=0,"",IF(('Dvd Calendar'!$X$610&gt;=MIN(DATE(Summary!$C$12,1,1),Summary!$C$11))*('Dvd Calendar'!$X$610&lt;=MAX(DATE(Summary!$C$12,12,31),Summary!$C$15))*('Dvd Calendar'!$X$610&lt;=Summary!$C$11)=0,"",'Dvd Calendar'!$X$610*1000000000+ISNUMBER('Dvd Calendar'!$X$611)*100000000+('Dvd Calendar'!$X$615='Field Check'!$C$25)*10000000+(N('Dvd Calendar'!$X$609)&gt;0)*1000000+41*1000+20))</f>
        <v/>
      </c>
      <c r="W49" s="41">
        <f>IF(N('Dvd Calendar'!$Y$610)=0,"",IF(('Dvd Calendar'!$Y$610&gt;=MIN(DATE(Summary!$C$12,1,1),Summary!$C$11))*('Dvd Calendar'!$Y$610&lt;=MAX(DATE(Summary!$C$12,12,31),Summary!$C$15))*('Dvd Calendar'!$Y$610&lt;=Summary!$C$11)=0,"",'Dvd Calendar'!$Y$610*1000000000+ISNUMBER('Dvd Calendar'!$Y$611)*100000000+('Dvd Calendar'!$Y$615='Field Check'!$C$25)*10000000+(N('Dvd Calendar'!$Y$609)&gt;0)*1000000+41*1000+21))</f>
        <v/>
      </c>
      <c r="X49" s="41">
        <f>IF(N('Dvd Calendar'!$Z$610)=0,"",IF(('Dvd Calendar'!$Z$610&gt;=MIN(DATE(Summary!$C$12,1,1),Summary!$C$11))*('Dvd Calendar'!$Z$610&lt;=MAX(DATE(Summary!$C$12,12,31),Summary!$C$15))*('Dvd Calendar'!$Z$610&lt;=Summary!$C$11)=0,"",'Dvd Calendar'!$Z$610*1000000000+ISNUMBER('Dvd Calendar'!$Z$611)*100000000+('Dvd Calendar'!$Z$615='Field Check'!$C$25)*10000000+(N('Dvd Calendar'!$Z$609)&gt;0)*1000000+41*1000+22))</f>
        <v/>
      </c>
      <c r="Y49" s="41">
        <f>IF(N('Dvd Calendar'!$AA$610)=0,"",IF(('Dvd Calendar'!$AA$610&gt;=MIN(DATE(Summary!$C$12,1,1),Summary!$C$11))*('Dvd Calendar'!$AA$610&lt;=MAX(DATE(Summary!$C$12,12,31),Summary!$C$15))*('Dvd Calendar'!$AA$610&lt;=Summary!$C$11)=0,"",'Dvd Calendar'!$AA$610*1000000000+ISNUMBER('Dvd Calendar'!$AA$611)*100000000+('Dvd Calendar'!$AA$615='Field Check'!$C$25)*10000000+(N('Dvd Calendar'!$AA$609)&gt;0)*1000000+41*1000+23))</f>
        <v/>
      </c>
      <c r="Z49" s="41">
        <f>IF(N('Dvd Calendar'!$AB$610)=0,"",IF(('Dvd Calendar'!$AB$610&gt;=MIN(DATE(Summary!$C$12,1,1),Summary!$C$11))*('Dvd Calendar'!$AB$610&lt;=MAX(DATE(Summary!$C$12,12,31),Summary!$C$15))*('Dvd Calendar'!$AB$610&lt;=Summary!$C$11)=0,"",'Dvd Calendar'!$AB$610*1000000000+ISNUMBER('Dvd Calendar'!$AB$611)*100000000+('Dvd Calendar'!$AB$615='Field Check'!$C$25)*10000000+(N('Dvd Calendar'!$AB$609)&gt;0)*1000000+41*1000+24))</f>
        <v/>
      </c>
      <c r="AA49" s="41">
        <f>IF(N('Dvd Calendar'!$AC$610)=0,"",IF(('Dvd Calendar'!$AC$610&gt;=MIN(DATE(Summary!$C$12,1,1),Summary!$C$11))*('Dvd Calendar'!$AC$610&lt;=MAX(DATE(Summary!$C$12,12,31),Summary!$C$15))*('Dvd Calendar'!$AC$610&lt;=Summary!$C$11)=0,"",'Dvd Calendar'!$AC$610*1000000000+ISNUMBER('Dvd Calendar'!$AC$611)*100000000+('Dvd Calendar'!$AC$615='Field Check'!$C$25)*10000000+(N('Dvd Calendar'!$AC$609)&gt;0)*1000000+41*1000+25))</f>
        <v/>
      </c>
      <c r="AB49" s="41">
        <f>IF(N('Dvd Calendar'!$AD$610)=0,"",IF(('Dvd Calendar'!$AD$610&gt;=MIN(DATE(Summary!$C$12,1,1),Summary!$C$11))*('Dvd Calendar'!$AD$610&lt;=MAX(DATE(Summary!$C$12,12,31),Summary!$C$15))*('Dvd Calendar'!$AD$610&lt;=Summary!$C$11)=0,"",'Dvd Calendar'!$AD$610*1000000000+ISNUMBER('Dvd Calendar'!$AD$611)*100000000+('Dvd Calendar'!$AD$615='Field Check'!$C$25)*10000000+(N('Dvd Calendar'!$AD$609)&gt;0)*1000000+41*1000+26))</f>
        <v/>
      </c>
      <c r="AC49" s="41">
        <f>IF(N('Dvd Calendar'!$AE$610)=0,"",IF(('Dvd Calendar'!$AE$610&gt;=MIN(DATE(Summary!$C$12,1,1),Summary!$C$11))*('Dvd Calendar'!$AE$610&lt;=MAX(DATE(Summary!$C$12,12,31),Summary!$C$15))*('Dvd Calendar'!$AE$610&lt;=Summary!$C$11)=0,"",'Dvd Calendar'!$AE$610*1000000000+ISNUMBER('Dvd Calendar'!$AE$611)*100000000+('Dvd Calendar'!$AE$615='Field Check'!$C$25)*10000000+(N('Dvd Calendar'!$AE$609)&gt;0)*1000000+41*1000+27))</f>
        <v/>
      </c>
      <c r="AD49" s="41">
        <f>IF(N('Dvd Calendar'!$AF$610)=0,"",IF(('Dvd Calendar'!$AF$610&gt;=MIN(DATE(Summary!$C$12,1,1),Summary!$C$11))*('Dvd Calendar'!$AF$610&lt;=MAX(DATE(Summary!$C$12,12,31),Summary!$C$15))*('Dvd Calendar'!$AF$610&lt;=Summary!$C$11)=0,"",'Dvd Calendar'!$AF$610*1000000000+ISNUMBER('Dvd Calendar'!$AF$611)*100000000+('Dvd Calendar'!$AF$615='Field Check'!$C$25)*10000000+(N('Dvd Calendar'!$AF$609)&gt;0)*1000000+41*1000+28))</f>
        <v/>
      </c>
      <c r="AE49" s="41">
        <f>IF(N('Dvd Calendar'!$AG$610)=0,"",IF(('Dvd Calendar'!$AG$610&gt;=MIN(DATE(Summary!$C$12,1,1),Summary!$C$11))*('Dvd Calendar'!$AG$610&lt;=MAX(DATE(Summary!$C$12,12,31),Summary!$C$15))*('Dvd Calendar'!$AG$610&lt;=Summary!$C$11)=0,"",'Dvd Calendar'!$AG$610*1000000000+ISNUMBER('Dvd Calendar'!$AG$611)*100000000+('Dvd Calendar'!$AG$615='Field Check'!$C$25)*10000000+(N('Dvd Calendar'!$AG$609)&gt;0)*1000000+41*1000+29))</f>
        <v/>
      </c>
      <c r="AF49" s="41">
        <f>IF(N('Dvd Calendar'!$AH$610)=0,"",IF(('Dvd Calendar'!$AH$610&gt;=MIN(DATE(Summary!$C$12,1,1),Summary!$C$11))*('Dvd Calendar'!$AH$610&lt;=MAX(DATE(Summary!$C$12,12,31),Summary!$C$15))*('Dvd Calendar'!$AH$610&lt;=Summary!$C$11)=0,"",'Dvd Calendar'!$AH$610*1000000000+ISNUMBER('Dvd Calendar'!$AH$611)*100000000+('Dvd Calendar'!$AH$615='Field Check'!$C$25)*10000000+(N('Dvd Calendar'!$AH$609)&gt;0)*1000000+41*1000+30))</f>
        <v/>
      </c>
      <c r="AG49" s="41">
        <f>IF(N('Dvd Calendar'!$AI$610)=0,"",IF(('Dvd Calendar'!$AI$610&gt;=MIN(DATE(Summary!$C$12,1,1),Summary!$C$11))*('Dvd Calendar'!$AI$610&lt;=MAX(DATE(Summary!$C$12,12,31),Summary!$C$15))*('Dvd Calendar'!$AI$610&lt;=Summary!$C$11)=0,"",'Dvd Calendar'!$AI$610*1000000000+ISNUMBER('Dvd Calendar'!$AI$611)*100000000+('Dvd Calendar'!$AI$615='Field Check'!$C$25)*10000000+(N('Dvd Calendar'!$AI$609)&gt;0)*1000000+41*1000+31))</f>
        <v/>
      </c>
      <c r="AH49" s="41">
        <f>IF(N('Dvd Calendar'!$AJ$610)=0,"",IF(('Dvd Calendar'!$AJ$610&gt;=MIN(DATE(Summary!$C$12,1,1),Summary!$C$11))*('Dvd Calendar'!$AJ$610&lt;=MAX(DATE(Summary!$C$12,12,31),Summary!$C$15))*('Dvd Calendar'!$AJ$610&lt;=Summary!$C$11)=0,"",'Dvd Calendar'!$AJ$610*1000000000+ISNUMBER('Dvd Calendar'!$AJ$611)*100000000+('Dvd Calendar'!$AJ$615='Field Check'!$C$25)*10000000+(N('Dvd Calendar'!$AJ$609)&gt;0)*1000000+41*1000+32))</f>
        <v/>
      </c>
      <c r="AI49" s="41">
        <f>IF(N('Dvd Calendar'!$AK$610)=0,"",IF(('Dvd Calendar'!$AK$610&gt;=MIN(DATE(Summary!$C$12,1,1),Summary!$C$11))*('Dvd Calendar'!$AK$610&lt;=MAX(DATE(Summary!$C$12,12,31),Summary!$C$15))*('Dvd Calendar'!$AK$610&lt;=Summary!$C$11)=0,"",'Dvd Calendar'!$AK$610*1000000000+ISNUMBER('Dvd Calendar'!$AK$611)*100000000+('Dvd Calendar'!$AK$615='Field Check'!$C$25)*10000000+(N('Dvd Calendar'!$AK$609)&gt;0)*1000000+41*1000+33))</f>
        <v/>
      </c>
      <c r="AJ49" s="41">
        <f>IF(N('Dvd Calendar'!$AL$610)=0,"",IF(('Dvd Calendar'!$AL$610&gt;=MIN(DATE(Summary!$C$12,1,1),Summary!$C$11))*('Dvd Calendar'!$AL$610&lt;=MAX(DATE(Summary!$C$12,12,31),Summary!$C$15))*('Dvd Calendar'!$AL$610&lt;=Summary!$C$11)=0,"",'Dvd Calendar'!$AL$610*1000000000+ISNUMBER('Dvd Calendar'!$AL$611)*100000000+('Dvd Calendar'!$AL$615='Field Check'!$C$25)*10000000+(N('Dvd Calendar'!$AL$609)&gt;0)*1000000+41*1000+34))</f>
        <v/>
      </c>
      <c r="AK49" s="41">
        <f>IF(N('Dvd Calendar'!$AM$610)=0,"",IF(('Dvd Calendar'!$AM$610&gt;=MIN(DATE(Summary!$C$12,1,1),Summary!$C$11))*('Dvd Calendar'!$AM$610&lt;=MAX(DATE(Summary!$C$12,12,31),Summary!$C$15))*('Dvd Calendar'!$AM$610&lt;=Summary!$C$11)=0,"",'Dvd Calendar'!$AM$610*1000000000+ISNUMBER('Dvd Calendar'!$AM$611)*100000000+('Dvd Calendar'!$AM$615='Field Check'!$C$25)*10000000+(N('Dvd Calendar'!$AM$609)&gt;0)*1000000+41*1000+35))</f>
        <v/>
      </c>
      <c r="AL49" s="41">
        <f>IF(N('Dvd Calendar'!$AN$610)=0,"",IF(('Dvd Calendar'!$AN$610&gt;=MIN(DATE(Summary!$C$12,1,1),Summary!$C$11))*('Dvd Calendar'!$AN$610&lt;=MAX(DATE(Summary!$C$12,12,31),Summary!$C$15))*('Dvd Calendar'!$AN$610&lt;=Summary!$C$11)=0,"",'Dvd Calendar'!$AN$610*1000000000+ISNUMBER('Dvd Calendar'!$AN$611)*100000000+('Dvd Calendar'!$AN$615='Field Check'!$C$25)*10000000+(N('Dvd Calendar'!$AN$609)&gt;0)*1000000+41*1000+36))</f>
        <v/>
      </c>
      <c r="AM49" s="41">
        <f>IF(N('Dvd Calendar'!$AO$610)=0,"",IF(('Dvd Calendar'!$AO$610&gt;=MIN(DATE(Summary!$C$12,1,1),Summary!$C$11))*('Dvd Calendar'!$AO$610&lt;=MAX(DATE(Summary!$C$12,12,31),Summary!$C$15))*('Dvd Calendar'!$AO$610&lt;=Summary!$C$11)=0,"",'Dvd Calendar'!$AO$610*1000000000+ISNUMBER('Dvd Calendar'!$AO$611)*100000000+('Dvd Calendar'!$AO$615='Field Check'!$C$25)*10000000+(N('Dvd Calendar'!$AO$609)&gt;0)*1000000+41*1000+37))</f>
        <v/>
      </c>
      <c r="AN49" s="41">
        <f>IF(N('Dvd Calendar'!$AP$610)=0,"",IF(('Dvd Calendar'!$AP$610&gt;=MIN(DATE(Summary!$C$12,1,1),Summary!$C$11))*('Dvd Calendar'!$AP$610&lt;=MAX(DATE(Summary!$C$12,12,31),Summary!$C$15))*('Dvd Calendar'!$AP$610&lt;=Summary!$C$11)=0,"",'Dvd Calendar'!$AP$610*1000000000+ISNUMBER('Dvd Calendar'!$AP$611)*100000000+('Dvd Calendar'!$AP$615='Field Check'!$C$25)*10000000+(N('Dvd Calendar'!$AP$609)&gt;0)*1000000+41*1000+38))</f>
        <v/>
      </c>
      <c r="AO49" s="41">
        <f>IF(N('Dvd Calendar'!$AQ$610)=0,"",IF(('Dvd Calendar'!$AQ$610&gt;=MIN(DATE(Summary!$C$12,1,1),Summary!$C$11))*('Dvd Calendar'!$AQ$610&lt;=MAX(DATE(Summary!$C$12,12,31),Summary!$C$15))*('Dvd Calendar'!$AQ$610&lt;=Summary!$C$11)=0,"",'Dvd Calendar'!$AQ$610*1000000000+ISNUMBER('Dvd Calendar'!$AQ$611)*100000000+('Dvd Calendar'!$AQ$615='Field Check'!$C$25)*10000000+(N('Dvd Calendar'!$AQ$609)&gt;0)*1000000+41*1000+39))</f>
        <v/>
      </c>
      <c r="AP49" s="41">
        <f>IF(N('Dvd Calendar'!$AR$610)=0,"",IF(('Dvd Calendar'!$AR$610&gt;=MIN(DATE(Summary!$C$12,1,1),Summary!$C$11))*('Dvd Calendar'!$AR$610&lt;=MAX(DATE(Summary!$C$12,12,31),Summary!$C$15))*('Dvd Calendar'!$AR$610&lt;=Summary!$C$11)=0,"",'Dvd Calendar'!$AR$610*1000000000+ISNUMBER('Dvd Calendar'!$AR$611)*100000000+('Dvd Calendar'!$AR$615='Field Check'!$C$25)*10000000+(N('Dvd Calendar'!$AR$609)&gt;0)*1000000+41*1000+40))</f>
        <v/>
      </c>
      <c r="AQ49" s="41">
        <f>IF(N('Dvd Calendar'!$E$617)=0,"",IF(('Dvd Calendar'!$E$617&gt;=MIN(DATE(Summary!$C$12,1,1),Summary!$C$11))*('Dvd Calendar'!$E$617&lt;=MAX(DATE(Summary!$C$12,12,31),Summary!$C$15))*('Dvd Calendar'!$E$617&gt;Summary!$C$11)=0,"",'Dvd Calendar'!$E$617*1000000000+ISNUMBER('Dvd Calendar'!$E$618)*100000000+('Dvd Calendar'!$E$622='Field Check'!$C$25)*10000000+(N('Dvd Calendar'!$E$616)&gt;0)*1000000+41*1000+41))</f>
        <v/>
      </c>
      <c r="AR49" s="41">
        <f>IF(N('Dvd Calendar'!$F$617)=0,"",IF(('Dvd Calendar'!$F$617&gt;=MIN(DATE(Summary!$C$12,1,1),Summary!$C$11))*('Dvd Calendar'!$F$617&lt;=MAX(DATE(Summary!$C$12,12,31),Summary!$C$15))*('Dvd Calendar'!$F$617&gt;Summary!$C$11)=0,"",'Dvd Calendar'!$F$617*1000000000+ISNUMBER('Dvd Calendar'!$F$618)*100000000+('Dvd Calendar'!$F$622='Field Check'!$C$25)*10000000+(N('Dvd Calendar'!$F$616)&gt;0)*1000000+41*1000+42))</f>
        <v/>
      </c>
      <c r="AS49" s="41">
        <f>IF(N('Dvd Calendar'!$G$617)=0,"",IF(('Dvd Calendar'!$G$617&gt;=MIN(DATE(Summary!$C$12,1,1),Summary!$C$11))*('Dvd Calendar'!$G$617&lt;=MAX(DATE(Summary!$C$12,12,31),Summary!$C$15))*('Dvd Calendar'!$G$617&gt;Summary!$C$11)=0,"",'Dvd Calendar'!$G$617*1000000000+ISNUMBER('Dvd Calendar'!$G$618)*100000000+('Dvd Calendar'!$G$622='Field Check'!$C$25)*10000000+(N('Dvd Calendar'!$G$616)&gt;0)*1000000+41*1000+43))</f>
        <v/>
      </c>
      <c r="AT49" s="41">
        <f>IF(N('Dvd Calendar'!$H$617)=0,"",IF(('Dvd Calendar'!$H$617&gt;=MIN(DATE(Summary!$C$12,1,1),Summary!$C$11))*('Dvd Calendar'!$H$617&lt;=MAX(DATE(Summary!$C$12,12,31),Summary!$C$15))*('Dvd Calendar'!$H$617&gt;Summary!$C$11)=0,"",'Dvd Calendar'!$H$617*1000000000+ISNUMBER('Dvd Calendar'!$H$618)*100000000+('Dvd Calendar'!$H$622='Field Check'!$C$25)*10000000+(N('Dvd Calendar'!$H$616)&gt;0)*1000000+41*1000+44))</f>
        <v/>
      </c>
      <c r="AU49" s="41">
        <f>IF(N('Dvd Calendar'!$I$617)=0,"",IF(('Dvd Calendar'!$I$617&gt;=MIN(DATE(Summary!$C$12,1,1),Summary!$C$11))*('Dvd Calendar'!$I$617&lt;=MAX(DATE(Summary!$C$12,12,31),Summary!$C$15))*('Dvd Calendar'!$I$617&gt;Summary!$C$11)=0,"",'Dvd Calendar'!$I$617*1000000000+ISNUMBER('Dvd Calendar'!$I$618)*100000000+('Dvd Calendar'!$I$622='Field Check'!$C$25)*10000000+(N('Dvd Calendar'!$I$616)&gt;0)*1000000+41*1000+45))</f>
        <v/>
      </c>
      <c r="AV49" s="41">
        <f>IF(N('Dvd Calendar'!$J$617)=0,"",IF(('Dvd Calendar'!$J$617&gt;=MIN(DATE(Summary!$C$12,1,1),Summary!$C$11))*('Dvd Calendar'!$J$617&lt;=MAX(DATE(Summary!$C$12,12,31),Summary!$C$15))*('Dvd Calendar'!$J$617&gt;Summary!$C$11)=0,"",'Dvd Calendar'!$J$617*1000000000+ISNUMBER('Dvd Calendar'!$J$618)*100000000+('Dvd Calendar'!$J$622='Field Check'!$C$25)*10000000+(N('Dvd Calendar'!$J$616)&gt;0)*1000000+41*1000+46))</f>
        <v/>
      </c>
      <c r="AW49" s="41">
        <f>IF(N('Dvd Calendar'!$K$617)=0,"",IF(('Dvd Calendar'!$K$617&gt;=MIN(DATE(Summary!$C$12,1,1),Summary!$C$11))*('Dvd Calendar'!$K$617&lt;=MAX(DATE(Summary!$C$12,12,31),Summary!$C$15))*('Dvd Calendar'!$K$617&gt;Summary!$C$11)=0,"",'Dvd Calendar'!$K$617*1000000000+ISNUMBER('Dvd Calendar'!$K$618)*100000000+('Dvd Calendar'!$K$622='Field Check'!$C$25)*10000000+(N('Dvd Calendar'!$K$616)&gt;0)*1000000+41*1000+47))</f>
        <v/>
      </c>
      <c r="AX49" s="41">
        <f>IF(N('Dvd Calendar'!$L$617)=0,"",IF(('Dvd Calendar'!$L$617&gt;=MIN(DATE(Summary!$C$12,1,1),Summary!$C$11))*('Dvd Calendar'!$L$617&lt;=MAX(DATE(Summary!$C$12,12,31),Summary!$C$15))*('Dvd Calendar'!$L$617&gt;Summary!$C$11)=0,"",'Dvd Calendar'!$L$617*1000000000+ISNUMBER('Dvd Calendar'!$L$618)*100000000+('Dvd Calendar'!$L$622='Field Check'!$C$25)*10000000+(N('Dvd Calendar'!$L$616)&gt;0)*1000000+41*1000+48))</f>
        <v/>
      </c>
      <c r="AY49" s="41">
        <f>IF(N('Dvd Calendar'!$M$617)=0,"",IF(('Dvd Calendar'!$M$617&gt;=MIN(DATE(Summary!$C$12,1,1),Summary!$C$11))*('Dvd Calendar'!$M$617&lt;=MAX(DATE(Summary!$C$12,12,31),Summary!$C$15))*('Dvd Calendar'!$M$617&gt;Summary!$C$11)=0,"",'Dvd Calendar'!$M$617*1000000000+ISNUMBER('Dvd Calendar'!$M$618)*100000000+('Dvd Calendar'!$M$622='Field Check'!$C$25)*10000000+(N('Dvd Calendar'!$M$616)&gt;0)*1000000+41*1000+49))</f>
        <v/>
      </c>
      <c r="AZ49" s="41">
        <f>IF(N('Dvd Calendar'!$N$617)=0,"",IF(('Dvd Calendar'!$N$617&gt;=MIN(DATE(Summary!$C$12,1,1),Summary!$C$11))*('Dvd Calendar'!$N$617&lt;=MAX(DATE(Summary!$C$12,12,31),Summary!$C$15))*('Dvd Calendar'!$N$617&gt;Summary!$C$11)=0,"",'Dvd Calendar'!$N$617*1000000000+ISNUMBER('Dvd Calendar'!$N$618)*100000000+('Dvd Calendar'!$N$622='Field Check'!$C$25)*10000000+(N('Dvd Calendar'!$N$616)&gt;0)*1000000+41*1000+50))</f>
        <v/>
      </c>
      <c r="BA49" s="41">
        <f>IF(N('Dvd Calendar'!$O$617)=0,"",IF(('Dvd Calendar'!$O$617&gt;=MIN(DATE(Summary!$C$12,1,1),Summary!$C$11))*('Dvd Calendar'!$O$617&lt;=MAX(DATE(Summary!$C$12,12,31),Summary!$C$15))*('Dvd Calendar'!$O$617&gt;Summary!$C$11)=0,"",'Dvd Calendar'!$O$617*1000000000+ISNUMBER('Dvd Calendar'!$O$618)*100000000+('Dvd Calendar'!$O$622='Field Check'!$C$25)*10000000+(N('Dvd Calendar'!$O$616)&gt;0)*1000000+41*1000+51))</f>
        <v/>
      </c>
      <c r="BB49" s="41">
        <f>IF(N('Dvd Calendar'!$P$617)=0,"",IF(('Dvd Calendar'!$P$617&gt;=MIN(DATE(Summary!$C$12,1,1),Summary!$C$11))*('Dvd Calendar'!$P$617&lt;=MAX(DATE(Summary!$C$12,12,31),Summary!$C$15))*('Dvd Calendar'!$P$617&gt;Summary!$C$11)=0,"",'Dvd Calendar'!$P$617*1000000000+ISNUMBER('Dvd Calendar'!$P$618)*100000000+('Dvd Calendar'!$P$622='Field Check'!$C$25)*10000000+(N('Dvd Calendar'!$P$616)&gt;0)*1000000+41*1000+52))</f>
        <v/>
      </c>
      <c r="BC49" s="41">
        <f>IF(N('Dvd Calendar'!$Q$617)=0,"",IF(('Dvd Calendar'!$Q$617&gt;=MIN(DATE(Summary!$C$12,1,1),Summary!$C$11))*('Dvd Calendar'!$Q$617&lt;=MAX(DATE(Summary!$C$12,12,31),Summary!$C$15))*('Dvd Calendar'!$Q$617&gt;Summary!$C$11)=0,"",'Dvd Calendar'!$Q$617*1000000000+ISNUMBER('Dvd Calendar'!$Q$618)*100000000+('Dvd Calendar'!$Q$622='Field Check'!$C$25)*10000000+(N('Dvd Calendar'!$Q$616)&gt;0)*1000000+41*1000+53))</f>
        <v/>
      </c>
      <c r="BD49" s="41">
        <f>IF(N('Dvd Calendar'!$R$617)=0,"",IF(('Dvd Calendar'!$R$617&gt;=MIN(DATE(Summary!$C$12,1,1),Summary!$C$11))*('Dvd Calendar'!$R$617&lt;=MAX(DATE(Summary!$C$12,12,31),Summary!$C$15))*('Dvd Calendar'!$R$617&gt;Summary!$C$11)=0,"",'Dvd Calendar'!$R$617*1000000000+ISNUMBER('Dvd Calendar'!$R$618)*100000000+('Dvd Calendar'!$R$622='Field Check'!$C$25)*10000000+(N('Dvd Calendar'!$R$616)&gt;0)*1000000+41*1000+54))</f>
        <v/>
      </c>
      <c r="BE49" s="41">
        <f>IF(N('Dvd Calendar'!$S$617)=0,"",IF(('Dvd Calendar'!$S$617&gt;=MIN(DATE(Summary!$C$12,1,1),Summary!$C$11))*('Dvd Calendar'!$S$617&lt;=MAX(DATE(Summary!$C$12,12,31),Summary!$C$15))*('Dvd Calendar'!$S$617&gt;Summary!$C$11)=0,"",'Dvd Calendar'!$S$617*1000000000+ISNUMBER('Dvd Calendar'!$S$618)*100000000+('Dvd Calendar'!$S$622='Field Check'!$C$25)*10000000+(N('Dvd Calendar'!$S$616)&gt;0)*1000000+41*1000+55))</f>
        <v/>
      </c>
      <c r="BF49" s="41">
        <f>IF(N('Dvd Calendar'!$T$617)=0,"",IF(('Dvd Calendar'!$T$617&gt;=MIN(DATE(Summary!$C$12,1,1),Summary!$C$11))*('Dvd Calendar'!$T$617&lt;=MAX(DATE(Summary!$C$12,12,31),Summary!$C$15))*('Dvd Calendar'!$T$617&gt;Summary!$C$11)=0,"",'Dvd Calendar'!$T$617*1000000000+ISNUMBER('Dvd Calendar'!$T$618)*100000000+('Dvd Calendar'!$T$622='Field Check'!$C$25)*10000000+(N('Dvd Calendar'!$T$616)&gt;0)*1000000+41*1000+56))</f>
        <v/>
      </c>
      <c r="BG49" s="41">
        <f>IF(N('Dvd Calendar'!$U$617)=0,"",IF(('Dvd Calendar'!$U$617&gt;=MIN(DATE(Summary!$C$12,1,1),Summary!$C$11))*('Dvd Calendar'!$U$617&lt;=MAX(DATE(Summary!$C$12,12,31),Summary!$C$15))*('Dvd Calendar'!$U$617&gt;Summary!$C$11)=0,"",'Dvd Calendar'!$U$617*1000000000+ISNUMBER('Dvd Calendar'!$U$618)*100000000+('Dvd Calendar'!$U$622='Field Check'!$C$25)*10000000+(N('Dvd Calendar'!$U$616)&gt;0)*1000000+41*1000+57))</f>
        <v/>
      </c>
      <c r="BH49" s="41">
        <f>IF(N('Dvd Calendar'!$V$617)=0,"",IF(('Dvd Calendar'!$V$617&gt;=MIN(DATE(Summary!$C$12,1,1),Summary!$C$11))*('Dvd Calendar'!$V$617&lt;=MAX(DATE(Summary!$C$12,12,31),Summary!$C$15))*('Dvd Calendar'!$V$617&gt;Summary!$C$11)=0,"",'Dvd Calendar'!$V$617*1000000000+ISNUMBER('Dvd Calendar'!$V$618)*100000000+('Dvd Calendar'!$V$622='Field Check'!$C$25)*10000000+(N('Dvd Calendar'!$V$616)&gt;0)*1000000+41*1000+58))</f>
        <v/>
      </c>
      <c r="BI49" s="41">
        <f>IF(N('Dvd Calendar'!$W$617)=0,"",IF(('Dvd Calendar'!$W$617&gt;=MIN(DATE(Summary!$C$12,1,1),Summary!$C$11))*('Dvd Calendar'!$W$617&lt;=MAX(DATE(Summary!$C$12,12,31),Summary!$C$15))*('Dvd Calendar'!$W$617&gt;Summary!$C$11)=0,"",'Dvd Calendar'!$W$617*1000000000+ISNUMBER('Dvd Calendar'!$W$618)*100000000+('Dvd Calendar'!$W$622='Field Check'!$C$25)*10000000+(N('Dvd Calendar'!$W$616)&gt;0)*1000000+41*1000+59))</f>
        <v/>
      </c>
      <c r="BJ49" s="41">
        <f>IF(N('Dvd Calendar'!$X$617)=0,"",IF(('Dvd Calendar'!$X$617&gt;=MIN(DATE(Summary!$C$12,1,1),Summary!$C$11))*('Dvd Calendar'!$X$617&lt;=MAX(DATE(Summary!$C$12,12,31),Summary!$C$15))*('Dvd Calendar'!$X$617&gt;Summary!$C$11)=0,"",'Dvd Calendar'!$X$617*1000000000+ISNUMBER('Dvd Calendar'!$X$618)*100000000+('Dvd Calendar'!$X$622='Field Check'!$C$25)*10000000+(N('Dvd Calendar'!$X$616)&gt;0)*1000000+41*1000+60))</f>
        <v/>
      </c>
      <c r="BK49" s="41">
        <f>IF(N('Dvd Calendar'!$Y$617)=0,"",IF(('Dvd Calendar'!$Y$617&gt;=MIN(DATE(Summary!$C$12,1,1),Summary!$C$11))*('Dvd Calendar'!$Y$617&lt;=MAX(DATE(Summary!$C$12,12,31),Summary!$C$15))*('Dvd Calendar'!$Y$617&gt;Summary!$C$11)=0,"",'Dvd Calendar'!$Y$617*1000000000+ISNUMBER('Dvd Calendar'!$Y$618)*100000000+('Dvd Calendar'!$Y$622='Field Check'!$C$25)*10000000+(N('Dvd Calendar'!$Y$616)&gt;0)*1000000+41*1000+61))</f>
        <v/>
      </c>
      <c r="BL49" s="41">
        <f>IF(N('Dvd Calendar'!$Z$617)=0,"",IF(('Dvd Calendar'!$Z$617&gt;=MIN(DATE(Summary!$C$12,1,1),Summary!$C$11))*('Dvd Calendar'!$Z$617&lt;=MAX(DATE(Summary!$C$12,12,31),Summary!$C$15))*('Dvd Calendar'!$Z$617&gt;Summary!$C$11)=0,"",'Dvd Calendar'!$Z$617*1000000000+ISNUMBER('Dvd Calendar'!$Z$618)*100000000+('Dvd Calendar'!$Z$622='Field Check'!$C$25)*10000000+(N('Dvd Calendar'!$Z$616)&gt;0)*1000000+41*1000+62))</f>
        <v/>
      </c>
      <c r="BM49" s="41">
        <f>IF(N('Dvd Calendar'!$AA$617)=0,"",IF(('Dvd Calendar'!$AA$617&gt;=MIN(DATE(Summary!$C$12,1,1),Summary!$C$11))*('Dvd Calendar'!$AA$617&lt;=MAX(DATE(Summary!$C$12,12,31),Summary!$C$15))*('Dvd Calendar'!$AA$617&gt;Summary!$C$11)=0,"",'Dvd Calendar'!$AA$617*1000000000+ISNUMBER('Dvd Calendar'!$AA$618)*100000000+('Dvd Calendar'!$AA$622='Field Check'!$C$25)*10000000+(N('Dvd Calendar'!$AA$616)&gt;0)*1000000+41*1000+63))</f>
        <v/>
      </c>
      <c r="BN49" s="41">
        <f>IF(N('Dvd Calendar'!$AB$617)=0,"",IF(('Dvd Calendar'!$AB$617&gt;=MIN(DATE(Summary!$C$12,1,1),Summary!$C$11))*('Dvd Calendar'!$AB$617&lt;=MAX(DATE(Summary!$C$12,12,31),Summary!$C$15))*('Dvd Calendar'!$AB$617&gt;Summary!$C$11)=0,"",'Dvd Calendar'!$AB$617*1000000000+ISNUMBER('Dvd Calendar'!$AB$618)*100000000+('Dvd Calendar'!$AB$622='Field Check'!$C$25)*10000000+(N('Dvd Calendar'!$AB$616)&gt;0)*1000000+41*1000+64))</f>
        <v/>
      </c>
      <c r="BO49" s="41">
        <f>IF(N('Dvd Calendar'!$AC$617)=0,"",IF(('Dvd Calendar'!$AC$617&gt;=MIN(DATE(Summary!$C$12,1,1),Summary!$C$11))*('Dvd Calendar'!$AC$617&lt;=MAX(DATE(Summary!$C$12,12,31),Summary!$C$15))*('Dvd Calendar'!$AC$617&gt;Summary!$C$11)=0,"",'Dvd Calendar'!$AC$617*1000000000+ISNUMBER('Dvd Calendar'!$AC$618)*100000000+('Dvd Calendar'!$AC$622='Field Check'!$C$25)*10000000+(N('Dvd Calendar'!$AC$616)&gt;0)*1000000+41*1000+65))</f>
        <v/>
      </c>
      <c r="BQ49" s="85">
        <f>IF(C49="","",IF(ISNUMBER('Dvd Calendar'!$E$611)=FALSE,"",IF((Summary!$C$13="N")*('Dvd Calendar'!$E$615='Field Check'!$C$25)&gt;0,"",'Dvd Calendar'!$E$611)))</f>
        <v/>
      </c>
      <c r="BR49" s="85">
        <f>IF(D49="","",IF(ISNUMBER('Dvd Calendar'!$F$611)=FALSE,"",IF((Summary!$C$13="N")*('Dvd Calendar'!$F$615='Field Check'!$C$25)&gt;0,"",'Dvd Calendar'!$F$611)))</f>
        <v/>
      </c>
      <c r="BS49" s="85">
        <f>IF(E49="","",IF(ISNUMBER('Dvd Calendar'!$G$611)=FALSE,"",IF((Summary!$C$13="N")*('Dvd Calendar'!$G$615='Field Check'!$C$25)&gt;0,"",'Dvd Calendar'!$G$611)))</f>
        <v/>
      </c>
      <c r="BT49" s="85">
        <f>IF(F49="","",IF(ISNUMBER('Dvd Calendar'!$H$611)=FALSE,"",IF((Summary!$C$13="N")*('Dvd Calendar'!$H$615='Field Check'!$C$25)&gt;0,"",'Dvd Calendar'!$H$611)))</f>
        <v/>
      </c>
      <c r="BU49" s="85">
        <f>IF(G49="","",IF(ISNUMBER('Dvd Calendar'!$I$611)=FALSE,"",IF((Summary!$C$13="N")*('Dvd Calendar'!$I$615='Field Check'!$C$25)&gt;0,"",'Dvd Calendar'!$I$611)))</f>
        <v/>
      </c>
      <c r="BV49" s="85">
        <f>IF(H49="","",IF(ISNUMBER('Dvd Calendar'!$J$611)=FALSE,"",IF((Summary!$C$13="N")*('Dvd Calendar'!$J$615='Field Check'!$C$25)&gt;0,"",'Dvd Calendar'!$J$611)))</f>
        <v/>
      </c>
      <c r="BW49" s="85">
        <f>IF(I49="","",IF(ISNUMBER('Dvd Calendar'!$K$611)=FALSE,"",IF((Summary!$C$13="N")*('Dvd Calendar'!$K$615='Field Check'!$C$25)&gt;0,"",'Dvd Calendar'!$K$611)))</f>
        <v/>
      </c>
      <c r="BX49" s="85">
        <f>IF(J49="","",IF(ISNUMBER('Dvd Calendar'!$L$611)=FALSE,"",IF((Summary!$C$13="N")*('Dvd Calendar'!$L$615='Field Check'!$C$25)&gt;0,"",'Dvd Calendar'!$L$611)))</f>
        <v/>
      </c>
      <c r="BY49" s="85">
        <f>IF(K49="","",IF(ISNUMBER('Dvd Calendar'!$M$611)=FALSE,"",IF((Summary!$C$13="N")*('Dvd Calendar'!$M$615='Field Check'!$C$25)&gt;0,"",'Dvd Calendar'!$M$611)))</f>
        <v/>
      </c>
      <c r="BZ49" s="85">
        <f>IF(L49="","",IF(ISNUMBER('Dvd Calendar'!$N$611)=FALSE,"",IF((Summary!$C$13="N")*('Dvd Calendar'!$N$615='Field Check'!$C$25)&gt;0,"",'Dvd Calendar'!$N$611)))</f>
        <v/>
      </c>
      <c r="CA49" s="85">
        <f>IF(M49="","",IF(ISNUMBER('Dvd Calendar'!$O$611)=FALSE,"",IF((Summary!$C$13="N")*('Dvd Calendar'!$O$615='Field Check'!$C$25)&gt;0,"",'Dvd Calendar'!$O$611)))</f>
        <v/>
      </c>
      <c r="CB49" s="85">
        <f>IF(N49="","",IF(ISNUMBER('Dvd Calendar'!$P$611)=FALSE,"",IF((Summary!$C$13="N")*('Dvd Calendar'!$P$615='Field Check'!$C$25)&gt;0,"",'Dvd Calendar'!$P$611)))</f>
        <v/>
      </c>
      <c r="CC49" s="85">
        <f>IF(O49="","",IF(ISNUMBER('Dvd Calendar'!$Q$611)=FALSE,"",IF((Summary!$C$13="N")*('Dvd Calendar'!$Q$615='Field Check'!$C$25)&gt;0,"",'Dvd Calendar'!$Q$611)))</f>
        <v/>
      </c>
      <c r="CD49" s="85">
        <f>IF(P49="","",IF(ISNUMBER('Dvd Calendar'!$R$611)=FALSE,"",IF((Summary!$C$13="N")*('Dvd Calendar'!$R$615='Field Check'!$C$25)&gt;0,"",'Dvd Calendar'!$R$611)))</f>
        <v/>
      </c>
      <c r="CE49" s="85">
        <f>IF(Q49="","",IF(ISNUMBER('Dvd Calendar'!$S$611)=FALSE,"",IF((Summary!$C$13="N")*('Dvd Calendar'!$S$615='Field Check'!$C$25)&gt;0,"",'Dvd Calendar'!$S$611)))</f>
        <v/>
      </c>
      <c r="CF49" s="85">
        <f>IF(R49="","",IF(ISNUMBER('Dvd Calendar'!$T$611)=FALSE,"",IF((Summary!$C$13="N")*('Dvd Calendar'!$T$615='Field Check'!$C$25)&gt;0,"",'Dvd Calendar'!$T$611)))</f>
        <v/>
      </c>
      <c r="CG49" s="85">
        <f>IF(S49="","",IF(ISNUMBER('Dvd Calendar'!$U$611)=FALSE,"",IF((Summary!$C$13="N")*('Dvd Calendar'!$U$615='Field Check'!$C$25)&gt;0,"",'Dvd Calendar'!$U$611)))</f>
        <v/>
      </c>
      <c r="CH49" s="85">
        <f>IF(T49="","",IF(ISNUMBER('Dvd Calendar'!$V$611)=FALSE,"",IF((Summary!$C$13="N")*('Dvd Calendar'!$V$615='Field Check'!$C$25)&gt;0,"",'Dvd Calendar'!$V$611)))</f>
        <v/>
      </c>
      <c r="CI49" s="85">
        <f>IF(U49="","",IF(ISNUMBER('Dvd Calendar'!$W$611)=FALSE,"",IF((Summary!$C$13="N")*('Dvd Calendar'!$W$615='Field Check'!$C$25)&gt;0,"",'Dvd Calendar'!$W$611)))</f>
        <v/>
      </c>
      <c r="CJ49" s="85">
        <f>IF(V49="","",IF(ISNUMBER('Dvd Calendar'!$X$611)=FALSE,"",IF((Summary!$C$13="N")*('Dvd Calendar'!$X$615='Field Check'!$C$25)&gt;0,"",'Dvd Calendar'!$X$611)))</f>
        <v/>
      </c>
      <c r="CK49" s="85">
        <f>IF(W49="","",IF(ISNUMBER('Dvd Calendar'!$Y$611)=FALSE,"",IF((Summary!$C$13="N")*('Dvd Calendar'!$Y$615='Field Check'!$C$25)&gt;0,"",'Dvd Calendar'!$Y$611)))</f>
        <v/>
      </c>
      <c r="CL49" s="85">
        <f>IF(X49="","",IF(ISNUMBER('Dvd Calendar'!$Z$611)=FALSE,"",IF((Summary!$C$13="N")*('Dvd Calendar'!$Z$615='Field Check'!$C$25)&gt;0,"",'Dvd Calendar'!$Z$611)))</f>
        <v/>
      </c>
      <c r="CM49" s="85">
        <f>IF(Y49="","",IF(ISNUMBER('Dvd Calendar'!$AA$611)=FALSE,"",IF((Summary!$C$13="N")*('Dvd Calendar'!$AA$615='Field Check'!$C$25)&gt;0,"",'Dvd Calendar'!$AA$611)))</f>
        <v/>
      </c>
      <c r="CN49" s="85">
        <f>IF(Z49="","",IF(ISNUMBER('Dvd Calendar'!$AB$611)=FALSE,"",IF((Summary!$C$13="N")*('Dvd Calendar'!$AB$615='Field Check'!$C$25)&gt;0,"",'Dvd Calendar'!$AB$611)))</f>
        <v/>
      </c>
      <c r="CO49" s="85">
        <f>IF(AA49="","",IF(ISNUMBER('Dvd Calendar'!$AC$611)=FALSE,"",IF((Summary!$C$13="N")*('Dvd Calendar'!$AC$615='Field Check'!$C$25)&gt;0,"",'Dvd Calendar'!$AC$611)))</f>
        <v/>
      </c>
      <c r="CP49" s="85">
        <f>IF(AB49="","",IF(ISNUMBER('Dvd Calendar'!$AD$611)=FALSE,"",IF((Summary!$C$13="N")*('Dvd Calendar'!$AD$615='Field Check'!$C$25)&gt;0,"",'Dvd Calendar'!$AD$611)))</f>
        <v/>
      </c>
      <c r="CQ49" s="85">
        <f>IF(AC49="","",IF(ISNUMBER('Dvd Calendar'!$AE$611)=FALSE,"",IF((Summary!$C$13="N")*('Dvd Calendar'!$AE$615='Field Check'!$C$25)&gt;0,"",'Dvd Calendar'!$AE$611)))</f>
        <v/>
      </c>
      <c r="CR49" s="85">
        <f>IF(AD49="","",IF(ISNUMBER('Dvd Calendar'!$AF$611)=FALSE,"",IF((Summary!$C$13="N")*('Dvd Calendar'!$AF$615='Field Check'!$C$25)&gt;0,"",'Dvd Calendar'!$AF$611)))</f>
        <v/>
      </c>
      <c r="CS49" s="85">
        <f>IF(AE49="","",IF(ISNUMBER('Dvd Calendar'!$AG$611)=FALSE,"",IF((Summary!$C$13="N")*('Dvd Calendar'!$AG$615='Field Check'!$C$25)&gt;0,"",'Dvd Calendar'!$AG$611)))</f>
        <v/>
      </c>
      <c r="CT49" s="85">
        <f>IF(AF49="","",IF(ISNUMBER('Dvd Calendar'!$AH$611)=FALSE,"",IF((Summary!$C$13="N")*('Dvd Calendar'!$AH$615='Field Check'!$C$25)&gt;0,"",'Dvd Calendar'!$AH$611)))</f>
        <v/>
      </c>
      <c r="CU49" s="85">
        <f>IF(AG49="","",IF(ISNUMBER('Dvd Calendar'!$AI$611)=FALSE,"",IF((Summary!$C$13="N")*('Dvd Calendar'!$AI$615='Field Check'!$C$25)&gt;0,"",'Dvd Calendar'!$AI$611)))</f>
        <v/>
      </c>
      <c r="CV49" s="85">
        <f>IF(AH49="","",IF(ISNUMBER('Dvd Calendar'!$AJ$611)=FALSE,"",IF((Summary!$C$13="N")*('Dvd Calendar'!$AJ$615='Field Check'!$C$25)&gt;0,"",'Dvd Calendar'!$AJ$611)))</f>
        <v/>
      </c>
      <c r="CW49" s="85">
        <f>IF(AI49="","",IF(ISNUMBER('Dvd Calendar'!$AK$611)=FALSE,"",IF((Summary!$C$13="N")*('Dvd Calendar'!$AK$615='Field Check'!$C$25)&gt;0,"",'Dvd Calendar'!$AK$611)))</f>
        <v/>
      </c>
      <c r="CX49" s="85">
        <f>IF(AJ49="","",IF(ISNUMBER('Dvd Calendar'!$AL$611)=FALSE,"",IF((Summary!$C$13="N")*('Dvd Calendar'!$AL$615='Field Check'!$C$25)&gt;0,"",'Dvd Calendar'!$AL$611)))</f>
        <v/>
      </c>
      <c r="CY49" s="85">
        <f>IF(AK49="","",IF(ISNUMBER('Dvd Calendar'!$AM$611)=FALSE,"",IF((Summary!$C$13="N")*('Dvd Calendar'!$AM$615='Field Check'!$C$25)&gt;0,"",'Dvd Calendar'!$AM$611)))</f>
        <v/>
      </c>
      <c r="CZ49" s="85">
        <f>IF(AL49="","",IF(ISNUMBER('Dvd Calendar'!$AN$611)=FALSE,"",IF((Summary!$C$13="N")*('Dvd Calendar'!$AN$615='Field Check'!$C$25)&gt;0,"",'Dvd Calendar'!$AN$611)))</f>
        <v/>
      </c>
      <c r="DA49" s="85">
        <f>IF(AM49="","",IF(ISNUMBER('Dvd Calendar'!$AO$611)=FALSE,"",IF((Summary!$C$13="N")*('Dvd Calendar'!$AO$615='Field Check'!$C$25)&gt;0,"",'Dvd Calendar'!$AO$611)))</f>
        <v/>
      </c>
      <c r="DB49" s="85">
        <f>IF(AN49="","",IF(ISNUMBER('Dvd Calendar'!$AP$611)=FALSE,"",IF((Summary!$C$13="N")*('Dvd Calendar'!$AP$615='Field Check'!$C$25)&gt;0,"",'Dvd Calendar'!$AP$611)))</f>
        <v/>
      </c>
      <c r="DC49" s="85">
        <f>IF(AO49="","",IF(ISNUMBER('Dvd Calendar'!$AQ$611)=FALSE,"",IF((Summary!$C$13="N")*('Dvd Calendar'!$AQ$615='Field Check'!$C$25)&gt;0,"",'Dvd Calendar'!$AQ$611)))</f>
        <v/>
      </c>
      <c r="DD49" s="85">
        <f>IF(AP49="","",IF(ISNUMBER('Dvd Calendar'!$AR$611)=FALSE,"",IF((Summary!$C$13="N")*('Dvd Calendar'!$AR$615='Field Check'!$C$25)&gt;0,"",'Dvd Calendar'!$AR$611)))</f>
        <v/>
      </c>
      <c r="DE49" s="85">
        <f>IF(AQ49="","",IF(ISNUMBER('Dvd Calendar'!$E$618)=FALSE,"",IF((Summary!$C$13="N")*('Dvd Calendar'!$E$622='Field Check'!$C$25)&gt;0,"",'Dvd Calendar'!$E$618)))</f>
        <v/>
      </c>
      <c r="DF49" s="85">
        <f>IF(AR49="","",IF(ISNUMBER('Dvd Calendar'!$F$618)=FALSE,"",IF((Summary!$C$13="N")*('Dvd Calendar'!$F$622='Field Check'!$C$25)&gt;0,"",'Dvd Calendar'!$F$618)))</f>
        <v/>
      </c>
      <c r="DG49" s="85">
        <f>IF(AS49="","",IF(ISNUMBER('Dvd Calendar'!$G$618)=FALSE,"",IF((Summary!$C$13="N")*('Dvd Calendar'!$G$622='Field Check'!$C$25)&gt;0,"",'Dvd Calendar'!$G$618)))</f>
        <v/>
      </c>
      <c r="DH49" s="85">
        <f>IF(AT49="","",IF(ISNUMBER('Dvd Calendar'!$H$618)=FALSE,"",IF((Summary!$C$13="N")*('Dvd Calendar'!$H$622='Field Check'!$C$25)&gt;0,"",'Dvd Calendar'!$H$618)))</f>
        <v/>
      </c>
      <c r="DI49" s="85">
        <f>IF(AU49="","",IF(ISNUMBER('Dvd Calendar'!$I$618)=FALSE,"",IF((Summary!$C$13="N")*('Dvd Calendar'!$I$622='Field Check'!$C$25)&gt;0,"",'Dvd Calendar'!$I$618)))</f>
        <v/>
      </c>
      <c r="DJ49" s="85">
        <f>IF(AV49="","",IF(ISNUMBER('Dvd Calendar'!$J$618)=FALSE,"",IF((Summary!$C$13="N")*('Dvd Calendar'!$J$622='Field Check'!$C$25)&gt;0,"",'Dvd Calendar'!$J$618)))</f>
        <v/>
      </c>
      <c r="DK49" s="85">
        <f>IF(AW49="","",IF(ISNUMBER('Dvd Calendar'!$K$618)=FALSE,"",IF((Summary!$C$13="N")*('Dvd Calendar'!$K$622='Field Check'!$C$25)&gt;0,"",'Dvd Calendar'!$K$618)))</f>
        <v/>
      </c>
      <c r="DL49" s="85">
        <f>IF(AX49="","",IF(ISNUMBER('Dvd Calendar'!$L$618)=FALSE,"",IF((Summary!$C$13="N")*('Dvd Calendar'!$L$622='Field Check'!$C$25)&gt;0,"",'Dvd Calendar'!$L$618)))</f>
        <v/>
      </c>
      <c r="DM49" s="85">
        <f>IF(AY49="","",IF(ISNUMBER('Dvd Calendar'!$M$618)=FALSE,"",IF((Summary!$C$13="N")*('Dvd Calendar'!$M$622='Field Check'!$C$25)&gt;0,"",'Dvd Calendar'!$M$618)))</f>
        <v/>
      </c>
      <c r="DN49" s="85">
        <f>IF(AZ49="","",IF(ISNUMBER('Dvd Calendar'!$N$618)=FALSE,"",IF((Summary!$C$13="N")*('Dvd Calendar'!$N$622='Field Check'!$C$25)&gt;0,"",'Dvd Calendar'!$N$618)))</f>
        <v/>
      </c>
      <c r="DO49" s="85">
        <f>IF(BA49="","",IF(ISNUMBER('Dvd Calendar'!$O$618)=FALSE,"",IF((Summary!$C$13="N")*('Dvd Calendar'!$O$622='Field Check'!$C$25)&gt;0,"",'Dvd Calendar'!$O$618)))</f>
        <v/>
      </c>
      <c r="DP49" s="85">
        <f>IF(BB49="","",IF(ISNUMBER('Dvd Calendar'!$P$618)=FALSE,"",IF((Summary!$C$13="N")*('Dvd Calendar'!$P$622='Field Check'!$C$25)&gt;0,"",'Dvd Calendar'!$P$618)))</f>
        <v/>
      </c>
      <c r="DQ49" s="85">
        <f>IF(BC49="","",IF(ISNUMBER('Dvd Calendar'!$Q$618)=FALSE,"",IF((Summary!$C$13="N")*('Dvd Calendar'!$Q$622='Field Check'!$C$25)&gt;0,"",'Dvd Calendar'!$Q$618)))</f>
        <v/>
      </c>
      <c r="DR49" s="85">
        <f>IF(BD49="","",IF(ISNUMBER('Dvd Calendar'!$R$618)=FALSE,"",IF((Summary!$C$13="N")*('Dvd Calendar'!$R$622='Field Check'!$C$25)&gt;0,"",'Dvd Calendar'!$R$618)))</f>
        <v/>
      </c>
      <c r="DS49" s="85">
        <f>IF(BE49="","",IF(ISNUMBER('Dvd Calendar'!$S$618)=FALSE,"",IF((Summary!$C$13="N")*('Dvd Calendar'!$S$622='Field Check'!$C$25)&gt;0,"",'Dvd Calendar'!$S$618)))</f>
        <v/>
      </c>
      <c r="DT49" s="85">
        <f>IF(BF49="","",IF(ISNUMBER('Dvd Calendar'!$T$618)=FALSE,"",IF((Summary!$C$13="N")*('Dvd Calendar'!$T$622='Field Check'!$C$25)&gt;0,"",'Dvd Calendar'!$T$618)))</f>
        <v/>
      </c>
      <c r="DU49" s="85">
        <f>IF(BG49="","",IF(ISNUMBER('Dvd Calendar'!$U$618)=FALSE,"",IF((Summary!$C$13="N")*('Dvd Calendar'!$U$622='Field Check'!$C$25)&gt;0,"",'Dvd Calendar'!$U$618)))</f>
        <v/>
      </c>
      <c r="DV49" s="85">
        <f>IF(BH49="","",IF(ISNUMBER('Dvd Calendar'!$V$618)=FALSE,"",IF((Summary!$C$13="N")*('Dvd Calendar'!$V$622='Field Check'!$C$25)&gt;0,"",'Dvd Calendar'!$V$618)))</f>
        <v/>
      </c>
      <c r="DW49" s="85">
        <f>IF(BI49="","",IF(ISNUMBER('Dvd Calendar'!$W$618)=FALSE,"",IF((Summary!$C$13="N")*('Dvd Calendar'!$W$622='Field Check'!$C$25)&gt;0,"",'Dvd Calendar'!$W$618)))</f>
        <v/>
      </c>
      <c r="DX49" s="85">
        <f>IF(BJ49="","",IF(ISNUMBER('Dvd Calendar'!$X$618)=FALSE,"",IF((Summary!$C$13="N")*('Dvd Calendar'!$X$622='Field Check'!$C$25)&gt;0,"",'Dvd Calendar'!$X$618)))</f>
        <v/>
      </c>
      <c r="DY49" s="85">
        <f>IF(BK49="","",IF(ISNUMBER('Dvd Calendar'!$Y$618)=FALSE,"",IF((Summary!$C$13="N")*('Dvd Calendar'!$Y$622='Field Check'!$C$25)&gt;0,"",'Dvd Calendar'!$Y$618)))</f>
        <v/>
      </c>
      <c r="DZ49" s="85">
        <f>IF(BL49="","",IF(ISNUMBER('Dvd Calendar'!$Z$618)=FALSE,"",IF((Summary!$C$13="N")*('Dvd Calendar'!$Z$622='Field Check'!$C$25)&gt;0,"",'Dvd Calendar'!$Z$618)))</f>
        <v/>
      </c>
      <c r="EA49" s="85">
        <f>IF(BM49="","",IF(ISNUMBER('Dvd Calendar'!$AA$618)=FALSE,"",IF((Summary!$C$13="N")*('Dvd Calendar'!$AA$622='Field Check'!$C$25)&gt;0,"",'Dvd Calendar'!$AA$618)))</f>
        <v/>
      </c>
      <c r="EB49" s="85">
        <f>IF(BN49="","",IF(ISNUMBER('Dvd Calendar'!$AB$618)=FALSE,"",IF((Summary!$C$13="N")*('Dvd Calendar'!$AB$622='Field Check'!$C$25)&gt;0,"",'Dvd Calendar'!$AB$618)))</f>
        <v/>
      </c>
      <c r="EC49" s="85">
        <f>IF(BO49="","",IF(ISNUMBER('Dvd Calendar'!$AC$618)=FALSE,"",IF((Summary!$C$13="N")*('Dvd Calendar'!$AC$622='Field Check'!$C$25)&gt;0,"",'Dvd Calendar'!$AC$618)))</f>
        <v/>
      </c>
      <c r="EE49" s="85">
        <f>IF(BQ49="","",IFERROR(BQ49*HSI!$B$47*HSI!$G$47/HSI!$B$3,""))</f>
        <v/>
      </c>
      <c r="EF49" s="85">
        <f>IF(BR49="","",IFERROR(BR49*HSI!$B$47*HSI!$G$47/HSI!$B$3,""))</f>
        <v/>
      </c>
      <c r="EG49" s="85">
        <f>IF(BS49="","",IFERROR(BS49*HSI!$B$47*HSI!$G$47/HSI!$B$3,""))</f>
        <v/>
      </c>
      <c r="EH49" s="85">
        <f>IF(BT49="","",IFERROR(BT49*HSI!$B$47*HSI!$G$47/HSI!$B$3,""))</f>
        <v/>
      </c>
      <c r="EI49" s="85">
        <f>IF(BU49="","",IFERROR(BU49*HSI!$B$47*HSI!$G$47/HSI!$B$3,""))</f>
        <v/>
      </c>
      <c r="EJ49" s="85">
        <f>IF(BV49="","",IFERROR(BV49*HSI!$B$47*HSI!$G$47/HSI!$B$3,""))</f>
        <v/>
      </c>
      <c r="EK49" s="85">
        <f>IF(BW49="","",IFERROR(BW49*HSI!$B$47*HSI!$G$47/HSI!$B$3,""))</f>
        <v/>
      </c>
      <c r="EL49" s="85">
        <f>IF(BX49="","",IFERROR(BX49*HSI!$B$47*HSI!$G$47/HSI!$B$3,""))</f>
        <v/>
      </c>
      <c r="EM49" s="85">
        <f>IF(BY49="","",IFERROR(BY49*HSI!$B$47*HSI!$G$47/HSI!$B$3,""))</f>
        <v/>
      </c>
      <c r="EN49" s="85">
        <f>IF(BZ49="","",IFERROR(BZ49*HSI!$B$47*HSI!$G$47/HSI!$B$3,""))</f>
        <v/>
      </c>
      <c r="EO49" s="85">
        <f>IF(CA49="","",IFERROR(CA49*HSI!$B$47*HSI!$G$47/HSI!$B$3,""))</f>
        <v/>
      </c>
      <c r="EP49" s="85">
        <f>IF(CB49="","",IFERROR(CB49*HSI!$B$47*HSI!$G$47/HSI!$B$3,""))</f>
        <v/>
      </c>
      <c r="EQ49" s="85">
        <f>IF(CC49="","",IFERROR(CC49*HSI!$B$47*HSI!$G$47/HSI!$B$3,""))</f>
        <v/>
      </c>
      <c r="ER49" s="85">
        <f>IF(CD49="","",IFERROR(CD49*HSI!$B$47*HSI!$G$47/HSI!$B$3,""))</f>
        <v/>
      </c>
      <c r="ES49" s="85">
        <f>IF(CE49="","",IFERROR(CE49*HSI!$B$47*HSI!$G$47/HSI!$B$3,""))</f>
        <v/>
      </c>
      <c r="ET49" s="85">
        <f>IF(CF49="","",IFERROR(CF49*HSI!$B$47*HSI!$G$47/HSI!$B$3,""))</f>
        <v/>
      </c>
      <c r="EU49" s="85">
        <f>IF(CG49="","",IFERROR(CG49*HSI!$B$47*HSI!$G$47/HSI!$B$3,""))</f>
        <v/>
      </c>
      <c r="EV49" s="85">
        <f>IF(CH49="","",IFERROR(CH49*HSI!$B$47*HSI!$G$47/HSI!$B$3,""))</f>
        <v/>
      </c>
      <c r="EW49" s="85">
        <f>IF(CI49="","",IFERROR(CI49*HSI!$B$47*HSI!$G$47/HSI!$B$3,""))</f>
        <v/>
      </c>
      <c r="EX49" s="85">
        <f>IF(CJ49="","",IFERROR(CJ49*HSI!$B$47*HSI!$G$47/HSI!$B$3,""))</f>
        <v/>
      </c>
      <c r="EY49" s="85">
        <f>IF(CK49="","",IFERROR(CK49*HSI!$B$47*HSI!$G$47/HSI!$B$3,""))</f>
        <v/>
      </c>
      <c r="EZ49" s="85">
        <f>IF(CL49="","",IFERROR(CL49*HSI!$B$47*HSI!$G$47/HSI!$B$3,""))</f>
        <v/>
      </c>
      <c r="FA49" s="85">
        <f>IF(CM49="","",IFERROR(CM49*HSI!$B$47*HSI!$G$47/HSI!$B$3,""))</f>
        <v/>
      </c>
      <c r="FB49" s="85">
        <f>IF(CN49="","",IFERROR(CN49*HSI!$B$47*HSI!$G$47/HSI!$B$3,""))</f>
        <v/>
      </c>
      <c r="FC49" s="85">
        <f>IF(CO49="","",IFERROR(CO49*HSI!$B$47*HSI!$G$47/HSI!$B$3,""))</f>
        <v/>
      </c>
      <c r="FD49" s="85">
        <f>IF(CP49="","",IFERROR(CP49*HSI!$B$47*HSI!$G$47/HSI!$B$3,""))</f>
        <v/>
      </c>
      <c r="FE49" s="85">
        <f>IF(CQ49="","",IFERROR(CQ49*HSI!$B$47*HSI!$G$47/HSI!$B$3,""))</f>
        <v/>
      </c>
      <c r="FF49" s="85">
        <f>IF(CR49="","",IFERROR(CR49*HSI!$B$47*HSI!$G$47/HSI!$B$3,""))</f>
        <v/>
      </c>
      <c r="FG49" s="85">
        <f>IF(CS49="","",IFERROR(CS49*HSI!$B$47*HSI!$G$47/HSI!$B$3,""))</f>
        <v/>
      </c>
      <c r="FH49" s="85">
        <f>IF(CT49="","",IFERROR(CT49*HSI!$B$47*HSI!$G$47/HSI!$B$3,""))</f>
        <v/>
      </c>
      <c r="FI49" s="85">
        <f>IF(CU49="","",IFERROR(CU49*HSI!$B$47*HSI!$G$47/HSI!$B$3,""))</f>
        <v/>
      </c>
      <c r="FJ49" s="85">
        <f>IF(CV49="","",IFERROR(CV49*HSI!$B$47*HSI!$G$47/HSI!$B$3,""))</f>
        <v/>
      </c>
      <c r="FK49" s="85">
        <f>IF(CW49="","",IFERROR(CW49*HSI!$B$47*HSI!$G$47/HSI!$B$3,""))</f>
        <v/>
      </c>
      <c r="FL49" s="85">
        <f>IF(CX49="","",IFERROR(CX49*HSI!$B$47*HSI!$G$47/HSI!$B$3,""))</f>
        <v/>
      </c>
      <c r="FM49" s="85">
        <f>IF(CY49="","",IFERROR(CY49*HSI!$B$47*HSI!$G$47/HSI!$B$3,""))</f>
        <v/>
      </c>
      <c r="FN49" s="85">
        <f>IF(CZ49="","",IFERROR(CZ49*HSI!$B$47*HSI!$G$47/HSI!$B$3,""))</f>
        <v/>
      </c>
      <c r="FO49" s="85">
        <f>IF(DA49="","",IFERROR(DA49*HSI!$B$47*HSI!$G$47/HSI!$B$3,""))</f>
        <v/>
      </c>
      <c r="FP49" s="85">
        <f>IF(DB49="","",IFERROR(DB49*HSI!$B$47*HSI!$G$47/HSI!$B$3,""))</f>
        <v/>
      </c>
      <c r="FQ49" s="85">
        <f>IF(DC49="","",IFERROR(DC49*HSI!$B$47*HSI!$G$47/HSI!$B$3,""))</f>
        <v/>
      </c>
      <c r="FR49" s="85">
        <f>IF(DD49="","",IFERROR(DD49*HSI!$B$47*HSI!$G$47/HSI!$B$3,""))</f>
        <v/>
      </c>
      <c r="FS49" s="85">
        <f>IF(DE49="","",IFERROR(DE49*HSI!$B$47*HSI!$G$47/HSI!$B$3,""))</f>
        <v/>
      </c>
      <c r="FT49" s="85">
        <f>IF(DF49="","",IFERROR(DF49*HSI!$B$47*HSI!$G$47/HSI!$B$3,""))</f>
        <v/>
      </c>
      <c r="FU49" s="85">
        <f>IF(DG49="","",IFERROR(DG49*HSI!$B$47*HSI!$G$47/HSI!$B$3,""))</f>
        <v/>
      </c>
      <c r="FV49" s="85">
        <f>IF(DH49="","",IFERROR(DH49*HSI!$B$47*HSI!$G$47/HSI!$B$3,""))</f>
        <v/>
      </c>
      <c r="FW49" s="85">
        <f>IF(DI49="","",IFERROR(DI49*HSI!$B$47*HSI!$G$47/HSI!$B$3,""))</f>
        <v/>
      </c>
      <c r="FX49" s="85">
        <f>IF(DJ49="","",IFERROR(DJ49*HSI!$B$47*HSI!$G$47/HSI!$B$3,""))</f>
        <v/>
      </c>
      <c r="FY49" s="85">
        <f>IF(DK49="","",IFERROR(DK49*HSI!$B$47*HSI!$G$47/HSI!$B$3,""))</f>
        <v/>
      </c>
      <c r="FZ49" s="85">
        <f>IF(DL49="","",IFERROR(DL49*HSI!$B$47*HSI!$G$47/HSI!$B$3,""))</f>
        <v/>
      </c>
      <c r="GA49" s="85">
        <f>IF(DM49="","",IFERROR(DM49*HSI!$B$47*HSI!$G$47/HSI!$B$3,""))</f>
        <v/>
      </c>
      <c r="GB49" s="85">
        <f>IF(DN49="","",IFERROR(DN49*HSI!$B$47*HSI!$G$47/HSI!$B$3,""))</f>
        <v/>
      </c>
      <c r="GC49" s="85">
        <f>IF(DO49="","",IFERROR(DO49*HSI!$B$47*HSI!$G$47/HSI!$B$3,""))</f>
        <v/>
      </c>
      <c r="GD49" s="85">
        <f>IF(DP49="","",IFERROR(DP49*HSI!$B$47*HSI!$G$47/HSI!$B$3,""))</f>
        <v/>
      </c>
      <c r="GE49" s="85">
        <f>IF(DQ49="","",IFERROR(DQ49*HSI!$B$47*HSI!$G$47/HSI!$B$3,""))</f>
        <v/>
      </c>
      <c r="GF49" s="85">
        <f>IF(DR49="","",IFERROR(DR49*HSI!$B$47*HSI!$G$47/HSI!$B$3,""))</f>
        <v/>
      </c>
      <c r="GG49" s="85">
        <f>IF(DS49="","",IFERROR(DS49*HSI!$B$47*HSI!$G$47/HSI!$B$3,""))</f>
        <v/>
      </c>
      <c r="GH49" s="85">
        <f>IF(DT49="","",IFERROR(DT49*HSI!$B$47*HSI!$G$47/HSI!$B$3,""))</f>
        <v/>
      </c>
      <c r="GI49" s="85">
        <f>IF(DU49="","",IFERROR(DU49*HSI!$B$47*HSI!$G$47/HSI!$B$3,""))</f>
        <v/>
      </c>
      <c r="GJ49" s="85">
        <f>IF(DV49="","",IFERROR(DV49*HSI!$B$47*HSI!$G$47/HSI!$B$3,""))</f>
        <v/>
      </c>
      <c r="GK49" s="85">
        <f>IF(DW49="","",IFERROR(DW49*HSI!$B$47*HSI!$G$47/HSI!$B$3,""))</f>
        <v/>
      </c>
      <c r="GL49" s="85">
        <f>IF(DX49="","",IFERROR(DX49*HSI!$B$47*HSI!$G$47/HSI!$B$3,""))</f>
        <v/>
      </c>
      <c r="GM49" s="85">
        <f>IF(DY49="","",IFERROR(DY49*HSI!$B$47*HSI!$G$47/HSI!$B$3,""))</f>
        <v/>
      </c>
      <c r="GN49" s="85">
        <f>IF(DZ49="","",IFERROR(DZ49*HSI!$B$47*HSI!$G$47/HSI!$B$3,""))</f>
        <v/>
      </c>
      <c r="GO49" s="85">
        <f>IF(EA49="","",IFERROR(EA49*HSI!$B$47*HSI!$G$47/HSI!$B$3,""))</f>
        <v/>
      </c>
      <c r="GP49" s="85">
        <f>IF(EB49="","",IFERROR(EB49*HSI!$B$47*HSI!$G$47/HSI!$B$3,""))</f>
        <v/>
      </c>
      <c r="GQ49" s="85">
        <f>IF(EC49="","",IFERROR(EC49*HSI!$B$47*HSI!$G$47/HSI!$B$3,""))</f>
        <v/>
      </c>
    </row>
    <row r="50">
      <c r="B50" s="2">
        <f>IF(HSI!$C$48="","",HSI!$C$48)</f>
        <v/>
      </c>
      <c r="C50" s="41">
        <f>IF(N('Dvd Calendar'!$E$625)=0,"",IF(('Dvd Calendar'!$E$625&gt;=MIN(DATE(Summary!$C$12,1,1),Summary!$C$11))*('Dvd Calendar'!$E$625&lt;=MAX(DATE(Summary!$C$12,12,31),Summary!$C$15))*('Dvd Calendar'!$E$625&lt;=Summary!$C$11)=0,"",'Dvd Calendar'!$E$625*1000000000+ISNUMBER('Dvd Calendar'!$E$626)*100000000+('Dvd Calendar'!$E$630='Field Check'!$C$25)*10000000+(N('Dvd Calendar'!$E$624)&gt;0)*1000000+42*1000+1))</f>
        <v/>
      </c>
      <c r="D50" s="41">
        <f>IF(N('Dvd Calendar'!$F$625)=0,"",IF(('Dvd Calendar'!$F$625&gt;=MIN(DATE(Summary!$C$12,1,1),Summary!$C$11))*('Dvd Calendar'!$F$625&lt;=MAX(DATE(Summary!$C$12,12,31),Summary!$C$15))*('Dvd Calendar'!$F$625&lt;=Summary!$C$11)=0,"",'Dvd Calendar'!$F$625*1000000000+ISNUMBER('Dvd Calendar'!$F$626)*100000000+('Dvd Calendar'!$F$630='Field Check'!$C$25)*10000000+(N('Dvd Calendar'!$F$624)&gt;0)*1000000+42*1000+2))</f>
        <v/>
      </c>
      <c r="E50" s="41">
        <f>IF(N('Dvd Calendar'!$G$625)=0,"",IF(('Dvd Calendar'!$G$625&gt;=MIN(DATE(Summary!$C$12,1,1),Summary!$C$11))*('Dvd Calendar'!$G$625&lt;=MAX(DATE(Summary!$C$12,12,31),Summary!$C$15))*('Dvd Calendar'!$G$625&lt;=Summary!$C$11)=0,"",'Dvd Calendar'!$G$625*1000000000+ISNUMBER('Dvd Calendar'!$G$626)*100000000+('Dvd Calendar'!$G$630='Field Check'!$C$25)*10000000+(N('Dvd Calendar'!$G$624)&gt;0)*1000000+42*1000+3))</f>
        <v/>
      </c>
      <c r="F50" s="41">
        <f>IF(N('Dvd Calendar'!$H$625)=0,"",IF(('Dvd Calendar'!$H$625&gt;=MIN(DATE(Summary!$C$12,1,1),Summary!$C$11))*('Dvd Calendar'!$H$625&lt;=MAX(DATE(Summary!$C$12,12,31),Summary!$C$15))*('Dvd Calendar'!$H$625&lt;=Summary!$C$11)=0,"",'Dvd Calendar'!$H$625*1000000000+ISNUMBER('Dvd Calendar'!$H$626)*100000000+('Dvd Calendar'!$H$630='Field Check'!$C$25)*10000000+(N('Dvd Calendar'!$H$624)&gt;0)*1000000+42*1000+4))</f>
        <v/>
      </c>
      <c r="G50" s="41">
        <f>IF(N('Dvd Calendar'!$I$625)=0,"",IF(('Dvd Calendar'!$I$625&gt;=MIN(DATE(Summary!$C$12,1,1),Summary!$C$11))*('Dvd Calendar'!$I$625&lt;=MAX(DATE(Summary!$C$12,12,31),Summary!$C$15))*('Dvd Calendar'!$I$625&lt;=Summary!$C$11)=0,"",'Dvd Calendar'!$I$625*1000000000+ISNUMBER('Dvd Calendar'!$I$626)*100000000+('Dvd Calendar'!$I$630='Field Check'!$C$25)*10000000+(N('Dvd Calendar'!$I$624)&gt;0)*1000000+42*1000+5))</f>
        <v/>
      </c>
      <c r="H50" s="41">
        <f>IF(N('Dvd Calendar'!$J$625)=0,"",IF(('Dvd Calendar'!$J$625&gt;=MIN(DATE(Summary!$C$12,1,1),Summary!$C$11))*('Dvd Calendar'!$J$625&lt;=MAX(DATE(Summary!$C$12,12,31),Summary!$C$15))*('Dvd Calendar'!$J$625&lt;=Summary!$C$11)=0,"",'Dvd Calendar'!$J$625*1000000000+ISNUMBER('Dvd Calendar'!$J$626)*100000000+('Dvd Calendar'!$J$630='Field Check'!$C$25)*10000000+(N('Dvd Calendar'!$J$624)&gt;0)*1000000+42*1000+6))</f>
        <v/>
      </c>
      <c r="I50" s="41">
        <f>IF(N('Dvd Calendar'!$K$625)=0,"",IF(('Dvd Calendar'!$K$625&gt;=MIN(DATE(Summary!$C$12,1,1),Summary!$C$11))*('Dvd Calendar'!$K$625&lt;=MAX(DATE(Summary!$C$12,12,31),Summary!$C$15))*('Dvd Calendar'!$K$625&lt;=Summary!$C$11)=0,"",'Dvd Calendar'!$K$625*1000000000+ISNUMBER('Dvd Calendar'!$K$626)*100000000+('Dvd Calendar'!$K$630='Field Check'!$C$25)*10000000+(N('Dvd Calendar'!$K$624)&gt;0)*1000000+42*1000+7))</f>
        <v/>
      </c>
      <c r="J50" s="41">
        <f>IF(N('Dvd Calendar'!$L$625)=0,"",IF(('Dvd Calendar'!$L$625&gt;=MIN(DATE(Summary!$C$12,1,1),Summary!$C$11))*('Dvd Calendar'!$L$625&lt;=MAX(DATE(Summary!$C$12,12,31),Summary!$C$15))*('Dvd Calendar'!$L$625&lt;=Summary!$C$11)=0,"",'Dvd Calendar'!$L$625*1000000000+ISNUMBER('Dvd Calendar'!$L$626)*100000000+('Dvd Calendar'!$L$630='Field Check'!$C$25)*10000000+(N('Dvd Calendar'!$L$624)&gt;0)*1000000+42*1000+8))</f>
        <v/>
      </c>
      <c r="K50" s="41">
        <f>IF(N('Dvd Calendar'!$M$625)=0,"",IF(('Dvd Calendar'!$M$625&gt;=MIN(DATE(Summary!$C$12,1,1),Summary!$C$11))*('Dvd Calendar'!$M$625&lt;=MAX(DATE(Summary!$C$12,12,31),Summary!$C$15))*('Dvd Calendar'!$M$625&lt;=Summary!$C$11)=0,"",'Dvd Calendar'!$M$625*1000000000+ISNUMBER('Dvd Calendar'!$M$626)*100000000+('Dvd Calendar'!$M$630='Field Check'!$C$25)*10000000+(N('Dvd Calendar'!$M$624)&gt;0)*1000000+42*1000+9))</f>
        <v/>
      </c>
      <c r="L50" s="41">
        <f>IF(N('Dvd Calendar'!$N$625)=0,"",IF(('Dvd Calendar'!$N$625&gt;=MIN(DATE(Summary!$C$12,1,1),Summary!$C$11))*('Dvd Calendar'!$N$625&lt;=MAX(DATE(Summary!$C$12,12,31),Summary!$C$15))*('Dvd Calendar'!$N$625&lt;=Summary!$C$11)=0,"",'Dvd Calendar'!$N$625*1000000000+ISNUMBER('Dvd Calendar'!$N$626)*100000000+('Dvd Calendar'!$N$630='Field Check'!$C$25)*10000000+(N('Dvd Calendar'!$N$624)&gt;0)*1000000+42*1000+10))</f>
        <v/>
      </c>
      <c r="M50" s="41">
        <f>IF(N('Dvd Calendar'!$O$625)=0,"",IF(('Dvd Calendar'!$O$625&gt;=MIN(DATE(Summary!$C$12,1,1),Summary!$C$11))*('Dvd Calendar'!$O$625&lt;=MAX(DATE(Summary!$C$12,12,31),Summary!$C$15))*('Dvd Calendar'!$O$625&lt;=Summary!$C$11)=0,"",'Dvd Calendar'!$O$625*1000000000+ISNUMBER('Dvd Calendar'!$O$626)*100000000+('Dvd Calendar'!$O$630='Field Check'!$C$25)*10000000+(N('Dvd Calendar'!$O$624)&gt;0)*1000000+42*1000+11))</f>
        <v/>
      </c>
      <c r="N50" s="41">
        <f>IF(N('Dvd Calendar'!$P$625)=0,"",IF(('Dvd Calendar'!$P$625&gt;=MIN(DATE(Summary!$C$12,1,1),Summary!$C$11))*('Dvd Calendar'!$P$625&lt;=MAX(DATE(Summary!$C$12,12,31),Summary!$C$15))*('Dvd Calendar'!$P$625&lt;=Summary!$C$11)=0,"",'Dvd Calendar'!$P$625*1000000000+ISNUMBER('Dvd Calendar'!$P$626)*100000000+('Dvd Calendar'!$P$630='Field Check'!$C$25)*10000000+(N('Dvd Calendar'!$P$624)&gt;0)*1000000+42*1000+12))</f>
        <v/>
      </c>
      <c r="O50" s="41">
        <f>IF(N('Dvd Calendar'!$Q$625)=0,"",IF(('Dvd Calendar'!$Q$625&gt;=MIN(DATE(Summary!$C$12,1,1),Summary!$C$11))*('Dvd Calendar'!$Q$625&lt;=MAX(DATE(Summary!$C$12,12,31),Summary!$C$15))*('Dvd Calendar'!$Q$625&lt;=Summary!$C$11)=0,"",'Dvd Calendar'!$Q$625*1000000000+ISNUMBER('Dvd Calendar'!$Q$626)*100000000+('Dvd Calendar'!$Q$630='Field Check'!$C$25)*10000000+(N('Dvd Calendar'!$Q$624)&gt;0)*1000000+42*1000+13))</f>
        <v/>
      </c>
      <c r="P50" s="41">
        <f>IF(N('Dvd Calendar'!$R$625)=0,"",IF(('Dvd Calendar'!$R$625&gt;=MIN(DATE(Summary!$C$12,1,1),Summary!$C$11))*('Dvd Calendar'!$R$625&lt;=MAX(DATE(Summary!$C$12,12,31),Summary!$C$15))*('Dvd Calendar'!$R$625&lt;=Summary!$C$11)=0,"",'Dvd Calendar'!$R$625*1000000000+ISNUMBER('Dvd Calendar'!$R$626)*100000000+('Dvd Calendar'!$R$630='Field Check'!$C$25)*10000000+(N('Dvd Calendar'!$R$624)&gt;0)*1000000+42*1000+14))</f>
        <v/>
      </c>
      <c r="Q50" s="41">
        <f>IF(N('Dvd Calendar'!$S$625)=0,"",IF(('Dvd Calendar'!$S$625&gt;=MIN(DATE(Summary!$C$12,1,1),Summary!$C$11))*('Dvd Calendar'!$S$625&lt;=MAX(DATE(Summary!$C$12,12,31),Summary!$C$15))*('Dvd Calendar'!$S$625&lt;=Summary!$C$11)=0,"",'Dvd Calendar'!$S$625*1000000000+ISNUMBER('Dvd Calendar'!$S$626)*100000000+('Dvd Calendar'!$S$630='Field Check'!$C$25)*10000000+(N('Dvd Calendar'!$S$624)&gt;0)*1000000+42*1000+15))</f>
        <v/>
      </c>
      <c r="R50" s="41">
        <f>IF(N('Dvd Calendar'!$T$625)=0,"",IF(('Dvd Calendar'!$T$625&gt;=MIN(DATE(Summary!$C$12,1,1),Summary!$C$11))*('Dvd Calendar'!$T$625&lt;=MAX(DATE(Summary!$C$12,12,31),Summary!$C$15))*('Dvd Calendar'!$T$625&lt;=Summary!$C$11)=0,"",'Dvd Calendar'!$T$625*1000000000+ISNUMBER('Dvd Calendar'!$T$626)*100000000+('Dvd Calendar'!$T$630='Field Check'!$C$25)*10000000+(N('Dvd Calendar'!$T$624)&gt;0)*1000000+42*1000+16))</f>
        <v/>
      </c>
      <c r="S50" s="41">
        <f>IF(N('Dvd Calendar'!$U$625)=0,"",IF(('Dvd Calendar'!$U$625&gt;=MIN(DATE(Summary!$C$12,1,1),Summary!$C$11))*('Dvd Calendar'!$U$625&lt;=MAX(DATE(Summary!$C$12,12,31),Summary!$C$15))*('Dvd Calendar'!$U$625&lt;=Summary!$C$11)=0,"",'Dvd Calendar'!$U$625*1000000000+ISNUMBER('Dvd Calendar'!$U$626)*100000000+('Dvd Calendar'!$U$630='Field Check'!$C$25)*10000000+(N('Dvd Calendar'!$U$624)&gt;0)*1000000+42*1000+17))</f>
        <v/>
      </c>
      <c r="T50" s="41">
        <f>IF(N('Dvd Calendar'!$V$625)=0,"",IF(('Dvd Calendar'!$V$625&gt;=MIN(DATE(Summary!$C$12,1,1),Summary!$C$11))*('Dvd Calendar'!$V$625&lt;=MAX(DATE(Summary!$C$12,12,31),Summary!$C$15))*('Dvd Calendar'!$V$625&lt;=Summary!$C$11)=0,"",'Dvd Calendar'!$V$625*1000000000+ISNUMBER('Dvd Calendar'!$V$626)*100000000+('Dvd Calendar'!$V$630='Field Check'!$C$25)*10000000+(N('Dvd Calendar'!$V$624)&gt;0)*1000000+42*1000+18))</f>
        <v/>
      </c>
      <c r="U50" s="41">
        <f>IF(N('Dvd Calendar'!$W$625)=0,"",IF(('Dvd Calendar'!$W$625&gt;=MIN(DATE(Summary!$C$12,1,1),Summary!$C$11))*('Dvd Calendar'!$W$625&lt;=MAX(DATE(Summary!$C$12,12,31),Summary!$C$15))*('Dvd Calendar'!$W$625&lt;=Summary!$C$11)=0,"",'Dvd Calendar'!$W$625*1000000000+ISNUMBER('Dvd Calendar'!$W$626)*100000000+('Dvd Calendar'!$W$630='Field Check'!$C$25)*10000000+(N('Dvd Calendar'!$W$624)&gt;0)*1000000+42*1000+19))</f>
        <v/>
      </c>
      <c r="V50" s="41">
        <f>IF(N('Dvd Calendar'!$X$625)=0,"",IF(('Dvd Calendar'!$X$625&gt;=MIN(DATE(Summary!$C$12,1,1),Summary!$C$11))*('Dvd Calendar'!$X$625&lt;=MAX(DATE(Summary!$C$12,12,31),Summary!$C$15))*('Dvd Calendar'!$X$625&lt;=Summary!$C$11)=0,"",'Dvd Calendar'!$X$625*1000000000+ISNUMBER('Dvd Calendar'!$X$626)*100000000+('Dvd Calendar'!$X$630='Field Check'!$C$25)*10000000+(N('Dvd Calendar'!$X$624)&gt;0)*1000000+42*1000+20))</f>
        <v/>
      </c>
      <c r="W50" s="41">
        <f>IF(N('Dvd Calendar'!$Y$625)=0,"",IF(('Dvd Calendar'!$Y$625&gt;=MIN(DATE(Summary!$C$12,1,1),Summary!$C$11))*('Dvd Calendar'!$Y$625&lt;=MAX(DATE(Summary!$C$12,12,31),Summary!$C$15))*('Dvd Calendar'!$Y$625&lt;=Summary!$C$11)=0,"",'Dvd Calendar'!$Y$625*1000000000+ISNUMBER('Dvd Calendar'!$Y$626)*100000000+('Dvd Calendar'!$Y$630='Field Check'!$C$25)*10000000+(N('Dvd Calendar'!$Y$624)&gt;0)*1000000+42*1000+21))</f>
        <v/>
      </c>
      <c r="X50" s="41">
        <f>IF(N('Dvd Calendar'!$Z$625)=0,"",IF(('Dvd Calendar'!$Z$625&gt;=MIN(DATE(Summary!$C$12,1,1),Summary!$C$11))*('Dvd Calendar'!$Z$625&lt;=MAX(DATE(Summary!$C$12,12,31),Summary!$C$15))*('Dvd Calendar'!$Z$625&lt;=Summary!$C$11)=0,"",'Dvd Calendar'!$Z$625*1000000000+ISNUMBER('Dvd Calendar'!$Z$626)*100000000+('Dvd Calendar'!$Z$630='Field Check'!$C$25)*10000000+(N('Dvd Calendar'!$Z$624)&gt;0)*1000000+42*1000+22))</f>
        <v/>
      </c>
      <c r="Y50" s="41">
        <f>IF(N('Dvd Calendar'!$AA$625)=0,"",IF(('Dvd Calendar'!$AA$625&gt;=MIN(DATE(Summary!$C$12,1,1),Summary!$C$11))*('Dvd Calendar'!$AA$625&lt;=MAX(DATE(Summary!$C$12,12,31),Summary!$C$15))*('Dvd Calendar'!$AA$625&lt;=Summary!$C$11)=0,"",'Dvd Calendar'!$AA$625*1000000000+ISNUMBER('Dvd Calendar'!$AA$626)*100000000+('Dvd Calendar'!$AA$630='Field Check'!$C$25)*10000000+(N('Dvd Calendar'!$AA$624)&gt;0)*1000000+42*1000+23))</f>
        <v/>
      </c>
      <c r="Z50" s="41">
        <f>IF(N('Dvd Calendar'!$AB$625)=0,"",IF(('Dvd Calendar'!$AB$625&gt;=MIN(DATE(Summary!$C$12,1,1),Summary!$C$11))*('Dvd Calendar'!$AB$625&lt;=MAX(DATE(Summary!$C$12,12,31),Summary!$C$15))*('Dvd Calendar'!$AB$625&lt;=Summary!$C$11)=0,"",'Dvd Calendar'!$AB$625*1000000000+ISNUMBER('Dvd Calendar'!$AB$626)*100000000+('Dvd Calendar'!$AB$630='Field Check'!$C$25)*10000000+(N('Dvd Calendar'!$AB$624)&gt;0)*1000000+42*1000+24))</f>
        <v/>
      </c>
      <c r="AA50" s="41">
        <f>IF(N('Dvd Calendar'!$AC$625)=0,"",IF(('Dvd Calendar'!$AC$625&gt;=MIN(DATE(Summary!$C$12,1,1),Summary!$C$11))*('Dvd Calendar'!$AC$625&lt;=MAX(DATE(Summary!$C$12,12,31),Summary!$C$15))*('Dvd Calendar'!$AC$625&lt;=Summary!$C$11)=0,"",'Dvd Calendar'!$AC$625*1000000000+ISNUMBER('Dvd Calendar'!$AC$626)*100000000+('Dvd Calendar'!$AC$630='Field Check'!$C$25)*10000000+(N('Dvd Calendar'!$AC$624)&gt;0)*1000000+42*1000+25))</f>
        <v/>
      </c>
      <c r="AB50" s="41">
        <f>IF(N('Dvd Calendar'!$AD$625)=0,"",IF(('Dvd Calendar'!$AD$625&gt;=MIN(DATE(Summary!$C$12,1,1),Summary!$C$11))*('Dvd Calendar'!$AD$625&lt;=MAX(DATE(Summary!$C$12,12,31),Summary!$C$15))*('Dvd Calendar'!$AD$625&lt;=Summary!$C$11)=0,"",'Dvd Calendar'!$AD$625*1000000000+ISNUMBER('Dvd Calendar'!$AD$626)*100000000+('Dvd Calendar'!$AD$630='Field Check'!$C$25)*10000000+(N('Dvd Calendar'!$AD$624)&gt;0)*1000000+42*1000+26))</f>
        <v/>
      </c>
      <c r="AC50" s="41">
        <f>IF(N('Dvd Calendar'!$AE$625)=0,"",IF(('Dvd Calendar'!$AE$625&gt;=MIN(DATE(Summary!$C$12,1,1),Summary!$C$11))*('Dvd Calendar'!$AE$625&lt;=MAX(DATE(Summary!$C$12,12,31),Summary!$C$15))*('Dvd Calendar'!$AE$625&lt;=Summary!$C$11)=0,"",'Dvd Calendar'!$AE$625*1000000000+ISNUMBER('Dvd Calendar'!$AE$626)*100000000+('Dvd Calendar'!$AE$630='Field Check'!$C$25)*10000000+(N('Dvd Calendar'!$AE$624)&gt;0)*1000000+42*1000+27))</f>
        <v/>
      </c>
      <c r="AD50" s="41">
        <f>IF(N('Dvd Calendar'!$AF$625)=0,"",IF(('Dvd Calendar'!$AF$625&gt;=MIN(DATE(Summary!$C$12,1,1),Summary!$C$11))*('Dvd Calendar'!$AF$625&lt;=MAX(DATE(Summary!$C$12,12,31),Summary!$C$15))*('Dvd Calendar'!$AF$625&lt;=Summary!$C$11)=0,"",'Dvd Calendar'!$AF$625*1000000000+ISNUMBER('Dvd Calendar'!$AF$626)*100000000+('Dvd Calendar'!$AF$630='Field Check'!$C$25)*10000000+(N('Dvd Calendar'!$AF$624)&gt;0)*1000000+42*1000+28))</f>
        <v/>
      </c>
      <c r="AE50" s="41">
        <f>IF(N('Dvd Calendar'!$AG$625)=0,"",IF(('Dvd Calendar'!$AG$625&gt;=MIN(DATE(Summary!$C$12,1,1),Summary!$C$11))*('Dvd Calendar'!$AG$625&lt;=MAX(DATE(Summary!$C$12,12,31),Summary!$C$15))*('Dvd Calendar'!$AG$625&lt;=Summary!$C$11)=0,"",'Dvd Calendar'!$AG$625*1000000000+ISNUMBER('Dvd Calendar'!$AG$626)*100000000+('Dvd Calendar'!$AG$630='Field Check'!$C$25)*10000000+(N('Dvd Calendar'!$AG$624)&gt;0)*1000000+42*1000+29))</f>
        <v/>
      </c>
      <c r="AF50" s="41">
        <f>IF(N('Dvd Calendar'!$AH$625)=0,"",IF(('Dvd Calendar'!$AH$625&gt;=MIN(DATE(Summary!$C$12,1,1),Summary!$C$11))*('Dvd Calendar'!$AH$625&lt;=MAX(DATE(Summary!$C$12,12,31),Summary!$C$15))*('Dvd Calendar'!$AH$625&lt;=Summary!$C$11)=0,"",'Dvd Calendar'!$AH$625*1000000000+ISNUMBER('Dvd Calendar'!$AH$626)*100000000+('Dvd Calendar'!$AH$630='Field Check'!$C$25)*10000000+(N('Dvd Calendar'!$AH$624)&gt;0)*1000000+42*1000+30))</f>
        <v/>
      </c>
      <c r="AG50" s="41">
        <f>IF(N('Dvd Calendar'!$AI$625)=0,"",IF(('Dvd Calendar'!$AI$625&gt;=MIN(DATE(Summary!$C$12,1,1),Summary!$C$11))*('Dvd Calendar'!$AI$625&lt;=MAX(DATE(Summary!$C$12,12,31),Summary!$C$15))*('Dvd Calendar'!$AI$625&lt;=Summary!$C$11)=0,"",'Dvd Calendar'!$AI$625*1000000000+ISNUMBER('Dvd Calendar'!$AI$626)*100000000+('Dvd Calendar'!$AI$630='Field Check'!$C$25)*10000000+(N('Dvd Calendar'!$AI$624)&gt;0)*1000000+42*1000+31))</f>
        <v/>
      </c>
      <c r="AH50" s="41">
        <f>IF(N('Dvd Calendar'!$AJ$625)=0,"",IF(('Dvd Calendar'!$AJ$625&gt;=MIN(DATE(Summary!$C$12,1,1),Summary!$C$11))*('Dvd Calendar'!$AJ$625&lt;=MAX(DATE(Summary!$C$12,12,31),Summary!$C$15))*('Dvd Calendar'!$AJ$625&lt;=Summary!$C$11)=0,"",'Dvd Calendar'!$AJ$625*1000000000+ISNUMBER('Dvd Calendar'!$AJ$626)*100000000+('Dvd Calendar'!$AJ$630='Field Check'!$C$25)*10000000+(N('Dvd Calendar'!$AJ$624)&gt;0)*1000000+42*1000+32))</f>
        <v/>
      </c>
      <c r="AI50" s="41">
        <f>IF(N('Dvd Calendar'!$AK$625)=0,"",IF(('Dvd Calendar'!$AK$625&gt;=MIN(DATE(Summary!$C$12,1,1),Summary!$C$11))*('Dvd Calendar'!$AK$625&lt;=MAX(DATE(Summary!$C$12,12,31),Summary!$C$15))*('Dvd Calendar'!$AK$625&lt;=Summary!$C$11)=0,"",'Dvd Calendar'!$AK$625*1000000000+ISNUMBER('Dvd Calendar'!$AK$626)*100000000+('Dvd Calendar'!$AK$630='Field Check'!$C$25)*10000000+(N('Dvd Calendar'!$AK$624)&gt;0)*1000000+42*1000+33))</f>
        <v/>
      </c>
      <c r="AJ50" s="41">
        <f>IF(N('Dvd Calendar'!$AL$625)=0,"",IF(('Dvd Calendar'!$AL$625&gt;=MIN(DATE(Summary!$C$12,1,1),Summary!$C$11))*('Dvd Calendar'!$AL$625&lt;=MAX(DATE(Summary!$C$12,12,31),Summary!$C$15))*('Dvd Calendar'!$AL$625&lt;=Summary!$C$11)=0,"",'Dvd Calendar'!$AL$625*1000000000+ISNUMBER('Dvd Calendar'!$AL$626)*100000000+('Dvd Calendar'!$AL$630='Field Check'!$C$25)*10000000+(N('Dvd Calendar'!$AL$624)&gt;0)*1000000+42*1000+34))</f>
        <v/>
      </c>
      <c r="AK50" s="41">
        <f>IF(N('Dvd Calendar'!$AM$625)=0,"",IF(('Dvd Calendar'!$AM$625&gt;=MIN(DATE(Summary!$C$12,1,1),Summary!$C$11))*('Dvd Calendar'!$AM$625&lt;=MAX(DATE(Summary!$C$12,12,31),Summary!$C$15))*('Dvd Calendar'!$AM$625&lt;=Summary!$C$11)=0,"",'Dvd Calendar'!$AM$625*1000000000+ISNUMBER('Dvd Calendar'!$AM$626)*100000000+('Dvd Calendar'!$AM$630='Field Check'!$C$25)*10000000+(N('Dvd Calendar'!$AM$624)&gt;0)*1000000+42*1000+35))</f>
        <v/>
      </c>
      <c r="AL50" s="41">
        <f>IF(N('Dvd Calendar'!$AN$625)=0,"",IF(('Dvd Calendar'!$AN$625&gt;=MIN(DATE(Summary!$C$12,1,1),Summary!$C$11))*('Dvd Calendar'!$AN$625&lt;=MAX(DATE(Summary!$C$12,12,31),Summary!$C$15))*('Dvd Calendar'!$AN$625&lt;=Summary!$C$11)=0,"",'Dvd Calendar'!$AN$625*1000000000+ISNUMBER('Dvd Calendar'!$AN$626)*100000000+('Dvd Calendar'!$AN$630='Field Check'!$C$25)*10000000+(N('Dvd Calendar'!$AN$624)&gt;0)*1000000+42*1000+36))</f>
        <v/>
      </c>
      <c r="AM50" s="41">
        <f>IF(N('Dvd Calendar'!$AO$625)=0,"",IF(('Dvd Calendar'!$AO$625&gt;=MIN(DATE(Summary!$C$12,1,1),Summary!$C$11))*('Dvd Calendar'!$AO$625&lt;=MAX(DATE(Summary!$C$12,12,31),Summary!$C$15))*('Dvd Calendar'!$AO$625&lt;=Summary!$C$11)=0,"",'Dvd Calendar'!$AO$625*1000000000+ISNUMBER('Dvd Calendar'!$AO$626)*100000000+('Dvd Calendar'!$AO$630='Field Check'!$C$25)*10000000+(N('Dvd Calendar'!$AO$624)&gt;0)*1000000+42*1000+37))</f>
        <v/>
      </c>
      <c r="AN50" s="41">
        <f>IF(N('Dvd Calendar'!$AP$625)=0,"",IF(('Dvd Calendar'!$AP$625&gt;=MIN(DATE(Summary!$C$12,1,1),Summary!$C$11))*('Dvd Calendar'!$AP$625&lt;=MAX(DATE(Summary!$C$12,12,31),Summary!$C$15))*('Dvd Calendar'!$AP$625&lt;=Summary!$C$11)=0,"",'Dvd Calendar'!$AP$625*1000000000+ISNUMBER('Dvd Calendar'!$AP$626)*100000000+('Dvd Calendar'!$AP$630='Field Check'!$C$25)*10000000+(N('Dvd Calendar'!$AP$624)&gt;0)*1000000+42*1000+38))</f>
        <v/>
      </c>
      <c r="AO50" s="41">
        <f>IF(N('Dvd Calendar'!$AQ$625)=0,"",IF(('Dvd Calendar'!$AQ$625&gt;=MIN(DATE(Summary!$C$12,1,1),Summary!$C$11))*('Dvd Calendar'!$AQ$625&lt;=MAX(DATE(Summary!$C$12,12,31),Summary!$C$15))*('Dvd Calendar'!$AQ$625&lt;=Summary!$C$11)=0,"",'Dvd Calendar'!$AQ$625*1000000000+ISNUMBER('Dvd Calendar'!$AQ$626)*100000000+('Dvd Calendar'!$AQ$630='Field Check'!$C$25)*10000000+(N('Dvd Calendar'!$AQ$624)&gt;0)*1000000+42*1000+39))</f>
        <v/>
      </c>
      <c r="AP50" s="41">
        <f>IF(N('Dvd Calendar'!$AR$625)=0,"",IF(('Dvd Calendar'!$AR$625&gt;=MIN(DATE(Summary!$C$12,1,1),Summary!$C$11))*('Dvd Calendar'!$AR$625&lt;=MAX(DATE(Summary!$C$12,12,31),Summary!$C$15))*('Dvd Calendar'!$AR$625&lt;=Summary!$C$11)=0,"",'Dvd Calendar'!$AR$625*1000000000+ISNUMBER('Dvd Calendar'!$AR$626)*100000000+('Dvd Calendar'!$AR$630='Field Check'!$C$25)*10000000+(N('Dvd Calendar'!$AR$624)&gt;0)*1000000+42*1000+40))</f>
        <v/>
      </c>
      <c r="AQ50" s="41">
        <f>IF(N('Dvd Calendar'!$E$632)=0,"",IF(('Dvd Calendar'!$E$632&gt;=MIN(DATE(Summary!$C$12,1,1),Summary!$C$11))*('Dvd Calendar'!$E$632&lt;=MAX(DATE(Summary!$C$12,12,31),Summary!$C$15))*('Dvd Calendar'!$E$632&gt;Summary!$C$11)=0,"",'Dvd Calendar'!$E$632*1000000000+ISNUMBER('Dvd Calendar'!$E$633)*100000000+('Dvd Calendar'!$E$637='Field Check'!$C$25)*10000000+(N('Dvd Calendar'!$E$631)&gt;0)*1000000+42*1000+41))</f>
        <v/>
      </c>
      <c r="AR50" s="41">
        <f>IF(N('Dvd Calendar'!$F$632)=0,"",IF(('Dvd Calendar'!$F$632&gt;=MIN(DATE(Summary!$C$12,1,1),Summary!$C$11))*('Dvd Calendar'!$F$632&lt;=MAX(DATE(Summary!$C$12,12,31),Summary!$C$15))*('Dvd Calendar'!$F$632&gt;Summary!$C$11)=0,"",'Dvd Calendar'!$F$632*1000000000+ISNUMBER('Dvd Calendar'!$F$633)*100000000+('Dvd Calendar'!$F$637='Field Check'!$C$25)*10000000+(N('Dvd Calendar'!$F$631)&gt;0)*1000000+42*1000+42))</f>
        <v/>
      </c>
      <c r="AS50" s="41">
        <f>IF(N('Dvd Calendar'!$G$632)=0,"",IF(('Dvd Calendar'!$G$632&gt;=MIN(DATE(Summary!$C$12,1,1),Summary!$C$11))*('Dvd Calendar'!$G$632&lt;=MAX(DATE(Summary!$C$12,12,31),Summary!$C$15))*('Dvd Calendar'!$G$632&gt;Summary!$C$11)=0,"",'Dvd Calendar'!$G$632*1000000000+ISNUMBER('Dvd Calendar'!$G$633)*100000000+('Dvd Calendar'!$G$637='Field Check'!$C$25)*10000000+(N('Dvd Calendar'!$G$631)&gt;0)*1000000+42*1000+43))</f>
        <v/>
      </c>
      <c r="AT50" s="41">
        <f>IF(N('Dvd Calendar'!$H$632)=0,"",IF(('Dvd Calendar'!$H$632&gt;=MIN(DATE(Summary!$C$12,1,1),Summary!$C$11))*('Dvd Calendar'!$H$632&lt;=MAX(DATE(Summary!$C$12,12,31),Summary!$C$15))*('Dvd Calendar'!$H$632&gt;Summary!$C$11)=0,"",'Dvd Calendar'!$H$632*1000000000+ISNUMBER('Dvd Calendar'!$H$633)*100000000+('Dvd Calendar'!$H$637='Field Check'!$C$25)*10000000+(N('Dvd Calendar'!$H$631)&gt;0)*1000000+42*1000+44))</f>
        <v/>
      </c>
      <c r="AU50" s="41">
        <f>IF(N('Dvd Calendar'!$I$632)=0,"",IF(('Dvd Calendar'!$I$632&gt;=MIN(DATE(Summary!$C$12,1,1),Summary!$C$11))*('Dvd Calendar'!$I$632&lt;=MAX(DATE(Summary!$C$12,12,31),Summary!$C$15))*('Dvd Calendar'!$I$632&gt;Summary!$C$11)=0,"",'Dvd Calendar'!$I$632*1000000000+ISNUMBER('Dvd Calendar'!$I$633)*100000000+('Dvd Calendar'!$I$637='Field Check'!$C$25)*10000000+(N('Dvd Calendar'!$I$631)&gt;0)*1000000+42*1000+45))</f>
        <v/>
      </c>
      <c r="AV50" s="41">
        <f>IF(N('Dvd Calendar'!$J$632)=0,"",IF(('Dvd Calendar'!$J$632&gt;=MIN(DATE(Summary!$C$12,1,1),Summary!$C$11))*('Dvd Calendar'!$J$632&lt;=MAX(DATE(Summary!$C$12,12,31),Summary!$C$15))*('Dvd Calendar'!$J$632&gt;Summary!$C$11)=0,"",'Dvd Calendar'!$J$632*1000000000+ISNUMBER('Dvd Calendar'!$J$633)*100000000+('Dvd Calendar'!$J$637='Field Check'!$C$25)*10000000+(N('Dvd Calendar'!$J$631)&gt;0)*1000000+42*1000+46))</f>
        <v/>
      </c>
      <c r="AW50" s="41">
        <f>IF(N('Dvd Calendar'!$K$632)=0,"",IF(('Dvd Calendar'!$K$632&gt;=MIN(DATE(Summary!$C$12,1,1),Summary!$C$11))*('Dvd Calendar'!$K$632&lt;=MAX(DATE(Summary!$C$12,12,31),Summary!$C$15))*('Dvd Calendar'!$K$632&gt;Summary!$C$11)=0,"",'Dvd Calendar'!$K$632*1000000000+ISNUMBER('Dvd Calendar'!$K$633)*100000000+('Dvd Calendar'!$K$637='Field Check'!$C$25)*10000000+(N('Dvd Calendar'!$K$631)&gt;0)*1000000+42*1000+47))</f>
        <v/>
      </c>
      <c r="AX50" s="41">
        <f>IF(N('Dvd Calendar'!$L$632)=0,"",IF(('Dvd Calendar'!$L$632&gt;=MIN(DATE(Summary!$C$12,1,1),Summary!$C$11))*('Dvd Calendar'!$L$632&lt;=MAX(DATE(Summary!$C$12,12,31),Summary!$C$15))*('Dvd Calendar'!$L$632&gt;Summary!$C$11)=0,"",'Dvd Calendar'!$L$632*1000000000+ISNUMBER('Dvd Calendar'!$L$633)*100000000+('Dvd Calendar'!$L$637='Field Check'!$C$25)*10000000+(N('Dvd Calendar'!$L$631)&gt;0)*1000000+42*1000+48))</f>
        <v/>
      </c>
      <c r="AY50" s="41">
        <f>IF(N('Dvd Calendar'!$M$632)=0,"",IF(('Dvd Calendar'!$M$632&gt;=MIN(DATE(Summary!$C$12,1,1),Summary!$C$11))*('Dvd Calendar'!$M$632&lt;=MAX(DATE(Summary!$C$12,12,31),Summary!$C$15))*('Dvd Calendar'!$M$632&gt;Summary!$C$11)=0,"",'Dvd Calendar'!$M$632*1000000000+ISNUMBER('Dvd Calendar'!$M$633)*100000000+('Dvd Calendar'!$M$637='Field Check'!$C$25)*10000000+(N('Dvd Calendar'!$M$631)&gt;0)*1000000+42*1000+49))</f>
        <v/>
      </c>
      <c r="AZ50" s="41">
        <f>IF(N('Dvd Calendar'!$N$632)=0,"",IF(('Dvd Calendar'!$N$632&gt;=MIN(DATE(Summary!$C$12,1,1),Summary!$C$11))*('Dvd Calendar'!$N$632&lt;=MAX(DATE(Summary!$C$12,12,31),Summary!$C$15))*('Dvd Calendar'!$N$632&gt;Summary!$C$11)=0,"",'Dvd Calendar'!$N$632*1000000000+ISNUMBER('Dvd Calendar'!$N$633)*100000000+('Dvd Calendar'!$N$637='Field Check'!$C$25)*10000000+(N('Dvd Calendar'!$N$631)&gt;0)*1000000+42*1000+50))</f>
        <v/>
      </c>
      <c r="BA50" s="41">
        <f>IF(N('Dvd Calendar'!$O$632)=0,"",IF(('Dvd Calendar'!$O$632&gt;=MIN(DATE(Summary!$C$12,1,1),Summary!$C$11))*('Dvd Calendar'!$O$632&lt;=MAX(DATE(Summary!$C$12,12,31),Summary!$C$15))*('Dvd Calendar'!$O$632&gt;Summary!$C$11)=0,"",'Dvd Calendar'!$O$632*1000000000+ISNUMBER('Dvd Calendar'!$O$633)*100000000+('Dvd Calendar'!$O$637='Field Check'!$C$25)*10000000+(N('Dvd Calendar'!$O$631)&gt;0)*1000000+42*1000+51))</f>
        <v/>
      </c>
      <c r="BB50" s="41">
        <f>IF(N('Dvd Calendar'!$P$632)=0,"",IF(('Dvd Calendar'!$P$632&gt;=MIN(DATE(Summary!$C$12,1,1),Summary!$C$11))*('Dvd Calendar'!$P$632&lt;=MAX(DATE(Summary!$C$12,12,31),Summary!$C$15))*('Dvd Calendar'!$P$632&gt;Summary!$C$11)=0,"",'Dvd Calendar'!$P$632*1000000000+ISNUMBER('Dvd Calendar'!$P$633)*100000000+('Dvd Calendar'!$P$637='Field Check'!$C$25)*10000000+(N('Dvd Calendar'!$P$631)&gt;0)*1000000+42*1000+52))</f>
        <v/>
      </c>
      <c r="BC50" s="41">
        <f>IF(N('Dvd Calendar'!$Q$632)=0,"",IF(('Dvd Calendar'!$Q$632&gt;=MIN(DATE(Summary!$C$12,1,1),Summary!$C$11))*('Dvd Calendar'!$Q$632&lt;=MAX(DATE(Summary!$C$12,12,31),Summary!$C$15))*('Dvd Calendar'!$Q$632&gt;Summary!$C$11)=0,"",'Dvd Calendar'!$Q$632*1000000000+ISNUMBER('Dvd Calendar'!$Q$633)*100000000+('Dvd Calendar'!$Q$637='Field Check'!$C$25)*10000000+(N('Dvd Calendar'!$Q$631)&gt;0)*1000000+42*1000+53))</f>
        <v/>
      </c>
      <c r="BD50" s="41">
        <f>IF(N('Dvd Calendar'!$R$632)=0,"",IF(('Dvd Calendar'!$R$632&gt;=MIN(DATE(Summary!$C$12,1,1),Summary!$C$11))*('Dvd Calendar'!$R$632&lt;=MAX(DATE(Summary!$C$12,12,31),Summary!$C$15))*('Dvd Calendar'!$R$632&gt;Summary!$C$11)=0,"",'Dvd Calendar'!$R$632*1000000000+ISNUMBER('Dvd Calendar'!$R$633)*100000000+('Dvd Calendar'!$R$637='Field Check'!$C$25)*10000000+(N('Dvd Calendar'!$R$631)&gt;0)*1000000+42*1000+54))</f>
        <v/>
      </c>
      <c r="BE50" s="41">
        <f>IF(N('Dvd Calendar'!$S$632)=0,"",IF(('Dvd Calendar'!$S$632&gt;=MIN(DATE(Summary!$C$12,1,1),Summary!$C$11))*('Dvd Calendar'!$S$632&lt;=MAX(DATE(Summary!$C$12,12,31),Summary!$C$15))*('Dvd Calendar'!$S$632&gt;Summary!$C$11)=0,"",'Dvd Calendar'!$S$632*1000000000+ISNUMBER('Dvd Calendar'!$S$633)*100000000+('Dvd Calendar'!$S$637='Field Check'!$C$25)*10000000+(N('Dvd Calendar'!$S$631)&gt;0)*1000000+42*1000+55))</f>
        <v/>
      </c>
      <c r="BF50" s="41">
        <f>IF(N('Dvd Calendar'!$T$632)=0,"",IF(('Dvd Calendar'!$T$632&gt;=MIN(DATE(Summary!$C$12,1,1),Summary!$C$11))*('Dvd Calendar'!$T$632&lt;=MAX(DATE(Summary!$C$12,12,31),Summary!$C$15))*('Dvd Calendar'!$T$632&gt;Summary!$C$11)=0,"",'Dvd Calendar'!$T$632*1000000000+ISNUMBER('Dvd Calendar'!$T$633)*100000000+('Dvd Calendar'!$T$637='Field Check'!$C$25)*10000000+(N('Dvd Calendar'!$T$631)&gt;0)*1000000+42*1000+56))</f>
        <v/>
      </c>
      <c r="BG50" s="41">
        <f>IF(N('Dvd Calendar'!$U$632)=0,"",IF(('Dvd Calendar'!$U$632&gt;=MIN(DATE(Summary!$C$12,1,1),Summary!$C$11))*('Dvd Calendar'!$U$632&lt;=MAX(DATE(Summary!$C$12,12,31),Summary!$C$15))*('Dvd Calendar'!$U$632&gt;Summary!$C$11)=0,"",'Dvd Calendar'!$U$632*1000000000+ISNUMBER('Dvd Calendar'!$U$633)*100000000+('Dvd Calendar'!$U$637='Field Check'!$C$25)*10000000+(N('Dvd Calendar'!$U$631)&gt;0)*1000000+42*1000+57))</f>
        <v/>
      </c>
      <c r="BH50" s="41">
        <f>IF(N('Dvd Calendar'!$V$632)=0,"",IF(('Dvd Calendar'!$V$632&gt;=MIN(DATE(Summary!$C$12,1,1),Summary!$C$11))*('Dvd Calendar'!$V$632&lt;=MAX(DATE(Summary!$C$12,12,31),Summary!$C$15))*('Dvd Calendar'!$V$632&gt;Summary!$C$11)=0,"",'Dvd Calendar'!$V$632*1000000000+ISNUMBER('Dvd Calendar'!$V$633)*100000000+('Dvd Calendar'!$V$637='Field Check'!$C$25)*10000000+(N('Dvd Calendar'!$V$631)&gt;0)*1000000+42*1000+58))</f>
        <v/>
      </c>
      <c r="BI50" s="41">
        <f>IF(N('Dvd Calendar'!$W$632)=0,"",IF(('Dvd Calendar'!$W$632&gt;=MIN(DATE(Summary!$C$12,1,1),Summary!$C$11))*('Dvd Calendar'!$W$632&lt;=MAX(DATE(Summary!$C$12,12,31),Summary!$C$15))*('Dvd Calendar'!$W$632&gt;Summary!$C$11)=0,"",'Dvd Calendar'!$W$632*1000000000+ISNUMBER('Dvd Calendar'!$W$633)*100000000+('Dvd Calendar'!$W$637='Field Check'!$C$25)*10000000+(N('Dvd Calendar'!$W$631)&gt;0)*1000000+42*1000+59))</f>
        <v/>
      </c>
      <c r="BJ50" s="41">
        <f>IF(N('Dvd Calendar'!$X$632)=0,"",IF(('Dvd Calendar'!$X$632&gt;=MIN(DATE(Summary!$C$12,1,1),Summary!$C$11))*('Dvd Calendar'!$X$632&lt;=MAX(DATE(Summary!$C$12,12,31),Summary!$C$15))*('Dvd Calendar'!$X$632&gt;Summary!$C$11)=0,"",'Dvd Calendar'!$X$632*1000000000+ISNUMBER('Dvd Calendar'!$X$633)*100000000+('Dvd Calendar'!$X$637='Field Check'!$C$25)*10000000+(N('Dvd Calendar'!$X$631)&gt;0)*1000000+42*1000+60))</f>
        <v/>
      </c>
      <c r="BK50" s="41">
        <f>IF(N('Dvd Calendar'!$Y$632)=0,"",IF(('Dvd Calendar'!$Y$632&gt;=MIN(DATE(Summary!$C$12,1,1),Summary!$C$11))*('Dvd Calendar'!$Y$632&lt;=MAX(DATE(Summary!$C$12,12,31),Summary!$C$15))*('Dvd Calendar'!$Y$632&gt;Summary!$C$11)=0,"",'Dvd Calendar'!$Y$632*1000000000+ISNUMBER('Dvd Calendar'!$Y$633)*100000000+('Dvd Calendar'!$Y$637='Field Check'!$C$25)*10000000+(N('Dvd Calendar'!$Y$631)&gt;0)*1000000+42*1000+61))</f>
        <v/>
      </c>
      <c r="BL50" s="41">
        <f>IF(N('Dvd Calendar'!$Z$632)=0,"",IF(('Dvd Calendar'!$Z$632&gt;=MIN(DATE(Summary!$C$12,1,1),Summary!$C$11))*('Dvd Calendar'!$Z$632&lt;=MAX(DATE(Summary!$C$12,12,31),Summary!$C$15))*('Dvd Calendar'!$Z$632&gt;Summary!$C$11)=0,"",'Dvd Calendar'!$Z$632*1000000000+ISNUMBER('Dvd Calendar'!$Z$633)*100000000+('Dvd Calendar'!$Z$637='Field Check'!$C$25)*10000000+(N('Dvd Calendar'!$Z$631)&gt;0)*1000000+42*1000+62))</f>
        <v/>
      </c>
      <c r="BM50" s="41">
        <f>IF(N('Dvd Calendar'!$AA$632)=0,"",IF(('Dvd Calendar'!$AA$632&gt;=MIN(DATE(Summary!$C$12,1,1),Summary!$C$11))*('Dvd Calendar'!$AA$632&lt;=MAX(DATE(Summary!$C$12,12,31),Summary!$C$15))*('Dvd Calendar'!$AA$632&gt;Summary!$C$11)=0,"",'Dvd Calendar'!$AA$632*1000000000+ISNUMBER('Dvd Calendar'!$AA$633)*100000000+('Dvd Calendar'!$AA$637='Field Check'!$C$25)*10000000+(N('Dvd Calendar'!$AA$631)&gt;0)*1000000+42*1000+63))</f>
        <v/>
      </c>
      <c r="BN50" s="41">
        <f>IF(N('Dvd Calendar'!$AB$632)=0,"",IF(('Dvd Calendar'!$AB$632&gt;=MIN(DATE(Summary!$C$12,1,1),Summary!$C$11))*('Dvd Calendar'!$AB$632&lt;=MAX(DATE(Summary!$C$12,12,31),Summary!$C$15))*('Dvd Calendar'!$AB$632&gt;Summary!$C$11)=0,"",'Dvd Calendar'!$AB$632*1000000000+ISNUMBER('Dvd Calendar'!$AB$633)*100000000+('Dvd Calendar'!$AB$637='Field Check'!$C$25)*10000000+(N('Dvd Calendar'!$AB$631)&gt;0)*1000000+42*1000+64))</f>
        <v/>
      </c>
      <c r="BO50" s="41">
        <f>IF(N('Dvd Calendar'!$AC$632)=0,"",IF(('Dvd Calendar'!$AC$632&gt;=MIN(DATE(Summary!$C$12,1,1),Summary!$C$11))*('Dvd Calendar'!$AC$632&lt;=MAX(DATE(Summary!$C$12,12,31),Summary!$C$15))*('Dvd Calendar'!$AC$632&gt;Summary!$C$11)=0,"",'Dvd Calendar'!$AC$632*1000000000+ISNUMBER('Dvd Calendar'!$AC$633)*100000000+('Dvd Calendar'!$AC$637='Field Check'!$C$25)*10000000+(N('Dvd Calendar'!$AC$631)&gt;0)*1000000+42*1000+65))</f>
        <v/>
      </c>
      <c r="BQ50" s="85">
        <f>IF(C50="","",IF(ISNUMBER('Dvd Calendar'!$E$626)=FALSE,"",IF((Summary!$C$13="N")*('Dvd Calendar'!$E$630='Field Check'!$C$25)&gt;0,"",'Dvd Calendar'!$E$626)))</f>
        <v/>
      </c>
      <c r="BR50" s="85">
        <f>IF(D50="","",IF(ISNUMBER('Dvd Calendar'!$F$626)=FALSE,"",IF((Summary!$C$13="N")*('Dvd Calendar'!$F$630='Field Check'!$C$25)&gt;0,"",'Dvd Calendar'!$F$626)))</f>
        <v/>
      </c>
      <c r="BS50" s="85">
        <f>IF(E50="","",IF(ISNUMBER('Dvd Calendar'!$G$626)=FALSE,"",IF((Summary!$C$13="N")*('Dvd Calendar'!$G$630='Field Check'!$C$25)&gt;0,"",'Dvd Calendar'!$G$626)))</f>
        <v/>
      </c>
      <c r="BT50" s="85">
        <f>IF(F50="","",IF(ISNUMBER('Dvd Calendar'!$H$626)=FALSE,"",IF((Summary!$C$13="N")*('Dvd Calendar'!$H$630='Field Check'!$C$25)&gt;0,"",'Dvd Calendar'!$H$626)))</f>
        <v/>
      </c>
      <c r="BU50" s="85">
        <f>IF(G50="","",IF(ISNUMBER('Dvd Calendar'!$I$626)=FALSE,"",IF((Summary!$C$13="N")*('Dvd Calendar'!$I$630='Field Check'!$C$25)&gt;0,"",'Dvd Calendar'!$I$626)))</f>
        <v/>
      </c>
      <c r="BV50" s="85">
        <f>IF(H50="","",IF(ISNUMBER('Dvd Calendar'!$J$626)=FALSE,"",IF((Summary!$C$13="N")*('Dvd Calendar'!$J$630='Field Check'!$C$25)&gt;0,"",'Dvd Calendar'!$J$626)))</f>
        <v/>
      </c>
      <c r="BW50" s="85">
        <f>IF(I50="","",IF(ISNUMBER('Dvd Calendar'!$K$626)=FALSE,"",IF((Summary!$C$13="N")*('Dvd Calendar'!$K$630='Field Check'!$C$25)&gt;0,"",'Dvd Calendar'!$K$626)))</f>
        <v/>
      </c>
      <c r="BX50" s="85">
        <f>IF(J50="","",IF(ISNUMBER('Dvd Calendar'!$L$626)=FALSE,"",IF((Summary!$C$13="N")*('Dvd Calendar'!$L$630='Field Check'!$C$25)&gt;0,"",'Dvd Calendar'!$L$626)))</f>
        <v/>
      </c>
      <c r="BY50" s="85">
        <f>IF(K50="","",IF(ISNUMBER('Dvd Calendar'!$M$626)=FALSE,"",IF((Summary!$C$13="N")*('Dvd Calendar'!$M$630='Field Check'!$C$25)&gt;0,"",'Dvd Calendar'!$M$626)))</f>
        <v/>
      </c>
      <c r="BZ50" s="85">
        <f>IF(L50="","",IF(ISNUMBER('Dvd Calendar'!$N$626)=FALSE,"",IF((Summary!$C$13="N")*('Dvd Calendar'!$N$630='Field Check'!$C$25)&gt;0,"",'Dvd Calendar'!$N$626)))</f>
        <v/>
      </c>
      <c r="CA50" s="85">
        <f>IF(M50="","",IF(ISNUMBER('Dvd Calendar'!$O$626)=FALSE,"",IF((Summary!$C$13="N")*('Dvd Calendar'!$O$630='Field Check'!$C$25)&gt;0,"",'Dvd Calendar'!$O$626)))</f>
        <v/>
      </c>
      <c r="CB50" s="85">
        <f>IF(N50="","",IF(ISNUMBER('Dvd Calendar'!$P$626)=FALSE,"",IF((Summary!$C$13="N")*('Dvd Calendar'!$P$630='Field Check'!$C$25)&gt;0,"",'Dvd Calendar'!$P$626)))</f>
        <v/>
      </c>
      <c r="CC50" s="85">
        <f>IF(O50="","",IF(ISNUMBER('Dvd Calendar'!$Q$626)=FALSE,"",IF((Summary!$C$13="N")*('Dvd Calendar'!$Q$630='Field Check'!$C$25)&gt;0,"",'Dvd Calendar'!$Q$626)))</f>
        <v/>
      </c>
      <c r="CD50" s="85">
        <f>IF(P50="","",IF(ISNUMBER('Dvd Calendar'!$R$626)=FALSE,"",IF((Summary!$C$13="N")*('Dvd Calendar'!$R$630='Field Check'!$C$25)&gt;0,"",'Dvd Calendar'!$R$626)))</f>
        <v/>
      </c>
      <c r="CE50" s="85">
        <f>IF(Q50="","",IF(ISNUMBER('Dvd Calendar'!$S$626)=FALSE,"",IF((Summary!$C$13="N")*('Dvd Calendar'!$S$630='Field Check'!$C$25)&gt;0,"",'Dvd Calendar'!$S$626)))</f>
        <v/>
      </c>
      <c r="CF50" s="85">
        <f>IF(R50="","",IF(ISNUMBER('Dvd Calendar'!$T$626)=FALSE,"",IF((Summary!$C$13="N")*('Dvd Calendar'!$T$630='Field Check'!$C$25)&gt;0,"",'Dvd Calendar'!$T$626)))</f>
        <v/>
      </c>
      <c r="CG50" s="85">
        <f>IF(S50="","",IF(ISNUMBER('Dvd Calendar'!$U$626)=FALSE,"",IF((Summary!$C$13="N")*('Dvd Calendar'!$U$630='Field Check'!$C$25)&gt;0,"",'Dvd Calendar'!$U$626)))</f>
        <v/>
      </c>
      <c r="CH50" s="85">
        <f>IF(T50="","",IF(ISNUMBER('Dvd Calendar'!$V$626)=FALSE,"",IF((Summary!$C$13="N")*('Dvd Calendar'!$V$630='Field Check'!$C$25)&gt;0,"",'Dvd Calendar'!$V$626)))</f>
        <v/>
      </c>
      <c r="CI50" s="85">
        <f>IF(U50="","",IF(ISNUMBER('Dvd Calendar'!$W$626)=FALSE,"",IF((Summary!$C$13="N")*('Dvd Calendar'!$W$630='Field Check'!$C$25)&gt;0,"",'Dvd Calendar'!$W$626)))</f>
        <v/>
      </c>
      <c r="CJ50" s="85">
        <f>IF(V50="","",IF(ISNUMBER('Dvd Calendar'!$X$626)=FALSE,"",IF((Summary!$C$13="N")*('Dvd Calendar'!$X$630='Field Check'!$C$25)&gt;0,"",'Dvd Calendar'!$X$626)))</f>
        <v/>
      </c>
      <c r="CK50" s="85">
        <f>IF(W50="","",IF(ISNUMBER('Dvd Calendar'!$Y$626)=FALSE,"",IF((Summary!$C$13="N")*('Dvd Calendar'!$Y$630='Field Check'!$C$25)&gt;0,"",'Dvd Calendar'!$Y$626)))</f>
        <v/>
      </c>
      <c r="CL50" s="85">
        <f>IF(X50="","",IF(ISNUMBER('Dvd Calendar'!$Z$626)=FALSE,"",IF((Summary!$C$13="N")*('Dvd Calendar'!$Z$630='Field Check'!$C$25)&gt;0,"",'Dvd Calendar'!$Z$626)))</f>
        <v/>
      </c>
      <c r="CM50" s="85">
        <f>IF(Y50="","",IF(ISNUMBER('Dvd Calendar'!$AA$626)=FALSE,"",IF((Summary!$C$13="N")*('Dvd Calendar'!$AA$630='Field Check'!$C$25)&gt;0,"",'Dvd Calendar'!$AA$626)))</f>
        <v/>
      </c>
      <c r="CN50" s="85">
        <f>IF(Z50="","",IF(ISNUMBER('Dvd Calendar'!$AB$626)=FALSE,"",IF((Summary!$C$13="N")*('Dvd Calendar'!$AB$630='Field Check'!$C$25)&gt;0,"",'Dvd Calendar'!$AB$626)))</f>
        <v/>
      </c>
      <c r="CO50" s="85">
        <f>IF(AA50="","",IF(ISNUMBER('Dvd Calendar'!$AC$626)=FALSE,"",IF((Summary!$C$13="N")*('Dvd Calendar'!$AC$630='Field Check'!$C$25)&gt;0,"",'Dvd Calendar'!$AC$626)))</f>
        <v/>
      </c>
      <c r="CP50" s="85">
        <f>IF(AB50="","",IF(ISNUMBER('Dvd Calendar'!$AD$626)=FALSE,"",IF((Summary!$C$13="N")*('Dvd Calendar'!$AD$630='Field Check'!$C$25)&gt;0,"",'Dvd Calendar'!$AD$626)))</f>
        <v/>
      </c>
      <c r="CQ50" s="85">
        <f>IF(AC50="","",IF(ISNUMBER('Dvd Calendar'!$AE$626)=FALSE,"",IF((Summary!$C$13="N")*('Dvd Calendar'!$AE$630='Field Check'!$C$25)&gt;0,"",'Dvd Calendar'!$AE$626)))</f>
        <v/>
      </c>
      <c r="CR50" s="85">
        <f>IF(AD50="","",IF(ISNUMBER('Dvd Calendar'!$AF$626)=FALSE,"",IF((Summary!$C$13="N")*('Dvd Calendar'!$AF$630='Field Check'!$C$25)&gt;0,"",'Dvd Calendar'!$AF$626)))</f>
        <v/>
      </c>
      <c r="CS50" s="85">
        <f>IF(AE50="","",IF(ISNUMBER('Dvd Calendar'!$AG$626)=FALSE,"",IF((Summary!$C$13="N")*('Dvd Calendar'!$AG$630='Field Check'!$C$25)&gt;0,"",'Dvd Calendar'!$AG$626)))</f>
        <v/>
      </c>
      <c r="CT50" s="85">
        <f>IF(AF50="","",IF(ISNUMBER('Dvd Calendar'!$AH$626)=FALSE,"",IF((Summary!$C$13="N")*('Dvd Calendar'!$AH$630='Field Check'!$C$25)&gt;0,"",'Dvd Calendar'!$AH$626)))</f>
        <v/>
      </c>
      <c r="CU50" s="85">
        <f>IF(AG50="","",IF(ISNUMBER('Dvd Calendar'!$AI$626)=FALSE,"",IF((Summary!$C$13="N")*('Dvd Calendar'!$AI$630='Field Check'!$C$25)&gt;0,"",'Dvd Calendar'!$AI$626)))</f>
        <v/>
      </c>
      <c r="CV50" s="85">
        <f>IF(AH50="","",IF(ISNUMBER('Dvd Calendar'!$AJ$626)=FALSE,"",IF((Summary!$C$13="N")*('Dvd Calendar'!$AJ$630='Field Check'!$C$25)&gt;0,"",'Dvd Calendar'!$AJ$626)))</f>
        <v/>
      </c>
      <c r="CW50" s="85">
        <f>IF(AI50="","",IF(ISNUMBER('Dvd Calendar'!$AK$626)=FALSE,"",IF((Summary!$C$13="N")*('Dvd Calendar'!$AK$630='Field Check'!$C$25)&gt;0,"",'Dvd Calendar'!$AK$626)))</f>
        <v/>
      </c>
      <c r="CX50" s="85">
        <f>IF(AJ50="","",IF(ISNUMBER('Dvd Calendar'!$AL$626)=FALSE,"",IF((Summary!$C$13="N")*('Dvd Calendar'!$AL$630='Field Check'!$C$25)&gt;0,"",'Dvd Calendar'!$AL$626)))</f>
        <v/>
      </c>
      <c r="CY50" s="85">
        <f>IF(AK50="","",IF(ISNUMBER('Dvd Calendar'!$AM$626)=FALSE,"",IF((Summary!$C$13="N")*('Dvd Calendar'!$AM$630='Field Check'!$C$25)&gt;0,"",'Dvd Calendar'!$AM$626)))</f>
        <v/>
      </c>
      <c r="CZ50" s="85">
        <f>IF(AL50="","",IF(ISNUMBER('Dvd Calendar'!$AN$626)=FALSE,"",IF((Summary!$C$13="N")*('Dvd Calendar'!$AN$630='Field Check'!$C$25)&gt;0,"",'Dvd Calendar'!$AN$626)))</f>
        <v/>
      </c>
      <c r="DA50" s="85">
        <f>IF(AM50="","",IF(ISNUMBER('Dvd Calendar'!$AO$626)=FALSE,"",IF((Summary!$C$13="N")*('Dvd Calendar'!$AO$630='Field Check'!$C$25)&gt;0,"",'Dvd Calendar'!$AO$626)))</f>
        <v/>
      </c>
      <c r="DB50" s="85">
        <f>IF(AN50="","",IF(ISNUMBER('Dvd Calendar'!$AP$626)=FALSE,"",IF((Summary!$C$13="N")*('Dvd Calendar'!$AP$630='Field Check'!$C$25)&gt;0,"",'Dvd Calendar'!$AP$626)))</f>
        <v/>
      </c>
      <c r="DC50" s="85">
        <f>IF(AO50="","",IF(ISNUMBER('Dvd Calendar'!$AQ$626)=FALSE,"",IF((Summary!$C$13="N")*('Dvd Calendar'!$AQ$630='Field Check'!$C$25)&gt;0,"",'Dvd Calendar'!$AQ$626)))</f>
        <v/>
      </c>
      <c r="DD50" s="85">
        <f>IF(AP50="","",IF(ISNUMBER('Dvd Calendar'!$AR$626)=FALSE,"",IF((Summary!$C$13="N")*('Dvd Calendar'!$AR$630='Field Check'!$C$25)&gt;0,"",'Dvd Calendar'!$AR$626)))</f>
        <v/>
      </c>
      <c r="DE50" s="85">
        <f>IF(AQ50="","",IF(ISNUMBER('Dvd Calendar'!$E$633)=FALSE,"",IF((Summary!$C$13="N")*('Dvd Calendar'!$E$637='Field Check'!$C$25)&gt;0,"",'Dvd Calendar'!$E$633)))</f>
        <v/>
      </c>
      <c r="DF50" s="85">
        <f>IF(AR50="","",IF(ISNUMBER('Dvd Calendar'!$F$633)=FALSE,"",IF((Summary!$C$13="N")*('Dvd Calendar'!$F$637='Field Check'!$C$25)&gt;0,"",'Dvd Calendar'!$F$633)))</f>
        <v/>
      </c>
      <c r="DG50" s="85">
        <f>IF(AS50="","",IF(ISNUMBER('Dvd Calendar'!$G$633)=FALSE,"",IF((Summary!$C$13="N")*('Dvd Calendar'!$G$637='Field Check'!$C$25)&gt;0,"",'Dvd Calendar'!$G$633)))</f>
        <v/>
      </c>
      <c r="DH50" s="85">
        <f>IF(AT50="","",IF(ISNUMBER('Dvd Calendar'!$H$633)=FALSE,"",IF((Summary!$C$13="N")*('Dvd Calendar'!$H$637='Field Check'!$C$25)&gt;0,"",'Dvd Calendar'!$H$633)))</f>
        <v/>
      </c>
      <c r="DI50" s="85">
        <f>IF(AU50="","",IF(ISNUMBER('Dvd Calendar'!$I$633)=FALSE,"",IF((Summary!$C$13="N")*('Dvd Calendar'!$I$637='Field Check'!$C$25)&gt;0,"",'Dvd Calendar'!$I$633)))</f>
        <v/>
      </c>
      <c r="DJ50" s="85">
        <f>IF(AV50="","",IF(ISNUMBER('Dvd Calendar'!$J$633)=FALSE,"",IF((Summary!$C$13="N")*('Dvd Calendar'!$J$637='Field Check'!$C$25)&gt;0,"",'Dvd Calendar'!$J$633)))</f>
        <v/>
      </c>
      <c r="DK50" s="85">
        <f>IF(AW50="","",IF(ISNUMBER('Dvd Calendar'!$K$633)=FALSE,"",IF((Summary!$C$13="N")*('Dvd Calendar'!$K$637='Field Check'!$C$25)&gt;0,"",'Dvd Calendar'!$K$633)))</f>
        <v/>
      </c>
      <c r="DL50" s="85">
        <f>IF(AX50="","",IF(ISNUMBER('Dvd Calendar'!$L$633)=FALSE,"",IF((Summary!$C$13="N")*('Dvd Calendar'!$L$637='Field Check'!$C$25)&gt;0,"",'Dvd Calendar'!$L$633)))</f>
        <v/>
      </c>
      <c r="DM50" s="85">
        <f>IF(AY50="","",IF(ISNUMBER('Dvd Calendar'!$M$633)=FALSE,"",IF((Summary!$C$13="N")*('Dvd Calendar'!$M$637='Field Check'!$C$25)&gt;0,"",'Dvd Calendar'!$M$633)))</f>
        <v/>
      </c>
      <c r="DN50" s="85">
        <f>IF(AZ50="","",IF(ISNUMBER('Dvd Calendar'!$N$633)=FALSE,"",IF((Summary!$C$13="N")*('Dvd Calendar'!$N$637='Field Check'!$C$25)&gt;0,"",'Dvd Calendar'!$N$633)))</f>
        <v/>
      </c>
      <c r="DO50" s="85">
        <f>IF(BA50="","",IF(ISNUMBER('Dvd Calendar'!$O$633)=FALSE,"",IF((Summary!$C$13="N")*('Dvd Calendar'!$O$637='Field Check'!$C$25)&gt;0,"",'Dvd Calendar'!$O$633)))</f>
        <v/>
      </c>
      <c r="DP50" s="85">
        <f>IF(BB50="","",IF(ISNUMBER('Dvd Calendar'!$P$633)=FALSE,"",IF((Summary!$C$13="N")*('Dvd Calendar'!$P$637='Field Check'!$C$25)&gt;0,"",'Dvd Calendar'!$P$633)))</f>
        <v/>
      </c>
      <c r="DQ50" s="85">
        <f>IF(BC50="","",IF(ISNUMBER('Dvd Calendar'!$Q$633)=FALSE,"",IF((Summary!$C$13="N")*('Dvd Calendar'!$Q$637='Field Check'!$C$25)&gt;0,"",'Dvd Calendar'!$Q$633)))</f>
        <v/>
      </c>
      <c r="DR50" s="85">
        <f>IF(BD50="","",IF(ISNUMBER('Dvd Calendar'!$R$633)=FALSE,"",IF((Summary!$C$13="N")*('Dvd Calendar'!$R$637='Field Check'!$C$25)&gt;0,"",'Dvd Calendar'!$R$633)))</f>
        <v/>
      </c>
      <c r="DS50" s="85">
        <f>IF(BE50="","",IF(ISNUMBER('Dvd Calendar'!$S$633)=FALSE,"",IF((Summary!$C$13="N")*('Dvd Calendar'!$S$637='Field Check'!$C$25)&gt;0,"",'Dvd Calendar'!$S$633)))</f>
        <v/>
      </c>
      <c r="DT50" s="85">
        <f>IF(BF50="","",IF(ISNUMBER('Dvd Calendar'!$T$633)=FALSE,"",IF((Summary!$C$13="N")*('Dvd Calendar'!$T$637='Field Check'!$C$25)&gt;0,"",'Dvd Calendar'!$T$633)))</f>
        <v/>
      </c>
      <c r="DU50" s="85">
        <f>IF(BG50="","",IF(ISNUMBER('Dvd Calendar'!$U$633)=FALSE,"",IF((Summary!$C$13="N")*('Dvd Calendar'!$U$637='Field Check'!$C$25)&gt;0,"",'Dvd Calendar'!$U$633)))</f>
        <v/>
      </c>
      <c r="DV50" s="85">
        <f>IF(BH50="","",IF(ISNUMBER('Dvd Calendar'!$V$633)=FALSE,"",IF((Summary!$C$13="N")*('Dvd Calendar'!$V$637='Field Check'!$C$25)&gt;0,"",'Dvd Calendar'!$V$633)))</f>
        <v/>
      </c>
      <c r="DW50" s="85">
        <f>IF(BI50="","",IF(ISNUMBER('Dvd Calendar'!$W$633)=FALSE,"",IF((Summary!$C$13="N")*('Dvd Calendar'!$W$637='Field Check'!$C$25)&gt;0,"",'Dvd Calendar'!$W$633)))</f>
        <v/>
      </c>
      <c r="DX50" s="85">
        <f>IF(BJ50="","",IF(ISNUMBER('Dvd Calendar'!$X$633)=FALSE,"",IF((Summary!$C$13="N")*('Dvd Calendar'!$X$637='Field Check'!$C$25)&gt;0,"",'Dvd Calendar'!$X$633)))</f>
        <v/>
      </c>
      <c r="DY50" s="85">
        <f>IF(BK50="","",IF(ISNUMBER('Dvd Calendar'!$Y$633)=FALSE,"",IF((Summary!$C$13="N")*('Dvd Calendar'!$Y$637='Field Check'!$C$25)&gt;0,"",'Dvd Calendar'!$Y$633)))</f>
        <v/>
      </c>
      <c r="DZ50" s="85">
        <f>IF(BL50="","",IF(ISNUMBER('Dvd Calendar'!$Z$633)=FALSE,"",IF((Summary!$C$13="N")*('Dvd Calendar'!$Z$637='Field Check'!$C$25)&gt;0,"",'Dvd Calendar'!$Z$633)))</f>
        <v/>
      </c>
      <c r="EA50" s="85">
        <f>IF(BM50="","",IF(ISNUMBER('Dvd Calendar'!$AA$633)=FALSE,"",IF((Summary!$C$13="N")*('Dvd Calendar'!$AA$637='Field Check'!$C$25)&gt;0,"",'Dvd Calendar'!$AA$633)))</f>
        <v/>
      </c>
      <c r="EB50" s="85">
        <f>IF(BN50="","",IF(ISNUMBER('Dvd Calendar'!$AB$633)=FALSE,"",IF((Summary!$C$13="N")*('Dvd Calendar'!$AB$637='Field Check'!$C$25)&gt;0,"",'Dvd Calendar'!$AB$633)))</f>
        <v/>
      </c>
      <c r="EC50" s="85">
        <f>IF(BO50="","",IF(ISNUMBER('Dvd Calendar'!$AC$633)=FALSE,"",IF((Summary!$C$13="N")*('Dvd Calendar'!$AC$637='Field Check'!$C$25)&gt;0,"",'Dvd Calendar'!$AC$633)))</f>
        <v/>
      </c>
      <c r="EE50" s="85">
        <f>IF(BQ50="","",IFERROR(BQ50*HSI!$B$48*HSI!$G$48/HSI!$B$3,""))</f>
        <v/>
      </c>
      <c r="EF50" s="85">
        <f>IF(BR50="","",IFERROR(BR50*HSI!$B$48*HSI!$G$48/HSI!$B$3,""))</f>
        <v/>
      </c>
      <c r="EG50" s="85">
        <f>IF(BS50="","",IFERROR(BS50*HSI!$B$48*HSI!$G$48/HSI!$B$3,""))</f>
        <v/>
      </c>
      <c r="EH50" s="85">
        <f>IF(BT50="","",IFERROR(BT50*HSI!$B$48*HSI!$G$48/HSI!$B$3,""))</f>
        <v/>
      </c>
      <c r="EI50" s="85">
        <f>IF(BU50="","",IFERROR(BU50*HSI!$B$48*HSI!$G$48/HSI!$B$3,""))</f>
        <v/>
      </c>
      <c r="EJ50" s="85">
        <f>IF(BV50="","",IFERROR(BV50*HSI!$B$48*HSI!$G$48/HSI!$B$3,""))</f>
        <v/>
      </c>
      <c r="EK50" s="85">
        <f>IF(BW50="","",IFERROR(BW50*HSI!$B$48*HSI!$G$48/HSI!$B$3,""))</f>
        <v/>
      </c>
      <c r="EL50" s="85">
        <f>IF(BX50="","",IFERROR(BX50*HSI!$B$48*HSI!$G$48/HSI!$B$3,""))</f>
        <v/>
      </c>
      <c r="EM50" s="85">
        <f>IF(BY50="","",IFERROR(BY50*HSI!$B$48*HSI!$G$48/HSI!$B$3,""))</f>
        <v/>
      </c>
      <c r="EN50" s="85">
        <f>IF(BZ50="","",IFERROR(BZ50*HSI!$B$48*HSI!$G$48/HSI!$B$3,""))</f>
        <v/>
      </c>
      <c r="EO50" s="85">
        <f>IF(CA50="","",IFERROR(CA50*HSI!$B$48*HSI!$G$48/HSI!$B$3,""))</f>
        <v/>
      </c>
      <c r="EP50" s="85">
        <f>IF(CB50="","",IFERROR(CB50*HSI!$B$48*HSI!$G$48/HSI!$B$3,""))</f>
        <v/>
      </c>
      <c r="EQ50" s="85">
        <f>IF(CC50="","",IFERROR(CC50*HSI!$B$48*HSI!$G$48/HSI!$B$3,""))</f>
        <v/>
      </c>
      <c r="ER50" s="85">
        <f>IF(CD50="","",IFERROR(CD50*HSI!$B$48*HSI!$G$48/HSI!$B$3,""))</f>
        <v/>
      </c>
      <c r="ES50" s="85">
        <f>IF(CE50="","",IFERROR(CE50*HSI!$B$48*HSI!$G$48/HSI!$B$3,""))</f>
        <v/>
      </c>
      <c r="ET50" s="85">
        <f>IF(CF50="","",IFERROR(CF50*HSI!$B$48*HSI!$G$48/HSI!$B$3,""))</f>
        <v/>
      </c>
      <c r="EU50" s="85">
        <f>IF(CG50="","",IFERROR(CG50*HSI!$B$48*HSI!$G$48/HSI!$B$3,""))</f>
        <v/>
      </c>
      <c r="EV50" s="85">
        <f>IF(CH50="","",IFERROR(CH50*HSI!$B$48*HSI!$G$48/HSI!$B$3,""))</f>
        <v/>
      </c>
      <c r="EW50" s="85">
        <f>IF(CI50="","",IFERROR(CI50*HSI!$B$48*HSI!$G$48/HSI!$B$3,""))</f>
        <v/>
      </c>
      <c r="EX50" s="85">
        <f>IF(CJ50="","",IFERROR(CJ50*HSI!$B$48*HSI!$G$48/HSI!$B$3,""))</f>
        <v/>
      </c>
      <c r="EY50" s="85">
        <f>IF(CK50="","",IFERROR(CK50*HSI!$B$48*HSI!$G$48/HSI!$B$3,""))</f>
        <v/>
      </c>
      <c r="EZ50" s="85">
        <f>IF(CL50="","",IFERROR(CL50*HSI!$B$48*HSI!$G$48/HSI!$B$3,""))</f>
        <v/>
      </c>
      <c r="FA50" s="85">
        <f>IF(CM50="","",IFERROR(CM50*HSI!$B$48*HSI!$G$48/HSI!$B$3,""))</f>
        <v/>
      </c>
      <c r="FB50" s="85">
        <f>IF(CN50="","",IFERROR(CN50*HSI!$B$48*HSI!$G$48/HSI!$B$3,""))</f>
        <v/>
      </c>
      <c r="FC50" s="85">
        <f>IF(CO50="","",IFERROR(CO50*HSI!$B$48*HSI!$G$48/HSI!$B$3,""))</f>
        <v/>
      </c>
      <c r="FD50" s="85">
        <f>IF(CP50="","",IFERROR(CP50*HSI!$B$48*HSI!$G$48/HSI!$B$3,""))</f>
        <v/>
      </c>
      <c r="FE50" s="85">
        <f>IF(CQ50="","",IFERROR(CQ50*HSI!$B$48*HSI!$G$48/HSI!$B$3,""))</f>
        <v/>
      </c>
      <c r="FF50" s="85">
        <f>IF(CR50="","",IFERROR(CR50*HSI!$B$48*HSI!$G$48/HSI!$B$3,""))</f>
        <v/>
      </c>
      <c r="FG50" s="85">
        <f>IF(CS50="","",IFERROR(CS50*HSI!$B$48*HSI!$G$48/HSI!$B$3,""))</f>
        <v/>
      </c>
      <c r="FH50" s="85">
        <f>IF(CT50="","",IFERROR(CT50*HSI!$B$48*HSI!$G$48/HSI!$B$3,""))</f>
        <v/>
      </c>
      <c r="FI50" s="85">
        <f>IF(CU50="","",IFERROR(CU50*HSI!$B$48*HSI!$G$48/HSI!$B$3,""))</f>
        <v/>
      </c>
      <c r="FJ50" s="85">
        <f>IF(CV50="","",IFERROR(CV50*HSI!$B$48*HSI!$G$48/HSI!$B$3,""))</f>
        <v/>
      </c>
      <c r="FK50" s="85">
        <f>IF(CW50="","",IFERROR(CW50*HSI!$B$48*HSI!$G$48/HSI!$B$3,""))</f>
        <v/>
      </c>
      <c r="FL50" s="85">
        <f>IF(CX50="","",IFERROR(CX50*HSI!$B$48*HSI!$G$48/HSI!$B$3,""))</f>
        <v/>
      </c>
      <c r="FM50" s="85">
        <f>IF(CY50="","",IFERROR(CY50*HSI!$B$48*HSI!$G$48/HSI!$B$3,""))</f>
        <v/>
      </c>
      <c r="FN50" s="85">
        <f>IF(CZ50="","",IFERROR(CZ50*HSI!$B$48*HSI!$G$48/HSI!$B$3,""))</f>
        <v/>
      </c>
      <c r="FO50" s="85">
        <f>IF(DA50="","",IFERROR(DA50*HSI!$B$48*HSI!$G$48/HSI!$B$3,""))</f>
        <v/>
      </c>
      <c r="FP50" s="85">
        <f>IF(DB50="","",IFERROR(DB50*HSI!$B$48*HSI!$G$48/HSI!$B$3,""))</f>
        <v/>
      </c>
      <c r="FQ50" s="85">
        <f>IF(DC50="","",IFERROR(DC50*HSI!$B$48*HSI!$G$48/HSI!$B$3,""))</f>
        <v/>
      </c>
      <c r="FR50" s="85">
        <f>IF(DD50="","",IFERROR(DD50*HSI!$B$48*HSI!$G$48/HSI!$B$3,""))</f>
        <v/>
      </c>
      <c r="FS50" s="85">
        <f>IF(DE50="","",IFERROR(DE50*HSI!$B$48*HSI!$G$48/HSI!$B$3,""))</f>
        <v/>
      </c>
      <c r="FT50" s="85">
        <f>IF(DF50="","",IFERROR(DF50*HSI!$B$48*HSI!$G$48/HSI!$B$3,""))</f>
        <v/>
      </c>
      <c r="FU50" s="85">
        <f>IF(DG50="","",IFERROR(DG50*HSI!$B$48*HSI!$G$48/HSI!$B$3,""))</f>
        <v/>
      </c>
      <c r="FV50" s="85">
        <f>IF(DH50="","",IFERROR(DH50*HSI!$B$48*HSI!$G$48/HSI!$B$3,""))</f>
        <v/>
      </c>
      <c r="FW50" s="85">
        <f>IF(DI50="","",IFERROR(DI50*HSI!$B$48*HSI!$G$48/HSI!$B$3,""))</f>
        <v/>
      </c>
      <c r="FX50" s="85">
        <f>IF(DJ50="","",IFERROR(DJ50*HSI!$B$48*HSI!$G$48/HSI!$B$3,""))</f>
        <v/>
      </c>
      <c r="FY50" s="85">
        <f>IF(DK50="","",IFERROR(DK50*HSI!$B$48*HSI!$G$48/HSI!$B$3,""))</f>
        <v/>
      </c>
      <c r="FZ50" s="85">
        <f>IF(DL50="","",IFERROR(DL50*HSI!$B$48*HSI!$G$48/HSI!$B$3,""))</f>
        <v/>
      </c>
      <c r="GA50" s="85">
        <f>IF(DM50="","",IFERROR(DM50*HSI!$B$48*HSI!$G$48/HSI!$B$3,""))</f>
        <v/>
      </c>
      <c r="GB50" s="85">
        <f>IF(DN50="","",IFERROR(DN50*HSI!$B$48*HSI!$G$48/HSI!$B$3,""))</f>
        <v/>
      </c>
      <c r="GC50" s="85">
        <f>IF(DO50="","",IFERROR(DO50*HSI!$B$48*HSI!$G$48/HSI!$B$3,""))</f>
        <v/>
      </c>
      <c r="GD50" s="85">
        <f>IF(DP50="","",IFERROR(DP50*HSI!$B$48*HSI!$G$48/HSI!$B$3,""))</f>
        <v/>
      </c>
      <c r="GE50" s="85">
        <f>IF(DQ50="","",IFERROR(DQ50*HSI!$B$48*HSI!$G$48/HSI!$B$3,""))</f>
        <v/>
      </c>
      <c r="GF50" s="85">
        <f>IF(DR50="","",IFERROR(DR50*HSI!$B$48*HSI!$G$48/HSI!$B$3,""))</f>
        <v/>
      </c>
      <c r="GG50" s="85">
        <f>IF(DS50="","",IFERROR(DS50*HSI!$B$48*HSI!$G$48/HSI!$B$3,""))</f>
        <v/>
      </c>
      <c r="GH50" s="85">
        <f>IF(DT50="","",IFERROR(DT50*HSI!$B$48*HSI!$G$48/HSI!$B$3,""))</f>
        <v/>
      </c>
      <c r="GI50" s="85">
        <f>IF(DU50="","",IFERROR(DU50*HSI!$B$48*HSI!$G$48/HSI!$B$3,""))</f>
        <v/>
      </c>
      <c r="GJ50" s="85">
        <f>IF(DV50="","",IFERROR(DV50*HSI!$B$48*HSI!$G$48/HSI!$B$3,""))</f>
        <v/>
      </c>
      <c r="GK50" s="85">
        <f>IF(DW50="","",IFERROR(DW50*HSI!$B$48*HSI!$G$48/HSI!$B$3,""))</f>
        <v/>
      </c>
      <c r="GL50" s="85">
        <f>IF(DX50="","",IFERROR(DX50*HSI!$B$48*HSI!$G$48/HSI!$B$3,""))</f>
        <v/>
      </c>
      <c r="GM50" s="85">
        <f>IF(DY50="","",IFERROR(DY50*HSI!$B$48*HSI!$G$48/HSI!$B$3,""))</f>
        <v/>
      </c>
      <c r="GN50" s="85">
        <f>IF(DZ50="","",IFERROR(DZ50*HSI!$B$48*HSI!$G$48/HSI!$B$3,""))</f>
        <v/>
      </c>
      <c r="GO50" s="85">
        <f>IF(EA50="","",IFERROR(EA50*HSI!$B$48*HSI!$G$48/HSI!$B$3,""))</f>
        <v/>
      </c>
      <c r="GP50" s="85">
        <f>IF(EB50="","",IFERROR(EB50*HSI!$B$48*HSI!$G$48/HSI!$B$3,""))</f>
        <v/>
      </c>
      <c r="GQ50" s="85">
        <f>IF(EC50="","",IFERROR(EC50*HSI!$B$48*HSI!$G$48/HSI!$B$3,""))</f>
        <v/>
      </c>
    </row>
    <row r="51">
      <c r="B51" s="2">
        <f>IF(HSI!$C$49="","",HSI!$C$49)</f>
        <v/>
      </c>
      <c r="C51" s="41">
        <f>IF(N('Dvd Calendar'!$E$640)=0,"",IF(('Dvd Calendar'!$E$640&gt;=MIN(DATE(Summary!$C$12,1,1),Summary!$C$11))*('Dvd Calendar'!$E$640&lt;=MAX(DATE(Summary!$C$12,12,31),Summary!$C$15))*('Dvd Calendar'!$E$640&lt;=Summary!$C$11)=0,"",'Dvd Calendar'!$E$640*1000000000+ISNUMBER('Dvd Calendar'!$E$641)*100000000+('Dvd Calendar'!$E$645='Field Check'!$C$25)*10000000+(N('Dvd Calendar'!$E$639)&gt;0)*1000000+43*1000+1))</f>
        <v/>
      </c>
      <c r="D51" s="41">
        <f>IF(N('Dvd Calendar'!$F$640)=0,"",IF(('Dvd Calendar'!$F$640&gt;=MIN(DATE(Summary!$C$12,1,1),Summary!$C$11))*('Dvd Calendar'!$F$640&lt;=MAX(DATE(Summary!$C$12,12,31),Summary!$C$15))*('Dvd Calendar'!$F$640&lt;=Summary!$C$11)=0,"",'Dvd Calendar'!$F$640*1000000000+ISNUMBER('Dvd Calendar'!$F$641)*100000000+('Dvd Calendar'!$F$645='Field Check'!$C$25)*10000000+(N('Dvd Calendar'!$F$639)&gt;0)*1000000+43*1000+2))</f>
        <v/>
      </c>
      <c r="E51" s="41">
        <f>IF(N('Dvd Calendar'!$G$640)=0,"",IF(('Dvd Calendar'!$G$640&gt;=MIN(DATE(Summary!$C$12,1,1),Summary!$C$11))*('Dvd Calendar'!$G$640&lt;=MAX(DATE(Summary!$C$12,12,31),Summary!$C$15))*('Dvd Calendar'!$G$640&lt;=Summary!$C$11)=0,"",'Dvd Calendar'!$G$640*1000000000+ISNUMBER('Dvd Calendar'!$G$641)*100000000+('Dvd Calendar'!$G$645='Field Check'!$C$25)*10000000+(N('Dvd Calendar'!$G$639)&gt;0)*1000000+43*1000+3))</f>
        <v/>
      </c>
      <c r="F51" s="41">
        <f>IF(N('Dvd Calendar'!$H$640)=0,"",IF(('Dvd Calendar'!$H$640&gt;=MIN(DATE(Summary!$C$12,1,1),Summary!$C$11))*('Dvd Calendar'!$H$640&lt;=MAX(DATE(Summary!$C$12,12,31),Summary!$C$15))*('Dvd Calendar'!$H$640&lt;=Summary!$C$11)=0,"",'Dvd Calendar'!$H$640*1000000000+ISNUMBER('Dvd Calendar'!$H$641)*100000000+('Dvd Calendar'!$H$645='Field Check'!$C$25)*10000000+(N('Dvd Calendar'!$H$639)&gt;0)*1000000+43*1000+4))</f>
        <v/>
      </c>
      <c r="G51" s="41">
        <f>IF(N('Dvd Calendar'!$I$640)=0,"",IF(('Dvd Calendar'!$I$640&gt;=MIN(DATE(Summary!$C$12,1,1),Summary!$C$11))*('Dvd Calendar'!$I$640&lt;=MAX(DATE(Summary!$C$12,12,31),Summary!$C$15))*('Dvd Calendar'!$I$640&lt;=Summary!$C$11)=0,"",'Dvd Calendar'!$I$640*1000000000+ISNUMBER('Dvd Calendar'!$I$641)*100000000+('Dvd Calendar'!$I$645='Field Check'!$C$25)*10000000+(N('Dvd Calendar'!$I$639)&gt;0)*1000000+43*1000+5))</f>
        <v/>
      </c>
      <c r="H51" s="41">
        <f>IF(N('Dvd Calendar'!$J$640)=0,"",IF(('Dvd Calendar'!$J$640&gt;=MIN(DATE(Summary!$C$12,1,1),Summary!$C$11))*('Dvd Calendar'!$J$640&lt;=MAX(DATE(Summary!$C$12,12,31),Summary!$C$15))*('Dvd Calendar'!$J$640&lt;=Summary!$C$11)=0,"",'Dvd Calendar'!$J$640*1000000000+ISNUMBER('Dvd Calendar'!$J$641)*100000000+('Dvd Calendar'!$J$645='Field Check'!$C$25)*10000000+(N('Dvd Calendar'!$J$639)&gt;0)*1000000+43*1000+6))</f>
        <v/>
      </c>
      <c r="I51" s="41">
        <f>IF(N('Dvd Calendar'!$K$640)=0,"",IF(('Dvd Calendar'!$K$640&gt;=MIN(DATE(Summary!$C$12,1,1),Summary!$C$11))*('Dvd Calendar'!$K$640&lt;=MAX(DATE(Summary!$C$12,12,31),Summary!$C$15))*('Dvd Calendar'!$K$640&lt;=Summary!$C$11)=0,"",'Dvd Calendar'!$K$640*1000000000+ISNUMBER('Dvd Calendar'!$K$641)*100000000+('Dvd Calendar'!$K$645='Field Check'!$C$25)*10000000+(N('Dvd Calendar'!$K$639)&gt;0)*1000000+43*1000+7))</f>
        <v/>
      </c>
      <c r="J51" s="41">
        <f>IF(N('Dvd Calendar'!$L$640)=0,"",IF(('Dvd Calendar'!$L$640&gt;=MIN(DATE(Summary!$C$12,1,1),Summary!$C$11))*('Dvd Calendar'!$L$640&lt;=MAX(DATE(Summary!$C$12,12,31),Summary!$C$15))*('Dvd Calendar'!$L$640&lt;=Summary!$C$11)=0,"",'Dvd Calendar'!$L$640*1000000000+ISNUMBER('Dvd Calendar'!$L$641)*100000000+('Dvd Calendar'!$L$645='Field Check'!$C$25)*10000000+(N('Dvd Calendar'!$L$639)&gt;0)*1000000+43*1000+8))</f>
        <v/>
      </c>
      <c r="K51" s="41">
        <f>IF(N('Dvd Calendar'!$M$640)=0,"",IF(('Dvd Calendar'!$M$640&gt;=MIN(DATE(Summary!$C$12,1,1),Summary!$C$11))*('Dvd Calendar'!$M$640&lt;=MAX(DATE(Summary!$C$12,12,31),Summary!$C$15))*('Dvd Calendar'!$M$640&lt;=Summary!$C$11)=0,"",'Dvd Calendar'!$M$640*1000000000+ISNUMBER('Dvd Calendar'!$M$641)*100000000+('Dvd Calendar'!$M$645='Field Check'!$C$25)*10000000+(N('Dvd Calendar'!$M$639)&gt;0)*1000000+43*1000+9))</f>
        <v/>
      </c>
      <c r="L51" s="41">
        <f>IF(N('Dvd Calendar'!$N$640)=0,"",IF(('Dvd Calendar'!$N$640&gt;=MIN(DATE(Summary!$C$12,1,1),Summary!$C$11))*('Dvd Calendar'!$N$640&lt;=MAX(DATE(Summary!$C$12,12,31),Summary!$C$15))*('Dvd Calendar'!$N$640&lt;=Summary!$C$11)=0,"",'Dvd Calendar'!$N$640*1000000000+ISNUMBER('Dvd Calendar'!$N$641)*100000000+('Dvd Calendar'!$N$645='Field Check'!$C$25)*10000000+(N('Dvd Calendar'!$N$639)&gt;0)*1000000+43*1000+10))</f>
        <v/>
      </c>
      <c r="M51" s="41">
        <f>IF(N('Dvd Calendar'!$O$640)=0,"",IF(('Dvd Calendar'!$O$640&gt;=MIN(DATE(Summary!$C$12,1,1),Summary!$C$11))*('Dvd Calendar'!$O$640&lt;=MAX(DATE(Summary!$C$12,12,31),Summary!$C$15))*('Dvd Calendar'!$O$640&lt;=Summary!$C$11)=0,"",'Dvd Calendar'!$O$640*1000000000+ISNUMBER('Dvd Calendar'!$O$641)*100000000+('Dvd Calendar'!$O$645='Field Check'!$C$25)*10000000+(N('Dvd Calendar'!$O$639)&gt;0)*1000000+43*1000+11))</f>
        <v/>
      </c>
      <c r="N51" s="41">
        <f>IF(N('Dvd Calendar'!$P$640)=0,"",IF(('Dvd Calendar'!$P$640&gt;=MIN(DATE(Summary!$C$12,1,1),Summary!$C$11))*('Dvd Calendar'!$P$640&lt;=MAX(DATE(Summary!$C$12,12,31),Summary!$C$15))*('Dvd Calendar'!$P$640&lt;=Summary!$C$11)=0,"",'Dvd Calendar'!$P$640*1000000000+ISNUMBER('Dvd Calendar'!$P$641)*100000000+('Dvd Calendar'!$P$645='Field Check'!$C$25)*10000000+(N('Dvd Calendar'!$P$639)&gt;0)*1000000+43*1000+12))</f>
        <v/>
      </c>
      <c r="O51" s="41">
        <f>IF(N('Dvd Calendar'!$Q$640)=0,"",IF(('Dvd Calendar'!$Q$640&gt;=MIN(DATE(Summary!$C$12,1,1),Summary!$C$11))*('Dvd Calendar'!$Q$640&lt;=MAX(DATE(Summary!$C$12,12,31),Summary!$C$15))*('Dvd Calendar'!$Q$640&lt;=Summary!$C$11)=0,"",'Dvd Calendar'!$Q$640*1000000000+ISNUMBER('Dvd Calendar'!$Q$641)*100000000+('Dvd Calendar'!$Q$645='Field Check'!$C$25)*10000000+(N('Dvd Calendar'!$Q$639)&gt;0)*1000000+43*1000+13))</f>
        <v/>
      </c>
      <c r="P51" s="41">
        <f>IF(N('Dvd Calendar'!$R$640)=0,"",IF(('Dvd Calendar'!$R$640&gt;=MIN(DATE(Summary!$C$12,1,1),Summary!$C$11))*('Dvd Calendar'!$R$640&lt;=MAX(DATE(Summary!$C$12,12,31),Summary!$C$15))*('Dvd Calendar'!$R$640&lt;=Summary!$C$11)=0,"",'Dvd Calendar'!$R$640*1000000000+ISNUMBER('Dvd Calendar'!$R$641)*100000000+('Dvd Calendar'!$R$645='Field Check'!$C$25)*10000000+(N('Dvd Calendar'!$R$639)&gt;0)*1000000+43*1000+14))</f>
        <v/>
      </c>
      <c r="Q51" s="41">
        <f>IF(N('Dvd Calendar'!$S$640)=0,"",IF(('Dvd Calendar'!$S$640&gt;=MIN(DATE(Summary!$C$12,1,1),Summary!$C$11))*('Dvd Calendar'!$S$640&lt;=MAX(DATE(Summary!$C$12,12,31),Summary!$C$15))*('Dvd Calendar'!$S$640&lt;=Summary!$C$11)=0,"",'Dvd Calendar'!$S$640*1000000000+ISNUMBER('Dvd Calendar'!$S$641)*100000000+('Dvd Calendar'!$S$645='Field Check'!$C$25)*10000000+(N('Dvd Calendar'!$S$639)&gt;0)*1000000+43*1000+15))</f>
        <v/>
      </c>
      <c r="R51" s="41">
        <f>IF(N('Dvd Calendar'!$T$640)=0,"",IF(('Dvd Calendar'!$T$640&gt;=MIN(DATE(Summary!$C$12,1,1),Summary!$C$11))*('Dvd Calendar'!$T$640&lt;=MAX(DATE(Summary!$C$12,12,31),Summary!$C$15))*('Dvd Calendar'!$T$640&lt;=Summary!$C$11)=0,"",'Dvd Calendar'!$T$640*1000000000+ISNUMBER('Dvd Calendar'!$T$641)*100000000+('Dvd Calendar'!$T$645='Field Check'!$C$25)*10000000+(N('Dvd Calendar'!$T$639)&gt;0)*1000000+43*1000+16))</f>
        <v/>
      </c>
      <c r="S51" s="41">
        <f>IF(N('Dvd Calendar'!$U$640)=0,"",IF(('Dvd Calendar'!$U$640&gt;=MIN(DATE(Summary!$C$12,1,1),Summary!$C$11))*('Dvd Calendar'!$U$640&lt;=MAX(DATE(Summary!$C$12,12,31),Summary!$C$15))*('Dvd Calendar'!$U$640&lt;=Summary!$C$11)=0,"",'Dvd Calendar'!$U$640*1000000000+ISNUMBER('Dvd Calendar'!$U$641)*100000000+('Dvd Calendar'!$U$645='Field Check'!$C$25)*10000000+(N('Dvd Calendar'!$U$639)&gt;0)*1000000+43*1000+17))</f>
        <v/>
      </c>
      <c r="T51" s="41">
        <f>IF(N('Dvd Calendar'!$V$640)=0,"",IF(('Dvd Calendar'!$V$640&gt;=MIN(DATE(Summary!$C$12,1,1),Summary!$C$11))*('Dvd Calendar'!$V$640&lt;=MAX(DATE(Summary!$C$12,12,31),Summary!$C$15))*('Dvd Calendar'!$V$640&lt;=Summary!$C$11)=0,"",'Dvd Calendar'!$V$640*1000000000+ISNUMBER('Dvd Calendar'!$V$641)*100000000+('Dvd Calendar'!$V$645='Field Check'!$C$25)*10000000+(N('Dvd Calendar'!$V$639)&gt;0)*1000000+43*1000+18))</f>
        <v/>
      </c>
      <c r="U51" s="41">
        <f>IF(N('Dvd Calendar'!$W$640)=0,"",IF(('Dvd Calendar'!$W$640&gt;=MIN(DATE(Summary!$C$12,1,1),Summary!$C$11))*('Dvd Calendar'!$W$640&lt;=MAX(DATE(Summary!$C$12,12,31),Summary!$C$15))*('Dvd Calendar'!$W$640&lt;=Summary!$C$11)=0,"",'Dvd Calendar'!$W$640*1000000000+ISNUMBER('Dvd Calendar'!$W$641)*100000000+('Dvd Calendar'!$W$645='Field Check'!$C$25)*10000000+(N('Dvd Calendar'!$W$639)&gt;0)*1000000+43*1000+19))</f>
        <v/>
      </c>
      <c r="V51" s="41">
        <f>IF(N('Dvd Calendar'!$X$640)=0,"",IF(('Dvd Calendar'!$X$640&gt;=MIN(DATE(Summary!$C$12,1,1),Summary!$C$11))*('Dvd Calendar'!$X$640&lt;=MAX(DATE(Summary!$C$12,12,31),Summary!$C$15))*('Dvd Calendar'!$X$640&lt;=Summary!$C$11)=0,"",'Dvd Calendar'!$X$640*1000000000+ISNUMBER('Dvd Calendar'!$X$641)*100000000+('Dvd Calendar'!$X$645='Field Check'!$C$25)*10000000+(N('Dvd Calendar'!$X$639)&gt;0)*1000000+43*1000+20))</f>
        <v/>
      </c>
      <c r="W51" s="41">
        <f>IF(N('Dvd Calendar'!$Y$640)=0,"",IF(('Dvd Calendar'!$Y$640&gt;=MIN(DATE(Summary!$C$12,1,1),Summary!$C$11))*('Dvd Calendar'!$Y$640&lt;=MAX(DATE(Summary!$C$12,12,31),Summary!$C$15))*('Dvd Calendar'!$Y$640&lt;=Summary!$C$11)=0,"",'Dvd Calendar'!$Y$640*1000000000+ISNUMBER('Dvd Calendar'!$Y$641)*100000000+('Dvd Calendar'!$Y$645='Field Check'!$C$25)*10000000+(N('Dvd Calendar'!$Y$639)&gt;0)*1000000+43*1000+21))</f>
        <v/>
      </c>
      <c r="X51" s="41">
        <f>IF(N('Dvd Calendar'!$Z$640)=0,"",IF(('Dvd Calendar'!$Z$640&gt;=MIN(DATE(Summary!$C$12,1,1),Summary!$C$11))*('Dvd Calendar'!$Z$640&lt;=MAX(DATE(Summary!$C$12,12,31),Summary!$C$15))*('Dvd Calendar'!$Z$640&lt;=Summary!$C$11)=0,"",'Dvd Calendar'!$Z$640*1000000000+ISNUMBER('Dvd Calendar'!$Z$641)*100000000+('Dvd Calendar'!$Z$645='Field Check'!$C$25)*10000000+(N('Dvd Calendar'!$Z$639)&gt;0)*1000000+43*1000+22))</f>
        <v/>
      </c>
      <c r="Y51" s="41">
        <f>IF(N('Dvd Calendar'!$AA$640)=0,"",IF(('Dvd Calendar'!$AA$640&gt;=MIN(DATE(Summary!$C$12,1,1),Summary!$C$11))*('Dvd Calendar'!$AA$640&lt;=MAX(DATE(Summary!$C$12,12,31),Summary!$C$15))*('Dvd Calendar'!$AA$640&lt;=Summary!$C$11)=0,"",'Dvd Calendar'!$AA$640*1000000000+ISNUMBER('Dvd Calendar'!$AA$641)*100000000+('Dvd Calendar'!$AA$645='Field Check'!$C$25)*10000000+(N('Dvd Calendar'!$AA$639)&gt;0)*1000000+43*1000+23))</f>
        <v/>
      </c>
      <c r="Z51" s="41">
        <f>IF(N('Dvd Calendar'!$AB$640)=0,"",IF(('Dvd Calendar'!$AB$640&gt;=MIN(DATE(Summary!$C$12,1,1),Summary!$C$11))*('Dvd Calendar'!$AB$640&lt;=MAX(DATE(Summary!$C$12,12,31),Summary!$C$15))*('Dvd Calendar'!$AB$640&lt;=Summary!$C$11)=0,"",'Dvd Calendar'!$AB$640*1000000000+ISNUMBER('Dvd Calendar'!$AB$641)*100000000+('Dvd Calendar'!$AB$645='Field Check'!$C$25)*10000000+(N('Dvd Calendar'!$AB$639)&gt;0)*1000000+43*1000+24))</f>
        <v/>
      </c>
      <c r="AA51" s="41">
        <f>IF(N('Dvd Calendar'!$AC$640)=0,"",IF(('Dvd Calendar'!$AC$640&gt;=MIN(DATE(Summary!$C$12,1,1),Summary!$C$11))*('Dvd Calendar'!$AC$640&lt;=MAX(DATE(Summary!$C$12,12,31),Summary!$C$15))*('Dvd Calendar'!$AC$640&lt;=Summary!$C$11)=0,"",'Dvd Calendar'!$AC$640*1000000000+ISNUMBER('Dvd Calendar'!$AC$641)*100000000+('Dvd Calendar'!$AC$645='Field Check'!$C$25)*10000000+(N('Dvd Calendar'!$AC$639)&gt;0)*1000000+43*1000+25))</f>
        <v/>
      </c>
      <c r="AB51" s="41">
        <f>IF(N('Dvd Calendar'!$AD$640)=0,"",IF(('Dvd Calendar'!$AD$640&gt;=MIN(DATE(Summary!$C$12,1,1),Summary!$C$11))*('Dvd Calendar'!$AD$640&lt;=MAX(DATE(Summary!$C$12,12,31),Summary!$C$15))*('Dvd Calendar'!$AD$640&lt;=Summary!$C$11)=0,"",'Dvd Calendar'!$AD$640*1000000000+ISNUMBER('Dvd Calendar'!$AD$641)*100000000+('Dvd Calendar'!$AD$645='Field Check'!$C$25)*10000000+(N('Dvd Calendar'!$AD$639)&gt;0)*1000000+43*1000+26))</f>
        <v/>
      </c>
      <c r="AC51" s="41">
        <f>IF(N('Dvd Calendar'!$AE$640)=0,"",IF(('Dvd Calendar'!$AE$640&gt;=MIN(DATE(Summary!$C$12,1,1),Summary!$C$11))*('Dvd Calendar'!$AE$640&lt;=MAX(DATE(Summary!$C$12,12,31),Summary!$C$15))*('Dvd Calendar'!$AE$640&lt;=Summary!$C$11)=0,"",'Dvd Calendar'!$AE$640*1000000000+ISNUMBER('Dvd Calendar'!$AE$641)*100000000+('Dvd Calendar'!$AE$645='Field Check'!$C$25)*10000000+(N('Dvd Calendar'!$AE$639)&gt;0)*1000000+43*1000+27))</f>
        <v/>
      </c>
      <c r="AD51" s="41">
        <f>IF(N('Dvd Calendar'!$AF$640)=0,"",IF(('Dvd Calendar'!$AF$640&gt;=MIN(DATE(Summary!$C$12,1,1),Summary!$C$11))*('Dvd Calendar'!$AF$640&lt;=MAX(DATE(Summary!$C$12,12,31),Summary!$C$15))*('Dvd Calendar'!$AF$640&lt;=Summary!$C$11)=0,"",'Dvd Calendar'!$AF$640*1000000000+ISNUMBER('Dvd Calendar'!$AF$641)*100000000+('Dvd Calendar'!$AF$645='Field Check'!$C$25)*10000000+(N('Dvd Calendar'!$AF$639)&gt;0)*1000000+43*1000+28))</f>
        <v/>
      </c>
      <c r="AE51" s="41">
        <f>IF(N('Dvd Calendar'!$AG$640)=0,"",IF(('Dvd Calendar'!$AG$640&gt;=MIN(DATE(Summary!$C$12,1,1),Summary!$C$11))*('Dvd Calendar'!$AG$640&lt;=MAX(DATE(Summary!$C$12,12,31),Summary!$C$15))*('Dvd Calendar'!$AG$640&lt;=Summary!$C$11)=0,"",'Dvd Calendar'!$AG$640*1000000000+ISNUMBER('Dvd Calendar'!$AG$641)*100000000+('Dvd Calendar'!$AG$645='Field Check'!$C$25)*10000000+(N('Dvd Calendar'!$AG$639)&gt;0)*1000000+43*1000+29))</f>
        <v/>
      </c>
      <c r="AF51" s="41">
        <f>IF(N('Dvd Calendar'!$AH$640)=0,"",IF(('Dvd Calendar'!$AH$640&gt;=MIN(DATE(Summary!$C$12,1,1),Summary!$C$11))*('Dvd Calendar'!$AH$640&lt;=MAX(DATE(Summary!$C$12,12,31),Summary!$C$15))*('Dvd Calendar'!$AH$640&lt;=Summary!$C$11)=0,"",'Dvd Calendar'!$AH$640*1000000000+ISNUMBER('Dvd Calendar'!$AH$641)*100000000+('Dvd Calendar'!$AH$645='Field Check'!$C$25)*10000000+(N('Dvd Calendar'!$AH$639)&gt;0)*1000000+43*1000+30))</f>
        <v/>
      </c>
      <c r="AG51" s="41">
        <f>IF(N('Dvd Calendar'!$AI$640)=0,"",IF(('Dvd Calendar'!$AI$640&gt;=MIN(DATE(Summary!$C$12,1,1),Summary!$C$11))*('Dvd Calendar'!$AI$640&lt;=MAX(DATE(Summary!$C$12,12,31),Summary!$C$15))*('Dvd Calendar'!$AI$640&lt;=Summary!$C$11)=0,"",'Dvd Calendar'!$AI$640*1000000000+ISNUMBER('Dvd Calendar'!$AI$641)*100000000+('Dvd Calendar'!$AI$645='Field Check'!$C$25)*10000000+(N('Dvd Calendar'!$AI$639)&gt;0)*1000000+43*1000+31))</f>
        <v/>
      </c>
      <c r="AH51" s="41">
        <f>IF(N('Dvd Calendar'!$AJ$640)=0,"",IF(('Dvd Calendar'!$AJ$640&gt;=MIN(DATE(Summary!$C$12,1,1),Summary!$C$11))*('Dvd Calendar'!$AJ$640&lt;=MAX(DATE(Summary!$C$12,12,31),Summary!$C$15))*('Dvd Calendar'!$AJ$640&lt;=Summary!$C$11)=0,"",'Dvd Calendar'!$AJ$640*1000000000+ISNUMBER('Dvd Calendar'!$AJ$641)*100000000+('Dvd Calendar'!$AJ$645='Field Check'!$C$25)*10000000+(N('Dvd Calendar'!$AJ$639)&gt;0)*1000000+43*1000+32))</f>
        <v/>
      </c>
      <c r="AI51" s="41">
        <f>IF(N('Dvd Calendar'!$AK$640)=0,"",IF(('Dvd Calendar'!$AK$640&gt;=MIN(DATE(Summary!$C$12,1,1),Summary!$C$11))*('Dvd Calendar'!$AK$640&lt;=MAX(DATE(Summary!$C$12,12,31),Summary!$C$15))*('Dvd Calendar'!$AK$640&lt;=Summary!$C$11)=0,"",'Dvd Calendar'!$AK$640*1000000000+ISNUMBER('Dvd Calendar'!$AK$641)*100000000+('Dvd Calendar'!$AK$645='Field Check'!$C$25)*10000000+(N('Dvd Calendar'!$AK$639)&gt;0)*1000000+43*1000+33))</f>
        <v/>
      </c>
      <c r="AJ51" s="41">
        <f>IF(N('Dvd Calendar'!$AL$640)=0,"",IF(('Dvd Calendar'!$AL$640&gt;=MIN(DATE(Summary!$C$12,1,1),Summary!$C$11))*('Dvd Calendar'!$AL$640&lt;=MAX(DATE(Summary!$C$12,12,31),Summary!$C$15))*('Dvd Calendar'!$AL$640&lt;=Summary!$C$11)=0,"",'Dvd Calendar'!$AL$640*1000000000+ISNUMBER('Dvd Calendar'!$AL$641)*100000000+('Dvd Calendar'!$AL$645='Field Check'!$C$25)*10000000+(N('Dvd Calendar'!$AL$639)&gt;0)*1000000+43*1000+34))</f>
        <v/>
      </c>
      <c r="AK51" s="41">
        <f>IF(N('Dvd Calendar'!$AM$640)=0,"",IF(('Dvd Calendar'!$AM$640&gt;=MIN(DATE(Summary!$C$12,1,1),Summary!$C$11))*('Dvd Calendar'!$AM$640&lt;=MAX(DATE(Summary!$C$12,12,31),Summary!$C$15))*('Dvd Calendar'!$AM$640&lt;=Summary!$C$11)=0,"",'Dvd Calendar'!$AM$640*1000000000+ISNUMBER('Dvd Calendar'!$AM$641)*100000000+('Dvd Calendar'!$AM$645='Field Check'!$C$25)*10000000+(N('Dvd Calendar'!$AM$639)&gt;0)*1000000+43*1000+35))</f>
        <v/>
      </c>
      <c r="AL51" s="41">
        <f>IF(N('Dvd Calendar'!$AN$640)=0,"",IF(('Dvd Calendar'!$AN$640&gt;=MIN(DATE(Summary!$C$12,1,1),Summary!$C$11))*('Dvd Calendar'!$AN$640&lt;=MAX(DATE(Summary!$C$12,12,31),Summary!$C$15))*('Dvd Calendar'!$AN$640&lt;=Summary!$C$11)=0,"",'Dvd Calendar'!$AN$640*1000000000+ISNUMBER('Dvd Calendar'!$AN$641)*100000000+('Dvd Calendar'!$AN$645='Field Check'!$C$25)*10000000+(N('Dvd Calendar'!$AN$639)&gt;0)*1000000+43*1000+36))</f>
        <v/>
      </c>
      <c r="AM51" s="41">
        <f>IF(N('Dvd Calendar'!$AO$640)=0,"",IF(('Dvd Calendar'!$AO$640&gt;=MIN(DATE(Summary!$C$12,1,1),Summary!$C$11))*('Dvd Calendar'!$AO$640&lt;=MAX(DATE(Summary!$C$12,12,31),Summary!$C$15))*('Dvd Calendar'!$AO$640&lt;=Summary!$C$11)=0,"",'Dvd Calendar'!$AO$640*1000000000+ISNUMBER('Dvd Calendar'!$AO$641)*100000000+('Dvd Calendar'!$AO$645='Field Check'!$C$25)*10000000+(N('Dvd Calendar'!$AO$639)&gt;0)*1000000+43*1000+37))</f>
        <v/>
      </c>
      <c r="AN51" s="41">
        <f>IF(N('Dvd Calendar'!$AP$640)=0,"",IF(('Dvd Calendar'!$AP$640&gt;=MIN(DATE(Summary!$C$12,1,1),Summary!$C$11))*('Dvd Calendar'!$AP$640&lt;=MAX(DATE(Summary!$C$12,12,31),Summary!$C$15))*('Dvd Calendar'!$AP$640&lt;=Summary!$C$11)=0,"",'Dvd Calendar'!$AP$640*1000000000+ISNUMBER('Dvd Calendar'!$AP$641)*100000000+('Dvd Calendar'!$AP$645='Field Check'!$C$25)*10000000+(N('Dvd Calendar'!$AP$639)&gt;0)*1000000+43*1000+38))</f>
        <v/>
      </c>
      <c r="AO51" s="41">
        <f>IF(N('Dvd Calendar'!$AQ$640)=0,"",IF(('Dvd Calendar'!$AQ$640&gt;=MIN(DATE(Summary!$C$12,1,1),Summary!$C$11))*('Dvd Calendar'!$AQ$640&lt;=MAX(DATE(Summary!$C$12,12,31),Summary!$C$15))*('Dvd Calendar'!$AQ$640&lt;=Summary!$C$11)=0,"",'Dvd Calendar'!$AQ$640*1000000000+ISNUMBER('Dvd Calendar'!$AQ$641)*100000000+('Dvd Calendar'!$AQ$645='Field Check'!$C$25)*10000000+(N('Dvd Calendar'!$AQ$639)&gt;0)*1000000+43*1000+39))</f>
        <v/>
      </c>
      <c r="AP51" s="41">
        <f>IF(N('Dvd Calendar'!$AR$640)=0,"",IF(('Dvd Calendar'!$AR$640&gt;=MIN(DATE(Summary!$C$12,1,1),Summary!$C$11))*('Dvd Calendar'!$AR$640&lt;=MAX(DATE(Summary!$C$12,12,31),Summary!$C$15))*('Dvd Calendar'!$AR$640&lt;=Summary!$C$11)=0,"",'Dvd Calendar'!$AR$640*1000000000+ISNUMBER('Dvd Calendar'!$AR$641)*100000000+('Dvd Calendar'!$AR$645='Field Check'!$C$25)*10000000+(N('Dvd Calendar'!$AR$639)&gt;0)*1000000+43*1000+40))</f>
        <v/>
      </c>
      <c r="AQ51" s="41">
        <f>IF(N('Dvd Calendar'!$E$647)=0,"",IF(('Dvd Calendar'!$E$647&gt;=MIN(DATE(Summary!$C$12,1,1),Summary!$C$11))*('Dvd Calendar'!$E$647&lt;=MAX(DATE(Summary!$C$12,12,31),Summary!$C$15))*('Dvd Calendar'!$E$647&gt;Summary!$C$11)=0,"",'Dvd Calendar'!$E$647*1000000000+ISNUMBER('Dvd Calendar'!$E$648)*100000000+('Dvd Calendar'!$E$652='Field Check'!$C$25)*10000000+(N('Dvd Calendar'!$E$646)&gt;0)*1000000+43*1000+41))</f>
        <v/>
      </c>
      <c r="AR51" s="41">
        <f>IF(N('Dvd Calendar'!$F$647)=0,"",IF(('Dvd Calendar'!$F$647&gt;=MIN(DATE(Summary!$C$12,1,1),Summary!$C$11))*('Dvd Calendar'!$F$647&lt;=MAX(DATE(Summary!$C$12,12,31),Summary!$C$15))*('Dvd Calendar'!$F$647&gt;Summary!$C$11)=0,"",'Dvd Calendar'!$F$647*1000000000+ISNUMBER('Dvd Calendar'!$F$648)*100000000+('Dvd Calendar'!$F$652='Field Check'!$C$25)*10000000+(N('Dvd Calendar'!$F$646)&gt;0)*1000000+43*1000+42))</f>
        <v/>
      </c>
      <c r="AS51" s="41">
        <f>IF(N('Dvd Calendar'!$G$647)=0,"",IF(('Dvd Calendar'!$G$647&gt;=MIN(DATE(Summary!$C$12,1,1),Summary!$C$11))*('Dvd Calendar'!$G$647&lt;=MAX(DATE(Summary!$C$12,12,31),Summary!$C$15))*('Dvd Calendar'!$G$647&gt;Summary!$C$11)=0,"",'Dvd Calendar'!$G$647*1000000000+ISNUMBER('Dvd Calendar'!$G$648)*100000000+('Dvd Calendar'!$G$652='Field Check'!$C$25)*10000000+(N('Dvd Calendar'!$G$646)&gt;0)*1000000+43*1000+43))</f>
        <v/>
      </c>
      <c r="AT51" s="41">
        <f>IF(N('Dvd Calendar'!$H$647)=0,"",IF(('Dvd Calendar'!$H$647&gt;=MIN(DATE(Summary!$C$12,1,1),Summary!$C$11))*('Dvd Calendar'!$H$647&lt;=MAX(DATE(Summary!$C$12,12,31),Summary!$C$15))*('Dvd Calendar'!$H$647&gt;Summary!$C$11)=0,"",'Dvd Calendar'!$H$647*1000000000+ISNUMBER('Dvd Calendar'!$H$648)*100000000+('Dvd Calendar'!$H$652='Field Check'!$C$25)*10000000+(N('Dvd Calendar'!$H$646)&gt;0)*1000000+43*1000+44))</f>
        <v/>
      </c>
      <c r="AU51" s="41">
        <f>IF(N('Dvd Calendar'!$I$647)=0,"",IF(('Dvd Calendar'!$I$647&gt;=MIN(DATE(Summary!$C$12,1,1),Summary!$C$11))*('Dvd Calendar'!$I$647&lt;=MAX(DATE(Summary!$C$12,12,31),Summary!$C$15))*('Dvd Calendar'!$I$647&gt;Summary!$C$11)=0,"",'Dvd Calendar'!$I$647*1000000000+ISNUMBER('Dvd Calendar'!$I$648)*100000000+('Dvd Calendar'!$I$652='Field Check'!$C$25)*10000000+(N('Dvd Calendar'!$I$646)&gt;0)*1000000+43*1000+45))</f>
        <v/>
      </c>
      <c r="AV51" s="41">
        <f>IF(N('Dvd Calendar'!$J$647)=0,"",IF(('Dvd Calendar'!$J$647&gt;=MIN(DATE(Summary!$C$12,1,1),Summary!$C$11))*('Dvd Calendar'!$J$647&lt;=MAX(DATE(Summary!$C$12,12,31),Summary!$C$15))*('Dvd Calendar'!$J$647&gt;Summary!$C$11)=0,"",'Dvd Calendar'!$J$647*1000000000+ISNUMBER('Dvd Calendar'!$J$648)*100000000+('Dvd Calendar'!$J$652='Field Check'!$C$25)*10000000+(N('Dvd Calendar'!$J$646)&gt;0)*1000000+43*1000+46))</f>
        <v/>
      </c>
      <c r="AW51" s="41">
        <f>IF(N('Dvd Calendar'!$K$647)=0,"",IF(('Dvd Calendar'!$K$647&gt;=MIN(DATE(Summary!$C$12,1,1),Summary!$C$11))*('Dvd Calendar'!$K$647&lt;=MAX(DATE(Summary!$C$12,12,31),Summary!$C$15))*('Dvd Calendar'!$K$647&gt;Summary!$C$11)=0,"",'Dvd Calendar'!$K$647*1000000000+ISNUMBER('Dvd Calendar'!$K$648)*100000000+('Dvd Calendar'!$K$652='Field Check'!$C$25)*10000000+(N('Dvd Calendar'!$K$646)&gt;0)*1000000+43*1000+47))</f>
        <v/>
      </c>
      <c r="AX51" s="41">
        <f>IF(N('Dvd Calendar'!$L$647)=0,"",IF(('Dvd Calendar'!$L$647&gt;=MIN(DATE(Summary!$C$12,1,1),Summary!$C$11))*('Dvd Calendar'!$L$647&lt;=MAX(DATE(Summary!$C$12,12,31),Summary!$C$15))*('Dvd Calendar'!$L$647&gt;Summary!$C$11)=0,"",'Dvd Calendar'!$L$647*1000000000+ISNUMBER('Dvd Calendar'!$L$648)*100000000+('Dvd Calendar'!$L$652='Field Check'!$C$25)*10000000+(N('Dvd Calendar'!$L$646)&gt;0)*1000000+43*1000+48))</f>
        <v/>
      </c>
      <c r="AY51" s="41">
        <f>IF(N('Dvd Calendar'!$M$647)=0,"",IF(('Dvd Calendar'!$M$647&gt;=MIN(DATE(Summary!$C$12,1,1),Summary!$C$11))*('Dvd Calendar'!$M$647&lt;=MAX(DATE(Summary!$C$12,12,31),Summary!$C$15))*('Dvd Calendar'!$M$647&gt;Summary!$C$11)=0,"",'Dvd Calendar'!$M$647*1000000000+ISNUMBER('Dvd Calendar'!$M$648)*100000000+('Dvd Calendar'!$M$652='Field Check'!$C$25)*10000000+(N('Dvd Calendar'!$M$646)&gt;0)*1000000+43*1000+49))</f>
        <v/>
      </c>
      <c r="AZ51" s="41">
        <f>IF(N('Dvd Calendar'!$N$647)=0,"",IF(('Dvd Calendar'!$N$647&gt;=MIN(DATE(Summary!$C$12,1,1),Summary!$C$11))*('Dvd Calendar'!$N$647&lt;=MAX(DATE(Summary!$C$12,12,31),Summary!$C$15))*('Dvd Calendar'!$N$647&gt;Summary!$C$11)=0,"",'Dvd Calendar'!$N$647*1000000000+ISNUMBER('Dvd Calendar'!$N$648)*100000000+('Dvd Calendar'!$N$652='Field Check'!$C$25)*10000000+(N('Dvd Calendar'!$N$646)&gt;0)*1000000+43*1000+50))</f>
        <v/>
      </c>
      <c r="BA51" s="41">
        <f>IF(N('Dvd Calendar'!$O$647)=0,"",IF(('Dvd Calendar'!$O$647&gt;=MIN(DATE(Summary!$C$12,1,1),Summary!$C$11))*('Dvd Calendar'!$O$647&lt;=MAX(DATE(Summary!$C$12,12,31),Summary!$C$15))*('Dvd Calendar'!$O$647&gt;Summary!$C$11)=0,"",'Dvd Calendar'!$O$647*1000000000+ISNUMBER('Dvd Calendar'!$O$648)*100000000+('Dvd Calendar'!$O$652='Field Check'!$C$25)*10000000+(N('Dvd Calendar'!$O$646)&gt;0)*1000000+43*1000+51))</f>
        <v/>
      </c>
      <c r="BB51" s="41">
        <f>IF(N('Dvd Calendar'!$P$647)=0,"",IF(('Dvd Calendar'!$P$647&gt;=MIN(DATE(Summary!$C$12,1,1),Summary!$C$11))*('Dvd Calendar'!$P$647&lt;=MAX(DATE(Summary!$C$12,12,31),Summary!$C$15))*('Dvd Calendar'!$P$647&gt;Summary!$C$11)=0,"",'Dvd Calendar'!$P$647*1000000000+ISNUMBER('Dvd Calendar'!$P$648)*100000000+('Dvd Calendar'!$P$652='Field Check'!$C$25)*10000000+(N('Dvd Calendar'!$P$646)&gt;0)*1000000+43*1000+52))</f>
        <v/>
      </c>
      <c r="BC51" s="41">
        <f>IF(N('Dvd Calendar'!$Q$647)=0,"",IF(('Dvd Calendar'!$Q$647&gt;=MIN(DATE(Summary!$C$12,1,1),Summary!$C$11))*('Dvd Calendar'!$Q$647&lt;=MAX(DATE(Summary!$C$12,12,31),Summary!$C$15))*('Dvd Calendar'!$Q$647&gt;Summary!$C$11)=0,"",'Dvd Calendar'!$Q$647*1000000000+ISNUMBER('Dvd Calendar'!$Q$648)*100000000+('Dvd Calendar'!$Q$652='Field Check'!$C$25)*10000000+(N('Dvd Calendar'!$Q$646)&gt;0)*1000000+43*1000+53))</f>
        <v/>
      </c>
      <c r="BD51" s="41">
        <f>IF(N('Dvd Calendar'!$R$647)=0,"",IF(('Dvd Calendar'!$R$647&gt;=MIN(DATE(Summary!$C$12,1,1),Summary!$C$11))*('Dvd Calendar'!$R$647&lt;=MAX(DATE(Summary!$C$12,12,31),Summary!$C$15))*('Dvd Calendar'!$R$647&gt;Summary!$C$11)=0,"",'Dvd Calendar'!$R$647*1000000000+ISNUMBER('Dvd Calendar'!$R$648)*100000000+('Dvd Calendar'!$R$652='Field Check'!$C$25)*10000000+(N('Dvd Calendar'!$R$646)&gt;0)*1000000+43*1000+54))</f>
        <v/>
      </c>
      <c r="BE51" s="41">
        <f>IF(N('Dvd Calendar'!$S$647)=0,"",IF(('Dvd Calendar'!$S$647&gt;=MIN(DATE(Summary!$C$12,1,1),Summary!$C$11))*('Dvd Calendar'!$S$647&lt;=MAX(DATE(Summary!$C$12,12,31),Summary!$C$15))*('Dvd Calendar'!$S$647&gt;Summary!$C$11)=0,"",'Dvd Calendar'!$S$647*1000000000+ISNUMBER('Dvd Calendar'!$S$648)*100000000+('Dvd Calendar'!$S$652='Field Check'!$C$25)*10000000+(N('Dvd Calendar'!$S$646)&gt;0)*1000000+43*1000+55))</f>
        <v/>
      </c>
      <c r="BF51" s="41">
        <f>IF(N('Dvd Calendar'!$T$647)=0,"",IF(('Dvd Calendar'!$T$647&gt;=MIN(DATE(Summary!$C$12,1,1),Summary!$C$11))*('Dvd Calendar'!$T$647&lt;=MAX(DATE(Summary!$C$12,12,31),Summary!$C$15))*('Dvd Calendar'!$T$647&gt;Summary!$C$11)=0,"",'Dvd Calendar'!$T$647*1000000000+ISNUMBER('Dvd Calendar'!$T$648)*100000000+('Dvd Calendar'!$T$652='Field Check'!$C$25)*10000000+(N('Dvd Calendar'!$T$646)&gt;0)*1000000+43*1000+56))</f>
        <v/>
      </c>
      <c r="BG51" s="41">
        <f>IF(N('Dvd Calendar'!$U$647)=0,"",IF(('Dvd Calendar'!$U$647&gt;=MIN(DATE(Summary!$C$12,1,1),Summary!$C$11))*('Dvd Calendar'!$U$647&lt;=MAX(DATE(Summary!$C$12,12,31),Summary!$C$15))*('Dvd Calendar'!$U$647&gt;Summary!$C$11)=0,"",'Dvd Calendar'!$U$647*1000000000+ISNUMBER('Dvd Calendar'!$U$648)*100000000+('Dvd Calendar'!$U$652='Field Check'!$C$25)*10000000+(N('Dvd Calendar'!$U$646)&gt;0)*1000000+43*1000+57))</f>
        <v/>
      </c>
      <c r="BH51" s="41">
        <f>IF(N('Dvd Calendar'!$V$647)=0,"",IF(('Dvd Calendar'!$V$647&gt;=MIN(DATE(Summary!$C$12,1,1),Summary!$C$11))*('Dvd Calendar'!$V$647&lt;=MAX(DATE(Summary!$C$12,12,31),Summary!$C$15))*('Dvd Calendar'!$V$647&gt;Summary!$C$11)=0,"",'Dvd Calendar'!$V$647*1000000000+ISNUMBER('Dvd Calendar'!$V$648)*100000000+('Dvd Calendar'!$V$652='Field Check'!$C$25)*10000000+(N('Dvd Calendar'!$V$646)&gt;0)*1000000+43*1000+58))</f>
        <v/>
      </c>
      <c r="BI51" s="41">
        <f>IF(N('Dvd Calendar'!$W$647)=0,"",IF(('Dvd Calendar'!$W$647&gt;=MIN(DATE(Summary!$C$12,1,1),Summary!$C$11))*('Dvd Calendar'!$W$647&lt;=MAX(DATE(Summary!$C$12,12,31),Summary!$C$15))*('Dvd Calendar'!$W$647&gt;Summary!$C$11)=0,"",'Dvd Calendar'!$W$647*1000000000+ISNUMBER('Dvd Calendar'!$W$648)*100000000+('Dvd Calendar'!$W$652='Field Check'!$C$25)*10000000+(N('Dvd Calendar'!$W$646)&gt;0)*1000000+43*1000+59))</f>
        <v/>
      </c>
      <c r="BJ51" s="41">
        <f>IF(N('Dvd Calendar'!$X$647)=0,"",IF(('Dvd Calendar'!$X$647&gt;=MIN(DATE(Summary!$C$12,1,1),Summary!$C$11))*('Dvd Calendar'!$X$647&lt;=MAX(DATE(Summary!$C$12,12,31),Summary!$C$15))*('Dvd Calendar'!$X$647&gt;Summary!$C$11)=0,"",'Dvd Calendar'!$X$647*1000000000+ISNUMBER('Dvd Calendar'!$X$648)*100000000+('Dvd Calendar'!$X$652='Field Check'!$C$25)*10000000+(N('Dvd Calendar'!$X$646)&gt;0)*1000000+43*1000+60))</f>
        <v/>
      </c>
      <c r="BK51" s="41">
        <f>IF(N('Dvd Calendar'!$Y$647)=0,"",IF(('Dvd Calendar'!$Y$647&gt;=MIN(DATE(Summary!$C$12,1,1),Summary!$C$11))*('Dvd Calendar'!$Y$647&lt;=MAX(DATE(Summary!$C$12,12,31),Summary!$C$15))*('Dvd Calendar'!$Y$647&gt;Summary!$C$11)=0,"",'Dvd Calendar'!$Y$647*1000000000+ISNUMBER('Dvd Calendar'!$Y$648)*100000000+('Dvd Calendar'!$Y$652='Field Check'!$C$25)*10000000+(N('Dvd Calendar'!$Y$646)&gt;0)*1000000+43*1000+61))</f>
        <v/>
      </c>
      <c r="BL51" s="41">
        <f>IF(N('Dvd Calendar'!$Z$647)=0,"",IF(('Dvd Calendar'!$Z$647&gt;=MIN(DATE(Summary!$C$12,1,1),Summary!$C$11))*('Dvd Calendar'!$Z$647&lt;=MAX(DATE(Summary!$C$12,12,31),Summary!$C$15))*('Dvd Calendar'!$Z$647&gt;Summary!$C$11)=0,"",'Dvd Calendar'!$Z$647*1000000000+ISNUMBER('Dvd Calendar'!$Z$648)*100000000+('Dvd Calendar'!$Z$652='Field Check'!$C$25)*10000000+(N('Dvd Calendar'!$Z$646)&gt;0)*1000000+43*1000+62))</f>
        <v/>
      </c>
      <c r="BM51" s="41">
        <f>IF(N('Dvd Calendar'!$AA$647)=0,"",IF(('Dvd Calendar'!$AA$647&gt;=MIN(DATE(Summary!$C$12,1,1),Summary!$C$11))*('Dvd Calendar'!$AA$647&lt;=MAX(DATE(Summary!$C$12,12,31),Summary!$C$15))*('Dvd Calendar'!$AA$647&gt;Summary!$C$11)=0,"",'Dvd Calendar'!$AA$647*1000000000+ISNUMBER('Dvd Calendar'!$AA$648)*100000000+('Dvd Calendar'!$AA$652='Field Check'!$C$25)*10000000+(N('Dvd Calendar'!$AA$646)&gt;0)*1000000+43*1000+63))</f>
        <v/>
      </c>
      <c r="BN51" s="41">
        <f>IF(N('Dvd Calendar'!$AB$647)=0,"",IF(('Dvd Calendar'!$AB$647&gt;=MIN(DATE(Summary!$C$12,1,1),Summary!$C$11))*('Dvd Calendar'!$AB$647&lt;=MAX(DATE(Summary!$C$12,12,31),Summary!$C$15))*('Dvd Calendar'!$AB$647&gt;Summary!$C$11)=0,"",'Dvd Calendar'!$AB$647*1000000000+ISNUMBER('Dvd Calendar'!$AB$648)*100000000+('Dvd Calendar'!$AB$652='Field Check'!$C$25)*10000000+(N('Dvd Calendar'!$AB$646)&gt;0)*1000000+43*1000+64))</f>
        <v/>
      </c>
      <c r="BO51" s="41">
        <f>IF(N('Dvd Calendar'!$AC$647)=0,"",IF(('Dvd Calendar'!$AC$647&gt;=MIN(DATE(Summary!$C$12,1,1),Summary!$C$11))*('Dvd Calendar'!$AC$647&lt;=MAX(DATE(Summary!$C$12,12,31),Summary!$C$15))*('Dvd Calendar'!$AC$647&gt;Summary!$C$11)=0,"",'Dvd Calendar'!$AC$647*1000000000+ISNUMBER('Dvd Calendar'!$AC$648)*100000000+('Dvd Calendar'!$AC$652='Field Check'!$C$25)*10000000+(N('Dvd Calendar'!$AC$646)&gt;0)*1000000+43*1000+65))</f>
        <v/>
      </c>
      <c r="BQ51" s="85">
        <f>IF(C51="","",IF(ISNUMBER('Dvd Calendar'!$E$641)=FALSE,"",IF((Summary!$C$13="N")*('Dvd Calendar'!$E$645='Field Check'!$C$25)&gt;0,"",'Dvd Calendar'!$E$641)))</f>
        <v/>
      </c>
      <c r="BR51" s="85">
        <f>IF(D51="","",IF(ISNUMBER('Dvd Calendar'!$F$641)=FALSE,"",IF((Summary!$C$13="N")*('Dvd Calendar'!$F$645='Field Check'!$C$25)&gt;0,"",'Dvd Calendar'!$F$641)))</f>
        <v/>
      </c>
      <c r="BS51" s="85">
        <f>IF(E51="","",IF(ISNUMBER('Dvd Calendar'!$G$641)=FALSE,"",IF((Summary!$C$13="N")*('Dvd Calendar'!$G$645='Field Check'!$C$25)&gt;0,"",'Dvd Calendar'!$G$641)))</f>
        <v/>
      </c>
      <c r="BT51" s="85">
        <f>IF(F51="","",IF(ISNUMBER('Dvd Calendar'!$H$641)=FALSE,"",IF((Summary!$C$13="N")*('Dvd Calendar'!$H$645='Field Check'!$C$25)&gt;0,"",'Dvd Calendar'!$H$641)))</f>
        <v/>
      </c>
      <c r="BU51" s="85">
        <f>IF(G51="","",IF(ISNUMBER('Dvd Calendar'!$I$641)=FALSE,"",IF((Summary!$C$13="N")*('Dvd Calendar'!$I$645='Field Check'!$C$25)&gt;0,"",'Dvd Calendar'!$I$641)))</f>
        <v/>
      </c>
      <c r="BV51" s="85">
        <f>IF(H51="","",IF(ISNUMBER('Dvd Calendar'!$J$641)=FALSE,"",IF((Summary!$C$13="N")*('Dvd Calendar'!$J$645='Field Check'!$C$25)&gt;0,"",'Dvd Calendar'!$J$641)))</f>
        <v/>
      </c>
      <c r="BW51" s="85">
        <f>IF(I51="","",IF(ISNUMBER('Dvd Calendar'!$K$641)=FALSE,"",IF((Summary!$C$13="N")*('Dvd Calendar'!$K$645='Field Check'!$C$25)&gt;0,"",'Dvd Calendar'!$K$641)))</f>
        <v/>
      </c>
      <c r="BX51" s="85">
        <f>IF(J51="","",IF(ISNUMBER('Dvd Calendar'!$L$641)=FALSE,"",IF((Summary!$C$13="N")*('Dvd Calendar'!$L$645='Field Check'!$C$25)&gt;0,"",'Dvd Calendar'!$L$641)))</f>
        <v/>
      </c>
      <c r="BY51" s="85">
        <f>IF(K51="","",IF(ISNUMBER('Dvd Calendar'!$M$641)=FALSE,"",IF((Summary!$C$13="N")*('Dvd Calendar'!$M$645='Field Check'!$C$25)&gt;0,"",'Dvd Calendar'!$M$641)))</f>
        <v/>
      </c>
      <c r="BZ51" s="85">
        <f>IF(L51="","",IF(ISNUMBER('Dvd Calendar'!$N$641)=FALSE,"",IF((Summary!$C$13="N")*('Dvd Calendar'!$N$645='Field Check'!$C$25)&gt;0,"",'Dvd Calendar'!$N$641)))</f>
        <v/>
      </c>
      <c r="CA51" s="85">
        <f>IF(M51="","",IF(ISNUMBER('Dvd Calendar'!$O$641)=FALSE,"",IF((Summary!$C$13="N")*('Dvd Calendar'!$O$645='Field Check'!$C$25)&gt;0,"",'Dvd Calendar'!$O$641)))</f>
        <v/>
      </c>
      <c r="CB51" s="85">
        <f>IF(N51="","",IF(ISNUMBER('Dvd Calendar'!$P$641)=FALSE,"",IF((Summary!$C$13="N")*('Dvd Calendar'!$P$645='Field Check'!$C$25)&gt;0,"",'Dvd Calendar'!$P$641)))</f>
        <v/>
      </c>
      <c r="CC51" s="85">
        <f>IF(O51="","",IF(ISNUMBER('Dvd Calendar'!$Q$641)=FALSE,"",IF((Summary!$C$13="N")*('Dvd Calendar'!$Q$645='Field Check'!$C$25)&gt;0,"",'Dvd Calendar'!$Q$641)))</f>
        <v/>
      </c>
      <c r="CD51" s="85">
        <f>IF(P51="","",IF(ISNUMBER('Dvd Calendar'!$R$641)=FALSE,"",IF((Summary!$C$13="N")*('Dvd Calendar'!$R$645='Field Check'!$C$25)&gt;0,"",'Dvd Calendar'!$R$641)))</f>
        <v/>
      </c>
      <c r="CE51" s="85">
        <f>IF(Q51="","",IF(ISNUMBER('Dvd Calendar'!$S$641)=FALSE,"",IF((Summary!$C$13="N")*('Dvd Calendar'!$S$645='Field Check'!$C$25)&gt;0,"",'Dvd Calendar'!$S$641)))</f>
        <v/>
      </c>
      <c r="CF51" s="85">
        <f>IF(R51="","",IF(ISNUMBER('Dvd Calendar'!$T$641)=FALSE,"",IF((Summary!$C$13="N")*('Dvd Calendar'!$T$645='Field Check'!$C$25)&gt;0,"",'Dvd Calendar'!$T$641)))</f>
        <v/>
      </c>
      <c r="CG51" s="85">
        <f>IF(S51="","",IF(ISNUMBER('Dvd Calendar'!$U$641)=FALSE,"",IF((Summary!$C$13="N")*('Dvd Calendar'!$U$645='Field Check'!$C$25)&gt;0,"",'Dvd Calendar'!$U$641)))</f>
        <v/>
      </c>
      <c r="CH51" s="85">
        <f>IF(T51="","",IF(ISNUMBER('Dvd Calendar'!$V$641)=FALSE,"",IF((Summary!$C$13="N")*('Dvd Calendar'!$V$645='Field Check'!$C$25)&gt;0,"",'Dvd Calendar'!$V$641)))</f>
        <v/>
      </c>
      <c r="CI51" s="85">
        <f>IF(U51="","",IF(ISNUMBER('Dvd Calendar'!$W$641)=FALSE,"",IF((Summary!$C$13="N")*('Dvd Calendar'!$W$645='Field Check'!$C$25)&gt;0,"",'Dvd Calendar'!$W$641)))</f>
        <v/>
      </c>
      <c r="CJ51" s="85">
        <f>IF(V51="","",IF(ISNUMBER('Dvd Calendar'!$X$641)=FALSE,"",IF((Summary!$C$13="N")*('Dvd Calendar'!$X$645='Field Check'!$C$25)&gt;0,"",'Dvd Calendar'!$X$641)))</f>
        <v/>
      </c>
      <c r="CK51" s="85">
        <f>IF(W51="","",IF(ISNUMBER('Dvd Calendar'!$Y$641)=FALSE,"",IF((Summary!$C$13="N")*('Dvd Calendar'!$Y$645='Field Check'!$C$25)&gt;0,"",'Dvd Calendar'!$Y$641)))</f>
        <v/>
      </c>
      <c r="CL51" s="85">
        <f>IF(X51="","",IF(ISNUMBER('Dvd Calendar'!$Z$641)=FALSE,"",IF((Summary!$C$13="N")*('Dvd Calendar'!$Z$645='Field Check'!$C$25)&gt;0,"",'Dvd Calendar'!$Z$641)))</f>
        <v/>
      </c>
      <c r="CM51" s="85">
        <f>IF(Y51="","",IF(ISNUMBER('Dvd Calendar'!$AA$641)=FALSE,"",IF((Summary!$C$13="N")*('Dvd Calendar'!$AA$645='Field Check'!$C$25)&gt;0,"",'Dvd Calendar'!$AA$641)))</f>
        <v/>
      </c>
      <c r="CN51" s="85">
        <f>IF(Z51="","",IF(ISNUMBER('Dvd Calendar'!$AB$641)=FALSE,"",IF((Summary!$C$13="N")*('Dvd Calendar'!$AB$645='Field Check'!$C$25)&gt;0,"",'Dvd Calendar'!$AB$641)))</f>
        <v/>
      </c>
      <c r="CO51" s="85">
        <f>IF(AA51="","",IF(ISNUMBER('Dvd Calendar'!$AC$641)=FALSE,"",IF((Summary!$C$13="N")*('Dvd Calendar'!$AC$645='Field Check'!$C$25)&gt;0,"",'Dvd Calendar'!$AC$641)))</f>
        <v/>
      </c>
      <c r="CP51" s="85">
        <f>IF(AB51="","",IF(ISNUMBER('Dvd Calendar'!$AD$641)=FALSE,"",IF((Summary!$C$13="N")*('Dvd Calendar'!$AD$645='Field Check'!$C$25)&gt;0,"",'Dvd Calendar'!$AD$641)))</f>
        <v/>
      </c>
      <c r="CQ51" s="85">
        <f>IF(AC51="","",IF(ISNUMBER('Dvd Calendar'!$AE$641)=FALSE,"",IF((Summary!$C$13="N")*('Dvd Calendar'!$AE$645='Field Check'!$C$25)&gt;0,"",'Dvd Calendar'!$AE$641)))</f>
        <v/>
      </c>
      <c r="CR51" s="85">
        <f>IF(AD51="","",IF(ISNUMBER('Dvd Calendar'!$AF$641)=FALSE,"",IF((Summary!$C$13="N")*('Dvd Calendar'!$AF$645='Field Check'!$C$25)&gt;0,"",'Dvd Calendar'!$AF$641)))</f>
        <v/>
      </c>
      <c r="CS51" s="85">
        <f>IF(AE51="","",IF(ISNUMBER('Dvd Calendar'!$AG$641)=FALSE,"",IF((Summary!$C$13="N")*('Dvd Calendar'!$AG$645='Field Check'!$C$25)&gt;0,"",'Dvd Calendar'!$AG$641)))</f>
        <v/>
      </c>
      <c r="CT51" s="85">
        <f>IF(AF51="","",IF(ISNUMBER('Dvd Calendar'!$AH$641)=FALSE,"",IF((Summary!$C$13="N")*('Dvd Calendar'!$AH$645='Field Check'!$C$25)&gt;0,"",'Dvd Calendar'!$AH$641)))</f>
        <v/>
      </c>
      <c r="CU51" s="85">
        <f>IF(AG51="","",IF(ISNUMBER('Dvd Calendar'!$AI$641)=FALSE,"",IF((Summary!$C$13="N")*('Dvd Calendar'!$AI$645='Field Check'!$C$25)&gt;0,"",'Dvd Calendar'!$AI$641)))</f>
        <v/>
      </c>
      <c r="CV51" s="85">
        <f>IF(AH51="","",IF(ISNUMBER('Dvd Calendar'!$AJ$641)=FALSE,"",IF((Summary!$C$13="N")*('Dvd Calendar'!$AJ$645='Field Check'!$C$25)&gt;0,"",'Dvd Calendar'!$AJ$641)))</f>
        <v/>
      </c>
      <c r="CW51" s="85">
        <f>IF(AI51="","",IF(ISNUMBER('Dvd Calendar'!$AK$641)=FALSE,"",IF((Summary!$C$13="N")*('Dvd Calendar'!$AK$645='Field Check'!$C$25)&gt;0,"",'Dvd Calendar'!$AK$641)))</f>
        <v/>
      </c>
      <c r="CX51" s="85">
        <f>IF(AJ51="","",IF(ISNUMBER('Dvd Calendar'!$AL$641)=FALSE,"",IF((Summary!$C$13="N")*('Dvd Calendar'!$AL$645='Field Check'!$C$25)&gt;0,"",'Dvd Calendar'!$AL$641)))</f>
        <v/>
      </c>
      <c r="CY51" s="85">
        <f>IF(AK51="","",IF(ISNUMBER('Dvd Calendar'!$AM$641)=FALSE,"",IF((Summary!$C$13="N")*('Dvd Calendar'!$AM$645='Field Check'!$C$25)&gt;0,"",'Dvd Calendar'!$AM$641)))</f>
        <v/>
      </c>
      <c r="CZ51" s="85">
        <f>IF(AL51="","",IF(ISNUMBER('Dvd Calendar'!$AN$641)=FALSE,"",IF((Summary!$C$13="N")*('Dvd Calendar'!$AN$645='Field Check'!$C$25)&gt;0,"",'Dvd Calendar'!$AN$641)))</f>
        <v/>
      </c>
      <c r="DA51" s="85">
        <f>IF(AM51="","",IF(ISNUMBER('Dvd Calendar'!$AO$641)=FALSE,"",IF((Summary!$C$13="N")*('Dvd Calendar'!$AO$645='Field Check'!$C$25)&gt;0,"",'Dvd Calendar'!$AO$641)))</f>
        <v/>
      </c>
      <c r="DB51" s="85">
        <f>IF(AN51="","",IF(ISNUMBER('Dvd Calendar'!$AP$641)=FALSE,"",IF((Summary!$C$13="N")*('Dvd Calendar'!$AP$645='Field Check'!$C$25)&gt;0,"",'Dvd Calendar'!$AP$641)))</f>
        <v/>
      </c>
      <c r="DC51" s="85">
        <f>IF(AO51="","",IF(ISNUMBER('Dvd Calendar'!$AQ$641)=FALSE,"",IF((Summary!$C$13="N")*('Dvd Calendar'!$AQ$645='Field Check'!$C$25)&gt;0,"",'Dvd Calendar'!$AQ$641)))</f>
        <v/>
      </c>
      <c r="DD51" s="85">
        <f>IF(AP51="","",IF(ISNUMBER('Dvd Calendar'!$AR$641)=FALSE,"",IF((Summary!$C$13="N")*('Dvd Calendar'!$AR$645='Field Check'!$C$25)&gt;0,"",'Dvd Calendar'!$AR$641)))</f>
        <v/>
      </c>
      <c r="DE51" s="85">
        <f>IF(AQ51="","",IF(ISNUMBER('Dvd Calendar'!$E$648)=FALSE,"",IF((Summary!$C$13="N")*('Dvd Calendar'!$E$652='Field Check'!$C$25)&gt;0,"",'Dvd Calendar'!$E$648)))</f>
        <v/>
      </c>
      <c r="DF51" s="85">
        <f>IF(AR51="","",IF(ISNUMBER('Dvd Calendar'!$F$648)=FALSE,"",IF((Summary!$C$13="N")*('Dvd Calendar'!$F$652='Field Check'!$C$25)&gt;0,"",'Dvd Calendar'!$F$648)))</f>
        <v/>
      </c>
      <c r="DG51" s="85">
        <f>IF(AS51="","",IF(ISNUMBER('Dvd Calendar'!$G$648)=FALSE,"",IF((Summary!$C$13="N")*('Dvd Calendar'!$G$652='Field Check'!$C$25)&gt;0,"",'Dvd Calendar'!$G$648)))</f>
        <v/>
      </c>
      <c r="DH51" s="85">
        <f>IF(AT51="","",IF(ISNUMBER('Dvd Calendar'!$H$648)=FALSE,"",IF((Summary!$C$13="N")*('Dvd Calendar'!$H$652='Field Check'!$C$25)&gt;0,"",'Dvd Calendar'!$H$648)))</f>
        <v/>
      </c>
      <c r="DI51" s="85">
        <f>IF(AU51="","",IF(ISNUMBER('Dvd Calendar'!$I$648)=FALSE,"",IF((Summary!$C$13="N")*('Dvd Calendar'!$I$652='Field Check'!$C$25)&gt;0,"",'Dvd Calendar'!$I$648)))</f>
        <v/>
      </c>
      <c r="DJ51" s="85">
        <f>IF(AV51="","",IF(ISNUMBER('Dvd Calendar'!$J$648)=FALSE,"",IF((Summary!$C$13="N")*('Dvd Calendar'!$J$652='Field Check'!$C$25)&gt;0,"",'Dvd Calendar'!$J$648)))</f>
        <v/>
      </c>
      <c r="DK51" s="85">
        <f>IF(AW51="","",IF(ISNUMBER('Dvd Calendar'!$K$648)=FALSE,"",IF((Summary!$C$13="N")*('Dvd Calendar'!$K$652='Field Check'!$C$25)&gt;0,"",'Dvd Calendar'!$K$648)))</f>
        <v/>
      </c>
      <c r="DL51" s="85">
        <f>IF(AX51="","",IF(ISNUMBER('Dvd Calendar'!$L$648)=FALSE,"",IF((Summary!$C$13="N")*('Dvd Calendar'!$L$652='Field Check'!$C$25)&gt;0,"",'Dvd Calendar'!$L$648)))</f>
        <v/>
      </c>
      <c r="DM51" s="85">
        <f>IF(AY51="","",IF(ISNUMBER('Dvd Calendar'!$M$648)=FALSE,"",IF((Summary!$C$13="N")*('Dvd Calendar'!$M$652='Field Check'!$C$25)&gt;0,"",'Dvd Calendar'!$M$648)))</f>
        <v/>
      </c>
      <c r="DN51" s="85">
        <f>IF(AZ51="","",IF(ISNUMBER('Dvd Calendar'!$N$648)=FALSE,"",IF((Summary!$C$13="N")*('Dvd Calendar'!$N$652='Field Check'!$C$25)&gt;0,"",'Dvd Calendar'!$N$648)))</f>
        <v/>
      </c>
      <c r="DO51" s="85">
        <f>IF(BA51="","",IF(ISNUMBER('Dvd Calendar'!$O$648)=FALSE,"",IF((Summary!$C$13="N")*('Dvd Calendar'!$O$652='Field Check'!$C$25)&gt;0,"",'Dvd Calendar'!$O$648)))</f>
        <v/>
      </c>
      <c r="DP51" s="85">
        <f>IF(BB51="","",IF(ISNUMBER('Dvd Calendar'!$P$648)=FALSE,"",IF((Summary!$C$13="N")*('Dvd Calendar'!$P$652='Field Check'!$C$25)&gt;0,"",'Dvd Calendar'!$P$648)))</f>
        <v/>
      </c>
      <c r="DQ51" s="85">
        <f>IF(BC51="","",IF(ISNUMBER('Dvd Calendar'!$Q$648)=FALSE,"",IF((Summary!$C$13="N")*('Dvd Calendar'!$Q$652='Field Check'!$C$25)&gt;0,"",'Dvd Calendar'!$Q$648)))</f>
        <v/>
      </c>
      <c r="DR51" s="85">
        <f>IF(BD51="","",IF(ISNUMBER('Dvd Calendar'!$R$648)=FALSE,"",IF((Summary!$C$13="N")*('Dvd Calendar'!$R$652='Field Check'!$C$25)&gt;0,"",'Dvd Calendar'!$R$648)))</f>
        <v/>
      </c>
      <c r="DS51" s="85">
        <f>IF(BE51="","",IF(ISNUMBER('Dvd Calendar'!$S$648)=FALSE,"",IF((Summary!$C$13="N")*('Dvd Calendar'!$S$652='Field Check'!$C$25)&gt;0,"",'Dvd Calendar'!$S$648)))</f>
        <v/>
      </c>
      <c r="DT51" s="85">
        <f>IF(BF51="","",IF(ISNUMBER('Dvd Calendar'!$T$648)=FALSE,"",IF((Summary!$C$13="N")*('Dvd Calendar'!$T$652='Field Check'!$C$25)&gt;0,"",'Dvd Calendar'!$T$648)))</f>
        <v/>
      </c>
      <c r="DU51" s="85">
        <f>IF(BG51="","",IF(ISNUMBER('Dvd Calendar'!$U$648)=FALSE,"",IF((Summary!$C$13="N")*('Dvd Calendar'!$U$652='Field Check'!$C$25)&gt;0,"",'Dvd Calendar'!$U$648)))</f>
        <v/>
      </c>
      <c r="DV51" s="85">
        <f>IF(BH51="","",IF(ISNUMBER('Dvd Calendar'!$V$648)=FALSE,"",IF((Summary!$C$13="N")*('Dvd Calendar'!$V$652='Field Check'!$C$25)&gt;0,"",'Dvd Calendar'!$V$648)))</f>
        <v/>
      </c>
      <c r="DW51" s="85">
        <f>IF(BI51="","",IF(ISNUMBER('Dvd Calendar'!$W$648)=FALSE,"",IF((Summary!$C$13="N")*('Dvd Calendar'!$W$652='Field Check'!$C$25)&gt;0,"",'Dvd Calendar'!$W$648)))</f>
        <v/>
      </c>
      <c r="DX51" s="85">
        <f>IF(BJ51="","",IF(ISNUMBER('Dvd Calendar'!$X$648)=FALSE,"",IF((Summary!$C$13="N")*('Dvd Calendar'!$X$652='Field Check'!$C$25)&gt;0,"",'Dvd Calendar'!$X$648)))</f>
        <v/>
      </c>
      <c r="DY51" s="85">
        <f>IF(BK51="","",IF(ISNUMBER('Dvd Calendar'!$Y$648)=FALSE,"",IF((Summary!$C$13="N")*('Dvd Calendar'!$Y$652='Field Check'!$C$25)&gt;0,"",'Dvd Calendar'!$Y$648)))</f>
        <v/>
      </c>
      <c r="DZ51" s="85">
        <f>IF(BL51="","",IF(ISNUMBER('Dvd Calendar'!$Z$648)=FALSE,"",IF((Summary!$C$13="N")*('Dvd Calendar'!$Z$652='Field Check'!$C$25)&gt;0,"",'Dvd Calendar'!$Z$648)))</f>
        <v/>
      </c>
      <c r="EA51" s="85">
        <f>IF(BM51="","",IF(ISNUMBER('Dvd Calendar'!$AA$648)=FALSE,"",IF((Summary!$C$13="N")*('Dvd Calendar'!$AA$652='Field Check'!$C$25)&gt;0,"",'Dvd Calendar'!$AA$648)))</f>
        <v/>
      </c>
      <c r="EB51" s="85">
        <f>IF(BN51="","",IF(ISNUMBER('Dvd Calendar'!$AB$648)=FALSE,"",IF((Summary!$C$13="N")*('Dvd Calendar'!$AB$652='Field Check'!$C$25)&gt;0,"",'Dvd Calendar'!$AB$648)))</f>
        <v/>
      </c>
      <c r="EC51" s="85">
        <f>IF(BO51="","",IF(ISNUMBER('Dvd Calendar'!$AC$648)=FALSE,"",IF((Summary!$C$13="N")*('Dvd Calendar'!$AC$652='Field Check'!$C$25)&gt;0,"",'Dvd Calendar'!$AC$648)))</f>
        <v/>
      </c>
      <c r="EE51" s="85">
        <f>IF(BQ51="","",IFERROR(BQ51*HSI!$B$49*HSI!$G$49/HSI!$B$3,""))</f>
        <v/>
      </c>
      <c r="EF51" s="85">
        <f>IF(BR51="","",IFERROR(BR51*HSI!$B$49*HSI!$G$49/HSI!$B$3,""))</f>
        <v/>
      </c>
      <c r="EG51" s="85">
        <f>IF(BS51="","",IFERROR(BS51*HSI!$B$49*HSI!$G$49/HSI!$B$3,""))</f>
        <v/>
      </c>
      <c r="EH51" s="85">
        <f>IF(BT51="","",IFERROR(BT51*HSI!$B$49*HSI!$G$49/HSI!$B$3,""))</f>
        <v/>
      </c>
      <c r="EI51" s="85">
        <f>IF(BU51="","",IFERROR(BU51*HSI!$B$49*HSI!$G$49/HSI!$B$3,""))</f>
        <v/>
      </c>
      <c r="EJ51" s="85">
        <f>IF(BV51="","",IFERROR(BV51*HSI!$B$49*HSI!$G$49/HSI!$B$3,""))</f>
        <v/>
      </c>
      <c r="EK51" s="85">
        <f>IF(BW51="","",IFERROR(BW51*HSI!$B$49*HSI!$G$49/HSI!$B$3,""))</f>
        <v/>
      </c>
      <c r="EL51" s="85">
        <f>IF(BX51="","",IFERROR(BX51*HSI!$B$49*HSI!$G$49/HSI!$B$3,""))</f>
        <v/>
      </c>
      <c r="EM51" s="85">
        <f>IF(BY51="","",IFERROR(BY51*HSI!$B$49*HSI!$G$49/HSI!$B$3,""))</f>
        <v/>
      </c>
      <c r="EN51" s="85">
        <f>IF(BZ51="","",IFERROR(BZ51*HSI!$B$49*HSI!$G$49/HSI!$B$3,""))</f>
        <v/>
      </c>
      <c r="EO51" s="85">
        <f>IF(CA51="","",IFERROR(CA51*HSI!$B$49*HSI!$G$49/HSI!$B$3,""))</f>
        <v/>
      </c>
      <c r="EP51" s="85">
        <f>IF(CB51="","",IFERROR(CB51*HSI!$B$49*HSI!$G$49/HSI!$B$3,""))</f>
        <v/>
      </c>
      <c r="EQ51" s="85">
        <f>IF(CC51="","",IFERROR(CC51*HSI!$B$49*HSI!$G$49/HSI!$B$3,""))</f>
        <v/>
      </c>
      <c r="ER51" s="85">
        <f>IF(CD51="","",IFERROR(CD51*HSI!$B$49*HSI!$G$49/HSI!$B$3,""))</f>
        <v/>
      </c>
      <c r="ES51" s="85">
        <f>IF(CE51="","",IFERROR(CE51*HSI!$B$49*HSI!$G$49/HSI!$B$3,""))</f>
        <v/>
      </c>
      <c r="ET51" s="85">
        <f>IF(CF51="","",IFERROR(CF51*HSI!$B$49*HSI!$G$49/HSI!$B$3,""))</f>
        <v/>
      </c>
      <c r="EU51" s="85">
        <f>IF(CG51="","",IFERROR(CG51*HSI!$B$49*HSI!$G$49/HSI!$B$3,""))</f>
        <v/>
      </c>
      <c r="EV51" s="85">
        <f>IF(CH51="","",IFERROR(CH51*HSI!$B$49*HSI!$G$49/HSI!$B$3,""))</f>
        <v/>
      </c>
      <c r="EW51" s="85">
        <f>IF(CI51="","",IFERROR(CI51*HSI!$B$49*HSI!$G$49/HSI!$B$3,""))</f>
        <v/>
      </c>
      <c r="EX51" s="85">
        <f>IF(CJ51="","",IFERROR(CJ51*HSI!$B$49*HSI!$G$49/HSI!$B$3,""))</f>
        <v/>
      </c>
      <c r="EY51" s="85">
        <f>IF(CK51="","",IFERROR(CK51*HSI!$B$49*HSI!$G$49/HSI!$B$3,""))</f>
        <v/>
      </c>
      <c r="EZ51" s="85">
        <f>IF(CL51="","",IFERROR(CL51*HSI!$B$49*HSI!$G$49/HSI!$B$3,""))</f>
        <v/>
      </c>
      <c r="FA51" s="85">
        <f>IF(CM51="","",IFERROR(CM51*HSI!$B$49*HSI!$G$49/HSI!$B$3,""))</f>
        <v/>
      </c>
      <c r="FB51" s="85">
        <f>IF(CN51="","",IFERROR(CN51*HSI!$B$49*HSI!$G$49/HSI!$B$3,""))</f>
        <v/>
      </c>
      <c r="FC51" s="85">
        <f>IF(CO51="","",IFERROR(CO51*HSI!$B$49*HSI!$G$49/HSI!$B$3,""))</f>
        <v/>
      </c>
      <c r="FD51" s="85">
        <f>IF(CP51="","",IFERROR(CP51*HSI!$B$49*HSI!$G$49/HSI!$B$3,""))</f>
        <v/>
      </c>
      <c r="FE51" s="85">
        <f>IF(CQ51="","",IFERROR(CQ51*HSI!$B$49*HSI!$G$49/HSI!$B$3,""))</f>
        <v/>
      </c>
      <c r="FF51" s="85">
        <f>IF(CR51="","",IFERROR(CR51*HSI!$B$49*HSI!$G$49/HSI!$B$3,""))</f>
        <v/>
      </c>
      <c r="FG51" s="85">
        <f>IF(CS51="","",IFERROR(CS51*HSI!$B$49*HSI!$G$49/HSI!$B$3,""))</f>
        <v/>
      </c>
      <c r="FH51" s="85">
        <f>IF(CT51="","",IFERROR(CT51*HSI!$B$49*HSI!$G$49/HSI!$B$3,""))</f>
        <v/>
      </c>
      <c r="FI51" s="85">
        <f>IF(CU51="","",IFERROR(CU51*HSI!$B$49*HSI!$G$49/HSI!$B$3,""))</f>
        <v/>
      </c>
      <c r="FJ51" s="85">
        <f>IF(CV51="","",IFERROR(CV51*HSI!$B$49*HSI!$G$49/HSI!$B$3,""))</f>
        <v/>
      </c>
      <c r="FK51" s="85">
        <f>IF(CW51="","",IFERROR(CW51*HSI!$B$49*HSI!$G$49/HSI!$B$3,""))</f>
        <v/>
      </c>
      <c r="FL51" s="85">
        <f>IF(CX51="","",IFERROR(CX51*HSI!$B$49*HSI!$G$49/HSI!$B$3,""))</f>
        <v/>
      </c>
      <c r="FM51" s="85">
        <f>IF(CY51="","",IFERROR(CY51*HSI!$B$49*HSI!$G$49/HSI!$B$3,""))</f>
        <v/>
      </c>
      <c r="FN51" s="85">
        <f>IF(CZ51="","",IFERROR(CZ51*HSI!$B$49*HSI!$G$49/HSI!$B$3,""))</f>
        <v/>
      </c>
      <c r="FO51" s="85">
        <f>IF(DA51="","",IFERROR(DA51*HSI!$B$49*HSI!$G$49/HSI!$B$3,""))</f>
        <v/>
      </c>
      <c r="FP51" s="85">
        <f>IF(DB51="","",IFERROR(DB51*HSI!$B$49*HSI!$G$49/HSI!$B$3,""))</f>
        <v/>
      </c>
      <c r="FQ51" s="85">
        <f>IF(DC51="","",IFERROR(DC51*HSI!$B$49*HSI!$G$49/HSI!$B$3,""))</f>
        <v/>
      </c>
      <c r="FR51" s="85">
        <f>IF(DD51="","",IFERROR(DD51*HSI!$B$49*HSI!$G$49/HSI!$B$3,""))</f>
        <v/>
      </c>
      <c r="FS51" s="85">
        <f>IF(DE51="","",IFERROR(DE51*HSI!$B$49*HSI!$G$49/HSI!$B$3,""))</f>
        <v/>
      </c>
      <c r="FT51" s="85">
        <f>IF(DF51="","",IFERROR(DF51*HSI!$B$49*HSI!$G$49/HSI!$B$3,""))</f>
        <v/>
      </c>
      <c r="FU51" s="85">
        <f>IF(DG51="","",IFERROR(DG51*HSI!$B$49*HSI!$G$49/HSI!$B$3,""))</f>
        <v/>
      </c>
      <c r="FV51" s="85">
        <f>IF(DH51="","",IFERROR(DH51*HSI!$B$49*HSI!$G$49/HSI!$B$3,""))</f>
        <v/>
      </c>
      <c r="FW51" s="85">
        <f>IF(DI51="","",IFERROR(DI51*HSI!$B$49*HSI!$G$49/HSI!$B$3,""))</f>
        <v/>
      </c>
      <c r="FX51" s="85">
        <f>IF(DJ51="","",IFERROR(DJ51*HSI!$B$49*HSI!$G$49/HSI!$B$3,""))</f>
        <v/>
      </c>
      <c r="FY51" s="85">
        <f>IF(DK51="","",IFERROR(DK51*HSI!$B$49*HSI!$G$49/HSI!$B$3,""))</f>
        <v/>
      </c>
      <c r="FZ51" s="85">
        <f>IF(DL51="","",IFERROR(DL51*HSI!$B$49*HSI!$G$49/HSI!$B$3,""))</f>
        <v/>
      </c>
      <c r="GA51" s="85">
        <f>IF(DM51="","",IFERROR(DM51*HSI!$B$49*HSI!$G$49/HSI!$B$3,""))</f>
        <v/>
      </c>
      <c r="GB51" s="85">
        <f>IF(DN51="","",IFERROR(DN51*HSI!$B$49*HSI!$G$49/HSI!$B$3,""))</f>
        <v/>
      </c>
      <c r="GC51" s="85">
        <f>IF(DO51="","",IFERROR(DO51*HSI!$B$49*HSI!$G$49/HSI!$B$3,""))</f>
        <v/>
      </c>
      <c r="GD51" s="85">
        <f>IF(DP51="","",IFERROR(DP51*HSI!$B$49*HSI!$G$49/HSI!$B$3,""))</f>
        <v/>
      </c>
      <c r="GE51" s="85">
        <f>IF(DQ51="","",IFERROR(DQ51*HSI!$B$49*HSI!$G$49/HSI!$B$3,""))</f>
        <v/>
      </c>
      <c r="GF51" s="85">
        <f>IF(DR51="","",IFERROR(DR51*HSI!$B$49*HSI!$G$49/HSI!$B$3,""))</f>
        <v/>
      </c>
      <c r="GG51" s="85">
        <f>IF(DS51="","",IFERROR(DS51*HSI!$B$49*HSI!$G$49/HSI!$B$3,""))</f>
        <v/>
      </c>
      <c r="GH51" s="85">
        <f>IF(DT51="","",IFERROR(DT51*HSI!$B$49*HSI!$G$49/HSI!$B$3,""))</f>
        <v/>
      </c>
      <c r="GI51" s="85">
        <f>IF(DU51="","",IFERROR(DU51*HSI!$B$49*HSI!$G$49/HSI!$B$3,""))</f>
        <v/>
      </c>
      <c r="GJ51" s="85">
        <f>IF(DV51="","",IFERROR(DV51*HSI!$B$49*HSI!$G$49/HSI!$B$3,""))</f>
        <v/>
      </c>
      <c r="GK51" s="85">
        <f>IF(DW51="","",IFERROR(DW51*HSI!$B$49*HSI!$G$49/HSI!$B$3,""))</f>
        <v/>
      </c>
      <c r="GL51" s="85">
        <f>IF(DX51="","",IFERROR(DX51*HSI!$B$49*HSI!$G$49/HSI!$B$3,""))</f>
        <v/>
      </c>
      <c r="GM51" s="85">
        <f>IF(DY51="","",IFERROR(DY51*HSI!$B$49*HSI!$G$49/HSI!$B$3,""))</f>
        <v/>
      </c>
      <c r="GN51" s="85">
        <f>IF(DZ51="","",IFERROR(DZ51*HSI!$B$49*HSI!$G$49/HSI!$B$3,""))</f>
        <v/>
      </c>
      <c r="GO51" s="85">
        <f>IF(EA51="","",IFERROR(EA51*HSI!$B$49*HSI!$G$49/HSI!$B$3,""))</f>
        <v/>
      </c>
      <c r="GP51" s="85">
        <f>IF(EB51="","",IFERROR(EB51*HSI!$B$49*HSI!$G$49/HSI!$B$3,""))</f>
        <v/>
      </c>
      <c r="GQ51" s="85">
        <f>IF(EC51="","",IFERROR(EC51*HSI!$B$49*HSI!$G$49/HSI!$B$3,""))</f>
        <v/>
      </c>
    </row>
    <row r="52">
      <c r="B52" s="2">
        <f>IF(HSI!$C$50="","",HSI!$C$50)</f>
        <v/>
      </c>
      <c r="C52" s="41">
        <f>IF(N('Dvd Calendar'!$E$655)=0,"",IF(('Dvd Calendar'!$E$655&gt;=MIN(DATE(Summary!$C$12,1,1),Summary!$C$11))*('Dvd Calendar'!$E$655&lt;=MAX(DATE(Summary!$C$12,12,31),Summary!$C$15))*('Dvd Calendar'!$E$655&lt;=Summary!$C$11)=0,"",'Dvd Calendar'!$E$655*1000000000+ISNUMBER('Dvd Calendar'!$E$656)*100000000+('Dvd Calendar'!$E$660='Field Check'!$C$25)*10000000+(N('Dvd Calendar'!$E$654)&gt;0)*1000000+44*1000+1))</f>
        <v/>
      </c>
      <c r="D52" s="41">
        <f>IF(N('Dvd Calendar'!$F$655)=0,"",IF(('Dvd Calendar'!$F$655&gt;=MIN(DATE(Summary!$C$12,1,1),Summary!$C$11))*('Dvd Calendar'!$F$655&lt;=MAX(DATE(Summary!$C$12,12,31),Summary!$C$15))*('Dvd Calendar'!$F$655&lt;=Summary!$C$11)=0,"",'Dvd Calendar'!$F$655*1000000000+ISNUMBER('Dvd Calendar'!$F$656)*100000000+('Dvd Calendar'!$F$660='Field Check'!$C$25)*10000000+(N('Dvd Calendar'!$F$654)&gt;0)*1000000+44*1000+2))</f>
        <v/>
      </c>
      <c r="E52" s="41">
        <f>IF(N('Dvd Calendar'!$G$655)=0,"",IF(('Dvd Calendar'!$G$655&gt;=MIN(DATE(Summary!$C$12,1,1),Summary!$C$11))*('Dvd Calendar'!$G$655&lt;=MAX(DATE(Summary!$C$12,12,31),Summary!$C$15))*('Dvd Calendar'!$G$655&lt;=Summary!$C$11)=0,"",'Dvd Calendar'!$G$655*1000000000+ISNUMBER('Dvd Calendar'!$G$656)*100000000+('Dvd Calendar'!$G$660='Field Check'!$C$25)*10000000+(N('Dvd Calendar'!$G$654)&gt;0)*1000000+44*1000+3))</f>
        <v/>
      </c>
      <c r="F52" s="41">
        <f>IF(N('Dvd Calendar'!$H$655)=0,"",IF(('Dvd Calendar'!$H$655&gt;=MIN(DATE(Summary!$C$12,1,1),Summary!$C$11))*('Dvd Calendar'!$H$655&lt;=MAX(DATE(Summary!$C$12,12,31),Summary!$C$15))*('Dvd Calendar'!$H$655&lt;=Summary!$C$11)=0,"",'Dvd Calendar'!$H$655*1000000000+ISNUMBER('Dvd Calendar'!$H$656)*100000000+('Dvd Calendar'!$H$660='Field Check'!$C$25)*10000000+(N('Dvd Calendar'!$H$654)&gt;0)*1000000+44*1000+4))</f>
        <v/>
      </c>
      <c r="G52" s="41">
        <f>IF(N('Dvd Calendar'!$I$655)=0,"",IF(('Dvd Calendar'!$I$655&gt;=MIN(DATE(Summary!$C$12,1,1),Summary!$C$11))*('Dvd Calendar'!$I$655&lt;=MAX(DATE(Summary!$C$12,12,31),Summary!$C$15))*('Dvd Calendar'!$I$655&lt;=Summary!$C$11)=0,"",'Dvd Calendar'!$I$655*1000000000+ISNUMBER('Dvd Calendar'!$I$656)*100000000+('Dvd Calendar'!$I$660='Field Check'!$C$25)*10000000+(N('Dvd Calendar'!$I$654)&gt;0)*1000000+44*1000+5))</f>
        <v/>
      </c>
      <c r="H52" s="41">
        <f>IF(N('Dvd Calendar'!$J$655)=0,"",IF(('Dvd Calendar'!$J$655&gt;=MIN(DATE(Summary!$C$12,1,1),Summary!$C$11))*('Dvd Calendar'!$J$655&lt;=MAX(DATE(Summary!$C$12,12,31),Summary!$C$15))*('Dvd Calendar'!$J$655&lt;=Summary!$C$11)=0,"",'Dvd Calendar'!$J$655*1000000000+ISNUMBER('Dvd Calendar'!$J$656)*100000000+('Dvd Calendar'!$J$660='Field Check'!$C$25)*10000000+(N('Dvd Calendar'!$J$654)&gt;0)*1000000+44*1000+6))</f>
        <v/>
      </c>
      <c r="I52" s="41">
        <f>IF(N('Dvd Calendar'!$K$655)=0,"",IF(('Dvd Calendar'!$K$655&gt;=MIN(DATE(Summary!$C$12,1,1),Summary!$C$11))*('Dvd Calendar'!$K$655&lt;=MAX(DATE(Summary!$C$12,12,31),Summary!$C$15))*('Dvd Calendar'!$K$655&lt;=Summary!$C$11)=0,"",'Dvd Calendar'!$K$655*1000000000+ISNUMBER('Dvd Calendar'!$K$656)*100000000+('Dvd Calendar'!$K$660='Field Check'!$C$25)*10000000+(N('Dvd Calendar'!$K$654)&gt;0)*1000000+44*1000+7))</f>
        <v/>
      </c>
      <c r="J52" s="41">
        <f>IF(N('Dvd Calendar'!$L$655)=0,"",IF(('Dvd Calendar'!$L$655&gt;=MIN(DATE(Summary!$C$12,1,1),Summary!$C$11))*('Dvd Calendar'!$L$655&lt;=MAX(DATE(Summary!$C$12,12,31),Summary!$C$15))*('Dvd Calendar'!$L$655&lt;=Summary!$C$11)=0,"",'Dvd Calendar'!$L$655*1000000000+ISNUMBER('Dvd Calendar'!$L$656)*100000000+('Dvd Calendar'!$L$660='Field Check'!$C$25)*10000000+(N('Dvd Calendar'!$L$654)&gt;0)*1000000+44*1000+8))</f>
        <v/>
      </c>
      <c r="K52" s="41">
        <f>IF(N('Dvd Calendar'!$M$655)=0,"",IF(('Dvd Calendar'!$M$655&gt;=MIN(DATE(Summary!$C$12,1,1),Summary!$C$11))*('Dvd Calendar'!$M$655&lt;=MAX(DATE(Summary!$C$12,12,31),Summary!$C$15))*('Dvd Calendar'!$M$655&lt;=Summary!$C$11)=0,"",'Dvd Calendar'!$M$655*1000000000+ISNUMBER('Dvd Calendar'!$M$656)*100000000+('Dvd Calendar'!$M$660='Field Check'!$C$25)*10000000+(N('Dvd Calendar'!$M$654)&gt;0)*1000000+44*1000+9))</f>
        <v/>
      </c>
      <c r="L52" s="41">
        <f>IF(N('Dvd Calendar'!$N$655)=0,"",IF(('Dvd Calendar'!$N$655&gt;=MIN(DATE(Summary!$C$12,1,1),Summary!$C$11))*('Dvd Calendar'!$N$655&lt;=MAX(DATE(Summary!$C$12,12,31),Summary!$C$15))*('Dvd Calendar'!$N$655&lt;=Summary!$C$11)=0,"",'Dvd Calendar'!$N$655*1000000000+ISNUMBER('Dvd Calendar'!$N$656)*100000000+('Dvd Calendar'!$N$660='Field Check'!$C$25)*10000000+(N('Dvd Calendar'!$N$654)&gt;0)*1000000+44*1000+10))</f>
        <v/>
      </c>
      <c r="M52" s="41">
        <f>IF(N('Dvd Calendar'!$O$655)=0,"",IF(('Dvd Calendar'!$O$655&gt;=MIN(DATE(Summary!$C$12,1,1),Summary!$C$11))*('Dvd Calendar'!$O$655&lt;=MAX(DATE(Summary!$C$12,12,31),Summary!$C$15))*('Dvd Calendar'!$O$655&lt;=Summary!$C$11)=0,"",'Dvd Calendar'!$O$655*1000000000+ISNUMBER('Dvd Calendar'!$O$656)*100000000+('Dvd Calendar'!$O$660='Field Check'!$C$25)*10000000+(N('Dvd Calendar'!$O$654)&gt;0)*1000000+44*1000+11))</f>
        <v/>
      </c>
      <c r="N52" s="41">
        <f>IF(N('Dvd Calendar'!$P$655)=0,"",IF(('Dvd Calendar'!$P$655&gt;=MIN(DATE(Summary!$C$12,1,1),Summary!$C$11))*('Dvd Calendar'!$P$655&lt;=MAX(DATE(Summary!$C$12,12,31),Summary!$C$15))*('Dvd Calendar'!$P$655&lt;=Summary!$C$11)=0,"",'Dvd Calendar'!$P$655*1000000000+ISNUMBER('Dvd Calendar'!$P$656)*100000000+('Dvd Calendar'!$P$660='Field Check'!$C$25)*10000000+(N('Dvd Calendar'!$P$654)&gt;0)*1000000+44*1000+12))</f>
        <v/>
      </c>
      <c r="O52" s="41">
        <f>IF(N('Dvd Calendar'!$Q$655)=0,"",IF(('Dvd Calendar'!$Q$655&gt;=MIN(DATE(Summary!$C$12,1,1),Summary!$C$11))*('Dvd Calendar'!$Q$655&lt;=MAX(DATE(Summary!$C$12,12,31),Summary!$C$15))*('Dvd Calendar'!$Q$655&lt;=Summary!$C$11)=0,"",'Dvd Calendar'!$Q$655*1000000000+ISNUMBER('Dvd Calendar'!$Q$656)*100000000+('Dvd Calendar'!$Q$660='Field Check'!$C$25)*10000000+(N('Dvd Calendar'!$Q$654)&gt;0)*1000000+44*1000+13))</f>
        <v/>
      </c>
      <c r="P52" s="41">
        <f>IF(N('Dvd Calendar'!$R$655)=0,"",IF(('Dvd Calendar'!$R$655&gt;=MIN(DATE(Summary!$C$12,1,1),Summary!$C$11))*('Dvd Calendar'!$R$655&lt;=MAX(DATE(Summary!$C$12,12,31),Summary!$C$15))*('Dvd Calendar'!$R$655&lt;=Summary!$C$11)=0,"",'Dvd Calendar'!$R$655*1000000000+ISNUMBER('Dvd Calendar'!$R$656)*100000000+('Dvd Calendar'!$R$660='Field Check'!$C$25)*10000000+(N('Dvd Calendar'!$R$654)&gt;0)*1000000+44*1000+14))</f>
        <v/>
      </c>
      <c r="Q52" s="41">
        <f>IF(N('Dvd Calendar'!$S$655)=0,"",IF(('Dvd Calendar'!$S$655&gt;=MIN(DATE(Summary!$C$12,1,1),Summary!$C$11))*('Dvd Calendar'!$S$655&lt;=MAX(DATE(Summary!$C$12,12,31),Summary!$C$15))*('Dvd Calendar'!$S$655&lt;=Summary!$C$11)=0,"",'Dvd Calendar'!$S$655*1000000000+ISNUMBER('Dvd Calendar'!$S$656)*100000000+('Dvd Calendar'!$S$660='Field Check'!$C$25)*10000000+(N('Dvd Calendar'!$S$654)&gt;0)*1000000+44*1000+15))</f>
        <v/>
      </c>
      <c r="R52" s="41">
        <f>IF(N('Dvd Calendar'!$T$655)=0,"",IF(('Dvd Calendar'!$T$655&gt;=MIN(DATE(Summary!$C$12,1,1),Summary!$C$11))*('Dvd Calendar'!$T$655&lt;=MAX(DATE(Summary!$C$12,12,31),Summary!$C$15))*('Dvd Calendar'!$T$655&lt;=Summary!$C$11)=0,"",'Dvd Calendar'!$T$655*1000000000+ISNUMBER('Dvd Calendar'!$T$656)*100000000+('Dvd Calendar'!$T$660='Field Check'!$C$25)*10000000+(N('Dvd Calendar'!$T$654)&gt;0)*1000000+44*1000+16))</f>
        <v/>
      </c>
      <c r="S52" s="41">
        <f>IF(N('Dvd Calendar'!$U$655)=0,"",IF(('Dvd Calendar'!$U$655&gt;=MIN(DATE(Summary!$C$12,1,1),Summary!$C$11))*('Dvd Calendar'!$U$655&lt;=MAX(DATE(Summary!$C$12,12,31),Summary!$C$15))*('Dvd Calendar'!$U$655&lt;=Summary!$C$11)=0,"",'Dvd Calendar'!$U$655*1000000000+ISNUMBER('Dvd Calendar'!$U$656)*100000000+('Dvd Calendar'!$U$660='Field Check'!$C$25)*10000000+(N('Dvd Calendar'!$U$654)&gt;0)*1000000+44*1000+17))</f>
        <v/>
      </c>
      <c r="T52" s="41">
        <f>IF(N('Dvd Calendar'!$V$655)=0,"",IF(('Dvd Calendar'!$V$655&gt;=MIN(DATE(Summary!$C$12,1,1),Summary!$C$11))*('Dvd Calendar'!$V$655&lt;=MAX(DATE(Summary!$C$12,12,31),Summary!$C$15))*('Dvd Calendar'!$V$655&lt;=Summary!$C$11)=0,"",'Dvd Calendar'!$V$655*1000000000+ISNUMBER('Dvd Calendar'!$V$656)*100000000+('Dvd Calendar'!$V$660='Field Check'!$C$25)*10000000+(N('Dvd Calendar'!$V$654)&gt;0)*1000000+44*1000+18))</f>
        <v/>
      </c>
      <c r="U52" s="41">
        <f>IF(N('Dvd Calendar'!$W$655)=0,"",IF(('Dvd Calendar'!$W$655&gt;=MIN(DATE(Summary!$C$12,1,1),Summary!$C$11))*('Dvd Calendar'!$W$655&lt;=MAX(DATE(Summary!$C$12,12,31),Summary!$C$15))*('Dvd Calendar'!$W$655&lt;=Summary!$C$11)=0,"",'Dvd Calendar'!$W$655*1000000000+ISNUMBER('Dvd Calendar'!$W$656)*100000000+('Dvd Calendar'!$W$660='Field Check'!$C$25)*10000000+(N('Dvd Calendar'!$W$654)&gt;0)*1000000+44*1000+19))</f>
        <v/>
      </c>
      <c r="V52" s="41">
        <f>IF(N('Dvd Calendar'!$X$655)=0,"",IF(('Dvd Calendar'!$X$655&gt;=MIN(DATE(Summary!$C$12,1,1),Summary!$C$11))*('Dvd Calendar'!$X$655&lt;=MAX(DATE(Summary!$C$12,12,31),Summary!$C$15))*('Dvd Calendar'!$X$655&lt;=Summary!$C$11)=0,"",'Dvd Calendar'!$X$655*1000000000+ISNUMBER('Dvd Calendar'!$X$656)*100000000+('Dvd Calendar'!$X$660='Field Check'!$C$25)*10000000+(N('Dvd Calendar'!$X$654)&gt;0)*1000000+44*1000+20))</f>
        <v/>
      </c>
      <c r="W52" s="41">
        <f>IF(N('Dvd Calendar'!$Y$655)=0,"",IF(('Dvd Calendar'!$Y$655&gt;=MIN(DATE(Summary!$C$12,1,1),Summary!$C$11))*('Dvd Calendar'!$Y$655&lt;=MAX(DATE(Summary!$C$12,12,31),Summary!$C$15))*('Dvd Calendar'!$Y$655&lt;=Summary!$C$11)=0,"",'Dvd Calendar'!$Y$655*1000000000+ISNUMBER('Dvd Calendar'!$Y$656)*100000000+('Dvd Calendar'!$Y$660='Field Check'!$C$25)*10000000+(N('Dvd Calendar'!$Y$654)&gt;0)*1000000+44*1000+21))</f>
        <v/>
      </c>
      <c r="X52" s="41">
        <f>IF(N('Dvd Calendar'!$Z$655)=0,"",IF(('Dvd Calendar'!$Z$655&gt;=MIN(DATE(Summary!$C$12,1,1),Summary!$C$11))*('Dvd Calendar'!$Z$655&lt;=MAX(DATE(Summary!$C$12,12,31),Summary!$C$15))*('Dvd Calendar'!$Z$655&lt;=Summary!$C$11)=0,"",'Dvd Calendar'!$Z$655*1000000000+ISNUMBER('Dvd Calendar'!$Z$656)*100000000+('Dvd Calendar'!$Z$660='Field Check'!$C$25)*10000000+(N('Dvd Calendar'!$Z$654)&gt;0)*1000000+44*1000+22))</f>
        <v/>
      </c>
      <c r="Y52" s="41">
        <f>IF(N('Dvd Calendar'!$AA$655)=0,"",IF(('Dvd Calendar'!$AA$655&gt;=MIN(DATE(Summary!$C$12,1,1),Summary!$C$11))*('Dvd Calendar'!$AA$655&lt;=MAX(DATE(Summary!$C$12,12,31),Summary!$C$15))*('Dvd Calendar'!$AA$655&lt;=Summary!$C$11)=0,"",'Dvd Calendar'!$AA$655*1000000000+ISNUMBER('Dvd Calendar'!$AA$656)*100000000+('Dvd Calendar'!$AA$660='Field Check'!$C$25)*10000000+(N('Dvd Calendar'!$AA$654)&gt;0)*1000000+44*1000+23))</f>
        <v/>
      </c>
      <c r="Z52" s="41">
        <f>IF(N('Dvd Calendar'!$AB$655)=0,"",IF(('Dvd Calendar'!$AB$655&gt;=MIN(DATE(Summary!$C$12,1,1),Summary!$C$11))*('Dvd Calendar'!$AB$655&lt;=MAX(DATE(Summary!$C$12,12,31),Summary!$C$15))*('Dvd Calendar'!$AB$655&lt;=Summary!$C$11)=0,"",'Dvd Calendar'!$AB$655*1000000000+ISNUMBER('Dvd Calendar'!$AB$656)*100000000+('Dvd Calendar'!$AB$660='Field Check'!$C$25)*10000000+(N('Dvd Calendar'!$AB$654)&gt;0)*1000000+44*1000+24))</f>
        <v/>
      </c>
      <c r="AA52" s="41">
        <f>IF(N('Dvd Calendar'!$AC$655)=0,"",IF(('Dvd Calendar'!$AC$655&gt;=MIN(DATE(Summary!$C$12,1,1),Summary!$C$11))*('Dvd Calendar'!$AC$655&lt;=MAX(DATE(Summary!$C$12,12,31),Summary!$C$15))*('Dvd Calendar'!$AC$655&lt;=Summary!$C$11)=0,"",'Dvd Calendar'!$AC$655*1000000000+ISNUMBER('Dvd Calendar'!$AC$656)*100000000+('Dvd Calendar'!$AC$660='Field Check'!$C$25)*10000000+(N('Dvd Calendar'!$AC$654)&gt;0)*1000000+44*1000+25))</f>
        <v/>
      </c>
      <c r="AB52" s="41">
        <f>IF(N('Dvd Calendar'!$AD$655)=0,"",IF(('Dvd Calendar'!$AD$655&gt;=MIN(DATE(Summary!$C$12,1,1),Summary!$C$11))*('Dvd Calendar'!$AD$655&lt;=MAX(DATE(Summary!$C$12,12,31),Summary!$C$15))*('Dvd Calendar'!$AD$655&lt;=Summary!$C$11)=0,"",'Dvd Calendar'!$AD$655*1000000000+ISNUMBER('Dvd Calendar'!$AD$656)*100000000+('Dvd Calendar'!$AD$660='Field Check'!$C$25)*10000000+(N('Dvd Calendar'!$AD$654)&gt;0)*1000000+44*1000+26))</f>
        <v/>
      </c>
      <c r="AC52" s="41">
        <f>IF(N('Dvd Calendar'!$AE$655)=0,"",IF(('Dvd Calendar'!$AE$655&gt;=MIN(DATE(Summary!$C$12,1,1),Summary!$C$11))*('Dvd Calendar'!$AE$655&lt;=MAX(DATE(Summary!$C$12,12,31),Summary!$C$15))*('Dvd Calendar'!$AE$655&lt;=Summary!$C$11)=0,"",'Dvd Calendar'!$AE$655*1000000000+ISNUMBER('Dvd Calendar'!$AE$656)*100000000+('Dvd Calendar'!$AE$660='Field Check'!$C$25)*10000000+(N('Dvd Calendar'!$AE$654)&gt;0)*1000000+44*1000+27))</f>
        <v/>
      </c>
      <c r="AD52" s="41">
        <f>IF(N('Dvd Calendar'!$AF$655)=0,"",IF(('Dvd Calendar'!$AF$655&gt;=MIN(DATE(Summary!$C$12,1,1),Summary!$C$11))*('Dvd Calendar'!$AF$655&lt;=MAX(DATE(Summary!$C$12,12,31),Summary!$C$15))*('Dvd Calendar'!$AF$655&lt;=Summary!$C$11)=0,"",'Dvd Calendar'!$AF$655*1000000000+ISNUMBER('Dvd Calendar'!$AF$656)*100000000+('Dvd Calendar'!$AF$660='Field Check'!$C$25)*10000000+(N('Dvd Calendar'!$AF$654)&gt;0)*1000000+44*1000+28))</f>
        <v/>
      </c>
      <c r="AE52" s="41">
        <f>IF(N('Dvd Calendar'!$AG$655)=0,"",IF(('Dvd Calendar'!$AG$655&gt;=MIN(DATE(Summary!$C$12,1,1),Summary!$C$11))*('Dvd Calendar'!$AG$655&lt;=MAX(DATE(Summary!$C$12,12,31),Summary!$C$15))*('Dvd Calendar'!$AG$655&lt;=Summary!$C$11)=0,"",'Dvd Calendar'!$AG$655*1000000000+ISNUMBER('Dvd Calendar'!$AG$656)*100000000+('Dvd Calendar'!$AG$660='Field Check'!$C$25)*10000000+(N('Dvd Calendar'!$AG$654)&gt;0)*1000000+44*1000+29))</f>
        <v/>
      </c>
      <c r="AF52" s="41">
        <f>IF(N('Dvd Calendar'!$AH$655)=0,"",IF(('Dvd Calendar'!$AH$655&gt;=MIN(DATE(Summary!$C$12,1,1),Summary!$C$11))*('Dvd Calendar'!$AH$655&lt;=MAX(DATE(Summary!$C$12,12,31),Summary!$C$15))*('Dvd Calendar'!$AH$655&lt;=Summary!$C$11)=0,"",'Dvd Calendar'!$AH$655*1000000000+ISNUMBER('Dvd Calendar'!$AH$656)*100000000+('Dvd Calendar'!$AH$660='Field Check'!$C$25)*10000000+(N('Dvd Calendar'!$AH$654)&gt;0)*1000000+44*1000+30))</f>
        <v/>
      </c>
      <c r="AG52" s="41">
        <f>IF(N('Dvd Calendar'!$AI$655)=0,"",IF(('Dvd Calendar'!$AI$655&gt;=MIN(DATE(Summary!$C$12,1,1),Summary!$C$11))*('Dvd Calendar'!$AI$655&lt;=MAX(DATE(Summary!$C$12,12,31),Summary!$C$15))*('Dvd Calendar'!$AI$655&lt;=Summary!$C$11)=0,"",'Dvd Calendar'!$AI$655*1000000000+ISNUMBER('Dvd Calendar'!$AI$656)*100000000+('Dvd Calendar'!$AI$660='Field Check'!$C$25)*10000000+(N('Dvd Calendar'!$AI$654)&gt;0)*1000000+44*1000+31))</f>
        <v/>
      </c>
      <c r="AH52" s="41">
        <f>IF(N('Dvd Calendar'!$AJ$655)=0,"",IF(('Dvd Calendar'!$AJ$655&gt;=MIN(DATE(Summary!$C$12,1,1),Summary!$C$11))*('Dvd Calendar'!$AJ$655&lt;=MAX(DATE(Summary!$C$12,12,31),Summary!$C$15))*('Dvd Calendar'!$AJ$655&lt;=Summary!$C$11)=0,"",'Dvd Calendar'!$AJ$655*1000000000+ISNUMBER('Dvd Calendar'!$AJ$656)*100000000+('Dvd Calendar'!$AJ$660='Field Check'!$C$25)*10000000+(N('Dvd Calendar'!$AJ$654)&gt;0)*1000000+44*1000+32))</f>
        <v/>
      </c>
      <c r="AI52" s="41">
        <f>IF(N('Dvd Calendar'!$AK$655)=0,"",IF(('Dvd Calendar'!$AK$655&gt;=MIN(DATE(Summary!$C$12,1,1),Summary!$C$11))*('Dvd Calendar'!$AK$655&lt;=MAX(DATE(Summary!$C$12,12,31),Summary!$C$15))*('Dvd Calendar'!$AK$655&lt;=Summary!$C$11)=0,"",'Dvd Calendar'!$AK$655*1000000000+ISNUMBER('Dvd Calendar'!$AK$656)*100000000+('Dvd Calendar'!$AK$660='Field Check'!$C$25)*10000000+(N('Dvd Calendar'!$AK$654)&gt;0)*1000000+44*1000+33))</f>
        <v/>
      </c>
      <c r="AJ52" s="41">
        <f>IF(N('Dvd Calendar'!$AL$655)=0,"",IF(('Dvd Calendar'!$AL$655&gt;=MIN(DATE(Summary!$C$12,1,1),Summary!$C$11))*('Dvd Calendar'!$AL$655&lt;=MAX(DATE(Summary!$C$12,12,31),Summary!$C$15))*('Dvd Calendar'!$AL$655&lt;=Summary!$C$11)=0,"",'Dvd Calendar'!$AL$655*1000000000+ISNUMBER('Dvd Calendar'!$AL$656)*100000000+('Dvd Calendar'!$AL$660='Field Check'!$C$25)*10000000+(N('Dvd Calendar'!$AL$654)&gt;0)*1000000+44*1000+34))</f>
        <v/>
      </c>
      <c r="AK52" s="41">
        <f>IF(N('Dvd Calendar'!$AM$655)=0,"",IF(('Dvd Calendar'!$AM$655&gt;=MIN(DATE(Summary!$C$12,1,1),Summary!$C$11))*('Dvd Calendar'!$AM$655&lt;=MAX(DATE(Summary!$C$12,12,31),Summary!$C$15))*('Dvd Calendar'!$AM$655&lt;=Summary!$C$11)=0,"",'Dvd Calendar'!$AM$655*1000000000+ISNUMBER('Dvd Calendar'!$AM$656)*100000000+('Dvd Calendar'!$AM$660='Field Check'!$C$25)*10000000+(N('Dvd Calendar'!$AM$654)&gt;0)*1000000+44*1000+35))</f>
        <v/>
      </c>
      <c r="AL52" s="41">
        <f>IF(N('Dvd Calendar'!$AN$655)=0,"",IF(('Dvd Calendar'!$AN$655&gt;=MIN(DATE(Summary!$C$12,1,1),Summary!$C$11))*('Dvd Calendar'!$AN$655&lt;=MAX(DATE(Summary!$C$12,12,31),Summary!$C$15))*('Dvd Calendar'!$AN$655&lt;=Summary!$C$11)=0,"",'Dvd Calendar'!$AN$655*1000000000+ISNUMBER('Dvd Calendar'!$AN$656)*100000000+('Dvd Calendar'!$AN$660='Field Check'!$C$25)*10000000+(N('Dvd Calendar'!$AN$654)&gt;0)*1000000+44*1000+36))</f>
        <v/>
      </c>
      <c r="AM52" s="41">
        <f>IF(N('Dvd Calendar'!$AO$655)=0,"",IF(('Dvd Calendar'!$AO$655&gt;=MIN(DATE(Summary!$C$12,1,1),Summary!$C$11))*('Dvd Calendar'!$AO$655&lt;=MAX(DATE(Summary!$C$12,12,31),Summary!$C$15))*('Dvd Calendar'!$AO$655&lt;=Summary!$C$11)=0,"",'Dvd Calendar'!$AO$655*1000000000+ISNUMBER('Dvd Calendar'!$AO$656)*100000000+('Dvd Calendar'!$AO$660='Field Check'!$C$25)*10000000+(N('Dvd Calendar'!$AO$654)&gt;0)*1000000+44*1000+37))</f>
        <v/>
      </c>
      <c r="AN52" s="41">
        <f>IF(N('Dvd Calendar'!$AP$655)=0,"",IF(('Dvd Calendar'!$AP$655&gt;=MIN(DATE(Summary!$C$12,1,1),Summary!$C$11))*('Dvd Calendar'!$AP$655&lt;=MAX(DATE(Summary!$C$12,12,31),Summary!$C$15))*('Dvd Calendar'!$AP$655&lt;=Summary!$C$11)=0,"",'Dvd Calendar'!$AP$655*1000000000+ISNUMBER('Dvd Calendar'!$AP$656)*100000000+('Dvd Calendar'!$AP$660='Field Check'!$C$25)*10000000+(N('Dvd Calendar'!$AP$654)&gt;0)*1000000+44*1000+38))</f>
        <v/>
      </c>
      <c r="AO52" s="41">
        <f>IF(N('Dvd Calendar'!$AQ$655)=0,"",IF(('Dvd Calendar'!$AQ$655&gt;=MIN(DATE(Summary!$C$12,1,1),Summary!$C$11))*('Dvd Calendar'!$AQ$655&lt;=MAX(DATE(Summary!$C$12,12,31),Summary!$C$15))*('Dvd Calendar'!$AQ$655&lt;=Summary!$C$11)=0,"",'Dvd Calendar'!$AQ$655*1000000000+ISNUMBER('Dvd Calendar'!$AQ$656)*100000000+('Dvd Calendar'!$AQ$660='Field Check'!$C$25)*10000000+(N('Dvd Calendar'!$AQ$654)&gt;0)*1000000+44*1000+39))</f>
        <v/>
      </c>
      <c r="AP52" s="41">
        <f>IF(N('Dvd Calendar'!$AR$655)=0,"",IF(('Dvd Calendar'!$AR$655&gt;=MIN(DATE(Summary!$C$12,1,1),Summary!$C$11))*('Dvd Calendar'!$AR$655&lt;=MAX(DATE(Summary!$C$12,12,31),Summary!$C$15))*('Dvd Calendar'!$AR$655&lt;=Summary!$C$11)=0,"",'Dvd Calendar'!$AR$655*1000000000+ISNUMBER('Dvd Calendar'!$AR$656)*100000000+('Dvd Calendar'!$AR$660='Field Check'!$C$25)*10000000+(N('Dvd Calendar'!$AR$654)&gt;0)*1000000+44*1000+40))</f>
        <v/>
      </c>
      <c r="AQ52" s="41">
        <f>IF(N('Dvd Calendar'!$E$662)=0,"",IF(('Dvd Calendar'!$E$662&gt;=MIN(DATE(Summary!$C$12,1,1),Summary!$C$11))*('Dvd Calendar'!$E$662&lt;=MAX(DATE(Summary!$C$12,12,31),Summary!$C$15))*('Dvd Calendar'!$E$662&gt;Summary!$C$11)=0,"",'Dvd Calendar'!$E$662*1000000000+ISNUMBER('Dvd Calendar'!$E$663)*100000000+('Dvd Calendar'!$E$667='Field Check'!$C$25)*10000000+(N('Dvd Calendar'!$E$661)&gt;0)*1000000+44*1000+41))</f>
        <v/>
      </c>
      <c r="AR52" s="41">
        <f>IF(N('Dvd Calendar'!$F$662)=0,"",IF(('Dvd Calendar'!$F$662&gt;=MIN(DATE(Summary!$C$12,1,1),Summary!$C$11))*('Dvd Calendar'!$F$662&lt;=MAX(DATE(Summary!$C$12,12,31),Summary!$C$15))*('Dvd Calendar'!$F$662&gt;Summary!$C$11)=0,"",'Dvd Calendar'!$F$662*1000000000+ISNUMBER('Dvd Calendar'!$F$663)*100000000+('Dvd Calendar'!$F$667='Field Check'!$C$25)*10000000+(N('Dvd Calendar'!$F$661)&gt;0)*1000000+44*1000+42))</f>
        <v/>
      </c>
      <c r="AS52" s="41">
        <f>IF(N('Dvd Calendar'!$G$662)=0,"",IF(('Dvd Calendar'!$G$662&gt;=MIN(DATE(Summary!$C$12,1,1),Summary!$C$11))*('Dvd Calendar'!$G$662&lt;=MAX(DATE(Summary!$C$12,12,31),Summary!$C$15))*('Dvd Calendar'!$G$662&gt;Summary!$C$11)=0,"",'Dvd Calendar'!$G$662*1000000000+ISNUMBER('Dvd Calendar'!$G$663)*100000000+('Dvd Calendar'!$G$667='Field Check'!$C$25)*10000000+(N('Dvd Calendar'!$G$661)&gt;0)*1000000+44*1000+43))</f>
        <v/>
      </c>
      <c r="AT52" s="41">
        <f>IF(N('Dvd Calendar'!$H$662)=0,"",IF(('Dvd Calendar'!$H$662&gt;=MIN(DATE(Summary!$C$12,1,1),Summary!$C$11))*('Dvd Calendar'!$H$662&lt;=MAX(DATE(Summary!$C$12,12,31),Summary!$C$15))*('Dvd Calendar'!$H$662&gt;Summary!$C$11)=0,"",'Dvd Calendar'!$H$662*1000000000+ISNUMBER('Dvd Calendar'!$H$663)*100000000+('Dvd Calendar'!$H$667='Field Check'!$C$25)*10000000+(N('Dvd Calendar'!$H$661)&gt;0)*1000000+44*1000+44))</f>
        <v/>
      </c>
      <c r="AU52" s="41">
        <f>IF(N('Dvd Calendar'!$I$662)=0,"",IF(('Dvd Calendar'!$I$662&gt;=MIN(DATE(Summary!$C$12,1,1),Summary!$C$11))*('Dvd Calendar'!$I$662&lt;=MAX(DATE(Summary!$C$12,12,31),Summary!$C$15))*('Dvd Calendar'!$I$662&gt;Summary!$C$11)=0,"",'Dvd Calendar'!$I$662*1000000000+ISNUMBER('Dvd Calendar'!$I$663)*100000000+('Dvd Calendar'!$I$667='Field Check'!$C$25)*10000000+(N('Dvd Calendar'!$I$661)&gt;0)*1000000+44*1000+45))</f>
        <v/>
      </c>
      <c r="AV52" s="41">
        <f>IF(N('Dvd Calendar'!$J$662)=0,"",IF(('Dvd Calendar'!$J$662&gt;=MIN(DATE(Summary!$C$12,1,1),Summary!$C$11))*('Dvd Calendar'!$J$662&lt;=MAX(DATE(Summary!$C$12,12,31),Summary!$C$15))*('Dvd Calendar'!$J$662&gt;Summary!$C$11)=0,"",'Dvd Calendar'!$J$662*1000000000+ISNUMBER('Dvd Calendar'!$J$663)*100000000+('Dvd Calendar'!$J$667='Field Check'!$C$25)*10000000+(N('Dvd Calendar'!$J$661)&gt;0)*1000000+44*1000+46))</f>
        <v/>
      </c>
      <c r="AW52" s="41">
        <f>IF(N('Dvd Calendar'!$K$662)=0,"",IF(('Dvd Calendar'!$K$662&gt;=MIN(DATE(Summary!$C$12,1,1),Summary!$C$11))*('Dvd Calendar'!$K$662&lt;=MAX(DATE(Summary!$C$12,12,31),Summary!$C$15))*('Dvd Calendar'!$K$662&gt;Summary!$C$11)=0,"",'Dvd Calendar'!$K$662*1000000000+ISNUMBER('Dvd Calendar'!$K$663)*100000000+('Dvd Calendar'!$K$667='Field Check'!$C$25)*10000000+(N('Dvd Calendar'!$K$661)&gt;0)*1000000+44*1000+47))</f>
        <v/>
      </c>
      <c r="AX52" s="41">
        <f>IF(N('Dvd Calendar'!$L$662)=0,"",IF(('Dvd Calendar'!$L$662&gt;=MIN(DATE(Summary!$C$12,1,1),Summary!$C$11))*('Dvd Calendar'!$L$662&lt;=MAX(DATE(Summary!$C$12,12,31),Summary!$C$15))*('Dvd Calendar'!$L$662&gt;Summary!$C$11)=0,"",'Dvd Calendar'!$L$662*1000000000+ISNUMBER('Dvd Calendar'!$L$663)*100000000+('Dvd Calendar'!$L$667='Field Check'!$C$25)*10000000+(N('Dvd Calendar'!$L$661)&gt;0)*1000000+44*1000+48))</f>
        <v/>
      </c>
      <c r="AY52" s="41">
        <f>IF(N('Dvd Calendar'!$M$662)=0,"",IF(('Dvd Calendar'!$M$662&gt;=MIN(DATE(Summary!$C$12,1,1),Summary!$C$11))*('Dvd Calendar'!$M$662&lt;=MAX(DATE(Summary!$C$12,12,31),Summary!$C$15))*('Dvd Calendar'!$M$662&gt;Summary!$C$11)=0,"",'Dvd Calendar'!$M$662*1000000000+ISNUMBER('Dvd Calendar'!$M$663)*100000000+('Dvd Calendar'!$M$667='Field Check'!$C$25)*10000000+(N('Dvd Calendar'!$M$661)&gt;0)*1000000+44*1000+49))</f>
        <v/>
      </c>
      <c r="AZ52" s="41">
        <f>IF(N('Dvd Calendar'!$N$662)=0,"",IF(('Dvd Calendar'!$N$662&gt;=MIN(DATE(Summary!$C$12,1,1),Summary!$C$11))*('Dvd Calendar'!$N$662&lt;=MAX(DATE(Summary!$C$12,12,31),Summary!$C$15))*('Dvd Calendar'!$N$662&gt;Summary!$C$11)=0,"",'Dvd Calendar'!$N$662*1000000000+ISNUMBER('Dvd Calendar'!$N$663)*100000000+('Dvd Calendar'!$N$667='Field Check'!$C$25)*10000000+(N('Dvd Calendar'!$N$661)&gt;0)*1000000+44*1000+50))</f>
        <v/>
      </c>
      <c r="BA52" s="41">
        <f>IF(N('Dvd Calendar'!$O$662)=0,"",IF(('Dvd Calendar'!$O$662&gt;=MIN(DATE(Summary!$C$12,1,1),Summary!$C$11))*('Dvd Calendar'!$O$662&lt;=MAX(DATE(Summary!$C$12,12,31),Summary!$C$15))*('Dvd Calendar'!$O$662&gt;Summary!$C$11)=0,"",'Dvd Calendar'!$O$662*1000000000+ISNUMBER('Dvd Calendar'!$O$663)*100000000+('Dvd Calendar'!$O$667='Field Check'!$C$25)*10000000+(N('Dvd Calendar'!$O$661)&gt;0)*1000000+44*1000+51))</f>
        <v/>
      </c>
      <c r="BB52" s="41">
        <f>IF(N('Dvd Calendar'!$P$662)=0,"",IF(('Dvd Calendar'!$P$662&gt;=MIN(DATE(Summary!$C$12,1,1),Summary!$C$11))*('Dvd Calendar'!$P$662&lt;=MAX(DATE(Summary!$C$12,12,31),Summary!$C$15))*('Dvd Calendar'!$P$662&gt;Summary!$C$11)=0,"",'Dvd Calendar'!$P$662*1000000000+ISNUMBER('Dvd Calendar'!$P$663)*100000000+('Dvd Calendar'!$P$667='Field Check'!$C$25)*10000000+(N('Dvd Calendar'!$P$661)&gt;0)*1000000+44*1000+52))</f>
        <v/>
      </c>
      <c r="BC52" s="41">
        <f>IF(N('Dvd Calendar'!$Q$662)=0,"",IF(('Dvd Calendar'!$Q$662&gt;=MIN(DATE(Summary!$C$12,1,1),Summary!$C$11))*('Dvd Calendar'!$Q$662&lt;=MAX(DATE(Summary!$C$12,12,31),Summary!$C$15))*('Dvd Calendar'!$Q$662&gt;Summary!$C$11)=0,"",'Dvd Calendar'!$Q$662*1000000000+ISNUMBER('Dvd Calendar'!$Q$663)*100000000+('Dvd Calendar'!$Q$667='Field Check'!$C$25)*10000000+(N('Dvd Calendar'!$Q$661)&gt;0)*1000000+44*1000+53))</f>
        <v/>
      </c>
      <c r="BD52" s="41">
        <f>IF(N('Dvd Calendar'!$R$662)=0,"",IF(('Dvd Calendar'!$R$662&gt;=MIN(DATE(Summary!$C$12,1,1),Summary!$C$11))*('Dvd Calendar'!$R$662&lt;=MAX(DATE(Summary!$C$12,12,31),Summary!$C$15))*('Dvd Calendar'!$R$662&gt;Summary!$C$11)=0,"",'Dvd Calendar'!$R$662*1000000000+ISNUMBER('Dvd Calendar'!$R$663)*100000000+('Dvd Calendar'!$R$667='Field Check'!$C$25)*10000000+(N('Dvd Calendar'!$R$661)&gt;0)*1000000+44*1000+54))</f>
        <v/>
      </c>
      <c r="BE52" s="41">
        <f>IF(N('Dvd Calendar'!$S$662)=0,"",IF(('Dvd Calendar'!$S$662&gt;=MIN(DATE(Summary!$C$12,1,1),Summary!$C$11))*('Dvd Calendar'!$S$662&lt;=MAX(DATE(Summary!$C$12,12,31),Summary!$C$15))*('Dvd Calendar'!$S$662&gt;Summary!$C$11)=0,"",'Dvd Calendar'!$S$662*1000000000+ISNUMBER('Dvd Calendar'!$S$663)*100000000+('Dvd Calendar'!$S$667='Field Check'!$C$25)*10000000+(N('Dvd Calendar'!$S$661)&gt;0)*1000000+44*1000+55))</f>
        <v/>
      </c>
      <c r="BF52" s="41">
        <f>IF(N('Dvd Calendar'!$T$662)=0,"",IF(('Dvd Calendar'!$T$662&gt;=MIN(DATE(Summary!$C$12,1,1),Summary!$C$11))*('Dvd Calendar'!$T$662&lt;=MAX(DATE(Summary!$C$12,12,31),Summary!$C$15))*('Dvd Calendar'!$T$662&gt;Summary!$C$11)=0,"",'Dvd Calendar'!$T$662*1000000000+ISNUMBER('Dvd Calendar'!$T$663)*100000000+('Dvd Calendar'!$T$667='Field Check'!$C$25)*10000000+(N('Dvd Calendar'!$T$661)&gt;0)*1000000+44*1000+56))</f>
        <v/>
      </c>
      <c r="BG52" s="41">
        <f>IF(N('Dvd Calendar'!$U$662)=0,"",IF(('Dvd Calendar'!$U$662&gt;=MIN(DATE(Summary!$C$12,1,1),Summary!$C$11))*('Dvd Calendar'!$U$662&lt;=MAX(DATE(Summary!$C$12,12,31),Summary!$C$15))*('Dvd Calendar'!$U$662&gt;Summary!$C$11)=0,"",'Dvd Calendar'!$U$662*1000000000+ISNUMBER('Dvd Calendar'!$U$663)*100000000+('Dvd Calendar'!$U$667='Field Check'!$C$25)*10000000+(N('Dvd Calendar'!$U$661)&gt;0)*1000000+44*1000+57))</f>
        <v/>
      </c>
      <c r="BH52" s="41">
        <f>IF(N('Dvd Calendar'!$V$662)=0,"",IF(('Dvd Calendar'!$V$662&gt;=MIN(DATE(Summary!$C$12,1,1),Summary!$C$11))*('Dvd Calendar'!$V$662&lt;=MAX(DATE(Summary!$C$12,12,31),Summary!$C$15))*('Dvd Calendar'!$V$662&gt;Summary!$C$11)=0,"",'Dvd Calendar'!$V$662*1000000000+ISNUMBER('Dvd Calendar'!$V$663)*100000000+('Dvd Calendar'!$V$667='Field Check'!$C$25)*10000000+(N('Dvd Calendar'!$V$661)&gt;0)*1000000+44*1000+58))</f>
        <v/>
      </c>
      <c r="BI52" s="41">
        <f>IF(N('Dvd Calendar'!$W$662)=0,"",IF(('Dvd Calendar'!$W$662&gt;=MIN(DATE(Summary!$C$12,1,1),Summary!$C$11))*('Dvd Calendar'!$W$662&lt;=MAX(DATE(Summary!$C$12,12,31),Summary!$C$15))*('Dvd Calendar'!$W$662&gt;Summary!$C$11)=0,"",'Dvd Calendar'!$W$662*1000000000+ISNUMBER('Dvd Calendar'!$W$663)*100000000+('Dvd Calendar'!$W$667='Field Check'!$C$25)*10000000+(N('Dvd Calendar'!$W$661)&gt;0)*1000000+44*1000+59))</f>
        <v/>
      </c>
      <c r="BJ52" s="41">
        <f>IF(N('Dvd Calendar'!$X$662)=0,"",IF(('Dvd Calendar'!$X$662&gt;=MIN(DATE(Summary!$C$12,1,1),Summary!$C$11))*('Dvd Calendar'!$X$662&lt;=MAX(DATE(Summary!$C$12,12,31),Summary!$C$15))*('Dvd Calendar'!$X$662&gt;Summary!$C$11)=0,"",'Dvd Calendar'!$X$662*1000000000+ISNUMBER('Dvd Calendar'!$X$663)*100000000+('Dvd Calendar'!$X$667='Field Check'!$C$25)*10000000+(N('Dvd Calendar'!$X$661)&gt;0)*1000000+44*1000+60))</f>
        <v/>
      </c>
      <c r="BK52" s="41">
        <f>IF(N('Dvd Calendar'!$Y$662)=0,"",IF(('Dvd Calendar'!$Y$662&gt;=MIN(DATE(Summary!$C$12,1,1),Summary!$C$11))*('Dvd Calendar'!$Y$662&lt;=MAX(DATE(Summary!$C$12,12,31),Summary!$C$15))*('Dvd Calendar'!$Y$662&gt;Summary!$C$11)=0,"",'Dvd Calendar'!$Y$662*1000000000+ISNUMBER('Dvd Calendar'!$Y$663)*100000000+('Dvd Calendar'!$Y$667='Field Check'!$C$25)*10000000+(N('Dvd Calendar'!$Y$661)&gt;0)*1000000+44*1000+61))</f>
        <v/>
      </c>
      <c r="BL52" s="41">
        <f>IF(N('Dvd Calendar'!$Z$662)=0,"",IF(('Dvd Calendar'!$Z$662&gt;=MIN(DATE(Summary!$C$12,1,1),Summary!$C$11))*('Dvd Calendar'!$Z$662&lt;=MAX(DATE(Summary!$C$12,12,31),Summary!$C$15))*('Dvd Calendar'!$Z$662&gt;Summary!$C$11)=0,"",'Dvd Calendar'!$Z$662*1000000000+ISNUMBER('Dvd Calendar'!$Z$663)*100000000+('Dvd Calendar'!$Z$667='Field Check'!$C$25)*10000000+(N('Dvd Calendar'!$Z$661)&gt;0)*1000000+44*1000+62))</f>
        <v/>
      </c>
      <c r="BM52" s="41">
        <f>IF(N('Dvd Calendar'!$AA$662)=0,"",IF(('Dvd Calendar'!$AA$662&gt;=MIN(DATE(Summary!$C$12,1,1),Summary!$C$11))*('Dvd Calendar'!$AA$662&lt;=MAX(DATE(Summary!$C$12,12,31),Summary!$C$15))*('Dvd Calendar'!$AA$662&gt;Summary!$C$11)=0,"",'Dvd Calendar'!$AA$662*1000000000+ISNUMBER('Dvd Calendar'!$AA$663)*100000000+('Dvd Calendar'!$AA$667='Field Check'!$C$25)*10000000+(N('Dvd Calendar'!$AA$661)&gt;0)*1000000+44*1000+63))</f>
        <v/>
      </c>
      <c r="BN52" s="41">
        <f>IF(N('Dvd Calendar'!$AB$662)=0,"",IF(('Dvd Calendar'!$AB$662&gt;=MIN(DATE(Summary!$C$12,1,1),Summary!$C$11))*('Dvd Calendar'!$AB$662&lt;=MAX(DATE(Summary!$C$12,12,31),Summary!$C$15))*('Dvd Calendar'!$AB$662&gt;Summary!$C$11)=0,"",'Dvd Calendar'!$AB$662*1000000000+ISNUMBER('Dvd Calendar'!$AB$663)*100000000+('Dvd Calendar'!$AB$667='Field Check'!$C$25)*10000000+(N('Dvd Calendar'!$AB$661)&gt;0)*1000000+44*1000+64))</f>
        <v/>
      </c>
      <c r="BO52" s="41">
        <f>IF(N('Dvd Calendar'!$AC$662)=0,"",IF(('Dvd Calendar'!$AC$662&gt;=MIN(DATE(Summary!$C$12,1,1),Summary!$C$11))*('Dvd Calendar'!$AC$662&lt;=MAX(DATE(Summary!$C$12,12,31),Summary!$C$15))*('Dvd Calendar'!$AC$662&gt;Summary!$C$11)=0,"",'Dvd Calendar'!$AC$662*1000000000+ISNUMBER('Dvd Calendar'!$AC$663)*100000000+('Dvd Calendar'!$AC$667='Field Check'!$C$25)*10000000+(N('Dvd Calendar'!$AC$661)&gt;0)*1000000+44*1000+65))</f>
        <v/>
      </c>
      <c r="BQ52" s="85">
        <f>IF(C52="","",IF(ISNUMBER('Dvd Calendar'!$E$656)=FALSE,"",IF((Summary!$C$13="N")*('Dvd Calendar'!$E$660='Field Check'!$C$25)&gt;0,"",'Dvd Calendar'!$E$656)))</f>
        <v/>
      </c>
      <c r="BR52" s="85">
        <f>IF(D52="","",IF(ISNUMBER('Dvd Calendar'!$F$656)=FALSE,"",IF((Summary!$C$13="N")*('Dvd Calendar'!$F$660='Field Check'!$C$25)&gt;0,"",'Dvd Calendar'!$F$656)))</f>
        <v/>
      </c>
      <c r="BS52" s="85">
        <f>IF(E52="","",IF(ISNUMBER('Dvd Calendar'!$G$656)=FALSE,"",IF((Summary!$C$13="N")*('Dvd Calendar'!$G$660='Field Check'!$C$25)&gt;0,"",'Dvd Calendar'!$G$656)))</f>
        <v/>
      </c>
      <c r="BT52" s="85">
        <f>IF(F52="","",IF(ISNUMBER('Dvd Calendar'!$H$656)=FALSE,"",IF((Summary!$C$13="N")*('Dvd Calendar'!$H$660='Field Check'!$C$25)&gt;0,"",'Dvd Calendar'!$H$656)))</f>
        <v/>
      </c>
      <c r="BU52" s="85">
        <f>IF(G52="","",IF(ISNUMBER('Dvd Calendar'!$I$656)=FALSE,"",IF((Summary!$C$13="N")*('Dvd Calendar'!$I$660='Field Check'!$C$25)&gt;0,"",'Dvd Calendar'!$I$656)))</f>
        <v/>
      </c>
      <c r="BV52" s="85">
        <f>IF(H52="","",IF(ISNUMBER('Dvd Calendar'!$J$656)=FALSE,"",IF((Summary!$C$13="N")*('Dvd Calendar'!$J$660='Field Check'!$C$25)&gt;0,"",'Dvd Calendar'!$J$656)))</f>
        <v/>
      </c>
      <c r="BW52" s="85">
        <f>IF(I52="","",IF(ISNUMBER('Dvd Calendar'!$K$656)=FALSE,"",IF((Summary!$C$13="N")*('Dvd Calendar'!$K$660='Field Check'!$C$25)&gt;0,"",'Dvd Calendar'!$K$656)))</f>
        <v/>
      </c>
      <c r="BX52" s="85">
        <f>IF(J52="","",IF(ISNUMBER('Dvd Calendar'!$L$656)=FALSE,"",IF((Summary!$C$13="N")*('Dvd Calendar'!$L$660='Field Check'!$C$25)&gt;0,"",'Dvd Calendar'!$L$656)))</f>
        <v/>
      </c>
      <c r="BY52" s="85">
        <f>IF(K52="","",IF(ISNUMBER('Dvd Calendar'!$M$656)=FALSE,"",IF((Summary!$C$13="N")*('Dvd Calendar'!$M$660='Field Check'!$C$25)&gt;0,"",'Dvd Calendar'!$M$656)))</f>
        <v/>
      </c>
      <c r="BZ52" s="85">
        <f>IF(L52="","",IF(ISNUMBER('Dvd Calendar'!$N$656)=FALSE,"",IF((Summary!$C$13="N")*('Dvd Calendar'!$N$660='Field Check'!$C$25)&gt;0,"",'Dvd Calendar'!$N$656)))</f>
        <v/>
      </c>
      <c r="CA52" s="85">
        <f>IF(M52="","",IF(ISNUMBER('Dvd Calendar'!$O$656)=FALSE,"",IF((Summary!$C$13="N")*('Dvd Calendar'!$O$660='Field Check'!$C$25)&gt;0,"",'Dvd Calendar'!$O$656)))</f>
        <v/>
      </c>
      <c r="CB52" s="85">
        <f>IF(N52="","",IF(ISNUMBER('Dvd Calendar'!$P$656)=FALSE,"",IF((Summary!$C$13="N")*('Dvd Calendar'!$P$660='Field Check'!$C$25)&gt;0,"",'Dvd Calendar'!$P$656)))</f>
        <v/>
      </c>
      <c r="CC52" s="85">
        <f>IF(O52="","",IF(ISNUMBER('Dvd Calendar'!$Q$656)=FALSE,"",IF((Summary!$C$13="N")*('Dvd Calendar'!$Q$660='Field Check'!$C$25)&gt;0,"",'Dvd Calendar'!$Q$656)))</f>
        <v/>
      </c>
      <c r="CD52" s="85">
        <f>IF(P52="","",IF(ISNUMBER('Dvd Calendar'!$R$656)=FALSE,"",IF((Summary!$C$13="N")*('Dvd Calendar'!$R$660='Field Check'!$C$25)&gt;0,"",'Dvd Calendar'!$R$656)))</f>
        <v/>
      </c>
      <c r="CE52" s="85">
        <f>IF(Q52="","",IF(ISNUMBER('Dvd Calendar'!$S$656)=FALSE,"",IF((Summary!$C$13="N")*('Dvd Calendar'!$S$660='Field Check'!$C$25)&gt;0,"",'Dvd Calendar'!$S$656)))</f>
        <v/>
      </c>
      <c r="CF52" s="85">
        <f>IF(R52="","",IF(ISNUMBER('Dvd Calendar'!$T$656)=FALSE,"",IF((Summary!$C$13="N")*('Dvd Calendar'!$T$660='Field Check'!$C$25)&gt;0,"",'Dvd Calendar'!$T$656)))</f>
        <v/>
      </c>
      <c r="CG52" s="85">
        <f>IF(S52="","",IF(ISNUMBER('Dvd Calendar'!$U$656)=FALSE,"",IF((Summary!$C$13="N")*('Dvd Calendar'!$U$660='Field Check'!$C$25)&gt;0,"",'Dvd Calendar'!$U$656)))</f>
        <v/>
      </c>
      <c r="CH52" s="85">
        <f>IF(T52="","",IF(ISNUMBER('Dvd Calendar'!$V$656)=FALSE,"",IF((Summary!$C$13="N")*('Dvd Calendar'!$V$660='Field Check'!$C$25)&gt;0,"",'Dvd Calendar'!$V$656)))</f>
        <v/>
      </c>
      <c r="CI52" s="85">
        <f>IF(U52="","",IF(ISNUMBER('Dvd Calendar'!$W$656)=FALSE,"",IF((Summary!$C$13="N")*('Dvd Calendar'!$W$660='Field Check'!$C$25)&gt;0,"",'Dvd Calendar'!$W$656)))</f>
        <v/>
      </c>
      <c r="CJ52" s="85">
        <f>IF(V52="","",IF(ISNUMBER('Dvd Calendar'!$X$656)=FALSE,"",IF((Summary!$C$13="N")*('Dvd Calendar'!$X$660='Field Check'!$C$25)&gt;0,"",'Dvd Calendar'!$X$656)))</f>
        <v/>
      </c>
      <c r="CK52" s="85">
        <f>IF(W52="","",IF(ISNUMBER('Dvd Calendar'!$Y$656)=FALSE,"",IF((Summary!$C$13="N")*('Dvd Calendar'!$Y$660='Field Check'!$C$25)&gt;0,"",'Dvd Calendar'!$Y$656)))</f>
        <v/>
      </c>
      <c r="CL52" s="85">
        <f>IF(X52="","",IF(ISNUMBER('Dvd Calendar'!$Z$656)=FALSE,"",IF((Summary!$C$13="N")*('Dvd Calendar'!$Z$660='Field Check'!$C$25)&gt;0,"",'Dvd Calendar'!$Z$656)))</f>
        <v/>
      </c>
      <c r="CM52" s="85">
        <f>IF(Y52="","",IF(ISNUMBER('Dvd Calendar'!$AA$656)=FALSE,"",IF((Summary!$C$13="N")*('Dvd Calendar'!$AA$660='Field Check'!$C$25)&gt;0,"",'Dvd Calendar'!$AA$656)))</f>
        <v/>
      </c>
      <c r="CN52" s="85">
        <f>IF(Z52="","",IF(ISNUMBER('Dvd Calendar'!$AB$656)=FALSE,"",IF((Summary!$C$13="N")*('Dvd Calendar'!$AB$660='Field Check'!$C$25)&gt;0,"",'Dvd Calendar'!$AB$656)))</f>
        <v/>
      </c>
      <c r="CO52" s="85">
        <f>IF(AA52="","",IF(ISNUMBER('Dvd Calendar'!$AC$656)=FALSE,"",IF((Summary!$C$13="N")*('Dvd Calendar'!$AC$660='Field Check'!$C$25)&gt;0,"",'Dvd Calendar'!$AC$656)))</f>
        <v/>
      </c>
      <c r="CP52" s="85">
        <f>IF(AB52="","",IF(ISNUMBER('Dvd Calendar'!$AD$656)=FALSE,"",IF((Summary!$C$13="N")*('Dvd Calendar'!$AD$660='Field Check'!$C$25)&gt;0,"",'Dvd Calendar'!$AD$656)))</f>
        <v/>
      </c>
      <c r="CQ52" s="85">
        <f>IF(AC52="","",IF(ISNUMBER('Dvd Calendar'!$AE$656)=FALSE,"",IF((Summary!$C$13="N")*('Dvd Calendar'!$AE$660='Field Check'!$C$25)&gt;0,"",'Dvd Calendar'!$AE$656)))</f>
        <v/>
      </c>
      <c r="CR52" s="85">
        <f>IF(AD52="","",IF(ISNUMBER('Dvd Calendar'!$AF$656)=FALSE,"",IF((Summary!$C$13="N")*('Dvd Calendar'!$AF$660='Field Check'!$C$25)&gt;0,"",'Dvd Calendar'!$AF$656)))</f>
        <v/>
      </c>
      <c r="CS52" s="85">
        <f>IF(AE52="","",IF(ISNUMBER('Dvd Calendar'!$AG$656)=FALSE,"",IF((Summary!$C$13="N")*('Dvd Calendar'!$AG$660='Field Check'!$C$25)&gt;0,"",'Dvd Calendar'!$AG$656)))</f>
        <v/>
      </c>
      <c r="CT52" s="85">
        <f>IF(AF52="","",IF(ISNUMBER('Dvd Calendar'!$AH$656)=FALSE,"",IF((Summary!$C$13="N")*('Dvd Calendar'!$AH$660='Field Check'!$C$25)&gt;0,"",'Dvd Calendar'!$AH$656)))</f>
        <v/>
      </c>
      <c r="CU52" s="85">
        <f>IF(AG52="","",IF(ISNUMBER('Dvd Calendar'!$AI$656)=FALSE,"",IF((Summary!$C$13="N")*('Dvd Calendar'!$AI$660='Field Check'!$C$25)&gt;0,"",'Dvd Calendar'!$AI$656)))</f>
        <v/>
      </c>
      <c r="CV52" s="85">
        <f>IF(AH52="","",IF(ISNUMBER('Dvd Calendar'!$AJ$656)=FALSE,"",IF((Summary!$C$13="N")*('Dvd Calendar'!$AJ$660='Field Check'!$C$25)&gt;0,"",'Dvd Calendar'!$AJ$656)))</f>
        <v/>
      </c>
      <c r="CW52" s="85">
        <f>IF(AI52="","",IF(ISNUMBER('Dvd Calendar'!$AK$656)=FALSE,"",IF((Summary!$C$13="N")*('Dvd Calendar'!$AK$660='Field Check'!$C$25)&gt;0,"",'Dvd Calendar'!$AK$656)))</f>
        <v/>
      </c>
      <c r="CX52" s="85">
        <f>IF(AJ52="","",IF(ISNUMBER('Dvd Calendar'!$AL$656)=FALSE,"",IF((Summary!$C$13="N")*('Dvd Calendar'!$AL$660='Field Check'!$C$25)&gt;0,"",'Dvd Calendar'!$AL$656)))</f>
        <v/>
      </c>
      <c r="CY52" s="85">
        <f>IF(AK52="","",IF(ISNUMBER('Dvd Calendar'!$AM$656)=FALSE,"",IF((Summary!$C$13="N")*('Dvd Calendar'!$AM$660='Field Check'!$C$25)&gt;0,"",'Dvd Calendar'!$AM$656)))</f>
        <v/>
      </c>
      <c r="CZ52" s="85">
        <f>IF(AL52="","",IF(ISNUMBER('Dvd Calendar'!$AN$656)=FALSE,"",IF((Summary!$C$13="N")*('Dvd Calendar'!$AN$660='Field Check'!$C$25)&gt;0,"",'Dvd Calendar'!$AN$656)))</f>
        <v/>
      </c>
      <c r="DA52" s="85">
        <f>IF(AM52="","",IF(ISNUMBER('Dvd Calendar'!$AO$656)=FALSE,"",IF((Summary!$C$13="N")*('Dvd Calendar'!$AO$660='Field Check'!$C$25)&gt;0,"",'Dvd Calendar'!$AO$656)))</f>
        <v/>
      </c>
      <c r="DB52" s="85">
        <f>IF(AN52="","",IF(ISNUMBER('Dvd Calendar'!$AP$656)=FALSE,"",IF((Summary!$C$13="N")*('Dvd Calendar'!$AP$660='Field Check'!$C$25)&gt;0,"",'Dvd Calendar'!$AP$656)))</f>
        <v/>
      </c>
      <c r="DC52" s="85">
        <f>IF(AO52="","",IF(ISNUMBER('Dvd Calendar'!$AQ$656)=FALSE,"",IF((Summary!$C$13="N")*('Dvd Calendar'!$AQ$660='Field Check'!$C$25)&gt;0,"",'Dvd Calendar'!$AQ$656)))</f>
        <v/>
      </c>
      <c r="DD52" s="85">
        <f>IF(AP52="","",IF(ISNUMBER('Dvd Calendar'!$AR$656)=FALSE,"",IF((Summary!$C$13="N")*('Dvd Calendar'!$AR$660='Field Check'!$C$25)&gt;0,"",'Dvd Calendar'!$AR$656)))</f>
        <v/>
      </c>
      <c r="DE52" s="85">
        <f>IF(AQ52="","",IF(ISNUMBER('Dvd Calendar'!$E$663)=FALSE,"",IF((Summary!$C$13="N")*('Dvd Calendar'!$E$667='Field Check'!$C$25)&gt;0,"",'Dvd Calendar'!$E$663)))</f>
        <v/>
      </c>
      <c r="DF52" s="85">
        <f>IF(AR52="","",IF(ISNUMBER('Dvd Calendar'!$F$663)=FALSE,"",IF((Summary!$C$13="N")*('Dvd Calendar'!$F$667='Field Check'!$C$25)&gt;0,"",'Dvd Calendar'!$F$663)))</f>
        <v/>
      </c>
      <c r="DG52" s="85">
        <f>IF(AS52="","",IF(ISNUMBER('Dvd Calendar'!$G$663)=FALSE,"",IF((Summary!$C$13="N")*('Dvd Calendar'!$G$667='Field Check'!$C$25)&gt;0,"",'Dvd Calendar'!$G$663)))</f>
        <v/>
      </c>
      <c r="DH52" s="85">
        <f>IF(AT52="","",IF(ISNUMBER('Dvd Calendar'!$H$663)=FALSE,"",IF((Summary!$C$13="N")*('Dvd Calendar'!$H$667='Field Check'!$C$25)&gt;0,"",'Dvd Calendar'!$H$663)))</f>
        <v/>
      </c>
      <c r="DI52" s="85">
        <f>IF(AU52="","",IF(ISNUMBER('Dvd Calendar'!$I$663)=FALSE,"",IF((Summary!$C$13="N")*('Dvd Calendar'!$I$667='Field Check'!$C$25)&gt;0,"",'Dvd Calendar'!$I$663)))</f>
        <v/>
      </c>
      <c r="DJ52" s="85">
        <f>IF(AV52="","",IF(ISNUMBER('Dvd Calendar'!$J$663)=FALSE,"",IF((Summary!$C$13="N")*('Dvd Calendar'!$J$667='Field Check'!$C$25)&gt;0,"",'Dvd Calendar'!$J$663)))</f>
        <v/>
      </c>
      <c r="DK52" s="85">
        <f>IF(AW52="","",IF(ISNUMBER('Dvd Calendar'!$K$663)=FALSE,"",IF((Summary!$C$13="N")*('Dvd Calendar'!$K$667='Field Check'!$C$25)&gt;0,"",'Dvd Calendar'!$K$663)))</f>
        <v/>
      </c>
      <c r="DL52" s="85">
        <f>IF(AX52="","",IF(ISNUMBER('Dvd Calendar'!$L$663)=FALSE,"",IF((Summary!$C$13="N")*('Dvd Calendar'!$L$667='Field Check'!$C$25)&gt;0,"",'Dvd Calendar'!$L$663)))</f>
        <v/>
      </c>
      <c r="DM52" s="85">
        <f>IF(AY52="","",IF(ISNUMBER('Dvd Calendar'!$M$663)=FALSE,"",IF((Summary!$C$13="N")*('Dvd Calendar'!$M$667='Field Check'!$C$25)&gt;0,"",'Dvd Calendar'!$M$663)))</f>
        <v/>
      </c>
      <c r="DN52" s="85">
        <f>IF(AZ52="","",IF(ISNUMBER('Dvd Calendar'!$N$663)=FALSE,"",IF((Summary!$C$13="N")*('Dvd Calendar'!$N$667='Field Check'!$C$25)&gt;0,"",'Dvd Calendar'!$N$663)))</f>
        <v/>
      </c>
      <c r="DO52" s="85">
        <f>IF(BA52="","",IF(ISNUMBER('Dvd Calendar'!$O$663)=FALSE,"",IF((Summary!$C$13="N")*('Dvd Calendar'!$O$667='Field Check'!$C$25)&gt;0,"",'Dvd Calendar'!$O$663)))</f>
        <v/>
      </c>
      <c r="DP52" s="85">
        <f>IF(BB52="","",IF(ISNUMBER('Dvd Calendar'!$P$663)=FALSE,"",IF((Summary!$C$13="N")*('Dvd Calendar'!$P$667='Field Check'!$C$25)&gt;0,"",'Dvd Calendar'!$P$663)))</f>
        <v/>
      </c>
      <c r="DQ52" s="85">
        <f>IF(BC52="","",IF(ISNUMBER('Dvd Calendar'!$Q$663)=FALSE,"",IF((Summary!$C$13="N")*('Dvd Calendar'!$Q$667='Field Check'!$C$25)&gt;0,"",'Dvd Calendar'!$Q$663)))</f>
        <v/>
      </c>
      <c r="DR52" s="85">
        <f>IF(BD52="","",IF(ISNUMBER('Dvd Calendar'!$R$663)=FALSE,"",IF((Summary!$C$13="N")*('Dvd Calendar'!$R$667='Field Check'!$C$25)&gt;0,"",'Dvd Calendar'!$R$663)))</f>
        <v/>
      </c>
      <c r="DS52" s="85">
        <f>IF(BE52="","",IF(ISNUMBER('Dvd Calendar'!$S$663)=FALSE,"",IF((Summary!$C$13="N")*('Dvd Calendar'!$S$667='Field Check'!$C$25)&gt;0,"",'Dvd Calendar'!$S$663)))</f>
        <v/>
      </c>
      <c r="DT52" s="85">
        <f>IF(BF52="","",IF(ISNUMBER('Dvd Calendar'!$T$663)=FALSE,"",IF((Summary!$C$13="N")*('Dvd Calendar'!$T$667='Field Check'!$C$25)&gt;0,"",'Dvd Calendar'!$T$663)))</f>
        <v/>
      </c>
      <c r="DU52" s="85">
        <f>IF(BG52="","",IF(ISNUMBER('Dvd Calendar'!$U$663)=FALSE,"",IF((Summary!$C$13="N")*('Dvd Calendar'!$U$667='Field Check'!$C$25)&gt;0,"",'Dvd Calendar'!$U$663)))</f>
        <v/>
      </c>
      <c r="DV52" s="85">
        <f>IF(BH52="","",IF(ISNUMBER('Dvd Calendar'!$V$663)=FALSE,"",IF((Summary!$C$13="N")*('Dvd Calendar'!$V$667='Field Check'!$C$25)&gt;0,"",'Dvd Calendar'!$V$663)))</f>
        <v/>
      </c>
      <c r="DW52" s="85">
        <f>IF(BI52="","",IF(ISNUMBER('Dvd Calendar'!$W$663)=FALSE,"",IF((Summary!$C$13="N")*('Dvd Calendar'!$W$667='Field Check'!$C$25)&gt;0,"",'Dvd Calendar'!$W$663)))</f>
        <v/>
      </c>
      <c r="DX52" s="85">
        <f>IF(BJ52="","",IF(ISNUMBER('Dvd Calendar'!$X$663)=FALSE,"",IF((Summary!$C$13="N")*('Dvd Calendar'!$X$667='Field Check'!$C$25)&gt;0,"",'Dvd Calendar'!$X$663)))</f>
        <v/>
      </c>
      <c r="DY52" s="85">
        <f>IF(BK52="","",IF(ISNUMBER('Dvd Calendar'!$Y$663)=FALSE,"",IF((Summary!$C$13="N")*('Dvd Calendar'!$Y$667='Field Check'!$C$25)&gt;0,"",'Dvd Calendar'!$Y$663)))</f>
        <v/>
      </c>
      <c r="DZ52" s="85">
        <f>IF(BL52="","",IF(ISNUMBER('Dvd Calendar'!$Z$663)=FALSE,"",IF((Summary!$C$13="N")*('Dvd Calendar'!$Z$667='Field Check'!$C$25)&gt;0,"",'Dvd Calendar'!$Z$663)))</f>
        <v/>
      </c>
      <c r="EA52" s="85">
        <f>IF(BM52="","",IF(ISNUMBER('Dvd Calendar'!$AA$663)=FALSE,"",IF((Summary!$C$13="N")*('Dvd Calendar'!$AA$667='Field Check'!$C$25)&gt;0,"",'Dvd Calendar'!$AA$663)))</f>
        <v/>
      </c>
      <c r="EB52" s="85">
        <f>IF(BN52="","",IF(ISNUMBER('Dvd Calendar'!$AB$663)=FALSE,"",IF((Summary!$C$13="N")*('Dvd Calendar'!$AB$667='Field Check'!$C$25)&gt;0,"",'Dvd Calendar'!$AB$663)))</f>
        <v/>
      </c>
      <c r="EC52" s="85">
        <f>IF(BO52="","",IF(ISNUMBER('Dvd Calendar'!$AC$663)=FALSE,"",IF((Summary!$C$13="N")*('Dvd Calendar'!$AC$667='Field Check'!$C$25)&gt;0,"",'Dvd Calendar'!$AC$663)))</f>
        <v/>
      </c>
      <c r="EE52" s="85">
        <f>IF(BQ52="","",IFERROR(BQ52*HSI!$B$50*HSI!$G$50/HSI!$B$3,""))</f>
        <v/>
      </c>
      <c r="EF52" s="85">
        <f>IF(BR52="","",IFERROR(BR52*HSI!$B$50*HSI!$G$50/HSI!$B$3,""))</f>
        <v/>
      </c>
      <c r="EG52" s="85">
        <f>IF(BS52="","",IFERROR(BS52*HSI!$B$50*HSI!$G$50/HSI!$B$3,""))</f>
        <v/>
      </c>
      <c r="EH52" s="85">
        <f>IF(BT52="","",IFERROR(BT52*HSI!$B$50*HSI!$G$50/HSI!$B$3,""))</f>
        <v/>
      </c>
      <c r="EI52" s="85">
        <f>IF(BU52="","",IFERROR(BU52*HSI!$B$50*HSI!$G$50/HSI!$B$3,""))</f>
        <v/>
      </c>
      <c r="EJ52" s="85">
        <f>IF(BV52="","",IFERROR(BV52*HSI!$B$50*HSI!$G$50/HSI!$B$3,""))</f>
        <v/>
      </c>
      <c r="EK52" s="85">
        <f>IF(BW52="","",IFERROR(BW52*HSI!$B$50*HSI!$G$50/HSI!$B$3,""))</f>
        <v/>
      </c>
      <c r="EL52" s="85">
        <f>IF(BX52="","",IFERROR(BX52*HSI!$B$50*HSI!$G$50/HSI!$B$3,""))</f>
        <v/>
      </c>
      <c r="EM52" s="85">
        <f>IF(BY52="","",IFERROR(BY52*HSI!$B$50*HSI!$G$50/HSI!$B$3,""))</f>
        <v/>
      </c>
      <c r="EN52" s="85">
        <f>IF(BZ52="","",IFERROR(BZ52*HSI!$B$50*HSI!$G$50/HSI!$B$3,""))</f>
        <v/>
      </c>
      <c r="EO52" s="85">
        <f>IF(CA52="","",IFERROR(CA52*HSI!$B$50*HSI!$G$50/HSI!$B$3,""))</f>
        <v/>
      </c>
      <c r="EP52" s="85">
        <f>IF(CB52="","",IFERROR(CB52*HSI!$B$50*HSI!$G$50/HSI!$B$3,""))</f>
        <v/>
      </c>
      <c r="EQ52" s="85">
        <f>IF(CC52="","",IFERROR(CC52*HSI!$B$50*HSI!$G$50/HSI!$B$3,""))</f>
        <v/>
      </c>
      <c r="ER52" s="85">
        <f>IF(CD52="","",IFERROR(CD52*HSI!$B$50*HSI!$G$50/HSI!$B$3,""))</f>
        <v/>
      </c>
      <c r="ES52" s="85">
        <f>IF(CE52="","",IFERROR(CE52*HSI!$B$50*HSI!$G$50/HSI!$B$3,""))</f>
        <v/>
      </c>
      <c r="ET52" s="85">
        <f>IF(CF52="","",IFERROR(CF52*HSI!$B$50*HSI!$G$50/HSI!$B$3,""))</f>
        <v/>
      </c>
      <c r="EU52" s="85">
        <f>IF(CG52="","",IFERROR(CG52*HSI!$B$50*HSI!$G$50/HSI!$B$3,""))</f>
        <v/>
      </c>
      <c r="EV52" s="85">
        <f>IF(CH52="","",IFERROR(CH52*HSI!$B$50*HSI!$G$50/HSI!$B$3,""))</f>
        <v/>
      </c>
      <c r="EW52" s="85">
        <f>IF(CI52="","",IFERROR(CI52*HSI!$B$50*HSI!$G$50/HSI!$B$3,""))</f>
        <v/>
      </c>
      <c r="EX52" s="85">
        <f>IF(CJ52="","",IFERROR(CJ52*HSI!$B$50*HSI!$G$50/HSI!$B$3,""))</f>
        <v/>
      </c>
      <c r="EY52" s="85">
        <f>IF(CK52="","",IFERROR(CK52*HSI!$B$50*HSI!$G$50/HSI!$B$3,""))</f>
        <v/>
      </c>
      <c r="EZ52" s="85">
        <f>IF(CL52="","",IFERROR(CL52*HSI!$B$50*HSI!$G$50/HSI!$B$3,""))</f>
        <v/>
      </c>
      <c r="FA52" s="85">
        <f>IF(CM52="","",IFERROR(CM52*HSI!$B$50*HSI!$G$50/HSI!$B$3,""))</f>
        <v/>
      </c>
      <c r="FB52" s="85">
        <f>IF(CN52="","",IFERROR(CN52*HSI!$B$50*HSI!$G$50/HSI!$B$3,""))</f>
        <v/>
      </c>
      <c r="FC52" s="85">
        <f>IF(CO52="","",IFERROR(CO52*HSI!$B$50*HSI!$G$50/HSI!$B$3,""))</f>
        <v/>
      </c>
      <c r="FD52" s="85">
        <f>IF(CP52="","",IFERROR(CP52*HSI!$B$50*HSI!$G$50/HSI!$B$3,""))</f>
        <v/>
      </c>
      <c r="FE52" s="85">
        <f>IF(CQ52="","",IFERROR(CQ52*HSI!$B$50*HSI!$G$50/HSI!$B$3,""))</f>
        <v/>
      </c>
      <c r="FF52" s="85">
        <f>IF(CR52="","",IFERROR(CR52*HSI!$B$50*HSI!$G$50/HSI!$B$3,""))</f>
        <v/>
      </c>
      <c r="FG52" s="85">
        <f>IF(CS52="","",IFERROR(CS52*HSI!$B$50*HSI!$G$50/HSI!$B$3,""))</f>
        <v/>
      </c>
      <c r="FH52" s="85">
        <f>IF(CT52="","",IFERROR(CT52*HSI!$B$50*HSI!$G$50/HSI!$B$3,""))</f>
        <v/>
      </c>
      <c r="FI52" s="85">
        <f>IF(CU52="","",IFERROR(CU52*HSI!$B$50*HSI!$G$50/HSI!$B$3,""))</f>
        <v/>
      </c>
      <c r="FJ52" s="85">
        <f>IF(CV52="","",IFERROR(CV52*HSI!$B$50*HSI!$G$50/HSI!$B$3,""))</f>
        <v/>
      </c>
      <c r="FK52" s="85">
        <f>IF(CW52="","",IFERROR(CW52*HSI!$B$50*HSI!$G$50/HSI!$B$3,""))</f>
        <v/>
      </c>
      <c r="FL52" s="85">
        <f>IF(CX52="","",IFERROR(CX52*HSI!$B$50*HSI!$G$50/HSI!$B$3,""))</f>
        <v/>
      </c>
      <c r="FM52" s="85">
        <f>IF(CY52="","",IFERROR(CY52*HSI!$B$50*HSI!$G$50/HSI!$B$3,""))</f>
        <v/>
      </c>
      <c r="FN52" s="85">
        <f>IF(CZ52="","",IFERROR(CZ52*HSI!$B$50*HSI!$G$50/HSI!$B$3,""))</f>
        <v/>
      </c>
      <c r="FO52" s="85">
        <f>IF(DA52="","",IFERROR(DA52*HSI!$B$50*HSI!$G$50/HSI!$B$3,""))</f>
        <v/>
      </c>
      <c r="FP52" s="85">
        <f>IF(DB52="","",IFERROR(DB52*HSI!$B$50*HSI!$G$50/HSI!$B$3,""))</f>
        <v/>
      </c>
      <c r="FQ52" s="85">
        <f>IF(DC52="","",IFERROR(DC52*HSI!$B$50*HSI!$G$50/HSI!$B$3,""))</f>
        <v/>
      </c>
      <c r="FR52" s="85">
        <f>IF(DD52="","",IFERROR(DD52*HSI!$B$50*HSI!$G$50/HSI!$B$3,""))</f>
        <v/>
      </c>
      <c r="FS52" s="85">
        <f>IF(DE52="","",IFERROR(DE52*HSI!$B$50*HSI!$G$50/HSI!$B$3,""))</f>
        <v/>
      </c>
      <c r="FT52" s="85">
        <f>IF(DF52="","",IFERROR(DF52*HSI!$B$50*HSI!$G$50/HSI!$B$3,""))</f>
        <v/>
      </c>
      <c r="FU52" s="85">
        <f>IF(DG52="","",IFERROR(DG52*HSI!$B$50*HSI!$G$50/HSI!$B$3,""))</f>
        <v/>
      </c>
      <c r="FV52" s="85">
        <f>IF(DH52="","",IFERROR(DH52*HSI!$B$50*HSI!$G$50/HSI!$B$3,""))</f>
        <v/>
      </c>
      <c r="FW52" s="85">
        <f>IF(DI52="","",IFERROR(DI52*HSI!$B$50*HSI!$G$50/HSI!$B$3,""))</f>
        <v/>
      </c>
      <c r="FX52" s="85">
        <f>IF(DJ52="","",IFERROR(DJ52*HSI!$B$50*HSI!$G$50/HSI!$B$3,""))</f>
        <v/>
      </c>
      <c r="FY52" s="85">
        <f>IF(DK52="","",IFERROR(DK52*HSI!$B$50*HSI!$G$50/HSI!$B$3,""))</f>
        <v/>
      </c>
      <c r="FZ52" s="85">
        <f>IF(DL52="","",IFERROR(DL52*HSI!$B$50*HSI!$G$50/HSI!$B$3,""))</f>
        <v/>
      </c>
      <c r="GA52" s="85">
        <f>IF(DM52="","",IFERROR(DM52*HSI!$B$50*HSI!$G$50/HSI!$B$3,""))</f>
        <v/>
      </c>
      <c r="GB52" s="85">
        <f>IF(DN52="","",IFERROR(DN52*HSI!$B$50*HSI!$G$50/HSI!$B$3,""))</f>
        <v/>
      </c>
      <c r="GC52" s="85">
        <f>IF(DO52="","",IFERROR(DO52*HSI!$B$50*HSI!$G$50/HSI!$B$3,""))</f>
        <v/>
      </c>
      <c r="GD52" s="85">
        <f>IF(DP52="","",IFERROR(DP52*HSI!$B$50*HSI!$G$50/HSI!$B$3,""))</f>
        <v/>
      </c>
      <c r="GE52" s="85">
        <f>IF(DQ52="","",IFERROR(DQ52*HSI!$B$50*HSI!$G$50/HSI!$B$3,""))</f>
        <v/>
      </c>
      <c r="GF52" s="85">
        <f>IF(DR52="","",IFERROR(DR52*HSI!$B$50*HSI!$G$50/HSI!$B$3,""))</f>
        <v/>
      </c>
      <c r="GG52" s="85">
        <f>IF(DS52="","",IFERROR(DS52*HSI!$B$50*HSI!$G$50/HSI!$B$3,""))</f>
        <v/>
      </c>
      <c r="GH52" s="85">
        <f>IF(DT52="","",IFERROR(DT52*HSI!$B$50*HSI!$G$50/HSI!$B$3,""))</f>
        <v/>
      </c>
      <c r="GI52" s="85">
        <f>IF(DU52="","",IFERROR(DU52*HSI!$B$50*HSI!$G$50/HSI!$B$3,""))</f>
        <v/>
      </c>
      <c r="GJ52" s="85">
        <f>IF(DV52="","",IFERROR(DV52*HSI!$B$50*HSI!$G$50/HSI!$B$3,""))</f>
        <v/>
      </c>
      <c r="GK52" s="85">
        <f>IF(DW52="","",IFERROR(DW52*HSI!$B$50*HSI!$G$50/HSI!$B$3,""))</f>
        <v/>
      </c>
      <c r="GL52" s="85">
        <f>IF(DX52="","",IFERROR(DX52*HSI!$B$50*HSI!$G$50/HSI!$B$3,""))</f>
        <v/>
      </c>
      <c r="GM52" s="85">
        <f>IF(DY52="","",IFERROR(DY52*HSI!$B$50*HSI!$G$50/HSI!$B$3,""))</f>
        <v/>
      </c>
      <c r="GN52" s="85">
        <f>IF(DZ52="","",IFERROR(DZ52*HSI!$B$50*HSI!$G$50/HSI!$B$3,""))</f>
        <v/>
      </c>
      <c r="GO52" s="85">
        <f>IF(EA52="","",IFERROR(EA52*HSI!$B$50*HSI!$G$50/HSI!$B$3,""))</f>
        <v/>
      </c>
      <c r="GP52" s="85">
        <f>IF(EB52="","",IFERROR(EB52*HSI!$B$50*HSI!$G$50/HSI!$B$3,""))</f>
        <v/>
      </c>
      <c r="GQ52" s="85">
        <f>IF(EC52="","",IFERROR(EC52*HSI!$B$50*HSI!$G$50/HSI!$B$3,""))</f>
        <v/>
      </c>
    </row>
    <row r="53">
      <c r="B53" s="2">
        <f>IF(HSI!$C$51="","",HSI!$C$51)</f>
        <v/>
      </c>
      <c r="C53" s="41">
        <f>IF(N('Dvd Calendar'!$E$670)=0,"",IF(('Dvd Calendar'!$E$670&gt;=MIN(DATE(Summary!$C$12,1,1),Summary!$C$11))*('Dvd Calendar'!$E$670&lt;=MAX(DATE(Summary!$C$12,12,31),Summary!$C$15))*('Dvd Calendar'!$E$670&lt;=Summary!$C$11)=0,"",'Dvd Calendar'!$E$670*1000000000+ISNUMBER('Dvd Calendar'!$E$671)*100000000+('Dvd Calendar'!$E$675='Field Check'!$C$25)*10000000+(N('Dvd Calendar'!$E$669)&gt;0)*1000000+45*1000+1))</f>
        <v/>
      </c>
      <c r="D53" s="41">
        <f>IF(N('Dvd Calendar'!$F$670)=0,"",IF(('Dvd Calendar'!$F$670&gt;=MIN(DATE(Summary!$C$12,1,1),Summary!$C$11))*('Dvd Calendar'!$F$670&lt;=MAX(DATE(Summary!$C$12,12,31),Summary!$C$15))*('Dvd Calendar'!$F$670&lt;=Summary!$C$11)=0,"",'Dvd Calendar'!$F$670*1000000000+ISNUMBER('Dvd Calendar'!$F$671)*100000000+('Dvd Calendar'!$F$675='Field Check'!$C$25)*10000000+(N('Dvd Calendar'!$F$669)&gt;0)*1000000+45*1000+2))</f>
        <v/>
      </c>
      <c r="E53" s="41">
        <f>IF(N('Dvd Calendar'!$G$670)=0,"",IF(('Dvd Calendar'!$G$670&gt;=MIN(DATE(Summary!$C$12,1,1),Summary!$C$11))*('Dvd Calendar'!$G$670&lt;=MAX(DATE(Summary!$C$12,12,31),Summary!$C$15))*('Dvd Calendar'!$G$670&lt;=Summary!$C$11)=0,"",'Dvd Calendar'!$G$670*1000000000+ISNUMBER('Dvd Calendar'!$G$671)*100000000+('Dvd Calendar'!$G$675='Field Check'!$C$25)*10000000+(N('Dvd Calendar'!$G$669)&gt;0)*1000000+45*1000+3))</f>
        <v/>
      </c>
      <c r="F53" s="41">
        <f>IF(N('Dvd Calendar'!$H$670)=0,"",IF(('Dvd Calendar'!$H$670&gt;=MIN(DATE(Summary!$C$12,1,1),Summary!$C$11))*('Dvd Calendar'!$H$670&lt;=MAX(DATE(Summary!$C$12,12,31),Summary!$C$15))*('Dvd Calendar'!$H$670&lt;=Summary!$C$11)=0,"",'Dvd Calendar'!$H$670*1000000000+ISNUMBER('Dvd Calendar'!$H$671)*100000000+('Dvd Calendar'!$H$675='Field Check'!$C$25)*10000000+(N('Dvd Calendar'!$H$669)&gt;0)*1000000+45*1000+4))</f>
        <v/>
      </c>
      <c r="G53" s="41">
        <f>IF(N('Dvd Calendar'!$I$670)=0,"",IF(('Dvd Calendar'!$I$670&gt;=MIN(DATE(Summary!$C$12,1,1),Summary!$C$11))*('Dvd Calendar'!$I$670&lt;=MAX(DATE(Summary!$C$12,12,31),Summary!$C$15))*('Dvd Calendar'!$I$670&lt;=Summary!$C$11)=0,"",'Dvd Calendar'!$I$670*1000000000+ISNUMBER('Dvd Calendar'!$I$671)*100000000+('Dvd Calendar'!$I$675='Field Check'!$C$25)*10000000+(N('Dvd Calendar'!$I$669)&gt;0)*1000000+45*1000+5))</f>
        <v/>
      </c>
      <c r="H53" s="41">
        <f>IF(N('Dvd Calendar'!$J$670)=0,"",IF(('Dvd Calendar'!$J$670&gt;=MIN(DATE(Summary!$C$12,1,1),Summary!$C$11))*('Dvd Calendar'!$J$670&lt;=MAX(DATE(Summary!$C$12,12,31),Summary!$C$15))*('Dvd Calendar'!$J$670&lt;=Summary!$C$11)=0,"",'Dvd Calendar'!$J$670*1000000000+ISNUMBER('Dvd Calendar'!$J$671)*100000000+('Dvd Calendar'!$J$675='Field Check'!$C$25)*10000000+(N('Dvd Calendar'!$J$669)&gt;0)*1000000+45*1000+6))</f>
        <v/>
      </c>
      <c r="I53" s="41">
        <f>IF(N('Dvd Calendar'!$K$670)=0,"",IF(('Dvd Calendar'!$K$670&gt;=MIN(DATE(Summary!$C$12,1,1),Summary!$C$11))*('Dvd Calendar'!$K$670&lt;=MAX(DATE(Summary!$C$12,12,31),Summary!$C$15))*('Dvd Calendar'!$K$670&lt;=Summary!$C$11)=0,"",'Dvd Calendar'!$K$670*1000000000+ISNUMBER('Dvd Calendar'!$K$671)*100000000+('Dvd Calendar'!$K$675='Field Check'!$C$25)*10000000+(N('Dvd Calendar'!$K$669)&gt;0)*1000000+45*1000+7))</f>
        <v/>
      </c>
      <c r="J53" s="41">
        <f>IF(N('Dvd Calendar'!$L$670)=0,"",IF(('Dvd Calendar'!$L$670&gt;=MIN(DATE(Summary!$C$12,1,1),Summary!$C$11))*('Dvd Calendar'!$L$670&lt;=MAX(DATE(Summary!$C$12,12,31),Summary!$C$15))*('Dvd Calendar'!$L$670&lt;=Summary!$C$11)=0,"",'Dvd Calendar'!$L$670*1000000000+ISNUMBER('Dvd Calendar'!$L$671)*100000000+('Dvd Calendar'!$L$675='Field Check'!$C$25)*10000000+(N('Dvd Calendar'!$L$669)&gt;0)*1000000+45*1000+8))</f>
        <v/>
      </c>
      <c r="K53" s="41">
        <f>IF(N('Dvd Calendar'!$M$670)=0,"",IF(('Dvd Calendar'!$M$670&gt;=MIN(DATE(Summary!$C$12,1,1),Summary!$C$11))*('Dvd Calendar'!$M$670&lt;=MAX(DATE(Summary!$C$12,12,31),Summary!$C$15))*('Dvd Calendar'!$M$670&lt;=Summary!$C$11)=0,"",'Dvd Calendar'!$M$670*1000000000+ISNUMBER('Dvd Calendar'!$M$671)*100000000+('Dvd Calendar'!$M$675='Field Check'!$C$25)*10000000+(N('Dvd Calendar'!$M$669)&gt;0)*1000000+45*1000+9))</f>
        <v/>
      </c>
      <c r="L53" s="41">
        <f>IF(N('Dvd Calendar'!$N$670)=0,"",IF(('Dvd Calendar'!$N$670&gt;=MIN(DATE(Summary!$C$12,1,1),Summary!$C$11))*('Dvd Calendar'!$N$670&lt;=MAX(DATE(Summary!$C$12,12,31),Summary!$C$15))*('Dvd Calendar'!$N$670&lt;=Summary!$C$11)=0,"",'Dvd Calendar'!$N$670*1000000000+ISNUMBER('Dvd Calendar'!$N$671)*100000000+('Dvd Calendar'!$N$675='Field Check'!$C$25)*10000000+(N('Dvd Calendar'!$N$669)&gt;0)*1000000+45*1000+10))</f>
        <v/>
      </c>
      <c r="M53" s="41">
        <f>IF(N('Dvd Calendar'!$O$670)=0,"",IF(('Dvd Calendar'!$O$670&gt;=MIN(DATE(Summary!$C$12,1,1),Summary!$C$11))*('Dvd Calendar'!$O$670&lt;=MAX(DATE(Summary!$C$12,12,31),Summary!$C$15))*('Dvd Calendar'!$O$670&lt;=Summary!$C$11)=0,"",'Dvd Calendar'!$O$670*1000000000+ISNUMBER('Dvd Calendar'!$O$671)*100000000+('Dvd Calendar'!$O$675='Field Check'!$C$25)*10000000+(N('Dvd Calendar'!$O$669)&gt;0)*1000000+45*1000+11))</f>
        <v/>
      </c>
      <c r="N53" s="41">
        <f>IF(N('Dvd Calendar'!$P$670)=0,"",IF(('Dvd Calendar'!$P$670&gt;=MIN(DATE(Summary!$C$12,1,1),Summary!$C$11))*('Dvd Calendar'!$P$670&lt;=MAX(DATE(Summary!$C$12,12,31),Summary!$C$15))*('Dvd Calendar'!$P$670&lt;=Summary!$C$11)=0,"",'Dvd Calendar'!$P$670*1000000000+ISNUMBER('Dvd Calendar'!$P$671)*100000000+('Dvd Calendar'!$P$675='Field Check'!$C$25)*10000000+(N('Dvd Calendar'!$P$669)&gt;0)*1000000+45*1000+12))</f>
        <v/>
      </c>
      <c r="O53" s="41">
        <f>IF(N('Dvd Calendar'!$Q$670)=0,"",IF(('Dvd Calendar'!$Q$670&gt;=MIN(DATE(Summary!$C$12,1,1),Summary!$C$11))*('Dvd Calendar'!$Q$670&lt;=MAX(DATE(Summary!$C$12,12,31),Summary!$C$15))*('Dvd Calendar'!$Q$670&lt;=Summary!$C$11)=0,"",'Dvd Calendar'!$Q$670*1000000000+ISNUMBER('Dvd Calendar'!$Q$671)*100000000+('Dvd Calendar'!$Q$675='Field Check'!$C$25)*10000000+(N('Dvd Calendar'!$Q$669)&gt;0)*1000000+45*1000+13))</f>
        <v/>
      </c>
      <c r="P53" s="41">
        <f>IF(N('Dvd Calendar'!$R$670)=0,"",IF(('Dvd Calendar'!$R$670&gt;=MIN(DATE(Summary!$C$12,1,1),Summary!$C$11))*('Dvd Calendar'!$R$670&lt;=MAX(DATE(Summary!$C$12,12,31),Summary!$C$15))*('Dvd Calendar'!$R$670&lt;=Summary!$C$11)=0,"",'Dvd Calendar'!$R$670*1000000000+ISNUMBER('Dvd Calendar'!$R$671)*100000000+('Dvd Calendar'!$R$675='Field Check'!$C$25)*10000000+(N('Dvd Calendar'!$R$669)&gt;0)*1000000+45*1000+14))</f>
        <v/>
      </c>
      <c r="Q53" s="41">
        <f>IF(N('Dvd Calendar'!$S$670)=0,"",IF(('Dvd Calendar'!$S$670&gt;=MIN(DATE(Summary!$C$12,1,1),Summary!$C$11))*('Dvd Calendar'!$S$670&lt;=MAX(DATE(Summary!$C$12,12,31),Summary!$C$15))*('Dvd Calendar'!$S$670&lt;=Summary!$C$11)=0,"",'Dvd Calendar'!$S$670*1000000000+ISNUMBER('Dvd Calendar'!$S$671)*100000000+('Dvd Calendar'!$S$675='Field Check'!$C$25)*10000000+(N('Dvd Calendar'!$S$669)&gt;0)*1000000+45*1000+15))</f>
        <v/>
      </c>
      <c r="R53" s="41">
        <f>IF(N('Dvd Calendar'!$T$670)=0,"",IF(('Dvd Calendar'!$T$670&gt;=MIN(DATE(Summary!$C$12,1,1),Summary!$C$11))*('Dvd Calendar'!$T$670&lt;=MAX(DATE(Summary!$C$12,12,31),Summary!$C$15))*('Dvd Calendar'!$T$670&lt;=Summary!$C$11)=0,"",'Dvd Calendar'!$T$670*1000000000+ISNUMBER('Dvd Calendar'!$T$671)*100000000+('Dvd Calendar'!$T$675='Field Check'!$C$25)*10000000+(N('Dvd Calendar'!$T$669)&gt;0)*1000000+45*1000+16))</f>
        <v/>
      </c>
      <c r="S53" s="41">
        <f>IF(N('Dvd Calendar'!$U$670)=0,"",IF(('Dvd Calendar'!$U$670&gt;=MIN(DATE(Summary!$C$12,1,1),Summary!$C$11))*('Dvd Calendar'!$U$670&lt;=MAX(DATE(Summary!$C$12,12,31),Summary!$C$15))*('Dvd Calendar'!$U$670&lt;=Summary!$C$11)=0,"",'Dvd Calendar'!$U$670*1000000000+ISNUMBER('Dvd Calendar'!$U$671)*100000000+('Dvd Calendar'!$U$675='Field Check'!$C$25)*10000000+(N('Dvd Calendar'!$U$669)&gt;0)*1000000+45*1000+17))</f>
        <v/>
      </c>
      <c r="T53" s="41">
        <f>IF(N('Dvd Calendar'!$V$670)=0,"",IF(('Dvd Calendar'!$V$670&gt;=MIN(DATE(Summary!$C$12,1,1),Summary!$C$11))*('Dvd Calendar'!$V$670&lt;=MAX(DATE(Summary!$C$12,12,31),Summary!$C$15))*('Dvd Calendar'!$V$670&lt;=Summary!$C$11)=0,"",'Dvd Calendar'!$V$670*1000000000+ISNUMBER('Dvd Calendar'!$V$671)*100000000+('Dvd Calendar'!$V$675='Field Check'!$C$25)*10000000+(N('Dvd Calendar'!$V$669)&gt;0)*1000000+45*1000+18))</f>
        <v/>
      </c>
      <c r="U53" s="41">
        <f>IF(N('Dvd Calendar'!$W$670)=0,"",IF(('Dvd Calendar'!$W$670&gt;=MIN(DATE(Summary!$C$12,1,1),Summary!$C$11))*('Dvd Calendar'!$W$670&lt;=MAX(DATE(Summary!$C$12,12,31),Summary!$C$15))*('Dvd Calendar'!$W$670&lt;=Summary!$C$11)=0,"",'Dvd Calendar'!$W$670*1000000000+ISNUMBER('Dvd Calendar'!$W$671)*100000000+('Dvd Calendar'!$W$675='Field Check'!$C$25)*10000000+(N('Dvd Calendar'!$W$669)&gt;0)*1000000+45*1000+19))</f>
        <v/>
      </c>
      <c r="V53" s="41">
        <f>IF(N('Dvd Calendar'!$X$670)=0,"",IF(('Dvd Calendar'!$X$670&gt;=MIN(DATE(Summary!$C$12,1,1),Summary!$C$11))*('Dvd Calendar'!$X$670&lt;=MAX(DATE(Summary!$C$12,12,31),Summary!$C$15))*('Dvd Calendar'!$X$670&lt;=Summary!$C$11)=0,"",'Dvd Calendar'!$X$670*1000000000+ISNUMBER('Dvd Calendar'!$X$671)*100000000+('Dvd Calendar'!$X$675='Field Check'!$C$25)*10000000+(N('Dvd Calendar'!$X$669)&gt;0)*1000000+45*1000+20))</f>
        <v/>
      </c>
      <c r="W53" s="41">
        <f>IF(N('Dvd Calendar'!$Y$670)=0,"",IF(('Dvd Calendar'!$Y$670&gt;=MIN(DATE(Summary!$C$12,1,1),Summary!$C$11))*('Dvd Calendar'!$Y$670&lt;=MAX(DATE(Summary!$C$12,12,31),Summary!$C$15))*('Dvd Calendar'!$Y$670&lt;=Summary!$C$11)=0,"",'Dvd Calendar'!$Y$670*1000000000+ISNUMBER('Dvd Calendar'!$Y$671)*100000000+('Dvd Calendar'!$Y$675='Field Check'!$C$25)*10000000+(N('Dvd Calendar'!$Y$669)&gt;0)*1000000+45*1000+21))</f>
        <v/>
      </c>
      <c r="X53" s="41">
        <f>IF(N('Dvd Calendar'!$Z$670)=0,"",IF(('Dvd Calendar'!$Z$670&gt;=MIN(DATE(Summary!$C$12,1,1),Summary!$C$11))*('Dvd Calendar'!$Z$670&lt;=MAX(DATE(Summary!$C$12,12,31),Summary!$C$15))*('Dvd Calendar'!$Z$670&lt;=Summary!$C$11)=0,"",'Dvd Calendar'!$Z$670*1000000000+ISNUMBER('Dvd Calendar'!$Z$671)*100000000+('Dvd Calendar'!$Z$675='Field Check'!$C$25)*10000000+(N('Dvd Calendar'!$Z$669)&gt;0)*1000000+45*1000+22))</f>
        <v/>
      </c>
      <c r="Y53" s="41">
        <f>IF(N('Dvd Calendar'!$AA$670)=0,"",IF(('Dvd Calendar'!$AA$670&gt;=MIN(DATE(Summary!$C$12,1,1),Summary!$C$11))*('Dvd Calendar'!$AA$670&lt;=MAX(DATE(Summary!$C$12,12,31),Summary!$C$15))*('Dvd Calendar'!$AA$670&lt;=Summary!$C$11)=0,"",'Dvd Calendar'!$AA$670*1000000000+ISNUMBER('Dvd Calendar'!$AA$671)*100000000+('Dvd Calendar'!$AA$675='Field Check'!$C$25)*10000000+(N('Dvd Calendar'!$AA$669)&gt;0)*1000000+45*1000+23))</f>
        <v/>
      </c>
      <c r="Z53" s="41">
        <f>IF(N('Dvd Calendar'!$AB$670)=0,"",IF(('Dvd Calendar'!$AB$670&gt;=MIN(DATE(Summary!$C$12,1,1),Summary!$C$11))*('Dvd Calendar'!$AB$670&lt;=MAX(DATE(Summary!$C$12,12,31),Summary!$C$15))*('Dvd Calendar'!$AB$670&lt;=Summary!$C$11)=0,"",'Dvd Calendar'!$AB$670*1000000000+ISNUMBER('Dvd Calendar'!$AB$671)*100000000+('Dvd Calendar'!$AB$675='Field Check'!$C$25)*10000000+(N('Dvd Calendar'!$AB$669)&gt;0)*1000000+45*1000+24))</f>
        <v/>
      </c>
      <c r="AA53" s="41">
        <f>IF(N('Dvd Calendar'!$AC$670)=0,"",IF(('Dvd Calendar'!$AC$670&gt;=MIN(DATE(Summary!$C$12,1,1),Summary!$C$11))*('Dvd Calendar'!$AC$670&lt;=MAX(DATE(Summary!$C$12,12,31),Summary!$C$15))*('Dvd Calendar'!$AC$670&lt;=Summary!$C$11)=0,"",'Dvd Calendar'!$AC$670*1000000000+ISNUMBER('Dvd Calendar'!$AC$671)*100000000+('Dvd Calendar'!$AC$675='Field Check'!$C$25)*10000000+(N('Dvd Calendar'!$AC$669)&gt;0)*1000000+45*1000+25))</f>
        <v/>
      </c>
      <c r="AB53" s="41">
        <f>IF(N('Dvd Calendar'!$AD$670)=0,"",IF(('Dvd Calendar'!$AD$670&gt;=MIN(DATE(Summary!$C$12,1,1),Summary!$C$11))*('Dvd Calendar'!$AD$670&lt;=MAX(DATE(Summary!$C$12,12,31),Summary!$C$15))*('Dvd Calendar'!$AD$670&lt;=Summary!$C$11)=0,"",'Dvd Calendar'!$AD$670*1000000000+ISNUMBER('Dvd Calendar'!$AD$671)*100000000+('Dvd Calendar'!$AD$675='Field Check'!$C$25)*10000000+(N('Dvd Calendar'!$AD$669)&gt;0)*1000000+45*1000+26))</f>
        <v/>
      </c>
      <c r="AC53" s="41">
        <f>IF(N('Dvd Calendar'!$AE$670)=0,"",IF(('Dvd Calendar'!$AE$670&gt;=MIN(DATE(Summary!$C$12,1,1),Summary!$C$11))*('Dvd Calendar'!$AE$670&lt;=MAX(DATE(Summary!$C$12,12,31),Summary!$C$15))*('Dvd Calendar'!$AE$670&lt;=Summary!$C$11)=0,"",'Dvd Calendar'!$AE$670*1000000000+ISNUMBER('Dvd Calendar'!$AE$671)*100000000+('Dvd Calendar'!$AE$675='Field Check'!$C$25)*10000000+(N('Dvd Calendar'!$AE$669)&gt;0)*1000000+45*1000+27))</f>
        <v/>
      </c>
      <c r="AD53" s="41">
        <f>IF(N('Dvd Calendar'!$AF$670)=0,"",IF(('Dvd Calendar'!$AF$670&gt;=MIN(DATE(Summary!$C$12,1,1),Summary!$C$11))*('Dvd Calendar'!$AF$670&lt;=MAX(DATE(Summary!$C$12,12,31),Summary!$C$15))*('Dvd Calendar'!$AF$670&lt;=Summary!$C$11)=0,"",'Dvd Calendar'!$AF$670*1000000000+ISNUMBER('Dvd Calendar'!$AF$671)*100000000+('Dvd Calendar'!$AF$675='Field Check'!$C$25)*10000000+(N('Dvd Calendar'!$AF$669)&gt;0)*1000000+45*1000+28))</f>
        <v/>
      </c>
      <c r="AE53" s="41">
        <f>IF(N('Dvd Calendar'!$AG$670)=0,"",IF(('Dvd Calendar'!$AG$670&gt;=MIN(DATE(Summary!$C$12,1,1),Summary!$C$11))*('Dvd Calendar'!$AG$670&lt;=MAX(DATE(Summary!$C$12,12,31),Summary!$C$15))*('Dvd Calendar'!$AG$670&lt;=Summary!$C$11)=0,"",'Dvd Calendar'!$AG$670*1000000000+ISNUMBER('Dvd Calendar'!$AG$671)*100000000+('Dvd Calendar'!$AG$675='Field Check'!$C$25)*10000000+(N('Dvd Calendar'!$AG$669)&gt;0)*1000000+45*1000+29))</f>
        <v/>
      </c>
      <c r="AF53" s="41">
        <f>IF(N('Dvd Calendar'!$AH$670)=0,"",IF(('Dvd Calendar'!$AH$670&gt;=MIN(DATE(Summary!$C$12,1,1),Summary!$C$11))*('Dvd Calendar'!$AH$670&lt;=MAX(DATE(Summary!$C$12,12,31),Summary!$C$15))*('Dvd Calendar'!$AH$670&lt;=Summary!$C$11)=0,"",'Dvd Calendar'!$AH$670*1000000000+ISNUMBER('Dvd Calendar'!$AH$671)*100000000+('Dvd Calendar'!$AH$675='Field Check'!$C$25)*10000000+(N('Dvd Calendar'!$AH$669)&gt;0)*1000000+45*1000+30))</f>
        <v/>
      </c>
      <c r="AG53" s="41">
        <f>IF(N('Dvd Calendar'!$AI$670)=0,"",IF(('Dvd Calendar'!$AI$670&gt;=MIN(DATE(Summary!$C$12,1,1),Summary!$C$11))*('Dvd Calendar'!$AI$670&lt;=MAX(DATE(Summary!$C$12,12,31),Summary!$C$15))*('Dvd Calendar'!$AI$670&lt;=Summary!$C$11)=0,"",'Dvd Calendar'!$AI$670*1000000000+ISNUMBER('Dvd Calendar'!$AI$671)*100000000+('Dvd Calendar'!$AI$675='Field Check'!$C$25)*10000000+(N('Dvd Calendar'!$AI$669)&gt;0)*1000000+45*1000+31))</f>
        <v/>
      </c>
      <c r="AH53" s="41">
        <f>IF(N('Dvd Calendar'!$AJ$670)=0,"",IF(('Dvd Calendar'!$AJ$670&gt;=MIN(DATE(Summary!$C$12,1,1),Summary!$C$11))*('Dvd Calendar'!$AJ$670&lt;=MAX(DATE(Summary!$C$12,12,31),Summary!$C$15))*('Dvd Calendar'!$AJ$670&lt;=Summary!$C$11)=0,"",'Dvd Calendar'!$AJ$670*1000000000+ISNUMBER('Dvd Calendar'!$AJ$671)*100000000+('Dvd Calendar'!$AJ$675='Field Check'!$C$25)*10000000+(N('Dvd Calendar'!$AJ$669)&gt;0)*1000000+45*1000+32))</f>
        <v/>
      </c>
      <c r="AI53" s="41">
        <f>IF(N('Dvd Calendar'!$AK$670)=0,"",IF(('Dvd Calendar'!$AK$670&gt;=MIN(DATE(Summary!$C$12,1,1),Summary!$C$11))*('Dvd Calendar'!$AK$670&lt;=MAX(DATE(Summary!$C$12,12,31),Summary!$C$15))*('Dvd Calendar'!$AK$670&lt;=Summary!$C$11)=0,"",'Dvd Calendar'!$AK$670*1000000000+ISNUMBER('Dvd Calendar'!$AK$671)*100000000+('Dvd Calendar'!$AK$675='Field Check'!$C$25)*10000000+(N('Dvd Calendar'!$AK$669)&gt;0)*1000000+45*1000+33))</f>
        <v/>
      </c>
      <c r="AJ53" s="41">
        <f>IF(N('Dvd Calendar'!$AL$670)=0,"",IF(('Dvd Calendar'!$AL$670&gt;=MIN(DATE(Summary!$C$12,1,1),Summary!$C$11))*('Dvd Calendar'!$AL$670&lt;=MAX(DATE(Summary!$C$12,12,31),Summary!$C$15))*('Dvd Calendar'!$AL$670&lt;=Summary!$C$11)=0,"",'Dvd Calendar'!$AL$670*1000000000+ISNUMBER('Dvd Calendar'!$AL$671)*100000000+('Dvd Calendar'!$AL$675='Field Check'!$C$25)*10000000+(N('Dvd Calendar'!$AL$669)&gt;0)*1000000+45*1000+34))</f>
        <v/>
      </c>
      <c r="AK53" s="41">
        <f>IF(N('Dvd Calendar'!$AM$670)=0,"",IF(('Dvd Calendar'!$AM$670&gt;=MIN(DATE(Summary!$C$12,1,1),Summary!$C$11))*('Dvd Calendar'!$AM$670&lt;=MAX(DATE(Summary!$C$12,12,31),Summary!$C$15))*('Dvd Calendar'!$AM$670&lt;=Summary!$C$11)=0,"",'Dvd Calendar'!$AM$670*1000000000+ISNUMBER('Dvd Calendar'!$AM$671)*100000000+('Dvd Calendar'!$AM$675='Field Check'!$C$25)*10000000+(N('Dvd Calendar'!$AM$669)&gt;0)*1000000+45*1000+35))</f>
        <v/>
      </c>
      <c r="AL53" s="41">
        <f>IF(N('Dvd Calendar'!$AN$670)=0,"",IF(('Dvd Calendar'!$AN$670&gt;=MIN(DATE(Summary!$C$12,1,1),Summary!$C$11))*('Dvd Calendar'!$AN$670&lt;=MAX(DATE(Summary!$C$12,12,31),Summary!$C$15))*('Dvd Calendar'!$AN$670&lt;=Summary!$C$11)=0,"",'Dvd Calendar'!$AN$670*1000000000+ISNUMBER('Dvd Calendar'!$AN$671)*100000000+('Dvd Calendar'!$AN$675='Field Check'!$C$25)*10000000+(N('Dvd Calendar'!$AN$669)&gt;0)*1000000+45*1000+36))</f>
        <v/>
      </c>
      <c r="AM53" s="41">
        <f>IF(N('Dvd Calendar'!$AO$670)=0,"",IF(('Dvd Calendar'!$AO$670&gt;=MIN(DATE(Summary!$C$12,1,1),Summary!$C$11))*('Dvd Calendar'!$AO$670&lt;=MAX(DATE(Summary!$C$12,12,31),Summary!$C$15))*('Dvd Calendar'!$AO$670&lt;=Summary!$C$11)=0,"",'Dvd Calendar'!$AO$670*1000000000+ISNUMBER('Dvd Calendar'!$AO$671)*100000000+('Dvd Calendar'!$AO$675='Field Check'!$C$25)*10000000+(N('Dvd Calendar'!$AO$669)&gt;0)*1000000+45*1000+37))</f>
        <v/>
      </c>
      <c r="AN53" s="41">
        <f>IF(N('Dvd Calendar'!$AP$670)=0,"",IF(('Dvd Calendar'!$AP$670&gt;=MIN(DATE(Summary!$C$12,1,1),Summary!$C$11))*('Dvd Calendar'!$AP$670&lt;=MAX(DATE(Summary!$C$12,12,31),Summary!$C$15))*('Dvd Calendar'!$AP$670&lt;=Summary!$C$11)=0,"",'Dvd Calendar'!$AP$670*1000000000+ISNUMBER('Dvd Calendar'!$AP$671)*100000000+('Dvd Calendar'!$AP$675='Field Check'!$C$25)*10000000+(N('Dvd Calendar'!$AP$669)&gt;0)*1000000+45*1000+38))</f>
        <v/>
      </c>
      <c r="AO53" s="41">
        <f>IF(N('Dvd Calendar'!$AQ$670)=0,"",IF(('Dvd Calendar'!$AQ$670&gt;=MIN(DATE(Summary!$C$12,1,1),Summary!$C$11))*('Dvd Calendar'!$AQ$670&lt;=MAX(DATE(Summary!$C$12,12,31),Summary!$C$15))*('Dvd Calendar'!$AQ$670&lt;=Summary!$C$11)=0,"",'Dvd Calendar'!$AQ$670*1000000000+ISNUMBER('Dvd Calendar'!$AQ$671)*100000000+('Dvd Calendar'!$AQ$675='Field Check'!$C$25)*10000000+(N('Dvd Calendar'!$AQ$669)&gt;0)*1000000+45*1000+39))</f>
        <v/>
      </c>
      <c r="AP53" s="41">
        <f>IF(N('Dvd Calendar'!$AR$670)=0,"",IF(('Dvd Calendar'!$AR$670&gt;=MIN(DATE(Summary!$C$12,1,1),Summary!$C$11))*('Dvd Calendar'!$AR$670&lt;=MAX(DATE(Summary!$C$12,12,31),Summary!$C$15))*('Dvd Calendar'!$AR$670&lt;=Summary!$C$11)=0,"",'Dvd Calendar'!$AR$670*1000000000+ISNUMBER('Dvd Calendar'!$AR$671)*100000000+('Dvd Calendar'!$AR$675='Field Check'!$C$25)*10000000+(N('Dvd Calendar'!$AR$669)&gt;0)*1000000+45*1000+40))</f>
        <v/>
      </c>
      <c r="AQ53" s="41">
        <f>IF(N('Dvd Calendar'!$E$677)=0,"",IF(('Dvd Calendar'!$E$677&gt;=MIN(DATE(Summary!$C$12,1,1),Summary!$C$11))*('Dvd Calendar'!$E$677&lt;=MAX(DATE(Summary!$C$12,12,31),Summary!$C$15))*('Dvd Calendar'!$E$677&gt;Summary!$C$11)=0,"",'Dvd Calendar'!$E$677*1000000000+ISNUMBER('Dvd Calendar'!$E$678)*100000000+('Dvd Calendar'!$E$682='Field Check'!$C$25)*10000000+(N('Dvd Calendar'!$E$676)&gt;0)*1000000+45*1000+41))</f>
        <v/>
      </c>
      <c r="AR53" s="41">
        <f>IF(N('Dvd Calendar'!$F$677)=0,"",IF(('Dvd Calendar'!$F$677&gt;=MIN(DATE(Summary!$C$12,1,1),Summary!$C$11))*('Dvd Calendar'!$F$677&lt;=MAX(DATE(Summary!$C$12,12,31),Summary!$C$15))*('Dvd Calendar'!$F$677&gt;Summary!$C$11)=0,"",'Dvd Calendar'!$F$677*1000000000+ISNUMBER('Dvd Calendar'!$F$678)*100000000+('Dvd Calendar'!$F$682='Field Check'!$C$25)*10000000+(N('Dvd Calendar'!$F$676)&gt;0)*1000000+45*1000+42))</f>
        <v/>
      </c>
      <c r="AS53" s="41">
        <f>IF(N('Dvd Calendar'!$G$677)=0,"",IF(('Dvd Calendar'!$G$677&gt;=MIN(DATE(Summary!$C$12,1,1),Summary!$C$11))*('Dvd Calendar'!$G$677&lt;=MAX(DATE(Summary!$C$12,12,31),Summary!$C$15))*('Dvd Calendar'!$G$677&gt;Summary!$C$11)=0,"",'Dvd Calendar'!$G$677*1000000000+ISNUMBER('Dvd Calendar'!$G$678)*100000000+('Dvd Calendar'!$G$682='Field Check'!$C$25)*10000000+(N('Dvd Calendar'!$G$676)&gt;0)*1000000+45*1000+43))</f>
        <v/>
      </c>
      <c r="AT53" s="41">
        <f>IF(N('Dvd Calendar'!$H$677)=0,"",IF(('Dvd Calendar'!$H$677&gt;=MIN(DATE(Summary!$C$12,1,1),Summary!$C$11))*('Dvd Calendar'!$H$677&lt;=MAX(DATE(Summary!$C$12,12,31),Summary!$C$15))*('Dvd Calendar'!$H$677&gt;Summary!$C$11)=0,"",'Dvd Calendar'!$H$677*1000000000+ISNUMBER('Dvd Calendar'!$H$678)*100000000+('Dvd Calendar'!$H$682='Field Check'!$C$25)*10000000+(N('Dvd Calendar'!$H$676)&gt;0)*1000000+45*1000+44))</f>
        <v/>
      </c>
      <c r="AU53" s="41">
        <f>IF(N('Dvd Calendar'!$I$677)=0,"",IF(('Dvd Calendar'!$I$677&gt;=MIN(DATE(Summary!$C$12,1,1),Summary!$C$11))*('Dvd Calendar'!$I$677&lt;=MAX(DATE(Summary!$C$12,12,31),Summary!$C$15))*('Dvd Calendar'!$I$677&gt;Summary!$C$11)=0,"",'Dvd Calendar'!$I$677*1000000000+ISNUMBER('Dvd Calendar'!$I$678)*100000000+('Dvd Calendar'!$I$682='Field Check'!$C$25)*10000000+(N('Dvd Calendar'!$I$676)&gt;0)*1000000+45*1000+45))</f>
        <v/>
      </c>
      <c r="AV53" s="41">
        <f>IF(N('Dvd Calendar'!$J$677)=0,"",IF(('Dvd Calendar'!$J$677&gt;=MIN(DATE(Summary!$C$12,1,1),Summary!$C$11))*('Dvd Calendar'!$J$677&lt;=MAX(DATE(Summary!$C$12,12,31),Summary!$C$15))*('Dvd Calendar'!$J$677&gt;Summary!$C$11)=0,"",'Dvd Calendar'!$J$677*1000000000+ISNUMBER('Dvd Calendar'!$J$678)*100000000+('Dvd Calendar'!$J$682='Field Check'!$C$25)*10000000+(N('Dvd Calendar'!$J$676)&gt;0)*1000000+45*1000+46))</f>
        <v/>
      </c>
      <c r="AW53" s="41">
        <f>IF(N('Dvd Calendar'!$K$677)=0,"",IF(('Dvd Calendar'!$K$677&gt;=MIN(DATE(Summary!$C$12,1,1),Summary!$C$11))*('Dvd Calendar'!$K$677&lt;=MAX(DATE(Summary!$C$12,12,31),Summary!$C$15))*('Dvd Calendar'!$K$677&gt;Summary!$C$11)=0,"",'Dvd Calendar'!$K$677*1000000000+ISNUMBER('Dvd Calendar'!$K$678)*100000000+('Dvd Calendar'!$K$682='Field Check'!$C$25)*10000000+(N('Dvd Calendar'!$K$676)&gt;0)*1000000+45*1000+47))</f>
        <v/>
      </c>
      <c r="AX53" s="41">
        <f>IF(N('Dvd Calendar'!$L$677)=0,"",IF(('Dvd Calendar'!$L$677&gt;=MIN(DATE(Summary!$C$12,1,1),Summary!$C$11))*('Dvd Calendar'!$L$677&lt;=MAX(DATE(Summary!$C$12,12,31),Summary!$C$15))*('Dvd Calendar'!$L$677&gt;Summary!$C$11)=0,"",'Dvd Calendar'!$L$677*1000000000+ISNUMBER('Dvd Calendar'!$L$678)*100000000+('Dvd Calendar'!$L$682='Field Check'!$C$25)*10000000+(N('Dvd Calendar'!$L$676)&gt;0)*1000000+45*1000+48))</f>
        <v/>
      </c>
      <c r="AY53" s="41">
        <f>IF(N('Dvd Calendar'!$M$677)=0,"",IF(('Dvd Calendar'!$M$677&gt;=MIN(DATE(Summary!$C$12,1,1),Summary!$C$11))*('Dvd Calendar'!$M$677&lt;=MAX(DATE(Summary!$C$12,12,31),Summary!$C$15))*('Dvd Calendar'!$M$677&gt;Summary!$C$11)=0,"",'Dvd Calendar'!$M$677*1000000000+ISNUMBER('Dvd Calendar'!$M$678)*100000000+('Dvd Calendar'!$M$682='Field Check'!$C$25)*10000000+(N('Dvd Calendar'!$M$676)&gt;0)*1000000+45*1000+49))</f>
        <v/>
      </c>
      <c r="AZ53" s="41">
        <f>IF(N('Dvd Calendar'!$N$677)=0,"",IF(('Dvd Calendar'!$N$677&gt;=MIN(DATE(Summary!$C$12,1,1),Summary!$C$11))*('Dvd Calendar'!$N$677&lt;=MAX(DATE(Summary!$C$12,12,31),Summary!$C$15))*('Dvd Calendar'!$N$677&gt;Summary!$C$11)=0,"",'Dvd Calendar'!$N$677*1000000000+ISNUMBER('Dvd Calendar'!$N$678)*100000000+('Dvd Calendar'!$N$682='Field Check'!$C$25)*10000000+(N('Dvd Calendar'!$N$676)&gt;0)*1000000+45*1000+50))</f>
        <v/>
      </c>
      <c r="BA53" s="41">
        <f>IF(N('Dvd Calendar'!$O$677)=0,"",IF(('Dvd Calendar'!$O$677&gt;=MIN(DATE(Summary!$C$12,1,1),Summary!$C$11))*('Dvd Calendar'!$O$677&lt;=MAX(DATE(Summary!$C$12,12,31),Summary!$C$15))*('Dvd Calendar'!$O$677&gt;Summary!$C$11)=0,"",'Dvd Calendar'!$O$677*1000000000+ISNUMBER('Dvd Calendar'!$O$678)*100000000+('Dvd Calendar'!$O$682='Field Check'!$C$25)*10000000+(N('Dvd Calendar'!$O$676)&gt;0)*1000000+45*1000+51))</f>
        <v/>
      </c>
      <c r="BB53" s="41">
        <f>IF(N('Dvd Calendar'!$P$677)=0,"",IF(('Dvd Calendar'!$P$677&gt;=MIN(DATE(Summary!$C$12,1,1),Summary!$C$11))*('Dvd Calendar'!$P$677&lt;=MAX(DATE(Summary!$C$12,12,31),Summary!$C$15))*('Dvd Calendar'!$P$677&gt;Summary!$C$11)=0,"",'Dvd Calendar'!$P$677*1000000000+ISNUMBER('Dvd Calendar'!$P$678)*100000000+('Dvd Calendar'!$P$682='Field Check'!$C$25)*10000000+(N('Dvd Calendar'!$P$676)&gt;0)*1000000+45*1000+52))</f>
        <v/>
      </c>
      <c r="BC53" s="41">
        <f>IF(N('Dvd Calendar'!$Q$677)=0,"",IF(('Dvd Calendar'!$Q$677&gt;=MIN(DATE(Summary!$C$12,1,1),Summary!$C$11))*('Dvd Calendar'!$Q$677&lt;=MAX(DATE(Summary!$C$12,12,31),Summary!$C$15))*('Dvd Calendar'!$Q$677&gt;Summary!$C$11)=0,"",'Dvd Calendar'!$Q$677*1000000000+ISNUMBER('Dvd Calendar'!$Q$678)*100000000+('Dvd Calendar'!$Q$682='Field Check'!$C$25)*10000000+(N('Dvd Calendar'!$Q$676)&gt;0)*1000000+45*1000+53))</f>
        <v/>
      </c>
      <c r="BD53" s="41">
        <f>IF(N('Dvd Calendar'!$R$677)=0,"",IF(('Dvd Calendar'!$R$677&gt;=MIN(DATE(Summary!$C$12,1,1),Summary!$C$11))*('Dvd Calendar'!$R$677&lt;=MAX(DATE(Summary!$C$12,12,31),Summary!$C$15))*('Dvd Calendar'!$R$677&gt;Summary!$C$11)=0,"",'Dvd Calendar'!$R$677*1000000000+ISNUMBER('Dvd Calendar'!$R$678)*100000000+('Dvd Calendar'!$R$682='Field Check'!$C$25)*10000000+(N('Dvd Calendar'!$R$676)&gt;0)*1000000+45*1000+54))</f>
        <v/>
      </c>
      <c r="BE53" s="41">
        <f>IF(N('Dvd Calendar'!$S$677)=0,"",IF(('Dvd Calendar'!$S$677&gt;=MIN(DATE(Summary!$C$12,1,1),Summary!$C$11))*('Dvd Calendar'!$S$677&lt;=MAX(DATE(Summary!$C$12,12,31),Summary!$C$15))*('Dvd Calendar'!$S$677&gt;Summary!$C$11)=0,"",'Dvd Calendar'!$S$677*1000000000+ISNUMBER('Dvd Calendar'!$S$678)*100000000+('Dvd Calendar'!$S$682='Field Check'!$C$25)*10000000+(N('Dvd Calendar'!$S$676)&gt;0)*1000000+45*1000+55))</f>
        <v/>
      </c>
      <c r="BF53" s="41">
        <f>IF(N('Dvd Calendar'!$T$677)=0,"",IF(('Dvd Calendar'!$T$677&gt;=MIN(DATE(Summary!$C$12,1,1),Summary!$C$11))*('Dvd Calendar'!$T$677&lt;=MAX(DATE(Summary!$C$12,12,31),Summary!$C$15))*('Dvd Calendar'!$T$677&gt;Summary!$C$11)=0,"",'Dvd Calendar'!$T$677*1000000000+ISNUMBER('Dvd Calendar'!$T$678)*100000000+('Dvd Calendar'!$T$682='Field Check'!$C$25)*10000000+(N('Dvd Calendar'!$T$676)&gt;0)*1000000+45*1000+56))</f>
        <v/>
      </c>
      <c r="BG53" s="41">
        <f>IF(N('Dvd Calendar'!$U$677)=0,"",IF(('Dvd Calendar'!$U$677&gt;=MIN(DATE(Summary!$C$12,1,1),Summary!$C$11))*('Dvd Calendar'!$U$677&lt;=MAX(DATE(Summary!$C$12,12,31),Summary!$C$15))*('Dvd Calendar'!$U$677&gt;Summary!$C$11)=0,"",'Dvd Calendar'!$U$677*1000000000+ISNUMBER('Dvd Calendar'!$U$678)*100000000+('Dvd Calendar'!$U$682='Field Check'!$C$25)*10000000+(N('Dvd Calendar'!$U$676)&gt;0)*1000000+45*1000+57))</f>
        <v/>
      </c>
      <c r="BH53" s="41">
        <f>IF(N('Dvd Calendar'!$V$677)=0,"",IF(('Dvd Calendar'!$V$677&gt;=MIN(DATE(Summary!$C$12,1,1),Summary!$C$11))*('Dvd Calendar'!$V$677&lt;=MAX(DATE(Summary!$C$12,12,31),Summary!$C$15))*('Dvd Calendar'!$V$677&gt;Summary!$C$11)=0,"",'Dvd Calendar'!$V$677*1000000000+ISNUMBER('Dvd Calendar'!$V$678)*100000000+('Dvd Calendar'!$V$682='Field Check'!$C$25)*10000000+(N('Dvd Calendar'!$V$676)&gt;0)*1000000+45*1000+58))</f>
        <v/>
      </c>
      <c r="BI53" s="41">
        <f>IF(N('Dvd Calendar'!$W$677)=0,"",IF(('Dvd Calendar'!$W$677&gt;=MIN(DATE(Summary!$C$12,1,1),Summary!$C$11))*('Dvd Calendar'!$W$677&lt;=MAX(DATE(Summary!$C$12,12,31),Summary!$C$15))*('Dvd Calendar'!$W$677&gt;Summary!$C$11)=0,"",'Dvd Calendar'!$W$677*1000000000+ISNUMBER('Dvd Calendar'!$W$678)*100000000+('Dvd Calendar'!$W$682='Field Check'!$C$25)*10000000+(N('Dvd Calendar'!$W$676)&gt;0)*1000000+45*1000+59))</f>
        <v/>
      </c>
      <c r="BJ53" s="41">
        <f>IF(N('Dvd Calendar'!$X$677)=0,"",IF(('Dvd Calendar'!$X$677&gt;=MIN(DATE(Summary!$C$12,1,1),Summary!$C$11))*('Dvd Calendar'!$X$677&lt;=MAX(DATE(Summary!$C$12,12,31),Summary!$C$15))*('Dvd Calendar'!$X$677&gt;Summary!$C$11)=0,"",'Dvd Calendar'!$X$677*1000000000+ISNUMBER('Dvd Calendar'!$X$678)*100000000+('Dvd Calendar'!$X$682='Field Check'!$C$25)*10000000+(N('Dvd Calendar'!$X$676)&gt;0)*1000000+45*1000+60))</f>
        <v/>
      </c>
      <c r="BK53" s="41">
        <f>IF(N('Dvd Calendar'!$Y$677)=0,"",IF(('Dvd Calendar'!$Y$677&gt;=MIN(DATE(Summary!$C$12,1,1),Summary!$C$11))*('Dvd Calendar'!$Y$677&lt;=MAX(DATE(Summary!$C$12,12,31),Summary!$C$15))*('Dvd Calendar'!$Y$677&gt;Summary!$C$11)=0,"",'Dvd Calendar'!$Y$677*1000000000+ISNUMBER('Dvd Calendar'!$Y$678)*100000000+('Dvd Calendar'!$Y$682='Field Check'!$C$25)*10000000+(N('Dvd Calendar'!$Y$676)&gt;0)*1000000+45*1000+61))</f>
        <v/>
      </c>
      <c r="BL53" s="41">
        <f>IF(N('Dvd Calendar'!$Z$677)=0,"",IF(('Dvd Calendar'!$Z$677&gt;=MIN(DATE(Summary!$C$12,1,1),Summary!$C$11))*('Dvd Calendar'!$Z$677&lt;=MAX(DATE(Summary!$C$12,12,31),Summary!$C$15))*('Dvd Calendar'!$Z$677&gt;Summary!$C$11)=0,"",'Dvd Calendar'!$Z$677*1000000000+ISNUMBER('Dvd Calendar'!$Z$678)*100000000+('Dvd Calendar'!$Z$682='Field Check'!$C$25)*10000000+(N('Dvd Calendar'!$Z$676)&gt;0)*1000000+45*1000+62))</f>
        <v/>
      </c>
      <c r="BM53" s="41">
        <f>IF(N('Dvd Calendar'!$AA$677)=0,"",IF(('Dvd Calendar'!$AA$677&gt;=MIN(DATE(Summary!$C$12,1,1),Summary!$C$11))*('Dvd Calendar'!$AA$677&lt;=MAX(DATE(Summary!$C$12,12,31),Summary!$C$15))*('Dvd Calendar'!$AA$677&gt;Summary!$C$11)=0,"",'Dvd Calendar'!$AA$677*1000000000+ISNUMBER('Dvd Calendar'!$AA$678)*100000000+('Dvd Calendar'!$AA$682='Field Check'!$C$25)*10000000+(N('Dvd Calendar'!$AA$676)&gt;0)*1000000+45*1000+63))</f>
        <v/>
      </c>
      <c r="BN53" s="41">
        <f>IF(N('Dvd Calendar'!$AB$677)=0,"",IF(('Dvd Calendar'!$AB$677&gt;=MIN(DATE(Summary!$C$12,1,1),Summary!$C$11))*('Dvd Calendar'!$AB$677&lt;=MAX(DATE(Summary!$C$12,12,31),Summary!$C$15))*('Dvd Calendar'!$AB$677&gt;Summary!$C$11)=0,"",'Dvd Calendar'!$AB$677*1000000000+ISNUMBER('Dvd Calendar'!$AB$678)*100000000+('Dvd Calendar'!$AB$682='Field Check'!$C$25)*10000000+(N('Dvd Calendar'!$AB$676)&gt;0)*1000000+45*1000+64))</f>
        <v/>
      </c>
      <c r="BO53" s="41">
        <f>IF(N('Dvd Calendar'!$AC$677)=0,"",IF(('Dvd Calendar'!$AC$677&gt;=MIN(DATE(Summary!$C$12,1,1),Summary!$C$11))*('Dvd Calendar'!$AC$677&lt;=MAX(DATE(Summary!$C$12,12,31),Summary!$C$15))*('Dvd Calendar'!$AC$677&gt;Summary!$C$11)=0,"",'Dvd Calendar'!$AC$677*1000000000+ISNUMBER('Dvd Calendar'!$AC$678)*100000000+('Dvd Calendar'!$AC$682='Field Check'!$C$25)*10000000+(N('Dvd Calendar'!$AC$676)&gt;0)*1000000+45*1000+65))</f>
        <v/>
      </c>
      <c r="BQ53" s="85">
        <f>IF(C53="","",IF(ISNUMBER('Dvd Calendar'!$E$671)=FALSE,"",IF((Summary!$C$13="N")*('Dvd Calendar'!$E$675='Field Check'!$C$25)&gt;0,"",'Dvd Calendar'!$E$671)))</f>
        <v/>
      </c>
      <c r="BR53" s="85">
        <f>IF(D53="","",IF(ISNUMBER('Dvd Calendar'!$F$671)=FALSE,"",IF((Summary!$C$13="N")*('Dvd Calendar'!$F$675='Field Check'!$C$25)&gt;0,"",'Dvd Calendar'!$F$671)))</f>
        <v/>
      </c>
      <c r="BS53" s="85">
        <f>IF(E53="","",IF(ISNUMBER('Dvd Calendar'!$G$671)=FALSE,"",IF((Summary!$C$13="N")*('Dvd Calendar'!$G$675='Field Check'!$C$25)&gt;0,"",'Dvd Calendar'!$G$671)))</f>
        <v/>
      </c>
      <c r="BT53" s="85">
        <f>IF(F53="","",IF(ISNUMBER('Dvd Calendar'!$H$671)=FALSE,"",IF((Summary!$C$13="N")*('Dvd Calendar'!$H$675='Field Check'!$C$25)&gt;0,"",'Dvd Calendar'!$H$671)))</f>
        <v/>
      </c>
      <c r="BU53" s="85">
        <f>IF(G53="","",IF(ISNUMBER('Dvd Calendar'!$I$671)=FALSE,"",IF((Summary!$C$13="N")*('Dvd Calendar'!$I$675='Field Check'!$C$25)&gt;0,"",'Dvd Calendar'!$I$671)))</f>
        <v/>
      </c>
      <c r="BV53" s="85">
        <f>IF(H53="","",IF(ISNUMBER('Dvd Calendar'!$J$671)=FALSE,"",IF((Summary!$C$13="N")*('Dvd Calendar'!$J$675='Field Check'!$C$25)&gt;0,"",'Dvd Calendar'!$J$671)))</f>
        <v/>
      </c>
      <c r="BW53" s="85">
        <f>IF(I53="","",IF(ISNUMBER('Dvd Calendar'!$K$671)=FALSE,"",IF((Summary!$C$13="N")*('Dvd Calendar'!$K$675='Field Check'!$C$25)&gt;0,"",'Dvd Calendar'!$K$671)))</f>
        <v/>
      </c>
      <c r="BX53" s="85">
        <f>IF(J53="","",IF(ISNUMBER('Dvd Calendar'!$L$671)=FALSE,"",IF((Summary!$C$13="N")*('Dvd Calendar'!$L$675='Field Check'!$C$25)&gt;0,"",'Dvd Calendar'!$L$671)))</f>
        <v/>
      </c>
      <c r="BY53" s="85">
        <f>IF(K53="","",IF(ISNUMBER('Dvd Calendar'!$M$671)=FALSE,"",IF((Summary!$C$13="N")*('Dvd Calendar'!$M$675='Field Check'!$C$25)&gt;0,"",'Dvd Calendar'!$M$671)))</f>
        <v/>
      </c>
      <c r="BZ53" s="85">
        <f>IF(L53="","",IF(ISNUMBER('Dvd Calendar'!$N$671)=FALSE,"",IF((Summary!$C$13="N")*('Dvd Calendar'!$N$675='Field Check'!$C$25)&gt;0,"",'Dvd Calendar'!$N$671)))</f>
        <v/>
      </c>
      <c r="CA53" s="85">
        <f>IF(M53="","",IF(ISNUMBER('Dvd Calendar'!$O$671)=FALSE,"",IF((Summary!$C$13="N")*('Dvd Calendar'!$O$675='Field Check'!$C$25)&gt;0,"",'Dvd Calendar'!$O$671)))</f>
        <v/>
      </c>
      <c r="CB53" s="85">
        <f>IF(N53="","",IF(ISNUMBER('Dvd Calendar'!$P$671)=FALSE,"",IF((Summary!$C$13="N")*('Dvd Calendar'!$P$675='Field Check'!$C$25)&gt;0,"",'Dvd Calendar'!$P$671)))</f>
        <v/>
      </c>
      <c r="CC53" s="85">
        <f>IF(O53="","",IF(ISNUMBER('Dvd Calendar'!$Q$671)=FALSE,"",IF((Summary!$C$13="N")*('Dvd Calendar'!$Q$675='Field Check'!$C$25)&gt;0,"",'Dvd Calendar'!$Q$671)))</f>
        <v/>
      </c>
      <c r="CD53" s="85">
        <f>IF(P53="","",IF(ISNUMBER('Dvd Calendar'!$R$671)=FALSE,"",IF((Summary!$C$13="N")*('Dvd Calendar'!$R$675='Field Check'!$C$25)&gt;0,"",'Dvd Calendar'!$R$671)))</f>
        <v/>
      </c>
      <c r="CE53" s="85">
        <f>IF(Q53="","",IF(ISNUMBER('Dvd Calendar'!$S$671)=FALSE,"",IF((Summary!$C$13="N")*('Dvd Calendar'!$S$675='Field Check'!$C$25)&gt;0,"",'Dvd Calendar'!$S$671)))</f>
        <v/>
      </c>
      <c r="CF53" s="85">
        <f>IF(R53="","",IF(ISNUMBER('Dvd Calendar'!$T$671)=FALSE,"",IF((Summary!$C$13="N")*('Dvd Calendar'!$T$675='Field Check'!$C$25)&gt;0,"",'Dvd Calendar'!$T$671)))</f>
        <v/>
      </c>
      <c r="CG53" s="85">
        <f>IF(S53="","",IF(ISNUMBER('Dvd Calendar'!$U$671)=FALSE,"",IF((Summary!$C$13="N")*('Dvd Calendar'!$U$675='Field Check'!$C$25)&gt;0,"",'Dvd Calendar'!$U$671)))</f>
        <v/>
      </c>
      <c r="CH53" s="85">
        <f>IF(T53="","",IF(ISNUMBER('Dvd Calendar'!$V$671)=FALSE,"",IF((Summary!$C$13="N")*('Dvd Calendar'!$V$675='Field Check'!$C$25)&gt;0,"",'Dvd Calendar'!$V$671)))</f>
        <v/>
      </c>
      <c r="CI53" s="85">
        <f>IF(U53="","",IF(ISNUMBER('Dvd Calendar'!$W$671)=FALSE,"",IF((Summary!$C$13="N")*('Dvd Calendar'!$W$675='Field Check'!$C$25)&gt;0,"",'Dvd Calendar'!$W$671)))</f>
        <v/>
      </c>
      <c r="CJ53" s="85">
        <f>IF(V53="","",IF(ISNUMBER('Dvd Calendar'!$X$671)=FALSE,"",IF((Summary!$C$13="N")*('Dvd Calendar'!$X$675='Field Check'!$C$25)&gt;0,"",'Dvd Calendar'!$X$671)))</f>
        <v/>
      </c>
      <c r="CK53" s="85">
        <f>IF(W53="","",IF(ISNUMBER('Dvd Calendar'!$Y$671)=FALSE,"",IF((Summary!$C$13="N")*('Dvd Calendar'!$Y$675='Field Check'!$C$25)&gt;0,"",'Dvd Calendar'!$Y$671)))</f>
        <v/>
      </c>
      <c r="CL53" s="85">
        <f>IF(X53="","",IF(ISNUMBER('Dvd Calendar'!$Z$671)=FALSE,"",IF((Summary!$C$13="N")*('Dvd Calendar'!$Z$675='Field Check'!$C$25)&gt;0,"",'Dvd Calendar'!$Z$671)))</f>
        <v/>
      </c>
      <c r="CM53" s="85">
        <f>IF(Y53="","",IF(ISNUMBER('Dvd Calendar'!$AA$671)=FALSE,"",IF((Summary!$C$13="N")*('Dvd Calendar'!$AA$675='Field Check'!$C$25)&gt;0,"",'Dvd Calendar'!$AA$671)))</f>
        <v/>
      </c>
      <c r="CN53" s="85">
        <f>IF(Z53="","",IF(ISNUMBER('Dvd Calendar'!$AB$671)=FALSE,"",IF((Summary!$C$13="N")*('Dvd Calendar'!$AB$675='Field Check'!$C$25)&gt;0,"",'Dvd Calendar'!$AB$671)))</f>
        <v/>
      </c>
      <c r="CO53" s="85">
        <f>IF(AA53="","",IF(ISNUMBER('Dvd Calendar'!$AC$671)=FALSE,"",IF((Summary!$C$13="N")*('Dvd Calendar'!$AC$675='Field Check'!$C$25)&gt;0,"",'Dvd Calendar'!$AC$671)))</f>
        <v/>
      </c>
      <c r="CP53" s="85">
        <f>IF(AB53="","",IF(ISNUMBER('Dvd Calendar'!$AD$671)=FALSE,"",IF((Summary!$C$13="N")*('Dvd Calendar'!$AD$675='Field Check'!$C$25)&gt;0,"",'Dvd Calendar'!$AD$671)))</f>
        <v/>
      </c>
      <c r="CQ53" s="85">
        <f>IF(AC53="","",IF(ISNUMBER('Dvd Calendar'!$AE$671)=FALSE,"",IF((Summary!$C$13="N")*('Dvd Calendar'!$AE$675='Field Check'!$C$25)&gt;0,"",'Dvd Calendar'!$AE$671)))</f>
        <v/>
      </c>
      <c r="CR53" s="85">
        <f>IF(AD53="","",IF(ISNUMBER('Dvd Calendar'!$AF$671)=FALSE,"",IF((Summary!$C$13="N")*('Dvd Calendar'!$AF$675='Field Check'!$C$25)&gt;0,"",'Dvd Calendar'!$AF$671)))</f>
        <v/>
      </c>
      <c r="CS53" s="85">
        <f>IF(AE53="","",IF(ISNUMBER('Dvd Calendar'!$AG$671)=FALSE,"",IF((Summary!$C$13="N")*('Dvd Calendar'!$AG$675='Field Check'!$C$25)&gt;0,"",'Dvd Calendar'!$AG$671)))</f>
        <v/>
      </c>
      <c r="CT53" s="85">
        <f>IF(AF53="","",IF(ISNUMBER('Dvd Calendar'!$AH$671)=FALSE,"",IF((Summary!$C$13="N")*('Dvd Calendar'!$AH$675='Field Check'!$C$25)&gt;0,"",'Dvd Calendar'!$AH$671)))</f>
        <v/>
      </c>
      <c r="CU53" s="85">
        <f>IF(AG53="","",IF(ISNUMBER('Dvd Calendar'!$AI$671)=FALSE,"",IF((Summary!$C$13="N")*('Dvd Calendar'!$AI$675='Field Check'!$C$25)&gt;0,"",'Dvd Calendar'!$AI$671)))</f>
        <v/>
      </c>
      <c r="CV53" s="85">
        <f>IF(AH53="","",IF(ISNUMBER('Dvd Calendar'!$AJ$671)=FALSE,"",IF((Summary!$C$13="N")*('Dvd Calendar'!$AJ$675='Field Check'!$C$25)&gt;0,"",'Dvd Calendar'!$AJ$671)))</f>
        <v/>
      </c>
      <c r="CW53" s="85">
        <f>IF(AI53="","",IF(ISNUMBER('Dvd Calendar'!$AK$671)=FALSE,"",IF((Summary!$C$13="N")*('Dvd Calendar'!$AK$675='Field Check'!$C$25)&gt;0,"",'Dvd Calendar'!$AK$671)))</f>
        <v/>
      </c>
      <c r="CX53" s="85">
        <f>IF(AJ53="","",IF(ISNUMBER('Dvd Calendar'!$AL$671)=FALSE,"",IF((Summary!$C$13="N")*('Dvd Calendar'!$AL$675='Field Check'!$C$25)&gt;0,"",'Dvd Calendar'!$AL$671)))</f>
        <v/>
      </c>
      <c r="CY53" s="85">
        <f>IF(AK53="","",IF(ISNUMBER('Dvd Calendar'!$AM$671)=FALSE,"",IF((Summary!$C$13="N")*('Dvd Calendar'!$AM$675='Field Check'!$C$25)&gt;0,"",'Dvd Calendar'!$AM$671)))</f>
        <v/>
      </c>
      <c r="CZ53" s="85">
        <f>IF(AL53="","",IF(ISNUMBER('Dvd Calendar'!$AN$671)=FALSE,"",IF((Summary!$C$13="N")*('Dvd Calendar'!$AN$675='Field Check'!$C$25)&gt;0,"",'Dvd Calendar'!$AN$671)))</f>
        <v/>
      </c>
      <c r="DA53" s="85">
        <f>IF(AM53="","",IF(ISNUMBER('Dvd Calendar'!$AO$671)=FALSE,"",IF((Summary!$C$13="N")*('Dvd Calendar'!$AO$675='Field Check'!$C$25)&gt;0,"",'Dvd Calendar'!$AO$671)))</f>
        <v/>
      </c>
      <c r="DB53" s="85">
        <f>IF(AN53="","",IF(ISNUMBER('Dvd Calendar'!$AP$671)=FALSE,"",IF((Summary!$C$13="N")*('Dvd Calendar'!$AP$675='Field Check'!$C$25)&gt;0,"",'Dvd Calendar'!$AP$671)))</f>
        <v/>
      </c>
      <c r="DC53" s="85">
        <f>IF(AO53="","",IF(ISNUMBER('Dvd Calendar'!$AQ$671)=FALSE,"",IF((Summary!$C$13="N")*('Dvd Calendar'!$AQ$675='Field Check'!$C$25)&gt;0,"",'Dvd Calendar'!$AQ$671)))</f>
        <v/>
      </c>
      <c r="DD53" s="85">
        <f>IF(AP53="","",IF(ISNUMBER('Dvd Calendar'!$AR$671)=FALSE,"",IF((Summary!$C$13="N")*('Dvd Calendar'!$AR$675='Field Check'!$C$25)&gt;0,"",'Dvd Calendar'!$AR$671)))</f>
        <v/>
      </c>
      <c r="DE53" s="85">
        <f>IF(AQ53="","",IF(ISNUMBER('Dvd Calendar'!$E$678)=FALSE,"",IF((Summary!$C$13="N")*('Dvd Calendar'!$E$682='Field Check'!$C$25)&gt;0,"",'Dvd Calendar'!$E$678)))</f>
        <v/>
      </c>
      <c r="DF53" s="85">
        <f>IF(AR53="","",IF(ISNUMBER('Dvd Calendar'!$F$678)=FALSE,"",IF((Summary!$C$13="N")*('Dvd Calendar'!$F$682='Field Check'!$C$25)&gt;0,"",'Dvd Calendar'!$F$678)))</f>
        <v/>
      </c>
      <c r="DG53" s="85">
        <f>IF(AS53="","",IF(ISNUMBER('Dvd Calendar'!$G$678)=FALSE,"",IF((Summary!$C$13="N")*('Dvd Calendar'!$G$682='Field Check'!$C$25)&gt;0,"",'Dvd Calendar'!$G$678)))</f>
        <v/>
      </c>
      <c r="DH53" s="85">
        <f>IF(AT53="","",IF(ISNUMBER('Dvd Calendar'!$H$678)=FALSE,"",IF((Summary!$C$13="N")*('Dvd Calendar'!$H$682='Field Check'!$C$25)&gt;0,"",'Dvd Calendar'!$H$678)))</f>
        <v/>
      </c>
      <c r="DI53" s="85">
        <f>IF(AU53="","",IF(ISNUMBER('Dvd Calendar'!$I$678)=FALSE,"",IF((Summary!$C$13="N")*('Dvd Calendar'!$I$682='Field Check'!$C$25)&gt;0,"",'Dvd Calendar'!$I$678)))</f>
        <v/>
      </c>
      <c r="DJ53" s="85">
        <f>IF(AV53="","",IF(ISNUMBER('Dvd Calendar'!$J$678)=FALSE,"",IF((Summary!$C$13="N")*('Dvd Calendar'!$J$682='Field Check'!$C$25)&gt;0,"",'Dvd Calendar'!$J$678)))</f>
        <v/>
      </c>
      <c r="DK53" s="85">
        <f>IF(AW53="","",IF(ISNUMBER('Dvd Calendar'!$K$678)=FALSE,"",IF((Summary!$C$13="N")*('Dvd Calendar'!$K$682='Field Check'!$C$25)&gt;0,"",'Dvd Calendar'!$K$678)))</f>
        <v/>
      </c>
      <c r="DL53" s="85">
        <f>IF(AX53="","",IF(ISNUMBER('Dvd Calendar'!$L$678)=FALSE,"",IF((Summary!$C$13="N")*('Dvd Calendar'!$L$682='Field Check'!$C$25)&gt;0,"",'Dvd Calendar'!$L$678)))</f>
        <v/>
      </c>
      <c r="DM53" s="85">
        <f>IF(AY53="","",IF(ISNUMBER('Dvd Calendar'!$M$678)=FALSE,"",IF((Summary!$C$13="N")*('Dvd Calendar'!$M$682='Field Check'!$C$25)&gt;0,"",'Dvd Calendar'!$M$678)))</f>
        <v/>
      </c>
      <c r="DN53" s="85">
        <f>IF(AZ53="","",IF(ISNUMBER('Dvd Calendar'!$N$678)=FALSE,"",IF((Summary!$C$13="N")*('Dvd Calendar'!$N$682='Field Check'!$C$25)&gt;0,"",'Dvd Calendar'!$N$678)))</f>
        <v/>
      </c>
      <c r="DO53" s="85">
        <f>IF(BA53="","",IF(ISNUMBER('Dvd Calendar'!$O$678)=FALSE,"",IF((Summary!$C$13="N")*('Dvd Calendar'!$O$682='Field Check'!$C$25)&gt;0,"",'Dvd Calendar'!$O$678)))</f>
        <v/>
      </c>
      <c r="DP53" s="85">
        <f>IF(BB53="","",IF(ISNUMBER('Dvd Calendar'!$P$678)=FALSE,"",IF((Summary!$C$13="N")*('Dvd Calendar'!$P$682='Field Check'!$C$25)&gt;0,"",'Dvd Calendar'!$P$678)))</f>
        <v/>
      </c>
      <c r="DQ53" s="85">
        <f>IF(BC53="","",IF(ISNUMBER('Dvd Calendar'!$Q$678)=FALSE,"",IF((Summary!$C$13="N")*('Dvd Calendar'!$Q$682='Field Check'!$C$25)&gt;0,"",'Dvd Calendar'!$Q$678)))</f>
        <v/>
      </c>
      <c r="DR53" s="85">
        <f>IF(BD53="","",IF(ISNUMBER('Dvd Calendar'!$R$678)=FALSE,"",IF((Summary!$C$13="N")*('Dvd Calendar'!$R$682='Field Check'!$C$25)&gt;0,"",'Dvd Calendar'!$R$678)))</f>
        <v/>
      </c>
      <c r="DS53" s="85">
        <f>IF(BE53="","",IF(ISNUMBER('Dvd Calendar'!$S$678)=FALSE,"",IF((Summary!$C$13="N")*('Dvd Calendar'!$S$682='Field Check'!$C$25)&gt;0,"",'Dvd Calendar'!$S$678)))</f>
        <v/>
      </c>
      <c r="DT53" s="85">
        <f>IF(BF53="","",IF(ISNUMBER('Dvd Calendar'!$T$678)=FALSE,"",IF((Summary!$C$13="N")*('Dvd Calendar'!$T$682='Field Check'!$C$25)&gt;0,"",'Dvd Calendar'!$T$678)))</f>
        <v/>
      </c>
      <c r="DU53" s="85">
        <f>IF(BG53="","",IF(ISNUMBER('Dvd Calendar'!$U$678)=FALSE,"",IF((Summary!$C$13="N")*('Dvd Calendar'!$U$682='Field Check'!$C$25)&gt;0,"",'Dvd Calendar'!$U$678)))</f>
        <v/>
      </c>
      <c r="DV53" s="85">
        <f>IF(BH53="","",IF(ISNUMBER('Dvd Calendar'!$V$678)=FALSE,"",IF((Summary!$C$13="N")*('Dvd Calendar'!$V$682='Field Check'!$C$25)&gt;0,"",'Dvd Calendar'!$V$678)))</f>
        <v/>
      </c>
      <c r="DW53" s="85">
        <f>IF(BI53="","",IF(ISNUMBER('Dvd Calendar'!$W$678)=FALSE,"",IF((Summary!$C$13="N")*('Dvd Calendar'!$W$682='Field Check'!$C$25)&gt;0,"",'Dvd Calendar'!$W$678)))</f>
        <v/>
      </c>
      <c r="DX53" s="85">
        <f>IF(BJ53="","",IF(ISNUMBER('Dvd Calendar'!$X$678)=FALSE,"",IF((Summary!$C$13="N")*('Dvd Calendar'!$X$682='Field Check'!$C$25)&gt;0,"",'Dvd Calendar'!$X$678)))</f>
        <v/>
      </c>
      <c r="DY53" s="85">
        <f>IF(BK53="","",IF(ISNUMBER('Dvd Calendar'!$Y$678)=FALSE,"",IF((Summary!$C$13="N")*('Dvd Calendar'!$Y$682='Field Check'!$C$25)&gt;0,"",'Dvd Calendar'!$Y$678)))</f>
        <v/>
      </c>
      <c r="DZ53" s="85">
        <f>IF(BL53="","",IF(ISNUMBER('Dvd Calendar'!$Z$678)=FALSE,"",IF((Summary!$C$13="N")*('Dvd Calendar'!$Z$682='Field Check'!$C$25)&gt;0,"",'Dvd Calendar'!$Z$678)))</f>
        <v/>
      </c>
      <c r="EA53" s="85">
        <f>IF(BM53="","",IF(ISNUMBER('Dvd Calendar'!$AA$678)=FALSE,"",IF((Summary!$C$13="N")*('Dvd Calendar'!$AA$682='Field Check'!$C$25)&gt;0,"",'Dvd Calendar'!$AA$678)))</f>
        <v/>
      </c>
      <c r="EB53" s="85">
        <f>IF(BN53="","",IF(ISNUMBER('Dvd Calendar'!$AB$678)=FALSE,"",IF((Summary!$C$13="N")*('Dvd Calendar'!$AB$682='Field Check'!$C$25)&gt;0,"",'Dvd Calendar'!$AB$678)))</f>
        <v/>
      </c>
      <c r="EC53" s="85">
        <f>IF(BO53="","",IF(ISNUMBER('Dvd Calendar'!$AC$678)=FALSE,"",IF((Summary!$C$13="N")*('Dvd Calendar'!$AC$682='Field Check'!$C$25)&gt;0,"",'Dvd Calendar'!$AC$678)))</f>
        <v/>
      </c>
      <c r="EE53" s="85">
        <f>IF(BQ53="","",IFERROR(BQ53*HSI!$B$51*HSI!$G$51/HSI!$B$3,""))</f>
        <v/>
      </c>
      <c r="EF53" s="85">
        <f>IF(BR53="","",IFERROR(BR53*HSI!$B$51*HSI!$G$51/HSI!$B$3,""))</f>
        <v/>
      </c>
      <c r="EG53" s="85">
        <f>IF(BS53="","",IFERROR(BS53*HSI!$B$51*HSI!$G$51/HSI!$B$3,""))</f>
        <v/>
      </c>
      <c r="EH53" s="85">
        <f>IF(BT53="","",IFERROR(BT53*HSI!$B$51*HSI!$G$51/HSI!$B$3,""))</f>
        <v/>
      </c>
      <c r="EI53" s="85">
        <f>IF(BU53="","",IFERROR(BU53*HSI!$B$51*HSI!$G$51/HSI!$B$3,""))</f>
        <v/>
      </c>
      <c r="EJ53" s="85">
        <f>IF(BV53="","",IFERROR(BV53*HSI!$B$51*HSI!$G$51/HSI!$B$3,""))</f>
        <v/>
      </c>
      <c r="EK53" s="85">
        <f>IF(BW53="","",IFERROR(BW53*HSI!$B$51*HSI!$G$51/HSI!$B$3,""))</f>
        <v/>
      </c>
      <c r="EL53" s="85">
        <f>IF(BX53="","",IFERROR(BX53*HSI!$B$51*HSI!$G$51/HSI!$B$3,""))</f>
        <v/>
      </c>
      <c r="EM53" s="85">
        <f>IF(BY53="","",IFERROR(BY53*HSI!$B$51*HSI!$G$51/HSI!$B$3,""))</f>
        <v/>
      </c>
      <c r="EN53" s="85">
        <f>IF(BZ53="","",IFERROR(BZ53*HSI!$B$51*HSI!$G$51/HSI!$B$3,""))</f>
        <v/>
      </c>
      <c r="EO53" s="85">
        <f>IF(CA53="","",IFERROR(CA53*HSI!$B$51*HSI!$G$51/HSI!$B$3,""))</f>
        <v/>
      </c>
      <c r="EP53" s="85">
        <f>IF(CB53="","",IFERROR(CB53*HSI!$B$51*HSI!$G$51/HSI!$B$3,""))</f>
        <v/>
      </c>
      <c r="EQ53" s="85">
        <f>IF(CC53="","",IFERROR(CC53*HSI!$B$51*HSI!$G$51/HSI!$B$3,""))</f>
        <v/>
      </c>
      <c r="ER53" s="85">
        <f>IF(CD53="","",IFERROR(CD53*HSI!$B$51*HSI!$G$51/HSI!$B$3,""))</f>
        <v/>
      </c>
      <c r="ES53" s="85">
        <f>IF(CE53="","",IFERROR(CE53*HSI!$B$51*HSI!$G$51/HSI!$B$3,""))</f>
        <v/>
      </c>
      <c r="ET53" s="85">
        <f>IF(CF53="","",IFERROR(CF53*HSI!$B$51*HSI!$G$51/HSI!$B$3,""))</f>
        <v/>
      </c>
      <c r="EU53" s="85">
        <f>IF(CG53="","",IFERROR(CG53*HSI!$B$51*HSI!$G$51/HSI!$B$3,""))</f>
        <v/>
      </c>
      <c r="EV53" s="85">
        <f>IF(CH53="","",IFERROR(CH53*HSI!$B$51*HSI!$G$51/HSI!$B$3,""))</f>
        <v/>
      </c>
      <c r="EW53" s="85">
        <f>IF(CI53="","",IFERROR(CI53*HSI!$B$51*HSI!$G$51/HSI!$B$3,""))</f>
        <v/>
      </c>
      <c r="EX53" s="85">
        <f>IF(CJ53="","",IFERROR(CJ53*HSI!$B$51*HSI!$G$51/HSI!$B$3,""))</f>
        <v/>
      </c>
      <c r="EY53" s="85">
        <f>IF(CK53="","",IFERROR(CK53*HSI!$B$51*HSI!$G$51/HSI!$B$3,""))</f>
        <v/>
      </c>
      <c r="EZ53" s="85">
        <f>IF(CL53="","",IFERROR(CL53*HSI!$B$51*HSI!$G$51/HSI!$B$3,""))</f>
        <v/>
      </c>
      <c r="FA53" s="85">
        <f>IF(CM53="","",IFERROR(CM53*HSI!$B$51*HSI!$G$51/HSI!$B$3,""))</f>
        <v/>
      </c>
      <c r="FB53" s="85">
        <f>IF(CN53="","",IFERROR(CN53*HSI!$B$51*HSI!$G$51/HSI!$B$3,""))</f>
        <v/>
      </c>
      <c r="FC53" s="85">
        <f>IF(CO53="","",IFERROR(CO53*HSI!$B$51*HSI!$G$51/HSI!$B$3,""))</f>
        <v/>
      </c>
      <c r="FD53" s="85">
        <f>IF(CP53="","",IFERROR(CP53*HSI!$B$51*HSI!$G$51/HSI!$B$3,""))</f>
        <v/>
      </c>
      <c r="FE53" s="85">
        <f>IF(CQ53="","",IFERROR(CQ53*HSI!$B$51*HSI!$G$51/HSI!$B$3,""))</f>
        <v/>
      </c>
      <c r="FF53" s="85">
        <f>IF(CR53="","",IFERROR(CR53*HSI!$B$51*HSI!$G$51/HSI!$B$3,""))</f>
        <v/>
      </c>
      <c r="FG53" s="85">
        <f>IF(CS53="","",IFERROR(CS53*HSI!$B$51*HSI!$G$51/HSI!$B$3,""))</f>
        <v/>
      </c>
      <c r="FH53" s="85">
        <f>IF(CT53="","",IFERROR(CT53*HSI!$B$51*HSI!$G$51/HSI!$B$3,""))</f>
        <v/>
      </c>
      <c r="FI53" s="85">
        <f>IF(CU53="","",IFERROR(CU53*HSI!$B$51*HSI!$G$51/HSI!$B$3,""))</f>
        <v/>
      </c>
      <c r="FJ53" s="85">
        <f>IF(CV53="","",IFERROR(CV53*HSI!$B$51*HSI!$G$51/HSI!$B$3,""))</f>
        <v/>
      </c>
      <c r="FK53" s="85">
        <f>IF(CW53="","",IFERROR(CW53*HSI!$B$51*HSI!$G$51/HSI!$B$3,""))</f>
        <v/>
      </c>
      <c r="FL53" s="85">
        <f>IF(CX53="","",IFERROR(CX53*HSI!$B$51*HSI!$G$51/HSI!$B$3,""))</f>
        <v/>
      </c>
      <c r="FM53" s="85">
        <f>IF(CY53="","",IFERROR(CY53*HSI!$B$51*HSI!$G$51/HSI!$B$3,""))</f>
        <v/>
      </c>
      <c r="FN53" s="85">
        <f>IF(CZ53="","",IFERROR(CZ53*HSI!$B$51*HSI!$G$51/HSI!$B$3,""))</f>
        <v/>
      </c>
      <c r="FO53" s="85">
        <f>IF(DA53="","",IFERROR(DA53*HSI!$B$51*HSI!$G$51/HSI!$B$3,""))</f>
        <v/>
      </c>
      <c r="FP53" s="85">
        <f>IF(DB53="","",IFERROR(DB53*HSI!$B$51*HSI!$G$51/HSI!$B$3,""))</f>
        <v/>
      </c>
      <c r="FQ53" s="85">
        <f>IF(DC53="","",IFERROR(DC53*HSI!$B$51*HSI!$G$51/HSI!$B$3,""))</f>
        <v/>
      </c>
      <c r="FR53" s="85">
        <f>IF(DD53="","",IFERROR(DD53*HSI!$B$51*HSI!$G$51/HSI!$B$3,""))</f>
        <v/>
      </c>
      <c r="FS53" s="85">
        <f>IF(DE53="","",IFERROR(DE53*HSI!$B$51*HSI!$G$51/HSI!$B$3,""))</f>
        <v/>
      </c>
      <c r="FT53" s="85">
        <f>IF(DF53="","",IFERROR(DF53*HSI!$B$51*HSI!$G$51/HSI!$B$3,""))</f>
        <v/>
      </c>
      <c r="FU53" s="85">
        <f>IF(DG53="","",IFERROR(DG53*HSI!$B$51*HSI!$G$51/HSI!$B$3,""))</f>
        <v/>
      </c>
      <c r="FV53" s="85">
        <f>IF(DH53="","",IFERROR(DH53*HSI!$B$51*HSI!$G$51/HSI!$B$3,""))</f>
        <v/>
      </c>
      <c r="FW53" s="85">
        <f>IF(DI53="","",IFERROR(DI53*HSI!$B$51*HSI!$G$51/HSI!$B$3,""))</f>
        <v/>
      </c>
      <c r="FX53" s="85">
        <f>IF(DJ53="","",IFERROR(DJ53*HSI!$B$51*HSI!$G$51/HSI!$B$3,""))</f>
        <v/>
      </c>
      <c r="FY53" s="85">
        <f>IF(DK53="","",IFERROR(DK53*HSI!$B$51*HSI!$G$51/HSI!$B$3,""))</f>
        <v/>
      </c>
      <c r="FZ53" s="85">
        <f>IF(DL53="","",IFERROR(DL53*HSI!$B$51*HSI!$G$51/HSI!$B$3,""))</f>
        <v/>
      </c>
      <c r="GA53" s="85">
        <f>IF(DM53="","",IFERROR(DM53*HSI!$B$51*HSI!$G$51/HSI!$B$3,""))</f>
        <v/>
      </c>
      <c r="GB53" s="85">
        <f>IF(DN53="","",IFERROR(DN53*HSI!$B$51*HSI!$G$51/HSI!$B$3,""))</f>
        <v/>
      </c>
      <c r="GC53" s="85">
        <f>IF(DO53="","",IFERROR(DO53*HSI!$B$51*HSI!$G$51/HSI!$B$3,""))</f>
        <v/>
      </c>
      <c r="GD53" s="85">
        <f>IF(DP53="","",IFERROR(DP53*HSI!$B$51*HSI!$G$51/HSI!$B$3,""))</f>
        <v/>
      </c>
      <c r="GE53" s="85">
        <f>IF(DQ53="","",IFERROR(DQ53*HSI!$B$51*HSI!$G$51/HSI!$B$3,""))</f>
        <v/>
      </c>
      <c r="GF53" s="85">
        <f>IF(DR53="","",IFERROR(DR53*HSI!$B$51*HSI!$G$51/HSI!$B$3,""))</f>
        <v/>
      </c>
      <c r="GG53" s="85">
        <f>IF(DS53="","",IFERROR(DS53*HSI!$B$51*HSI!$G$51/HSI!$B$3,""))</f>
        <v/>
      </c>
      <c r="GH53" s="85">
        <f>IF(DT53="","",IFERROR(DT53*HSI!$B$51*HSI!$G$51/HSI!$B$3,""))</f>
        <v/>
      </c>
      <c r="GI53" s="85">
        <f>IF(DU53="","",IFERROR(DU53*HSI!$B$51*HSI!$G$51/HSI!$B$3,""))</f>
        <v/>
      </c>
      <c r="GJ53" s="85">
        <f>IF(DV53="","",IFERROR(DV53*HSI!$B$51*HSI!$G$51/HSI!$B$3,""))</f>
        <v/>
      </c>
      <c r="GK53" s="85">
        <f>IF(DW53="","",IFERROR(DW53*HSI!$B$51*HSI!$G$51/HSI!$B$3,""))</f>
        <v/>
      </c>
      <c r="GL53" s="85">
        <f>IF(DX53="","",IFERROR(DX53*HSI!$B$51*HSI!$G$51/HSI!$B$3,""))</f>
        <v/>
      </c>
      <c r="GM53" s="85">
        <f>IF(DY53="","",IFERROR(DY53*HSI!$B$51*HSI!$G$51/HSI!$B$3,""))</f>
        <v/>
      </c>
      <c r="GN53" s="85">
        <f>IF(DZ53="","",IFERROR(DZ53*HSI!$B$51*HSI!$G$51/HSI!$B$3,""))</f>
        <v/>
      </c>
      <c r="GO53" s="85">
        <f>IF(EA53="","",IFERROR(EA53*HSI!$B$51*HSI!$G$51/HSI!$B$3,""))</f>
        <v/>
      </c>
      <c r="GP53" s="85">
        <f>IF(EB53="","",IFERROR(EB53*HSI!$B$51*HSI!$G$51/HSI!$B$3,""))</f>
        <v/>
      </c>
      <c r="GQ53" s="85">
        <f>IF(EC53="","",IFERROR(EC53*HSI!$B$51*HSI!$G$51/HSI!$B$3,""))</f>
        <v/>
      </c>
    </row>
    <row r="54">
      <c r="B54" s="2">
        <f>IF(HSI!$C$52="","",HSI!$C$52)</f>
        <v/>
      </c>
      <c r="C54" s="41">
        <f>IF(N('Dvd Calendar'!$E$685)=0,"",IF(('Dvd Calendar'!$E$685&gt;=MIN(DATE(Summary!$C$12,1,1),Summary!$C$11))*('Dvd Calendar'!$E$685&lt;=MAX(DATE(Summary!$C$12,12,31),Summary!$C$15))*('Dvd Calendar'!$E$685&lt;=Summary!$C$11)=0,"",'Dvd Calendar'!$E$685*1000000000+ISNUMBER('Dvd Calendar'!$E$686)*100000000+('Dvd Calendar'!$E$690='Field Check'!$C$25)*10000000+(N('Dvd Calendar'!$E$684)&gt;0)*1000000+46*1000+1))</f>
        <v/>
      </c>
      <c r="D54" s="41">
        <f>IF(N('Dvd Calendar'!$F$685)=0,"",IF(('Dvd Calendar'!$F$685&gt;=MIN(DATE(Summary!$C$12,1,1),Summary!$C$11))*('Dvd Calendar'!$F$685&lt;=MAX(DATE(Summary!$C$12,12,31),Summary!$C$15))*('Dvd Calendar'!$F$685&lt;=Summary!$C$11)=0,"",'Dvd Calendar'!$F$685*1000000000+ISNUMBER('Dvd Calendar'!$F$686)*100000000+('Dvd Calendar'!$F$690='Field Check'!$C$25)*10000000+(N('Dvd Calendar'!$F$684)&gt;0)*1000000+46*1000+2))</f>
        <v/>
      </c>
      <c r="E54" s="41">
        <f>IF(N('Dvd Calendar'!$G$685)=0,"",IF(('Dvd Calendar'!$G$685&gt;=MIN(DATE(Summary!$C$12,1,1),Summary!$C$11))*('Dvd Calendar'!$G$685&lt;=MAX(DATE(Summary!$C$12,12,31),Summary!$C$15))*('Dvd Calendar'!$G$685&lt;=Summary!$C$11)=0,"",'Dvd Calendar'!$G$685*1000000000+ISNUMBER('Dvd Calendar'!$G$686)*100000000+('Dvd Calendar'!$G$690='Field Check'!$C$25)*10000000+(N('Dvd Calendar'!$G$684)&gt;0)*1000000+46*1000+3))</f>
        <v/>
      </c>
      <c r="F54" s="41">
        <f>IF(N('Dvd Calendar'!$H$685)=0,"",IF(('Dvd Calendar'!$H$685&gt;=MIN(DATE(Summary!$C$12,1,1),Summary!$C$11))*('Dvd Calendar'!$H$685&lt;=MAX(DATE(Summary!$C$12,12,31),Summary!$C$15))*('Dvd Calendar'!$H$685&lt;=Summary!$C$11)=0,"",'Dvd Calendar'!$H$685*1000000000+ISNUMBER('Dvd Calendar'!$H$686)*100000000+('Dvd Calendar'!$H$690='Field Check'!$C$25)*10000000+(N('Dvd Calendar'!$H$684)&gt;0)*1000000+46*1000+4))</f>
        <v/>
      </c>
      <c r="G54" s="41">
        <f>IF(N('Dvd Calendar'!$I$685)=0,"",IF(('Dvd Calendar'!$I$685&gt;=MIN(DATE(Summary!$C$12,1,1),Summary!$C$11))*('Dvd Calendar'!$I$685&lt;=MAX(DATE(Summary!$C$12,12,31),Summary!$C$15))*('Dvd Calendar'!$I$685&lt;=Summary!$C$11)=0,"",'Dvd Calendar'!$I$685*1000000000+ISNUMBER('Dvd Calendar'!$I$686)*100000000+('Dvd Calendar'!$I$690='Field Check'!$C$25)*10000000+(N('Dvd Calendar'!$I$684)&gt;0)*1000000+46*1000+5))</f>
        <v/>
      </c>
      <c r="H54" s="41">
        <f>IF(N('Dvd Calendar'!$J$685)=0,"",IF(('Dvd Calendar'!$J$685&gt;=MIN(DATE(Summary!$C$12,1,1),Summary!$C$11))*('Dvd Calendar'!$J$685&lt;=MAX(DATE(Summary!$C$12,12,31),Summary!$C$15))*('Dvd Calendar'!$J$685&lt;=Summary!$C$11)=0,"",'Dvd Calendar'!$J$685*1000000000+ISNUMBER('Dvd Calendar'!$J$686)*100000000+('Dvd Calendar'!$J$690='Field Check'!$C$25)*10000000+(N('Dvd Calendar'!$J$684)&gt;0)*1000000+46*1000+6))</f>
        <v/>
      </c>
      <c r="I54" s="41">
        <f>IF(N('Dvd Calendar'!$K$685)=0,"",IF(('Dvd Calendar'!$K$685&gt;=MIN(DATE(Summary!$C$12,1,1),Summary!$C$11))*('Dvd Calendar'!$K$685&lt;=MAX(DATE(Summary!$C$12,12,31),Summary!$C$15))*('Dvd Calendar'!$K$685&lt;=Summary!$C$11)=0,"",'Dvd Calendar'!$K$685*1000000000+ISNUMBER('Dvd Calendar'!$K$686)*100000000+('Dvd Calendar'!$K$690='Field Check'!$C$25)*10000000+(N('Dvd Calendar'!$K$684)&gt;0)*1000000+46*1000+7))</f>
        <v/>
      </c>
      <c r="J54" s="41">
        <f>IF(N('Dvd Calendar'!$L$685)=0,"",IF(('Dvd Calendar'!$L$685&gt;=MIN(DATE(Summary!$C$12,1,1),Summary!$C$11))*('Dvd Calendar'!$L$685&lt;=MAX(DATE(Summary!$C$12,12,31),Summary!$C$15))*('Dvd Calendar'!$L$685&lt;=Summary!$C$11)=0,"",'Dvd Calendar'!$L$685*1000000000+ISNUMBER('Dvd Calendar'!$L$686)*100000000+('Dvd Calendar'!$L$690='Field Check'!$C$25)*10000000+(N('Dvd Calendar'!$L$684)&gt;0)*1000000+46*1000+8))</f>
        <v/>
      </c>
      <c r="K54" s="41">
        <f>IF(N('Dvd Calendar'!$M$685)=0,"",IF(('Dvd Calendar'!$M$685&gt;=MIN(DATE(Summary!$C$12,1,1),Summary!$C$11))*('Dvd Calendar'!$M$685&lt;=MAX(DATE(Summary!$C$12,12,31),Summary!$C$15))*('Dvd Calendar'!$M$685&lt;=Summary!$C$11)=0,"",'Dvd Calendar'!$M$685*1000000000+ISNUMBER('Dvd Calendar'!$M$686)*100000000+('Dvd Calendar'!$M$690='Field Check'!$C$25)*10000000+(N('Dvd Calendar'!$M$684)&gt;0)*1000000+46*1000+9))</f>
        <v/>
      </c>
      <c r="L54" s="41">
        <f>IF(N('Dvd Calendar'!$N$685)=0,"",IF(('Dvd Calendar'!$N$685&gt;=MIN(DATE(Summary!$C$12,1,1),Summary!$C$11))*('Dvd Calendar'!$N$685&lt;=MAX(DATE(Summary!$C$12,12,31),Summary!$C$15))*('Dvd Calendar'!$N$685&lt;=Summary!$C$11)=0,"",'Dvd Calendar'!$N$685*1000000000+ISNUMBER('Dvd Calendar'!$N$686)*100000000+('Dvd Calendar'!$N$690='Field Check'!$C$25)*10000000+(N('Dvd Calendar'!$N$684)&gt;0)*1000000+46*1000+10))</f>
        <v/>
      </c>
      <c r="M54" s="41">
        <f>IF(N('Dvd Calendar'!$O$685)=0,"",IF(('Dvd Calendar'!$O$685&gt;=MIN(DATE(Summary!$C$12,1,1),Summary!$C$11))*('Dvd Calendar'!$O$685&lt;=MAX(DATE(Summary!$C$12,12,31),Summary!$C$15))*('Dvd Calendar'!$O$685&lt;=Summary!$C$11)=0,"",'Dvd Calendar'!$O$685*1000000000+ISNUMBER('Dvd Calendar'!$O$686)*100000000+('Dvd Calendar'!$O$690='Field Check'!$C$25)*10000000+(N('Dvd Calendar'!$O$684)&gt;0)*1000000+46*1000+11))</f>
        <v/>
      </c>
      <c r="N54" s="41">
        <f>IF(N('Dvd Calendar'!$P$685)=0,"",IF(('Dvd Calendar'!$P$685&gt;=MIN(DATE(Summary!$C$12,1,1),Summary!$C$11))*('Dvd Calendar'!$P$685&lt;=MAX(DATE(Summary!$C$12,12,31),Summary!$C$15))*('Dvd Calendar'!$P$685&lt;=Summary!$C$11)=0,"",'Dvd Calendar'!$P$685*1000000000+ISNUMBER('Dvd Calendar'!$P$686)*100000000+('Dvd Calendar'!$P$690='Field Check'!$C$25)*10000000+(N('Dvd Calendar'!$P$684)&gt;0)*1000000+46*1000+12))</f>
        <v/>
      </c>
      <c r="O54" s="41">
        <f>IF(N('Dvd Calendar'!$Q$685)=0,"",IF(('Dvd Calendar'!$Q$685&gt;=MIN(DATE(Summary!$C$12,1,1),Summary!$C$11))*('Dvd Calendar'!$Q$685&lt;=MAX(DATE(Summary!$C$12,12,31),Summary!$C$15))*('Dvd Calendar'!$Q$685&lt;=Summary!$C$11)=0,"",'Dvd Calendar'!$Q$685*1000000000+ISNUMBER('Dvd Calendar'!$Q$686)*100000000+('Dvd Calendar'!$Q$690='Field Check'!$C$25)*10000000+(N('Dvd Calendar'!$Q$684)&gt;0)*1000000+46*1000+13))</f>
        <v/>
      </c>
      <c r="P54" s="41">
        <f>IF(N('Dvd Calendar'!$R$685)=0,"",IF(('Dvd Calendar'!$R$685&gt;=MIN(DATE(Summary!$C$12,1,1),Summary!$C$11))*('Dvd Calendar'!$R$685&lt;=MAX(DATE(Summary!$C$12,12,31),Summary!$C$15))*('Dvd Calendar'!$R$685&lt;=Summary!$C$11)=0,"",'Dvd Calendar'!$R$685*1000000000+ISNUMBER('Dvd Calendar'!$R$686)*100000000+('Dvd Calendar'!$R$690='Field Check'!$C$25)*10000000+(N('Dvd Calendar'!$R$684)&gt;0)*1000000+46*1000+14))</f>
        <v/>
      </c>
      <c r="Q54" s="41">
        <f>IF(N('Dvd Calendar'!$S$685)=0,"",IF(('Dvd Calendar'!$S$685&gt;=MIN(DATE(Summary!$C$12,1,1),Summary!$C$11))*('Dvd Calendar'!$S$685&lt;=MAX(DATE(Summary!$C$12,12,31),Summary!$C$15))*('Dvd Calendar'!$S$685&lt;=Summary!$C$11)=0,"",'Dvd Calendar'!$S$685*1000000000+ISNUMBER('Dvd Calendar'!$S$686)*100000000+('Dvd Calendar'!$S$690='Field Check'!$C$25)*10000000+(N('Dvd Calendar'!$S$684)&gt;0)*1000000+46*1000+15))</f>
        <v/>
      </c>
      <c r="R54" s="41">
        <f>IF(N('Dvd Calendar'!$T$685)=0,"",IF(('Dvd Calendar'!$T$685&gt;=MIN(DATE(Summary!$C$12,1,1),Summary!$C$11))*('Dvd Calendar'!$T$685&lt;=MAX(DATE(Summary!$C$12,12,31),Summary!$C$15))*('Dvd Calendar'!$T$685&lt;=Summary!$C$11)=0,"",'Dvd Calendar'!$T$685*1000000000+ISNUMBER('Dvd Calendar'!$T$686)*100000000+('Dvd Calendar'!$T$690='Field Check'!$C$25)*10000000+(N('Dvd Calendar'!$T$684)&gt;0)*1000000+46*1000+16))</f>
        <v/>
      </c>
      <c r="S54" s="41">
        <f>IF(N('Dvd Calendar'!$U$685)=0,"",IF(('Dvd Calendar'!$U$685&gt;=MIN(DATE(Summary!$C$12,1,1),Summary!$C$11))*('Dvd Calendar'!$U$685&lt;=MAX(DATE(Summary!$C$12,12,31),Summary!$C$15))*('Dvd Calendar'!$U$685&lt;=Summary!$C$11)=0,"",'Dvd Calendar'!$U$685*1000000000+ISNUMBER('Dvd Calendar'!$U$686)*100000000+('Dvd Calendar'!$U$690='Field Check'!$C$25)*10000000+(N('Dvd Calendar'!$U$684)&gt;0)*1000000+46*1000+17))</f>
        <v/>
      </c>
      <c r="T54" s="41">
        <f>IF(N('Dvd Calendar'!$V$685)=0,"",IF(('Dvd Calendar'!$V$685&gt;=MIN(DATE(Summary!$C$12,1,1),Summary!$C$11))*('Dvd Calendar'!$V$685&lt;=MAX(DATE(Summary!$C$12,12,31),Summary!$C$15))*('Dvd Calendar'!$V$685&lt;=Summary!$C$11)=0,"",'Dvd Calendar'!$V$685*1000000000+ISNUMBER('Dvd Calendar'!$V$686)*100000000+('Dvd Calendar'!$V$690='Field Check'!$C$25)*10000000+(N('Dvd Calendar'!$V$684)&gt;0)*1000000+46*1000+18))</f>
        <v/>
      </c>
      <c r="U54" s="41">
        <f>IF(N('Dvd Calendar'!$W$685)=0,"",IF(('Dvd Calendar'!$W$685&gt;=MIN(DATE(Summary!$C$12,1,1),Summary!$C$11))*('Dvd Calendar'!$W$685&lt;=MAX(DATE(Summary!$C$12,12,31),Summary!$C$15))*('Dvd Calendar'!$W$685&lt;=Summary!$C$11)=0,"",'Dvd Calendar'!$W$685*1000000000+ISNUMBER('Dvd Calendar'!$W$686)*100000000+('Dvd Calendar'!$W$690='Field Check'!$C$25)*10000000+(N('Dvd Calendar'!$W$684)&gt;0)*1000000+46*1000+19))</f>
        <v/>
      </c>
      <c r="V54" s="41">
        <f>IF(N('Dvd Calendar'!$X$685)=0,"",IF(('Dvd Calendar'!$X$685&gt;=MIN(DATE(Summary!$C$12,1,1),Summary!$C$11))*('Dvd Calendar'!$X$685&lt;=MAX(DATE(Summary!$C$12,12,31),Summary!$C$15))*('Dvd Calendar'!$X$685&lt;=Summary!$C$11)=0,"",'Dvd Calendar'!$X$685*1000000000+ISNUMBER('Dvd Calendar'!$X$686)*100000000+('Dvd Calendar'!$X$690='Field Check'!$C$25)*10000000+(N('Dvd Calendar'!$X$684)&gt;0)*1000000+46*1000+20))</f>
        <v/>
      </c>
      <c r="W54" s="41">
        <f>IF(N('Dvd Calendar'!$Y$685)=0,"",IF(('Dvd Calendar'!$Y$685&gt;=MIN(DATE(Summary!$C$12,1,1),Summary!$C$11))*('Dvd Calendar'!$Y$685&lt;=MAX(DATE(Summary!$C$12,12,31),Summary!$C$15))*('Dvd Calendar'!$Y$685&lt;=Summary!$C$11)=0,"",'Dvd Calendar'!$Y$685*1000000000+ISNUMBER('Dvd Calendar'!$Y$686)*100000000+('Dvd Calendar'!$Y$690='Field Check'!$C$25)*10000000+(N('Dvd Calendar'!$Y$684)&gt;0)*1000000+46*1000+21))</f>
        <v/>
      </c>
      <c r="X54" s="41">
        <f>IF(N('Dvd Calendar'!$Z$685)=0,"",IF(('Dvd Calendar'!$Z$685&gt;=MIN(DATE(Summary!$C$12,1,1),Summary!$C$11))*('Dvd Calendar'!$Z$685&lt;=MAX(DATE(Summary!$C$12,12,31),Summary!$C$15))*('Dvd Calendar'!$Z$685&lt;=Summary!$C$11)=0,"",'Dvd Calendar'!$Z$685*1000000000+ISNUMBER('Dvd Calendar'!$Z$686)*100000000+('Dvd Calendar'!$Z$690='Field Check'!$C$25)*10000000+(N('Dvd Calendar'!$Z$684)&gt;0)*1000000+46*1000+22))</f>
        <v/>
      </c>
      <c r="Y54" s="41">
        <f>IF(N('Dvd Calendar'!$AA$685)=0,"",IF(('Dvd Calendar'!$AA$685&gt;=MIN(DATE(Summary!$C$12,1,1),Summary!$C$11))*('Dvd Calendar'!$AA$685&lt;=MAX(DATE(Summary!$C$12,12,31),Summary!$C$15))*('Dvd Calendar'!$AA$685&lt;=Summary!$C$11)=0,"",'Dvd Calendar'!$AA$685*1000000000+ISNUMBER('Dvd Calendar'!$AA$686)*100000000+('Dvd Calendar'!$AA$690='Field Check'!$C$25)*10000000+(N('Dvd Calendar'!$AA$684)&gt;0)*1000000+46*1000+23))</f>
        <v/>
      </c>
      <c r="Z54" s="41">
        <f>IF(N('Dvd Calendar'!$AB$685)=0,"",IF(('Dvd Calendar'!$AB$685&gt;=MIN(DATE(Summary!$C$12,1,1),Summary!$C$11))*('Dvd Calendar'!$AB$685&lt;=MAX(DATE(Summary!$C$12,12,31),Summary!$C$15))*('Dvd Calendar'!$AB$685&lt;=Summary!$C$11)=0,"",'Dvd Calendar'!$AB$685*1000000000+ISNUMBER('Dvd Calendar'!$AB$686)*100000000+('Dvd Calendar'!$AB$690='Field Check'!$C$25)*10000000+(N('Dvd Calendar'!$AB$684)&gt;0)*1000000+46*1000+24))</f>
        <v/>
      </c>
      <c r="AA54" s="41">
        <f>IF(N('Dvd Calendar'!$AC$685)=0,"",IF(('Dvd Calendar'!$AC$685&gt;=MIN(DATE(Summary!$C$12,1,1),Summary!$C$11))*('Dvd Calendar'!$AC$685&lt;=MAX(DATE(Summary!$C$12,12,31),Summary!$C$15))*('Dvd Calendar'!$AC$685&lt;=Summary!$C$11)=0,"",'Dvd Calendar'!$AC$685*1000000000+ISNUMBER('Dvd Calendar'!$AC$686)*100000000+('Dvd Calendar'!$AC$690='Field Check'!$C$25)*10000000+(N('Dvd Calendar'!$AC$684)&gt;0)*1000000+46*1000+25))</f>
        <v/>
      </c>
      <c r="AB54" s="41">
        <f>IF(N('Dvd Calendar'!$AD$685)=0,"",IF(('Dvd Calendar'!$AD$685&gt;=MIN(DATE(Summary!$C$12,1,1),Summary!$C$11))*('Dvd Calendar'!$AD$685&lt;=MAX(DATE(Summary!$C$12,12,31),Summary!$C$15))*('Dvd Calendar'!$AD$685&lt;=Summary!$C$11)=0,"",'Dvd Calendar'!$AD$685*1000000000+ISNUMBER('Dvd Calendar'!$AD$686)*100000000+('Dvd Calendar'!$AD$690='Field Check'!$C$25)*10000000+(N('Dvd Calendar'!$AD$684)&gt;0)*1000000+46*1000+26))</f>
        <v/>
      </c>
      <c r="AC54" s="41">
        <f>IF(N('Dvd Calendar'!$AE$685)=0,"",IF(('Dvd Calendar'!$AE$685&gt;=MIN(DATE(Summary!$C$12,1,1),Summary!$C$11))*('Dvd Calendar'!$AE$685&lt;=MAX(DATE(Summary!$C$12,12,31),Summary!$C$15))*('Dvd Calendar'!$AE$685&lt;=Summary!$C$11)=0,"",'Dvd Calendar'!$AE$685*1000000000+ISNUMBER('Dvd Calendar'!$AE$686)*100000000+('Dvd Calendar'!$AE$690='Field Check'!$C$25)*10000000+(N('Dvd Calendar'!$AE$684)&gt;0)*1000000+46*1000+27))</f>
        <v/>
      </c>
      <c r="AD54" s="41">
        <f>IF(N('Dvd Calendar'!$AF$685)=0,"",IF(('Dvd Calendar'!$AF$685&gt;=MIN(DATE(Summary!$C$12,1,1),Summary!$C$11))*('Dvd Calendar'!$AF$685&lt;=MAX(DATE(Summary!$C$12,12,31),Summary!$C$15))*('Dvd Calendar'!$AF$685&lt;=Summary!$C$11)=0,"",'Dvd Calendar'!$AF$685*1000000000+ISNUMBER('Dvd Calendar'!$AF$686)*100000000+('Dvd Calendar'!$AF$690='Field Check'!$C$25)*10000000+(N('Dvd Calendar'!$AF$684)&gt;0)*1000000+46*1000+28))</f>
        <v/>
      </c>
      <c r="AE54" s="41">
        <f>IF(N('Dvd Calendar'!$AG$685)=0,"",IF(('Dvd Calendar'!$AG$685&gt;=MIN(DATE(Summary!$C$12,1,1),Summary!$C$11))*('Dvd Calendar'!$AG$685&lt;=MAX(DATE(Summary!$C$12,12,31),Summary!$C$15))*('Dvd Calendar'!$AG$685&lt;=Summary!$C$11)=0,"",'Dvd Calendar'!$AG$685*1000000000+ISNUMBER('Dvd Calendar'!$AG$686)*100000000+('Dvd Calendar'!$AG$690='Field Check'!$C$25)*10000000+(N('Dvd Calendar'!$AG$684)&gt;0)*1000000+46*1000+29))</f>
        <v/>
      </c>
      <c r="AF54" s="41">
        <f>IF(N('Dvd Calendar'!$AH$685)=0,"",IF(('Dvd Calendar'!$AH$685&gt;=MIN(DATE(Summary!$C$12,1,1),Summary!$C$11))*('Dvd Calendar'!$AH$685&lt;=MAX(DATE(Summary!$C$12,12,31),Summary!$C$15))*('Dvd Calendar'!$AH$685&lt;=Summary!$C$11)=0,"",'Dvd Calendar'!$AH$685*1000000000+ISNUMBER('Dvd Calendar'!$AH$686)*100000000+('Dvd Calendar'!$AH$690='Field Check'!$C$25)*10000000+(N('Dvd Calendar'!$AH$684)&gt;0)*1000000+46*1000+30))</f>
        <v/>
      </c>
      <c r="AG54" s="41">
        <f>IF(N('Dvd Calendar'!$AI$685)=0,"",IF(('Dvd Calendar'!$AI$685&gt;=MIN(DATE(Summary!$C$12,1,1),Summary!$C$11))*('Dvd Calendar'!$AI$685&lt;=MAX(DATE(Summary!$C$12,12,31),Summary!$C$15))*('Dvd Calendar'!$AI$685&lt;=Summary!$C$11)=0,"",'Dvd Calendar'!$AI$685*1000000000+ISNUMBER('Dvd Calendar'!$AI$686)*100000000+('Dvd Calendar'!$AI$690='Field Check'!$C$25)*10000000+(N('Dvd Calendar'!$AI$684)&gt;0)*1000000+46*1000+31))</f>
        <v/>
      </c>
      <c r="AH54" s="41">
        <f>IF(N('Dvd Calendar'!$AJ$685)=0,"",IF(('Dvd Calendar'!$AJ$685&gt;=MIN(DATE(Summary!$C$12,1,1),Summary!$C$11))*('Dvd Calendar'!$AJ$685&lt;=MAX(DATE(Summary!$C$12,12,31),Summary!$C$15))*('Dvd Calendar'!$AJ$685&lt;=Summary!$C$11)=0,"",'Dvd Calendar'!$AJ$685*1000000000+ISNUMBER('Dvd Calendar'!$AJ$686)*100000000+('Dvd Calendar'!$AJ$690='Field Check'!$C$25)*10000000+(N('Dvd Calendar'!$AJ$684)&gt;0)*1000000+46*1000+32))</f>
        <v/>
      </c>
      <c r="AI54" s="41">
        <f>IF(N('Dvd Calendar'!$AK$685)=0,"",IF(('Dvd Calendar'!$AK$685&gt;=MIN(DATE(Summary!$C$12,1,1),Summary!$C$11))*('Dvd Calendar'!$AK$685&lt;=MAX(DATE(Summary!$C$12,12,31),Summary!$C$15))*('Dvd Calendar'!$AK$685&lt;=Summary!$C$11)=0,"",'Dvd Calendar'!$AK$685*1000000000+ISNUMBER('Dvd Calendar'!$AK$686)*100000000+('Dvd Calendar'!$AK$690='Field Check'!$C$25)*10000000+(N('Dvd Calendar'!$AK$684)&gt;0)*1000000+46*1000+33))</f>
        <v/>
      </c>
      <c r="AJ54" s="41">
        <f>IF(N('Dvd Calendar'!$AL$685)=0,"",IF(('Dvd Calendar'!$AL$685&gt;=MIN(DATE(Summary!$C$12,1,1),Summary!$C$11))*('Dvd Calendar'!$AL$685&lt;=MAX(DATE(Summary!$C$12,12,31),Summary!$C$15))*('Dvd Calendar'!$AL$685&lt;=Summary!$C$11)=0,"",'Dvd Calendar'!$AL$685*1000000000+ISNUMBER('Dvd Calendar'!$AL$686)*100000000+('Dvd Calendar'!$AL$690='Field Check'!$C$25)*10000000+(N('Dvd Calendar'!$AL$684)&gt;0)*1000000+46*1000+34))</f>
        <v/>
      </c>
      <c r="AK54" s="41">
        <f>IF(N('Dvd Calendar'!$AM$685)=0,"",IF(('Dvd Calendar'!$AM$685&gt;=MIN(DATE(Summary!$C$12,1,1),Summary!$C$11))*('Dvd Calendar'!$AM$685&lt;=MAX(DATE(Summary!$C$12,12,31),Summary!$C$15))*('Dvd Calendar'!$AM$685&lt;=Summary!$C$11)=0,"",'Dvd Calendar'!$AM$685*1000000000+ISNUMBER('Dvd Calendar'!$AM$686)*100000000+('Dvd Calendar'!$AM$690='Field Check'!$C$25)*10000000+(N('Dvd Calendar'!$AM$684)&gt;0)*1000000+46*1000+35))</f>
        <v/>
      </c>
      <c r="AL54" s="41">
        <f>IF(N('Dvd Calendar'!$AN$685)=0,"",IF(('Dvd Calendar'!$AN$685&gt;=MIN(DATE(Summary!$C$12,1,1),Summary!$C$11))*('Dvd Calendar'!$AN$685&lt;=MAX(DATE(Summary!$C$12,12,31),Summary!$C$15))*('Dvd Calendar'!$AN$685&lt;=Summary!$C$11)=0,"",'Dvd Calendar'!$AN$685*1000000000+ISNUMBER('Dvd Calendar'!$AN$686)*100000000+('Dvd Calendar'!$AN$690='Field Check'!$C$25)*10000000+(N('Dvd Calendar'!$AN$684)&gt;0)*1000000+46*1000+36))</f>
        <v/>
      </c>
      <c r="AM54" s="41">
        <f>IF(N('Dvd Calendar'!$AO$685)=0,"",IF(('Dvd Calendar'!$AO$685&gt;=MIN(DATE(Summary!$C$12,1,1),Summary!$C$11))*('Dvd Calendar'!$AO$685&lt;=MAX(DATE(Summary!$C$12,12,31),Summary!$C$15))*('Dvd Calendar'!$AO$685&lt;=Summary!$C$11)=0,"",'Dvd Calendar'!$AO$685*1000000000+ISNUMBER('Dvd Calendar'!$AO$686)*100000000+('Dvd Calendar'!$AO$690='Field Check'!$C$25)*10000000+(N('Dvd Calendar'!$AO$684)&gt;0)*1000000+46*1000+37))</f>
        <v/>
      </c>
      <c r="AN54" s="41">
        <f>IF(N('Dvd Calendar'!$AP$685)=0,"",IF(('Dvd Calendar'!$AP$685&gt;=MIN(DATE(Summary!$C$12,1,1),Summary!$C$11))*('Dvd Calendar'!$AP$685&lt;=MAX(DATE(Summary!$C$12,12,31),Summary!$C$15))*('Dvd Calendar'!$AP$685&lt;=Summary!$C$11)=0,"",'Dvd Calendar'!$AP$685*1000000000+ISNUMBER('Dvd Calendar'!$AP$686)*100000000+('Dvd Calendar'!$AP$690='Field Check'!$C$25)*10000000+(N('Dvd Calendar'!$AP$684)&gt;0)*1000000+46*1000+38))</f>
        <v/>
      </c>
      <c r="AO54" s="41">
        <f>IF(N('Dvd Calendar'!$AQ$685)=0,"",IF(('Dvd Calendar'!$AQ$685&gt;=MIN(DATE(Summary!$C$12,1,1),Summary!$C$11))*('Dvd Calendar'!$AQ$685&lt;=MAX(DATE(Summary!$C$12,12,31),Summary!$C$15))*('Dvd Calendar'!$AQ$685&lt;=Summary!$C$11)=0,"",'Dvd Calendar'!$AQ$685*1000000000+ISNUMBER('Dvd Calendar'!$AQ$686)*100000000+('Dvd Calendar'!$AQ$690='Field Check'!$C$25)*10000000+(N('Dvd Calendar'!$AQ$684)&gt;0)*1000000+46*1000+39))</f>
        <v/>
      </c>
      <c r="AP54" s="41">
        <f>IF(N('Dvd Calendar'!$AR$685)=0,"",IF(('Dvd Calendar'!$AR$685&gt;=MIN(DATE(Summary!$C$12,1,1),Summary!$C$11))*('Dvd Calendar'!$AR$685&lt;=MAX(DATE(Summary!$C$12,12,31),Summary!$C$15))*('Dvd Calendar'!$AR$685&lt;=Summary!$C$11)=0,"",'Dvd Calendar'!$AR$685*1000000000+ISNUMBER('Dvd Calendar'!$AR$686)*100000000+('Dvd Calendar'!$AR$690='Field Check'!$C$25)*10000000+(N('Dvd Calendar'!$AR$684)&gt;0)*1000000+46*1000+40))</f>
        <v/>
      </c>
      <c r="AQ54" s="41">
        <f>IF(N('Dvd Calendar'!$E$692)=0,"",IF(('Dvd Calendar'!$E$692&gt;=MIN(DATE(Summary!$C$12,1,1),Summary!$C$11))*('Dvd Calendar'!$E$692&lt;=MAX(DATE(Summary!$C$12,12,31),Summary!$C$15))*('Dvd Calendar'!$E$692&gt;Summary!$C$11)=0,"",'Dvd Calendar'!$E$692*1000000000+ISNUMBER('Dvd Calendar'!$E$693)*100000000+('Dvd Calendar'!$E$697='Field Check'!$C$25)*10000000+(N('Dvd Calendar'!$E$691)&gt;0)*1000000+46*1000+41))</f>
        <v/>
      </c>
      <c r="AR54" s="41">
        <f>IF(N('Dvd Calendar'!$F$692)=0,"",IF(('Dvd Calendar'!$F$692&gt;=MIN(DATE(Summary!$C$12,1,1),Summary!$C$11))*('Dvd Calendar'!$F$692&lt;=MAX(DATE(Summary!$C$12,12,31),Summary!$C$15))*('Dvd Calendar'!$F$692&gt;Summary!$C$11)=0,"",'Dvd Calendar'!$F$692*1000000000+ISNUMBER('Dvd Calendar'!$F$693)*100000000+('Dvd Calendar'!$F$697='Field Check'!$C$25)*10000000+(N('Dvd Calendar'!$F$691)&gt;0)*1000000+46*1000+42))</f>
        <v/>
      </c>
      <c r="AS54" s="41">
        <f>IF(N('Dvd Calendar'!$G$692)=0,"",IF(('Dvd Calendar'!$G$692&gt;=MIN(DATE(Summary!$C$12,1,1),Summary!$C$11))*('Dvd Calendar'!$G$692&lt;=MAX(DATE(Summary!$C$12,12,31),Summary!$C$15))*('Dvd Calendar'!$G$692&gt;Summary!$C$11)=0,"",'Dvd Calendar'!$G$692*1000000000+ISNUMBER('Dvd Calendar'!$G$693)*100000000+('Dvd Calendar'!$G$697='Field Check'!$C$25)*10000000+(N('Dvd Calendar'!$G$691)&gt;0)*1000000+46*1000+43))</f>
        <v/>
      </c>
      <c r="AT54" s="41">
        <f>IF(N('Dvd Calendar'!$H$692)=0,"",IF(('Dvd Calendar'!$H$692&gt;=MIN(DATE(Summary!$C$12,1,1),Summary!$C$11))*('Dvd Calendar'!$H$692&lt;=MAX(DATE(Summary!$C$12,12,31),Summary!$C$15))*('Dvd Calendar'!$H$692&gt;Summary!$C$11)=0,"",'Dvd Calendar'!$H$692*1000000000+ISNUMBER('Dvd Calendar'!$H$693)*100000000+('Dvd Calendar'!$H$697='Field Check'!$C$25)*10000000+(N('Dvd Calendar'!$H$691)&gt;0)*1000000+46*1000+44))</f>
        <v/>
      </c>
      <c r="AU54" s="41">
        <f>IF(N('Dvd Calendar'!$I$692)=0,"",IF(('Dvd Calendar'!$I$692&gt;=MIN(DATE(Summary!$C$12,1,1),Summary!$C$11))*('Dvd Calendar'!$I$692&lt;=MAX(DATE(Summary!$C$12,12,31),Summary!$C$15))*('Dvd Calendar'!$I$692&gt;Summary!$C$11)=0,"",'Dvd Calendar'!$I$692*1000000000+ISNUMBER('Dvd Calendar'!$I$693)*100000000+('Dvd Calendar'!$I$697='Field Check'!$C$25)*10000000+(N('Dvd Calendar'!$I$691)&gt;0)*1000000+46*1000+45))</f>
        <v/>
      </c>
      <c r="AV54" s="41">
        <f>IF(N('Dvd Calendar'!$J$692)=0,"",IF(('Dvd Calendar'!$J$692&gt;=MIN(DATE(Summary!$C$12,1,1),Summary!$C$11))*('Dvd Calendar'!$J$692&lt;=MAX(DATE(Summary!$C$12,12,31),Summary!$C$15))*('Dvd Calendar'!$J$692&gt;Summary!$C$11)=0,"",'Dvd Calendar'!$J$692*1000000000+ISNUMBER('Dvd Calendar'!$J$693)*100000000+('Dvd Calendar'!$J$697='Field Check'!$C$25)*10000000+(N('Dvd Calendar'!$J$691)&gt;0)*1000000+46*1000+46))</f>
        <v/>
      </c>
      <c r="AW54" s="41">
        <f>IF(N('Dvd Calendar'!$K$692)=0,"",IF(('Dvd Calendar'!$K$692&gt;=MIN(DATE(Summary!$C$12,1,1),Summary!$C$11))*('Dvd Calendar'!$K$692&lt;=MAX(DATE(Summary!$C$12,12,31),Summary!$C$15))*('Dvd Calendar'!$K$692&gt;Summary!$C$11)=0,"",'Dvd Calendar'!$K$692*1000000000+ISNUMBER('Dvd Calendar'!$K$693)*100000000+('Dvd Calendar'!$K$697='Field Check'!$C$25)*10000000+(N('Dvd Calendar'!$K$691)&gt;0)*1000000+46*1000+47))</f>
        <v/>
      </c>
      <c r="AX54" s="41">
        <f>IF(N('Dvd Calendar'!$L$692)=0,"",IF(('Dvd Calendar'!$L$692&gt;=MIN(DATE(Summary!$C$12,1,1),Summary!$C$11))*('Dvd Calendar'!$L$692&lt;=MAX(DATE(Summary!$C$12,12,31),Summary!$C$15))*('Dvd Calendar'!$L$692&gt;Summary!$C$11)=0,"",'Dvd Calendar'!$L$692*1000000000+ISNUMBER('Dvd Calendar'!$L$693)*100000000+('Dvd Calendar'!$L$697='Field Check'!$C$25)*10000000+(N('Dvd Calendar'!$L$691)&gt;0)*1000000+46*1000+48))</f>
        <v/>
      </c>
      <c r="AY54" s="41">
        <f>IF(N('Dvd Calendar'!$M$692)=0,"",IF(('Dvd Calendar'!$M$692&gt;=MIN(DATE(Summary!$C$12,1,1),Summary!$C$11))*('Dvd Calendar'!$M$692&lt;=MAX(DATE(Summary!$C$12,12,31),Summary!$C$15))*('Dvd Calendar'!$M$692&gt;Summary!$C$11)=0,"",'Dvd Calendar'!$M$692*1000000000+ISNUMBER('Dvd Calendar'!$M$693)*100000000+('Dvd Calendar'!$M$697='Field Check'!$C$25)*10000000+(N('Dvd Calendar'!$M$691)&gt;0)*1000000+46*1000+49))</f>
        <v/>
      </c>
      <c r="AZ54" s="41">
        <f>IF(N('Dvd Calendar'!$N$692)=0,"",IF(('Dvd Calendar'!$N$692&gt;=MIN(DATE(Summary!$C$12,1,1),Summary!$C$11))*('Dvd Calendar'!$N$692&lt;=MAX(DATE(Summary!$C$12,12,31),Summary!$C$15))*('Dvd Calendar'!$N$692&gt;Summary!$C$11)=0,"",'Dvd Calendar'!$N$692*1000000000+ISNUMBER('Dvd Calendar'!$N$693)*100000000+('Dvd Calendar'!$N$697='Field Check'!$C$25)*10000000+(N('Dvd Calendar'!$N$691)&gt;0)*1000000+46*1000+50))</f>
        <v/>
      </c>
      <c r="BA54" s="41">
        <f>IF(N('Dvd Calendar'!$O$692)=0,"",IF(('Dvd Calendar'!$O$692&gt;=MIN(DATE(Summary!$C$12,1,1),Summary!$C$11))*('Dvd Calendar'!$O$692&lt;=MAX(DATE(Summary!$C$12,12,31),Summary!$C$15))*('Dvd Calendar'!$O$692&gt;Summary!$C$11)=0,"",'Dvd Calendar'!$O$692*1000000000+ISNUMBER('Dvd Calendar'!$O$693)*100000000+('Dvd Calendar'!$O$697='Field Check'!$C$25)*10000000+(N('Dvd Calendar'!$O$691)&gt;0)*1000000+46*1000+51))</f>
        <v/>
      </c>
      <c r="BB54" s="41">
        <f>IF(N('Dvd Calendar'!$P$692)=0,"",IF(('Dvd Calendar'!$P$692&gt;=MIN(DATE(Summary!$C$12,1,1),Summary!$C$11))*('Dvd Calendar'!$P$692&lt;=MAX(DATE(Summary!$C$12,12,31),Summary!$C$15))*('Dvd Calendar'!$P$692&gt;Summary!$C$11)=0,"",'Dvd Calendar'!$P$692*1000000000+ISNUMBER('Dvd Calendar'!$P$693)*100000000+('Dvd Calendar'!$P$697='Field Check'!$C$25)*10000000+(N('Dvd Calendar'!$P$691)&gt;0)*1000000+46*1000+52))</f>
        <v/>
      </c>
      <c r="BC54" s="41">
        <f>IF(N('Dvd Calendar'!$Q$692)=0,"",IF(('Dvd Calendar'!$Q$692&gt;=MIN(DATE(Summary!$C$12,1,1),Summary!$C$11))*('Dvd Calendar'!$Q$692&lt;=MAX(DATE(Summary!$C$12,12,31),Summary!$C$15))*('Dvd Calendar'!$Q$692&gt;Summary!$C$11)=0,"",'Dvd Calendar'!$Q$692*1000000000+ISNUMBER('Dvd Calendar'!$Q$693)*100000000+('Dvd Calendar'!$Q$697='Field Check'!$C$25)*10000000+(N('Dvd Calendar'!$Q$691)&gt;0)*1000000+46*1000+53))</f>
        <v/>
      </c>
      <c r="BD54" s="41">
        <f>IF(N('Dvd Calendar'!$R$692)=0,"",IF(('Dvd Calendar'!$R$692&gt;=MIN(DATE(Summary!$C$12,1,1),Summary!$C$11))*('Dvd Calendar'!$R$692&lt;=MAX(DATE(Summary!$C$12,12,31),Summary!$C$15))*('Dvd Calendar'!$R$692&gt;Summary!$C$11)=0,"",'Dvd Calendar'!$R$692*1000000000+ISNUMBER('Dvd Calendar'!$R$693)*100000000+('Dvd Calendar'!$R$697='Field Check'!$C$25)*10000000+(N('Dvd Calendar'!$R$691)&gt;0)*1000000+46*1000+54))</f>
        <v/>
      </c>
      <c r="BE54" s="41">
        <f>IF(N('Dvd Calendar'!$S$692)=0,"",IF(('Dvd Calendar'!$S$692&gt;=MIN(DATE(Summary!$C$12,1,1),Summary!$C$11))*('Dvd Calendar'!$S$692&lt;=MAX(DATE(Summary!$C$12,12,31),Summary!$C$15))*('Dvd Calendar'!$S$692&gt;Summary!$C$11)=0,"",'Dvd Calendar'!$S$692*1000000000+ISNUMBER('Dvd Calendar'!$S$693)*100000000+('Dvd Calendar'!$S$697='Field Check'!$C$25)*10000000+(N('Dvd Calendar'!$S$691)&gt;0)*1000000+46*1000+55))</f>
        <v/>
      </c>
      <c r="BF54" s="41">
        <f>IF(N('Dvd Calendar'!$T$692)=0,"",IF(('Dvd Calendar'!$T$692&gt;=MIN(DATE(Summary!$C$12,1,1),Summary!$C$11))*('Dvd Calendar'!$T$692&lt;=MAX(DATE(Summary!$C$12,12,31),Summary!$C$15))*('Dvd Calendar'!$T$692&gt;Summary!$C$11)=0,"",'Dvd Calendar'!$T$692*1000000000+ISNUMBER('Dvd Calendar'!$T$693)*100000000+('Dvd Calendar'!$T$697='Field Check'!$C$25)*10000000+(N('Dvd Calendar'!$T$691)&gt;0)*1000000+46*1000+56))</f>
        <v/>
      </c>
      <c r="BG54" s="41">
        <f>IF(N('Dvd Calendar'!$U$692)=0,"",IF(('Dvd Calendar'!$U$692&gt;=MIN(DATE(Summary!$C$12,1,1),Summary!$C$11))*('Dvd Calendar'!$U$692&lt;=MAX(DATE(Summary!$C$12,12,31),Summary!$C$15))*('Dvd Calendar'!$U$692&gt;Summary!$C$11)=0,"",'Dvd Calendar'!$U$692*1000000000+ISNUMBER('Dvd Calendar'!$U$693)*100000000+('Dvd Calendar'!$U$697='Field Check'!$C$25)*10000000+(N('Dvd Calendar'!$U$691)&gt;0)*1000000+46*1000+57))</f>
        <v/>
      </c>
      <c r="BH54" s="41">
        <f>IF(N('Dvd Calendar'!$V$692)=0,"",IF(('Dvd Calendar'!$V$692&gt;=MIN(DATE(Summary!$C$12,1,1),Summary!$C$11))*('Dvd Calendar'!$V$692&lt;=MAX(DATE(Summary!$C$12,12,31),Summary!$C$15))*('Dvd Calendar'!$V$692&gt;Summary!$C$11)=0,"",'Dvd Calendar'!$V$692*1000000000+ISNUMBER('Dvd Calendar'!$V$693)*100000000+('Dvd Calendar'!$V$697='Field Check'!$C$25)*10000000+(N('Dvd Calendar'!$V$691)&gt;0)*1000000+46*1000+58))</f>
        <v/>
      </c>
      <c r="BI54" s="41">
        <f>IF(N('Dvd Calendar'!$W$692)=0,"",IF(('Dvd Calendar'!$W$692&gt;=MIN(DATE(Summary!$C$12,1,1),Summary!$C$11))*('Dvd Calendar'!$W$692&lt;=MAX(DATE(Summary!$C$12,12,31),Summary!$C$15))*('Dvd Calendar'!$W$692&gt;Summary!$C$11)=0,"",'Dvd Calendar'!$W$692*1000000000+ISNUMBER('Dvd Calendar'!$W$693)*100000000+('Dvd Calendar'!$W$697='Field Check'!$C$25)*10000000+(N('Dvd Calendar'!$W$691)&gt;0)*1000000+46*1000+59))</f>
        <v/>
      </c>
      <c r="BJ54" s="41">
        <f>IF(N('Dvd Calendar'!$X$692)=0,"",IF(('Dvd Calendar'!$X$692&gt;=MIN(DATE(Summary!$C$12,1,1),Summary!$C$11))*('Dvd Calendar'!$X$692&lt;=MAX(DATE(Summary!$C$12,12,31),Summary!$C$15))*('Dvd Calendar'!$X$692&gt;Summary!$C$11)=0,"",'Dvd Calendar'!$X$692*1000000000+ISNUMBER('Dvd Calendar'!$X$693)*100000000+('Dvd Calendar'!$X$697='Field Check'!$C$25)*10000000+(N('Dvd Calendar'!$X$691)&gt;0)*1000000+46*1000+60))</f>
        <v/>
      </c>
      <c r="BK54" s="41">
        <f>IF(N('Dvd Calendar'!$Y$692)=0,"",IF(('Dvd Calendar'!$Y$692&gt;=MIN(DATE(Summary!$C$12,1,1),Summary!$C$11))*('Dvd Calendar'!$Y$692&lt;=MAX(DATE(Summary!$C$12,12,31),Summary!$C$15))*('Dvd Calendar'!$Y$692&gt;Summary!$C$11)=0,"",'Dvd Calendar'!$Y$692*1000000000+ISNUMBER('Dvd Calendar'!$Y$693)*100000000+('Dvd Calendar'!$Y$697='Field Check'!$C$25)*10000000+(N('Dvd Calendar'!$Y$691)&gt;0)*1000000+46*1000+61))</f>
        <v/>
      </c>
      <c r="BL54" s="41">
        <f>IF(N('Dvd Calendar'!$Z$692)=0,"",IF(('Dvd Calendar'!$Z$692&gt;=MIN(DATE(Summary!$C$12,1,1),Summary!$C$11))*('Dvd Calendar'!$Z$692&lt;=MAX(DATE(Summary!$C$12,12,31),Summary!$C$15))*('Dvd Calendar'!$Z$692&gt;Summary!$C$11)=0,"",'Dvd Calendar'!$Z$692*1000000000+ISNUMBER('Dvd Calendar'!$Z$693)*100000000+('Dvd Calendar'!$Z$697='Field Check'!$C$25)*10000000+(N('Dvd Calendar'!$Z$691)&gt;0)*1000000+46*1000+62))</f>
        <v/>
      </c>
      <c r="BM54" s="41">
        <f>IF(N('Dvd Calendar'!$AA$692)=0,"",IF(('Dvd Calendar'!$AA$692&gt;=MIN(DATE(Summary!$C$12,1,1),Summary!$C$11))*('Dvd Calendar'!$AA$692&lt;=MAX(DATE(Summary!$C$12,12,31),Summary!$C$15))*('Dvd Calendar'!$AA$692&gt;Summary!$C$11)=0,"",'Dvd Calendar'!$AA$692*1000000000+ISNUMBER('Dvd Calendar'!$AA$693)*100000000+('Dvd Calendar'!$AA$697='Field Check'!$C$25)*10000000+(N('Dvd Calendar'!$AA$691)&gt;0)*1000000+46*1000+63))</f>
        <v/>
      </c>
      <c r="BN54" s="41">
        <f>IF(N('Dvd Calendar'!$AB$692)=0,"",IF(('Dvd Calendar'!$AB$692&gt;=MIN(DATE(Summary!$C$12,1,1),Summary!$C$11))*('Dvd Calendar'!$AB$692&lt;=MAX(DATE(Summary!$C$12,12,31),Summary!$C$15))*('Dvd Calendar'!$AB$692&gt;Summary!$C$11)=0,"",'Dvd Calendar'!$AB$692*1000000000+ISNUMBER('Dvd Calendar'!$AB$693)*100000000+('Dvd Calendar'!$AB$697='Field Check'!$C$25)*10000000+(N('Dvd Calendar'!$AB$691)&gt;0)*1000000+46*1000+64))</f>
        <v/>
      </c>
      <c r="BO54" s="41">
        <f>IF(N('Dvd Calendar'!$AC$692)=0,"",IF(('Dvd Calendar'!$AC$692&gt;=MIN(DATE(Summary!$C$12,1,1),Summary!$C$11))*('Dvd Calendar'!$AC$692&lt;=MAX(DATE(Summary!$C$12,12,31),Summary!$C$15))*('Dvd Calendar'!$AC$692&gt;Summary!$C$11)=0,"",'Dvd Calendar'!$AC$692*1000000000+ISNUMBER('Dvd Calendar'!$AC$693)*100000000+('Dvd Calendar'!$AC$697='Field Check'!$C$25)*10000000+(N('Dvd Calendar'!$AC$691)&gt;0)*1000000+46*1000+65))</f>
        <v/>
      </c>
      <c r="BQ54" s="85">
        <f>IF(C54="","",IF(ISNUMBER('Dvd Calendar'!$E$686)=FALSE,"",IF((Summary!$C$13="N")*('Dvd Calendar'!$E$690='Field Check'!$C$25)&gt;0,"",'Dvd Calendar'!$E$686)))</f>
        <v/>
      </c>
      <c r="BR54" s="85">
        <f>IF(D54="","",IF(ISNUMBER('Dvd Calendar'!$F$686)=FALSE,"",IF((Summary!$C$13="N")*('Dvd Calendar'!$F$690='Field Check'!$C$25)&gt;0,"",'Dvd Calendar'!$F$686)))</f>
        <v/>
      </c>
      <c r="BS54" s="85">
        <f>IF(E54="","",IF(ISNUMBER('Dvd Calendar'!$G$686)=FALSE,"",IF((Summary!$C$13="N")*('Dvd Calendar'!$G$690='Field Check'!$C$25)&gt;0,"",'Dvd Calendar'!$G$686)))</f>
        <v/>
      </c>
      <c r="BT54" s="85">
        <f>IF(F54="","",IF(ISNUMBER('Dvd Calendar'!$H$686)=FALSE,"",IF((Summary!$C$13="N")*('Dvd Calendar'!$H$690='Field Check'!$C$25)&gt;0,"",'Dvd Calendar'!$H$686)))</f>
        <v/>
      </c>
      <c r="BU54" s="85">
        <f>IF(G54="","",IF(ISNUMBER('Dvd Calendar'!$I$686)=FALSE,"",IF((Summary!$C$13="N")*('Dvd Calendar'!$I$690='Field Check'!$C$25)&gt;0,"",'Dvd Calendar'!$I$686)))</f>
        <v/>
      </c>
      <c r="BV54" s="85">
        <f>IF(H54="","",IF(ISNUMBER('Dvd Calendar'!$J$686)=FALSE,"",IF((Summary!$C$13="N")*('Dvd Calendar'!$J$690='Field Check'!$C$25)&gt;0,"",'Dvd Calendar'!$J$686)))</f>
        <v/>
      </c>
      <c r="BW54" s="85">
        <f>IF(I54="","",IF(ISNUMBER('Dvd Calendar'!$K$686)=FALSE,"",IF((Summary!$C$13="N")*('Dvd Calendar'!$K$690='Field Check'!$C$25)&gt;0,"",'Dvd Calendar'!$K$686)))</f>
        <v/>
      </c>
      <c r="BX54" s="85">
        <f>IF(J54="","",IF(ISNUMBER('Dvd Calendar'!$L$686)=FALSE,"",IF((Summary!$C$13="N")*('Dvd Calendar'!$L$690='Field Check'!$C$25)&gt;0,"",'Dvd Calendar'!$L$686)))</f>
        <v/>
      </c>
      <c r="BY54" s="85">
        <f>IF(K54="","",IF(ISNUMBER('Dvd Calendar'!$M$686)=FALSE,"",IF((Summary!$C$13="N")*('Dvd Calendar'!$M$690='Field Check'!$C$25)&gt;0,"",'Dvd Calendar'!$M$686)))</f>
        <v/>
      </c>
      <c r="BZ54" s="85">
        <f>IF(L54="","",IF(ISNUMBER('Dvd Calendar'!$N$686)=FALSE,"",IF((Summary!$C$13="N")*('Dvd Calendar'!$N$690='Field Check'!$C$25)&gt;0,"",'Dvd Calendar'!$N$686)))</f>
        <v/>
      </c>
      <c r="CA54" s="85">
        <f>IF(M54="","",IF(ISNUMBER('Dvd Calendar'!$O$686)=FALSE,"",IF((Summary!$C$13="N")*('Dvd Calendar'!$O$690='Field Check'!$C$25)&gt;0,"",'Dvd Calendar'!$O$686)))</f>
        <v/>
      </c>
      <c r="CB54" s="85">
        <f>IF(N54="","",IF(ISNUMBER('Dvd Calendar'!$P$686)=FALSE,"",IF((Summary!$C$13="N")*('Dvd Calendar'!$P$690='Field Check'!$C$25)&gt;0,"",'Dvd Calendar'!$P$686)))</f>
        <v/>
      </c>
      <c r="CC54" s="85">
        <f>IF(O54="","",IF(ISNUMBER('Dvd Calendar'!$Q$686)=FALSE,"",IF((Summary!$C$13="N")*('Dvd Calendar'!$Q$690='Field Check'!$C$25)&gt;0,"",'Dvd Calendar'!$Q$686)))</f>
        <v/>
      </c>
      <c r="CD54" s="85">
        <f>IF(P54="","",IF(ISNUMBER('Dvd Calendar'!$R$686)=FALSE,"",IF((Summary!$C$13="N")*('Dvd Calendar'!$R$690='Field Check'!$C$25)&gt;0,"",'Dvd Calendar'!$R$686)))</f>
        <v/>
      </c>
      <c r="CE54" s="85">
        <f>IF(Q54="","",IF(ISNUMBER('Dvd Calendar'!$S$686)=FALSE,"",IF((Summary!$C$13="N")*('Dvd Calendar'!$S$690='Field Check'!$C$25)&gt;0,"",'Dvd Calendar'!$S$686)))</f>
        <v/>
      </c>
      <c r="CF54" s="85">
        <f>IF(R54="","",IF(ISNUMBER('Dvd Calendar'!$T$686)=FALSE,"",IF((Summary!$C$13="N")*('Dvd Calendar'!$T$690='Field Check'!$C$25)&gt;0,"",'Dvd Calendar'!$T$686)))</f>
        <v/>
      </c>
      <c r="CG54" s="85">
        <f>IF(S54="","",IF(ISNUMBER('Dvd Calendar'!$U$686)=FALSE,"",IF((Summary!$C$13="N")*('Dvd Calendar'!$U$690='Field Check'!$C$25)&gt;0,"",'Dvd Calendar'!$U$686)))</f>
        <v/>
      </c>
      <c r="CH54" s="85">
        <f>IF(T54="","",IF(ISNUMBER('Dvd Calendar'!$V$686)=FALSE,"",IF((Summary!$C$13="N")*('Dvd Calendar'!$V$690='Field Check'!$C$25)&gt;0,"",'Dvd Calendar'!$V$686)))</f>
        <v/>
      </c>
      <c r="CI54" s="85">
        <f>IF(U54="","",IF(ISNUMBER('Dvd Calendar'!$W$686)=FALSE,"",IF((Summary!$C$13="N")*('Dvd Calendar'!$W$690='Field Check'!$C$25)&gt;0,"",'Dvd Calendar'!$W$686)))</f>
        <v/>
      </c>
      <c r="CJ54" s="85">
        <f>IF(V54="","",IF(ISNUMBER('Dvd Calendar'!$X$686)=FALSE,"",IF((Summary!$C$13="N")*('Dvd Calendar'!$X$690='Field Check'!$C$25)&gt;0,"",'Dvd Calendar'!$X$686)))</f>
        <v/>
      </c>
      <c r="CK54" s="85">
        <f>IF(W54="","",IF(ISNUMBER('Dvd Calendar'!$Y$686)=FALSE,"",IF((Summary!$C$13="N")*('Dvd Calendar'!$Y$690='Field Check'!$C$25)&gt;0,"",'Dvd Calendar'!$Y$686)))</f>
        <v/>
      </c>
      <c r="CL54" s="85">
        <f>IF(X54="","",IF(ISNUMBER('Dvd Calendar'!$Z$686)=FALSE,"",IF((Summary!$C$13="N")*('Dvd Calendar'!$Z$690='Field Check'!$C$25)&gt;0,"",'Dvd Calendar'!$Z$686)))</f>
        <v/>
      </c>
      <c r="CM54" s="85">
        <f>IF(Y54="","",IF(ISNUMBER('Dvd Calendar'!$AA$686)=FALSE,"",IF((Summary!$C$13="N")*('Dvd Calendar'!$AA$690='Field Check'!$C$25)&gt;0,"",'Dvd Calendar'!$AA$686)))</f>
        <v/>
      </c>
      <c r="CN54" s="85">
        <f>IF(Z54="","",IF(ISNUMBER('Dvd Calendar'!$AB$686)=FALSE,"",IF((Summary!$C$13="N")*('Dvd Calendar'!$AB$690='Field Check'!$C$25)&gt;0,"",'Dvd Calendar'!$AB$686)))</f>
        <v/>
      </c>
      <c r="CO54" s="85">
        <f>IF(AA54="","",IF(ISNUMBER('Dvd Calendar'!$AC$686)=FALSE,"",IF((Summary!$C$13="N")*('Dvd Calendar'!$AC$690='Field Check'!$C$25)&gt;0,"",'Dvd Calendar'!$AC$686)))</f>
        <v/>
      </c>
      <c r="CP54" s="85">
        <f>IF(AB54="","",IF(ISNUMBER('Dvd Calendar'!$AD$686)=FALSE,"",IF((Summary!$C$13="N")*('Dvd Calendar'!$AD$690='Field Check'!$C$25)&gt;0,"",'Dvd Calendar'!$AD$686)))</f>
        <v/>
      </c>
      <c r="CQ54" s="85">
        <f>IF(AC54="","",IF(ISNUMBER('Dvd Calendar'!$AE$686)=FALSE,"",IF((Summary!$C$13="N")*('Dvd Calendar'!$AE$690='Field Check'!$C$25)&gt;0,"",'Dvd Calendar'!$AE$686)))</f>
        <v/>
      </c>
      <c r="CR54" s="85">
        <f>IF(AD54="","",IF(ISNUMBER('Dvd Calendar'!$AF$686)=FALSE,"",IF((Summary!$C$13="N")*('Dvd Calendar'!$AF$690='Field Check'!$C$25)&gt;0,"",'Dvd Calendar'!$AF$686)))</f>
        <v/>
      </c>
      <c r="CS54" s="85">
        <f>IF(AE54="","",IF(ISNUMBER('Dvd Calendar'!$AG$686)=FALSE,"",IF((Summary!$C$13="N")*('Dvd Calendar'!$AG$690='Field Check'!$C$25)&gt;0,"",'Dvd Calendar'!$AG$686)))</f>
        <v/>
      </c>
      <c r="CT54" s="85">
        <f>IF(AF54="","",IF(ISNUMBER('Dvd Calendar'!$AH$686)=FALSE,"",IF((Summary!$C$13="N")*('Dvd Calendar'!$AH$690='Field Check'!$C$25)&gt;0,"",'Dvd Calendar'!$AH$686)))</f>
        <v/>
      </c>
      <c r="CU54" s="85">
        <f>IF(AG54="","",IF(ISNUMBER('Dvd Calendar'!$AI$686)=FALSE,"",IF((Summary!$C$13="N")*('Dvd Calendar'!$AI$690='Field Check'!$C$25)&gt;0,"",'Dvd Calendar'!$AI$686)))</f>
        <v/>
      </c>
      <c r="CV54" s="85">
        <f>IF(AH54="","",IF(ISNUMBER('Dvd Calendar'!$AJ$686)=FALSE,"",IF((Summary!$C$13="N")*('Dvd Calendar'!$AJ$690='Field Check'!$C$25)&gt;0,"",'Dvd Calendar'!$AJ$686)))</f>
        <v/>
      </c>
      <c r="CW54" s="85">
        <f>IF(AI54="","",IF(ISNUMBER('Dvd Calendar'!$AK$686)=FALSE,"",IF((Summary!$C$13="N")*('Dvd Calendar'!$AK$690='Field Check'!$C$25)&gt;0,"",'Dvd Calendar'!$AK$686)))</f>
        <v/>
      </c>
      <c r="CX54" s="85">
        <f>IF(AJ54="","",IF(ISNUMBER('Dvd Calendar'!$AL$686)=FALSE,"",IF((Summary!$C$13="N")*('Dvd Calendar'!$AL$690='Field Check'!$C$25)&gt;0,"",'Dvd Calendar'!$AL$686)))</f>
        <v/>
      </c>
      <c r="CY54" s="85">
        <f>IF(AK54="","",IF(ISNUMBER('Dvd Calendar'!$AM$686)=FALSE,"",IF((Summary!$C$13="N")*('Dvd Calendar'!$AM$690='Field Check'!$C$25)&gt;0,"",'Dvd Calendar'!$AM$686)))</f>
        <v/>
      </c>
      <c r="CZ54" s="85">
        <f>IF(AL54="","",IF(ISNUMBER('Dvd Calendar'!$AN$686)=FALSE,"",IF((Summary!$C$13="N")*('Dvd Calendar'!$AN$690='Field Check'!$C$25)&gt;0,"",'Dvd Calendar'!$AN$686)))</f>
        <v/>
      </c>
      <c r="DA54" s="85">
        <f>IF(AM54="","",IF(ISNUMBER('Dvd Calendar'!$AO$686)=FALSE,"",IF((Summary!$C$13="N")*('Dvd Calendar'!$AO$690='Field Check'!$C$25)&gt;0,"",'Dvd Calendar'!$AO$686)))</f>
        <v/>
      </c>
      <c r="DB54" s="85">
        <f>IF(AN54="","",IF(ISNUMBER('Dvd Calendar'!$AP$686)=FALSE,"",IF((Summary!$C$13="N")*('Dvd Calendar'!$AP$690='Field Check'!$C$25)&gt;0,"",'Dvd Calendar'!$AP$686)))</f>
        <v/>
      </c>
      <c r="DC54" s="85">
        <f>IF(AO54="","",IF(ISNUMBER('Dvd Calendar'!$AQ$686)=FALSE,"",IF((Summary!$C$13="N")*('Dvd Calendar'!$AQ$690='Field Check'!$C$25)&gt;0,"",'Dvd Calendar'!$AQ$686)))</f>
        <v/>
      </c>
      <c r="DD54" s="85">
        <f>IF(AP54="","",IF(ISNUMBER('Dvd Calendar'!$AR$686)=FALSE,"",IF((Summary!$C$13="N")*('Dvd Calendar'!$AR$690='Field Check'!$C$25)&gt;0,"",'Dvd Calendar'!$AR$686)))</f>
        <v/>
      </c>
      <c r="DE54" s="85">
        <f>IF(AQ54="","",IF(ISNUMBER('Dvd Calendar'!$E$693)=FALSE,"",IF((Summary!$C$13="N")*('Dvd Calendar'!$E$697='Field Check'!$C$25)&gt;0,"",'Dvd Calendar'!$E$693)))</f>
        <v/>
      </c>
      <c r="DF54" s="85">
        <f>IF(AR54="","",IF(ISNUMBER('Dvd Calendar'!$F$693)=FALSE,"",IF((Summary!$C$13="N")*('Dvd Calendar'!$F$697='Field Check'!$C$25)&gt;0,"",'Dvd Calendar'!$F$693)))</f>
        <v/>
      </c>
      <c r="DG54" s="85">
        <f>IF(AS54="","",IF(ISNUMBER('Dvd Calendar'!$G$693)=FALSE,"",IF((Summary!$C$13="N")*('Dvd Calendar'!$G$697='Field Check'!$C$25)&gt;0,"",'Dvd Calendar'!$G$693)))</f>
        <v/>
      </c>
      <c r="DH54" s="85">
        <f>IF(AT54="","",IF(ISNUMBER('Dvd Calendar'!$H$693)=FALSE,"",IF((Summary!$C$13="N")*('Dvd Calendar'!$H$697='Field Check'!$C$25)&gt;0,"",'Dvd Calendar'!$H$693)))</f>
        <v/>
      </c>
      <c r="DI54" s="85">
        <f>IF(AU54="","",IF(ISNUMBER('Dvd Calendar'!$I$693)=FALSE,"",IF((Summary!$C$13="N")*('Dvd Calendar'!$I$697='Field Check'!$C$25)&gt;0,"",'Dvd Calendar'!$I$693)))</f>
        <v/>
      </c>
      <c r="DJ54" s="85">
        <f>IF(AV54="","",IF(ISNUMBER('Dvd Calendar'!$J$693)=FALSE,"",IF((Summary!$C$13="N")*('Dvd Calendar'!$J$697='Field Check'!$C$25)&gt;0,"",'Dvd Calendar'!$J$693)))</f>
        <v/>
      </c>
      <c r="DK54" s="85">
        <f>IF(AW54="","",IF(ISNUMBER('Dvd Calendar'!$K$693)=FALSE,"",IF((Summary!$C$13="N")*('Dvd Calendar'!$K$697='Field Check'!$C$25)&gt;0,"",'Dvd Calendar'!$K$693)))</f>
        <v/>
      </c>
      <c r="DL54" s="85">
        <f>IF(AX54="","",IF(ISNUMBER('Dvd Calendar'!$L$693)=FALSE,"",IF((Summary!$C$13="N")*('Dvd Calendar'!$L$697='Field Check'!$C$25)&gt;0,"",'Dvd Calendar'!$L$693)))</f>
        <v/>
      </c>
      <c r="DM54" s="85">
        <f>IF(AY54="","",IF(ISNUMBER('Dvd Calendar'!$M$693)=FALSE,"",IF((Summary!$C$13="N")*('Dvd Calendar'!$M$697='Field Check'!$C$25)&gt;0,"",'Dvd Calendar'!$M$693)))</f>
        <v/>
      </c>
      <c r="DN54" s="85">
        <f>IF(AZ54="","",IF(ISNUMBER('Dvd Calendar'!$N$693)=FALSE,"",IF((Summary!$C$13="N")*('Dvd Calendar'!$N$697='Field Check'!$C$25)&gt;0,"",'Dvd Calendar'!$N$693)))</f>
        <v/>
      </c>
      <c r="DO54" s="85">
        <f>IF(BA54="","",IF(ISNUMBER('Dvd Calendar'!$O$693)=FALSE,"",IF((Summary!$C$13="N")*('Dvd Calendar'!$O$697='Field Check'!$C$25)&gt;0,"",'Dvd Calendar'!$O$693)))</f>
        <v/>
      </c>
      <c r="DP54" s="85">
        <f>IF(BB54="","",IF(ISNUMBER('Dvd Calendar'!$P$693)=FALSE,"",IF((Summary!$C$13="N")*('Dvd Calendar'!$P$697='Field Check'!$C$25)&gt;0,"",'Dvd Calendar'!$P$693)))</f>
        <v/>
      </c>
      <c r="DQ54" s="85">
        <f>IF(BC54="","",IF(ISNUMBER('Dvd Calendar'!$Q$693)=FALSE,"",IF((Summary!$C$13="N")*('Dvd Calendar'!$Q$697='Field Check'!$C$25)&gt;0,"",'Dvd Calendar'!$Q$693)))</f>
        <v/>
      </c>
      <c r="DR54" s="85">
        <f>IF(BD54="","",IF(ISNUMBER('Dvd Calendar'!$R$693)=FALSE,"",IF((Summary!$C$13="N")*('Dvd Calendar'!$R$697='Field Check'!$C$25)&gt;0,"",'Dvd Calendar'!$R$693)))</f>
        <v/>
      </c>
      <c r="DS54" s="85">
        <f>IF(BE54="","",IF(ISNUMBER('Dvd Calendar'!$S$693)=FALSE,"",IF((Summary!$C$13="N")*('Dvd Calendar'!$S$697='Field Check'!$C$25)&gt;0,"",'Dvd Calendar'!$S$693)))</f>
        <v/>
      </c>
      <c r="DT54" s="85">
        <f>IF(BF54="","",IF(ISNUMBER('Dvd Calendar'!$T$693)=FALSE,"",IF((Summary!$C$13="N")*('Dvd Calendar'!$T$697='Field Check'!$C$25)&gt;0,"",'Dvd Calendar'!$T$693)))</f>
        <v/>
      </c>
      <c r="DU54" s="85">
        <f>IF(BG54="","",IF(ISNUMBER('Dvd Calendar'!$U$693)=FALSE,"",IF((Summary!$C$13="N")*('Dvd Calendar'!$U$697='Field Check'!$C$25)&gt;0,"",'Dvd Calendar'!$U$693)))</f>
        <v/>
      </c>
      <c r="DV54" s="85">
        <f>IF(BH54="","",IF(ISNUMBER('Dvd Calendar'!$V$693)=FALSE,"",IF((Summary!$C$13="N")*('Dvd Calendar'!$V$697='Field Check'!$C$25)&gt;0,"",'Dvd Calendar'!$V$693)))</f>
        <v/>
      </c>
      <c r="DW54" s="85">
        <f>IF(BI54="","",IF(ISNUMBER('Dvd Calendar'!$W$693)=FALSE,"",IF((Summary!$C$13="N")*('Dvd Calendar'!$W$697='Field Check'!$C$25)&gt;0,"",'Dvd Calendar'!$W$693)))</f>
        <v/>
      </c>
      <c r="DX54" s="85">
        <f>IF(BJ54="","",IF(ISNUMBER('Dvd Calendar'!$X$693)=FALSE,"",IF((Summary!$C$13="N")*('Dvd Calendar'!$X$697='Field Check'!$C$25)&gt;0,"",'Dvd Calendar'!$X$693)))</f>
        <v/>
      </c>
      <c r="DY54" s="85">
        <f>IF(BK54="","",IF(ISNUMBER('Dvd Calendar'!$Y$693)=FALSE,"",IF((Summary!$C$13="N")*('Dvd Calendar'!$Y$697='Field Check'!$C$25)&gt;0,"",'Dvd Calendar'!$Y$693)))</f>
        <v/>
      </c>
      <c r="DZ54" s="85">
        <f>IF(BL54="","",IF(ISNUMBER('Dvd Calendar'!$Z$693)=FALSE,"",IF((Summary!$C$13="N")*('Dvd Calendar'!$Z$697='Field Check'!$C$25)&gt;0,"",'Dvd Calendar'!$Z$693)))</f>
        <v/>
      </c>
      <c r="EA54" s="85">
        <f>IF(BM54="","",IF(ISNUMBER('Dvd Calendar'!$AA$693)=FALSE,"",IF((Summary!$C$13="N")*('Dvd Calendar'!$AA$697='Field Check'!$C$25)&gt;0,"",'Dvd Calendar'!$AA$693)))</f>
        <v/>
      </c>
      <c r="EB54" s="85">
        <f>IF(BN54="","",IF(ISNUMBER('Dvd Calendar'!$AB$693)=FALSE,"",IF((Summary!$C$13="N")*('Dvd Calendar'!$AB$697='Field Check'!$C$25)&gt;0,"",'Dvd Calendar'!$AB$693)))</f>
        <v/>
      </c>
      <c r="EC54" s="85">
        <f>IF(BO54="","",IF(ISNUMBER('Dvd Calendar'!$AC$693)=FALSE,"",IF((Summary!$C$13="N")*('Dvd Calendar'!$AC$697='Field Check'!$C$25)&gt;0,"",'Dvd Calendar'!$AC$693)))</f>
        <v/>
      </c>
      <c r="EE54" s="85">
        <f>IF(BQ54="","",IFERROR(BQ54*HSI!$B$52*HSI!$G$52/HSI!$B$3,""))</f>
        <v/>
      </c>
      <c r="EF54" s="85">
        <f>IF(BR54="","",IFERROR(BR54*HSI!$B$52*HSI!$G$52/HSI!$B$3,""))</f>
        <v/>
      </c>
      <c r="EG54" s="85">
        <f>IF(BS54="","",IFERROR(BS54*HSI!$B$52*HSI!$G$52/HSI!$B$3,""))</f>
        <v/>
      </c>
      <c r="EH54" s="85">
        <f>IF(BT54="","",IFERROR(BT54*HSI!$B$52*HSI!$G$52/HSI!$B$3,""))</f>
        <v/>
      </c>
      <c r="EI54" s="85">
        <f>IF(BU54="","",IFERROR(BU54*HSI!$B$52*HSI!$G$52/HSI!$B$3,""))</f>
        <v/>
      </c>
      <c r="EJ54" s="85">
        <f>IF(BV54="","",IFERROR(BV54*HSI!$B$52*HSI!$G$52/HSI!$B$3,""))</f>
        <v/>
      </c>
      <c r="EK54" s="85">
        <f>IF(BW54="","",IFERROR(BW54*HSI!$B$52*HSI!$G$52/HSI!$B$3,""))</f>
        <v/>
      </c>
      <c r="EL54" s="85">
        <f>IF(BX54="","",IFERROR(BX54*HSI!$B$52*HSI!$G$52/HSI!$B$3,""))</f>
        <v/>
      </c>
      <c r="EM54" s="85">
        <f>IF(BY54="","",IFERROR(BY54*HSI!$B$52*HSI!$G$52/HSI!$B$3,""))</f>
        <v/>
      </c>
      <c r="EN54" s="85">
        <f>IF(BZ54="","",IFERROR(BZ54*HSI!$B$52*HSI!$G$52/HSI!$B$3,""))</f>
        <v/>
      </c>
      <c r="EO54" s="85">
        <f>IF(CA54="","",IFERROR(CA54*HSI!$B$52*HSI!$G$52/HSI!$B$3,""))</f>
        <v/>
      </c>
      <c r="EP54" s="85">
        <f>IF(CB54="","",IFERROR(CB54*HSI!$B$52*HSI!$G$52/HSI!$B$3,""))</f>
        <v/>
      </c>
      <c r="EQ54" s="85">
        <f>IF(CC54="","",IFERROR(CC54*HSI!$B$52*HSI!$G$52/HSI!$B$3,""))</f>
        <v/>
      </c>
      <c r="ER54" s="85">
        <f>IF(CD54="","",IFERROR(CD54*HSI!$B$52*HSI!$G$52/HSI!$B$3,""))</f>
        <v/>
      </c>
      <c r="ES54" s="85">
        <f>IF(CE54="","",IFERROR(CE54*HSI!$B$52*HSI!$G$52/HSI!$B$3,""))</f>
        <v/>
      </c>
      <c r="ET54" s="85">
        <f>IF(CF54="","",IFERROR(CF54*HSI!$B$52*HSI!$G$52/HSI!$B$3,""))</f>
        <v/>
      </c>
      <c r="EU54" s="85">
        <f>IF(CG54="","",IFERROR(CG54*HSI!$B$52*HSI!$G$52/HSI!$B$3,""))</f>
        <v/>
      </c>
      <c r="EV54" s="85">
        <f>IF(CH54="","",IFERROR(CH54*HSI!$B$52*HSI!$G$52/HSI!$B$3,""))</f>
        <v/>
      </c>
      <c r="EW54" s="85">
        <f>IF(CI54="","",IFERROR(CI54*HSI!$B$52*HSI!$G$52/HSI!$B$3,""))</f>
        <v/>
      </c>
      <c r="EX54" s="85">
        <f>IF(CJ54="","",IFERROR(CJ54*HSI!$B$52*HSI!$G$52/HSI!$B$3,""))</f>
        <v/>
      </c>
      <c r="EY54" s="85">
        <f>IF(CK54="","",IFERROR(CK54*HSI!$B$52*HSI!$G$52/HSI!$B$3,""))</f>
        <v/>
      </c>
      <c r="EZ54" s="85">
        <f>IF(CL54="","",IFERROR(CL54*HSI!$B$52*HSI!$G$52/HSI!$B$3,""))</f>
        <v/>
      </c>
      <c r="FA54" s="85">
        <f>IF(CM54="","",IFERROR(CM54*HSI!$B$52*HSI!$G$52/HSI!$B$3,""))</f>
        <v/>
      </c>
      <c r="FB54" s="85">
        <f>IF(CN54="","",IFERROR(CN54*HSI!$B$52*HSI!$G$52/HSI!$B$3,""))</f>
        <v/>
      </c>
      <c r="FC54" s="85">
        <f>IF(CO54="","",IFERROR(CO54*HSI!$B$52*HSI!$G$52/HSI!$B$3,""))</f>
        <v/>
      </c>
      <c r="FD54" s="85">
        <f>IF(CP54="","",IFERROR(CP54*HSI!$B$52*HSI!$G$52/HSI!$B$3,""))</f>
        <v/>
      </c>
      <c r="FE54" s="85">
        <f>IF(CQ54="","",IFERROR(CQ54*HSI!$B$52*HSI!$G$52/HSI!$B$3,""))</f>
        <v/>
      </c>
      <c r="FF54" s="85">
        <f>IF(CR54="","",IFERROR(CR54*HSI!$B$52*HSI!$G$52/HSI!$B$3,""))</f>
        <v/>
      </c>
      <c r="FG54" s="85">
        <f>IF(CS54="","",IFERROR(CS54*HSI!$B$52*HSI!$G$52/HSI!$B$3,""))</f>
        <v/>
      </c>
      <c r="FH54" s="85">
        <f>IF(CT54="","",IFERROR(CT54*HSI!$B$52*HSI!$G$52/HSI!$B$3,""))</f>
        <v/>
      </c>
      <c r="FI54" s="85">
        <f>IF(CU54="","",IFERROR(CU54*HSI!$B$52*HSI!$G$52/HSI!$B$3,""))</f>
        <v/>
      </c>
      <c r="FJ54" s="85">
        <f>IF(CV54="","",IFERROR(CV54*HSI!$B$52*HSI!$G$52/HSI!$B$3,""))</f>
        <v/>
      </c>
      <c r="FK54" s="85">
        <f>IF(CW54="","",IFERROR(CW54*HSI!$B$52*HSI!$G$52/HSI!$B$3,""))</f>
        <v/>
      </c>
      <c r="FL54" s="85">
        <f>IF(CX54="","",IFERROR(CX54*HSI!$B$52*HSI!$G$52/HSI!$B$3,""))</f>
        <v/>
      </c>
      <c r="FM54" s="85">
        <f>IF(CY54="","",IFERROR(CY54*HSI!$B$52*HSI!$G$52/HSI!$B$3,""))</f>
        <v/>
      </c>
      <c r="FN54" s="85">
        <f>IF(CZ54="","",IFERROR(CZ54*HSI!$B$52*HSI!$G$52/HSI!$B$3,""))</f>
        <v/>
      </c>
      <c r="FO54" s="85">
        <f>IF(DA54="","",IFERROR(DA54*HSI!$B$52*HSI!$G$52/HSI!$B$3,""))</f>
        <v/>
      </c>
      <c r="FP54" s="85">
        <f>IF(DB54="","",IFERROR(DB54*HSI!$B$52*HSI!$G$52/HSI!$B$3,""))</f>
        <v/>
      </c>
      <c r="FQ54" s="85">
        <f>IF(DC54="","",IFERROR(DC54*HSI!$B$52*HSI!$G$52/HSI!$B$3,""))</f>
        <v/>
      </c>
      <c r="FR54" s="85">
        <f>IF(DD54="","",IFERROR(DD54*HSI!$B$52*HSI!$G$52/HSI!$B$3,""))</f>
        <v/>
      </c>
      <c r="FS54" s="85">
        <f>IF(DE54="","",IFERROR(DE54*HSI!$B$52*HSI!$G$52/HSI!$B$3,""))</f>
        <v/>
      </c>
      <c r="FT54" s="85">
        <f>IF(DF54="","",IFERROR(DF54*HSI!$B$52*HSI!$G$52/HSI!$B$3,""))</f>
        <v/>
      </c>
      <c r="FU54" s="85">
        <f>IF(DG54="","",IFERROR(DG54*HSI!$B$52*HSI!$G$52/HSI!$B$3,""))</f>
        <v/>
      </c>
      <c r="FV54" s="85">
        <f>IF(DH54="","",IFERROR(DH54*HSI!$B$52*HSI!$G$52/HSI!$B$3,""))</f>
        <v/>
      </c>
      <c r="FW54" s="85">
        <f>IF(DI54="","",IFERROR(DI54*HSI!$B$52*HSI!$G$52/HSI!$B$3,""))</f>
        <v/>
      </c>
      <c r="FX54" s="85">
        <f>IF(DJ54="","",IFERROR(DJ54*HSI!$B$52*HSI!$G$52/HSI!$B$3,""))</f>
        <v/>
      </c>
      <c r="FY54" s="85">
        <f>IF(DK54="","",IFERROR(DK54*HSI!$B$52*HSI!$G$52/HSI!$B$3,""))</f>
        <v/>
      </c>
      <c r="FZ54" s="85">
        <f>IF(DL54="","",IFERROR(DL54*HSI!$B$52*HSI!$G$52/HSI!$B$3,""))</f>
        <v/>
      </c>
      <c r="GA54" s="85">
        <f>IF(DM54="","",IFERROR(DM54*HSI!$B$52*HSI!$G$52/HSI!$B$3,""))</f>
        <v/>
      </c>
      <c r="GB54" s="85">
        <f>IF(DN54="","",IFERROR(DN54*HSI!$B$52*HSI!$G$52/HSI!$B$3,""))</f>
        <v/>
      </c>
      <c r="GC54" s="85">
        <f>IF(DO54="","",IFERROR(DO54*HSI!$B$52*HSI!$G$52/HSI!$B$3,""))</f>
        <v/>
      </c>
      <c r="GD54" s="85">
        <f>IF(DP54="","",IFERROR(DP54*HSI!$B$52*HSI!$G$52/HSI!$B$3,""))</f>
        <v/>
      </c>
      <c r="GE54" s="85">
        <f>IF(DQ54="","",IFERROR(DQ54*HSI!$B$52*HSI!$G$52/HSI!$B$3,""))</f>
        <v/>
      </c>
      <c r="GF54" s="85">
        <f>IF(DR54="","",IFERROR(DR54*HSI!$B$52*HSI!$G$52/HSI!$B$3,""))</f>
        <v/>
      </c>
      <c r="GG54" s="85">
        <f>IF(DS54="","",IFERROR(DS54*HSI!$B$52*HSI!$G$52/HSI!$B$3,""))</f>
        <v/>
      </c>
      <c r="GH54" s="85">
        <f>IF(DT54="","",IFERROR(DT54*HSI!$B$52*HSI!$G$52/HSI!$B$3,""))</f>
        <v/>
      </c>
      <c r="GI54" s="85">
        <f>IF(DU54="","",IFERROR(DU54*HSI!$B$52*HSI!$G$52/HSI!$B$3,""))</f>
        <v/>
      </c>
      <c r="GJ54" s="85">
        <f>IF(DV54="","",IFERROR(DV54*HSI!$B$52*HSI!$G$52/HSI!$B$3,""))</f>
        <v/>
      </c>
      <c r="GK54" s="85">
        <f>IF(DW54="","",IFERROR(DW54*HSI!$B$52*HSI!$G$52/HSI!$B$3,""))</f>
        <v/>
      </c>
      <c r="GL54" s="85">
        <f>IF(DX54="","",IFERROR(DX54*HSI!$B$52*HSI!$G$52/HSI!$B$3,""))</f>
        <v/>
      </c>
      <c r="GM54" s="85">
        <f>IF(DY54="","",IFERROR(DY54*HSI!$B$52*HSI!$G$52/HSI!$B$3,""))</f>
        <v/>
      </c>
      <c r="GN54" s="85">
        <f>IF(DZ54="","",IFERROR(DZ54*HSI!$B$52*HSI!$G$52/HSI!$B$3,""))</f>
        <v/>
      </c>
      <c r="GO54" s="85">
        <f>IF(EA54="","",IFERROR(EA54*HSI!$B$52*HSI!$G$52/HSI!$B$3,""))</f>
        <v/>
      </c>
      <c r="GP54" s="85">
        <f>IF(EB54="","",IFERROR(EB54*HSI!$B$52*HSI!$G$52/HSI!$B$3,""))</f>
        <v/>
      </c>
      <c r="GQ54" s="85">
        <f>IF(EC54="","",IFERROR(EC54*HSI!$B$52*HSI!$G$52/HSI!$B$3,""))</f>
        <v/>
      </c>
    </row>
    <row r="55">
      <c r="B55" s="2">
        <f>IF(HSI!$C$53="","",HSI!$C$53)</f>
        <v/>
      </c>
      <c r="C55" s="41">
        <f>IF(N('Dvd Calendar'!$E$700)=0,"",IF(('Dvd Calendar'!$E$700&gt;=MIN(DATE(Summary!$C$12,1,1),Summary!$C$11))*('Dvd Calendar'!$E$700&lt;=MAX(DATE(Summary!$C$12,12,31),Summary!$C$15))*('Dvd Calendar'!$E$700&lt;=Summary!$C$11)=0,"",'Dvd Calendar'!$E$700*1000000000+ISNUMBER('Dvd Calendar'!$E$701)*100000000+('Dvd Calendar'!$E$705='Field Check'!$C$25)*10000000+(N('Dvd Calendar'!$E$699)&gt;0)*1000000+47*1000+1))</f>
        <v/>
      </c>
      <c r="D55" s="41">
        <f>IF(N('Dvd Calendar'!$F$700)=0,"",IF(('Dvd Calendar'!$F$700&gt;=MIN(DATE(Summary!$C$12,1,1),Summary!$C$11))*('Dvd Calendar'!$F$700&lt;=MAX(DATE(Summary!$C$12,12,31),Summary!$C$15))*('Dvd Calendar'!$F$700&lt;=Summary!$C$11)=0,"",'Dvd Calendar'!$F$700*1000000000+ISNUMBER('Dvd Calendar'!$F$701)*100000000+('Dvd Calendar'!$F$705='Field Check'!$C$25)*10000000+(N('Dvd Calendar'!$F$699)&gt;0)*1000000+47*1000+2))</f>
        <v/>
      </c>
      <c r="E55" s="41">
        <f>IF(N('Dvd Calendar'!$G$700)=0,"",IF(('Dvd Calendar'!$G$700&gt;=MIN(DATE(Summary!$C$12,1,1),Summary!$C$11))*('Dvd Calendar'!$G$700&lt;=MAX(DATE(Summary!$C$12,12,31),Summary!$C$15))*('Dvd Calendar'!$G$700&lt;=Summary!$C$11)=0,"",'Dvd Calendar'!$G$700*1000000000+ISNUMBER('Dvd Calendar'!$G$701)*100000000+('Dvd Calendar'!$G$705='Field Check'!$C$25)*10000000+(N('Dvd Calendar'!$G$699)&gt;0)*1000000+47*1000+3))</f>
        <v/>
      </c>
      <c r="F55" s="41">
        <f>IF(N('Dvd Calendar'!$H$700)=0,"",IF(('Dvd Calendar'!$H$700&gt;=MIN(DATE(Summary!$C$12,1,1),Summary!$C$11))*('Dvd Calendar'!$H$700&lt;=MAX(DATE(Summary!$C$12,12,31),Summary!$C$15))*('Dvd Calendar'!$H$700&lt;=Summary!$C$11)=0,"",'Dvd Calendar'!$H$700*1000000000+ISNUMBER('Dvd Calendar'!$H$701)*100000000+('Dvd Calendar'!$H$705='Field Check'!$C$25)*10000000+(N('Dvd Calendar'!$H$699)&gt;0)*1000000+47*1000+4))</f>
        <v/>
      </c>
      <c r="G55" s="41">
        <f>IF(N('Dvd Calendar'!$I$700)=0,"",IF(('Dvd Calendar'!$I$700&gt;=MIN(DATE(Summary!$C$12,1,1),Summary!$C$11))*('Dvd Calendar'!$I$700&lt;=MAX(DATE(Summary!$C$12,12,31),Summary!$C$15))*('Dvd Calendar'!$I$700&lt;=Summary!$C$11)=0,"",'Dvd Calendar'!$I$700*1000000000+ISNUMBER('Dvd Calendar'!$I$701)*100000000+('Dvd Calendar'!$I$705='Field Check'!$C$25)*10000000+(N('Dvd Calendar'!$I$699)&gt;0)*1000000+47*1000+5))</f>
        <v/>
      </c>
      <c r="H55" s="41">
        <f>IF(N('Dvd Calendar'!$J$700)=0,"",IF(('Dvd Calendar'!$J$700&gt;=MIN(DATE(Summary!$C$12,1,1),Summary!$C$11))*('Dvd Calendar'!$J$700&lt;=MAX(DATE(Summary!$C$12,12,31),Summary!$C$15))*('Dvd Calendar'!$J$700&lt;=Summary!$C$11)=0,"",'Dvd Calendar'!$J$700*1000000000+ISNUMBER('Dvd Calendar'!$J$701)*100000000+('Dvd Calendar'!$J$705='Field Check'!$C$25)*10000000+(N('Dvd Calendar'!$J$699)&gt;0)*1000000+47*1000+6))</f>
        <v/>
      </c>
      <c r="I55" s="41">
        <f>IF(N('Dvd Calendar'!$K$700)=0,"",IF(('Dvd Calendar'!$K$700&gt;=MIN(DATE(Summary!$C$12,1,1),Summary!$C$11))*('Dvd Calendar'!$K$700&lt;=MAX(DATE(Summary!$C$12,12,31),Summary!$C$15))*('Dvd Calendar'!$K$700&lt;=Summary!$C$11)=0,"",'Dvd Calendar'!$K$700*1000000000+ISNUMBER('Dvd Calendar'!$K$701)*100000000+('Dvd Calendar'!$K$705='Field Check'!$C$25)*10000000+(N('Dvd Calendar'!$K$699)&gt;0)*1000000+47*1000+7))</f>
        <v/>
      </c>
      <c r="J55" s="41">
        <f>IF(N('Dvd Calendar'!$L$700)=0,"",IF(('Dvd Calendar'!$L$700&gt;=MIN(DATE(Summary!$C$12,1,1),Summary!$C$11))*('Dvd Calendar'!$L$700&lt;=MAX(DATE(Summary!$C$12,12,31),Summary!$C$15))*('Dvd Calendar'!$L$700&lt;=Summary!$C$11)=0,"",'Dvd Calendar'!$L$700*1000000000+ISNUMBER('Dvd Calendar'!$L$701)*100000000+('Dvd Calendar'!$L$705='Field Check'!$C$25)*10000000+(N('Dvd Calendar'!$L$699)&gt;0)*1000000+47*1000+8))</f>
        <v/>
      </c>
      <c r="K55" s="41">
        <f>IF(N('Dvd Calendar'!$M$700)=0,"",IF(('Dvd Calendar'!$M$700&gt;=MIN(DATE(Summary!$C$12,1,1),Summary!$C$11))*('Dvd Calendar'!$M$700&lt;=MAX(DATE(Summary!$C$12,12,31),Summary!$C$15))*('Dvd Calendar'!$M$700&lt;=Summary!$C$11)=0,"",'Dvd Calendar'!$M$700*1000000000+ISNUMBER('Dvd Calendar'!$M$701)*100000000+('Dvd Calendar'!$M$705='Field Check'!$C$25)*10000000+(N('Dvd Calendar'!$M$699)&gt;0)*1000000+47*1000+9))</f>
        <v/>
      </c>
      <c r="L55" s="41">
        <f>IF(N('Dvd Calendar'!$N$700)=0,"",IF(('Dvd Calendar'!$N$700&gt;=MIN(DATE(Summary!$C$12,1,1),Summary!$C$11))*('Dvd Calendar'!$N$700&lt;=MAX(DATE(Summary!$C$12,12,31),Summary!$C$15))*('Dvd Calendar'!$N$700&lt;=Summary!$C$11)=0,"",'Dvd Calendar'!$N$700*1000000000+ISNUMBER('Dvd Calendar'!$N$701)*100000000+('Dvd Calendar'!$N$705='Field Check'!$C$25)*10000000+(N('Dvd Calendar'!$N$699)&gt;0)*1000000+47*1000+10))</f>
        <v/>
      </c>
      <c r="M55" s="41">
        <f>IF(N('Dvd Calendar'!$O$700)=0,"",IF(('Dvd Calendar'!$O$700&gt;=MIN(DATE(Summary!$C$12,1,1),Summary!$C$11))*('Dvd Calendar'!$O$700&lt;=MAX(DATE(Summary!$C$12,12,31),Summary!$C$15))*('Dvd Calendar'!$O$700&lt;=Summary!$C$11)=0,"",'Dvd Calendar'!$O$700*1000000000+ISNUMBER('Dvd Calendar'!$O$701)*100000000+('Dvd Calendar'!$O$705='Field Check'!$C$25)*10000000+(N('Dvd Calendar'!$O$699)&gt;0)*1000000+47*1000+11))</f>
        <v/>
      </c>
      <c r="N55" s="41">
        <f>IF(N('Dvd Calendar'!$P$700)=0,"",IF(('Dvd Calendar'!$P$700&gt;=MIN(DATE(Summary!$C$12,1,1),Summary!$C$11))*('Dvd Calendar'!$P$700&lt;=MAX(DATE(Summary!$C$12,12,31),Summary!$C$15))*('Dvd Calendar'!$P$700&lt;=Summary!$C$11)=0,"",'Dvd Calendar'!$P$700*1000000000+ISNUMBER('Dvd Calendar'!$P$701)*100000000+('Dvd Calendar'!$P$705='Field Check'!$C$25)*10000000+(N('Dvd Calendar'!$P$699)&gt;0)*1000000+47*1000+12))</f>
        <v/>
      </c>
      <c r="O55" s="41">
        <f>IF(N('Dvd Calendar'!$Q$700)=0,"",IF(('Dvd Calendar'!$Q$700&gt;=MIN(DATE(Summary!$C$12,1,1),Summary!$C$11))*('Dvd Calendar'!$Q$700&lt;=MAX(DATE(Summary!$C$12,12,31),Summary!$C$15))*('Dvd Calendar'!$Q$700&lt;=Summary!$C$11)=0,"",'Dvd Calendar'!$Q$700*1000000000+ISNUMBER('Dvd Calendar'!$Q$701)*100000000+('Dvd Calendar'!$Q$705='Field Check'!$C$25)*10000000+(N('Dvd Calendar'!$Q$699)&gt;0)*1000000+47*1000+13))</f>
        <v/>
      </c>
      <c r="P55" s="41">
        <f>IF(N('Dvd Calendar'!$R$700)=0,"",IF(('Dvd Calendar'!$R$700&gt;=MIN(DATE(Summary!$C$12,1,1),Summary!$C$11))*('Dvd Calendar'!$R$700&lt;=MAX(DATE(Summary!$C$12,12,31),Summary!$C$15))*('Dvd Calendar'!$R$700&lt;=Summary!$C$11)=0,"",'Dvd Calendar'!$R$700*1000000000+ISNUMBER('Dvd Calendar'!$R$701)*100000000+('Dvd Calendar'!$R$705='Field Check'!$C$25)*10000000+(N('Dvd Calendar'!$R$699)&gt;0)*1000000+47*1000+14))</f>
        <v/>
      </c>
      <c r="Q55" s="41">
        <f>IF(N('Dvd Calendar'!$S$700)=0,"",IF(('Dvd Calendar'!$S$700&gt;=MIN(DATE(Summary!$C$12,1,1),Summary!$C$11))*('Dvd Calendar'!$S$700&lt;=MAX(DATE(Summary!$C$12,12,31),Summary!$C$15))*('Dvd Calendar'!$S$700&lt;=Summary!$C$11)=0,"",'Dvd Calendar'!$S$700*1000000000+ISNUMBER('Dvd Calendar'!$S$701)*100000000+('Dvd Calendar'!$S$705='Field Check'!$C$25)*10000000+(N('Dvd Calendar'!$S$699)&gt;0)*1000000+47*1000+15))</f>
        <v/>
      </c>
      <c r="R55" s="41">
        <f>IF(N('Dvd Calendar'!$T$700)=0,"",IF(('Dvd Calendar'!$T$700&gt;=MIN(DATE(Summary!$C$12,1,1),Summary!$C$11))*('Dvd Calendar'!$T$700&lt;=MAX(DATE(Summary!$C$12,12,31),Summary!$C$15))*('Dvd Calendar'!$T$700&lt;=Summary!$C$11)=0,"",'Dvd Calendar'!$T$700*1000000000+ISNUMBER('Dvd Calendar'!$T$701)*100000000+('Dvd Calendar'!$T$705='Field Check'!$C$25)*10000000+(N('Dvd Calendar'!$T$699)&gt;0)*1000000+47*1000+16))</f>
        <v/>
      </c>
      <c r="S55" s="41">
        <f>IF(N('Dvd Calendar'!$U$700)=0,"",IF(('Dvd Calendar'!$U$700&gt;=MIN(DATE(Summary!$C$12,1,1),Summary!$C$11))*('Dvd Calendar'!$U$700&lt;=MAX(DATE(Summary!$C$12,12,31),Summary!$C$15))*('Dvd Calendar'!$U$700&lt;=Summary!$C$11)=0,"",'Dvd Calendar'!$U$700*1000000000+ISNUMBER('Dvd Calendar'!$U$701)*100000000+('Dvd Calendar'!$U$705='Field Check'!$C$25)*10000000+(N('Dvd Calendar'!$U$699)&gt;0)*1000000+47*1000+17))</f>
        <v/>
      </c>
      <c r="T55" s="41">
        <f>IF(N('Dvd Calendar'!$V$700)=0,"",IF(('Dvd Calendar'!$V$700&gt;=MIN(DATE(Summary!$C$12,1,1),Summary!$C$11))*('Dvd Calendar'!$V$700&lt;=MAX(DATE(Summary!$C$12,12,31),Summary!$C$15))*('Dvd Calendar'!$V$700&lt;=Summary!$C$11)=0,"",'Dvd Calendar'!$V$700*1000000000+ISNUMBER('Dvd Calendar'!$V$701)*100000000+('Dvd Calendar'!$V$705='Field Check'!$C$25)*10000000+(N('Dvd Calendar'!$V$699)&gt;0)*1000000+47*1000+18))</f>
        <v/>
      </c>
      <c r="U55" s="41">
        <f>IF(N('Dvd Calendar'!$W$700)=0,"",IF(('Dvd Calendar'!$W$700&gt;=MIN(DATE(Summary!$C$12,1,1),Summary!$C$11))*('Dvd Calendar'!$W$700&lt;=MAX(DATE(Summary!$C$12,12,31),Summary!$C$15))*('Dvd Calendar'!$W$700&lt;=Summary!$C$11)=0,"",'Dvd Calendar'!$W$700*1000000000+ISNUMBER('Dvd Calendar'!$W$701)*100000000+('Dvd Calendar'!$W$705='Field Check'!$C$25)*10000000+(N('Dvd Calendar'!$W$699)&gt;0)*1000000+47*1000+19))</f>
        <v/>
      </c>
      <c r="V55" s="41">
        <f>IF(N('Dvd Calendar'!$X$700)=0,"",IF(('Dvd Calendar'!$X$700&gt;=MIN(DATE(Summary!$C$12,1,1),Summary!$C$11))*('Dvd Calendar'!$X$700&lt;=MAX(DATE(Summary!$C$12,12,31),Summary!$C$15))*('Dvd Calendar'!$X$700&lt;=Summary!$C$11)=0,"",'Dvd Calendar'!$X$700*1000000000+ISNUMBER('Dvd Calendar'!$X$701)*100000000+('Dvd Calendar'!$X$705='Field Check'!$C$25)*10000000+(N('Dvd Calendar'!$X$699)&gt;0)*1000000+47*1000+20))</f>
        <v/>
      </c>
      <c r="W55" s="41">
        <f>IF(N('Dvd Calendar'!$Y$700)=0,"",IF(('Dvd Calendar'!$Y$700&gt;=MIN(DATE(Summary!$C$12,1,1),Summary!$C$11))*('Dvd Calendar'!$Y$700&lt;=MAX(DATE(Summary!$C$12,12,31),Summary!$C$15))*('Dvd Calendar'!$Y$700&lt;=Summary!$C$11)=0,"",'Dvd Calendar'!$Y$700*1000000000+ISNUMBER('Dvd Calendar'!$Y$701)*100000000+('Dvd Calendar'!$Y$705='Field Check'!$C$25)*10000000+(N('Dvd Calendar'!$Y$699)&gt;0)*1000000+47*1000+21))</f>
        <v/>
      </c>
      <c r="X55" s="41">
        <f>IF(N('Dvd Calendar'!$Z$700)=0,"",IF(('Dvd Calendar'!$Z$700&gt;=MIN(DATE(Summary!$C$12,1,1),Summary!$C$11))*('Dvd Calendar'!$Z$700&lt;=MAX(DATE(Summary!$C$12,12,31),Summary!$C$15))*('Dvd Calendar'!$Z$700&lt;=Summary!$C$11)=0,"",'Dvd Calendar'!$Z$700*1000000000+ISNUMBER('Dvd Calendar'!$Z$701)*100000000+('Dvd Calendar'!$Z$705='Field Check'!$C$25)*10000000+(N('Dvd Calendar'!$Z$699)&gt;0)*1000000+47*1000+22))</f>
        <v/>
      </c>
      <c r="Y55" s="41">
        <f>IF(N('Dvd Calendar'!$AA$700)=0,"",IF(('Dvd Calendar'!$AA$700&gt;=MIN(DATE(Summary!$C$12,1,1),Summary!$C$11))*('Dvd Calendar'!$AA$700&lt;=MAX(DATE(Summary!$C$12,12,31),Summary!$C$15))*('Dvd Calendar'!$AA$700&lt;=Summary!$C$11)=0,"",'Dvd Calendar'!$AA$700*1000000000+ISNUMBER('Dvd Calendar'!$AA$701)*100000000+('Dvd Calendar'!$AA$705='Field Check'!$C$25)*10000000+(N('Dvd Calendar'!$AA$699)&gt;0)*1000000+47*1000+23))</f>
        <v/>
      </c>
      <c r="Z55" s="41">
        <f>IF(N('Dvd Calendar'!$AB$700)=0,"",IF(('Dvd Calendar'!$AB$700&gt;=MIN(DATE(Summary!$C$12,1,1),Summary!$C$11))*('Dvd Calendar'!$AB$700&lt;=MAX(DATE(Summary!$C$12,12,31),Summary!$C$15))*('Dvd Calendar'!$AB$700&lt;=Summary!$C$11)=0,"",'Dvd Calendar'!$AB$700*1000000000+ISNUMBER('Dvd Calendar'!$AB$701)*100000000+('Dvd Calendar'!$AB$705='Field Check'!$C$25)*10000000+(N('Dvd Calendar'!$AB$699)&gt;0)*1000000+47*1000+24))</f>
        <v/>
      </c>
      <c r="AA55" s="41">
        <f>IF(N('Dvd Calendar'!$AC$700)=0,"",IF(('Dvd Calendar'!$AC$700&gt;=MIN(DATE(Summary!$C$12,1,1),Summary!$C$11))*('Dvd Calendar'!$AC$700&lt;=MAX(DATE(Summary!$C$12,12,31),Summary!$C$15))*('Dvd Calendar'!$AC$700&lt;=Summary!$C$11)=0,"",'Dvd Calendar'!$AC$700*1000000000+ISNUMBER('Dvd Calendar'!$AC$701)*100000000+('Dvd Calendar'!$AC$705='Field Check'!$C$25)*10000000+(N('Dvd Calendar'!$AC$699)&gt;0)*1000000+47*1000+25))</f>
        <v/>
      </c>
      <c r="AB55" s="41">
        <f>IF(N('Dvd Calendar'!$AD$700)=0,"",IF(('Dvd Calendar'!$AD$700&gt;=MIN(DATE(Summary!$C$12,1,1),Summary!$C$11))*('Dvd Calendar'!$AD$700&lt;=MAX(DATE(Summary!$C$12,12,31),Summary!$C$15))*('Dvd Calendar'!$AD$700&lt;=Summary!$C$11)=0,"",'Dvd Calendar'!$AD$700*1000000000+ISNUMBER('Dvd Calendar'!$AD$701)*100000000+('Dvd Calendar'!$AD$705='Field Check'!$C$25)*10000000+(N('Dvd Calendar'!$AD$699)&gt;0)*1000000+47*1000+26))</f>
        <v/>
      </c>
      <c r="AC55" s="41">
        <f>IF(N('Dvd Calendar'!$AE$700)=0,"",IF(('Dvd Calendar'!$AE$700&gt;=MIN(DATE(Summary!$C$12,1,1),Summary!$C$11))*('Dvd Calendar'!$AE$700&lt;=MAX(DATE(Summary!$C$12,12,31),Summary!$C$15))*('Dvd Calendar'!$AE$700&lt;=Summary!$C$11)=0,"",'Dvd Calendar'!$AE$700*1000000000+ISNUMBER('Dvd Calendar'!$AE$701)*100000000+('Dvd Calendar'!$AE$705='Field Check'!$C$25)*10000000+(N('Dvd Calendar'!$AE$699)&gt;0)*1000000+47*1000+27))</f>
        <v/>
      </c>
      <c r="AD55" s="41">
        <f>IF(N('Dvd Calendar'!$AF$700)=0,"",IF(('Dvd Calendar'!$AF$700&gt;=MIN(DATE(Summary!$C$12,1,1),Summary!$C$11))*('Dvd Calendar'!$AF$700&lt;=MAX(DATE(Summary!$C$12,12,31),Summary!$C$15))*('Dvd Calendar'!$AF$700&lt;=Summary!$C$11)=0,"",'Dvd Calendar'!$AF$700*1000000000+ISNUMBER('Dvd Calendar'!$AF$701)*100000000+('Dvd Calendar'!$AF$705='Field Check'!$C$25)*10000000+(N('Dvd Calendar'!$AF$699)&gt;0)*1000000+47*1000+28))</f>
        <v/>
      </c>
      <c r="AE55" s="41">
        <f>IF(N('Dvd Calendar'!$AG$700)=0,"",IF(('Dvd Calendar'!$AG$700&gt;=MIN(DATE(Summary!$C$12,1,1),Summary!$C$11))*('Dvd Calendar'!$AG$700&lt;=MAX(DATE(Summary!$C$12,12,31),Summary!$C$15))*('Dvd Calendar'!$AG$700&lt;=Summary!$C$11)=0,"",'Dvd Calendar'!$AG$700*1000000000+ISNUMBER('Dvd Calendar'!$AG$701)*100000000+('Dvd Calendar'!$AG$705='Field Check'!$C$25)*10000000+(N('Dvd Calendar'!$AG$699)&gt;0)*1000000+47*1000+29))</f>
        <v/>
      </c>
      <c r="AF55" s="41">
        <f>IF(N('Dvd Calendar'!$AH$700)=0,"",IF(('Dvd Calendar'!$AH$700&gt;=MIN(DATE(Summary!$C$12,1,1),Summary!$C$11))*('Dvd Calendar'!$AH$700&lt;=MAX(DATE(Summary!$C$12,12,31),Summary!$C$15))*('Dvd Calendar'!$AH$700&lt;=Summary!$C$11)=0,"",'Dvd Calendar'!$AH$700*1000000000+ISNUMBER('Dvd Calendar'!$AH$701)*100000000+('Dvd Calendar'!$AH$705='Field Check'!$C$25)*10000000+(N('Dvd Calendar'!$AH$699)&gt;0)*1000000+47*1000+30))</f>
        <v/>
      </c>
      <c r="AG55" s="41">
        <f>IF(N('Dvd Calendar'!$AI$700)=0,"",IF(('Dvd Calendar'!$AI$700&gt;=MIN(DATE(Summary!$C$12,1,1),Summary!$C$11))*('Dvd Calendar'!$AI$700&lt;=MAX(DATE(Summary!$C$12,12,31),Summary!$C$15))*('Dvd Calendar'!$AI$700&lt;=Summary!$C$11)=0,"",'Dvd Calendar'!$AI$700*1000000000+ISNUMBER('Dvd Calendar'!$AI$701)*100000000+('Dvd Calendar'!$AI$705='Field Check'!$C$25)*10000000+(N('Dvd Calendar'!$AI$699)&gt;0)*1000000+47*1000+31))</f>
        <v/>
      </c>
      <c r="AH55" s="41">
        <f>IF(N('Dvd Calendar'!$AJ$700)=0,"",IF(('Dvd Calendar'!$AJ$700&gt;=MIN(DATE(Summary!$C$12,1,1),Summary!$C$11))*('Dvd Calendar'!$AJ$700&lt;=MAX(DATE(Summary!$C$12,12,31),Summary!$C$15))*('Dvd Calendar'!$AJ$700&lt;=Summary!$C$11)=0,"",'Dvd Calendar'!$AJ$700*1000000000+ISNUMBER('Dvd Calendar'!$AJ$701)*100000000+('Dvd Calendar'!$AJ$705='Field Check'!$C$25)*10000000+(N('Dvd Calendar'!$AJ$699)&gt;0)*1000000+47*1000+32))</f>
        <v/>
      </c>
      <c r="AI55" s="41">
        <f>IF(N('Dvd Calendar'!$AK$700)=0,"",IF(('Dvd Calendar'!$AK$700&gt;=MIN(DATE(Summary!$C$12,1,1),Summary!$C$11))*('Dvd Calendar'!$AK$700&lt;=MAX(DATE(Summary!$C$12,12,31),Summary!$C$15))*('Dvd Calendar'!$AK$700&lt;=Summary!$C$11)=0,"",'Dvd Calendar'!$AK$700*1000000000+ISNUMBER('Dvd Calendar'!$AK$701)*100000000+('Dvd Calendar'!$AK$705='Field Check'!$C$25)*10000000+(N('Dvd Calendar'!$AK$699)&gt;0)*1000000+47*1000+33))</f>
        <v/>
      </c>
      <c r="AJ55" s="41">
        <f>IF(N('Dvd Calendar'!$AL$700)=0,"",IF(('Dvd Calendar'!$AL$700&gt;=MIN(DATE(Summary!$C$12,1,1),Summary!$C$11))*('Dvd Calendar'!$AL$700&lt;=MAX(DATE(Summary!$C$12,12,31),Summary!$C$15))*('Dvd Calendar'!$AL$700&lt;=Summary!$C$11)=0,"",'Dvd Calendar'!$AL$700*1000000000+ISNUMBER('Dvd Calendar'!$AL$701)*100000000+('Dvd Calendar'!$AL$705='Field Check'!$C$25)*10000000+(N('Dvd Calendar'!$AL$699)&gt;0)*1000000+47*1000+34))</f>
        <v/>
      </c>
      <c r="AK55" s="41">
        <f>IF(N('Dvd Calendar'!$AM$700)=0,"",IF(('Dvd Calendar'!$AM$700&gt;=MIN(DATE(Summary!$C$12,1,1),Summary!$C$11))*('Dvd Calendar'!$AM$700&lt;=MAX(DATE(Summary!$C$12,12,31),Summary!$C$15))*('Dvd Calendar'!$AM$700&lt;=Summary!$C$11)=0,"",'Dvd Calendar'!$AM$700*1000000000+ISNUMBER('Dvd Calendar'!$AM$701)*100000000+('Dvd Calendar'!$AM$705='Field Check'!$C$25)*10000000+(N('Dvd Calendar'!$AM$699)&gt;0)*1000000+47*1000+35))</f>
        <v/>
      </c>
      <c r="AL55" s="41">
        <f>IF(N('Dvd Calendar'!$AN$700)=0,"",IF(('Dvd Calendar'!$AN$700&gt;=MIN(DATE(Summary!$C$12,1,1),Summary!$C$11))*('Dvd Calendar'!$AN$700&lt;=MAX(DATE(Summary!$C$12,12,31),Summary!$C$15))*('Dvd Calendar'!$AN$700&lt;=Summary!$C$11)=0,"",'Dvd Calendar'!$AN$700*1000000000+ISNUMBER('Dvd Calendar'!$AN$701)*100000000+('Dvd Calendar'!$AN$705='Field Check'!$C$25)*10000000+(N('Dvd Calendar'!$AN$699)&gt;0)*1000000+47*1000+36))</f>
        <v/>
      </c>
      <c r="AM55" s="41">
        <f>IF(N('Dvd Calendar'!$AO$700)=0,"",IF(('Dvd Calendar'!$AO$700&gt;=MIN(DATE(Summary!$C$12,1,1),Summary!$C$11))*('Dvd Calendar'!$AO$700&lt;=MAX(DATE(Summary!$C$12,12,31),Summary!$C$15))*('Dvd Calendar'!$AO$700&lt;=Summary!$C$11)=0,"",'Dvd Calendar'!$AO$700*1000000000+ISNUMBER('Dvd Calendar'!$AO$701)*100000000+('Dvd Calendar'!$AO$705='Field Check'!$C$25)*10000000+(N('Dvd Calendar'!$AO$699)&gt;0)*1000000+47*1000+37))</f>
        <v/>
      </c>
      <c r="AN55" s="41">
        <f>IF(N('Dvd Calendar'!$AP$700)=0,"",IF(('Dvd Calendar'!$AP$700&gt;=MIN(DATE(Summary!$C$12,1,1),Summary!$C$11))*('Dvd Calendar'!$AP$700&lt;=MAX(DATE(Summary!$C$12,12,31),Summary!$C$15))*('Dvd Calendar'!$AP$700&lt;=Summary!$C$11)=0,"",'Dvd Calendar'!$AP$700*1000000000+ISNUMBER('Dvd Calendar'!$AP$701)*100000000+('Dvd Calendar'!$AP$705='Field Check'!$C$25)*10000000+(N('Dvd Calendar'!$AP$699)&gt;0)*1000000+47*1000+38))</f>
        <v/>
      </c>
      <c r="AO55" s="41">
        <f>IF(N('Dvd Calendar'!$AQ$700)=0,"",IF(('Dvd Calendar'!$AQ$700&gt;=MIN(DATE(Summary!$C$12,1,1),Summary!$C$11))*('Dvd Calendar'!$AQ$700&lt;=MAX(DATE(Summary!$C$12,12,31),Summary!$C$15))*('Dvd Calendar'!$AQ$700&lt;=Summary!$C$11)=0,"",'Dvd Calendar'!$AQ$700*1000000000+ISNUMBER('Dvd Calendar'!$AQ$701)*100000000+('Dvd Calendar'!$AQ$705='Field Check'!$C$25)*10000000+(N('Dvd Calendar'!$AQ$699)&gt;0)*1000000+47*1000+39))</f>
        <v/>
      </c>
      <c r="AP55" s="41">
        <f>IF(N('Dvd Calendar'!$AR$700)=0,"",IF(('Dvd Calendar'!$AR$700&gt;=MIN(DATE(Summary!$C$12,1,1),Summary!$C$11))*('Dvd Calendar'!$AR$700&lt;=MAX(DATE(Summary!$C$12,12,31),Summary!$C$15))*('Dvd Calendar'!$AR$700&lt;=Summary!$C$11)=0,"",'Dvd Calendar'!$AR$700*1000000000+ISNUMBER('Dvd Calendar'!$AR$701)*100000000+('Dvd Calendar'!$AR$705='Field Check'!$C$25)*10000000+(N('Dvd Calendar'!$AR$699)&gt;0)*1000000+47*1000+40))</f>
        <v/>
      </c>
      <c r="AQ55" s="41">
        <f>IF(N('Dvd Calendar'!$E$707)=0,"",IF(('Dvd Calendar'!$E$707&gt;=MIN(DATE(Summary!$C$12,1,1),Summary!$C$11))*('Dvd Calendar'!$E$707&lt;=MAX(DATE(Summary!$C$12,12,31),Summary!$C$15))*('Dvd Calendar'!$E$707&gt;Summary!$C$11)=0,"",'Dvd Calendar'!$E$707*1000000000+ISNUMBER('Dvd Calendar'!$E$708)*100000000+('Dvd Calendar'!$E$712='Field Check'!$C$25)*10000000+(N('Dvd Calendar'!$E$706)&gt;0)*1000000+47*1000+41))</f>
        <v/>
      </c>
      <c r="AR55" s="41">
        <f>IF(N('Dvd Calendar'!$F$707)=0,"",IF(('Dvd Calendar'!$F$707&gt;=MIN(DATE(Summary!$C$12,1,1),Summary!$C$11))*('Dvd Calendar'!$F$707&lt;=MAX(DATE(Summary!$C$12,12,31),Summary!$C$15))*('Dvd Calendar'!$F$707&gt;Summary!$C$11)=0,"",'Dvd Calendar'!$F$707*1000000000+ISNUMBER('Dvd Calendar'!$F$708)*100000000+('Dvd Calendar'!$F$712='Field Check'!$C$25)*10000000+(N('Dvd Calendar'!$F$706)&gt;0)*1000000+47*1000+42))</f>
        <v/>
      </c>
      <c r="AS55" s="41">
        <f>IF(N('Dvd Calendar'!$G$707)=0,"",IF(('Dvd Calendar'!$G$707&gt;=MIN(DATE(Summary!$C$12,1,1),Summary!$C$11))*('Dvd Calendar'!$G$707&lt;=MAX(DATE(Summary!$C$12,12,31),Summary!$C$15))*('Dvd Calendar'!$G$707&gt;Summary!$C$11)=0,"",'Dvd Calendar'!$G$707*1000000000+ISNUMBER('Dvd Calendar'!$G$708)*100000000+('Dvd Calendar'!$G$712='Field Check'!$C$25)*10000000+(N('Dvd Calendar'!$G$706)&gt;0)*1000000+47*1000+43))</f>
        <v/>
      </c>
      <c r="AT55" s="41">
        <f>IF(N('Dvd Calendar'!$H$707)=0,"",IF(('Dvd Calendar'!$H$707&gt;=MIN(DATE(Summary!$C$12,1,1),Summary!$C$11))*('Dvd Calendar'!$H$707&lt;=MAX(DATE(Summary!$C$12,12,31),Summary!$C$15))*('Dvd Calendar'!$H$707&gt;Summary!$C$11)=0,"",'Dvd Calendar'!$H$707*1000000000+ISNUMBER('Dvd Calendar'!$H$708)*100000000+('Dvd Calendar'!$H$712='Field Check'!$C$25)*10000000+(N('Dvd Calendar'!$H$706)&gt;0)*1000000+47*1000+44))</f>
        <v/>
      </c>
      <c r="AU55" s="41">
        <f>IF(N('Dvd Calendar'!$I$707)=0,"",IF(('Dvd Calendar'!$I$707&gt;=MIN(DATE(Summary!$C$12,1,1),Summary!$C$11))*('Dvd Calendar'!$I$707&lt;=MAX(DATE(Summary!$C$12,12,31),Summary!$C$15))*('Dvd Calendar'!$I$707&gt;Summary!$C$11)=0,"",'Dvd Calendar'!$I$707*1000000000+ISNUMBER('Dvd Calendar'!$I$708)*100000000+('Dvd Calendar'!$I$712='Field Check'!$C$25)*10000000+(N('Dvd Calendar'!$I$706)&gt;0)*1000000+47*1000+45))</f>
        <v/>
      </c>
      <c r="AV55" s="41">
        <f>IF(N('Dvd Calendar'!$J$707)=0,"",IF(('Dvd Calendar'!$J$707&gt;=MIN(DATE(Summary!$C$12,1,1),Summary!$C$11))*('Dvd Calendar'!$J$707&lt;=MAX(DATE(Summary!$C$12,12,31),Summary!$C$15))*('Dvd Calendar'!$J$707&gt;Summary!$C$11)=0,"",'Dvd Calendar'!$J$707*1000000000+ISNUMBER('Dvd Calendar'!$J$708)*100000000+('Dvd Calendar'!$J$712='Field Check'!$C$25)*10000000+(N('Dvd Calendar'!$J$706)&gt;0)*1000000+47*1000+46))</f>
        <v/>
      </c>
      <c r="AW55" s="41">
        <f>IF(N('Dvd Calendar'!$K$707)=0,"",IF(('Dvd Calendar'!$K$707&gt;=MIN(DATE(Summary!$C$12,1,1),Summary!$C$11))*('Dvd Calendar'!$K$707&lt;=MAX(DATE(Summary!$C$12,12,31),Summary!$C$15))*('Dvd Calendar'!$K$707&gt;Summary!$C$11)=0,"",'Dvd Calendar'!$K$707*1000000000+ISNUMBER('Dvd Calendar'!$K$708)*100000000+('Dvd Calendar'!$K$712='Field Check'!$C$25)*10000000+(N('Dvd Calendar'!$K$706)&gt;0)*1000000+47*1000+47))</f>
        <v/>
      </c>
      <c r="AX55" s="41">
        <f>IF(N('Dvd Calendar'!$L$707)=0,"",IF(('Dvd Calendar'!$L$707&gt;=MIN(DATE(Summary!$C$12,1,1),Summary!$C$11))*('Dvd Calendar'!$L$707&lt;=MAX(DATE(Summary!$C$12,12,31),Summary!$C$15))*('Dvd Calendar'!$L$707&gt;Summary!$C$11)=0,"",'Dvd Calendar'!$L$707*1000000000+ISNUMBER('Dvd Calendar'!$L$708)*100000000+('Dvd Calendar'!$L$712='Field Check'!$C$25)*10000000+(N('Dvd Calendar'!$L$706)&gt;0)*1000000+47*1000+48))</f>
        <v/>
      </c>
      <c r="AY55" s="41">
        <f>IF(N('Dvd Calendar'!$M$707)=0,"",IF(('Dvd Calendar'!$M$707&gt;=MIN(DATE(Summary!$C$12,1,1),Summary!$C$11))*('Dvd Calendar'!$M$707&lt;=MAX(DATE(Summary!$C$12,12,31),Summary!$C$15))*('Dvd Calendar'!$M$707&gt;Summary!$C$11)=0,"",'Dvd Calendar'!$M$707*1000000000+ISNUMBER('Dvd Calendar'!$M$708)*100000000+('Dvd Calendar'!$M$712='Field Check'!$C$25)*10000000+(N('Dvd Calendar'!$M$706)&gt;0)*1000000+47*1000+49))</f>
        <v/>
      </c>
      <c r="AZ55" s="41">
        <f>IF(N('Dvd Calendar'!$N$707)=0,"",IF(('Dvd Calendar'!$N$707&gt;=MIN(DATE(Summary!$C$12,1,1),Summary!$C$11))*('Dvd Calendar'!$N$707&lt;=MAX(DATE(Summary!$C$12,12,31),Summary!$C$15))*('Dvd Calendar'!$N$707&gt;Summary!$C$11)=0,"",'Dvd Calendar'!$N$707*1000000000+ISNUMBER('Dvd Calendar'!$N$708)*100000000+('Dvd Calendar'!$N$712='Field Check'!$C$25)*10000000+(N('Dvd Calendar'!$N$706)&gt;0)*1000000+47*1000+50))</f>
        <v/>
      </c>
      <c r="BA55" s="41">
        <f>IF(N('Dvd Calendar'!$O$707)=0,"",IF(('Dvd Calendar'!$O$707&gt;=MIN(DATE(Summary!$C$12,1,1),Summary!$C$11))*('Dvd Calendar'!$O$707&lt;=MAX(DATE(Summary!$C$12,12,31),Summary!$C$15))*('Dvd Calendar'!$O$707&gt;Summary!$C$11)=0,"",'Dvd Calendar'!$O$707*1000000000+ISNUMBER('Dvd Calendar'!$O$708)*100000000+('Dvd Calendar'!$O$712='Field Check'!$C$25)*10000000+(N('Dvd Calendar'!$O$706)&gt;0)*1000000+47*1000+51))</f>
        <v/>
      </c>
      <c r="BB55" s="41">
        <f>IF(N('Dvd Calendar'!$P$707)=0,"",IF(('Dvd Calendar'!$P$707&gt;=MIN(DATE(Summary!$C$12,1,1),Summary!$C$11))*('Dvd Calendar'!$P$707&lt;=MAX(DATE(Summary!$C$12,12,31),Summary!$C$15))*('Dvd Calendar'!$P$707&gt;Summary!$C$11)=0,"",'Dvd Calendar'!$P$707*1000000000+ISNUMBER('Dvd Calendar'!$P$708)*100000000+('Dvd Calendar'!$P$712='Field Check'!$C$25)*10000000+(N('Dvd Calendar'!$P$706)&gt;0)*1000000+47*1000+52))</f>
        <v/>
      </c>
      <c r="BC55" s="41">
        <f>IF(N('Dvd Calendar'!$Q$707)=0,"",IF(('Dvd Calendar'!$Q$707&gt;=MIN(DATE(Summary!$C$12,1,1),Summary!$C$11))*('Dvd Calendar'!$Q$707&lt;=MAX(DATE(Summary!$C$12,12,31),Summary!$C$15))*('Dvd Calendar'!$Q$707&gt;Summary!$C$11)=0,"",'Dvd Calendar'!$Q$707*1000000000+ISNUMBER('Dvd Calendar'!$Q$708)*100000000+('Dvd Calendar'!$Q$712='Field Check'!$C$25)*10000000+(N('Dvd Calendar'!$Q$706)&gt;0)*1000000+47*1000+53))</f>
        <v/>
      </c>
      <c r="BD55" s="41">
        <f>IF(N('Dvd Calendar'!$R$707)=0,"",IF(('Dvd Calendar'!$R$707&gt;=MIN(DATE(Summary!$C$12,1,1),Summary!$C$11))*('Dvd Calendar'!$R$707&lt;=MAX(DATE(Summary!$C$12,12,31),Summary!$C$15))*('Dvd Calendar'!$R$707&gt;Summary!$C$11)=0,"",'Dvd Calendar'!$R$707*1000000000+ISNUMBER('Dvd Calendar'!$R$708)*100000000+('Dvd Calendar'!$R$712='Field Check'!$C$25)*10000000+(N('Dvd Calendar'!$R$706)&gt;0)*1000000+47*1000+54))</f>
        <v/>
      </c>
      <c r="BE55" s="41">
        <f>IF(N('Dvd Calendar'!$S$707)=0,"",IF(('Dvd Calendar'!$S$707&gt;=MIN(DATE(Summary!$C$12,1,1),Summary!$C$11))*('Dvd Calendar'!$S$707&lt;=MAX(DATE(Summary!$C$12,12,31),Summary!$C$15))*('Dvd Calendar'!$S$707&gt;Summary!$C$11)=0,"",'Dvd Calendar'!$S$707*1000000000+ISNUMBER('Dvd Calendar'!$S$708)*100000000+('Dvd Calendar'!$S$712='Field Check'!$C$25)*10000000+(N('Dvd Calendar'!$S$706)&gt;0)*1000000+47*1000+55))</f>
        <v/>
      </c>
      <c r="BF55" s="41">
        <f>IF(N('Dvd Calendar'!$T$707)=0,"",IF(('Dvd Calendar'!$T$707&gt;=MIN(DATE(Summary!$C$12,1,1),Summary!$C$11))*('Dvd Calendar'!$T$707&lt;=MAX(DATE(Summary!$C$12,12,31),Summary!$C$15))*('Dvd Calendar'!$T$707&gt;Summary!$C$11)=0,"",'Dvd Calendar'!$T$707*1000000000+ISNUMBER('Dvd Calendar'!$T$708)*100000000+('Dvd Calendar'!$T$712='Field Check'!$C$25)*10000000+(N('Dvd Calendar'!$T$706)&gt;0)*1000000+47*1000+56))</f>
        <v/>
      </c>
      <c r="BG55" s="41">
        <f>IF(N('Dvd Calendar'!$U$707)=0,"",IF(('Dvd Calendar'!$U$707&gt;=MIN(DATE(Summary!$C$12,1,1),Summary!$C$11))*('Dvd Calendar'!$U$707&lt;=MAX(DATE(Summary!$C$12,12,31),Summary!$C$15))*('Dvd Calendar'!$U$707&gt;Summary!$C$11)=0,"",'Dvd Calendar'!$U$707*1000000000+ISNUMBER('Dvd Calendar'!$U$708)*100000000+('Dvd Calendar'!$U$712='Field Check'!$C$25)*10000000+(N('Dvd Calendar'!$U$706)&gt;0)*1000000+47*1000+57))</f>
        <v/>
      </c>
      <c r="BH55" s="41">
        <f>IF(N('Dvd Calendar'!$V$707)=0,"",IF(('Dvd Calendar'!$V$707&gt;=MIN(DATE(Summary!$C$12,1,1),Summary!$C$11))*('Dvd Calendar'!$V$707&lt;=MAX(DATE(Summary!$C$12,12,31),Summary!$C$15))*('Dvd Calendar'!$V$707&gt;Summary!$C$11)=0,"",'Dvd Calendar'!$V$707*1000000000+ISNUMBER('Dvd Calendar'!$V$708)*100000000+('Dvd Calendar'!$V$712='Field Check'!$C$25)*10000000+(N('Dvd Calendar'!$V$706)&gt;0)*1000000+47*1000+58))</f>
        <v/>
      </c>
      <c r="BI55" s="41">
        <f>IF(N('Dvd Calendar'!$W$707)=0,"",IF(('Dvd Calendar'!$W$707&gt;=MIN(DATE(Summary!$C$12,1,1),Summary!$C$11))*('Dvd Calendar'!$W$707&lt;=MAX(DATE(Summary!$C$12,12,31),Summary!$C$15))*('Dvd Calendar'!$W$707&gt;Summary!$C$11)=0,"",'Dvd Calendar'!$W$707*1000000000+ISNUMBER('Dvd Calendar'!$W$708)*100000000+('Dvd Calendar'!$W$712='Field Check'!$C$25)*10000000+(N('Dvd Calendar'!$W$706)&gt;0)*1000000+47*1000+59))</f>
        <v/>
      </c>
      <c r="BJ55" s="41">
        <f>IF(N('Dvd Calendar'!$X$707)=0,"",IF(('Dvd Calendar'!$X$707&gt;=MIN(DATE(Summary!$C$12,1,1),Summary!$C$11))*('Dvd Calendar'!$X$707&lt;=MAX(DATE(Summary!$C$12,12,31),Summary!$C$15))*('Dvd Calendar'!$X$707&gt;Summary!$C$11)=0,"",'Dvd Calendar'!$X$707*1000000000+ISNUMBER('Dvd Calendar'!$X$708)*100000000+('Dvd Calendar'!$X$712='Field Check'!$C$25)*10000000+(N('Dvd Calendar'!$X$706)&gt;0)*1000000+47*1000+60))</f>
        <v/>
      </c>
      <c r="BK55" s="41">
        <f>IF(N('Dvd Calendar'!$Y$707)=0,"",IF(('Dvd Calendar'!$Y$707&gt;=MIN(DATE(Summary!$C$12,1,1),Summary!$C$11))*('Dvd Calendar'!$Y$707&lt;=MAX(DATE(Summary!$C$12,12,31),Summary!$C$15))*('Dvd Calendar'!$Y$707&gt;Summary!$C$11)=0,"",'Dvd Calendar'!$Y$707*1000000000+ISNUMBER('Dvd Calendar'!$Y$708)*100000000+('Dvd Calendar'!$Y$712='Field Check'!$C$25)*10000000+(N('Dvd Calendar'!$Y$706)&gt;0)*1000000+47*1000+61))</f>
        <v/>
      </c>
      <c r="BL55" s="41">
        <f>IF(N('Dvd Calendar'!$Z$707)=0,"",IF(('Dvd Calendar'!$Z$707&gt;=MIN(DATE(Summary!$C$12,1,1),Summary!$C$11))*('Dvd Calendar'!$Z$707&lt;=MAX(DATE(Summary!$C$12,12,31),Summary!$C$15))*('Dvd Calendar'!$Z$707&gt;Summary!$C$11)=0,"",'Dvd Calendar'!$Z$707*1000000000+ISNUMBER('Dvd Calendar'!$Z$708)*100000000+('Dvd Calendar'!$Z$712='Field Check'!$C$25)*10000000+(N('Dvd Calendar'!$Z$706)&gt;0)*1000000+47*1000+62))</f>
        <v/>
      </c>
      <c r="BM55" s="41">
        <f>IF(N('Dvd Calendar'!$AA$707)=0,"",IF(('Dvd Calendar'!$AA$707&gt;=MIN(DATE(Summary!$C$12,1,1),Summary!$C$11))*('Dvd Calendar'!$AA$707&lt;=MAX(DATE(Summary!$C$12,12,31),Summary!$C$15))*('Dvd Calendar'!$AA$707&gt;Summary!$C$11)=0,"",'Dvd Calendar'!$AA$707*1000000000+ISNUMBER('Dvd Calendar'!$AA$708)*100000000+('Dvd Calendar'!$AA$712='Field Check'!$C$25)*10000000+(N('Dvd Calendar'!$AA$706)&gt;0)*1000000+47*1000+63))</f>
        <v/>
      </c>
      <c r="BN55" s="41">
        <f>IF(N('Dvd Calendar'!$AB$707)=0,"",IF(('Dvd Calendar'!$AB$707&gt;=MIN(DATE(Summary!$C$12,1,1),Summary!$C$11))*('Dvd Calendar'!$AB$707&lt;=MAX(DATE(Summary!$C$12,12,31),Summary!$C$15))*('Dvd Calendar'!$AB$707&gt;Summary!$C$11)=0,"",'Dvd Calendar'!$AB$707*1000000000+ISNUMBER('Dvd Calendar'!$AB$708)*100000000+('Dvd Calendar'!$AB$712='Field Check'!$C$25)*10000000+(N('Dvd Calendar'!$AB$706)&gt;0)*1000000+47*1000+64))</f>
        <v/>
      </c>
      <c r="BO55" s="41">
        <f>IF(N('Dvd Calendar'!$AC$707)=0,"",IF(('Dvd Calendar'!$AC$707&gt;=MIN(DATE(Summary!$C$12,1,1),Summary!$C$11))*('Dvd Calendar'!$AC$707&lt;=MAX(DATE(Summary!$C$12,12,31),Summary!$C$15))*('Dvd Calendar'!$AC$707&gt;Summary!$C$11)=0,"",'Dvd Calendar'!$AC$707*1000000000+ISNUMBER('Dvd Calendar'!$AC$708)*100000000+('Dvd Calendar'!$AC$712='Field Check'!$C$25)*10000000+(N('Dvd Calendar'!$AC$706)&gt;0)*1000000+47*1000+65))</f>
        <v/>
      </c>
      <c r="BQ55" s="85">
        <f>IF(C55="","",IF(ISNUMBER('Dvd Calendar'!$E$701)=FALSE,"",IF((Summary!$C$13="N")*('Dvd Calendar'!$E$705='Field Check'!$C$25)&gt;0,"",'Dvd Calendar'!$E$701)))</f>
        <v/>
      </c>
      <c r="BR55" s="85">
        <f>IF(D55="","",IF(ISNUMBER('Dvd Calendar'!$F$701)=FALSE,"",IF((Summary!$C$13="N")*('Dvd Calendar'!$F$705='Field Check'!$C$25)&gt;0,"",'Dvd Calendar'!$F$701)))</f>
        <v/>
      </c>
      <c r="BS55" s="85">
        <f>IF(E55="","",IF(ISNUMBER('Dvd Calendar'!$G$701)=FALSE,"",IF((Summary!$C$13="N")*('Dvd Calendar'!$G$705='Field Check'!$C$25)&gt;0,"",'Dvd Calendar'!$G$701)))</f>
        <v/>
      </c>
      <c r="BT55" s="85">
        <f>IF(F55="","",IF(ISNUMBER('Dvd Calendar'!$H$701)=FALSE,"",IF((Summary!$C$13="N")*('Dvd Calendar'!$H$705='Field Check'!$C$25)&gt;0,"",'Dvd Calendar'!$H$701)))</f>
        <v/>
      </c>
      <c r="BU55" s="85">
        <f>IF(G55="","",IF(ISNUMBER('Dvd Calendar'!$I$701)=FALSE,"",IF((Summary!$C$13="N")*('Dvd Calendar'!$I$705='Field Check'!$C$25)&gt;0,"",'Dvd Calendar'!$I$701)))</f>
        <v/>
      </c>
      <c r="BV55" s="85">
        <f>IF(H55="","",IF(ISNUMBER('Dvd Calendar'!$J$701)=FALSE,"",IF((Summary!$C$13="N")*('Dvd Calendar'!$J$705='Field Check'!$C$25)&gt;0,"",'Dvd Calendar'!$J$701)))</f>
        <v/>
      </c>
      <c r="BW55" s="85">
        <f>IF(I55="","",IF(ISNUMBER('Dvd Calendar'!$K$701)=FALSE,"",IF((Summary!$C$13="N")*('Dvd Calendar'!$K$705='Field Check'!$C$25)&gt;0,"",'Dvd Calendar'!$K$701)))</f>
        <v/>
      </c>
      <c r="BX55" s="85">
        <f>IF(J55="","",IF(ISNUMBER('Dvd Calendar'!$L$701)=FALSE,"",IF((Summary!$C$13="N")*('Dvd Calendar'!$L$705='Field Check'!$C$25)&gt;0,"",'Dvd Calendar'!$L$701)))</f>
        <v/>
      </c>
      <c r="BY55" s="85">
        <f>IF(K55="","",IF(ISNUMBER('Dvd Calendar'!$M$701)=FALSE,"",IF((Summary!$C$13="N")*('Dvd Calendar'!$M$705='Field Check'!$C$25)&gt;0,"",'Dvd Calendar'!$M$701)))</f>
        <v/>
      </c>
      <c r="BZ55" s="85">
        <f>IF(L55="","",IF(ISNUMBER('Dvd Calendar'!$N$701)=FALSE,"",IF((Summary!$C$13="N")*('Dvd Calendar'!$N$705='Field Check'!$C$25)&gt;0,"",'Dvd Calendar'!$N$701)))</f>
        <v/>
      </c>
      <c r="CA55" s="85">
        <f>IF(M55="","",IF(ISNUMBER('Dvd Calendar'!$O$701)=FALSE,"",IF((Summary!$C$13="N")*('Dvd Calendar'!$O$705='Field Check'!$C$25)&gt;0,"",'Dvd Calendar'!$O$701)))</f>
        <v/>
      </c>
      <c r="CB55" s="85">
        <f>IF(N55="","",IF(ISNUMBER('Dvd Calendar'!$P$701)=FALSE,"",IF((Summary!$C$13="N")*('Dvd Calendar'!$P$705='Field Check'!$C$25)&gt;0,"",'Dvd Calendar'!$P$701)))</f>
        <v/>
      </c>
      <c r="CC55" s="85">
        <f>IF(O55="","",IF(ISNUMBER('Dvd Calendar'!$Q$701)=FALSE,"",IF((Summary!$C$13="N")*('Dvd Calendar'!$Q$705='Field Check'!$C$25)&gt;0,"",'Dvd Calendar'!$Q$701)))</f>
        <v/>
      </c>
      <c r="CD55" s="85">
        <f>IF(P55="","",IF(ISNUMBER('Dvd Calendar'!$R$701)=FALSE,"",IF((Summary!$C$13="N")*('Dvd Calendar'!$R$705='Field Check'!$C$25)&gt;0,"",'Dvd Calendar'!$R$701)))</f>
        <v/>
      </c>
      <c r="CE55" s="85">
        <f>IF(Q55="","",IF(ISNUMBER('Dvd Calendar'!$S$701)=FALSE,"",IF((Summary!$C$13="N")*('Dvd Calendar'!$S$705='Field Check'!$C$25)&gt;0,"",'Dvd Calendar'!$S$701)))</f>
        <v/>
      </c>
      <c r="CF55" s="85">
        <f>IF(R55="","",IF(ISNUMBER('Dvd Calendar'!$T$701)=FALSE,"",IF((Summary!$C$13="N")*('Dvd Calendar'!$T$705='Field Check'!$C$25)&gt;0,"",'Dvd Calendar'!$T$701)))</f>
        <v/>
      </c>
      <c r="CG55" s="85">
        <f>IF(S55="","",IF(ISNUMBER('Dvd Calendar'!$U$701)=FALSE,"",IF((Summary!$C$13="N")*('Dvd Calendar'!$U$705='Field Check'!$C$25)&gt;0,"",'Dvd Calendar'!$U$701)))</f>
        <v/>
      </c>
      <c r="CH55" s="85">
        <f>IF(T55="","",IF(ISNUMBER('Dvd Calendar'!$V$701)=FALSE,"",IF((Summary!$C$13="N")*('Dvd Calendar'!$V$705='Field Check'!$C$25)&gt;0,"",'Dvd Calendar'!$V$701)))</f>
        <v/>
      </c>
      <c r="CI55" s="85">
        <f>IF(U55="","",IF(ISNUMBER('Dvd Calendar'!$W$701)=FALSE,"",IF((Summary!$C$13="N")*('Dvd Calendar'!$W$705='Field Check'!$C$25)&gt;0,"",'Dvd Calendar'!$W$701)))</f>
        <v/>
      </c>
      <c r="CJ55" s="85">
        <f>IF(V55="","",IF(ISNUMBER('Dvd Calendar'!$X$701)=FALSE,"",IF((Summary!$C$13="N")*('Dvd Calendar'!$X$705='Field Check'!$C$25)&gt;0,"",'Dvd Calendar'!$X$701)))</f>
        <v/>
      </c>
      <c r="CK55" s="85">
        <f>IF(W55="","",IF(ISNUMBER('Dvd Calendar'!$Y$701)=FALSE,"",IF((Summary!$C$13="N")*('Dvd Calendar'!$Y$705='Field Check'!$C$25)&gt;0,"",'Dvd Calendar'!$Y$701)))</f>
        <v/>
      </c>
      <c r="CL55" s="85">
        <f>IF(X55="","",IF(ISNUMBER('Dvd Calendar'!$Z$701)=FALSE,"",IF((Summary!$C$13="N")*('Dvd Calendar'!$Z$705='Field Check'!$C$25)&gt;0,"",'Dvd Calendar'!$Z$701)))</f>
        <v/>
      </c>
      <c r="CM55" s="85">
        <f>IF(Y55="","",IF(ISNUMBER('Dvd Calendar'!$AA$701)=FALSE,"",IF((Summary!$C$13="N")*('Dvd Calendar'!$AA$705='Field Check'!$C$25)&gt;0,"",'Dvd Calendar'!$AA$701)))</f>
        <v/>
      </c>
      <c r="CN55" s="85">
        <f>IF(Z55="","",IF(ISNUMBER('Dvd Calendar'!$AB$701)=FALSE,"",IF((Summary!$C$13="N")*('Dvd Calendar'!$AB$705='Field Check'!$C$25)&gt;0,"",'Dvd Calendar'!$AB$701)))</f>
        <v/>
      </c>
      <c r="CO55" s="85">
        <f>IF(AA55="","",IF(ISNUMBER('Dvd Calendar'!$AC$701)=FALSE,"",IF((Summary!$C$13="N")*('Dvd Calendar'!$AC$705='Field Check'!$C$25)&gt;0,"",'Dvd Calendar'!$AC$701)))</f>
        <v/>
      </c>
      <c r="CP55" s="85">
        <f>IF(AB55="","",IF(ISNUMBER('Dvd Calendar'!$AD$701)=FALSE,"",IF((Summary!$C$13="N")*('Dvd Calendar'!$AD$705='Field Check'!$C$25)&gt;0,"",'Dvd Calendar'!$AD$701)))</f>
        <v/>
      </c>
      <c r="CQ55" s="85">
        <f>IF(AC55="","",IF(ISNUMBER('Dvd Calendar'!$AE$701)=FALSE,"",IF((Summary!$C$13="N")*('Dvd Calendar'!$AE$705='Field Check'!$C$25)&gt;0,"",'Dvd Calendar'!$AE$701)))</f>
        <v/>
      </c>
      <c r="CR55" s="85">
        <f>IF(AD55="","",IF(ISNUMBER('Dvd Calendar'!$AF$701)=FALSE,"",IF((Summary!$C$13="N")*('Dvd Calendar'!$AF$705='Field Check'!$C$25)&gt;0,"",'Dvd Calendar'!$AF$701)))</f>
        <v/>
      </c>
      <c r="CS55" s="85">
        <f>IF(AE55="","",IF(ISNUMBER('Dvd Calendar'!$AG$701)=FALSE,"",IF((Summary!$C$13="N")*('Dvd Calendar'!$AG$705='Field Check'!$C$25)&gt;0,"",'Dvd Calendar'!$AG$701)))</f>
        <v/>
      </c>
      <c r="CT55" s="85">
        <f>IF(AF55="","",IF(ISNUMBER('Dvd Calendar'!$AH$701)=FALSE,"",IF((Summary!$C$13="N")*('Dvd Calendar'!$AH$705='Field Check'!$C$25)&gt;0,"",'Dvd Calendar'!$AH$701)))</f>
        <v/>
      </c>
      <c r="CU55" s="85">
        <f>IF(AG55="","",IF(ISNUMBER('Dvd Calendar'!$AI$701)=FALSE,"",IF((Summary!$C$13="N")*('Dvd Calendar'!$AI$705='Field Check'!$C$25)&gt;0,"",'Dvd Calendar'!$AI$701)))</f>
        <v/>
      </c>
      <c r="CV55" s="85">
        <f>IF(AH55="","",IF(ISNUMBER('Dvd Calendar'!$AJ$701)=FALSE,"",IF((Summary!$C$13="N")*('Dvd Calendar'!$AJ$705='Field Check'!$C$25)&gt;0,"",'Dvd Calendar'!$AJ$701)))</f>
        <v/>
      </c>
      <c r="CW55" s="85">
        <f>IF(AI55="","",IF(ISNUMBER('Dvd Calendar'!$AK$701)=FALSE,"",IF((Summary!$C$13="N")*('Dvd Calendar'!$AK$705='Field Check'!$C$25)&gt;0,"",'Dvd Calendar'!$AK$701)))</f>
        <v/>
      </c>
      <c r="CX55" s="85">
        <f>IF(AJ55="","",IF(ISNUMBER('Dvd Calendar'!$AL$701)=FALSE,"",IF((Summary!$C$13="N")*('Dvd Calendar'!$AL$705='Field Check'!$C$25)&gt;0,"",'Dvd Calendar'!$AL$701)))</f>
        <v/>
      </c>
      <c r="CY55" s="85">
        <f>IF(AK55="","",IF(ISNUMBER('Dvd Calendar'!$AM$701)=FALSE,"",IF((Summary!$C$13="N")*('Dvd Calendar'!$AM$705='Field Check'!$C$25)&gt;0,"",'Dvd Calendar'!$AM$701)))</f>
        <v/>
      </c>
      <c r="CZ55" s="85">
        <f>IF(AL55="","",IF(ISNUMBER('Dvd Calendar'!$AN$701)=FALSE,"",IF((Summary!$C$13="N")*('Dvd Calendar'!$AN$705='Field Check'!$C$25)&gt;0,"",'Dvd Calendar'!$AN$701)))</f>
        <v/>
      </c>
      <c r="DA55" s="85">
        <f>IF(AM55="","",IF(ISNUMBER('Dvd Calendar'!$AO$701)=FALSE,"",IF((Summary!$C$13="N")*('Dvd Calendar'!$AO$705='Field Check'!$C$25)&gt;0,"",'Dvd Calendar'!$AO$701)))</f>
        <v/>
      </c>
      <c r="DB55" s="85">
        <f>IF(AN55="","",IF(ISNUMBER('Dvd Calendar'!$AP$701)=FALSE,"",IF((Summary!$C$13="N")*('Dvd Calendar'!$AP$705='Field Check'!$C$25)&gt;0,"",'Dvd Calendar'!$AP$701)))</f>
        <v/>
      </c>
      <c r="DC55" s="85">
        <f>IF(AO55="","",IF(ISNUMBER('Dvd Calendar'!$AQ$701)=FALSE,"",IF((Summary!$C$13="N")*('Dvd Calendar'!$AQ$705='Field Check'!$C$25)&gt;0,"",'Dvd Calendar'!$AQ$701)))</f>
        <v/>
      </c>
      <c r="DD55" s="85">
        <f>IF(AP55="","",IF(ISNUMBER('Dvd Calendar'!$AR$701)=FALSE,"",IF((Summary!$C$13="N")*('Dvd Calendar'!$AR$705='Field Check'!$C$25)&gt;0,"",'Dvd Calendar'!$AR$701)))</f>
        <v/>
      </c>
      <c r="DE55" s="85">
        <f>IF(AQ55="","",IF(ISNUMBER('Dvd Calendar'!$E$708)=FALSE,"",IF((Summary!$C$13="N")*('Dvd Calendar'!$E$712='Field Check'!$C$25)&gt;0,"",'Dvd Calendar'!$E$708)))</f>
        <v/>
      </c>
      <c r="DF55" s="85">
        <f>IF(AR55="","",IF(ISNUMBER('Dvd Calendar'!$F$708)=FALSE,"",IF((Summary!$C$13="N")*('Dvd Calendar'!$F$712='Field Check'!$C$25)&gt;0,"",'Dvd Calendar'!$F$708)))</f>
        <v/>
      </c>
      <c r="DG55" s="85">
        <f>IF(AS55="","",IF(ISNUMBER('Dvd Calendar'!$G$708)=FALSE,"",IF((Summary!$C$13="N")*('Dvd Calendar'!$G$712='Field Check'!$C$25)&gt;0,"",'Dvd Calendar'!$G$708)))</f>
        <v/>
      </c>
      <c r="DH55" s="85">
        <f>IF(AT55="","",IF(ISNUMBER('Dvd Calendar'!$H$708)=FALSE,"",IF((Summary!$C$13="N")*('Dvd Calendar'!$H$712='Field Check'!$C$25)&gt;0,"",'Dvd Calendar'!$H$708)))</f>
        <v/>
      </c>
      <c r="DI55" s="85">
        <f>IF(AU55="","",IF(ISNUMBER('Dvd Calendar'!$I$708)=FALSE,"",IF((Summary!$C$13="N")*('Dvd Calendar'!$I$712='Field Check'!$C$25)&gt;0,"",'Dvd Calendar'!$I$708)))</f>
        <v/>
      </c>
      <c r="DJ55" s="85">
        <f>IF(AV55="","",IF(ISNUMBER('Dvd Calendar'!$J$708)=FALSE,"",IF((Summary!$C$13="N")*('Dvd Calendar'!$J$712='Field Check'!$C$25)&gt;0,"",'Dvd Calendar'!$J$708)))</f>
        <v/>
      </c>
      <c r="DK55" s="85">
        <f>IF(AW55="","",IF(ISNUMBER('Dvd Calendar'!$K$708)=FALSE,"",IF((Summary!$C$13="N")*('Dvd Calendar'!$K$712='Field Check'!$C$25)&gt;0,"",'Dvd Calendar'!$K$708)))</f>
        <v/>
      </c>
      <c r="DL55" s="85">
        <f>IF(AX55="","",IF(ISNUMBER('Dvd Calendar'!$L$708)=FALSE,"",IF((Summary!$C$13="N")*('Dvd Calendar'!$L$712='Field Check'!$C$25)&gt;0,"",'Dvd Calendar'!$L$708)))</f>
        <v/>
      </c>
      <c r="DM55" s="85">
        <f>IF(AY55="","",IF(ISNUMBER('Dvd Calendar'!$M$708)=FALSE,"",IF((Summary!$C$13="N")*('Dvd Calendar'!$M$712='Field Check'!$C$25)&gt;0,"",'Dvd Calendar'!$M$708)))</f>
        <v/>
      </c>
      <c r="DN55" s="85">
        <f>IF(AZ55="","",IF(ISNUMBER('Dvd Calendar'!$N$708)=FALSE,"",IF((Summary!$C$13="N")*('Dvd Calendar'!$N$712='Field Check'!$C$25)&gt;0,"",'Dvd Calendar'!$N$708)))</f>
        <v/>
      </c>
      <c r="DO55" s="85">
        <f>IF(BA55="","",IF(ISNUMBER('Dvd Calendar'!$O$708)=FALSE,"",IF((Summary!$C$13="N")*('Dvd Calendar'!$O$712='Field Check'!$C$25)&gt;0,"",'Dvd Calendar'!$O$708)))</f>
        <v/>
      </c>
      <c r="DP55" s="85">
        <f>IF(BB55="","",IF(ISNUMBER('Dvd Calendar'!$P$708)=FALSE,"",IF((Summary!$C$13="N")*('Dvd Calendar'!$P$712='Field Check'!$C$25)&gt;0,"",'Dvd Calendar'!$P$708)))</f>
        <v/>
      </c>
      <c r="DQ55" s="85">
        <f>IF(BC55="","",IF(ISNUMBER('Dvd Calendar'!$Q$708)=FALSE,"",IF((Summary!$C$13="N")*('Dvd Calendar'!$Q$712='Field Check'!$C$25)&gt;0,"",'Dvd Calendar'!$Q$708)))</f>
        <v/>
      </c>
      <c r="DR55" s="85">
        <f>IF(BD55="","",IF(ISNUMBER('Dvd Calendar'!$R$708)=FALSE,"",IF((Summary!$C$13="N")*('Dvd Calendar'!$R$712='Field Check'!$C$25)&gt;0,"",'Dvd Calendar'!$R$708)))</f>
        <v/>
      </c>
      <c r="DS55" s="85">
        <f>IF(BE55="","",IF(ISNUMBER('Dvd Calendar'!$S$708)=FALSE,"",IF((Summary!$C$13="N")*('Dvd Calendar'!$S$712='Field Check'!$C$25)&gt;0,"",'Dvd Calendar'!$S$708)))</f>
        <v/>
      </c>
      <c r="DT55" s="85">
        <f>IF(BF55="","",IF(ISNUMBER('Dvd Calendar'!$T$708)=FALSE,"",IF((Summary!$C$13="N")*('Dvd Calendar'!$T$712='Field Check'!$C$25)&gt;0,"",'Dvd Calendar'!$T$708)))</f>
        <v/>
      </c>
      <c r="DU55" s="85">
        <f>IF(BG55="","",IF(ISNUMBER('Dvd Calendar'!$U$708)=FALSE,"",IF((Summary!$C$13="N")*('Dvd Calendar'!$U$712='Field Check'!$C$25)&gt;0,"",'Dvd Calendar'!$U$708)))</f>
        <v/>
      </c>
      <c r="DV55" s="85">
        <f>IF(BH55="","",IF(ISNUMBER('Dvd Calendar'!$V$708)=FALSE,"",IF((Summary!$C$13="N")*('Dvd Calendar'!$V$712='Field Check'!$C$25)&gt;0,"",'Dvd Calendar'!$V$708)))</f>
        <v/>
      </c>
      <c r="DW55" s="85">
        <f>IF(BI55="","",IF(ISNUMBER('Dvd Calendar'!$W$708)=FALSE,"",IF((Summary!$C$13="N")*('Dvd Calendar'!$W$712='Field Check'!$C$25)&gt;0,"",'Dvd Calendar'!$W$708)))</f>
        <v/>
      </c>
      <c r="DX55" s="85">
        <f>IF(BJ55="","",IF(ISNUMBER('Dvd Calendar'!$X$708)=FALSE,"",IF((Summary!$C$13="N")*('Dvd Calendar'!$X$712='Field Check'!$C$25)&gt;0,"",'Dvd Calendar'!$X$708)))</f>
        <v/>
      </c>
      <c r="DY55" s="85">
        <f>IF(BK55="","",IF(ISNUMBER('Dvd Calendar'!$Y$708)=FALSE,"",IF((Summary!$C$13="N")*('Dvd Calendar'!$Y$712='Field Check'!$C$25)&gt;0,"",'Dvd Calendar'!$Y$708)))</f>
        <v/>
      </c>
      <c r="DZ55" s="85">
        <f>IF(BL55="","",IF(ISNUMBER('Dvd Calendar'!$Z$708)=FALSE,"",IF((Summary!$C$13="N")*('Dvd Calendar'!$Z$712='Field Check'!$C$25)&gt;0,"",'Dvd Calendar'!$Z$708)))</f>
        <v/>
      </c>
      <c r="EA55" s="85">
        <f>IF(BM55="","",IF(ISNUMBER('Dvd Calendar'!$AA$708)=FALSE,"",IF((Summary!$C$13="N")*('Dvd Calendar'!$AA$712='Field Check'!$C$25)&gt;0,"",'Dvd Calendar'!$AA$708)))</f>
        <v/>
      </c>
      <c r="EB55" s="85">
        <f>IF(BN55="","",IF(ISNUMBER('Dvd Calendar'!$AB$708)=FALSE,"",IF((Summary!$C$13="N")*('Dvd Calendar'!$AB$712='Field Check'!$C$25)&gt;0,"",'Dvd Calendar'!$AB$708)))</f>
        <v/>
      </c>
      <c r="EC55" s="85">
        <f>IF(BO55="","",IF(ISNUMBER('Dvd Calendar'!$AC$708)=FALSE,"",IF((Summary!$C$13="N")*('Dvd Calendar'!$AC$712='Field Check'!$C$25)&gt;0,"",'Dvd Calendar'!$AC$708)))</f>
        <v/>
      </c>
      <c r="EE55" s="85">
        <f>IF(BQ55="","",IFERROR(BQ55*HSI!$B$53*HSI!$G$53/HSI!$B$3,""))</f>
        <v/>
      </c>
      <c r="EF55" s="85">
        <f>IF(BR55="","",IFERROR(BR55*HSI!$B$53*HSI!$G$53/HSI!$B$3,""))</f>
        <v/>
      </c>
      <c r="EG55" s="85">
        <f>IF(BS55="","",IFERROR(BS55*HSI!$B$53*HSI!$G$53/HSI!$B$3,""))</f>
        <v/>
      </c>
      <c r="EH55" s="85">
        <f>IF(BT55="","",IFERROR(BT55*HSI!$B$53*HSI!$G$53/HSI!$B$3,""))</f>
        <v/>
      </c>
      <c r="EI55" s="85">
        <f>IF(BU55="","",IFERROR(BU55*HSI!$B$53*HSI!$G$53/HSI!$B$3,""))</f>
        <v/>
      </c>
      <c r="EJ55" s="85">
        <f>IF(BV55="","",IFERROR(BV55*HSI!$B$53*HSI!$G$53/HSI!$B$3,""))</f>
        <v/>
      </c>
      <c r="EK55" s="85">
        <f>IF(BW55="","",IFERROR(BW55*HSI!$B$53*HSI!$G$53/HSI!$B$3,""))</f>
        <v/>
      </c>
      <c r="EL55" s="85">
        <f>IF(BX55="","",IFERROR(BX55*HSI!$B$53*HSI!$G$53/HSI!$B$3,""))</f>
        <v/>
      </c>
      <c r="EM55" s="85">
        <f>IF(BY55="","",IFERROR(BY55*HSI!$B$53*HSI!$G$53/HSI!$B$3,""))</f>
        <v/>
      </c>
      <c r="EN55" s="85">
        <f>IF(BZ55="","",IFERROR(BZ55*HSI!$B$53*HSI!$G$53/HSI!$B$3,""))</f>
        <v/>
      </c>
      <c r="EO55" s="85">
        <f>IF(CA55="","",IFERROR(CA55*HSI!$B$53*HSI!$G$53/HSI!$B$3,""))</f>
        <v/>
      </c>
      <c r="EP55" s="85">
        <f>IF(CB55="","",IFERROR(CB55*HSI!$B$53*HSI!$G$53/HSI!$B$3,""))</f>
        <v/>
      </c>
      <c r="EQ55" s="85">
        <f>IF(CC55="","",IFERROR(CC55*HSI!$B$53*HSI!$G$53/HSI!$B$3,""))</f>
        <v/>
      </c>
      <c r="ER55" s="85">
        <f>IF(CD55="","",IFERROR(CD55*HSI!$B$53*HSI!$G$53/HSI!$B$3,""))</f>
        <v/>
      </c>
      <c r="ES55" s="85">
        <f>IF(CE55="","",IFERROR(CE55*HSI!$B$53*HSI!$G$53/HSI!$B$3,""))</f>
        <v/>
      </c>
      <c r="ET55" s="85">
        <f>IF(CF55="","",IFERROR(CF55*HSI!$B$53*HSI!$G$53/HSI!$B$3,""))</f>
        <v/>
      </c>
      <c r="EU55" s="85">
        <f>IF(CG55="","",IFERROR(CG55*HSI!$B$53*HSI!$G$53/HSI!$B$3,""))</f>
        <v/>
      </c>
      <c r="EV55" s="85">
        <f>IF(CH55="","",IFERROR(CH55*HSI!$B$53*HSI!$G$53/HSI!$B$3,""))</f>
        <v/>
      </c>
      <c r="EW55" s="85">
        <f>IF(CI55="","",IFERROR(CI55*HSI!$B$53*HSI!$G$53/HSI!$B$3,""))</f>
        <v/>
      </c>
      <c r="EX55" s="85">
        <f>IF(CJ55="","",IFERROR(CJ55*HSI!$B$53*HSI!$G$53/HSI!$B$3,""))</f>
        <v/>
      </c>
      <c r="EY55" s="85">
        <f>IF(CK55="","",IFERROR(CK55*HSI!$B$53*HSI!$G$53/HSI!$B$3,""))</f>
        <v/>
      </c>
      <c r="EZ55" s="85">
        <f>IF(CL55="","",IFERROR(CL55*HSI!$B$53*HSI!$G$53/HSI!$B$3,""))</f>
        <v/>
      </c>
      <c r="FA55" s="85">
        <f>IF(CM55="","",IFERROR(CM55*HSI!$B$53*HSI!$G$53/HSI!$B$3,""))</f>
        <v/>
      </c>
      <c r="FB55" s="85">
        <f>IF(CN55="","",IFERROR(CN55*HSI!$B$53*HSI!$G$53/HSI!$B$3,""))</f>
        <v/>
      </c>
      <c r="FC55" s="85">
        <f>IF(CO55="","",IFERROR(CO55*HSI!$B$53*HSI!$G$53/HSI!$B$3,""))</f>
        <v/>
      </c>
      <c r="FD55" s="85">
        <f>IF(CP55="","",IFERROR(CP55*HSI!$B$53*HSI!$G$53/HSI!$B$3,""))</f>
        <v/>
      </c>
      <c r="FE55" s="85">
        <f>IF(CQ55="","",IFERROR(CQ55*HSI!$B$53*HSI!$G$53/HSI!$B$3,""))</f>
        <v/>
      </c>
      <c r="FF55" s="85">
        <f>IF(CR55="","",IFERROR(CR55*HSI!$B$53*HSI!$G$53/HSI!$B$3,""))</f>
        <v/>
      </c>
      <c r="FG55" s="85">
        <f>IF(CS55="","",IFERROR(CS55*HSI!$B$53*HSI!$G$53/HSI!$B$3,""))</f>
        <v/>
      </c>
      <c r="FH55" s="85">
        <f>IF(CT55="","",IFERROR(CT55*HSI!$B$53*HSI!$G$53/HSI!$B$3,""))</f>
        <v/>
      </c>
      <c r="FI55" s="85">
        <f>IF(CU55="","",IFERROR(CU55*HSI!$B$53*HSI!$G$53/HSI!$B$3,""))</f>
        <v/>
      </c>
      <c r="FJ55" s="85">
        <f>IF(CV55="","",IFERROR(CV55*HSI!$B$53*HSI!$G$53/HSI!$B$3,""))</f>
        <v/>
      </c>
      <c r="FK55" s="85">
        <f>IF(CW55="","",IFERROR(CW55*HSI!$B$53*HSI!$G$53/HSI!$B$3,""))</f>
        <v/>
      </c>
      <c r="FL55" s="85">
        <f>IF(CX55="","",IFERROR(CX55*HSI!$B$53*HSI!$G$53/HSI!$B$3,""))</f>
        <v/>
      </c>
      <c r="FM55" s="85">
        <f>IF(CY55="","",IFERROR(CY55*HSI!$B$53*HSI!$G$53/HSI!$B$3,""))</f>
        <v/>
      </c>
      <c r="FN55" s="85">
        <f>IF(CZ55="","",IFERROR(CZ55*HSI!$B$53*HSI!$G$53/HSI!$B$3,""))</f>
        <v/>
      </c>
      <c r="FO55" s="85">
        <f>IF(DA55="","",IFERROR(DA55*HSI!$B$53*HSI!$G$53/HSI!$B$3,""))</f>
        <v/>
      </c>
      <c r="FP55" s="85">
        <f>IF(DB55="","",IFERROR(DB55*HSI!$B$53*HSI!$G$53/HSI!$B$3,""))</f>
        <v/>
      </c>
      <c r="FQ55" s="85">
        <f>IF(DC55="","",IFERROR(DC55*HSI!$B$53*HSI!$G$53/HSI!$B$3,""))</f>
        <v/>
      </c>
      <c r="FR55" s="85">
        <f>IF(DD55="","",IFERROR(DD55*HSI!$B$53*HSI!$G$53/HSI!$B$3,""))</f>
        <v/>
      </c>
      <c r="FS55" s="85">
        <f>IF(DE55="","",IFERROR(DE55*HSI!$B$53*HSI!$G$53/HSI!$B$3,""))</f>
        <v/>
      </c>
      <c r="FT55" s="85">
        <f>IF(DF55="","",IFERROR(DF55*HSI!$B$53*HSI!$G$53/HSI!$B$3,""))</f>
        <v/>
      </c>
      <c r="FU55" s="85">
        <f>IF(DG55="","",IFERROR(DG55*HSI!$B$53*HSI!$G$53/HSI!$B$3,""))</f>
        <v/>
      </c>
      <c r="FV55" s="85">
        <f>IF(DH55="","",IFERROR(DH55*HSI!$B$53*HSI!$G$53/HSI!$B$3,""))</f>
        <v/>
      </c>
      <c r="FW55" s="85">
        <f>IF(DI55="","",IFERROR(DI55*HSI!$B$53*HSI!$G$53/HSI!$B$3,""))</f>
        <v/>
      </c>
      <c r="FX55" s="85">
        <f>IF(DJ55="","",IFERROR(DJ55*HSI!$B$53*HSI!$G$53/HSI!$B$3,""))</f>
        <v/>
      </c>
      <c r="FY55" s="85">
        <f>IF(DK55="","",IFERROR(DK55*HSI!$B$53*HSI!$G$53/HSI!$B$3,""))</f>
        <v/>
      </c>
      <c r="FZ55" s="85">
        <f>IF(DL55="","",IFERROR(DL55*HSI!$B$53*HSI!$G$53/HSI!$B$3,""))</f>
        <v/>
      </c>
      <c r="GA55" s="85">
        <f>IF(DM55="","",IFERROR(DM55*HSI!$B$53*HSI!$G$53/HSI!$B$3,""))</f>
        <v/>
      </c>
      <c r="GB55" s="85">
        <f>IF(DN55="","",IFERROR(DN55*HSI!$B$53*HSI!$G$53/HSI!$B$3,""))</f>
        <v/>
      </c>
      <c r="GC55" s="85">
        <f>IF(DO55="","",IFERROR(DO55*HSI!$B$53*HSI!$G$53/HSI!$B$3,""))</f>
        <v/>
      </c>
      <c r="GD55" s="85">
        <f>IF(DP55="","",IFERROR(DP55*HSI!$B$53*HSI!$G$53/HSI!$B$3,""))</f>
        <v/>
      </c>
      <c r="GE55" s="85">
        <f>IF(DQ55="","",IFERROR(DQ55*HSI!$B$53*HSI!$G$53/HSI!$B$3,""))</f>
        <v/>
      </c>
      <c r="GF55" s="85">
        <f>IF(DR55="","",IFERROR(DR55*HSI!$B$53*HSI!$G$53/HSI!$B$3,""))</f>
        <v/>
      </c>
      <c r="GG55" s="85">
        <f>IF(DS55="","",IFERROR(DS55*HSI!$B$53*HSI!$G$53/HSI!$B$3,""))</f>
        <v/>
      </c>
      <c r="GH55" s="85">
        <f>IF(DT55="","",IFERROR(DT55*HSI!$B$53*HSI!$G$53/HSI!$B$3,""))</f>
        <v/>
      </c>
      <c r="GI55" s="85">
        <f>IF(DU55="","",IFERROR(DU55*HSI!$B$53*HSI!$G$53/HSI!$B$3,""))</f>
        <v/>
      </c>
      <c r="GJ55" s="85">
        <f>IF(DV55="","",IFERROR(DV55*HSI!$B$53*HSI!$G$53/HSI!$B$3,""))</f>
        <v/>
      </c>
      <c r="GK55" s="85">
        <f>IF(DW55="","",IFERROR(DW55*HSI!$B$53*HSI!$G$53/HSI!$B$3,""))</f>
        <v/>
      </c>
      <c r="GL55" s="85">
        <f>IF(DX55="","",IFERROR(DX55*HSI!$B$53*HSI!$G$53/HSI!$B$3,""))</f>
        <v/>
      </c>
      <c r="GM55" s="85">
        <f>IF(DY55="","",IFERROR(DY55*HSI!$B$53*HSI!$G$53/HSI!$B$3,""))</f>
        <v/>
      </c>
      <c r="GN55" s="85">
        <f>IF(DZ55="","",IFERROR(DZ55*HSI!$B$53*HSI!$G$53/HSI!$B$3,""))</f>
        <v/>
      </c>
      <c r="GO55" s="85">
        <f>IF(EA55="","",IFERROR(EA55*HSI!$B$53*HSI!$G$53/HSI!$B$3,""))</f>
        <v/>
      </c>
      <c r="GP55" s="85">
        <f>IF(EB55="","",IFERROR(EB55*HSI!$B$53*HSI!$G$53/HSI!$B$3,""))</f>
        <v/>
      </c>
      <c r="GQ55" s="85">
        <f>IF(EC55="","",IFERROR(EC55*HSI!$B$53*HSI!$G$53/HSI!$B$3,""))</f>
        <v/>
      </c>
    </row>
    <row r="56">
      <c r="B56" s="2">
        <f>IF(HSI!$C$54="","",HSI!$C$54)</f>
        <v/>
      </c>
      <c r="C56" s="41">
        <f>IF(N('Dvd Calendar'!$E$715)=0,"",IF(('Dvd Calendar'!$E$715&gt;=MIN(DATE(Summary!$C$12,1,1),Summary!$C$11))*('Dvd Calendar'!$E$715&lt;=MAX(DATE(Summary!$C$12,12,31),Summary!$C$15))*('Dvd Calendar'!$E$715&lt;=Summary!$C$11)=0,"",'Dvd Calendar'!$E$715*1000000000+ISNUMBER('Dvd Calendar'!$E$716)*100000000+('Dvd Calendar'!$E$720='Field Check'!$C$25)*10000000+(N('Dvd Calendar'!$E$714)&gt;0)*1000000+48*1000+1))</f>
        <v/>
      </c>
      <c r="D56" s="41">
        <f>IF(N('Dvd Calendar'!$F$715)=0,"",IF(('Dvd Calendar'!$F$715&gt;=MIN(DATE(Summary!$C$12,1,1),Summary!$C$11))*('Dvd Calendar'!$F$715&lt;=MAX(DATE(Summary!$C$12,12,31),Summary!$C$15))*('Dvd Calendar'!$F$715&lt;=Summary!$C$11)=0,"",'Dvd Calendar'!$F$715*1000000000+ISNUMBER('Dvd Calendar'!$F$716)*100000000+('Dvd Calendar'!$F$720='Field Check'!$C$25)*10000000+(N('Dvd Calendar'!$F$714)&gt;0)*1000000+48*1000+2))</f>
        <v/>
      </c>
      <c r="E56" s="41">
        <f>IF(N('Dvd Calendar'!$G$715)=0,"",IF(('Dvd Calendar'!$G$715&gt;=MIN(DATE(Summary!$C$12,1,1),Summary!$C$11))*('Dvd Calendar'!$G$715&lt;=MAX(DATE(Summary!$C$12,12,31),Summary!$C$15))*('Dvd Calendar'!$G$715&lt;=Summary!$C$11)=0,"",'Dvd Calendar'!$G$715*1000000000+ISNUMBER('Dvd Calendar'!$G$716)*100000000+('Dvd Calendar'!$G$720='Field Check'!$C$25)*10000000+(N('Dvd Calendar'!$G$714)&gt;0)*1000000+48*1000+3))</f>
        <v/>
      </c>
      <c r="F56" s="41">
        <f>IF(N('Dvd Calendar'!$H$715)=0,"",IF(('Dvd Calendar'!$H$715&gt;=MIN(DATE(Summary!$C$12,1,1),Summary!$C$11))*('Dvd Calendar'!$H$715&lt;=MAX(DATE(Summary!$C$12,12,31),Summary!$C$15))*('Dvd Calendar'!$H$715&lt;=Summary!$C$11)=0,"",'Dvd Calendar'!$H$715*1000000000+ISNUMBER('Dvd Calendar'!$H$716)*100000000+('Dvd Calendar'!$H$720='Field Check'!$C$25)*10000000+(N('Dvd Calendar'!$H$714)&gt;0)*1000000+48*1000+4))</f>
        <v/>
      </c>
      <c r="G56" s="41">
        <f>IF(N('Dvd Calendar'!$I$715)=0,"",IF(('Dvd Calendar'!$I$715&gt;=MIN(DATE(Summary!$C$12,1,1),Summary!$C$11))*('Dvd Calendar'!$I$715&lt;=MAX(DATE(Summary!$C$12,12,31),Summary!$C$15))*('Dvd Calendar'!$I$715&lt;=Summary!$C$11)=0,"",'Dvd Calendar'!$I$715*1000000000+ISNUMBER('Dvd Calendar'!$I$716)*100000000+('Dvd Calendar'!$I$720='Field Check'!$C$25)*10000000+(N('Dvd Calendar'!$I$714)&gt;0)*1000000+48*1000+5))</f>
        <v/>
      </c>
      <c r="H56" s="41">
        <f>IF(N('Dvd Calendar'!$J$715)=0,"",IF(('Dvd Calendar'!$J$715&gt;=MIN(DATE(Summary!$C$12,1,1),Summary!$C$11))*('Dvd Calendar'!$J$715&lt;=MAX(DATE(Summary!$C$12,12,31),Summary!$C$15))*('Dvd Calendar'!$J$715&lt;=Summary!$C$11)=0,"",'Dvd Calendar'!$J$715*1000000000+ISNUMBER('Dvd Calendar'!$J$716)*100000000+('Dvd Calendar'!$J$720='Field Check'!$C$25)*10000000+(N('Dvd Calendar'!$J$714)&gt;0)*1000000+48*1000+6))</f>
        <v/>
      </c>
      <c r="I56" s="41">
        <f>IF(N('Dvd Calendar'!$K$715)=0,"",IF(('Dvd Calendar'!$K$715&gt;=MIN(DATE(Summary!$C$12,1,1),Summary!$C$11))*('Dvd Calendar'!$K$715&lt;=MAX(DATE(Summary!$C$12,12,31),Summary!$C$15))*('Dvd Calendar'!$K$715&lt;=Summary!$C$11)=0,"",'Dvd Calendar'!$K$715*1000000000+ISNUMBER('Dvd Calendar'!$K$716)*100000000+('Dvd Calendar'!$K$720='Field Check'!$C$25)*10000000+(N('Dvd Calendar'!$K$714)&gt;0)*1000000+48*1000+7))</f>
        <v/>
      </c>
      <c r="J56" s="41">
        <f>IF(N('Dvd Calendar'!$L$715)=0,"",IF(('Dvd Calendar'!$L$715&gt;=MIN(DATE(Summary!$C$12,1,1),Summary!$C$11))*('Dvd Calendar'!$L$715&lt;=MAX(DATE(Summary!$C$12,12,31),Summary!$C$15))*('Dvd Calendar'!$L$715&lt;=Summary!$C$11)=0,"",'Dvd Calendar'!$L$715*1000000000+ISNUMBER('Dvd Calendar'!$L$716)*100000000+('Dvd Calendar'!$L$720='Field Check'!$C$25)*10000000+(N('Dvd Calendar'!$L$714)&gt;0)*1000000+48*1000+8))</f>
        <v/>
      </c>
      <c r="K56" s="41">
        <f>IF(N('Dvd Calendar'!$M$715)=0,"",IF(('Dvd Calendar'!$M$715&gt;=MIN(DATE(Summary!$C$12,1,1),Summary!$C$11))*('Dvd Calendar'!$M$715&lt;=MAX(DATE(Summary!$C$12,12,31),Summary!$C$15))*('Dvd Calendar'!$M$715&lt;=Summary!$C$11)=0,"",'Dvd Calendar'!$M$715*1000000000+ISNUMBER('Dvd Calendar'!$M$716)*100000000+('Dvd Calendar'!$M$720='Field Check'!$C$25)*10000000+(N('Dvd Calendar'!$M$714)&gt;0)*1000000+48*1000+9))</f>
        <v/>
      </c>
      <c r="L56" s="41">
        <f>IF(N('Dvd Calendar'!$N$715)=0,"",IF(('Dvd Calendar'!$N$715&gt;=MIN(DATE(Summary!$C$12,1,1),Summary!$C$11))*('Dvd Calendar'!$N$715&lt;=MAX(DATE(Summary!$C$12,12,31),Summary!$C$15))*('Dvd Calendar'!$N$715&lt;=Summary!$C$11)=0,"",'Dvd Calendar'!$N$715*1000000000+ISNUMBER('Dvd Calendar'!$N$716)*100000000+('Dvd Calendar'!$N$720='Field Check'!$C$25)*10000000+(N('Dvd Calendar'!$N$714)&gt;0)*1000000+48*1000+10))</f>
        <v/>
      </c>
      <c r="M56" s="41">
        <f>IF(N('Dvd Calendar'!$O$715)=0,"",IF(('Dvd Calendar'!$O$715&gt;=MIN(DATE(Summary!$C$12,1,1),Summary!$C$11))*('Dvd Calendar'!$O$715&lt;=MAX(DATE(Summary!$C$12,12,31),Summary!$C$15))*('Dvd Calendar'!$O$715&lt;=Summary!$C$11)=0,"",'Dvd Calendar'!$O$715*1000000000+ISNUMBER('Dvd Calendar'!$O$716)*100000000+('Dvd Calendar'!$O$720='Field Check'!$C$25)*10000000+(N('Dvd Calendar'!$O$714)&gt;0)*1000000+48*1000+11))</f>
        <v/>
      </c>
      <c r="N56" s="41">
        <f>IF(N('Dvd Calendar'!$P$715)=0,"",IF(('Dvd Calendar'!$P$715&gt;=MIN(DATE(Summary!$C$12,1,1),Summary!$C$11))*('Dvd Calendar'!$P$715&lt;=MAX(DATE(Summary!$C$12,12,31),Summary!$C$15))*('Dvd Calendar'!$P$715&lt;=Summary!$C$11)=0,"",'Dvd Calendar'!$P$715*1000000000+ISNUMBER('Dvd Calendar'!$P$716)*100000000+('Dvd Calendar'!$P$720='Field Check'!$C$25)*10000000+(N('Dvd Calendar'!$P$714)&gt;0)*1000000+48*1000+12))</f>
        <v/>
      </c>
      <c r="O56" s="41">
        <f>IF(N('Dvd Calendar'!$Q$715)=0,"",IF(('Dvd Calendar'!$Q$715&gt;=MIN(DATE(Summary!$C$12,1,1),Summary!$C$11))*('Dvd Calendar'!$Q$715&lt;=MAX(DATE(Summary!$C$12,12,31),Summary!$C$15))*('Dvd Calendar'!$Q$715&lt;=Summary!$C$11)=0,"",'Dvd Calendar'!$Q$715*1000000000+ISNUMBER('Dvd Calendar'!$Q$716)*100000000+('Dvd Calendar'!$Q$720='Field Check'!$C$25)*10000000+(N('Dvd Calendar'!$Q$714)&gt;0)*1000000+48*1000+13))</f>
        <v/>
      </c>
      <c r="P56" s="41">
        <f>IF(N('Dvd Calendar'!$R$715)=0,"",IF(('Dvd Calendar'!$R$715&gt;=MIN(DATE(Summary!$C$12,1,1),Summary!$C$11))*('Dvd Calendar'!$R$715&lt;=MAX(DATE(Summary!$C$12,12,31),Summary!$C$15))*('Dvd Calendar'!$R$715&lt;=Summary!$C$11)=0,"",'Dvd Calendar'!$R$715*1000000000+ISNUMBER('Dvd Calendar'!$R$716)*100000000+('Dvd Calendar'!$R$720='Field Check'!$C$25)*10000000+(N('Dvd Calendar'!$R$714)&gt;0)*1000000+48*1000+14))</f>
        <v/>
      </c>
      <c r="Q56" s="41">
        <f>IF(N('Dvd Calendar'!$S$715)=0,"",IF(('Dvd Calendar'!$S$715&gt;=MIN(DATE(Summary!$C$12,1,1),Summary!$C$11))*('Dvd Calendar'!$S$715&lt;=MAX(DATE(Summary!$C$12,12,31),Summary!$C$15))*('Dvd Calendar'!$S$715&lt;=Summary!$C$11)=0,"",'Dvd Calendar'!$S$715*1000000000+ISNUMBER('Dvd Calendar'!$S$716)*100000000+('Dvd Calendar'!$S$720='Field Check'!$C$25)*10000000+(N('Dvd Calendar'!$S$714)&gt;0)*1000000+48*1000+15))</f>
        <v/>
      </c>
      <c r="R56" s="41">
        <f>IF(N('Dvd Calendar'!$T$715)=0,"",IF(('Dvd Calendar'!$T$715&gt;=MIN(DATE(Summary!$C$12,1,1),Summary!$C$11))*('Dvd Calendar'!$T$715&lt;=MAX(DATE(Summary!$C$12,12,31),Summary!$C$15))*('Dvd Calendar'!$T$715&lt;=Summary!$C$11)=0,"",'Dvd Calendar'!$T$715*1000000000+ISNUMBER('Dvd Calendar'!$T$716)*100000000+('Dvd Calendar'!$T$720='Field Check'!$C$25)*10000000+(N('Dvd Calendar'!$T$714)&gt;0)*1000000+48*1000+16))</f>
        <v/>
      </c>
      <c r="S56" s="41">
        <f>IF(N('Dvd Calendar'!$U$715)=0,"",IF(('Dvd Calendar'!$U$715&gt;=MIN(DATE(Summary!$C$12,1,1),Summary!$C$11))*('Dvd Calendar'!$U$715&lt;=MAX(DATE(Summary!$C$12,12,31),Summary!$C$15))*('Dvd Calendar'!$U$715&lt;=Summary!$C$11)=0,"",'Dvd Calendar'!$U$715*1000000000+ISNUMBER('Dvd Calendar'!$U$716)*100000000+('Dvd Calendar'!$U$720='Field Check'!$C$25)*10000000+(N('Dvd Calendar'!$U$714)&gt;0)*1000000+48*1000+17))</f>
        <v/>
      </c>
      <c r="T56" s="41">
        <f>IF(N('Dvd Calendar'!$V$715)=0,"",IF(('Dvd Calendar'!$V$715&gt;=MIN(DATE(Summary!$C$12,1,1),Summary!$C$11))*('Dvd Calendar'!$V$715&lt;=MAX(DATE(Summary!$C$12,12,31),Summary!$C$15))*('Dvd Calendar'!$V$715&lt;=Summary!$C$11)=0,"",'Dvd Calendar'!$V$715*1000000000+ISNUMBER('Dvd Calendar'!$V$716)*100000000+('Dvd Calendar'!$V$720='Field Check'!$C$25)*10000000+(N('Dvd Calendar'!$V$714)&gt;0)*1000000+48*1000+18))</f>
        <v/>
      </c>
      <c r="U56" s="41">
        <f>IF(N('Dvd Calendar'!$W$715)=0,"",IF(('Dvd Calendar'!$W$715&gt;=MIN(DATE(Summary!$C$12,1,1),Summary!$C$11))*('Dvd Calendar'!$W$715&lt;=MAX(DATE(Summary!$C$12,12,31),Summary!$C$15))*('Dvd Calendar'!$W$715&lt;=Summary!$C$11)=0,"",'Dvd Calendar'!$W$715*1000000000+ISNUMBER('Dvd Calendar'!$W$716)*100000000+('Dvd Calendar'!$W$720='Field Check'!$C$25)*10000000+(N('Dvd Calendar'!$W$714)&gt;0)*1000000+48*1000+19))</f>
        <v/>
      </c>
      <c r="V56" s="41">
        <f>IF(N('Dvd Calendar'!$X$715)=0,"",IF(('Dvd Calendar'!$X$715&gt;=MIN(DATE(Summary!$C$12,1,1),Summary!$C$11))*('Dvd Calendar'!$X$715&lt;=MAX(DATE(Summary!$C$12,12,31),Summary!$C$15))*('Dvd Calendar'!$X$715&lt;=Summary!$C$11)=0,"",'Dvd Calendar'!$X$715*1000000000+ISNUMBER('Dvd Calendar'!$X$716)*100000000+('Dvd Calendar'!$X$720='Field Check'!$C$25)*10000000+(N('Dvd Calendar'!$X$714)&gt;0)*1000000+48*1000+20))</f>
        <v/>
      </c>
      <c r="W56" s="41">
        <f>IF(N('Dvd Calendar'!$Y$715)=0,"",IF(('Dvd Calendar'!$Y$715&gt;=MIN(DATE(Summary!$C$12,1,1),Summary!$C$11))*('Dvd Calendar'!$Y$715&lt;=MAX(DATE(Summary!$C$12,12,31),Summary!$C$15))*('Dvd Calendar'!$Y$715&lt;=Summary!$C$11)=0,"",'Dvd Calendar'!$Y$715*1000000000+ISNUMBER('Dvd Calendar'!$Y$716)*100000000+('Dvd Calendar'!$Y$720='Field Check'!$C$25)*10000000+(N('Dvd Calendar'!$Y$714)&gt;0)*1000000+48*1000+21))</f>
        <v/>
      </c>
      <c r="X56" s="41">
        <f>IF(N('Dvd Calendar'!$Z$715)=0,"",IF(('Dvd Calendar'!$Z$715&gt;=MIN(DATE(Summary!$C$12,1,1),Summary!$C$11))*('Dvd Calendar'!$Z$715&lt;=MAX(DATE(Summary!$C$12,12,31),Summary!$C$15))*('Dvd Calendar'!$Z$715&lt;=Summary!$C$11)=0,"",'Dvd Calendar'!$Z$715*1000000000+ISNUMBER('Dvd Calendar'!$Z$716)*100000000+('Dvd Calendar'!$Z$720='Field Check'!$C$25)*10000000+(N('Dvd Calendar'!$Z$714)&gt;0)*1000000+48*1000+22))</f>
        <v/>
      </c>
      <c r="Y56" s="41">
        <f>IF(N('Dvd Calendar'!$AA$715)=0,"",IF(('Dvd Calendar'!$AA$715&gt;=MIN(DATE(Summary!$C$12,1,1),Summary!$C$11))*('Dvd Calendar'!$AA$715&lt;=MAX(DATE(Summary!$C$12,12,31),Summary!$C$15))*('Dvd Calendar'!$AA$715&lt;=Summary!$C$11)=0,"",'Dvd Calendar'!$AA$715*1000000000+ISNUMBER('Dvd Calendar'!$AA$716)*100000000+('Dvd Calendar'!$AA$720='Field Check'!$C$25)*10000000+(N('Dvd Calendar'!$AA$714)&gt;0)*1000000+48*1000+23))</f>
        <v/>
      </c>
      <c r="Z56" s="41">
        <f>IF(N('Dvd Calendar'!$AB$715)=0,"",IF(('Dvd Calendar'!$AB$715&gt;=MIN(DATE(Summary!$C$12,1,1),Summary!$C$11))*('Dvd Calendar'!$AB$715&lt;=MAX(DATE(Summary!$C$12,12,31),Summary!$C$15))*('Dvd Calendar'!$AB$715&lt;=Summary!$C$11)=0,"",'Dvd Calendar'!$AB$715*1000000000+ISNUMBER('Dvd Calendar'!$AB$716)*100000000+('Dvd Calendar'!$AB$720='Field Check'!$C$25)*10000000+(N('Dvd Calendar'!$AB$714)&gt;0)*1000000+48*1000+24))</f>
        <v/>
      </c>
      <c r="AA56" s="41">
        <f>IF(N('Dvd Calendar'!$AC$715)=0,"",IF(('Dvd Calendar'!$AC$715&gt;=MIN(DATE(Summary!$C$12,1,1),Summary!$C$11))*('Dvd Calendar'!$AC$715&lt;=MAX(DATE(Summary!$C$12,12,31),Summary!$C$15))*('Dvd Calendar'!$AC$715&lt;=Summary!$C$11)=0,"",'Dvd Calendar'!$AC$715*1000000000+ISNUMBER('Dvd Calendar'!$AC$716)*100000000+('Dvd Calendar'!$AC$720='Field Check'!$C$25)*10000000+(N('Dvd Calendar'!$AC$714)&gt;0)*1000000+48*1000+25))</f>
        <v/>
      </c>
      <c r="AB56" s="41">
        <f>IF(N('Dvd Calendar'!$AD$715)=0,"",IF(('Dvd Calendar'!$AD$715&gt;=MIN(DATE(Summary!$C$12,1,1),Summary!$C$11))*('Dvd Calendar'!$AD$715&lt;=MAX(DATE(Summary!$C$12,12,31),Summary!$C$15))*('Dvd Calendar'!$AD$715&lt;=Summary!$C$11)=0,"",'Dvd Calendar'!$AD$715*1000000000+ISNUMBER('Dvd Calendar'!$AD$716)*100000000+('Dvd Calendar'!$AD$720='Field Check'!$C$25)*10000000+(N('Dvd Calendar'!$AD$714)&gt;0)*1000000+48*1000+26))</f>
        <v/>
      </c>
      <c r="AC56" s="41">
        <f>IF(N('Dvd Calendar'!$AE$715)=0,"",IF(('Dvd Calendar'!$AE$715&gt;=MIN(DATE(Summary!$C$12,1,1),Summary!$C$11))*('Dvd Calendar'!$AE$715&lt;=MAX(DATE(Summary!$C$12,12,31),Summary!$C$15))*('Dvd Calendar'!$AE$715&lt;=Summary!$C$11)=0,"",'Dvd Calendar'!$AE$715*1000000000+ISNUMBER('Dvd Calendar'!$AE$716)*100000000+('Dvd Calendar'!$AE$720='Field Check'!$C$25)*10000000+(N('Dvd Calendar'!$AE$714)&gt;0)*1000000+48*1000+27))</f>
        <v/>
      </c>
      <c r="AD56" s="41">
        <f>IF(N('Dvd Calendar'!$AF$715)=0,"",IF(('Dvd Calendar'!$AF$715&gt;=MIN(DATE(Summary!$C$12,1,1),Summary!$C$11))*('Dvd Calendar'!$AF$715&lt;=MAX(DATE(Summary!$C$12,12,31),Summary!$C$15))*('Dvd Calendar'!$AF$715&lt;=Summary!$C$11)=0,"",'Dvd Calendar'!$AF$715*1000000000+ISNUMBER('Dvd Calendar'!$AF$716)*100000000+('Dvd Calendar'!$AF$720='Field Check'!$C$25)*10000000+(N('Dvd Calendar'!$AF$714)&gt;0)*1000000+48*1000+28))</f>
        <v/>
      </c>
      <c r="AE56" s="41">
        <f>IF(N('Dvd Calendar'!$AG$715)=0,"",IF(('Dvd Calendar'!$AG$715&gt;=MIN(DATE(Summary!$C$12,1,1),Summary!$C$11))*('Dvd Calendar'!$AG$715&lt;=MAX(DATE(Summary!$C$12,12,31),Summary!$C$15))*('Dvd Calendar'!$AG$715&lt;=Summary!$C$11)=0,"",'Dvd Calendar'!$AG$715*1000000000+ISNUMBER('Dvd Calendar'!$AG$716)*100000000+('Dvd Calendar'!$AG$720='Field Check'!$C$25)*10000000+(N('Dvd Calendar'!$AG$714)&gt;0)*1000000+48*1000+29))</f>
        <v/>
      </c>
      <c r="AF56" s="41">
        <f>IF(N('Dvd Calendar'!$AH$715)=0,"",IF(('Dvd Calendar'!$AH$715&gt;=MIN(DATE(Summary!$C$12,1,1),Summary!$C$11))*('Dvd Calendar'!$AH$715&lt;=MAX(DATE(Summary!$C$12,12,31),Summary!$C$15))*('Dvd Calendar'!$AH$715&lt;=Summary!$C$11)=0,"",'Dvd Calendar'!$AH$715*1000000000+ISNUMBER('Dvd Calendar'!$AH$716)*100000000+('Dvd Calendar'!$AH$720='Field Check'!$C$25)*10000000+(N('Dvd Calendar'!$AH$714)&gt;0)*1000000+48*1000+30))</f>
        <v/>
      </c>
      <c r="AG56" s="41">
        <f>IF(N('Dvd Calendar'!$AI$715)=0,"",IF(('Dvd Calendar'!$AI$715&gt;=MIN(DATE(Summary!$C$12,1,1),Summary!$C$11))*('Dvd Calendar'!$AI$715&lt;=MAX(DATE(Summary!$C$12,12,31),Summary!$C$15))*('Dvd Calendar'!$AI$715&lt;=Summary!$C$11)=0,"",'Dvd Calendar'!$AI$715*1000000000+ISNUMBER('Dvd Calendar'!$AI$716)*100000000+('Dvd Calendar'!$AI$720='Field Check'!$C$25)*10000000+(N('Dvd Calendar'!$AI$714)&gt;0)*1000000+48*1000+31))</f>
        <v/>
      </c>
      <c r="AH56" s="41">
        <f>IF(N('Dvd Calendar'!$AJ$715)=0,"",IF(('Dvd Calendar'!$AJ$715&gt;=MIN(DATE(Summary!$C$12,1,1),Summary!$C$11))*('Dvd Calendar'!$AJ$715&lt;=MAX(DATE(Summary!$C$12,12,31),Summary!$C$15))*('Dvd Calendar'!$AJ$715&lt;=Summary!$C$11)=0,"",'Dvd Calendar'!$AJ$715*1000000000+ISNUMBER('Dvd Calendar'!$AJ$716)*100000000+('Dvd Calendar'!$AJ$720='Field Check'!$C$25)*10000000+(N('Dvd Calendar'!$AJ$714)&gt;0)*1000000+48*1000+32))</f>
        <v/>
      </c>
      <c r="AI56" s="41">
        <f>IF(N('Dvd Calendar'!$AK$715)=0,"",IF(('Dvd Calendar'!$AK$715&gt;=MIN(DATE(Summary!$C$12,1,1),Summary!$C$11))*('Dvd Calendar'!$AK$715&lt;=MAX(DATE(Summary!$C$12,12,31),Summary!$C$15))*('Dvd Calendar'!$AK$715&lt;=Summary!$C$11)=0,"",'Dvd Calendar'!$AK$715*1000000000+ISNUMBER('Dvd Calendar'!$AK$716)*100000000+('Dvd Calendar'!$AK$720='Field Check'!$C$25)*10000000+(N('Dvd Calendar'!$AK$714)&gt;0)*1000000+48*1000+33))</f>
        <v/>
      </c>
      <c r="AJ56" s="41">
        <f>IF(N('Dvd Calendar'!$AL$715)=0,"",IF(('Dvd Calendar'!$AL$715&gt;=MIN(DATE(Summary!$C$12,1,1),Summary!$C$11))*('Dvd Calendar'!$AL$715&lt;=MAX(DATE(Summary!$C$12,12,31),Summary!$C$15))*('Dvd Calendar'!$AL$715&lt;=Summary!$C$11)=0,"",'Dvd Calendar'!$AL$715*1000000000+ISNUMBER('Dvd Calendar'!$AL$716)*100000000+('Dvd Calendar'!$AL$720='Field Check'!$C$25)*10000000+(N('Dvd Calendar'!$AL$714)&gt;0)*1000000+48*1000+34))</f>
        <v/>
      </c>
      <c r="AK56" s="41">
        <f>IF(N('Dvd Calendar'!$AM$715)=0,"",IF(('Dvd Calendar'!$AM$715&gt;=MIN(DATE(Summary!$C$12,1,1),Summary!$C$11))*('Dvd Calendar'!$AM$715&lt;=MAX(DATE(Summary!$C$12,12,31),Summary!$C$15))*('Dvd Calendar'!$AM$715&lt;=Summary!$C$11)=0,"",'Dvd Calendar'!$AM$715*1000000000+ISNUMBER('Dvd Calendar'!$AM$716)*100000000+('Dvd Calendar'!$AM$720='Field Check'!$C$25)*10000000+(N('Dvd Calendar'!$AM$714)&gt;0)*1000000+48*1000+35))</f>
        <v/>
      </c>
      <c r="AL56" s="41">
        <f>IF(N('Dvd Calendar'!$AN$715)=0,"",IF(('Dvd Calendar'!$AN$715&gt;=MIN(DATE(Summary!$C$12,1,1),Summary!$C$11))*('Dvd Calendar'!$AN$715&lt;=MAX(DATE(Summary!$C$12,12,31),Summary!$C$15))*('Dvd Calendar'!$AN$715&lt;=Summary!$C$11)=0,"",'Dvd Calendar'!$AN$715*1000000000+ISNUMBER('Dvd Calendar'!$AN$716)*100000000+('Dvd Calendar'!$AN$720='Field Check'!$C$25)*10000000+(N('Dvd Calendar'!$AN$714)&gt;0)*1000000+48*1000+36))</f>
        <v/>
      </c>
      <c r="AM56" s="41">
        <f>IF(N('Dvd Calendar'!$AO$715)=0,"",IF(('Dvd Calendar'!$AO$715&gt;=MIN(DATE(Summary!$C$12,1,1),Summary!$C$11))*('Dvd Calendar'!$AO$715&lt;=MAX(DATE(Summary!$C$12,12,31),Summary!$C$15))*('Dvd Calendar'!$AO$715&lt;=Summary!$C$11)=0,"",'Dvd Calendar'!$AO$715*1000000000+ISNUMBER('Dvd Calendar'!$AO$716)*100000000+('Dvd Calendar'!$AO$720='Field Check'!$C$25)*10000000+(N('Dvd Calendar'!$AO$714)&gt;0)*1000000+48*1000+37))</f>
        <v/>
      </c>
      <c r="AN56" s="41">
        <f>IF(N('Dvd Calendar'!$AP$715)=0,"",IF(('Dvd Calendar'!$AP$715&gt;=MIN(DATE(Summary!$C$12,1,1),Summary!$C$11))*('Dvd Calendar'!$AP$715&lt;=MAX(DATE(Summary!$C$12,12,31),Summary!$C$15))*('Dvd Calendar'!$AP$715&lt;=Summary!$C$11)=0,"",'Dvd Calendar'!$AP$715*1000000000+ISNUMBER('Dvd Calendar'!$AP$716)*100000000+('Dvd Calendar'!$AP$720='Field Check'!$C$25)*10000000+(N('Dvd Calendar'!$AP$714)&gt;0)*1000000+48*1000+38))</f>
        <v/>
      </c>
      <c r="AO56" s="41">
        <f>IF(N('Dvd Calendar'!$AQ$715)=0,"",IF(('Dvd Calendar'!$AQ$715&gt;=MIN(DATE(Summary!$C$12,1,1),Summary!$C$11))*('Dvd Calendar'!$AQ$715&lt;=MAX(DATE(Summary!$C$12,12,31),Summary!$C$15))*('Dvd Calendar'!$AQ$715&lt;=Summary!$C$11)=0,"",'Dvd Calendar'!$AQ$715*1000000000+ISNUMBER('Dvd Calendar'!$AQ$716)*100000000+('Dvd Calendar'!$AQ$720='Field Check'!$C$25)*10000000+(N('Dvd Calendar'!$AQ$714)&gt;0)*1000000+48*1000+39))</f>
        <v/>
      </c>
      <c r="AP56" s="41">
        <f>IF(N('Dvd Calendar'!$AR$715)=0,"",IF(('Dvd Calendar'!$AR$715&gt;=MIN(DATE(Summary!$C$12,1,1),Summary!$C$11))*('Dvd Calendar'!$AR$715&lt;=MAX(DATE(Summary!$C$12,12,31),Summary!$C$15))*('Dvd Calendar'!$AR$715&lt;=Summary!$C$11)=0,"",'Dvd Calendar'!$AR$715*1000000000+ISNUMBER('Dvd Calendar'!$AR$716)*100000000+('Dvd Calendar'!$AR$720='Field Check'!$C$25)*10000000+(N('Dvd Calendar'!$AR$714)&gt;0)*1000000+48*1000+40))</f>
        <v/>
      </c>
      <c r="AQ56" s="41">
        <f>IF(N('Dvd Calendar'!$E$722)=0,"",IF(('Dvd Calendar'!$E$722&gt;=MIN(DATE(Summary!$C$12,1,1),Summary!$C$11))*('Dvd Calendar'!$E$722&lt;=MAX(DATE(Summary!$C$12,12,31),Summary!$C$15))*('Dvd Calendar'!$E$722&gt;Summary!$C$11)=0,"",'Dvd Calendar'!$E$722*1000000000+ISNUMBER('Dvd Calendar'!$E$723)*100000000+('Dvd Calendar'!$E$727='Field Check'!$C$25)*10000000+(N('Dvd Calendar'!$E$721)&gt;0)*1000000+48*1000+41))</f>
        <v/>
      </c>
      <c r="AR56" s="41">
        <f>IF(N('Dvd Calendar'!$F$722)=0,"",IF(('Dvd Calendar'!$F$722&gt;=MIN(DATE(Summary!$C$12,1,1),Summary!$C$11))*('Dvd Calendar'!$F$722&lt;=MAX(DATE(Summary!$C$12,12,31),Summary!$C$15))*('Dvd Calendar'!$F$722&gt;Summary!$C$11)=0,"",'Dvd Calendar'!$F$722*1000000000+ISNUMBER('Dvd Calendar'!$F$723)*100000000+('Dvd Calendar'!$F$727='Field Check'!$C$25)*10000000+(N('Dvd Calendar'!$F$721)&gt;0)*1000000+48*1000+42))</f>
        <v/>
      </c>
      <c r="AS56" s="41">
        <f>IF(N('Dvd Calendar'!$G$722)=0,"",IF(('Dvd Calendar'!$G$722&gt;=MIN(DATE(Summary!$C$12,1,1),Summary!$C$11))*('Dvd Calendar'!$G$722&lt;=MAX(DATE(Summary!$C$12,12,31),Summary!$C$15))*('Dvd Calendar'!$G$722&gt;Summary!$C$11)=0,"",'Dvd Calendar'!$G$722*1000000000+ISNUMBER('Dvd Calendar'!$G$723)*100000000+('Dvd Calendar'!$G$727='Field Check'!$C$25)*10000000+(N('Dvd Calendar'!$G$721)&gt;0)*1000000+48*1000+43))</f>
        <v/>
      </c>
      <c r="AT56" s="41">
        <f>IF(N('Dvd Calendar'!$H$722)=0,"",IF(('Dvd Calendar'!$H$722&gt;=MIN(DATE(Summary!$C$12,1,1),Summary!$C$11))*('Dvd Calendar'!$H$722&lt;=MAX(DATE(Summary!$C$12,12,31),Summary!$C$15))*('Dvd Calendar'!$H$722&gt;Summary!$C$11)=0,"",'Dvd Calendar'!$H$722*1000000000+ISNUMBER('Dvd Calendar'!$H$723)*100000000+('Dvd Calendar'!$H$727='Field Check'!$C$25)*10000000+(N('Dvd Calendar'!$H$721)&gt;0)*1000000+48*1000+44))</f>
        <v/>
      </c>
      <c r="AU56" s="41">
        <f>IF(N('Dvd Calendar'!$I$722)=0,"",IF(('Dvd Calendar'!$I$722&gt;=MIN(DATE(Summary!$C$12,1,1),Summary!$C$11))*('Dvd Calendar'!$I$722&lt;=MAX(DATE(Summary!$C$12,12,31),Summary!$C$15))*('Dvd Calendar'!$I$722&gt;Summary!$C$11)=0,"",'Dvd Calendar'!$I$722*1000000000+ISNUMBER('Dvd Calendar'!$I$723)*100000000+('Dvd Calendar'!$I$727='Field Check'!$C$25)*10000000+(N('Dvd Calendar'!$I$721)&gt;0)*1000000+48*1000+45))</f>
        <v/>
      </c>
      <c r="AV56" s="41">
        <f>IF(N('Dvd Calendar'!$J$722)=0,"",IF(('Dvd Calendar'!$J$722&gt;=MIN(DATE(Summary!$C$12,1,1),Summary!$C$11))*('Dvd Calendar'!$J$722&lt;=MAX(DATE(Summary!$C$12,12,31),Summary!$C$15))*('Dvd Calendar'!$J$722&gt;Summary!$C$11)=0,"",'Dvd Calendar'!$J$722*1000000000+ISNUMBER('Dvd Calendar'!$J$723)*100000000+('Dvd Calendar'!$J$727='Field Check'!$C$25)*10000000+(N('Dvd Calendar'!$J$721)&gt;0)*1000000+48*1000+46))</f>
        <v/>
      </c>
      <c r="AW56" s="41">
        <f>IF(N('Dvd Calendar'!$K$722)=0,"",IF(('Dvd Calendar'!$K$722&gt;=MIN(DATE(Summary!$C$12,1,1),Summary!$C$11))*('Dvd Calendar'!$K$722&lt;=MAX(DATE(Summary!$C$12,12,31),Summary!$C$15))*('Dvd Calendar'!$K$722&gt;Summary!$C$11)=0,"",'Dvd Calendar'!$K$722*1000000000+ISNUMBER('Dvd Calendar'!$K$723)*100000000+('Dvd Calendar'!$K$727='Field Check'!$C$25)*10000000+(N('Dvd Calendar'!$K$721)&gt;0)*1000000+48*1000+47))</f>
        <v/>
      </c>
      <c r="AX56" s="41">
        <f>IF(N('Dvd Calendar'!$L$722)=0,"",IF(('Dvd Calendar'!$L$722&gt;=MIN(DATE(Summary!$C$12,1,1),Summary!$C$11))*('Dvd Calendar'!$L$722&lt;=MAX(DATE(Summary!$C$12,12,31),Summary!$C$15))*('Dvd Calendar'!$L$722&gt;Summary!$C$11)=0,"",'Dvd Calendar'!$L$722*1000000000+ISNUMBER('Dvd Calendar'!$L$723)*100000000+('Dvd Calendar'!$L$727='Field Check'!$C$25)*10000000+(N('Dvd Calendar'!$L$721)&gt;0)*1000000+48*1000+48))</f>
        <v/>
      </c>
      <c r="AY56" s="41">
        <f>IF(N('Dvd Calendar'!$M$722)=0,"",IF(('Dvd Calendar'!$M$722&gt;=MIN(DATE(Summary!$C$12,1,1),Summary!$C$11))*('Dvd Calendar'!$M$722&lt;=MAX(DATE(Summary!$C$12,12,31),Summary!$C$15))*('Dvd Calendar'!$M$722&gt;Summary!$C$11)=0,"",'Dvd Calendar'!$M$722*1000000000+ISNUMBER('Dvd Calendar'!$M$723)*100000000+('Dvd Calendar'!$M$727='Field Check'!$C$25)*10000000+(N('Dvd Calendar'!$M$721)&gt;0)*1000000+48*1000+49))</f>
        <v/>
      </c>
      <c r="AZ56" s="41">
        <f>IF(N('Dvd Calendar'!$N$722)=0,"",IF(('Dvd Calendar'!$N$722&gt;=MIN(DATE(Summary!$C$12,1,1),Summary!$C$11))*('Dvd Calendar'!$N$722&lt;=MAX(DATE(Summary!$C$12,12,31),Summary!$C$15))*('Dvd Calendar'!$N$722&gt;Summary!$C$11)=0,"",'Dvd Calendar'!$N$722*1000000000+ISNUMBER('Dvd Calendar'!$N$723)*100000000+('Dvd Calendar'!$N$727='Field Check'!$C$25)*10000000+(N('Dvd Calendar'!$N$721)&gt;0)*1000000+48*1000+50))</f>
        <v/>
      </c>
      <c r="BA56" s="41">
        <f>IF(N('Dvd Calendar'!$O$722)=0,"",IF(('Dvd Calendar'!$O$722&gt;=MIN(DATE(Summary!$C$12,1,1),Summary!$C$11))*('Dvd Calendar'!$O$722&lt;=MAX(DATE(Summary!$C$12,12,31),Summary!$C$15))*('Dvd Calendar'!$O$722&gt;Summary!$C$11)=0,"",'Dvd Calendar'!$O$722*1000000000+ISNUMBER('Dvd Calendar'!$O$723)*100000000+('Dvd Calendar'!$O$727='Field Check'!$C$25)*10000000+(N('Dvd Calendar'!$O$721)&gt;0)*1000000+48*1000+51))</f>
        <v/>
      </c>
      <c r="BB56" s="41">
        <f>IF(N('Dvd Calendar'!$P$722)=0,"",IF(('Dvd Calendar'!$P$722&gt;=MIN(DATE(Summary!$C$12,1,1),Summary!$C$11))*('Dvd Calendar'!$P$722&lt;=MAX(DATE(Summary!$C$12,12,31),Summary!$C$15))*('Dvd Calendar'!$P$722&gt;Summary!$C$11)=0,"",'Dvd Calendar'!$P$722*1000000000+ISNUMBER('Dvd Calendar'!$P$723)*100000000+('Dvd Calendar'!$P$727='Field Check'!$C$25)*10000000+(N('Dvd Calendar'!$P$721)&gt;0)*1000000+48*1000+52))</f>
        <v/>
      </c>
      <c r="BC56" s="41">
        <f>IF(N('Dvd Calendar'!$Q$722)=0,"",IF(('Dvd Calendar'!$Q$722&gt;=MIN(DATE(Summary!$C$12,1,1),Summary!$C$11))*('Dvd Calendar'!$Q$722&lt;=MAX(DATE(Summary!$C$12,12,31),Summary!$C$15))*('Dvd Calendar'!$Q$722&gt;Summary!$C$11)=0,"",'Dvd Calendar'!$Q$722*1000000000+ISNUMBER('Dvd Calendar'!$Q$723)*100000000+('Dvd Calendar'!$Q$727='Field Check'!$C$25)*10000000+(N('Dvd Calendar'!$Q$721)&gt;0)*1000000+48*1000+53))</f>
        <v/>
      </c>
      <c r="BD56" s="41">
        <f>IF(N('Dvd Calendar'!$R$722)=0,"",IF(('Dvd Calendar'!$R$722&gt;=MIN(DATE(Summary!$C$12,1,1),Summary!$C$11))*('Dvd Calendar'!$R$722&lt;=MAX(DATE(Summary!$C$12,12,31),Summary!$C$15))*('Dvd Calendar'!$R$722&gt;Summary!$C$11)=0,"",'Dvd Calendar'!$R$722*1000000000+ISNUMBER('Dvd Calendar'!$R$723)*100000000+('Dvd Calendar'!$R$727='Field Check'!$C$25)*10000000+(N('Dvd Calendar'!$R$721)&gt;0)*1000000+48*1000+54))</f>
        <v/>
      </c>
      <c r="BE56" s="41">
        <f>IF(N('Dvd Calendar'!$S$722)=0,"",IF(('Dvd Calendar'!$S$722&gt;=MIN(DATE(Summary!$C$12,1,1),Summary!$C$11))*('Dvd Calendar'!$S$722&lt;=MAX(DATE(Summary!$C$12,12,31),Summary!$C$15))*('Dvd Calendar'!$S$722&gt;Summary!$C$11)=0,"",'Dvd Calendar'!$S$722*1000000000+ISNUMBER('Dvd Calendar'!$S$723)*100000000+('Dvd Calendar'!$S$727='Field Check'!$C$25)*10000000+(N('Dvd Calendar'!$S$721)&gt;0)*1000000+48*1000+55))</f>
        <v/>
      </c>
      <c r="BF56" s="41">
        <f>IF(N('Dvd Calendar'!$T$722)=0,"",IF(('Dvd Calendar'!$T$722&gt;=MIN(DATE(Summary!$C$12,1,1),Summary!$C$11))*('Dvd Calendar'!$T$722&lt;=MAX(DATE(Summary!$C$12,12,31),Summary!$C$15))*('Dvd Calendar'!$T$722&gt;Summary!$C$11)=0,"",'Dvd Calendar'!$T$722*1000000000+ISNUMBER('Dvd Calendar'!$T$723)*100000000+('Dvd Calendar'!$T$727='Field Check'!$C$25)*10000000+(N('Dvd Calendar'!$T$721)&gt;0)*1000000+48*1000+56))</f>
        <v/>
      </c>
      <c r="BG56" s="41">
        <f>IF(N('Dvd Calendar'!$U$722)=0,"",IF(('Dvd Calendar'!$U$722&gt;=MIN(DATE(Summary!$C$12,1,1),Summary!$C$11))*('Dvd Calendar'!$U$722&lt;=MAX(DATE(Summary!$C$12,12,31),Summary!$C$15))*('Dvd Calendar'!$U$722&gt;Summary!$C$11)=0,"",'Dvd Calendar'!$U$722*1000000000+ISNUMBER('Dvd Calendar'!$U$723)*100000000+('Dvd Calendar'!$U$727='Field Check'!$C$25)*10000000+(N('Dvd Calendar'!$U$721)&gt;0)*1000000+48*1000+57))</f>
        <v/>
      </c>
      <c r="BH56" s="41">
        <f>IF(N('Dvd Calendar'!$V$722)=0,"",IF(('Dvd Calendar'!$V$722&gt;=MIN(DATE(Summary!$C$12,1,1),Summary!$C$11))*('Dvd Calendar'!$V$722&lt;=MAX(DATE(Summary!$C$12,12,31),Summary!$C$15))*('Dvd Calendar'!$V$722&gt;Summary!$C$11)=0,"",'Dvd Calendar'!$V$722*1000000000+ISNUMBER('Dvd Calendar'!$V$723)*100000000+('Dvd Calendar'!$V$727='Field Check'!$C$25)*10000000+(N('Dvd Calendar'!$V$721)&gt;0)*1000000+48*1000+58))</f>
        <v/>
      </c>
      <c r="BI56" s="41">
        <f>IF(N('Dvd Calendar'!$W$722)=0,"",IF(('Dvd Calendar'!$W$722&gt;=MIN(DATE(Summary!$C$12,1,1),Summary!$C$11))*('Dvd Calendar'!$W$722&lt;=MAX(DATE(Summary!$C$12,12,31),Summary!$C$15))*('Dvd Calendar'!$W$722&gt;Summary!$C$11)=0,"",'Dvd Calendar'!$W$722*1000000000+ISNUMBER('Dvd Calendar'!$W$723)*100000000+('Dvd Calendar'!$W$727='Field Check'!$C$25)*10000000+(N('Dvd Calendar'!$W$721)&gt;0)*1000000+48*1000+59))</f>
        <v/>
      </c>
      <c r="BJ56" s="41">
        <f>IF(N('Dvd Calendar'!$X$722)=0,"",IF(('Dvd Calendar'!$X$722&gt;=MIN(DATE(Summary!$C$12,1,1),Summary!$C$11))*('Dvd Calendar'!$X$722&lt;=MAX(DATE(Summary!$C$12,12,31),Summary!$C$15))*('Dvd Calendar'!$X$722&gt;Summary!$C$11)=0,"",'Dvd Calendar'!$X$722*1000000000+ISNUMBER('Dvd Calendar'!$X$723)*100000000+('Dvd Calendar'!$X$727='Field Check'!$C$25)*10000000+(N('Dvd Calendar'!$X$721)&gt;0)*1000000+48*1000+60))</f>
        <v/>
      </c>
      <c r="BK56" s="41">
        <f>IF(N('Dvd Calendar'!$Y$722)=0,"",IF(('Dvd Calendar'!$Y$722&gt;=MIN(DATE(Summary!$C$12,1,1),Summary!$C$11))*('Dvd Calendar'!$Y$722&lt;=MAX(DATE(Summary!$C$12,12,31),Summary!$C$15))*('Dvd Calendar'!$Y$722&gt;Summary!$C$11)=0,"",'Dvd Calendar'!$Y$722*1000000000+ISNUMBER('Dvd Calendar'!$Y$723)*100000000+('Dvd Calendar'!$Y$727='Field Check'!$C$25)*10000000+(N('Dvd Calendar'!$Y$721)&gt;0)*1000000+48*1000+61))</f>
        <v/>
      </c>
      <c r="BL56" s="41">
        <f>IF(N('Dvd Calendar'!$Z$722)=0,"",IF(('Dvd Calendar'!$Z$722&gt;=MIN(DATE(Summary!$C$12,1,1),Summary!$C$11))*('Dvd Calendar'!$Z$722&lt;=MAX(DATE(Summary!$C$12,12,31),Summary!$C$15))*('Dvd Calendar'!$Z$722&gt;Summary!$C$11)=0,"",'Dvd Calendar'!$Z$722*1000000000+ISNUMBER('Dvd Calendar'!$Z$723)*100000000+('Dvd Calendar'!$Z$727='Field Check'!$C$25)*10000000+(N('Dvd Calendar'!$Z$721)&gt;0)*1000000+48*1000+62))</f>
        <v/>
      </c>
      <c r="BM56" s="41">
        <f>IF(N('Dvd Calendar'!$AA$722)=0,"",IF(('Dvd Calendar'!$AA$722&gt;=MIN(DATE(Summary!$C$12,1,1),Summary!$C$11))*('Dvd Calendar'!$AA$722&lt;=MAX(DATE(Summary!$C$12,12,31),Summary!$C$15))*('Dvd Calendar'!$AA$722&gt;Summary!$C$11)=0,"",'Dvd Calendar'!$AA$722*1000000000+ISNUMBER('Dvd Calendar'!$AA$723)*100000000+('Dvd Calendar'!$AA$727='Field Check'!$C$25)*10000000+(N('Dvd Calendar'!$AA$721)&gt;0)*1000000+48*1000+63))</f>
        <v/>
      </c>
      <c r="BN56" s="41">
        <f>IF(N('Dvd Calendar'!$AB$722)=0,"",IF(('Dvd Calendar'!$AB$722&gt;=MIN(DATE(Summary!$C$12,1,1),Summary!$C$11))*('Dvd Calendar'!$AB$722&lt;=MAX(DATE(Summary!$C$12,12,31),Summary!$C$15))*('Dvd Calendar'!$AB$722&gt;Summary!$C$11)=0,"",'Dvd Calendar'!$AB$722*1000000000+ISNUMBER('Dvd Calendar'!$AB$723)*100000000+('Dvd Calendar'!$AB$727='Field Check'!$C$25)*10000000+(N('Dvd Calendar'!$AB$721)&gt;0)*1000000+48*1000+64))</f>
        <v/>
      </c>
      <c r="BO56" s="41">
        <f>IF(N('Dvd Calendar'!$AC$722)=0,"",IF(('Dvd Calendar'!$AC$722&gt;=MIN(DATE(Summary!$C$12,1,1),Summary!$C$11))*('Dvd Calendar'!$AC$722&lt;=MAX(DATE(Summary!$C$12,12,31),Summary!$C$15))*('Dvd Calendar'!$AC$722&gt;Summary!$C$11)=0,"",'Dvd Calendar'!$AC$722*1000000000+ISNUMBER('Dvd Calendar'!$AC$723)*100000000+('Dvd Calendar'!$AC$727='Field Check'!$C$25)*10000000+(N('Dvd Calendar'!$AC$721)&gt;0)*1000000+48*1000+65))</f>
        <v/>
      </c>
      <c r="BQ56" s="85">
        <f>IF(C56="","",IF(ISNUMBER('Dvd Calendar'!$E$716)=FALSE,"",IF((Summary!$C$13="N")*('Dvd Calendar'!$E$720='Field Check'!$C$25)&gt;0,"",'Dvd Calendar'!$E$716)))</f>
        <v/>
      </c>
      <c r="BR56" s="85">
        <f>IF(D56="","",IF(ISNUMBER('Dvd Calendar'!$F$716)=FALSE,"",IF((Summary!$C$13="N")*('Dvd Calendar'!$F$720='Field Check'!$C$25)&gt;0,"",'Dvd Calendar'!$F$716)))</f>
        <v/>
      </c>
      <c r="BS56" s="85">
        <f>IF(E56="","",IF(ISNUMBER('Dvd Calendar'!$G$716)=FALSE,"",IF((Summary!$C$13="N")*('Dvd Calendar'!$G$720='Field Check'!$C$25)&gt;0,"",'Dvd Calendar'!$G$716)))</f>
        <v/>
      </c>
      <c r="BT56" s="85">
        <f>IF(F56="","",IF(ISNUMBER('Dvd Calendar'!$H$716)=FALSE,"",IF((Summary!$C$13="N")*('Dvd Calendar'!$H$720='Field Check'!$C$25)&gt;0,"",'Dvd Calendar'!$H$716)))</f>
        <v/>
      </c>
      <c r="BU56" s="85">
        <f>IF(G56="","",IF(ISNUMBER('Dvd Calendar'!$I$716)=FALSE,"",IF((Summary!$C$13="N")*('Dvd Calendar'!$I$720='Field Check'!$C$25)&gt;0,"",'Dvd Calendar'!$I$716)))</f>
        <v/>
      </c>
      <c r="BV56" s="85">
        <f>IF(H56="","",IF(ISNUMBER('Dvd Calendar'!$J$716)=FALSE,"",IF((Summary!$C$13="N")*('Dvd Calendar'!$J$720='Field Check'!$C$25)&gt;0,"",'Dvd Calendar'!$J$716)))</f>
        <v/>
      </c>
      <c r="BW56" s="85">
        <f>IF(I56="","",IF(ISNUMBER('Dvd Calendar'!$K$716)=FALSE,"",IF((Summary!$C$13="N")*('Dvd Calendar'!$K$720='Field Check'!$C$25)&gt;0,"",'Dvd Calendar'!$K$716)))</f>
        <v/>
      </c>
      <c r="BX56" s="85">
        <f>IF(J56="","",IF(ISNUMBER('Dvd Calendar'!$L$716)=FALSE,"",IF((Summary!$C$13="N")*('Dvd Calendar'!$L$720='Field Check'!$C$25)&gt;0,"",'Dvd Calendar'!$L$716)))</f>
        <v/>
      </c>
      <c r="BY56" s="85">
        <f>IF(K56="","",IF(ISNUMBER('Dvd Calendar'!$M$716)=FALSE,"",IF((Summary!$C$13="N")*('Dvd Calendar'!$M$720='Field Check'!$C$25)&gt;0,"",'Dvd Calendar'!$M$716)))</f>
        <v/>
      </c>
      <c r="BZ56" s="85">
        <f>IF(L56="","",IF(ISNUMBER('Dvd Calendar'!$N$716)=FALSE,"",IF((Summary!$C$13="N")*('Dvd Calendar'!$N$720='Field Check'!$C$25)&gt;0,"",'Dvd Calendar'!$N$716)))</f>
        <v/>
      </c>
      <c r="CA56" s="85">
        <f>IF(M56="","",IF(ISNUMBER('Dvd Calendar'!$O$716)=FALSE,"",IF((Summary!$C$13="N")*('Dvd Calendar'!$O$720='Field Check'!$C$25)&gt;0,"",'Dvd Calendar'!$O$716)))</f>
        <v/>
      </c>
      <c r="CB56" s="85">
        <f>IF(N56="","",IF(ISNUMBER('Dvd Calendar'!$P$716)=FALSE,"",IF((Summary!$C$13="N")*('Dvd Calendar'!$P$720='Field Check'!$C$25)&gt;0,"",'Dvd Calendar'!$P$716)))</f>
        <v/>
      </c>
      <c r="CC56" s="85">
        <f>IF(O56="","",IF(ISNUMBER('Dvd Calendar'!$Q$716)=FALSE,"",IF((Summary!$C$13="N")*('Dvd Calendar'!$Q$720='Field Check'!$C$25)&gt;0,"",'Dvd Calendar'!$Q$716)))</f>
        <v/>
      </c>
      <c r="CD56" s="85">
        <f>IF(P56="","",IF(ISNUMBER('Dvd Calendar'!$R$716)=FALSE,"",IF((Summary!$C$13="N")*('Dvd Calendar'!$R$720='Field Check'!$C$25)&gt;0,"",'Dvd Calendar'!$R$716)))</f>
        <v/>
      </c>
      <c r="CE56" s="85">
        <f>IF(Q56="","",IF(ISNUMBER('Dvd Calendar'!$S$716)=FALSE,"",IF((Summary!$C$13="N")*('Dvd Calendar'!$S$720='Field Check'!$C$25)&gt;0,"",'Dvd Calendar'!$S$716)))</f>
        <v/>
      </c>
      <c r="CF56" s="85">
        <f>IF(R56="","",IF(ISNUMBER('Dvd Calendar'!$T$716)=FALSE,"",IF((Summary!$C$13="N")*('Dvd Calendar'!$T$720='Field Check'!$C$25)&gt;0,"",'Dvd Calendar'!$T$716)))</f>
        <v/>
      </c>
      <c r="CG56" s="85">
        <f>IF(S56="","",IF(ISNUMBER('Dvd Calendar'!$U$716)=FALSE,"",IF((Summary!$C$13="N")*('Dvd Calendar'!$U$720='Field Check'!$C$25)&gt;0,"",'Dvd Calendar'!$U$716)))</f>
        <v/>
      </c>
      <c r="CH56" s="85">
        <f>IF(T56="","",IF(ISNUMBER('Dvd Calendar'!$V$716)=FALSE,"",IF((Summary!$C$13="N")*('Dvd Calendar'!$V$720='Field Check'!$C$25)&gt;0,"",'Dvd Calendar'!$V$716)))</f>
        <v/>
      </c>
      <c r="CI56" s="85">
        <f>IF(U56="","",IF(ISNUMBER('Dvd Calendar'!$W$716)=FALSE,"",IF((Summary!$C$13="N")*('Dvd Calendar'!$W$720='Field Check'!$C$25)&gt;0,"",'Dvd Calendar'!$W$716)))</f>
        <v/>
      </c>
      <c r="CJ56" s="85">
        <f>IF(V56="","",IF(ISNUMBER('Dvd Calendar'!$X$716)=FALSE,"",IF((Summary!$C$13="N")*('Dvd Calendar'!$X$720='Field Check'!$C$25)&gt;0,"",'Dvd Calendar'!$X$716)))</f>
        <v/>
      </c>
      <c r="CK56" s="85">
        <f>IF(W56="","",IF(ISNUMBER('Dvd Calendar'!$Y$716)=FALSE,"",IF((Summary!$C$13="N")*('Dvd Calendar'!$Y$720='Field Check'!$C$25)&gt;0,"",'Dvd Calendar'!$Y$716)))</f>
        <v/>
      </c>
      <c r="CL56" s="85">
        <f>IF(X56="","",IF(ISNUMBER('Dvd Calendar'!$Z$716)=FALSE,"",IF((Summary!$C$13="N")*('Dvd Calendar'!$Z$720='Field Check'!$C$25)&gt;0,"",'Dvd Calendar'!$Z$716)))</f>
        <v/>
      </c>
      <c r="CM56" s="85">
        <f>IF(Y56="","",IF(ISNUMBER('Dvd Calendar'!$AA$716)=FALSE,"",IF((Summary!$C$13="N")*('Dvd Calendar'!$AA$720='Field Check'!$C$25)&gt;0,"",'Dvd Calendar'!$AA$716)))</f>
        <v/>
      </c>
      <c r="CN56" s="85">
        <f>IF(Z56="","",IF(ISNUMBER('Dvd Calendar'!$AB$716)=FALSE,"",IF((Summary!$C$13="N")*('Dvd Calendar'!$AB$720='Field Check'!$C$25)&gt;0,"",'Dvd Calendar'!$AB$716)))</f>
        <v/>
      </c>
      <c r="CO56" s="85">
        <f>IF(AA56="","",IF(ISNUMBER('Dvd Calendar'!$AC$716)=FALSE,"",IF((Summary!$C$13="N")*('Dvd Calendar'!$AC$720='Field Check'!$C$25)&gt;0,"",'Dvd Calendar'!$AC$716)))</f>
        <v/>
      </c>
      <c r="CP56" s="85">
        <f>IF(AB56="","",IF(ISNUMBER('Dvd Calendar'!$AD$716)=FALSE,"",IF((Summary!$C$13="N")*('Dvd Calendar'!$AD$720='Field Check'!$C$25)&gt;0,"",'Dvd Calendar'!$AD$716)))</f>
        <v/>
      </c>
      <c r="CQ56" s="85">
        <f>IF(AC56="","",IF(ISNUMBER('Dvd Calendar'!$AE$716)=FALSE,"",IF((Summary!$C$13="N")*('Dvd Calendar'!$AE$720='Field Check'!$C$25)&gt;0,"",'Dvd Calendar'!$AE$716)))</f>
        <v/>
      </c>
      <c r="CR56" s="85">
        <f>IF(AD56="","",IF(ISNUMBER('Dvd Calendar'!$AF$716)=FALSE,"",IF((Summary!$C$13="N")*('Dvd Calendar'!$AF$720='Field Check'!$C$25)&gt;0,"",'Dvd Calendar'!$AF$716)))</f>
        <v/>
      </c>
      <c r="CS56" s="85">
        <f>IF(AE56="","",IF(ISNUMBER('Dvd Calendar'!$AG$716)=FALSE,"",IF((Summary!$C$13="N")*('Dvd Calendar'!$AG$720='Field Check'!$C$25)&gt;0,"",'Dvd Calendar'!$AG$716)))</f>
        <v/>
      </c>
      <c r="CT56" s="85">
        <f>IF(AF56="","",IF(ISNUMBER('Dvd Calendar'!$AH$716)=FALSE,"",IF((Summary!$C$13="N")*('Dvd Calendar'!$AH$720='Field Check'!$C$25)&gt;0,"",'Dvd Calendar'!$AH$716)))</f>
        <v/>
      </c>
      <c r="CU56" s="85">
        <f>IF(AG56="","",IF(ISNUMBER('Dvd Calendar'!$AI$716)=FALSE,"",IF((Summary!$C$13="N")*('Dvd Calendar'!$AI$720='Field Check'!$C$25)&gt;0,"",'Dvd Calendar'!$AI$716)))</f>
        <v/>
      </c>
      <c r="CV56" s="85">
        <f>IF(AH56="","",IF(ISNUMBER('Dvd Calendar'!$AJ$716)=FALSE,"",IF((Summary!$C$13="N")*('Dvd Calendar'!$AJ$720='Field Check'!$C$25)&gt;0,"",'Dvd Calendar'!$AJ$716)))</f>
        <v/>
      </c>
      <c r="CW56" s="85">
        <f>IF(AI56="","",IF(ISNUMBER('Dvd Calendar'!$AK$716)=FALSE,"",IF((Summary!$C$13="N")*('Dvd Calendar'!$AK$720='Field Check'!$C$25)&gt;0,"",'Dvd Calendar'!$AK$716)))</f>
        <v/>
      </c>
      <c r="CX56" s="85">
        <f>IF(AJ56="","",IF(ISNUMBER('Dvd Calendar'!$AL$716)=FALSE,"",IF((Summary!$C$13="N")*('Dvd Calendar'!$AL$720='Field Check'!$C$25)&gt;0,"",'Dvd Calendar'!$AL$716)))</f>
        <v/>
      </c>
      <c r="CY56" s="85">
        <f>IF(AK56="","",IF(ISNUMBER('Dvd Calendar'!$AM$716)=FALSE,"",IF((Summary!$C$13="N")*('Dvd Calendar'!$AM$720='Field Check'!$C$25)&gt;0,"",'Dvd Calendar'!$AM$716)))</f>
        <v/>
      </c>
      <c r="CZ56" s="85">
        <f>IF(AL56="","",IF(ISNUMBER('Dvd Calendar'!$AN$716)=FALSE,"",IF((Summary!$C$13="N")*('Dvd Calendar'!$AN$720='Field Check'!$C$25)&gt;0,"",'Dvd Calendar'!$AN$716)))</f>
        <v/>
      </c>
      <c r="DA56" s="85">
        <f>IF(AM56="","",IF(ISNUMBER('Dvd Calendar'!$AO$716)=FALSE,"",IF((Summary!$C$13="N")*('Dvd Calendar'!$AO$720='Field Check'!$C$25)&gt;0,"",'Dvd Calendar'!$AO$716)))</f>
        <v/>
      </c>
      <c r="DB56" s="85">
        <f>IF(AN56="","",IF(ISNUMBER('Dvd Calendar'!$AP$716)=FALSE,"",IF((Summary!$C$13="N")*('Dvd Calendar'!$AP$720='Field Check'!$C$25)&gt;0,"",'Dvd Calendar'!$AP$716)))</f>
        <v/>
      </c>
      <c r="DC56" s="85">
        <f>IF(AO56="","",IF(ISNUMBER('Dvd Calendar'!$AQ$716)=FALSE,"",IF((Summary!$C$13="N")*('Dvd Calendar'!$AQ$720='Field Check'!$C$25)&gt;0,"",'Dvd Calendar'!$AQ$716)))</f>
        <v/>
      </c>
      <c r="DD56" s="85">
        <f>IF(AP56="","",IF(ISNUMBER('Dvd Calendar'!$AR$716)=FALSE,"",IF((Summary!$C$13="N")*('Dvd Calendar'!$AR$720='Field Check'!$C$25)&gt;0,"",'Dvd Calendar'!$AR$716)))</f>
        <v/>
      </c>
      <c r="DE56" s="85">
        <f>IF(AQ56="","",IF(ISNUMBER('Dvd Calendar'!$E$723)=FALSE,"",IF((Summary!$C$13="N")*('Dvd Calendar'!$E$727='Field Check'!$C$25)&gt;0,"",'Dvd Calendar'!$E$723)))</f>
        <v/>
      </c>
      <c r="DF56" s="85">
        <f>IF(AR56="","",IF(ISNUMBER('Dvd Calendar'!$F$723)=FALSE,"",IF((Summary!$C$13="N")*('Dvd Calendar'!$F$727='Field Check'!$C$25)&gt;0,"",'Dvd Calendar'!$F$723)))</f>
        <v/>
      </c>
      <c r="DG56" s="85">
        <f>IF(AS56="","",IF(ISNUMBER('Dvd Calendar'!$G$723)=FALSE,"",IF((Summary!$C$13="N")*('Dvd Calendar'!$G$727='Field Check'!$C$25)&gt;0,"",'Dvd Calendar'!$G$723)))</f>
        <v/>
      </c>
      <c r="DH56" s="85">
        <f>IF(AT56="","",IF(ISNUMBER('Dvd Calendar'!$H$723)=FALSE,"",IF((Summary!$C$13="N")*('Dvd Calendar'!$H$727='Field Check'!$C$25)&gt;0,"",'Dvd Calendar'!$H$723)))</f>
        <v/>
      </c>
      <c r="DI56" s="85">
        <f>IF(AU56="","",IF(ISNUMBER('Dvd Calendar'!$I$723)=FALSE,"",IF((Summary!$C$13="N")*('Dvd Calendar'!$I$727='Field Check'!$C$25)&gt;0,"",'Dvd Calendar'!$I$723)))</f>
        <v/>
      </c>
      <c r="DJ56" s="85">
        <f>IF(AV56="","",IF(ISNUMBER('Dvd Calendar'!$J$723)=FALSE,"",IF((Summary!$C$13="N")*('Dvd Calendar'!$J$727='Field Check'!$C$25)&gt;0,"",'Dvd Calendar'!$J$723)))</f>
        <v/>
      </c>
      <c r="DK56" s="85">
        <f>IF(AW56="","",IF(ISNUMBER('Dvd Calendar'!$K$723)=FALSE,"",IF((Summary!$C$13="N")*('Dvd Calendar'!$K$727='Field Check'!$C$25)&gt;0,"",'Dvd Calendar'!$K$723)))</f>
        <v/>
      </c>
      <c r="DL56" s="85">
        <f>IF(AX56="","",IF(ISNUMBER('Dvd Calendar'!$L$723)=FALSE,"",IF((Summary!$C$13="N")*('Dvd Calendar'!$L$727='Field Check'!$C$25)&gt;0,"",'Dvd Calendar'!$L$723)))</f>
        <v/>
      </c>
      <c r="DM56" s="85">
        <f>IF(AY56="","",IF(ISNUMBER('Dvd Calendar'!$M$723)=FALSE,"",IF((Summary!$C$13="N")*('Dvd Calendar'!$M$727='Field Check'!$C$25)&gt;0,"",'Dvd Calendar'!$M$723)))</f>
        <v/>
      </c>
      <c r="DN56" s="85">
        <f>IF(AZ56="","",IF(ISNUMBER('Dvd Calendar'!$N$723)=FALSE,"",IF((Summary!$C$13="N")*('Dvd Calendar'!$N$727='Field Check'!$C$25)&gt;0,"",'Dvd Calendar'!$N$723)))</f>
        <v/>
      </c>
      <c r="DO56" s="85">
        <f>IF(BA56="","",IF(ISNUMBER('Dvd Calendar'!$O$723)=FALSE,"",IF((Summary!$C$13="N")*('Dvd Calendar'!$O$727='Field Check'!$C$25)&gt;0,"",'Dvd Calendar'!$O$723)))</f>
        <v/>
      </c>
      <c r="DP56" s="85">
        <f>IF(BB56="","",IF(ISNUMBER('Dvd Calendar'!$P$723)=FALSE,"",IF((Summary!$C$13="N")*('Dvd Calendar'!$P$727='Field Check'!$C$25)&gt;0,"",'Dvd Calendar'!$P$723)))</f>
        <v/>
      </c>
      <c r="DQ56" s="85">
        <f>IF(BC56="","",IF(ISNUMBER('Dvd Calendar'!$Q$723)=FALSE,"",IF((Summary!$C$13="N")*('Dvd Calendar'!$Q$727='Field Check'!$C$25)&gt;0,"",'Dvd Calendar'!$Q$723)))</f>
        <v/>
      </c>
      <c r="DR56" s="85">
        <f>IF(BD56="","",IF(ISNUMBER('Dvd Calendar'!$R$723)=FALSE,"",IF((Summary!$C$13="N")*('Dvd Calendar'!$R$727='Field Check'!$C$25)&gt;0,"",'Dvd Calendar'!$R$723)))</f>
        <v/>
      </c>
      <c r="DS56" s="85">
        <f>IF(BE56="","",IF(ISNUMBER('Dvd Calendar'!$S$723)=FALSE,"",IF((Summary!$C$13="N")*('Dvd Calendar'!$S$727='Field Check'!$C$25)&gt;0,"",'Dvd Calendar'!$S$723)))</f>
        <v/>
      </c>
      <c r="DT56" s="85">
        <f>IF(BF56="","",IF(ISNUMBER('Dvd Calendar'!$T$723)=FALSE,"",IF((Summary!$C$13="N")*('Dvd Calendar'!$T$727='Field Check'!$C$25)&gt;0,"",'Dvd Calendar'!$T$723)))</f>
        <v/>
      </c>
      <c r="DU56" s="85">
        <f>IF(BG56="","",IF(ISNUMBER('Dvd Calendar'!$U$723)=FALSE,"",IF((Summary!$C$13="N")*('Dvd Calendar'!$U$727='Field Check'!$C$25)&gt;0,"",'Dvd Calendar'!$U$723)))</f>
        <v/>
      </c>
      <c r="DV56" s="85">
        <f>IF(BH56="","",IF(ISNUMBER('Dvd Calendar'!$V$723)=FALSE,"",IF((Summary!$C$13="N")*('Dvd Calendar'!$V$727='Field Check'!$C$25)&gt;0,"",'Dvd Calendar'!$V$723)))</f>
        <v/>
      </c>
      <c r="DW56" s="85">
        <f>IF(BI56="","",IF(ISNUMBER('Dvd Calendar'!$W$723)=FALSE,"",IF((Summary!$C$13="N")*('Dvd Calendar'!$W$727='Field Check'!$C$25)&gt;0,"",'Dvd Calendar'!$W$723)))</f>
        <v/>
      </c>
      <c r="DX56" s="85">
        <f>IF(BJ56="","",IF(ISNUMBER('Dvd Calendar'!$X$723)=FALSE,"",IF((Summary!$C$13="N")*('Dvd Calendar'!$X$727='Field Check'!$C$25)&gt;0,"",'Dvd Calendar'!$X$723)))</f>
        <v/>
      </c>
      <c r="DY56" s="85">
        <f>IF(BK56="","",IF(ISNUMBER('Dvd Calendar'!$Y$723)=FALSE,"",IF((Summary!$C$13="N")*('Dvd Calendar'!$Y$727='Field Check'!$C$25)&gt;0,"",'Dvd Calendar'!$Y$723)))</f>
        <v/>
      </c>
      <c r="DZ56" s="85">
        <f>IF(BL56="","",IF(ISNUMBER('Dvd Calendar'!$Z$723)=FALSE,"",IF((Summary!$C$13="N")*('Dvd Calendar'!$Z$727='Field Check'!$C$25)&gt;0,"",'Dvd Calendar'!$Z$723)))</f>
        <v/>
      </c>
      <c r="EA56" s="85">
        <f>IF(BM56="","",IF(ISNUMBER('Dvd Calendar'!$AA$723)=FALSE,"",IF((Summary!$C$13="N")*('Dvd Calendar'!$AA$727='Field Check'!$C$25)&gt;0,"",'Dvd Calendar'!$AA$723)))</f>
        <v/>
      </c>
      <c r="EB56" s="85">
        <f>IF(BN56="","",IF(ISNUMBER('Dvd Calendar'!$AB$723)=FALSE,"",IF((Summary!$C$13="N")*('Dvd Calendar'!$AB$727='Field Check'!$C$25)&gt;0,"",'Dvd Calendar'!$AB$723)))</f>
        <v/>
      </c>
      <c r="EC56" s="85">
        <f>IF(BO56="","",IF(ISNUMBER('Dvd Calendar'!$AC$723)=FALSE,"",IF((Summary!$C$13="N")*('Dvd Calendar'!$AC$727='Field Check'!$C$25)&gt;0,"",'Dvd Calendar'!$AC$723)))</f>
        <v/>
      </c>
      <c r="EE56" s="85">
        <f>IF(BQ56="","",IFERROR(BQ56*HSI!$B$54*HSI!$G$54/HSI!$B$3,""))</f>
        <v/>
      </c>
      <c r="EF56" s="85">
        <f>IF(BR56="","",IFERROR(BR56*HSI!$B$54*HSI!$G$54/HSI!$B$3,""))</f>
        <v/>
      </c>
      <c r="EG56" s="85">
        <f>IF(BS56="","",IFERROR(BS56*HSI!$B$54*HSI!$G$54/HSI!$B$3,""))</f>
        <v/>
      </c>
      <c r="EH56" s="85">
        <f>IF(BT56="","",IFERROR(BT56*HSI!$B$54*HSI!$G$54/HSI!$B$3,""))</f>
        <v/>
      </c>
      <c r="EI56" s="85">
        <f>IF(BU56="","",IFERROR(BU56*HSI!$B$54*HSI!$G$54/HSI!$B$3,""))</f>
        <v/>
      </c>
      <c r="EJ56" s="85">
        <f>IF(BV56="","",IFERROR(BV56*HSI!$B$54*HSI!$G$54/HSI!$B$3,""))</f>
        <v/>
      </c>
      <c r="EK56" s="85">
        <f>IF(BW56="","",IFERROR(BW56*HSI!$B$54*HSI!$G$54/HSI!$B$3,""))</f>
        <v/>
      </c>
      <c r="EL56" s="85">
        <f>IF(BX56="","",IFERROR(BX56*HSI!$B$54*HSI!$G$54/HSI!$B$3,""))</f>
        <v/>
      </c>
      <c r="EM56" s="85">
        <f>IF(BY56="","",IFERROR(BY56*HSI!$B$54*HSI!$G$54/HSI!$B$3,""))</f>
        <v/>
      </c>
      <c r="EN56" s="85">
        <f>IF(BZ56="","",IFERROR(BZ56*HSI!$B$54*HSI!$G$54/HSI!$B$3,""))</f>
        <v/>
      </c>
      <c r="EO56" s="85">
        <f>IF(CA56="","",IFERROR(CA56*HSI!$B$54*HSI!$G$54/HSI!$B$3,""))</f>
        <v/>
      </c>
      <c r="EP56" s="85">
        <f>IF(CB56="","",IFERROR(CB56*HSI!$B$54*HSI!$G$54/HSI!$B$3,""))</f>
        <v/>
      </c>
      <c r="EQ56" s="85">
        <f>IF(CC56="","",IFERROR(CC56*HSI!$B$54*HSI!$G$54/HSI!$B$3,""))</f>
        <v/>
      </c>
      <c r="ER56" s="85">
        <f>IF(CD56="","",IFERROR(CD56*HSI!$B$54*HSI!$G$54/HSI!$B$3,""))</f>
        <v/>
      </c>
      <c r="ES56" s="85">
        <f>IF(CE56="","",IFERROR(CE56*HSI!$B$54*HSI!$G$54/HSI!$B$3,""))</f>
        <v/>
      </c>
      <c r="ET56" s="85">
        <f>IF(CF56="","",IFERROR(CF56*HSI!$B$54*HSI!$G$54/HSI!$B$3,""))</f>
        <v/>
      </c>
      <c r="EU56" s="85">
        <f>IF(CG56="","",IFERROR(CG56*HSI!$B$54*HSI!$G$54/HSI!$B$3,""))</f>
        <v/>
      </c>
      <c r="EV56" s="85">
        <f>IF(CH56="","",IFERROR(CH56*HSI!$B$54*HSI!$G$54/HSI!$B$3,""))</f>
        <v/>
      </c>
      <c r="EW56" s="85">
        <f>IF(CI56="","",IFERROR(CI56*HSI!$B$54*HSI!$G$54/HSI!$B$3,""))</f>
        <v/>
      </c>
      <c r="EX56" s="85">
        <f>IF(CJ56="","",IFERROR(CJ56*HSI!$B$54*HSI!$G$54/HSI!$B$3,""))</f>
        <v/>
      </c>
      <c r="EY56" s="85">
        <f>IF(CK56="","",IFERROR(CK56*HSI!$B$54*HSI!$G$54/HSI!$B$3,""))</f>
        <v/>
      </c>
      <c r="EZ56" s="85">
        <f>IF(CL56="","",IFERROR(CL56*HSI!$B$54*HSI!$G$54/HSI!$B$3,""))</f>
        <v/>
      </c>
      <c r="FA56" s="85">
        <f>IF(CM56="","",IFERROR(CM56*HSI!$B$54*HSI!$G$54/HSI!$B$3,""))</f>
        <v/>
      </c>
      <c r="FB56" s="85">
        <f>IF(CN56="","",IFERROR(CN56*HSI!$B$54*HSI!$G$54/HSI!$B$3,""))</f>
        <v/>
      </c>
      <c r="FC56" s="85">
        <f>IF(CO56="","",IFERROR(CO56*HSI!$B$54*HSI!$G$54/HSI!$B$3,""))</f>
        <v/>
      </c>
      <c r="FD56" s="85">
        <f>IF(CP56="","",IFERROR(CP56*HSI!$B$54*HSI!$G$54/HSI!$B$3,""))</f>
        <v/>
      </c>
      <c r="FE56" s="85">
        <f>IF(CQ56="","",IFERROR(CQ56*HSI!$B$54*HSI!$G$54/HSI!$B$3,""))</f>
        <v/>
      </c>
      <c r="FF56" s="85">
        <f>IF(CR56="","",IFERROR(CR56*HSI!$B$54*HSI!$G$54/HSI!$B$3,""))</f>
        <v/>
      </c>
      <c r="FG56" s="85">
        <f>IF(CS56="","",IFERROR(CS56*HSI!$B$54*HSI!$G$54/HSI!$B$3,""))</f>
        <v/>
      </c>
      <c r="FH56" s="85">
        <f>IF(CT56="","",IFERROR(CT56*HSI!$B$54*HSI!$G$54/HSI!$B$3,""))</f>
        <v/>
      </c>
      <c r="FI56" s="85">
        <f>IF(CU56="","",IFERROR(CU56*HSI!$B$54*HSI!$G$54/HSI!$B$3,""))</f>
        <v/>
      </c>
      <c r="FJ56" s="85">
        <f>IF(CV56="","",IFERROR(CV56*HSI!$B$54*HSI!$G$54/HSI!$B$3,""))</f>
        <v/>
      </c>
      <c r="FK56" s="85">
        <f>IF(CW56="","",IFERROR(CW56*HSI!$B$54*HSI!$G$54/HSI!$B$3,""))</f>
        <v/>
      </c>
      <c r="FL56" s="85">
        <f>IF(CX56="","",IFERROR(CX56*HSI!$B$54*HSI!$G$54/HSI!$B$3,""))</f>
        <v/>
      </c>
      <c r="FM56" s="85">
        <f>IF(CY56="","",IFERROR(CY56*HSI!$B$54*HSI!$G$54/HSI!$B$3,""))</f>
        <v/>
      </c>
      <c r="FN56" s="85">
        <f>IF(CZ56="","",IFERROR(CZ56*HSI!$B$54*HSI!$G$54/HSI!$B$3,""))</f>
        <v/>
      </c>
      <c r="FO56" s="85">
        <f>IF(DA56="","",IFERROR(DA56*HSI!$B$54*HSI!$G$54/HSI!$B$3,""))</f>
        <v/>
      </c>
      <c r="FP56" s="85">
        <f>IF(DB56="","",IFERROR(DB56*HSI!$B$54*HSI!$G$54/HSI!$B$3,""))</f>
        <v/>
      </c>
      <c r="FQ56" s="85">
        <f>IF(DC56="","",IFERROR(DC56*HSI!$B$54*HSI!$G$54/HSI!$B$3,""))</f>
        <v/>
      </c>
      <c r="FR56" s="85">
        <f>IF(DD56="","",IFERROR(DD56*HSI!$B$54*HSI!$G$54/HSI!$B$3,""))</f>
        <v/>
      </c>
      <c r="FS56" s="85">
        <f>IF(DE56="","",IFERROR(DE56*HSI!$B$54*HSI!$G$54/HSI!$B$3,""))</f>
        <v/>
      </c>
      <c r="FT56" s="85">
        <f>IF(DF56="","",IFERROR(DF56*HSI!$B$54*HSI!$G$54/HSI!$B$3,""))</f>
        <v/>
      </c>
      <c r="FU56" s="85">
        <f>IF(DG56="","",IFERROR(DG56*HSI!$B$54*HSI!$G$54/HSI!$B$3,""))</f>
        <v/>
      </c>
      <c r="FV56" s="85">
        <f>IF(DH56="","",IFERROR(DH56*HSI!$B$54*HSI!$G$54/HSI!$B$3,""))</f>
        <v/>
      </c>
      <c r="FW56" s="85">
        <f>IF(DI56="","",IFERROR(DI56*HSI!$B$54*HSI!$G$54/HSI!$B$3,""))</f>
        <v/>
      </c>
      <c r="FX56" s="85">
        <f>IF(DJ56="","",IFERROR(DJ56*HSI!$B$54*HSI!$G$54/HSI!$B$3,""))</f>
        <v/>
      </c>
      <c r="FY56" s="85">
        <f>IF(DK56="","",IFERROR(DK56*HSI!$B$54*HSI!$G$54/HSI!$B$3,""))</f>
        <v/>
      </c>
      <c r="FZ56" s="85">
        <f>IF(DL56="","",IFERROR(DL56*HSI!$B$54*HSI!$G$54/HSI!$B$3,""))</f>
        <v/>
      </c>
      <c r="GA56" s="85">
        <f>IF(DM56="","",IFERROR(DM56*HSI!$B$54*HSI!$G$54/HSI!$B$3,""))</f>
        <v/>
      </c>
      <c r="GB56" s="85">
        <f>IF(DN56="","",IFERROR(DN56*HSI!$B$54*HSI!$G$54/HSI!$B$3,""))</f>
        <v/>
      </c>
      <c r="GC56" s="85">
        <f>IF(DO56="","",IFERROR(DO56*HSI!$B$54*HSI!$G$54/HSI!$B$3,""))</f>
        <v/>
      </c>
      <c r="GD56" s="85">
        <f>IF(DP56="","",IFERROR(DP56*HSI!$B$54*HSI!$G$54/HSI!$B$3,""))</f>
        <v/>
      </c>
      <c r="GE56" s="85">
        <f>IF(DQ56="","",IFERROR(DQ56*HSI!$B$54*HSI!$G$54/HSI!$B$3,""))</f>
        <v/>
      </c>
      <c r="GF56" s="85">
        <f>IF(DR56="","",IFERROR(DR56*HSI!$B$54*HSI!$G$54/HSI!$B$3,""))</f>
        <v/>
      </c>
      <c r="GG56" s="85">
        <f>IF(DS56="","",IFERROR(DS56*HSI!$B$54*HSI!$G$54/HSI!$B$3,""))</f>
        <v/>
      </c>
      <c r="GH56" s="85">
        <f>IF(DT56="","",IFERROR(DT56*HSI!$B$54*HSI!$G$54/HSI!$B$3,""))</f>
        <v/>
      </c>
      <c r="GI56" s="85">
        <f>IF(DU56="","",IFERROR(DU56*HSI!$B$54*HSI!$G$54/HSI!$B$3,""))</f>
        <v/>
      </c>
      <c r="GJ56" s="85">
        <f>IF(DV56="","",IFERROR(DV56*HSI!$B$54*HSI!$G$54/HSI!$B$3,""))</f>
        <v/>
      </c>
      <c r="GK56" s="85">
        <f>IF(DW56="","",IFERROR(DW56*HSI!$B$54*HSI!$G$54/HSI!$B$3,""))</f>
        <v/>
      </c>
      <c r="GL56" s="85">
        <f>IF(DX56="","",IFERROR(DX56*HSI!$B$54*HSI!$G$54/HSI!$B$3,""))</f>
        <v/>
      </c>
      <c r="GM56" s="85">
        <f>IF(DY56="","",IFERROR(DY56*HSI!$B$54*HSI!$G$54/HSI!$B$3,""))</f>
        <v/>
      </c>
      <c r="GN56" s="85">
        <f>IF(DZ56="","",IFERROR(DZ56*HSI!$B$54*HSI!$G$54/HSI!$B$3,""))</f>
        <v/>
      </c>
      <c r="GO56" s="85">
        <f>IF(EA56="","",IFERROR(EA56*HSI!$B$54*HSI!$G$54/HSI!$B$3,""))</f>
        <v/>
      </c>
      <c r="GP56" s="85">
        <f>IF(EB56="","",IFERROR(EB56*HSI!$B$54*HSI!$G$54/HSI!$B$3,""))</f>
        <v/>
      </c>
      <c r="GQ56" s="85">
        <f>IF(EC56="","",IFERROR(EC56*HSI!$B$54*HSI!$G$54/HSI!$B$3,""))</f>
        <v/>
      </c>
    </row>
    <row r="57">
      <c r="B57" s="2">
        <f>IF(HSI!$C$55="","",HSI!$C$55)</f>
        <v/>
      </c>
      <c r="C57" s="41">
        <f>IF(N('Dvd Calendar'!$E$730)=0,"",IF(('Dvd Calendar'!$E$730&gt;=MIN(DATE(Summary!$C$12,1,1),Summary!$C$11))*('Dvd Calendar'!$E$730&lt;=MAX(DATE(Summary!$C$12,12,31),Summary!$C$15))*('Dvd Calendar'!$E$730&lt;=Summary!$C$11)=0,"",'Dvd Calendar'!$E$730*1000000000+ISNUMBER('Dvd Calendar'!$E$731)*100000000+('Dvd Calendar'!$E$735='Field Check'!$C$25)*10000000+(N('Dvd Calendar'!$E$729)&gt;0)*1000000+49*1000+1))</f>
        <v/>
      </c>
      <c r="D57" s="41">
        <f>IF(N('Dvd Calendar'!$F$730)=0,"",IF(('Dvd Calendar'!$F$730&gt;=MIN(DATE(Summary!$C$12,1,1),Summary!$C$11))*('Dvd Calendar'!$F$730&lt;=MAX(DATE(Summary!$C$12,12,31),Summary!$C$15))*('Dvd Calendar'!$F$730&lt;=Summary!$C$11)=0,"",'Dvd Calendar'!$F$730*1000000000+ISNUMBER('Dvd Calendar'!$F$731)*100000000+('Dvd Calendar'!$F$735='Field Check'!$C$25)*10000000+(N('Dvd Calendar'!$F$729)&gt;0)*1000000+49*1000+2))</f>
        <v/>
      </c>
      <c r="E57" s="41">
        <f>IF(N('Dvd Calendar'!$G$730)=0,"",IF(('Dvd Calendar'!$G$730&gt;=MIN(DATE(Summary!$C$12,1,1),Summary!$C$11))*('Dvd Calendar'!$G$730&lt;=MAX(DATE(Summary!$C$12,12,31),Summary!$C$15))*('Dvd Calendar'!$G$730&lt;=Summary!$C$11)=0,"",'Dvd Calendar'!$G$730*1000000000+ISNUMBER('Dvd Calendar'!$G$731)*100000000+('Dvd Calendar'!$G$735='Field Check'!$C$25)*10000000+(N('Dvd Calendar'!$G$729)&gt;0)*1000000+49*1000+3))</f>
        <v/>
      </c>
      <c r="F57" s="41">
        <f>IF(N('Dvd Calendar'!$H$730)=0,"",IF(('Dvd Calendar'!$H$730&gt;=MIN(DATE(Summary!$C$12,1,1),Summary!$C$11))*('Dvd Calendar'!$H$730&lt;=MAX(DATE(Summary!$C$12,12,31),Summary!$C$15))*('Dvd Calendar'!$H$730&lt;=Summary!$C$11)=0,"",'Dvd Calendar'!$H$730*1000000000+ISNUMBER('Dvd Calendar'!$H$731)*100000000+('Dvd Calendar'!$H$735='Field Check'!$C$25)*10000000+(N('Dvd Calendar'!$H$729)&gt;0)*1000000+49*1000+4))</f>
        <v/>
      </c>
      <c r="G57" s="41">
        <f>IF(N('Dvd Calendar'!$I$730)=0,"",IF(('Dvd Calendar'!$I$730&gt;=MIN(DATE(Summary!$C$12,1,1),Summary!$C$11))*('Dvd Calendar'!$I$730&lt;=MAX(DATE(Summary!$C$12,12,31),Summary!$C$15))*('Dvd Calendar'!$I$730&lt;=Summary!$C$11)=0,"",'Dvd Calendar'!$I$730*1000000000+ISNUMBER('Dvd Calendar'!$I$731)*100000000+('Dvd Calendar'!$I$735='Field Check'!$C$25)*10000000+(N('Dvd Calendar'!$I$729)&gt;0)*1000000+49*1000+5))</f>
        <v/>
      </c>
      <c r="H57" s="41">
        <f>IF(N('Dvd Calendar'!$J$730)=0,"",IF(('Dvd Calendar'!$J$730&gt;=MIN(DATE(Summary!$C$12,1,1),Summary!$C$11))*('Dvd Calendar'!$J$730&lt;=MAX(DATE(Summary!$C$12,12,31),Summary!$C$15))*('Dvd Calendar'!$J$730&lt;=Summary!$C$11)=0,"",'Dvd Calendar'!$J$730*1000000000+ISNUMBER('Dvd Calendar'!$J$731)*100000000+('Dvd Calendar'!$J$735='Field Check'!$C$25)*10000000+(N('Dvd Calendar'!$J$729)&gt;0)*1000000+49*1000+6))</f>
        <v/>
      </c>
      <c r="I57" s="41">
        <f>IF(N('Dvd Calendar'!$K$730)=0,"",IF(('Dvd Calendar'!$K$730&gt;=MIN(DATE(Summary!$C$12,1,1),Summary!$C$11))*('Dvd Calendar'!$K$730&lt;=MAX(DATE(Summary!$C$12,12,31),Summary!$C$15))*('Dvd Calendar'!$K$730&lt;=Summary!$C$11)=0,"",'Dvd Calendar'!$K$730*1000000000+ISNUMBER('Dvd Calendar'!$K$731)*100000000+('Dvd Calendar'!$K$735='Field Check'!$C$25)*10000000+(N('Dvd Calendar'!$K$729)&gt;0)*1000000+49*1000+7))</f>
        <v/>
      </c>
      <c r="J57" s="41">
        <f>IF(N('Dvd Calendar'!$L$730)=0,"",IF(('Dvd Calendar'!$L$730&gt;=MIN(DATE(Summary!$C$12,1,1),Summary!$C$11))*('Dvd Calendar'!$L$730&lt;=MAX(DATE(Summary!$C$12,12,31),Summary!$C$15))*('Dvd Calendar'!$L$730&lt;=Summary!$C$11)=0,"",'Dvd Calendar'!$L$730*1000000000+ISNUMBER('Dvd Calendar'!$L$731)*100000000+('Dvd Calendar'!$L$735='Field Check'!$C$25)*10000000+(N('Dvd Calendar'!$L$729)&gt;0)*1000000+49*1000+8))</f>
        <v/>
      </c>
      <c r="K57" s="41">
        <f>IF(N('Dvd Calendar'!$M$730)=0,"",IF(('Dvd Calendar'!$M$730&gt;=MIN(DATE(Summary!$C$12,1,1),Summary!$C$11))*('Dvd Calendar'!$M$730&lt;=MAX(DATE(Summary!$C$12,12,31),Summary!$C$15))*('Dvd Calendar'!$M$730&lt;=Summary!$C$11)=0,"",'Dvd Calendar'!$M$730*1000000000+ISNUMBER('Dvd Calendar'!$M$731)*100000000+('Dvd Calendar'!$M$735='Field Check'!$C$25)*10000000+(N('Dvd Calendar'!$M$729)&gt;0)*1000000+49*1000+9))</f>
        <v/>
      </c>
      <c r="L57" s="41">
        <f>IF(N('Dvd Calendar'!$N$730)=0,"",IF(('Dvd Calendar'!$N$730&gt;=MIN(DATE(Summary!$C$12,1,1),Summary!$C$11))*('Dvd Calendar'!$N$730&lt;=MAX(DATE(Summary!$C$12,12,31),Summary!$C$15))*('Dvd Calendar'!$N$730&lt;=Summary!$C$11)=0,"",'Dvd Calendar'!$N$730*1000000000+ISNUMBER('Dvd Calendar'!$N$731)*100000000+('Dvd Calendar'!$N$735='Field Check'!$C$25)*10000000+(N('Dvd Calendar'!$N$729)&gt;0)*1000000+49*1000+10))</f>
        <v/>
      </c>
      <c r="M57" s="41">
        <f>IF(N('Dvd Calendar'!$O$730)=0,"",IF(('Dvd Calendar'!$O$730&gt;=MIN(DATE(Summary!$C$12,1,1),Summary!$C$11))*('Dvd Calendar'!$O$730&lt;=MAX(DATE(Summary!$C$12,12,31),Summary!$C$15))*('Dvd Calendar'!$O$730&lt;=Summary!$C$11)=0,"",'Dvd Calendar'!$O$730*1000000000+ISNUMBER('Dvd Calendar'!$O$731)*100000000+('Dvd Calendar'!$O$735='Field Check'!$C$25)*10000000+(N('Dvd Calendar'!$O$729)&gt;0)*1000000+49*1000+11))</f>
        <v/>
      </c>
      <c r="N57" s="41">
        <f>IF(N('Dvd Calendar'!$P$730)=0,"",IF(('Dvd Calendar'!$P$730&gt;=MIN(DATE(Summary!$C$12,1,1),Summary!$C$11))*('Dvd Calendar'!$P$730&lt;=MAX(DATE(Summary!$C$12,12,31),Summary!$C$15))*('Dvd Calendar'!$P$730&lt;=Summary!$C$11)=0,"",'Dvd Calendar'!$P$730*1000000000+ISNUMBER('Dvd Calendar'!$P$731)*100000000+('Dvd Calendar'!$P$735='Field Check'!$C$25)*10000000+(N('Dvd Calendar'!$P$729)&gt;0)*1000000+49*1000+12))</f>
        <v/>
      </c>
      <c r="O57" s="41">
        <f>IF(N('Dvd Calendar'!$Q$730)=0,"",IF(('Dvd Calendar'!$Q$730&gt;=MIN(DATE(Summary!$C$12,1,1),Summary!$C$11))*('Dvd Calendar'!$Q$730&lt;=MAX(DATE(Summary!$C$12,12,31),Summary!$C$15))*('Dvd Calendar'!$Q$730&lt;=Summary!$C$11)=0,"",'Dvd Calendar'!$Q$730*1000000000+ISNUMBER('Dvd Calendar'!$Q$731)*100000000+('Dvd Calendar'!$Q$735='Field Check'!$C$25)*10000000+(N('Dvd Calendar'!$Q$729)&gt;0)*1000000+49*1000+13))</f>
        <v/>
      </c>
      <c r="P57" s="41">
        <f>IF(N('Dvd Calendar'!$R$730)=0,"",IF(('Dvd Calendar'!$R$730&gt;=MIN(DATE(Summary!$C$12,1,1),Summary!$C$11))*('Dvd Calendar'!$R$730&lt;=MAX(DATE(Summary!$C$12,12,31),Summary!$C$15))*('Dvd Calendar'!$R$730&lt;=Summary!$C$11)=0,"",'Dvd Calendar'!$R$730*1000000000+ISNUMBER('Dvd Calendar'!$R$731)*100000000+('Dvd Calendar'!$R$735='Field Check'!$C$25)*10000000+(N('Dvd Calendar'!$R$729)&gt;0)*1000000+49*1000+14))</f>
        <v/>
      </c>
      <c r="Q57" s="41">
        <f>IF(N('Dvd Calendar'!$S$730)=0,"",IF(('Dvd Calendar'!$S$730&gt;=MIN(DATE(Summary!$C$12,1,1),Summary!$C$11))*('Dvd Calendar'!$S$730&lt;=MAX(DATE(Summary!$C$12,12,31),Summary!$C$15))*('Dvd Calendar'!$S$730&lt;=Summary!$C$11)=0,"",'Dvd Calendar'!$S$730*1000000000+ISNUMBER('Dvd Calendar'!$S$731)*100000000+('Dvd Calendar'!$S$735='Field Check'!$C$25)*10000000+(N('Dvd Calendar'!$S$729)&gt;0)*1000000+49*1000+15))</f>
        <v/>
      </c>
      <c r="R57" s="41">
        <f>IF(N('Dvd Calendar'!$T$730)=0,"",IF(('Dvd Calendar'!$T$730&gt;=MIN(DATE(Summary!$C$12,1,1),Summary!$C$11))*('Dvd Calendar'!$T$730&lt;=MAX(DATE(Summary!$C$12,12,31),Summary!$C$15))*('Dvd Calendar'!$T$730&lt;=Summary!$C$11)=0,"",'Dvd Calendar'!$T$730*1000000000+ISNUMBER('Dvd Calendar'!$T$731)*100000000+('Dvd Calendar'!$T$735='Field Check'!$C$25)*10000000+(N('Dvd Calendar'!$T$729)&gt;0)*1000000+49*1000+16))</f>
        <v/>
      </c>
      <c r="S57" s="41">
        <f>IF(N('Dvd Calendar'!$U$730)=0,"",IF(('Dvd Calendar'!$U$730&gt;=MIN(DATE(Summary!$C$12,1,1),Summary!$C$11))*('Dvd Calendar'!$U$730&lt;=MAX(DATE(Summary!$C$12,12,31),Summary!$C$15))*('Dvd Calendar'!$U$730&lt;=Summary!$C$11)=0,"",'Dvd Calendar'!$U$730*1000000000+ISNUMBER('Dvd Calendar'!$U$731)*100000000+('Dvd Calendar'!$U$735='Field Check'!$C$25)*10000000+(N('Dvd Calendar'!$U$729)&gt;0)*1000000+49*1000+17))</f>
        <v/>
      </c>
      <c r="T57" s="41">
        <f>IF(N('Dvd Calendar'!$V$730)=0,"",IF(('Dvd Calendar'!$V$730&gt;=MIN(DATE(Summary!$C$12,1,1),Summary!$C$11))*('Dvd Calendar'!$V$730&lt;=MAX(DATE(Summary!$C$12,12,31),Summary!$C$15))*('Dvd Calendar'!$V$730&lt;=Summary!$C$11)=0,"",'Dvd Calendar'!$V$730*1000000000+ISNUMBER('Dvd Calendar'!$V$731)*100000000+('Dvd Calendar'!$V$735='Field Check'!$C$25)*10000000+(N('Dvd Calendar'!$V$729)&gt;0)*1000000+49*1000+18))</f>
        <v/>
      </c>
      <c r="U57" s="41">
        <f>IF(N('Dvd Calendar'!$W$730)=0,"",IF(('Dvd Calendar'!$W$730&gt;=MIN(DATE(Summary!$C$12,1,1),Summary!$C$11))*('Dvd Calendar'!$W$730&lt;=MAX(DATE(Summary!$C$12,12,31),Summary!$C$15))*('Dvd Calendar'!$W$730&lt;=Summary!$C$11)=0,"",'Dvd Calendar'!$W$730*1000000000+ISNUMBER('Dvd Calendar'!$W$731)*100000000+('Dvd Calendar'!$W$735='Field Check'!$C$25)*10000000+(N('Dvd Calendar'!$W$729)&gt;0)*1000000+49*1000+19))</f>
        <v/>
      </c>
      <c r="V57" s="41">
        <f>IF(N('Dvd Calendar'!$X$730)=0,"",IF(('Dvd Calendar'!$X$730&gt;=MIN(DATE(Summary!$C$12,1,1),Summary!$C$11))*('Dvd Calendar'!$X$730&lt;=MAX(DATE(Summary!$C$12,12,31),Summary!$C$15))*('Dvd Calendar'!$X$730&lt;=Summary!$C$11)=0,"",'Dvd Calendar'!$X$730*1000000000+ISNUMBER('Dvd Calendar'!$X$731)*100000000+('Dvd Calendar'!$X$735='Field Check'!$C$25)*10000000+(N('Dvd Calendar'!$X$729)&gt;0)*1000000+49*1000+20))</f>
        <v/>
      </c>
      <c r="W57" s="41">
        <f>IF(N('Dvd Calendar'!$Y$730)=0,"",IF(('Dvd Calendar'!$Y$730&gt;=MIN(DATE(Summary!$C$12,1,1),Summary!$C$11))*('Dvd Calendar'!$Y$730&lt;=MAX(DATE(Summary!$C$12,12,31),Summary!$C$15))*('Dvd Calendar'!$Y$730&lt;=Summary!$C$11)=0,"",'Dvd Calendar'!$Y$730*1000000000+ISNUMBER('Dvd Calendar'!$Y$731)*100000000+('Dvd Calendar'!$Y$735='Field Check'!$C$25)*10000000+(N('Dvd Calendar'!$Y$729)&gt;0)*1000000+49*1000+21))</f>
        <v/>
      </c>
      <c r="X57" s="41">
        <f>IF(N('Dvd Calendar'!$Z$730)=0,"",IF(('Dvd Calendar'!$Z$730&gt;=MIN(DATE(Summary!$C$12,1,1),Summary!$C$11))*('Dvd Calendar'!$Z$730&lt;=MAX(DATE(Summary!$C$12,12,31),Summary!$C$15))*('Dvd Calendar'!$Z$730&lt;=Summary!$C$11)=0,"",'Dvd Calendar'!$Z$730*1000000000+ISNUMBER('Dvd Calendar'!$Z$731)*100000000+('Dvd Calendar'!$Z$735='Field Check'!$C$25)*10000000+(N('Dvd Calendar'!$Z$729)&gt;0)*1000000+49*1000+22))</f>
        <v/>
      </c>
      <c r="Y57" s="41">
        <f>IF(N('Dvd Calendar'!$AA$730)=0,"",IF(('Dvd Calendar'!$AA$730&gt;=MIN(DATE(Summary!$C$12,1,1),Summary!$C$11))*('Dvd Calendar'!$AA$730&lt;=MAX(DATE(Summary!$C$12,12,31),Summary!$C$15))*('Dvd Calendar'!$AA$730&lt;=Summary!$C$11)=0,"",'Dvd Calendar'!$AA$730*1000000000+ISNUMBER('Dvd Calendar'!$AA$731)*100000000+('Dvd Calendar'!$AA$735='Field Check'!$C$25)*10000000+(N('Dvd Calendar'!$AA$729)&gt;0)*1000000+49*1000+23))</f>
        <v/>
      </c>
      <c r="Z57" s="41">
        <f>IF(N('Dvd Calendar'!$AB$730)=0,"",IF(('Dvd Calendar'!$AB$730&gt;=MIN(DATE(Summary!$C$12,1,1),Summary!$C$11))*('Dvd Calendar'!$AB$730&lt;=MAX(DATE(Summary!$C$12,12,31),Summary!$C$15))*('Dvd Calendar'!$AB$730&lt;=Summary!$C$11)=0,"",'Dvd Calendar'!$AB$730*1000000000+ISNUMBER('Dvd Calendar'!$AB$731)*100000000+('Dvd Calendar'!$AB$735='Field Check'!$C$25)*10000000+(N('Dvd Calendar'!$AB$729)&gt;0)*1000000+49*1000+24))</f>
        <v/>
      </c>
      <c r="AA57" s="41">
        <f>IF(N('Dvd Calendar'!$AC$730)=0,"",IF(('Dvd Calendar'!$AC$730&gt;=MIN(DATE(Summary!$C$12,1,1),Summary!$C$11))*('Dvd Calendar'!$AC$730&lt;=MAX(DATE(Summary!$C$12,12,31),Summary!$C$15))*('Dvd Calendar'!$AC$730&lt;=Summary!$C$11)=0,"",'Dvd Calendar'!$AC$730*1000000000+ISNUMBER('Dvd Calendar'!$AC$731)*100000000+('Dvd Calendar'!$AC$735='Field Check'!$C$25)*10000000+(N('Dvd Calendar'!$AC$729)&gt;0)*1000000+49*1000+25))</f>
        <v/>
      </c>
      <c r="AB57" s="41">
        <f>IF(N('Dvd Calendar'!$AD$730)=0,"",IF(('Dvd Calendar'!$AD$730&gt;=MIN(DATE(Summary!$C$12,1,1),Summary!$C$11))*('Dvd Calendar'!$AD$730&lt;=MAX(DATE(Summary!$C$12,12,31),Summary!$C$15))*('Dvd Calendar'!$AD$730&lt;=Summary!$C$11)=0,"",'Dvd Calendar'!$AD$730*1000000000+ISNUMBER('Dvd Calendar'!$AD$731)*100000000+('Dvd Calendar'!$AD$735='Field Check'!$C$25)*10000000+(N('Dvd Calendar'!$AD$729)&gt;0)*1000000+49*1000+26))</f>
        <v/>
      </c>
      <c r="AC57" s="41">
        <f>IF(N('Dvd Calendar'!$AE$730)=0,"",IF(('Dvd Calendar'!$AE$730&gt;=MIN(DATE(Summary!$C$12,1,1),Summary!$C$11))*('Dvd Calendar'!$AE$730&lt;=MAX(DATE(Summary!$C$12,12,31),Summary!$C$15))*('Dvd Calendar'!$AE$730&lt;=Summary!$C$11)=0,"",'Dvd Calendar'!$AE$730*1000000000+ISNUMBER('Dvd Calendar'!$AE$731)*100000000+('Dvd Calendar'!$AE$735='Field Check'!$C$25)*10000000+(N('Dvd Calendar'!$AE$729)&gt;0)*1000000+49*1000+27))</f>
        <v/>
      </c>
      <c r="AD57" s="41">
        <f>IF(N('Dvd Calendar'!$AF$730)=0,"",IF(('Dvd Calendar'!$AF$730&gt;=MIN(DATE(Summary!$C$12,1,1),Summary!$C$11))*('Dvd Calendar'!$AF$730&lt;=MAX(DATE(Summary!$C$12,12,31),Summary!$C$15))*('Dvd Calendar'!$AF$730&lt;=Summary!$C$11)=0,"",'Dvd Calendar'!$AF$730*1000000000+ISNUMBER('Dvd Calendar'!$AF$731)*100000000+('Dvd Calendar'!$AF$735='Field Check'!$C$25)*10000000+(N('Dvd Calendar'!$AF$729)&gt;0)*1000000+49*1000+28))</f>
        <v/>
      </c>
      <c r="AE57" s="41">
        <f>IF(N('Dvd Calendar'!$AG$730)=0,"",IF(('Dvd Calendar'!$AG$730&gt;=MIN(DATE(Summary!$C$12,1,1),Summary!$C$11))*('Dvd Calendar'!$AG$730&lt;=MAX(DATE(Summary!$C$12,12,31),Summary!$C$15))*('Dvd Calendar'!$AG$730&lt;=Summary!$C$11)=0,"",'Dvd Calendar'!$AG$730*1000000000+ISNUMBER('Dvd Calendar'!$AG$731)*100000000+('Dvd Calendar'!$AG$735='Field Check'!$C$25)*10000000+(N('Dvd Calendar'!$AG$729)&gt;0)*1000000+49*1000+29))</f>
        <v/>
      </c>
      <c r="AF57" s="41">
        <f>IF(N('Dvd Calendar'!$AH$730)=0,"",IF(('Dvd Calendar'!$AH$730&gt;=MIN(DATE(Summary!$C$12,1,1),Summary!$C$11))*('Dvd Calendar'!$AH$730&lt;=MAX(DATE(Summary!$C$12,12,31),Summary!$C$15))*('Dvd Calendar'!$AH$730&lt;=Summary!$C$11)=0,"",'Dvd Calendar'!$AH$730*1000000000+ISNUMBER('Dvd Calendar'!$AH$731)*100000000+('Dvd Calendar'!$AH$735='Field Check'!$C$25)*10000000+(N('Dvd Calendar'!$AH$729)&gt;0)*1000000+49*1000+30))</f>
        <v/>
      </c>
      <c r="AG57" s="41">
        <f>IF(N('Dvd Calendar'!$AI$730)=0,"",IF(('Dvd Calendar'!$AI$730&gt;=MIN(DATE(Summary!$C$12,1,1),Summary!$C$11))*('Dvd Calendar'!$AI$730&lt;=MAX(DATE(Summary!$C$12,12,31),Summary!$C$15))*('Dvd Calendar'!$AI$730&lt;=Summary!$C$11)=0,"",'Dvd Calendar'!$AI$730*1000000000+ISNUMBER('Dvd Calendar'!$AI$731)*100000000+('Dvd Calendar'!$AI$735='Field Check'!$C$25)*10000000+(N('Dvd Calendar'!$AI$729)&gt;0)*1000000+49*1000+31))</f>
        <v/>
      </c>
      <c r="AH57" s="41">
        <f>IF(N('Dvd Calendar'!$AJ$730)=0,"",IF(('Dvd Calendar'!$AJ$730&gt;=MIN(DATE(Summary!$C$12,1,1),Summary!$C$11))*('Dvd Calendar'!$AJ$730&lt;=MAX(DATE(Summary!$C$12,12,31),Summary!$C$15))*('Dvd Calendar'!$AJ$730&lt;=Summary!$C$11)=0,"",'Dvd Calendar'!$AJ$730*1000000000+ISNUMBER('Dvd Calendar'!$AJ$731)*100000000+('Dvd Calendar'!$AJ$735='Field Check'!$C$25)*10000000+(N('Dvd Calendar'!$AJ$729)&gt;0)*1000000+49*1000+32))</f>
        <v/>
      </c>
      <c r="AI57" s="41">
        <f>IF(N('Dvd Calendar'!$AK$730)=0,"",IF(('Dvd Calendar'!$AK$730&gt;=MIN(DATE(Summary!$C$12,1,1),Summary!$C$11))*('Dvd Calendar'!$AK$730&lt;=MAX(DATE(Summary!$C$12,12,31),Summary!$C$15))*('Dvd Calendar'!$AK$730&lt;=Summary!$C$11)=0,"",'Dvd Calendar'!$AK$730*1000000000+ISNUMBER('Dvd Calendar'!$AK$731)*100000000+('Dvd Calendar'!$AK$735='Field Check'!$C$25)*10000000+(N('Dvd Calendar'!$AK$729)&gt;0)*1000000+49*1000+33))</f>
        <v/>
      </c>
      <c r="AJ57" s="41">
        <f>IF(N('Dvd Calendar'!$AL$730)=0,"",IF(('Dvd Calendar'!$AL$730&gt;=MIN(DATE(Summary!$C$12,1,1),Summary!$C$11))*('Dvd Calendar'!$AL$730&lt;=MAX(DATE(Summary!$C$12,12,31),Summary!$C$15))*('Dvd Calendar'!$AL$730&lt;=Summary!$C$11)=0,"",'Dvd Calendar'!$AL$730*1000000000+ISNUMBER('Dvd Calendar'!$AL$731)*100000000+('Dvd Calendar'!$AL$735='Field Check'!$C$25)*10000000+(N('Dvd Calendar'!$AL$729)&gt;0)*1000000+49*1000+34))</f>
        <v/>
      </c>
      <c r="AK57" s="41">
        <f>IF(N('Dvd Calendar'!$AM$730)=0,"",IF(('Dvd Calendar'!$AM$730&gt;=MIN(DATE(Summary!$C$12,1,1),Summary!$C$11))*('Dvd Calendar'!$AM$730&lt;=MAX(DATE(Summary!$C$12,12,31),Summary!$C$15))*('Dvd Calendar'!$AM$730&lt;=Summary!$C$11)=0,"",'Dvd Calendar'!$AM$730*1000000000+ISNUMBER('Dvd Calendar'!$AM$731)*100000000+('Dvd Calendar'!$AM$735='Field Check'!$C$25)*10000000+(N('Dvd Calendar'!$AM$729)&gt;0)*1000000+49*1000+35))</f>
        <v/>
      </c>
      <c r="AL57" s="41">
        <f>IF(N('Dvd Calendar'!$AN$730)=0,"",IF(('Dvd Calendar'!$AN$730&gt;=MIN(DATE(Summary!$C$12,1,1),Summary!$C$11))*('Dvd Calendar'!$AN$730&lt;=MAX(DATE(Summary!$C$12,12,31),Summary!$C$15))*('Dvd Calendar'!$AN$730&lt;=Summary!$C$11)=0,"",'Dvd Calendar'!$AN$730*1000000000+ISNUMBER('Dvd Calendar'!$AN$731)*100000000+('Dvd Calendar'!$AN$735='Field Check'!$C$25)*10000000+(N('Dvd Calendar'!$AN$729)&gt;0)*1000000+49*1000+36))</f>
        <v/>
      </c>
      <c r="AM57" s="41">
        <f>IF(N('Dvd Calendar'!$AO$730)=0,"",IF(('Dvd Calendar'!$AO$730&gt;=MIN(DATE(Summary!$C$12,1,1),Summary!$C$11))*('Dvd Calendar'!$AO$730&lt;=MAX(DATE(Summary!$C$12,12,31),Summary!$C$15))*('Dvd Calendar'!$AO$730&lt;=Summary!$C$11)=0,"",'Dvd Calendar'!$AO$730*1000000000+ISNUMBER('Dvd Calendar'!$AO$731)*100000000+('Dvd Calendar'!$AO$735='Field Check'!$C$25)*10000000+(N('Dvd Calendar'!$AO$729)&gt;0)*1000000+49*1000+37))</f>
        <v/>
      </c>
      <c r="AN57" s="41">
        <f>IF(N('Dvd Calendar'!$AP$730)=0,"",IF(('Dvd Calendar'!$AP$730&gt;=MIN(DATE(Summary!$C$12,1,1),Summary!$C$11))*('Dvd Calendar'!$AP$730&lt;=MAX(DATE(Summary!$C$12,12,31),Summary!$C$15))*('Dvd Calendar'!$AP$730&lt;=Summary!$C$11)=0,"",'Dvd Calendar'!$AP$730*1000000000+ISNUMBER('Dvd Calendar'!$AP$731)*100000000+('Dvd Calendar'!$AP$735='Field Check'!$C$25)*10000000+(N('Dvd Calendar'!$AP$729)&gt;0)*1000000+49*1000+38))</f>
        <v/>
      </c>
      <c r="AO57" s="41">
        <f>IF(N('Dvd Calendar'!$AQ$730)=0,"",IF(('Dvd Calendar'!$AQ$730&gt;=MIN(DATE(Summary!$C$12,1,1),Summary!$C$11))*('Dvd Calendar'!$AQ$730&lt;=MAX(DATE(Summary!$C$12,12,31),Summary!$C$15))*('Dvd Calendar'!$AQ$730&lt;=Summary!$C$11)=0,"",'Dvd Calendar'!$AQ$730*1000000000+ISNUMBER('Dvd Calendar'!$AQ$731)*100000000+('Dvd Calendar'!$AQ$735='Field Check'!$C$25)*10000000+(N('Dvd Calendar'!$AQ$729)&gt;0)*1000000+49*1000+39))</f>
        <v/>
      </c>
      <c r="AP57" s="41">
        <f>IF(N('Dvd Calendar'!$AR$730)=0,"",IF(('Dvd Calendar'!$AR$730&gt;=MIN(DATE(Summary!$C$12,1,1),Summary!$C$11))*('Dvd Calendar'!$AR$730&lt;=MAX(DATE(Summary!$C$12,12,31),Summary!$C$15))*('Dvd Calendar'!$AR$730&lt;=Summary!$C$11)=0,"",'Dvd Calendar'!$AR$730*1000000000+ISNUMBER('Dvd Calendar'!$AR$731)*100000000+('Dvd Calendar'!$AR$735='Field Check'!$C$25)*10000000+(N('Dvd Calendar'!$AR$729)&gt;0)*1000000+49*1000+40))</f>
        <v/>
      </c>
      <c r="AQ57" s="41">
        <f>IF(N('Dvd Calendar'!$E$737)=0,"",IF(('Dvd Calendar'!$E$737&gt;=MIN(DATE(Summary!$C$12,1,1),Summary!$C$11))*('Dvd Calendar'!$E$737&lt;=MAX(DATE(Summary!$C$12,12,31),Summary!$C$15))*('Dvd Calendar'!$E$737&gt;Summary!$C$11)=0,"",'Dvd Calendar'!$E$737*1000000000+ISNUMBER('Dvd Calendar'!$E$738)*100000000+('Dvd Calendar'!$E$742='Field Check'!$C$25)*10000000+(N('Dvd Calendar'!$E$736)&gt;0)*1000000+49*1000+41))</f>
        <v/>
      </c>
      <c r="AR57" s="41">
        <f>IF(N('Dvd Calendar'!$F$737)=0,"",IF(('Dvd Calendar'!$F$737&gt;=MIN(DATE(Summary!$C$12,1,1),Summary!$C$11))*('Dvd Calendar'!$F$737&lt;=MAX(DATE(Summary!$C$12,12,31),Summary!$C$15))*('Dvd Calendar'!$F$737&gt;Summary!$C$11)=0,"",'Dvd Calendar'!$F$737*1000000000+ISNUMBER('Dvd Calendar'!$F$738)*100000000+('Dvd Calendar'!$F$742='Field Check'!$C$25)*10000000+(N('Dvd Calendar'!$F$736)&gt;0)*1000000+49*1000+42))</f>
        <v/>
      </c>
      <c r="AS57" s="41">
        <f>IF(N('Dvd Calendar'!$G$737)=0,"",IF(('Dvd Calendar'!$G$737&gt;=MIN(DATE(Summary!$C$12,1,1),Summary!$C$11))*('Dvd Calendar'!$G$737&lt;=MAX(DATE(Summary!$C$12,12,31),Summary!$C$15))*('Dvd Calendar'!$G$737&gt;Summary!$C$11)=0,"",'Dvd Calendar'!$G$737*1000000000+ISNUMBER('Dvd Calendar'!$G$738)*100000000+('Dvd Calendar'!$G$742='Field Check'!$C$25)*10000000+(N('Dvd Calendar'!$G$736)&gt;0)*1000000+49*1000+43))</f>
        <v/>
      </c>
      <c r="AT57" s="41">
        <f>IF(N('Dvd Calendar'!$H$737)=0,"",IF(('Dvd Calendar'!$H$737&gt;=MIN(DATE(Summary!$C$12,1,1),Summary!$C$11))*('Dvd Calendar'!$H$737&lt;=MAX(DATE(Summary!$C$12,12,31),Summary!$C$15))*('Dvd Calendar'!$H$737&gt;Summary!$C$11)=0,"",'Dvd Calendar'!$H$737*1000000000+ISNUMBER('Dvd Calendar'!$H$738)*100000000+('Dvd Calendar'!$H$742='Field Check'!$C$25)*10000000+(N('Dvd Calendar'!$H$736)&gt;0)*1000000+49*1000+44))</f>
        <v/>
      </c>
      <c r="AU57" s="41">
        <f>IF(N('Dvd Calendar'!$I$737)=0,"",IF(('Dvd Calendar'!$I$737&gt;=MIN(DATE(Summary!$C$12,1,1),Summary!$C$11))*('Dvd Calendar'!$I$737&lt;=MAX(DATE(Summary!$C$12,12,31),Summary!$C$15))*('Dvd Calendar'!$I$737&gt;Summary!$C$11)=0,"",'Dvd Calendar'!$I$737*1000000000+ISNUMBER('Dvd Calendar'!$I$738)*100000000+('Dvd Calendar'!$I$742='Field Check'!$C$25)*10000000+(N('Dvd Calendar'!$I$736)&gt;0)*1000000+49*1000+45))</f>
        <v/>
      </c>
      <c r="AV57" s="41">
        <f>IF(N('Dvd Calendar'!$J$737)=0,"",IF(('Dvd Calendar'!$J$737&gt;=MIN(DATE(Summary!$C$12,1,1),Summary!$C$11))*('Dvd Calendar'!$J$737&lt;=MAX(DATE(Summary!$C$12,12,31),Summary!$C$15))*('Dvd Calendar'!$J$737&gt;Summary!$C$11)=0,"",'Dvd Calendar'!$J$737*1000000000+ISNUMBER('Dvd Calendar'!$J$738)*100000000+('Dvd Calendar'!$J$742='Field Check'!$C$25)*10000000+(N('Dvd Calendar'!$J$736)&gt;0)*1000000+49*1000+46))</f>
        <v/>
      </c>
      <c r="AW57" s="41">
        <f>IF(N('Dvd Calendar'!$K$737)=0,"",IF(('Dvd Calendar'!$K$737&gt;=MIN(DATE(Summary!$C$12,1,1),Summary!$C$11))*('Dvd Calendar'!$K$737&lt;=MAX(DATE(Summary!$C$12,12,31),Summary!$C$15))*('Dvd Calendar'!$K$737&gt;Summary!$C$11)=0,"",'Dvd Calendar'!$K$737*1000000000+ISNUMBER('Dvd Calendar'!$K$738)*100000000+('Dvd Calendar'!$K$742='Field Check'!$C$25)*10000000+(N('Dvd Calendar'!$K$736)&gt;0)*1000000+49*1000+47))</f>
        <v/>
      </c>
      <c r="AX57" s="41">
        <f>IF(N('Dvd Calendar'!$L$737)=0,"",IF(('Dvd Calendar'!$L$737&gt;=MIN(DATE(Summary!$C$12,1,1),Summary!$C$11))*('Dvd Calendar'!$L$737&lt;=MAX(DATE(Summary!$C$12,12,31),Summary!$C$15))*('Dvd Calendar'!$L$737&gt;Summary!$C$11)=0,"",'Dvd Calendar'!$L$737*1000000000+ISNUMBER('Dvd Calendar'!$L$738)*100000000+('Dvd Calendar'!$L$742='Field Check'!$C$25)*10000000+(N('Dvd Calendar'!$L$736)&gt;0)*1000000+49*1000+48))</f>
        <v/>
      </c>
      <c r="AY57" s="41">
        <f>IF(N('Dvd Calendar'!$M$737)=0,"",IF(('Dvd Calendar'!$M$737&gt;=MIN(DATE(Summary!$C$12,1,1),Summary!$C$11))*('Dvd Calendar'!$M$737&lt;=MAX(DATE(Summary!$C$12,12,31),Summary!$C$15))*('Dvd Calendar'!$M$737&gt;Summary!$C$11)=0,"",'Dvd Calendar'!$M$737*1000000000+ISNUMBER('Dvd Calendar'!$M$738)*100000000+('Dvd Calendar'!$M$742='Field Check'!$C$25)*10000000+(N('Dvd Calendar'!$M$736)&gt;0)*1000000+49*1000+49))</f>
        <v/>
      </c>
      <c r="AZ57" s="41">
        <f>IF(N('Dvd Calendar'!$N$737)=0,"",IF(('Dvd Calendar'!$N$737&gt;=MIN(DATE(Summary!$C$12,1,1),Summary!$C$11))*('Dvd Calendar'!$N$737&lt;=MAX(DATE(Summary!$C$12,12,31),Summary!$C$15))*('Dvd Calendar'!$N$737&gt;Summary!$C$11)=0,"",'Dvd Calendar'!$N$737*1000000000+ISNUMBER('Dvd Calendar'!$N$738)*100000000+('Dvd Calendar'!$N$742='Field Check'!$C$25)*10000000+(N('Dvd Calendar'!$N$736)&gt;0)*1000000+49*1000+50))</f>
        <v/>
      </c>
      <c r="BA57" s="41">
        <f>IF(N('Dvd Calendar'!$O$737)=0,"",IF(('Dvd Calendar'!$O$737&gt;=MIN(DATE(Summary!$C$12,1,1),Summary!$C$11))*('Dvd Calendar'!$O$737&lt;=MAX(DATE(Summary!$C$12,12,31),Summary!$C$15))*('Dvd Calendar'!$O$737&gt;Summary!$C$11)=0,"",'Dvd Calendar'!$O$737*1000000000+ISNUMBER('Dvd Calendar'!$O$738)*100000000+('Dvd Calendar'!$O$742='Field Check'!$C$25)*10000000+(N('Dvd Calendar'!$O$736)&gt;0)*1000000+49*1000+51))</f>
        <v/>
      </c>
      <c r="BB57" s="41">
        <f>IF(N('Dvd Calendar'!$P$737)=0,"",IF(('Dvd Calendar'!$P$737&gt;=MIN(DATE(Summary!$C$12,1,1),Summary!$C$11))*('Dvd Calendar'!$P$737&lt;=MAX(DATE(Summary!$C$12,12,31),Summary!$C$15))*('Dvd Calendar'!$P$737&gt;Summary!$C$11)=0,"",'Dvd Calendar'!$P$737*1000000000+ISNUMBER('Dvd Calendar'!$P$738)*100000000+('Dvd Calendar'!$P$742='Field Check'!$C$25)*10000000+(N('Dvd Calendar'!$P$736)&gt;0)*1000000+49*1000+52))</f>
        <v/>
      </c>
      <c r="BC57" s="41">
        <f>IF(N('Dvd Calendar'!$Q$737)=0,"",IF(('Dvd Calendar'!$Q$737&gt;=MIN(DATE(Summary!$C$12,1,1),Summary!$C$11))*('Dvd Calendar'!$Q$737&lt;=MAX(DATE(Summary!$C$12,12,31),Summary!$C$15))*('Dvd Calendar'!$Q$737&gt;Summary!$C$11)=0,"",'Dvd Calendar'!$Q$737*1000000000+ISNUMBER('Dvd Calendar'!$Q$738)*100000000+('Dvd Calendar'!$Q$742='Field Check'!$C$25)*10000000+(N('Dvd Calendar'!$Q$736)&gt;0)*1000000+49*1000+53))</f>
        <v/>
      </c>
      <c r="BD57" s="41">
        <f>IF(N('Dvd Calendar'!$R$737)=0,"",IF(('Dvd Calendar'!$R$737&gt;=MIN(DATE(Summary!$C$12,1,1),Summary!$C$11))*('Dvd Calendar'!$R$737&lt;=MAX(DATE(Summary!$C$12,12,31),Summary!$C$15))*('Dvd Calendar'!$R$737&gt;Summary!$C$11)=0,"",'Dvd Calendar'!$R$737*1000000000+ISNUMBER('Dvd Calendar'!$R$738)*100000000+('Dvd Calendar'!$R$742='Field Check'!$C$25)*10000000+(N('Dvd Calendar'!$R$736)&gt;0)*1000000+49*1000+54))</f>
        <v/>
      </c>
      <c r="BE57" s="41">
        <f>IF(N('Dvd Calendar'!$S$737)=0,"",IF(('Dvd Calendar'!$S$737&gt;=MIN(DATE(Summary!$C$12,1,1),Summary!$C$11))*('Dvd Calendar'!$S$737&lt;=MAX(DATE(Summary!$C$12,12,31),Summary!$C$15))*('Dvd Calendar'!$S$737&gt;Summary!$C$11)=0,"",'Dvd Calendar'!$S$737*1000000000+ISNUMBER('Dvd Calendar'!$S$738)*100000000+('Dvd Calendar'!$S$742='Field Check'!$C$25)*10000000+(N('Dvd Calendar'!$S$736)&gt;0)*1000000+49*1000+55))</f>
        <v/>
      </c>
      <c r="BF57" s="41">
        <f>IF(N('Dvd Calendar'!$T$737)=0,"",IF(('Dvd Calendar'!$T$737&gt;=MIN(DATE(Summary!$C$12,1,1),Summary!$C$11))*('Dvd Calendar'!$T$737&lt;=MAX(DATE(Summary!$C$12,12,31),Summary!$C$15))*('Dvd Calendar'!$T$737&gt;Summary!$C$11)=0,"",'Dvd Calendar'!$T$737*1000000000+ISNUMBER('Dvd Calendar'!$T$738)*100000000+('Dvd Calendar'!$T$742='Field Check'!$C$25)*10000000+(N('Dvd Calendar'!$T$736)&gt;0)*1000000+49*1000+56))</f>
        <v/>
      </c>
      <c r="BG57" s="41">
        <f>IF(N('Dvd Calendar'!$U$737)=0,"",IF(('Dvd Calendar'!$U$737&gt;=MIN(DATE(Summary!$C$12,1,1),Summary!$C$11))*('Dvd Calendar'!$U$737&lt;=MAX(DATE(Summary!$C$12,12,31),Summary!$C$15))*('Dvd Calendar'!$U$737&gt;Summary!$C$11)=0,"",'Dvd Calendar'!$U$737*1000000000+ISNUMBER('Dvd Calendar'!$U$738)*100000000+('Dvd Calendar'!$U$742='Field Check'!$C$25)*10000000+(N('Dvd Calendar'!$U$736)&gt;0)*1000000+49*1000+57))</f>
        <v/>
      </c>
      <c r="BH57" s="41">
        <f>IF(N('Dvd Calendar'!$V$737)=0,"",IF(('Dvd Calendar'!$V$737&gt;=MIN(DATE(Summary!$C$12,1,1),Summary!$C$11))*('Dvd Calendar'!$V$737&lt;=MAX(DATE(Summary!$C$12,12,31),Summary!$C$15))*('Dvd Calendar'!$V$737&gt;Summary!$C$11)=0,"",'Dvd Calendar'!$V$737*1000000000+ISNUMBER('Dvd Calendar'!$V$738)*100000000+('Dvd Calendar'!$V$742='Field Check'!$C$25)*10000000+(N('Dvd Calendar'!$V$736)&gt;0)*1000000+49*1000+58))</f>
        <v/>
      </c>
      <c r="BI57" s="41">
        <f>IF(N('Dvd Calendar'!$W$737)=0,"",IF(('Dvd Calendar'!$W$737&gt;=MIN(DATE(Summary!$C$12,1,1),Summary!$C$11))*('Dvd Calendar'!$W$737&lt;=MAX(DATE(Summary!$C$12,12,31),Summary!$C$15))*('Dvd Calendar'!$W$737&gt;Summary!$C$11)=0,"",'Dvd Calendar'!$W$737*1000000000+ISNUMBER('Dvd Calendar'!$W$738)*100000000+('Dvd Calendar'!$W$742='Field Check'!$C$25)*10000000+(N('Dvd Calendar'!$W$736)&gt;0)*1000000+49*1000+59))</f>
        <v/>
      </c>
      <c r="BJ57" s="41">
        <f>IF(N('Dvd Calendar'!$X$737)=0,"",IF(('Dvd Calendar'!$X$737&gt;=MIN(DATE(Summary!$C$12,1,1),Summary!$C$11))*('Dvd Calendar'!$X$737&lt;=MAX(DATE(Summary!$C$12,12,31),Summary!$C$15))*('Dvd Calendar'!$X$737&gt;Summary!$C$11)=0,"",'Dvd Calendar'!$X$737*1000000000+ISNUMBER('Dvd Calendar'!$X$738)*100000000+('Dvd Calendar'!$X$742='Field Check'!$C$25)*10000000+(N('Dvd Calendar'!$X$736)&gt;0)*1000000+49*1000+60))</f>
        <v/>
      </c>
      <c r="BK57" s="41">
        <f>IF(N('Dvd Calendar'!$Y$737)=0,"",IF(('Dvd Calendar'!$Y$737&gt;=MIN(DATE(Summary!$C$12,1,1),Summary!$C$11))*('Dvd Calendar'!$Y$737&lt;=MAX(DATE(Summary!$C$12,12,31),Summary!$C$15))*('Dvd Calendar'!$Y$737&gt;Summary!$C$11)=0,"",'Dvd Calendar'!$Y$737*1000000000+ISNUMBER('Dvd Calendar'!$Y$738)*100000000+('Dvd Calendar'!$Y$742='Field Check'!$C$25)*10000000+(N('Dvd Calendar'!$Y$736)&gt;0)*1000000+49*1000+61))</f>
        <v/>
      </c>
      <c r="BL57" s="41">
        <f>IF(N('Dvd Calendar'!$Z$737)=0,"",IF(('Dvd Calendar'!$Z$737&gt;=MIN(DATE(Summary!$C$12,1,1),Summary!$C$11))*('Dvd Calendar'!$Z$737&lt;=MAX(DATE(Summary!$C$12,12,31),Summary!$C$15))*('Dvd Calendar'!$Z$737&gt;Summary!$C$11)=0,"",'Dvd Calendar'!$Z$737*1000000000+ISNUMBER('Dvd Calendar'!$Z$738)*100000000+('Dvd Calendar'!$Z$742='Field Check'!$C$25)*10000000+(N('Dvd Calendar'!$Z$736)&gt;0)*1000000+49*1000+62))</f>
        <v/>
      </c>
      <c r="BM57" s="41">
        <f>IF(N('Dvd Calendar'!$AA$737)=0,"",IF(('Dvd Calendar'!$AA$737&gt;=MIN(DATE(Summary!$C$12,1,1),Summary!$C$11))*('Dvd Calendar'!$AA$737&lt;=MAX(DATE(Summary!$C$12,12,31),Summary!$C$15))*('Dvd Calendar'!$AA$737&gt;Summary!$C$11)=0,"",'Dvd Calendar'!$AA$737*1000000000+ISNUMBER('Dvd Calendar'!$AA$738)*100000000+('Dvd Calendar'!$AA$742='Field Check'!$C$25)*10000000+(N('Dvd Calendar'!$AA$736)&gt;0)*1000000+49*1000+63))</f>
        <v/>
      </c>
      <c r="BN57" s="41">
        <f>IF(N('Dvd Calendar'!$AB$737)=0,"",IF(('Dvd Calendar'!$AB$737&gt;=MIN(DATE(Summary!$C$12,1,1),Summary!$C$11))*('Dvd Calendar'!$AB$737&lt;=MAX(DATE(Summary!$C$12,12,31),Summary!$C$15))*('Dvd Calendar'!$AB$737&gt;Summary!$C$11)=0,"",'Dvd Calendar'!$AB$737*1000000000+ISNUMBER('Dvd Calendar'!$AB$738)*100000000+('Dvd Calendar'!$AB$742='Field Check'!$C$25)*10000000+(N('Dvd Calendar'!$AB$736)&gt;0)*1000000+49*1000+64))</f>
        <v/>
      </c>
      <c r="BO57" s="41">
        <f>IF(N('Dvd Calendar'!$AC$737)=0,"",IF(('Dvd Calendar'!$AC$737&gt;=MIN(DATE(Summary!$C$12,1,1),Summary!$C$11))*('Dvd Calendar'!$AC$737&lt;=MAX(DATE(Summary!$C$12,12,31),Summary!$C$15))*('Dvd Calendar'!$AC$737&gt;Summary!$C$11)=0,"",'Dvd Calendar'!$AC$737*1000000000+ISNUMBER('Dvd Calendar'!$AC$738)*100000000+('Dvd Calendar'!$AC$742='Field Check'!$C$25)*10000000+(N('Dvd Calendar'!$AC$736)&gt;0)*1000000+49*1000+65))</f>
        <v/>
      </c>
      <c r="BQ57" s="85">
        <f>IF(C57="","",IF(ISNUMBER('Dvd Calendar'!$E$731)=FALSE,"",IF((Summary!$C$13="N")*('Dvd Calendar'!$E$735='Field Check'!$C$25)&gt;0,"",'Dvd Calendar'!$E$731)))</f>
        <v/>
      </c>
      <c r="BR57" s="85">
        <f>IF(D57="","",IF(ISNUMBER('Dvd Calendar'!$F$731)=FALSE,"",IF((Summary!$C$13="N")*('Dvd Calendar'!$F$735='Field Check'!$C$25)&gt;0,"",'Dvd Calendar'!$F$731)))</f>
        <v/>
      </c>
      <c r="BS57" s="85">
        <f>IF(E57="","",IF(ISNUMBER('Dvd Calendar'!$G$731)=FALSE,"",IF((Summary!$C$13="N")*('Dvd Calendar'!$G$735='Field Check'!$C$25)&gt;0,"",'Dvd Calendar'!$G$731)))</f>
        <v/>
      </c>
      <c r="BT57" s="85">
        <f>IF(F57="","",IF(ISNUMBER('Dvd Calendar'!$H$731)=FALSE,"",IF((Summary!$C$13="N")*('Dvd Calendar'!$H$735='Field Check'!$C$25)&gt;0,"",'Dvd Calendar'!$H$731)))</f>
        <v/>
      </c>
      <c r="BU57" s="85">
        <f>IF(G57="","",IF(ISNUMBER('Dvd Calendar'!$I$731)=FALSE,"",IF((Summary!$C$13="N")*('Dvd Calendar'!$I$735='Field Check'!$C$25)&gt;0,"",'Dvd Calendar'!$I$731)))</f>
        <v/>
      </c>
      <c r="BV57" s="85">
        <f>IF(H57="","",IF(ISNUMBER('Dvd Calendar'!$J$731)=FALSE,"",IF((Summary!$C$13="N")*('Dvd Calendar'!$J$735='Field Check'!$C$25)&gt;0,"",'Dvd Calendar'!$J$731)))</f>
        <v/>
      </c>
      <c r="BW57" s="85">
        <f>IF(I57="","",IF(ISNUMBER('Dvd Calendar'!$K$731)=FALSE,"",IF((Summary!$C$13="N")*('Dvd Calendar'!$K$735='Field Check'!$C$25)&gt;0,"",'Dvd Calendar'!$K$731)))</f>
        <v/>
      </c>
      <c r="BX57" s="85">
        <f>IF(J57="","",IF(ISNUMBER('Dvd Calendar'!$L$731)=FALSE,"",IF((Summary!$C$13="N")*('Dvd Calendar'!$L$735='Field Check'!$C$25)&gt;0,"",'Dvd Calendar'!$L$731)))</f>
        <v/>
      </c>
      <c r="BY57" s="85">
        <f>IF(K57="","",IF(ISNUMBER('Dvd Calendar'!$M$731)=FALSE,"",IF((Summary!$C$13="N")*('Dvd Calendar'!$M$735='Field Check'!$C$25)&gt;0,"",'Dvd Calendar'!$M$731)))</f>
        <v/>
      </c>
      <c r="BZ57" s="85">
        <f>IF(L57="","",IF(ISNUMBER('Dvd Calendar'!$N$731)=FALSE,"",IF((Summary!$C$13="N")*('Dvd Calendar'!$N$735='Field Check'!$C$25)&gt;0,"",'Dvd Calendar'!$N$731)))</f>
        <v/>
      </c>
      <c r="CA57" s="85">
        <f>IF(M57="","",IF(ISNUMBER('Dvd Calendar'!$O$731)=FALSE,"",IF((Summary!$C$13="N")*('Dvd Calendar'!$O$735='Field Check'!$C$25)&gt;0,"",'Dvd Calendar'!$O$731)))</f>
        <v/>
      </c>
      <c r="CB57" s="85">
        <f>IF(N57="","",IF(ISNUMBER('Dvd Calendar'!$P$731)=FALSE,"",IF((Summary!$C$13="N")*('Dvd Calendar'!$P$735='Field Check'!$C$25)&gt;0,"",'Dvd Calendar'!$P$731)))</f>
        <v/>
      </c>
      <c r="CC57" s="85">
        <f>IF(O57="","",IF(ISNUMBER('Dvd Calendar'!$Q$731)=FALSE,"",IF((Summary!$C$13="N")*('Dvd Calendar'!$Q$735='Field Check'!$C$25)&gt;0,"",'Dvd Calendar'!$Q$731)))</f>
        <v/>
      </c>
      <c r="CD57" s="85">
        <f>IF(P57="","",IF(ISNUMBER('Dvd Calendar'!$R$731)=FALSE,"",IF((Summary!$C$13="N")*('Dvd Calendar'!$R$735='Field Check'!$C$25)&gt;0,"",'Dvd Calendar'!$R$731)))</f>
        <v/>
      </c>
      <c r="CE57" s="85">
        <f>IF(Q57="","",IF(ISNUMBER('Dvd Calendar'!$S$731)=FALSE,"",IF((Summary!$C$13="N")*('Dvd Calendar'!$S$735='Field Check'!$C$25)&gt;0,"",'Dvd Calendar'!$S$731)))</f>
        <v/>
      </c>
      <c r="CF57" s="85">
        <f>IF(R57="","",IF(ISNUMBER('Dvd Calendar'!$T$731)=FALSE,"",IF((Summary!$C$13="N")*('Dvd Calendar'!$T$735='Field Check'!$C$25)&gt;0,"",'Dvd Calendar'!$T$731)))</f>
        <v/>
      </c>
      <c r="CG57" s="85">
        <f>IF(S57="","",IF(ISNUMBER('Dvd Calendar'!$U$731)=FALSE,"",IF((Summary!$C$13="N")*('Dvd Calendar'!$U$735='Field Check'!$C$25)&gt;0,"",'Dvd Calendar'!$U$731)))</f>
        <v/>
      </c>
      <c r="CH57" s="85">
        <f>IF(T57="","",IF(ISNUMBER('Dvd Calendar'!$V$731)=FALSE,"",IF((Summary!$C$13="N")*('Dvd Calendar'!$V$735='Field Check'!$C$25)&gt;0,"",'Dvd Calendar'!$V$731)))</f>
        <v/>
      </c>
      <c r="CI57" s="85">
        <f>IF(U57="","",IF(ISNUMBER('Dvd Calendar'!$W$731)=FALSE,"",IF((Summary!$C$13="N")*('Dvd Calendar'!$W$735='Field Check'!$C$25)&gt;0,"",'Dvd Calendar'!$W$731)))</f>
        <v/>
      </c>
      <c r="CJ57" s="85">
        <f>IF(V57="","",IF(ISNUMBER('Dvd Calendar'!$X$731)=FALSE,"",IF((Summary!$C$13="N")*('Dvd Calendar'!$X$735='Field Check'!$C$25)&gt;0,"",'Dvd Calendar'!$X$731)))</f>
        <v/>
      </c>
      <c r="CK57" s="85">
        <f>IF(W57="","",IF(ISNUMBER('Dvd Calendar'!$Y$731)=FALSE,"",IF((Summary!$C$13="N")*('Dvd Calendar'!$Y$735='Field Check'!$C$25)&gt;0,"",'Dvd Calendar'!$Y$731)))</f>
        <v/>
      </c>
      <c r="CL57" s="85">
        <f>IF(X57="","",IF(ISNUMBER('Dvd Calendar'!$Z$731)=FALSE,"",IF((Summary!$C$13="N")*('Dvd Calendar'!$Z$735='Field Check'!$C$25)&gt;0,"",'Dvd Calendar'!$Z$731)))</f>
        <v/>
      </c>
      <c r="CM57" s="85">
        <f>IF(Y57="","",IF(ISNUMBER('Dvd Calendar'!$AA$731)=FALSE,"",IF((Summary!$C$13="N")*('Dvd Calendar'!$AA$735='Field Check'!$C$25)&gt;0,"",'Dvd Calendar'!$AA$731)))</f>
        <v/>
      </c>
      <c r="CN57" s="85">
        <f>IF(Z57="","",IF(ISNUMBER('Dvd Calendar'!$AB$731)=FALSE,"",IF((Summary!$C$13="N")*('Dvd Calendar'!$AB$735='Field Check'!$C$25)&gt;0,"",'Dvd Calendar'!$AB$731)))</f>
        <v/>
      </c>
      <c r="CO57" s="85">
        <f>IF(AA57="","",IF(ISNUMBER('Dvd Calendar'!$AC$731)=FALSE,"",IF((Summary!$C$13="N")*('Dvd Calendar'!$AC$735='Field Check'!$C$25)&gt;0,"",'Dvd Calendar'!$AC$731)))</f>
        <v/>
      </c>
      <c r="CP57" s="85">
        <f>IF(AB57="","",IF(ISNUMBER('Dvd Calendar'!$AD$731)=FALSE,"",IF((Summary!$C$13="N")*('Dvd Calendar'!$AD$735='Field Check'!$C$25)&gt;0,"",'Dvd Calendar'!$AD$731)))</f>
        <v/>
      </c>
      <c r="CQ57" s="85">
        <f>IF(AC57="","",IF(ISNUMBER('Dvd Calendar'!$AE$731)=FALSE,"",IF((Summary!$C$13="N")*('Dvd Calendar'!$AE$735='Field Check'!$C$25)&gt;0,"",'Dvd Calendar'!$AE$731)))</f>
        <v/>
      </c>
      <c r="CR57" s="85">
        <f>IF(AD57="","",IF(ISNUMBER('Dvd Calendar'!$AF$731)=FALSE,"",IF((Summary!$C$13="N")*('Dvd Calendar'!$AF$735='Field Check'!$C$25)&gt;0,"",'Dvd Calendar'!$AF$731)))</f>
        <v/>
      </c>
      <c r="CS57" s="85">
        <f>IF(AE57="","",IF(ISNUMBER('Dvd Calendar'!$AG$731)=FALSE,"",IF((Summary!$C$13="N")*('Dvd Calendar'!$AG$735='Field Check'!$C$25)&gt;0,"",'Dvd Calendar'!$AG$731)))</f>
        <v/>
      </c>
      <c r="CT57" s="85">
        <f>IF(AF57="","",IF(ISNUMBER('Dvd Calendar'!$AH$731)=FALSE,"",IF((Summary!$C$13="N")*('Dvd Calendar'!$AH$735='Field Check'!$C$25)&gt;0,"",'Dvd Calendar'!$AH$731)))</f>
        <v/>
      </c>
      <c r="CU57" s="85">
        <f>IF(AG57="","",IF(ISNUMBER('Dvd Calendar'!$AI$731)=FALSE,"",IF((Summary!$C$13="N")*('Dvd Calendar'!$AI$735='Field Check'!$C$25)&gt;0,"",'Dvd Calendar'!$AI$731)))</f>
        <v/>
      </c>
      <c r="CV57" s="85">
        <f>IF(AH57="","",IF(ISNUMBER('Dvd Calendar'!$AJ$731)=FALSE,"",IF((Summary!$C$13="N")*('Dvd Calendar'!$AJ$735='Field Check'!$C$25)&gt;0,"",'Dvd Calendar'!$AJ$731)))</f>
        <v/>
      </c>
      <c r="CW57" s="85">
        <f>IF(AI57="","",IF(ISNUMBER('Dvd Calendar'!$AK$731)=FALSE,"",IF((Summary!$C$13="N")*('Dvd Calendar'!$AK$735='Field Check'!$C$25)&gt;0,"",'Dvd Calendar'!$AK$731)))</f>
        <v/>
      </c>
      <c r="CX57" s="85">
        <f>IF(AJ57="","",IF(ISNUMBER('Dvd Calendar'!$AL$731)=FALSE,"",IF((Summary!$C$13="N")*('Dvd Calendar'!$AL$735='Field Check'!$C$25)&gt;0,"",'Dvd Calendar'!$AL$731)))</f>
        <v/>
      </c>
      <c r="CY57" s="85">
        <f>IF(AK57="","",IF(ISNUMBER('Dvd Calendar'!$AM$731)=FALSE,"",IF((Summary!$C$13="N")*('Dvd Calendar'!$AM$735='Field Check'!$C$25)&gt;0,"",'Dvd Calendar'!$AM$731)))</f>
        <v/>
      </c>
      <c r="CZ57" s="85">
        <f>IF(AL57="","",IF(ISNUMBER('Dvd Calendar'!$AN$731)=FALSE,"",IF((Summary!$C$13="N")*('Dvd Calendar'!$AN$735='Field Check'!$C$25)&gt;0,"",'Dvd Calendar'!$AN$731)))</f>
        <v/>
      </c>
      <c r="DA57" s="85">
        <f>IF(AM57="","",IF(ISNUMBER('Dvd Calendar'!$AO$731)=FALSE,"",IF((Summary!$C$13="N")*('Dvd Calendar'!$AO$735='Field Check'!$C$25)&gt;0,"",'Dvd Calendar'!$AO$731)))</f>
        <v/>
      </c>
      <c r="DB57" s="85">
        <f>IF(AN57="","",IF(ISNUMBER('Dvd Calendar'!$AP$731)=FALSE,"",IF((Summary!$C$13="N")*('Dvd Calendar'!$AP$735='Field Check'!$C$25)&gt;0,"",'Dvd Calendar'!$AP$731)))</f>
        <v/>
      </c>
      <c r="DC57" s="85">
        <f>IF(AO57="","",IF(ISNUMBER('Dvd Calendar'!$AQ$731)=FALSE,"",IF((Summary!$C$13="N")*('Dvd Calendar'!$AQ$735='Field Check'!$C$25)&gt;0,"",'Dvd Calendar'!$AQ$731)))</f>
        <v/>
      </c>
      <c r="DD57" s="85">
        <f>IF(AP57="","",IF(ISNUMBER('Dvd Calendar'!$AR$731)=FALSE,"",IF((Summary!$C$13="N")*('Dvd Calendar'!$AR$735='Field Check'!$C$25)&gt;0,"",'Dvd Calendar'!$AR$731)))</f>
        <v/>
      </c>
      <c r="DE57" s="85">
        <f>IF(AQ57="","",IF(ISNUMBER('Dvd Calendar'!$E$738)=FALSE,"",IF((Summary!$C$13="N")*('Dvd Calendar'!$E$742='Field Check'!$C$25)&gt;0,"",'Dvd Calendar'!$E$738)))</f>
        <v/>
      </c>
      <c r="DF57" s="85">
        <f>IF(AR57="","",IF(ISNUMBER('Dvd Calendar'!$F$738)=FALSE,"",IF((Summary!$C$13="N")*('Dvd Calendar'!$F$742='Field Check'!$C$25)&gt;0,"",'Dvd Calendar'!$F$738)))</f>
        <v/>
      </c>
      <c r="DG57" s="85">
        <f>IF(AS57="","",IF(ISNUMBER('Dvd Calendar'!$G$738)=FALSE,"",IF((Summary!$C$13="N")*('Dvd Calendar'!$G$742='Field Check'!$C$25)&gt;0,"",'Dvd Calendar'!$G$738)))</f>
        <v/>
      </c>
      <c r="DH57" s="85">
        <f>IF(AT57="","",IF(ISNUMBER('Dvd Calendar'!$H$738)=FALSE,"",IF((Summary!$C$13="N")*('Dvd Calendar'!$H$742='Field Check'!$C$25)&gt;0,"",'Dvd Calendar'!$H$738)))</f>
        <v/>
      </c>
      <c r="DI57" s="85">
        <f>IF(AU57="","",IF(ISNUMBER('Dvd Calendar'!$I$738)=FALSE,"",IF((Summary!$C$13="N")*('Dvd Calendar'!$I$742='Field Check'!$C$25)&gt;0,"",'Dvd Calendar'!$I$738)))</f>
        <v/>
      </c>
      <c r="DJ57" s="85">
        <f>IF(AV57="","",IF(ISNUMBER('Dvd Calendar'!$J$738)=FALSE,"",IF((Summary!$C$13="N")*('Dvd Calendar'!$J$742='Field Check'!$C$25)&gt;0,"",'Dvd Calendar'!$J$738)))</f>
        <v/>
      </c>
      <c r="DK57" s="85">
        <f>IF(AW57="","",IF(ISNUMBER('Dvd Calendar'!$K$738)=FALSE,"",IF((Summary!$C$13="N")*('Dvd Calendar'!$K$742='Field Check'!$C$25)&gt;0,"",'Dvd Calendar'!$K$738)))</f>
        <v/>
      </c>
      <c r="DL57" s="85">
        <f>IF(AX57="","",IF(ISNUMBER('Dvd Calendar'!$L$738)=FALSE,"",IF((Summary!$C$13="N")*('Dvd Calendar'!$L$742='Field Check'!$C$25)&gt;0,"",'Dvd Calendar'!$L$738)))</f>
        <v/>
      </c>
      <c r="DM57" s="85">
        <f>IF(AY57="","",IF(ISNUMBER('Dvd Calendar'!$M$738)=FALSE,"",IF((Summary!$C$13="N")*('Dvd Calendar'!$M$742='Field Check'!$C$25)&gt;0,"",'Dvd Calendar'!$M$738)))</f>
        <v/>
      </c>
      <c r="DN57" s="85">
        <f>IF(AZ57="","",IF(ISNUMBER('Dvd Calendar'!$N$738)=FALSE,"",IF((Summary!$C$13="N")*('Dvd Calendar'!$N$742='Field Check'!$C$25)&gt;0,"",'Dvd Calendar'!$N$738)))</f>
        <v/>
      </c>
      <c r="DO57" s="85">
        <f>IF(BA57="","",IF(ISNUMBER('Dvd Calendar'!$O$738)=FALSE,"",IF((Summary!$C$13="N")*('Dvd Calendar'!$O$742='Field Check'!$C$25)&gt;0,"",'Dvd Calendar'!$O$738)))</f>
        <v/>
      </c>
      <c r="DP57" s="85">
        <f>IF(BB57="","",IF(ISNUMBER('Dvd Calendar'!$P$738)=FALSE,"",IF((Summary!$C$13="N")*('Dvd Calendar'!$P$742='Field Check'!$C$25)&gt;0,"",'Dvd Calendar'!$P$738)))</f>
        <v/>
      </c>
      <c r="DQ57" s="85">
        <f>IF(BC57="","",IF(ISNUMBER('Dvd Calendar'!$Q$738)=FALSE,"",IF((Summary!$C$13="N")*('Dvd Calendar'!$Q$742='Field Check'!$C$25)&gt;0,"",'Dvd Calendar'!$Q$738)))</f>
        <v/>
      </c>
      <c r="DR57" s="85">
        <f>IF(BD57="","",IF(ISNUMBER('Dvd Calendar'!$R$738)=FALSE,"",IF((Summary!$C$13="N")*('Dvd Calendar'!$R$742='Field Check'!$C$25)&gt;0,"",'Dvd Calendar'!$R$738)))</f>
        <v/>
      </c>
      <c r="DS57" s="85">
        <f>IF(BE57="","",IF(ISNUMBER('Dvd Calendar'!$S$738)=FALSE,"",IF((Summary!$C$13="N")*('Dvd Calendar'!$S$742='Field Check'!$C$25)&gt;0,"",'Dvd Calendar'!$S$738)))</f>
        <v/>
      </c>
      <c r="DT57" s="85">
        <f>IF(BF57="","",IF(ISNUMBER('Dvd Calendar'!$T$738)=FALSE,"",IF((Summary!$C$13="N")*('Dvd Calendar'!$T$742='Field Check'!$C$25)&gt;0,"",'Dvd Calendar'!$T$738)))</f>
        <v/>
      </c>
      <c r="DU57" s="85">
        <f>IF(BG57="","",IF(ISNUMBER('Dvd Calendar'!$U$738)=FALSE,"",IF((Summary!$C$13="N")*('Dvd Calendar'!$U$742='Field Check'!$C$25)&gt;0,"",'Dvd Calendar'!$U$738)))</f>
        <v/>
      </c>
      <c r="DV57" s="85">
        <f>IF(BH57="","",IF(ISNUMBER('Dvd Calendar'!$V$738)=FALSE,"",IF((Summary!$C$13="N")*('Dvd Calendar'!$V$742='Field Check'!$C$25)&gt;0,"",'Dvd Calendar'!$V$738)))</f>
        <v/>
      </c>
      <c r="DW57" s="85">
        <f>IF(BI57="","",IF(ISNUMBER('Dvd Calendar'!$W$738)=FALSE,"",IF((Summary!$C$13="N")*('Dvd Calendar'!$W$742='Field Check'!$C$25)&gt;0,"",'Dvd Calendar'!$W$738)))</f>
        <v/>
      </c>
      <c r="DX57" s="85">
        <f>IF(BJ57="","",IF(ISNUMBER('Dvd Calendar'!$X$738)=FALSE,"",IF((Summary!$C$13="N")*('Dvd Calendar'!$X$742='Field Check'!$C$25)&gt;0,"",'Dvd Calendar'!$X$738)))</f>
        <v/>
      </c>
      <c r="DY57" s="85">
        <f>IF(BK57="","",IF(ISNUMBER('Dvd Calendar'!$Y$738)=FALSE,"",IF((Summary!$C$13="N")*('Dvd Calendar'!$Y$742='Field Check'!$C$25)&gt;0,"",'Dvd Calendar'!$Y$738)))</f>
        <v/>
      </c>
      <c r="DZ57" s="85">
        <f>IF(BL57="","",IF(ISNUMBER('Dvd Calendar'!$Z$738)=FALSE,"",IF((Summary!$C$13="N")*('Dvd Calendar'!$Z$742='Field Check'!$C$25)&gt;0,"",'Dvd Calendar'!$Z$738)))</f>
        <v/>
      </c>
      <c r="EA57" s="85">
        <f>IF(BM57="","",IF(ISNUMBER('Dvd Calendar'!$AA$738)=FALSE,"",IF((Summary!$C$13="N")*('Dvd Calendar'!$AA$742='Field Check'!$C$25)&gt;0,"",'Dvd Calendar'!$AA$738)))</f>
        <v/>
      </c>
      <c r="EB57" s="85">
        <f>IF(BN57="","",IF(ISNUMBER('Dvd Calendar'!$AB$738)=FALSE,"",IF((Summary!$C$13="N")*('Dvd Calendar'!$AB$742='Field Check'!$C$25)&gt;0,"",'Dvd Calendar'!$AB$738)))</f>
        <v/>
      </c>
      <c r="EC57" s="85">
        <f>IF(BO57="","",IF(ISNUMBER('Dvd Calendar'!$AC$738)=FALSE,"",IF((Summary!$C$13="N")*('Dvd Calendar'!$AC$742='Field Check'!$C$25)&gt;0,"",'Dvd Calendar'!$AC$738)))</f>
        <v/>
      </c>
      <c r="EE57" s="85">
        <f>IF(BQ57="","",IFERROR(BQ57*HSI!$B$55*HSI!$G$55/HSI!$B$3,""))</f>
        <v/>
      </c>
      <c r="EF57" s="85">
        <f>IF(BR57="","",IFERROR(BR57*HSI!$B$55*HSI!$G$55/HSI!$B$3,""))</f>
        <v/>
      </c>
      <c r="EG57" s="85">
        <f>IF(BS57="","",IFERROR(BS57*HSI!$B$55*HSI!$G$55/HSI!$B$3,""))</f>
        <v/>
      </c>
      <c r="EH57" s="85">
        <f>IF(BT57="","",IFERROR(BT57*HSI!$B$55*HSI!$G$55/HSI!$B$3,""))</f>
        <v/>
      </c>
      <c r="EI57" s="85">
        <f>IF(BU57="","",IFERROR(BU57*HSI!$B$55*HSI!$G$55/HSI!$B$3,""))</f>
        <v/>
      </c>
      <c r="EJ57" s="85">
        <f>IF(BV57="","",IFERROR(BV57*HSI!$B$55*HSI!$G$55/HSI!$B$3,""))</f>
        <v/>
      </c>
      <c r="EK57" s="85">
        <f>IF(BW57="","",IFERROR(BW57*HSI!$B$55*HSI!$G$55/HSI!$B$3,""))</f>
        <v/>
      </c>
      <c r="EL57" s="85">
        <f>IF(BX57="","",IFERROR(BX57*HSI!$B$55*HSI!$G$55/HSI!$B$3,""))</f>
        <v/>
      </c>
      <c r="EM57" s="85">
        <f>IF(BY57="","",IFERROR(BY57*HSI!$B$55*HSI!$G$55/HSI!$B$3,""))</f>
        <v/>
      </c>
      <c r="EN57" s="85">
        <f>IF(BZ57="","",IFERROR(BZ57*HSI!$B$55*HSI!$G$55/HSI!$B$3,""))</f>
        <v/>
      </c>
      <c r="EO57" s="85">
        <f>IF(CA57="","",IFERROR(CA57*HSI!$B$55*HSI!$G$55/HSI!$B$3,""))</f>
        <v/>
      </c>
      <c r="EP57" s="85">
        <f>IF(CB57="","",IFERROR(CB57*HSI!$B$55*HSI!$G$55/HSI!$B$3,""))</f>
        <v/>
      </c>
      <c r="EQ57" s="85">
        <f>IF(CC57="","",IFERROR(CC57*HSI!$B$55*HSI!$G$55/HSI!$B$3,""))</f>
        <v/>
      </c>
      <c r="ER57" s="85">
        <f>IF(CD57="","",IFERROR(CD57*HSI!$B$55*HSI!$G$55/HSI!$B$3,""))</f>
        <v/>
      </c>
      <c r="ES57" s="85">
        <f>IF(CE57="","",IFERROR(CE57*HSI!$B$55*HSI!$G$55/HSI!$B$3,""))</f>
        <v/>
      </c>
      <c r="ET57" s="85">
        <f>IF(CF57="","",IFERROR(CF57*HSI!$B$55*HSI!$G$55/HSI!$B$3,""))</f>
        <v/>
      </c>
      <c r="EU57" s="85">
        <f>IF(CG57="","",IFERROR(CG57*HSI!$B$55*HSI!$G$55/HSI!$B$3,""))</f>
        <v/>
      </c>
      <c r="EV57" s="85">
        <f>IF(CH57="","",IFERROR(CH57*HSI!$B$55*HSI!$G$55/HSI!$B$3,""))</f>
        <v/>
      </c>
      <c r="EW57" s="85">
        <f>IF(CI57="","",IFERROR(CI57*HSI!$B$55*HSI!$G$55/HSI!$B$3,""))</f>
        <v/>
      </c>
      <c r="EX57" s="85">
        <f>IF(CJ57="","",IFERROR(CJ57*HSI!$B$55*HSI!$G$55/HSI!$B$3,""))</f>
        <v/>
      </c>
      <c r="EY57" s="85">
        <f>IF(CK57="","",IFERROR(CK57*HSI!$B$55*HSI!$G$55/HSI!$B$3,""))</f>
        <v/>
      </c>
      <c r="EZ57" s="85">
        <f>IF(CL57="","",IFERROR(CL57*HSI!$B$55*HSI!$G$55/HSI!$B$3,""))</f>
        <v/>
      </c>
      <c r="FA57" s="85">
        <f>IF(CM57="","",IFERROR(CM57*HSI!$B$55*HSI!$G$55/HSI!$B$3,""))</f>
        <v/>
      </c>
      <c r="FB57" s="85">
        <f>IF(CN57="","",IFERROR(CN57*HSI!$B$55*HSI!$G$55/HSI!$B$3,""))</f>
        <v/>
      </c>
      <c r="FC57" s="85">
        <f>IF(CO57="","",IFERROR(CO57*HSI!$B$55*HSI!$G$55/HSI!$B$3,""))</f>
        <v/>
      </c>
      <c r="FD57" s="85">
        <f>IF(CP57="","",IFERROR(CP57*HSI!$B$55*HSI!$G$55/HSI!$B$3,""))</f>
        <v/>
      </c>
      <c r="FE57" s="85">
        <f>IF(CQ57="","",IFERROR(CQ57*HSI!$B$55*HSI!$G$55/HSI!$B$3,""))</f>
        <v/>
      </c>
      <c r="FF57" s="85">
        <f>IF(CR57="","",IFERROR(CR57*HSI!$B$55*HSI!$G$55/HSI!$B$3,""))</f>
        <v/>
      </c>
      <c r="FG57" s="85">
        <f>IF(CS57="","",IFERROR(CS57*HSI!$B$55*HSI!$G$55/HSI!$B$3,""))</f>
        <v/>
      </c>
      <c r="FH57" s="85">
        <f>IF(CT57="","",IFERROR(CT57*HSI!$B$55*HSI!$G$55/HSI!$B$3,""))</f>
        <v/>
      </c>
      <c r="FI57" s="85">
        <f>IF(CU57="","",IFERROR(CU57*HSI!$B$55*HSI!$G$55/HSI!$B$3,""))</f>
        <v/>
      </c>
      <c r="FJ57" s="85">
        <f>IF(CV57="","",IFERROR(CV57*HSI!$B$55*HSI!$G$55/HSI!$B$3,""))</f>
        <v/>
      </c>
      <c r="FK57" s="85">
        <f>IF(CW57="","",IFERROR(CW57*HSI!$B$55*HSI!$G$55/HSI!$B$3,""))</f>
        <v/>
      </c>
      <c r="FL57" s="85">
        <f>IF(CX57="","",IFERROR(CX57*HSI!$B$55*HSI!$G$55/HSI!$B$3,""))</f>
        <v/>
      </c>
      <c r="FM57" s="85">
        <f>IF(CY57="","",IFERROR(CY57*HSI!$B$55*HSI!$G$55/HSI!$B$3,""))</f>
        <v/>
      </c>
      <c r="FN57" s="85">
        <f>IF(CZ57="","",IFERROR(CZ57*HSI!$B$55*HSI!$G$55/HSI!$B$3,""))</f>
        <v/>
      </c>
      <c r="FO57" s="85">
        <f>IF(DA57="","",IFERROR(DA57*HSI!$B$55*HSI!$G$55/HSI!$B$3,""))</f>
        <v/>
      </c>
      <c r="FP57" s="85">
        <f>IF(DB57="","",IFERROR(DB57*HSI!$B$55*HSI!$G$55/HSI!$B$3,""))</f>
        <v/>
      </c>
      <c r="FQ57" s="85">
        <f>IF(DC57="","",IFERROR(DC57*HSI!$B$55*HSI!$G$55/HSI!$B$3,""))</f>
        <v/>
      </c>
      <c r="FR57" s="85">
        <f>IF(DD57="","",IFERROR(DD57*HSI!$B$55*HSI!$G$55/HSI!$B$3,""))</f>
        <v/>
      </c>
      <c r="FS57" s="85">
        <f>IF(DE57="","",IFERROR(DE57*HSI!$B$55*HSI!$G$55/HSI!$B$3,""))</f>
        <v/>
      </c>
      <c r="FT57" s="85">
        <f>IF(DF57="","",IFERROR(DF57*HSI!$B$55*HSI!$G$55/HSI!$B$3,""))</f>
        <v/>
      </c>
      <c r="FU57" s="85">
        <f>IF(DG57="","",IFERROR(DG57*HSI!$B$55*HSI!$G$55/HSI!$B$3,""))</f>
        <v/>
      </c>
      <c r="FV57" s="85">
        <f>IF(DH57="","",IFERROR(DH57*HSI!$B$55*HSI!$G$55/HSI!$B$3,""))</f>
        <v/>
      </c>
      <c r="FW57" s="85">
        <f>IF(DI57="","",IFERROR(DI57*HSI!$B$55*HSI!$G$55/HSI!$B$3,""))</f>
        <v/>
      </c>
      <c r="FX57" s="85">
        <f>IF(DJ57="","",IFERROR(DJ57*HSI!$B$55*HSI!$G$55/HSI!$B$3,""))</f>
        <v/>
      </c>
      <c r="FY57" s="85">
        <f>IF(DK57="","",IFERROR(DK57*HSI!$B$55*HSI!$G$55/HSI!$B$3,""))</f>
        <v/>
      </c>
      <c r="FZ57" s="85">
        <f>IF(DL57="","",IFERROR(DL57*HSI!$B$55*HSI!$G$55/HSI!$B$3,""))</f>
        <v/>
      </c>
      <c r="GA57" s="85">
        <f>IF(DM57="","",IFERROR(DM57*HSI!$B$55*HSI!$G$55/HSI!$B$3,""))</f>
        <v/>
      </c>
      <c r="GB57" s="85">
        <f>IF(DN57="","",IFERROR(DN57*HSI!$B$55*HSI!$G$55/HSI!$B$3,""))</f>
        <v/>
      </c>
      <c r="GC57" s="85">
        <f>IF(DO57="","",IFERROR(DO57*HSI!$B$55*HSI!$G$55/HSI!$B$3,""))</f>
        <v/>
      </c>
      <c r="GD57" s="85">
        <f>IF(DP57="","",IFERROR(DP57*HSI!$B$55*HSI!$G$55/HSI!$B$3,""))</f>
        <v/>
      </c>
      <c r="GE57" s="85">
        <f>IF(DQ57="","",IFERROR(DQ57*HSI!$B$55*HSI!$G$55/HSI!$B$3,""))</f>
        <v/>
      </c>
      <c r="GF57" s="85">
        <f>IF(DR57="","",IFERROR(DR57*HSI!$B$55*HSI!$G$55/HSI!$B$3,""))</f>
        <v/>
      </c>
      <c r="GG57" s="85">
        <f>IF(DS57="","",IFERROR(DS57*HSI!$B$55*HSI!$G$55/HSI!$B$3,""))</f>
        <v/>
      </c>
      <c r="GH57" s="85">
        <f>IF(DT57="","",IFERROR(DT57*HSI!$B$55*HSI!$G$55/HSI!$B$3,""))</f>
        <v/>
      </c>
      <c r="GI57" s="85">
        <f>IF(DU57="","",IFERROR(DU57*HSI!$B$55*HSI!$G$55/HSI!$B$3,""))</f>
        <v/>
      </c>
      <c r="GJ57" s="85">
        <f>IF(DV57="","",IFERROR(DV57*HSI!$B$55*HSI!$G$55/HSI!$B$3,""))</f>
        <v/>
      </c>
      <c r="GK57" s="85">
        <f>IF(DW57="","",IFERROR(DW57*HSI!$B$55*HSI!$G$55/HSI!$B$3,""))</f>
        <v/>
      </c>
      <c r="GL57" s="85">
        <f>IF(DX57="","",IFERROR(DX57*HSI!$B$55*HSI!$G$55/HSI!$B$3,""))</f>
        <v/>
      </c>
      <c r="GM57" s="85">
        <f>IF(DY57="","",IFERROR(DY57*HSI!$B$55*HSI!$G$55/HSI!$B$3,""))</f>
        <v/>
      </c>
      <c r="GN57" s="85">
        <f>IF(DZ57="","",IFERROR(DZ57*HSI!$B$55*HSI!$G$55/HSI!$B$3,""))</f>
        <v/>
      </c>
      <c r="GO57" s="85">
        <f>IF(EA57="","",IFERROR(EA57*HSI!$B$55*HSI!$G$55/HSI!$B$3,""))</f>
        <v/>
      </c>
      <c r="GP57" s="85">
        <f>IF(EB57="","",IFERROR(EB57*HSI!$B$55*HSI!$G$55/HSI!$B$3,""))</f>
        <v/>
      </c>
      <c r="GQ57" s="85">
        <f>IF(EC57="","",IFERROR(EC57*HSI!$B$55*HSI!$G$55/HSI!$B$3,""))</f>
        <v/>
      </c>
    </row>
    <row r="58">
      <c r="B58" s="2">
        <f>IF(HSI!$C$56="","",HSI!$C$56)</f>
        <v/>
      </c>
      <c r="C58" s="41">
        <f>IF(N('Dvd Calendar'!$E$745)=0,"",IF(('Dvd Calendar'!$E$745&gt;=MIN(DATE(Summary!$C$12,1,1),Summary!$C$11))*('Dvd Calendar'!$E$745&lt;=MAX(DATE(Summary!$C$12,12,31),Summary!$C$15))*('Dvd Calendar'!$E$745&lt;=Summary!$C$11)=0,"",'Dvd Calendar'!$E$745*1000000000+ISNUMBER('Dvd Calendar'!$E$746)*100000000+('Dvd Calendar'!$E$750='Field Check'!$C$25)*10000000+(N('Dvd Calendar'!$E$744)&gt;0)*1000000+50*1000+1))</f>
        <v/>
      </c>
      <c r="D58" s="41">
        <f>IF(N('Dvd Calendar'!$F$745)=0,"",IF(('Dvd Calendar'!$F$745&gt;=MIN(DATE(Summary!$C$12,1,1),Summary!$C$11))*('Dvd Calendar'!$F$745&lt;=MAX(DATE(Summary!$C$12,12,31),Summary!$C$15))*('Dvd Calendar'!$F$745&lt;=Summary!$C$11)=0,"",'Dvd Calendar'!$F$745*1000000000+ISNUMBER('Dvd Calendar'!$F$746)*100000000+('Dvd Calendar'!$F$750='Field Check'!$C$25)*10000000+(N('Dvd Calendar'!$F$744)&gt;0)*1000000+50*1000+2))</f>
        <v/>
      </c>
      <c r="E58" s="41">
        <f>IF(N('Dvd Calendar'!$G$745)=0,"",IF(('Dvd Calendar'!$G$745&gt;=MIN(DATE(Summary!$C$12,1,1),Summary!$C$11))*('Dvd Calendar'!$G$745&lt;=MAX(DATE(Summary!$C$12,12,31),Summary!$C$15))*('Dvd Calendar'!$G$745&lt;=Summary!$C$11)=0,"",'Dvd Calendar'!$G$745*1000000000+ISNUMBER('Dvd Calendar'!$G$746)*100000000+('Dvd Calendar'!$G$750='Field Check'!$C$25)*10000000+(N('Dvd Calendar'!$G$744)&gt;0)*1000000+50*1000+3))</f>
        <v/>
      </c>
      <c r="F58" s="41">
        <f>IF(N('Dvd Calendar'!$H$745)=0,"",IF(('Dvd Calendar'!$H$745&gt;=MIN(DATE(Summary!$C$12,1,1),Summary!$C$11))*('Dvd Calendar'!$H$745&lt;=MAX(DATE(Summary!$C$12,12,31),Summary!$C$15))*('Dvd Calendar'!$H$745&lt;=Summary!$C$11)=0,"",'Dvd Calendar'!$H$745*1000000000+ISNUMBER('Dvd Calendar'!$H$746)*100000000+('Dvd Calendar'!$H$750='Field Check'!$C$25)*10000000+(N('Dvd Calendar'!$H$744)&gt;0)*1000000+50*1000+4))</f>
        <v/>
      </c>
      <c r="G58" s="41">
        <f>IF(N('Dvd Calendar'!$I$745)=0,"",IF(('Dvd Calendar'!$I$745&gt;=MIN(DATE(Summary!$C$12,1,1),Summary!$C$11))*('Dvd Calendar'!$I$745&lt;=MAX(DATE(Summary!$C$12,12,31),Summary!$C$15))*('Dvd Calendar'!$I$745&lt;=Summary!$C$11)=0,"",'Dvd Calendar'!$I$745*1000000000+ISNUMBER('Dvd Calendar'!$I$746)*100000000+('Dvd Calendar'!$I$750='Field Check'!$C$25)*10000000+(N('Dvd Calendar'!$I$744)&gt;0)*1000000+50*1000+5))</f>
        <v/>
      </c>
      <c r="H58" s="41">
        <f>IF(N('Dvd Calendar'!$J$745)=0,"",IF(('Dvd Calendar'!$J$745&gt;=MIN(DATE(Summary!$C$12,1,1),Summary!$C$11))*('Dvd Calendar'!$J$745&lt;=MAX(DATE(Summary!$C$12,12,31),Summary!$C$15))*('Dvd Calendar'!$J$745&lt;=Summary!$C$11)=0,"",'Dvd Calendar'!$J$745*1000000000+ISNUMBER('Dvd Calendar'!$J$746)*100000000+('Dvd Calendar'!$J$750='Field Check'!$C$25)*10000000+(N('Dvd Calendar'!$J$744)&gt;0)*1000000+50*1000+6))</f>
        <v/>
      </c>
      <c r="I58" s="41">
        <f>IF(N('Dvd Calendar'!$K$745)=0,"",IF(('Dvd Calendar'!$K$745&gt;=MIN(DATE(Summary!$C$12,1,1),Summary!$C$11))*('Dvd Calendar'!$K$745&lt;=MAX(DATE(Summary!$C$12,12,31),Summary!$C$15))*('Dvd Calendar'!$K$745&lt;=Summary!$C$11)=0,"",'Dvd Calendar'!$K$745*1000000000+ISNUMBER('Dvd Calendar'!$K$746)*100000000+('Dvd Calendar'!$K$750='Field Check'!$C$25)*10000000+(N('Dvd Calendar'!$K$744)&gt;0)*1000000+50*1000+7))</f>
        <v/>
      </c>
      <c r="J58" s="41">
        <f>IF(N('Dvd Calendar'!$L$745)=0,"",IF(('Dvd Calendar'!$L$745&gt;=MIN(DATE(Summary!$C$12,1,1),Summary!$C$11))*('Dvd Calendar'!$L$745&lt;=MAX(DATE(Summary!$C$12,12,31),Summary!$C$15))*('Dvd Calendar'!$L$745&lt;=Summary!$C$11)=0,"",'Dvd Calendar'!$L$745*1000000000+ISNUMBER('Dvd Calendar'!$L$746)*100000000+('Dvd Calendar'!$L$750='Field Check'!$C$25)*10000000+(N('Dvd Calendar'!$L$744)&gt;0)*1000000+50*1000+8))</f>
        <v/>
      </c>
      <c r="K58" s="41">
        <f>IF(N('Dvd Calendar'!$M$745)=0,"",IF(('Dvd Calendar'!$M$745&gt;=MIN(DATE(Summary!$C$12,1,1),Summary!$C$11))*('Dvd Calendar'!$M$745&lt;=MAX(DATE(Summary!$C$12,12,31),Summary!$C$15))*('Dvd Calendar'!$M$745&lt;=Summary!$C$11)=0,"",'Dvd Calendar'!$M$745*1000000000+ISNUMBER('Dvd Calendar'!$M$746)*100000000+('Dvd Calendar'!$M$750='Field Check'!$C$25)*10000000+(N('Dvd Calendar'!$M$744)&gt;0)*1000000+50*1000+9))</f>
        <v/>
      </c>
      <c r="L58" s="41">
        <f>IF(N('Dvd Calendar'!$N$745)=0,"",IF(('Dvd Calendar'!$N$745&gt;=MIN(DATE(Summary!$C$12,1,1),Summary!$C$11))*('Dvd Calendar'!$N$745&lt;=MAX(DATE(Summary!$C$12,12,31),Summary!$C$15))*('Dvd Calendar'!$N$745&lt;=Summary!$C$11)=0,"",'Dvd Calendar'!$N$745*1000000000+ISNUMBER('Dvd Calendar'!$N$746)*100000000+('Dvd Calendar'!$N$750='Field Check'!$C$25)*10000000+(N('Dvd Calendar'!$N$744)&gt;0)*1000000+50*1000+10))</f>
        <v/>
      </c>
      <c r="M58" s="41">
        <f>IF(N('Dvd Calendar'!$O$745)=0,"",IF(('Dvd Calendar'!$O$745&gt;=MIN(DATE(Summary!$C$12,1,1),Summary!$C$11))*('Dvd Calendar'!$O$745&lt;=MAX(DATE(Summary!$C$12,12,31),Summary!$C$15))*('Dvd Calendar'!$O$745&lt;=Summary!$C$11)=0,"",'Dvd Calendar'!$O$745*1000000000+ISNUMBER('Dvd Calendar'!$O$746)*100000000+('Dvd Calendar'!$O$750='Field Check'!$C$25)*10000000+(N('Dvd Calendar'!$O$744)&gt;0)*1000000+50*1000+11))</f>
        <v/>
      </c>
      <c r="N58" s="41">
        <f>IF(N('Dvd Calendar'!$P$745)=0,"",IF(('Dvd Calendar'!$P$745&gt;=MIN(DATE(Summary!$C$12,1,1),Summary!$C$11))*('Dvd Calendar'!$P$745&lt;=MAX(DATE(Summary!$C$12,12,31),Summary!$C$15))*('Dvd Calendar'!$P$745&lt;=Summary!$C$11)=0,"",'Dvd Calendar'!$P$745*1000000000+ISNUMBER('Dvd Calendar'!$P$746)*100000000+('Dvd Calendar'!$P$750='Field Check'!$C$25)*10000000+(N('Dvd Calendar'!$P$744)&gt;0)*1000000+50*1000+12))</f>
        <v/>
      </c>
      <c r="O58" s="41">
        <f>IF(N('Dvd Calendar'!$Q$745)=0,"",IF(('Dvd Calendar'!$Q$745&gt;=MIN(DATE(Summary!$C$12,1,1),Summary!$C$11))*('Dvd Calendar'!$Q$745&lt;=MAX(DATE(Summary!$C$12,12,31),Summary!$C$15))*('Dvd Calendar'!$Q$745&lt;=Summary!$C$11)=0,"",'Dvd Calendar'!$Q$745*1000000000+ISNUMBER('Dvd Calendar'!$Q$746)*100000000+('Dvd Calendar'!$Q$750='Field Check'!$C$25)*10000000+(N('Dvd Calendar'!$Q$744)&gt;0)*1000000+50*1000+13))</f>
        <v/>
      </c>
      <c r="P58" s="41">
        <f>IF(N('Dvd Calendar'!$R$745)=0,"",IF(('Dvd Calendar'!$R$745&gt;=MIN(DATE(Summary!$C$12,1,1),Summary!$C$11))*('Dvd Calendar'!$R$745&lt;=MAX(DATE(Summary!$C$12,12,31),Summary!$C$15))*('Dvd Calendar'!$R$745&lt;=Summary!$C$11)=0,"",'Dvd Calendar'!$R$745*1000000000+ISNUMBER('Dvd Calendar'!$R$746)*100000000+('Dvd Calendar'!$R$750='Field Check'!$C$25)*10000000+(N('Dvd Calendar'!$R$744)&gt;0)*1000000+50*1000+14))</f>
        <v/>
      </c>
      <c r="Q58" s="41">
        <f>IF(N('Dvd Calendar'!$S$745)=0,"",IF(('Dvd Calendar'!$S$745&gt;=MIN(DATE(Summary!$C$12,1,1),Summary!$C$11))*('Dvd Calendar'!$S$745&lt;=MAX(DATE(Summary!$C$12,12,31),Summary!$C$15))*('Dvd Calendar'!$S$745&lt;=Summary!$C$11)=0,"",'Dvd Calendar'!$S$745*1000000000+ISNUMBER('Dvd Calendar'!$S$746)*100000000+('Dvd Calendar'!$S$750='Field Check'!$C$25)*10000000+(N('Dvd Calendar'!$S$744)&gt;0)*1000000+50*1000+15))</f>
        <v/>
      </c>
      <c r="R58" s="41">
        <f>IF(N('Dvd Calendar'!$T$745)=0,"",IF(('Dvd Calendar'!$T$745&gt;=MIN(DATE(Summary!$C$12,1,1),Summary!$C$11))*('Dvd Calendar'!$T$745&lt;=MAX(DATE(Summary!$C$12,12,31),Summary!$C$15))*('Dvd Calendar'!$T$745&lt;=Summary!$C$11)=0,"",'Dvd Calendar'!$T$745*1000000000+ISNUMBER('Dvd Calendar'!$T$746)*100000000+('Dvd Calendar'!$T$750='Field Check'!$C$25)*10000000+(N('Dvd Calendar'!$T$744)&gt;0)*1000000+50*1000+16))</f>
        <v/>
      </c>
      <c r="S58" s="41">
        <f>IF(N('Dvd Calendar'!$U$745)=0,"",IF(('Dvd Calendar'!$U$745&gt;=MIN(DATE(Summary!$C$12,1,1),Summary!$C$11))*('Dvd Calendar'!$U$745&lt;=MAX(DATE(Summary!$C$12,12,31),Summary!$C$15))*('Dvd Calendar'!$U$745&lt;=Summary!$C$11)=0,"",'Dvd Calendar'!$U$745*1000000000+ISNUMBER('Dvd Calendar'!$U$746)*100000000+('Dvd Calendar'!$U$750='Field Check'!$C$25)*10000000+(N('Dvd Calendar'!$U$744)&gt;0)*1000000+50*1000+17))</f>
        <v/>
      </c>
      <c r="T58" s="41">
        <f>IF(N('Dvd Calendar'!$V$745)=0,"",IF(('Dvd Calendar'!$V$745&gt;=MIN(DATE(Summary!$C$12,1,1),Summary!$C$11))*('Dvd Calendar'!$V$745&lt;=MAX(DATE(Summary!$C$12,12,31),Summary!$C$15))*('Dvd Calendar'!$V$745&lt;=Summary!$C$11)=0,"",'Dvd Calendar'!$V$745*1000000000+ISNUMBER('Dvd Calendar'!$V$746)*100000000+('Dvd Calendar'!$V$750='Field Check'!$C$25)*10000000+(N('Dvd Calendar'!$V$744)&gt;0)*1000000+50*1000+18))</f>
        <v/>
      </c>
      <c r="U58" s="41">
        <f>IF(N('Dvd Calendar'!$W$745)=0,"",IF(('Dvd Calendar'!$W$745&gt;=MIN(DATE(Summary!$C$12,1,1),Summary!$C$11))*('Dvd Calendar'!$W$745&lt;=MAX(DATE(Summary!$C$12,12,31),Summary!$C$15))*('Dvd Calendar'!$W$745&lt;=Summary!$C$11)=0,"",'Dvd Calendar'!$W$745*1000000000+ISNUMBER('Dvd Calendar'!$W$746)*100000000+('Dvd Calendar'!$W$750='Field Check'!$C$25)*10000000+(N('Dvd Calendar'!$W$744)&gt;0)*1000000+50*1000+19))</f>
        <v/>
      </c>
      <c r="V58" s="41">
        <f>IF(N('Dvd Calendar'!$X$745)=0,"",IF(('Dvd Calendar'!$X$745&gt;=MIN(DATE(Summary!$C$12,1,1),Summary!$C$11))*('Dvd Calendar'!$X$745&lt;=MAX(DATE(Summary!$C$12,12,31),Summary!$C$15))*('Dvd Calendar'!$X$745&lt;=Summary!$C$11)=0,"",'Dvd Calendar'!$X$745*1000000000+ISNUMBER('Dvd Calendar'!$X$746)*100000000+('Dvd Calendar'!$X$750='Field Check'!$C$25)*10000000+(N('Dvd Calendar'!$X$744)&gt;0)*1000000+50*1000+20))</f>
        <v/>
      </c>
      <c r="W58" s="41">
        <f>IF(N('Dvd Calendar'!$Y$745)=0,"",IF(('Dvd Calendar'!$Y$745&gt;=MIN(DATE(Summary!$C$12,1,1),Summary!$C$11))*('Dvd Calendar'!$Y$745&lt;=MAX(DATE(Summary!$C$12,12,31),Summary!$C$15))*('Dvd Calendar'!$Y$745&lt;=Summary!$C$11)=0,"",'Dvd Calendar'!$Y$745*1000000000+ISNUMBER('Dvd Calendar'!$Y$746)*100000000+('Dvd Calendar'!$Y$750='Field Check'!$C$25)*10000000+(N('Dvd Calendar'!$Y$744)&gt;0)*1000000+50*1000+21))</f>
        <v/>
      </c>
      <c r="X58" s="41">
        <f>IF(N('Dvd Calendar'!$Z$745)=0,"",IF(('Dvd Calendar'!$Z$745&gt;=MIN(DATE(Summary!$C$12,1,1),Summary!$C$11))*('Dvd Calendar'!$Z$745&lt;=MAX(DATE(Summary!$C$12,12,31),Summary!$C$15))*('Dvd Calendar'!$Z$745&lt;=Summary!$C$11)=0,"",'Dvd Calendar'!$Z$745*1000000000+ISNUMBER('Dvd Calendar'!$Z$746)*100000000+('Dvd Calendar'!$Z$750='Field Check'!$C$25)*10000000+(N('Dvd Calendar'!$Z$744)&gt;0)*1000000+50*1000+22))</f>
        <v/>
      </c>
      <c r="Y58" s="41">
        <f>IF(N('Dvd Calendar'!$AA$745)=0,"",IF(('Dvd Calendar'!$AA$745&gt;=MIN(DATE(Summary!$C$12,1,1),Summary!$C$11))*('Dvd Calendar'!$AA$745&lt;=MAX(DATE(Summary!$C$12,12,31),Summary!$C$15))*('Dvd Calendar'!$AA$745&lt;=Summary!$C$11)=0,"",'Dvd Calendar'!$AA$745*1000000000+ISNUMBER('Dvd Calendar'!$AA$746)*100000000+('Dvd Calendar'!$AA$750='Field Check'!$C$25)*10000000+(N('Dvd Calendar'!$AA$744)&gt;0)*1000000+50*1000+23))</f>
        <v/>
      </c>
      <c r="Z58" s="41">
        <f>IF(N('Dvd Calendar'!$AB$745)=0,"",IF(('Dvd Calendar'!$AB$745&gt;=MIN(DATE(Summary!$C$12,1,1),Summary!$C$11))*('Dvd Calendar'!$AB$745&lt;=MAX(DATE(Summary!$C$12,12,31),Summary!$C$15))*('Dvd Calendar'!$AB$745&lt;=Summary!$C$11)=0,"",'Dvd Calendar'!$AB$745*1000000000+ISNUMBER('Dvd Calendar'!$AB$746)*100000000+('Dvd Calendar'!$AB$750='Field Check'!$C$25)*10000000+(N('Dvd Calendar'!$AB$744)&gt;0)*1000000+50*1000+24))</f>
        <v/>
      </c>
      <c r="AA58" s="41">
        <f>IF(N('Dvd Calendar'!$AC$745)=0,"",IF(('Dvd Calendar'!$AC$745&gt;=MIN(DATE(Summary!$C$12,1,1),Summary!$C$11))*('Dvd Calendar'!$AC$745&lt;=MAX(DATE(Summary!$C$12,12,31),Summary!$C$15))*('Dvd Calendar'!$AC$745&lt;=Summary!$C$11)=0,"",'Dvd Calendar'!$AC$745*1000000000+ISNUMBER('Dvd Calendar'!$AC$746)*100000000+('Dvd Calendar'!$AC$750='Field Check'!$C$25)*10000000+(N('Dvd Calendar'!$AC$744)&gt;0)*1000000+50*1000+25))</f>
        <v/>
      </c>
      <c r="AB58" s="41">
        <f>IF(N('Dvd Calendar'!$AD$745)=0,"",IF(('Dvd Calendar'!$AD$745&gt;=MIN(DATE(Summary!$C$12,1,1),Summary!$C$11))*('Dvd Calendar'!$AD$745&lt;=MAX(DATE(Summary!$C$12,12,31),Summary!$C$15))*('Dvd Calendar'!$AD$745&lt;=Summary!$C$11)=0,"",'Dvd Calendar'!$AD$745*1000000000+ISNUMBER('Dvd Calendar'!$AD$746)*100000000+('Dvd Calendar'!$AD$750='Field Check'!$C$25)*10000000+(N('Dvd Calendar'!$AD$744)&gt;0)*1000000+50*1000+26))</f>
        <v/>
      </c>
      <c r="AC58" s="41">
        <f>IF(N('Dvd Calendar'!$AE$745)=0,"",IF(('Dvd Calendar'!$AE$745&gt;=MIN(DATE(Summary!$C$12,1,1),Summary!$C$11))*('Dvd Calendar'!$AE$745&lt;=MAX(DATE(Summary!$C$12,12,31),Summary!$C$15))*('Dvd Calendar'!$AE$745&lt;=Summary!$C$11)=0,"",'Dvd Calendar'!$AE$745*1000000000+ISNUMBER('Dvd Calendar'!$AE$746)*100000000+('Dvd Calendar'!$AE$750='Field Check'!$C$25)*10000000+(N('Dvd Calendar'!$AE$744)&gt;0)*1000000+50*1000+27))</f>
        <v/>
      </c>
      <c r="AD58" s="41">
        <f>IF(N('Dvd Calendar'!$AF$745)=0,"",IF(('Dvd Calendar'!$AF$745&gt;=MIN(DATE(Summary!$C$12,1,1),Summary!$C$11))*('Dvd Calendar'!$AF$745&lt;=MAX(DATE(Summary!$C$12,12,31),Summary!$C$15))*('Dvd Calendar'!$AF$745&lt;=Summary!$C$11)=0,"",'Dvd Calendar'!$AF$745*1000000000+ISNUMBER('Dvd Calendar'!$AF$746)*100000000+('Dvd Calendar'!$AF$750='Field Check'!$C$25)*10000000+(N('Dvd Calendar'!$AF$744)&gt;0)*1000000+50*1000+28))</f>
        <v/>
      </c>
      <c r="AE58" s="41">
        <f>IF(N('Dvd Calendar'!$AG$745)=0,"",IF(('Dvd Calendar'!$AG$745&gt;=MIN(DATE(Summary!$C$12,1,1),Summary!$C$11))*('Dvd Calendar'!$AG$745&lt;=MAX(DATE(Summary!$C$12,12,31),Summary!$C$15))*('Dvd Calendar'!$AG$745&lt;=Summary!$C$11)=0,"",'Dvd Calendar'!$AG$745*1000000000+ISNUMBER('Dvd Calendar'!$AG$746)*100000000+('Dvd Calendar'!$AG$750='Field Check'!$C$25)*10000000+(N('Dvd Calendar'!$AG$744)&gt;0)*1000000+50*1000+29))</f>
        <v/>
      </c>
      <c r="AF58" s="41">
        <f>IF(N('Dvd Calendar'!$AH$745)=0,"",IF(('Dvd Calendar'!$AH$745&gt;=MIN(DATE(Summary!$C$12,1,1),Summary!$C$11))*('Dvd Calendar'!$AH$745&lt;=MAX(DATE(Summary!$C$12,12,31),Summary!$C$15))*('Dvd Calendar'!$AH$745&lt;=Summary!$C$11)=0,"",'Dvd Calendar'!$AH$745*1000000000+ISNUMBER('Dvd Calendar'!$AH$746)*100000000+('Dvd Calendar'!$AH$750='Field Check'!$C$25)*10000000+(N('Dvd Calendar'!$AH$744)&gt;0)*1000000+50*1000+30))</f>
        <v/>
      </c>
      <c r="AG58" s="41">
        <f>IF(N('Dvd Calendar'!$AI$745)=0,"",IF(('Dvd Calendar'!$AI$745&gt;=MIN(DATE(Summary!$C$12,1,1),Summary!$C$11))*('Dvd Calendar'!$AI$745&lt;=MAX(DATE(Summary!$C$12,12,31),Summary!$C$15))*('Dvd Calendar'!$AI$745&lt;=Summary!$C$11)=0,"",'Dvd Calendar'!$AI$745*1000000000+ISNUMBER('Dvd Calendar'!$AI$746)*100000000+('Dvd Calendar'!$AI$750='Field Check'!$C$25)*10000000+(N('Dvd Calendar'!$AI$744)&gt;0)*1000000+50*1000+31))</f>
        <v/>
      </c>
      <c r="AH58" s="41">
        <f>IF(N('Dvd Calendar'!$AJ$745)=0,"",IF(('Dvd Calendar'!$AJ$745&gt;=MIN(DATE(Summary!$C$12,1,1),Summary!$C$11))*('Dvd Calendar'!$AJ$745&lt;=MAX(DATE(Summary!$C$12,12,31),Summary!$C$15))*('Dvd Calendar'!$AJ$745&lt;=Summary!$C$11)=0,"",'Dvd Calendar'!$AJ$745*1000000000+ISNUMBER('Dvd Calendar'!$AJ$746)*100000000+('Dvd Calendar'!$AJ$750='Field Check'!$C$25)*10000000+(N('Dvd Calendar'!$AJ$744)&gt;0)*1000000+50*1000+32))</f>
        <v/>
      </c>
      <c r="AI58" s="41">
        <f>IF(N('Dvd Calendar'!$AK$745)=0,"",IF(('Dvd Calendar'!$AK$745&gt;=MIN(DATE(Summary!$C$12,1,1),Summary!$C$11))*('Dvd Calendar'!$AK$745&lt;=MAX(DATE(Summary!$C$12,12,31),Summary!$C$15))*('Dvd Calendar'!$AK$745&lt;=Summary!$C$11)=0,"",'Dvd Calendar'!$AK$745*1000000000+ISNUMBER('Dvd Calendar'!$AK$746)*100000000+('Dvd Calendar'!$AK$750='Field Check'!$C$25)*10000000+(N('Dvd Calendar'!$AK$744)&gt;0)*1000000+50*1000+33))</f>
        <v/>
      </c>
      <c r="AJ58" s="41">
        <f>IF(N('Dvd Calendar'!$AL$745)=0,"",IF(('Dvd Calendar'!$AL$745&gt;=MIN(DATE(Summary!$C$12,1,1),Summary!$C$11))*('Dvd Calendar'!$AL$745&lt;=MAX(DATE(Summary!$C$12,12,31),Summary!$C$15))*('Dvd Calendar'!$AL$745&lt;=Summary!$C$11)=0,"",'Dvd Calendar'!$AL$745*1000000000+ISNUMBER('Dvd Calendar'!$AL$746)*100000000+('Dvd Calendar'!$AL$750='Field Check'!$C$25)*10000000+(N('Dvd Calendar'!$AL$744)&gt;0)*1000000+50*1000+34))</f>
        <v/>
      </c>
      <c r="AK58" s="41">
        <f>IF(N('Dvd Calendar'!$AM$745)=0,"",IF(('Dvd Calendar'!$AM$745&gt;=MIN(DATE(Summary!$C$12,1,1),Summary!$C$11))*('Dvd Calendar'!$AM$745&lt;=MAX(DATE(Summary!$C$12,12,31),Summary!$C$15))*('Dvd Calendar'!$AM$745&lt;=Summary!$C$11)=0,"",'Dvd Calendar'!$AM$745*1000000000+ISNUMBER('Dvd Calendar'!$AM$746)*100000000+('Dvd Calendar'!$AM$750='Field Check'!$C$25)*10000000+(N('Dvd Calendar'!$AM$744)&gt;0)*1000000+50*1000+35))</f>
        <v/>
      </c>
      <c r="AL58" s="41">
        <f>IF(N('Dvd Calendar'!$AN$745)=0,"",IF(('Dvd Calendar'!$AN$745&gt;=MIN(DATE(Summary!$C$12,1,1),Summary!$C$11))*('Dvd Calendar'!$AN$745&lt;=MAX(DATE(Summary!$C$12,12,31),Summary!$C$15))*('Dvd Calendar'!$AN$745&lt;=Summary!$C$11)=0,"",'Dvd Calendar'!$AN$745*1000000000+ISNUMBER('Dvd Calendar'!$AN$746)*100000000+('Dvd Calendar'!$AN$750='Field Check'!$C$25)*10000000+(N('Dvd Calendar'!$AN$744)&gt;0)*1000000+50*1000+36))</f>
        <v/>
      </c>
      <c r="AM58" s="41">
        <f>IF(N('Dvd Calendar'!$AO$745)=0,"",IF(('Dvd Calendar'!$AO$745&gt;=MIN(DATE(Summary!$C$12,1,1),Summary!$C$11))*('Dvd Calendar'!$AO$745&lt;=MAX(DATE(Summary!$C$12,12,31),Summary!$C$15))*('Dvd Calendar'!$AO$745&lt;=Summary!$C$11)=0,"",'Dvd Calendar'!$AO$745*1000000000+ISNUMBER('Dvd Calendar'!$AO$746)*100000000+('Dvd Calendar'!$AO$750='Field Check'!$C$25)*10000000+(N('Dvd Calendar'!$AO$744)&gt;0)*1000000+50*1000+37))</f>
        <v/>
      </c>
      <c r="AN58" s="41">
        <f>IF(N('Dvd Calendar'!$AP$745)=0,"",IF(('Dvd Calendar'!$AP$745&gt;=MIN(DATE(Summary!$C$12,1,1),Summary!$C$11))*('Dvd Calendar'!$AP$745&lt;=MAX(DATE(Summary!$C$12,12,31),Summary!$C$15))*('Dvd Calendar'!$AP$745&lt;=Summary!$C$11)=0,"",'Dvd Calendar'!$AP$745*1000000000+ISNUMBER('Dvd Calendar'!$AP$746)*100000000+('Dvd Calendar'!$AP$750='Field Check'!$C$25)*10000000+(N('Dvd Calendar'!$AP$744)&gt;0)*1000000+50*1000+38))</f>
        <v/>
      </c>
      <c r="AO58" s="41">
        <f>IF(N('Dvd Calendar'!$AQ$745)=0,"",IF(('Dvd Calendar'!$AQ$745&gt;=MIN(DATE(Summary!$C$12,1,1),Summary!$C$11))*('Dvd Calendar'!$AQ$745&lt;=MAX(DATE(Summary!$C$12,12,31),Summary!$C$15))*('Dvd Calendar'!$AQ$745&lt;=Summary!$C$11)=0,"",'Dvd Calendar'!$AQ$745*1000000000+ISNUMBER('Dvd Calendar'!$AQ$746)*100000000+('Dvd Calendar'!$AQ$750='Field Check'!$C$25)*10000000+(N('Dvd Calendar'!$AQ$744)&gt;0)*1000000+50*1000+39))</f>
        <v/>
      </c>
      <c r="AP58" s="41">
        <f>IF(N('Dvd Calendar'!$AR$745)=0,"",IF(('Dvd Calendar'!$AR$745&gt;=MIN(DATE(Summary!$C$12,1,1),Summary!$C$11))*('Dvd Calendar'!$AR$745&lt;=MAX(DATE(Summary!$C$12,12,31),Summary!$C$15))*('Dvd Calendar'!$AR$745&lt;=Summary!$C$11)=0,"",'Dvd Calendar'!$AR$745*1000000000+ISNUMBER('Dvd Calendar'!$AR$746)*100000000+('Dvd Calendar'!$AR$750='Field Check'!$C$25)*10000000+(N('Dvd Calendar'!$AR$744)&gt;0)*1000000+50*1000+40))</f>
        <v/>
      </c>
      <c r="AQ58" s="41">
        <f>IF(N('Dvd Calendar'!$E$752)=0,"",IF(('Dvd Calendar'!$E$752&gt;=MIN(DATE(Summary!$C$12,1,1),Summary!$C$11))*('Dvd Calendar'!$E$752&lt;=MAX(DATE(Summary!$C$12,12,31),Summary!$C$15))*('Dvd Calendar'!$E$752&gt;Summary!$C$11)=0,"",'Dvd Calendar'!$E$752*1000000000+ISNUMBER('Dvd Calendar'!$E$753)*100000000+('Dvd Calendar'!$E$757='Field Check'!$C$25)*10000000+(N('Dvd Calendar'!$E$751)&gt;0)*1000000+50*1000+41))</f>
        <v/>
      </c>
      <c r="AR58" s="41">
        <f>IF(N('Dvd Calendar'!$F$752)=0,"",IF(('Dvd Calendar'!$F$752&gt;=MIN(DATE(Summary!$C$12,1,1),Summary!$C$11))*('Dvd Calendar'!$F$752&lt;=MAX(DATE(Summary!$C$12,12,31),Summary!$C$15))*('Dvd Calendar'!$F$752&gt;Summary!$C$11)=0,"",'Dvd Calendar'!$F$752*1000000000+ISNUMBER('Dvd Calendar'!$F$753)*100000000+('Dvd Calendar'!$F$757='Field Check'!$C$25)*10000000+(N('Dvd Calendar'!$F$751)&gt;0)*1000000+50*1000+42))</f>
        <v/>
      </c>
      <c r="AS58" s="41">
        <f>IF(N('Dvd Calendar'!$G$752)=0,"",IF(('Dvd Calendar'!$G$752&gt;=MIN(DATE(Summary!$C$12,1,1),Summary!$C$11))*('Dvd Calendar'!$G$752&lt;=MAX(DATE(Summary!$C$12,12,31),Summary!$C$15))*('Dvd Calendar'!$G$752&gt;Summary!$C$11)=0,"",'Dvd Calendar'!$G$752*1000000000+ISNUMBER('Dvd Calendar'!$G$753)*100000000+('Dvd Calendar'!$G$757='Field Check'!$C$25)*10000000+(N('Dvd Calendar'!$G$751)&gt;0)*1000000+50*1000+43))</f>
        <v/>
      </c>
      <c r="AT58" s="41">
        <f>IF(N('Dvd Calendar'!$H$752)=0,"",IF(('Dvd Calendar'!$H$752&gt;=MIN(DATE(Summary!$C$12,1,1),Summary!$C$11))*('Dvd Calendar'!$H$752&lt;=MAX(DATE(Summary!$C$12,12,31),Summary!$C$15))*('Dvd Calendar'!$H$752&gt;Summary!$C$11)=0,"",'Dvd Calendar'!$H$752*1000000000+ISNUMBER('Dvd Calendar'!$H$753)*100000000+('Dvd Calendar'!$H$757='Field Check'!$C$25)*10000000+(N('Dvd Calendar'!$H$751)&gt;0)*1000000+50*1000+44))</f>
        <v/>
      </c>
      <c r="AU58" s="41">
        <f>IF(N('Dvd Calendar'!$I$752)=0,"",IF(('Dvd Calendar'!$I$752&gt;=MIN(DATE(Summary!$C$12,1,1),Summary!$C$11))*('Dvd Calendar'!$I$752&lt;=MAX(DATE(Summary!$C$12,12,31),Summary!$C$15))*('Dvd Calendar'!$I$752&gt;Summary!$C$11)=0,"",'Dvd Calendar'!$I$752*1000000000+ISNUMBER('Dvd Calendar'!$I$753)*100000000+('Dvd Calendar'!$I$757='Field Check'!$C$25)*10000000+(N('Dvd Calendar'!$I$751)&gt;0)*1000000+50*1000+45))</f>
        <v/>
      </c>
      <c r="AV58" s="41">
        <f>IF(N('Dvd Calendar'!$J$752)=0,"",IF(('Dvd Calendar'!$J$752&gt;=MIN(DATE(Summary!$C$12,1,1),Summary!$C$11))*('Dvd Calendar'!$J$752&lt;=MAX(DATE(Summary!$C$12,12,31),Summary!$C$15))*('Dvd Calendar'!$J$752&gt;Summary!$C$11)=0,"",'Dvd Calendar'!$J$752*1000000000+ISNUMBER('Dvd Calendar'!$J$753)*100000000+('Dvd Calendar'!$J$757='Field Check'!$C$25)*10000000+(N('Dvd Calendar'!$J$751)&gt;0)*1000000+50*1000+46))</f>
        <v/>
      </c>
      <c r="AW58" s="41">
        <f>IF(N('Dvd Calendar'!$K$752)=0,"",IF(('Dvd Calendar'!$K$752&gt;=MIN(DATE(Summary!$C$12,1,1),Summary!$C$11))*('Dvd Calendar'!$K$752&lt;=MAX(DATE(Summary!$C$12,12,31),Summary!$C$15))*('Dvd Calendar'!$K$752&gt;Summary!$C$11)=0,"",'Dvd Calendar'!$K$752*1000000000+ISNUMBER('Dvd Calendar'!$K$753)*100000000+('Dvd Calendar'!$K$757='Field Check'!$C$25)*10000000+(N('Dvd Calendar'!$K$751)&gt;0)*1000000+50*1000+47))</f>
        <v/>
      </c>
      <c r="AX58" s="41">
        <f>IF(N('Dvd Calendar'!$L$752)=0,"",IF(('Dvd Calendar'!$L$752&gt;=MIN(DATE(Summary!$C$12,1,1),Summary!$C$11))*('Dvd Calendar'!$L$752&lt;=MAX(DATE(Summary!$C$12,12,31),Summary!$C$15))*('Dvd Calendar'!$L$752&gt;Summary!$C$11)=0,"",'Dvd Calendar'!$L$752*1000000000+ISNUMBER('Dvd Calendar'!$L$753)*100000000+('Dvd Calendar'!$L$757='Field Check'!$C$25)*10000000+(N('Dvd Calendar'!$L$751)&gt;0)*1000000+50*1000+48))</f>
        <v/>
      </c>
      <c r="AY58" s="41">
        <f>IF(N('Dvd Calendar'!$M$752)=0,"",IF(('Dvd Calendar'!$M$752&gt;=MIN(DATE(Summary!$C$12,1,1),Summary!$C$11))*('Dvd Calendar'!$M$752&lt;=MAX(DATE(Summary!$C$12,12,31),Summary!$C$15))*('Dvd Calendar'!$M$752&gt;Summary!$C$11)=0,"",'Dvd Calendar'!$M$752*1000000000+ISNUMBER('Dvd Calendar'!$M$753)*100000000+('Dvd Calendar'!$M$757='Field Check'!$C$25)*10000000+(N('Dvd Calendar'!$M$751)&gt;0)*1000000+50*1000+49))</f>
        <v/>
      </c>
      <c r="AZ58" s="41">
        <f>IF(N('Dvd Calendar'!$N$752)=0,"",IF(('Dvd Calendar'!$N$752&gt;=MIN(DATE(Summary!$C$12,1,1),Summary!$C$11))*('Dvd Calendar'!$N$752&lt;=MAX(DATE(Summary!$C$12,12,31),Summary!$C$15))*('Dvd Calendar'!$N$752&gt;Summary!$C$11)=0,"",'Dvd Calendar'!$N$752*1000000000+ISNUMBER('Dvd Calendar'!$N$753)*100000000+('Dvd Calendar'!$N$757='Field Check'!$C$25)*10000000+(N('Dvd Calendar'!$N$751)&gt;0)*1000000+50*1000+50))</f>
        <v/>
      </c>
      <c r="BA58" s="41">
        <f>IF(N('Dvd Calendar'!$O$752)=0,"",IF(('Dvd Calendar'!$O$752&gt;=MIN(DATE(Summary!$C$12,1,1),Summary!$C$11))*('Dvd Calendar'!$O$752&lt;=MAX(DATE(Summary!$C$12,12,31),Summary!$C$15))*('Dvd Calendar'!$O$752&gt;Summary!$C$11)=0,"",'Dvd Calendar'!$O$752*1000000000+ISNUMBER('Dvd Calendar'!$O$753)*100000000+('Dvd Calendar'!$O$757='Field Check'!$C$25)*10000000+(N('Dvd Calendar'!$O$751)&gt;0)*1000000+50*1000+51))</f>
        <v/>
      </c>
      <c r="BB58" s="41">
        <f>IF(N('Dvd Calendar'!$P$752)=0,"",IF(('Dvd Calendar'!$P$752&gt;=MIN(DATE(Summary!$C$12,1,1),Summary!$C$11))*('Dvd Calendar'!$P$752&lt;=MAX(DATE(Summary!$C$12,12,31),Summary!$C$15))*('Dvd Calendar'!$P$752&gt;Summary!$C$11)=0,"",'Dvd Calendar'!$P$752*1000000000+ISNUMBER('Dvd Calendar'!$P$753)*100000000+('Dvd Calendar'!$P$757='Field Check'!$C$25)*10000000+(N('Dvd Calendar'!$P$751)&gt;0)*1000000+50*1000+52))</f>
        <v/>
      </c>
      <c r="BC58" s="41">
        <f>IF(N('Dvd Calendar'!$Q$752)=0,"",IF(('Dvd Calendar'!$Q$752&gt;=MIN(DATE(Summary!$C$12,1,1),Summary!$C$11))*('Dvd Calendar'!$Q$752&lt;=MAX(DATE(Summary!$C$12,12,31),Summary!$C$15))*('Dvd Calendar'!$Q$752&gt;Summary!$C$11)=0,"",'Dvd Calendar'!$Q$752*1000000000+ISNUMBER('Dvd Calendar'!$Q$753)*100000000+('Dvd Calendar'!$Q$757='Field Check'!$C$25)*10000000+(N('Dvd Calendar'!$Q$751)&gt;0)*1000000+50*1000+53))</f>
        <v/>
      </c>
      <c r="BD58" s="41">
        <f>IF(N('Dvd Calendar'!$R$752)=0,"",IF(('Dvd Calendar'!$R$752&gt;=MIN(DATE(Summary!$C$12,1,1),Summary!$C$11))*('Dvd Calendar'!$R$752&lt;=MAX(DATE(Summary!$C$12,12,31),Summary!$C$15))*('Dvd Calendar'!$R$752&gt;Summary!$C$11)=0,"",'Dvd Calendar'!$R$752*1000000000+ISNUMBER('Dvd Calendar'!$R$753)*100000000+('Dvd Calendar'!$R$757='Field Check'!$C$25)*10000000+(N('Dvd Calendar'!$R$751)&gt;0)*1000000+50*1000+54))</f>
        <v/>
      </c>
      <c r="BE58" s="41">
        <f>IF(N('Dvd Calendar'!$S$752)=0,"",IF(('Dvd Calendar'!$S$752&gt;=MIN(DATE(Summary!$C$12,1,1),Summary!$C$11))*('Dvd Calendar'!$S$752&lt;=MAX(DATE(Summary!$C$12,12,31),Summary!$C$15))*('Dvd Calendar'!$S$752&gt;Summary!$C$11)=0,"",'Dvd Calendar'!$S$752*1000000000+ISNUMBER('Dvd Calendar'!$S$753)*100000000+('Dvd Calendar'!$S$757='Field Check'!$C$25)*10000000+(N('Dvd Calendar'!$S$751)&gt;0)*1000000+50*1000+55))</f>
        <v/>
      </c>
      <c r="BF58" s="41">
        <f>IF(N('Dvd Calendar'!$T$752)=0,"",IF(('Dvd Calendar'!$T$752&gt;=MIN(DATE(Summary!$C$12,1,1),Summary!$C$11))*('Dvd Calendar'!$T$752&lt;=MAX(DATE(Summary!$C$12,12,31),Summary!$C$15))*('Dvd Calendar'!$T$752&gt;Summary!$C$11)=0,"",'Dvd Calendar'!$T$752*1000000000+ISNUMBER('Dvd Calendar'!$T$753)*100000000+('Dvd Calendar'!$T$757='Field Check'!$C$25)*10000000+(N('Dvd Calendar'!$T$751)&gt;0)*1000000+50*1000+56))</f>
        <v/>
      </c>
      <c r="BG58" s="41">
        <f>IF(N('Dvd Calendar'!$U$752)=0,"",IF(('Dvd Calendar'!$U$752&gt;=MIN(DATE(Summary!$C$12,1,1),Summary!$C$11))*('Dvd Calendar'!$U$752&lt;=MAX(DATE(Summary!$C$12,12,31),Summary!$C$15))*('Dvd Calendar'!$U$752&gt;Summary!$C$11)=0,"",'Dvd Calendar'!$U$752*1000000000+ISNUMBER('Dvd Calendar'!$U$753)*100000000+('Dvd Calendar'!$U$757='Field Check'!$C$25)*10000000+(N('Dvd Calendar'!$U$751)&gt;0)*1000000+50*1000+57))</f>
        <v/>
      </c>
      <c r="BH58" s="41">
        <f>IF(N('Dvd Calendar'!$V$752)=0,"",IF(('Dvd Calendar'!$V$752&gt;=MIN(DATE(Summary!$C$12,1,1),Summary!$C$11))*('Dvd Calendar'!$V$752&lt;=MAX(DATE(Summary!$C$12,12,31),Summary!$C$15))*('Dvd Calendar'!$V$752&gt;Summary!$C$11)=0,"",'Dvd Calendar'!$V$752*1000000000+ISNUMBER('Dvd Calendar'!$V$753)*100000000+('Dvd Calendar'!$V$757='Field Check'!$C$25)*10000000+(N('Dvd Calendar'!$V$751)&gt;0)*1000000+50*1000+58))</f>
        <v/>
      </c>
      <c r="BI58" s="41">
        <f>IF(N('Dvd Calendar'!$W$752)=0,"",IF(('Dvd Calendar'!$W$752&gt;=MIN(DATE(Summary!$C$12,1,1),Summary!$C$11))*('Dvd Calendar'!$W$752&lt;=MAX(DATE(Summary!$C$12,12,31),Summary!$C$15))*('Dvd Calendar'!$W$752&gt;Summary!$C$11)=0,"",'Dvd Calendar'!$W$752*1000000000+ISNUMBER('Dvd Calendar'!$W$753)*100000000+('Dvd Calendar'!$W$757='Field Check'!$C$25)*10000000+(N('Dvd Calendar'!$W$751)&gt;0)*1000000+50*1000+59))</f>
        <v/>
      </c>
      <c r="BJ58" s="41">
        <f>IF(N('Dvd Calendar'!$X$752)=0,"",IF(('Dvd Calendar'!$X$752&gt;=MIN(DATE(Summary!$C$12,1,1),Summary!$C$11))*('Dvd Calendar'!$X$752&lt;=MAX(DATE(Summary!$C$12,12,31),Summary!$C$15))*('Dvd Calendar'!$X$752&gt;Summary!$C$11)=0,"",'Dvd Calendar'!$X$752*1000000000+ISNUMBER('Dvd Calendar'!$X$753)*100000000+('Dvd Calendar'!$X$757='Field Check'!$C$25)*10000000+(N('Dvd Calendar'!$X$751)&gt;0)*1000000+50*1000+60))</f>
        <v/>
      </c>
      <c r="BK58" s="41">
        <f>IF(N('Dvd Calendar'!$Y$752)=0,"",IF(('Dvd Calendar'!$Y$752&gt;=MIN(DATE(Summary!$C$12,1,1),Summary!$C$11))*('Dvd Calendar'!$Y$752&lt;=MAX(DATE(Summary!$C$12,12,31),Summary!$C$15))*('Dvd Calendar'!$Y$752&gt;Summary!$C$11)=0,"",'Dvd Calendar'!$Y$752*1000000000+ISNUMBER('Dvd Calendar'!$Y$753)*100000000+('Dvd Calendar'!$Y$757='Field Check'!$C$25)*10000000+(N('Dvd Calendar'!$Y$751)&gt;0)*1000000+50*1000+61))</f>
        <v/>
      </c>
      <c r="BL58" s="41">
        <f>IF(N('Dvd Calendar'!$Z$752)=0,"",IF(('Dvd Calendar'!$Z$752&gt;=MIN(DATE(Summary!$C$12,1,1),Summary!$C$11))*('Dvd Calendar'!$Z$752&lt;=MAX(DATE(Summary!$C$12,12,31),Summary!$C$15))*('Dvd Calendar'!$Z$752&gt;Summary!$C$11)=0,"",'Dvd Calendar'!$Z$752*1000000000+ISNUMBER('Dvd Calendar'!$Z$753)*100000000+('Dvd Calendar'!$Z$757='Field Check'!$C$25)*10000000+(N('Dvd Calendar'!$Z$751)&gt;0)*1000000+50*1000+62))</f>
        <v/>
      </c>
      <c r="BM58" s="41">
        <f>IF(N('Dvd Calendar'!$AA$752)=0,"",IF(('Dvd Calendar'!$AA$752&gt;=MIN(DATE(Summary!$C$12,1,1),Summary!$C$11))*('Dvd Calendar'!$AA$752&lt;=MAX(DATE(Summary!$C$12,12,31),Summary!$C$15))*('Dvd Calendar'!$AA$752&gt;Summary!$C$11)=0,"",'Dvd Calendar'!$AA$752*1000000000+ISNUMBER('Dvd Calendar'!$AA$753)*100000000+('Dvd Calendar'!$AA$757='Field Check'!$C$25)*10000000+(N('Dvd Calendar'!$AA$751)&gt;0)*1000000+50*1000+63))</f>
        <v/>
      </c>
      <c r="BN58" s="41">
        <f>IF(N('Dvd Calendar'!$AB$752)=0,"",IF(('Dvd Calendar'!$AB$752&gt;=MIN(DATE(Summary!$C$12,1,1),Summary!$C$11))*('Dvd Calendar'!$AB$752&lt;=MAX(DATE(Summary!$C$12,12,31),Summary!$C$15))*('Dvd Calendar'!$AB$752&gt;Summary!$C$11)=0,"",'Dvd Calendar'!$AB$752*1000000000+ISNUMBER('Dvd Calendar'!$AB$753)*100000000+('Dvd Calendar'!$AB$757='Field Check'!$C$25)*10000000+(N('Dvd Calendar'!$AB$751)&gt;0)*1000000+50*1000+64))</f>
        <v/>
      </c>
      <c r="BO58" s="41">
        <f>IF(N('Dvd Calendar'!$AC$752)=0,"",IF(('Dvd Calendar'!$AC$752&gt;=MIN(DATE(Summary!$C$12,1,1),Summary!$C$11))*('Dvd Calendar'!$AC$752&lt;=MAX(DATE(Summary!$C$12,12,31),Summary!$C$15))*('Dvd Calendar'!$AC$752&gt;Summary!$C$11)=0,"",'Dvd Calendar'!$AC$752*1000000000+ISNUMBER('Dvd Calendar'!$AC$753)*100000000+('Dvd Calendar'!$AC$757='Field Check'!$C$25)*10000000+(N('Dvd Calendar'!$AC$751)&gt;0)*1000000+50*1000+65))</f>
        <v/>
      </c>
      <c r="BQ58" s="85">
        <f>IF(C58="","",IF(ISNUMBER('Dvd Calendar'!$E$746)=FALSE,"",IF((Summary!$C$13="N")*('Dvd Calendar'!$E$750='Field Check'!$C$25)&gt;0,"",'Dvd Calendar'!$E$746)))</f>
        <v/>
      </c>
      <c r="BR58" s="85">
        <f>IF(D58="","",IF(ISNUMBER('Dvd Calendar'!$F$746)=FALSE,"",IF((Summary!$C$13="N")*('Dvd Calendar'!$F$750='Field Check'!$C$25)&gt;0,"",'Dvd Calendar'!$F$746)))</f>
        <v/>
      </c>
      <c r="BS58" s="85">
        <f>IF(E58="","",IF(ISNUMBER('Dvd Calendar'!$G$746)=FALSE,"",IF((Summary!$C$13="N")*('Dvd Calendar'!$G$750='Field Check'!$C$25)&gt;0,"",'Dvd Calendar'!$G$746)))</f>
        <v/>
      </c>
      <c r="BT58" s="85">
        <f>IF(F58="","",IF(ISNUMBER('Dvd Calendar'!$H$746)=FALSE,"",IF((Summary!$C$13="N")*('Dvd Calendar'!$H$750='Field Check'!$C$25)&gt;0,"",'Dvd Calendar'!$H$746)))</f>
        <v/>
      </c>
      <c r="BU58" s="85">
        <f>IF(G58="","",IF(ISNUMBER('Dvd Calendar'!$I$746)=FALSE,"",IF((Summary!$C$13="N")*('Dvd Calendar'!$I$750='Field Check'!$C$25)&gt;0,"",'Dvd Calendar'!$I$746)))</f>
        <v/>
      </c>
      <c r="BV58" s="85">
        <f>IF(H58="","",IF(ISNUMBER('Dvd Calendar'!$J$746)=FALSE,"",IF((Summary!$C$13="N")*('Dvd Calendar'!$J$750='Field Check'!$C$25)&gt;0,"",'Dvd Calendar'!$J$746)))</f>
        <v/>
      </c>
      <c r="BW58" s="85">
        <f>IF(I58="","",IF(ISNUMBER('Dvd Calendar'!$K$746)=FALSE,"",IF((Summary!$C$13="N")*('Dvd Calendar'!$K$750='Field Check'!$C$25)&gt;0,"",'Dvd Calendar'!$K$746)))</f>
        <v/>
      </c>
      <c r="BX58" s="85">
        <f>IF(J58="","",IF(ISNUMBER('Dvd Calendar'!$L$746)=FALSE,"",IF((Summary!$C$13="N")*('Dvd Calendar'!$L$750='Field Check'!$C$25)&gt;0,"",'Dvd Calendar'!$L$746)))</f>
        <v/>
      </c>
      <c r="BY58" s="85">
        <f>IF(K58="","",IF(ISNUMBER('Dvd Calendar'!$M$746)=FALSE,"",IF((Summary!$C$13="N")*('Dvd Calendar'!$M$750='Field Check'!$C$25)&gt;0,"",'Dvd Calendar'!$M$746)))</f>
        <v/>
      </c>
      <c r="BZ58" s="85">
        <f>IF(L58="","",IF(ISNUMBER('Dvd Calendar'!$N$746)=FALSE,"",IF((Summary!$C$13="N")*('Dvd Calendar'!$N$750='Field Check'!$C$25)&gt;0,"",'Dvd Calendar'!$N$746)))</f>
        <v/>
      </c>
      <c r="CA58" s="85">
        <f>IF(M58="","",IF(ISNUMBER('Dvd Calendar'!$O$746)=FALSE,"",IF((Summary!$C$13="N")*('Dvd Calendar'!$O$750='Field Check'!$C$25)&gt;0,"",'Dvd Calendar'!$O$746)))</f>
        <v/>
      </c>
      <c r="CB58" s="85">
        <f>IF(N58="","",IF(ISNUMBER('Dvd Calendar'!$P$746)=FALSE,"",IF((Summary!$C$13="N")*('Dvd Calendar'!$P$750='Field Check'!$C$25)&gt;0,"",'Dvd Calendar'!$P$746)))</f>
        <v/>
      </c>
      <c r="CC58" s="85">
        <f>IF(O58="","",IF(ISNUMBER('Dvd Calendar'!$Q$746)=FALSE,"",IF((Summary!$C$13="N")*('Dvd Calendar'!$Q$750='Field Check'!$C$25)&gt;0,"",'Dvd Calendar'!$Q$746)))</f>
        <v/>
      </c>
      <c r="CD58" s="85">
        <f>IF(P58="","",IF(ISNUMBER('Dvd Calendar'!$R$746)=FALSE,"",IF((Summary!$C$13="N")*('Dvd Calendar'!$R$750='Field Check'!$C$25)&gt;0,"",'Dvd Calendar'!$R$746)))</f>
        <v/>
      </c>
      <c r="CE58" s="85">
        <f>IF(Q58="","",IF(ISNUMBER('Dvd Calendar'!$S$746)=FALSE,"",IF((Summary!$C$13="N")*('Dvd Calendar'!$S$750='Field Check'!$C$25)&gt;0,"",'Dvd Calendar'!$S$746)))</f>
        <v/>
      </c>
      <c r="CF58" s="85">
        <f>IF(R58="","",IF(ISNUMBER('Dvd Calendar'!$T$746)=FALSE,"",IF((Summary!$C$13="N")*('Dvd Calendar'!$T$750='Field Check'!$C$25)&gt;0,"",'Dvd Calendar'!$T$746)))</f>
        <v/>
      </c>
      <c r="CG58" s="85">
        <f>IF(S58="","",IF(ISNUMBER('Dvd Calendar'!$U$746)=FALSE,"",IF((Summary!$C$13="N")*('Dvd Calendar'!$U$750='Field Check'!$C$25)&gt;0,"",'Dvd Calendar'!$U$746)))</f>
        <v/>
      </c>
      <c r="CH58" s="85">
        <f>IF(T58="","",IF(ISNUMBER('Dvd Calendar'!$V$746)=FALSE,"",IF((Summary!$C$13="N")*('Dvd Calendar'!$V$750='Field Check'!$C$25)&gt;0,"",'Dvd Calendar'!$V$746)))</f>
        <v/>
      </c>
      <c r="CI58" s="85">
        <f>IF(U58="","",IF(ISNUMBER('Dvd Calendar'!$W$746)=FALSE,"",IF((Summary!$C$13="N")*('Dvd Calendar'!$W$750='Field Check'!$C$25)&gt;0,"",'Dvd Calendar'!$W$746)))</f>
        <v/>
      </c>
      <c r="CJ58" s="85">
        <f>IF(V58="","",IF(ISNUMBER('Dvd Calendar'!$X$746)=FALSE,"",IF((Summary!$C$13="N")*('Dvd Calendar'!$X$750='Field Check'!$C$25)&gt;0,"",'Dvd Calendar'!$X$746)))</f>
        <v/>
      </c>
      <c r="CK58" s="85">
        <f>IF(W58="","",IF(ISNUMBER('Dvd Calendar'!$Y$746)=FALSE,"",IF((Summary!$C$13="N")*('Dvd Calendar'!$Y$750='Field Check'!$C$25)&gt;0,"",'Dvd Calendar'!$Y$746)))</f>
        <v/>
      </c>
      <c r="CL58" s="85">
        <f>IF(X58="","",IF(ISNUMBER('Dvd Calendar'!$Z$746)=FALSE,"",IF((Summary!$C$13="N")*('Dvd Calendar'!$Z$750='Field Check'!$C$25)&gt;0,"",'Dvd Calendar'!$Z$746)))</f>
        <v/>
      </c>
      <c r="CM58" s="85">
        <f>IF(Y58="","",IF(ISNUMBER('Dvd Calendar'!$AA$746)=FALSE,"",IF((Summary!$C$13="N")*('Dvd Calendar'!$AA$750='Field Check'!$C$25)&gt;0,"",'Dvd Calendar'!$AA$746)))</f>
        <v/>
      </c>
      <c r="CN58" s="85">
        <f>IF(Z58="","",IF(ISNUMBER('Dvd Calendar'!$AB$746)=FALSE,"",IF((Summary!$C$13="N")*('Dvd Calendar'!$AB$750='Field Check'!$C$25)&gt;0,"",'Dvd Calendar'!$AB$746)))</f>
        <v/>
      </c>
      <c r="CO58" s="85">
        <f>IF(AA58="","",IF(ISNUMBER('Dvd Calendar'!$AC$746)=FALSE,"",IF((Summary!$C$13="N")*('Dvd Calendar'!$AC$750='Field Check'!$C$25)&gt;0,"",'Dvd Calendar'!$AC$746)))</f>
        <v/>
      </c>
      <c r="CP58" s="85">
        <f>IF(AB58="","",IF(ISNUMBER('Dvd Calendar'!$AD$746)=FALSE,"",IF((Summary!$C$13="N")*('Dvd Calendar'!$AD$750='Field Check'!$C$25)&gt;0,"",'Dvd Calendar'!$AD$746)))</f>
        <v/>
      </c>
      <c r="CQ58" s="85">
        <f>IF(AC58="","",IF(ISNUMBER('Dvd Calendar'!$AE$746)=FALSE,"",IF((Summary!$C$13="N")*('Dvd Calendar'!$AE$750='Field Check'!$C$25)&gt;0,"",'Dvd Calendar'!$AE$746)))</f>
        <v/>
      </c>
      <c r="CR58" s="85">
        <f>IF(AD58="","",IF(ISNUMBER('Dvd Calendar'!$AF$746)=FALSE,"",IF((Summary!$C$13="N")*('Dvd Calendar'!$AF$750='Field Check'!$C$25)&gt;0,"",'Dvd Calendar'!$AF$746)))</f>
        <v/>
      </c>
      <c r="CS58" s="85">
        <f>IF(AE58="","",IF(ISNUMBER('Dvd Calendar'!$AG$746)=FALSE,"",IF((Summary!$C$13="N")*('Dvd Calendar'!$AG$750='Field Check'!$C$25)&gt;0,"",'Dvd Calendar'!$AG$746)))</f>
        <v/>
      </c>
      <c r="CT58" s="85">
        <f>IF(AF58="","",IF(ISNUMBER('Dvd Calendar'!$AH$746)=FALSE,"",IF((Summary!$C$13="N")*('Dvd Calendar'!$AH$750='Field Check'!$C$25)&gt;0,"",'Dvd Calendar'!$AH$746)))</f>
        <v/>
      </c>
      <c r="CU58" s="85">
        <f>IF(AG58="","",IF(ISNUMBER('Dvd Calendar'!$AI$746)=FALSE,"",IF((Summary!$C$13="N")*('Dvd Calendar'!$AI$750='Field Check'!$C$25)&gt;0,"",'Dvd Calendar'!$AI$746)))</f>
        <v/>
      </c>
      <c r="CV58" s="85">
        <f>IF(AH58="","",IF(ISNUMBER('Dvd Calendar'!$AJ$746)=FALSE,"",IF((Summary!$C$13="N")*('Dvd Calendar'!$AJ$750='Field Check'!$C$25)&gt;0,"",'Dvd Calendar'!$AJ$746)))</f>
        <v/>
      </c>
      <c r="CW58" s="85">
        <f>IF(AI58="","",IF(ISNUMBER('Dvd Calendar'!$AK$746)=FALSE,"",IF((Summary!$C$13="N")*('Dvd Calendar'!$AK$750='Field Check'!$C$25)&gt;0,"",'Dvd Calendar'!$AK$746)))</f>
        <v/>
      </c>
      <c r="CX58" s="85">
        <f>IF(AJ58="","",IF(ISNUMBER('Dvd Calendar'!$AL$746)=FALSE,"",IF((Summary!$C$13="N")*('Dvd Calendar'!$AL$750='Field Check'!$C$25)&gt;0,"",'Dvd Calendar'!$AL$746)))</f>
        <v/>
      </c>
      <c r="CY58" s="85">
        <f>IF(AK58="","",IF(ISNUMBER('Dvd Calendar'!$AM$746)=FALSE,"",IF((Summary!$C$13="N")*('Dvd Calendar'!$AM$750='Field Check'!$C$25)&gt;0,"",'Dvd Calendar'!$AM$746)))</f>
        <v/>
      </c>
      <c r="CZ58" s="85">
        <f>IF(AL58="","",IF(ISNUMBER('Dvd Calendar'!$AN$746)=FALSE,"",IF((Summary!$C$13="N")*('Dvd Calendar'!$AN$750='Field Check'!$C$25)&gt;0,"",'Dvd Calendar'!$AN$746)))</f>
        <v/>
      </c>
      <c r="DA58" s="85">
        <f>IF(AM58="","",IF(ISNUMBER('Dvd Calendar'!$AO$746)=FALSE,"",IF((Summary!$C$13="N")*('Dvd Calendar'!$AO$750='Field Check'!$C$25)&gt;0,"",'Dvd Calendar'!$AO$746)))</f>
        <v/>
      </c>
      <c r="DB58" s="85">
        <f>IF(AN58="","",IF(ISNUMBER('Dvd Calendar'!$AP$746)=FALSE,"",IF((Summary!$C$13="N")*('Dvd Calendar'!$AP$750='Field Check'!$C$25)&gt;0,"",'Dvd Calendar'!$AP$746)))</f>
        <v/>
      </c>
      <c r="DC58" s="85">
        <f>IF(AO58="","",IF(ISNUMBER('Dvd Calendar'!$AQ$746)=FALSE,"",IF((Summary!$C$13="N")*('Dvd Calendar'!$AQ$750='Field Check'!$C$25)&gt;0,"",'Dvd Calendar'!$AQ$746)))</f>
        <v/>
      </c>
      <c r="DD58" s="85">
        <f>IF(AP58="","",IF(ISNUMBER('Dvd Calendar'!$AR$746)=FALSE,"",IF((Summary!$C$13="N")*('Dvd Calendar'!$AR$750='Field Check'!$C$25)&gt;0,"",'Dvd Calendar'!$AR$746)))</f>
        <v/>
      </c>
      <c r="DE58" s="85">
        <f>IF(AQ58="","",IF(ISNUMBER('Dvd Calendar'!$E$753)=FALSE,"",IF((Summary!$C$13="N")*('Dvd Calendar'!$E$757='Field Check'!$C$25)&gt;0,"",'Dvd Calendar'!$E$753)))</f>
        <v/>
      </c>
      <c r="DF58" s="85">
        <f>IF(AR58="","",IF(ISNUMBER('Dvd Calendar'!$F$753)=FALSE,"",IF((Summary!$C$13="N")*('Dvd Calendar'!$F$757='Field Check'!$C$25)&gt;0,"",'Dvd Calendar'!$F$753)))</f>
        <v/>
      </c>
      <c r="DG58" s="85">
        <f>IF(AS58="","",IF(ISNUMBER('Dvd Calendar'!$G$753)=FALSE,"",IF((Summary!$C$13="N")*('Dvd Calendar'!$G$757='Field Check'!$C$25)&gt;0,"",'Dvd Calendar'!$G$753)))</f>
        <v/>
      </c>
      <c r="DH58" s="85">
        <f>IF(AT58="","",IF(ISNUMBER('Dvd Calendar'!$H$753)=FALSE,"",IF((Summary!$C$13="N")*('Dvd Calendar'!$H$757='Field Check'!$C$25)&gt;0,"",'Dvd Calendar'!$H$753)))</f>
        <v/>
      </c>
      <c r="DI58" s="85">
        <f>IF(AU58="","",IF(ISNUMBER('Dvd Calendar'!$I$753)=FALSE,"",IF((Summary!$C$13="N")*('Dvd Calendar'!$I$757='Field Check'!$C$25)&gt;0,"",'Dvd Calendar'!$I$753)))</f>
        <v/>
      </c>
      <c r="DJ58" s="85">
        <f>IF(AV58="","",IF(ISNUMBER('Dvd Calendar'!$J$753)=FALSE,"",IF((Summary!$C$13="N")*('Dvd Calendar'!$J$757='Field Check'!$C$25)&gt;0,"",'Dvd Calendar'!$J$753)))</f>
        <v/>
      </c>
      <c r="DK58" s="85">
        <f>IF(AW58="","",IF(ISNUMBER('Dvd Calendar'!$K$753)=FALSE,"",IF((Summary!$C$13="N")*('Dvd Calendar'!$K$757='Field Check'!$C$25)&gt;0,"",'Dvd Calendar'!$K$753)))</f>
        <v/>
      </c>
      <c r="DL58" s="85">
        <f>IF(AX58="","",IF(ISNUMBER('Dvd Calendar'!$L$753)=FALSE,"",IF((Summary!$C$13="N")*('Dvd Calendar'!$L$757='Field Check'!$C$25)&gt;0,"",'Dvd Calendar'!$L$753)))</f>
        <v/>
      </c>
      <c r="DM58" s="85">
        <f>IF(AY58="","",IF(ISNUMBER('Dvd Calendar'!$M$753)=FALSE,"",IF((Summary!$C$13="N")*('Dvd Calendar'!$M$757='Field Check'!$C$25)&gt;0,"",'Dvd Calendar'!$M$753)))</f>
        <v/>
      </c>
      <c r="DN58" s="85">
        <f>IF(AZ58="","",IF(ISNUMBER('Dvd Calendar'!$N$753)=FALSE,"",IF((Summary!$C$13="N")*('Dvd Calendar'!$N$757='Field Check'!$C$25)&gt;0,"",'Dvd Calendar'!$N$753)))</f>
        <v/>
      </c>
      <c r="DO58" s="85">
        <f>IF(BA58="","",IF(ISNUMBER('Dvd Calendar'!$O$753)=FALSE,"",IF((Summary!$C$13="N")*('Dvd Calendar'!$O$757='Field Check'!$C$25)&gt;0,"",'Dvd Calendar'!$O$753)))</f>
        <v/>
      </c>
      <c r="DP58" s="85">
        <f>IF(BB58="","",IF(ISNUMBER('Dvd Calendar'!$P$753)=FALSE,"",IF((Summary!$C$13="N")*('Dvd Calendar'!$P$757='Field Check'!$C$25)&gt;0,"",'Dvd Calendar'!$P$753)))</f>
        <v/>
      </c>
      <c r="DQ58" s="85">
        <f>IF(BC58="","",IF(ISNUMBER('Dvd Calendar'!$Q$753)=FALSE,"",IF((Summary!$C$13="N")*('Dvd Calendar'!$Q$757='Field Check'!$C$25)&gt;0,"",'Dvd Calendar'!$Q$753)))</f>
        <v/>
      </c>
      <c r="DR58" s="85">
        <f>IF(BD58="","",IF(ISNUMBER('Dvd Calendar'!$R$753)=FALSE,"",IF((Summary!$C$13="N")*('Dvd Calendar'!$R$757='Field Check'!$C$25)&gt;0,"",'Dvd Calendar'!$R$753)))</f>
        <v/>
      </c>
      <c r="DS58" s="85">
        <f>IF(BE58="","",IF(ISNUMBER('Dvd Calendar'!$S$753)=FALSE,"",IF((Summary!$C$13="N")*('Dvd Calendar'!$S$757='Field Check'!$C$25)&gt;0,"",'Dvd Calendar'!$S$753)))</f>
        <v/>
      </c>
      <c r="DT58" s="85">
        <f>IF(BF58="","",IF(ISNUMBER('Dvd Calendar'!$T$753)=FALSE,"",IF((Summary!$C$13="N")*('Dvd Calendar'!$T$757='Field Check'!$C$25)&gt;0,"",'Dvd Calendar'!$T$753)))</f>
        <v/>
      </c>
      <c r="DU58" s="85">
        <f>IF(BG58="","",IF(ISNUMBER('Dvd Calendar'!$U$753)=FALSE,"",IF((Summary!$C$13="N")*('Dvd Calendar'!$U$757='Field Check'!$C$25)&gt;0,"",'Dvd Calendar'!$U$753)))</f>
        <v/>
      </c>
      <c r="DV58" s="85">
        <f>IF(BH58="","",IF(ISNUMBER('Dvd Calendar'!$V$753)=FALSE,"",IF((Summary!$C$13="N")*('Dvd Calendar'!$V$757='Field Check'!$C$25)&gt;0,"",'Dvd Calendar'!$V$753)))</f>
        <v/>
      </c>
      <c r="DW58" s="85">
        <f>IF(BI58="","",IF(ISNUMBER('Dvd Calendar'!$W$753)=FALSE,"",IF((Summary!$C$13="N")*('Dvd Calendar'!$W$757='Field Check'!$C$25)&gt;0,"",'Dvd Calendar'!$W$753)))</f>
        <v/>
      </c>
      <c r="DX58" s="85">
        <f>IF(BJ58="","",IF(ISNUMBER('Dvd Calendar'!$X$753)=FALSE,"",IF((Summary!$C$13="N")*('Dvd Calendar'!$X$757='Field Check'!$C$25)&gt;0,"",'Dvd Calendar'!$X$753)))</f>
        <v/>
      </c>
      <c r="DY58" s="85">
        <f>IF(BK58="","",IF(ISNUMBER('Dvd Calendar'!$Y$753)=FALSE,"",IF((Summary!$C$13="N")*('Dvd Calendar'!$Y$757='Field Check'!$C$25)&gt;0,"",'Dvd Calendar'!$Y$753)))</f>
        <v/>
      </c>
      <c r="DZ58" s="85">
        <f>IF(BL58="","",IF(ISNUMBER('Dvd Calendar'!$Z$753)=FALSE,"",IF((Summary!$C$13="N")*('Dvd Calendar'!$Z$757='Field Check'!$C$25)&gt;0,"",'Dvd Calendar'!$Z$753)))</f>
        <v/>
      </c>
      <c r="EA58" s="85">
        <f>IF(BM58="","",IF(ISNUMBER('Dvd Calendar'!$AA$753)=FALSE,"",IF((Summary!$C$13="N")*('Dvd Calendar'!$AA$757='Field Check'!$C$25)&gt;0,"",'Dvd Calendar'!$AA$753)))</f>
        <v/>
      </c>
      <c r="EB58" s="85">
        <f>IF(BN58="","",IF(ISNUMBER('Dvd Calendar'!$AB$753)=FALSE,"",IF((Summary!$C$13="N")*('Dvd Calendar'!$AB$757='Field Check'!$C$25)&gt;0,"",'Dvd Calendar'!$AB$753)))</f>
        <v/>
      </c>
      <c r="EC58" s="85">
        <f>IF(BO58="","",IF(ISNUMBER('Dvd Calendar'!$AC$753)=FALSE,"",IF((Summary!$C$13="N")*('Dvd Calendar'!$AC$757='Field Check'!$C$25)&gt;0,"",'Dvd Calendar'!$AC$753)))</f>
        <v/>
      </c>
      <c r="EE58" s="85">
        <f>IF(BQ58="","",IFERROR(BQ58*HSI!$B$56*HSI!$G$56/HSI!$B$3,""))</f>
        <v/>
      </c>
      <c r="EF58" s="85">
        <f>IF(BR58="","",IFERROR(BR58*HSI!$B$56*HSI!$G$56/HSI!$B$3,""))</f>
        <v/>
      </c>
      <c r="EG58" s="85">
        <f>IF(BS58="","",IFERROR(BS58*HSI!$B$56*HSI!$G$56/HSI!$B$3,""))</f>
        <v/>
      </c>
      <c r="EH58" s="85">
        <f>IF(BT58="","",IFERROR(BT58*HSI!$B$56*HSI!$G$56/HSI!$B$3,""))</f>
        <v/>
      </c>
      <c r="EI58" s="85">
        <f>IF(BU58="","",IFERROR(BU58*HSI!$B$56*HSI!$G$56/HSI!$B$3,""))</f>
        <v/>
      </c>
      <c r="EJ58" s="85">
        <f>IF(BV58="","",IFERROR(BV58*HSI!$B$56*HSI!$G$56/HSI!$B$3,""))</f>
        <v/>
      </c>
      <c r="EK58" s="85">
        <f>IF(BW58="","",IFERROR(BW58*HSI!$B$56*HSI!$G$56/HSI!$B$3,""))</f>
        <v/>
      </c>
      <c r="EL58" s="85">
        <f>IF(BX58="","",IFERROR(BX58*HSI!$B$56*HSI!$G$56/HSI!$B$3,""))</f>
        <v/>
      </c>
      <c r="EM58" s="85">
        <f>IF(BY58="","",IFERROR(BY58*HSI!$B$56*HSI!$G$56/HSI!$B$3,""))</f>
        <v/>
      </c>
      <c r="EN58" s="85">
        <f>IF(BZ58="","",IFERROR(BZ58*HSI!$B$56*HSI!$G$56/HSI!$B$3,""))</f>
        <v/>
      </c>
      <c r="EO58" s="85">
        <f>IF(CA58="","",IFERROR(CA58*HSI!$B$56*HSI!$G$56/HSI!$B$3,""))</f>
        <v/>
      </c>
      <c r="EP58" s="85">
        <f>IF(CB58="","",IFERROR(CB58*HSI!$B$56*HSI!$G$56/HSI!$B$3,""))</f>
        <v/>
      </c>
      <c r="EQ58" s="85">
        <f>IF(CC58="","",IFERROR(CC58*HSI!$B$56*HSI!$G$56/HSI!$B$3,""))</f>
        <v/>
      </c>
      <c r="ER58" s="85">
        <f>IF(CD58="","",IFERROR(CD58*HSI!$B$56*HSI!$G$56/HSI!$B$3,""))</f>
        <v/>
      </c>
      <c r="ES58" s="85">
        <f>IF(CE58="","",IFERROR(CE58*HSI!$B$56*HSI!$G$56/HSI!$B$3,""))</f>
        <v/>
      </c>
      <c r="ET58" s="85">
        <f>IF(CF58="","",IFERROR(CF58*HSI!$B$56*HSI!$G$56/HSI!$B$3,""))</f>
        <v/>
      </c>
      <c r="EU58" s="85">
        <f>IF(CG58="","",IFERROR(CG58*HSI!$B$56*HSI!$G$56/HSI!$B$3,""))</f>
        <v/>
      </c>
      <c r="EV58" s="85">
        <f>IF(CH58="","",IFERROR(CH58*HSI!$B$56*HSI!$G$56/HSI!$B$3,""))</f>
        <v/>
      </c>
      <c r="EW58" s="85">
        <f>IF(CI58="","",IFERROR(CI58*HSI!$B$56*HSI!$G$56/HSI!$B$3,""))</f>
        <v/>
      </c>
      <c r="EX58" s="85">
        <f>IF(CJ58="","",IFERROR(CJ58*HSI!$B$56*HSI!$G$56/HSI!$B$3,""))</f>
        <v/>
      </c>
      <c r="EY58" s="85">
        <f>IF(CK58="","",IFERROR(CK58*HSI!$B$56*HSI!$G$56/HSI!$B$3,""))</f>
        <v/>
      </c>
      <c r="EZ58" s="85">
        <f>IF(CL58="","",IFERROR(CL58*HSI!$B$56*HSI!$G$56/HSI!$B$3,""))</f>
        <v/>
      </c>
      <c r="FA58" s="85">
        <f>IF(CM58="","",IFERROR(CM58*HSI!$B$56*HSI!$G$56/HSI!$B$3,""))</f>
        <v/>
      </c>
      <c r="FB58" s="85">
        <f>IF(CN58="","",IFERROR(CN58*HSI!$B$56*HSI!$G$56/HSI!$B$3,""))</f>
        <v/>
      </c>
      <c r="FC58" s="85">
        <f>IF(CO58="","",IFERROR(CO58*HSI!$B$56*HSI!$G$56/HSI!$B$3,""))</f>
        <v/>
      </c>
      <c r="FD58" s="85">
        <f>IF(CP58="","",IFERROR(CP58*HSI!$B$56*HSI!$G$56/HSI!$B$3,""))</f>
        <v/>
      </c>
      <c r="FE58" s="85">
        <f>IF(CQ58="","",IFERROR(CQ58*HSI!$B$56*HSI!$G$56/HSI!$B$3,""))</f>
        <v/>
      </c>
      <c r="FF58" s="85">
        <f>IF(CR58="","",IFERROR(CR58*HSI!$B$56*HSI!$G$56/HSI!$B$3,""))</f>
        <v/>
      </c>
      <c r="FG58" s="85">
        <f>IF(CS58="","",IFERROR(CS58*HSI!$B$56*HSI!$G$56/HSI!$B$3,""))</f>
        <v/>
      </c>
      <c r="FH58" s="85">
        <f>IF(CT58="","",IFERROR(CT58*HSI!$B$56*HSI!$G$56/HSI!$B$3,""))</f>
        <v/>
      </c>
      <c r="FI58" s="85">
        <f>IF(CU58="","",IFERROR(CU58*HSI!$B$56*HSI!$G$56/HSI!$B$3,""))</f>
        <v/>
      </c>
      <c r="FJ58" s="85">
        <f>IF(CV58="","",IFERROR(CV58*HSI!$B$56*HSI!$G$56/HSI!$B$3,""))</f>
        <v/>
      </c>
      <c r="FK58" s="85">
        <f>IF(CW58="","",IFERROR(CW58*HSI!$B$56*HSI!$G$56/HSI!$B$3,""))</f>
        <v/>
      </c>
      <c r="FL58" s="85">
        <f>IF(CX58="","",IFERROR(CX58*HSI!$B$56*HSI!$G$56/HSI!$B$3,""))</f>
        <v/>
      </c>
      <c r="FM58" s="85">
        <f>IF(CY58="","",IFERROR(CY58*HSI!$B$56*HSI!$G$56/HSI!$B$3,""))</f>
        <v/>
      </c>
      <c r="FN58" s="85">
        <f>IF(CZ58="","",IFERROR(CZ58*HSI!$B$56*HSI!$G$56/HSI!$B$3,""))</f>
        <v/>
      </c>
      <c r="FO58" s="85">
        <f>IF(DA58="","",IFERROR(DA58*HSI!$B$56*HSI!$G$56/HSI!$B$3,""))</f>
        <v/>
      </c>
      <c r="FP58" s="85">
        <f>IF(DB58="","",IFERROR(DB58*HSI!$B$56*HSI!$G$56/HSI!$B$3,""))</f>
        <v/>
      </c>
      <c r="FQ58" s="85">
        <f>IF(DC58="","",IFERROR(DC58*HSI!$B$56*HSI!$G$56/HSI!$B$3,""))</f>
        <v/>
      </c>
      <c r="FR58" s="85">
        <f>IF(DD58="","",IFERROR(DD58*HSI!$B$56*HSI!$G$56/HSI!$B$3,""))</f>
        <v/>
      </c>
      <c r="FS58" s="85">
        <f>IF(DE58="","",IFERROR(DE58*HSI!$B$56*HSI!$G$56/HSI!$B$3,""))</f>
        <v/>
      </c>
      <c r="FT58" s="85">
        <f>IF(DF58="","",IFERROR(DF58*HSI!$B$56*HSI!$G$56/HSI!$B$3,""))</f>
        <v/>
      </c>
      <c r="FU58" s="85">
        <f>IF(DG58="","",IFERROR(DG58*HSI!$B$56*HSI!$G$56/HSI!$B$3,""))</f>
        <v/>
      </c>
      <c r="FV58" s="85">
        <f>IF(DH58="","",IFERROR(DH58*HSI!$B$56*HSI!$G$56/HSI!$B$3,""))</f>
        <v/>
      </c>
      <c r="FW58" s="85">
        <f>IF(DI58="","",IFERROR(DI58*HSI!$B$56*HSI!$G$56/HSI!$B$3,""))</f>
        <v/>
      </c>
      <c r="FX58" s="85">
        <f>IF(DJ58="","",IFERROR(DJ58*HSI!$B$56*HSI!$G$56/HSI!$B$3,""))</f>
        <v/>
      </c>
      <c r="FY58" s="85">
        <f>IF(DK58="","",IFERROR(DK58*HSI!$B$56*HSI!$G$56/HSI!$B$3,""))</f>
        <v/>
      </c>
      <c r="FZ58" s="85">
        <f>IF(DL58="","",IFERROR(DL58*HSI!$B$56*HSI!$G$56/HSI!$B$3,""))</f>
        <v/>
      </c>
      <c r="GA58" s="85">
        <f>IF(DM58="","",IFERROR(DM58*HSI!$B$56*HSI!$G$56/HSI!$B$3,""))</f>
        <v/>
      </c>
      <c r="GB58" s="85">
        <f>IF(DN58="","",IFERROR(DN58*HSI!$B$56*HSI!$G$56/HSI!$B$3,""))</f>
        <v/>
      </c>
      <c r="GC58" s="85">
        <f>IF(DO58="","",IFERROR(DO58*HSI!$B$56*HSI!$G$56/HSI!$B$3,""))</f>
        <v/>
      </c>
      <c r="GD58" s="85">
        <f>IF(DP58="","",IFERROR(DP58*HSI!$B$56*HSI!$G$56/HSI!$B$3,""))</f>
        <v/>
      </c>
      <c r="GE58" s="85">
        <f>IF(DQ58="","",IFERROR(DQ58*HSI!$B$56*HSI!$G$56/HSI!$B$3,""))</f>
        <v/>
      </c>
      <c r="GF58" s="85">
        <f>IF(DR58="","",IFERROR(DR58*HSI!$B$56*HSI!$G$56/HSI!$B$3,""))</f>
        <v/>
      </c>
      <c r="GG58" s="85">
        <f>IF(DS58="","",IFERROR(DS58*HSI!$B$56*HSI!$G$56/HSI!$B$3,""))</f>
        <v/>
      </c>
      <c r="GH58" s="85">
        <f>IF(DT58="","",IFERROR(DT58*HSI!$B$56*HSI!$G$56/HSI!$B$3,""))</f>
        <v/>
      </c>
      <c r="GI58" s="85">
        <f>IF(DU58="","",IFERROR(DU58*HSI!$B$56*HSI!$G$56/HSI!$B$3,""))</f>
        <v/>
      </c>
      <c r="GJ58" s="85">
        <f>IF(DV58="","",IFERROR(DV58*HSI!$B$56*HSI!$G$56/HSI!$B$3,""))</f>
        <v/>
      </c>
      <c r="GK58" s="85">
        <f>IF(DW58="","",IFERROR(DW58*HSI!$B$56*HSI!$G$56/HSI!$B$3,""))</f>
        <v/>
      </c>
      <c r="GL58" s="85">
        <f>IF(DX58="","",IFERROR(DX58*HSI!$B$56*HSI!$G$56/HSI!$B$3,""))</f>
        <v/>
      </c>
      <c r="GM58" s="85">
        <f>IF(DY58="","",IFERROR(DY58*HSI!$B$56*HSI!$G$56/HSI!$B$3,""))</f>
        <v/>
      </c>
      <c r="GN58" s="85">
        <f>IF(DZ58="","",IFERROR(DZ58*HSI!$B$56*HSI!$G$56/HSI!$B$3,""))</f>
        <v/>
      </c>
      <c r="GO58" s="85">
        <f>IF(EA58="","",IFERROR(EA58*HSI!$B$56*HSI!$G$56/HSI!$B$3,""))</f>
        <v/>
      </c>
      <c r="GP58" s="85">
        <f>IF(EB58="","",IFERROR(EB58*HSI!$B$56*HSI!$G$56/HSI!$B$3,""))</f>
        <v/>
      </c>
      <c r="GQ58" s="85">
        <f>IF(EC58="","",IFERROR(EC58*HSI!$B$56*HSI!$G$56/HSI!$B$3,""))</f>
        <v/>
      </c>
    </row>
    <row r="59">
      <c r="B59" s="2">
        <f>IF(HSI!$C$57="","",HSI!$C$57)</f>
        <v/>
      </c>
      <c r="C59" s="41">
        <f>IF(N('Dvd Calendar'!$E$760)=0,"",IF(('Dvd Calendar'!$E$760&gt;=MIN(DATE(Summary!$C$12,1,1),Summary!$C$11))*('Dvd Calendar'!$E$760&lt;=MAX(DATE(Summary!$C$12,12,31),Summary!$C$15))*('Dvd Calendar'!$E$760&lt;=Summary!$C$11)=0,"",'Dvd Calendar'!$E$760*1000000000+ISNUMBER('Dvd Calendar'!$E$761)*100000000+('Dvd Calendar'!$E$765='Field Check'!$C$25)*10000000+(N('Dvd Calendar'!$E$759)&gt;0)*1000000+51*1000+1))</f>
        <v/>
      </c>
      <c r="D59" s="41">
        <f>IF(N('Dvd Calendar'!$F$760)=0,"",IF(('Dvd Calendar'!$F$760&gt;=MIN(DATE(Summary!$C$12,1,1),Summary!$C$11))*('Dvd Calendar'!$F$760&lt;=MAX(DATE(Summary!$C$12,12,31),Summary!$C$15))*('Dvd Calendar'!$F$760&lt;=Summary!$C$11)=0,"",'Dvd Calendar'!$F$760*1000000000+ISNUMBER('Dvd Calendar'!$F$761)*100000000+('Dvd Calendar'!$F$765='Field Check'!$C$25)*10000000+(N('Dvd Calendar'!$F$759)&gt;0)*1000000+51*1000+2))</f>
        <v/>
      </c>
      <c r="E59" s="41">
        <f>IF(N('Dvd Calendar'!$G$760)=0,"",IF(('Dvd Calendar'!$G$760&gt;=MIN(DATE(Summary!$C$12,1,1),Summary!$C$11))*('Dvd Calendar'!$G$760&lt;=MAX(DATE(Summary!$C$12,12,31),Summary!$C$15))*('Dvd Calendar'!$G$760&lt;=Summary!$C$11)=0,"",'Dvd Calendar'!$G$760*1000000000+ISNUMBER('Dvd Calendar'!$G$761)*100000000+('Dvd Calendar'!$G$765='Field Check'!$C$25)*10000000+(N('Dvd Calendar'!$G$759)&gt;0)*1000000+51*1000+3))</f>
        <v/>
      </c>
      <c r="F59" s="41">
        <f>IF(N('Dvd Calendar'!$H$760)=0,"",IF(('Dvd Calendar'!$H$760&gt;=MIN(DATE(Summary!$C$12,1,1),Summary!$C$11))*('Dvd Calendar'!$H$760&lt;=MAX(DATE(Summary!$C$12,12,31),Summary!$C$15))*('Dvd Calendar'!$H$760&lt;=Summary!$C$11)=0,"",'Dvd Calendar'!$H$760*1000000000+ISNUMBER('Dvd Calendar'!$H$761)*100000000+('Dvd Calendar'!$H$765='Field Check'!$C$25)*10000000+(N('Dvd Calendar'!$H$759)&gt;0)*1000000+51*1000+4))</f>
        <v/>
      </c>
      <c r="G59" s="41">
        <f>IF(N('Dvd Calendar'!$I$760)=0,"",IF(('Dvd Calendar'!$I$760&gt;=MIN(DATE(Summary!$C$12,1,1),Summary!$C$11))*('Dvd Calendar'!$I$760&lt;=MAX(DATE(Summary!$C$12,12,31),Summary!$C$15))*('Dvd Calendar'!$I$760&lt;=Summary!$C$11)=0,"",'Dvd Calendar'!$I$760*1000000000+ISNUMBER('Dvd Calendar'!$I$761)*100000000+('Dvd Calendar'!$I$765='Field Check'!$C$25)*10000000+(N('Dvd Calendar'!$I$759)&gt;0)*1000000+51*1000+5))</f>
        <v/>
      </c>
      <c r="H59" s="41">
        <f>IF(N('Dvd Calendar'!$J$760)=0,"",IF(('Dvd Calendar'!$J$760&gt;=MIN(DATE(Summary!$C$12,1,1),Summary!$C$11))*('Dvd Calendar'!$J$760&lt;=MAX(DATE(Summary!$C$12,12,31),Summary!$C$15))*('Dvd Calendar'!$J$760&lt;=Summary!$C$11)=0,"",'Dvd Calendar'!$J$760*1000000000+ISNUMBER('Dvd Calendar'!$J$761)*100000000+('Dvd Calendar'!$J$765='Field Check'!$C$25)*10000000+(N('Dvd Calendar'!$J$759)&gt;0)*1000000+51*1000+6))</f>
        <v/>
      </c>
      <c r="I59" s="41">
        <f>IF(N('Dvd Calendar'!$K$760)=0,"",IF(('Dvd Calendar'!$K$760&gt;=MIN(DATE(Summary!$C$12,1,1),Summary!$C$11))*('Dvd Calendar'!$K$760&lt;=MAX(DATE(Summary!$C$12,12,31),Summary!$C$15))*('Dvd Calendar'!$K$760&lt;=Summary!$C$11)=0,"",'Dvd Calendar'!$K$760*1000000000+ISNUMBER('Dvd Calendar'!$K$761)*100000000+('Dvd Calendar'!$K$765='Field Check'!$C$25)*10000000+(N('Dvd Calendar'!$K$759)&gt;0)*1000000+51*1000+7))</f>
        <v/>
      </c>
      <c r="J59" s="41">
        <f>IF(N('Dvd Calendar'!$L$760)=0,"",IF(('Dvd Calendar'!$L$760&gt;=MIN(DATE(Summary!$C$12,1,1),Summary!$C$11))*('Dvd Calendar'!$L$760&lt;=MAX(DATE(Summary!$C$12,12,31),Summary!$C$15))*('Dvd Calendar'!$L$760&lt;=Summary!$C$11)=0,"",'Dvd Calendar'!$L$760*1000000000+ISNUMBER('Dvd Calendar'!$L$761)*100000000+('Dvd Calendar'!$L$765='Field Check'!$C$25)*10000000+(N('Dvd Calendar'!$L$759)&gt;0)*1000000+51*1000+8))</f>
        <v/>
      </c>
      <c r="K59" s="41">
        <f>IF(N('Dvd Calendar'!$M$760)=0,"",IF(('Dvd Calendar'!$M$760&gt;=MIN(DATE(Summary!$C$12,1,1),Summary!$C$11))*('Dvd Calendar'!$M$760&lt;=MAX(DATE(Summary!$C$12,12,31),Summary!$C$15))*('Dvd Calendar'!$M$760&lt;=Summary!$C$11)=0,"",'Dvd Calendar'!$M$760*1000000000+ISNUMBER('Dvd Calendar'!$M$761)*100000000+('Dvd Calendar'!$M$765='Field Check'!$C$25)*10000000+(N('Dvd Calendar'!$M$759)&gt;0)*1000000+51*1000+9))</f>
        <v/>
      </c>
      <c r="L59" s="41">
        <f>IF(N('Dvd Calendar'!$N$760)=0,"",IF(('Dvd Calendar'!$N$760&gt;=MIN(DATE(Summary!$C$12,1,1),Summary!$C$11))*('Dvd Calendar'!$N$760&lt;=MAX(DATE(Summary!$C$12,12,31),Summary!$C$15))*('Dvd Calendar'!$N$760&lt;=Summary!$C$11)=0,"",'Dvd Calendar'!$N$760*1000000000+ISNUMBER('Dvd Calendar'!$N$761)*100000000+('Dvd Calendar'!$N$765='Field Check'!$C$25)*10000000+(N('Dvd Calendar'!$N$759)&gt;0)*1000000+51*1000+10))</f>
        <v/>
      </c>
      <c r="M59" s="41">
        <f>IF(N('Dvd Calendar'!$O$760)=0,"",IF(('Dvd Calendar'!$O$760&gt;=MIN(DATE(Summary!$C$12,1,1),Summary!$C$11))*('Dvd Calendar'!$O$760&lt;=MAX(DATE(Summary!$C$12,12,31),Summary!$C$15))*('Dvd Calendar'!$O$760&lt;=Summary!$C$11)=0,"",'Dvd Calendar'!$O$760*1000000000+ISNUMBER('Dvd Calendar'!$O$761)*100000000+('Dvd Calendar'!$O$765='Field Check'!$C$25)*10000000+(N('Dvd Calendar'!$O$759)&gt;0)*1000000+51*1000+11))</f>
        <v/>
      </c>
      <c r="N59" s="41">
        <f>IF(N('Dvd Calendar'!$P$760)=0,"",IF(('Dvd Calendar'!$P$760&gt;=MIN(DATE(Summary!$C$12,1,1),Summary!$C$11))*('Dvd Calendar'!$P$760&lt;=MAX(DATE(Summary!$C$12,12,31),Summary!$C$15))*('Dvd Calendar'!$P$760&lt;=Summary!$C$11)=0,"",'Dvd Calendar'!$P$760*1000000000+ISNUMBER('Dvd Calendar'!$P$761)*100000000+('Dvd Calendar'!$P$765='Field Check'!$C$25)*10000000+(N('Dvd Calendar'!$P$759)&gt;0)*1000000+51*1000+12))</f>
        <v/>
      </c>
      <c r="O59" s="41">
        <f>IF(N('Dvd Calendar'!$Q$760)=0,"",IF(('Dvd Calendar'!$Q$760&gt;=MIN(DATE(Summary!$C$12,1,1),Summary!$C$11))*('Dvd Calendar'!$Q$760&lt;=MAX(DATE(Summary!$C$12,12,31),Summary!$C$15))*('Dvd Calendar'!$Q$760&lt;=Summary!$C$11)=0,"",'Dvd Calendar'!$Q$760*1000000000+ISNUMBER('Dvd Calendar'!$Q$761)*100000000+('Dvd Calendar'!$Q$765='Field Check'!$C$25)*10000000+(N('Dvd Calendar'!$Q$759)&gt;0)*1000000+51*1000+13))</f>
        <v/>
      </c>
      <c r="P59" s="41">
        <f>IF(N('Dvd Calendar'!$R$760)=0,"",IF(('Dvd Calendar'!$R$760&gt;=MIN(DATE(Summary!$C$12,1,1),Summary!$C$11))*('Dvd Calendar'!$R$760&lt;=MAX(DATE(Summary!$C$12,12,31),Summary!$C$15))*('Dvd Calendar'!$R$760&lt;=Summary!$C$11)=0,"",'Dvd Calendar'!$R$760*1000000000+ISNUMBER('Dvd Calendar'!$R$761)*100000000+('Dvd Calendar'!$R$765='Field Check'!$C$25)*10000000+(N('Dvd Calendar'!$R$759)&gt;0)*1000000+51*1000+14))</f>
        <v/>
      </c>
      <c r="Q59" s="41">
        <f>IF(N('Dvd Calendar'!$S$760)=0,"",IF(('Dvd Calendar'!$S$760&gt;=MIN(DATE(Summary!$C$12,1,1),Summary!$C$11))*('Dvd Calendar'!$S$760&lt;=MAX(DATE(Summary!$C$12,12,31),Summary!$C$15))*('Dvd Calendar'!$S$760&lt;=Summary!$C$11)=0,"",'Dvd Calendar'!$S$760*1000000000+ISNUMBER('Dvd Calendar'!$S$761)*100000000+('Dvd Calendar'!$S$765='Field Check'!$C$25)*10000000+(N('Dvd Calendar'!$S$759)&gt;0)*1000000+51*1000+15))</f>
        <v/>
      </c>
      <c r="R59" s="41">
        <f>IF(N('Dvd Calendar'!$T$760)=0,"",IF(('Dvd Calendar'!$T$760&gt;=MIN(DATE(Summary!$C$12,1,1),Summary!$C$11))*('Dvd Calendar'!$T$760&lt;=MAX(DATE(Summary!$C$12,12,31),Summary!$C$15))*('Dvd Calendar'!$T$760&lt;=Summary!$C$11)=0,"",'Dvd Calendar'!$T$760*1000000000+ISNUMBER('Dvd Calendar'!$T$761)*100000000+('Dvd Calendar'!$T$765='Field Check'!$C$25)*10000000+(N('Dvd Calendar'!$T$759)&gt;0)*1000000+51*1000+16))</f>
        <v/>
      </c>
      <c r="S59" s="41">
        <f>IF(N('Dvd Calendar'!$U$760)=0,"",IF(('Dvd Calendar'!$U$760&gt;=MIN(DATE(Summary!$C$12,1,1),Summary!$C$11))*('Dvd Calendar'!$U$760&lt;=MAX(DATE(Summary!$C$12,12,31),Summary!$C$15))*('Dvd Calendar'!$U$760&lt;=Summary!$C$11)=0,"",'Dvd Calendar'!$U$760*1000000000+ISNUMBER('Dvd Calendar'!$U$761)*100000000+('Dvd Calendar'!$U$765='Field Check'!$C$25)*10000000+(N('Dvd Calendar'!$U$759)&gt;0)*1000000+51*1000+17))</f>
        <v/>
      </c>
      <c r="T59" s="41">
        <f>IF(N('Dvd Calendar'!$V$760)=0,"",IF(('Dvd Calendar'!$V$760&gt;=MIN(DATE(Summary!$C$12,1,1),Summary!$C$11))*('Dvd Calendar'!$V$760&lt;=MAX(DATE(Summary!$C$12,12,31),Summary!$C$15))*('Dvd Calendar'!$V$760&lt;=Summary!$C$11)=0,"",'Dvd Calendar'!$V$760*1000000000+ISNUMBER('Dvd Calendar'!$V$761)*100000000+('Dvd Calendar'!$V$765='Field Check'!$C$25)*10000000+(N('Dvd Calendar'!$V$759)&gt;0)*1000000+51*1000+18))</f>
        <v/>
      </c>
      <c r="U59" s="41">
        <f>IF(N('Dvd Calendar'!$W$760)=0,"",IF(('Dvd Calendar'!$W$760&gt;=MIN(DATE(Summary!$C$12,1,1),Summary!$C$11))*('Dvd Calendar'!$W$760&lt;=MAX(DATE(Summary!$C$12,12,31),Summary!$C$15))*('Dvd Calendar'!$W$760&lt;=Summary!$C$11)=0,"",'Dvd Calendar'!$W$760*1000000000+ISNUMBER('Dvd Calendar'!$W$761)*100000000+('Dvd Calendar'!$W$765='Field Check'!$C$25)*10000000+(N('Dvd Calendar'!$W$759)&gt;0)*1000000+51*1000+19))</f>
        <v/>
      </c>
      <c r="V59" s="41">
        <f>IF(N('Dvd Calendar'!$X$760)=0,"",IF(('Dvd Calendar'!$X$760&gt;=MIN(DATE(Summary!$C$12,1,1),Summary!$C$11))*('Dvd Calendar'!$X$760&lt;=MAX(DATE(Summary!$C$12,12,31),Summary!$C$15))*('Dvd Calendar'!$X$760&lt;=Summary!$C$11)=0,"",'Dvd Calendar'!$X$760*1000000000+ISNUMBER('Dvd Calendar'!$X$761)*100000000+('Dvd Calendar'!$X$765='Field Check'!$C$25)*10000000+(N('Dvd Calendar'!$X$759)&gt;0)*1000000+51*1000+20))</f>
        <v/>
      </c>
      <c r="W59" s="41">
        <f>IF(N('Dvd Calendar'!$Y$760)=0,"",IF(('Dvd Calendar'!$Y$760&gt;=MIN(DATE(Summary!$C$12,1,1),Summary!$C$11))*('Dvd Calendar'!$Y$760&lt;=MAX(DATE(Summary!$C$12,12,31),Summary!$C$15))*('Dvd Calendar'!$Y$760&lt;=Summary!$C$11)=0,"",'Dvd Calendar'!$Y$760*1000000000+ISNUMBER('Dvd Calendar'!$Y$761)*100000000+('Dvd Calendar'!$Y$765='Field Check'!$C$25)*10000000+(N('Dvd Calendar'!$Y$759)&gt;0)*1000000+51*1000+21))</f>
        <v/>
      </c>
      <c r="X59" s="41">
        <f>IF(N('Dvd Calendar'!$Z$760)=0,"",IF(('Dvd Calendar'!$Z$760&gt;=MIN(DATE(Summary!$C$12,1,1),Summary!$C$11))*('Dvd Calendar'!$Z$760&lt;=MAX(DATE(Summary!$C$12,12,31),Summary!$C$15))*('Dvd Calendar'!$Z$760&lt;=Summary!$C$11)=0,"",'Dvd Calendar'!$Z$760*1000000000+ISNUMBER('Dvd Calendar'!$Z$761)*100000000+('Dvd Calendar'!$Z$765='Field Check'!$C$25)*10000000+(N('Dvd Calendar'!$Z$759)&gt;0)*1000000+51*1000+22))</f>
        <v/>
      </c>
      <c r="Y59" s="41">
        <f>IF(N('Dvd Calendar'!$AA$760)=0,"",IF(('Dvd Calendar'!$AA$760&gt;=MIN(DATE(Summary!$C$12,1,1),Summary!$C$11))*('Dvd Calendar'!$AA$760&lt;=MAX(DATE(Summary!$C$12,12,31),Summary!$C$15))*('Dvd Calendar'!$AA$760&lt;=Summary!$C$11)=0,"",'Dvd Calendar'!$AA$760*1000000000+ISNUMBER('Dvd Calendar'!$AA$761)*100000000+('Dvd Calendar'!$AA$765='Field Check'!$C$25)*10000000+(N('Dvd Calendar'!$AA$759)&gt;0)*1000000+51*1000+23))</f>
        <v/>
      </c>
      <c r="Z59" s="41">
        <f>IF(N('Dvd Calendar'!$AB$760)=0,"",IF(('Dvd Calendar'!$AB$760&gt;=MIN(DATE(Summary!$C$12,1,1),Summary!$C$11))*('Dvd Calendar'!$AB$760&lt;=MAX(DATE(Summary!$C$12,12,31),Summary!$C$15))*('Dvd Calendar'!$AB$760&lt;=Summary!$C$11)=0,"",'Dvd Calendar'!$AB$760*1000000000+ISNUMBER('Dvd Calendar'!$AB$761)*100000000+('Dvd Calendar'!$AB$765='Field Check'!$C$25)*10000000+(N('Dvd Calendar'!$AB$759)&gt;0)*1000000+51*1000+24))</f>
        <v/>
      </c>
      <c r="AA59" s="41">
        <f>IF(N('Dvd Calendar'!$AC$760)=0,"",IF(('Dvd Calendar'!$AC$760&gt;=MIN(DATE(Summary!$C$12,1,1),Summary!$C$11))*('Dvd Calendar'!$AC$760&lt;=MAX(DATE(Summary!$C$12,12,31),Summary!$C$15))*('Dvd Calendar'!$AC$760&lt;=Summary!$C$11)=0,"",'Dvd Calendar'!$AC$760*1000000000+ISNUMBER('Dvd Calendar'!$AC$761)*100000000+('Dvd Calendar'!$AC$765='Field Check'!$C$25)*10000000+(N('Dvd Calendar'!$AC$759)&gt;0)*1000000+51*1000+25))</f>
        <v/>
      </c>
      <c r="AB59" s="41">
        <f>IF(N('Dvd Calendar'!$AD$760)=0,"",IF(('Dvd Calendar'!$AD$760&gt;=MIN(DATE(Summary!$C$12,1,1),Summary!$C$11))*('Dvd Calendar'!$AD$760&lt;=MAX(DATE(Summary!$C$12,12,31),Summary!$C$15))*('Dvd Calendar'!$AD$760&lt;=Summary!$C$11)=0,"",'Dvd Calendar'!$AD$760*1000000000+ISNUMBER('Dvd Calendar'!$AD$761)*100000000+('Dvd Calendar'!$AD$765='Field Check'!$C$25)*10000000+(N('Dvd Calendar'!$AD$759)&gt;0)*1000000+51*1000+26))</f>
        <v/>
      </c>
      <c r="AC59" s="41">
        <f>IF(N('Dvd Calendar'!$AE$760)=0,"",IF(('Dvd Calendar'!$AE$760&gt;=MIN(DATE(Summary!$C$12,1,1),Summary!$C$11))*('Dvd Calendar'!$AE$760&lt;=MAX(DATE(Summary!$C$12,12,31),Summary!$C$15))*('Dvd Calendar'!$AE$760&lt;=Summary!$C$11)=0,"",'Dvd Calendar'!$AE$760*1000000000+ISNUMBER('Dvd Calendar'!$AE$761)*100000000+('Dvd Calendar'!$AE$765='Field Check'!$C$25)*10000000+(N('Dvd Calendar'!$AE$759)&gt;0)*1000000+51*1000+27))</f>
        <v/>
      </c>
      <c r="AD59" s="41">
        <f>IF(N('Dvd Calendar'!$AF$760)=0,"",IF(('Dvd Calendar'!$AF$760&gt;=MIN(DATE(Summary!$C$12,1,1),Summary!$C$11))*('Dvd Calendar'!$AF$760&lt;=MAX(DATE(Summary!$C$12,12,31),Summary!$C$15))*('Dvd Calendar'!$AF$760&lt;=Summary!$C$11)=0,"",'Dvd Calendar'!$AF$760*1000000000+ISNUMBER('Dvd Calendar'!$AF$761)*100000000+('Dvd Calendar'!$AF$765='Field Check'!$C$25)*10000000+(N('Dvd Calendar'!$AF$759)&gt;0)*1000000+51*1000+28))</f>
        <v/>
      </c>
      <c r="AE59" s="41">
        <f>IF(N('Dvd Calendar'!$AG$760)=0,"",IF(('Dvd Calendar'!$AG$760&gt;=MIN(DATE(Summary!$C$12,1,1),Summary!$C$11))*('Dvd Calendar'!$AG$760&lt;=MAX(DATE(Summary!$C$12,12,31),Summary!$C$15))*('Dvd Calendar'!$AG$760&lt;=Summary!$C$11)=0,"",'Dvd Calendar'!$AG$760*1000000000+ISNUMBER('Dvd Calendar'!$AG$761)*100000000+('Dvd Calendar'!$AG$765='Field Check'!$C$25)*10000000+(N('Dvd Calendar'!$AG$759)&gt;0)*1000000+51*1000+29))</f>
        <v/>
      </c>
      <c r="AF59" s="41">
        <f>IF(N('Dvd Calendar'!$AH$760)=0,"",IF(('Dvd Calendar'!$AH$760&gt;=MIN(DATE(Summary!$C$12,1,1),Summary!$C$11))*('Dvd Calendar'!$AH$760&lt;=MAX(DATE(Summary!$C$12,12,31),Summary!$C$15))*('Dvd Calendar'!$AH$760&lt;=Summary!$C$11)=0,"",'Dvd Calendar'!$AH$760*1000000000+ISNUMBER('Dvd Calendar'!$AH$761)*100000000+('Dvd Calendar'!$AH$765='Field Check'!$C$25)*10000000+(N('Dvd Calendar'!$AH$759)&gt;0)*1000000+51*1000+30))</f>
        <v/>
      </c>
      <c r="AG59" s="41">
        <f>IF(N('Dvd Calendar'!$AI$760)=0,"",IF(('Dvd Calendar'!$AI$760&gt;=MIN(DATE(Summary!$C$12,1,1),Summary!$C$11))*('Dvd Calendar'!$AI$760&lt;=MAX(DATE(Summary!$C$12,12,31),Summary!$C$15))*('Dvd Calendar'!$AI$760&lt;=Summary!$C$11)=0,"",'Dvd Calendar'!$AI$760*1000000000+ISNUMBER('Dvd Calendar'!$AI$761)*100000000+('Dvd Calendar'!$AI$765='Field Check'!$C$25)*10000000+(N('Dvd Calendar'!$AI$759)&gt;0)*1000000+51*1000+31))</f>
        <v/>
      </c>
      <c r="AH59" s="41">
        <f>IF(N('Dvd Calendar'!$AJ$760)=0,"",IF(('Dvd Calendar'!$AJ$760&gt;=MIN(DATE(Summary!$C$12,1,1),Summary!$C$11))*('Dvd Calendar'!$AJ$760&lt;=MAX(DATE(Summary!$C$12,12,31),Summary!$C$15))*('Dvd Calendar'!$AJ$760&lt;=Summary!$C$11)=0,"",'Dvd Calendar'!$AJ$760*1000000000+ISNUMBER('Dvd Calendar'!$AJ$761)*100000000+('Dvd Calendar'!$AJ$765='Field Check'!$C$25)*10000000+(N('Dvd Calendar'!$AJ$759)&gt;0)*1000000+51*1000+32))</f>
        <v/>
      </c>
      <c r="AI59" s="41">
        <f>IF(N('Dvd Calendar'!$AK$760)=0,"",IF(('Dvd Calendar'!$AK$760&gt;=MIN(DATE(Summary!$C$12,1,1),Summary!$C$11))*('Dvd Calendar'!$AK$760&lt;=MAX(DATE(Summary!$C$12,12,31),Summary!$C$15))*('Dvd Calendar'!$AK$760&lt;=Summary!$C$11)=0,"",'Dvd Calendar'!$AK$760*1000000000+ISNUMBER('Dvd Calendar'!$AK$761)*100000000+('Dvd Calendar'!$AK$765='Field Check'!$C$25)*10000000+(N('Dvd Calendar'!$AK$759)&gt;0)*1000000+51*1000+33))</f>
        <v/>
      </c>
      <c r="AJ59" s="41">
        <f>IF(N('Dvd Calendar'!$AL$760)=0,"",IF(('Dvd Calendar'!$AL$760&gt;=MIN(DATE(Summary!$C$12,1,1),Summary!$C$11))*('Dvd Calendar'!$AL$760&lt;=MAX(DATE(Summary!$C$12,12,31),Summary!$C$15))*('Dvd Calendar'!$AL$760&lt;=Summary!$C$11)=0,"",'Dvd Calendar'!$AL$760*1000000000+ISNUMBER('Dvd Calendar'!$AL$761)*100000000+('Dvd Calendar'!$AL$765='Field Check'!$C$25)*10000000+(N('Dvd Calendar'!$AL$759)&gt;0)*1000000+51*1000+34))</f>
        <v/>
      </c>
      <c r="AK59" s="41">
        <f>IF(N('Dvd Calendar'!$AM$760)=0,"",IF(('Dvd Calendar'!$AM$760&gt;=MIN(DATE(Summary!$C$12,1,1),Summary!$C$11))*('Dvd Calendar'!$AM$760&lt;=MAX(DATE(Summary!$C$12,12,31),Summary!$C$15))*('Dvd Calendar'!$AM$760&lt;=Summary!$C$11)=0,"",'Dvd Calendar'!$AM$760*1000000000+ISNUMBER('Dvd Calendar'!$AM$761)*100000000+('Dvd Calendar'!$AM$765='Field Check'!$C$25)*10000000+(N('Dvd Calendar'!$AM$759)&gt;0)*1000000+51*1000+35))</f>
        <v/>
      </c>
      <c r="AL59" s="41">
        <f>IF(N('Dvd Calendar'!$AN$760)=0,"",IF(('Dvd Calendar'!$AN$760&gt;=MIN(DATE(Summary!$C$12,1,1),Summary!$C$11))*('Dvd Calendar'!$AN$760&lt;=MAX(DATE(Summary!$C$12,12,31),Summary!$C$15))*('Dvd Calendar'!$AN$760&lt;=Summary!$C$11)=0,"",'Dvd Calendar'!$AN$760*1000000000+ISNUMBER('Dvd Calendar'!$AN$761)*100000000+('Dvd Calendar'!$AN$765='Field Check'!$C$25)*10000000+(N('Dvd Calendar'!$AN$759)&gt;0)*1000000+51*1000+36))</f>
        <v/>
      </c>
      <c r="AM59" s="41">
        <f>IF(N('Dvd Calendar'!$AO$760)=0,"",IF(('Dvd Calendar'!$AO$760&gt;=MIN(DATE(Summary!$C$12,1,1),Summary!$C$11))*('Dvd Calendar'!$AO$760&lt;=MAX(DATE(Summary!$C$12,12,31),Summary!$C$15))*('Dvd Calendar'!$AO$760&lt;=Summary!$C$11)=0,"",'Dvd Calendar'!$AO$760*1000000000+ISNUMBER('Dvd Calendar'!$AO$761)*100000000+('Dvd Calendar'!$AO$765='Field Check'!$C$25)*10000000+(N('Dvd Calendar'!$AO$759)&gt;0)*1000000+51*1000+37))</f>
        <v/>
      </c>
      <c r="AN59" s="41">
        <f>IF(N('Dvd Calendar'!$AP$760)=0,"",IF(('Dvd Calendar'!$AP$760&gt;=MIN(DATE(Summary!$C$12,1,1),Summary!$C$11))*('Dvd Calendar'!$AP$760&lt;=MAX(DATE(Summary!$C$12,12,31),Summary!$C$15))*('Dvd Calendar'!$AP$760&lt;=Summary!$C$11)=0,"",'Dvd Calendar'!$AP$760*1000000000+ISNUMBER('Dvd Calendar'!$AP$761)*100000000+('Dvd Calendar'!$AP$765='Field Check'!$C$25)*10000000+(N('Dvd Calendar'!$AP$759)&gt;0)*1000000+51*1000+38))</f>
        <v/>
      </c>
      <c r="AO59" s="41">
        <f>IF(N('Dvd Calendar'!$AQ$760)=0,"",IF(('Dvd Calendar'!$AQ$760&gt;=MIN(DATE(Summary!$C$12,1,1),Summary!$C$11))*('Dvd Calendar'!$AQ$760&lt;=MAX(DATE(Summary!$C$12,12,31),Summary!$C$15))*('Dvd Calendar'!$AQ$760&lt;=Summary!$C$11)=0,"",'Dvd Calendar'!$AQ$760*1000000000+ISNUMBER('Dvd Calendar'!$AQ$761)*100000000+('Dvd Calendar'!$AQ$765='Field Check'!$C$25)*10000000+(N('Dvd Calendar'!$AQ$759)&gt;0)*1000000+51*1000+39))</f>
        <v/>
      </c>
      <c r="AP59" s="41">
        <f>IF(N('Dvd Calendar'!$AR$760)=0,"",IF(('Dvd Calendar'!$AR$760&gt;=MIN(DATE(Summary!$C$12,1,1),Summary!$C$11))*('Dvd Calendar'!$AR$760&lt;=MAX(DATE(Summary!$C$12,12,31),Summary!$C$15))*('Dvd Calendar'!$AR$760&lt;=Summary!$C$11)=0,"",'Dvd Calendar'!$AR$760*1000000000+ISNUMBER('Dvd Calendar'!$AR$761)*100000000+('Dvd Calendar'!$AR$765='Field Check'!$C$25)*10000000+(N('Dvd Calendar'!$AR$759)&gt;0)*1000000+51*1000+40))</f>
        <v/>
      </c>
      <c r="AQ59" s="41">
        <f>IF(N('Dvd Calendar'!$E$767)=0,"",IF(('Dvd Calendar'!$E$767&gt;=MIN(DATE(Summary!$C$12,1,1),Summary!$C$11))*('Dvd Calendar'!$E$767&lt;=MAX(DATE(Summary!$C$12,12,31),Summary!$C$15))*('Dvd Calendar'!$E$767&gt;Summary!$C$11)=0,"",'Dvd Calendar'!$E$767*1000000000+ISNUMBER('Dvd Calendar'!$E$768)*100000000+('Dvd Calendar'!$E$772='Field Check'!$C$25)*10000000+(N('Dvd Calendar'!$E$766)&gt;0)*1000000+51*1000+41))</f>
        <v/>
      </c>
      <c r="AR59" s="41">
        <f>IF(N('Dvd Calendar'!$F$767)=0,"",IF(('Dvd Calendar'!$F$767&gt;=MIN(DATE(Summary!$C$12,1,1),Summary!$C$11))*('Dvd Calendar'!$F$767&lt;=MAX(DATE(Summary!$C$12,12,31),Summary!$C$15))*('Dvd Calendar'!$F$767&gt;Summary!$C$11)=0,"",'Dvd Calendar'!$F$767*1000000000+ISNUMBER('Dvd Calendar'!$F$768)*100000000+('Dvd Calendar'!$F$772='Field Check'!$C$25)*10000000+(N('Dvd Calendar'!$F$766)&gt;0)*1000000+51*1000+42))</f>
        <v/>
      </c>
      <c r="AS59" s="41">
        <f>IF(N('Dvd Calendar'!$G$767)=0,"",IF(('Dvd Calendar'!$G$767&gt;=MIN(DATE(Summary!$C$12,1,1),Summary!$C$11))*('Dvd Calendar'!$G$767&lt;=MAX(DATE(Summary!$C$12,12,31),Summary!$C$15))*('Dvd Calendar'!$G$767&gt;Summary!$C$11)=0,"",'Dvd Calendar'!$G$767*1000000000+ISNUMBER('Dvd Calendar'!$G$768)*100000000+('Dvd Calendar'!$G$772='Field Check'!$C$25)*10000000+(N('Dvd Calendar'!$G$766)&gt;0)*1000000+51*1000+43))</f>
        <v/>
      </c>
      <c r="AT59" s="41">
        <f>IF(N('Dvd Calendar'!$H$767)=0,"",IF(('Dvd Calendar'!$H$767&gt;=MIN(DATE(Summary!$C$12,1,1),Summary!$C$11))*('Dvd Calendar'!$H$767&lt;=MAX(DATE(Summary!$C$12,12,31),Summary!$C$15))*('Dvd Calendar'!$H$767&gt;Summary!$C$11)=0,"",'Dvd Calendar'!$H$767*1000000000+ISNUMBER('Dvd Calendar'!$H$768)*100000000+('Dvd Calendar'!$H$772='Field Check'!$C$25)*10000000+(N('Dvd Calendar'!$H$766)&gt;0)*1000000+51*1000+44))</f>
        <v/>
      </c>
      <c r="AU59" s="41">
        <f>IF(N('Dvd Calendar'!$I$767)=0,"",IF(('Dvd Calendar'!$I$767&gt;=MIN(DATE(Summary!$C$12,1,1),Summary!$C$11))*('Dvd Calendar'!$I$767&lt;=MAX(DATE(Summary!$C$12,12,31),Summary!$C$15))*('Dvd Calendar'!$I$767&gt;Summary!$C$11)=0,"",'Dvd Calendar'!$I$767*1000000000+ISNUMBER('Dvd Calendar'!$I$768)*100000000+('Dvd Calendar'!$I$772='Field Check'!$C$25)*10000000+(N('Dvd Calendar'!$I$766)&gt;0)*1000000+51*1000+45))</f>
        <v/>
      </c>
      <c r="AV59" s="41">
        <f>IF(N('Dvd Calendar'!$J$767)=0,"",IF(('Dvd Calendar'!$J$767&gt;=MIN(DATE(Summary!$C$12,1,1),Summary!$C$11))*('Dvd Calendar'!$J$767&lt;=MAX(DATE(Summary!$C$12,12,31),Summary!$C$15))*('Dvd Calendar'!$J$767&gt;Summary!$C$11)=0,"",'Dvd Calendar'!$J$767*1000000000+ISNUMBER('Dvd Calendar'!$J$768)*100000000+('Dvd Calendar'!$J$772='Field Check'!$C$25)*10000000+(N('Dvd Calendar'!$J$766)&gt;0)*1000000+51*1000+46))</f>
        <v/>
      </c>
      <c r="AW59" s="41">
        <f>IF(N('Dvd Calendar'!$K$767)=0,"",IF(('Dvd Calendar'!$K$767&gt;=MIN(DATE(Summary!$C$12,1,1),Summary!$C$11))*('Dvd Calendar'!$K$767&lt;=MAX(DATE(Summary!$C$12,12,31),Summary!$C$15))*('Dvd Calendar'!$K$767&gt;Summary!$C$11)=0,"",'Dvd Calendar'!$K$767*1000000000+ISNUMBER('Dvd Calendar'!$K$768)*100000000+('Dvd Calendar'!$K$772='Field Check'!$C$25)*10000000+(N('Dvd Calendar'!$K$766)&gt;0)*1000000+51*1000+47))</f>
        <v/>
      </c>
      <c r="AX59" s="41">
        <f>IF(N('Dvd Calendar'!$L$767)=0,"",IF(('Dvd Calendar'!$L$767&gt;=MIN(DATE(Summary!$C$12,1,1),Summary!$C$11))*('Dvd Calendar'!$L$767&lt;=MAX(DATE(Summary!$C$12,12,31),Summary!$C$15))*('Dvd Calendar'!$L$767&gt;Summary!$C$11)=0,"",'Dvd Calendar'!$L$767*1000000000+ISNUMBER('Dvd Calendar'!$L$768)*100000000+('Dvd Calendar'!$L$772='Field Check'!$C$25)*10000000+(N('Dvd Calendar'!$L$766)&gt;0)*1000000+51*1000+48))</f>
        <v/>
      </c>
      <c r="AY59" s="41">
        <f>IF(N('Dvd Calendar'!$M$767)=0,"",IF(('Dvd Calendar'!$M$767&gt;=MIN(DATE(Summary!$C$12,1,1),Summary!$C$11))*('Dvd Calendar'!$M$767&lt;=MAX(DATE(Summary!$C$12,12,31),Summary!$C$15))*('Dvd Calendar'!$M$767&gt;Summary!$C$11)=0,"",'Dvd Calendar'!$M$767*1000000000+ISNUMBER('Dvd Calendar'!$M$768)*100000000+('Dvd Calendar'!$M$772='Field Check'!$C$25)*10000000+(N('Dvd Calendar'!$M$766)&gt;0)*1000000+51*1000+49))</f>
        <v/>
      </c>
      <c r="AZ59" s="41">
        <f>IF(N('Dvd Calendar'!$N$767)=0,"",IF(('Dvd Calendar'!$N$767&gt;=MIN(DATE(Summary!$C$12,1,1),Summary!$C$11))*('Dvd Calendar'!$N$767&lt;=MAX(DATE(Summary!$C$12,12,31),Summary!$C$15))*('Dvd Calendar'!$N$767&gt;Summary!$C$11)=0,"",'Dvd Calendar'!$N$767*1000000000+ISNUMBER('Dvd Calendar'!$N$768)*100000000+('Dvd Calendar'!$N$772='Field Check'!$C$25)*10000000+(N('Dvd Calendar'!$N$766)&gt;0)*1000000+51*1000+50))</f>
        <v/>
      </c>
      <c r="BA59" s="41">
        <f>IF(N('Dvd Calendar'!$O$767)=0,"",IF(('Dvd Calendar'!$O$767&gt;=MIN(DATE(Summary!$C$12,1,1),Summary!$C$11))*('Dvd Calendar'!$O$767&lt;=MAX(DATE(Summary!$C$12,12,31),Summary!$C$15))*('Dvd Calendar'!$O$767&gt;Summary!$C$11)=0,"",'Dvd Calendar'!$O$767*1000000000+ISNUMBER('Dvd Calendar'!$O$768)*100000000+('Dvd Calendar'!$O$772='Field Check'!$C$25)*10000000+(N('Dvd Calendar'!$O$766)&gt;0)*1000000+51*1000+51))</f>
        <v/>
      </c>
      <c r="BB59" s="41">
        <f>IF(N('Dvd Calendar'!$P$767)=0,"",IF(('Dvd Calendar'!$P$767&gt;=MIN(DATE(Summary!$C$12,1,1),Summary!$C$11))*('Dvd Calendar'!$P$767&lt;=MAX(DATE(Summary!$C$12,12,31),Summary!$C$15))*('Dvd Calendar'!$P$767&gt;Summary!$C$11)=0,"",'Dvd Calendar'!$P$767*1000000000+ISNUMBER('Dvd Calendar'!$P$768)*100000000+('Dvd Calendar'!$P$772='Field Check'!$C$25)*10000000+(N('Dvd Calendar'!$P$766)&gt;0)*1000000+51*1000+52))</f>
        <v/>
      </c>
      <c r="BC59" s="41">
        <f>IF(N('Dvd Calendar'!$Q$767)=0,"",IF(('Dvd Calendar'!$Q$767&gt;=MIN(DATE(Summary!$C$12,1,1),Summary!$C$11))*('Dvd Calendar'!$Q$767&lt;=MAX(DATE(Summary!$C$12,12,31),Summary!$C$15))*('Dvd Calendar'!$Q$767&gt;Summary!$C$11)=0,"",'Dvd Calendar'!$Q$767*1000000000+ISNUMBER('Dvd Calendar'!$Q$768)*100000000+('Dvd Calendar'!$Q$772='Field Check'!$C$25)*10000000+(N('Dvd Calendar'!$Q$766)&gt;0)*1000000+51*1000+53))</f>
        <v/>
      </c>
      <c r="BD59" s="41">
        <f>IF(N('Dvd Calendar'!$R$767)=0,"",IF(('Dvd Calendar'!$R$767&gt;=MIN(DATE(Summary!$C$12,1,1),Summary!$C$11))*('Dvd Calendar'!$R$767&lt;=MAX(DATE(Summary!$C$12,12,31),Summary!$C$15))*('Dvd Calendar'!$R$767&gt;Summary!$C$11)=0,"",'Dvd Calendar'!$R$767*1000000000+ISNUMBER('Dvd Calendar'!$R$768)*100000000+('Dvd Calendar'!$R$772='Field Check'!$C$25)*10000000+(N('Dvd Calendar'!$R$766)&gt;0)*1000000+51*1000+54))</f>
        <v/>
      </c>
      <c r="BE59" s="41">
        <f>IF(N('Dvd Calendar'!$S$767)=0,"",IF(('Dvd Calendar'!$S$767&gt;=MIN(DATE(Summary!$C$12,1,1),Summary!$C$11))*('Dvd Calendar'!$S$767&lt;=MAX(DATE(Summary!$C$12,12,31),Summary!$C$15))*('Dvd Calendar'!$S$767&gt;Summary!$C$11)=0,"",'Dvd Calendar'!$S$767*1000000000+ISNUMBER('Dvd Calendar'!$S$768)*100000000+('Dvd Calendar'!$S$772='Field Check'!$C$25)*10000000+(N('Dvd Calendar'!$S$766)&gt;0)*1000000+51*1000+55))</f>
        <v/>
      </c>
      <c r="BF59" s="41">
        <f>IF(N('Dvd Calendar'!$T$767)=0,"",IF(('Dvd Calendar'!$T$767&gt;=MIN(DATE(Summary!$C$12,1,1),Summary!$C$11))*('Dvd Calendar'!$T$767&lt;=MAX(DATE(Summary!$C$12,12,31),Summary!$C$15))*('Dvd Calendar'!$T$767&gt;Summary!$C$11)=0,"",'Dvd Calendar'!$T$767*1000000000+ISNUMBER('Dvd Calendar'!$T$768)*100000000+('Dvd Calendar'!$T$772='Field Check'!$C$25)*10000000+(N('Dvd Calendar'!$T$766)&gt;0)*1000000+51*1000+56))</f>
        <v/>
      </c>
      <c r="BG59" s="41">
        <f>IF(N('Dvd Calendar'!$U$767)=0,"",IF(('Dvd Calendar'!$U$767&gt;=MIN(DATE(Summary!$C$12,1,1),Summary!$C$11))*('Dvd Calendar'!$U$767&lt;=MAX(DATE(Summary!$C$12,12,31),Summary!$C$15))*('Dvd Calendar'!$U$767&gt;Summary!$C$11)=0,"",'Dvd Calendar'!$U$767*1000000000+ISNUMBER('Dvd Calendar'!$U$768)*100000000+('Dvd Calendar'!$U$772='Field Check'!$C$25)*10000000+(N('Dvd Calendar'!$U$766)&gt;0)*1000000+51*1000+57))</f>
        <v/>
      </c>
      <c r="BH59" s="41">
        <f>IF(N('Dvd Calendar'!$V$767)=0,"",IF(('Dvd Calendar'!$V$767&gt;=MIN(DATE(Summary!$C$12,1,1),Summary!$C$11))*('Dvd Calendar'!$V$767&lt;=MAX(DATE(Summary!$C$12,12,31),Summary!$C$15))*('Dvd Calendar'!$V$767&gt;Summary!$C$11)=0,"",'Dvd Calendar'!$V$767*1000000000+ISNUMBER('Dvd Calendar'!$V$768)*100000000+('Dvd Calendar'!$V$772='Field Check'!$C$25)*10000000+(N('Dvd Calendar'!$V$766)&gt;0)*1000000+51*1000+58))</f>
        <v/>
      </c>
      <c r="BI59" s="41">
        <f>IF(N('Dvd Calendar'!$W$767)=0,"",IF(('Dvd Calendar'!$W$767&gt;=MIN(DATE(Summary!$C$12,1,1),Summary!$C$11))*('Dvd Calendar'!$W$767&lt;=MAX(DATE(Summary!$C$12,12,31),Summary!$C$15))*('Dvd Calendar'!$W$767&gt;Summary!$C$11)=0,"",'Dvd Calendar'!$W$767*1000000000+ISNUMBER('Dvd Calendar'!$W$768)*100000000+('Dvd Calendar'!$W$772='Field Check'!$C$25)*10000000+(N('Dvd Calendar'!$W$766)&gt;0)*1000000+51*1000+59))</f>
        <v/>
      </c>
      <c r="BJ59" s="41">
        <f>IF(N('Dvd Calendar'!$X$767)=0,"",IF(('Dvd Calendar'!$X$767&gt;=MIN(DATE(Summary!$C$12,1,1),Summary!$C$11))*('Dvd Calendar'!$X$767&lt;=MAX(DATE(Summary!$C$12,12,31),Summary!$C$15))*('Dvd Calendar'!$X$767&gt;Summary!$C$11)=0,"",'Dvd Calendar'!$X$767*1000000000+ISNUMBER('Dvd Calendar'!$X$768)*100000000+('Dvd Calendar'!$X$772='Field Check'!$C$25)*10000000+(N('Dvd Calendar'!$X$766)&gt;0)*1000000+51*1000+60))</f>
        <v/>
      </c>
      <c r="BK59" s="41">
        <f>IF(N('Dvd Calendar'!$Y$767)=0,"",IF(('Dvd Calendar'!$Y$767&gt;=MIN(DATE(Summary!$C$12,1,1),Summary!$C$11))*('Dvd Calendar'!$Y$767&lt;=MAX(DATE(Summary!$C$12,12,31),Summary!$C$15))*('Dvd Calendar'!$Y$767&gt;Summary!$C$11)=0,"",'Dvd Calendar'!$Y$767*1000000000+ISNUMBER('Dvd Calendar'!$Y$768)*100000000+('Dvd Calendar'!$Y$772='Field Check'!$C$25)*10000000+(N('Dvd Calendar'!$Y$766)&gt;0)*1000000+51*1000+61))</f>
        <v/>
      </c>
      <c r="BL59" s="41">
        <f>IF(N('Dvd Calendar'!$Z$767)=0,"",IF(('Dvd Calendar'!$Z$767&gt;=MIN(DATE(Summary!$C$12,1,1),Summary!$C$11))*('Dvd Calendar'!$Z$767&lt;=MAX(DATE(Summary!$C$12,12,31),Summary!$C$15))*('Dvd Calendar'!$Z$767&gt;Summary!$C$11)=0,"",'Dvd Calendar'!$Z$767*1000000000+ISNUMBER('Dvd Calendar'!$Z$768)*100000000+('Dvd Calendar'!$Z$772='Field Check'!$C$25)*10000000+(N('Dvd Calendar'!$Z$766)&gt;0)*1000000+51*1000+62))</f>
        <v/>
      </c>
      <c r="BM59" s="41">
        <f>IF(N('Dvd Calendar'!$AA$767)=0,"",IF(('Dvd Calendar'!$AA$767&gt;=MIN(DATE(Summary!$C$12,1,1),Summary!$C$11))*('Dvd Calendar'!$AA$767&lt;=MAX(DATE(Summary!$C$12,12,31),Summary!$C$15))*('Dvd Calendar'!$AA$767&gt;Summary!$C$11)=0,"",'Dvd Calendar'!$AA$767*1000000000+ISNUMBER('Dvd Calendar'!$AA$768)*100000000+('Dvd Calendar'!$AA$772='Field Check'!$C$25)*10000000+(N('Dvd Calendar'!$AA$766)&gt;0)*1000000+51*1000+63))</f>
        <v/>
      </c>
      <c r="BN59" s="41">
        <f>IF(N('Dvd Calendar'!$AB$767)=0,"",IF(('Dvd Calendar'!$AB$767&gt;=MIN(DATE(Summary!$C$12,1,1),Summary!$C$11))*('Dvd Calendar'!$AB$767&lt;=MAX(DATE(Summary!$C$12,12,31),Summary!$C$15))*('Dvd Calendar'!$AB$767&gt;Summary!$C$11)=0,"",'Dvd Calendar'!$AB$767*1000000000+ISNUMBER('Dvd Calendar'!$AB$768)*100000000+('Dvd Calendar'!$AB$772='Field Check'!$C$25)*10000000+(N('Dvd Calendar'!$AB$766)&gt;0)*1000000+51*1000+64))</f>
        <v/>
      </c>
      <c r="BO59" s="41">
        <f>IF(N('Dvd Calendar'!$AC$767)=0,"",IF(('Dvd Calendar'!$AC$767&gt;=MIN(DATE(Summary!$C$12,1,1),Summary!$C$11))*('Dvd Calendar'!$AC$767&lt;=MAX(DATE(Summary!$C$12,12,31),Summary!$C$15))*('Dvd Calendar'!$AC$767&gt;Summary!$C$11)=0,"",'Dvd Calendar'!$AC$767*1000000000+ISNUMBER('Dvd Calendar'!$AC$768)*100000000+('Dvd Calendar'!$AC$772='Field Check'!$C$25)*10000000+(N('Dvd Calendar'!$AC$766)&gt;0)*1000000+51*1000+65))</f>
        <v/>
      </c>
      <c r="BQ59" s="85">
        <f>IF(C59="","",IF(ISNUMBER('Dvd Calendar'!$E$761)=FALSE,"",IF((Summary!$C$13="N")*('Dvd Calendar'!$E$765='Field Check'!$C$25)&gt;0,"",'Dvd Calendar'!$E$761)))</f>
        <v/>
      </c>
      <c r="BR59" s="85">
        <f>IF(D59="","",IF(ISNUMBER('Dvd Calendar'!$F$761)=FALSE,"",IF((Summary!$C$13="N")*('Dvd Calendar'!$F$765='Field Check'!$C$25)&gt;0,"",'Dvd Calendar'!$F$761)))</f>
        <v/>
      </c>
      <c r="BS59" s="85">
        <f>IF(E59="","",IF(ISNUMBER('Dvd Calendar'!$G$761)=FALSE,"",IF((Summary!$C$13="N")*('Dvd Calendar'!$G$765='Field Check'!$C$25)&gt;0,"",'Dvd Calendar'!$G$761)))</f>
        <v/>
      </c>
      <c r="BT59" s="85">
        <f>IF(F59="","",IF(ISNUMBER('Dvd Calendar'!$H$761)=FALSE,"",IF((Summary!$C$13="N")*('Dvd Calendar'!$H$765='Field Check'!$C$25)&gt;0,"",'Dvd Calendar'!$H$761)))</f>
        <v/>
      </c>
      <c r="BU59" s="85">
        <f>IF(G59="","",IF(ISNUMBER('Dvd Calendar'!$I$761)=FALSE,"",IF((Summary!$C$13="N")*('Dvd Calendar'!$I$765='Field Check'!$C$25)&gt;0,"",'Dvd Calendar'!$I$761)))</f>
        <v/>
      </c>
      <c r="BV59" s="85">
        <f>IF(H59="","",IF(ISNUMBER('Dvd Calendar'!$J$761)=FALSE,"",IF((Summary!$C$13="N")*('Dvd Calendar'!$J$765='Field Check'!$C$25)&gt;0,"",'Dvd Calendar'!$J$761)))</f>
        <v/>
      </c>
      <c r="BW59" s="85">
        <f>IF(I59="","",IF(ISNUMBER('Dvd Calendar'!$K$761)=FALSE,"",IF((Summary!$C$13="N")*('Dvd Calendar'!$K$765='Field Check'!$C$25)&gt;0,"",'Dvd Calendar'!$K$761)))</f>
        <v/>
      </c>
      <c r="BX59" s="85">
        <f>IF(J59="","",IF(ISNUMBER('Dvd Calendar'!$L$761)=FALSE,"",IF((Summary!$C$13="N")*('Dvd Calendar'!$L$765='Field Check'!$C$25)&gt;0,"",'Dvd Calendar'!$L$761)))</f>
        <v/>
      </c>
      <c r="BY59" s="85">
        <f>IF(K59="","",IF(ISNUMBER('Dvd Calendar'!$M$761)=FALSE,"",IF((Summary!$C$13="N")*('Dvd Calendar'!$M$765='Field Check'!$C$25)&gt;0,"",'Dvd Calendar'!$M$761)))</f>
        <v/>
      </c>
      <c r="BZ59" s="85">
        <f>IF(L59="","",IF(ISNUMBER('Dvd Calendar'!$N$761)=FALSE,"",IF((Summary!$C$13="N")*('Dvd Calendar'!$N$765='Field Check'!$C$25)&gt;0,"",'Dvd Calendar'!$N$761)))</f>
        <v/>
      </c>
      <c r="CA59" s="85">
        <f>IF(M59="","",IF(ISNUMBER('Dvd Calendar'!$O$761)=FALSE,"",IF((Summary!$C$13="N")*('Dvd Calendar'!$O$765='Field Check'!$C$25)&gt;0,"",'Dvd Calendar'!$O$761)))</f>
        <v/>
      </c>
      <c r="CB59" s="85">
        <f>IF(N59="","",IF(ISNUMBER('Dvd Calendar'!$P$761)=FALSE,"",IF((Summary!$C$13="N")*('Dvd Calendar'!$P$765='Field Check'!$C$25)&gt;0,"",'Dvd Calendar'!$P$761)))</f>
        <v/>
      </c>
      <c r="CC59" s="85">
        <f>IF(O59="","",IF(ISNUMBER('Dvd Calendar'!$Q$761)=FALSE,"",IF((Summary!$C$13="N")*('Dvd Calendar'!$Q$765='Field Check'!$C$25)&gt;0,"",'Dvd Calendar'!$Q$761)))</f>
        <v/>
      </c>
      <c r="CD59" s="85">
        <f>IF(P59="","",IF(ISNUMBER('Dvd Calendar'!$R$761)=FALSE,"",IF((Summary!$C$13="N")*('Dvd Calendar'!$R$765='Field Check'!$C$25)&gt;0,"",'Dvd Calendar'!$R$761)))</f>
        <v/>
      </c>
      <c r="CE59" s="85">
        <f>IF(Q59="","",IF(ISNUMBER('Dvd Calendar'!$S$761)=FALSE,"",IF((Summary!$C$13="N")*('Dvd Calendar'!$S$765='Field Check'!$C$25)&gt;0,"",'Dvd Calendar'!$S$761)))</f>
        <v/>
      </c>
      <c r="CF59" s="85">
        <f>IF(R59="","",IF(ISNUMBER('Dvd Calendar'!$T$761)=FALSE,"",IF((Summary!$C$13="N")*('Dvd Calendar'!$T$765='Field Check'!$C$25)&gt;0,"",'Dvd Calendar'!$T$761)))</f>
        <v/>
      </c>
      <c r="CG59" s="85">
        <f>IF(S59="","",IF(ISNUMBER('Dvd Calendar'!$U$761)=FALSE,"",IF((Summary!$C$13="N")*('Dvd Calendar'!$U$765='Field Check'!$C$25)&gt;0,"",'Dvd Calendar'!$U$761)))</f>
        <v/>
      </c>
      <c r="CH59" s="85">
        <f>IF(T59="","",IF(ISNUMBER('Dvd Calendar'!$V$761)=FALSE,"",IF((Summary!$C$13="N")*('Dvd Calendar'!$V$765='Field Check'!$C$25)&gt;0,"",'Dvd Calendar'!$V$761)))</f>
        <v/>
      </c>
      <c r="CI59" s="85">
        <f>IF(U59="","",IF(ISNUMBER('Dvd Calendar'!$W$761)=FALSE,"",IF((Summary!$C$13="N")*('Dvd Calendar'!$W$765='Field Check'!$C$25)&gt;0,"",'Dvd Calendar'!$W$761)))</f>
        <v/>
      </c>
      <c r="CJ59" s="85">
        <f>IF(V59="","",IF(ISNUMBER('Dvd Calendar'!$X$761)=FALSE,"",IF((Summary!$C$13="N")*('Dvd Calendar'!$X$765='Field Check'!$C$25)&gt;0,"",'Dvd Calendar'!$X$761)))</f>
        <v/>
      </c>
      <c r="CK59" s="85">
        <f>IF(W59="","",IF(ISNUMBER('Dvd Calendar'!$Y$761)=FALSE,"",IF((Summary!$C$13="N")*('Dvd Calendar'!$Y$765='Field Check'!$C$25)&gt;0,"",'Dvd Calendar'!$Y$761)))</f>
        <v/>
      </c>
      <c r="CL59" s="85">
        <f>IF(X59="","",IF(ISNUMBER('Dvd Calendar'!$Z$761)=FALSE,"",IF((Summary!$C$13="N")*('Dvd Calendar'!$Z$765='Field Check'!$C$25)&gt;0,"",'Dvd Calendar'!$Z$761)))</f>
        <v/>
      </c>
      <c r="CM59" s="85">
        <f>IF(Y59="","",IF(ISNUMBER('Dvd Calendar'!$AA$761)=FALSE,"",IF((Summary!$C$13="N")*('Dvd Calendar'!$AA$765='Field Check'!$C$25)&gt;0,"",'Dvd Calendar'!$AA$761)))</f>
        <v/>
      </c>
      <c r="CN59" s="85">
        <f>IF(Z59="","",IF(ISNUMBER('Dvd Calendar'!$AB$761)=FALSE,"",IF((Summary!$C$13="N")*('Dvd Calendar'!$AB$765='Field Check'!$C$25)&gt;0,"",'Dvd Calendar'!$AB$761)))</f>
        <v/>
      </c>
      <c r="CO59" s="85">
        <f>IF(AA59="","",IF(ISNUMBER('Dvd Calendar'!$AC$761)=FALSE,"",IF((Summary!$C$13="N")*('Dvd Calendar'!$AC$765='Field Check'!$C$25)&gt;0,"",'Dvd Calendar'!$AC$761)))</f>
        <v/>
      </c>
      <c r="CP59" s="85">
        <f>IF(AB59="","",IF(ISNUMBER('Dvd Calendar'!$AD$761)=FALSE,"",IF((Summary!$C$13="N")*('Dvd Calendar'!$AD$765='Field Check'!$C$25)&gt;0,"",'Dvd Calendar'!$AD$761)))</f>
        <v/>
      </c>
      <c r="CQ59" s="85">
        <f>IF(AC59="","",IF(ISNUMBER('Dvd Calendar'!$AE$761)=FALSE,"",IF((Summary!$C$13="N")*('Dvd Calendar'!$AE$765='Field Check'!$C$25)&gt;0,"",'Dvd Calendar'!$AE$761)))</f>
        <v/>
      </c>
      <c r="CR59" s="85">
        <f>IF(AD59="","",IF(ISNUMBER('Dvd Calendar'!$AF$761)=FALSE,"",IF((Summary!$C$13="N")*('Dvd Calendar'!$AF$765='Field Check'!$C$25)&gt;0,"",'Dvd Calendar'!$AF$761)))</f>
        <v/>
      </c>
      <c r="CS59" s="85">
        <f>IF(AE59="","",IF(ISNUMBER('Dvd Calendar'!$AG$761)=FALSE,"",IF((Summary!$C$13="N")*('Dvd Calendar'!$AG$765='Field Check'!$C$25)&gt;0,"",'Dvd Calendar'!$AG$761)))</f>
        <v/>
      </c>
      <c r="CT59" s="85">
        <f>IF(AF59="","",IF(ISNUMBER('Dvd Calendar'!$AH$761)=FALSE,"",IF((Summary!$C$13="N")*('Dvd Calendar'!$AH$765='Field Check'!$C$25)&gt;0,"",'Dvd Calendar'!$AH$761)))</f>
        <v/>
      </c>
      <c r="CU59" s="85">
        <f>IF(AG59="","",IF(ISNUMBER('Dvd Calendar'!$AI$761)=FALSE,"",IF((Summary!$C$13="N")*('Dvd Calendar'!$AI$765='Field Check'!$C$25)&gt;0,"",'Dvd Calendar'!$AI$761)))</f>
        <v/>
      </c>
      <c r="CV59" s="85">
        <f>IF(AH59="","",IF(ISNUMBER('Dvd Calendar'!$AJ$761)=FALSE,"",IF((Summary!$C$13="N")*('Dvd Calendar'!$AJ$765='Field Check'!$C$25)&gt;0,"",'Dvd Calendar'!$AJ$761)))</f>
        <v/>
      </c>
      <c r="CW59" s="85">
        <f>IF(AI59="","",IF(ISNUMBER('Dvd Calendar'!$AK$761)=FALSE,"",IF((Summary!$C$13="N")*('Dvd Calendar'!$AK$765='Field Check'!$C$25)&gt;0,"",'Dvd Calendar'!$AK$761)))</f>
        <v/>
      </c>
      <c r="CX59" s="85">
        <f>IF(AJ59="","",IF(ISNUMBER('Dvd Calendar'!$AL$761)=FALSE,"",IF((Summary!$C$13="N")*('Dvd Calendar'!$AL$765='Field Check'!$C$25)&gt;0,"",'Dvd Calendar'!$AL$761)))</f>
        <v/>
      </c>
      <c r="CY59" s="85">
        <f>IF(AK59="","",IF(ISNUMBER('Dvd Calendar'!$AM$761)=FALSE,"",IF((Summary!$C$13="N")*('Dvd Calendar'!$AM$765='Field Check'!$C$25)&gt;0,"",'Dvd Calendar'!$AM$761)))</f>
        <v/>
      </c>
      <c r="CZ59" s="85">
        <f>IF(AL59="","",IF(ISNUMBER('Dvd Calendar'!$AN$761)=FALSE,"",IF((Summary!$C$13="N")*('Dvd Calendar'!$AN$765='Field Check'!$C$25)&gt;0,"",'Dvd Calendar'!$AN$761)))</f>
        <v/>
      </c>
      <c r="DA59" s="85">
        <f>IF(AM59="","",IF(ISNUMBER('Dvd Calendar'!$AO$761)=FALSE,"",IF((Summary!$C$13="N")*('Dvd Calendar'!$AO$765='Field Check'!$C$25)&gt;0,"",'Dvd Calendar'!$AO$761)))</f>
        <v/>
      </c>
      <c r="DB59" s="85">
        <f>IF(AN59="","",IF(ISNUMBER('Dvd Calendar'!$AP$761)=FALSE,"",IF((Summary!$C$13="N")*('Dvd Calendar'!$AP$765='Field Check'!$C$25)&gt;0,"",'Dvd Calendar'!$AP$761)))</f>
        <v/>
      </c>
      <c r="DC59" s="85">
        <f>IF(AO59="","",IF(ISNUMBER('Dvd Calendar'!$AQ$761)=FALSE,"",IF((Summary!$C$13="N")*('Dvd Calendar'!$AQ$765='Field Check'!$C$25)&gt;0,"",'Dvd Calendar'!$AQ$761)))</f>
        <v/>
      </c>
      <c r="DD59" s="85">
        <f>IF(AP59="","",IF(ISNUMBER('Dvd Calendar'!$AR$761)=FALSE,"",IF((Summary!$C$13="N")*('Dvd Calendar'!$AR$765='Field Check'!$C$25)&gt;0,"",'Dvd Calendar'!$AR$761)))</f>
        <v/>
      </c>
      <c r="DE59" s="85">
        <f>IF(AQ59="","",IF(ISNUMBER('Dvd Calendar'!$E$768)=FALSE,"",IF((Summary!$C$13="N")*('Dvd Calendar'!$E$772='Field Check'!$C$25)&gt;0,"",'Dvd Calendar'!$E$768)))</f>
        <v/>
      </c>
      <c r="DF59" s="85">
        <f>IF(AR59="","",IF(ISNUMBER('Dvd Calendar'!$F$768)=FALSE,"",IF((Summary!$C$13="N")*('Dvd Calendar'!$F$772='Field Check'!$C$25)&gt;0,"",'Dvd Calendar'!$F$768)))</f>
        <v/>
      </c>
      <c r="DG59" s="85">
        <f>IF(AS59="","",IF(ISNUMBER('Dvd Calendar'!$G$768)=FALSE,"",IF((Summary!$C$13="N")*('Dvd Calendar'!$G$772='Field Check'!$C$25)&gt;0,"",'Dvd Calendar'!$G$768)))</f>
        <v/>
      </c>
      <c r="DH59" s="85">
        <f>IF(AT59="","",IF(ISNUMBER('Dvd Calendar'!$H$768)=FALSE,"",IF((Summary!$C$13="N")*('Dvd Calendar'!$H$772='Field Check'!$C$25)&gt;0,"",'Dvd Calendar'!$H$768)))</f>
        <v/>
      </c>
      <c r="DI59" s="85">
        <f>IF(AU59="","",IF(ISNUMBER('Dvd Calendar'!$I$768)=FALSE,"",IF((Summary!$C$13="N")*('Dvd Calendar'!$I$772='Field Check'!$C$25)&gt;0,"",'Dvd Calendar'!$I$768)))</f>
        <v/>
      </c>
      <c r="DJ59" s="85">
        <f>IF(AV59="","",IF(ISNUMBER('Dvd Calendar'!$J$768)=FALSE,"",IF((Summary!$C$13="N")*('Dvd Calendar'!$J$772='Field Check'!$C$25)&gt;0,"",'Dvd Calendar'!$J$768)))</f>
        <v/>
      </c>
      <c r="DK59" s="85">
        <f>IF(AW59="","",IF(ISNUMBER('Dvd Calendar'!$K$768)=FALSE,"",IF((Summary!$C$13="N")*('Dvd Calendar'!$K$772='Field Check'!$C$25)&gt;0,"",'Dvd Calendar'!$K$768)))</f>
        <v/>
      </c>
      <c r="DL59" s="85">
        <f>IF(AX59="","",IF(ISNUMBER('Dvd Calendar'!$L$768)=FALSE,"",IF((Summary!$C$13="N")*('Dvd Calendar'!$L$772='Field Check'!$C$25)&gt;0,"",'Dvd Calendar'!$L$768)))</f>
        <v/>
      </c>
      <c r="DM59" s="85">
        <f>IF(AY59="","",IF(ISNUMBER('Dvd Calendar'!$M$768)=FALSE,"",IF((Summary!$C$13="N")*('Dvd Calendar'!$M$772='Field Check'!$C$25)&gt;0,"",'Dvd Calendar'!$M$768)))</f>
        <v/>
      </c>
      <c r="DN59" s="85">
        <f>IF(AZ59="","",IF(ISNUMBER('Dvd Calendar'!$N$768)=FALSE,"",IF((Summary!$C$13="N")*('Dvd Calendar'!$N$772='Field Check'!$C$25)&gt;0,"",'Dvd Calendar'!$N$768)))</f>
        <v/>
      </c>
      <c r="DO59" s="85">
        <f>IF(BA59="","",IF(ISNUMBER('Dvd Calendar'!$O$768)=FALSE,"",IF((Summary!$C$13="N")*('Dvd Calendar'!$O$772='Field Check'!$C$25)&gt;0,"",'Dvd Calendar'!$O$768)))</f>
        <v/>
      </c>
      <c r="DP59" s="85">
        <f>IF(BB59="","",IF(ISNUMBER('Dvd Calendar'!$P$768)=FALSE,"",IF((Summary!$C$13="N")*('Dvd Calendar'!$P$772='Field Check'!$C$25)&gt;0,"",'Dvd Calendar'!$P$768)))</f>
        <v/>
      </c>
      <c r="DQ59" s="85">
        <f>IF(BC59="","",IF(ISNUMBER('Dvd Calendar'!$Q$768)=FALSE,"",IF((Summary!$C$13="N")*('Dvd Calendar'!$Q$772='Field Check'!$C$25)&gt;0,"",'Dvd Calendar'!$Q$768)))</f>
        <v/>
      </c>
      <c r="DR59" s="85">
        <f>IF(BD59="","",IF(ISNUMBER('Dvd Calendar'!$R$768)=FALSE,"",IF((Summary!$C$13="N")*('Dvd Calendar'!$R$772='Field Check'!$C$25)&gt;0,"",'Dvd Calendar'!$R$768)))</f>
        <v/>
      </c>
      <c r="DS59" s="85">
        <f>IF(BE59="","",IF(ISNUMBER('Dvd Calendar'!$S$768)=FALSE,"",IF((Summary!$C$13="N")*('Dvd Calendar'!$S$772='Field Check'!$C$25)&gt;0,"",'Dvd Calendar'!$S$768)))</f>
        <v/>
      </c>
      <c r="DT59" s="85">
        <f>IF(BF59="","",IF(ISNUMBER('Dvd Calendar'!$T$768)=FALSE,"",IF((Summary!$C$13="N")*('Dvd Calendar'!$T$772='Field Check'!$C$25)&gt;0,"",'Dvd Calendar'!$T$768)))</f>
        <v/>
      </c>
      <c r="DU59" s="85">
        <f>IF(BG59="","",IF(ISNUMBER('Dvd Calendar'!$U$768)=FALSE,"",IF((Summary!$C$13="N")*('Dvd Calendar'!$U$772='Field Check'!$C$25)&gt;0,"",'Dvd Calendar'!$U$768)))</f>
        <v/>
      </c>
      <c r="DV59" s="85">
        <f>IF(BH59="","",IF(ISNUMBER('Dvd Calendar'!$V$768)=FALSE,"",IF((Summary!$C$13="N")*('Dvd Calendar'!$V$772='Field Check'!$C$25)&gt;0,"",'Dvd Calendar'!$V$768)))</f>
        <v/>
      </c>
      <c r="DW59" s="85">
        <f>IF(BI59="","",IF(ISNUMBER('Dvd Calendar'!$W$768)=FALSE,"",IF((Summary!$C$13="N")*('Dvd Calendar'!$W$772='Field Check'!$C$25)&gt;0,"",'Dvd Calendar'!$W$768)))</f>
        <v/>
      </c>
      <c r="DX59" s="85">
        <f>IF(BJ59="","",IF(ISNUMBER('Dvd Calendar'!$X$768)=FALSE,"",IF((Summary!$C$13="N")*('Dvd Calendar'!$X$772='Field Check'!$C$25)&gt;0,"",'Dvd Calendar'!$X$768)))</f>
        <v/>
      </c>
      <c r="DY59" s="85">
        <f>IF(BK59="","",IF(ISNUMBER('Dvd Calendar'!$Y$768)=FALSE,"",IF((Summary!$C$13="N")*('Dvd Calendar'!$Y$772='Field Check'!$C$25)&gt;0,"",'Dvd Calendar'!$Y$768)))</f>
        <v/>
      </c>
      <c r="DZ59" s="85">
        <f>IF(BL59="","",IF(ISNUMBER('Dvd Calendar'!$Z$768)=FALSE,"",IF((Summary!$C$13="N")*('Dvd Calendar'!$Z$772='Field Check'!$C$25)&gt;0,"",'Dvd Calendar'!$Z$768)))</f>
        <v/>
      </c>
      <c r="EA59" s="85">
        <f>IF(BM59="","",IF(ISNUMBER('Dvd Calendar'!$AA$768)=FALSE,"",IF((Summary!$C$13="N")*('Dvd Calendar'!$AA$772='Field Check'!$C$25)&gt;0,"",'Dvd Calendar'!$AA$768)))</f>
        <v/>
      </c>
      <c r="EB59" s="85">
        <f>IF(BN59="","",IF(ISNUMBER('Dvd Calendar'!$AB$768)=FALSE,"",IF((Summary!$C$13="N")*('Dvd Calendar'!$AB$772='Field Check'!$C$25)&gt;0,"",'Dvd Calendar'!$AB$768)))</f>
        <v/>
      </c>
      <c r="EC59" s="85">
        <f>IF(BO59="","",IF(ISNUMBER('Dvd Calendar'!$AC$768)=FALSE,"",IF((Summary!$C$13="N")*('Dvd Calendar'!$AC$772='Field Check'!$C$25)&gt;0,"",'Dvd Calendar'!$AC$768)))</f>
        <v/>
      </c>
      <c r="EE59" s="85">
        <f>IF(BQ59="","",IFERROR(BQ59*HSI!$B$57*HSI!$G$57/HSI!$B$3,""))</f>
        <v/>
      </c>
      <c r="EF59" s="85">
        <f>IF(BR59="","",IFERROR(BR59*HSI!$B$57*HSI!$G$57/HSI!$B$3,""))</f>
        <v/>
      </c>
      <c r="EG59" s="85">
        <f>IF(BS59="","",IFERROR(BS59*HSI!$B$57*HSI!$G$57/HSI!$B$3,""))</f>
        <v/>
      </c>
      <c r="EH59" s="85">
        <f>IF(BT59="","",IFERROR(BT59*HSI!$B$57*HSI!$G$57/HSI!$B$3,""))</f>
        <v/>
      </c>
      <c r="EI59" s="85">
        <f>IF(BU59="","",IFERROR(BU59*HSI!$B$57*HSI!$G$57/HSI!$B$3,""))</f>
        <v/>
      </c>
      <c r="EJ59" s="85">
        <f>IF(BV59="","",IFERROR(BV59*HSI!$B$57*HSI!$G$57/HSI!$B$3,""))</f>
        <v/>
      </c>
      <c r="EK59" s="85">
        <f>IF(BW59="","",IFERROR(BW59*HSI!$B$57*HSI!$G$57/HSI!$B$3,""))</f>
        <v/>
      </c>
      <c r="EL59" s="85">
        <f>IF(BX59="","",IFERROR(BX59*HSI!$B$57*HSI!$G$57/HSI!$B$3,""))</f>
        <v/>
      </c>
      <c r="EM59" s="85">
        <f>IF(BY59="","",IFERROR(BY59*HSI!$B$57*HSI!$G$57/HSI!$B$3,""))</f>
        <v/>
      </c>
      <c r="EN59" s="85">
        <f>IF(BZ59="","",IFERROR(BZ59*HSI!$B$57*HSI!$G$57/HSI!$B$3,""))</f>
        <v/>
      </c>
      <c r="EO59" s="85">
        <f>IF(CA59="","",IFERROR(CA59*HSI!$B$57*HSI!$G$57/HSI!$B$3,""))</f>
        <v/>
      </c>
      <c r="EP59" s="85">
        <f>IF(CB59="","",IFERROR(CB59*HSI!$B$57*HSI!$G$57/HSI!$B$3,""))</f>
        <v/>
      </c>
      <c r="EQ59" s="85">
        <f>IF(CC59="","",IFERROR(CC59*HSI!$B$57*HSI!$G$57/HSI!$B$3,""))</f>
        <v/>
      </c>
      <c r="ER59" s="85">
        <f>IF(CD59="","",IFERROR(CD59*HSI!$B$57*HSI!$G$57/HSI!$B$3,""))</f>
        <v/>
      </c>
      <c r="ES59" s="85">
        <f>IF(CE59="","",IFERROR(CE59*HSI!$B$57*HSI!$G$57/HSI!$B$3,""))</f>
        <v/>
      </c>
      <c r="ET59" s="85">
        <f>IF(CF59="","",IFERROR(CF59*HSI!$B$57*HSI!$G$57/HSI!$B$3,""))</f>
        <v/>
      </c>
      <c r="EU59" s="85">
        <f>IF(CG59="","",IFERROR(CG59*HSI!$B$57*HSI!$G$57/HSI!$B$3,""))</f>
        <v/>
      </c>
      <c r="EV59" s="85">
        <f>IF(CH59="","",IFERROR(CH59*HSI!$B$57*HSI!$G$57/HSI!$B$3,""))</f>
        <v/>
      </c>
      <c r="EW59" s="85">
        <f>IF(CI59="","",IFERROR(CI59*HSI!$B$57*HSI!$G$57/HSI!$B$3,""))</f>
        <v/>
      </c>
      <c r="EX59" s="85">
        <f>IF(CJ59="","",IFERROR(CJ59*HSI!$B$57*HSI!$G$57/HSI!$B$3,""))</f>
        <v/>
      </c>
      <c r="EY59" s="85">
        <f>IF(CK59="","",IFERROR(CK59*HSI!$B$57*HSI!$G$57/HSI!$B$3,""))</f>
        <v/>
      </c>
      <c r="EZ59" s="85">
        <f>IF(CL59="","",IFERROR(CL59*HSI!$B$57*HSI!$G$57/HSI!$B$3,""))</f>
        <v/>
      </c>
      <c r="FA59" s="85">
        <f>IF(CM59="","",IFERROR(CM59*HSI!$B$57*HSI!$G$57/HSI!$B$3,""))</f>
        <v/>
      </c>
      <c r="FB59" s="85">
        <f>IF(CN59="","",IFERROR(CN59*HSI!$B$57*HSI!$G$57/HSI!$B$3,""))</f>
        <v/>
      </c>
      <c r="FC59" s="85">
        <f>IF(CO59="","",IFERROR(CO59*HSI!$B$57*HSI!$G$57/HSI!$B$3,""))</f>
        <v/>
      </c>
      <c r="FD59" s="85">
        <f>IF(CP59="","",IFERROR(CP59*HSI!$B$57*HSI!$G$57/HSI!$B$3,""))</f>
        <v/>
      </c>
      <c r="FE59" s="85">
        <f>IF(CQ59="","",IFERROR(CQ59*HSI!$B$57*HSI!$G$57/HSI!$B$3,""))</f>
        <v/>
      </c>
      <c r="FF59" s="85">
        <f>IF(CR59="","",IFERROR(CR59*HSI!$B$57*HSI!$G$57/HSI!$B$3,""))</f>
        <v/>
      </c>
      <c r="FG59" s="85">
        <f>IF(CS59="","",IFERROR(CS59*HSI!$B$57*HSI!$G$57/HSI!$B$3,""))</f>
        <v/>
      </c>
      <c r="FH59" s="85">
        <f>IF(CT59="","",IFERROR(CT59*HSI!$B$57*HSI!$G$57/HSI!$B$3,""))</f>
        <v/>
      </c>
      <c r="FI59" s="85">
        <f>IF(CU59="","",IFERROR(CU59*HSI!$B$57*HSI!$G$57/HSI!$B$3,""))</f>
        <v/>
      </c>
      <c r="FJ59" s="85">
        <f>IF(CV59="","",IFERROR(CV59*HSI!$B$57*HSI!$G$57/HSI!$B$3,""))</f>
        <v/>
      </c>
      <c r="FK59" s="85">
        <f>IF(CW59="","",IFERROR(CW59*HSI!$B$57*HSI!$G$57/HSI!$B$3,""))</f>
        <v/>
      </c>
      <c r="FL59" s="85">
        <f>IF(CX59="","",IFERROR(CX59*HSI!$B$57*HSI!$G$57/HSI!$B$3,""))</f>
        <v/>
      </c>
      <c r="FM59" s="85">
        <f>IF(CY59="","",IFERROR(CY59*HSI!$B$57*HSI!$G$57/HSI!$B$3,""))</f>
        <v/>
      </c>
      <c r="FN59" s="85">
        <f>IF(CZ59="","",IFERROR(CZ59*HSI!$B$57*HSI!$G$57/HSI!$B$3,""))</f>
        <v/>
      </c>
      <c r="FO59" s="85">
        <f>IF(DA59="","",IFERROR(DA59*HSI!$B$57*HSI!$G$57/HSI!$B$3,""))</f>
        <v/>
      </c>
      <c r="FP59" s="85">
        <f>IF(DB59="","",IFERROR(DB59*HSI!$B$57*HSI!$G$57/HSI!$B$3,""))</f>
        <v/>
      </c>
      <c r="FQ59" s="85">
        <f>IF(DC59="","",IFERROR(DC59*HSI!$B$57*HSI!$G$57/HSI!$B$3,""))</f>
        <v/>
      </c>
      <c r="FR59" s="85">
        <f>IF(DD59="","",IFERROR(DD59*HSI!$B$57*HSI!$G$57/HSI!$B$3,""))</f>
        <v/>
      </c>
      <c r="FS59" s="85">
        <f>IF(DE59="","",IFERROR(DE59*HSI!$B$57*HSI!$G$57/HSI!$B$3,""))</f>
        <v/>
      </c>
      <c r="FT59" s="85">
        <f>IF(DF59="","",IFERROR(DF59*HSI!$B$57*HSI!$G$57/HSI!$B$3,""))</f>
        <v/>
      </c>
      <c r="FU59" s="85">
        <f>IF(DG59="","",IFERROR(DG59*HSI!$B$57*HSI!$G$57/HSI!$B$3,""))</f>
        <v/>
      </c>
      <c r="FV59" s="85">
        <f>IF(DH59="","",IFERROR(DH59*HSI!$B$57*HSI!$G$57/HSI!$B$3,""))</f>
        <v/>
      </c>
      <c r="FW59" s="85">
        <f>IF(DI59="","",IFERROR(DI59*HSI!$B$57*HSI!$G$57/HSI!$B$3,""))</f>
        <v/>
      </c>
      <c r="FX59" s="85">
        <f>IF(DJ59="","",IFERROR(DJ59*HSI!$B$57*HSI!$G$57/HSI!$B$3,""))</f>
        <v/>
      </c>
      <c r="FY59" s="85">
        <f>IF(DK59="","",IFERROR(DK59*HSI!$B$57*HSI!$G$57/HSI!$B$3,""))</f>
        <v/>
      </c>
      <c r="FZ59" s="85">
        <f>IF(DL59="","",IFERROR(DL59*HSI!$B$57*HSI!$G$57/HSI!$B$3,""))</f>
        <v/>
      </c>
      <c r="GA59" s="85">
        <f>IF(DM59="","",IFERROR(DM59*HSI!$B$57*HSI!$G$57/HSI!$B$3,""))</f>
        <v/>
      </c>
      <c r="GB59" s="85">
        <f>IF(DN59="","",IFERROR(DN59*HSI!$B$57*HSI!$G$57/HSI!$B$3,""))</f>
        <v/>
      </c>
      <c r="GC59" s="85">
        <f>IF(DO59="","",IFERROR(DO59*HSI!$B$57*HSI!$G$57/HSI!$B$3,""))</f>
        <v/>
      </c>
      <c r="GD59" s="85">
        <f>IF(DP59="","",IFERROR(DP59*HSI!$B$57*HSI!$G$57/HSI!$B$3,""))</f>
        <v/>
      </c>
      <c r="GE59" s="85">
        <f>IF(DQ59="","",IFERROR(DQ59*HSI!$B$57*HSI!$G$57/HSI!$B$3,""))</f>
        <v/>
      </c>
      <c r="GF59" s="85">
        <f>IF(DR59="","",IFERROR(DR59*HSI!$B$57*HSI!$G$57/HSI!$B$3,""))</f>
        <v/>
      </c>
      <c r="GG59" s="85">
        <f>IF(DS59="","",IFERROR(DS59*HSI!$B$57*HSI!$G$57/HSI!$B$3,""))</f>
        <v/>
      </c>
      <c r="GH59" s="85">
        <f>IF(DT59="","",IFERROR(DT59*HSI!$B$57*HSI!$G$57/HSI!$B$3,""))</f>
        <v/>
      </c>
      <c r="GI59" s="85">
        <f>IF(DU59="","",IFERROR(DU59*HSI!$B$57*HSI!$G$57/HSI!$B$3,""))</f>
        <v/>
      </c>
      <c r="GJ59" s="85">
        <f>IF(DV59="","",IFERROR(DV59*HSI!$B$57*HSI!$G$57/HSI!$B$3,""))</f>
        <v/>
      </c>
      <c r="GK59" s="85">
        <f>IF(DW59="","",IFERROR(DW59*HSI!$B$57*HSI!$G$57/HSI!$B$3,""))</f>
        <v/>
      </c>
      <c r="GL59" s="85">
        <f>IF(DX59="","",IFERROR(DX59*HSI!$B$57*HSI!$G$57/HSI!$B$3,""))</f>
        <v/>
      </c>
      <c r="GM59" s="85">
        <f>IF(DY59="","",IFERROR(DY59*HSI!$B$57*HSI!$G$57/HSI!$B$3,""))</f>
        <v/>
      </c>
      <c r="GN59" s="85">
        <f>IF(DZ59="","",IFERROR(DZ59*HSI!$B$57*HSI!$G$57/HSI!$B$3,""))</f>
        <v/>
      </c>
      <c r="GO59" s="85">
        <f>IF(EA59="","",IFERROR(EA59*HSI!$B$57*HSI!$G$57/HSI!$B$3,""))</f>
        <v/>
      </c>
      <c r="GP59" s="85">
        <f>IF(EB59="","",IFERROR(EB59*HSI!$B$57*HSI!$G$57/HSI!$B$3,""))</f>
        <v/>
      </c>
      <c r="GQ59" s="85">
        <f>IF(EC59="","",IFERROR(EC59*HSI!$B$57*HSI!$G$57/HSI!$B$3,""))</f>
        <v/>
      </c>
    </row>
    <row r="60">
      <c r="B60" s="2">
        <f>IF(HSI!$C$58="","",HSI!$C$58)</f>
        <v/>
      </c>
      <c r="C60" s="41">
        <f>IF(N('Dvd Calendar'!$E$775)=0,"",IF(('Dvd Calendar'!$E$775&gt;=MIN(DATE(Summary!$C$12,1,1),Summary!$C$11))*('Dvd Calendar'!$E$775&lt;=MAX(DATE(Summary!$C$12,12,31),Summary!$C$15))*('Dvd Calendar'!$E$775&lt;=Summary!$C$11)=0,"",'Dvd Calendar'!$E$775*1000000000+ISNUMBER('Dvd Calendar'!$E$776)*100000000+('Dvd Calendar'!$E$780='Field Check'!$C$25)*10000000+(N('Dvd Calendar'!$E$774)&gt;0)*1000000+52*1000+1))</f>
        <v/>
      </c>
      <c r="D60" s="41">
        <f>IF(N('Dvd Calendar'!$F$775)=0,"",IF(('Dvd Calendar'!$F$775&gt;=MIN(DATE(Summary!$C$12,1,1),Summary!$C$11))*('Dvd Calendar'!$F$775&lt;=MAX(DATE(Summary!$C$12,12,31),Summary!$C$15))*('Dvd Calendar'!$F$775&lt;=Summary!$C$11)=0,"",'Dvd Calendar'!$F$775*1000000000+ISNUMBER('Dvd Calendar'!$F$776)*100000000+('Dvd Calendar'!$F$780='Field Check'!$C$25)*10000000+(N('Dvd Calendar'!$F$774)&gt;0)*1000000+52*1000+2))</f>
        <v/>
      </c>
      <c r="E60" s="41">
        <f>IF(N('Dvd Calendar'!$G$775)=0,"",IF(('Dvd Calendar'!$G$775&gt;=MIN(DATE(Summary!$C$12,1,1),Summary!$C$11))*('Dvd Calendar'!$G$775&lt;=MAX(DATE(Summary!$C$12,12,31),Summary!$C$15))*('Dvd Calendar'!$G$775&lt;=Summary!$C$11)=0,"",'Dvd Calendar'!$G$775*1000000000+ISNUMBER('Dvd Calendar'!$G$776)*100000000+('Dvd Calendar'!$G$780='Field Check'!$C$25)*10000000+(N('Dvd Calendar'!$G$774)&gt;0)*1000000+52*1000+3))</f>
        <v/>
      </c>
      <c r="F60" s="41">
        <f>IF(N('Dvd Calendar'!$H$775)=0,"",IF(('Dvd Calendar'!$H$775&gt;=MIN(DATE(Summary!$C$12,1,1),Summary!$C$11))*('Dvd Calendar'!$H$775&lt;=MAX(DATE(Summary!$C$12,12,31),Summary!$C$15))*('Dvd Calendar'!$H$775&lt;=Summary!$C$11)=0,"",'Dvd Calendar'!$H$775*1000000000+ISNUMBER('Dvd Calendar'!$H$776)*100000000+('Dvd Calendar'!$H$780='Field Check'!$C$25)*10000000+(N('Dvd Calendar'!$H$774)&gt;0)*1000000+52*1000+4))</f>
        <v/>
      </c>
      <c r="G60" s="41">
        <f>IF(N('Dvd Calendar'!$I$775)=0,"",IF(('Dvd Calendar'!$I$775&gt;=MIN(DATE(Summary!$C$12,1,1),Summary!$C$11))*('Dvd Calendar'!$I$775&lt;=MAX(DATE(Summary!$C$12,12,31),Summary!$C$15))*('Dvd Calendar'!$I$775&lt;=Summary!$C$11)=0,"",'Dvd Calendar'!$I$775*1000000000+ISNUMBER('Dvd Calendar'!$I$776)*100000000+('Dvd Calendar'!$I$780='Field Check'!$C$25)*10000000+(N('Dvd Calendar'!$I$774)&gt;0)*1000000+52*1000+5))</f>
        <v/>
      </c>
      <c r="H60" s="41">
        <f>IF(N('Dvd Calendar'!$J$775)=0,"",IF(('Dvd Calendar'!$J$775&gt;=MIN(DATE(Summary!$C$12,1,1),Summary!$C$11))*('Dvd Calendar'!$J$775&lt;=MAX(DATE(Summary!$C$12,12,31),Summary!$C$15))*('Dvd Calendar'!$J$775&lt;=Summary!$C$11)=0,"",'Dvd Calendar'!$J$775*1000000000+ISNUMBER('Dvd Calendar'!$J$776)*100000000+('Dvd Calendar'!$J$780='Field Check'!$C$25)*10000000+(N('Dvd Calendar'!$J$774)&gt;0)*1000000+52*1000+6))</f>
        <v/>
      </c>
      <c r="I60" s="41">
        <f>IF(N('Dvd Calendar'!$K$775)=0,"",IF(('Dvd Calendar'!$K$775&gt;=MIN(DATE(Summary!$C$12,1,1),Summary!$C$11))*('Dvd Calendar'!$K$775&lt;=MAX(DATE(Summary!$C$12,12,31),Summary!$C$15))*('Dvd Calendar'!$K$775&lt;=Summary!$C$11)=0,"",'Dvd Calendar'!$K$775*1000000000+ISNUMBER('Dvd Calendar'!$K$776)*100000000+('Dvd Calendar'!$K$780='Field Check'!$C$25)*10000000+(N('Dvd Calendar'!$K$774)&gt;0)*1000000+52*1000+7))</f>
        <v/>
      </c>
      <c r="J60" s="41">
        <f>IF(N('Dvd Calendar'!$L$775)=0,"",IF(('Dvd Calendar'!$L$775&gt;=MIN(DATE(Summary!$C$12,1,1),Summary!$C$11))*('Dvd Calendar'!$L$775&lt;=MAX(DATE(Summary!$C$12,12,31),Summary!$C$15))*('Dvd Calendar'!$L$775&lt;=Summary!$C$11)=0,"",'Dvd Calendar'!$L$775*1000000000+ISNUMBER('Dvd Calendar'!$L$776)*100000000+('Dvd Calendar'!$L$780='Field Check'!$C$25)*10000000+(N('Dvd Calendar'!$L$774)&gt;0)*1000000+52*1000+8))</f>
        <v/>
      </c>
      <c r="K60" s="41">
        <f>IF(N('Dvd Calendar'!$M$775)=0,"",IF(('Dvd Calendar'!$M$775&gt;=MIN(DATE(Summary!$C$12,1,1),Summary!$C$11))*('Dvd Calendar'!$M$775&lt;=MAX(DATE(Summary!$C$12,12,31),Summary!$C$15))*('Dvd Calendar'!$M$775&lt;=Summary!$C$11)=0,"",'Dvd Calendar'!$M$775*1000000000+ISNUMBER('Dvd Calendar'!$M$776)*100000000+('Dvd Calendar'!$M$780='Field Check'!$C$25)*10000000+(N('Dvd Calendar'!$M$774)&gt;0)*1000000+52*1000+9))</f>
        <v/>
      </c>
      <c r="L60" s="41">
        <f>IF(N('Dvd Calendar'!$N$775)=0,"",IF(('Dvd Calendar'!$N$775&gt;=MIN(DATE(Summary!$C$12,1,1),Summary!$C$11))*('Dvd Calendar'!$N$775&lt;=MAX(DATE(Summary!$C$12,12,31),Summary!$C$15))*('Dvd Calendar'!$N$775&lt;=Summary!$C$11)=0,"",'Dvd Calendar'!$N$775*1000000000+ISNUMBER('Dvd Calendar'!$N$776)*100000000+('Dvd Calendar'!$N$780='Field Check'!$C$25)*10000000+(N('Dvd Calendar'!$N$774)&gt;0)*1000000+52*1000+10))</f>
        <v/>
      </c>
      <c r="M60" s="41">
        <f>IF(N('Dvd Calendar'!$O$775)=0,"",IF(('Dvd Calendar'!$O$775&gt;=MIN(DATE(Summary!$C$12,1,1),Summary!$C$11))*('Dvd Calendar'!$O$775&lt;=MAX(DATE(Summary!$C$12,12,31),Summary!$C$15))*('Dvd Calendar'!$O$775&lt;=Summary!$C$11)=0,"",'Dvd Calendar'!$O$775*1000000000+ISNUMBER('Dvd Calendar'!$O$776)*100000000+('Dvd Calendar'!$O$780='Field Check'!$C$25)*10000000+(N('Dvd Calendar'!$O$774)&gt;0)*1000000+52*1000+11))</f>
        <v/>
      </c>
      <c r="N60" s="41">
        <f>IF(N('Dvd Calendar'!$P$775)=0,"",IF(('Dvd Calendar'!$P$775&gt;=MIN(DATE(Summary!$C$12,1,1),Summary!$C$11))*('Dvd Calendar'!$P$775&lt;=MAX(DATE(Summary!$C$12,12,31),Summary!$C$15))*('Dvd Calendar'!$P$775&lt;=Summary!$C$11)=0,"",'Dvd Calendar'!$P$775*1000000000+ISNUMBER('Dvd Calendar'!$P$776)*100000000+('Dvd Calendar'!$P$780='Field Check'!$C$25)*10000000+(N('Dvd Calendar'!$P$774)&gt;0)*1000000+52*1000+12))</f>
        <v/>
      </c>
      <c r="O60" s="41">
        <f>IF(N('Dvd Calendar'!$Q$775)=0,"",IF(('Dvd Calendar'!$Q$775&gt;=MIN(DATE(Summary!$C$12,1,1),Summary!$C$11))*('Dvd Calendar'!$Q$775&lt;=MAX(DATE(Summary!$C$12,12,31),Summary!$C$15))*('Dvd Calendar'!$Q$775&lt;=Summary!$C$11)=0,"",'Dvd Calendar'!$Q$775*1000000000+ISNUMBER('Dvd Calendar'!$Q$776)*100000000+('Dvd Calendar'!$Q$780='Field Check'!$C$25)*10000000+(N('Dvd Calendar'!$Q$774)&gt;0)*1000000+52*1000+13))</f>
        <v/>
      </c>
      <c r="P60" s="41">
        <f>IF(N('Dvd Calendar'!$R$775)=0,"",IF(('Dvd Calendar'!$R$775&gt;=MIN(DATE(Summary!$C$12,1,1),Summary!$C$11))*('Dvd Calendar'!$R$775&lt;=MAX(DATE(Summary!$C$12,12,31),Summary!$C$15))*('Dvd Calendar'!$R$775&lt;=Summary!$C$11)=0,"",'Dvd Calendar'!$R$775*1000000000+ISNUMBER('Dvd Calendar'!$R$776)*100000000+('Dvd Calendar'!$R$780='Field Check'!$C$25)*10000000+(N('Dvd Calendar'!$R$774)&gt;0)*1000000+52*1000+14))</f>
        <v/>
      </c>
      <c r="Q60" s="41">
        <f>IF(N('Dvd Calendar'!$S$775)=0,"",IF(('Dvd Calendar'!$S$775&gt;=MIN(DATE(Summary!$C$12,1,1),Summary!$C$11))*('Dvd Calendar'!$S$775&lt;=MAX(DATE(Summary!$C$12,12,31),Summary!$C$15))*('Dvd Calendar'!$S$775&lt;=Summary!$C$11)=0,"",'Dvd Calendar'!$S$775*1000000000+ISNUMBER('Dvd Calendar'!$S$776)*100000000+('Dvd Calendar'!$S$780='Field Check'!$C$25)*10000000+(N('Dvd Calendar'!$S$774)&gt;0)*1000000+52*1000+15))</f>
        <v/>
      </c>
      <c r="R60" s="41">
        <f>IF(N('Dvd Calendar'!$T$775)=0,"",IF(('Dvd Calendar'!$T$775&gt;=MIN(DATE(Summary!$C$12,1,1),Summary!$C$11))*('Dvd Calendar'!$T$775&lt;=MAX(DATE(Summary!$C$12,12,31),Summary!$C$15))*('Dvd Calendar'!$T$775&lt;=Summary!$C$11)=0,"",'Dvd Calendar'!$T$775*1000000000+ISNUMBER('Dvd Calendar'!$T$776)*100000000+('Dvd Calendar'!$T$780='Field Check'!$C$25)*10000000+(N('Dvd Calendar'!$T$774)&gt;0)*1000000+52*1000+16))</f>
        <v/>
      </c>
      <c r="S60" s="41">
        <f>IF(N('Dvd Calendar'!$U$775)=0,"",IF(('Dvd Calendar'!$U$775&gt;=MIN(DATE(Summary!$C$12,1,1),Summary!$C$11))*('Dvd Calendar'!$U$775&lt;=MAX(DATE(Summary!$C$12,12,31),Summary!$C$15))*('Dvd Calendar'!$U$775&lt;=Summary!$C$11)=0,"",'Dvd Calendar'!$U$775*1000000000+ISNUMBER('Dvd Calendar'!$U$776)*100000000+('Dvd Calendar'!$U$780='Field Check'!$C$25)*10000000+(N('Dvd Calendar'!$U$774)&gt;0)*1000000+52*1000+17))</f>
        <v/>
      </c>
      <c r="T60" s="41">
        <f>IF(N('Dvd Calendar'!$V$775)=0,"",IF(('Dvd Calendar'!$V$775&gt;=MIN(DATE(Summary!$C$12,1,1),Summary!$C$11))*('Dvd Calendar'!$V$775&lt;=MAX(DATE(Summary!$C$12,12,31),Summary!$C$15))*('Dvd Calendar'!$V$775&lt;=Summary!$C$11)=0,"",'Dvd Calendar'!$V$775*1000000000+ISNUMBER('Dvd Calendar'!$V$776)*100000000+('Dvd Calendar'!$V$780='Field Check'!$C$25)*10000000+(N('Dvd Calendar'!$V$774)&gt;0)*1000000+52*1000+18))</f>
        <v/>
      </c>
      <c r="U60" s="41">
        <f>IF(N('Dvd Calendar'!$W$775)=0,"",IF(('Dvd Calendar'!$W$775&gt;=MIN(DATE(Summary!$C$12,1,1),Summary!$C$11))*('Dvd Calendar'!$W$775&lt;=MAX(DATE(Summary!$C$12,12,31),Summary!$C$15))*('Dvd Calendar'!$W$775&lt;=Summary!$C$11)=0,"",'Dvd Calendar'!$W$775*1000000000+ISNUMBER('Dvd Calendar'!$W$776)*100000000+('Dvd Calendar'!$W$780='Field Check'!$C$25)*10000000+(N('Dvd Calendar'!$W$774)&gt;0)*1000000+52*1000+19))</f>
        <v/>
      </c>
      <c r="V60" s="41">
        <f>IF(N('Dvd Calendar'!$X$775)=0,"",IF(('Dvd Calendar'!$X$775&gt;=MIN(DATE(Summary!$C$12,1,1),Summary!$C$11))*('Dvd Calendar'!$X$775&lt;=MAX(DATE(Summary!$C$12,12,31),Summary!$C$15))*('Dvd Calendar'!$X$775&lt;=Summary!$C$11)=0,"",'Dvd Calendar'!$X$775*1000000000+ISNUMBER('Dvd Calendar'!$X$776)*100000000+('Dvd Calendar'!$X$780='Field Check'!$C$25)*10000000+(N('Dvd Calendar'!$X$774)&gt;0)*1000000+52*1000+20))</f>
        <v/>
      </c>
      <c r="W60" s="41">
        <f>IF(N('Dvd Calendar'!$Y$775)=0,"",IF(('Dvd Calendar'!$Y$775&gt;=MIN(DATE(Summary!$C$12,1,1),Summary!$C$11))*('Dvd Calendar'!$Y$775&lt;=MAX(DATE(Summary!$C$12,12,31),Summary!$C$15))*('Dvd Calendar'!$Y$775&lt;=Summary!$C$11)=0,"",'Dvd Calendar'!$Y$775*1000000000+ISNUMBER('Dvd Calendar'!$Y$776)*100000000+('Dvd Calendar'!$Y$780='Field Check'!$C$25)*10000000+(N('Dvd Calendar'!$Y$774)&gt;0)*1000000+52*1000+21))</f>
        <v/>
      </c>
      <c r="X60" s="41">
        <f>IF(N('Dvd Calendar'!$Z$775)=0,"",IF(('Dvd Calendar'!$Z$775&gt;=MIN(DATE(Summary!$C$12,1,1),Summary!$C$11))*('Dvd Calendar'!$Z$775&lt;=MAX(DATE(Summary!$C$12,12,31),Summary!$C$15))*('Dvd Calendar'!$Z$775&lt;=Summary!$C$11)=0,"",'Dvd Calendar'!$Z$775*1000000000+ISNUMBER('Dvd Calendar'!$Z$776)*100000000+('Dvd Calendar'!$Z$780='Field Check'!$C$25)*10000000+(N('Dvd Calendar'!$Z$774)&gt;0)*1000000+52*1000+22))</f>
        <v/>
      </c>
      <c r="Y60" s="41">
        <f>IF(N('Dvd Calendar'!$AA$775)=0,"",IF(('Dvd Calendar'!$AA$775&gt;=MIN(DATE(Summary!$C$12,1,1),Summary!$C$11))*('Dvd Calendar'!$AA$775&lt;=MAX(DATE(Summary!$C$12,12,31),Summary!$C$15))*('Dvd Calendar'!$AA$775&lt;=Summary!$C$11)=0,"",'Dvd Calendar'!$AA$775*1000000000+ISNUMBER('Dvd Calendar'!$AA$776)*100000000+('Dvd Calendar'!$AA$780='Field Check'!$C$25)*10000000+(N('Dvd Calendar'!$AA$774)&gt;0)*1000000+52*1000+23))</f>
        <v/>
      </c>
      <c r="Z60" s="41">
        <f>IF(N('Dvd Calendar'!$AB$775)=0,"",IF(('Dvd Calendar'!$AB$775&gt;=MIN(DATE(Summary!$C$12,1,1),Summary!$C$11))*('Dvd Calendar'!$AB$775&lt;=MAX(DATE(Summary!$C$12,12,31),Summary!$C$15))*('Dvd Calendar'!$AB$775&lt;=Summary!$C$11)=0,"",'Dvd Calendar'!$AB$775*1000000000+ISNUMBER('Dvd Calendar'!$AB$776)*100000000+('Dvd Calendar'!$AB$780='Field Check'!$C$25)*10000000+(N('Dvd Calendar'!$AB$774)&gt;0)*1000000+52*1000+24))</f>
        <v/>
      </c>
      <c r="AA60" s="41">
        <f>IF(N('Dvd Calendar'!$AC$775)=0,"",IF(('Dvd Calendar'!$AC$775&gt;=MIN(DATE(Summary!$C$12,1,1),Summary!$C$11))*('Dvd Calendar'!$AC$775&lt;=MAX(DATE(Summary!$C$12,12,31),Summary!$C$15))*('Dvd Calendar'!$AC$775&lt;=Summary!$C$11)=0,"",'Dvd Calendar'!$AC$775*1000000000+ISNUMBER('Dvd Calendar'!$AC$776)*100000000+('Dvd Calendar'!$AC$780='Field Check'!$C$25)*10000000+(N('Dvd Calendar'!$AC$774)&gt;0)*1000000+52*1000+25))</f>
        <v/>
      </c>
      <c r="AB60" s="41">
        <f>IF(N('Dvd Calendar'!$AD$775)=0,"",IF(('Dvd Calendar'!$AD$775&gt;=MIN(DATE(Summary!$C$12,1,1),Summary!$C$11))*('Dvd Calendar'!$AD$775&lt;=MAX(DATE(Summary!$C$12,12,31),Summary!$C$15))*('Dvd Calendar'!$AD$775&lt;=Summary!$C$11)=0,"",'Dvd Calendar'!$AD$775*1000000000+ISNUMBER('Dvd Calendar'!$AD$776)*100000000+('Dvd Calendar'!$AD$780='Field Check'!$C$25)*10000000+(N('Dvd Calendar'!$AD$774)&gt;0)*1000000+52*1000+26))</f>
        <v/>
      </c>
      <c r="AC60" s="41">
        <f>IF(N('Dvd Calendar'!$AE$775)=0,"",IF(('Dvd Calendar'!$AE$775&gt;=MIN(DATE(Summary!$C$12,1,1),Summary!$C$11))*('Dvd Calendar'!$AE$775&lt;=MAX(DATE(Summary!$C$12,12,31),Summary!$C$15))*('Dvd Calendar'!$AE$775&lt;=Summary!$C$11)=0,"",'Dvd Calendar'!$AE$775*1000000000+ISNUMBER('Dvd Calendar'!$AE$776)*100000000+('Dvd Calendar'!$AE$780='Field Check'!$C$25)*10000000+(N('Dvd Calendar'!$AE$774)&gt;0)*1000000+52*1000+27))</f>
        <v/>
      </c>
      <c r="AD60" s="41">
        <f>IF(N('Dvd Calendar'!$AF$775)=0,"",IF(('Dvd Calendar'!$AF$775&gt;=MIN(DATE(Summary!$C$12,1,1),Summary!$C$11))*('Dvd Calendar'!$AF$775&lt;=MAX(DATE(Summary!$C$12,12,31),Summary!$C$15))*('Dvd Calendar'!$AF$775&lt;=Summary!$C$11)=0,"",'Dvd Calendar'!$AF$775*1000000000+ISNUMBER('Dvd Calendar'!$AF$776)*100000000+('Dvd Calendar'!$AF$780='Field Check'!$C$25)*10000000+(N('Dvd Calendar'!$AF$774)&gt;0)*1000000+52*1000+28))</f>
        <v/>
      </c>
      <c r="AE60" s="41">
        <f>IF(N('Dvd Calendar'!$AG$775)=0,"",IF(('Dvd Calendar'!$AG$775&gt;=MIN(DATE(Summary!$C$12,1,1),Summary!$C$11))*('Dvd Calendar'!$AG$775&lt;=MAX(DATE(Summary!$C$12,12,31),Summary!$C$15))*('Dvd Calendar'!$AG$775&lt;=Summary!$C$11)=0,"",'Dvd Calendar'!$AG$775*1000000000+ISNUMBER('Dvd Calendar'!$AG$776)*100000000+('Dvd Calendar'!$AG$780='Field Check'!$C$25)*10000000+(N('Dvd Calendar'!$AG$774)&gt;0)*1000000+52*1000+29))</f>
        <v/>
      </c>
      <c r="AF60" s="41">
        <f>IF(N('Dvd Calendar'!$AH$775)=0,"",IF(('Dvd Calendar'!$AH$775&gt;=MIN(DATE(Summary!$C$12,1,1),Summary!$C$11))*('Dvd Calendar'!$AH$775&lt;=MAX(DATE(Summary!$C$12,12,31),Summary!$C$15))*('Dvd Calendar'!$AH$775&lt;=Summary!$C$11)=0,"",'Dvd Calendar'!$AH$775*1000000000+ISNUMBER('Dvd Calendar'!$AH$776)*100000000+('Dvd Calendar'!$AH$780='Field Check'!$C$25)*10000000+(N('Dvd Calendar'!$AH$774)&gt;0)*1000000+52*1000+30))</f>
        <v/>
      </c>
      <c r="AG60" s="41">
        <f>IF(N('Dvd Calendar'!$AI$775)=0,"",IF(('Dvd Calendar'!$AI$775&gt;=MIN(DATE(Summary!$C$12,1,1),Summary!$C$11))*('Dvd Calendar'!$AI$775&lt;=MAX(DATE(Summary!$C$12,12,31),Summary!$C$15))*('Dvd Calendar'!$AI$775&lt;=Summary!$C$11)=0,"",'Dvd Calendar'!$AI$775*1000000000+ISNUMBER('Dvd Calendar'!$AI$776)*100000000+('Dvd Calendar'!$AI$780='Field Check'!$C$25)*10000000+(N('Dvd Calendar'!$AI$774)&gt;0)*1000000+52*1000+31))</f>
        <v/>
      </c>
      <c r="AH60" s="41">
        <f>IF(N('Dvd Calendar'!$AJ$775)=0,"",IF(('Dvd Calendar'!$AJ$775&gt;=MIN(DATE(Summary!$C$12,1,1),Summary!$C$11))*('Dvd Calendar'!$AJ$775&lt;=MAX(DATE(Summary!$C$12,12,31),Summary!$C$15))*('Dvd Calendar'!$AJ$775&lt;=Summary!$C$11)=0,"",'Dvd Calendar'!$AJ$775*1000000000+ISNUMBER('Dvd Calendar'!$AJ$776)*100000000+('Dvd Calendar'!$AJ$780='Field Check'!$C$25)*10000000+(N('Dvd Calendar'!$AJ$774)&gt;0)*1000000+52*1000+32))</f>
        <v/>
      </c>
      <c r="AI60" s="41">
        <f>IF(N('Dvd Calendar'!$AK$775)=0,"",IF(('Dvd Calendar'!$AK$775&gt;=MIN(DATE(Summary!$C$12,1,1),Summary!$C$11))*('Dvd Calendar'!$AK$775&lt;=MAX(DATE(Summary!$C$12,12,31),Summary!$C$15))*('Dvd Calendar'!$AK$775&lt;=Summary!$C$11)=0,"",'Dvd Calendar'!$AK$775*1000000000+ISNUMBER('Dvd Calendar'!$AK$776)*100000000+('Dvd Calendar'!$AK$780='Field Check'!$C$25)*10000000+(N('Dvd Calendar'!$AK$774)&gt;0)*1000000+52*1000+33))</f>
        <v/>
      </c>
      <c r="AJ60" s="41">
        <f>IF(N('Dvd Calendar'!$AL$775)=0,"",IF(('Dvd Calendar'!$AL$775&gt;=MIN(DATE(Summary!$C$12,1,1),Summary!$C$11))*('Dvd Calendar'!$AL$775&lt;=MAX(DATE(Summary!$C$12,12,31),Summary!$C$15))*('Dvd Calendar'!$AL$775&lt;=Summary!$C$11)=0,"",'Dvd Calendar'!$AL$775*1000000000+ISNUMBER('Dvd Calendar'!$AL$776)*100000000+('Dvd Calendar'!$AL$780='Field Check'!$C$25)*10000000+(N('Dvd Calendar'!$AL$774)&gt;0)*1000000+52*1000+34))</f>
        <v/>
      </c>
      <c r="AK60" s="41">
        <f>IF(N('Dvd Calendar'!$AM$775)=0,"",IF(('Dvd Calendar'!$AM$775&gt;=MIN(DATE(Summary!$C$12,1,1),Summary!$C$11))*('Dvd Calendar'!$AM$775&lt;=MAX(DATE(Summary!$C$12,12,31),Summary!$C$15))*('Dvd Calendar'!$AM$775&lt;=Summary!$C$11)=0,"",'Dvd Calendar'!$AM$775*1000000000+ISNUMBER('Dvd Calendar'!$AM$776)*100000000+('Dvd Calendar'!$AM$780='Field Check'!$C$25)*10000000+(N('Dvd Calendar'!$AM$774)&gt;0)*1000000+52*1000+35))</f>
        <v/>
      </c>
      <c r="AL60" s="41">
        <f>IF(N('Dvd Calendar'!$AN$775)=0,"",IF(('Dvd Calendar'!$AN$775&gt;=MIN(DATE(Summary!$C$12,1,1),Summary!$C$11))*('Dvd Calendar'!$AN$775&lt;=MAX(DATE(Summary!$C$12,12,31),Summary!$C$15))*('Dvd Calendar'!$AN$775&lt;=Summary!$C$11)=0,"",'Dvd Calendar'!$AN$775*1000000000+ISNUMBER('Dvd Calendar'!$AN$776)*100000000+('Dvd Calendar'!$AN$780='Field Check'!$C$25)*10000000+(N('Dvd Calendar'!$AN$774)&gt;0)*1000000+52*1000+36))</f>
        <v/>
      </c>
      <c r="AM60" s="41">
        <f>IF(N('Dvd Calendar'!$AO$775)=0,"",IF(('Dvd Calendar'!$AO$775&gt;=MIN(DATE(Summary!$C$12,1,1),Summary!$C$11))*('Dvd Calendar'!$AO$775&lt;=MAX(DATE(Summary!$C$12,12,31),Summary!$C$15))*('Dvd Calendar'!$AO$775&lt;=Summary!$C$11)=0,"",'Dvd Calendar'!$AO$775*1000000000+ISNUMBER('Dvd Calendar'!$AO$776)*100000000+('Dvd Calendar'!$AO$780='Field Check'!$C$25)*10000000+(N('Dvd Calendar'!$AO$774)&gt;0)*1000000+52*1000+37))</f>
        <v/>
      </c>
      <c r="AN60" s="41">
        <f>IF(N('Dvd Calendar'!$AP$775)=0,"",IF(('Dvd Calendar'!$AP$775&gt;=MIN(DATE(Summary!$C$12,1,1),Summary!$C$11))*('Dvd Calendar'!$AP$775&lt;=MAX(DATE(Summary!$C$12,12,31),Summary!$C$15))*('Dvd Calendar'!$AP$775&lt;=Summary!$C$11)=0,"",'Dvd Calendar'!$AP$775*1000000000+ISNUMBER('Dvd Calendar'!$AP$776)*100000000+('Dvd Calendar'!$AP$780='Field Check'!$C$25)*10000000+(N('Dvd Calendar'!$AP$774)&gt;0)*1000000+52*1000+38))</f>
        <v/>
      </c>
      <c r="AO60" s="41">
        <f>IF(N('Dvd Calendar'!$AQ$775)=0,"",IF(('Dvd Calendar'!$AQ$775&gt;=MIN(DATE(Summary!$C$12,1,1),Summary!$C$11))*('Dvd Calendar'!$AQ$775&lt;=MAX(DATE(Summary!$C$12,12,31),Summary!$C$15))*('Dvd Calendar'!$AQ$775&lt;=Summary!$C$11)=0,"",'Dvd Calendar'!$AQ$775*1000000000+ISNUMBER('Dvd Calendar'!$AQ$776)*100000000+('Dvd Calendar'!$AQ$780='Field Check'!$C$25)*10000000+(N('Dvd Calendar'!$AQ$774)&gt;0)*1000000+52*1000+39))</f>
        <v/>
      </c>
      <c r="AP60" s="41">
        <f>IF(N('Dvd Calendar'!$AR$775)=0,"",IF(('Dvd Calendar'!$AR$775&gt;=MIN(DATE(Summary!$C$12,1,1),Summary!$C$11))*('Dvd Calendar'!$AR$775&lt;=MAX(DATE(Summary!$C$12,12,31),Summary!$C$15))*('Dvd Calendar'!$AR$775&lt;=Summary!$C$11)=0,"",'Dvd Calendar'!$AR$775*1000000000+ISNUMBER('Dvd Calendar'!$AR$776)*100000000+('Dvd Calendar'!$AR$780='Field Check'!$C$25)*10000000+(N('Dvd Calendar'!$AR$774)&gt;0)*1000000+52*1000+40))</f>
        <v/>
      </c>
      <c r="AQ60" s="41">
        <f>IF(N('Dvd Calendar'!$E$782)=0,"",IF(('Dvd Calendar'!$E$782&gt;=MIN(DATE(Summary!$C$12,1,1),Summary!$C$11))*('Dvd Calendar'!$E$782&lt;=MAX(DATE(Summary!$C$12,12,31),Summary!$C$15))*('Dvd Calendar'!$E$782&gt;Summary!$C$11)=0,"",'Dvd Calendar'!$E$782*1000000000+ISNUMBER('Dvd Calendar'!$E$783)*100000000+('Dvd Calendar'!$E$787='Field Check'!$C$25)*10000000+(N('Dvd Calendar'!$E$781)&gt;0)*1000000+52*1000+41))</f>
        <v/>
      </c>
      <c r="AR60" s="41">
        <f>IF(N('Dvd Calendar'!$F$782)=0,"",IF(('Dvd Calendar'!$F$782&gt;=MIN(DATE(Summary!$C$12,1,1),Summary!$C$11))*('Dvd Calendar'!$F$782&lt;=MAX(DATE(Summary!$C$12,12,31),Summary!$C$15))*('Dvd Calendar'!$F$782&gt;Summary!$C$11)=0,"",'Dvd Calendar'!$F$782*1000000000+ISNUMBER('Dvd Calendar'!$F$783)*100000000+('Dvd Calendar'!$F$787='Field Check'!$C$25)*10000000+(N('Dvd Calendar'!$F$781)&gt;0)*1000000+52*1000+42))</f>
        <v/>
      </c>
      <c r="AS60" s="41">
        <f>IF(N('Dvd Calendar'!$G$782)=0,"",IF(('Dvd Calendar'!$G$782&gt;=MIN(DATE(Summary!$C$12,1,1),Summary!$C$11))*('Dvd Calendar'!$G$782&lt;=MAX(DATE(Summary!$C$12,12,31),Summary!$C$15))*('Dvd Calendar'!$G$782&gt;Summary!$C$11)=0,"",'Dvd Calendar'!$G$782*1000000000+ISNUMBER('Dvd Calendar'!$G$783)*100000000+('Dvd Calendar'!$G$787='Field Check'!$C$25)*10000000+(N('Dvd Calendar'!$G$781)&gt;0)*1000000+52*1000+43))</f>
        <v/>
      </c>
      <c r="AT60" s="41">
        <f>IF(N('Dvd Calendar'!$H$782)=0,"",IF(('Dvd Calendar'!$H$782&gt;=MIN(DATE(Summary!$C$12,1,1),Summary!$C$11))*('Dvd Calendar'!$H$782&lt;=MAX(DATE(Summary!$C$12,12,31),Summary!$C$15))*('Dvd Calendar'!$H$782&gt;Summary!$C$11)=0,"",'Dvd Calendar'!$H$782*1000000000+ISNUMBER('Dvd Calendar'!$H$783)*100000000+('Dvd Calendar'!$H$787='Field Check'!$C$25)*10000000+(N('Dvd Calendar'!$H$781)&gt;0)*1000000+52*1000+44))</f>
        <v/>
      </c>
      <c r="AU60" s="41">
        <f>IF(N('Dvd Calendar'!$I$782)=0,"",IF(('Dvd Calendar'!$I$782&gt;=MIN(DATE(Summary!$C$12,1,1),Summary!$C$11))*('Dvd Calendar'!$I$782&lt;=MAX(DATE(Summary!$C$12,12,31),Summary!$C$15))*('Dvd Calendar'!$I$782&gt;Summary!$C$11)=0,"",'Dvd Calendar'!$I$782*1000000000+ISNUMBER('Dvd Calendar'!$I$783)*100000000+('Dvd Calendar'!$I$787='Field Check'!$C$25)*10000000+(N('Dvd Calendar'!$I$781)&gt;0)*1000000+52*1000+45))</f>
        <v/>
      </c>
      <c r="AV60" s="41">
        <f>IF(N('Dvd Calendar'!$J$782)=0,"",IF(('Dvd Calendar'!$J$782&gt;=MIN(DATE(Summary!$C$12,1,1),Summary!$C$11))*('Dvd Calendar'!$J$782&lt;=MAX(DATE(Summary!$C$12,12,31),Summary!$C$15))*('Dvd Calendar'!$J$782&gt;Summary!$C$11)=0,"",'Dvd Calendar'!$J$782*1000000000+ISNUMBER('Dvd Calendar'!$J$783)*100000000+('Dvd Calendar'!$J$787='Field Check'!$C$25)*10000000+(N('Dvd Calendar'!$J$781)&gt;0)*1000000+52*1000+46))</f>
        <v/>
      </c>
      <c r="AW60" s="41">
        <f>IF(N('Dvd Calendar'!$K$782)=0,"",IF(('Dvd Calendar'!$K$782&gt;=MIN(DATE(Summary!$C$12,1,1),Summary!$C$11))*('Dvd Calendar'!$K$782&lt;=MAX(DATE(Summary!$C$12,12,31),Summary!$C$15))*('Dvd Calendar'!$K$782&gt;Summary!$C$11)=0,"",'Dvd Calendar'!$K$782*1000000000+ISNUMBER('Dvd Calendar'!$K$783)*100000000+('Dvd Calendar'!$K$787='Field Check'!$C$25)*10000000+(N('Dvd Calendar'!$K$781)&gt;0)*1000000+52*1000+47))</f>
        <v/>
      </c>
      <c r="AX60" s="41">
        <f>IF(N('Dvd Calendar'!$L$782)=0,"",IF(('Dvd Calendar'!$L$782&gt;=MIN(DATE(Summary!$C$12,1,1),Summary!$C$11))*('Dvd Calendar'!$L$782&lt;=MAX(DATE(Summary!$C$12,12,31),Summary!$C$15))*('Dvd Calendar'!$L$782&gt;Summary!$C$11)=0,"",'Dvd Calendar'!$L$782*1000000000+ISNUMBER('Dvd Calendar'!$L$783)*100000000+('Dvd Calendar'!$L$787='Field Check'!$C$25)*10000000+(N('Dvd Calendar'!$L$781)&gt;0)*1000000+52*1000+48))</f>
        <v/>
      </c>
      <c r="AY60" s="41">
        <f>IF(N('Dvd Calendar'!$M$782)=0,"",IF(('Dvd Calendar'!$M$782&gt;=MIN(DATE(Summary!$C$12,1,1),Summary!$C$11))*('Dvd Calendar'!$M$782&lt;=MAX(DATE(Summary!$C$12,12,31),Summary!$C$15))*('Dvd Calendar'!$M$782&gt;Summary!$C$11)=0,"",'Dvd Calendar'!$M$782*1000000000+ISNUMBER('Dvd Calendar'!$M$783)*100000000+('Dvd Calendar'!$M$787='Field Check'!$C$25)*10000000+(N('Dvd Calendar'!$M$781)&gt;0)*1000000+52*1000+49))</f>
        <v/>
      </c>
      <c r="AZ60" s="41">
        <f>IF(N('Dvd Calendar'!$N$782)=0,"",IF(('Dvd Calendar'!$N$782&gt;=MIN(DATE(Summary!$C$12,1,1),Summary!$C$11))*('Dvd Calendar'!$N$782&lt;=MAX(DATE(Summary!$C$12,12,31),Summary!$C$15))*('Dvd Calendar'!$N$782&gt;Summary!$C$11)=0,"",'Dvd Calendar'!$N$782*1000000000+ISNUMBER('Dvd Calendar'!$N$783)*100000000+('Dvd Calendar'!$N$787='Field Check'!$C$25)*10000000+(N('Dvd Calendar'!$N$781)&gt;0)*1000000+52*1000+50))</f>
        <v/>
      </c>
      <c r="BA60" s="41">
        <f>IF(N('Dvd Calendar'!$O$782)=0,"",IF(('Dvd Calendar'!$O$782&gt;=MIN(DATE(Summary!$C$12,1,1),Summary!$C$11))*('Dvd Calendar'!$O$782&lt;=MAX(DATE(Summary!$C$12,12,31),Summary!$C$15))*('Dvd Calendar'!$O$782&gt;Summary!$C$11)=0,"",'Dvd Calendar'!$O$782*1000000000+ISNUMBER('Dvd Calendar'!$O$783)*100000000+('Dvd Calendar'!$O$787='Field Check'!$C$25)*10000000+(N('Dvd Calendar'!$O$781)&gt;0)*1000000+52*1000+51))</f>
        <v/>
      </c>
      <c r="BB60" s="41">
        <f>IF(N('Dvd Calendar'!$P$782)=0,"",IF(('Dvd Calendar'!$P$782&gt;=MIN(DATE(Summary!$C$12,1,1),Summary!$C$11))*('Dvd Calendar'!$P$782&lt;=MAX(DATE(Summary!$C$12,12,31),Summary!$C$15))*('Dvd Calendar'!$P$782&gt;Summary!$C$11)=0,"",'Dvd Calendar'!$P$782*1000000000+ISNUMBER('Dvd Calendar'!$P$783)*100000000+('Dvd Calendar'!$P$787='Field Check'!$C$25)*10000000+(N('Dvd Calendar'!$P$781)&gt;0)*1000000+52*1000+52))</f>
        <v/>
      </c>
      <c r="BC60" s="41">
        <f>IF(N('Dvd Calendar'!$Q$782)=0,"",IF(('Dvd Calendar'!$Q$782&gt;=MIN(DATE(Summary!$C$12,1,1),Summary!$C$11))*('Dvd Calendar'!$Q$782&lt;=MAX(DATE(Summary!$C$12,12,31),Summary!$C$15))*('Dvd Calendar'!$Q$782&gt;Summary!$C$11)=0,"",'Dvd Calendar'!$Q$782*1000000000+ISNUMBER('Dvd Calendar'!$Q$783)*100000000+('Dvd Calendar'!$Q$787='Field Check'!$C$25)*10000000+(N('Dvd Calendar'!$Q$781)&gt;0)*1000000+52*1000+53))</f>
        <v/>
      </c>
      <c r="BD60" s="41">
        <f>IF(N('Dvd Calendar'!$R$782)=0,"",IF(('Dvd Calendar'!$R$782&gt;=MIN(DATE(Summary!$C$12,1,1),Summary!$C$11))*('Dvd Calendar'!$R$782&lt;=MAX(DATE(Summary!$C$12,12,31),Summary!$C$15))*('Dvd Calendar'!$R$782&gt;Summary!$C$11)=0,"",'Dvd Calendar'!$R$782*1000000000+ISNUMBER('Dvd Calendar'!$R$783)*100000000+('Dvd Calendar'!$R$787='Field Check'!$C$25)*10000000+(N('Dvd Calendar'!$R$781)&gt;0)*1000000+52*1000+54))</f>
        <v/>
      </c>
      <c r="BE60" s="41">
        <f>IF(N('Dvd Calendar'!$S$782)=0,"",IF(('Dvd Calendar'!$S$782&gt;=MIN(DATE(Summary!$C$12,1,1),Summary!$C$11))*('Dvd Calendar'!$S$782&lt;=MAX(DATE(Summary!$C$12,12,31),Summary!$C$15))*('Dvd Calendar'!$S$782&gt;Summary!$C$11)=0,"",'Dvd Calendar'!$S$782*1000000000+ISNUMBER('Dvd Calendar'!$S$783)*100000000+('Dvd Calendar'!$S$787='Field Check'!$C$25)*10000000+(N('Dvd Calendar'!$S$781)&gt;0)*1000000+52*1000+55))</f>
        <v/>
      </c>
      <c r="BF60" s="41">
        <f>IF(N('Dvd Calendar'!$T$782)=0,"",IF(('Dvd Calendar'!$T$782&gt;=MIN(DATE(Summary!$C$12,1,1),Summary!$C$11))*('Dvd Calendar'!$T$782&lt;=MAX(DATE(Summary!$C$12,12,31),Summary!$C$15))*('Dvd Calendar'!$T$782&gt;Summary!$C$11)=0,"",'Dvd Calendar'!$T$782*1000000000+ISNUMBER('Dvd Calendar'!$T$783)*100000000+('Dvd Calendar'!$T$787='Field Check'!$C$25)*10000000+(N('Dvd Calendar'!$T$781)&gt;0)*1000000+52*1000+56))</f>
        <v/>
      </c>
      <c r="BG60" s="41">
        <f>IF(N('Dvd Calendar'!$U$782)=0,"",IF(('Dvd Calendar'!$U$782&gt;=MIN(DATE(Summary!$C$12,1,1),Summary!$C$11))*('Dvd Calendar'!$U$782&lt;=MAX(DATE(Summary!$C$12,12,31),Summary!$C$15))*('Dvd Calendar'!$U$782&gt;Summary!$C$11)=0,"",'Dvd Calendar'!$U$782*1000000000+ISNUMBER('Dvd Calendar'!$U$783)*100000000+('Dvd Calendar'!$U$787='Field Check'!$C$25)*10000000+(N('Dvd Calendar'!$U$781)&gt;0)*1000000+52*1000+57))</f>
        <v/>
      </c>
      <c r="BH60" s="41">
        <f>IF(N('Dvd Calendar'!$V$782)=0,"",IF(('Dvd Calendar'!$V$782&gt;=MIN(DATE(Summary!$C$12,1,1),Summary!$C$11))*('Dvd Calendar'!$V$782&lt;=MAX(DATE(Summary!$C$12,12,31),Summary!$C$15))*('Dvd Calendar'!$V$782&gt;Summary!$C$11)=0,"",'Dvd Calendar'!$V$782*1000000000+ISNUMBER('Dvd Calendar'!$V$783)*100000000+('Dvd Calendar'!$V$787='Field Check'!$C$25)*10000000+(N('Dvd Calendar'!$V$781)&gt;0)*1000000+52*1000+58))</f>
        <v/>
      </c>
      <c r="BI60" s="41">
        <f>IF(N('Dvd Calendar'!$W$782)=0,"",IF(('Dvd Calendar'!$W$782&gt;=MIN(DATE(Summary!$C$12,1,1),Summary!$C$11))*('Dvd Calendar'!$W$782&lt;=MAX(DATE(Summary!$C$12,12,31),Summary!$C$15))*('Dvd Calendar'!$W$782&gt;Summary!$C$11)=0,"",'Dvd Calendar'!$W$782*1000000000+ISNUMBER('Dvd Calendar'!$W$783)*100000000+('Dvd Calendar'!$W$787='Field Check'!$C$25)*10000000+(N('Dvd Calendar'!$W$781)&gt;0)*1000000+52*1000+59))</f>
        <v/>
      </c>
      <c r="BJ60" s="41">
        <f>IF(N('Dvd Calendar'!$X$782)=0,"",IF(('Dvd Calendar'!$X$782&gt;=MIN(DATE(Summary!$C$12,1,1),Summary!$C$11))*('Dvd Calendar'!$X$782&lt;=MAX(DATE(Summary!$C$12,12,31),Summary!$C$15))*('Dvd Calendar'!$X$782&gt;Summary!$C$11)=0,"",'Dvd Calendar'!$X$782*1000000000+ISNUMBER('Dvd Calendar'!$X$783)*100000000+('Dvd Calendar'!$X$787='Field Check'!$C$25)*10000000+(N('Dvd Calendar'!$X$781)&gt;0)*1000000+52*1000+60))</f>
        <v/>
      </c>
      <c r="BK60" s="41">
        <f>IF(N('Dvd Calendar'!$Y$782)=0,"",IF(('Dvd Calendar'!$Y$782&gt;=MIN(DATE(Summary!$C$12,1,1),Summary!$C$11))*('Dvd Calendar'!$Y$782&lt;=MAX(DATE(Summary!$C$12,12,31),Summary!$C$15))*('Dvd Calendar'!$Y$782&gt;Summary!$C$11)=0,"",'Dvd Calendar'!$Y$782*1000000000+ISNUMBER('Dvd Calendar'!$Y$783)*100000000+('Dvd Calendar'!$Y$787='Field Check'!$C$25)*10000000+(N('Dvd Calendar'!$Y$781)&gt;0)*1000000+52*1000+61))</f>
        <v/>
      </c>
      <c r="BL60" s="41">
        <f>IF(N('Dvd Calendar'!$Z$782)=0,"",IF(('Dvd Calendar'!$Z$782&gt;=MIN(DATE(Summary!$C$12,1,1),Summary!$C$11))*('Dvd Calendar'!$Z$782&lt;=MAX(DATE(Summary!$C$12,12,31),Summary!$C$15))*('Dvd Calendar'!$Z$782&gt;Summary!$C$11)=0,"",'Dvd Calendar'!$Z$782*1000000000+ISNUMBER('Dvd Calendar'!$Z$783)*100000000+('Dvd Calendar'!$Z$787='Field Check'!$C$25)*10000000+(N('Dvd Calendar'!$Z$781)&gt;0)*1000000+52*1000+62))</f>
        <v/>
      </c>
      <c r="BM60" s="41">
        <f>IF(N('Dvd Calendar'!$AA$782)=0,"",IF(('Dvd Calendar'!$AA$782&gt;=MIN(DATE(Summary!$C$12,1,1),Summary!$C$11))*('Dvd Calendar'!$AA$782&lt;=MAX(DATE(Summary!$C$12,12,31),Summary!$C$15))*('Dvd Calendar'!$AA$782&gt;Summary!$C$11)=0,"",'Dvd Calendar'!$AA$782*1000000000+ISNUMBER('Dvd Calendar'!$AA$783)*100000000+('Dvd Calendar'!$AA$787='Field Check'!$C$25)*10000000+(N('Dvd Calendar'!$AA$781)&gt;0)*1000000+52*1000+63))</f>
        <v/>
      </c>
      <c r="BN60" s="41">
        <f>IF(N('Dvd Calendar'!$AB$782)=0,"",IF(('Dvd Calendar'!$AB$782&gt;=MIN(DATE(Summary!$C$12,1,1),Summary!$C$11))*('Dvd Calendar'!$AB$782&lt;=MAX(DATE(Summary!$C$12,12,31),Summary!$C$15))*('Dvd Calendar'!$AB$782&gt;Summary!$C$11)=0,"",'Dvd Calendar'!$AB$782*1000000000+ISNUMBER('Dvd Calendar'!$AB$783)*100000000+('Dvd Calendar'!$AB$787='Field Check'!$C$25)*10000000+(N('Dvd Calendar'!$AB$781)&gt;0)*1000000+52*1000+64))</f>
        <v/>
      </c>
      <c r="BO60" s="41">
        <f>IF(N('Dvd Calendar'!$AC$782)=0,"",IF(('Dvd Calendar'!$AC$782&gt;=MIN(DATE(Summary!$C$12,1,1),Summary!$C$11))*('Dvd Calendar'!$AC$782&lt;=MAX(DATE(Summary!$C$12,12,31),Summary!$C$15))*('Dvd Calendar'!$AC$782&gt;Summary!$C$11)=0,"",'Dvd Calendar'!$AC$782*1000000000+ISNUMBER('Dvd Calendar'!$AC$783)*100000000+('Dvd Calendar'!$AC$787='Field Check'!$C$25)*10000000+(N('Dvd Calendar'!$AC$781)&gt;0)*1000000+52*1000+65))</f>
        <v/>
      </c>
      <c r="BQ60" s="85">
        <f>IF(C60="","",IF(ISNUMBER('Dvd Calendar'!$E$776)=FALSE,"",IF((Summary!$C$13="N")*('Dvd Calendar'!$E$780='Field Check'!$C$25)&gt;0,"",'Dvd Calendar'!$E$776)))</f>
        <v/>
      </c>
      <c r="BR60" s="85">
        <f>IF(D60="","",IF(ISNUMBER('Dvd Calendar'!$F$776)=FALSE,"",IF((Summary!$C$13="N")*('Dvd Calendar'!$F$780='Field Check'!$C$25)&gt;0,"",'Dvd Calendar'!$F$776)))</f>
        <v/>
      </c>
      <c r="BS60" s="85">
        <f>IF(E60="","",IF(ISNUMBER('Dvd Calendar'!$G$776)=FALSE,"",IF((Summary!$C$13="N")*('Dvd Calendar'!$G$780='Field Check'!$C$25)&gt;0,"",'Dvd Calendar'!$G$776)))</f>
        <v/>
      </c>
      <c r="BT60" s="85">
        <f>IF(F60="","",IF(ISNUMBER('Dvd Calendar'!$H$776)=FALSE,"",IF((Summary!$C$13="N")*('Dvd Calendar'!$H$780='Field Check'!$C$25)&gt;0,"",'Dvd Calendar'!$H$776)))</f>
        <v/>
      </c>
      <c r="BU60" s="85">
        <f>IF(G60="","",IF(ISNUMBER('Dvd Calendar'!$I$776)=FALSE,"",IF((Summary!$C$13="N")*('Dvd Calendar'!$I$780='Field Check'!$C$25)&gt;0,"",'Dvd Calendar'!$I$776)))</f>
        <v/>
      </c>
      <c r="BV60" s="85">
        <f>IF(H60="","",IF(ISNUMBER('Dvd Calendar'!$J$776)=FALSE,"",IF((Summary!$C$13="N")*('Dvd Calendar'!$J$780='Field Check'!$C$25)&gt;0,"",'Dvd Calendar'!$J$776)))</f>
        <v/>
      </c>
      <c r="BW60" s="85">
        <f>IF(I60="","",IF(ISNUMBER('Dvd Calendar'!$K$776)=FALSE,"",IF((Summary!$C$13="N")*('Dvd Calendar'!$K$780='Field Check'!$C$25)&gt;0,"",'Dvd Calendar'!$K$776)))</f>
        <v/>
      </c>
      <c r="BX60" s="85">
        <f>IF(J60="","",IF(ISNUMBER('Dvd Calendar'!$L$776)=FALSE,"",IF((Summary!$C$13="N")*('Dvd Calendar'!$L$780='Field Check'!$C$25)&gt;0,"",'Dvd Calendar'!$L$776)))</f>
        <v/>
      </c>
      <c r="BY60" s="85">
        <f>IF(K60="","",IF(ISNUMBER('Dvd Calendar'!$M$776)=FALSE,"",IF((Summary!$C$13="N")*('Dvd Calendar'!$M$780='Field Check'!$C$25)&gt;0,"",'Dvd Calendar'!$M$776)))</f>
        <v/>
      </c>
      <c r="BZ60" s="85">
        <f>IF(L60="","",IF(ISNUMBER('Dvd Calendar'!$N$776)=FALSE,"",IF((Summary!$C$13="N")*('Dvd Calendar'!$N$780='Field Check'!$C$25)&gt;0,"",'Dvd Calendar'!$N$776)))</f>
        <v/>
      </c>
      <c r="CA60" s="85">
        <f>IF(M60="","",IF(ISNUMBER('Dvd Calendar'!$O$776)=FALSE,"",IF((Summary!$C$13="N")*('Dvd Calendar'!$O$780='Field Check'!$C$25)&gt;0,"",'Dvd Calendar'!$O$776)))</f>
        <v/>
      </c>
      <c r="CB60" s="85">
        <f>IF(N60="","",IF(ISNUMBER('Dvd Calendar'!$P$776)=FALSE,"",IF((Summary!$C$13="N")*('Dvd Calendar'!$P$780='Field Check'!$C$25)&gt;0,"",'Dvd Calendar'!$P$776)))</f>
        <v/>
      </c>
      <c r="CC60" s="85">
        <f>IF(O60="","",IF(ISNUMBER('Dvd Calendar'!$Q$776)=FALSE,"",IF((Summary!$C$13="N")*('Dvd Calendar'!$Q$780='Field Check'!$C$25)&gt;0,"",'Dvd Calendar'!$Q$776)))</f>
        <v/>
      </c>
      <c r="CD60" s="85">
        <f>IF(P60="","",IF(ISNUMBER('Dvd Calendar'!$R$776)=FALSE,"",IF((Summary!$C$13="N")*('Dvd Calendar'!$R$780='Field Check'!$C$25)&gt;0,"",'Dvd Calendar'!$R$776)))</f>
        <v/>
      </c>
      <c r="CE60" s="85">
        <f>IF(Q60="","",IF(ISNUMBER('Dvd Calendar'!$S$776)=FALSE,"",IF((Summary!$C$13="N")*('Dvd Calendar'!$S$780='Field Check'!$C$25)&gt;0,"",'Dvd Calendar'!$S$776)))</f>
        <v/>
      </c>
      <c r="CF60" s="85">
        <f>IF(R60="","",IF(ISNUMBER('Dvd Calendar'!$T$776)=FALSE,"",IF((Summary!$C$13="N")*('Dvd Calendar'!$T$780='Field Check'!$C$25)&gt;0,"",'Dvd Calendar'!$T$776)))</f>
        <v/>
      </c>
      <c r="CG60" s="85">
        <f>IF(S60="","",IF(ISNUMBER('Dvd Calendar'!$U$776)=FALSE,"",IF((Summary!$C$13="N")*('Dvd Calendar'!$U$780='Field Check'!$C$25)&gt;0,"",'Dvd Calendar'!$U$776)))</f>
        <v/>
      </c>
      <c r="CH60" s="85">
        <f>IF(T60="","",IF(ISNUMBER('Dvd Calendar'!$V$776)=FALSE,"",IF((Summary!$C$13="N")*('Dvd Calendar'!$V$780='Field Check'!$C$25)&gt;0,"",'Dvd Calendar'!$V$776)))</f>
        <v/>
      </c>
      <c r="CI60" s="85">
        <f>IF(U60="","",IF(ISNUMBER('Dvd Calendar'!$W$776)=FALSE,"",IF((Summary!$C$13="N")*('Dvd Calendar'!$W$780='Field Check'!$C$25)&gt;0,"",'Dvd Calendar'!$W$776)))</f>
        <v/>
      </c>
      <c r="CJ60" s="85">
        <f>IF(V60="","",IF(ISNUMBER('Dvd Calendar'!$X$776)=FALSE,"",IF((Summary!$C$13="N")*('Dvd Calendar'!$X$780='Field Check'!$C$25)&gt;0,"",'Dvd Calendar'!$X$776)))</f>
        <v/>
      </c>
      <c r="CK60" s="85">
        <f>IF(W60="","",IF(ISNUMBER('Dvd Calendar'!$Y$776)=FALSE,"",IF((Summary!$C$13="N")*('Dvd Calendar'!$Y$780='Field Check'!$C$25)&gt;0,"",'Dvd Calendar'!$Y$776)))</f>
        <v/>
      </c>
      <c r="CL60" s="85">
        <f>IF(X60="","",IF(ISNUMBER('Dvd Calendar'!$Z$776)=FALSE,"",IF((Summary!$C$13="N")*('Dvd Calendar'!$Z$780='Field Check'!$C$25)&gt;0,"",'Dvd Calendar'!$Z$776)))</f>
        <v/>
      </c>
      <c r="CM60" s="85">
        <f>IF(Y60="","",IF(ISNUMBER('Dvd Calendar'!$AA$776)=FALSE,"",IF((Summary!$C$13="N")*('Dvd Calendar'!$AA$780='Field Check'!$C$25)&gt;0,"",'Dvd Calendar'!$AA$776)))</f>
        <v/>
      </c>
      <c r="CN60" s="85">
        <f>IF(Z60="","",IF(ISNUMBER('Dvd Calendar'!$AB$776)=FALSE,"",IF((Summary!$C$13="N")*('Dvd Calendar'!$AB$780='Field Check'!$C$25)&gt;0,"",'Dvd Calendar'!$AB$776)))</f>
        <v/>
      </c>
      <c r="CO60" s="85">
        <f>IF(AA60="","",IF(ISNUMBER('Dvd Calendar'!$AC$776)=FALSE,"",IF((Summary!$C$13="N")*('Dvd Calendar'!$AC$780='Field Check'!$C$25)&gt;0,"",'Dvd Calendar'!$AC$776)))</f>
        <v/>
      </c>
      <c r="CP60" s="85">
        <f>IF(AB60="","",IF(ISNUMBER('Dvd Calendar'!$AD$776)=FALSE,"",IF((Summary!$C$13="N")*('Dvd Calendar'!$AD$780='Field Check'!$C$25)&gt;0,"",'Dvd Calendar'!$AD$776)))</f>
        <v/>
      </c>
      <c r="CQ60" s="85">
        <f>IF(AC60="","",IF(ISNUMBER('Dvd Calendar'!$AE$776)=FALSE,"",IF((Summary!$C$13="N")*('Dvd Calendar'!$AE$780='Field Check'!$C$25)&gt;0,"",'Dvd Calendar'!$AE$776)))</f>
        <v/>
      </c>
      <c r="CR60" s="85">
        <f>IF(AD60="","",IF(ISNUMBER('Dvd Calendar'!$AF$776)=FALSE,"",IF((Summary!$C$13="N")*('Dvd Calendar'!$AF$780='Field Check'!$C$25)&gt;0,"",'Dvd Calendar'!$AF$776)))</f>
        <v/>
      </c>
      <c r="CS60" s="85">
        <f>IF(AE60="","",IF(ISNUMBER('Dvd Calendar'!$AG$776)=FALSE,"",IF((Summary!$C$13="N")*('Dvd Calendar'!$AG$780='Field Check'!$C$25)&gt;0,"",'Dvd Calendar'!$AG$776)))</f>
        <v/>
      </c>
      <c r="CT60" s="85">
        <f>IF(AF60="","",IF(ISNUMBER('Dvd Calendar'!$AH$776)=FALSE,"",IF((Summary!$C$13="N")*('Dvd Calendar'!$AH$780='Field Check'!$C$25)&gt;0,"",'Dvd Calendar'!$AH$776)))</f>
        <v/>
      </c>
      <c r="CU60" s="85">
        <f>IF(AG60="","",IF(ISNUMBER('Dvd Calendar'!$AI$776)=FALSE,"",IF((Summary!$C$13="N")*('Dvd Calendar'!$AI$780='Field Check'!$C$25)&gt;0,"",'Dvd Calendar'!$AI$776)))</f>
        <v/>
      </c>
      <c r="CV60" s="85">
        <f>IF(AH60="","",IF(ISNUMBER('Dvd Calendar'!$AJ$776)=FALSE,"",IF((Summary!$C$13="N")*('Dvd Calendar'!$AJ$780='Field Check'!$C$25)&gt;0,"",'Dvd Calendar'!$AJ$776)))</f>
        <v/>
      </c>
      <c r="CW60" s="85">
        <f>IF(AI60="","",IF(ISNUMBER('Dvd Calendar'!$AK$776)=FALSE,"",IF((Summary!$C$13="N")*('Dvd Calendar'!$AK$780='Field Check'!$C$25)&gt;0,"",'Dvd Calendar'!$AK$776)))</f>
        <v/>
      </c>
      <c r="CX60" s="85">
        <f>IF(AJ60="","",IF(ISNUMBER('Dvd Calendar'!$AL$776)=FALSE,"",IF((Summary!$C$13="N")*('Dvd Calendar'!$AL$780='Field Check'!$C$25)&gt;0,"",'Dvd Calendar'!$AL$776)))</f>
        <v/>
      </c>
      <c r="CY60" s="85">
        <f>IF(AK60="","",IF(ISNUMBER('Dvd Calendar'!$AM$776)=FALSE,"",IF((Summary!$C$13="N")*('Dvd Calendar'!$AM$780='Field Check'!$C$25)&gt;0,"",'Dvd Calendar'!$AM$776)))</f>
        <v/>
      </c>
      <c r="CZ60" s="85">
        <f>IF(AL60="","",IF(ISNUMBER('Dvd Calendar'!$AN$776)=FALSE,"",IF((Summary!$C$13="N")*('Dvd Calendar'!$AN$780='Field Check'!$C$25)&gt;0,"",'Dvd Calendar'!$AN$776)))</f>
        <v/>
      </c>
      <c r="DA60" s="85">
        <f>IF(AM60="","",IF(ISNUMBER('Dvd Calendar'!$AO$776)=FALSE,"",IF((Summary!$C$13="N")*('Dvd Calendar'!$AO$780='Field Check'!$C$25)&gt;0,"",'Dvd Calendar'!$AO$776)))</f>
        <v/>
      </c>
      <c r="DB60" s="85">
        <f>IF(AN60="","",IF(ISNUMBER('Dvd Calendar'!$AP$776)=FALSE,"",IF((Summary!$C$13="N")*('Dvd Calendar'!$AP$780='Field Check'!$C$25)&gt;0,"",'Dvd Calendar'!$AP$776)))</f>
        <v/>
      </c>
      <c r="DC60" s="85">
        <f>IF(AO60="","",IF(ISNUMBER('Dvd Calendar'!$AQ$776)=FALSE,"",IF((Summary!$C$13="N")*('Dvd Calendar'!$AQ$780='Field Check'!$C$25)&gt;0,"",'Dvd Calendar'!$AQ$776)))</f>
        <v/>
      </c>
      <c r="DD60" s="85">
        <f>IF(AP60="","",IF(ISNUMBER('Dvd Calendar'!$AR$776)=FALSE,"",IF((Summary!$C$13="N")*('Dvd Calendar'!$AR$780='Field Check'!$C$25)&gt;0,"",'Dvd Calendar'!$AR$776)))</f>
        <v/>
      </c>
      <c r="DE60" s="85">
        <f>IF(AQ60="","",IF(ISNUMBER('Dvd Calendar'!$E$783)=FALSE,"",IF((Summary!$C$13="N")*('Dvd Calendar'!$E$787='Field Check'!$C$25)&gt;0,"",'Dvd Calendar'!$E$783)))</f>
        <v/>
      </c>
      <c r="DF60" s="85">
        <f>IF(AR60="","",IF(ISNUMBER('Dvd Calendar'!$F$783)=FALSE,"",IF((Summary!$C$13="N")*('Dvd Calendar'!$F$787='Field Check'!$C$25)&gt;0,"",'Dvd Calendar'!$F$783)))</f>
        <v/>
      </c>
      <c r="DG60" s="85">
        <f>IF(AS60="","",IF(ISNUMBER('Dvd Calendar'!$G$783)=FALSE,"",IF((Summary!$C$13="N")*('Dvd Calendar'!$G$787='Field Check'!$C$25)&gt;0,"",'Dvd Calendar'!$G$783)))</f>
        <v/>
      </c>
      <c r="DH60" s="85">
        <f>IF(AT60="","",IF(ISNUMBER('Dvd Calendar'!$H$783)=FALSE,"",IF((Summary!$C$13="N")*('Dvd Calendar'!$H$787='Field Check'!$C$25)&gt;0,"",'Dvd Calendar'!$H$783)))</f>
        <v/>
      </c>
      <c r="DI60" s="85">
        <f>IF(AU60="","",IF(ISNUMBER('Dvd Calendar'!$I$783)=FALSE,"",IF((Summary!$C$13="N")*('Dvd Calendar'!$I$787='Field Check'!$C$25)&gt;0,"",'Dvd Calendar'!$I$783)))</f>
        <v/>
      </c>
      <c r="DJ60" s="85">
        <f>IF(AV60="","",IF(ISNUMBER('Dvd Calendar'!$J$783)=FALSE,"",IF((Summary!$C$13="N")*('Dvd Calendar'!$J$787='Field Check'!$C$25)&gt;0,"",'Dvd Calendar'!$J$783)))</f>
        <v/>
      </c>
      <c r="DK60" s="85">
        <f>IF(AW60="","",IF(ISNUMBER('Dvd Calendar'!$K$783)=FALSE,"",IF((Summary!$C$13="N")*('Dvd Calendar'!$K$787='Field Check'!$C$25)&gt;0,"",'Dvd Calendar'!$K$783)))</f>
        <v/>
      </c>
      <c r="DL60" s="85">
        <f>IF(AX60="","",IF(ISNUMBER('Dvd Calendar'!$L$783)=FALSE,"",IF((Summary!$C$13="N")*('Dvd Calendar'!$L$787='Field Check'!$C$25)&gt;0,"",'Dvd Calendar'!$L$783)))</f>
        <v/>
      </c>
      <c r="DM60" s="85">
        <f>IF(AY60="","",IF(ISNUMBER('Dvd Calendar'!$M$783)=FALSE,"",IF((Summary!$C$13="N")*('Dvd Calendar'!$M$787='Field Check'!$C$25)&gt;0,"",'Dvd Calendar'!$M$783)))</f>
        <v/>
      </c>
      <c r="DN60" s="85">
        <f>IF(AZ60="","",IF(ISNUMBER('Dvd Calendar'!$N$783)=FALSE,"",IF((Summary!$C$13="N")*('Dvd Calendar'!$N$787='Field Check'!$C$25)&gt;0,"",'Dvd Calendar'!$N$783)))</f>
        <v/>
      </c>
      <c r="DO60" s="85">
        <f>IF(BA60="","",IF(ISNUMBER('Dvd Calendar'!$O$783)=FALSE,"",IF((Summary!$C$13="N")*('Dvd Calendar'!$O$787='Field Check'!$C$25)&gt;0,"",'Dvd Calendar'!$O$783)))</f>
        <v/>
      </c>
      <c r="DP60" s="85">
        <f>IF(BB60="","",IF(ISNUMBER('Dvd Calendar'!$P$783)=FALSE,"",IF((Summary!$C$13="N")*('Dvd Calendar'!$P$787='Field Check'!$C$25)&gt;0,"",'Dvd Calendar'!$P$783)))</f>
        <v/>
      </c>
      <c r="DQ60" s="85">
        <f>IF(BC60="","",IF(ISNUMBER('Dvd Calendar'!$Q$783)=FALSE,"",IF((Summary!$C$13="N")*('Dvd Calendar'!$Q$787='Field Check'!$C$25)&gt;0,"",'Dvd Calendar'!$Q$783)))</f>
        <v/>
      </c>
      <c r="DR60" s="85">
        <f>IF(BD60="","",IF(ISNUMBER('Dvd Calendar'!$R$783)=FALSE,"",IF((Summary!$C$13="N")*('Dvd Calendar'!$R$787='Field Check'!$C$25)&gt;0,"",'Dvd Calendar'!$R$783)))</f>
        <v/>
      </c>
      <c r="DS60" s="85">
        <f>IF(BE60="","",IF(ISNUMBER('Dvd Calendar'!$S$783)=FALSE,"",IF((Summary!$C$13="N")*('Dvd Calendar'!$S$787='Field Check'!$C$25)&gt;0,"",'Dvd Calendar'!$S$783)))</f>
        <v/>
      </c>
      <c r="DT60" s="85">
        <f>IF(BF60="","",IF(ISNUMBER('Dvd Calendar'!$T$783)=FALSE,"",IF((Summary!$C$13="N")*('Dvd Calendar'!$T$787='Field Check'!$C$25)&gt;0,"",'Dvd Calendar'!$T$783)))</f>
        <v/>
      </c>
      <c r="DU60" s="85">
        <f>IF(BG60="","",IF(ISNUMBER('Dvd Calendar'!$U$783)=FALSE,"",IF((Summary!$C$13="N")*('Dvd Calendar'!$U$787='Field Check'!$C$25)&gt;0,"",'Dvd Calendar'!$U$783)))</f>
        <v/>
      </c>
      <c r="DV60" s="85">
        <f>IF(BH60="","",IF(ISNUMBER('Dvd Calendar'!$V$783)=FALSE,"",IF((Summary!$C$13="N")*('Dvd Calendar'!$V$787='Field Check'!$C$25)&gt;0,"",'Dvd Calendar'!$V$783)))</f>
        <v/>
      </c>
      <c r="DW60" s="85">
        <f>IF(BI60="","",IF(ISNUMBER('Dvd Calendar'!$W$783)=FALSE,"",IF((Summary!$C$13="N")*('Dvd Calendar'!$W$787='Field Check'!$C$25)&gt;0,"",'Dvd Calendar'!$W$783)))</f>
        <v/>
      </c>
      <c r="DX60" s="85">
        <f>IF(BJ60="","",IF(ISNUMBER('Dvd Calendar'!$X$783)=FALSE,"",IF((Summary!$C$13="N")*('Dvd Calendar'!$X$787='Field Check'!$C$25)&gt;0,"",'Dvd Calendar'!$X$783)))</f>
        <v/>
      </c>
      <c r="DY60" s="85">
        <f>IF(BK60="","",IF(ISNUMBER('Dvd Calendar'!$Y$783)=FALSE,"",IF((Summary!$C$13="N")*('Dvd Calendar'!$Y$787='Field Check'!$C$25)&gt;0,"",'Dvd Calendar'!$Y$783)))</f>
        <v/>
      </c>
      <c r="DZ60" s="85">
        <f>IF(BL60="","",IF(ISNUMBER('Dvd Calendar'!$Z$783)=FALSE,"",IF((Summary!$C$13="N")*('Dvd Calendar'!$Z$787='Field Check'!$C$25)&gt;0,"",'Dvd Calendar'!$Z$783)))</f>
        <v/>
      </c>
      <c r="EA60" s="85">
        <f>IF(BM60="","",IF(ISNUMBER('Dvd Calendar'!$AA$783)=FALSE,"",IF((Summary!$C$13="N")*('Dvd Calendar'!$AA$787='Field Check'!$C$25)&gt;0,"",'Dvd Calendar'!$AA$783)))</f>
        <v/>
      </c>
      <c r="EB60" s="85">
        <f>IF(BN60="","",IF(ISNUMBER('Dvd Calendar'!$AB$783)=FALSE,"",IF((Summary!$C$13="N")*('Dvd Calendar'!$AB$787='Field Check'!$C$25)&gt;0,"",'Dvd Calendar'!$AB$783)))</f>
        <v/>
      </c>
      <c r="EC60" s="85">
        <f>IF(BO60="","",IF(ISNUMBER('Dvd Calendar'!$AC$783)=FALSE,"",IF((Summary!$C$13="N")*('Dvd Calendar'!$AC$787='Field Check'!$C$25)&gt;0,"",'Dvd Calendar'!$AC$783)))</f>
        <v/>
      </c>
      <c r="EE60" s="85">
        <f>IF(BQ60="","",IFERROR(BQ60*HSI!$B$58*HSI!$G$58/HSI!$B$3,""))</f>
        <v/>
      </c>
      <c r="EF60" s="85">
        <f>IF(BR60="","",IFERROR(BR60*HSI!$B$58*HSI!$G$58/HSI!$B$3,""))</f>
        <v/>
      </c>
      <c r="EG60" s="85">
        <f>IF(BS60="","",IFERROR(BS60*HSI!$B$58*HSI!$G$58/HSI!$B$3,""))</f>
        <v/>
      </c>
      <c r="EH60" s="85">
        <f>IF(BT60="","",IFERROR(BT60*HSI!$B$58*HSI!$G$58/HSI!$B$3,""))</f>
        <v/>
      </c>
      <c r="EI60" s="85">
        <f>IF(BU60="","",IFERROR(BU60*HSI!$B$58*HSI!$G$58/HSI!$B$3,""))</f>
        <v/>
      </c>
      <c r="EJ60" s="85">
        <f>IF(BV60="","",IFERROR(BV60*HSI!$B$58*HSI!$G$58/HSI!$B$3,""))</f>
        <v/>
      </c>
      <c r="EK60" s="85">
        <f>IF(BW60="","",IFERROR(BW60*HSI!$B$58*HSI!$G$58/HSI!$B$3,""))</f>
        <v/>
      </c>
      <c r="EL60" s="85">
        <f>IF(BX60="","",IFERROR(BX60*HSI!$B$58*HSI!$G$58/HSI!$B$3,""))</f>
        <v/>
      </c>
      <c r="EM60" s="85">
        <f>IF(BY60="","",IFERROR(BY60*HSI!$B$58*HSI!$G$58/HSI!$B$3,""))</f>
        <v/>
      </c>
      <c r="EN60" s="85">
        <f>IF(BZ60="","",IFERROR(BZ60*HSI!$B$58*HSI!$G$58/HSI!$B$3,""))</f>
        <v/>
      </c>
      <c r="EO60" s="85">
        <f>IF(CA60="","",IFERROR(CA60*HSI!$B$58*HSI!$G$58/HSI!$B$3,""))</f>
        <v/>
      </c>
      <c r="EP60" s="85">
        <f>IF(CB60="","",IFERROR(CB60*HSI!$B$58*HSI!$G$58/HSI!$B$3,""))</f>
        <v/>
      </c>
      <c r="EQ60" s="85">
        <f>IF(CC60="","",IFERROR(CC60*HSI!$B$58*HSI!$G$58/HSI!$B$3,""))</f>
        <v/>
      </c>
      <c r="ER60" s="85">
        <f>IF(CD60="","",IFERROR(CD60*HSI!$B$58*HSI!$G$58/HSI!$B$3,""))</f>
        <v/>
      </c>
      <c r="ES60" s="85">
        <f>IF(CE60="","",IFERROR(CE60*HSI!$B$58*HSI!$G$58/HSI!$B$3,""))</f>
        <v/>
      </c>
      <c r="ET60" s="85">
        <f>IF(CF60="","",IFERROR(CF60*HSI!$B$58*HSI!$G$58/HSI!$B$3,""))</f>
        <v/>
      </c>
      <c r="EU60" s="85">
        <f>IF(CG60="","",IFERROR(CG60*HSI!$B$58*HSI!$G$58/HSI!$B$3,""))</f>
        <v/>
      </c>
      <c r="EV60" s="85">
        <f>IF(CH60="","",IFERROR(CH60*HSI!$B$58*HSI!$G$58/HSI!$B$3,""))</f>
        <v/>
      </c>
      <c r="EW60" s="85">
        <f>IF(CI60="","",IFERROR(CI60*HSI!$B$58*HSI!$G$58/HSI!$B$3,""))</f>
        <v/>
      </c>
      <c r="EX60" s="85">
        <f>IF(CJ60="","",IFERROR(CJ60*HSI!$B$58*HSI!$G$58/HSI!$B$3,""))</f>
        <v/>
      </c>
      <c r="EY60" s="85">
        <f>IF(CK60="","",IFERROR(CK60*HSI!$B$58*HSI!$G$58/HSI!$B$3,""))</f>
        <v/>
      </c>
      <c r="EZ60" s="85">
        <f>IF(CL60="","",IFERROR(CL60*HSI!$B$58*HSI!$G$58/HSI!$B$3,""))</f>
        <v/>
      </c>
      <c r="FA60" s="85">
        <f>IF(CM60="","",IFERROR(CM60*HSI!$B$58*HSI!$G$58/HSI!$B$3,""))</f>
        <v/>
      </c>
      <c r="FB60" s="85">
        <f>IF(CN60="","",IFERROR(CN60*HSI!$B$58*HSI!$G$58/HSI!$B$3,""))</f>
        <v/>
      </c>
      <c r="FC60" s="85">
        <f>IF(CO60="","",IFERROR(CO60*HSI!$B$58*HSI!$G$58/HSI!$B$3,""))</f>
        <v/>
      </c>
      <c r="FD60" s="85">
        <f>IF(CP60="","",IFERROR(CP60*HSI!$B$58*HSI!$G$58/HSI!$B$3,""))</f>
        <v/>
      </c>
      <c r="FE60" s="85">
        <f>IF(CQ60="","",IFERROR(CQ60*HSI!$B$58*HSI!$G$58/HSI!$B$3,""))</f>
        <v/>
      </c>
      <c r="FF60" s="85">
        <f>IF(CR60="","",IFERROR(CR60*HSI!$B$58*HSI!$G$58/HSI!$B$3,""))</f>
        <v/>
      </c>
      <c r="FG60" s="85">
        <f>IF(CS60="","",IFERROR(CS60*HSI!$B$58*HSI!$G$58/HSI!$B$3,""))</f>
        <v/>
      </c>
      <c r="FH60" s="85">
        <f>IF(CT60="","",IFERROR(CT60*HSI!$B$58*HSI!$G$58/HSI!$B$3,""))</f>
        <v/>
      </c>
      <c r="FI60" s="85">
        <f>IF(CU60="","",IFERROR(CU60*HSI!$B$58*HSI!$G$58/HSI!$B$3,""))</f>
        <v/>
      </c>
      <c r="FJ60" s="85">
        <f>IF(CV60="","",IFERROR(CV60*HSI!$B$58*HSI!$G$58/HSI!$B$3,""))</f>
        <v/>
      </c>
      <c r="FK60" s="85">
        <f>IF(CW60="","",IFERROR(CW60*HSI!$B$58*HSI!$G$58/HSI!$B$3,""))</f>
        <v/>
      </c>
      <c r="FL60" s="85">
        <f>IF(CX60="","",IFERROR(CX60*HSI!$B$58*HSI!$G$58/HSI!$B$3,""))</f>
        <v/>
      </c>
      <c r="FM60" s="85">
        <f>IF(CY60="","",IFERROR(CY60*HSI!$B$58*HSI!$G$58/HSI!$B$3,""))</f>
        <v/>
      </c>
      <c r="FN60" s="85">
        <f>IF(CZ60="","",IFERROR(CZ60*HSI!$B$58*HSI!$G$58/HSI!$B$3,""))</f>
        <v/>
      </c>
      <c r="FO60" s="85">
        <f>IF(DA60="","",IFERROR(DA60*HSI!$B$58*HSI!$G$58/HSI!$B$3,""))</f>
        <v/>
      </c>
      <c r="FP60" s="85">
        <f>IF(DB60="","",IFERROR(DB60*HSI!$B$58*HSI!$G$58/HSI!$B$3,""))</f>
        <v/>
      </c>
      <c r="FQ60" s="85">
        <f>IF(DC60="","",IFERROR(DC60*HSI!$B$58*HSI!$G$58/HSI!$B$3,""))</f>
        <v/>
      </c>
      <c r="FR60" s="85">
        <f>IF(DD60="","",IFERROR(DD60*HSI!$B$58*HSI!$G$58/HSI!$B$3,""))</f>
        <v/>
      </c>
      <c r="FS60" s="85">
        <f>IF(DE60="","",IFERROR(DE60*HSI!$B$58*HSI!$G$58/HSI!$B$3,""))</f>
        <v/>
      </c>
      <c r="FT60" s="85">
        <f>IF(DF60="","",IFERROR(DF60*HSI!$B$58*HSI!$G$58/HSI!$B$3,""))</f>
        <v/>
      </c>
      <c r="FU60" s="85">
        <f>IF(DG60="","",IFERROR(DG60*HSI!$B$58*HSI!$G$58/HSI!$B$3,""))</f>
        <v/>
      </c>
      <c r="FV60" s="85">
        <f>IF(DH60="","",IFERROR(DH60*HSI!$B$58*HSI!$G$58/HSI!$B$3,""))</f>
        <v/>
      </c>
      <c r="FW60" s="85">
        <f>IF(DI60="","",IFERROR(DI60*HSI!$B$58*HSI!$G$58/HSI!$B$3,""))</f>
        <v/>
      </c>
      <c r="FX60" s="85">
        <f>IF(DJ60="","",IFERROR(DJ60*HSI!$B$58*HSI!$G$58/HSI!$B$3,""))</f>
        <v/>
      </c>
      <c r="FY60" s="85">
        <f>IF(DK60="","",IFERROR(DK60*HSI!$B$58*HSI!$G$58/HSI!$B$3,""))</f>
        <v/>
      </c>
      <c r="FZ60" s="85">
        <f>IF(DL60="","",IFERROR(DL60*HSI!$B$58*HSI!$G$58/HSI!$B$3,""))</f>
        <v/>
      </c>
      <c r="GA60" s="85">
        <f>IF(DM60="","",IFERROR(DM60*HSI!$B$58*HSI!$G$58/HSI!$B$3,""))</f>
        <v/>
      </c>
      <c r="GB60" s="85">
        <f>IF(DN60="","",IFERROR(DN60*HSI!$B$58*HSI!$G$58/HSI!$B$3,""))</f>
        <v/>
      </c>
      <c r="GC60" s="85">
        <f>IF(DO60="","",IFERROR(DO60*HSI!$B$58*HSI!$G$58/HSI!$B$3,""))</f>
        <v/>
      </c>
      <c r="GD60" s="85">
        <f>IF(DP60="","",IFERROR(DP60*HSI!$B$58*HSI!$G$58/HSI!$B$3,""))</f>
        <v/>
      </c>
      <c r="GE60" s="85">
        <f>IF(DQ60="","",IFERROR(DQ60*HSI!$B$58*HSI!$G$58/HSI!$B$3,""))</f>
        <v/>
      </c>
      <c r="GF60" s="85">
        <f>IF(DR60="","",IFERROR(DR60*HSI!$B$58*HSI!$G$58/HSI!$B$3,""))</f>
        <v/>
      </c>
      <c r="GG60" s="85">
        <f>IF(DS60="","",IFERROR(DS60*HSI!$B$58*HSI!$G$58/HSI!$B$3,""))</f>
        <v/>
      </c>
      <c r="GH60" s="85">
        <f>IF(DT60="","",IFERROR(DT60*HSI!$B$58*HSI!$G$58/HSI!$B$3,""))</f>
        <v/>
      </c>
      <c r="GI60" s="85">
        <f>IF(DU60="","",IFERROR(DU60*HSI!$B$58*HSI!$G$58/HSI!$B$3,""))</f>
        <v/>
      </c>
      <c r="GJ60" s="85">
        <f>IF(DV60="","",IFERROR(DV60*HSI!$B$58*HSI!$G$58/HSI!$B$3,""))</f>
        <v/>
      </c>
      <c r="GK60" s="85">
        <f>IF(DW60="","",IFERROR(DW60*HSI!$B$58*HSI!$G$58/HSI!$B$3,""))</f>
        <v/>
      </c>
      <c r="GL60" s="85">
        <f>IF(DX60="","",IFERROR(DX60*HSI!$B$58*HSI!$G$58/HSI!$B$3,""))</f>
        <v/>
      </c>
      <c r="GM60" s="85">
        <f>IF(DY60="","",IFERROR(DY60*HSI!$B$58*HSI!$G$58/HSI!$B$3,""))</f>
        <v/>
      </c>
      <c r="GN60" s="85">
        <f>IF(DZ60="","",IFERROR(DZ60*HSI!$B$58*HSI!$G$58/HSI!$B$3,""))</f>
        <v/>
      </c>
      <c r="GO60" s="85">
        <f>IF(EA60="","",IFERROR(EA60*HSI!$B$58*HSI!$G$58/HSI!$B$3,""))</f>
        <v/>
      </c>
      <c r="GP60" s="85">
        <f>IF(EB60="","",IFERROR(EB60*HSI!$B$58*HSI!$G$58/HSI!$B$3,""))</f>
        <v/>
      </c>
      <c r="GQ60" s="85">
        <f>IF(EC60="","",IFERROR(EC60*HSI!$B$58*HSI!$G$58/HSI!$B$3,""))</f>
        <v/>
      </c>
    </row>
    <row r="61">
      <c r="B61" s="2">
        <f>IF(HSI!$C$59="","",HSI!$C$59)</f>
        <v/>
      </c>
      <c r="C61" s="41">
        <f>IF(N('Dvd Calendar'!$E$790)=0,"",IF(('Dvd Calendar'!$E$790&gt;=MIN(DATE(Summary!$C$12,1,1),Summary!$C$11))*('Dvd Calendar'!$E$790&lt;=MAX(DATE(Summary!$C$12,12,31),Summary!$C$15))*('Dvd Calendar'!$E$790&lt;=Summary!$C$11)=0,"",'Dvd Calendar'!$E$790*1000000000+ISNUMBER('Dvd Calendar'!$E$791)*100000000+('Dvd Calendar'!$E$795='Field Check'!$C$25)*10000000+(N('Dvd Calendar'!$E$789)&gt;0)*1000000+53*1000+1))</f>
        <v/>
      </c>
      <c r="D61" s="41">
        <f>IF(N('Dvd Calendar'!$F$790)=0,"",IF(('Dvd Calendar'!$F$790&gt;=MIN(DATE(Summary!$C$12,1,1),Summary!$C$11))*('Dvd Calendar'!$F$790&lt;=MAX(DATE(Summary!$C$12,12,31),Summary!$C$15))*('Dvd Calendar'!$F$790&lt;=Summary!$C$11)=0,"",'Dvd Calendar'!$F$790*1000000000+ISNUMBER('Dvd Calendar'!$F$791)*100000000+('Dvd Calendar'!$F$795='Field Check'!$C$25)*10000000+(N('Dvd Calendar'!$F$789)&gt;0)*1000000+53*1000+2))</f>
        <v/>
      </c>
      <c r="E61" s="41">
        <f>IF(N('Dvd Calendar'!$G$790)=0,"",IF(('Dvd Calendar'!$G$790&gt;=MIN(DATE(Summary!$C$12,1,1),Summary!$C$11))*('Dvd Calendar'!$G$790&lt;=MAX(DATE(Summary!$C$12,12,31),Summary!$C$15))*('Dvd Calendar'!$G$790&lt;=Summary!$C$11)=0,"",'Dvd Calendar'!$G$790*1000000000+ISNUMBER('Dvd Calendar'!$G$791)*100000000+('Dvd Calendar'!$G$795='Field Check'!$C$25)*10000000+(N('Dvd Calendar'!$G$789)&gt;0)*1000000+53*1000+3))</f>
        <v/>
      </c>
      <c r="F61" s="41">
        <f>IF(N('Dvd Calendar'!$H$790)=0,"",IF(('Dvd Calendar'!$H$790&gt;=MIN(DATE(Summary!$C$12,1,1),Summary!$C$11))*('Dvd Calendar'!$H$790&lt;=MAX(DATE(Summary!$C$12,12,31),Summary!$C$15))*('Dvd Calendar'!$H$790&lt;=Summary!$C$11)=0,"",'Dvd Calendar'!$H$790*1000000000+ISNUMBER('Dvd Calendar'!$H$791)*100000000+('Dvd Calendar'!$H$795='Field Check'!$C$25)*10000000+(N('Dvd Calendar'!$H$789)&gt;0)*1000000+53*1000+4))</f>
        <v/>
      </c>
      <c r="G61" s="41">
        <f>IF(N('Dvd Calendar'!$I$790)=0,"",IF(('Dvd Calendar'!$I$790&gt;=MIN(DATE(Summary!$C$12,1,1),Summary!$C$11))*('Dvd Calendar'!$I$790&lt;=MAX(DATE(Summary!$C$12,12,31),Summary!$C$15))*('Dvd Calendar'!$I$790&lt;=Summary!$C$11)=0,"",'Dvd Calendar'!$I$790*1000000000+ISNUMBER('Dvd Calendar'!$I$791)*100000000+('Dvd Calendar'!$I$795='Field Check'!$C$25)*10000000+(N('Dvd Calendar'!$I$789)&gt;0)*1000000+53*1000+5))</f>
        <v/>
      </c>
      <c r="H61" s="41">
        <f>IF(N('Dvd Calendar'!$J$790)=0,"",IF(('Dvd Calendar'!$J$790&gt;=MIN(DATE(Summary!$C$12,1,1),Summary!$C$11))*('Dvd Calendar'!$J$790&lt;=MAX(DATE(Summary!$C$12,12,31),Summary!$C$15))*('Dvd Calendar'!$J$790&lt;=Summary!$C$11)=0,"",'Dvd Calendar'!$J$790*1000000000+ISNUMBER('Dvd Calendar'!$J$791)*100000000+('Dvd Calendar'!$J$795='Field Check'!$C$25)*10000000+(N('Dvd Calendar'!$J$789)&gt;0)*1000000+53*1000+6))</f>
        <v/>
      </c>
      <c r="I61" s="41">
        <f>IF(N('Dvd Calendar'!$K$790)=0,"",IF(('Dvd Calendar'!$K$790&gt;=MIN(DATE(Summary!$C$12,1,1),Summary!$C$11))*('Dvd Calendar'!$K$790&lt;=MAX(DATE(Summary!$C$12,12,31),Summary!$C$15))*('Dvd Calendar'!$K$790&lt;=Summary!$C$11)=0,"",'Dvd Calendar'!$K$790*1000000000+ISNUMBER('Dvd Calendar'!$K$791)*100000000+('Dvd Calendar'!$K$795='Field Check'!$C$25)*10000000+(N('Dvd Calendar'!$K$789)&gt;0)*1000000+53*1000+7))</f>
        <v/>
      </c>
      <c r="J61" s="41">
        <f>IF(N('Dvd Calendar'!$L$790)=0,"",IF(('Dvd Calendar'!$L$790&gt;=MIN(DATE(Summary!$C$12,1,1),Summary!$C$11))*('Dvd Calendar'!$L$790&lt;=MAX(DATE(Summary!$C$12,12,31),Summary!$C$15))*('Dvd Calendar'!$L$790&lt;=Summary!$C$11)=0,"",'Dvd Calendar'!$L$790*1000000000+ISNUMBER('Dvd Calendar'!$L$791)*100000000+('Dvd Calendar'!$L$795='Field Check'!$C$25)*10000000+(N('Dvd Calendar'!$L$789)&gt;0)*1000000+53*1000+8))</f>
        <v/>
      </c>
      <c r="K61" s="41">
        <f>IF(N('Dvd Calendar'!$M$790)=0,"",IF(('Dvd Calendar'!$M$790&gt;=MIN(DATE(Summary!$C$12,1,1),Summary!$C$11))*('Dvd Calendar'!$M$790&lt;=MAX(DATE(Summary!$C$12,12,31),Summary!$C$15))*('Dvd Calendar'!$M$790&lt;=Summary!$C$11)=0,"",'Dvd Calendar'!$M$790*1000000000+ISNUMBER('Dvd Calendar'!$M$791)*100000000+('Dvd Calendar'!$M$795='Field Check'!$C$25)*10000000+(N('Dvd Calendar'!$M$789)&gt;0)*1000000+53*1000+9))</f>
        <v/>
      </c>
      <c r="L61" s="41">
        <f>IF(N('Dvd Calendar'!$N$790)=0,"",IF(('Dvd Calendar'!$N$790&gt;=MIN(DATE(Summary!$C$12,1,1),Summary!$C$11))*('Dvd Calendar'!$N$790&lt;=MAX(DATE(Summary!$C$12,12,31),Summary!$C$15))*('Dvd Calendar'!$N$790&lt;=Summary!$C$11)=0,"",'Dvd Calendar'!$N$790*1000000000+ISNUMBER('Dvd Calendar'!$N$791)*100000000+('Dvd Calendar'!$N$795='Field Check'!$C$25)*10000000+(N('Dvd Calendar'!$N$789)&gt;0)*1000000+53*1000+10))</f>
        <v/>
      </c>
      <c r="M61" s="41">
        <f>IF(N('Dvd Calendar'!$O$790)=0,"",IF(('Dvd Calendar'!$O$790&gt;=MIN(DATE(Summary!$C$12,1,1),Summary!$C$11))*('Dvd Calendar'!$O$790&lt;=MAX(DATE(Summary!$C$12,12,31),Summary!$C$15))*('Dvd Calendar'!$O$790&lt;=Summary!$C$11)=0,"",'Dvd Calendar'!$O$790*1000000000+ISNUMBER('Dvd Calendar'!$O$791)*100000000+('Dvd Calendar'!$O$795='Field Check'!$C$25)*10000000+(N('Dvd Calendar'!$O$789)&gt;0)*1000000+53*1000+11))</f>
        <v/>
      </c>
      <c r="N61" s="41">
        <f>IF(N('Dvd Calendar'!$P$790)=0,"",IF(('Dvd Calendar'!$P$790&gt;=MIN(DATE(Summary!$C$12,1,1),Summary!$C$11))*('Dvd Calendar'!$P$790&lt;=MAX(DATE(Summary!$C$12,12,31),Summary!$C$15))*('Dvd Calendar'!$P$790&lt;=Summary!$C$11)=0,"",'Dvd Calendar'!$P$790*1000000000+ISNUMBER('Dvd Calendar'!$P$791)*100000000+('Dvd Calendar'!$P$795='Field Check'!$C$25)*10000000+(N('Dvd Calendar'!$P$789)&gt;0)*1000000+53*1000+12))</f>
        <v/>
      </c>
      <c r="O61" s="41">
        <f>IF(N('Dvd Calendar'!$Q$790)=0,"",IF(('Dvd Calendar'!$Q$790&gt;=MIN(DATE(Summary!$C$12,1,1),Summary!$C$11))*('Dvd Calendar'!$Q$790&lt;=MAX(DATE(Summary!$C$12,12,31),Summary!$C$15))*('Dvd Calendar'!$Q$790&lt;=Summary!$C$11)=0,"",'Dvd Calendar'!$Q$790*1000000000+ISNUMBER('Dvd Calendar'!$Q$791)*100000000+('Dvd Calendar'!$Q$795='Field Check'!$C$25)*10000000+(N('Dvd Calendar'!$Q$789)&gt;0)*1000000+53*1000+13))</f>
        <v/>
      </c>
      <c r="P61" s="41">
        <f>IF(N('Dvd Calendar'!$R$790)=0,"",IF(('Dvd Calendar'!$R$790&gt;=MIN(DATE(Summary!$C$12,1,1),Summary!$C$11))*('Dvd Calendar'!$R$790&lt;=MAX(DATE(Summary!$C$12,12,31),Summary!$C$15))*('Dvd Calendar'!$R$790&lt;=Summary!$C$11)=0,"",'Dvd Calendar'!$R$790*1000000000+ISNUMBER('Dvd Calendar'!$R$791)*100000000+('Dvd Calendar'!$R$795='Field Check'!$C$25)*10000000+(N('Dvd Calendar'!$R$789)&gt;0)*1000000+53*1000+14))</f>
        <v/>
      </c>
      <c r="Q61" s="41">
        <f>IF(N('Dvd Calendar'!$S$790)=0,"",IF(('Dvd Calendar'!$S$790&gt;=MIN(DATE(Summary!$C$12,1,1),Summary!$C$11))*('Dvd Calendar'!$S$790&lt;=MAX(DATE(Summary!$C$12,12,31),Summary!$C$15))*('Dvd Calendar'!$S$790&lt;=Summary!$C$11)=0,"",'Dvd Calendar'!$S$790*1000000000+ISNUMBER('Dvd Calendar'!$S$791)*100000000+('Dvd Calendar'!$S$795='Field Check'!$C$25)*10000000+(N('Dvd Calendar'!$S$789)&gt;0)*1000000+53*1000+15))</f>
        <v/>
      </c>
      <c r="R61" s="41">
        <f>IF(N('Dvd Calendar'!$T$790)=0,"",IF(('Dvd Calendar'!$T$790&gt;=MIN(DATE(Summary!$C$12,1,1),Summary!$C$11))*('Dvd Calendar'!$T$790&lt;=MAX(DATE(Summary!$C$12,12,31),Summary!$C$15))*('Dvd Calendar'!$T$790&lt;=Summary!$C$11)=0,"",'Dvd Calendar'!$T$790*1000000000+ISNUMBER('Dvd Calendar'!$T$791)*100000000+('Dvd Calendar'!$T$795='Field Check'!$C$25)*10000000+(N('Dvd Calendar'!$T$789)&gt;0)*1000000+53*1000+16))</f>
        <v/>
      </c>
      <c r="S61" s="41">
        <f>IF(N('Dvd Calendar'!$U$790)=0,"",IF(('Dvd Calendar'!$U$790&gt;=MIN(DATE(Summary!$C$12,1,1),Summary!$C$11))*('Dvd Calendar'!$U$790&lt;=MAX(DATE(Summary!$C$12,12,31),Summary!$C$15))*('Dvd Calendar'!$U$790&lt;=Summary!$C$11)=0,"",'Dvd Calendar'!$U$790*1000000000+ISNUMBER('Dvd Calendar'!$U$791)*100000000+('Dvd Calendar'!$U$795='Field Check'!$C$25)*10000000+(N('Dvd Calendar'!$U$789)&gt;0)*1000000+53*1000+17))</f>
        <v/>
      </c>
      <c r="T61" s="41">
        <f>IF(N('Dvd Calendar'!$V$790)=0,"",IF(('Dvd Calendar'!$V$790&gt;=MIN(DATE(Summary!$C$12,1,1),Summary!$C$11))*('Dvd Calendar'!$V$790&lt;=MAX(DATE(Summary!$C$12,12,31),Summary!$C$15))*('Dvd Calendar'!$V$790&lt;=Summary!$C$11)=0,"",'Dvd Calendar'!$V$790*1000000000+ISNUMBER('Dvd Calendar'!$V$791)*100000000+('Dvd Calendar'!$V$795='Field Check'!$C$25)*10000000+(N('Dvd Calendar'!$V$789)&gt;0)*1000000+53*1000+18))</f>
        <v/>
      </c>
      <c r="U61" s="41">
        <f>IF(N('Dvd Calendar'!$W$790)=0,"",IF(('Dvd Calendar'!$W$790&gt;=MIN(DATE(Summary!$C$12,1,1),Summary!$C$11))*('Dvd Calendar'!$W$790&lt;=MAX(DATE(Summary!$C$12,12,31),Summary!$C$15))*('Dvd Calendar'!$W$790&lt;=Summary!$C$11)=0,"",'Dvd Calendar'!$W$790*1000000000+ISNUMBER('Dvd Calendar'!$W$791)*100000000+('Dvd Calendar'!$W$795='Field Check'!$C$25)*10000000+(N('Dvd Calendar'!$W$789)&gt;0)*1000000+53*1000+19))</f>
        <v/>
      </c>
      <c r="V61" s="41">
        <f>IF(N('Dvd Calendar'!$X$790)=0,"",IF(('Dvd Calendar'!$X$790&gt;=MIN(DATE(Summary!$C$12,1,1),Summary!$C$11))*('Dvd Calendar'!$X$790&lt;=MAX(DATE(Summary!$C$12,12,31),Summary!$C$15))*('Dvd Calendar'!$X$790&lt;=Summary!$C$11)=0,"",'Dvd Calendar'!$X$790*1000000000+ISNUMBER('Dvd Calendar'!$X$791)*100000000+('Dvd Calendar'!$X$795='Field Check'!$C$25)*10000000+(N('Dvd Calendar'!$X$789)&gt;0)*1000000+53*1000+20))</f>
        <v/>
      </c>
      <c r="W61" s="41">
        <f>IF(N('Dvd Calendar'!$Y$790)=0,"",IF(('Dvd Calendar'!$Y$790&gt;=MIN(DATE(Summary!$C$12,1,1),Summary!$C$11))*('Dvd Calendar'!$Y$790&lt;=MAX(DATE(Summary!$C$12,12,31),Summary!$C$15))*('Dvd Calendar'!$Y$790&lt;=Summary!$C$11)=0,"",'Dvd Calendar'!$Y$790*1000000000+ISNUMBER('Dvd Calendar'!$Y$791)*100000000+('Dvd Calendar'!$Y$795='Field Check'!$C$25)*10000000+(N('Dvd Calendar'!$Y$789)&gt;0)*1000000+53*1000+21))</f>
        <v/>
      </c>
      <c r="X61" s="41">
        <f>IF(N('Dvd Calendar'!$Z$790)=0,"",IF(('Dvd Calendar'!$Z$790&gt;=MIN(DATE(Summary!$C$12,1,1),Summary!$C$11))*('Dvd Calendar'!$Z$790&lt;=MAX(DATE(Summary!$C$12,12,31),Summary!$C$15))*('Dvd Calendar'!$Z$790&lt;=Summary!$C$11)=0,"",'Dvd Calendar'!$Z$790*1000000000+ISNUMBER('Dvd Calendar'!$Z$791)*100000000+('Dvd Calendar'!$Z$795='Field Check'!$C$25)*10000000+(N('Dvd Calendar'!$Z$789)&gt;0)*1000000+53*1000+22))</f>
        <v/>
      </c>
      <c r="Y61" s="41">
        <f>IF(N('Dvd Calendar'!$AA$790)=0,"",IF(('Dvd Calendar'!$AA$790&gt;=MIN(DATE(Summary!$C$12,1,1),Summary!$C$11))*('Dvd Calendar'!$AA$790&lt;=MAX(DATE(Summary!$C$12,12,31),Summary!$C$15))*('Dvd Calendar'!$AA$790&lt;=Summary!$C$11)=0,"",'Dvd Calendar'!$AA$790*1000000000+ISNUMBER('Dvd Calendar'!$AA$791)*100000000+('Dvd Calendar'!$AA$795='Field Check'!$C$25)*10000000+(N('Dvd Calendar'!$AA$789)&gt;0)*1000000+53*1000+23))</f>
        <v/>
      </c>
      <c r="Z61" s="41">
        <f>IF(N('Dvd Calendar'!$AB$790)=0,"",IF(('Dvd Calendar'!$AB$790&gt;=MIN(DATE(Summary!$C$12,1,1),Summary!$C$11))*('Dvd Calendar'!$AB$790&lt;=MAX(DATE(Summary!$C$12,12,31),Summary!$C$15))*('Dvd Calendar'!$AB$790&lt;=Summary!$C$11)=0,"",'Dvd Calendar'!$AB$790*1000000000+ISNUMBER('Dvd Calendar'!$AB$791)*100000000+('Dvd Calendar'!$AB$795='Field Check'!$C$25)*10000000+(N('Dvd Calendar'!$AB$789)&gt;0)*1000000+53*1000+24))</f>
        <v/>
      </c>
      <c r="AA61" s="41">
        <f>IF(N('Dvd Calendar'!$AC$790)=0,"",IF(('Dvd Calendar'!$AC$790&gt;=MIN(DATE(Summary!$C$12,1,1),Summary!$C$11))*('Dvd Calendar'!$AC$790&lt;=MAX(DATE(Summary!$C$12,12,31),Summary!$C$15))*('Dvd Calendar'!$AC$790&lt;=Summary!$C$11)=0,"",'Dvd Calendar'!$AC$790*1000000000+ISNUMBER('Dvd Calendar'!$AC$791)*100000000+('Dvd Calendar'!$AC$795='Field Check'!$C$25)*10000000+(N('Dvd Calendar'!$AC$789)&gt;0)*1000000+53*1000+25))</f>
        <v/>
      </c>
      <c r="AB61" s="41">
        <f>IF(N('Dvd Calendar'!$AD$790)=0,"",IF(('Dvd Calendar'!$AD$790&gt;=MIN(DATE(Summary!$C$12,1,1),Summary!$C$11))*('Dvd Calendar'!$AD$790&lt;=MAX(DATE(Summary!$C$12,12,31),Summary!$C$15))*('Dvd Calendar'!$AD$790&lt;=Summary!$C$11)=0,"",'Dvd Calendar'!$AD$790*1000000000+ISNUMBER('Dvd Calendar'!$AD$791)*100000000+('Dvd Calendar'!$AD$795='Field Check'!$C$25)*10000000+(N('Dvd Calendar'!$AD$789)&gt;0)*1000000+53*1000+26))</f>
        <v/>
      </c>
      <c r="AC61" s="41">
        <f>IF(N('Dvd Calendar'!$AE$790)=0,"",IF(('Dvd Calendar'!$AE$790&gt;=MIN(DATE(Summary!$C$12,1,1),Summary!$C$11))*('Dvd Calendar'!$AE$790&lt;=MAX(DATE(Summary!$C$12,12,31),Summary!$C$15))*('Dvd Calendar'!$AE$790&lt;=Summary!$C$11)=0,"",'Dvd Calendar'!$AE$790*1000000000+ISNUMBER('Dvd Calendar'!$AE$791)*100000000+('Dvd Calendar'!$AE$795='Field Check'!$C$25)*10000000+(N('Dvd Calendar'!$AE$789)&gt;0)*1000000+53*1000+27))</f>
        <v/>
      </c>
      <c r="AD61" s="41">
        <f>IF(N('Dvd Calendar'!$AF$790)=0,"",IF(('Dvd Calendar'!$AF$790&gt;=MIN(DATE(Summary!$C$12,1,1),Summary!$C$11))*('Dvd Calendar'!$AF$790&lt;=MAX(DATE(Summary!$C$12,12,31),Summary!$C$15))*('Dvd Calendar'!$AF$790&lt;=Summary!$C$11)=0,"",'Dvd Calendar'!$AF$790*1000000000+ISNUMBER('Dvd Calendar'!$AF$791)*100000000+('Dvd Calendar'!$AF$795='Field Check'!$C$25)*10000000+(N('Dvd Calendar'!$AF$789)&gt;0)*1000000+53*1000+28))</f>
        <v/>
      </c>
      <c r="AE61" s="41">
        <f>IF(N('Dvd Calendar'!$AG$790)=0,"",IF(('Dvd Calendar'!$AG$790&gt;=MIN(DATE(Summary!$C$12,1,1),Summary!$C$11))*('Dvd Calendar'!$AG$790&lt;=MAX(DATE(Summary!$C$12,12,31),Summary!$C$15))*('Dvd Calendar'!$AG$790&lt;=Summary!$C$11)=0,"",'Dvd Calendar'!$AG$790*1000000000+ISNUMBER('Dvd Calendar'!$AG$791)*100000000+('Dvd Calendar'!$AG$795='Field Check'!$C$25)*10000000+(N('Dvd Calendar'!$AG$789)&gt;0)*1000000+53*1000+29))</f>
        <v/>
      </c>
      <c r="AF61" s="41">
        <f>IF(N('Dvd Calendar'!$AH$790)=0,"",IF(('Dvd Calendar'!$AH$790&gt;=MIN(DATE(Summary!$C$12,1,1),Summary!$C$11))*('Dvd Calendar'!$AH$790&lt;=MAX(DATE(Summary!$C$12,12,31),Summary!$C$15))*('Dvd Calendar'!$AH$790&lt;=Summary!$C$11)=0,"",'Dvd Calendar'!$AH$790*1000000000+ISNUMBER('Dvd Calendar'!$AH$791)*100000000+('Dvd Calendar'!$AH$795='Field Check'!$C$25)*10000000+(N('Dvd Calendar'!$AH$789)&gt;0)*1000000+53*1000+30))</f>
        <v/>
      </c>
      <c r="AG61" s="41">
        <f>IF(N('Dvd Calendar'!$AI$790)=0,"",IF(('Dvd Calendar'!$AI$790&gt;=MIN(DATE(Summary!$C$12,1,1),Summary!$C$11))*('Dvd Calendar'!$AI$790&lt;=MAX(DATE(Summary!$C$12,12,31),Summary!$C$15))*('Dvd Calendar'!$AI$790&lt;=Summary!$C$11)=0,"",'Dvd Calendar'!$AI$790*1000000000+ISNUMBER('Dvd Calendar'!$AI$791)*100000000+('Dvd Calendar'!$AI$795='Field Check'!$C$25)*10000000+(N('Dvd Calendar'!$AI$789)&gt;0)*1000000+53*1000+31))</f>
        <v/>
      </c>
      <c r="AH61" s="41">
        <f>IF(N('Dvd Calendar'!$AJ$790)=0,"",IF(('Dvd Calendar'!$AJ$790&gt;=MIN(DATE(Summary!$C$12,1,1),Summary!$C$11))*('Dvd Calendar'!$AJ$790&lt;=MAX(DATE(Summary!$C$12,12,31),Summary!$C$15))*('Dvd Calendar'!$AJ$790&lt;=Summary!$C$11)=0,"",'Dvd Calendar'!$AJ$790*1000000000+ISNUMBER('Dvd Calendar'!$AJ$791)*100000000+('Dvd Calendar'!$AJ$795='Field Check'!$C$25)*10000000+(N('Dvd Calendar'!$AJ$789)&gt;0)*1000000+53*1000+32))</f>
        <v/>
      </c>
      <c r="AI61" s="41">
        <f>IF(N('Dvd Calendar'!$AK$790)=0,"",IF(('Dvd Calendar'!$AK$790&gt;=MIN(DATE(Summary!$C$12,1,1),Summary!$C$11))*('Dvd Calendar'!$AK$790&lt;=MAX(DATE(Summary!$C$12,12,31),Summary!$C$15))*('Dvd Calendar'!$AK$790&lt;=Summary!$C$11)=0,"",'Dvd Calendar'!$AK$790*1000000000+ISNUMBER('Dvd Calendar'!$AK$791)*100000000+('Dvd Calendar'!$AK$795='Field Check'!$C$25)*10000000+(N('Dvd Calendar'!$AK$789)&gt;0)*1000000+53*1000+33))</f>
        <v/>
      </c>
      <c r="AJ61" s="41">
        <f>IF(N('Dvd Calendar'!$AL$790)=0,"",IF(('Dvd Calendar'!$AL$790&gt;=MIN(DATE(Summary!$C$12,1,1),Summary!$C$11))*('Dvd Calendar'!$AL$790&lt;=MAX(DATE(Summary!$C$12,12,31),Summary!$C$15))*('Dvd Calendar'!$AL$790&lt;=Summary!$C$11)=0,"",'Dvd Calendar'!$AL$790*1000000000+ISNUMBER('Dvd Calendar'!$AL$791)*100000000+('Dvd Calendar'!$AL$795='Field Check'!$C$25)*10000000+(N('Dvd Calendar'!$AL$789)&gt;0)*1000000+53*1000+34))</f>
        <v/>
      </c>
      <c r="AK61" s="41">
        <f>IF(N('Dvd Calendar'!$AM$790)=0,"",IF(('Dvd Calendar'!$AM$790&gt;=MIN(DATE(Summary!$C$12,1,1),Summary!$C$11))*('Dvd Calendar'!$AM$790&lt;=MAX(DATE(Summary!$C$12,12,31),Summary!$C$15))*('Dvd Calendar'!$AM$790&lt;=Summary!$C$11)=0,"",'Dvd Calendar'!$AM$790*1000000000+ISNUMBER('Dvd Calendar'!$AM$791)*100000000+('Dvd Calendar'!$AM$795='Field Check'!$C$25)*10000000+(N('Dvd Calendar'!$AM$789)&gt;0)*1000000+53*1000+35))</f>
        <v/>
      </c>
      <c r="AL61" s="41">
        <f>IF(N('Dvd Calendar'!$AN$790)=0,"",IF(('Dvd Calendar'!$AN$790&gt;=MIN(DATE(Summary!$C$12,1,1),Summary!$C$11))*('Dvd Calendar'!$AN$790&lt;=MAX(DATE(Summary!$C$12,12,31),Summary!$C$15))*('Dvd Calendar'!$AN$790&lt;=Summary!$C$11)=0,"",'Dvd Calendar'!$AN$790*1000000000+ISNUMBER('Dvd Calendar'!$AN$791)*100000000+('Dvd Calendar'!$AN$795='Field Check'!$C$25)*10000000+(N('Dvd Calendar'!$AN$789)&gt;0)*1000000+53*1000+36))</f>
        <v/>
      </c>
      <c r="AM61" s="41">
        <f>IF(N('Dvd Calendar'!$AO$790)=0,"",IF(('Dvd Calendar'!$AO$790&gt;=MIN(DATE(Summary!$C$12,1,1),Summary!$C$11))*('Dvd Calendar'!$AO$790&lt;=MAX(DATE(Summary!$C$12,12,31),Summary!$C$15))*('Dvd Calendar'!$AO$790&lt;=Summary!$C$11)=0,"",'Dvd Calendar'!$AO$790*1000000000+ISNUMBER('Dvd Calendar'!$AO$791)*100000000+('Dvd Calendar'!$AO$795='Field Check'!$C$25)*10000000+(N('Dvd Calendar'!$AO$789)&gt;0)*1000000+53*1000+37))</f>
        <v/>
      </c>
      <c r="AN61" s="41">
        <f>IF(N('Dvd Calendar'!$AP$790)=0,"",IF(('Dvd Calendar'!$AP$790&gt;=MIN(DATE(Summary!$C$12,1,1),Summary!$C$11))*('Dvd Calendar'!$AP$790&lt;=MAX(DATE(Summary!$C$12,12,31),Summary!$C$15))*('Dvd Calendar'!$AP$790&lt;=Summary!$C$11)=0,"",'Dvd Calendar'!$AP$790*1000000000+ISNUMBER('Dvd Calendar'!$AP$791)*100000000+('Dvd Calendar'!$AP$795='Field Check'!$C$25)*10000000+(N('Dvd Calendar'!$AP$789)&gt;0)*1000000+53*1000+38))</f>
        <v/>
      </c>
      <c r="AO61" s="41">
        <f>IF(N('Dvd Calendar'!$AQ$790)=0,"",IF(('Dvd Calendar'!$AQ$790&gt;=MIN(DATE(Summary!$C$12,1,1),Summary!$C$11))*('Dvd Calendar'!$AQ$790&lt;=MAX(DATE(Summary!$C$12,12,31),Summary!$C$15))*('Dvd Calendar'!$AQ$790&lt;=Summary!$C$11)=0,"",'Dvd Calendar'!$AQ$790*1000000000+ISNUMBER('Dvd Calendar'!$AQ$791)*100000000+('Dvd Calendar'!$AQ$795='Field Check'!$C$25)*10000000+(N('Dvd Calendar'!$AQ$789)&gt;0)*1000000+53*1000+39))</f>
        <v/>
      </c>
      <c r="AP61" s="41">
        <f>IF(N('Dvd Calendar'!$AR$790)=0,"",IF(('Dvd Calendar'!$AR$790&gt;=MIN(DATE(Summary!$C$12,1,1),Summary!$C$11))*('Dvd Calendar'!$AR$790&lt;=MAX(DATE(Summary!$C$12,12,31),Summary!$C$15))*('Dvd Calendar'!$AR$790&lt;=Summary!$C$11)=0,"",'Dvd Calendar'!$AR$790*1000000000+ISNUMBER('Dvd Calendar'!$AR$791)*100000000+('Dvd Calendar'!$AR$795='Field Check'!$C$25)*10000000+(N('Dvd Calendar'!$AR$789)&gt;0)*1000000+53*1000+40))</f>
        <v/>
      </c>
      <c r="AQ61" s="41">
        <f>IF(N('Dvd Calendar'!$E$797)=0,"",IF(('Dvd Calendar'!$E$797&gt;=MIN(DATE(Summary!$C$12,1,1),Summary!$C$11))*('Dvd Calendar'!$E$797&lt;=MAX(DATE(Summary!$C$12,12,31),Summary!$C$15))*('Dvd Calendar'!$E$797&gt;Summary!$C$11)=0,"",'Dvd Calendar'!$E$797*1000000000+ISNUMBER('Dvd Calendar'!$E$798)*100000000+('Dvd Calendar'!$E$802='Field Check'!$C$25)*10000000+(N('Dvd Calendar'!$E$796)&gt;0)*1000000+53*1000+41))</f>
        <v/>
      </c>
      <c r="AR61" s="41">
        <f>IF(N('Dvd Calendar'!$F$797)=0,"",IF(('Dvd Calendar'!$F$797&gt;=MIN(DATE(Summary!$C$12,1,1),Summary!$C$11))*('Dvd Calendar'!$F$797&lt;=MAX(DATE(Summary!$C$12,12,31),Summary!$C$15))*('Dvd Calendar'!$F$797&gt;Summary!$C$11)=0,"",'Dvd Calendar'!$F$797*1000000000+ISNUMBER('Dvd Calendar'!$F$798)*100000000+('Dvd Calendar'!$F$802='Field Check'!$C$25)*10000000+(N('Dvd Calendar'!$F$796)&gt;0)*1000000+53*1000+42))</f>
        <v/>
      </c>
      <c r="AS61" s="41">
        <f>IF(N('Dvd Calendar'!$G$797)=0,"",IF(('Dvd Calendar'!$G$797&gt;=MIN(DATE(Summary!$C$12,1,1),Summary!$C$11))*('Dvd Calendar'!$G$797&lt;=MAX(DATE(Summary!$C$12,12,31),Summary!$C$15))*('Dvd Calendar'!$G$797&gt;Summary!$C$11)=0,"",'Dvd Calendar'!$G$797*1000000000+ISNUMBER('Dvd Calendar'!$G$798)*100000000+('Dvd Calendar'!$G$802='Field Check'!$C$25)*10000000+(N('Dvd Calendar'!$G$796)&gt;0)*1000000+53*1000+43))</f>
        <v/>
      </c>
      <c r="AT61" s="41">
        <f>IF(N('Dvd Calendar'!$H$797)=0,"",IF(('Dvd Calendar'!$H$797&gt;=MIN(DATE(Summary!$C$12,1,1),Summary!$C$11))*('Dvd Calendar'!$H$797&lt;=MAX(DATE(Summary!$C$12,12,31),Summary!$C$15))*('Dvd Calendar'!$H$797&gt;Summary!$C$11)=0,"",'Dvd Calendar'!$H$797*1000000000+ISNUMBER('Dvd Calendar'!$H$798)*100000000+('Dvd Calendar'!$H$802='Field Check'!$C$25)*10000000+(N('Dvd Calendar'!$H$796)&gt;0)*1000000+53*1000+44))</f>
        <v/>
      </c>
      <c r="AU61" s="41">
        <f>IF(N('Dvd Calendar'!$I$797)=0,"",IF(('Dvd Calendar'!$I$797&gt;=MIN(DATE(Summary!$C$12,1,1),Summary!$C$11))*('Dvd Calendar'!$I$797&lt;=MAX(DATE(Summary!$C$12,12,31),Summary!$C$15))*('Dvd Calendar'!$I$797&gt;Summary!$C$11)=0,"",'Dvd Calendar'!$I$797*1000000000+ISNUMBER('Dvd Calendar'!$I$798)*100000000+('Dvd Calendar'!$I$802='Field Check'!$C$25)*10000000+(N('Dvd Calendar'!$I$796)&gt;0)*1000000+53*1000+45))</f>
        <v/>
      </c>
      <c r="AV61" s="41">
        <f>IF(N('Dvd Calendar'!$J$797)=0,"",IF(('Dvd Calendar'!$J$797&gt;=MIN(DATE(Summary!$C$12,1,1),Summary!$C$11))*('Dvd Calendar'!$J$797&lt;=MAX(DATE(Summary!$C$12,12,31),Summary!$C$15))*('Dvd Calendar'!$J$797&gt;Summary!$C$11)=0,"",'Dvd Calendar'!$J$797*1000000000+ISNUMBER('Dvd Calendar'!$J$798)*100000000+('Dvd Calendar'!$J$802='Field Check'!$C$25)*10000000+(N('Dvd Calendar'!$J$796)&gt;0)*1000000+53*1000+46))</f>
        <v/>
      </c>
      <c r="AW61" s="41">
        <f>IF(N('Dvd Calendar'!$K$797)=0,"",IF(('Dvd Calendar'!$K$797&gt;=MIN(DATE(Summary!$C$12,1,1),Summary!$C$11))*('Dvd Calendar'!$K$797&lt;=MAX(DATE(Summary!$C$12,12,31),Summary!$C$15))*('Dvd Calendar'!$K$797&gt;Summary!$C$11)=0,"",'Dvd Calendar'!$K$797*1000000000+ISNUMBER('Dvd Calendar'!$K$798)*100000000+('Dvd Calendar'!$K$802='Field Check'!$C$25)*10000000+(N('Dvd Calendar'!$K$796)&gt;0)*1000000+53*1000+47))</f>
        <v/>
      </c>
      <c r="AX61" s="41">
        <f>IF(N('Dvd Calendar'!$L$797)=0,"",IF(('Dvd Calendar'!$L$797&gt;=MIN(DATE(Summary!$C$12,1,1),Summary!$C$11))*('Dvd Calendar'!$L$797&lt;=MAX(DATE(Summary!$C$12,12,31),Summary!$C$15))*('Dvd Calendar'!$L$797&gt;Summary!$C$11)=0,"",'Dvd Calendar'!$L$797*1000000000+ISNUMBER('Dvd Calendar'!$L$798)*100000000+('Dvd Calendar'!$L$802='Field Check'!$C$25)*10000000+(N('Dvd Calendar'!$L$796)&gt;0)*1000000+53*1000+48))</f>
        <v/>
      </c>
      <c r="AY61" s="41">
        <f>IF(N('Dvd Calendar'!$M$797)=0,"",IF(('Dvd Calendar'!$M$797&gt;=MIN(DATE(Summary!$C$12,1,1),Summary!$C$11))*('Dvd Calendar'!$M$797&lt;=MAX(DATE(Summary!$C$12,12,31),Summary!$C$15))*('Dvd Calendar'!$M$797&gt;Summary!$C$11)=0,"",'Dvd Calendar'!$M$797*1000000000+ISNUMBER('Dvd Calendar'!$M$798)*100000000+('Dvd Calendar'!$M$802='Field Check'!$C$25)*10000000+(N('Dvd Calendar'!$M$796)&gt;0)*1000000+53*1000+49))</f>
        <v/>
      </c>
      <c r="AZ61" s="41">
        <f>IF(N('Dvd Calendar'!$N$797)=0,"",IF(('Dvd Calendar'!$N$797&gt;=MIN(DATE(Summary!$C$12,1,1),Summary!$C$11))*('Dvd Calendar'!$N$797&lt;=MAX(DATE(Summary!$C$12,12,31),Summary!$C$15))*('Dvd Calendar'!$N$797&gt;Summary!$C$11)=0,"",'Dvd Calendar'!$N$797*1000000000+ISNUMBER('Dvd Calendar'!$N$798)*100000000+('Dvd Calendar'!$N$802='Field Check'!$C$25)*10000000+(N('Dvd Calendar'!$N$796)&gt;0)*1000000+53*1000+50))</f>
        <v/>
      </c>
      <c r="BA61" s="41">
        <f>IF(N('Dvd Calendar'!$O$797)=0,"",IF(('Dvd Calendar'!$O$797&gt;=MIN(DATE(Summary!$C$12,1,1),Summary!$C$11))*('Dvd Calendar'!$O$797&lt;=MAX(DATE(Summary!$C$12,12,31),Summary!$C$15))*('Dvd Calendar'!$O$797&gt;Summary!$C$11)=0,"",'Dvd Calendar'!$O$797*1000000000+ISNUMBER('Dvd Calendar'!$O$798)*100000000+('Dvd Calendar'!$O$802='Field Check'!$C$25)*10000000+(N('Dvd Calendar'!$O$796)&gt;0)*1000000+53*1000+51))</f>
        <v/>
      </c>
      <c r="BB61" s="41">
        <f>IF(N('Dvd Calendar'!$P$797)=0,"",IF(('Dvd Calendar'!$P$797&gt;=MIN(DATE(Summary!$C$12,1,1),Summary!$C$11))*('Dvd Calendar'!$P$797&lt;=MAX(DATE(Summary!$C$12,12,31),Summary!$C$15))*('Dvd Calendar'!$P$797&gt;Summary!$C$11)=0,"",'Dvd Calendar'!$P$797*1000000000+ISNUMBER('Dvd Calendar'!$P$798)*100000000+('Dvd Calendar'!$P$802='Field Check'!$C$25)*10000000+(N('Dvd Calendar'!$P$796)&gt;0)*1000000+53*1000+52))</f>
        <v/>
      </c>
      <c r="BC61" s="41">
        <f>IF(N('Dvd Calendar'!$Q$797)=0,"",IF(('Dvd Calendar'!$Q$797&gt;=MIN(DATE(Summary!$C$12,1,1),Summary!$C$11))*('Dvd Calendar'!$Q$797&lt;=MAX(DATE(Summary!$C$12,12,31),Summary!$C$15))*('Dvd Calendar'!$Q$797&gt;Summary!$C$11)=0,"",'Dvd Calendar'!$Q$797*1000000000+ISNUMBER('Dvd Calendar'!$Q$798)*100000000+('Dvd Calendar'!$Q$802='Field Check'!$C$25)*10000000+(N('Dvd Calendar'!$Q$796)&gt;0)*1000000+53*1000+53))</f>
        <v/>
      </c>
      <c r="BD61" s="41">
        <f>IF(N('Dvd Calendar'!$R$797)=0,"",IF(('Dvd Calendar'!$R$797&gt;=MIN(DATE(Summary!$C$12,1,1),Summary!$C$11))*('Dvd Calendar'!$R$797&lt;=MAX(DATE(Summary!$C$12,12,31),Summary!$C$15))*('Dvd Calendar'!$R$797&gt;Summary!$C$11)=0,"",'Dvd Calendar'!$R$797*1000000000+ISNUMBER('Dvd Calendar'!$R$798)*100000000+('Dvd Calendar'!$R$802='Field Check'!$C$25)*10000000+(N('Dvd Calendar'!$R$796)&gt;0)*1000000+53*1000+54))</f>
        <v/>
      </c>
      <c r="BE61" s="41">
        <f>IF(N('Dvd Calendar'!$S$797)=0,"",IF(('Dvd Calendar'!$S$797&gt;=MIN(DATE(Summary!$C$12,1,1),Summary!$C$11))*('Dvd Calendar'!$S$797&lt;=MAX(DATE(Summary!$C$12,12,31),Summary!$C$15))*('Dvd Calendar'!$S$797&gt;Summary!$C$11)=0,"",'Dvd Calendar'!$S$797*1000000000+ISNUMBER('Dvd Calendar'!$S$798)*100000000+('Dvd Calendar'!$S$802='Field Check'!$C$25)*10000000+(N('Dvd Calendar'!$S$796)&gt;0)*1000000+53*1000+55))</f>
        <v/>
      </c>
      <c r="BF61" s="41">
        <f>IF(N('Dvd Calendar'!$T$797)=0,"",IF(('Dvd Calendar'!$T$797&gt;=MIN(DATE(Summary!$C$12,1,1),Summary!$C$11))*('Dvd Calendar'!$T$797&lt;=MAX(DATE(Summary!$C$12,12,31),Summary!$C$15))*('Dvd Calendar'!$T$797&gt;Summary!$C$11)=0,"",'Dvd Calendar'!$T$797*1000000000+ISNUMBER('Dvd Calendar'!$T$798)*100000000+('Dvd Calendar'!$T$802='Field Check'!$C$25)*10000000+(N('Dvd Calendar'!$T$796)&gt;0)*1000000+53*1000+56))</f>
        <v/>
      </c>
      <c r="BG61" s="41">
        <f>IF(N('Dvd Calendar'!$U$797)=0,"",IF(('Dvd Calendar'!$U$797&gt;=MIN(DATE(Summary!$C$12,1,1),Summary!$C$11))*('Dvd Calendar'!$U$797&lt;=MAX(DATE(Summary!$C$12,12,31),Summary!$C$15))*('Dvd Calendar'!$U$797&gt;Summary!$C$11)=0,"",'Dvd Calendar'!$U$797*1000000000+ISNUMBER('Dvd Calendar'!$U$798)*100000000+('Dvd Calendar'!$U$802='Field Check'!$C$25)*10000000+(N('Dvd Calendar'!$U$796)&gt;0)*1000000+53*1000+57))</f>
        <v/>
      </c>
      <c r="BH61" s="41">
        <f>IF(N('Dvd Calendar'!$V$797)=0,"",IF(('Dvd Calendar'!$V$797&gt;=MIN(DATE(Summary!$C$12,1,1),Summary!$C$11))*('Dvd Calendar'!$V$797&lt;=MAX(DATE(Summary!$C$12,12,31),Summary!$C$15))*('Dvd Calendar'!$V$797&gt;Summary!$C$11)=0,"",'Dvd Calendar'!$V$797*1000000000+ISNUMBER('Dvd Calendar'!$V$798)*100000000+('Dvd Calendar'!$V$802='Field Check'!$C$25)*10000000+(N('Dvd Calendar'!$V$796)&gt;0)*1000000+53*1000+58))</f>
        <v/>
      </c>
      <c r="BI61" s="41">
        <f>IF(N('Dvd Calendar'!$W$797)=0,"",IF(('Dvd Calendar'!$W$797&gt;=MIN(DATE(Summary!$C$12,1,1),Summary!$C$11))*('Dvd Calendar'!$W$797&lt;=MAX(DATE(Summary!$C$12,12,31),Summary!$C$15))*('Dvd Calendar'!$W$797&gt;Summary!$C$11)=0,"",'Dvd Calendar'!$W$797*1000000000+ISNUMBER('Dvd Calendar'!$W$798)*100000000+('Dvd Calendar'!$W$802='Field Check'!$C$25)*10000000+(N('Dvd Calendar'!$W$796)&gt;0)*1000000+53*1000+59))</f>
        <v/>
      </c>
      <c r="BJ61" s="41">
        <f>IF(N('Dvd Calendar'!$X$797)=0,"",IF(('Dvd Calendar'!$X$797&gt;=MIN(DATE(Summary!$C$12,1,1),Summary!$C$11))*('Dvd Calendar'!$X$797&lt;=MAX(DATE(Summary!$C$12,12,31),Summary!$C$15))*('Dvd Calendar'!$X$797&gt;Summary!$C$11)=0,"",'Dvd Calendar'!$X$797*1000000000+ISNUMBER('Dvd Calendar'!$X$798)*100000000+('Dvd Calendar'!$X$802='Field Check'!$C$25)*10000000+(N('Dvd Calendar'!$X$796)&gt;0)*1000000+53*1000+60))</f>
        <v/>
      </c>
      <c r="BK61" s="41">
        <f>IF(N('Dvd Calendar'!$Y$797)=0,"",IF(('Dvd Calendar'!$Y$797&gt;=MIN(DATE(Summary!$C$12,1,1),Summary!$C$11))*('Dvd Calendar'!$Y$797&lt;=MAX(DATE(Summary!$C$12,12,31),Summary!$C$15))*('Dvd Calendar'!$Y$797&gt;Summary!$C$11)=0,"",'Dvd Calendar'!$Y$797*1000000000+ISNUMBER('Dvd Calendar'!$Y$798)*100000000+('Dvd Calendar'!$Y$802='Field Check'!$C$25)*10000000+(N('Dvd Calendar'!$Y$796)&gt;0)*1000000+53*1000+61))</f>
        <v/>
      </c>
      <c r="BL61" s="41">
        <f>IF(N('Dvd Calendar'!$Z$797)=0,"",IF(('Dvd Calendar'!$Z$797&gt;=MIN(DATE(Summary!$C$12,1,1),Summary!$C$11))*('Dvd Calendar'!$Z$797&lt;=MAX(DATE(Summary!$C$12,12,31),Summary!$C$15))*('Dvd Calendar'!$Z$797&gt;Summary!$C$11)=0,"",'Dvd Calendar'!$Z$797*1000000000+ISNUMBER('Dvd Calendar'!$Z$798)*100000000+('Dvd Calendar'!$Z$802='Field Check'!$C$25)*10000000+(N('Dvd Calendar'!$Z$796)&gt;0)*1000000+53*1000+62))</f>
        <v/>
      </c>
      <c r="BM61" s="41">
        <f>IF(N('Dvd Calendar'!$AA$797)=0,"",IF(('Dvd Calendar'!$AA$797&gt;=MIN(DATE(Summary!$C$12,1,1),Summary!$C$11))*('Dvd Calendar'!$AA$797&lt;=MAX(DATE(Summary!$C$12,12,31),Summary!$C$15))*('Dvd Calendar'!$AA$797&gt;Summary!$C$11)=0,"",'Dvd Calendar'!$AA$797*1000000000+ISNUMBER('Dvd Calendar'!$AA$798)*100000000+('Dvd Calendar'!$AA$802='Field Check'!$C$25)*10000000+(N('Dvd Calendar'!$AA$796)&gt;0)*1000000+53*1000+63))</f>
        <v/>
      </c>
      <c r="BN61" s="41">
        <f>IF(N('Dvd Calendar'!$AB$797)=0,"",IF(('Dvd Calendar'!$AB$797&gt;=MIN(DATE(Summary!$C$12,1,1),Summary!$C$11))*('Dvd Calendar'!$AB$797&lt;=MAX(DATE(Summary!$C$12,12,31),Summary!$C$15))*('Dvd Calendar'!$AB$797&gt;Summary!$C$11)=0,"",'Dvd Calendar'!$AB$797*1000000000+ISNUMBER('Dvd Calendar'!$AB$798)*100000000+('Dvd Calendar'!$AB$802='Field Check'!$C$25)*10000000+(N('Dvd Calendar'!$AB$796)&gt;0)*1000000+53*1000+64))</f>
        <v/>
      </c>
      <c r="BO61" s="41">
        <f>IF(N('Dvd Calendar'!$AC$797)=0,"",IF(('Dvd Calendar'!$AC$797&gt;=MIN(DATE(Summary!$C$12,1,1),Summary!$C$11))*('Dvd Calendar'!$AC$797&lt;=MAX(DATE(Summary!$C$12,12,31),Summary!$C$15))*('Dvd Calendar'!$AC$797&gt;Summary!$C$11)=0,"",'Dvd Calendar'!$AC$797*1000000000+ISNUMBER('Dvd Calendar'!$AC$798)*100000000+('Dvd Calendar'!$AC$802='Field Check'!$C$25)*10000000+(N('Dvd Calendar'!$AC$796)&gt;0)*1000000+53*1000+65))</f>
        <v/>
      </c>
      <c r="BQ61" s="85">
        <f>IF(C61="","",IF(ISNUMBER('Dvd Calendar'!$E$791)=FALSE,"",IF((Summary!$C$13="N")*('Dvd Calendar'!$E$795='Field Check'!$C$25)&gt;0,"",'Dvd Calendar'!$E$791)))</f>
        <v/>
      </c>
      <c r="BR61" s="85">
        <f>IF(D61="","",IF(ISNUMBER('Dvd Calendar'!$F$791)=FALSE,"",IF((Summary!$C$13="N")*('Dvd Calendar'!$F$795='Field Check'!$C$25)&gt;0,"",'Dvd Calendar'!$F$791)))</f>
        <v/>
      </c>
      <c r="BS61" s="85">
        <f>IF(E61="","",IF(ISNUMBER('Dvd Calendar'!$G$791)=FALSE,"",IF((Summary!$C$13="N")*('Dvd Calendar'!$G$795='Field Check'!$C$25)&gt;0,"",'Dvd Calendar'!$G$791)))</f>
        <v/>
      </c>
      <c r="BT61" s="85">
        <f>IF(F61="","",IF(ISNUMBER('Dvd Calendar'!$H$791)=FALSE,"",IF((Summary!$C$13="N")*('Dvd Calendar'!$H$795='Field Check'!$C$25)&gt;0,"",'Dvd Calendar'!$H$791)))</f>
        <v/>
      </c>
      <c r="BU61" s="85">
        <f>IF(G61="","",IF(ISNUMBER('Dvd Calendar'!$I$791)=FALSE,"",IF((Summary!$C$13="N")*('Dvd Calendar'!$I$795='Field Check'!$C$25)&gt;0,"",'Dvd Calendar'!$I$791)))</f>
        <v/>
      </c>
      <c r="BV61" s="85">
        <f>IF(H61="","",IF(ISNUMBER('Dvd Calendar'!$J$791)=FALSE,"",IF((Summary!$C$13="N")*('Dvd Calendar'!$J$795='Field Check'!$C$25)&gt;0,"",'Dvd Calendar'!$J$791)))</f>
        <v/>
      </c>
      <c r="BW61" s="85">
        <f>IF(I61="","",IF(ISNUMBER('Dvd Calendar'!$K$791)=FALSE,"",IF((Summary!$C$13="N")*('Dvd Calendar'!$K$795='Field Check'!$C$25)&gt;0,"",'Dvd Calendar'!$K$791)))</f>
        <v/>
      </c>
      <c r="BX61" s="85">
        <f>IF(J61="","",IF(ISNUMBER('Dvd Calendar'!$L$791)=FALSE,"",IF((Summary!$C$13="N")*('Dvd Calendar'!$L$795='Field Check'!$C$25)&gt;0,"",'Dvd Calendar'!$L$791)))</f>
        <v/>
      </c>
      <c r="BY61" s="85">
        <f>IF(K61="","",IF(ISNUMBER('Dvd Calendar'!$M$791)=FALSE,"",IF((Summary!$C$13="N")*('Dvd Calendar'!$M$795='Field Check'!$C$25)&gt;0,"",'Dvd Calendar'!$M$791)))</f>
        <v/>
      </c>
      <c r="BZ61" s="85">
        <f>IF(L61="","",IF(ISNUMBER('Dvd Calendar'!$N$791)=FALSE,"",IF((Summary!$C$13="N")*('Dvd Calendar'!$N$795='Field Check'!$C$25)&gt;0,"",'Dvd Calendar'!$N$791)))</f>
        <v/>
      </c>
      <c r="CA61" s="85">
        <f>IF(M61="","",IF(ISNUMBER('Dvd Calendar'!$O$791)=FALSE,"",IF((Summary!$C$13="N")*('Dvd Calendar'!$O$795='Field Check'!$C$25)&gt;0,"",'Dvd Calendar'!$O$791)))</f>
        <v/>
      </c>
      <c r="CB61" s="85">
        <f>IF(N61="","",IF(ISNUMBER('Dvd Calendar'!$P$791)=FALSE,"",IF((Summary!$C$13="N")*('Dvd Calendar'!$P$795='Field Check'!$C$25)&gt;0,"",'Dvd Calendar'!$P$791)))</f>
        <v/>
      </c>
      <c r="CC61" s="85">
        <f>IF(O61="","",IF(ISNUMBER('Dvd Calendar'!$Q$791)=FALSE,"",IF((Summary!$C$13="N")*('Dvd Calendar'!$Q$795='Field Check'!$C$25)&gt;0,"",'Dvd Calendar'!$Q$791)))</f>
        <v/>
      </c>
      <c r="CD61" s="85">
        <f>IF(P61="","",IF(ISNUMBER('Dvd Calendar'!$R$791)=FALSE,"",IF((Summary!$C$13="N")*('Dvd Calendar'!$R$795='Field Check'!$C$25)&gt;0,"",'Dvd Calendar'!$R$791)))</f>
        <v/>
      </c>
      <c r="CE61" s="85">
        <f>IF(Q61="","",IF(ISNUMBER('Dvd Calendar'!$S$791)=FALSE,"",IF((Summary!$C$13="N")*('Dvd Calendar'!$S$795='Field Check'!$C$25)&gt;0,"",'Dvd Calendar'!$S$791)))</f>
        <v/>
      </c>
      <c r="CF61" s="85">
        <f>IF(R61="","",IF(ISNUMBER('Dvd Calendar'!$T$791)=FALSE,"",IF((Summary!$C$13="N")*('Dvd Calendar'!$T$795='Field Check'!$C$25)&gt;0,"",'Dvd Calendar'!$T$791)))</f>
        <v/>
      </c>
      <c r="CG61" s="85">
        <f>IF(S61="","",IF(ISNUMBER('Dvd Calendar'!$U$791)=FALSE,"",IF((Summary!$C$13="N")*('Dvd Calendar'!$U$795='Field Check'!$C$25)&gt;0,"",'Dvd Calendar'!$U$791)))</f>
        <v/>
      </c>
      <c r="CH61" s="85">
        <f>IF(T61="","",IF(ISNUMBER('Dvd Calendar'!$V$791)=FALSE,"",IF((Summary!$C$13="N")*('Dvd Calendar'!$V$795='Field Check'!$C$25)&gt;0,"",'Dvd Calendar'!$V$791)))</f>
        <v/>
      </c>
      <c r="CI61" s="85">
        <f>IF(U61="","",IF(ISNUMBER('Dvd Calendar'!$W$791)=FALSE,"",IF((Summary!$C$13="N")*('Dvd Calendar'!$W$795='Field Check'!$C$25)&gt;0,"",'Dvd Calendar'!$W$791)))</f>
        <v/>
      </c>
      <c r="CJ61" s="85">
        <f>IF(V61="","",IF(ISNUMBER('Dvd Calendar'!$X$791)=FALSE,"",IF((Summary!$C$13="N")*('Dvd Calendar'!$X$795='Field Check'!$C$25)&gt;0,"",'Dvd Calendar'!$X$791)))</f>
        <v/>
      </c>
      <c r="CK61" s="85">
        <f>IF(W61="","",IF(ISNUMBER('Dvd Calendar'!$Y$791)=FALSE,"",IF((Summary!$C$13="N")*('Dvd Calendar'!$Y$795='Field Check'!$C$25)&gt;0,"",'Dvd Calendar'!$Y$791)))</f>
        <v/>
      </c>
      <c r="CL61" s="85">
        <f>IF(X61="","",IF(ISNUMBER('Dvd Calendar'!$Z$791)=FALSE,"",IF((Summary!$C$13="N")*('Dvd Calendar'!$Z$795='Field Check'!$C$25)&gt;0,"",'Dvd Calendar'!$Z$791)))</f>
        <v/>
      </c>
      <c r="CM61" s="85">
        <f>IF(Y61="","",IF(ISNUMBER('Dvd Calendar'!$AA$791)=FALSE,"",IF((Summary!$C$13="N")*('Dvd Calendar'!$AA$795='Field Check'!$C$25)&gt;0,"",'Dvd Calendar'!$AA$791)))</f>
        <v/>
      </c>
      <c r="CN61" s="85">
        <f>IF(Z61="","",IF(ISNUMBER('Dvd Calendar'!$AB$791)=FALSE,"",IF((Summary!$C$13="N")*('Dvd Calendar'!$AB$795='Field Check'!$C$25)&gt;0,"",'Dvd Calendar'!$AB$791)))</f>
        <v/>
      </c>
      <c r="CO61" s="85">
        <f>IF(AA61="","",IF(ISNUMBER('Dvd Calendar'!$AC$791)=FALSE,"",IF((Summary!$C$13="N")*('Dvd Calendar'!$AC$795='Field Check'!$C$25)&gt;0,"",'Dvd Calendar'!$AC$791)))</f>
        <v/>
      </c>
      <c r="CP61" s="85">
        <f>IF(AB61="","",IF(ISNUMBER('Dvd Calendar'!$AD$791)=FALSE,"",IF((Summary!$C$13="N")*('Dvd Calendar'!$AD$795='Field Check'!$C$25)&gt;0,"",'Dvd Calendar'!$AD$791)))</f>
        <v/>
      </c>
      <c r="CQ61" s="85">
        <f>IF(AC61="","",IF(ISNUMBER('Dvd Calendar'!$AE$791)=FALSE,"",IF((Summary!$C$13="N")*('Dvd Calendar'!$AE$795='Field Check'!$C$25)&gt;0,"",'Dvd Calendar'!$AE$791)))</f>
        <v/>
      </c>
      <c r="CR61" s="85">
        <f>IF(AD61="","",IF(ISNUMBER('Dvd Calendar'!$AF$791)=FALSE,"",IF((Summary!$C$13="N")*('Dvd Calendar'!$AF$795='Field Check'!$C$25)&gt;0,"",'Dvd Calendar'!$AF$791)))</f>
        <v/>
      </c>
      <c r="CS61" s="85">
        <f>IF(AE61="","",IF(ISNUMBER('Dvd Calendar'!$AG$791)=FALSE,"",IF((Summary!$C$13="N")*('Dvd Calendar'!$AG$795='Field Check'!$C$25)&gt;0,"",'Dvd Calendar'!$AG$791)))</f>
        <v/>
      </c>
      <c r="CT61" s="85">
        <f>IF(AF61="","",IF(ISNUMBER('Dvd Calendar'!$AH$791)=FALSE,"",IF((Summary!$C$13="N")*('Dvd Calendar'!$AH$795='Field Check'!$C$25)&gt;0,"",'Dvd Calendar'!$AH$791)))</f>
        <v/>
      </c>
      <c r="CU61" s="85">
        <f>IF(AG61="","",IF(ISNUMBER('Dvd Calendar'!$AI$791)=FALSE,"",IF((Summary!$C$13="N")*('Dvd Calendar'!$AI$795='Field Check'!$C$25)&gt;0,"",'Dvd Calendar'!$AI$791)))</f>
        <v/>
      </c>
      <c r="CV61" s="85">
        <f>IF(AH61="","",IF(ISNUMBER('Dvd Calendar'!$AJ$791)=FALSE,"",IF((Summary!$C$13="N")*('Dvd Calendar'!$AJ$795='Field Check'!$C$25)&gt;0,"",'Dvd Calendar'!$AJ$791)))</f>
        <v/>
      </c>
      <c r="CW61" s="85">
        <f>IF(AI61="","",IF(ISNUMBER('Dvd Calendar'!$AK$791)=FALSE,"",IF((Summary!$C$13="N")*('Dvd Calendar'!$AK$795='Field Check'!$C$25)&gt;0,"",'Dvd Calendar'!$AK$791)))</f>
        <v/>
      </c>
      <c r="CX61" s="85">
        <f>IF(AJ61="","",IF(ISNUMBER('Dvd Calendar'!$AL$791)=FALSE,"",IF((Summary!$C$13="N")*('Dvd Calendar'!$AL$795='Field Check'!$C$25)&gt;0,"",'Dvd Calendar'!$AL$791)))</f>
        <v/>
      </c>
      <c r="CY61" s="85">
        <f>IF(AK61="","",IF(ISNUMBER('Dvd Calendar'!$AM$791)=FALSE,"",IF((Summary!$C$13="N")*('Dvd Calendar'!$AM$795='Field Check'!$C$25)&gt;0,"",'Dvd Calendar'!$AM$791)))</f>
        <v/>
      </c>
      <c r="CZ61" s="85">
        <f>IF(AL61="","",IF(ISNUMBER('Dvd Calendar'!$AN$791)=FALSE,"",IF((Summary!$C$13="N")*('Dvd Calendar'!$AN$795='Field Check'!$C$25)&gt;0,"",'Dvd Calendar'!$AN$791)))</f>
        <v/>
      </c>
      <c r="DA61" s="85">
        <f>IF(AM61="","",IF(ISNUMBER('Dvd Calendar'!$AO$791)=FALSE,"",IF((Summary!$C$13="N")*('Dvd Calendar'!$AO$795='Field Check'!$C$25)&gt;0,"",'Dvd Calendar'!$AO$791)))</f>
        <v/>
      </c>
      <c r="DB61" s="85">
        <f>IF(AN61="","",IF(ISNUMBER('Dvd Calendar'!$AP$791)=FALSE,"",IF((Summary!$C$13="N")*('Dvd Calendar'!$AP$795='Field Check'!$C$25)&gt;0,"",'Dvd Calendar'!$AP$791)))</f>
        <v/>
      </c>
      <c r="DC61" s="85">
        <f>IF(AO61="","",IF(ISNUMBER('Dvd Calendar'!$AQ$791)=FALSE,"",IF((Summary!$C$13="N")*('Dvd Calendar'!$AQ$795='Field Check'!$C$25)&gt;0,"",'Dvd Calendar'!$AQ$791)))</f>
        <v/>
      </c>
      <c r="DD61" s="85">
        <f>IF(AP61="","",IF(ISNUMBER('Dvd Calendar'!$AR$791)=FALSE,"",IF((Summary!$C$13="N")*('Dvd Calendar'!$AR$795='Field Check'!$C$25)&gt;0,"",'Dvd Calendar'!$AR$791)))</f>
        <v/>
      </c>
      <c r="DE61" s="85">
        <f>IF(AQ61="","",IF(ISNUMBER('Dvd Calendar'!$E$798)=FALSE,"",IF((Summary!$C$13="N")*('Dvd Calendar'!$E$802='Field Check'!$C$25)&gt;0,"",'Dvd Calendar'!$E$798)))</f>
        <v/>
      </c>
      <c r="DF61" s="85">
        <f>IF(AR61="","",IF(ISNUMBER('Dvd Calendar'!$F$798)=FALSE,"",IF((Summary!$C$13="N")*('Dvd Calendar'!$F$802='Field Check'!$C$25)&gt;0,"",'Dvd Calendar'!$F$798)))</f>
        <v/>
      </c>
      <c r="DG61" s="85">
        <f>IF(AS61="","",IF(ISNUMBER('Dvd Calendar'!$G$798)=FALSE,"",IF((Summary!$C$13="N")*('Dvd Calendar'!$G$802='Field Check'!$C$25)&gt;0,"",'Dvd Calendar'!$G$798)))</f>
        <v/>
      </c>
      <c r="DH61" s="85">
        <f>IF(AT61="","",IF(ISNUMBER('Dvd Calendar'!$H$798)=FALSE,"",IF((Summary!$C$13="N")*('Dvd Calendar'!$H$802='Field Check'!$C$25)&gt;0,"",'Dvd Calendar'!$H$798)))</f>
        <v/>
      </c>
      <c r="DI61" s="85">
        <f>IF(AU61="","",IF(ISNUMBER('Dvd Calendar'!$I$798)=FALSE,"",IF((Summary!$C$13="N")*('Dvd Calendar'!$I$802='Field Check'!$C$25)&gt;0,"",'Dvd Calendar'!$I$798)))</f>
        <v/>
      </c>
      <c r="DJ61" s="85">
        <f>IF(AV61="","",IF(ISNUMBER('Dvd Calendar'!$J$798)=FALSE,"",IF((Summary!$C$13="N")*('Dvd Calendar'!$J$802='Field Check'!$C$25)&gt;0,"",'Dvd Calendar'!$J$798)))</f>
        <v/>
      </c>
      <c r="DK61" s="85">
        <f>IF(AW61="","",IF(ISNUMBER('Dvd Calendar'!$K$798)=FALSE,"",IF((Summary!$C$13="N")*('Dvd Calendar'!$K$802='Field Check'!$C$25)&gt;0,"",'Dvd Calendar'!$K$798)))</f>
        <v/>
      </c>
      <c r="DL61" s="85">
        <f>IF(AX61="","",IF(ISNUMBER('Dvd Calendar'!$L$798)=FALSE,"",IF((Summary!$C$13="N")*('Dvd Calendar'!$L$802='Field Check'!$C$25)&gt;0,"",'Dvd Calendar'!$L$798)))</f>
        <v/>
      </c>
      <c r="DM61" s="85">
        <f>IF(AY61="","",IF(ISNUMBER('Dvd Calendar'!$M$798)=FALSE,"",IF((Summary!$C$13="N")*('Dvd Calendar'!$M$802='Field Check'!$C$25)&gt;0,"",'Dvd Calendar'!$M$798)))</f>
        <v/>
      </c>
      <c r="DN61" s="85">
        <f>IF(AZ61="","",IF(ISNUMBER('Dvd Calendar'!$N$798)=FALSE,"",IF((Summary!$C$13="N")*('Dvd Calendar'!$N$802='Field Check'!$C$25)&gt;0,"",'Dvd Calendar'!$N$798)))</f>
        <v/>
      </c>
      <c r="DO61" s="85">
        <f>IF(BA61="","",IF(ISNUMBER('Dvd Calendar'!$O$798)=FALSE,"",IF((Summary!$C$13="N")*('Dvd Calendar'!$O$802='Field Check'!$C$25)&gt;0,"",'Dvd Calendar'!$O$798)))</f>
        <v/>
      </c>
      <c r="DP61" s="85">
        <f>IF(BB61="","",IF(ISNUMBER('Dvd Calendar'!$P$798)=FALSE,"",IF((Summary!$C$13="N")*('Dvd Calendar'!$P$802='Field Check'!$C$25)&gt;0,"",'Dvd Calendar'!$P$798)))</f>
        <v/>
      </c>
      <c r="DQ61" s="85">
        <f>IF(BC61="","",IF(ISNUMBER('Dvd Calendar'!$Q$798)=FALSE,"",IF((Summary!$C$13="N")*('Dvd Calendar'!$Q$802='Field Check'!$C$25)&gt;0,"",'Dvd Calendar'!$Q$798)))</f>
        <v/>
      </c>
      <c r="DR61" s="85">
        <f>IF(BD61="","",IF(ISNUMBER('Dvd Calendar'!$R$798)=FALSE,"",IF((Summary!$C$13="N")*('Dvd Calendar'!$R$802='Field Check'!$C$25)&gt;0,"",'Dvd Calendar'!$R$798)))</f>
        <v/>
      </c>
      <c r="DS61" s="85">
        <f>IF(BE61="","",IF(ISNUMBER('Dvd Calendar'!$S$798)=FALSE,"",IF((Summary!$C$13="N")*('Dvd Calendar'!$S$802='Field Check'!$C$25)&gt;0,"",'Dvd Calendar'!$S$798)))</f>
        <v/>
      </c>
      <c r="DT61" s="85">
        <f>IF(BF61="","",IF(ISNUMBER('Dvd Calendar'!$T$798)=FALSE,"",IF((Summary!$C$13="N")*('Dvd Calendar'!$T$802='Field Check'!$C$25)&gt;0,"",'Dvd Calendar'!$T$798)))</f>
        <v/>
      </c>
      <c r="DU61" s="85">
        <f>IF(BG61="","",IF(ISNUMBER('Dvd Calendar'!$U$798)=FALSE,"",IF((Summary!$C$13="N")*('Dvd Calendar'!$U$802='Field Check'!$C$25)&gt;0,"",'Dvd Calendar'!$U$798)))</f>
        <v/>
      </c>
      <c r="DV61" s="85">
        <f>IF(BH61="","",IF(ISNUMBER('Dvd Calendar'!$V$798)=FALSE,"",IF((Summary!$C$13="N")*('Dvd Calendar'!$V$802='Field Check'!$C$25)&gt;0,"",'Dvd Calendar'!$V$798)))</f>
        <v/>
      </c>
      <c r="DW61" s="85">
        <f>IF(BI61="","",IF(ISNUMBER('Dvd Calendar'!$W$798)=FALSE,"",IF((Summary!$C$13="N")*('Dvd Calendar'!$W$802='Field Check'!$C$25)&gt;0,"",'Dvd Calendar'!$W$798)))</f>
        <v/>
      </c>
      <c r="DX61" s="85">
        <f>IF(BJ61="","",IF(ISNUMBER('Dvd Calendar'!$X$798)=FALSE,"",IF((Summary!$C$13="N")*('Dvd Calendar'!$X$802='Field Check'!$C$25)&gt;0,"",'Dvd Calendar'!$X$798)))</f>
        <v/>
      </c>
      <c r="DY61" s="85">
        <f>IF(BK61="","",IF(ISNUMBER('Dvd Calendar'!$Y$798)=FALSE,"",IF((Summary!$C$13="N")*('Dvd Calendar'!$Y$802='Field Check'!$C$25)&gt;0,"",'Dvd Calendar'!$Y$798)))</f>
        <v/>
      </c>
      <c r="DZ61" s="85">
        <f>IF(BL61="","",IF(ISNUMBER('Dvd Calendar'!$Z$798)=FALSE,"",IF((Summary!$C$13="N")*('Dvd Calendar'!$Z$802='Field Check'!$C$25)&gt;0,"",'Dvd Calendar'!$Z$798)))</f>
        <v/>
      </c>
      <c r="EA61" s="85">
        <f>IF(BM61="","",IF(ISNUMBER('Dvd Calendar'!$AA$798)=FALSE,"",IF((Summary!$C$13="N")*('Dvd Calendar'!$AA$802='Field Check'!$C$25)&gt;0,"",'Dvd Calendar'!$AA$798)))</f>
        <v/>
      </c>
      <c r="EB61" s="85">
        <f>IF(BN61="","",IF(ISNUMBER('Dvd Calendar'!$AB$798)=FALSE,"",IF((Summary!$C$13="N")*('Dvd Calendar'!$AB$802='Field Check'!$C$25)&gt;0,"",'Dvd Calendar'!$AB$798)))</f>
        <v/>
      </c>
      <c r="EC61" s="85">
        <f>IF(BO61="","",IF(ISNUMBER('Dvd Calendar'!$AC$798)=FALSE,"",IF((Summary!$C$13="N")*('Dvd Calendar'!$AC$802='Field Check'!$C$25)&gt;0,"",'Dvd Calendar'!$AC$798)))</f>
        <v/>
      </c>
      <c r="EE61" s="85">
        <f>IF(BQ61="","",IFERROR(BQ61*HSI!$B$59*HSI!$G$59/HSI!$B$3,""))</f>
        <v/>
      </c>
      <c r="EF61" s="85">
        <f>IF(BR61="","",IFERROR(BR61*HSI!$B$59*HSI!$G$59/HSI!$B$3,""))</f>
        <v/>
      </c>
      <c r="EG61" s="85">
        <f>IF(BS61="","",IFERROR(BS61*HSI!$B$59*HSI!$G$59/HSI!$B$3,""))</f>
        <v/>
      </c>
      <c r="EH61" s="85">
        <f>IF(BT61="","",IFERROR(BT61*HSI!$B$59*HSI!$G$59/HSI!$B$3,""))</f>
        <v/>
      </c>
      <c r="EI61" s="85">
        <f>IF(BU61="","",IFERROR(BU61*HSI!$B$59*HSI!$G$59/HSI!$B$3,""))</f>
        <v/>
      </c>
      <c r="EJ61" s="85">
        <f>IF(BV61="","",IFERROR(BV61*HSI!$B$59*HSI!$G$59/HSI!$B$3,""))</f>
        <v/>
      </c>
      <c r="EK61" s="85">
        <f>IF(BW61="","",IFERROR(BW61*HSI!$B$59*HSI!$G$59/HSI!$B$3,""))</f>
        <v/>
      </c>
      <c r="EL61" s="85">
        <f>IF(BX61="","",IFERROR(BX61*HSI!$B$59*HSI!$G$59/HSI!$B$3,""))</f>
        <v/>
      </c>
      <c r="EM61" s="85">
        <f>IF(BY61="","",IFERROR(BY61*HSI!$B$59*HSI!$G$59/HSI!$B$3,""))</f>
        <v/>
      </c>
      <c r="EN61" s="85">
        <f>IF(BZ61="","",IFERROR(BZ61*HSI!$B$59*HSI!$G$59/HSI!$B$3,""))</f>
        <v/>
      </c>
      <c r="EO61" s="85">
        <f>IF(CA61="","",IFERROR(CA61*HSI!$B$59*HSI!$G$59/HSI!$B$3,""))</f>
        <v/>
      </c>
      <c r="EP61" s="85">
        <f>IF(CB61="","",IFERROR(CB61*HSI!$B$59*HSI!$G$59/HSI!$B$3,""))</f>
        <v/>
      </c>
      <c r="EQ61" s="85">
        <f>IF(CC61="","",IFERROR(CC61*HSI!$B$59*HSI!$G$59/HSI!$B$3,""))</f>
        <v/>
      </c>
      <c r="ER61" s="85">
        <f>IF(CD61="","",IFERROR(CD61*HSI!$B$59*HSI!$G$59/HSI!$B$3,""))</f>
        <v/>
      </c>
      <c r="ES61" s="85">
        <f>IF(CE61="","",IFERROR(CE61*HSI!$B$59*HSI!$G$59/HSI!$B$3,""))</f>
        <v/>
      </c>
      <c r="ET61" s="85">
        <f>IF(CF61="","",IFERROR(CF61*HSI!$B$59*HSI!$G$59/HSI!$B$3,""))</f>
        <v/>
      </c>
      <c r="EU61" s="85">
        <f>IF(CG61="","",IFERROR(CG61*HSI!$B$59*HSI!$G$59/HSI!$B$3,""))</f>
        <v/>
      </c>
      <c r="EV61" s="85">
        <f>IF(CH61="","",IFERROR(CH61*HSI!$B$59*HSI!$G$59/HSI!$B$3,""))</f>
        <v/>
      </c>
      <c r="EW61" s="85">
        <f>IF(CI61="","",IFERROR(CI61*HSI!$B$59*HSI!$G$59/HSI!$B$3,""))</f>
        <v/>
      </c>
      <c r="EX61" s="85">
        <f>IF(CJ61="","",IFERROR(CJ61*HSI!$B$59*HSI!$G$59/HSI!$B$3,""))</f>
        <v/>
      </c>
      <c r="EY61" s="85">
        <f>IF(CK61="","",IFERROR(CK61*HSI!$B$59*HSI!$G$59/HSI!$B$3,""))</f>
        <v/>
      </c>
      <c r="EZ61" s="85">
        <f>IF(CL61="","",IFERROR(CL61*HSI!$B$59*HSI!$G$59/HSI!$B$3,""))</f>
        <v/>
      </c>
      <c r="FA61" s="85">
        <f>IF(CM61="","",IFERROR(CM61*HSI!$B$59*HSI!$G$59/HSI!$B$3,""))</f>
        <v/>
      </c>
      <c r="FB61" s="85">
        <f>IF(CN61="","",IFERROR(CN61*HSI!$B$59*HSI!$G$59/HSI!$B$3,""))</f>
        <v/>
      </c>
      <c r="FC61" s="85">
        <f>IF(CO61="","",IFERROR(CO61*HSI!$B$59*HSI!$G$59/HSI!$B$3,""))</f>
        <v/>
      </c>
      <c r="FD61" s="85">
        <f>IF(CP61="","",IFERROR(CP61*HSI!$B$59*HSI!$G$59/HSI!$B$3,""))</f>
        <v/>
      </c>
      <c r="FE61" s="85">
        <f>IF(CQ61="","",IFERROR(CQ61*HSI!$B$59*HSI!$G$59/HSI!$B$3,""))</f>
        <v/>
      </c>
      <c r="FF61" s="85">
        <f>IF(CR61="","",IFERROR(CR61*HSI!$B$59*HSI!$G$59/HSI!$B$3,""))</f>
        <v/>
      </c>
      <c r="FG61" s="85">
        <f>IF(CS61="","",IFERROR(CS61*HSI!$B$59*HSI!$G$59/HSI!$B$3,""))</f>
        <v/>
      </c>
      <c r="FH61" s="85">
        <f>IF(CT61="","",IFERROR(CT61*HSI!$B$59*HSI!$G$59/HSI!$B$3,""))</f>
        <v/>
      </c>
      <c r="FI61" s="85">
        <f>IF(CU61="","",IFERROR(CU61*HSI!$B$59*HSI!$G$59/HSI!$B$3,""))</f>
        <v/>
      </c>
      <c r="FJ61" s="85">
        <f>IF(CV61="","",IFERROR(CV61*HSI!$B$59*HSI!$G$59/HSI!$B$3,""))</f>
        <v/>
      </c>
      <c r="FK61" s="85">
        <f>IF(CW61="","",IFERROR(CW61*HSI!$B$59*HSI!$G$59/HSI!$B$3,""))</f>
        <v/>
      </c>
      <c r="FL61" s="85">
        <f>IF(CX61="","",IFERROR(CX61*HSI!$B$59*HSI!$G$59/HSI!$B$3,""))</f>
        <v/>
      </c>
      <c r="FM61" s="85">
        <f>IF(CY61="","",IFERROR(CY61*HSI!$B$59*HSI!$G$59/HSI!$B$3,""))</f>
        <v/>
      </c>
      <c r="FN61" s="85">
        <f>IF(CZ61="","",IFERROR(CZ61*HSI!$B$59*HSI!$G$59/HSI!$B$3,""))</f>
        <v/>
      </c>
      <c r="FO61" s="85">
        <f>IF(DA61="","",IFERROR(DA61*HSI!$B$59*HSI!$G$59/HSI!$B$3,""))</f>
        <v/>
      </c>
      <c r="FP61" s="85">
        <f>IF(DB61="","",IFERROR(DB61*HSI!$B$59*HSI!$G$59/HSI!$B$3,""))</f>
        <v/>
      </c>
      <c r="FQ61" s="85">
        <f>IF(DC61="","",IFERROR(DC61*HSI!$B$59*HSI!$G$59/HSI!$B$3,""))</f>
        <v/>
      </c>
      <c r="FR61" s="85">
        <f>IF(DD61="","",IFERROR(DD61*HSI!$B$59*HSI!$G$59/HSI!$B$3,""))</f>
        <v/>
      </c>
      <c r="FS61" s="85">
        <f>IF(DE61="","",IFERROR(DE61*HSI!$B$59*HSI!$G$59/HSI!$B$3,""))</f>
        <v/>
      </c>
      <c r="FT61" s="85">
        <f>IF(DF61="","",IFERROR(DF61*HSI!$B$59*HSI!$G$59/HSI!$B$3,""))</f>
        <v/>
      </c>
      <c r="FU61" s="85">
        <f>IF(DG61="","",IFERROR(DG61*HSI!$B$59*HSI!$G$59/HSI!$B$3,""))</f>
        <v/>
      </c>
      <c r="FV61" s="85">
        <f>IF(DH61="","",IFERROR(DH61*HSI!$B$59*HSI!$G$59/HSI!$B$3,""))</f>
        <v/>
      </c>
      <c r="FW61" s="85">
        <f>IF(DI61="","",IFERROR(DI61*HSI!$B$59*HSI!$G$59/HSI!$B$3,""))</f>
        <v/>
      </c>
      <c r="FX61" s="85">
        <f>IF(DJ61="","",IFERROR(DJ61*HSI!$B$59*HSI!$G$59/HSI!$B$3,""))</f>
        <v/>
      </c>
      <c r="FY61" s="85">
        <f>IF(DK61="","",IFERROR(DK61*HSI!$B$59*HSI!$G$59/HSI!$B$3,""))</f>
        <v/>
      </c>
      <c r="FZ61" s="85">
        <f>IF(DL61="","",IFERROR(DL61*HSI!$B$59*HSI!$G$59/HSI!$B$3,""))</f>
        <v/>
      </c>
      <c r="GA61" s="85">
        <f>IF(DM61="","",IFERROR(DM61*HSI!$B$59*HSI!$G$59/HSI!$B$3,""))</f>
        <v/>
      </c>
      <c r="GB61" s="85">
        <f>IF(DN61="","",IFERROR(DN61*HSI!$B$59*HSI!$G$59/HSI!$B$3,""))</f>
        <v/>
      </c>
      <c r="GC61" s="85">
        <f>IF(DO61="","",IFERROR(DO61*HSI!$B$59*HSI!$G$59/HSI!$B$3,""))</f>
        <v/>
      </c>
      <c r="GD61" s="85">
        <f>IF(DP61="","",IFERROR(DP61*HSI!$B$59*HSI!$G$59/HSI!$B$3,""))</f>
        <v/>
      </c>
      <c r="GE61" s="85">
        <f>IF(DQ61="","",IFERROR(DQ61*HSI!$B$59*HSI!$G$59/HSI!$B$3,""))</f>
        <v/>
      </c>
      <c r="GF61" s="85">
        <f>IF(DR61="","",IFERROR(DR61*HSI!$B$59*HSI!$G$59/HSI!$B$3,""))</f>
        <v/>
      </c>
      <c r="GG61" s="85">
        <f>IF(DS61="","",IFERROR(DS61*HSI!$B$59*HSI!$G$59/HSI!$B$3,""))</f>
        <v/>
      </c>
      <c r="GH61" s="85">
        <f>IF(DT61="","",IFERROR(DT61*HSI!$B$59*HSI!$G$59/HSI!$B$3,""))</f>
        <v/>
      </c>
      <c r="GI61" s="85">
        <f>IF(DU61="","",IFERROR(DU61*HSI!$B$59*HSI!$G$59/HSI!$B$3,""))</f>
        <v/>
      </c>
      <c r="GJ61" s="85">
        <f>IF(DV61="","",IFERROR(DV61*HSI!$B$59*HSI!$G$59/HSI!$B$3,""))</f>
        <v/>
      </c>
      <c r="GK61" s="85">
        <f>IF(DW61="","",IFERROR(DW61*HSI!$B$59*HSI!$G$59/HSI!$B$3,""))</f>
        <v/>
      </c>
      <c r="GL61" s="85">
        <f>IF(DX61="","",IFERROR(DX61*HSI!$B$59*HSI!$G$59/HSI!$B$3,""))</f>
        <v/>
      </c>
      <c r="GM61" s="85">
        <f>IF(DY61="","",IFERROR(DY61*HSI!$B$59*HSI!$G$59/HSI!$B$3,""))</f>
        <v/>
      </c>
      <c r="GN61" s="85">
        <f>IF(DZ61="","",IFERROR(DZ61*HSI!$B$59*HSI!$G$59/HSI!$B$3,""))</f>
        <v/>
      </c>
      <c r="GO61" s="85">
        <f>IF(EA61="","",IFERROR(EA61*HSI!$B$59*HSI!$G$59/HSI!$B$3,""))</f>
        <v/>
      </c>
      <c r="GP61" s="85">
        <f>IF(EB61="","",IFERROR(EB61*HSI!$B$59*HSI!$G$59/HSI!$B$3,""))</f>
        <v/>
      </c>
      <c r="GQ61" s="85">
        <f>IF(EC61="","",IFERROR(EC61*HSI!$B$59*HSI!$G$59/HSI!$B$3,""))</f>
        <v/>
      </c>
    </row>
    <row r="62">
      <c r="B62" s="2">
        <f>IF(HSI!$C$60="","",HSI!$C$60)</f>
        <v/>
      </c>
      <c r="C62" s="41">
        <f>IF(N('Dvd Calendar'!$E$805)=0,"",IF(('Dvd Calendar'!$E$805&gt;=MIN(DATE(Summary!$C$12,1,1),Summary!$C$11))*('Dvd Calendar'!$E$805&lt;=MAX(DATE(Summary!$C$12,12,31),Summary!$C$15))*('Dvd Calendar'!$E$805&lt;=Summary!$C$11)=0,"",'Dvd Calendar'!$E$805*1000000000+ISNUMBER('Dvd Calendar'!$E$806)*100000000+('Dvd Calendar'!$E$810='Field Check'!$C$25)*10000000+(N('Dvd Calendar'!$E$804)&gt;0)*1000000+54*1000+1))</f>
        <v/>
      </c>
      <c r="D62" s="41">
        <f>IF(N('Dvd Calendar'!$F$805)=0,"",IF(('Dvd Calendar'!$F$805&gt;=MIN(DATE(Summary!$C$12,1,1),Summary!$C$11))*('Dvd Calendar'!$F$805&lt;=MAX(DATE(Summary!$C$12,12,31),Summary!$C$15))*('Dvd Calendar'!$F$805&lt;=Summary!$C$11)=0,"",'Dvd Calendar'!$F$805*1000000000+ISNUMBER('Dvd Calendar'!$F$806)*100000000+('Dvd Calendar'!$F$810='Field Check'!$C$25)*10000000+(N('Dvd Calendar'!$F$804)&gt;0)*1000000+54*1000+2))</f>
        <v/>
      </c>
      <c r="E62" s="41">
        <f>IF(N('Dvd Calendar'!$G$805)=0,"",IF(('Dvd Calendar'!$G$805&gt;=MIN(DATE(Summary!$C$12,1,1),Summary!$C$11))*('Dvd Calendar'!$G$805&lt;=MAX(DATE(Summary!$C$12,12,31),Summary!$C$15))*('Dvd Calendar'!$G$805&lt;=Summary!$C$11)=0,"",'Dvd Calendar'!$G$805*1000000000+ISNUMBER('Dvd Calendar'!$G$806)*100000000+('Dvd Calendar'!$G$810='Field Check'!$C$25)*10000000+(N('Dvd Calendar'!$G$804)&gt;0)*1000000+54*1000+3))</f>
        <v/>
      </c>
      <c r="F62" s="41">
        <f>IF(N('Dvd Calendar'!$H$805)=0,"",IF(('Dvd Calendar'!$H$805&gt;=MIN(DATE(Summary!$C$12,1,1),Summary!$C$11))*('Dvd Calendar'!$H$805&lt;=MAX(DATE(Summary!$C$12,12,31),Summary!$C$15))*('Dvd Calendar'!$H$805&lt;=Summary!$C$11)=0,"",'Dvd Calendar'!$H$805*1000000000+ISNUMBER('Dvd Calendar'!$H$806)*100000000+('Dvd Calendar'!$H$810='Field Check'!$C$25)*10000000+(N('Dvd Calendar'!$H$804)&gt;0)*1000000+54*1000+4))</f>
        <v/>
      </c>
      <c r="G62" s="41">
        <f>IF(N('Dvd Calendar'!$I$805)=0,"",IF(('Dvd Calendar'!$I$805&gt;=MIN(DATE(Summary!$C$12,1,1),Summary!$C$11))*('Dvd Calendar'!$I$805&lt;=MAX(DATE(Summary!$C$12,12,31),Summary!$C$15))*('Dvd Calendar'!$I$805&lt;=Summary!$C$11)=0,"",'Dvd Calendar'!$I$805*1000000000+ISNUMBER('Dvd Calendar'!$I$806)*100000000+('Dvd Calendar'!$I$810='Field Check'!$C$25)*10000000+(N('Dvd Calendar'!$I$804)&gt;0)*1000000+54*1000+5))</f>
        <v/>
      </c>
      <c r="H62" s="41">
        <f>IF(N('Dvd Calendar'!$J$805)=0,"",IF(('Dvd Calendar'!$J$805&gt;=MIN(DATE(Summary!$C$12,1,1),Summary!$C$11))*('Dvd Calendar'!$J$805&lt;=MAX(DATE(Summary!$C$12,12,31),Summary!$C$15))*('Dvd Calendar'!$J$805&lt;=Summary!$C$11)=0,"",'Dvd Calendar'!$J$805*1000000000+ISNUMBER('Dvd Calendar'!$J$806)*100000000+('Dvd Calendar'!$J$810='Field Check'!$C$25)*10000000+(N('Dvd Calendar'!$J$804)&gt;0)*1000000+54*1000+6))</f>
        <v/>
      </c>
      <c r="I62" s="41">
        <f>IF(N('Dvd Calendar'!$K$805)=0,"",IF(('Dvd Calendar'!$K$805&gt;=MIN(DATE(Summary!$C$12,1,1),Summary!$C$11))*('Dvd Calendar'!$K$805&lt;=MAX(DATE(Summary!$C$12,12,31),Summary!$C$15))*('Dvd Calendar'!$K$805&lt;=Summary!$C$11)=0,"",'Dvd Calendar'!$K$805*1000000000+ISNUMBER('Dvd Calendar'!$K$806)*100000000+('Dvd Calendar'!$K$810='Field Check'!$C$25)*10000000+(N('Dvd Calendar'!$K$804)&gt;0)*1000000+54*1000+7))</f>
        <v/>
      </c>
      <c r="J62" s="41">
        <f>IF(N('Dvd Calendar'!$L$805)=0,"",IF(('Dvd Calendar'!$L$805&gt;=MIN(DATE(Summary!$C$12,1,1),Summary!$C$11))*('Dvd Calendar'!$L$805&lt;=MAX(DATE(Summary!$C$12,12,31),Summary!$C$15))*('Dvd Calendar'!$L$805&lt;=Summary!$C$11)=0,"",'Dvd Calendar'!$L$805*1000000000+ISNUMBER('Dvd Calendar'!$L$806)*100000000+('Dvd Calendar'!$L$810='Field Check'!$C$25)*10000000+(N('Dvd Calendar'!$L$804)&gt;0)*1000000+54*1000+8))</f>
        <v/>
      </c>
      <c r="K62" s="41">
        <f>IF(N('Dvd Calendar'!$M$805)=0,"",IF(('Dvd Calendar'!$M$805&gt;=MIN(DATE(Summary!$C$12,1,1),Summary!$C$11))*('Dvd Calendar'!$M$805&lt;=MAX(DATE(Summary!$C$12,12,31),Summary!$C$15))*('Dvd Calendar'!$M$805&lt;=Summary!$C$11)=0,"",'Dvd Calendar'!$M$805*1000000000+ISNUMBER('Dvd Calendar'!$M$806)*100000000+('Dvd Calendar'!$M$810='Field Check'!$C$25)*10000000+(N('Dvd Calendar'!$M$804)&gt;0)*1000000+54*1000+9))</f>
        <v/>
      </c>
      <c r="L62" s="41">
        <f>IF(N('Dvd Calendar'!$N$805)=0,"",IF(('Dvd Calendar'!$N$805&gt;=MIN(DATE(Summary!$C$12,1,1),Summary!$C$11))*('Dvd Calendar'!$N$805&lt;=MAX(DATE(Summary!$C$12,12,31),Summary!$C$15))*('Dvd Calendar'!$N$805&lt;=Summary!$C$11)=0,"",'Dvd Calendar'!$N$805*1000000000+ISNUMBER('Dvd Calendar'!$N$806)*100000000+('Dvd Calendar'!$N$810='Field Check'!$C$25)*10000000+(N('Dvd Calendar'!$N$804)&gt;0)*1000000+54*1000+10))</f>
        <v/>
      </c>
      <c r="M62" s="41">
        <f>IF(N('Dvd Calendar'!$O$805)=0,"",IF(('Dvd Calendar'!$O$805&gt;=MIN(DATE(Summary!$C$12,1,1),Summary!$C$11))*('Dvd Calendar'!$O$805&lt;=MAX(DATE(Summary!$C$12,12,31),Summary!$C$15))*('Dvd Calendar'!$O$805&lt;=Summary!$C$11)=0,"",'Dvd Calendar'!$O$805*1000000000+ISNUMBER('Dvd Calendar'!$O$806)*100000000+('Dvd Calendar'!$O$810='Field Check'!$C$25)*10000000+(N('Dvd Calendar'!$O$804)&gt;0)*1000000+54*1000+11))</f>
        <v/>
      </c>
      <c r="N62" s="41">
        <f>IF(N('Dvd Calendar'!$P$805)=0,"",IF(('Dvd Calendar'!$P$805&gt;=MIN(DATE(Summary!$C$12,1,1),Summary!$C$11))*('Dvd Calendar'!$P$805&lt;=MAX(DATE(Summary!$C$12,12,31),Summary!$C$15))*('Dvd Calendar'!$P$805&lt;=Summary!$C$11)=0,"",'Dvd Calendar'!$P$805*1000000000+ISNUMBER('Dvd Calendar'!$P$806)*100000000+('Dvd Calendar'!$P$810='Field Check'!$C$25)*10000000+(N('Dvd Calendar'!$P$804)&gt;0)*1000000+54*1000+12))</f>
        <v/>
      </c>
      <c r="O62" s="41">
        <f>IF(N('Dvd Calendar'!$Q$805)=0,"",IF(('Dvd Calendar'!$Q$805&gt;=MIN(DATE(Summary!$C$12,1,1),Summary!$C$11))*('Dvd Calendar'!$Q$805&lt;=MAX(DATE(Summary!$C$12,12,31),Summary!$C$15))*('Dvd Calendar'!$Q$805&lt;=Summary!$C$11)=0,"",'Dvd Calendar'!$Q$805*1000000000+ISNUMBER('Dvd Calendar'!$Q$806)*100000000+('Dvd Calendar'!$Q$810='Field Check'!$C$25)*10000000+(N('Dvd Calendar'!$Q$804)&gt;0)*1000000+54*1000+13))</f>
        <v/>
      </c>
      <c r="P62" s="41">
        <f>IF(N('Dvd Calendar'!$R$805)=0,"",IF(('Dvd Calendar'!$R$805&gt;=MIN(DATE(Summary!$C$12,1,1),Summary!$C$11))*('Dvd Calendar'!$R$805&lt;=MAX(DATE(Summary!$C$12,12,31),Summary!$C$15))*('Dvd Calendar'!$R$805&lt;=Summary!$C$11)=0,"",'Dvd Calendar'!$R$805*1000000000+ISNUMBER('Dvd Calendar'!$R$806)*100000000+('Dvd Calendar'!$R$810='Field Check'!$C$25)*10000000+(N('Dvd Calendar'!$R$804)&gt;0)*1000000+54*1000+14))</f>
        <v/>
      </c>
      <c r="Q62" s="41">
        <f>IF(N('Dvd Calendar'!$S$805)=0,"",IF(('Dvd Calendar'!$S$805&gt;=MIN(DATE(Summary!$C$12,1,1),Summary!$C$11))*('Dvd Calendar'!$S$805&lt;=MAX(DATE(Summary!$C$12,12,31),Summary!$C$15))*('Dvd Calendar'!$S$805&lt;=Summary!$C$11)=0,"",'Dvd Calendar'!$S$805*1000000000+ISNUMBER('Dvd Calendar'!$S$806)*100000000+('Dvd Calendar'!$S$810='Field Check'!$C$25)*10000000+(N('Dvd Calendar'!$S$804)&gt;0)*1000000+54*1000+15))</f>
        <v/>
      </c>
      <c r="R62" s="41">
        <f>IF(N('Dvd Calendar'!$T$805)=0,"",IF(('Dvd Calendar'!$T$805&gt;=MIN(DATE(Summary!$C$12,1,1),Summary!$C$11))*('Dvd Calendar'!$T$805&lt;=MAX(DATE(Summary!$C$12,12,31),Summary!$C$15))*('Dvd Calendar'!$T$805&lt;=Summary!$C$11)=0,"",'Dvd Calendar'!$T$805*1000000000+ISNUMBER('Dvd Calendar'!$T$806)*100000000+('Dvd Calendar'!$T$810='Field Check'!$C$25)*10000000+(N('Dvd Calendar'!$T$804)&gt;0)*1000000+54*1000+16))</f>
        <v/>
      </c>
      <c r="S62" s="41">
        <f>IF(N('Dvd Calendar'!$U$805)=0,"",IF(('Dvd Calendar'!$U$805&gt;=MIN(DATE(Summary!$C$12,1,1),Summary!$C$11))*('Dvd Calendar'!$U$805&lt;=MAX(DATE(Summary!$C$12,12,31),Summary!$C$15))*('Dvd Calendar'!$U$805&lt;=Summary!$C$11)=0,"",'Dvd Calendar'!$U$805*1000000000+ISNUMBER('Dvd Calendar'!$U$806)*100000000+('Dvd Calendar'!$U$810='Field Check'!$C$25)*10000000+(N('Dvd Calendar'!$U$804)&gt;0)*1000000+54*1000+17))</f>
        <v/>
      </c>
      <c r="T62" s="41">
        <f>IF(N('Dvd Calendar'!$V$805)=0,"",IF(('Dvd Calendar'!$V$805&gt;=MIN(DATE(Summary!$C$12,1,1),Summary!$C$11))*('Dvd Calendar'!$V$805&lt;=MAX(DATE(Summary!$C$12,12,31),Summary!$C$15))*('Dvd Calendar'!$V$805&lt;=Summary!$C$11)=0,"",'Dvd Calendar'!$V$805*1000000000+ISNUMBER('Dvd Calendar'!$V$806)*100000000+('Dvd Calendar'!$V$810='Field Check'!$C$25)*10000000+(N('Dvd Calendar'!$V$804)&gt;0)*1000000+54*1000+18))</f>
        <v/>
      </c>
      <c r="U62" s="41">
        <f>IF(N('Dvd Calendar'!$W$805)=0,"",IF(('Dvd Calendar'!$W$805&gt;=MIN(DATE(Summary!$C$12,1,1),Summary!$C$11))*('Dvd Calendar'!$W$805&lt;=MAX(DATE(Summary!$C$12,12,31),Summary!$C$15))*('Dvd Calendar'!$W$805&lt;=Summary!$C$11)=0,"",'Dvd Calendar'!$W$805*1000000000+ISNUMBER('Dvd Calendar'!$W$806)*100000000+('Dvd Calendar'!$W$810='Field Check'!$C$25)*10000000+(N('Dvd Calendar'!$W$804)&gt;0)*1000000+54*1000+19))</f>
        <v/>
      </c>
      <c r="V62" s="41">
        <f>IF(N('Dvd Calendar'!$X$805)=0,"",IF(('Dvd Calendar'!$X$805&gt;=MIN(DATE(Summary!$C$12,1,1),Summary!$C$11))*('Dvd Calendar'!$X$805&lt;=MAX(DATE(Summary!$C$12,12,31),Summary!$C$15))*('Dvd Calendar'!$X$805&lt;=Summary!$C$11)=0,"",'Dvd Calendar'!$X$805*1000000000+ISNUMBER('Dvd Calendar'!$X$806)*100000000+('Dvd Calendar'!$X$810='Field Check'!$C$25)*10000000+(N('Dvd Calendar'!$X$804)&gt;0)*1000000+54*1000+20))</f>
        <v/>
      </c>
      <c r="W62" s="41">
        <f>IF(N('Dvd Calendar'!$Y$805)=0,"",IF(('Dvd Calendar'!$Y$805&gt;=MIN(DATE(Summary!$C$12,1,1),Summary!$C$11))*('Dvd Calendar'!$Y$805&lt;=MAX(DATE(Summary!$C$12,12,31),Summary!$C$15))*('Dvd Calendar'!$Y$805&lt;=Summary!$C$11)=0,"",'Dvd Calendar'!$Y$805*1000000000+ISNUMBER('Dvd Calendar'!$Y$806)*100000000+('Dvd Calendar'!$Y$810='Field Check'!$C$25)*10000000+(N('Dvd Calendar'!$Y$804)&gt;0)*1000000+54*1000+21))</f>
        <v/>
      </c>
      <c r="X62" s="41">
        <f>IF(N('Dvd Calendar'!$Z$805)=0,"",IF(('Dvd Calendar'!$Z$805&gt;=MIN(DATE(Summary!$C$12,1,1),Summary!$C$11))*('Dvd Calendar'!$Z$805&lt;=MAX(DATE(Summary!$C$12,12,31),Summary!$C$15))*('Dvd Calendar'!$Z$805&lt;=Summary!$C$11)=0,"",'Dvd Calendar'!$Z$805*1000000000+ISNUMBER('Dvd Calendar'!$Z$806)*100000000+('Dvd Calendar'!$Z$810='Field Check'!$C$25)*10000000+(N('Dvd Calendar'!$Z$804)&gt;0)*1000000+54*1000+22))</f>
        <v/>
      </c>
      <c r="Y62" s="41">
        <f>IF(N('Dvd Calendar'!$AA$805)=0,"",IF(('Dvd Calendar'!$AA$805&gt;=MIN(DATE(Summary!$C$12,1,1),Summary!$C$11))*('Dvd Calendar'!$AA$805&lt;=MAX(DATE(Summary!$C$12,12,31),Summary!$C$15))*('Dvd Calendar'!$AA$805&lt;=Summary!$C$11)=0,"",'Dvd Calendar'!$AA$805*1000000000+ISNUMBER('Dvd Calendar'!$AA$806)*100000000+('Dvd Calendar'!$AA$810='Field Check'!$C$25)*10000000+(N('Dvd Calendar'!$AA$804)&gt;0)*1000000+54*1000+23))</f>
        <v/>
      </c>
      <c r="Z62" s="41">
        <f>IF(N('Dvd Calendar'!$AB$805)=0,"",IF(('Dvd Calendar'!$AB$805&gt;=MIN(DATE(Summary!$C$12,1,1),Summary!$C$11))*('Dvd Calendar'!$AB$805&lt;=MAX(DATE(Summary!$C$12,12,31),Summary!$C$15))*('Dvd Calendar'!$AB$805&lt;=Summary!$C$11)=0,"",'Dvd Calendar'!$AB$805*1000000000+ISNUMBER('Dvd Calendar'!$AB$806)*100000000+('Dvd Calendar'!$AB$810='Field Check'!$C$25)*10000000+(N('Dvd Calendar'!$AB$804)&gt;0)*1000000+54*1000+24))</f>
        <v/>
      </c>
      <c r="AA62" s="41">
        <f>IF(N('Dvd Calendar'!$AC$805)=0,"",IF(('Dvd Calendar'!$AC$805&gt;=MIN(DATE(Summary!$C$12,1,1),Summary!$C$11))*('Dvd Calendar'!$AC$805&lt;=MAX(DATE(Summary!$C$12,12,31),Summary!$C$15))*('Dvd Calendar'!$AC$805&lt;=Summary!$C$11)=0,"",'Dvd Calendar'!$AC$805*1000000000+ISNUMBER('Dvd Calendar'!$AC$806)*100000000+('Dvd Calendar'!$AC$810='Field Check'!$C$25)*10000000+(N('Dvd Calendar'!$AC$804)&gt;0)*1000000+54*1000+25))</f>
        <v/>
      </c>
      <c r="AB62" s="41">
        <f>IF(N('Dvd Calendar'!$AD$805)=0,"",IF(('Dvd Calendar'!$AD$805&gt;=MIN(DATE(Summary!$C$12,1,1),Summary!$C$11))*('Dvd Calendar'!$AD$805&lt;=MAX(DATE(Summary!$C$12,12,31),Summary!$C$15))*('Dvd Calendar'!$AD$805&lt;=Summary!$C$11)=0,"",'Dvd Calendar'!$AD$805*1000000000+ISNUMBER('Dvd Calendar'!$AD$806)*100000000+('Dvd Calendar'!$AD$810='Field Check'!$C$25)*10000000+(N('Dvd Calendar'!$AD$804)&gt;0)*1000000+54*1000+26))</f>
        <v/>
      </c>
      <c r="AC62" s="41">
        <f>IF(N('Dvd Calendar'!$AE$805)=0,"",IF(('Dvd Calendar'!$AE$805&gt;=MIN(DATE(Summary!$C$12,1,1),Summary!$C$11))*('Dvd Calendar'!$AE$805&lt;=MAX(DATE(Summary!$C$12,12,31),Summary!$C$15))*('Dvd Calendar'!$AE$805&lt;=Summary!$C$11)=0,"",'Dvd Calendar'!$AE$805*1000000000+ISNUMBER('Dvd Calendar'!$AE$806)*100000000+('Dvd Calendar'!$AE$810='Field Check'!$C$25)*10000000+(N('Dvd Calendar'!$AE$804)&gt;0)*1000000+54*1000+27))</f>
        <v/>
      </c>
      <c r="AD62" s="41">
        <f>IF(N('Dvd Calendar'!$AF$805)=0,"",IF(('Dvd Calendar'!$AF$805&gt;=MIN(DATE(Summary!$C$12,1,1),Summary!$C$11))*('Dvd Calendar'!$AF$805&lt;=MAX(DATE(Summary!$C$12,12,31),Summary!$C$15))*('Dvd Calendar'!$AF$805&lt;=Summary!$C$11)=0,"",'Dvd Calendar'!$AF$805*1000000000+ISNUMBER('Dvd Calendar'!$AF$806)*100000000+('Dvd Calendar'!$AF$810='Field Check'!$C$25)*10000000+(N('Dvd Calendar'!$AF$804)&gt;0)*1000000+54*1000+28))</f>
        <v/>
      </c>
      <c r="AE62" s="41">
        <f>IF(N('Dvd Calendar'!$AG$805)=0,"",IF(('Dvd Calendar'!$AG$805&gt;=MIN(DATE(Summary!$C$12,1,1),Summary!$C$11))*('Dvd Calendar'!$AG$805&lt;=MAX(DATE(Summary!$C$12,12,31),Summary!$C$15))*('Dvd Calendar'!$AG$805&lt;=Summary!$C$11)=0,"",'Dvd Calendar'!$AG$805*1000000000+ISNUMBER('Dvd Calendar'!$AG$806)*100000000+('Dvd Calendar'!$AG$810='Field Check'!$C$25)*10000000+(N('Dvd Calendar'!$AG$804)&gt;0)*1000000+54*1000+29))</f>
        <v/>
      </c>
      <c r="AF62" s="41">
        <f>IF(N('Dvd Calendar'!$AH$805)=0,"",IF(('Dvd Calendar'!$AH$805&gt;=MIN(DATE(Summary!$C$12,1,1),Summary!$C$11))*('Dvd Calendar'!$AH$805&lt;=MAX(DATE(Summary!$C$12,12,31),Summary!$C$15))*('Dvd Calendar'!$AH$805&lt;=Summary!$C$11)=0,"",'Dvd Calendar'!$AH$805*1000000000+ISNUMBER('Dvd Calendar'!$AH$806)*100000000+('Dvd Calendar'!$AH$810='Field Check'!$C$25)*10000000+(N('Dvd Calendar'!$AH$804)&gt;0)*1000000+54*1000+30))</f>
        <v/>
      </c>
      <c r="AG62" s="41">
        <f>IF(N('Dvd Calendar'!$AI$805)=0,"",IF(('Dvd Calendar'!$AI$805&gt;=MIN(DATE(Summary!$C$12,1,1),Summary!$C$11))*('Dvd Calendar'!$AI$805&lt;=MAX(DATE(Summary!$C$12,12,31),Summary!$C$15))*('Dvd Calendar'!$AI$805&lt;=Summary!$C$11)=0,"",'Dvd Calendar'!$AI$805*1000000000+ISNUMBER('Dvd Calendar'!$AI$806)*100000000+('Dvd Calendar'!$AI$810='Field Check'!$C$25)*10000000+(N('Dvd Calendar'!$AI$804)&gt;0)*1000000+54*1000+31))</f>
        <v/>
      </c>
      <c r="AH62" s="41">
        <f>IF(N('Dvd Calendar'!$AJ$805)=0,"",IF(('Dvd Calendar'!$AJ$805&gt;=MIN(DATE(Summary!$C$12,1,1),Summary!$C$11))*('Dvd Calendar'!$AJ$805&lt;=MAX(DATE(Summary!$C$12,12,31),Summary!$C$15))*('Dvd Calendar'!$AJ$805&lt;=Summary!$C$11)=0,"",'Dvd Calendar'!$AJ$805*1000000000+ISNUMBER('Dvd Calendar'!$AJ$806)*100000000+('Dvd Calendar'!$AJ$810='Field Check'!$C$25)*10000000+(N('Dvd Calendar'!$AJ$804)&gt;0)*1000000+54*1000+32))</f>
        <v/>
      </c>
      <c r="AI62" s="41">
        <f>IF(N('Dvd Calendar'!$AK$805)=0,"",IF(('Dvd Calendar'!$AK$805&gt;=MIN(DATE(Summary!$C$12,1,1),Summary!$C$11))*('Dvd Calendar'!$AK$805&lt;=MAX(DATE(Summary!$C$12,12,31),Summary!$C$15))*('Dvd Calendar'!$AK$805&lt;=Summary!$C$11)=0,"",'Dvd Calendar'!$AK$805*1000000000+ISNUMBER('Dvd Calendar'!$AK$806)*100000000+('Dvd Calendar'!$AK$810='Field Check'!$C$25)*10000000+(N('Dvd Calendar'!$AK$804)&gt;0)*1000000+54*1000+33))</f>
        <v/>
      </c>
      <c r="AJ62" s="41">
        <f>IF(N('Dvd Calendar'!$AL$805)=0,"",IF(('Dvd Calendar'!$AL$805&gt;=MIN(DATE(Summary!$C$12,1,1),Summary!$C$11))*('Dvd Calendar'!$AL$805&lt;=MAX(DATE(Summary!$C$12,12,31),Summary!$C$15))*('Dvd Calendar'!$AL$805&lt;=Summary!$C$11)=0,"",'Dvd Calendar'!$AL$805*1000000000+ISNUMBER('Dvd Calendar'!$AL$806)*100000000+('Dvd Calendar'!$AL$810='Field Check'!$C$25)*10000000+(N('Dvd Calendar'!$AL$804)&gt;0)*1000000+54*1000+34))</f>
        <v/>
      </c>
      <c r="AK62" s="41">
        <f>IF(N('Dvd Calendar'!$AM$805)=0,"",IF(('Dvd Calendar'!$AM$805&gt;=MIN(DATE(Summary!$C$12,1,1),Summary!$C$11))*('Dvd Calendar'!$AM$805&lt;=MAX(DATE(Summary!$C$12,12,31),Summary!$C$15))*('Dvd Calendar'!$AM$805&lt;=Summary!$C$11)=0,"",'Dvd Calendar'!$AM$805*1000000000+ISNUMBER('Dvd Calendar'!$AM$806)*100000000+('Dvd Calendar'!$AM$810='Field Check'!$C$25)*10000000+(N('Dvd Calendar'!$AM$804)&gt;0)*1000000+54*1000+35))</f>
        <v/>
      </c>
      <c r="AL62" s="41">
        <f>IF(N('Dvd Calendar'!$AN$805)=0,"",IF(('Dvd Calendar'!$AN$805&gt;=MIN(DATE(Summary!$C$12,1,1),Summary!$C$11))*('Dvd Calendar'!$AN$805&lt;=MAX(DATE(Summary!$C$12,12,31),Summary!$C$15))*('Dvd Calendar'!$AN$805&lt;=Summary!$C$11)=0,"",'Dvd Calendar'!$AN$805*1000000000+ISNUMBER('Dvd Calendar'!$AN$806)*100000000+('Dvd Calendar'!$AN$810='Field Check'!$C$25)*10000000+(N('Dvd Calendar'!$AN$804)&gt;0)*1000000+54*1000+36))</f>
        <v/>
      </c>
      <c r="AM62" s="41">
        <f>IF(N('Dvd Calendar'!$AO$805)=0,"",IF(('Dvd Calendar'!$AO$805&gt;=MIN(DATE(Summary!$C$12,1,1),Summary!$C$11))*('Dvd Calendar'!$AO$805&lt;=MAX(DATE(Summary!$C$12,12,31),Summary!$C$15))*('Dvd Calendar'!$AO$805&lt;=Summary!$C$11)=0,"",'Dvd Calendar'!$AO$805*1000000000+ISNUMBER('Dvd Calendar'!$AO$806)*100000000+('Dvd Calendar'!$AO$810='Field Check'!$C$25)*10000000+(N('Dvd Calendar'!$AO$804)&gt;0)*1000000+54*1000+37))</f>
        <v/>
      </c>
      <c r="AN62" s="41">
        <f>IF(N('Dvd Calendar'!$AP$805)=0,"",IF(('Dvd Calendar'!$AP$805&gt;=MIN(DATE(Summary!$C$12,1,1),Summary!$C$11))*('Dvd Calendar'!$AP$805&lt;=MAX(DATE(Summary!$C$12,12,31),Summary!$C$15))*('Dvd Calendar'!$AP$805&lt;=Summary!$C$11)=0,"",'Dvd Calendar'!$AP$805*1000000000+ISNUMBER('Dvd Calendar'!$AP$806)*100000000+('Dvd Calendar'!$AP$810='Field Check'!$C$25)*10000000+(N('Dvd Calendar'!$AP$804)&gt;0)*1000000+54*1000+38))</f>
        <v/>
      </c>
      <c r="AO62" s="41">
        <f>IF(N('Dvd Calendar'!$AQ$805)=0,"",IF(('Dvd Calendar'!$AQ$805&gt;=MIN(DATE(Summary!$C$12,1,1),Summary!$C$11))*('Dvd Calendar'!$AQ$805&lt;=MAX(DATE(Summary!$C$12,12,31),Summary!$C$15))*('Dvd Calendar'!$AQ$805&lt;=Summary!$C$11)=0,"",'Dvd Calendar'!$AQ$805*1000000000+ISNUMBER('Dvd Calendar'!$AQ$806)*100000000+('Dvd Calendar'!$AQ$810='Field Check'!$C$25)*10000000+(N('Dvd Calendar'!$AQ$804)&gt;0)*1000000+54*1000+39))</f>
        <v/>
      </c>
      <c r="AP62" s="41">
        <f>IF(N('Dvd Calendar'!$AR$805)=0,"",IF(('Dvd Calendar'!$AR$805&gt;=MIN(DATE(Summary!$C$12,1,1),Summary!$C$11))*('Dvd Calendar'!$AR$805&lt;=MAX(DATE(Summary!$C$12,12,31),Summary!$C$15))*('Dvd Calendar'!$AR$805&lt;=Summary!$C$11)=0,"",'Dvd Calendar'!$AR$805*1000000000+ISNUMBER('Dvd Calendar'!$AR$806)*100000000+('Dvd Calendar'!$AR$810='Field Check'!$C$25)*10000000+(N('Dvd Calendar'!$AR$804)&gt;0)*1000000+54*1000+40))</f>
        <v/>
      </c>
      <c r="AQ62" s="41">
        <f>IF(N('Dvd Calendar'!$E$812)=0,"",IF(('Dvd Calendar'!$E$812&gt;=MIN(DATE(Summary!$C$12,1,1),Summary!$C$11))*('Dvd Calendar'!$E$812&lt;=MAX(DATE(Summary!$C$12,12,31),Summary!$C$15))*('Dvd Calendar'!$E$812&gt;Summary!$C$11)=0,"",'Dvd Calendar'!$E$812*1000000000+ISNUMBER('Dvd Calendar'!$E$813)*100000000+('Dvd Calendar'!$E$817='Field Check'!$C$25)*10000000+(N('Dvd Calendar'!$E$811)&gt;0)*1000000+54*1000+41))</f>
        <v/>
      </c>
      <c r="AR62" s="41">
        <f>IF(N('Dvd Calendar'!$F$812)=0,"",IF(('Dvd Calendar'!$F$812&gt;=MIN(DATE(Summary!$C$12,1,1),Summary!$C$11))*('Dvd Calendar'!$F$812&lt;=MAX(DATE(Summary!$C$12,12,31),Summary!$C$15))*('Dvd Calendar'!$F$812&gt;Summary!$C$11)=0,"",'Dvd Calendar'!$F$812*1000000000+ISNUMBER('Dvd Calendar'!$F$813)*100000000+('Dvd Calendar'!$F$817='Field Check'!$C$25)*10000000+(N('Dvd Calendar'!$F$811)&gt;0)*1000000+54*1000+42))</f>
        <v/>
      </c>
      <c r="AS62" s="41">
        <f>IF(N('Dvd Calendar'!$G$812)=0,"",IF(('Dvd Calendar'!$G$812&gt;=MIN(DATE(Summary!$C$12,1,1),Summary!$C$11))*('Dvd Calendar'!$G$812&lt;=MAX(DATE(Summary!$C$12,12,31),Summary!$C$15))*('Dvd Calendar'!$G$812&gt;Summary!$C$11)=0,"",'Dvd Calendar'!$G$812*1000000000+ISNUMBER('Dvd Calendar'!$G$813)*100000000+('Dvd Calendar'!$G$817='Field Check'!$C$25)*10000000+(N('Dvd Calendar'!$G$811)&gt;0)*1000000+54*1000+43))</f>
        <v/>
      </c>
      <c r="AT62" s="41">
        <f>IF(N('Dvd Calendar'!$H$812)=0,"",IF(('Dvd Calendar'!$H$812&gt;=MIN(DATE(Summary!$C$12,1,1),Summary!$C$11))*('Dvd Calendar'!$H$812&lt;=MAX(DATE(Summary!$C$12,12,31),Summary!$C$15))*('Dvd Calendar'!$H$812&gt;Summary!$C$11)=0,"",'Dvd Calendar'!$H$812*1000000000+ISNUMBER('Dvd Calendar'!$H$813)*100000000+('Dvd Calendar'!$H$817='Field Check'!$C$25)*10000000+(N('Dvd Calendar'!$H$811)&gt;0)*1000000+54*1000+44))</f>
        <v/>
      </c>
      <c r="AU62" s="41">
        <f>IF(N('Dvd Calendar'!$I$812)=0,"",IF(('Dvd Calendar'!$I$812&gt;=MIN(DATE(Summary!$C$12,1,1),Summary!$C$11))*('Dvd Calendar'!$I$812&lt;=MAX(DATE(Summary!$C$12,12,31),Summary!$C$15))*('Dvd Calendar'!$I$812&gt;Summary!$C$11)=0,"",'Dvd Calendar'!$I$812*1000000000+ISNUMBER('Dvd Calendar'!$I$813)*100000000+('Dvd Calendar'!$I$817='Field Check'!$C$25)*10000000+(N('Dvd Calendar'!$I$811)&gt;0)*1000000+54*1000+45))</f>
        <v/>
      </c>
      <c r="AV62" s="41">
        <f>IF(N('Dvd Calendar'!$J$812)=0,"",IF(('Dvd Calendar'!$J$812&gt;=MIN(DATE(Summary!$C$12,1,1),Summary!$C$11))*('Dvd Calendar'!$J$812&lt;=MAX(DATE(Summary!$C$12,12,31),Summary!$C$15))*('Dvd Calendar'!$J$812&gt;Summary!$C$11)=0,"",'Dvd Calendar'!$J$812*1000000000+ISNUMBER('Dvd Calendar'!$J$813)*100000000+('Dvd Calendar'!$J$817='Field Check'!$C$25)*10000000+(N('Dvd Calendar'!$J$811)&gt;0)*1000000+54*1000+46))</f>
        <v/>
      </c>
      <c r="AW62" s="41">
        <f>IF(N('Dvd Calendar'!$K$812)=0,"",IF(('Dvd Calendar'!$K$812&gt;=MIN(DATE(Summary!$C$12,1,1),Summary!$C$11))*('Dvd Calendar'!$K$812&lt;=MAX(DATE(Summary!$C$12,12,31),Summary!$C$15))*('Dvd Calendar'!$K$812&gt;Summary!$C$11)=0,"",'Dvd Calendar'!$K$812*1000000000+ISNUMBER('Dvd Calendar'!$K$813)*100000000+('Dvd Calendar'!$K$817='Field Check'!$C$25)*10000000+(N('Dvd Calendar'!$K$811)&gt;0)*1000000+54*1000+47))</f>
        <v/>
      </c>
      <c r="AX62" s="41">
        <f>IF(N('Dvd Calendar'!$L$812)=0,"",IF(('Dvd Calendar'!$L$812&gt;=MIN(DATE(Summary!$C$12,1,1),Summary!$C$11))*('Dvd Calendar'!$L$812&lt;=MAX(DATE(Summary!$C$12,12,31),Summary!$C$15))*('Dvd Calendar'!$L$812&gt;Summary!$C$11)=0,"",'Dvd Calendar'!$L$812*1000000000+ISNUMBER('Dvd Calendar'!$L$813)*100000000+('Dvd Calendar'!$L$817='Field Check'!$C$25)*10000000+(N('Dvd Calendar'!$L$811)&gt;0)*1000000+54*1000+48))</f>
        <v/>
      </c>
      <c r="AY62" s="41">
        <f>IF(N('Dvd Calendar'!$M$812)=0,"",IF(('Dvd Calendar'!$M$812&gt;=MIN(DATE(Summary!$C$12,1,1),Summary!$C$11))*('Dvd Calendar'!$M$812&lt;=MAX(DATE(Summary!$C$12,12,31),Summary!$C$15))*('Dvd Calendar'!$M$812&gt;Summary!$C$11)=0,"",'Dvd Calendar'!$M$812*1000000000+ISNUMBER('Dvd Calendar'!$M$813)*100000000+('Dvd Calendar'!$M$817='Field Check'!$C$25)*10000000+(N('Dvd Calendar'!$M$811)&gt;0)*1000000+54*1000+49))</f>
        <v/>
      </c>
      <c r="AZ62" s="41">
        <f>IF(N('Dvd Calendar'!$N$812)=0,"",IF(('Dvd Calendar'!$N$812&gt;=MIN(DATE(Summary!$C$12,1,1),Summary!$C$11))*('Dvd Calendar'!$N$812&lt;=MAX(DATE(Summary!$C$12,12,31),Summary!$C$15))*('Dvd Calendar'!$N$812&gt;Summary!$C$11)=0,"",'Dvd Calendar'!$N$812*1000000000+ISNUMBER('Dvd Calendar'!$N$813)*100000000+('Dvd Calendar'!$N$817='Field Check'!$C$25)*10000000+(N('Dvd Calendar'!$N$811)&gt;0)*1000000+54*1000+50))</f>
        <v/>
      </c>
      <c r="BA62" s="41">
        <f>IF(N('Dvd Calendar'!$O$812)=0,"",IF(('Dvd Calendar'!$O$812&gt;=MIN(DATE(Summary!$C$12,1,1),Summary!$C$11))*('Dvd Calendar'!$O$812&lt;=MAX(DATE(Summary!$C$12,12,31),Summary!$C$15))*('Dvd Calendar'!$O$812&gt;Summary!$C$11)=0,"",'Dvd Calendar'!$O$812*1000000000+ISNUMBER('Dvd Calendar'!$O$813)*100000000+('Dvd Calendar'!$O$817='Field Check'!$C$25)*10000000+(N('Dvd Calendar'!$O$811)&gt;0)*1000000+54*1000+51))</f>
        <v/>
      </c>
      <c r="BB62" s="41">
        <f>IF(N('Dvd Calendar'!$P$812)=0,"",IF(('Dvd Calendar'!$P$812&gt;=MIN(DATE(Summary!$C$12,1,1),Summary!$C$11))*('Dvd Calendar'!$P$812&lt;=MAX(DATE(Summary!$C$12,12,31),Summary!$C$15))*('Dvd Calendar'!$P$812&gt;Summary!$C$11)=0,"",'Dvd Calendar'!$P$812*1000000000+ISNUMBER('Dvd Calendar'!$P$813)*100000000+('Dvd Calendar'!$P$817='Field Check'!$C$25)*10000000+(N('Dvd Calendar'!$P$811)&gt;0)*1000000+54*1000+52))</f>
        <v/>
      </c>
      <c r="BC62" s="41">
        <f>IF(N('Dvd Calendar'!$Q$812)=0,"",IF(('Dvd Calendar'!$Q$812&gt;=MIN(DATE(Summary!$C$12,1,1),Summary!$C$11))*('Dvd Calendar'!$Q$812&lt;=MAX(DATE(Summary!$C$12,12,31),Summary!$C$15))*('Dvd Calendar'!$Q$812&gt;Summary!$C$11)=0,"",'Dvd Calendar'!$Q$812*1000000000+ISNUMBER('Dvd Calendar'!$Q$813)*100000000+('Dvd Calendar'!$Q$817='Field Check'!$C$25)*10000000+(N('Dvd Calendar'!$Q$811)&gt;0)*1000000+54*1000+53))</f>
        <v/>
      </c>
      <c r="BD62" s="41">
        <f>IF(N('Dvd Calendar'!$R$812)=0,"",IF(('Dvd Calendar'!$R$812&gt;=MIN(DATE(Summary!$C$12,1,1),Summary!$C$11))*('Dvd Calendar'!$R$812&lt;=MAX(DATE(Summary!$C$12,12,31),Summary!$C$15))*('Dvd Calendar'!$R$812&gt;Summary!$C$11)=0,"",'Dvd Calendar'!$R$812*1000000000+ISNUMBER('Dvd Calendar'!$R$813)*100000000+('Dvd Calendar'!$R$817='Field Check'!$C$25)*10000000+(N('Dvd Calendar'!$R$811)&gt;0)*1000000+54*1000+54))</f>
        <v/>
      </c>
      <c r="BE62" s="41">
        <f>IF(N('Dvd Calendar'!$S$812)=0,"",IF(('Dvd Calendar'!$S$812&gt;=MIN(DATE(Summary!$C$12,1,1),Summary!$C$11))*('Dvd Calendar'!$S$812&lt;=MAX(DATE(Summary!$C$12,12,31),Summary!$C$15))*('Dvd Calendar'!$S$812&gt;Summary!$C$11)=0,"",'Dvd Calendar'!$S$812*1000000000+ISNUMBER('Dvd Calendar'!$S$813)*100000000+('Dvd Calendar'!$S$817='Field Check'!$C$25)*10000000+(N('Dvd Calendar'!$S$811)&gt;0)*1000000+54*1000+55))</f>
        <v/>
      </c>
      <c r="BF62" s="41">
        <f>IF(N('Dvd Calendar'!$T$812)=0,"",IF(('Dvd Calendar'!$T$812&gt;=MIN(DATE(Summary!$C$12,1,1),Summary!$C$11))*('Dvd Calendar'!$T$812&lt;=MAX(DATE(Summary!$C$12,12,31),Summary!$C$15))*('Dvd Calendar'!$T$812&gt;Summary!$C$11)=0,"",'Dvd Calendar'!$T$812*1000000000+ISNUMBER('Dvd Calendar'!$T$813)*100000000+('Dvd Calendar'!$T$817='Field Check'!$C$25)*10000000+(N('Dvd Calendar'!$T$811)&gt;0)*1000000+54*1000+56))</f>
        <v/>
      </c>
      <c r="BG62" s="41">
        <f>IF(N('Dvd Calendar'!$U$812)=0,"",IF(('Dvd Calendar'!$U$812&gt;=MIN(DATE(Summary!$C$12,1,1),Summary!$C$11))*('Dvd Calendar'!$U$812&lt;=MAX(DATE(Summary!$C$12,12,31),Summary!$C$15))*('Dvd Calendar'!$U$812&gt;Summary!$C$11)=0,"",'Dvd Calendar'!$U$812*1000000000+ISNUMBER('Dvd Calendar'!$U$813)*100000000+('Dvd Calendar'!$U$817='Field Check'!$C$25)*10000000+(N('Dvd Calendar'!$U$811)&gt;0)*1000000+54*1000+57))</f>
        <v/>
      </c>
      <c r="BH62" s="41">
        <f>IF(N('Dvd Calendar'!$V$812)=0,"",IF(('Dvd Calendar'!$V$812&gt;=MIN(DATE(Summary!$C$12,1,1),Summary!$C$11))*('Dvd Calendar'!$V$812&lt;=MAX(DATE(Summary!$C$12,12,31),Summary!$C$15))*('Dvd Calendar'!$V$812&gt;Summary!$C$11)=0,"",'Dvd Calendar'!$V$812*1000000000+ISNUMBER('Dvd Calendar'!$V$813)*100000000+('Dvd Calendar'!$V$817='Field Check'!$C$25)*10000000+(N('Dvd Calendar'!$V$811)&gt;0)*1000000+54*1000+58))</f>
        <v/>
      </c>
      <c r="BI62" s="41">
        <f>IF(N('Dvd Calendar'!$W$812)=0,"",IF(('Dvd Calendar'!$W$812&gt;=MIN(DATE(Summary!$C$12,1,1),Summary!$C$11))*('Dvd Calendar'!$W$812&lt;=MAX(DATE(Summary!$C$12,12,31),Summary!$C$15))*('Dvd Calendar'!$W$812&gt;Summary!$C$11)=0,"",'Dvd Calendar'!$W$812*1000000000+ISNUMBER('Dvd Calendar'!$W$813)*100000000+('Dvd Calendar'!$W$817='Field Check'!$C$25)*10000000+(N('Dvd Calendar'!$W$811)&gt;0)*1000000+54*1000+59))</f>
        <v/>
      </c>
      <c r="BJ62" s="41">
        <f>IF(N('Dvd Calendar'!$X$812)=0,"",IF(('Dvd Calendar'!$X$812&gt;=MIN(DATE(Summary!$C$12,1,1),Summary!$C$11))*('Dvd Calendar'!$X$812&lt;=MAX(DATE(Summary!$C$12,12,31),Summary!$C$15))*('Dvd Calendar'!$X$812&gt;Summary!$C$11)=0,"",'Dvd Calendar'!$X$812*1000000000+ISNUMBER('Dvd Calendar'!$X$813)*100000000+('Dvd Calendar'!$X$817='Field Check'!$C$25)*10000000+(N('Dvd Calendar'!$X$811)&gt;0)*1000000+54*1000+60))</f>
        <v/>
      </c>
      <c r="BK62" s="41">
        <f>IF(N('Dvd Calendar'!$Y$812)=0,"",IF(('Dvd Calendar'!$Y$812&gt;=MIN(DATE(Summary!$C$12,1,1),Summary!$C$11))*('Dvd Calendar'!$Y$812&lt;=MAX(DATE(Summary!$C$12,12,31),Summary!$C$15))*('Dvd Calendar'!$Y$812&gt;Summary!$C$11)=0,"",'Dvd Calendar'!$Y$812*1000000000+ISNUMBER('Dvd Calendar'!$Y$813)*100000000+('Dvd Calendar'!$Y$817='Field Check'!$C$25)*10000000+(N('Dvd Calendar'!$Y$811)&gt;0)*1000000+54*1000+61))</f>
        <v/>
      </c>
      <c r="BL62" s="41">
        <f>IF(N('Dvd Calendar'!$Z$812)=0,"",IF(('Dvd Calendar'!$Z$812&gt;=MIN(DATE(Summary!$C$12,1,1),Summary!$C$11))*('Dvd Calendar'!$Z$812&lt;=MAX(DATE(Summary!$C$12,12,31),Summary!$C$15))*('Dvd Calendar'!$Z$812&gt;Summary!$C$11)=0,"",'Dvd Calendar'!$Z$812*1000000000+ISNUMBER('Dvd Calendar'!$Z$813)*100000000+('Dvd Calendar'!$Z$817='Field Check'!$C$25)*10000000+(N('Dvd Calendar'!$Z$811)&gt;0)*1000000+54*1000+62))</f>
        <v/>
      </c>
      <c r="BM62" s="41">
        <f>IF(N('Dvd Calendar'!$AA$812)=0,"",IF(('Dvd Calendar'!$AA$812&gt;=MIN(DATE(Summary!$C$12,1,1),Summary!$C$11))*('Dvd Calendar'!$AA$812&lt;=MAX(DATE(Summary!$C$12,12,31),Summary!$C$15))*('Dvd Calendar'!$AA$812&gt;Summary!$C$11)=0,"",'Dvd Calendar'!$AA$812*1000000000+ISNUMBER('Dvd Calendar'!$AA$813)*100000000+('Dvd Calendar'!$AA$817='Field Check'!$C$25)*10000000+(N('Dvd Calendar'!$AA$811)&gt;0)*1000000+54*1000+63))</f>
        <v/>
      </c>
      <c r="BN62" s="41">
        <f>IF(N('Dvd Calendar'!$AB$812)=0,"",IF(('Dvd Calendar'!$AB$812&gt;=MIN(DATE(Summary!$C$12,1,1),Summary!$C$11))*('Dvd Calendar'!$AB$812&lt;=MAX(DATE(Summary!$C$12,12,31),Summary!$C$15))*('Dvd Calendar'!$AB$812&gt;Summary!$C$11)=0,"",'Dvd Calendar'!$AB$812*1000000000+ISNUMBER('Dvd Calendar'!$AB$813)*100000000+('Dvd Calendar'!$AB$817='Field Check'!$C$25)*10000000+(N('Dvd Calendar'!$AB$811)&gt;0)*1000000+54*1000+64))</f>
        <v/>
      </c>
      <c r="BO62" s="41">
        <f>IF(N('Dvd Calendar'!$AC$812)=0,"",IF(('Dvd Calendar'!$AC$812&gt;=MIN(DATE(Summary!$C$12,1,1),Summary!$C$11))*('Dvd Calendar'!$AC$812&lt;=MAX(DATE(Summary!$C$12,12,31),Summary!$C$15))*('Dvd Calendar'!$AC$812&gt;Summary!$C$11)=0,"",'Dvd Calendar'!$AC$812*1000000000+ISNUMBER('Dvd Calendar'!$AC$813)*100000000+('Dvd Calendar'!$AC$817='Field Check'!$C$25)*10000000+(N('Dvd Calendar'!$AC$811)&gt;0)*1000000+54*1000+65))</f>
        <v/>
      </c>
      <c r="BQ62" s="85">
        <f>IF(C62="","",IF(ISNUMBER('Dvd Calendar'!$E$806)=FALSE,"",IF((Summary!$C$13="N")*('Dvd Calendar'!$E$810='Field Check'!$C$25)&gt;0,"",'Dvd Calendar'!$E$806)))</f>
        <v/>
      </c>
      <c r="BR62" s="85">
        <f>IF(D62="","",IF(ISNUMBER('Dvd Calendar'!$F$806)=FALSE,"",IF((Summary!$C$13="N")*('Dvd Calendar'!$F$810='Field Check'!$C$25)&gt;0,"",'Dvd Calendar'!$F$806)))</f>
        <v/>
      </c>
      <c r="BS62" s="85">
        <f>IF(E62="","",IF(ISNUMBER('Dvd Calendar'!$G$806)=FALSE,"",IF((Summary!$C$13="N")*('Dvd Calendar'!$G$810='Field Check'!$C$25)&gt;0,"",'Dvd Calendar'!$G$806)))</f>
        <v/>
      </c>
      <c r="BT62" s="85">
        <f>IF(F62="","",IF(ISNUMBER('Dvd Calendar'!$H$806)=FALSE,"",IF((Summary!$C$13="N")*('Dvd Calendar'!$H$810='Field Check'!$C$25)&gt;0,"",'Dvd Calendar'!$H$806)))</f>
        <v/>
      </c>
      <c r="BU62" s="85">
        <f>IF(G62="","",IF(ISNUMBER('Dvd Calendar'!$I$806)=FALSE,"",IF((Summary!$C$13="N")*('Dvd Calendar'!$I$810='Field Check'!$C$25)&gt;0,"",'Dvd Calendar'!$I$806)))</f>
        <v/>
      </c>
      <c r="BV62" s="85">
        <f>IF(H62="","",IF(ISNUMBER('Dvd Calendar'!$J$806)=FALSE,"",IF((Summary!$C$13="N")*('Dvd Calendar'!$J$810='Field Check'!$C$25)&gt;0,"",'Dvd Calendar'!$J$806)))</f>
        <v/>
      </c>
      <c r="BW62" s="85">
        <f>IF(I62="","",IF(ISNUMBER('Dvd Calendar'!$K$806)=FALSE,"",IF((Summary!$C$13="N")*('Dvd Calendar'!$K$810='Field Check'!$C$25)&gt;0,"",'Dvd Calendar'!$K$806)))</f>
        <v/>
      </c>
      <c r="BX62" s="85">
        <f>IF(J62="","",IF(ISNUMBER('Dvd Calendar'!$L$806)=FALSE,"",IF((Summary!$C$13="N")*('Dvd Calendar'!$L$810='Field Check'!$C$25)&gt;0,"",'Dvd Calendar'!$L$806)))</f>
        <v/>
      </c>
      <c r="BY62" s="85">
        <f>IF(K62="","",IF(ISNUMBER('Dvd Calendar'!$M$806)=FALSE,"",IF((Summary!$C$13="N")*('Dvd Calendar'!$M$810='Field Check'!$C$25)&gt;0,"",'Dvd Calendar'!$M$806)))</f>
        <v/>
      </c>
      <c r="BZ62" s="85">
        <f>IF(L62="","",IF(ISNUMBER('Dvd Calendar'!$N$806)=FALSE,"",IF((Summary!$C$13="N")*('Dvd Calendar'!$N$810='Field Check'!$C$25)&gt;0,"",'Dvd Calendar'!$N$806)))</f>
        <v/>
      </c>
      <c r="CA62" s="85">
        <f>IF(M62="","",IF(ISNUMBER('Dvd Calendar'!$O$806)=FALSE,"",IF((Summary!$C$13="N")*('Dvd Calendar'!$O$810='Field Check'!$C$25)&gt;0,"",'Dvd Calendar'!$O$806)))</f>
        <v/>
      </c>
      <c r="CB62" s="85">
        <f>IF(N62="","",IF(ISNUMBER('Dvd Calendar'!$P$806)=FALSE,"",IF((Summary!$C$13="N")*('Dvd Calendar'!$P$810='Field Check'!$C$25)&gt;0,"",'Dvd Calendar'!$P$806)))</f>
        <v/>
      </c>
      <c r="CC62" s="85">
        <f>IF(O62="","",IF(ISNUMBER('Dvd Calendar'!$Q$806)=FALSE,"",IF((Summary!$C$13="N")*('Dvd Calendar'!$Q$810='Field Check'!$C$25)&gt;0,"",'Dvd Calendar'!$Q$806)))</f>
        <v/>
      </c>
      <c r="CD62" s="85">
        <f>IF(P62="","",IF(ISNUMBER('Dvd Calendar'!$R$806)=FALSE,"",IF((Summary!$C$13="N")*('Dvd Calendar'!$R$810='Field Check'!$C$25)&gt;0,"",'Dvd Calendar'!$R$806)))</f>
        <v/>
      </c>
      <c r="CE62" s="85">
        <f>IF(Q62="","",IF(ISNUMBER('Dvd Calendar'!$S$806)=FALSE,"",IF((Summary!$C$13="N")*('Dvd Calendar'!$S$810='Field Check'!$C$25)&gt;0,"",'Dvd Calendar'!$S$806)))</f>
        <v/>
      </c>
      <c r="CF62" s="85">
        <f>IF(R62="","",IF(ISNUMBER('Dvd Calendar'!$T$806)=FALSE,"",IF((Summary!$C$13="N")*('Dvd Calendar'!$T$810='Field Check'!$C$25)&gt;0,"",'Dvd Calendar'!$T$806)))</f>
        <v/>
      </c>
      <c r="CG62" s="85">
        <f>IF(S62="","",IF(ISNUMBER('Dvd Calendar'!$U$806)=FALSE,"",IF((Summary!$C$13="N")*('Dvd Calendar'!$U$810='Field Check'!$C$25)&gt;0,"",'Dvd Calendar'!$U$806)))</f>
        <v/>
      </c>
      <c r="CH62" s="85">
        <f>IF(T62="","",IF(ISNUMBER('Dvd Calendar'!$V$806)=FALSE,"",IF((Summary!$C$13="N")*('Dvd Calendar'!$V$810='Field Check'!$C$25)&gt;0,"",'Dvd Calendar'!$V$806)))</f>
        <v/>
      </c>
      <c r="CI62" s="85">
        <f>IF(U62="","",IF(ISNUMBER('Dvd Calendar'!$W$806)=FALSE,"",IF((Summary!$C$13="N")*('Dvd Calendar'!$W$810='Field Check'!$C$25)&gt;0,"",'Dvd Calendar'!$W$806)))</f>
        <v/>
      </c>
      <c r="CJ62" s="85">
        <f>IF(V62="","",IF(ISNUMBER('Dvd Calendar'!$X$806)=FALSE,"",IF((Summary!$C$13="N")*('Dvd Calendar'!$X$810='Field Check'!$C$25)&gt;0,"",'Dvd Calendar'!$X$806)))</f>
        <v/>
      </c>
      <c r="CK62" s="85">
        <f>IF(W62="","",IF(ISNUMBER('Dvd Calendar'!$Y$806)=FALSE,"",IF((Summary!$C$13="N")*('Dvd Calendar'!$Y$810='Field Check'!$C$25)&gt;0,"",'Dvd Calendar'!$Y$806)))</f>
        <v/>
      </c>
      <c r="CL62" s="85">
        <f>IF(X62="","",IF(ISNUMBER('Dvd Calendar'!$Z$806)=FALSE,"",IF((Summary!$C$13="N")*('Dvd Calendar'!$Z$810='Field Check'!$C$25)&gt;0,"",'Dvd Calendar'!$Z$806)))</f>
        <v/>
      </c>
      <c r="CM62" s="85">
        <f>IF(Y62="","",IF(ISNUMBER('Dvd Calendar'!$AA$806)=FALSE,"",IF((Summary!$C$13="N")*('Dvd Calendar'!$AA$810='Field Check'!$C$25)&gt;0,"",'Dvd Calendar'!$AA$806)))</f>
        <v/>
      </c>
      <c r="CN62" s="85">
        <f>IF(Z62="","",IF(ISNUMBER('Dvd Calendar'!$AB$806)=FALSE,"",IF((Summary!$C$13="N")*('Dvd Calendar'!$AB$810='Field Check'!$C$25)&gt;0,"",'Dvd Calendar'!$AB$806)))</f>
        <v/>
      </c>
      <c r="CO62" s="85">
        <f>IF(AA62="","",IF(ISNUMBER('Dvd Calendar'!$AC$806)=FALSE,"",IF((Summary!$C$13="N")*('Dvd Calendar'!$AC$810='Field Check'!$C$25)&gt;0,"",'Dvd Calendar'!$AC$806)))</f>
        <v/>
      </c>
      <c r="CP62" s="85">
        <f>IF(AB62="","",IF(ISNUMBER('Dvd Calendar'!$AD$806)=FALSE,"",IF((Summary!$C$13="N")*('Dvd Calendar'!$AD$810='Field Check'!$C$25)&gt;0,"",'Dvd Calendar'!$AD$806)))</f>
        <v/>
      </c>
      <c r="CQ62" s="85">
        <f>IF(AC62="","",IF(ISNUMBER('Dvd Calendar'!$AE$806)=FALSE,"",IF((Summary!$C$13="N")*('Dvd Calendar'!$AE$810='Field Check'!$C$25)&gt;0,"",'Dvd Calendar'!$AE$806)))</f>
        <v/>
      </c>
      <c r="CR62" s="85">
        <f>IF(AD62="","",IF(ISNUMBER('Dvd Calendar'!$AF$806)=FALSE,"",IF((Summary!$C$13="N")*('Dvd Calendar'!$AF$810='Field Check'!$C$25)&gt;0,"",'Dvd Calendar'!$AF$806)))</f>
        <v/>
      </c>
      <c r="CS62" s="85">
        <f>IF(AE62="","",IF(ISNUMBER('Dvd Calendar'!$AG$806)=FALSE,"",IF((Summary!$C$13="N")*('Dvd Calendar'!$AG$810='Field Check'!$C$25)&gt;0,"",'Dvd Calendar'!$AG$806)))</f>
        <v/>
      </c>
      <c r="CT62" s="85">
        <f>IF(AF62="","",IF(ISNUMBER('Dvd Calendar'!$AH$806)=FALSE,"",IF((Summary!$C$13="N")*('Dvd Calendar'!$AH$810='Field Check'!$C$25)&gt;0,"",'Dvd Calendar'!$AH$806)))</f>
        <v/>
      </c>
      <c r="CU62" s="85">
        <f>IF(AG62="","",IF(ISNUMBER('Dvd Calendar'!$AI$806)=FALSE,"",IF((Summary!$C$13="N")*('Dvd Calendar'!$AI$810='Field Check'!$C$25)&gt;0,"",'Dvd Calendar'!$AI$806)))</f>
        <v/>
      </c>
      <c r="CV62" s="85">
        <f>IF(AH62="","",IF(ISNUMBER('Dvd Calendar'!$AJ$806)=FALSE,"",IF((Summary!$C$13="N")*('Dvd Calendar'!$AJ$810='Field Check'!$C$25)&gt;0,"",'Dvd Calendar'!$AJ$806)))</f>
        <v/>
      </c>
      <c r="CW62" s="85">
        <f>IF(AI62="","",IF(ISNUMBER('Dvd Calendar'!$AK$806)=FALSE,"",IF((Summary!$C$13="N")*('Dvd Calendar'!$AK$810='Field Check'!$C$25)&gt;0,"",'Dvd Calendar'!$AK$806)))</f>
        <v/>
      </c>
      <c r="CX62" s="85">
        <f>IF(AJ62="","",IF(ISNUMBER('Dvd Calendar'!$AL$806)=FALSE,"",IF((Summary!$C$13="N")*('Dvd Calendar'!$AL$810='Field Check'!$C$25)&gt;0,"",'Dvd Calendar'!$AL$806)))</f>
        <v/>
      </c>
      <c r="CY62" s="85">
        <f>IF(AK62="","",IF(ISNUMBER('Dvd Calendar'!$AM$806)=FALSE,"",IF((Summary!$C$13="N")*('Dvd Calendar'!$AM$810='Field Check'!$C$25)&gt;0,"",'Dvd Calendar'!$AM$806)))</f>
        <v/>
      </c>
      <c r="CZ62" s="85">
        <f>IF(AL62="","",IF(ISNUMBER('Dvd Calendar'!$AN$806)=FALSE,"",IF((Summary!$C$13="N")*('Dvd Calendar'!$AN$810='Field Check'!$C$25)&gt;0,"",'Dvd Calendar'!$AN$806)))</f>
        <v/>
      </c>
      <c r="DA62" s="85">
        <f>IF(AM62="","",IF(ISNUMBER('Dvd Calendar'!$AO$806)=FALSE,"",IF((Summary!$C$13="N")*('Dvd Calendar'!$AO$810='Field Check'!$C$25)&gt;0,"",'Dvd Calendar'!$AO$806)))</f>
        <v/>
      </c>
      <c r="DB62" s="85">
        <f>IF(AN62="","",IF(ISNUMBER('Dvd Calendar'!$AP$806)=FALSE,"",IF((Summary!$C$13="N")*('Dvd Calendar'!$AP$810='Field Check'!$C$25)&gt;0,"",'Dvd Calendar'!$AP$806)))</f>
        <v/>
      </c>
      <c r="DC62" s="85">
        <f>IF(AO62="","",IF(ISNUMBER('Dvd Calendar'!$AQ$806)=FALSE,"",IF((Summary!$C$13="N")*('Dvd Calendar'!$AQ$810='Field Check'!$C$25)&gt;0,"",'Dvd Calendar'!$AQ$806)))</f>
        <v/>
      </c>
      <c r="DD62" s="85">
        <f>IF(AP62="","",IF(ISNUMBER('Dvd Calendar'!$AR$806)=FALSE,"",IF((Summary!$C$13="N")*('Dvd Calendar'!$AR$810='Field Check'!$C$25)&gt;0,"",'Dvd Calendar'!$AR$806)))</f>
        <v/>
      </c>
      <c r="DE62" s="85">
        <f>IF(AQ62="","",IF(ISNUMBER('Dvd Calendar'!$E$813)=FALSE,"",IF((Summary!$C$13="N")*('Dvd Calendar'!$E$817='Field Check'!$C$25)&gt;0,"",'Dvd Calendar'!$E$813)))</f>
        <v/>
      </c>
      <c r="DF62" s="85">
        <f>IF(AR62="","",IF(ISNUMBER('Dvd Calendar'!$F$813)=FALSE,"",IF((Summary!$C$13="N")*('Dvd Calendar'!$F$817='Field Check'!$C$25)&gt;0,"",'Dvd Calendar'!$F$813)))</f>
        <v/>
      </c>
      <c r="DG62" s="85">
        <f>IF(AS62="","",IF(ISNUMBER('Dvd Calendar'!$G$813)=FALSE,"",IF((Summary!$C$13="N")*('Dvd Calendar'!$G$817='Field Check'!$C$25)&gt;0,"",'Dvd Calendar'!$G$813)))</f>
        <v/>
      </c>
      <c r="DH62" s="85">
        <f>IF(AT62="","",IF(ISNUMBER('Dvd Calendar'!$H$813)=FALSE,"",IF((Summary!$C$13="N")*('Dvd Calendar'!$H$817='Field Check'!$C$25)&gt;0,"",'Dvd Calendar'!$H$813)))</f>
        <v/>
      </c>
      <c r="DI62" s="85">
        <f>IF(AU62="","",IF(ISNUMBER('Dvd Calendar'!$I$813)=FALSE,"",IF((Summary!$C$13="N")*('Dvd Calendar'!$I$817='Field Check'!$C$25)&gt;0,"",'Dvd Calendar'!$I$813)))</f>
        <v/>
      </c>
      <c r="DJ62" s="85">
        <f>IF(AV62="","",IF(ISNUMBER('Dvd Calendar'!$J$813)=FALSE,"",IF((Summary!$C$13="N")*('Dvd Calendar'!$J$817='Field Check'!$C$25)&gt;0,"",'Dvd Calendar'!$J$813)))</f>
        <v/>
      </c>
      <c r="DK62" s="85">
        <f>IF(AW62="","",IF(ISNUMBER('Dvd Calendar'!$K$813)=FALSE,"",IF((Summary!$C$13="N")*('Dvd Calendar'!$K$817='Field Check'!$C$25)&gt;0,"",'Dvd Calendar'!$K$813)))</f>
        <v/>
      </c>
      <c r="DL62" s="85">
        <f>IF(AX62="","",IF(ISNUMBER('Dvd Calendar'!$L$813)=FALSE,"",IF((Summary!$C$13="N")*('Dvd Calendar'!$L$817='Field Check'!$C$25)&gt;0,"",'Dvd Calendar'!$L$813)))</f>
        <v/>
      </c>
      <c r="DM62" s="85">
        <f>IF(AY62="","",IF(ISNUMBER('Dvd Calendar'!$M$813)=FALSE,"",IF((Summary!$C$13="N")*('Dvd Calendar'!$M$817='Field Check'!$C$25)&gt;0,"",'Dvd Calendar'!$M$813)))</f>
        <v/>
      </c>
      <c r="DN62" s="85">
        <f>IF(AZ62="","",IF(ISNUMBER('Dvd Calendar'!$N$813)=FALSE,"",IF((Summary!$C$13="N")*('Dvd Calendar'!$N$817='Field Check'!$C$25)&gt;0,"",'Dvd Calendar'!$N$813)))</f>
        <v/>
      </c>
      <c r="DO62" s="85">
        <f>IF(BA62="","",IF(ISNUMBER('Dvd Calendar'!$O$813)=FALSE,"",IF((Summary!$C$13="N")*('Dvd Calendar'!$O$817='Field Check'!$C$25)&gt;0,"",'Dvd Calendar'!$O$813)))</f>
        <v/>
      </c>
      <c r="DP62" s="85">
        <f>IF(BB62="","",IF(ISNUMBER('Dvd Calendar'!$P$813)=FALSE,"",IF((Summary!$C$13="N")*('Dvd Calendar'!$P$817='Field Check'!$C$25)&gt;0,"",'Dvd Calendar'!$P$813)))</f>
        <v/>
      </c>
      <c r="DQ62" s="85">
        <f>IF(BC62="","",IF(ISNUMBER('Dvd Calendar'!$Q$813)=FALSE,"",IF((Summary!$C$13="N")*('Dvd Calendar'!$Q$817='Field Check'!$C$25)&gt;0,"",'Dvd Calendar'!$Q$813)))</f>
        <v/>
      </c>
      <c r="DR62" s="85">
        <f>IF(BD62="","",IF(ISNUMBER('Dvd Calendar'!$R$813)=FALSE,"",IF((Summary!$C$13="N")*('Dvd Calendar'!$R$817='Field Check'!$C$25)&gt;0,"",'Dvd Calendar'!$R$813)))</f>
        <v/>
      </c>
      <c r="DS62" s="85">
        <f>IF(BE62="","",IF(ISNUMBER('Dvd Calendar'!$S$813)=FALSE,"",IF((Summary!$C$13="N")*('Dvd Calendar'!$S$817='Field Check'!$C$25)&gt;0,"",'Dvd Calendar'!$S$813)))</f>
        <v/>
      </c>
      <c r="DT62" s="85">
        <f>IF(BF62="","",IF(ISNUMBER('Dvd Calendar'!$T$813)=FALSE,"",IF((Summary!$C$13="N")*('Dvd Calendar'!$T$817='Field Check'!$C$25)&gt;0,"",'Dvd Calendar'!$T$813)))</f>
        <v/>
      </c>
      <c r="DU62" s="85">
        <f>IF(BG62="","",IF(ISNUMBER('Dvd Calendar'!$U$813)=FALSE,"",IF((Summary!$C$13="N")*('Dvd Calendar'!$U$817='Field Check'!$C$25)&gt;0,"",'Dvd Calendar'!$U$813)))</f>
        <v/>
      </c>
      <c r="DV62" s="85">
        <f>IF(BH62="","",IF(ISNUMBER('Dvd Calendar'!$V$813)=FALSE,"",IF((Summary!$C$13="N")*('Dvd Calendar'!$V$817='Field Check'!$C$25)&gt;0,"",'Dvd Calendar'!$V$813)))</f>
        <v/>
      </c>
      <c r="DW62" s="85">
        <f>IF(BI62="","",IF(ISNUMBER('Dvd Calendar'!$W$813)=FALSE,"",IF((Summary!$C$13="N")*('Dvd Calendar'!$W$817='Field Check'!$C$25)&gt;0,"",'Dvd Calendar'!$W$813)))</f>
        <v/>
      </c>
      <c r="DX62" s="85">
        <f>IF(BJ62="","",IF(ISNUMBER('Dvd Calendar'!$X$813)=FALSE,"",IF((Summary!$C$13="N")*('Dvd Calendar'!$X$817='Field Check'!$C$25)&gt;0,"",'Dvd Calendar'!$X$813)))</f>
        <v/>
      </c>
      <c r="DY62" s="85">
        <f>IF(BK62="","",IF(ISNUMBER('Dvd Calendar'!$Y$813)=FALSE,"",IF((Summary!$C$13="N")*('Dvd Calendar'!$Y$817='Field Check'!$C$25)&gt;0,"",'Dvd Calendar'!$Y$813)))</f>
        <v/>
      </c>
      <c r="DZ62" s="85">
        <f>IF(BL62="","",IF(ISNUMBER('Dvd Calendar'!$Z$813)=FALSE,"",IF((Summary!$C$13="N")*('Dvd Calendar'!$Z$817='Field Check'!$C$25)&gt;0,"",'Dvd Calendar'!$Z$813)))</f>
        <v/>
      </c>
      <c r="EA62" s="85">
        <f>IF(BM62="","",IF(ISNUMBER('Dvd Calendar'!$AA$813)=FALSE,"",IF((Summary!$C$13="N")*('Dvd Calendar'!$AA$817='Field Check'!$C$25)&gt;0,"",'Dvd Calendar'!$AA$813)))</f>
        <v/>
      </c>
      <c r="EB62" s="85">
        <f>IF(BN62="","",IF(ISNUMBER('Dvd Calendar'!$AB$813)=FALSE,"",IF((Summary!$C$13="N")*('Dvd Calendar'!$AB$817='Field Check'!$C$25)&gt;0,"",'Dvd Calendar'!$AB$813)))</f>
        <v/>
      </c>
      <c r="EC62" s="85">
        <f>IF(BO62="","",IF(ISNUMBER('Dvd Calendar'!$AC$813)=FALSE,"",IF((Summary!$C$13="N")*('Dvd Calendar'!$AC$817='Field Check'!$C$25)&gt;0,"",'Dvd Calendar'!$AC$813)))</f>
        <v/>
      </c>
      <c r="EE62" s="85">
        <f>IF(BQ62="","",IFERROR(BQ62*HSI!$B$60*HSI!$G$60/HSI!$B$3,""))</f>
        <v/>
      </c>
      <c r="EF62" s="85">
        <f>IF(BR62="","",IFERROR(BR62*HSI!$B$60*HSI!$G$60/HSI!$B$3,""))</f>
        <v/>
      </c>
      <c r="EG62" s="85">
        <f>IF(BS62="","",IFERROR(BS62*HSI!$B$60*HSI!$G$60/HSI!$B$3,""))</f>
        <v/>
      </c>
      <c r="EH62" s="85">
        <f>IF(BT62="","",IFERROR(BT62*HSI!$B$60*HSI!$G$60/HSI!$B$3,""))</f>
        <v/>
      </c>
      <c r="EI62" s="85">
        <f>IF(BU62="","",IFERROR(BU62*HSI!$B$60*HSI!$G$60/HSI!$B$3,""))</f>
        <v/>
      </c>
      <c r="EJ62" s="85">
        <f>IF(BV62="","",IFERROR(BV62*HSI!$B$60*HSI!$G$60/HSI!$B$3,""))</f>
        <v/>
      </c>
      <c r="EK62" s="85">
        <f>IF(BW62="","",IFERROR(BW62*HSI!$B$60*HSI!$G$60/HSI!$B$3,""))</f>
        <v/>
      </c>
      <c r="EL62" s="85">
        <f>IF(BX62="","",IFERROR(BX62*HSI!$B$60*HSI!$G$60/HSI!$B$3,""))</f>
        <v/>
      </c>
      <c r="EM62" s="85">
        <f>IF(BY62="","",IFERROR(BY62*HSI!$B$60*HSI!$G$60/HSI!$B$3,""))</f>
        <v/>
      </c>
      <c r="EN62" s="85">
        <f>IF(BZ62="","",IFERROR(BZ62*HSI!$B$60*HSI!$G$60/HSI!$B$3,""))</f>
        <v/>
      </c>
      <c r="EO62" s="85">
        <f>IF(CA62="","",IFERROR(CA62*HSI!$B$60*HSI!$G$60/HSI!$B$3,""))</f>
        <v/>
      </c>
      <c r="EP62" s="85">
        <f>IF(CB62="","",IFERROR(CB62*HSI!$B$60*HSI!$G$60/HSI!$B$3,""))</f>
        <v/>
      </c>
      <c r="EQ62" s="85">
        <f>IF(CC62="","",IFERROR(CC62*HSI!$B$60*HSI!$G$60/HSI!$B$3,""))</f>
        <v/>
      </c>
      <c r="ER62" s="85">
        <f>IF(CD62="","",IFERROR(CD62*HSI!$B$60*HSI!$G$60/HSI!$B$3,""))</f>
        <v/>
      </c>
      <c r="ES62" s="85">
        <f>IF(CE62="","",IFERROR(CE62*HSI!$B$60*HSI!$G$60/HSI!$B$3,""))</f>
        <v/>
      </c>
      <c r="ET62" s="85">
        <f>IF(CF62="","",IFERROR(CF62*HSI!$B$60*HSI!$G$60/HSI!$B$3,""))</f>
        <v/>
      </c>
      <c r="EU62" s="85">
        <f>IF(CG62="","",IFERROR(CG62*HSI!$B$60*HSI!$G$60/HSI!$B$3,""))</f>
        <v/>
      </c>
      <c r="EV62" s="85">
        <f>IF(CH62="","",IFERROR(CH62*HSI!$B$60*HSI!$G$60/HSI!$B$3,""))</f>
        <v/>
      </c>
      <c r="EW62" s="85">
        <f>IF(CI62="","",IFERROR(CI62*HSI!$B$60*HSI!$G$60/HSI!$B$3,""))</f>
        <v/>
      </c>
      <c r="EX62" s="85">
        <f>IF(CJ62="","",IFERROR(CJ62*HSI!$B$60*HSI!$G$60/HSI!$B$3,""))</f>
        <v/>
      </c>
      <c r="EY62" s="85">
        <f>IF(CK62="","",IFERROR(CK62*HSI!$B$60*HSI!$G$60/HSI!$B$3,""))</f>
        <v/>
      </c>
      <c r="EZ62" s="85">
        <f>IF(CL62="","",IFERROR(CL62*HSI!$B$60*HSI!$G$60/HSI!$B$3,""))</f>
        <v/>
      </c>
      <c r="FA62" s="85">
        <f>IF(CM62="","",IFERROR(CM62*HSI!$B$60*HSI!$G$60/HSI!$B$3,""))</f>
        <v/>
      </c>
      <c r="FB62" s="85">
        <f>IF(CN62="","",IFERROR(CN62*HSI!$B$60*HSI!$G$60/HSI!$B$3,""))</f>
        <v/>
      </c>
      <c r="FC62" s="85">
        <f>IF(CO62="","",IFERROR(CO62*HSI!$B$60*HSI!$G$60/HSI!$B$3,""))</f>
        <v/>
      </c>
      <c r="FD62" s="85">
        <f>IF(CP62="","",IFERROR(CP62*HSI!$B$60*HSI!$G$60/HSI!$B$3,""))</f>
        <v/>
      </c>
      <c r="FE62" s="85">
        <f>IF(CQ62="","",IFERROR(CQ62*HSI!$B$60*HSI!$G$60/HSI!$B$3,""))</f>
        <v/>
      </c>
      <c r="FF62" s="85">
        <f>IF(CR62="","",IFERROR(CR62*HSI!$B$60*HSI!$G$60/HSI!$B$3,""))</f>
        <v/>
      </c>
      <c r="FG62" s="85">
        <f>IF(CS62="","",IFERROR(CS62*HSI!$B$60*HSI!$G$60/HSI!$B$3,""))</f>
        <v/>
      </c>
      <c r="FH62" s="85">
        <f>IF(CT62="","",IFERROR(CT62*HSI!$B$60*HSI!$G$60/HSI!$B$3,""))</f>
        <v/>
      </c>
      <c r="FI62" s="85">
        <f>IF(CU62="","",IFERROR(CU62*HSI!$B$60*HSI!$G$60/HSI!$B$3,""))</f>
        <v/>
      </c>
      <c r="FJ62" s="85">
        <f>IF(CV62="","",IFERROR(CV62*HSI!$B$60*HSI!$G$60/HSI!$B$3,""))</f>
        <v/>
      </c>
      <c r="FK62" s="85">
        <f>IF(CW62="","",IFERROR(CW62*HSI!$B$60*HSI!$G$60/HSI!$B$3,""))</f>
        <v/>
      </c>
      <c r="FL62" s="85">
        <f>IF(CX62="","",IFERROR(CX62*HSI!$B$60*HSI!$G$60/HSI!$B$3,""))</f>
        <v/>
      </c>
      <c r="FM62" s="85">
        <f>IF(CY62="","",IFERROR(CY62*HSI!$B$60*HSI!$G$60/HSI!$B$3,""))</f>
        <v/>
      </c>
      <c r="FN62" s="85">
        <f>IF(CZ62="","",IFERROR(CZ62*HSI!$B$60*HSI!$G$60/HSI!$B$3,""))</f>
        <v/>
      </c>
      <c r="FO62" s="85">
        <f>IF(DA62="","",IFERROR(DA62*HSI!$B$60*HSI!$G$60/HSI!$B$3,""))</f>
        <v/>
      </c>
      <c r="FP62" s="85">
        <f>IF(DB62="","",IFERROR(DB62*HSI!$B$60*HSI!$G$60/HSI!$B$3,""))</f>
        <v/>
      </c>
      <c r="FQ62" s="85">
        <f>IF(DC62="","",IFERROR(DC62*HSI!$B$60*HSI!$G$60/HSI!$B$3,""))</f>
        <v/>
      </c>
      <c r="FR62" s="85">
        <f>IF(DD62="","",IFERROR(DD62*HSI!$B$60*HSI!$G$60/HSI!$B$3,""))</f>
        <v/>
      </c>
      <c r="FS62" s="85">
        <f>IF(DE62="","",IFERROR(DE62*HSI!$B$60*HSI!$G$60/HSI!$B$3,""))</f>
        <v/>
      </c>
      <c r="FT62" s="85">
        <f>IF(DF62="","",IFERROR(DF62*HSI!$B$60*HSI!$G$60/HSI!$B$3,""))</f>
        <v/>
      </c>
      <c r="FU62" s="85">
        <f>IF(DG62="","",IFERROR(DG62*HSI!$B$60*HSI!$G$60/HSI!$B$3,""))</f>
        <v/>
      </c>
      <c r="FV62" s="85">
        <f>IF(DH62="","",IFERROR(DH62*HSI!$B$60*HSI!$G$60/HSI!$B$3,""))</f>
        <v/>
      </c>
      <c r="FW62" s="85">
        <f>IF(DI62="","",IFERROR(DI62*HSI!$B$60*HSI!$G$60/HSI!$B$3,""))</f>
        <v/>
      </c>
      <c r="FX62" s="85">
        <f>IF(DJ62="","",IFERROR(DJ62*HSI!$B$60*HSI!$G$60/HSI!$B$3,""))</f>
        <v/>
      </c>
      <c r="FY62" s="85">
        <f>IF(DK62="","",IFERROR(DK62*HSI!$B$60*HSI!$G$60/HSI!$B$3,""))</f>
        <v/>
      </c>
      <c r="FZ62" s="85">
        <f>IF(DL62="","",IFERROR(DL62*HSI!$B$60*HSI!$G$60/HSI!$B$3,""))</f>
        <v/>
      </c>
      <c r="GA62" s="85">
        <f>IF(DM62="","",IFERROR(DM62*HSI!$B$60*HSI!$G$60/HSI!$B$3,""))</f>
        <v/>
      </c>
      <c r="GB62" s="85">
        <f>IF(DN62="","",IFERROR(DN62*HSI!$B$60*HSI!$G$60/HSI!$B$3,""))</f>
        <v/>
      </c>
      <c r="GC62" s="85">
        <f>IF(DO62="","",IFERROR(DO62*HSI!$B$60*HSI!$G$60/HSI!$B$3,""))</f>
        <v/>
      </c>
      <c r="GD62" s="85">
        <f>IF(DP62="","",IFERROR(DP62*HSI!$B$60*HSI!$G$60/HSI!$B$3,""))</f>
        <v/>
      </c>
      <c r="GE62" s="85">
        <f>IF(DQ62="","",IFERROR(DQ62*HSI!$B$60*HSI!$G$60/HSI!$B$3,""))</f>
        <v/>
      </c>
      <c r="GF62" s="85">
        <f>IF(DR62="","",IFERROR(DR62*HSI!$B$60*HSI!$G$60/HSI!$B$3,""))</f>
        <v/>
      </c>
      <c r="GG62" s="85">
        <f>IF(DS62="","",IFERROR(DS62*HSI!$B$60*HSI!$G$60/HSI!$B$3,""))</f>
        <v/>
      </c>
      <c r="GH62" s="85">
        <f>IF(DT62="","",IFERROR(DT62*HSI!$B$60*HSI!$G$60/HSI!$B$3,""))</f>
        <v/>
      </c>
      <c r="GI62" s="85">
        <f>IF(DU62="","",IFERROR(DU62*HSI!$B$60*HSI!$G$60/HSI!$B$3,""))</f>
        <v/>
      </c>
      <c r="GJ62" s="85">
        <f>IF(DV62="","",IFERROR(DV62*HSI!$B$60*HSI!$G$60/HSI!$B$3,""))</f>
        <v/>
      </c>
      <c r="GK62" s="85">
        <f>IF(DW62="","",IFERROR(DW62*HSI!$B$60*HSI!$G$60/HSI!$B$3,""))</f>
        <v/>
      </c>
      <c r="GL62" s="85">
        <f>IF(DX62="","",IFERROR(DX62*HSI!$B$60*HSI!$G$60/HSI!$B$3,""))</f>
        <v/>
      </c>
      <c r="GM62" s="85">
        <f>IF(DY62="","",IFERROR(DY62*HSI!$B$60*HSI!$G$60/HSI!$B$3,""))</f>
        <v/>
      </c>
      <c r="GN62" s="85">
        <f>IF(DZ62="","",IFERROR(DZ62*HSI!$B$60*HSI!$G$60/HSI!$B$3,""))</f>
        <v/>
      </c>
      <c r="GO62" s="85">
        <f>IF(EA62="","",IFERROR(EA62*HSI!$B$60*HSI!$G$60/HSI!$B$3,""))</f>
        <v/>
      </c>
      <c r="GP62" s="85">
        <f>IF(EB62="","",IFERROR(EB62*HSI!$B$60*HSI!$G$60/HSI!$B$3,""))</f>
        <v/>
      </c>
      <c r="GQ62" s="85">
        <f>IF(EC62="","",IFERROR(EC62*HSI!$B$60*HSI!$G$60/HSI!$B$3,""))</f>
        <v/>
      </c>
    </row>
    <row r="63">
      <c r="B63" s="2">
        <f>IF(HSI!$C$61="","",HSI!$C$61)</f>
        <v/>
      </c>
      <c r="C63" s="41">
        <f>IF(N('Dvd Calendar'!$E$820)=0,"",IF(('Dvd Calendar'!$E$820&gt;=MIN(DATE(Summary!$C$12,1,1),Summary!$C$11))*('Dvd Calendar'!$E$820&lt;=MAX(DATE(Summary!$C$12,12,31),Summary!$C$15))*('Dvd Calendar'!$E$820&lt;=Summary!$C$11)=0,"",'Dvd Calendar'!$E$820*1000000000+ISNUMBER('Dvd Calendar'!$E$821)*100000000+('Dvd Calendar'!$E$825='Field Check'!$C$25)*10000000+(N('Dvd Calendar'!$E$819)&gt;0)*1000000+55*1000+1))</f>
        <v/>
      </c>
      <c r="D63" s="41">
        <f>IF(N('Dvd Calendar'!$F$820)=0,"",IF(('Dvd Calendar'!$F$820&gt;=MIN(DATE(Summary!$C$12,1,1),Summary!$C$11))*('Dvd Calendar'!$F$820&lt;=MAX(DATE(Summary!$C$12,12,31),Summary!$C$15))*('Dvd Calendar'!$F$820&lt;=Summary!$C$11)=0,"",'Dvd Calendar'!$F$820*1000000000+ISNUMBER('Dvd Calendar'!$F$821)*100000000+('Dvd Calendar'!$F$825='Field Check'!$C$25)*10000000+(N('Dvd Calendar'!$F$819)&gt;0)*1000000+55*1000+2))</f>
        <v/>
      </c>
      <c r="E63" s="41">
        <f>IF(N('Dvd Calendar'!$G$820)=0,"",IF(('Dvd Calendar'!$G$820&gt;=MIN(DATE(Summary!$C$12,1,1),Summary!$C$11))*('Dvd Calendar'!$G$820&lt;=MAX(DATE(Summary!$C$12,12,31),Summary!$C$15))*('Dvd Calendar'!$G$820&lt;=Summary!$C$11)=0,"",'Dvd Calendar'!$G$820*1000000000+ISNUMBER('Dvd Calendar'!$G$821)*100000000+('Dvd Calendar'!$G$825='Field Check'!$C$25)*10000000+(N('Dvd Calendar'!$G$819)&gt;0)*1000000+55*1000+3))</f>
        <v/>
      </c>
      <c r="F63" s="41">
        <f>IF(N('Dvd Calendar'!$H$820)=0,"",IF(('Dvd Calendar'!$H$820&gt;=MIN(DATE(Summary!$C$12,1,1),Summary!$C$11))*('Dvd Calendar'!$H$820&lt;=MAX(DATE(Summary!$C$12,12,31),Summary!$C$15))*('Dvd Calendar'!$H$820&lt;=Summary!$C$11)=0,"",'Dvd Calendar'!$H$820*1000000000+ISNUMBER('Dvd Calendar'!$H$821)*100000000+('Dvd Calendar'!$H$825='Field Check'!$C$25)*10000000+(N('Dvd Calendar'!$H$819)&gt;0)*1000000+55*1000+4))</f>
        <v/>
      </c>
      <c r="G63" s="41">
        <f>IF(N('Dvd Calendar'!$I$820)=0,"",IF(('Dvd Calendar'!$I$820&gt;=MIN(DATE(Summary!$C$12,1,1),Summary!$C$11))*('Dvd Calendar'!$I$820&lt;=MAX(DATE(Summary!$C$12,12,31),Summary!$C$15))*('Dvd Calendar'!$I$820&lt;=Summary!$C$11)=0,"",'Dvd Calendar'!$I$820*1000000000+ISNUMBER('Dvd Calendar'!$I$821)*100000000+('Dvd Calendar'!$I$825='Field Check'!$C$25)*10000000+(N('Dvd Calendar'!$I$819)&gt;0)*1000000+55*1000+5))</f>
        <v/>
      </c>
      <c r="H63" s="41">
        <f>IF(N('Dvd Calendar'!$J$820)=0,"",IF(('Dvd Calendar'!$J$820&gt;=MIN(DATE(Summary!$C$12,1,1),Summary!$C$11))*('Dvd Calendar'!$J$820&lt;=MAX(DATE(Summary!$C$12,12,31),Summary!$C$15))*('Dvd Calendar'!$J$820&lt;=Summary!$C$11)=0,"",'Dvd Calendar'!$J$820*1000000000+ISNUMBER('Dvd Calendar'!$J$821)*100000000+('Dvd Calendar'!$J$825='Field Check'!$C$25)*10000000+(N('Dvd Calendar'!$J$819)&gt;0)*1000000+55*1000+6))</f>
        <v/>
      </c>
      <c r="I63" s="41">
        <f>IF(N('Dvd Calendar'!$K$820)=0,"",IF(('Dvd Calendar'!$K$820&gt;=MIN(DATE(Summary!$C$12,1,1),Summary!$C$11))*('Dvd Calendar'!$K$820&lt;=MAX(DATE(Summary!$C$12,12,31),Summary!$C$15))*('Dvd Calendar'!$K$820&lt;=Summary!$C$11)=0,"",'Dvd Calendar'!$K$820*1000000000+ISNUMBER('Dvd Calendar'!$K$821)*100000000+('Dvd Calendar'!$K$825='Field Check'!$C$25)*10000000+(N('Dvd Calendar'!$K$819)&gt;0)*1000000+55*1000+7))</f>
        <v/>
      </c>
      <c r="J63" s="41">
        <f>IF(N('Dvd Calendar'!$L$820)=0,"",IF(('Dvd Calendar'!$L$820&gt;=MIN(DATE(Summary!$C$12,1,1),Summary!$C$11))*('Dvd Calendar'!$L$820&lt;=MAX(DATE(Summary!$C$12,12,31),Summary!$C$15))*('Dvd Calendar'!$L$820&lt;=Summary!$C$11)=0,"",'Dvd Calendar'!$L$820*1000000000+ISNUMBER('Dvd Calendar'!$L$821)*100000000+('Dvd Calendar'!$L$825='Field Check'!$C$25)*10000000+(N('Dvd Calendar'!$L$819)&gt;0)*1000000+55*1000+8))</f>
        <v/>
      </c>
      <c r="K63" s="41">
        <f>IF(N('Dvd Calendar'!$M$820)=0,"",IF(('Dvd Calendar'!$M$820&gt;=MIN(DATE(Summary!$C$12,1,1),Summary!$C$11))*('Dvd Calendar'!$M$820&lt;=MAX(DATE(Summary!$C$12,12,31),Summary!$C$15))*('Dvd Calendar'!$M$820&lt;=Summary!$C$11)=0,"",'Dvd Calendar'!$M$820*1000000000+ISNUMBER('Dvd Calendar'!$M$821)*100000000+('Dvd Calendar'!$M$825='Field Check'!$C$25)*10000000+(N('Dvd Calendar'!$M$819)&gt;0)*1000000+55*1000+9))</f>
        <v/>
      </c>
      <c r="L63" s="41">
        <f>IF(N('Dvd Calendar'!$N$820)=0,"",IF(('Dvd Calendar'!$N$820&gt;=MIN(DATE(Summary!$C$12,1,1),Summary!$C$11))*('Dvd Calendar'!$N$820&lt;=MAX(DATE(Summary!$C$12,12,31),Summary!$C$15))*('Dvd Calendar'!$N$820&lt;=Summary!$C$11)=0,"",'Dvd Calendar'!$N$820*1000000000+ISNUMBER('Dvd Calendar'!$N$821)*100000000+('Dvd Calendar'!$N$825='Field Check'!$C$25)*10000000+(N('Dvd Calendar'!$N$819)&gt;0)*1000000+55*1000+10))</f>
        <v/>
      </c>
      <c r="M63" s="41">
        <f>IF(N('Dvd Calendar'!$O$820)=0,"",IF(('Dvd Calendar'!$O$820&gt;=MIN(DATE(Summary!$C$12,1,1),Summary!$C$11))*('Dvd Calendar'!$O$820&lt;=MAX(DATE(Summary!$C$12,12,31),Summary!$C$15))*('Dvd Calendar'!$O$820&lt;=Summary!$C$11)=0,"",'Dvd Calendar'!$O$820*1000000000+ISNUMBER('Dvd Calendar'!$O$821)*100000000+('Dvd Calendar'!$O$825='Field Check'!$C$25)*10000000+(N('Dvd Calendar'!$O$819)&gt;0)*1000000+55*1000+11))</f>
        <v/>
      </c>
      <c r="N63" s="41">
        <f>IF(N('Dvd Calendar'!$P$820)=0,"",IF(('Dvd Calendar'!$P$820&gt;=MIN(DATE(Summary!$C$12,1,1),Summary!$C$11))*('Dvd Calendar'!$P$820&lt;=MAX(DATE(Summary!$C$12,12,31),Summary!$C$15))*('Dvd Calendar'!$P$820&lt;=Summary!$C$11)=0,"",'Dvd Calendar'!$P$820*1000000000+ISNUMBER('Dvd Calendar'!$P$821)*100000000+('Dvd Calendar'!$P$825='Field Check'!$C$25)*10000000+(N('Dvd Calendar'!$P$819)&gt;0)*1000000+55*1000+12))</f>
        <v/>
      </c>
      <c r="O63" s="41">
        <f>IF(N('Dvd Calendar'!$Q$820)=0,"",IF(('Dvd Calendar'!$Q$820&gt;=MIN(DATE(Summary!$C$12,1,1),Summary!$C$11))*('Dvd Calendar'!$Q$820&lt;=MAX(DATE(Summary!$C$12,12,31),Summary!$C$15))*('Dvd Calendar'!$Q$820&lt;=Summary!$C$11)=0,"",'Dvd Calendar'!$Q$820*1000000000+ISNUMBER('Dvd Calendar'!$Q$821)*100000000+('Dvd Calendar'!$Q$825='Field Check'!$C$25)*10000000+(N('Dvd Calendar'!$Q$819)&gt;0)*1000000+55*1000+13))</f>
        <v/>
      </c>
      <c r="P63" s="41">
        <f>IF(N('Dvd Calendar'!$R$820)=0,"",IF(('Dvd Calendar'!$R$820&gt;=MIN(DATE(Summary!$C$12,1,1),Summary!$C$11))*('Dvd Calendar'!$R$820&lt;=MAX(DATE(Summary!$C$12,12,31),Summary!$C$15))*('Dvd Calendar'!$R$820&lt;=Summary!$C$11)=0,"",'Dvd Calendar'!$R$820*1000000000+ISNUMBER('Dvd Calendar'!$R$821)*100000000+('Dvd Calendar'!$R$825='Field Check'!$C$25)*10000000+(N('Dvd Calendar'!$R$819)&gt;0)*1000000+55*1000+14))</f>
        <v/>
      </c>
      <c r="Q63" s="41">
        <f>IF(N('Dvd Calendar'!$S$820)=0,"",IF(('Dvd Calendar'!$S$820&gt;=MIN(DATE(Summary!$C$12,1,1),Summary!$C$11))*('Dvd Calendar'!$S$820&lt;=MAX(DATE(Summary!$C$12,12,31),Summary!$C$15))*('Dvd Calendar'!$S$820&lt;=Summary!$C$11)=0,"",'Dvd Calendar'!$S$820*1000000000+ISNUMBER('Dvd Calendar'!$S$821)*100000000+('Dvd Calendar'!$S$825='Field Check'!$C$25)*10000000+(N('Dvd Calendar'!$S$819)&gt;0)*1000000+55*1000+15))</f>
        <v/>
      </c>
      <c r="R63" s="41">
        <f>IF(N('Dvd Calendar'!$T$820)=0,"",IF(('Dvd Calendar'!$T$820&gt;=MIN(DATE(Summary!$C$12,1,1),Summary!$C$11))*('Dvd Calendar'!$T$820&lt;=MAX(DATE(Summary!$C$12,12,31),Summary!$C$15))*('Dvd Calendar'!$T$820&lt;=Summary!$C$11)=0,"",'Dvd Calendar'!$T$820*1000000000+ISNUMBER('Dvd Calendar'!$T$821)*100000000+('Dvd Calendar'!$T$825='Field Check'!$C$25)*10000000+(N('Dvd Calendar'!$T$819)&gt;0)*1000000+55*1000+16))</f>
        <v/>
      </c>
      <c r="S63" s="41">
        <f>IF(N('Dvd Calendar'!$U$820)=0,"",IF(('Dvd Calendar'!$U$820&gt;=MIN(DATE(Summary!$C$12,1,1),Summary!$C$11))*('Dvd Calendar'!$U$820&lt;=MAX(DATE(Summary!$C$12,12,31),Summary!$C$15))*('Dvd Calendar'!$U$820&lt;=Summary!$C$11)=0,"",'Dvd Calendar'!$U$820*1000000000+ISNUMBER('Dvd Calendar'!$U$821)*100000000+('Dvd Calendar'!$U$825='Field Check'!$C$25)*10000000+(N('Dvd Calendar'!$U$819)&gt;0)*1000000+55*1000+17))</f>
        <v/>
      </c>
      <c r="T63" s="41">
        <f>IF(N('Dvd Calendar'!$V$820)=0,"",IF(('Dvd Calendar'!$V$820&gt;=MIN(DATE(Summary!$C$12,1,1),Summary!$C$11))*('Dvd Calendar'!$V$820&lt;=MAX(DATE(Summary!$C$12,12,31),Summary!$C$15))*('Dvd Calendar'!$V$820&lt;=Summary!$C$11)=0,"",'Dvd Calendar'!$V$820*1000000000+ISNUMBER('Dvd Calendar'!$V$821)*100000000+('Dvd Calendar'!$V$825='Field Check'!$C$25)*10000000+(N('Dvd Calendar'!$V$819)&gt;0)*1000000+55*1000+18))</f>
        <v/>
      </c>
      <c r="U63" s="41">
        <f>IF(N('Dvd Calendar'!$W$820)=0,"",IF(('Dvd Calendar'!$W$820&gt;=MIN(DATE(Summary!$C$12,1,1),Summary!$C$11))*('Dvd Calendar'!$W$820&lt;=MAX(DATE(Summary!$C$12,12,31),Summary!$C$15))*('Dvd Calendar'!$W$820&lt;=Summary!$C$11)=0,"",'Dvd Calendar'!$W$820*1000000000+ISNUMBER('Dvd Calendar'!$W$821)*100000000+('Dvd Calendar'!$W$825='Field Check'!$C$25)*10000000+(N('Dvd Calendar'!$W$819)&gt;0)*1000000+55*1000+19))</f>
        <v/>
      </c>
      <c r="V63" s="41">
        <f>IF(N('Dvd Calendar'!$X$820)=0,"",IF(('Dvd Calendar'!$X$820&gt;=MIN(DATE(Summary!$C$12,1,1),Summary!$C$11))*('Dvd Calendar'!$X$820&lt;=MAX(DATE(Summary!$C$12,12,31),Summary!$C$15))*('Dvd Calendar'!$X$820&lt;=Summary!$C$11)=0,"",'Dvd Calendar'!$X$820*1000000000+ISNUMBER('Dvd Calendar'!$X$821)*100000000+('Dvd Calendar'!$X$825='Field Check'!$C$25)*10000000+(N('Dvd Calendar'!$X$819)&gt;0)*1000000+55*1000+20))</f>
        <v/>
      </c>
      <c r="W63" s="41">
        <f>IF(N('Dvd Calendar'!$Y$820)=0,"",IF(('Dvd Calendar'!$Y$820&gt;=MIN(DATE(Summary!$C$12,1,1),Summary!$C$11))*('Dvd Calendar'!$Y$820&lt;=MAX(DATE(Summary!$C$12,12,31),Summary!$C$15))*('Dvd Calendar'!$Y$820&lt;=Summary!$C$11)=0,"",'Dvd Calendar'!$Y$820*1000000000+ISNUMBER('Dvd Calendar'!$Y$821)*100000000+('Dvd Calendar'!$Y$825='Field Check'!$C$25)*10000000+(N('Dvd Calendar'!$Y$819)&gt;0)*1000000+55*1000+21))</f>
        <v/>
      </c>
      <c r="X63" s="41">
        <f>IF(N('Dvd Calendar'!$Z$820)=0,"",IF(('Dvd Calendar'!$Z$820&gt;=MIN(DATE(Summary!$C$12,1,1),Summary!$C$11))*('Dvd Calendar'!$Z$820&lt;=MAX(DATE(Summary!$C$12,12,31),Summary!$C$15))*('Dvd Calendar'!$Z$820&lt;=Summary!$C$11)=0,"",'Dvd Calendar'!$Z$820*1000000000+ISNUMBER('Dvd Calendar'!$Z$821)*100000000+('Dvd Calendar'!$Z$825='Field Check'!$C$25)*10000000+(N('Dvd Calendar'!$Z$819)&gt;0)*1000000+55*1000+22))</f>
        <v/>
      </c>
      <c r="Y63" s="41">
        <f>IF(N('Dvd Calendar'!$AA$820)=0,"",IF(('Dvd Calendar'!$AA$820&gt;=MIN(DATE(Summary!$C$12,1,1),Summary!$C$11))*('Dvd Calendar'!$AA$820&lt;=MAX(DATE(Summary!$C$12,12,31),Summary!$C$15))*('Dvd Calendar'!$AA$820&lt;=Summary!$C$11)=0,"",'Dvd Calendar'!$AA$820*1000000000+ISNUMBER('Dvd Calendar'!$AA$821)*100000000+('Dvd Calendar'!$AA$825='Field Check'!$C$25)*10000000+(N('Dvd Calendar'!$AA$819)&gt;0)*1000000+55*1000+23))</f>
        <v/>
      </c>
      <c r="Z63" s="41">
        <f>IF(N('Dvd Calendar'!$AB$820)=0,"",IF(('Dvd Calendar'!$AB$820&gt;=MIN(DATE(Summary!$C$12,1,1),Summary!$C$11))*('Dvd Calendar'!$AB$820&lt;=MAX(DATE(Summary!$C$12,12,31),Summary!$C$15))*('Dvd Calendar'!$AB$820&lt;=Summary!$C$11)=0,"",'Dvd Calendar'!$AB$820*1000000000+ISNUMBER('Dvd Calendar'!$AB$821)*100000000+('Dvd Calendar'!$AB$825='Field Check'!$C$25)*10000000+(N('Dvd Calendar'!$AB$819)&gt;0)*1000000+55*1000+24))</f>
        <v/>
      </c>
      <c r="AA63" s="41">
        <f>IF(N('Dvd Calendar'!$AC$820)=0,"",IF(('Dvd Calendar'!$AC$820&gt;=MIN(DATE(Summary!$C$12,1,1),Summary!$C$11))*('Dvd Calendar'!$AC$820&lt;=MAX(DATE(Summary!$C$12,12,31),Summary!$C$15))*('Dvd Calendar'!$AC$820&lt;=Summary!$C$11)=0,"",'Dvd Calendar'!$AC$820*1000000000+ISNUMBER('Dvd Calendar'!$AC$821)*100000000+('Dvd Calendar'!$AC$825='Field Check'!$C$25)*10000000+(N('Dvd Calendar'!$AC$819)&gt;0)*1000000+55*1000+25))</f>
        <v/>
      </c>
      <c r="AB63" s="41">
        <f>IF(N('Dvd Calendar'!$AD$820)=0,"",IF(('Dvd Calendar'!$AD$820&gt;=MIN(DATE(Summary!$C$12,1,1),Summary!$C$11))*('Dvd Calendar'!$AD$820&lt;=MAX(DATE(Summary!$C$12,12,31),Summary!$C$15))*('Dvd Calendar'!$AD$820&lt;=Summary!$C$11)=0,"",'Dvd Calendar'!$AD$820*1000000000+ISNUMBER('Dvd Calendar'!$AD$821)*100000000+('Dvd Calendar'!$AD$825='Field Check'!$C$25)*10000000+(N('Dvd Calendar'!$AD$819)&gt;0)*1000000+55*1000+26))</f>
        <v/>
      </c>
      <c r="AC63" s="41">
        <f>IF(N('Dvd Calendar'!$AE$820)=0,"",IF(('Dvd Calendar'!$AE$820&gt;=MIN(DATE(Summary!$C$12,1,1),Summary!$C$11))*('Dvd Calendar'!$AE$820&lt;=MAX(DATE(Summary!$C$12,12,31),Summary!$C$15))*('Dvd Calendar'!$AE$820&lt;=Summary!$C$11)=0,"",'Dvd Calendar'!$AE$820*1000000000+ISNUMBER('Dvd Calendar'!$AE$821)*100000000+('Dvd Calendar'!$AE$825='Field Check'!$C$25)*10000000+(N('Dvd Calendar'!$AE$819)&gt;0)*1000000+55*1000+27))</f>
        <v/>
      </c>
      <c r="AD63" s="41">
        <f>IF(N('Dvd Calendar'!$AF$820)=0,"",IF(('Dvd Calendar'!$AF$820&gt;=MIN(DATE(Summary!$C$12,1,1),Summary!$C$11))*('Dvd Calendar'!$AF$820&lt;=MAX(DATE(Summary!$C$12,12,31),Summary!$C$15))*('Dvd Calendar'!$AF$820&lt;=Summary!$C$11)=0,"",'Dvd Calendar'!$AF$820*1000000000+ISNUMBER('Dvd Calendar'!$AF$821)*100000000+('Dvd Calendar'!$AF$825='Field Check'!$C$25)*10000000+(N('Dvd Calendar'!$AF$819)&gt;0)*1000000+55*1000+28))</f>
        <v/>
      </c>
      <c r="AE63" s="41">
        <f>IF(N('Dvd Calendar'!$AG$820)=0,"",IF(('Dvd Calendar'!$AG$820&gt;=MIN(DATE(Summary!$C$12,1,1),Summary!$C$11))*('Dvd Calendar'!$AG$820&lt;=MAX(DATE(Summary!$C$12,12,31),Summary!$C$15))*('Dvd Calendar'!$AG$820&lt;=Summary!$C$11)=0,"",'Dvd Calendar'!$AG$820*1000000000+ISNUMBER('Dvd Calendar'!$AG$821)*100000000+('Dvd Calendar'!$AG$825='Field Check'!$C$25)*10000000+(N('Dvd Calendar'!$AG$819)&gt;0)*1000000+55*1000+29))</f>
        <v/>
      </c>
      <c r="AF63" s="41">
        <f>IF(N('Dvd Calendar'!$AH$820)=0,"",IF(('Dvd Calendar'!$AH$820&gt;=MIN(DATE(Summary!$C$12,1,1),Summary!$C$11))*('Dvd Calendar'!$AH$820&lt;=MAX(DATE(Summary!$C$12,12,31),Summary!$C$15))*('Dvd Calendar'!$AH$820&lt;=Summary!$C$11)=0,"",'Dvd Calendar'!$AH$820*1000000000+ISNUMBER('Dvd Calendar'!$AH$821)*100000000+('Dvd Calendar'!$AH$825='Field Check'!$C$25)*10000000+(N('Dvd Calendar'!$AH$819)&gt;0)*1000000+55*1000+30))</f>
        <v/>
      </c>
      <c r="AG63" s="41">
        <f>IF(N('Dvd Calendar'!$AI$820)=0,"",IF(('Dvd Calendar'!$AI$820&gt;=MIN(DATE(Summary!$C$12,1,1),Summary!$C$11))*('Dvd Calendar'!$AI$820&lt;=MAX(DATE(Summary!$C$12,12,31),Summary!$C$15))*('Dvd Calendar'!$AI$820&lt;=Summary!$C$11)=0,"",'Dvd Calendar'!$AI$820*1000000000+ISNUMBER('Dvd Calendar'!$AI$821)*100000000+('Dvd Calendar'!$AI$825='Field Check'!$C$25)*10000000+(N('Dvd Calendar'!$AI$819)&gt;0)*1000000+55*1000+31))</f>
        <v/>
      </c>
      <c r="AH63" s="41">
        <f>IF(N('Dvd Calendar'!$AJ$820)=0,"",IF(('Dvd Calendar'!$AJ$820&gt;=MIN(DATE(Summary!$C$12,1,1),Summary!$C$11))*('Dvd Calendar'!$AJ$820&lt;=MAX(DATE(Summary!$C$12,12,31),Summary!$C$15))*('Dvd Calendar'!$AJ$820&lt;=Summary!$C$11)=0,"",'Dvd Calendar'!$AJ$820*1000000000+ISNUMBER('Dvd Calendar'!$AJ$821)*100000000+('Dvd Calendar'!$AJ$825='Field Check'!$C$25)*10000000+(N('Dvd Calendar'!$AJ$819)&gt;0)*1000000+55*1000+32))</f>
        <v/>
      </c>
      <c r="AI63" s="41">
        <f>IF(N('Dvd Calendar'!$AK$820)=0,"",IF(('Dvd Calendar'!$AK$820&gt;=MIN(DATE(Summary!$C$12,1,1),Summary!$C$11))*('Dvd Calendar'!$AK$820&lt;=MAX(DATE(Summary!$C$12,12,31),Summary!$C$15))*('Dvd Calendar'!$AK$820&lt;=Summary!$C$11)=0,"",'Dvd Calendar'!$AK$820*1000000000+ISNUMBER('Dvd Calendar'!$AK$821)*100000000+('Dvd Calendar'!$AK$825='Field Check'!$C$25)*10000000+(N('Dvd Calendar'!$AK$819)&gt;0)*1000000+55*1000+33))</f>
        <v/>
      </c>
      <c r="AJ63" s="41">
        <f>IF(N('Dvd Calendar'!$AL$820)=0,"",IF(('Dvd Calendar'!$AL$820&gt;=MIN(DATE(Summary!$C$12,1,1),Summary!$C$11))*('Dvd Calendar'!$AL$820&lt;=MAX(DATE(Summary!$C$12,12,31),Summary!$C$15))*('Dvd Calendar'!$AL$820&lt;=Summary!$C$11)=0,"",'Dvd Calendar'!$AL$820*1000000000+ISNUMBER('Dvd Calendar'!$AL$821)*100000000+('Dvd Calendar'!$AL$825='Field Check'!$C$25)*10000000+(N('Dvd Calendar'!$AL$819)&gt;0)*1000000+55*1000+34))</f>
        <v/>
      </c>
      <c r="AK63" s="41">
        <f>IF(N('Dvd Calendar'!$AM$820)=0,"",IF(('Dvd Calendar'!$AM$820&gt;=MIN(DATE(Summary!$C$12,1,1),Summary!$C$11))*('Dvd Calendar'!$AM$820&lt;=MAX(DATE(Summary!$C$12,12,31),Summary!$C$15))*('Dvd Calendar'!$AM$820&lt;=Summary!$C$11)=0,"",'Dvd Calendar'!$AM$820*1000000000+ISNUMBER('Dvd Calendar'!$AM$821)*100000000+('Dvd Calendar'!$AM$825='Field Check'!$C$25)*10000000+(N('Dvd Calendar'!$AM$819)&gt;0)*1000000+55*1000+35))</f>
        <v/>
      </c>
      <c r="AL63" s="41">
        <f>IF(N('Dvd Calendar'!$AN$820)=0,"",IF(('Dvd Calendar'!$AN$820&gt;=MIN(DATE(Summary!$C$12,1,1),Summary!$C$11))*('Dvd Calendar'!$AN$820&lt;=MAX(DATE(Summary!$C$12,12,31),Summary!$C$15))*('Dvd Calendar'!$AN$820&lt;=Summary!$C$11)=0,"",'Dvd Calendar'!$AN$820*1000000000+ISNUMBER('Dvd Calendar'!$AN$821)*100000000+('Dvd Calendar'!$AN$825='Field Check'!$C$25)*10000000+(N('Dvd Calendar'!$AN$819)&gt;0)*1000000+55*1000+36))</f>
        <v/>
      </c>
      <c r="AM63" s="41">
        <f>IF(N('Dvd Calendar'!$AO$820)=0,"",IF(('Dvd Calendar'!$AO$820&gt;=MIN(DATE(Summary!$C$12,1,1),Summary!$C$11))*('Dvd Calendar'!$AO$820&lt;=MAX(DATE(Summary!$C$12,12,31),Summary!$C$15))*('Dvd Calendar'!$AO$820&lt;=Summary!$C$11)=0,"",'Dvd Calendar'!$AO$820*1000000000+ISNUMBER('Dvd Calendar'!$AO$821)*100000000+('Dvd Calendar'!$AO$825='Field Check'!$C$25)*10000000+(N('Dvd Calendar'!$AO$819)&gt;0)*1000000+55*1000+37))</f>
        <v/>
      </c>
      <c r="AN63" s="41">
        <f>IF(N('Dvd Calendar'!$AP$820)=0,"",IF(('Dvd Calendar'!$AP$820&gt;=MIN(DATE(Summary!$C$12,1,1),Summary!$C$11))*('Dvd Calendar'!$AP$820&lt;=MAX(DATE(Summary!$C$12,12,31),Summary!$C$15))*('Dvd Calendar'!$AP$820&lt;=Summary!$C$11)=0,"",'Dvd Calendar'!$AP$820*1000000000+ISNUMBER('Dvd Calendar'!$AP$821)*100000000+('Dvd Calendar'!$AP$825='Field Check'!$C$25)*10000000+(N('Dvd Calendar'!$AP$819)&gt;0)*1000000+55*1000+38))</f>
        <v/>
      </c>
      <c r="AO63" s="41">
        <f>IF(N('Dvd Calendar'!$AQ$820)=0,"",IF(('Dvd Calendar'!$AQ$820&gt;=MIN(DATE(Summary!$C$12,1,1),Summary!$C$11))*('Dvd Calendar'!$AQ$820&lt;=MAX(DATE(Summary!$C$12,12,31),Summary!$C$15))*('Dvd Calendar'!$AQ$820&lt;=Summary!$C$11)=0,"",'Dvd Calendar'!$AQ$820*1000000000+ISNUMBER('Dvd Calendar'!$AQ$821)*100000000+('Dvd Calendar'!$AQ$825='Field Check'!$C$25)*10000000+(N('Dvd Calendar'!$AQ$819)&gt;0)*1000000+55*1000+39))</f>
        <v/>
      </c>
      <c r="AP63" s="41">
        <f>IF(N('Dvd Calendar'!$AR$820)=0,"",IF(('Dvd Calendar'!$AR$820&gt;=MIN(DATE(Summary!$C$12,1,1),Summary!$C$11))*('Dvd Calendar'!$AR$820&lt;=MAX(DATE(Summary!$C$12,12,31),Summary!$C$15))*('Dvd Calendar'!$AR$820&lt;=Summary!$C$11)=0,"",'Dvd Calendar'!$AR$820*1000000000+ISNUMBER('Dvd Calendar'!$AR$821)*100000000+('Dvd Calendar'!$AR$825='Field Check'!$C$25)*10000000+(N('Dvd Calendar'!$AR$819)&gt;0)*1000000+55*1000+40))</f>
        <v/>
      </c>
      <c r="AQ63" s="41">
        <f>IF(N('Dvd Calendar'!$E$827)=0,"",IF(('Dvd Calendar'!$E$827&gt;=MIN(DATE(Summary!$C$12,1,1),Summary!$C$11))*('Dvd Calendar'!$E$827&lt;=MAX(DATE(Summary!$C$12,12,31),Summary!$C$15))*('Dvd Calendar'!$E$827&gt;Summary!$C$11)=0,"",'Dvd Calendar'!$E$827*1000000000+ISNUMBER('Dvd Calendar'!$E$828)*100000000+('Dvd Calendar'!$E$832='Field Check'!$C$25)*10000000+(N('Dvd Calendar'!$E$826)&gt;0)*1000000+55*1000+41))</f>
        <v/>
      </c>
      <c r="AR63" s="41">
        <f>IF(N('Dvd Calendar'!$F$827)=0,"",IF(('Dvd Calendar'!$F$827&gt;=MIN(DATE(Summary!$C$12,1,1),Summary!$C$11))*('Dvd Calendar'!$F$827&lt;=MAX(DATE(Summary!$C$12,12,31),Summary!$C$15))*('Dvd Calendar'!$F$827&gt;Summary!$C$11)=0,"",'Dvd Calendar'!$F$827*1000000000+ISNUMBER('Dvd Calendar'!$F$828)*100000000+('Dvd Calendar'!$F$832='Field Check'!$C$25)*10000000+(N('Dvd Calendar'!$F$826)&gt;0)*1000000+55*1000+42))</f>
        <v/>
      </c>
      <c r="AS63" s="41">
        <f>IF(N('Dvd Calendar'!$G$827)=0,"",IF(('Dvd Calendar'!$G$827&gt;=MIN(DATE(Summary!$C$12,1,1),Summary!$C$11))*('Dvd Calendar'!$G$827&lt;=MAX(DATE(Summary!$C$12,12,31),Summary!$C$15))*('Dvd Calendar'!$G$827&gt;Summary!$C$11)=0,"",'Dvd Calendar'!$G$827*1000000000+ISNUMBER('Dvd Calendar'!$G$828)*100000000+('Dvd Calendar'!$G$832='Field Check'!$C$25)*10000000+(N('Dvd Calendar'!$G$826)&gt;0)*1000000+55*1000+43))</f>
        <v/>
      </c>
      <c r="AT63" s="41">
        <f>IF(N('Dvd Calendar'!$H$827)=0,"",IF(('Dvd Calendar'!$H$827&gt;=MIN(DATE(Summary!$C$12,1,1),Summary!$C$11))*('Dvd Calendar'!$H$827&lt;=MAX(DATE(Summary!$C$12,12,31),Summary!$C$15))*('Dvd Calendar'!$H$827&gt;Summary!$C$11)=0,"",'Dvd Calendar'!$H$827*1000000000+ISNUMBER('Dvd Calendar'!$H$828)*100000000+('Dvd Calendar'!$H$832='Field Check'!$C$25)*10000000+(N('Dvd Calendar'!$H$826)&gt;0)*1000000+55*1000+44))</f>
        <v/>
      </c>
      <c r="AU63" s="41">
        <f>IF(N('Dvd Calendar'!$I$827)=0,"",IF(('Dvd Calendar'!$I$827&gt;=MIN(DATE(Summary!$C$12,1,1),Summary!$C$11))*('Dvd Calendar'!$I$827&lt;=MAX(DATE(Summary!$C$12,12,31),Summary!$C$15))*('Dvd Calendar'!$I$827&gt;Summary!$C$11)=0,"",'Dvd Calendar'!$I$827*1000000000+ISNUMBER('Dvd Calendar'!$I$828)*100000000+('Dvd Calendar'!$I$832='Field Check'!$C$25)*10000000+(N('Dvd Calendar'!$I$826)&gt;0)*1000000+55*1000+45))</f>
        <v/>
      </c>
      <c r="AV63" s="41">
        <f>IF(N('Dvd Calendar'!$J$827)=0,"",IF(('Dvd Calendar'!$J$827&gt;=MIN(DATE(Summary!$C$12,1,1),Summary!$C$11))*('Dvd Calendar'!$J$827&lt;=MAX(DATE(Summary!$C$12,12,31),Summary!$C$15))*('Dvd Calendar'!$J$827&gt;Summary!$C$11)=0,"",'Dvd Calendar'!$J$827*1000000000+ISNUMBER('Dvd Calendar'!$J$828)*100000000+('Dvd Calendar'!$J$832='Field Check'!$C$25)*10000000+(N('Dvd Calendar'!$J$826)&gt;0)*1000000+55*1000+46))</f>
        <v/>
      </c>
      <c r="AW63" s="41">
        <f>IF(N('Dvd Calendar'!$K$827)=0,"",IF(('Dvd Calendar'!$K$827&gt;=MIN(DATE(Summary!$C$12,1,1),Summary!$C$11))*('Dvd Calendar'!$K$827&lt;=MAX(DATE(Summary!$C$12,12,31),Summary!$C$15))*('Dvd Calendar'!$K$827&gt;Summary!$C$11)=0,"",'Dvd Calendar'!$K$827*1000000000+ISNUMBER('Dvd Calendar'!$K$828)*100000000+('Dvd Calendar'!$K$832='Field Check'!$C$25)*10000000+(N('Dvd Calendar'!$K$826)&gt;0)*1000000+55*1000+47))</f>
        <v/>
      </c>
      <c r="AX63" s="41">
        <f>IF(N('Dvd Calendar'!$L$827)=0,"",IF(('Dvd Calendar'!$L$827&gt;=MIN(DATE(Summary!$C$12,1,1),Summary!$C$11))*('Dvd Calendar'!$L$827&lt;=MAX(DATE(Summary!$C$12,12,31),Summary!$C$15))*('Dvd Calendar'!$L$827&gt;Summary!$C$11)=0,"",'Dvd Calendar'!$L$827*1000000000+ISNUMBER('Dvd Calendar'!$L$828)*100000000+('Dvd Calendar'!$L$832='Field Check'!$C$25)*10000000+(N('Dvd Calendar'!$L$826)&gt;0)*1000000+55*1000+48))</f>
        <v/>
      </c>
      <c r="AY63" s="41">
        <f>IF(N('Dvd Calendar'!$M$827)=0,"",IF(('Dvd Calendar'!$M$827&gt;=MIN(DATE(Summary!$C$12,1,1),Summary!$C$11))*('Dvd Calendar'!$M$827&lt;=MAX(DATE(Summary!$C$12,12,31),Summary!$C$15))*('Dvd Calendar'!$M$827&gt;Summary!$C$11)=0,"",'Dvd Calendar'!$M$827*1000000000+ISNUMBER('Dvd Calendar'!$M$828)*100000000+('Dvd Calendar'!$M$832='Field Check'!$C$25)*10000000+(N('Dvd Calendar'!$M$826)&gt;0)*1000000+55*1000+49))</f>
        <v/>
      </c>
      <c r="AZ63" s="41">
        <f>IF(N('Dvd Calendar'!$N$827)=0,"",IF(('Dvd Calendar'!$N$827&gt;=MIN(DATE(Summary!$C$12,1,1),Summary!$C$11))*('Dvd Calendar'!$N$827&lt;=MAX(DATE(Summary!$C$12,12,31),Summary!$C$15))*('Dvd Calendar'!$N$827&gt;Summary!$C$11)=0,"",'Dvd Calendar'!$N$827*1000000000+ISNUMBER('Dvd Calendar'!$N$828)*100000000+('Dvd Calendar'!$N$832='Field Check'!$C$25)*10000000+(N('Dvd Calendar'!$N$826)&gt;0)*1000000+55*1000+50))</f>
        <v/>
      </c>
      <c r="BA63" s="41">
        <f>IF(N('Dvd Calendar'!$O$827)=0,"",IF(('Dvd Calendar'!$O$827&gt;=MIN(DATE(Summary!$C$12,1,1),Summary!$C$11))*('Dvd Calendar'!$O$827&lt;=MAX(DATE(Summary!$C$12,12,31),Summary!$C$15))*('Dvd Calendar'!$O$827&gt;Summary!$C$11)=0,"",'Dvd Calendar'!$O$827*1000000000+ISNUMBER('Dvd Calendar'!$O$828)*100000000+('Dvd Calendar'!$O$832='Field Check'!$C$25)*10000000+(N('Dvd Calendar'!$O$826)&gt;0)*1000000+55*1000+51))</f>
        <v/>
      </c>
      <c r="BB63" s="41">
        <f>IF(N('Dvd Calendar'!$P$827)=0,"",IF(('Dvd Calendar'!$P$827&gt;=MIN(DATE(Summary!$C$12,1,1),Summary!$C$11))*('Dvd Calendar'!$P$827&lt;=MAX(DATE(Summary!$C$12,12,31),Summary!$C$15))*('Dvd Calendar'!$P$827&gt;Summary!$C$11)=0,"",'Dvd Calendar'!$P$827*1000000000+ISNUMBER('Dvd Calendar'!$P$828)*100000000+('Dvd Calendar'!$P$832='Field Check'!$C$25)*10000000+(N('Dvd Calendar'!$P$826)&gt;0)*1000000+55*1000+52))</f>
        <v/>
      </c>
      <c r="BC63" s="41">
        <f>IF(N('Dvd Calendar'!$Q$827)=0,"",IF(('Dvd Calendar'!$Q$827&gt;=MIN(DATE(Summary!$C$12,1,1),Summary!$C$11))*('Dvd Calendar'!$Q$827&lt;=MAX(DATE(Summary!$C$12,12,31),Summary!$C$15))*('Dvd Calendar'!$Q$827&gt;Summary!$C$11)=0,"",'Dvd Calendar'!$Q$827*1000000000+ISNUMBER('Dvd Calendar'!$Q$828)*100000000+('Dvd Calendar'!$Q$832='Field Check'!$C$25)*10000000+(N('Dvd Calendar'!$Q$826)&gt;0)*1000000+55*1000+53))</f>
        <v/>
      </c>
      <c r="BD63" s="41">
        <f>IF(N('Dvd Calendar'!$R$827)=0,"",IF(('Dvd Calendar'!$R$827&gt;=MIN(DATE(Summary!$C$12,1,1),Summary!$C$11))*('Dvd Calendar'!$R$827&lt;=MAX(DATE(Summary!$C$12,12,31),Summary!$C$15))*('Dvd Calendar'!$R$827&gt;Summary!$C$11)=0,"",'Dvd Calendar'!$R$827*1000000000+ISNUMBER('Dvd Calendar'!$R$828)*100000000+('Dvd Calendar'!$R$832='Field Check'!$C$25)*10000000+(N('Dvd Calendar'!$R$826)&gt;0)*1000000+55*1000+54))</f>
        <v/>
      </c>
      <c r="BE63" s="41">
        <f>IF(N('Dvd Calendar'!$S$827)=0,"",IF(('Dvd Calendar'!$S$827&gt;=MIN(DATE(Summary!$C$12,1,1),Summary!$C$11))*('Dvd Calendar'!$S$827&lt;=MAX(DATE(Summary!$C$12,12,31),Summary!$C$15))*('Dvd Calendar'!$S$827&gt;Summary!$C$11)=0,"",'Dvd Calendar'!$S$827*1000000000+ISNUMBER('Dvd Calendar'!$S$828)*100000000+('Dvd Calendar'!$S$832='Field Check'!$C$25)*10000000+(N('Dvd Calendar'!$S$826)&gt;0)*1000000+55*1000+55))</f>
        <v/>
      </c>
      <c r="BF63" s="41">
        <f>IF(N('Dvd Calendar'!$T$827)=0,"",IF(('Dvd Calendar'!$T$827&gt;=MIN(DATE(Summary!$C$12,1,1),Summary!$C$11))*('Dvd Calendar'!$T$827&lt;=MAX(DATE(Summary!$C$12,12,31),Summary!$C$15))*('Dvd Calendar'!$T$827&gt;Summary!$C$11)=0,"",'Dvd Calendar'!$T$827*1000000000+ISNUMBER('Dvd Calendar'!$T$828)*100000000+('Dvd Calendar'!$T$832='Field Check'!$C$25)*10000000+(N('Dvd Calendar'!$T$826)&gt;0)*1000000+55*1000+56))</f>
        <v/>
      </c>
      <c r="BG63" s="41">
        <f>IF(N('Dvd Calendar'!$U$827)=0,"",IF(('Dvd Calendar'!$U$827&gt;=MIN(DATE(Summary!$C$12,1,1),Summary!$C$11))*('Dvd Calendar'!$U$827&lt;=MAX(DATE(Summary!$C$12,12,31),Summary!$C$15))*('Dvd Calendar'!$U$827&gt;Summary!$C$11)=0,"",'Dvd Calendar'!$U$827*1000000000+ISNUMBER('Dvd Calendar'!$U$828)*100000000+('Dvd Calendar'!$U$832='Field Check'!$C$25)*10000000+(N('Dvd Calendar'!$U$826)&gt;0)*1000000+55*1000+57))</f>
        <v/>
      </c>
      <c r="BH63" s="41">
        <f>IF(N('Dvd Calendar'!$V$827)=0,"",IF(('Dvd Calendar'!$V$827&gt;=MIN(DATE(Summary!$C$12,1,1),Summary!$C$11))*('Dvd Calendar'!$V$827&lt;=MAX(DATE(Summary!$C$12,12,31),Summary!$C$15))*('Dvd Calendar'!$V$827&gt;Summary!$C$11)=0,"",'Dvd Calendar'!$V$827*1000000000+ISNUMBER('Dvd Calendar'!$V$828)*100000000+('Dvd Calendar'!$V$832='Field Check'!$C$25)*10000000+(N('Dvd Calendar'!$V$826)&gt;0)*1000000+55*1000+58))</f>
        <v/>
      </c>
      <c r="BI63" s="41">
        <f>IF(N('Dvd Calendar'!$W$827)=0,"",IF(('Dvd Calendar'!$W$827&gt;=MIN(DATE(Summary!$C$12,1,1),Summary!$C$11))*('Dvd Calendar'!$W$827&lt;=MAX(DATE(Summary!$C$12,12,31),Summary!$C$15))*('Dvd Calendar'!$W$827&gt;Summary!$C$11)=0,"",'Dvd Calendar'!$W$827*1000000000+ISNUMBER('Dvd Calendar'!$W$828)*100000000+('Dvd Calendar'!$W$832='Field Check'!$C$25)*10000000+(N('Dvd Calendar'!$W$826)&gt;0)*1000000+55*1000+59))</f>
        <v/>
      </c>
      <c r="BJ63" s="41">
        <f>IF(N('Dvd Calendar'!$X$827)=0,"",IF(('Dvd Calendar'!$X$827&gt;=MIN(DATE(Summary!$C$12,1,1),Summary!$C$11))*('Dvd Calendar'!$X$827&lt;=MAX(DATE(Summary!$C$12,12,31),Summary!$C$15))*('Dvd Calendar'!$X$827&gt;Summary!$C$11)=0,"",'Dvd Calendar'!$X$827*1000000000+ISNUMBER('Dvd Calendar'!$X$828)*100000000+('Dvd Calendar'!$X$832='Field Check'!$C$25)*10000000+(N('Dvd Calendar'!$X$826)&gt;0)*1000000+55*1000+60))</f>
        <v/>
      </c>
      <c r="BK63" s="41">
        <f>IF(N('Dvd Calendar'!$Y$827)=0,"",IF(('Dvd Calendar'!$Y$827&gt;=MIN(DATE(Summary!$C$12,1,1),Summary!$C$11))*('Dvd Calendar'!$Y$827&lt;=MAX(DATE(Summary!$C$12,12,31),Summary!$C$15))*('Dvd Calendar'!$Y$827&gt;Summary!$C$11)=0,"",'Dvd Calendar'!$Y$827*1000000000+ISNUMBER('Dvd Calendar'!$Y$828)*100000000+('Dvd Calendar'!$Y$832='Field Check'!$C$25)*10000000+(N('Dvd Calendar'!$Y$826)&gt;0)*1000000+55*1000+61))</f>
        <v/>
      </c>
      <c r="BL63" s="41">
        <f>IF(N('Dvd Calendar'!$Z$827)=0,"",IF(('Dvd Calendar'!$Z$827&gt;=MIN(DATE(Summary!$C$12,1,1),Summary!$C$11))*('Dvd Calendar'!$Z$827&lt;=MAX(DATE(Summary!$C$12,12,31),Summary!$C$15))*('Dvd Calendar'!$Z$827&gt;Summary!$C$11)=0,"",'Dvd Calendar'!$Z$827*1000000000+ISNUMBER('Dvd Calendar'!$Z$828)*100000000+('Dvd Calendar'!$Z$832='Field Check'!$C$25)*10000000+(N('Dvd Calendar'!$Z$826)&gt;0)*1000000+55*1000+62))</f>
        <v/>
      </c>
      <c r="BM63" s="41">
        <f>IF(N('Dvd Calendar'!$AA$827)=0,"",IF(('Dvd Calendar'!$AA$827&gt;=MIN(DATE(Summary!$C$12,1,1),Summary!$C$11))*('Dvd Calendar'!$AA$827&lt;=MAX(DATE(Summary!$C$12,12,31),Summary!$C$15))*('Dvd Calendar'!$AA$827&gt;Summary!$C$11)=0,"",'Dvd Calendar'!$AA$827*1000000000+ISNUMBER('Dvd Calendar'!$AA$828)*100000000+('Dvd Calendar'!$AA$832='Field Check'!$C$25)*10000000+(N('Dvd Calendar'!$AA$826)&gt;0)*1000000+55*1000+63))</f>
        <v/>
      </c>
      <c r="BN63" s="41">
        <f>IF(N('Dvd Calendar'!$AB$827)=0,"",IF(('Dvd Calendar'!$AB$827&gt;=MIN(DATE(Summary!$C$12,1,1),Summary!$C$11))*('Dvd Calendar'!$AB$827&lt;=MAX(DATE(Summary!$C$12,12,31),Summary!$C$15))*('Dvd Calendar'!$AB$827&gt;Summary!$C$11)=0,"",'Dvd Calendar'!$AB$827*1000000000+ISNUMBER('Dvd Calendar'!$AB$828)*100000000+('Dvd Calendar'!$AB$832='Field Check'!$C$25)*10000000+(N('Dvd Calendar'!$AB$826)&gt;0)*1000000+55*1000+64))</f>
        <v/>
      </c>
      <c r="BO63" s="41">
        <f>IF(N('Dvd Calendar'!$AC$827)=0,"",IF(('Dvd Calendar'!$AC$827&gt;=MIN(DATE(Summary!$C$12,1,1),Summary!$C$11))*('Dvd Calendar'!$AC$827&lt;=MAX(DATE(Summary!$C$12,12,31),Summary!$C$15))*('Dvd Calendar'!$AC$827&gt;Summary!$C$11)=0,"",'Dvd Calendar'!$AC$827*1000000000+ISNUMBER('Dvd Calendar'!$AC$828)*100000000+('Dvd Calendar'!$AC$832='Field Check'!$C$25)*10000000+(N('Dvd Calendar'!$AC$826)&gt;0)*1000000+55*1000+65))</f>
        <v/>
      </c>
      <c r="BQ63" s="85">
        <f>IF(C63="","",IF(ISNUMBER('Dvd Calendar'!$E$821)=FALSE,"",IF((Summary!$C$13="N")*('Dvd Calendar'!$E$825='Field Check'!$C$25)&gt;0,"",'Dvd Calendar'!$E$821)))</f>
        <v/>
      </c>
      <c r="BR63" s="85">
        <f>IF(D63="","",IF(ISNUMBER('Dvd Calendar'!$F$821)=FALSE,"",IF((Summary!$C$13="N")*('Dvd Calendar'!$F$825='Field Check'!$C$25)&gt;0,"",'Dvd Calendar'!$F$821)))</f>
        <v/>
      </c>
      <c r="BS63" s="85">
        <f>IF(E63="","",IF(ISNUMBER('Dvd Calendar'!$G$821)=FALSE,"",IF((Summary!$C$13="N")*('Dvd Calendar'!$G$825='Field Check'!$C$25)&gt;0,"",'Dvd Calendar'!$G$821)))</f>
        <v/>
      </c>
      <c r="BT63" s="85">
        <f>IF(F63="","",IF(ISNUMBER('Dvd Calendar'!$H$821)=FALSE,"",IF((Summary!$C$13="N")*('Dvd Calendar'!$H$825='Field Check'!$C$25)&gt;0,"",'Dvd Calendar'!$H$821)))</f>
        <v/>
      </c>
      <c r="BU63" s="85">
        <f>IF(G63="","",IF(ISNUMBER('Dvd Calendar'!$I$821)=FALSE,"",IF((Summary!$C$13="N")*('Dvd Calendar'!$I$825='Field Check'!$C$25)&gt;0,"",'Dvd Calendar'!$I$821)))</f>
        <v/>
      </c>
      <c r="BV63" s="85">
        <f>IF(H63="","",IF(ISNUMBER('Dvd Calendar'!$J$821)=FALSE,"",IF((Summary!$C$13="N")*('Dvd Calendar'!$J$825='Field Check'!$C$25)&gt;0,"",'Dvd Calendar'!$J$821)))</f>
        <v/>
      </c>
      <c r="BW63" s="85">
        <f>IF(I63="","",IF(ISNUMBER('Dvd Calendar'!$K$821)=FALSE,"",IF((Summary!$C$13="N")*('Dvd Calendar'!$K$825='Field Check'!$C$25)&gt;0,"",'Dvd Calendar'!$K$821)))</f>
        <v/>
      </c>
      <c r="BX63" s="85">
        <f>IF(J63="","",IF(ISNUMBER('Dvd Calendar'!$L$821)=FALSE,"",IF((Summary!$C$13="N")*('Dvd Calendar'!$L$825='Field Check'!$C$25)&gt;0,"",'Dvd Calendar'!$L$821)))</f>
        <v/>
      </c>
      <c r="BY63" s="85">
        <f>IF(K63="","",IF(ISNUMBER('Dvd Calendar'!$M$821)=FALSE,"",IF((Summary!$C$13="N")*('Dvd Calendar'!$M$825='Field Check'!$C$25)&gt;0,"",'Dvd Calendar'!$M$821)))</f>
        <v/>
      </c>
      <c r="BZ63" s="85">
        <f>IF(L63="","",IF(ISNUMBER('Dvd Calendar'!$N$821)=FALSE,"",IF((Summary!$C$13="N")*('Dvd Calendar'!$N$825='Field Check'!$C$25)&gt;0,"",'Dvd Calendar'!$N$821)))</f>
        <v/>
      </c>
      <c r="CA63" s="85">
        <f>IF(M63="","",IF(ISNUMBER('Dvd Calendar'!$O$821)=FALSE,"",IF((Summary!$C$13="N")*('Dvd Calendar'!$O$825='Field Check'!$C$25)&gt;0,"",'Dvd Calendar'!$O$821)))</f>
        <v/>
      </c>
      <c r="CB63" s="85">
        <f>IF(N63="","",IF(ISNUMBER('Dvd Calendar'!$P$821)=FALSE,"",IF((Summary!$C$13="N")*('Dvd Calendar'!$P$825='Field Check'!$C$25)&gt;0,"",'Dvd Calendar'!$P$821)))</f>
        <v/>
      </c>
      <c r="CC63" s="85">
        <f>IF(O63="","",IF(ISNUMBER('Dvd Calendar'!$Q$821)=FALSE,"",IF((Summary!$C$13="N")*('Dvd Calendar'!$Q$825='Field Check'!$C$25)&gt;0,"",'Dvd Calendar'!$Q$821)))</f>
        <v/>
      </c>
      <c r="CD63" s="85">
        <f>IF(P63="","",IF(ISNUMBER('Dvd Calendar'!$R$821)=FALSE,"",IF((Summary!$C$13="N")*('Dvd Calendar'!$R$825='Field Check'!$C$25)&gt;0,"",'Dvd Calendar'!$R$821)))</f>
        <v/>
      </c>
      <c r="CE63" s="85">
        <f>IF(Q63="","",IF(ISNUMBER('Dvd Calendar'!$S$821)=FALSE,"",IF((Summary!$C$13="N")*('Dvd Calendar'!$S$825='Field Check'!$C$25)&gt;0,"",'Dvd Calendar'!$S$821)))</f>
        <v/>
      </c>
      <c r="CF63" s="85">
        <f>IF(R63="","",IF(ISNUMBER('Dvd Calendar'!$T$821)=FALSE,"",IF((Summary!$C$13="N")*('Dvd Calendar'!$T$825='Field Check'!$C$25)&gt;0,"",'Dvd Calendar'!$T$821)))</f>
        <v/>
      </c>
      <c r="CG63" s="85">
        <f>IF(S63="","",IF(ISNUMBER('Dvd Calendar'!$U$821)=FALSE,"",IF((Summary!$C$13="N")*('Dvd Calendar'!$U$825='Field Check'!$C$25)&gt;0,"",'Dvd Calendar'!$U$821)))</f>
        <v/>
      </c>
      <c r="CH63" s="85">
        <f>IF(T63="","",IF(ISNUMBER('Dvd Calendar'!$V$821)=FALSE,"",IF((Summary!$C$13="N")*('Dvd Calendar'!$V$825='Field Check'!$C$25)&gt;0,"",'Dvd Calendar'!$V$821)))</f>
        <v/>
      </c>
      <c r="CI63" s="85">
        <f>IF(U63="","",IF(ISNUMBER('Dvd Calendar'!$W$821)=FALSE,"",IF((Summary!$C$13="N")*('Dvd Calendar'!$W$825='Field Check'!$C$25)&gt;0,"",'Dvd Calendar'!$W$821)))</f>
        <v/>
      </c>
      <c r="CJ63" s="85">
        <f>IF(V63="","",IF(ISNUMBER('Dvd Calendar'!$X$821)=FALSE,"",IF((Summary!$C$13="N")*('Dvd Calendar'!$X$825='Field Check'!$C$25)&gt;0,"",'Dvd Calendar'!$X$821)))</f>
        <v/>
      </c>
      <c r="CK63" s="85">
        <f>IF(W63="","",IF(ISNUMBER('Dvd Calendar'!$Y$821)=FALSE,"",IF((Summary!$C$13="N")*('Dvd Calendar'!$Y$825='Field Check'!$C$25)&gt;0,"",'Dvd Calendar'!$Y$821)))</f>
        <v/>
      </c>
      <c r="CL63" s="85">
        <f>IF(X63="","",IF(ISNUMBER('Dvd Calendar'!$Z$821)=FALSE,"",IF((Summary!$C$13="N")*('Dvd Calendar'!$Z$825='Field Check'!$C$25)&gt;0,"",'Dvd Calendar'!$Z$821)))</f>
        <v/>
      </c>
      <c r="CM63" s="85">
        <f>IF(Y63="","",IF(ISNUMBER('Dvd Calendar'!$AA$821)=FALSE,"",IF((Summary!$C$13="N")*('Dvd Calendar'!$AA$825='Field Check'!$C$25)&gt;0,"",'Dvd Calendar'!$AA$821)))</f>
        <v/>
      </c>
      <c r="CN63" s="85">
        <f>IF(Z63="","",IF(ISNUMBER('Dvd Calendar'!$AB$821)=FALSE,"",IF((Summary!$C$13="N")*('Dvd Calendar'!$AB$825='Field Check'!$C$25)&gt;0,"",'Dvd Calendar'!$AB$821)))</f>
        <v/>
      </c>
      <c r="CO63" s="85">
        <f>IF(AA63="","",IF(ISNUMBER('Dvd Calendar'!$AC$821)=FALSE,"",IF((Summary!$C$13="N")*('Dvd Calendar'!$AC$825='Field Check'!$C$25)&gt;0,"",'Dvd Calendar'!$AC$821)))</f>
        <v/>
      </c>
      <c r="CP63" s="85">
        <f>IF(AB63="","",IF(ISNUMBER('Dvd Calendar'!$AD$821)=FALSE,"",IF((Summary!$C$13="N")*('Dvd Calendar'!$AD$825='Field Check'!$C$25)&gt;0,"",'Dvd Calendar'!$AD$821)))</f>
        <v/>
      </c>
      <c r="CQ63" s="85">
        <f>IF(AC63="","",IF(ISNUMBER('Dvd Calendar'!$AE$821)=FALSE,"",IF((Summary!$C$13="N")*('Dvd Calendar'!$AE$825='Field Check'!$C$25)&gt;0,"",'Dvd Calendar'!$AE$821)))</f>
        <v/>
      </c>
      <c r="CR63" s="85">
        <f>IF(AD63="","",IF(ISNUMBER('Dvd Calendar'!$AF$821)=FALSE,"",IF((Summary!$C$13="N")*('Dvd Calendar'!$AF$825='Field Check'!$C$25)&gt;0,"",'Dvd Calendar'!$AF$821)))</f>
        <v/>
      </c>
      <c r="CS63" s="85">
        <f>IF(AE63="","",IF(ISNUMBER('Dvd Calendar'!$AG$821)=FALSE,"",IF((Summary!$C$13="N")*('Dvd Calendar'!$AG$825='Field Check'!$C$25)&gt;0,"",'Dvd Calendar'!$AG$821)))</f>
        <v/>
      </c>
      <c r="CT63" s="85">
        <f>IF(AF63="","",IF(ISNUMBER('Dvd Calendar'!$AH$821)=FALSE,"",IF((Summary!$C$13="N")*('Dvd Calendar'!$AH$825='Field Check'!$C$25)&gt;0,"",'Dvd Calendar'!$AH$821)))</f>
        <v/>
      </c>
      <c r="CU63" s="85">
        <f>IF(AG63="","",IF(ISNUMBER('Dvd Calendar'!$AI$821)=FALSE,"",IF((Summary!$C$13="N")*('Dvd Calendar'!$AI$825='Field Check'!$C$25)&gt;0,"",'Dvd Calendar'!$AI$821)))</f>
        <v/>
      </c>
      <c r="CV63" s="85">
        <f>IF(AH63="","",IF(ISNUMBER('Dvd Calendar'!$AJ$821)=FALSE,"",IF((Summary!$C$13="N")*('Dvd Calendar'!$AJ$825='Field Check'!$C$25)&gt;0,"",'Dvd Calendar'!$AJ$821)))</f>
        <v/>
      </c>
      <c r="CW63" s="85">
        <f>IF(AI63="","",IF(ISNUMBER('Dvd Calendar'!$AK$821)=FALSE,"",IF((Summary!$C$13="N")*('Dvd Calendar'!$AK$825='Field Check'!$C$25)&gt;0,"",'Dvd Calendar'!$AK$821)))</f>
        <v/>
      </c>
      <c r="CX63" s="85">
        <f>IF(AJ63="","",IF(ISNUMBER('Dvd Calendar'!$AL$821)=FALSE,"",IF((Summary!$C$13="N")*('Dvd Calendar'!$AL$825='Field Check'!$C$25)&gt;0,"",'Dvd Calendar'!$AL$821)))</f>
        <v/>
      </c>
      <c r="CY63" s="85">
        <f>IF(AK63="","",IF(ISNUMBER('Dvd Calendar'!$AM$821)=FALSE,"",IF((Summary!$C$13="N")*('Dvd Calendar'!$AM$825='Field Check'!$C$25)&gt;0,"",'Dvd Calendar'!$AM$821)))</f>
        <v/>
      </c>
      <c r="CZ63" s="85">
        <f>IF(AL63="","",IF(ISNUMBER('Dvd Calendar'!$AN$821)=FALSE,"",IF((Summary!$C$13="N")*('Dvd Calendar'!$AN$825='Field Check'!$C$25)&gt;0,"",'Dvd Calendar'!$AN$821)))</f>
        <v/>
      </c>
      <c r="DA63" s="85">
        <f>IF(AM63="","",IF(ISNUMBER('Dvd Calendar'!$AO$821)=FALSE,"",IF((Summary!$C$13="N")*('Dvd Calendar'!$AO$825='Field Check'!$C$25)&gt;0,"",'Dvd Calendar'!$AO$821)))</f>
        <v/>
      </c>
      <c r="DB63" s="85">
        <f>IF(AN63="","",IF(ISNUMBER('Dvd Calendar'!$AP$821)=FALSE,"",IF((Summary!$C$13="N")*('Dvd Calendar'!$AP$825='Field Check'!$C$25)&gt;0,"",'Dvd Calendar'!$AP$821)))</f>
        <v/>
      </c>
      <c r="DC63" s="85">
        <f>IF(AO63="","",IF(ISNUMBER('Dvd Calendar'!$AQ$821)=FALSE,"",IF((Summary!$C$13="N")*('Dvd Calendar'!$AQ$825='Field Check'!$C$25)&gt;0,"",'Dvd Calendar'!$AQ$821)))</f>
        <v/>
      </c>
      <c r="DD63" s="85">
        <f>IF(AP63="","",IF(ISNUMBER('Dvd Calendar'!$AR$821)=FALSE,"",IF((Summary!$C$13="N")*('Dvd Calendar'!$AR$825='Field Check'!$C$25)&gt;0,"",'Dvd Calendar'!$AR$821)))</f>
        <v/>
      </c>
      <c r="DE63" s="85">
        <f>IF(AQ63="","",IF(ISNUMBER('Dvd Calendar'!$E$828)=FALSE,"",IF((Summary!$C$13="N")*('Dvd Calendar'!$E$832='Field Check'!$C$25)&gt;0,"",'Dvd Calendar'!$E$828)))</f>
        <v/>
      </c>
      <c r="DF63" s="85">
        <f>IF(AR63="","",IF(ISNUMBER('Dvd Calendar'!$F$828)=FALSE,"",IF((Summary!$C$13="N")*('Dvd Calendar'!$F$832='Field Check'!$C$25)&gt;0,"",'Dvd Calendar'!$F$828)))</f>
        <v/>
      </c>
      <c r="DG63" s="85">
        <f>IF(AS63="","",IF(ISNUMBER('Dvd Calendar'!$G$828)=FALSE,"",IF((Summary!$C$13="N")*('Dvd Calendar'!$G$832='Field Check'!$C$25)&gt;0,"",'Dvd Calendar'!$G$828)))</f>
        <v/>
      </c>
      <c r="DH63" s="85">
        <f>IF(AT63="","",IF(ISNUMBER('Dvd Calendar'!$H$828)=FALSE,"",IF((Summary!$C$13="N")*('Dvd Calendar'!$H$832='Field Check'!$C$25)&gt;0,"",'Dvd Calendar'!$H$828)))</f>
        <v/>
      </c>
      <c r="DI63" s="85">
        <f>IF(AU63="","",IF(ISNUMBER('Dvd Calendar'!$I$828)=FALSE,"",IF((Summary!$C$13="N")*('Dvd Calendar'!$I$832='Field Check'!$C$25)&gt;0,"",'Dvd Calendar'!$I$828)))</f>
        <v/>
      </c>
      <c r="DJ63" s="85">
        <f>IF(AV63="","",IF(ISNUMBER('Dvd Calendar'!$J$828)=FALSE,"",IF((Summary!$C$13="N")*('Dvd Calendar'!$J$832='Field Check'!$C$25)&gt;0,"",'Dvd Calendar'!$J$828)))</f>
        <v/>
      </c>
      <c r="DK63" s="85">
        <f>IF(AW63="","",IF(ISNUMBER('Dvd Calendar'!$K$828)=FALSE,"",IF((Summary!$C$13="N")*('Dvd Calendar'!$K$832='Field Check'!$C$25)&gt;0,"",'Dvd Calendar'!$K$828)))</f>
        <v/>
      </c>
      <c r="DL63" s="85">
        <f>IF(AX63="","",IF(ISNUMBER('Dvd Calendar'!$L$828)=FALSE,"",IF((Summary!$C$13="N")*('Dvd Calendar'!$L$832='Field Check'!$C$25)&gt;0,"",'Dvd Calendar'!$L$828)))</f>
        <v/>
      </c>
      <c r="DM63" s="85">
        <f>IF(AY63="","",IF(ISNUMBER('Dvd Calendar'!$M$828)=FALSE,"",IF((Summary!$C$13="N")*('Dvd Calendar'!$M$832='Field Check'!$C$25)&gt;0,"",'Dvd Calendar'!$M$828)))</f>
        <v/>
      </c>
      <c r="DN63" s="85">
        <f>IF(AZ63="","",IF(ISNUMBER('Dvd Calendar'!$N$828)=FALSE,"",IF((Summary!$C$13="N")*('Dvd Calendar'!$N$832='Field Check'!$C$25)&gt;0,"",'Dvd Calendar'!$N$828)))</f>
        <v/>
      </c>
      <c r="DO63" s="85">
        <f>IF(BA63="","",IF(ISNUMBER('Dvd Calendar'!$O$828)=FALSE,"",IF((Summary!$C$13="N")*('Dvd Calendar'!$O$832='Field Check'!$C$25)&gt;0,"",'Dvd Calendar'!$O$828)))</f>
        <v/>
      </c>
      <c r="DP63" s="85">
        <f>IF(BB63="","",IF(ISNUMBER('Dvd Calendar'!$P$828)=FALSE,"",IF((Summary!$C$13="N")*('Dvd Calendar'!$P$832='Field Check'!$C$25)&gt;0,"",'Dvd Calendar'!$P$828)))</f>
        <v/>
      </c>
      <c r="DQ63" s="85">
        <f>IF(BC63="","",IF(ISNUMBER('Dvd Calendar'!$Q$828)=FALSE,"",IF((Summary!$C$13="N")*('Dvd Calendar'!$Q$832='Field Check'!$C$25)&gt;0,"",'Dvd Calendar'!$Q$828)))</f>
        <v/>
      </c>
      <c r="DR63" s="85">
        <f>IF(BD63="","",IF(ISNUMBER('Dvd Calendar'!$R$828)=FALSE,"",IF((Summary!$C$13="N")*('Dvd Calendar'!$R$832='Field Check'!$C$25)&gt;0,"",'Dvd Calendar'!$R$828)))</f>
        <v/>
      </c>
      <c r="DS63" s="85">
        <f>IF(BE63="","",IF(ISNUMBER('Dvd Calendar'!$S$828)=FALSE,"",IF((Summary!$C$13="N")*('Dvd Calendar'!$S$832='Field Check'!$C$25)&gt;0,"",'Dvd Calendar'!$S$828)))</f>
        <v/>
      </c>
      <c r="DT63" s="85">
        <f>IF(BF63="","",IF(ISNUMBER('Dvd Calendar'!$T$828)=FALSE,"",IF((Summary!$C$13="N")*('Dvd Calendar'!$T$832='Field Check'!$C$25)&gt;0,"",'Dvd Calendar'!$T$828)))</f>
        <v/>
      </c>
      <c r="DU63" s="85">
        <f>IF(BG63="","",IF(ISNUMBER('Dvd Calendar'!$U$828)=FALSE,"",IF((Summary!$C$13="N")*('Dvd Calendar'!$U$832='Field Check'!$C$25)&gt;0,"",'Dvd Calendar'!$U$828)))</f>
        <v/>
      </c>
      <c r="DV63" s="85">
        <f>IF(BH63="","",IF(ISNUMBER('Dvd Calendar'!$V$828)=FALSE,"",IF((Summary!$C$13="N")*('Dvd Calendar'!$V$832='Field Check'!$C$25)&gt;0,"",'Dvd Calendar'!$V$828)))</f>
        <v/>
      </c>
      <c r="DW63" s="85">
        <f>IF(BI63="","",IF(ISNUMBER('Dvd Calendar'!$W$828)=FALSE,"",IF((Summary!$C$13="N")*('Dvd Calendar'!$W$832='Field Check'!$C$25)&gt;0,"",'Dvd Calendar'!$W$828)))</f>
        <v/>
      </c>
      <c r="DX63" s="85">
        <f>IF(BJ63="","",IF(ISNUMBER('Dvd Calendar'!$X$828)=FALSE,"",IF((Summary!$C$13="N")*('Dvd Calendar'!$X$832='Field Check'!$C$25)&gt;0,"",'Dvd Calendar'!$X$828)))</f>
        <v/>
      </c>
      <c r="DY63" s="85">
        <f>IF(BK63="","",IF(ISNUMBER('Dvd Calendar'!$Y$828)=FALSE,"",IF((Summary!$C$13="N")*('Dvd Calendar'!$Y$832='Field Check'!$C$25)&gt;0,"",'Dvd Calendar'!$Y$828)))</f>
        <v/>
      </c>
      <c r="DZ63" s="85">
        <f>IF(BL63="","",IF(ISNUMBER('Dvd Calendar'!$Z$828)=FALSE,"",IF((Summary!$C$13="N")*('Dvd Calendar'!$Z$832='Field Check'!$C$25)&gt;0,"",'Dvd Calendar'!$Z$828)))</f>
        <v/>
      </c>
      <c r="EA63" s="85">
        <f>IF(BM63="","",IF(ISNUMBER('Dvd Calendar'!$AA$828)=FALSE,"",IF((Summary!$C$13="N")*('Dvd Calendar'!$AA$832='Field Check'!$C$25)&gt;0,"",'Dvd Calendar'!$AA$828)))</f>
        <v/>
      </c>
      <c r="EB63" s="85">
        <f>IF(BN63="","",IF(ISNUMBER('Dvd Calendar'!$AB$828)=FALSE,"",IF((Summary!$C$13="N")*('Dvd Calendar'!$AB$832='Field Check'!$C$25)&gt;0,"",'Dvd Calendar'!$AB$828)))</f>
        <v/>
      </c>
      <c r="EC63" s="85">
        <f>IF(BO63="","",IF(ISNUMBER('Dvd Calendar'!$AC$828)=FALSE,"",IF((Summary!$C$13="N")*('Dvd Calendar'!$AC$832='Field Check'!$C$25)&gt;0,"",'Dvd Calendar'!$AC$828)))</f>
        <v/>
      </c>
      <c r="EE63" s="85">
        <f>IF(BQ63="","",IFERROR(BQ63*HSI!$B$61*HSI!$G$61/HSI!$B$3,""))</f>
        <v/>
      </c>
      <c r="EF63" s="85">
        <f>IF(BR63="","",IFERROR(BR63*HSI!$B$61*HSI!$G$61/HSI!$B$3,""))</f>
        <v/>
      </c>
      <c r="EG63" s="85">
        <f>IF(BS63="","",IFERROR(BS63*HSI!$B$61*HSI!$G$61/HSI!$B$3,""))</f>
        <v/>
      </c>
      <c r="EH63" s="85">
        <f>IF(BT63="","",IFERROR(BT63*HSI!$B$61*HSI!$G$61/HSI!$B$3,""))</f>
        <v/>
      </c>
      <c r="EI63" s="85">
        <f>IF(BU63="","",IFERROR(BU63*HSI!$B$61*HSI!$G$61/HSI!$B$3,""))</f>
        <v/>
      </c>
      <c r="EJ63" s="85">
        <f>IF(BV63="","",IFERROR(BV63*HSI!$B$61*HSI!$G$61/HSI!$B$3,""))</f>
        <v/>
      </c>
      <c r="EK63" s="85">
        <f>IF(BW63="","",IFERROR(BW63*HSI!$B$61*HSI!$G$61/HSI!$B$3,""))</f>
        <v/>
      </c>
      <c r="EL63" s="85">
        <f>IF(BX63="","",IFERROR(BX63*HSI!$B$61*HSI!$G$61/HSI!$B$3,""))</f>
        <v/>
      </c>
      <c r="EM63" s="85">
        <f>IF(BY63="","",IFERROR(BY63*HSI!$B$61*HSI!$G$61/HSI!$B$3,""))</f>
        <v/>
      </c>
      <c r="EN63" s="85">
        <f>IF(BZ63="","",IFERROR(BZ63*HSI!$B$61*HSI!$G$61/HSI!$B$3,""))</f>
        <v/>
      </c>
      <c r="EO63" s="85">
        <f>IF(CA63="","",IFERROR(CA63*HSI!$B$61*HSI!$G$61/HSI!$B$3,""))</f>
        <v/>
      </c>
      <c r="EP63" s="85">
        <f>IF(CB63="","",IFERROR(CB63*HSI!$B$61*HSI!$G$61/HSI!$B$3,""))</f>
        <v/>
      </c>
      <c r="EQ63" s="85">
        <f>IF(CC63="","",IFERROR(CC63*HSI!$B$61*HSI!$G$61/HSI!$B$3,""))</f>
        <v/>
      </c>
      <c r="ER63" s="85">
        <f>IF(CD63="","",IFERROR(CD63*HSI!$B$61*HSI!$G$61/HSI!$B$3,""))</f>
        <v/>
      </c>
      <c r="ES63" s="85">
        <f>IF(CE63="","",IFERROR(CE63*HSI!$B$61*HSI!$G$61/HSI!$B$3,""))</f>
        <v/>
      </c>
      <c r="ET63" s="85">
        <f>IF(CF63="","",IFERROR(CF63*HSI!$B$61*HSI!$G$61/HSI!$B$3,""))</f>
        <v/>
      </c>
      <c r="EU63" s="85">
        <f>IF(CG63="","",IFERROR(CG63*HSI!$B$61*HSI!$G$61/HSI!$B$3,""))</f>
        <v/>
      </c>
      <c r="EV63" s="85">
        <f>IF(CH63="","",IFERROR(CH63*HSI!$B$61*HSI!$G$61/HSI!$B$3,""))</f>
        <v/>
      </c>
      <c r="EW63" s="85">
        <f>IF(CI63="","",IFERROR(CI63*HSI!$B$61*HSI!$G$61/HSI!$B$3,""))</f>
        <v/>
      </c>
      <c r="EX63" s="85">
        <f>IF(CJ63="","",IFERROR(CJ63*HSI!$B$61*HSI!$G$61/HSI!$B$3,""))</f>
        <v/>
      </c>
      <c r="EY63" s="85">
        <f>IF(CK63="","",IFERROR(CK63*HSI!$B$61*HSI!$G$61/HSI!$B$3,""))</f>
        <v/>
      </c>
      <c r="EZ63" s="85">
        <f>IF(CL63="","",IFERROR(CL63*HSI!$B$61*HSI!$G$61/HSI!$B$3,""))</f>
        <v/>
      </c>
      <c r="FA63" s="85">
        <f>IF(CM63="","",IFERROR(CM63*HSI!$B$61*HSI!$G$61/HSI!$B$3,""))</f>
        <v/>
      </c>
      <c r="FB63" s="85">
        <f>IF(CN63="","",IFERROR(CN63*HSI!$B$61*HSI!$G$61/HSI!$B$3,""))</f>
        <v/>
      </c>
      <c r="FC63" s="85">
        <f>IF(CO63="","",IFERROR(CO63*HSI!$B$61*HSI!$G$61/HSI!$B$3,""))</f>
        <v/>
      </c>
      <c r="FD63" s="85">
        <f>IF(CP63="","",IFERROR(CP63*HSI!$B$61*HSI!$G$61/HSI!$B$3,""))</f>
        <v/>
      </c>
      <c r="FE63" s="85">
        <f>IF(CQ63="","",IFERROR(CQ63*HSI!$B$61*HSI!$G$61/HSI!$B$3,""))</f>
        <v/>
      </c>
      <c r="FF63" s="85">
        <f>IF(CR63="","",IFERROR(CR63*HSI!$B$61*HSI!$G$61/HSI!$B$3,""))</f>
        <v/>
      </c>
      <c r="FG63" s="85">
        <f>IF(CS63="","",IFERROR(CS63*HSI!$B$61*HSI!$G$61/HSI!$B$3,""))</f>
        <v/>
      </c>
      <c r="FH63" s="85">
        <f>IF(CT63="","",IFERROR(CT63*HSI!$B$61*HSI!$G$61/HSI!$B$3,""))</f>
        <v/>
      </c>
      <c r="FI63" s="85">
        <f>IF(CU63="","",IFERROR(CU63*HSI!$B$61*HSI!$G$61/HSI!$B$3,""))</f>
        <v/>
      </c>
      <c r="FJ63" s="85">
        <f>IF(CV63="","",IFERROR(CV63*HSI!$B$61*HSI!$G$61/HSI!$B$3,""))</f>
        <v/>
      </c>
      <c r="FK63" s="85">
        <f>IF(CW63="","",IFERROR(CW63*HSI!$B$61*HSI!$G$61/HSI!$B$3,""))</f>
        <v/>
      </c>
      <c r="FL63" s="85">
        <f>IF(CX63="","",IFERROR(CX63*HSI!$B$61*HSI!$G$61/HSI!$B$3,""))</f>
        <v/>
      </c>
      <c r="FM63" s="85">
        <f>IF(CY63="","",IFERROR(CY63*HSI!$B$61*HSI!$G$61/HSI!$B$3,""))</f>
        <v/>
      </c>
      <c r="FN63" s="85">
        <f>IF(CZ63="","",IFERROR(CZ63*HSI!$B$61*HSI!$G$61/HSI!$B$3,""))</f>
        <v/>
      </c>
      <c r="FO63" s="85">
        <f>IF(DA63="","",IFERROR(DA63*HSI!$B$61*HSI!$G$61/HSI!$B$3,""))</f>
        <v/>
      </c>
      <c r="FP63" s="85">
        <f>IF(DB63="","",IFERROR(DB63*HSI!$B$61*HSI!$G$61/HSI!$B$3,""))</f>
        <v/>
      </c>
      <c r="FQ63" s="85">
        <f>IF(DC63="","",IFERROR(DC63*HSI!$B$61*HSI!$G$61/HSI!$B$3,""))</f>
        <v/>
      </c>
      <c r="FR63" s="85">
        <f>IF(DD63="","",IFERROR(DD63*HSI!$B$61*HSI!$G$61/HSI!$B$3,""))</f>
        <v/>
      </c>
      <c r="FS63" s="85">
        <f>IF(DE63="","",IFERROR(DE63*HSI!$B$61*HSI!$G$61/HSI!$B$3,""))</f>
        <v/>
      </c>
      <c r="FT63" s="85">
        <f>IF(DF63="","",IFERROR(DF63*HSI!$B$61*HSI!$G$61/HSI!$B$3,""))</f>
        <v/>
      </c>
      <c r="FU63" s="85">
        <f>IF(DG63="","",IFERROR(DG63*HSI!$B$61*HSI!$G$61/HSI!$B$3,""))</f>
        <v/>
      </c>
      <c r="FV63" s="85">
        <f>IF(DH63="","",IFERROR(DH63*HSI!$B$61*HSI!$G$61/HSI!$B$3,""))</f>
        <v/>
      </c>
      <c r="FW63" s="85">
        <f>IF(DI63="","",IFERROR(DI63*HSI!$B$61*HSI!$G$61/HSI!$B$3,""))</f>
        <v/>
      </c>
      <c r="FX63" s="85">
        <f>IF(DJ63="","",IFERROR(DJ63*HSI!$B$61*HSI!$G$61/HSI!$B$3,""))</f>
        <v/>
      </c>
      <c r="FY63" s="85">
        <f>IF(DK63="","",IFERROR(DK63*HSI!$B$61*HSI!$G$61/HSI!$B$3,""))</f>
        <v/>
      </c>
      <c r="FZ63" s="85">
        <f>IF(DL63="","",IFERROR(DL63*HSI!$B$61*HSI!$G$61/HSI!$B$3,""))</f>
        <v/>
      </c>
      <c r="GA63" s="85">
        <f>IF(DM63="","",IFERROR(DM63*HSI!$B$61*HSI!$G$61/HSI!$B$3,""))</f>
        <v/>
      </c>
      <c r="GB63" s="85">
        <f>IF(DN63="","",IFERROR(DN63*HSI!$B$61*HSI!$G$61/HSI!$B$3,""))</f>
        <v/>
      </c>
      <c r="GC63" s="85">
        <f>IF(DO63="","",IFERROR(DO63*HSI!$B$61*HSI!$G$61/HSI!$B$3,""))</f>
        <v/>
      </c>
      <c r="GD63" s="85">
        <f>IF(DP63="","",IFERROR(DP63*HSI!$B$61*HSI!$G$61/HSI!$B$3,""))</f>
        <v/>
      </c>
      <c r="GE63" s="85">
        <f>IF(DQ63="","",IFERROR(DQ63*HSI!$B$61*HSI!$G$61/HSI!$B$3,""))</f>
        <v/>
      </c>
      <c r="GF63" s="85">
        <f>IF(DR63="","",IFERROR(DR63*HSI!$B$61*HSI!$G$61/HSI!$B$3,""))</f>
        <v/>
      </c>
      <c r="GG63" s="85">
        <f>IF(DS63="","",IFERROR(DS63*HSI!$B$61*HSI!$G$61/HSI!$B$3,""))</f>
        <v/>
      </c>
      <c r="GH63" s="85">
        <f>IF(DT63="","",IFERROR(DT63*HSI!$B$61*HSI!$G$61/HSI!$B$3,""))</f>
        <v/>
      </c>
      <c r="GI63" s="85">
        <f>IF(DU63="","",IFERROR(DU63*HSI!$B$61*HSI!$G$61/HSI!$B$3,""))</f>
        <v/>
      </c>
      <c r="GJ63" s="85">
        <f>IF(DV63="","",IFERROR(DV63*HSI!$B$61*HSI!$G$61/HSI!$B$3,""))</f>
        <v/>
      </c>
      <c r="GK63" s="85">
        <f>IF(DW63="","",IFERROR(DW63*HSI!$B$61*HSI!$G$61/HSI!$B$3,""))</f>
        <v/>
      </c>
      <c r="GL63" s="85">
        <f>IF(DX63="","",IFERROR(DX63*HSI!$B$61*HSI!$G$61/HSI!$B$3,""))</f>
        <v/>
      </c>
      <c r="GM63" s="85">
        <f>IF(DY63="","",IFERROR(DY63*HSI!$B$61*HSI!$G$61/HSI!$B$3,""))</f>
        <v/>
      </c>
      <c r="GN63" s="85">
        <f>IF(DZ63="","",IFERROR(DZ63*HSI!$B$61*HSI!$G$61/HSI!$B$3,""))</f>
        <v/>
      </c>
      <c r="GO63" s="85">
        <f>IF(EA63="","",IFERROR(EA63*HSI!$B$61*HSI!$G$61/HSI!$B$3,""))</f>
        <v/>
      </c>
      <c r="GP63" s="85">
        <f>IF(EB63="","",IFERROR(EB63*HSI!$B$61*HSI!$G$61/HSI!$B$3,""))</f>
        <v/>
      </c>
      <c r="GQ63" s="85">
        <f>IF(EC63="","",IFERROR(EC63*HSI!$B$61*HSI!$G$61/HSI!$B$3,""))</f>
        <v/>
      </c>
    </row>
    <row r="64">
      <c r="B64" s="2">
        <f>IF(HSI!$C$62="","",HSI!$C$62)</f>
        <v/>
      </c>
      <c r="C64" s="41">
        <f>IF(N('Dvd Calendar'!$E$835)=0,"",IF(('Dvd Calendar'!$E$835&gt;=MIN(DATE(Summary!$C$12,1,1),Summary!$C$11))*('Dvd Calendar'!$E$835&lt;=MAX(DATE(Summary!$C$12,12,31),Summary!$C$15))*('Dvd Calendar'!$E$835&lt;=Summary!$C$11)=0,"",'Dvd Calendar'!$E$835*1000000000+ISNUMBER('Dvd Calendar'!$E$836)*100000000+('Dvd Calendar'!$E$840='Field Check'!$C$25)*10000000+(N('Dvd Calendar'!$E$834)&gt;0)*1000000+56*1000+1))</f>
        <v/>
      </c>
      <c r="D64" s="41">
        <f>IF(N('Dvd Calendar'!$F$835)=0,"",IF(('Dvd Calendar'!$F$835&gt;=MIN(DATE(Summary!$C$12,1,1),Summary!$C$11))*('Dvd Calendar'!$F$835&lt;=MAX(DATE(Summary!$C$12,12,31),Summary!$C$15))*('Dvd Calendar'!$F$835&lt;=Summary!$C$11)=0,"",'Dvd Calendar'!$F$835*1000000000+ISNUMBER('Dvd Calendar'!$F$836)*100000000+('Dvd Calendar'!$F$840='Field Check'!$C$25)*10000000+(N('Dvd Calendar'!$F$834)&gt;0)*1000000+56*1000+2))</f>
        <v/>
      </c>
      <c r="E64" s="41">
        <f>IF(N('Dvd Calendar'!$G$835)=0,"",IF(('Dvd Calendar'!$G$835&gt;=MIN(DATE(Summary!$C$12,1,1),Summary!$C$11))*('Dvd Calendar'!$G$835&lt;=MAX(DATE(Summary!$C$12,12,31),Summary!$C$15))*('Dvd Calendar'!$G$835&lt;=Summary!$C$11)=0,"",'Dvd Calendar'!$G$835*1000000000+ISNUMBER('Dvd Calendar'!$G$836)*100000000+('Dvd Calendar'!$G$840='Field Check'!$C$25)*10000000+(N('Dvd Calendar'!$G$834)&gt;0)*1000000+56*1000+3))</f>
        <v/>
      </c>
      <c r="F64" s="41">
        <f>IF(N('Dvd Calendar'!$H$835)=0,"",IF(('Dvd Calendar'!$H$835&gt;=MIN(DATE(Summary!$C$12,1,1),Summary!$C$11))*('Dvd Calendar'!$H$835&lt;=MAX(DATE(Summary!$C$12,12,31),Summary!$C$15))*('Dvd Calendar'!$H$835&lt;=Summary!$C$11)=0,"",'Dvd Calendar'!$H$835*1000000000+ISNUMBER('Dvd Calendar'!$H$836)*100000000+('Dvd Calendar'!$H$840='Field Check'!$C$25)*10000000+(N('Dvd Calendar'!$H$834)&gt;0)*1000000+56*1000+4))</f>
        <v/>
      </c>
      <c r="G64" s="41">
        <f>IF(N('Dvd Calendar'!$I$835)=0,"",IF(('Dvd Calendar'!$I$835&gt;=MIN(DATE(Summary!$C$12,1,1),Summary!$C$11))*('Dvd Calendar'!$I$835&lt;=MAX(DATE(Summary!$C$12,12,31),Summary!$C$15))*('Dvd Calendar'!$I$835&lt;=Summary!$C$11)=0,"",'Dvd Calendar'!$I$835*1000000000+ISNUMBER('Dvd Calendar'!$I$836)*100000000+('Dvd Calendar'!$I$840='Field Check'!$C$25)*10000000+(N('Dvd Calendar'!$I$834)&gt;0)*1000000+56*1000+5))</f>
        <v/>
      </c>
      <c r="H64" s="41">
        <f>IF(N('Dvd Calendar'!$J$835)=0,"",IF(('Dvd Calendar'!$J$835&gt;=MIN(DATE(Summary!$C$12,1,1),Summary!$C$11))*('Dvd Calendar'!$J$835&lt;=MAX(DATE(Summary!$C$12,12,31),Summary!$C$15))*('Dvd Calendar'!$J$835&lt;=Summary!$C$11)=0,"",'Dvd Calendar'!$J$835*1000000000+ISNUMBER('Dvd Calendar'!$J$836)*100000000+('Dvd Calendar'!$J$840='Field Check'!$C$25)*10000000+(N('Dvd Calendar'!$J$834)&gt;0)*1000000+56*1000+6))</f>
        <v/>
      </c>
      <c r="I64" s="41">
        <f>IF(N('Dvd Calendar'!$K$835)=0,"",IF(('Dvd Calendar'!$K$835&gt;=MIN(DATE(Summary!$C$12,1,1),Summary!$C$11))*('Dvd Calendar'!$K$835&lt;=MAX(DATE(Summary!$C$12,12,31),Summary!$C$15))*('Dvd Calendar'!$K$835&lt;=Summary!$C$11)=0,"",'Dvd Calendar'!$K$835*1000000000+ISNUMBER('Dvd Calendar'!$K$836)*100000000+('Dvd Calendar'!$K$840='Field Check'!$C$25)*10000000+(N('Dvd Calendar'!$K$834)&gt;0)*1000000+56*1000+7))</f>
        <v/>
      </c>
      <c r="J64" s="41">
        <f>IF(N('Dvd Calendar'!$L$835)=0,"",IF(('Dvd Calendar'!$L$835&gt;=MIN(DATE(Summary!$C$12,1,1),Summary!$C$11))*('Dvd Calendar'!$L$835&lt;=MAX(DATE(Summary!$C$12,12,31),Summary!$C$15))*('Dvd Calendar'!$L$835&lt;=Summary!$C$11)=0,"",'Dvd Calendar'!$L$835*1000000000+ISNUMBER('Dvd Calendar'!$L$836)*100000000+('Dvd Calendar'!$L$840='Field Check'!$C$25)*10000000+(N('Dvd Calendar'!$L$834)&gt;0)*1000000+56*1000+8))</f>
        <v/>
      </c>
      <c r="K64" s="41">
        <f>IF(N('Dvd Calendar'!$M$835)=0,"",IF(('Dvd Calendar'!$M$835&gt;=MIN(DATE(Summary!$C$12,1,1),Summary!$C$11))*('Dvd Calendar'!$M$835&lt;=MAX(DATE(Summary!$C$12,12,31),Summary!$C$15))*('Dvd Calendar'!$M$835&lt;=Summary!$C$11)=0,"",'Dvd Calendar'!$M$835*1000000000+ISNUMBER('Dvd Calendar'!$M$836)*100000000+('Dvd Calendar'!$M$840='Field Check'!$C$25)*10000000+(N('Dvd Calendar'!$M$834)&gt;0)*1000000+56*1000+9))</f>
        <v/>
      </c>
      <c r="L64" s="41">
        <f>IF(N('Dvd Calendar'!$N$835)=0,"",IF(('Dvd Calendar'!$N$835&gt;=MIN(DATE(Summary!$C$12,1,1),Summary!$C$11))*('Dvd Calendar'!$N$835&lt;=MAX(DATE(Summary!$C$12,12,31),Summary!$C$15))*('Dvd Calendar'!$N$835&lt;=Summary!$C$11)=0,"",'Dvd Calendar'!$N$835*1000000000+ISNUMBER('Dvd Calendar'!$N$836)*100000000+('Dvd Calendar'!$N$840='Field Check'!$C$25)*10000000+(N('Dvd Calendar'!$N$834)&gt;0)*1000000+56*1000+10))</f>
        <v/>
      </c>
      <c r="M64" s="41">
        <f>IF(N('Dvd Calendar'!$O$835)=0,"",IF(('Dvd Calendar'!$O$835&gt;=MIN(DATE(Summary!$C$12,1,1),Summary!$C$11))*('Dvd Calendar'!$O$835&lt;=MAX(DATE(Summary!$C$12,12,31),Summary!$C$15))*('Dvd Calendar'!$O$835&lt;=Summary!$C$11)=0,"",'Dvd Calendar'!$O$835*1000000000+ISNUMBER('Dvd Calendar'!$O$836)*100000000+('Dvd Calendar'!$O$840='Field Check'!$C$25)*10000000+(N('Dvd Calendar'!$O$834)&gt;0)*1000000+56*1000+11))</f>
        <v/>
      </c>
      <c r="N64" s="41">
        <f>IF(N('Dvd Calendar'!$P$835)=0,"",IF(('Dvd Calendar'!$P$835&gt;=MIN(DATE(Summary!$C$12,1,1),Summary!$C$11))*('Dvd Calendar'!$P$835&lt;=MAX(DATE(Summary!$C$12,12,31),Summary!$C$15))*('Dvd Calendar'!$P$835&lt;=Summary!$C$11)=0,"",'Dvd Calendar'!$P$835*1000000000+ISNUMBER('Dvd Calendar'!$P$836)*100000000+('Dvd Calendar'!$P$840='Field Check'!$C$25)*10000000+(N('Dvd Calendar'!$P$834)&gt;0)*1000000+56*1000+12))</f>
        <v/>
      </c>
      <c r="O64" s="41">
        <f>IF(N('Dvd Calendar'!$Q$835)=0,"",IF(('Dvd Calendar'!$Q$835&gt;=MIN(DATE(Summary!$C$12,1,1),Summary!$C$11))*('Dvd Calendar'!$Q$835&lt;=MAX(DATE(Summary!$C$12,12,31),Summary!$C$15))*('Dvd Calendar'!$Q$835&lt;=Summary!$C$11)=0,"",'Dvd Calendar'!$Q$835*1000000000+ISNUMBER('Dvd Calendar'!$Q$836)*100000000+('Dvd Calendar'!$Q$840='Field Check'!$C$25)*10000000+(N('Dvd Calendar'!$Q$834)&gt;0)*1000000+56*1000+13))</f>
        <v/>
      </c>
      <c r="P64" s="41">
        <f>IF(N('Dvd Calendar'!$R$835)=0,"",IF(('Dvd Calendar'!$R$835&gt;=MIN(DATE(Summary!$C$12,1,1),Summary!$C$11))*('Dvd Calendar'!$R$835&lt;=MAX(DATE(Summary!$C$12,12,31),Summary!$C$15))*('Dvd Calendar'!$R$835&lt;=Summary!$C$11)=0,"",'Dvd Calendar'!$R$835*1000000000+ISNUMBER('Dvd Calendar'!$R$836)*100000000+('Dvd Calendar'!$R$840='Field Check'!$C$25)*10000000+(N('Dvd Calendar'!$R$834)&gt;0)*1000000+56*1000+14))</f>
        <v/>
      </c>
      <c r="Q64" s="41">
        <f>IF(N('Dvd Calendar'!$S$835)=0,"",IF(('Dvd Calendar'!$S$835&gt;=MIN(DATE(Summary!$C$12,1,1),Summary!$C$11))*('Dvd Calendar'!$S$835&lt;=MAX(DATE(Summary!$C$12,12,31),Summary!$C$15))*('Dvd Calendar'!$S$835&lt;=Summary!$C$11)=0,"",'Dvd Calendar'!$S$835*1000000000+ISNUMBER('Dvd Calendar'!$S$836)*100000000+('Dvd Calendar'!$S$840='Field Check'!$C$25)*10000000+(N('Dvd Calendar'!$S$834)&gt;0)*1000000+56*1000+15))</f>
        <v/>
      </c>
      <c r="R64" s="41">
        <f>IF(N('Dvd Calendar'!$T$835)=0,"",IF(('Dvd Calendar'!$T$835&gt;=MIN(DATE(Summary!$C$12,1,1),Summary!$C$11))*('Dvd Calendar'!$T$835&lt;=MAX(DATE(Summary!$C$12,12,31),Summary!$C$15))*('Dvd Calendar'!$T$835&lt;=Summary!$C$11)=0,"",'Dvd Calendar'!$T$835*1000000000+ISNUMBER('Dvd Calendar'!$T$836)*100000000+('Dvd Calendar'!$T$840='Field Check'!$C$25)*10000000+(N('Dvd Calendar'!$T$834)&gt;0)*1000000+56*1000+16))</f>
        <v/>
      </c>
      <c r="S64" s="41">
        <f>IF(N('Dvd Calendar'!$U$835)=0,"",IF(('Dvd Calendar'!$U$835&gt;=MIN(DATE(Summary!$C$12,1,1),Summary!$C$11))*('Dvd Calendar'!$U$835&lt;=MAX(DATE(Summary!$C$12,12,31),Summary!$C$15))*('Dvd Calendar'!$U$835&lt;=Summary!$C$11)=0,"",'Dvd Calendar'!$U$835*1000000000+ISNUMBER('Dvd Calendar'!$U$836)*100000000+('Dvd Calendar'!$U$840='Field Check'!$C$25)*10000000+(N('Dvd Calendar'!$U$834)&gt;0)*1000000+56*1000+17))</f>
        <v/>
      </c>
      <c r="T64" s="41">
        <f>IF(N('Dvd Calendar'!$V$835)=0,"",IF(('Dvd Calendar'!$V$835&gt;=MIN(DATE(Summary!$C$12,1,1),Summary!$C$11))*('Dvd Calendar'!$V$835&lt;=MAX(DATE(Summary!$C$12,12,31),Summary!$C$15))*('Dvd Calendar'!$V$835&lt;=Summary!$C$11)=0,"",'Dvd Calendar'!$V$835*1000000000+ISNUMBER('Dvd Calendar'!$V$836)*100000000+('Dvd Calendar'!$V$840='Field Check'!$C$25)*10000000+(N('Dvd Calendar'!$V$834)&gt;0)*1000000+56*1000+18))</f>
        <v/>
      </c>
      <c r="U64" s="41">
        <f>IF(N('Dvd Calendar'!$W$835)=0,"",IF(('Dvd Calendar'!$W$835&gt;=MIN(DATE(Summary!$C$12,1,1),Summary!$C$11))*('Dvd Calendar'!$W$835&lt;=MAX(DATE(Summary!$C$12,12,31),Summary!$C$15))*('Dvd Calendar'!$W$835&lt;=Summary!$C$11)=0,"",'Dvd Calendar'!$W$835*1000000000+ISNUMBER('Dvd Calendar'!$W$836)*100000000+('Dvd Calendar'!$W$840='Field Check'!$C$25)*10000000+(N('Dvd Calendar'!$W$834)&gt;0)*1000000+56*1000+19))</f>
        <v/>
      </c>
      <c r="V64" s="41">
        <f>IF(N('Dvd Calendar'!$X$835)=0,"",IF(('Dvd Calendar'!$X$835&gt;=MIN(DATE(Summary!$C$12,1,1),Summary!$C$11))*('Dvd Calendar'!$X$835&lt;=MAX(DATE(Summary!$C$12,12,31),Summary!$C$15))*('Dvd Calendar'!$X$835&lt;=Summary!$C$11)=0,"",'Dvd Calendar'!$X$835*1000000000+ISNUMBER('Dvd Calendar'!$X$836)*100000000+('Dvd Calendar'!$X$840='Field Check'!$C$25)*10000000+(N('Dvd Calendar'!$X$834)&gt;0)*1000000+56*1000+20))</f>
        <v/>
      </c>
      <c r="W64" s="41">
        <f>IF(N('Dvd Calendar'!$Y$835)=0,"",IF(('Dvd Calendar'!$Y$835&gt;=MIN(DATE(Summary!$C$12,1,1),Summary!$C$11))*('Dvd Calendar'!$Y$835&lt;=MAX(DATE(Summary!$C$12,12,31),Summary!$C$15))*('Dvd Calendar'!$Y$835&lt;=Summary!$C$11)=0,"",'Dvd Calendar'!$Y$835*1000000000+ISNUMBER('Dvd Calendar'!$Y$836)*100000000+('Dvd Calendar'!$Y$840='Field Check'!$C$25)*10000000+(N('Dvd Calendar'!$Y$834)&gt;0)*1000000+56*1000+21))</f>
        <v/>
      </c>
      <c r="X64" s="41">
        <f>IF(N('Dvd Calendar'!$Z$835)=0,"",IF(('Dvd Calendar'!$Z$835&gt;=MIN(DATE(Summary!$C$12,1,1),Summary!$C$11))*('Dvd Calendar'!$Z$835&lt;=MAX(DATE(Summary!$C$12,12,31),Summary!$C$15))*('Dvd Calendar'!$Z$835&lt;=Summary!$C$11)=0,"",'Dvd Calendar'!$Z$835*1000000000+ISNUMBER('Dvd Calendar'!$Z$836)*100000000+('Dvd Calendar'!$Z$840='Field Check'!$C$25)*10000000+(N('Dvd Calendar'!$Z$834)&gt;0)*1000000+56*1000+22))</f>
        <v/>
      </c>
      <c r="Y64" s="41">
        <f>IF(N('Dvd Calendar'!$AA$835)=0,"",IF(('Dvd Calendar'!$AA$835&gt;=MIN(DATE(Summary!$C$12,1,1),Summary!$C$11))*('Dvd Calendar'!$AA$835&lt;=MAX(DATE(Summary!$C$12,12,31),Summary!$C$15))*('Dvd Calendar'!$AA$835&lt;=Summary!$C$11)=0,"",'Dvd Calendar'!$AA$835*1000000000+ISNUMBER('Dvd Calendar'!$AA$836)*100000000+('Dvd Calendar'!$AA$840='Field Check'!$C$25)*10000000+(N('Dvd Calendar'!$AA$834)&gt;0)*1000000+56*1000+23))</f>
        <v/>
      </c>
      <c r="Z64" s="41">
        <f>IF(N('Dvd Calendar'!$AB$835)=0,"",IF(('Dvd Calendar'!$AB$835&gt;=MIN(DATE(Summary!$C$12,1,1),Summary!$C$11))*('Dvd Calendar'!$AB$835&lt;=MAX(DATE(Summary!$C$12,12,31),Summary!$C$15))*('Dvd Calendar'!$AB$835&lt;=Summary!$C$11)=0,"",'Dvd Calendar'!$AB$835*1000000000+ISNUMBER('Dvd Calendar'!$AB$836)*100000000+('Dvd Calendar'!$AB$840='Field Check'!$C$25)*10000000+(N('Dvd Calendar'!$AB$834)&gt;0)*1000000+56*1000+24))</f>
        <v/>
      </c>
      <c r="AA64" s="41">
        <f>IF(N('Dvd Calendar'!$AC$835)=0,"",IF(('Dvd Calendar'!$AC$835&gt;=MIN(DATE(Summary!$C$12,1,1),Summary!$C$11))*('Dvd Calendar'!$AC$835&lt;=MAX(DATE(Summary!$C$12,12,31),Summary!$C$15))*('Dvd Calendar'!$AC$835&lt;=Summary!$C$11)=0,"",'Dvd Calendar'!$AC$835*1000000000+ISNUMBER('Dvd Calendar'!$AC$836)*100000000+('Dvd Calendar'!$AC$840='Field Check'!$C$25)*10000000+(N('Dvd Calendar'!$AC$834)&gt;0)*1000000+56*1000+25))</f>
        <v/>
      </c>
      <c r="AB64" s="41">
        <f>IF(N('Dvd Calendar'!$AD$835)=0,"",IF(('Dvd Calendar'!$AD$835&gt;=MIN(DATE(Summary!$C$12,1,1),Summary!$C$11))*('Dvd Calendar'!$AD$835&lt;=MAX(DATE(Summary!$C$12,12,31),Summary!$C$15))*('Dvd Calendar'!$AD$835&lt;=Summary!$C$11)=0,"",'Dvd Calendar'!$AD$835*1000000000+ISNUMBER('Dvd Calendar'!$AD$836)*100000000+('Dvd Calendar'!$AD$840='Field Check'!$C$25)*10000000+(N('Dvd Calendar'!$AD$834)&gt;0)*1000000+56*1000+26))</f>
        <v/>
      </c>
      <c r="AC64" s="41">
        <f>IF(N('Dvd Calendar'!$AE$835)=0,"",IF(('Dvd Calendar'!$AE$835&gt;=MIN(DATE(Summary!$C$12,1,1),Summary!$C$11))*('Dvd Calendar'!$AE$835&lt;=MAX(DATE(Summary!$C$12,12,31),Summary!$C$15))*('Dvd Calendar'!$AE$835&lt;=Summary!$C$11)=0,"",'Dvd Calendar'!$AE$835*1000000000+ISNUMBER('Dvd Calendar'!$AE$836)*100000000+('Dvd Calendar'!$AE$840='Field Check'!$C$25)*10000000+(N('Dvd Calendar'!$AE$834)&gt;0)*1000000+56*1000+27))</f>
        <v/>
      </c>
      <c r="AD64" s="41">
        <f>IF(N('Dvd Calendar'!$AF$835)=0,"",IF(('Dvd Calendar'!$AF$835&gt;=MIN(DATE(Summary!$C$12,1,1),Summary!$C$11))*('Dvd Calendar'!$AF$835&lt;=MAX(DATE(Summary!$C$12,12,31),Summary!$C$15))*('Dvd Calendar'!$AF$835&lt;=Summary!$C$11)=0,"",'Dvd Calendar'!$AF$835*1000000000+ISNUMBER('Dvd Calendar'!$AF$836)*100000000+('Dvd Calendar'!$AF$840='Field Check'!$C$25)*10000000+(N('Dvd Calendar'!$AF$834)&gt;0)*1000000+56*1000+28))</f>
        <v/>
      </c>
      <c r="AE64" s="41">
        <f>IF(N('Dvd Calendar'!$AG$835)=0,"",IF(('Dvd Calendar'!$AG$835&gt;=MIN(DATE(Summary!$C$12,1,1),Summary!$C$11))*('Dvd Calendar'!$AG$835&lt;=MAX(DATE(Summary!$C$12,12,31),Summary!$C$15))*('Dvd Calendar'!$AG$835&lt;=Summary!$C$11)=0,"",'Dvd Calendar'!$AG$835*1000000000+ISNUMBER('Dvd Calendar'!$AG$836)*100000000+('Dvd Calendar'!$AG$840='Field Check'!$C$25)*10000000+(N('Dvd Calendar'!$AG$834)&gt;0)*1000000+56*1000+29))</f>
        <v/>
      </c>
      <c r="AF64" s="41">
        <f>IF(N('Dvd Calendar'!$AH$835)=0,"",IF(('Dvd Calendar'!$AH$835&gt;=MIN(DATE(Summary!$C$12,1,1),Summary!$C$11))*('Dvd Calendar'!$AH$835&lt;=MAX(DATE(Summary!$C$12,12,31),Summary!$C$15))*('Dvd Calendar'!$AH$835&lt;=Summary!$C$11)=0,"",'Dvd Calendar'!$AH$835*1000000000+ISNUMBER('Dvd Calendar'!$AH$836)*100000000+('Dvd Calendar'!$AH$840='Field Check'!$C$25)*10000000+(N('Dvd Calendar'!$AH$834)&gt;0)*1000000+56*1000+30))</f>
        <v/>
      </c>
      <c r="AG64" s="41">
        <f>IF(N('Dvd Calendar'!$AI$835)=0,"",IF(('Dvd Calendar'!$AI$835&gt;=MIN(DATE(Summary!$C$12,1,1),Summary!$C$11))*('Dvd Calendar'!$AI$835&lt;=MAX(DATE(Summary!$C$12,12,31),Summary!$C$15))*('Dvd Calendar'!$AI$835&lt;=Summary!$C$11)=0,"",'Dvd Calendar'!$AI$835*1000000000+ISNUMBER('Dvd Calendar'!$AI$836)*100000000+('Dvd Calendar'!$AI$840='Field Check'!$C$25)*10000000+(N('Dvd Calendar'!$AI$834)&gt;0)*1000000+56*1000+31))</f>
        <v/>
      </c>
      <c r="AH64" s="41">
        <f>IF(N('Dvd Calendar'!$AJ$835)=0,"",IF(('Dvd Calendar'!$AJ$835&gt;=MIN(DATE(Summary!$C$12,1,1),Summary!$C$11))*('Dvd Calendar'!$AJ$835&lt;=MAX(DATE(Summary!$C$12,12,31),Summary!$C$15))*('Dvd Calendar'!$AJ$835&lt;=Summary!$C$11)=0,"",'Dvd Calendar'!$AJ$835*1000000000+ISNUMBER('Dvd Calendar'!$AJ$836)*100000000+('Dvd Calendar'!$AJ$840='Field Check'!$C$25)*10000000+(N('Dvd Calendar'!$AJ$834)&gt;0)*1000000+56*1000+32))</f>
        <v/>
      </c>
      <c r="AI64" s="41">
        <f>IF(N('Dvd Calendar'!$AK$835)=0,"",IF(('Dvd Calendar'!$AK$835&gt;=MIN(DATE(Summary!$C$12,1,1),Summary!$C$11))*('Dvd Calendar'!$AK$835&lt;=MAX(DATE(Summary!$C$12,12,31),Summary!$C$15))*('Dvd Calendar'!$AK$835&lt;=Summary!$C$11)=0,"",'Dvd Calendar'!$AK$835*1000000000+ISNUMBER('Dvd Calendar'!$AK$836)*100000000+('Dvd Calendar'!$AK$840='Field Check'!$C$25)*10000000+(N('Dvd Calendar'!$AK$834)&gt;0)*1000000+56*1000+33))</f>
        <v/>
      </c>
      <c r="AJ64" s="41">
        <f>IF(N('Dvd Calendar'!$AL$835)=0,"",IF(('Dvd Calendar'!$AL$835&gt;=MIN(DATE(Summary!$C$12,1,1),Summary!$C$11))*('Dvd Calendar'!$AL$835&lt;=MAX(DATE(Summary!$C$12,12,31),Summary!$C$15))*('Dvd Calendar'!$AL$835&lt;=Summary!$C$11)=0,"",'Dvd Calendar'!$AL$835*1000000000+ISNUMBER('Dvd Calendar'!$AL$836)*100000000+('Dvd Calendar'!$AL$840='Field Check'!$C$25)*10000000+(N('Dvd Calendar'!$AL$834)&gt;0)*1000000+56*1000+34))</f>
        <v/>
      </c>
      <c r="AK64" s="41">
        <f>IF(N('Dvd Calendar'!$AM$835)=0,"",IF(('Dvd Calendar'!$AM$835&gt;=MIN(DATE(Summary!$C$12,1,1),Summary!$C$11))*('Dvd Calendar'!$AM$835&lt;=MAX(DATE(Summary!$C$12,12,31),Summary!$C$15))*('Dvd Calendar'!$AM$835&lt;=Summary!$C$11)=0,"",'Dvd Calendar'!$AM$835*1000000000+ISNUMBER('Dvd Calendar'!$AM$836)*100000000+('Dvd Calendar'!$AM$840='Field Check'!$C$25)*10000000+(N('Dvd Calendar'!$AM$834)&gt;0)*1000000+56*1000+35))</f>
        <v/>
      </c>
      <c r="AL64" s="41">
        <f>IF(N('Dvd Calendar'!$AN$835)=0,"",IF(('Dvd Calendar'!$AN$835&gt;=MIN(DATE(Summary!$C$12,1,1),Summary!$C$11))*('Dvd Calendar'!$AN$835&lt;=MAX(DATE(Summary!$C$12,12,31),Summary!$C$15))*('Dvd Calendar'!$AN$835&lt;=Summary!$C$11)=0,"",'Dvd Calendar'!$AN$835*1000000000+ISNUMBER('Dvd Calendar'!$AN$836)*100000000+('Dvd Calendar'!$AN$840='Field Check'!$C$25)*10000000+(N('Dvd Calendar'!$AN$834)&gt;0)*1000000+56*1000+36))</f>
        <v/>
      </c>
      <c r="AM64" s="41">
        <f>IF(N('Dvd Calendar'!$AO$835)=0,"",IF(('Dvd Calendar'!$AO$835&gt;=MIN(DATE(Summary!$C$12,1,1),Summary!$C$11))*('Dvd Calendar'!$AO$835&lt;=MAX(DATE(Summary!$C$12,12,31),Summary!$C$15))*('Dvd Calendar'!$AO$835&lt;=Summary!$C$11)=0,"",'Dvd Calendar'!$AO$835*1000000000+ISNUMBER('Dvd Calendar'!$AO$836)*100000000+('Dvd Calendar'!$AO$840='Field Check'!$C$25)*10000000+(N('Dvd Calendar'!$AO$834)&gt;0)*1000000+56*1000+37))</f>
        <v/>
      </c>
      <c r="AN64" s="41">
        <f>IF(N('Dvd Calendar'!$AP$835)=0,"",IF(('Dvd Calendar'!$AP$835&gt;=MIN(DATE(Summary!$C$12,1,1),Summary!$C$11))*('Dvd Calendar'!$AP$835&lt;=MAX(DATE(Summary!$C$12,12,31),Summary!$C$15))*('Dvd Calendar'!$AP$835&lt;=Summary!$C$11)=0,"",'Dvd Calendar'!$AP$835*1000000000+ISNUMBER('Dvd Calendar'!$AP$836)*100000000+('Dvd Calendar'!$AP$840='Field Check'!$C$25)*10000000+(N('Dvd Calendar'!$AP$834)&gt;0)*1000000+56*1000+38))</f>
        <v/>
      </c>
      <c r="AO64" s="41">
        <f>IF(N('Dvd Calendar'!$AQ$835)=0,"",IF(('Dvd Calendar'!$AQ$835&gt;=MIN(DATE(Summary!$C$12,1,1),Summary!$C$11))*('Dvd Calendar'!$AQ$835&lt;=MAX(DATE(Summary!$C$12,12,31),Summary!$C$15))*('Dvd Calendar'!$AQ$835&lt;=Summary!$C$11)=0,"",'Dvd Calendar'!$AQ$835*1000000000+ISNUMBER('Dvd Calendar'!$AQ$836)*100000000+('Dvd Calendar'!$AQ$840='Field Check'!$C$25)*10000000+(N('Dvd Calendar'!$AQ$834)&gt;0)*1000000+56*1000+39))</f>
        <v/>
      </c>
      <c r="AP64" s="41">
        <f>IF(N('Dvd Calendar'!$AR$835)=0,"",IF(('Dvd Calendar'!$AR$835&gt;=MIN(DATE(Summary!$C$12,1,1),Summary!$C$11))*('Dvd Calendar'!$AR$835&lt;=MAX(DATE(Summary!$C$12,12,31),Summary!$C$15))*('Dvd Calendar'!$AR$835&lt;=Summary!$C$11)=0,"",'Dvd Calendar'!$AR$835*1000000000+ISNUMBER('Dvd Calendar'!$AR$836)*100000000+('Dvd Calendar'!$AR$840='Field Check'!$C$25)*10000000+(N('Dvd Calendar'!$AR$834)&gt;0)*1000000+56*1000+40))</f>
        <v/>
      </c>
      <c r="AQ64" s="41">
        <f>IF(N('Dvd Calendar'!$E$842)=0,"",IF(('Dvd Calendar'!$E$842&gt;=MIN(DATE(Summary!$C$12,1,1),Summary!$C$11))*('Dvd Calendar'!$E$842&lt;=MAX(DATE(Summary!$C$12,12,31),Summary!$C$15))*('Dvd Calendar'!$E$842&gt;Summary!$C$11)=0,"",'Dvd Calendar'!$E$842*1000000000+ISNUMBER('Dvd Calendar'!$E$843)*100000000+('Dvd Calendar'!$E$847='Field Check'!$C$25)*10000000+(N('Dvd Calendar'!$E$841)&gt;0)*1000000+56*1000+41))</f>
        <v/>
      </c>
      <c r="AR64" s="41">
        <f>IF(N('Dvd Calendar'!$F$842)=0,"",IF(('Dvd Calendar'!$F$842&gt;=MIN(DATE(Summary!$C$12,1,1),Summary!$C$11))*('Dvd Calendar'!$F$842&lt;=MAX(DATE(Summary!$C$12,12,31),Summary!$C$15))*('Dvd Calendar'!$F$842&gt;Summary!$C$11)=0,"",'Dvd Calendar'!$F$842*1000000000+ISNUMBER('Dvd Calendar'!$F$843)*100000000+('Dvd Calendar'!$F$847='Field Check'!$C$25)*10000000+(N('Dvd Calendar'!$F$841)&gt;0)*1000000+56*1000+42))</f>
        <v/>
      </c>
      <c r="AS64" s="41">
        <f>IF(N('Dvd Calendar'!$G$842)=0,"",IF(('Dvd Calendar'!$G$842&gt;=MIN(DATE(Summary!$C$12,1,1),Summary!$C$11))*('Dvd Calendar'!$G$842&lt;=MAX(DATE(Summary!$C$12,12,31),Summary!$C$15))*('Dvd Calendar'!$G$842&gt;Summary!$C$11)=0,"",'Dvd Calendar'!$G$842*1000000000+ISNUMBER('Dvd Calendar'!$G$843)*100000000+('Dvd Calendar'!$G$847='Field Check'!$C$25)*10000000+(N('Dvd Calendar'!$G$841)&gt;0)*1000000+56*1000+43))</f>
        <v/>
      </c>
      <c r="AT64" s="41">
        <f>IF(N('Dvd Calendar'!$H$842)=0,"",IF(('Dvd Calendar'!$H$842&gt;=MIN(DATE(Summary!$C$12,1,1),Summary!$C$11))*('Dvd Calendar'!$H$842&lt;=MAX(DATE(Summary!$C$12,12,31),Summary!$C$15))*('Dvd Calendar'!$H$842&gt;Summary!$C$11)=0,"",'Dvd Calendar'!$H$842*1000000000+ISNUMBER('Dvd Calendar'!$H$843)*100000000+('Dvd Calendar'!$H$847='Field Check'!$C$25)*10000000+(N('Dvd Calendar'!$H$841)&gt;0)*1000000+56*1000+44))</f>
        <v/>
      </c>
      <c r="AU64" s="41">
        <f>IF(N('Dvd Calendar'!$I$842)=0,"",IF(('Dvd Calendar'!$I$842&gt;=MIN(DATE(Summary!$C$12,1,1),Summary!$C$11))*('Dvd Calendar'!$I$842&lt;=MAX(DATE(Summary!$C$12,12,31),Summary!$C$15))*('Dvd Calendar'!$I$842&gt;Summary!$C$11)=0,"",'Dvd Calendar'!$I$842*1000000000+ISNUMBER('Dvd Calendar'!$I$843)*100000000+('Dvd Calendar'!$I$847='Field Check'!$C$25)*10000000+(N('Dvd Calendar'!$I$841)&gt;0)*1000000+56*1000+45))</f>
        <v/>
      </c>
      <c r="AV64" s="41">
        <f>IF(N('Dvd Calendar'!$J$842)=0,"",IF(('Dvd Calendar'!$J$842&gt;=MIN(DATE(Summary!$C$12,1,1),Summary!$C$11))*('Dvd Calendar'!$J$842&lt;=MAX(DATE(Summary!$C$12,12,31),Summary!$C$15))*('Dvd Calendar'!$J$842&gt;Summary!$C$11)=0,"",'Dvd Calendar'!$J$842*1000000000+ISNUMBER('Dvd Calendar'!$J$843)*100000000+('Dvd Calendar'!$J$847='Field Check'!$C$25)*10000000+(N('Dvd Calendar'!$J$841)&gt;0)*1000000+56*1000+46))</f>
        <v/>
      </c>
      <c r="AW64" s="41">
        <f>IF(N('Dvd Calendar'!$K$842)=0,"",IF(('Dvd Calendar'!$K$842&gt;=MIN(DATE(Summary!$C$12,1,1),Summary!$C$11))*('Dvd Calendar'!$K$842&lt;=MAX(DATE(Summary!$C$12,12,31),Summary!$C$15))*('Dvd Calendar'!$K$842&gt;Summary!$C$11)=0,"",'Dvd Calendar'!$K$842*1000000000+ISNUMBER('Dvd Calendar'!$K$843)*100000000+('Dvd Calendar'!$K$847='Field Check'!$C$25)*10000000+(N('Dvd Calendar'!$K$841)&gt;0)*1000000+56*1000+47))</f>
        <v/>
      </c>
      <c r="AX64" s="41">
        <f>IF(N('Dvd Calendar'!$L$842)=0,"",IF(('Dvd Calendar'!$L$842&gt;=MIN(DATE(Summary!$C$12,1,1),Summary!$C$11))*('Dvd Calendar'!$L$842&lt;=MAX(DATE(Summary!$C$12,12,31),Summary!$C$15))*('Dvd Calendar'!$L$842&gt;Summary!$C$11)=0,"",'Dvd Calendar'!$L$842*1000000000+ISNUMBER('Dvd Calendar'!$L$843)*100000000+('Dvd Calendar'!$L$847='Field Check'!$C$25)*10000000+(N('Dvd Calendar'!$L$841)&gt;0)*1000000+56*1000+48))</f>
        <v/>
      </c>
      <c r="AY64" s="41">
        <f>IF(N('Dvd Calendar'!$M$842)=0,"",IF(('Dvd Calendar'!$M$842&gt;=MIN(DATE(Summary!$C$12,1,1),Summary!$C$11))*('Dvd Calendar'!$M$842&lt;=MAX(DATE(Summary!$C$12,12,31),Summary!$C$15))*('Dvd Calendar'!$M$842&gt;Summary!$C$11)=0,"",'Dvd Calendar'!$M$842*1000000000+ISNUMBER('Dvd Calendar'!$M$843)*100000000+('Dvd Calendar'!$M$847='Field Check'!$C$25)*10000000+(N('Dvd Calendar'!$M$841)&gt;0)*1000000+56*1000+49))</f>
        <v/>
      </c>
      <c r="AZ64" s="41">
        <f>IF(N('Dvd Calendar'!$N$842)=0,"",IF(('Dvd Calendar'!$N$842&gt;=MIN(DATE(Summary!$C$12,1,1),Summary!$C$11))*('Dvd Calendar'!$N$842&lt;=MAX(DATE(Summary!$C$12,12,31),Summary!$C$15))*('Dvd Calendar'!$N$842&gt;Summary!$C$11)=0,"",'Dvd Calendar'!$N$842*1000000000+ISNUMBER('Dvd Calendar'!$N$843)*100000000+('Dvd Calendar'!$N$847='Field Check'!$C$25)*10000000+(N('Dvd Calendar'!$N$841)&gt;0)*1000000+56*1000+50))</f>
        <v/>
      </c>
      <c r="BA64" s="41">
        <f>IF(N('Dvd Calendar'!$O$842)=0,"",IF(('Dvd Calendar'!$O$842&gt;=MIN(DATE(Summary!$C$12,1,1),Summary!$C$11))*('Dvd Calendar'!$O$842&lt;=MAX(DATE(Summary!$C$12,12,31),Summary!$C$15))*('Dvd Calendar'!$O$842&gt;Summary!$C$11)=0,"",'Dvd Calendar'!$O$842*1000000000+ISNUMBER('Dvd Calendar'!$O$843)*100000000+('Dvd Calendar'!$O$847='Field Check'!$C$25)*10000000+(N('Dvd Calendar'!$O$841)&gt;0)*1000000+56*1000+51))</f>
        <v/>
      </c>
      <c r="BB64" s="41">
        <f>IF(N('Dvd Calendar'!$P$842)=0,"",IF(('Dvd Calendar'!$P$842&gt;=MIN(DATE(Summary!$C$12,1,1),Summary!$C$11))*('Dvd Calendar'!$P$842&lt;=MAX(DATE(Summary!$C$12,12,31),Summary!$C$15))*('Dvd Calendar'!$P$842&gt;Summary!$C$11)=0,"",'Dvd Calendar'!$P$842*1000000000+ISNUMBER('Dvd Calendar'!$P$843)*100000000+('Dvd Calendar'!$P$847='Field Check'!$C$25)*10000000+(N('Dvd Calendar'!$P$841)&gt;0)*1000000+56*1000+52))</f>
        <v/>
      </c>
      <c r="BC64" s="41">
        <f>IF(N('Dvd Calendar'!$Q$842)=0,"",IF(('Dvd Calendar'!$Q$842&gt;=MIN(DATE(Summary!$C$12,1,1),Summary!$C$11))*('Dvd Calendar'!$Q$842&lt;=MAX(DATE(Summary!$C$12,12,31),Summary!$C$15))*('Dvd Calendar'!$Q$842&gt;Summary!$C$11)=0,"",'Dvd Calendar'!$Q$842*1000000000+ISNUMBER('Dvd Calendar'!$Q$843)*100000000+('Dvd Calendar'!$Q$847='Field Check'!$C$25)*10000000+(N('Dvd Calendar'!$Q$841)&gt;0)*1000000+56*1000+53))</f>
        <v/>
      </c>
      <c r="BD64" s="41">
        <f>IF(N('Dvd Calendar'!$R$842)=0,"",IF(('Dvd Calendar'!$R$842&gt;=MIN(DATE(Summary!$C$12,1,1),Summary!$C$11))*('Dvd Calendar'!$R$842&lt;=MAX(DATE(Summary!$C$12,12,31),Summary!$C$15))*('Dvd Calendar'!$R$842&gt;Summary!$C$11)=0,"",'Dvd Calendar'!$R$842*1000000000+ISNUMBER('Dvd Calendar'!$R$843)*100000000+('Dvd Calendar'!$R$847='Field Check'!$C$25)*10000000+(N('Dvd Calendar'!$R$841)&gt;0)*1000000+56*1000+54))</f>
        <v/>
      </c>
      <c r="BE64" s="41">
        <f>IF(N('Dvd Calendar'!$S$842)=0,"",IF(('Dvd Calendar'!$S$842&gt;=MIN(DATE(Summary!$C$12,1,1),Summary!$C$11))*('Dvd Calendar'!$S$842&lt;=MAX(DATE(Summary!$C$12,12,31),Summary!$C$15))*('Dvd Calendar'!$S$842&gt;Summary!$C$11)=0,"",'Dvd Calendar'!$S$842*1000000000+ISNUMBER('Dvd Calendar'!$S$843)*100000000+('Dvd Calendar'!$S$847='Field Check'!$C$25)*10000000+(N('Dvd Calendar'!$S$841)&gt;0)*1000000+56*1000+55))</f>
        <v/>
      </c>
      <c r="BF64" s="41">
        <f>IF(N('Dvd Calendar'!$T$842)=0,"",IF(('Dvd Calendar'!$T$842&gt;=MIN(DATE(Summary!$C$12,1,1),Summary!$C$11))*('Dvd Calendar'!$T$842&lt;=MAX(DATE(Summary!$C$12,12,31),Summary!$C$15))*('Dvd Calendar'!$T$842&gt;Summary!$C$11)=0,"",'Dvd Calendar'!$T$842*1000000000+ISNUMBER('Dvd Calendar'!$T$843)*100000000+('Dvd Calendar'!$T$847='Field Check'!$C$25)*10000000+(N('Dvd Calendar'!$T$841)&gt;0)*1000000+56*1000+56))</f>
        <v/>
      </c>
      <c r="BG64" s="41">
        <f>IF(N('Dvd Calendar'!$U$842)=0,"",IF(('Dvd Calendar'!$U$842&gt;=MIN(DATE(Summary!$C$12,1,1),Summary!$C$11))*('Dvd Calendar'!$U$842&lt;=MAX(DATE(Summary!$C$12,12,31),Summary!$C$15))*('Dvd Calendar'!$U$842&gt;Summary!$C$11)=0,"",'Dvd Calendar'!$U$842*1000000000+ISNUMBER('Dvd Calendar'!$U$843)*100000000+('Dvd Calendar'!$U$847='Field Check'!$C$25)*10000000+(N('Dvd Calendar'!$U$841)&gt;0)*1000000+56*1000+57))</f>
        <v/>
      </c>
      <c r="BH64" s="41">
        <f>IF(N('Dvd Calendar'!$V$842)=0,"",IF(('Dvd Calendar'!$V$842&gt;=MIN(DATE(Summary!$C$12,1,1),Summary!$C$11))*('Dvd Calendar'!$V$842&lt;=MAX(DATE(Summary!$C$12,12,31),Summary!$C$15))*('Dvd Calendar'!$V$842&gt;Summary!$C$11)=0,"",'Dvd Calendar'!$V$842*1000000000+ISNUMBER('Dvd Calendar'!$V$843)*100000000+('Dvd Calendar'!$V$847='Field Check'!$C$25)*10000000+(N('Dvd Calendar'!$V$841)&gt;0)*1000000+56*1000+58))</f>
        <v/>
      </c>
      <c r="BI64" s="41">
        <f>IF(N('Dvd Calendar'!$W$842)=0,"",IF(('Dvd Calendar'!$W$842&gt;=MIN(DATE(Summary!$C$12,1,1),Summary!$C$11))*('Dvd Calendar'!$W$842&lt;=MAX(DATE(Summary!$C$12,12,31),Summary!$C$15))*('Dvd Calendar'!$W$842&gt;Summary!$C$11)=0,"",'Dvd Calendar'!$W$842*1000000000+ISNUMBER('Dvd Calendar'!$W$843)*100000000+('Dvd Calendar'!$W$847='Field Check'!$C$25)*10000000+(N('Dvd Calendar'!$W$841)&gt;0)*1000000+56*1000+59))</f>
        <v/>
      </c>
      <c r="BJ64" s="41">
        <f>IF(N('Dvd Calendar'!$X$842)=0,"",IF(('Dvd Calendar'!$X$842&gt;=MIN(DATE(Summary!$C$12,1,1),Summary!$C$11))*('Dvd Calendar'!$X$842&lt;=MAX(DATE(Summary!$C$12,12,31),Summary!$C$15))*('Dvd Calendar'!$X$842&gt;Summary!$C$11)=0,"",'Dvd Calendar'!$X$842*1000000000+ISNUMBER('Dvd Calendar'!$X$843)*100000000+('Dvd Calendar'!$X$847='Field Check'!$C$25)*10000000+(N('Dvd Calendar'!$X$841)&gt;0)*1000000+56*1000+60))</f>
        <v/>
      </c>
      <c r="BK64" s="41">
        <f>IF(N('Dvd Calendar'!$Y$842)=0,"",IF(('Dvd Calendar'!$Y$842&gt;=MIN(DATE(Summary!$C$12,1,1),Summary!$C$11))*('Dvd Calendar'!$Y$842&lt;=MAX(DATE(Summary!$C$12,12,31),Summary!$C$15))*('Dvd Calendar'!$Y$842&gt;Summary!$C$11)=0,"",'Dvd Calendar'!$Y$842*1000000000+ISNUMBER('Dvd Calendar'!$Y$843)*100000000+('Dvd Calendar'!$Y$847='Field Check'!$C$25)*10000000+(N('Dvd Calendar'!$Y$841)&gt;0)*1000000+56*1000+61))</f>
        <v/>
      </c>
      <c r="BL64" s="41">
        <f>IF(N('Dvd Calendar'!$Z$842)=0,"",IF(('Dvd Calendar'!$Z$842&gt;=MIN(DATE(Summary!$C$12,1,1),Summary!$C$11))*('Dvd Calendar'!$Z$842&lt;=MAX(DATE(Summary!$C$12,12,31),Summary!$C$15))*('Dvd Calendar'!$Z$842&gt;Summary!$C$11)=0,"",'Dvd Calendar'!$Z$842*1000000000+ISNUMBER('Dvd Calendar'!$Z$843)*100000000+('Dvd Calendar'!$Z$847='Field Check'!$C$25)*10000000+(N('Dvd Calendar'!$Z$841)&gt;0)*1000000+56*1000+62))</f>
        <v/>
      </c>
      <c r="BM64" s="41">
        <f>IF(N('Dvd Calendar'!$AA$842)=0,"",IF(('Dvd Calendar'!$AA$842&gt;=MIN(DATE(Summary!$C$12,1,1),Summary!$C$11))*('Dvd Calendar'!$AA$842&lt;=MAX(DATE(Summary!$C$12,12,31),Summary!$C$15))*('Dvd Calendar'!$AA$842&gt;Summary!$C$11)=0,"",'Dvd Calendar'!$AA$842*1000000000+ISNUMBER('Dvd Calendar'!$AA$843)*100000000+('Dvd Calendar'!$AA$847='Field Check'!$C$25)*10000000+(N('Dvd Calendar'!$AA$841)&gt;0)*1000000+56*1000+63))</f>
        <v/>
      </c>
      <c r="BN64" s="41">
        <f>IF(N('Dvd Calendar'!$AB$842)=0,"",IF(('Dvd Calendar'!$AB$842&gt;=MIN(DATE(Summary!$C$12,1,1),Summary!$C$11))*('Dvd Calendar'!$AB$842&lt;=MAX(DATE(Summary!$C$12,12,31),Summary!$C$15))*('Dvd Calendar'!$AB$842&gt;Summary!$C$11)=0,"",'Dvd Calendar'!$AB$842*1000000000+ISNUMBER('Dvd Calendar'!$AB$843)*100000000+('Dvd Calendar'!$AB$847='Field Check'!$C$25)*10000000+(N('Dvd Calendar'!$AB$841)&gt;0)*1000000+56*1000+64))</f>
        <v/>
      </c>
      <c r="BO64" s="41">
        <f>IF(N('Dvd Calendar'!$AC$842)=0,"",IF(('Dvd Calendar'!$AC$842&gt;=MIN(DATE(Summary!$C$12,1,1),Summary!$C$11))*('Dvd Calendar'!$AC$842&lt;=MAX(DATE(Summary!$C$12,12,31),Summary!$C$15))*('Dvd Calendar'!$AC$842&gt;Summary!$C$11)=0,"",'Dvd Calendar'!$AC$842*1000000000+ISNUMBER('Dvd Calendar'!$AC$843)*100000000+('Dvd Calendar'!$AC$847='Field Check'!$C$25)*10000000+(N('Dvd Calendar'!$AC$841)&gt;0)*1000000+56*1000+65))</f>
        <v/>
      </c>
      <c r="BQ64" s="85">
        <f>IF(C64="","",IF(ISNUMBER('Dvd Calendar'!$E$836)=FALSE,"",IF((Summary!$C$13="N")*('Dvd Calendar'!$E$840='Field Check'!$C$25)&gt;0,"",'Dvd Calendar'!$E$836)))</f>
        <v/>
      </c>
      <c r="BR64" s="85">
        <f>IF(D64="","",IF(ISNUMBER('Dvd Calendar'!$F$836)=FALSE,"",IF((Summary!$C$13="N")*('Dvd Calendar'!$F$840='Field Check'!$C$25)&gt;0,"",'Dvd Calendar'!$F$836)))</f>
        <v/>
      </c>
      <c r="BS64" s="85">
        <f>IF(E64="","",IF(ISNUMBER('Dvd Calendar'!$G$836)=FALSE,"",IF((Summary!$C$13="N")*('Dvd Calendar'!$G$840='Field Check'!$C$25)&gt;0,"",'Dvd Calendar'!$G$836)))</f>
        <v/>
      </c>
      <c r="BT64" s="85">
        <f>IF(F64="","",IF(ISNUMBER('Dvd Calendar'!$H$836)=FALSE,"",IF((Summary!$C$13="N")*('Dvd Calendar'!$H$840='Field Check'!$C$25)&gt;0,"",'Dvd Calendar'!$H$836)))</f>
        <v/>
      </c>
      <c r="BU64" s="85">
        <f>IF(G64="","",IF(ISNUMBER('Dvd Calendar'!$I$836)=FALSE,"",IF((Summary!$C$13="N")*('Dvd Calendar'!$I$840='Field Check'!$C$25)&gt;0,"",'Dvd Calendar'!$I$836)))</f>
        <v/>
      </c>
      <c r="BV64" s="85">
        <f>IF(H64="","",IF(ISNUMBER('Dvd Calendar'!$J$836)=FALSE,"",IF((Summary!$C$13="N")*('Dvd Calendar'!$J$840='Field Check'!$C$25)&gt;0,"",'Dvd Calendar'!$J$836)))</f>
        <v/>
      </c>
      <c r="BW64" s="85">
        <f>IF(I64="","",IF(ISNUMBER('Dvd Calendar'!$K$836)=FALSE,"",IF((Summary!$C$13="N")*('Dvd Calendar'!$K$840='Field Check'!$C$25)&gt;0,"",'Dvd Calendar'!$K$836)))</f>
        <v/>
      </c>
      <c r="BX64" s="85">
        <f>IF(J64="","",IF(ISNUMBER('Dvd Calendar'!$L$836)=FALSE,"",IF((Summary!$C$13="N")*('Dvd Calendar'!$L$840='Field Check'!$C$25)&gt;0,"",'Dvd Calendar'!$L$836)))</f>
        <v/>
      </c>
      <c r="BY64" s="85">
        <f>IF(K64="","",IF(ISNUMBER('Dvd Calendar'!$M$836)=FALSE,"",IF((Summary!$C$13="N")*('Dvd Calendar'!$M$840='Field Check'!$C$25)&gt;0,"",'Dvd Calendar'!$M$836)))</f>
        <v/>
      </c>
      <c r="BZ64" s="85">
        <f>IF(L64="","",IF(ISNUMBER('Dvd Calendar'!$N$836)=FALSE,"",IF((Summary!$C$13="N")*('Dvd Calendar'!$N$840='Field Check'!$C$25)&gt;0,"",'Dvd Calendar'!$N$836)))</f>
        <v/>
      </c>
      <c r="CA64" s="85">
        <f>IF(M64="","",IF(ISNUMBER('Dvd Calendar'!$O$836)=FALSE,"",IF((Summary!$C$13="N")*('Dvd Calendar'!$O$840='Field Check'!$C$25)&gt;0,"",'Dvd Calendar'!$O$836)))</f>
        <v/>
      </c>
      <c r="CB64" s="85">
        <f>IF(N64="","",IF(ISNUMBER('Dvd Calendar'!$P$836)=FALSE,"",IF((Summary!$C$13="N")*('Dvd Calendar'!$P$840='Field Check'!$C$25)&gt;0,"",'Dvd Calendar'!$P$836)))</f>
        <v/>
      </c>
      <c r="CC64" s="85">
        <f>IF(O64="","",IF(ISNUMBER('Dvd Calendar'!$Q$836)=FALSE,"",IF((Summary!$C$13="N")*('Dvd Calendar'!$Q$840='Field Check'!$C$25)&gt;0,"",'Dvd Calendar'!$Q$836)))</f>
        <v/>
      </c>
      <c r="CD64" s="85">
        <f>IF(P64="","",IF(ISNUMBER('Dvd Calendar'!$R$836)=FALSE,"",IF((Summary!$C$13="N")*('Dvd Calendar'!$R$840='Field Check'!$C$25)&gt;0,"",'Dvd Calendar'!$R$836)))</f>
        <v/>
      </c>
      <c r="CE64" s="85">
        <f>IF(Q64="","",IF(ISNUMBER('Dvd Calendar'!$S$836)=FALSE,"",IF((Summary!$C$13="N")*('Dvd Calendar'!$S$840='Field Check'!$C$25)&gt;0,"",'Dvd Calendar'!$S$836)))</f>
        <v/>
      </c>
      <c r="CF64" s="85">
        <f>IF(R64="","",IF(ISNUMBER('Dvd Calendar'!$T$836)=FALSE,"",IF((Summary!$C$13="N")*('Dvd Calendar'!$T$840='Field Check'!$C$25)&gt;0,"",'Dvd Calendar'!$T$836)))</f>
        <v/>
      </c>
      <c r="CG64" s="85">
        <f>IF(S64="","",IF(ISNUMBER('Dvd Calendar'!$U$836)=FALSE,"",IF((Summary!$C$13="N")*('Dvd Calendar'!$U$840='Field Check'!$C$25)&gt;0,"",'Dvd Calendar'!$U$836)))</f>
        <v/>
      </c>
      <c r="CH64" s="85">
        <f>IF(T64="","",IF(ISNUMBER('Dvd Calendar'!$V$836)=FALSE,"",IF((Summary!$C$13="N")*('Dvd Calendar'!$V$840='Field Check'!$C$25)&gt;0,"",'Dvd Calendar'!$V$836)))</f>
        <v/>
      </c>
      <c r="CI64" s="85">
        <f>IF(U64="","",IF(ISNUMBER('Dvd Calendar'!$W$836)=FALSE,"",IF((Summary!$C$13="N")*('Dvd Calendar'!$W$840='Field Check'!$C$25)&gt;0,"",'Dvd Calendar'!$W$836)))</f>
        <v/>
      </c>
      <c r="CJ64" s="85">
        <f>IF(V64="","",IF(ISNUMBER('Dvd Calendar'!$X$836)=FALSE,"",IF((Summary!$C$13="N")*('Dvd Calendar'!$X$840='Field Check'!$C$25)&gt;0,"",'Dvd Calendar'!$X$836)))</f>
        <v/>
      </c>
      <c r="CK64" s="85">
        <f>IF(W64="","",IF(ISNUMBER('Dvd Calendar'!$Y$836)=FALSE,"",IF((Summary!$C$13="N")*('Dvd Calendar'!$Y$840='Field Check'!$C$25)&gt;0,"",'Dvd Calendar'!$Y$836)))</f>
        <v/>
      </c>
      <c r="CL64" s="85">
        <f>IF(X64="","",IF(ISNUMBER('Dvd Calendar'!$Z$836)=FALSE,"",IF((Summary!$C$13="N")*('Dvd Calendar'!$Z$840='Field Check'!$C$25)&gt;0,"",'Dvd Calendar'!$Z$836)))</f>
        <v/>
      </c>
      <c r="CM64" s="85">
        <f>IF(Y64="","",IF(ISNUMBER('Dvd Calendar'!$AA$836)=FALSE,"",IF((Summary!$C$13="N")*('Dvd Calendar'!$AA$840='Field Check'!$C$25)&gt;0,"",'Dvd Calendar'!$AA$836)))</f>
        <v/>
      </c>
      <c r="CN64" s="85">
        <f>IF(Z64="","",IF(ISNUMBER('Dvd Calendar'!$AB$836)=FALSE,"",IF((Summary!$C$13="N")*('Dvd Calendar'!$AB$840='Field Check'!$C$25)&gt;0,"",'Dvd Calendar'!$AB$836)))</f>
        <v/>
      </c>
      <c r="CO64" s="85">
        <f>IF(AA64="","",IF(ISNUMBER('Dvd Calendar'!$AC$836)=FALSE,"",IF((Summary!$C$13="N")*('Dvd Calendar'!$AC$840='Field Check'!$C$25)&gt;0,"",'Dvd Calendar'!$AC$836)))</f>
        <v/>
      </c>
      <c r="CP64" s="85">
        <f>IF(AB64="","",IF(ISNUMBER('Dvd Calendar'!$AD$836)=FALSE,"",IF((Summary!$C$13="N")*('Dvd Calendar'!$AD$840='Field Check'!$C$25)&gt;0,"",'Dvd Calendar'!$AD$836)))</f>
        <v/>
      </c>
      <c r="CQ64" s="85">
        <f>IF(AC64="","",IF(ISNUMBER('Dvd Calendar'!$AE$836)=FALSE,"",IF((Summary!$C$13="N")*('Dvd Calendar'!$AE$840='Field Check'!$C$25)&gt;0,"",'Dvd Calendar'!$AE$836)))</f>
        <v/>
      </c>
      <c r="CR64" s="85">
        <f>IF(AD64="","",IF(ISNUMBER('Dvd Calendar'!$AF$836)=FALSE,"",IF((Summary!$C$13="N")*('Dvd Calendar'!$AF$840='Field Check'!$C$25)&gt;0,"",'Dvd Calendar'!$AF$836)))</f>
        <v/>
      </c>
      <c r="CS64" s="85">
        <f>IF(AE64="","",IF(ISNUMBER('Dvd Calendar'!$AG$836)=FALSE,"",IF((Summary!$C$13="N")*('Dvd Calendar'!$AG$840='Field Check'!$C$25)&gt;0,"",'Dvd Calendar'!$AG$836)))</f>
        <v/>
      </c>
      <c r="CT64" s="85">
        <f>IF(AF64="","",IF(ISNUMBER('Dvd Calendar'!$AH$836)=FALSE,"",IF((Summary!$C$13="N")*('Dvd Calendar'!$AH$840='Field Check'!$C$25)&gt;0,"",'Dvd Calendar'!$AH$836)))</f>
        <v/>
      </c>
      <c r="CU64" s="85">
        <f>IF(AG64="","",IF(ISNUMBER('Dvd Calendar'!$AI$836)=FALSE,"",IF((Summary!$C$13="N")*('Dvd Calendar'!$AI$840='Field Check'!$C$25)&gt;0,"",'Dvd Calendar'!$AI$836)))</f>
        <v/>
      </c>
      <c r="CV64" s="85">
        <f>IF(AH64="","",IF(ISNUMBER('Dvd Calendar'!$AJ$836)=FALSE,"",IF((Summary!$C$13="N")*('Dvd Calendar'!$AJ$840='Field Check'!$C$25)&gt;0,"",'Dvd Calendar'!$AJ$836)))</f>
        <v/>
      </c>
      <c r="CW64" s="85">
        <f>IF(AI64="","",IF(ISNUMBER('Dvd Calendar'!$AK$836)=FALSE,"",IF((Summary!$C$13="N")*('Dvd Calendar'!$AK$840='Field Check'!$C$25)&gt;0,"",'Dvd Calendar'!$AK$836)))</f>
        <v/>
      </c>
      <c r="CX64" s="85">
        <f>IF(AJ64="","",IF(ISNUMBER('Dvd Calendar'!$AL$836)=FALSE,"",IF((Summary!$C$13="N")*('Dvd Calendar'!$AL$840='Field Check'!$C$25)&gt;0,"",'Dvd Calendar'!$AL$836)))</f>
        <v/>
      </c>
      <c r="CY64" s="85">
        <f>IF(AK64="","",IF(ISNUMBER('Dvd Calendar'!$AM$836)=FALSE,"",IF((Summary!$C$13="N")*('Dvd Calendar'!$AM$840='Field Check'!$C$25)&gt;0,"",'Dvd Calendar'!$AM$836)))</f>
        <v/>
      </c>
      <c r="CZ64" s="85">
        <f>IF(AL64="","",IF(ISNUMBER('Dvd Calendar'!$AN$836)=FALSE,"",IF((Summary!$C$13="N")*('Dvd Calendar'!$AN$840='Field Check'!$C$25)&gt;0,"",'Dvd Calendar'!$AN$836)))</f>
        <v/>
      </c>
      <c r="DA64" s="85">
        <f>IF(AM64="","",IF(ISNUMBER('Dvd Calendar'!$AO$836)=FALSE,"",IF((Summary!$C$13="N")*('Dvd Calendar'!$AO$840='Field Check'!$C$25)&gt;0,"",'Dvd Calendar'!$AO$836)))</f>
        <v/>
      </c>
      <c r="DB64" s="85">
        <f>IF(AN64="","",IF(ISNUMBER('Dvd Calendar'!$AP$836)=FALSE,"",IF((Summary!$C$13="N")*('Dvd Calendar'!$AP$840='Field Check'!$C$25)&gt;0,"",'Dvd Calendar'!$AP$836)))</f>
        <v/>
      </c>
      <c r="DC64" s="85">
        <f>IF(AO64="","",IF(ISNUMBER('Dvd Calendar'!$AQ$836)=FALSE,"",IF((Summary!$C$13="N")*('Dvd Calendar'!$AQ$840='Field Check'!$C$25)&gt;0,"",'Dvd Calendar'!$AQ$836)))</f>
        <v/>
      </c>
      <c r="DD64" s="85">
        <f>IF(AP64="","",IF(ISNUMBER('Dvd Calendar'!$AR$836)=FALSE,"",IF((Summary!$C$13="N")*('Dvd Calendar'!$AR$840='Field Check'!$C$25)&gt;0,"",'Dvd Calendar'!$AR$836)))</f>
        <v/>
      </c>
      <c r="DE64" s="85">
        <f>IF(AQ64="","",IF(ISNUMBER('Dvd Calendar'!$E$843)=FALSE,"",IF((Summary!$C$13="N")*('Dvd Calendar'!$E$847='Field Check'!$C$25)&gt;0,"",'Dvd Calendar'!$E$843)))</f>
        <v/>
      </c>
      <c r="DF64" s="85">
        <f>IF(AR64="","",IF(ISNUMBER('Dvd Calendar'!$F$843)=FALSE,"",IF((Summary!$C$13="N")*('Dvd Calendar'!$F$847='Field Check'!$C$25)&gt;0,"",'Dvd Calendar'!$F$843)))</f>
        <v/>
      </c>
      <c r="DG64" s="85">
        <f>IF(AS64="","",IF(ISNUMBER('Dvd Calendar'!$G$843)=FALSE,"",IF((Summary!$C$13="N")*('Dvd Calendar'!$G$847='Field Check'!$C$25)&gt;0,"",'Dvd Calendar'!$G$843)))</f>
        <v/>
      </c>
      <c r="DH64" s="85">
        <f>IF(AT64="","",IF(ISNUMBER('Dvd Calendar'!$H$843)=FALSE,"",IF((Summary!$C$13="N")*('Dvd Calendar'!$H$847='Field Check'!$C$25)&gt;0,"",'Dvd Calendar'!$H$843)))</f>
        <v/>
      </c>
      <c r="DI64" s="85">
        <f>IF(AU64="","",IF(ISNUMBER('Dvd Calendar'!$I$843)=FALSE,"",IF((Summary!$C$13="N")*('Dvd Calendar'!$I$847='Field Check'!$C$25)&gt;0,"",'Dvd Calendar'!$I$843)))</f>
        <v/>
      </c>
      <c r="DJ64" s="85">
        <f>IF(AV64="","",IF(ISNUMBER('Dvd Calendar'!$J$843)=FALSE,"",IF((Summary!$C$13="N")*('Dvd Calendar'!$J$847='Field Check'!$C$25)&gt;0,"",'Dvd Calendar'!$J$843)))</f>
        <v/>
      </c>
      <c r="DK64" s="85">
        <f>IF(AW64="","",IF(ISNUMBER('Dvd Calendar'!$K$843)=FALSE,"",IF((Summary!$C$13="N")*('Dvd Calendar'!$K$847='Field Check'!$C$25)&gt;0,"",'Dvd Calendar'!$K$843)))</f>
        <v/>
      </c>
      <c r="DL64" s="85">
        <f>IF(AX64="","",IF(ISNUMBER('Dvd Calendar'!$L$843)=FALSE,"",IF((Summary!$C$13="N")*('Dvd Calendar'!$L$847='Field Check'!$C$25)&gt;0,"",'Dvd Calendar'!$L$843)))</f>
        <v/>
      </c>
      <c r="DM64" s="85">
        <f>IF(AY64="","",IF(ISNUMBER('Dvd Calendar'!$M$843)=FALSE,"",IF((Summary!$C$13="N")*('Dvd Calendar'!$M$847='Field Check'!$C$25)&gt;0,"",'Dvd Calendar'!$M$843)))</f>
        <v/>
      </c>
      <c r="DN64" s="85">
        <f>IF(AZ64="","",IF(ISNUMBER('Dvd Calendar'!$N$843)=FALSE,"",IF((Summary!$C$13="N")*('Dvd Calendar'!$N$847='Field Check'!$C$25)&gt;0,"",'Dvd Calendar'!$N$843)))</f>
        <v/>
      </c>
      <c r="DO64" s="85">
        <f>IF(BA64="","",IF(ISNUMBER('Dvd Calendar'!$O$843)=FALSE,"",IF((Summary!$C$13="N")*('Dvd Calendar'!$O$847='Field Check'!$C$25)&gt;0,"",'Dvd Calendar'!$O$843)))</f>
        <v/>
      </c>
      <c r="DP64" s="85">
        <f>IF(BB64="","",IF(ISNUMBER('Dvd Calendar'!$P$843)=FALSE,"",IF((Summary!$C$13="N")*('Dvd Calendar'!$P$847='Field Check'!$C$25)&gt;0,"",'Dvd Calendar'!$P$843)))</f>
        <v/>
      </c>
      <c r="DQ64" s="85">
        <f>IF(BC64="","",IF(ISNUMBER('Dvd Calendar'!$Q$843)=FALSE,"",IF((Summary!$C$13="N")*('Dvd Calendar'!$Q$847='Field Check'!$C$25)&gt;0,"",'Dvd Calendar'!$Q$843)))</f>
        <v/>
      </c>
      <c r="DR64" s="85">
        <f>IF(BD64="","",IF(ISNUMBER('Dvd Calendar'!$R$843)=FALSE,"",IF((Summary!$C$13="N")*('Dvd Calendar'!$R$847='Field Check'!$C$25)&gt;0,"",'Dvd Calendar'!$R$843)))</f>
        <v/>
      </c>
      <c r="DS64" s="85">
        <f>IF(BE64="","",IF(ISNUMBER('Dvd Calendar'!$S$843)=FALSE,"",IF((Summary!$C$13="N")*('Dvd Calendar'!$S$847='Field Check'!$C$25)&gt;0,"",'Dvd Calendar'!$S$843)))</f>
        <v/>
      </c>
      <c r="DT64" s="85">
        <f>IF(BF64="","",IF(ISNUMBER('Dvd Calendar'!$T$843)=FALSE,"",IF((Summary!$C$13="N")*('Dvd Calendar'!$T$847='Field Check'!$C$25)&gt;0,"",'Dvd Calendar'!$T$843)))</f>
        <v/>
      </c>
      <c r="DU64" s="85">
        <f>IF(BG64="","",IF(ISNUMBER('Dvd Calendar'!$U$843)=FALSE,"",IF((Summary!$C$13="N")*('Dvd Calendar'!$U$847='Field Check'!$C$25)&gt;0,"",'Dvd Calendar'!$U$843)))</f>
        <v/>
      </c>
      <c r="DV64" s="85">
        <f>IF(BH64="","",IF(ISNUMBER('Dvd Calendar'!$V$843)=FALSE,"",IF((Summary!$C$13="N")*('Dvd Calendar'!$V$847='Field Check'!$C$25)&gt;0,"",'Dvd Calendar'!$V$843)))</f>
        <v/>
      </c>
      <c r="DW64" s="85">
        <f>IF(BI64="","",IF(ISNUMBER('Dvd Calendar'!$W$843)=FALSE,"",IF((Summary!$C$13="N")*('Dvd Calendar'!$W$847='Field Check'!$C$25)&gt;0,"",'Dvd Calendar'!$W$843)))</f>
        <v/>
      </c>
      <c r="DX64" s="85">
        <f>IF(BJ64="","",IF(ISNUMBER('Dvd Calendar'!$X$843)=FALSE,"",IF((Summary!$C$13="N")*('Dvd Calendar'!$X$847='Field Check'!$C$25)&gt;0,"",'Dvd Calendar'!$X$843)))</f>
        <v/>
      </c>
      <c r="DY64" s="85">
        <f>IF(BK64="","",IF(ISNUMBER('Dvd Calendar'!$Y$843)=FALSE,"",IF((Summary!$C$13="N")*('Dvd Calendar'!$Y$847='Field Check'!$C$25)&gt;0,"",'Dvd Calendar'!$Y$843)))</f>
        <v/>
      </c>
      <c r="DZ64" s="85">
        <f>IF(BL64="","",IF(ISNUMBER('Dvd Calendar'!$Z$843)=FALSE,"",IF((Summary!$C$13="N")*('Dvd Calendar'!$Z$847='Field Check'!$C$25)&gt;0,"",'Dvd Calendar'!$Z$843)))</f>
        <v/>
      </c>
      <c r="EA64" s="85">
        <f>IF(BM64="","",IF(ISNUMBER('Dvd Calendar'!$AA$843)=FALSE,"",IF((Summary!$C$13="N")*('Dvd Calendar'!$AA$847='Field Check'!$C$25)&gt;0,"",'Dvd Calendar'!$AA$843)))</f>
        <v/>
      </c>
      <c r="EB64" s="85">
        <f>IF(BN64="","",IF(ISNUMBER('Dvd Calendar'!$AB$843)=FALSE,"",IF((Summary!$C$13="N")*('Dvd Calendar'!$AB$847='Field Check'!$C$25)&gt;0,"",'Dvd Calendar'!$AB$843)))</f>
        <v/>
      </c>
      <c r="EC64" s="85">
        <f>IF(BO64="","",IF(ISNUMBER('Dvd Calendar'!$AC$843)=FALSE,"",IF((Summary!$C$13="N")*('Dvd Calendar'!$AC$847='Field Check'!$C$25)&gt;0,"",'Dvd Calendar'!$AC$843)))</f>
        <v/>
      </c>
      <c r="EE64" s="85">
        <f>IF(BQ64="","",IFERROR(BQ64*HSI!$B$62*HSI!$G$62/HSI!$B$3,""))</f>
        <v/>
      </c>
      <c r="EF64" s="85">
        <f>IF(BR64="","",IFERROR(BR64*HSI!$B$62*HSI!$G$62/HSI!$B$3,""))</f>
        <v/>
      </c>
      <c r="EG64" s="85">
        <f>IF(BS64="","",IFERROR(BS64*HSI!$B$62*HSI!$G$62/HSI!$B$3,""))</f>
        <v/>
      </c>
      <c r="EH64" s="85">
        <f>IF(BT64="","",IFERROR(BT64*HSI!$B$62*HSI!$G$62/HSI!$B$3,""))</f>
        <v/>
      </c>
      <c r="EI64" s="85">
        <f>IF(BU64="","",IFERROR(BU64*HSI!$B$62*HSI!$G$62/HSI!$B$3,""))</f>
        <v/>
      </c>
      <c r="EJ64" s="85">
        <f>IF(BV64="","",IFERROR(BV64*HSI!$B$62*HSI!$G$62/HSI!$B$3,""))</f>
        <v/>
      </c>
      <c r="EK64" s="85">
        <f>IF(BW64="","",IFERROR(BW64*HSI!$B$62*HSI!$G$62/HSI!$B$3,""))</f>
        <v/>
      </c>
      <c r="EL64" s="85">
        <f>IF(BX64="","",IFERROR(BX64*HSI!$B$62*HSI!$G$62/HSI!$B$3,""))</f>
        <v/>
      </c>
      <c r="EM64" s="85">
        <f>IF(BY64="","",IFERROR(BY64*HSI!$B$62*HSI!$G$62/HSI!$B$3,""))</f>
        <v/>
      </c>
      <c r="EN64" s="85">
        <f>IF(BZ64="","",IFERROR(BZ64*HSI!$B$62*HSI!$G$62/HSI!$B$3,""))</f>
        <v/>
      </c>
      <c r="EO64" s="85">
        <f>IF(CA64="","",IFERROR(CA64*HSI!$B$62*HSI!$G$62/HSI!$B$3,""))</f>
        <v/>
      </c>
      <c r="EP64" s="85">
        <f>IF(CB64="","",IFERROR(CB64*HSI!$B$62*HSI!$G$62/HSI!$B$3,""))</f>
        <v/>
      </c>
      <c r="EQ64" s="85">
        <f>IF(CC64="","",IFERROR(CC64*HSI!$B$62*HSI!$G$62/HSI!$B$3,""))</f>
        <v/>
      </c>
      <c r="ER64" s="85">
        <f>IF(CD64="","",IFERROR(CD64*HSI!$B$62*HSI!$G$62/HSI!$B$3,""))</f>
        <v/>
      </c>
      <c r="ES64" s="85">
        <f>IF(CE64="","",IFERROR(CE64*HSI!$B$62*HSI!$G$62/HSI!$B$3,""))</f>
        <v/>
      </c>
      <c r="ET64" s="85">
        <f>IF(CF64="","",IFERROR(CF64*HSI!$B$62*HSI!$G$62/HSI!$B$3,""))</f>
        <v/>
      </c>
      <c r="EU64" s="85">
        <f>IF(CG64="","",IFERROR(CG64*HSI!$B$62*HSI!$G$62/HSI!$B$3,""))</f>
        <v/>
      </c>
      <c r="EV64" s="85">
        <f>IF(CH64="","",IFERROR(CH64*HSI!$B$62*HSI!$G$62/HSI!$B$3,""))</f>
        <v/>
      </c>
      <c r="EW64" s="85">
        <f>IF(CI64="","",IFERROR(CI64*HSI!$B$62*HSI!$G$62/HSI!$B$3,""))</f>
        <v/>
      </c>
      <c r="EX64" s="85">
        <f>IF(CJ64="","",IFERROR(CJ64*HSI!$B$62*HSI!$G$62/HSI!$B$3,""))</f>
        <v/>
      </c>
      <c r="EY64" s="85">
        <f>IF(CK64="","",IFERROR(CK64*HSI!$B$62*HSI!$G$62/HSI!$B$3,""))</f>
        <v/>
      </c>
      <c r="EZ64" s="85">
        <f>IF(CL64="","",IFERROR(CL64*HSI!$B$62*HSI!$G$62/HSI!$B$3,""))</f>
        <v/>
      </c>
      <c r="FA64" s="85">
        <f>IF(CM64="","",IFERROR(CM64*HSI!$B$62*HSI!$G$62/HSI!$B$3,""))</f>
        <v/>
      </c>
      <c r="FB64" s="85">
        <f>IF(CN64="","",IFERROR(CN64*HSI!$B$62*HSI!$G$62/HSI!$B$3,""))</f>
        <v/>
      </c>
      <c r="FC64" s="85">
        <f>IF(CO64="","",IFERROR(CO64*HSI!$B$62*HSI!$G$62/HSI!$B$3,""))</f>
        <v/>
      </c>
      <c r="FD64" s="85">
        <f>IF(CP64="","",IFERROR(CP64*HSI!$B$62*HSI!$G$62/HSI!$B$3,""))</f>
        <v/>
      </c>
      <c r="FE64" s="85">
        <f>IF(CQ64="","",IFERROR(CQ64*HSI!$B$62*HSI!$G$62/HSI!$B$3,""))</f>
        <v/>
      </c>
      <c r="FF64" s="85">
        <f>IF(CR64="","",IFERROR(CR64*HSI!$B$62*HSI!$G$62/HSI!$B$3,""))</f>
        <v/>
      </c>
      <c r="FG64" s="85">
        <f>IF(CS64="","",IFERROR(CS64*HSI!$B$62*HSI!$G$62/HSI!$B$3,""))</f>
        <v/>
      </c>
      <c r="FH64" s="85">
        <f>IF(CT64="","",IFERROR(CT64*HSI!$B$62*HSI!$G$62/HSI!$B$3,""))</f>
        <v/>
      </c>
      <c r="FI64" s="85">
        <f>IF(CU64="","",IFERROR(CU64*HSI!$B$62*HSI!$G$62/HSI!$B$3,""))</f>
        <v/>
      </c>
      <c r="FJ64" s="85">
        <f>IF(CV64="","",IFERROR(CV64*HSI!$B$62*HSI!$G$62/HSI!$B$3,""))</f>
        <v/>
      </c>
      <c r="FK64" s="85">
        <f>IF(CW64="","",IFERROR(CW64*HSI!$B$62*HSI!$G$62/HSI!$B$3,""))</f>
        <v/>
      </c>
      <c r="FL64" s="85">
        <f>IF(CX64="","",IFERROR(CX64*HSI!$B$62*HSI!$G$62/HSI!$B$3,""))</f>
        <v/>
      </c>
      <c r="FM64" s="85">
        <f>IF(CY64="","",IFERROR(CY64*HSI!$B$62*HSI!$G$62/HSI!$B$3,""))</f>
        <v/>
      </c>
      <c r="FN64" s="85">
        <f>IF(CZ64="","",IFERROR(CZ64*HSI!$B$62*HSI!$G$62/HSI!$B$3,""))</f>
        <v/>
      </c>
      <c r="FO64" s="85">
        <f>IF(DA64="","",IFERROR(DA64*HSI!$B$62*HSI!$G$62/HSI!$B$3,""))</f>
        <v/>
      </c>
      <c r="FP64" s="85">
        <f>IF(DB64="","",IFERROR(DB64*HSI!$B$62*HSI!$G$62/HSI!$B$3,""))</f>
        <v/>
      </c>
      <c r="FQ64" s="85">
        <f>IF(DC64="","",IFERROR(DC64*HSI!$B$62*HSI!$G$62/HSI!$B$3,""))</f>
        <v/>
      </c>
      <c r="FR64" s="85">
        <f>IF(DD64="","",IFERROR(DD64*HSI!$B$62*HSI!$G$62/HSI!$B$3,""))</f>
        <v/>
      </c>
      <c r="FS64" s="85">
        <f>IF(DE64="","",IFERROR(DE64*HSI!$B$62*HSI!$G$62/HSI!$B$3,""))</f>
        <v/>
      </c>
      <c r="FT64" s="85">
        <f>IF(DF64="","",IFERROR(DF64*HSI!$B$62*HSI!$G$62/HSI!$B$3,""))</f>
        <v/>
      </c>
      <c r="FU64" s="85">
        <f>IF(DG64="","",IFERROR(DG64*HSI!$B$62*HSI!$G$62/HSI!$B$3,""))</f>
        <v/>
      </c>
      <c r="FV64" s="85">
        <f>IF(DH64="","",IFERROR(DH64*HSI!$B$62*HSI!$G$62/HSI!$B$3,""))</f>
        <v/>
      </c>
      <c r="FW64" s="85">
        <f>IF(DI64="","",IFERROR(DI64*HSI!$B$62*HSI!$G$62/HSI!$B$3,""))</f>
        <v/>
      </c>
      <c r="FX64" s="85">
        <f>IF(DJ64="","",IFERROR(DJ64*HSI!$B$62*HSI!$G$62/HSI!$B$3,""))</f>
        <v/>
      </c>
      <c r="FY64" s="85">
        <f>IF(DK64="","",IFERROR(DK64*HSI!$B$62*HSI!$G$62/HSI!$B$3,""))</f>
        <v/>
      </c>
      <c r="FZ64" s="85">
        <f>IF(DL64="","",IFERROR(DL64*HSI!$B$62*HSI!$G$62/HSI!$B$3,""))</f>
        <v/>
      </c>
      <c r="GA64" s="85">
        <f>IF(DM64="","",IFERROR(DM64*HSI!$B$62*HSI!$G$62/HSI!$B$3,""))</f>
        <v/>
      </c>
      <c r="GB64" s="85">
        <f>IF(DN64="","",IFERROR(DN64*HSI!$B$62*HSI!$G$62/HSI!$B$3,""))</f>
        <v/>
      </c>
      <c r="GC64" s="85">
        <f>IF(DO64="","",IFERROR(DO64*HSI!$B$62*HSI!$G$62/HSI!$B$3,""))</f>
        <v/>
      </c>
      <c r="GD64" s="85">
        <f>IF(DP64="","",IFERROR(DP64*HSI!$B$62*HSI!$G$62/HSI!$B$3,""))</f>
        <v/>
      </c>
      <c r="GE64" s="85">
        <f>IF(DQ64="","",IFERROR(DQ64*HSI!$B$62*HSI!$G$62/HSI!$B$3,""))</f>
        <v/>
      </c>
      <c r="GF64" s="85">
        <f>IF(DR64="","",IFERROR(DR64*HSI!$B$62*HSI!$G$62/HSI!$B$3,""))</f>
        <v/>
      </c>
      <c r="GG64" s="85">
        <f>IF(DS64="","",IFERROR(DS64*HSI!$B$62*HSI!$G$62/HSI!$B$3,""))</f>
        <v/>
      </c>
      <c r="GH64" s="85">
        <f>IF(DT64="","",IFERROR(DT64*HSI!$B$62*HSI!$G$62/HSI!$B$3,""))</f>
        <v/>
      </c>
      <c r="GI64" s="85">
        <f>IF(DU64="","",IFERROR(DU64*HSI!$B$62*HSI!$G$62/HSI!$B$3,""))</f>
        <v/>
      </c>
      <c r="GJ64" s="85">
        <f>IF(DV64="","",IFERROR(DV64*HSI!$B$62*HSI!$G$62/HSI!$B$3,""))</f>
        <v/>
      </c>
      <c r="GK64" s="85">
        <f>IF(DW64="","",IFERROR(DW64*HSI!$B$62*HSI!$G$62/HSI!$B$3,""))</f>
        <v/>
      </c>
      <c r="GL64" s="85">
        <f>IF(DX64="","",IFERROR(DX64*HSI!$B$62*HSI!$G$62/HSI!$B$3,""))</f>
        <v/>
      </c>
      <c r="GM64" s="85">
        <f>IF(DY64="","",IFERROR(DY64*HSI!$B$62*HSI!$G$62/HSI!$B$3,""))</f>
        <v/>
      </c>
      <c r="GN64" s="85">
        <f>IF(DZ64="","",IFERROR(DZ64*HSI!$B$62*HSI!$G$62/HSI!$B$3,""))</f>
        <v/>
      </c>
      <c r="GO64" s="85">
        <f>IF(EA64="","",IFERROR(EA64*HSI!$B$62*HSI!$G$62/HSI!$B$3,""))</f>
        <v/>
      </c>
      <c r="GP64" s="85">
        <f>IF(EB64="","",IFERROR(EB64*HSI!$B$62*HSI!$G$62/HSI!$B$3,""))</f>
        <v/>
      </c>
      <c r="GQ64" s="85">
        <f>IF(EC64="","",IFERROR(EC64*HSI!$B$62*HSI!$G$62/HSI!$B$3,""))</f>
        <v/>
      </c>
    </row>
    <row r="65">
      <c r="B65" s="2">
        <f>IF(HSI!$C$63="","",HSI!$C$63)</f>
        <v/>
      </c>
      <c r="C65" s="41">
        <f>IF(N('Dvd Calendar'!$E$850)=0,"",IF(('Dvd Calendar'!$E$850&gt;=MIN(DATE(Summary!$C$12,1,1),Summary!$C$11))*('Dvd Calendar'!$E$850&lt;=MAX(DATE(Summary!$C$12,12,31),Summary!$C$15))*('Dvd Calendar'!$E$850&lt;=Summary!$C$11)=0,"",'Dvd Calendar'!$E$850*1000000000+ISNUMBER('Dvd Calendar'!$E$851)*100000000+('Dvd Calendar'!$E$855='Field Check'!$C$25)*10000000+(N('Dvd Calendar'!$E$849)&gt;0)*1000000+57*1000+1))</f>
        <v/>
      </c>
      <c r="D65" s="41">
        <f>IF(N('Dvd Calendar'!$F$850)=0,"",IF(('Dvd Calendar'!$F$850&gt;=MIN(DATE(Summary!$C$12,1,1),Summary!$C$11))*('Dvd Calendar'!$F$850&lt;=MAX(DATE(Summary!$C$12,12,31),Summary!$C$15))*('Dvd Calendar'!$F$850&lt;=Summary!$C$11)=0,"",'Dvd Calendar'!$F$850*1000000000+ISNUMBER('Dvd Calendar'!$F$851)*100000000+('Dvd Calendar'!$F$855='Field Check'!$C$25)*10000000+(N('Dvd Calendar'!$F$849)&gt;0)*1000000+57*1000+2))</f>
        <v/>
      </c>
      <c r="E65" s="41">
        <f>IF(N('Dvd Calendar'!$G$850)=0,"",IF(('Dvd Calendar'!$G$850&gt;=MIN(DATE(Summary!$C$12,1,1),Summary!$C$11))*('Dvd Calendar'!$G$850&lt;=MAX(DATE(Summary!$C$12,12,31),Summary!$C$15))*('Dvd Calendar'!$G$850&lt;=Summary!$C$11)=0,"",'Dvd Calendar'!$G$850*1000000000+ISNUMBER('Dvd Calendar'!$G$851)*100000000+('Dvd Calendar'!$G$855='Field Check'!$C$25)*10000000+(N('Dvd Calendar'!$G$849)&gt;0)*1000000+57*1000+3))</f>
        <v/>
      </c>
      <c r="F65" s="41">
        <f>IF(N('Dvd Calendar'!$H$850)=0,"",IF(('Dvd Calendar'!$H$850&gt;=MIN(DATE(Summary!$C$12,1,1),Summary!$C$11))*('Dvd Calendar'!$H$850&lt;=MAX(DATE(Summary!$C$12,12,31),Summary!$C$15))*('Dvd Calendar'!$H$850&lt;=Summary!$C$11)=0,"",'Dvd Calendar'!$H$850*1000000000+ISNUMBER('Dvd Calendar'!$H$851)*100000000+('Dvd Calendar'!$H$855='Field Check'!$C$25)*10000000+(N('Dvd Calendar'!$H$849)&gt;0)*1000000+57*1000+4))</f>
        <v/>
      </c>
      <c r="G65" s="41">
        <f>IF(N('Dvd Calendar'!$I$850)=0,"",IF(('Dvd Calendar'!$I$850&gt;=MIN(DATE(Summary!$C$12,1,1),Summary!$C$11))*('Dvd Calendar'!$I$850&lt;=MAX(DATE(Summary!$C$12,12,31),Summary!$C$15))*('Dvd Calendar'!$I$850&lt;=Summary!$C$11)=0,"",'Dvd Calendar'!$I$850*1000000000+ISNUMBER('Dvd Calendar'!$I$851)*100000000+('Dvd Calendar'!$I$855='Field Check'!$C$25)*10000000+(N('Dvd Calendar'!$I$849)&gt;0)*1000000+57*1000+5))</f>
        <v/>
      </c>
      <c r="H65" s="41">
        <f>IF(N('Dvd Calendar'!$J$850)=0,"",IF(('Dvd Calendar'!$J$850&gt;=MIN(DATE(Summary!$C$12,1,1),Summary!$C$11))*('Dvd Calendar'!$J$850&lt;=MAX(DATE(Summary!$C$12,12,31),Summary!$C$15))*('Dvd Calendar'!$J$850&lt;=Summary!$C$11)=0,"",'Dvd Calendar'!$J$850*1000000000+ISNUMBER('Dvd Calendar'!$J$851)*100000000+('Dvd Calendar'!$J$855='Field Check'!$C$25)*10000000+(N('Dvd Calendar'!$J$849)&gt;0)*1000000+57*1000+6))</f>
        <v/>
      </c>
      <c r="I65" s="41">
        <f>IF(N('Dvd Calendar'!$K$850)=0,"",IF(('Dvd Calendar'!$K$850&gt;=MIN(DATE(Summary!$C$12,1,1),Summary!$C$11))*('Dvd Calendar'!$K$850&lt;=MAX(DATE(Summary!$C$12,12,31),Summary!$C$15))*('Dvd Calendar'!$K$850&lt;=Summary!$C$11)=0,"",'Dvd Calendar'!$K$850*1000000000+ISNUMBER('Dvd Calendar'!$K$851)*100000000+('Dvd Calendar'!$K$855='Field Check'!$C$25)*10000000+(N('Dvd Calendar'!$K$849)&gt;0)*1000000+57*1000+7))</f>
        <v/>
      </c>
      <c r="J65" s="41">
        <f>IF(N('Dvd Calendar'!$L$850)=0,"",IF(('Dvd Calendar'!$L$850&gt;=MIN(DATE(Summary!$C$12,1,1),Summary!$C$11))*('Dvd Calendar'!$L$850&lt;=MAX(DATE(Summary!$C$12,12,31),Summary!$C$15))*('Dvd Calendar'!$L$850&lt;=Summary!$C$11)=0,"",'Dvd Calendar'!$L$850*1000000000+ISNUMBER('Dvd Calendar'!$L$851)*100000000+('Dvd Calendar'!$L$855='Field Check'!$C$25)*10000000+(N('Dvd Calendar'!$L$849)&gt;0)*1000000+57*1000+8))</f>
        <v/>
      </c>
      <c r="K65" s="41">
        <f>IF(N('Dvd Calendar'!$M$850)=0,"",IF(('Dvd Calendar'!$M$850&gt;=MIN(DATE(Summary!$C$12,1,1),Summary!$C$11))*('Dvd Calendar'!$M$850&lt;=MAX(DATE(Summary!$C$12,12,31),Summary!$C$15))*('Dvd Calendar'!$M$850&lt;=Summary!$C$11)=0,"",'Dvd Calendar'!$M$850*1000000000+ISNUMBER('Dvd Calendar'!$M$851)*100000000+('Dvd Calendar'!$M$855='Field Check'!$C$25)*10000000+(N('Dvd Calendar'!$M$849)&gt;0)*1000000+57*1000+9))</f>
        <v/>
      </c>
      <c r="L65" s="41">
        <f>IF(N('Dvd Calendar'!$N$850)=0,"",IF(('Dvd Calendar'!$N$850&gt;=MIN(DATE(Summary!$C$12,1,1),Summary!$C$11))*('Dvd Calendar'!$N$850&lt;=MAX(DATE(Summary!$C$12,12,31),Summary!$C$15))*('Dvd Calendar'!$N$850&lt;=Summary!$C$11)=0,"",'Dvd Calendar'!$N$850*1000000000+ISNUMBER('Dvd Calendar'!$N$851)*100000000+('Dvd Calendar'!$N$855='Field Check'!$C$25)*10000000+(N('Dvd Calendar'!$N$849)&gt;0)*1000000+57*1000+10))</f>
        <v/>
      </c>
      <c r="M65" s="41">
        <f>IF(N('Dvd Calendar'!$O$850)=0,"",IF(('Dvd Calendar'!$O$850&gt;=MIN(DATE(Summary!$C$12,1,1),Summary!$C$11))*('Dvd Calendar'!$O$850&lt;=MAX(DATE(Summary!$C$12,12,31),Summary!$C$15))*('Dvd Calendar'!$O$850&lt;=Summary!$C$11)=0,"",'Dvd Calendar'!$O$850*1000000000+ISNUMBER('Dvd Calendar'!$O$851)*100000000+('Dvd Calendar'!$O$855='Field Check'!$C$25)*10000000+(N('Dvd Calendar'!$O$849)&gt;0)*1000000+57*1000+11))</f>
        <v/>
      </c>
      <c r="N65" s="41">
        <f>IF(N('Dvd Calendar'!$P$850)=0,"",IF(('Dvd Calendar'!$P$850&gt;=MIN(DATE(Summary!$C$12,1,1),Summary!$C$11))*('Dvd Calendar'!$P$850&lt;=MAX(DATE(Summary!$C$12,12,31),Summary!$C$15))*('Dvd Calendar'!$P$850&lt;=Summary!$C$11)=0,"",'Dvd Calendar'!$P$850*1000000000+ISNUMBER('Dvd Calendar'!$P$851)*100000000+('Dvd Calendar'!$P$855='Field Check'!$C$25)*10000000+(N('Dvd Calendar'!$P$849)&gt;0)*1000000+57*1000+12))</f>
        <v/>
      </c>
      <c r="O65" s="41">
        <f>IF(N('Dvd Calendar'!$Q$850)=0,"",IF(('Dvd Calendar'!$Q$850&gt;=MIN(DATE(Summary!$C$12,1,1),Summary!$C$11))*('Dvd Calendar'!$Q$850&lt;=MAX(DATE(Summary!$C$12,12,31),Summary!$C$15))*('Dvd Calendar'!$Q$850&lt;=Summary!$C$11)=0,"",'Dvd Calendar'!$Q$850*1000000000+ISNUMBER('Dvd Calendar'!$Q$851)*100000000+('Dvd Calendar'!$Q$855='Field Check'!$C$25)*10000000+(N('Dvd Calendar'!$Q$849)&gt;0)*1000000+57*1000+13))</f>
        <v/>
      </c>
      <c r="P65" s="41">
        <f>IF(N('Dvd Calendar'!$R$850)=0,"",IF(('Dvd Calendar'!$R$850&gt;=MIN(DATE(Summary!$C$12,1,1),Summary!$C$11))*('Dvd Calendar'!$R$850&lt;=MAX(DATE(Summary!$C$12,12,31),Summary!$C$15))*('Dvd Calendar'!$R$850&lt;=Summary!$C$11)=0,"",'Dvd Calendar'!$R$850*1000000000+ISNUMBER('Dvd Calendar'!$R$851)*100000000+('Dvd Calendar'!$R$855='Field Check'!$C$25)*10000000+(N('Dvd Calendar'!$R$849)&gt;0)*1000000+57*1000+14))</f>
        <v/>
      </c>
      <c r="Q65" s="41">
        <f>IF(N('Dvd Calendar'!$S$850)=0,"",IF(('Dvd Calendar'!$S$850&gt;=MIN(DATE(Summary!$C$12,1,1),Summary!$C$11))*('Dvd Calendar'!$S$850&lt;=MAX(DATE(Summary!$C$12,12,31),Summary!$C$15))*('Dvd Calendar'!$S$850&lt;=Summary!$C$11)=0,"",'Dvd Calendar'!$S$850*1000000000+ISNUMBER('Dvd Calendar'!$S$851)*100000000+('Dvd Calendar'!$S$855='Field Check'!$C$25)*10000000+(N('Dvd Calendar'!$S$849)&gt;0)*1000000+57*1000+15))</f>
        <v/>
      </c>
      <c r="R65" s="41">
        <f>IF(N('Dvd Calendar'!$T$850)=0,"",IF(('Dvd Calendar'!$T$850&gt;=MIN(DATE(Summary!$C$12,1,1),Summary!$C$11))*('Dvd Calendar'!$T$850&lt;=MAX(DATE(Summary!$C$12,12,31),Summary!$C$15))*('Dvd Calendar'!$T$850&lt;=Summary!$C$11)=0,"",'Dvd Calendar'!$T$850*1000000000+ISNUMBER('Dvd Calendar'!$T$851)*100000000+('Dvd Calendar'!$T$855='Field Check'!$C$25)*10000000+(N('Dvd Calendar'!$T$849)&gt;0)*1000000+57*1000+16))</f>
        <v/>
      </c>
      <c r="S65" s="41">
        <f>IF(N('Dvd Calendar'!$U$850)=0,"",IF(('Dvd Calendar'!$U$850&gt;=MIN(DATE(Summary!$C$12,1,1),Summary!$C$11))*('Dvd Calendar'!$U$850&lt;=MAX(DATE(Summary!$C$12,12,31),Summary!$C$15))*('Dvd Calendar'!$U$850&lt;=Summary!$C$11)=0,"",'Dvd Calendar'!$U$850*1000000000+ISNUMBER('Dvd Calendar'!$U$851)*100000000+('Dvd Calendar'!$U$855='Field Check'!$C$25)*10000000+(N('Dvd Calendar'!$U$849)&gt;0)*1000000+57*1000+17))</f>
        <v/>
      </c>
      <c r="T65" s="41">
        <f>IF(N('Dvd Calendar'!$V$850)=0,"",IF(('Dvd Calendar'!$V$850&gt;=MIN(DATE(Summary!$C$12,1,1),Summary!$C$11))*('Dvd Calendar'!$V$850&lt;=MAX(DATE(Summary!$C$12,12,31),Summary!$C$15))*('Dvd Calendar'!$V$850&lt;=Summary!$C$11)=0,"",'Dvd Calendar'!$V$850*1000000000+ISNUMBER('Dvd Calendar'!$V$851)*100000000+('Dvd Calendar'!$V$855='Field Check'!$C$25)*10000000+(N('Dvd Calendar'!$V$849)&gt;0)*1000000+57*1000+18))</f>
        <v/>
      </c>
      <c r="U65" s="41">
        <f>IF(N('Dvd Calendar'!$W$850)=0,"",IF(('Dvd Calendar'!$W$850&gt;=MIN(DATE(Summary!$C$12,1,1),Summary!$C$11))*('Dvd Calendar'!$W$850&lt;=MAX(DATE(Summary!$C$12,12,31),Summary!$C$15))*('Dvd Calendar'!$W$850&lt;=Summary!$C$11)=0,"",'Dvd Calendar'!$W$850*1000000000+ISNUMBER('Dvd Calendar'!$W$851)*100000000+('Dvd Calendar'!$W$855='Field Check'!$C$25)*10000000+(N('Dvd Calendar'!$W$849)&gt;0)*1000000+57*1000+19))</f>
        <v/>
      </c>
      <c r="V65" s="41">
        <f>IF(N('Dvd Calendar'!$X$850)=0,"",IF(('Dvd Calendar'!$X$850&gt;=MIN(DATE(Summary!$C$12,1,1),Summary!$C$11))*('Dvd Calendar'!$X$850&lt;=MAX(DATE(Summary!$C$12,12,31),Summary!$C$15))*('Dvd Calendar'!$X$850&lt;=Summary!$C$11)=0,"",'Dvd Calendar'!$X$850*1000000000+ISNUMBER('Dvd Calendar'!$X$851)*100000000+('Dvd Calendar'!$X$855='Field Check'!$C$25)*10000000+(N('Dvd Calendar'!$X$849)&gt;0)*1000000+57*1000+20))</f>
        <v/>
      </c>
      <c r="W65" s="41">
        <f>IF(N('Dvd Calendar'!$Y$850)=0,"",IF(('Dvd Calendar'!$Y$850&gt;=MIN(DATE(Summary!$C$12,1,1),Summary!$C$11))*('Dvd Calendar'!$Y$850&lt;=MAX(DATE(Summary!$C$12,12,31),Summary!$C$15))*('Dvd Calendar'!$Y$850&lt;=Summary!$C$11)=0,"",'Dvd Calendar'!$Y$850*1000000000+ISNUMBER('Dvd Calendar'!$Y$851)*100000000+('Dvd Calendar'!$Y$855='Field Check'!$C$25)*10000000+(N('Dvd Calendar'!$Y$849)&gt;0)*1000000+57*1000+21))</f>
        <v/>
      </c>
      <c r="X65" s="41">
        <f>IF(N('Dvd Calendar'!$Z$850)=0,"",IF(('Dvd Calendar'!$Z$850&gt;=MIN(DATE(Summary!$C$12,1,1),Summary!$C$11))*('Dvd Calendar'!$Z$850&lt;=MAX(DATE(Summary!$C$12,12,31),Summary!$C$15))*('Dvd Calendar'!$Z$850&lt;=Summary!$C$11)=0,"",'Dvd Calendar'!$Z$850*1000000000+ISNUMBER('Dvd Calendar'!$Z$851)*100000000+('Dvd Calendar'!$Z$855='Field Check'!$C$25)*10000000+(N('Dvd Calendar'!$Z$849)&gt;0)*1000000+57*1000+22))</f>
        <v/>
      </c>
      <c r="Y65" s="41">
        <f>IF(N('Dvd Calendar'!$AA$850)=0,"",IF(('Dvd Calendar'!$AA$850&gt;=MIN(DATE(Summary!$C$12,1,1),Summary!$C$11))*('Dvd Calendar'!$AA$850&lt;=MAX(DATE(Summary!$C$12,12,31),Summary!$C$15))*('Dvd Calendar'!$AA$850&lt;=Summary!$C$11)=0,"",'Dvd Calendar'!$AA$850*1000000000+ISNUMBER('Dvd Calendar'!$AA$851)*100000000+('Dvd Calendar'!$AA$855='Field Check'!$C$25)*10000000+(N('Dvd Calendar'!$AA$849)&gt;0)*1000000+57*1000+23))</f>
        <v/>
      </c>
      <c r="Z65" s="41">
        <f>IF(N('Dvd Calendar'!$AB$850)=0,"",IF(('Dvd Calendar'!$AB$850&gt;=MIN(DATE(Summary!$C$12,1,1),Summary!$C$11))*('Dvd Calendar'!$AB$850&lt;=MAX(DATE(Summary!$C$12,12,31),Summary!$C$15))*('Dvd Calendar'!$AB$850&lt;=Summary!$C$11)=0,"",'Dvd Calendar'!$AB$850*1000000000+ISNUMBER('Dvd Calendar'!$AB$851)*100000000+('Dvd Calendar'!$AB$855='Field Check'!$C$25)*10000000+(N('Dvd Calendar'!$AB$849)&gt;0)*1000000+57*1000+24))</f>
        <v/>
      </c>
      <c r="AA65" s="41">
        <f>IF(N('Dvd Calendar'!$AC$850)=0,"",IF(('Dvd Calendar'!$AC$850&gt;=MIN(DATE(Summary!$C$12,1,1),Summary!$C$11))*('Dvd Calendar'!$AC$850&lt;=MAX(DATE(Summary!$C$12,12,31),Summary!$C$15))*('Dvd Calendar'!$AC$850&lt;=Summary!$C$11)=0,"",'Dvd Calendar'!$AC$850*1000000000+ISNUMBER('Dvd Calendar'!$AC$851)*100000000+('Dvd Calendar'!$AC$855='Field Check'!$C$25)*10000000+(N('Dvd Calendar'!$AC$849)&gt;0)*1000000+57*1000+25))</f>
        <v/>
      </c>
      <c r="AB65" s="41">
        <f>IF(N('Dvd Calendar'!$AD$850)=0,"",IF(('Dvd Calendar'!$AD$850&gt;=MIN(DATE(Summary!$C$12,1,1),Summary!$C$11))*('Dvd Calendar'!$AD$850&lt;=MAX(DATE(Summary!$C$12,12,31),Summary!$C$15))*('Dvd Calendar'!$AD$850&lt;=Summary!$C$11)=0,"",'Dvd Calendar'!$AD$850*1000000000+ISNUMBER('Dvd Calendar'!$AD$851)*100000000+('Dvd Calendar'!$AD$855='Field Check'!$C$25)*10000000+(N('Dvd Calendar'!$AD$849)&gt;0)*1000000+57*1000+26))</f>
        <v/>
      </c>
      <c r="AC65" s="41">
        <f>IF(N('Dvd Calendar'!$AE$850)=0,"",IF(('Dvd Calendar'!$AE$850&gt;=MIN(DATE(Summary!$C$12,1,1),Summary!$C$11))*('Dvd Calendar'!$AE$850&lt;=MAX(DATE(Summary!$C$12,12,31),Summary!$C$15))*('Dvd Calendar'!$AE$850&lt;=Summary!$C$11)=0,"",'Dvd Calendar'!$AE$850*1000000000+ISNUMBER('Dvd Calendar'!$AE$851)*100000000+('Dvd Calendar'!$AE$855='Field Check'!$C$25)*10000000+(N('Dvd Calendar'!$AE$849)&gt;0)*1000000+57*1000+27))</f>
        <v/>
      </c>
      <c r="AD65" s="41">
        <f>IF(N('Dvd Calendar'!$AF$850)=0,"",IF(('Dvd Calendar'!$AF$850&gt;=MIN(DATE(Summary!$C$12,1,1),Summary!$C$11))*('Dvd Calendar'!$AF$850&lt;=MAX(DATE(Summary!$C$12,12,31),Summary!$C$15))*('Dvd Calendar'!$AF$850&lt;=Summary!$C$11)=0,"",'Dvd Calendar'!$AF$850*1000000000+ISNUMBER('Dvd Calendar'!$AF$851)*100000000+('Dvd Calendar'!$AF$855='Field Check'!$C$25)*10000000+(N('Dvd Calendar'!$AF$849)&gt;0)*1000000+57*1000+28))</f>
        <v/>
      </c>
      <c r="AE65" s="41">
        <f>IF(N('Dvd Calendar'!$AG$850)=0,"",IF(('Dvd Calendar'!$AG$850&gt;=MIN(DATE(Summary!$C$12,1,1),Summary!$C$11))*('Dvd Calendar'!$AG$850&lt;=MAX(DATE(Summary!$C$12,12,31),Summary!$C$15))*('Dvd Calendar'!$AG$850&lt;=Summary!$C$11)=0,"",'Dvd Calendar'!$AG$850*1000000000+ISNUMBER('Dvd Calendar'!$AG$851)*100000000+('Dvd Calendar'!$AG$855='Field Check'!$C$25)*10000000+(N('Dvd Calendar'!$AG$849)&gt;0)*1000000+57*1000+29))</f>
        <v/>
      </c>
      <c r="AF65" s="41">
        <f>IF(N('Dvd Calendar'!$AH$850)=0,"",IF(('Dvd Calendar'!$AH$850&gt;=MIN(DATE(Summary!$C$12,1,1),Summary!$C$11))*('Dvd Calendar'!$AH$850&lt;=MAX(DATE(Summary!$C$12,12,31),Summary!$C$15))*('Dvd Calendar'!$AH$850&lt;=Summary!$C$11)=0,"",'Dvd Calendar'!$AH$850*1000000000+ISNUMBER('Dvd Calendar'!$AH$851)*100000000+('Dvd Calendar'!$AH$855='Field Check'!$C$25)*10000000+(N('Dvd Calendar'!$AH$849)&gt;0)*1000000+57*1000+30))</f>
        <v/>
      </c>
      <c r="AG65" s="41">
        <f>IF(N('Dvd Calendar'!$AI$850)=0,"",IF(('Dvd Calendar'!$AI$850&gt;=MIN(DATE(Summary!$C$12,1,1),Summary!$C$11))*('Dvd Calendar'!$AI$850&lt;=MAX(DATE(Summary!$C$12,12,31),Summary!$C$15))*('Dvd Calendar'!$AI$850&lt;=Summary!$C$11)=0,"",'Dvd Calendar'!$AI$850*1000000000+ISNUMBER('Dvd Calendar'!$AI$851)*100000000+('Dvd Calendar'!$AI$855='Field Check'!$C$25)*10000000+(N('Dvd Calendar'!$AI$849)&gt;0)*1000000+57*1000+31))</f>
        <v/>
      </c>
      <c r="AH65" s="41">
        <f>IF(N('Dvd Calendar'!$AJ$850)=0,"",IF(('Dvd Calendar'!$AJ$850&gt;=MIN(DATE(Summary!$C$12,1,1),Summary!$C$11))*('Dvd Calendar'!$AJ$850&lt;=MAX(DATE(Summary!$C$12,12,31),Summary!$C$15))*('Dvd Calendar'!$AJ$850&lt;=Summary!$C$11)=0,"",'Dvd Calendar'!$AJ$850*1000000000+ISNUMBER('Dvd Calendar'!$AJ$851)*100000000+('Dvd Calendar'!$AJ$855='Field Check'!$C$25)*10000000+(N('Dvd Calendar'!$AJ$849)&gt;0)*1000000+57*1000+32))</f>
        <v/>
      </c>
      <c r="AI65" s="41">
        <f>IF(N('Dvd Calendar'!$AK$850)=0,"",IF(('Dvd Calendar'!$AK$850&gt;=MIN(DATE(Summary!$C$12,1,1),Summary!$C$11))*('Dvd Calendar'!$AK$850&lt;=MAX(DATE(Summary!$C$12,12,31),Summary!$C$15))*('Dvd Calendar'!$AK$850&lt;=Summary!$C$11)=0,"",'Dvd Calendar'!$AK$850*1000000000+ISNUMBER('Dvd Calendar'!$AK$851)*100000000+('Dvd Calendar'!$AK$855='Field Check'!$C$25)*10000000+(N('Dvd Calendar'!$AK$849)&gt;0)*1000000+57*1000+33))</f>
        <v/>
      </c>
      <c r="AJ65" s="41">
        <f>IF(N('Dvd Calendar'!$AL$850)=0,"",IF(('Dvd Calendar'!$AL$850&gt;=MIN(DATE(Summary!$C$12,1,1),Summary!$C$11))*('Dvd Calendar'!$AL$850&lt;=MAX(DATE(Summary!$C$12,12,31),Summary!$C$15))*('Dvd Calendar'!$AL$850&lt;=Summary!$C$11)=0,"",'Dvd Calendar'!$AL$850*1000000000+ISNUMBER('Dvd Calendar'!$AL$851)*100000000+('Dvd Calendar'!$AL$855='Field Check'!$C$25)*10000000+(N('Dvd Calendar'!$AL$849)&gt;0)*1000000+57*1000+34))</f>
        <v/>
      </c>
      <c r="AK65" s="41">
        <f>IF(N('Dvd Calendar'!$AM$850)=0,"",IF(('Dvd Calendar'!$AM$850&gt;=MIN(DATE(Summary!$C$12,1,1),Summary!$C$11))*('Dvd Calendar'!$AM$850&lt;=MAX(DATE(Summary!$C$12,12,31),Summary!$C$15))*('Dvd Calendar'!$AM$850&lt;=Summary!$C$11)=0,"",'Dvd Calendar'!$AM$850*1000000000+ISNUMBER('Dvd Calendar'!$AM$851)*100000000+('Dvd Calendar'!$AM$855='Field Check'!$C$25)*10000000+(N('Dvd Calendar'!$AM$849)&gt;0)*1000000+57*1000+35))</f>
        <v/>
      </c>
      <c r="AL65" s="41">
        <f>IF(N('Dvd Calendar'!$AN$850)=0,"",IF(('Dvd Calendar'!$AN$850&gt;=MIN(DATE(Summary!$C$12,1,1),Summary!$C$11))*('Dvd Calendar'!$AN$850&lt;=MAX(DATE(Summary!$C$12,12,31),Summary!$C$15))*('Dvd Calendar'!$AN$850&lt;=Summary!$C$11)=0,"",'Dvd Calendar'!$AN$850*1000000000+ISNUMBER('Dvd Calendar'!$AN$851)*100000000+('Dvd Calendar'!$AN$855='Field Check'!$C$25)*10000000+(N('Dvd Calendar'!$AN$849)&gt;0)*1000000+57*1000+36))</f>
        <v/>
      </c>
      <c r="AM65" s="41">
        <f>IF(N('Dvd Calendar'!$AO$850)=0,"",IF(('Dvd Calendar'!$AO$850&gt;=MIN(DATE(Summary!$C$12,1,1),Summary!$C$11))*('Dvd Calendar'!$AO$850&lt;=MAX(DATE(Summary!$C$12,12,31),Summary!$C$15))*('Dvd Calendar'!$AO$850&lt;=Summary!$C$11)=0,"",'Dvd Calendar'!$AO$850*1000000000+ISNUMBER('Dvd Calendar'!$AO$851)*100000000+('Dvd Calendar'!$AO$855='Field Check'!$C$25)*10000000+(N('Dvd Calendar'!$AO$849)&gt;0)*1000000+57*1000+37))</f>
        <v/>
      </c>
      <c r="AN65" s="41">
        <f>IF(N('Dvd Calendar'!$AP$850)=0,"",IF(('Dvd Calendar'!$AP$850&gt;=MIN(DATE(Summary!$C$12,1,1),Summary!$C$11))*('Dvd Calendar'!$AP$850&lt;=MAX(DATE(Summary!$C$12,12,31),Summary!$C$15))*('Dvd Calendar'!$AP$850&lt;=Summary!$C$11)=0,"",'Dvd Calendar'!$AP$850*1000000000+ISNUMBER('Dvd Calendar'!$AP$851)*100000000+('Dvd Calendar'!$AP$855='Field Check'!$C$25)*10000000+(N('Dvd Calendar'!$AP$849)&gt;0)*1000000+57*1000+38))</f>
        <v/>
      </c>
      <c r="AO65" s="41">
        <f>IF(N('Dvd Calendar'!$AQ$850)=0,"",IF(('Dvd Calendar'!$AQ$850&gt;=MIN(DATE(Summary!$C$12,1,1),Summary!$C$11))*('Dvd Calendar'!$AQ$850&lt;=MAX(DATE(Summary!$C$12,12,31),Summary!$C$15))*('Dvd Calendar'!$AQ$850&lt;=Summary!$C$11)=0,"",'Dvd Calendar'!$AQ$850*1000000000+ISNUMBER('Dvd Calendar'!$AQ$851)*100000000+('Dvd Calendar'!$AQ$855='Field Check'!$C$25)*10000000+(N('Dvd Calendar'!$AQ$849)&gt;0)*1000000+57*1000+39))</f>
        <v/>
      </c>
      <c r="AP65" s="41">
        <f>IF(N('Dvd Calendar'!$AR$850)=0,"",IF(('Dvd Calendar'!$AR$850&gt;=MIN(DATE(Summary!$C$12,1,1),Summary!$C$11))*('Dvd Calendar'!$AR$850&lt;=MAX(DATE(Summary!$C$12,12,31),Summary!$C$15))*('Dvd Calendar'!$AR$850&lt;=Summary!$C$11)=0,"",'Dvd Calendar'!$AR$850*1000000000+ISNUMBER('Dvd Calendar'!$AR$851)*100000000+('Dvd Calendar'!$AR$855='Field Check'!$C$25)*10000000+(N('Dvd Calendar'!$AR$849)&gt;0)*1000000+57*1000+40))</f>
        <v/>
      </c>
      <c r="AQ65" s="41">
        <f>IF(N('Dvd Calendar'!$E$857)=0,"",IF(('Dvd Calendar'!$E$857&gt;=MIN(DATE(Summary!$C$12,1,1),Summary!$C$11))*('Dvd Calendar'!$E$857&lt;=MAX(DATE(Summary!$C$12,12,31),Summary!$C$15))*('Dvd Calendar'!$E$857&gt;Summary!$C$11)=0,"",'Dvd Calendar'!$E$857*1000000000+ISNUMBER('Dvd Calendar'!$E$858)*100000000+('Dvd Calendar'!$E$862='Field Check'!$C$25)*10000000+(N('Dvd Calendar'!$E$856)&gt;0)*1000000+57*1000+41))</f>
        <v/>
      </c>
      <c r="AR65" s="41">
        <f>IF(N('Dvd Calendar'!$F$857)=0,"",IF(('Dvd Calendar'!$F$857&gt;=MIN(DATE(Summary!$C$12,1,1),Summary!$C$11))*('Dvd Calendar'!$F$857&lt;=MAX(DATE(Summary!$C$12,12,31),Summary!$C$15))*('Dvd Calendar'!$F$857&gt;Summary!$C$11)=0,"",'Dvd Calendar'!$F$857*1000000000+ISNUMBER('Dvd Calendar'!$F$858)*100000000+('Dvd Calendar'!$F$862='Field Check'!$C$25)*10000000+(N('Dvd Calendar'!$F$856)&gt;0)*1000000+57*1000+42))</f>
        <v/>
      </c>
      <c r="AS65" s="41">
        <f>IF(N('Dvd Calendar'!$G$857)=0,"",IF(('Dvd Calendar'!$G$857&gt;=MIN(DATE(Summary!$C$12,1,1),Summary!$C$11))*('Dvd Calendar'!$G$857&lt;=MAX(DATE(Summary!$C$12,12,31),Summary!$C$15))*('Dvd Calendar'!$G$857&gt;Summary!$C$11)=0,"",'Dvd Calendar'!$G$857*1000000000+ISNUMBER('Dvd Calendar'!$G$858)*100000000+('Dvd Calendar'!$G$862='Field Check'!$C$25)*10000000+(N('Dvd Calendar'!$G$856)&gt;0)*1000000+57*1000+43))</f>
        <v/>
      </c>
      <c r="AT65" s="41">
        <f>IF(N('Dvd Calendar'!$H$857)=0,"",IF(('Dvd Calendar'!$H$857&gt;=MIN(DATE(Summary!$C$12,1,1),Summary!$C$11))*('Dvd Calendar'!$H$857&lt;=MAX(DATE(Summary!$C$12,12,31),Summary!$C$15))*('Dvd Calendar'!$H$857&gt;Summary!$C$11)=0,"",'Dvd Calendar'!$H$857*1000000000+ISNUMBER('Dvd Calendar'!$H$858)*100000000+('Dvd Calendar'!$H$862='Field Check'!$C$25)*10000000+(N('Dvd Calendar'!$H$856)&gt;0)*1000000+57*1000+44))</f>
        <v/>
      </c>
      <c r="AU65" s="41">
        <f>IF(N('Dvd Calendar'!$I$857)=0,"",IF(('Dvd Calendar'!$I$857&gt;=MIN(DATE(Summary!$C$12,1,1),Summary!$C$11))*('Dvd Calendar'!$I$857&lt;=MAX(DATE(Summary!$C$12,12,31),Summary!$C$15))*('Dvd Calendar'!$I$857&gt;Summary!$C$11)=0,"",'Dvd Calendar'!$I$857*1000000000+ISNUMBER('Dvd Calendar'!$I$858)*100000000+('Dvd Calendar'!$I$862='Field Check'!$C$25)*10000000+(N('Dvd Calendar'!$I$856)&gt;0)*1000000+57*1000+45))</f>
        <v/>
      </c>
      <c r="AV65" s="41">
        <f>IF(N('Dvd Calendar'!$J$857)=0,"",IF(('Dvd Calendar'!$J$857&gt;=MIN(DATE(Summary!$C$12,1,1),Summary!$C$11))*('Dvd Calendar'!$J$857&lt;=MAX(DATE(Summary!$C$12,12,31),Summary!$C$15))*('Dvd Calendar'!$J$857&gt;Summary!$C$11)=0,"",'Dvd Calendar'!$J$857*1000000000+ISNUMBER('Dvd Calendar'!$J$858)*100000000+('Dvd Calendar'!$J$862='Field Check'!$C$25)*10000000+(N('Dvd Calendar'!$J$856)&gt;0)*1000000+57*1000+46))</f>
        <v/>
      </c>
      <c r="AW65" s="41">
        <f>IF(N('Dvd Calendar'!$K$857)=0,"",IF(('Dvd Calendar'!$K$857&gt;=MIN(DATE(Summary!$C$12,1,1),Summary!$C$11))*('Dvd Calendar'!$K$857&lt;=MAX(DATE(Summary!$C$12,12,31),Summary!$C$15))*('Dvd Calendar'!$K$857&gt;Summary!$C$11)=0,"",'Dvd Calendar'!$K$857*1000000000+ISNUMBER('Dvd Calendar'!$K$858)*100000000+('Dvd Calendar'!$K$862='Field Check'!$C$25)*10000000+(N('Dvd Calendar'!$K$856)&gt;0)*1000000+57*1000+47))</f>
        <v/>
      </c>
      <c r="AX65" s="41">
        <f>IF(N('Dvd Calendar'!$L$857)=0,"",IF(('Dvd Calendar'!$L$857&gt;=MIN(DATE(Summary!$C$12,1,1),Summary!$C$11))*('Dvd Calendar'!$L$857&lt;=MAX(DATE(Summary!$C$12,12,31),Summary!$C$15))*('Dvd Calendar'!$L$857&gt;Summary!$C$11)=0,"",'Dvd Calendar'!$L$857*1000000000+ISNUMBER('Dvd Calendar'!$L$858)*100000000+('Dvd Calendar'!$L$862='Field Check'!$C$25)*10000000+(N('Dvd Calendar'!$L$856)&gt;0)*1000000+57*1000+48))</f>
        <v/>
      </c>
      <c r="AY65" s="41">
        <f>IF(N('Dvd Calendar'!$M$857)=0,"",IF(('Dvd Calendar'!$M$857&gt;=MIN(DATE(Summary!$C$12,1,1),Summary!$C$11))*('Dvd Calendar'!$M$857&lt;=MAX(DATE(Summary!$C$12,12,31),Summary!$C$15))*('Dvd Calendar'!$M$857&gt;Summary!$C$11)=0,"",'Dvd Calendar'!$M$857*1000000000+ISNUMBER('Dvd Calendar'!$M$858)*100000000+('Dvd Calendar'!$M$862='Field Check'!$C$25)*10000000+(N('Dvd Calendar'!$M$856)&gt;0)*1000000+57*1000+49))</f>
        <v/>
      </c>
      <c r="AZ65" s="41">
        <f>IF(N('Dvd Calendar'!$N$857)=0,"",IF(('Dvd Calendar'!$N$857&gt;=MIN(DATE(Summary!$C$12,1,1),Summary!$C$11))*('Dvd Calendar'!$N$857&lt;=MAX(DATE(Summary!$C$12,12,31),Summary!$C$15))*('Dvd Calendar'!$N$857&gt;Summary!$C$11)=0,"",'Dvd Calendar'!$N$857*1000000000+ISNUMBER('Dvd Calendar'!$N$858)*100000000+('Dvd Calendar'!$N$862='Field Check'!$C$25)*10000000+(N('Dvd Calendar'!$N$856)&gt;0)*1000000+57*1000+50))</f>
        <v/>
      </c>
      <c r="BA65" s="41">
        <f>IF(N('Dvd Calendar'!$O$857)=0,"",IF(('Dvd Calendar'!$O$857&gt;=MIN(DATE(Summary!$C$12,1,1),Summary!$C$11))*('Dvd Calendar'!$O$857&lt;=MAX(DATE(Summary!$C$12,12,31),Summary!$C$15))*('Dvd Calendar'!$O$857&gt;Summary!$C$11)=0,"",'Dvd Calendar'!$O$857*1000000000+ISNUMBER('Dvd Calendar'!$O$858)*100000000+('Dvd Calendar'!$O$862='Field Check'!$C$25)*10000000+(N('Dvd Calendar'!$O$856)&gt;0)*1000000+57*1000+51))</f>
        <v/>
      </c>
      <c r="BB65" s="41">
        <f>IF(N('Dvd Calendar'!$P$857)=0,"",IF(('Dvd Calendar'!$P$857&gt;=MIN(DATE(Summary!$C$12,1,1),Summary!$C$11))*('Dvd Calendar'!$P$857&lt;=MAX(DATE(Summary!$C$12,12,31),Summary!$C$15))*('Dvd Calendar'!$P$857&gt;Summary!$C$11)=0,"",'Dvd Calendar'!$P$857*1000000000+ISNUMBER('Dvd Calendar'!$P$858)*100000000+('Dvd Calendar'!$P$862='Field Check'!$C$25)*10000000+(N('Dvd Calendar'!$P$856)&gt;0)*1000000+57*1000+52))</f>
        <v/>
      </c>
      <c r="BC65" s="41">
        <f>IF(N('Dvd Calendar'!$Q$857)=0,"",IF(('Dvd Calendar'!$Q$857&gt;=MIN(DATE(Summary!$C$12,1,1),Summary!$C$11))*('Dvd Calendar'!$Q$857&lt;=MAX(DATE(Summary!$C$12,12,31),Summary!$C$15))*('Dvd Calendar'!$Q$857&gt;Summary!$C$11)=0,"",'Dvd Calendar'!$Q$857*1000000000+ISNUMBER('Dvd Calendar'!$Q$858)*100000000+('Dvd Calendar'!$Q$862='Field Check'!$C$25)*10000000+(N('Dvd Calendar'!$Q$856)&gt;0)*1000000+57*1000+53))</f>
        <v/>
      </c>
      <c r="BD65" s="41">
        <f>IF(N('Dvd Calendar'!$R$857)=0,"",IF(('Dvd Calendar'!$R$857&gt;=MIN(DATE(Summary!$C$12,1,1),Summary!$C$11))*('Dvd Calendar'!$R$857&lt;=MAX(DATE(Summary!$C$12,12,31),Summary!$C$15))*('Dvd Calendar'!$R$857&gt;Summary!$C$11)=0,"",'Dvd Calendar'!$R$857*1000000000+ISNUMBER('Dvd Calendar'!$R$858)*100000000+('Dvd Calendar'!$R$862='Field Check'!$C$25)*10000000+(N('Dvd Calendar'!$R$856)&gt;0)*1000000+57*1000+54))</f>
        <v/>
      </c>
      <c r="BE65" s="41">
        <f>IF(N('Dvd Calendar'!$S$857)=0,"",IF(('Dvd Calendar'!$S$857&gt;=MIN(DATE(Summary!$C$12,1,1),Summary!$C$11))*('Dvd Calendar'!$S$857&lt;=MAX(DATE(Summary!$C$12,12,31),Summary!$C$15))*('Dvd Calendar'!$S$857&gt;Summary!$C$11)=0,"",'Dvd Calendar'!$S$857*1000000000+ISNUMBER('Dvd Calendar'!$S$858)*100000000+('Dvd Calendar'!$S$862='Field Check'!$C$25)*10000000+(N('Dvd Calendar'!$S$856)&gt;0)*1000000+57*1000+55))</f>
        <v/>
      </c>
      <c r="BF65" s="41">
        <f>IF(N('Dvd Calendar'!$T$857)=0,"",IF(('Dvd Calendar'!$T$857&gt;=MIN(DATE(Summary!$C$12,1,1),Summary!$C$11))*('Dvd Calendar'!$T$857&lt;=MAX(DATE(Summary!$C$12,12,31),Summary!$C$15))*('Dvd Calendar'!$T$857&gt;Summary!$C$11)=0,"",'Dvd Calendar'!$T$857*1000000000+ISNUMBER('Dvd Calendar'!$T$858)*100000000+('Dvd Calendar'!$T$862='Field Check'!$C$25)*10000000+(N('Dvd Calendar'!$T$856)&gt;0)*1000000+57*1000+56))</f>
        <v/>
      </c>
      <c r="BG65" s="41">
        <f>IF(N('Dvd Calendar'!$U$857)=0,"",IF(('Dvd Calendar'!$U$857&gt;=MIN(DATE(Summary!$C$12,1,1),Summary!$C$11))*('Dvd Calendar'!$U$857&lt;=MAX(DATE(Summary!$C$12,12,31),Summary!$C$15))*('Dvd Calendar'!$U$857&gt;Summary!$C$11)=0,"",'Dvd Calendar'!$U$857*1000000000+ISNUMBER('Dvd Calendar'!$U$858)*100000000+('Dvd Calendar'!$U$862='Field Check'!$C$25)*10000000+(N('Dvd Calendar'!$U$856)&gt;0)*1000000+57*1000+57))</f>
        <v/>
      </c>
      <c r="BH65" s="41">
        <f>IF(N('Dvd Calendar'!$V$857)=0,"",IF(('Dvd Calendar'!$V$857&gt;=MIN(DATE(Summary!$C$12,1,1),Summary!$C$11))*('Dvd Calendar'!$V$857&lt;=MAX(DATE(Summary!$C$12,12,31),Summary!$C$15))*('Dvd Calendar'!$V$857&gt;Summary!$C$11)=0,"",'Dvd Calendar'!$V$857*1000000000+ISNUMBER('Dvd Calendar'!$V$858)*100000000+('Dvd Calendar'!$V$862='Field Check'!$C$25)*10000000+(N('Dvd Calendar'!$V$856)&gt;0)*1000000+57*1000+58))</f>
        <v/>
      </c>
      <c r="BI65" s="41">
        <f>IF(N('Dvd Calendar'!$W$857)=0,"",IF(('Dvd Calendar'!$W$857&gt;=MIN(DATE(Summary!$C$12,1,1),Summary!$C$11))*('Dvd Calendar'!$W$857&lt;=MAX(DATE(Summary!$C$12,12,31),Summary!$C$15))*('Dvd Calendar'!$W$857&gt;Summary!$C$11)=0,"",'Dvd Calendar'!$W$857*1000000000+ISNUMBER('Dvd Calendar'!$W$858)*100000000+('Dvd Calendar'!$W$862='Field Check'!$C$25)*10000000+(N('Dvd Calendar'!$W$856)&gt;0)*1000000+57*1000+59))</f>
        <v/>
      </c>
      <c r="BJ65" s="41">
        <f>IF(N('Dvd Calendar'!$X$857)=0,"",IF(('Dvd Calendar'!$X$857&gt;=MIN(DATE(Summary!$C$12,1,1),Summary!$C$11))*('Dvd Calendar'!$X$857&lt;=MAX(DATE(Summary!$C$12,12,31),Summary!$C$15))*('Dvd Calendar'!$X$857&gt;Summary!$C$11)=0,"",'Dvd Calendar'!$X$857*1000000000+ISNUMBER('Dvd Calendar'!$X$858)*100000000+('Dvd Calendar'!$X$862='Field Check'!$C$25)*10000000+(N('Dvd Calendar'!$X$856)&gt;0)*1000000+57*1000+60))</f>
        <v/>
      </c>
      <c r="BK65" s="41">
        <f>IF(N('Dvd Calendar'!$Y$857)=0,"",IF(('Dvd Calendar'!$Y$857&gt;=MIN(DATE(Summary!$C$12,1,1),Summary!$C$11))*('Dvd Calendar'!$Y$857&lt;=MAX(DATE(Summary!$C$12,12,31),Summary!$C$15))*('Dvd Calendar'!$Y$857&gt;Summary!$C$11)=0,"",'Dvd Calendar'!$Y$857*1000000000+ISNUMBER('Dvd Calendar'!$Y$858)*100000000+('Dvd Calendar'!$Y$862='Field Check'!$C$25)*10000000+(N('Dvd Calendar'!$Y$856)&gt;0)*1000000+57*1000+61))</f>
        <v/>
      </c>
      <c r="BL65" s="41">
        <f>IF(N('Dvd Calendar'!$Z$857)=0,"",IF(('Dvd Calendar'!$Z$857&gt;=MIN(DATE(Summary!$C$12,1,1),Summary!$C$11))*('Dvd Calendar'!$Z$857&lt;=MAX(DATE(Summary!$C$12,12,31),Summary!$C$15))*('Dvd Calendar'!$Z$857&gt;Summary!$C$11)=0,"",'Dvd Calendar'!$Z$857*1000000000+ISNUMBER('Dvd Calendar'!$Z$858)*100000000+('Dvd Calendar'!$Z$862='Field Check'!$C$25)*10000000+(N('Dvd Calendar'!$Z$856)&gt;0)*1000000+57*1000+62))</f>
        <v/>
      </c>
      <c r="BM65" s="41">
        <f>IF(N('Dvd Calendar'!$AA$857)=0,"",IF(('Dvd Calendar'!$AA$857&gt;=MIN(DATE(Summary!$C$12,1,1),Summary!$C$11))*('Dvd Calendar'!$AA$857&lt;=MAX(DATE(Summary!$C$12,12,31),Summary!$C$15))*('Dvd Calendar'!$AA$857&gt;Summary!$C$11)=0,"",'Dvd Calendar'!$AA$857*1000000000+ISNUMBER('Dvd Calendar'!$AA$858)*100000000+('Dvd Calendar'!$AA$862='Field Check'!$C$25)*10000000+(N('Dvd Calendar'!$AA$856)&gt;0)*1000000+57*1000+63))</f>
        <v/>
      </c>
      <c r="BN65" s="41">
        <f>IF(N('Dvd Calendar'!$AB$857)=0,"",IF(('Dvd Calendar'!$AB$857&gt;=MIN(DATE(Summary!$C$12,1,1),Summary!$C$11))*('Dvd Calendar'!$AB$857&lt;=MAX(DATE(Summary!$C$12,12,31),Summary!$C$15))*('Dvd Calendar'!$AB$857&gt;Summary!$C$11)=0,"",'Dvd Calendar'!$AB$857*1000000000+ISNUMBER('Dvd Calendar'!$AB$858)*100000000+('Dvd Calendar'!$AB$862='Field Check'!$C$25)*10000000+(N('Dvd Calendar'!$AB$856)&gt;0)*1000000+57*1000+64))</f>
        <v/>
      </c>
      <c r="BO65" s="41">
        <f>IF(N('Dvd Calendar'!$AC$857)=0,"",IF(('Dvd Calendar'!$AC$857&gt;=MIN(DATE(Summary!$C$12,1,1),Summary!$C$11))*('Dvd Calendar'!$AC$857&lt;=MAX(DATE(Summary!$C$12,12,31),Summary!$C$15))*('Dvd Calendar'!$AC$857&gt;Summary!$C$11)=0,"",'Dvd Calendar'!$AC$857*1000000000+ISNUMBER('Dvd Calendar'!$AC$858)*100000000+('Dvd Calendar'!$AC$862='Field Check'!$C$25)*10000000+(N('Dvd Calendar'!$AC$856)&gt;0)*1000000+57*1000+65))</f>
        <v/>
      </c>
      <c r="BQ65" s="85">
        <f>IF(C65="","",IF(ISNUMBER('Dvd Calendar'!$E$851)=FALSE,"",IF((Summary!$C$13="N")*('Dvd Calendar'!$E$855='Field Check'!$C$25)&gt;0,"",'Dvd Calendar'!$E$851)))</f>
        <v/>
      </c>
      <c r="BR65" s="85">
        <f>IF(D65="","",IF(ISNUMBER('Dvd Calendar'!$F$851)=FALSE,"",IF((Summary!$C$13="N")*('Dvd Calendar'!$F$855='Field Check'!$C$25)&gt;0,"",'Dvd Calendar'!$F$851)))</f>
        <v/>
      </c>
      <c r="BS65" s="85">
        <f>IF(E65="","",IF(ISNUMBER('Dvd Calendar'!$G$851)=FALSE,"",IF((Summary!$C$13="N")*('Dvd Calendar'!$G$855='Field Check'!$C$25)&gt;0,"",'Dvd Calendar'!$G$851)))</f>
        <v/>
      </c>
      <c r="BT65" s="85">
        <f>IF(F65="","",IF(ISNUMBER('Dvd Calendar'!$H$851)=FALSE,"",IF((Summary!$C$13="N")*('Dvd Calendar'!$H$855='Field Check'!$C$25)&gt;0,"",'Dvd Calendar'!$H$851)))</f>
        <v/>
      </c>
      <c r="BU65" s="85">
        <f>IF(G65="","",IF(ISNUMBER('Dvd Calendar'!$I$851)=FALSE,"",IF((Summary!$C$13="N")*('Dvd Calendar'!$I$855='Field Check'!$C$25)&gt;0,"",'Dvd Calendar'!$I$851)))</f>
        <v/>
      </c>
      <c r="BV65" s="85">
        <f>IF(H65="","",IF(ISNUMBER('Dvd Calendar'!$J$851)=FALSE,"",IF((Summary!$C$13="N")*('Dvd Calendar'!$J$855='Field Check'!$C$25)&gt;0,"",'Dvd Calendar'!$J$851)))</f>
        <v/>
      </c>
      <c r="BW65" s="85">
        <f>IF(I65="","",IF(ISNUMBER('Dvd Calendar'!$K$851)=FALSE,"",IF((Summary!$C$13="N")*('Dvd Calendar'!$K$855='Field Check'!$C$25)&gt;0,"",'Dvd Calendar'!$K$851)))</f>
        <v/>
      </c>
      <c r="BX65" s="85">
        <f>IF(J65="","",IF(ISNUMBER('Dvd Calendar'!$L$851)=FALSE,"",IF((Summary!$C$13="N")*('Dvd Calendar'!$L$855='Field Check'!$C$25)&gt;0,"",'Dvd Calendar'!$L$851)))</f>
        <v/>
      </c>
      <c r="BY65" s="85">
        <f>IF(K65="","",IF(ISNUMBER('Dvd Calendar'!$M$851)=FALSE,"",IF((Summary!$C$13="N")*('Dvd Calendar'!$M$855='Field Check'!$C$25)&gt;0,"",'Dvd Calendar'!$M$851)))</f>
        <v/>
      </c>
      <c r="BZ65" s="85">
        <f>IF(L65="","",IF(ISNUMBER('Dvd Calendar'!$N$851)=FALSE,"",IF((Summary!$C$13="N")*('Dvd Calendar'!$N$855='Field Check'!$C$25)&gt;0,"",'Dvd Calendar'!$N$851)))</f>
        <v/>
      </c>
      <c r="CA65" s="85">
        <f>IF(M65="","",IF(ISNUMBER('Dvd Calendar'!$O$851)=FALSE,"",IF((Summary!$C$13="N")*('Dvd Calendar'!$O$855='Field Check'!$C$25)&gt;0,"",'Dvd Calendar'!$O$851)))</f>
        <v/>
      </c>
      <c r="CB65" s="85">
        <f>IF(N65="","",IF(ISNUMBER('Dvd Calendar'!$P$851)=FALSE,"",IF((Summary!$C$13="N")*('Dvd Calendar'!$P$855='Field Check'!$C$25)&gt;0,"",'Dvd Calendar'!$P$851)))</f>
        <v/>
      </c>
      <c r="CC65" s="85">
        <f>IF(O65="","",IF(ISNUMBER('Dvd Calendar'!$Q$851)=FALSE,"",IF((Summary!$C$13="N")*('Dvd Calendar'!$Q$855='Field Check'!$C$25)&gt;0,"",'Dvd Calendar'!$Q$851)))</f>
        <v/>
      </c>
      <c r="CD65" s="85">
        <f>IF(P65="","",IF(ISNUMBER('Dvd Calendar'!$R$851)=FALSE,"",IF((Summary!$C$13="N")*('Dvd Calendar'!$R$855='Field Check'!$C$25)&gt;0,"",'Dvd Calendar'!$R$851)))</f>
        <v/>
      </c>
      <c r="CE65" s="85">
        <f>IF(Q65="","",IF(ISNUMBER('Dvd Calendar'!$S$851)=FALSE,"",IF((Summary!$C$13="N")*('Dvd Calendar'!$S$855='Field Check'!$C$25)&gt;0,"",'Dvd Calendar'!$S$851)))</f>
        <v/>
      </c>
      <c r="CF65" s="85">
        <f>IF(R65="","",IF(ISNUMBER('Dvd Calendar'!$T$851)=FALSE,"",IF((Summary!$C$13="N")*('Dvd Calendar'!$T$855='Field Check'!$C$25)&gt;0,"",'Dvd Calendar'!$T$851)))</f>
        <v/>
      </c>
      <c r="CG65" s="85">
        <f>IF(S65="","",IF(ISNUMBER('Dvd Calendar'!$U$851)=FALSE,"",IF((Summary!$C$13="N")*('Dvd Calendar'!$U$855='Field Check'!$C$25)&gt;0,"",'Dvd Calendar'!$U$851)))</f>
        <v/>
      </c>
      <c r="CH65" s="85">
        <f>IF(T65="","",IF(ISNUMBER('Dvd Calendar'!$V$851)=FALSE,"",IF((Summary!$C$13="N")*('Dvd Calendar'!$V$855='Field Check'!$C$25)&gt;0,"",'Dvd Calendar'!$V$851)))</f>
        <v/>
      </c>
      <c r="CI65" s="85">
        <f>IF(U65="","",IF(ISNUMBER('Dvd Calendar'!$W$851)=FALSE,"",IF((Summary!$C$13="N")*('Dvd Calendar'!$W$855='Field Check'!$C$25)&gt;0,"",'Dvd Calendar'!$W$851)))</f>
        <v/>
      </c>
      <c r="CJ65" s="85">
        <f>IF(V65="","",IF(ISNUMBER('Dvd Calendar'!$X$851)=FALSE,"",IF((Summary!$C$13="N")*('Dvd Calendar'!$X$855='Field Check'!$C$25)&gt;0,"",'Dvd Calendar'!$X$851)))</f>
        <v/>
      </c>
      <c r="CK65" s="85">
        <f>IF(W65="","",IF(ISNUMBER('Dvd Calendar'!$Y$851)=FALSE,"",IF((Summary!$C$13="N")*('Dvd Calendar'!$Y$855='Field Check'!$C$25)&gt;0,"",'Dvd Calendar'!$Y$851)))</f>
        <v/>
      </c>
      <c r="CL65" s="85">
        <f>IF(X65="","",IF(ISNUMBER('Dvd Calendar'!$Z$851)=FALSE,"",IF((Summary!$C$13="N")*('Dvd Calendar'!$Z$855='Field Check'!$C$25)&gt;0,"",'Dvd Calendar'!$Z$851)))</f>
        <v/>
      </c>
      <c r="CM65" s="85">
        <f>IF(Y65="","",IF(ISNUMBER('Dvd Calendar'!$AA$851)=FALSE,"",IF((Summary!$C$13="N")*('Dvd Calendar'!$AA$855='Field Check'!$C$25)&gt;0,"",'Dvd Calendar'!$AA$851)))</f>
        <v/>
      </c>
      <c r="CN65" s="85">
        <f>IF(Z65="","",IF(ISNUMBER('Dvd Calendar'!$AB$851)=FALSE,"",IF((Summary!$C$13="N")*('Dvd Calendar'!$AB$855='Field Check'!$C$25)&gt;0,"",'Dvd Calendar'!$AB$851)))</f>
        <v/>
      </c>
      <c r="CO65" s="85">
        <f>IF(AA65="","",IF(ISNUMBER('Dvd Calendar'!$AC$851)=FALSE,"",IF((Summary!$C$13="N")*('Dvd Calendar'!$AC$855='Field Check'!$C$25)&gt;0,"",'Dvd Calendar'!$AC$851)))</f>
        <v/>
      </c>
      <c r="CP65" s="85">
        <f>IF(AB65="","",IF(ISNUMBER('Dvd Calendar'!$AD$851)=FALSE,"",IF((Summary!$C$13="N")*('Dvd Calendar'!$AD$855='Field Check'!$C$25)&gt;0,"",'Dvd Calendar'!$AD$851)))</f>
        <v/>
      </c>
      <c r="CQ65" s="85">
        <f>IF(AC65="","",IF(ISNUMBER('Dvd Calendar'!$AE$851)=FALSE,"",IF((Summary!$C$13="N")*('Dvd Calendar'!$AE$855='Field Check'!$C$25)&gt;0,"",'Dvd Calendar'!$AE$851)))</f>
        <v/>
      </c>
      <c r="CR65" s="85">
        <f>IF(AD65="","",IF(ISNUMBER('Dvd Calendar'!$AF$851)=FALSE,"",IF((Summary!$C$13="N")*('Dvd Calendar'!$AF$855='Field Check'!$C$25)&gt;0,"",'Dvd Calendar'!$AF$851)))</f>
        <v/>
      </c>
      <c r="CS65" s="85">
        <f>IF(AE65="","",IF(ISNUMBER('Dvd Calendar'!$AG$851)=FALSE,"",IF((Summary!$C$13="N")*('Dvd Calendar'!$AG$855='Field Check'!$C$25)&gt;0,"",'Dvd Calendar'!$AG$851)))</f>
        <v/>
      </c>
      <c r="CT65" s="85">
        <f>IF(AF65="","",IF(ISNUMBER('Dvd Calendar'!$AH$851)=FALSE,"",IF((Summary!$C$13="N")*('Dvd Calendar'!$AH$855='Field Check'!$C$25)&gt;0,"",'Dvd Calendar'!$AH$851)))</f>
        <v/>
      </c>
      <c r="CU65" s="85">
        <f>IF(AG65="","",IF(ISNUMBER('Dvd Calendar'!$AI$851)=FALSE,"",IF((Summary!$C$13="N")*('Dvd Calendar'!$AI$855='Field Check'!$C$25)&gt;0,"",'Dvd Calendar'!$AI$851)))</f>
        <v/>
      </c>
      <c r="CV65" s="85">
        <f>IF(AH65="","",IF(ISNUMBER('Dvd Calendar'!$AJ$851)=FALSE,"",IF((Summary!$C$13="N")*('Dvd Calendar'!$AJ$855='Field Check'!$C$25)&gt;0,"",'Dvd Calendar'!$AJ$851)))</f>
        <v/>
      </c>
      <c r="CW65" s="85">
        <f>IF(AI65="","",IF(ISNUMBER('Dvd Calendar'!$AK$851)=FALSE,"",IF((Summary!$C$13="N")*('Dvd Calendar'!$AK$855='Field Check'!$C$25)&gt;0,"",'Dvd Calendar'!$AK$851)))</f>
        <v/>
      </c>
      <c r="CX65" s="85">
        <f>IF(AJ65="","",IF(ISNUMBER('Dvd Calendar'!$AL$851)=FALSE,"",IF((Summary!$C$13="N")*('Dvd Calendar'!$AL$855='Field Check'!$C$25)&gt;0,"",'Dvd Calendar'!$AL$851)))</f>
        <v/>
      </c>
      <c r="CY65" s="85">
        <f>IF(AK65="","",IF(ISNUMBER('Dvd Calendar'!$AM$851)=FALSE,"",IF((Summary!$C$13="N")*('Dvd Calendar'!$AM$855='Field Check'!$C$25)&gt;0,"",'Dvd Calendar'!$AM$851)))</f>
        <v/>
      </c>
      <c r="CZ65" s="85">
        <f>IF(AL65="","",IF(ISNUMBER('Dvd Calendar'!$AN$851)=FALSE,"",IF((Summary!$C$13="N")*('Dvd Calendar'!$AN$855='Field Check'!$C$25)&gt;0,"",'Dvd Calendar'!$AN$851)))</f>
        <v/>
      </c>
      <c r="DA65" s="85">
        <f>IF(AM65="","",IF(ISNUMBER('Dvd Calendar'!$AO$851)=FALSE,"",IF((Summary!$C$13="N")*('Dvd Calendar'!$AO$855='Field Check'!$C$25)&gt;0,"",'Dvd Calendar'!$AO$851)))</f>
        <v/>
      </c>
      <c r="DB65" s="85">
        <f>IF(AN65="","",IF(ISNUMBER('Dvd Calendar'!$AP$851)=FALSE,"",IF((Summary!$C$13="N")*('Dvd Calendar'!$AP$855='Field Check'!$C$25)&gt;0,"",'Dvd Calendar'!$AP$851)))</f>
        <v/>
      </c>
      <c r="DC65" s="85">
        <f>IF(AO65="","",IF(ISNUMBER('Dvd Calendar'!$AQ$851)=FALSE,"",IF((Summary!$C$13="N")*('Dvd Calendar'!$AQ$855='Field Check'!$C$25)&gt;0,"",'Dvd Calendar'!$AQ$851)))</f>
        <v/>
      </c>
      <c r="DD65" s="85">
        <f>IF(AP65="","",IF(ISNUMBER('Dvd Calendar'!$AR$851)=FALSE,"",IF((Summary!$C$13="N")*('Dvd Calendar'!$AR$855='Field Check'!$C$25)&gt;0,"",'Dvd Calendar'!$AR$851)))</f>
        <v/>
      </c>
      <c r="DE65" s="85">
        <f>IF(AQ65="","",IF(ISNUMBER('Dvd Calendar'!$E$858)=FALSE,"",IF((Summary!$C$13="N")*('Dvd Calendar'!$E$862='Field Check'!$C$25)&gt;0,"",'Dvd Calendar'!$E$858)))</f>
        <v/>
      </c>
      <c r="DF65" s="85">
        <f>IF(AR65="","",IF(ISNUMBER('Dvd Calendar'!$F$858)=FALSE,"",IF((Summary!$C$13="N")*('Dvd Calendar'!$F$862='Field Check'!$C$25)&gt;0,"",'Dvd Calendar'!$F$858)))</f>
        <v/>
      </c>
      <c r="DG65" s="85">
        <f>IF(AS65="","",IF(ISNUMBER('Dvd Calendar'!$G$858)=FALSE,"",IF((Summary!$C$13="N")*('Dvd Calendar'!$G$862='Field Check'!$C$25)&gt;0,"",'Dvd Calendar'!$G$858)))</f>
        <v/>
      </c>
      <c r="DH65" s="85">
        <f>IF(AT65="","",IF(ISNUMBER('Dvd Calendar'!$H$858)=FALSE,"",IF((Summary!$C$13="N")*('Dvd Calendar'!$H$862='Field Check'!$C$25)&gt;0,"",'Dvd Calendar'!$H$858)))</f>
        <v/>
      </c>
      <c r="DI65" s="85">
        <f>IF(AU65="","",IF(ISNUMBER('Dvd Calendar'!$I$858)=FALSE,"",IF((Summary!$C$13="N")*('Dvd Calendar'!$I$862='Field Check'!$C$25)&gt;0,"",'Dvd Calendar'!$I$858)))</f>
        <v/>
      </c>
      <c r="DJ65" s="85">
        <f>IF(AV65="","",IF(ISNUMBER('Dvd Calendar'!$J$858)=FALSE,"",IF((Summary!$C$13="N")*('Dvd Calendar'!$J$862='Field Check'!$C$25)&gt;0,"",'Dvd Calendar'!$J$858)))</f>
        <v/>
      </c>
      <c r="DK65" s="85">
        <f>IF(AW65="","",IF(ISNUMBER('Dvd Calendar'!$K$858)=FALSE,"",IF((Summary!$C$13="N")*('Dvd Calendar'!$K$862='Field Check'!$C$25)&gt;0,"",'Dvd Calendar'!$K$858)))</f>
        <v/>
      </c>
      <c r="DL65" s="85">
        <f>IF(AX65="","",IF(ISNUMBER('Dvd Calendar'!$L$858)=FALSE,"",IF((Summary!$C$13="N")*('Dvd Calendar'!$L$862='Field Check'!$C$25)&gt;0,"",'Dvd Calendar'!$L$858)))</f>
        <v/>
      </c>
      <c r="DM65" s="85">
        <f>IF(AY65="","",IF(ISNUMBER('Dvd Calendar'!$M$858)=FALSE,"",IF((Summary!$C$13="N")*('Dvd Calendar'!$M$862='Field Check'!$C$25)&gt;0,"",'Dvd Calendar'!$M$858)))</f>
        <v/>
      </c>
      <c r="DN65" s="85">
        <f>IF(AZ65="","",IF(ISNUMBER('Dvd Calendar'!$N$858)=FALSE,"",IF((Summary!$C$13="N")*('Dvd Calendar'!$N$862='Field Check'!$C$25)&gt;0,"",'Dvd Calendar'!$N$858)))</f>
        <v/>
      </c>
      <c r="DO65" s="85">
        <f>IF(BA65="","",IF(ISNUMBER('Dvd Calendar'!$O$858)=FALSE,"",IF((Summary!$C$13="N")*('Dvd Calendar'!$O$862='Field Check'!$C$25)&gt;0,"",'Dvd Calendar'!$O$858)))</f>
        <v/>
      </c>
      <c r="DP65" s="85">
        <f>IF(BB65="","",IF(ISNUMBER('Dvd Calendar'!$P$858)=FALSE,"",IF((Summary!$C$13="N")*('Dvd Calendar'!$P$862='Field Check'!$C$25)&gt;0,"",'Dvd Calendar'!$P$858)))</f>
        <v/>
      </c>
      <c r="DQ65" s="85">
        <f>IF(BC65="","",IF(ISNUMBER('Dvd Calendar'!$Q$858)=FALSE,"",IF((Summary!$C$13="N")*('Dvd Calendar'!$Q$862='Field Check'!$C$25)&gt;0,"",'Dvd Calendar'!$Q$858)))</f>
        <v/>
      </c>
      <c r="DR65" s="85">
        <f>IF(BD65="","",IF(ISNUMBER('Dvd Calendar'!$R$858)=FALSE,"",IF((Summary!$C$13="N")*('Dvd Calendar'!$R$862='Field Check'!$C$25)&gt;0,"",'Dvd Calendar'!$R$858)))</f>
        <v/>
      </c>
      <c r="DS65" s="85">
        <f>IF(BE65="","",IF(ISNUMBER('Dvd Calendar'!$S$858)=FALSE,"",IF((Summary!$C$13="N")*('Dvd Calendar'!$S$862='Field Check'!$C$25)&gt;0,"",'Dvd Calendar'!$S$858)))</f>
        <v/>
      </c>
      <c r="DT65" s="85">
        <f>IF(BF65="","",IF(ISNUMBER('Dvd Calendar'!$T$858)=FALSE,"",IF((Summary!$C$13="N")*('Dvd Calendar'!$T$862='Field Check'!$C$25)&gt;0,"",'Dvd Calendar'!$T$858)))</f>
        <v/>
      </c>
      <c r="DU65" s="85">
        <f>IF(BG65="","",IF(ISNUMBER('Dvd Calendar'!$U$858)=FALSE,"",IF((Summary!$C$13="N")*('Dvd Calendar'!$U$862='Field Check'!$C$25)&gt;0,"",'Dvd Calendar'!$U$858)))</f>
        <v/>
      </c>
      <c r="DV65" s="85">
        <f>IF(BH65="","",IF(ISNUMBER('Dvd Calendar'!$V$858)=FALSE,"",IF((Summary!$C$13="N")*('Dvd Calendar'!$V$862='Field Check'!$C$25)&gt;0,"",'Dvd Calendar'!$V$858)))</f>
        <v/>
      </c>
      <c r="DW65" s="85">
        <f>IF(BI65="","",IF(ISNUMBER('Dvd Calendar'!$W$858)=FALSE,"",IF((Summary!$C$13="N")*('Dvd Calendar'!$W$862='Field Check'!$C$25)&gt;0,"",'Dvd Calendar'!$W$858)))</f>
        <v/>
      </c>
      <c r="DX65" s="85">
        <f>IF(BJ65="","",IF(ISNUMBER('Dvd Calendar'!$X$858)=FALSE,"",IF((Summary!$C$13="N")*('Dvd Calendar'!$X$862='Field Check'!$C$25)&gt;0,"",'Dvd Calendar'!$X$858)))</f>
        <v/>
      </c>
      <c r="DY65" s="85">
        <f>IF(BK65="","",IF(ISNUMBER('Dvd Calendar'!$Y$858)=FALSE,"",IF((Summary!$C$13="N")*('Dvd Calendar'!$Y$862='Field Check'!$C$25)&gt;0,"",'Dvd Calendar'!$Y$858)))</f>
        <v/>
      </c>
      <c r="DZ65" s="85">
        <f>IF(BL65="","",IF(ISNUMBER('Dvd Calendar'!$Z$858)=FALSE,"",IF((Summary!$C$13="N")*('Dvd Calendar'!$Z$862='Field Check'!$C$25)&gt;0,"",'Dvd Calendar'!$Z$858)))</f>
        <v/>
      </c>
      <c r="EA65" s="85">
        <f>IF(BM65="","",IF(ISNUMBER('Dvd Calendar'!$AA$858)=FALSE,"",IF((Summary!$C$13="N")*('Dvd Calendar'!$AA$862='Field Check'!$C$25)&gt;0,"",'Dvd Calendar'!$AA$858)))</f>
        <v/>
      </c>
      <c r="EB65" s="85">
        <f>IF(BN65="","",IF(ISNUMBER('Dvd Calendar'!$AB$858)=FALSE,"",IF((Summary!$C$13="N")*('Dvd Calendar'!$AB$862='Field Check'!$C$25)&gt;0,"",'Dvd Calendar'!$AB$858)))</f>
        <v/>
      </c>
      <c r="EC65" s="85">
        <f>IF(BO65="","",IF(ISNUMBER('Dvd Calendar'!$AC$858)=FALSE,"",IF((Summary!$C$13="N")*('Dvd Calendar'!$AC$862='Field Check'!$C$25)&gt;0,"",'Dvd Calendar'!$AC$858)))</f>
        <v/>
      </c>
      <c r="EE65" s="85">
        <f>IF(BQ65="","",IFERROR(BQ65*HSI!$B$63*HSI!$G$63/HSI!$B$3,""))</f>
        <v/>
      </c>
      <c r="EF65" s="85">
        <f>IF(BR65="","",IFERROR(BR65*HSI!$B$63*HSI!$G$63/HSI!$B$3,""))</f>
        <v/>
      </c>
      <c r="EG65" s="85">
        <f>IF(BS65="","",IFERROR(BS65*HSI!$B$63*HSI!$G$63/HSI!$B$3,""))</f>
        <v/>
      </c>
      <c r="EH65" s="85">
        <f>IF(BT65="","",IFERROR(BT65*HSI!$B$63*HSI!$G$63/HSI!$B$3,""))</f>
        <v/>
      </c>
      <c r="EI65" s="85">
        <f>IF(BU65="","",IFERROR(BU65*HSI!$B$63*HSI!$G$63/HSI!$B$3,""))</f>
        <v/>
      </c>
      <c r="EJ65" s="85">
        <f>IF(BV65="","",IFERROR(BV65*HSI!$B$63*HSI!$G$63/HSI!$B$3,""))</f>
        <v/>
      </c>
      <c r="EK65" s="85">
        <f>IF(BW65="","",IFERROR(BW65*HSI!$B$63*HSI!$G$63/HSI!$B$3,""))</f>
        <v/>
      </c>
      <c r="EL65" s="85">
        <f>IF(BX65="","",IFERROR(BX65*HSI!$B$63*HSI!$G$63/HSI!$B$3,""))</f>
        <v/>
      </c>
      <c r="EM65" s="85">
        <f>IF(BY65="","",IFERROR(BY65*HSI!$B$63*HSI!$G$63/HSI!$B$3,""))</f>
        <v/>
      </c>
      <c r="EN65" s="85">
        <f>IF(BZ65="","",IFERROR(BZ65*HSI!$B$63*HSI!$G$63/HSI!$B$3,""))</f>
        <v/>
      </c>
      <c r="EO65" s="85">
        <f>IF(CA65="","",IFERROR(CA65*HSI!$B$63*HSI!$G$63/HSI!$B$3,""))</f>
        <v/>
      </c>
      <c r="EP65" s="85">
        <f>IF(CB65="","",IFERROR(CB65*HSI!$B$63*HSI!$G$63/HSI!$B$3,""))</f>
        <v/>
      </c>
      <c r="EQ65" s="85">
        <f>IF(CC65="","",IFERROR(CC65*HSI!$B$63*HSI!$G$63/HSI!$B$3,""))</f>
        <v/>
      </c>
      <c r="ER65" s="85">
        <f>IF(CD65="","",IFERROR(CD65*HSI!$B$63*HSI!$G$63/HSI!$B$3,""))</f>
        <v/>
      </c>
      <c r="ES65" s="85">
        <f>IF(CE65="","",IFERROR(CE65*HSI!$B$63*HSI!$G$63/HSI!$B$3,""))</f>
        <v/>
      </c>
      <c r="ET65" s="85">
        <f>IF(CF65="","",IFERROR(CF65*HSI!$B$63*HSI!$G$63/HSI!$B$3,""))</f>
        <v/>
      </c>
      <c r="EU65" s="85">
        <f>IF(CG65="","",IFERROR(CG65*HSI!$B$63*HSI!$G$63/HSI!$B$3,""))</f>
        <v/>
      </c>
      <c r="EV65" s="85">
        <f>IF(CH65="","",IFERROR(CH65*HSI!$B$63*HSI!$G$63/HSI!$B$3,""))</f>
        <v/>
      </c>
      <c r="EW65" s="85">
        <f>IF(CI65="","",IFERROR(CI65*HSI!$B$63*HSI!$G$63/HSI!$B$3,""))</f>
        <v/>
      </c>
      <c r="EX65" s="85">
        <f>IF(CJ65="","",IFERROR(CJ65*HSI!$B$63*HSI!$G$63/HSI!$B$3,""))</f>
        <v/>
      </c>
      <c r="EY65" s="85">
        <f>IF(CK65="","",IFERROR(CK65*HSI!$B$63*HSI!$G$63/HSI!$B$3,""))</f>
        <v/>
      </c>
      <c r="EZ65" s="85">
        <f>IF(CL65="","",IFERROR(CL65*HSI!$B$63*HSI!$G$63/HSI!$B$3,""))</f>
        <v/>
      </c>
      <c r="FA65" s="85">
        <f>IF(CM65="","",IFERROR(CM65*HSI!$B$63*HSI!$G$63/HSI!$B$3,""))</f>
        <v/>
      </c>
      <c r="FB65" s="85">
        <f>IF(CN65="","",IFERROR(CN65*HSI!$B$63*HSI!$G$63/HSI!$B$3,""))</f>
        <v/>
      </c>
      <c r="FC65" s="85">
        <f>IF(CO65="","",IFERROR(CO65*HSI!$B$63*HSI!$G$63/HSI!$B$3,""))</f>
        <v/>
      </c>
      <c r="FD65" s="85">
        <f>IF(CP65="","",IFERROR(CP65*HSI!$B$63*HSI!$G$63/HSI!$B$3,""))</f>
        <v/>
      </c>
      <c r="FE65" s="85">
        <f>IF(CQ65="","",IFERROR(CQ65*HSI!$B$63*HSI!$G$63/HSI!$B$3,""))</f>
        <v/>
      </c>
      <c r="FF65" s="85">
        <f>IF(CR65="","",IFERROR(CR65*HSI!$B$63*HSI!$G$63/HSI!$B$3,""))</f>
        <v/>
      </c>
      <c r="FG65" s="85">
        <f>IF(CS65="","",IFERROR(CS65*HSI!$B$63*HSI!$G$63/HSI!$B$3,""))</f>
        <v/>
      </c>
      <c r="FH65" s="85">
        <f>IF(CT65="","",IFERROR(CT65*HSI!$B$63*HSI!$G$63/HSI!$B$3,""))</f>
        <v/>
      </c>
      <c r="FI65" s="85">
        <f>IF(CU65="","",IFERROR(CU65*HSI!$B$63*HSI!$G$63/HSI!$B$3,""))</f>
        <v/>
      </c>
      <c r="FJ65" s="85">
        <f>IF(CV65="","",IFERROR(CV65*HSI!$B$63*HSI!$G$63/HSI!$B$3,""))</f>
        <v/>
      </c>
      <c r="FK65" s="85">
        <f>IF(CW65="","",IFERROR(CW65*HSI!$B$63*HSI!$G$63/HSI!$B$3,""))</f>
        <v/>
      </c>
      <c r="FL65" s="85">
        <f>IF(CX65="","",IFERROR(CX65*HSI!$B$63*HSI!$G$63/HSI!$B$3,""))</f>
        <v/>
      </c>
      <c r="FM65" s="85">
        <f>IF(CY65="","",IFERROR(CY65*HSI!$B$63*HSI!$G$63/HSI!$B$3,""))</f>
        <v/>
      </c>
      <c r="FN65" s="85">
        <f>IF(CZ65="","",IFERROR(CZ65*HSI!$B$63*HSI!$G$63/HSI!$B$3,""))</f>
        <v/>
      </c>
      <c r="FO65" s="85">
        <f>IF(DA65="","",IFERROR(DA65*HSI!$B$63*HSI!$G$63/HSI!$B$3,""))</f>
        <v/>
      </c>
      <c r="FP65" s="85">
        <f>IF(DB65="","",IFERROR(DB65*HSI!$B$63*HSI!$G$63/HSI!$B$3,""))</f>
        <v/>
      </c>
      <c r="FQ65" s="85">
        <f>IF(DC65="","",IFERROR(DC65*HSI!$B$63*HSI!$G$63/HSI!$B$3,""))</f>
        <v/>
      </c>
      <c r="FR65" s="85">
        <f>IF(DD65="","",IFERROR(DD65*HSI!$B$63*HSI!$G$63/HSI!$B$3,""))</f>
        <v/>
      </c>
      <c r="FS65" s="85">
        <f>IF(DE65="","",IFERROR(DE65*HSI!$B$63*HSI!$G$63/HSI!$B$3,""))</f>
        <v/>
      </c>
      <c r="FT65" s="85">
        <f>IF(DF65="","",IFERROR(DF65*HSI!$B$63*HSI!$G$63/HSI!$B$3,""))</f>
        <v/>
      </c>
      <c r="FU65" s="85">
        <f>IF(DG65="","",IFERROR(DG65*HSI!$B$63*HSI!$G$63/HSI!$B$3,""))</f>
        <v/>
      </c>
      <c r="FV65" s="85">
        <f>IF(DH65="","",IFERROR(DH65*HSI!$B$63*HSI!$G$63/HSI!$B$3,""))</f>
        <v/>
      </c>
      <c r="FW65" s="85">
        <f>IF(DI65="","",IFERROR(DI65*HSI!$B$63*HSI!$G$63/HSI!$B$3,""))</f>
        <v/>
      </c>
      <c r="FX65" s="85">
        <f>IF(DJ65="","",IFERROR(DJ65*HSI!$B$63*HSI!$G$63/HSI!$B$3,""))</f>
        <v/>
      </c>
      <c r="FY65" s="85">
        <f>IF(DK65="","",IFERROR(DK65*HSI!$B$63*HSI!$G$63/HSI!$B$3,""))</f>
        <v/>
      </c>
      <c r="FZ65" s="85">
        <f>IF(DL65="","",IFERROR(DL65*HSI!$B$63*HSI!$G$63/HSI!$B$3,""))</f>
        <v/>
      </c>
      <c r="GA65" s="85">
        <f>IF(DM65="","",IFERROR(DM65*HSI!$B$63*HSI!$G$63/HSI!$B$3,""))</f>
        <v/>
      </c>
      <c r="GB65" s="85">
        <f>IF(DN65="","",IFERROR(DN65*HSI!$B$63*HSI!$G$63/HSI!$B$3,""))</f>
        <v/>
      </c>
      <c r="GC65" s="85">
        <f>IF(DO65="","",IFERROR(DO65*HSI!$B$63*HSI!$G$63/HSI!$B$3,""))</f>
        <v/>
      </c>
      <c r="GD65" s="85">
        <f>IF(DP65="","",IFERROR(DP65*HSI!$B$63*HSI!$G$63/HSI!$B$3,""))</f>
        <v/>
      </c>
      <c r="GE65" s="85">
        <f>IF(DQ65="","",IFERROR(DQ65*HSI!$B$63*HSI!$G$63/HSI!$B$3,""))</f>
        <v/>
      </c>
      <c r="GF65" s="85">
        <f>IF(DR65="","",IFERROR(DR65*HSI!$B$63*HSI!$G$63/HSI!$B$3,""))</f>
        <v/>
      </c>
      <c r="GG65" s="85">
        <f>IF(DS65="","",IFERROR(DS65*HSI!$B$63*HSI!$G$63/HSI!$B$3,""))</f>
        <v/>
      </c>
      <c r="GH65" s="85">
        <f>IF(DT65="","",IFERROR(DT65*HSI!$B$63*HSI!$G$63/HSI!$B$3,""))</f>
        <v/>
      </c>
      <c r="GI65" s="85">
        <f>IF(DU65="","",IFERROR(DU65*HSI!$B$63*HSI!$G$63/HSI!$B$3,""))</f>
        <v/>
      </c>
      <c r="GJ65" s="85">
        <f>IF(DV65="","",IFERROR(DV65*HSI!$B$63*HSI!$G$63/HSI!$B$3,""))</f>
        <v/>
      </c>
      <c r="GK65" s="85">
        <f>IF(DW65="","",IFERROR(DW65*HSI!$B$63*HSI!$G$63/HSI!$B$3,""))</f>
        <v/>
      </c>
      <c r="GL65" s="85">
        <f>IF(DX65="","",IFERROR(DX65*HSI!$B$63*HSI!$G$63/HSI!$B$3,""))</f>
        <v/>
      </c>
      <c r="GM65" s="85">
        <f>IF(DY65="","",IFERROR(DY65*HSI!$B$63*HSI!$G$63/HSI!$B$3,""))</f>
        <v/>
      </c>
      <c r="GN65" s="85">
        <f>IF(DZ65="","",IFERROR(DZ65*HSI!$B$63*HSI!$G$63/HSI!$B$3,""))</f>
        <v/>
      </c>
      <c r="GO65" s="85">
        <f>IF(EA65="","",IFERROR(EA65*HSI!$B$63*HSI!$G$63/HSI!$B$3,""))</f>
        <v/>
      </c>
      <c r="GP65" s="85">
        <f>IF(EB65="","",IFERROR(EB65*HSI!$B$63*HSI!$G$63/HSI!$B$3,""))</f>
        <v/>
      </c>
      <c r="GQ65" s="85">
        <f>IF(EC65="","",IFERROR(EC65*HSI!$B$63*HSI!$G$63/HSI!$B$3,""))</f>
        <v/>
      </c>
    </row>
    <row r="66">
      <c r="B66" s="2">
        <f>IF(HSI!$C$64="","",HSI!$C$64)</f>
        <v/>
      </c>
      <c r="C66" s="41">
        <f>IF(N('Dvd Calendar'!$E$865)=0,"",IF(('Dvd Calendar'!$E$865&gt;=MIN(DATE(Summary!$C$12,1,1),Summary!$C$11))*('Dvd Calendar'!$E$865&lt;=MAX(DATE(Summary!$C$12,12,31),Summary!$C$15))*('Dvd Calendar'!$E$865&lt;=Summary!$C$11)=0,"",'Dvd Calendar'!$E$865*1000000000+ISNUMBER('Dvd Calendar'!$E$866)*100000000+('Dvd Calendar'!$E$870='Field Check'!$C$25)*10000000+(N('Dvd Calendar'!$E$864)&gt;0)*1000000+58*1000+1))</f>
        <v/>
      </c>
      <c r="D66" s="41">
        <f>IF(N('Dvd Calendar'!$F$865)=0,"",IF(('Dvd Calendar'!$F$865&gt;=MIN(DATE(Summary!$C$12,1,1),Summary!$C$11))*('Dvd Calendar'!$F$865&lt;=MAX(DATE(Summary!$C$12,12,31),Summary!$C$15))*('Dvd Calendar'!$F$865&lt;=Summary!$C$11)=0,"",'Dvd Calendar'!$F$865*1000000000+ISNUMBER('Dvd Calendar'!$F$866)*100000000+('Dvd Calendar'!$F$870='Field Check'!$C$25)*10000000+(N('Dvd Calendar'!$F$864)&gt;0)*1000000+58*1000+2))</f>
        <v/>
      </c>
      <c r="E66" s="41">
        <f>IF(N('Dvd Calendar'!$G$865)=0,"",IF(('Dvd Calendar'!$G$865&gt;=MIN(DATE(Summary!$C$12,1,1),Summary!$C$11))*('Dvd Calendar'!$G$865&lt;=MAX(DATE(Summary!$C$12,12,31),Summary!$C$15))*('Dvd Calendar'!$G$865&lt;=Summary!$C$11)=0,"",'Dvd Calendar'!$G$865*1000000000+ISNUMBER('Dvd Calendar'!$G$866)*100000000+('Dvd Calendar'!$G$870='Field Check'!$C$25)*10000000+(N('Dvd Calendar'!$G$864)&gt;0)*1000000+58*1000+3))</f>
        <v/>
      </c>
      <c r="F66" s="41">
        <f>IF(N('Dvd Calendar'!$H$865)=0,"",IF(('Dvd Calendar'!$H$865&gt;=MIN(DATE(Summary!$C$12,1,1),Summary!$C$11))*('Dvd Calendar'!$H$865&lt;=MAX(DATE(Summary!$C$12,12,31),Summary!$C$15))*('Dvd Calendar'!$H$865&lt;=Summary!$C$11)=0,"",'Dvd Calendar'!$H$865*1000000000+ISNUMBER('Dvd Calendar'!$H$866)*100000000+('Dvd Calendar'!$H$870='Field Check'!$C$25)*10000000+(N('Dvd Calendar'!$H$864)&gt;0)*1000000+58*1000+4))</f>
        <v/>
      </c>
      <c r="G66" s="41">
        <f>IF(N('Dvd Calendar'!$I$865)=0,"",IF(('Dvd Calendar'!$I$865&gt;=MIN(DATE(Summary!$C$12,1,1),Summary!$C$11))*('Dvd Calendar'!$I$865&lt;=MAX(DATE(Summary!$C$12,12,31),Summary!$C$15))*('Dvd Calendar'!$I$865&lt;=Summary!$C$11)=0,"",'Dvd Calendar'!$I$865*1000000000+ISNUMBER('Dvd Calendar'!$I$866)*100000000+('Dvd Calendar'!$I$870='Field Check'!$C$25)*10000000+(N('Dvd Calendar'!$I$864)&gt;0)*1000000+58*1000+5))</f>
        <v/>
      </c>
      <c r="H66" s="41">
        <f>IF(N('Dvd Calendar'!$J$865)=0,"",IF(('Dvd Calendar'!$J$865&gt;=MIN(DATE(Summary!$C$12,1,1),Summary!$C$11))*('Dvd Calendar'!$J$865&lt;=MAX(DATE(Summary!$C$12,12,31),Summary!$C$15))*('Dvd Calendar'!$J$865&lt;=Summary!$C$11)=0,"",'Dvd Calendar'!$J$865*1000000000+ISNUMBER('Dvd Calendar'!$J$866)*100000000+('Dvd Calendar'!$J$870='Field Check'!$C$25)*10000000+(N('Dvd Calendar'!$J$864)&gt;0)*1000000+58*1000+6))</f>
        <v/>
      </c>
      <c r="I66" s="41">
        <f>IF(N('Dvd Calendar'!$K$865)=0,"",IF(('Dvd Calendar'!$K$865&gt;=MIN(DATE(Summary!$C$12,1,1),Summary!$C$11))*('Dvd Calendar'!$K$865&lt;=MAX(DATE(Summary!$C$12,12,31),Summary!$C$15))*('Dvd Calendar'!$K$865&lt;=Summary!$C$11)=0,"",'Dvd Calendar'!$K$865*1000000000+ISNUMBER('Dvd Calendar'!$K$866)*100000000+('Dvd Calendar'!$K$870='Field Check'!$C$25)*10000000+(N('Dvd Calendar'!$K$864)&gt;0)*1000000+58*1000+7))</f>
        <v/>
      </c>
      <c r="J66" s="41">
        <f>IF(N('Dvd Calendar'!$L$865)=0,"",IF(('Dvd Calendar'!$L$865&gt;=MIN(DATE(Summary!$C$12,1,1),Summary!$C$11))*('Dvd Calendar'!$L$865&lt;=MAX(DATE(Summary!$C$12,12,31),Summary!$C$15))*('Dvd Calendar'!$L$865&lt;=Summary!$C$11)=0,"",'Dvd Calendar'!$L$865*1000000000+ISNUMBER('Dvd Calendar'!$L$866)*100000000+('Dvd Calendar'!$L$870='Field Check'!$C$25)*10000000+(N('Dvd Calendar'!$L$864)&gt;0)*1000000+58*1000+8))</f>
        <v/>
      </c>
      <c r="K66" s="41">
        <f>IF(N('Dvd Calendar'!$M$865)=0,"",IF(('Dvd Calendar'!$M$865&gt;=MIN(DATE(Summary!$C$12,1,1),Summary!$C$11))*('Dvd Calendar'!$M$865&lt;=MAX(DATE(Summary!$C$12,12,31),Summary!$C$15))*('Dvd Calendar'!$M$865&lt;=Summary!$C$11)=0,"",'Dvd Calendar'!$M$865*1000000000+ISNUMBER('Dvd Calendar'!$M$866)*100000000+('Dvd Calendar'!$M$870='Field Check'!$C$25)*10000000+(N('Dvd Calendar'!$M$864)&gt;0)*1000000+58*1000+9))</f>
        <v/>
      </c>
      <c r="L66" s="41">
        <f>IF(N('Dvd Calendar'!$N$865)=0,"",IF(('Dvd Calendar'!$N$865&gt;=MIN(DATE(Summary!$C$12,1,1),Summary!$C$11))*('Dvd Calendar'!$N$865&lt;=MAX(DATE(Summary!$C$12,12,31),Summary!$C$15))*('Dvd Calendar'!$N$865&lt;=Summary!$C$11)=0,"",'Dvd Calendar'!$N$865*1000000000+ISNUMBER('Dvd Calendar'!$N$866)*100000000+('Dvd Calendar'!$N$870='Field Check'!$C$25)*10000000+(N('Dvd Calendar'!$N$864)&gt;0)*1000000+58*1000+10))</f>
        <v/>
      </c>
      <c r="M66" s="41">
        <f>IF(N('Dvd Calendar'!$O$865)=0,"",IF(('Dvd Calendar'!$O$865&gt;=MIN(DATE(Summary!$C$12,1,1),Summary!$C$11))*('Dvd Calendar'!$O$865&lt;=MAX(DATE(Summary!$C$12,12,31),Summary!$C$15))*('Dvd Calendar'!$O$865&lt;=Summary!$C$11)=0,"",'Dvd Calendar'!$O$865*1000000000+ISNUMBER('Dvd Calendar'!$O$866)*100000000+('Dvd Calendar'!$O$870='Field Check'!$C$25)*10000000+(N('Dvd Calendar'!$O$864)&gt;0)*1000000+58*1000+11))</f>
        <v/>
      </c>
      <c r="N66" s="41">
        <f>IF(N('Dvd Calendar'!$P$865)=0,"",IF(('Dvd Calendar'!$P$865&gt;=MIN(DATE(Summary!$C$12,1,1),Summary!$C$11))*('Dvd Calendar'!$P$865&lt;=MAX(DATE(Summary!$C$12,12,31),Summary!$C$15))*('Dvd Calendar'!$P$865&lt;=Summary!$C$11)=0,"",'Dvd Calendar'!$P$865*1000000000+ISNUMBER('Dvd Calendar'!$P$866)*100000000+('Dvd Calendar'!$P$870='Field Check'!$C$25)*10000000+(N('Dvd Calendar'!$P$864)&gt;0)*1000000+58*1000+12))</f>
        <v/>
      </c>
      <c r="O66" s="41">
        <f>IF(N('Dvd Calendar'!$Q$865)=0,"",IF(('Dvd Calendar'!$Q$865&gt;=MIN(DATE(Summary!$C$12,1,1),Summary!$C$11))*('Dvd Calendar'!$Q$865&lt;=MAX(DATE(Summary!$C$12,12,31),Summary!$C$15))*('Dvd Calendar'!$Q$865&lt;=Summary!$C$11)=0,"",'Dvd Calendar'!$Q$865*1000000000+ISNUMBER('Dvd Calendar'!$Q$866)*100000000+('Dvd Calendar'!$Q$870='Field Check'!$C$25)*10000000+(N('Dvd Calendar'!$Q$864)&gt;0)*1000000+58*1000+13))</f>
        <v/>
      </c>
      <c r="P66" s="41">
        <f>IF(N('Dvd Calendar'!$R$865)=0,"",IF(('Dvd Calendar'!$R$865&gt;=MIN(DATE(Summary!$C$12,1,1),Summary!$C$11))*('Dvd Calendar'!$R$865&lt;=MAX(DATE(Summary!$C$12,12,31),Summary!$C$15))*('Dvd Calendar'!$R$865&lt;=Summary!$C$11)=0,"",'Dvd Calendar'!$R$865*1000000000+ISNUMBER('Dvd Calendar'!$R$866)*100000000+('Dvd Calendar'!$R$870='Field Check'!$C$25)*10000000+(N('Dvd Calendar'!$R$864)&gt;0)*1000000+58*1000+14))</f>
        <v/>
      </c>
      <c r="Q66" s="41">
        <f>IF(N('Dvd Calendar'!$S$865)=0,"",IF(('Dvd Calendar'!$S$865&gt;=MIN(DATE(Summary!$C$12,1,1),Summary!$C$11))*('Dvd Calendar'!$S$865&lt;=MAX(DATE(Summary!$C$12,12,31),Summary!$C$15))*('Dvd Calendar'!$S$865&lt;=Summary!$C$11)=0,"",'Dvd Calendar'!$S$865*1000000000+ISNUMBER('Dvd Calendar'!$S$866)*100000000+('Dvd Calendar'!$S$870='Field Check'!$C$25)*10000000+(N('Dvd Calendar'!$S$864)&gt;0)*1000000+58*1000+15))</f>
        <v/>
      </c>
      <c r="R66" s="41">
        <f>IF(N('Dvd Calendar'!$T$865)=0,"",IF(('Dvd Calendar'!$T$865&gt;=MIN(DATE(Summary!$C$12,1,1),Summary!$C$11))*('Dvd Calendar'!$T$865&lt;=MAX(DATE(Summary!$C$12,12,31),Summary!$C$15))*('Dvd Calendar'!$T$865&lt;=Summary!$C$11)=0,"",'Dvd Calendar'!$T$865*1000000000+ISNUMBER('Dvd Calendar'!$T$866)*100000000+('Dvd Calendar'!$T$870='Field Check'!$C$25)*10000000+(N('Dvd Calendar'!$T$864)&gt;0)*1000000+58*1000+16))</f>
        <v/>
      </c>
      <c r="S66" s="41">
        <f>IF(N('Dvd Calendar'!$U$865)=0,"",IF(('Dvd Calendar'!$U$865&gt;=MIN(DATE(Summary!$C$12,1,1),Summary!$C$11))*('Dvd Calendar'!$U$865&lt;=MAX(DATE(Summary!$C$12,12,31),Summary!$C$15))*('Dvd Calendar'!$U$865&lt;=Summary!$C$11)=0,"",'Dvd Calendar'!$U$865*1000000000+ISNUMBER('Dvd Calendar'!$U$866)*100000000+('Dvd Calendar'!$U$870='Field Check'!$C$25)*10000000+(N('Dvd Calendar'!$U$864)&gt;0)*1000000+58*1000+17))</f>
        <v/>
      </c>
      <c r="T66" s="41">
        <f>IF(N('Dvd Calendar'!$V$865)=0,"",IF(('Dvd Calendar'!$V$865&gt;=MIN(DATE(Summary!$C$12,1,1),Summary!$C$11))*('Dvd Calendar'!$V$865&lt;=MAX(DATE(Summary!$C$12,12,31),Summary!$C$15))*('Dvd Calendar'!$V$865&lt;=Summary!$C$11)=0,"",'Dvd Calendar'!$V$865*1000000000+ISNUMBER('Dvd Calendar'!$V$866)*100000000+('Dvd Calendar'!$V$870='Field Check'!$C$25)*10000000+(N('Dvd Calendar'!$V$864)&gt;0)*1000000+58*1000+18))</f>
        <v/>
      </c>
      <c r="U66" s="41">
        <f>IF(N('Dvd Calendar'!$W$865)=0,"",IF(('Dvd Calendar'!$W$865&gt;=MIN(DATE(Summary!$C$12,1,1),Summary!$C$11))*('Dvd Calendar'!$W$865&lt;=MAX(DATE(Summary!$C$12,12,31),Summary!$C$15))*('Dvd Calendar'!$W$865&lt;=Summary!$C$11)=0,"",'Dvd Calendar'!$W$865*1000000000+ISNUMBER('Dvd Calendar'!$W$866)*100000000+('Dvd Calendar'!$W$870='Field Check'!$C$25)*10000000+(N('Dvd Calendar'!$W$864)&gt;0)*1000000+58*1000+19))</f>
        <v/>
      </c>
      <c r="V66" s="41">
        <f>IF(N('Dvd Calendar'!$X$865)=0,"",IF(('Dvd Calendar'!$X$865&gt;=MIN(DATE(Summary!$C$12,1,1),Summary!$C$11))*('Dvd Calendar'!$X$865&lt;=MAX(DATE(Summary!$C$12,12,31),Summary!$C$15))*('Dvd Calendar'!$X$865&lt;=Summary!$C$11)=0,"",'Dvd Calendar'!$X$865*1000000000+ISNUMBER('Dvd Calendar'!$X$866)*100000000+('Dvd Calendar'!$X$870='Field Check'!$C$25)*10000000+(N('Dvd Calendar'!$X$864)&gt;0)*1000000+58*1000+20))</f>
        <v/>
      </c>
      <c r="W66" s="41">
        <f>IF(N('Dvd Calendar'!$Y$865)=0,"",IF(('Dvd Calendar'!$Y$865&gt;=MIN(DATE(Summary!$C$12,1,1),Summary!$C$11))*('Dvd Calendar'!$Y$865&lt;=MAX(DATE(Summary!$C$12,12,31),Summary!$C$15))*('Dvd Calendar'!$Y$865&lt;=Summary!$C$11)=0,"",'Dvd Calendar'!$Y$865*1000000000+ISNUMBER('Dvd Calendar'!$Y$866)*100000000+('Dvd Calendar'!$Y$870='Field Check'!$C$25)*10000000+(N('Dvd Calendar'!$Y$864)&gt;0)*1000000+58*1000+21))</f>
        <v/>
      </c>
      <c r="X66" s="41">
        <f>IF(N('Dvd Calendar'!$Z$865)=0,"",IF(('Dvd Calendar'!$Z$865&gt;=MIN(DATE(Summary!$C$12,1,1),Summary!$C$11))*('Dvd Calendar'!$Z$865&lt;=MAX(DATE(Summary!$C$12,12,31),Summary!$C$15))*('Dvd Calendar'!$Z$865&lt;=Summary!$C$11)=0,"",'Dvd Calendar'!$Z$865*1000000000+ISNUMBER('Dvd Calendar'!$Z$866)*100000000+('Dvd Calendar'!$Z$870='Field Check'!$C$25)*10000000+(N('Dvd Calendar'!$Z$864)&gt;0)*1000000+58*1000+22))</f>
        <v/>
      </c>
      <c r="Y66" s="41">
        <f>IF(N('Dvd Calendar'!$AA$865)=0,"",IF(('Dvd Calendar'!$AA$865&gt;=MIN(DATE(Summary!$C$12,1,1),Summary!$C$11))*('Dvd Calendar'!$AA$865&lt;=MAX(DATE(Summary!$C$12,12,31),Summary!$C$15))*('Dvd Calendar'!$AA$865&lt;=Summary!$C$11)=0,"",'Dvd Calendar'!$AA$865*1000000000+ISNUMBER('Dvd Calendar'!$AA$866)*100000000+('Dvd Calendar'!$AA$870='Field Check'!$C$25)*10000000+(N('Dvd Calendar'!$AA$864)&gt;0)*1000000+58*1000+23))</f>
        <v/>
      </c>
      <c r="Z66" s="41">
        <f>IF(N('Dvd Calendar'!$AB$865)=0,"",IF(('Dvd Calendar'!$AB$865&gt;=MIN(DATE(Summary!$C$12,1,1),Summary!$C$11))*('Dvd Calendar'!$AB$865&lt;=MAX(DATE(Summary!$C$12,12,31),Summary!$C$15))*('Dvd Calendar'!$AB$865&lt;=Summary!$C$11)=0,"",'Dvd Calendar'!$AB$865*1000000000+ISNUMBER('Dvd Calendar'!$AB$866)*100000000+('Dvd Calendar'!$AB$870='Field Check'!$C$25)*10000000+(N('Dvd Calendar'!$AB$864)&gt;0)*1000000+58*1000+24))</f>
        <v/>
      </c>
      <c r="AA66" s="41">
        <f>IF(N('Dvd Calendar'!$AC$865)=0,"",IF(('Dvd Calendar'!$AC$865&gt;=MIN(DATE(Summary!$C$12,1,1),Summary!$C$11))*('Dvd Calendar'!$AC$865&lt;=MAX(DATE(Summary!$C$12,12,31),Summary!$C$15))*('Dvd Calendar'!$AC$865&lt;=Summary!$C$11)=0,"",'Dvd Calendar'!$AC$865*1000000000+ISNUMBER('Dvd Calendar'!$AC$866)*100000000+('Dvd Calendar'!$AC$870='Field Check'!$C$25)*10000000+(N('Dvd Calendar'!$AC$864)&gt;0)*1000000+58*1000+25))</f>
        <v/>
      </c>
      <c r="AB66" s="41">
        <f>IF(N('Dvd Calendar'!$AD$865)=0,"",IF(('Dvd Calendar'!$AD$865&gt;=MIN(DATE(Summary!$C$12,1,1),Summary!$C$11))*('Dvd Calendar'!$AD$865&lt;=MAX(DATE(Summary!$C$12,12,31),Summary!$C$15))*('Dvd Calendar'!$AD$865&lt;=Summary!$C$11)=0,"",'Dvd Calendar'!$AD$865*1000000000+ISNUMBER('Dvd Calendar'!$AD$866)*100000000+('Dvd Calendar'!$AD$870='Field Check'!$C$25)*10000000+(N('Dvd Calendar'!$AD$864)&gt;0)*1000000+58*1000+26))</f>
        <v/>
      </c>
      <c r="AC66" s="41">
        <f>IF(N('Dvd Calendar'!$AE$865)=0,"",IF(('Dvd Calendar'!$AE$865&gt;=MIN(DATE(Summary!$C$12,1,1),Summary!$C$11))*('Dvd Calendar'!$AE$865&lt;=MAX(DATE(Summary!$C$12,12,31),Summary!$C$15))*('Dvd Calendar'!$AE$865&lt;=Summary!$C$11)=0,"",'Dvd Calendar'!$AE$865*1000000000+ISNUMBER('Dvd Calendar'!$AE$866)*100000000+('Dvd Calendar'!$AE$870='Field Check'!$C$25)*10000000+(N('Dvd Calendar'!$AE$864)&gt;0)*1000000+58*1000+27))</f>
        <v/>
      </c>
      <c r="AD66" s="41">
        <f>IF(N('Dvd Calendar'!$AF$865)=0,"",IF(('Dvd Calendar'!$AF$865&gt;=MIN(DATE(Summary!$C$12,1,1),Summary!$C$11))*('Dvd Calendar'!$AF$865&lt;=MAX(DATE(Summary!$C$12,12,31),Summary!$C$15))*('Dvd Calendar'!$AF$865&lt;=Summary!$C$11)=0,"",'Dvd Calendar'!$AF$865*1000000000+ISNUMBER('Dvd Calendar'!$AF$866)*100000000+('Dvd Calendar'!$AF$870='Field Check'!$C$25)*10000000+(N('Dvd Calendar'!$AF$864)&gt;0)*1000000+58*1000+28))</f>
        <v/>
      </c>
      <c r="AE66" s="41">
        <f>IF(N('Dvd Calendar'!$AG$865)=0,"",IF(('Dvd Calendar'!$AG$865&gt;=MIN(DATE(Summary!$C$12,1,1),Summary!$C$11))*('Dvd Calendar'!$AG$865&lt;=MAX(DATE(Summary!$C$12,12,31),Summary!$C$15))*('Dvd Calendar'!$AG$865&lt;=Summary!$C$11)=0,"",'Dvd Calendar'!$AG$865*1000000000+ISNUMBER('Dvd Calendar'!$AG$866)*100000000+('Dvd Calendar'!$AG$870='Field Check'!$C$25)*10000000+(N('Dvd Calendar'!$AG$864)&gt;0)*1000000+58*1000+29))</f>
        <v/>
      </c>
      <c r="AF66" s="41">
        <f>IF(N('Dvd Calendar'!$AH$865)=0,"",IF(('Dvd Calendar'!$AH$865&gt;=MIN(DATE(Summary!$C$12,1,1),Summary!$C$11))*('Dvd Calendar'!$AH$865&lt;=MAX(DATE(Summary!$C$12,12,31),Summary!$C$15))*('Dvd Calendar'!$AH$865&lt;=Summary!$C$11)=0,"",'Dvd Calendar'!$AH$865*1000000000+ISNUMBER('Dvd Calendar'!$AH$866)*100000000+('Dvd Calendar'!$AH$870='Field Check'!$C$25)*10000000+(N('Dvd Calendar'!$AH$864)&gt;0)*1000000+58*1000+30))</f>
        <v/>
      </c>
      <c r="AG66" s="41">
        <f>IF(N('Dvd Calendar'!$AI$865)=0,"",IF(('Dvd Calendar'!$AI$865&gt;=MIN(DATE(Summary!$C$12,1,1),Summary!$C$11))*('Dvd Calendar'!$AI$865&lt;=MAX(DATE(Summary!$C$12,12,31),Summary!$C$15))*('Dvd Calendar'!$AI$865&lt;=Summary!$C$11)=0,"",'Dvd Calendar'!$AI$865*1000000000+ISNUMBER('Dvd Calendar'!$AI$866)*100000000+('Dvd Calendar'!$AI$870='Field Check'!$C$25)*10000000+(N('Dvd Calendar'!$AI$864)&gt;0)*1000000+58*1000+31))</f>
        <v/>
      </c>
      <c r="AH66" s="41">
        <f>IF(N('Dvd Calendar'!$AJ$865)=0,"",IF(('Dvd Calendar'!$AJ$865&gt;=MIN(DATE(Summary!$C$12,1,1),Summary!$C$11))*('Dvd Calendar'!$AJ$865&lt;=MAX(DATE(Summary!$C$12,12,31),Summary!$C$15))*('Dvd Calendar'!$AJ$865&lt;=Summary!$C$11)=0,"",'Dvd Calendar'!$AJ$865*1000000000+ISNUMBER('Dvd Calendar'!$AJ$866)*100000000+('Dvd Calendar'!$AJ$870='Field Check'!$C$25)*10000000+(N('Dvd Calendar'!$AJ$864)&gt;0)*1000000+58*1000+32))</f>
        <v/>
      </c>
      <c r="AI66" s="41">
        <f>IF(N('Dvd Calendar'!$AK$865)=0,"",IF(('Dvd Calendar'!$AK$865&gt;=MIN(DATE(Summary!$C$12,1,1),Summary!$C$11))*('Dvd Calendar'!$AK$865&lt;=MAX(DATE(Summary!$C$12,12,31),Summary!$C$15))*('Dvd Calendar'!$AK$865&lt;=Summary!$C$11)=0,"",'Dvd Calendar'!$AK$865*1000000000+ISNUMBER('Dvd Calendar'!$AK$866)*100000000+('Dvd Calendar'!$AK$870='Field Check'!$C$25)*10000000+(N('Dvd Calendar'!$AK$864)&gt;0)*1000000+58*1000+33))</f>
        <v/>
      </c>
      <c r="AJ66" s="41">
        <f>IF(N('Dvd Calendar'!$AL$865)=0,"",IF(('Dvd Calendar'!$AL$865&gt;=MIN(DATE(Summary!$C$12,1,1),Summary!$C$11))*('Dvd Calendar'!$AL$865&lt;=MAX(DATE(Summary!$C$12,12,31),Summary!$C$15))*('Dvd Calendar'!$AL$865&lt;=Summary!$C$11)=0,"",'Dvd Calendar'!$AL$865*1000000000+ISNUMBER('Dvd Calendar'!$AL$866)*100000000+('Dvd Calendar'!$AL$870='Field Check'!$C$25)*10000000+(N('Dvd Calendar'!$AL$864)&gt;0)*1000000+58*1000+34))</f>
        <v/>
      </c>
      <c r="AK66" s="41">
        <f>IF(N('Dvd Calendar'!$AM$865)=0,"",IF(('Dvd Calendar'!$AM$865&gt;=MIN(DATE(Summary!$C$12,1,1),Summary!$C$11))*('Dvd Calendar'!$AM$865&lt;=MAX(DATE(Summary!$C$12,12,31),Summary!$C$15))*('Dvd Calendar'!$AM$865&lt;=Summary!$C$11)=0,"",'Dvd Calendar'!$AM$865*1000000000+ISNUMBER('Dvd Calendar'!$AM$866)*100000000+('Dvd Calendar'!$AM$870='Field Check'!$C$25)*10000000+(N('Dvd Calendar'!$AM$864)&gt;0)*1000000+58*1000+35))</f>
        <v/>
      </c>
      <c r="AL66" s="41">
        <f>IF(N('Dvd Calendar'!$AN$865)=0,"",IF(('Dvd Calendar'!$AN$865&gt;=MIN(DATE(Summary!$C$12,1,1),Summary!$C$11))*('Dvd Calendar'!$AN$865&lt;=MAX(DATE(Summary!$C$12,12,31),Summary!$C$15))*('Dvd Calendar'!$AN$865&lt;=Summary!$C$11)=0,"",'Dvd Calendar'!$AN$865*1000000000+ISNUMBER('Dvd Calendar'!$AN$866)*100000000+('Dvd Calendar'!$AN$870='Field Check'!$C$25)*10000000+(N('Dvd Calendar'!$AN$864)&gt;0)*1000000+58*1000+36))</f>
        <v/>
      </c>
      <c r="AM66" s="41">
        <f>IF(N('Dvd Calendar'!$AO$865)=0,"",IF(('Dvd Calendar'!$AO$865&gt;=MIN(DATE(Summary!$C$12,1,1),Summary!$C$11))*('Dvd Calendar'!$AO$865&lt;=MAX(DATE(Summary!$C$12,12,31),Summary!$C$15))*('Dvd Calendar'!$AO$865&lt;=Summary!$C$11)=0,"",'Dvd Calendar'!$AO$865*1000000000+ISNUMBER('Dvd Calendar'!$AO$866)*100000000+('Dvd Calendar'!$AO$870='Field Check'!$C$25)*10000000+(N('Dvd Calendar'!$AO$864)&gt;0)*1000000+58*1000+37))</f>
        <v/>
      </c>
      <c r="AN66" s="41">
        <f>IF(N('Dvd Calendar'!$AP$865)=0,"",IF(('Dvd Calendar'!$AP$865&gt;=MIN(DATE(Summary!$C$12,1,1),Summary!$C$11))*('Dvd Calendar'!$AP$865&lt;=MAX(DATE(Summary!$C$12,12,31),Summary!$C$15))*('Dvd Calendar'!$AP$865&lt;=Summary!$C$11)=0,"",'Dvd Calendar'!$AP$865*1000000000+ISNUMBER('Dvd Calendar'!$AP$866)*100000000+('Dvd Calendar'!$AP$870='Field Check'!$C$25)*10000000+(N('Dvd Calendar'!$AP$864)&gt;0)*1000000+58*1000+38))</f>
        <v/>
      </c>
      <c r="AO66" s="41">
        <f>IF(N('Dvd Calendar'!$AQ$865)=0,"",IF(('Dvd Calendar'!$AQ$865&gt;=MIN(DATE(Summary!$C$12,1,1),Summary!$C$11))*('Dvd Calendar'!$AQ$865&lt;=MAX(DATE(Summary!$C$12,12,31),Summary!$C$15))*('Dvd Calendar'!$AQ$865&lt;=Summary!$C$11)=0,"",'Dvd Calendar'!$AQ$865*1000000000+ISNUMBER('Dvd Calendar'!$AQ$866)*100000000+('Dvd Calendar'!$AQ$870='Field Check'!$C$25)*10000000+(N('Dvd Calendar'!$AQ$864)&gt;0)*1000000+58*1000+39))</f>
        <v/>
      </c>
      <c r="AP66" s="41">
        <f>IF(N('Dvd Calendar'!$AR$865)=0,"",IF(('Dvd Calendar'!$AR$865&gt;=MIN(DATE(Summary!$C$12,1,1),Summary!$C$11))*('Dvd Calendar'!$AR$865&lt;=MAX(DATE(Summary!$C$12,12,31),Summary!$C$15))*('Dvd Calendar'!$AR$865&lt;=Summary!$C$11)=0,"",'Dvd Calendar'!$AR$865*1000000000+ISNUMBER('Dvd Calendar'!$AR$866)*100000000+('Dvd Calendar'!$AR$870='Field Check'!$C$25)*10000000+(N('Dvd Calendar'!$AR$864)&gt;0)*1000000+58*1000+40))</f>
        <v/>
      </c>
      <c r="AQ66" s="41">
        <f>IF(N('Dvd Calendar'!$E$872)=0,"",IF(('Dvd Calendar'!$E$872&gt;=MIN(DATE(Summary!$C$12,1,1),Summary!$C$11))*('Dvd Calendar'!$E$872&lt;=MAX(DATE(Summary!$C$12,12,31),Summary!$C$15))*('Dvd Calendar'!$E$872&gt;Summary!$C$11)=0,"",'Dvd Calendar'!$E$872*1000000000+ISNUMBER('Dvd Calendar'!$E$873)*100000000+('Dvd Calendar'!$E$877='Field Check'!$C$25)*10000000+(N('Dvd Calendar'!$E$871)&gt;0)*1000000+58*1000+41))</f>
        <v/>
      </c>
      <c r="AR66" s="41">
        <f>IF(N('Dvd Calendar'!$F$872)=0,"",IF(('Dvd Calendar'!$F$872&gt;=MIN(DATE(Summary!$C$12,1,1),Summary!$C$11))*('Dvd Calendar'!$F$872&lt;=MAX(DATE(Summary!$C$12,12,31),Summary!$C$15))*('Dvd Calendar'!$F$872&gt;Summary!$C$11)=0,"",'Dvd Calendar'!$F$872*1000000000+ISNUMBER('Dvd Calendar'!$F$873)*100000000+('Dvd Calendar'!$F$877='Field Check'!$C$25)*10000000+(N('Dvd Calendar'!$F$871)&gt;0)*1000000+58*1000+42))</f>
        <v/>
      </c>
      <c r="AS66" s="41">
        <f>IF(N('Dvd Calendar'!$G$872)=0,"",IF(('Dvd Calendar'!$G$872&gt;=MIN(DATE(Summary!$C$12,1,1),Summary!$C$11))*('Dvd Calendar'!$G$872&lt;=MAX(DATE(Summary!$C$12,12,31),Summary!$C$15))*('Dvd Calendar'!$G$872&gt;Summary!$C$11)=0,"",'Dvd Calendar'!$G$872*1000000000+ISNUMBER('Dvd Calendar'!$G$873)*100000000+('Dvd Calendar'!$G$877='Field Check'!$C$25)*10000000+(N('Dvd Calendar'!$G$871)&gt;0)*1000000+58*1000+43))</f>
        <v/>
      </c>
      <c r="AT66" s="41">
        <f>IF(N('Dvd Calendar'!$H$872)=0,"",IF(('Dvd Calendar'!$H$872&gt;=MIN(DATE(Summary!$C$12,1,1),Summary!$C$11))*('Dvd Calendar'!$H$872&lt;=MAX(DATE(Summary!$C$12,12,31),Summary!$C$15))*('Dvd Calendar'!$H$872&gt;Summary!$C$11)=0,"",'Dvd Calendar'!$H$872*1000000000+ISNUMBER('Dvd Calendar'!$H$873)*100000000+('Dvd Calendar'!$H$877='Field Check'!$C$25)*10000000+(N('Dvd Calendar'!$H$871)&gt;0)*1000000+58*1000+44))</f>
        <v/>
      </c>
      <c r="AU66" s="41">
        <f>IF(N('Dvd Calendar'!$I$872)=0,"",IF(('Dvd Calendar'!$I$872&gt;=MIN(DATE(Summary!$C$12,1,1),Summary!$C$11))*('Dvd Calendar'!$I$872&lt;=MAX(DATE(Summary!$C$12,12,31),Summary!$C$15))*('Dvd Calendar'!$I$872&gt;Summary!$C$11)=0,"",'Dvd Calendar'!$I$872*1000000000+ISNUMBER('Dvd Calendar'!$I$873)*100000000+('Dvd Calendar'!$I$877='Field Check'!$C$25)*10000000+(N('Dvd Calendar'!$I$871)&gt;0)*1000000+58*1000+45))</f>
        <v/>
      </c>
      <c r="AV66" s="41">
        <f>IF(N('Dvd Calendar'!$J$872)=0,"",IF(('Dvd Calendar'!$J$872&gt;=MIN(DATE(Summary!$C$12,1,1),Summary!$C$11))*('Dvd Calendar'!$J$872&lt;=MAX(DATE(Summary!$C$12,12,31),Summary!$C$15))*('Dvd Calendar'!$J$872&gt;Summary!$C$11)=0,"",'Dvd Calendar'!$J$872*1000000000+ISNUMBER('Dvd Calendar'!$J$873)*100000000+('Dvd Calendar'!$J$877='Field Check'!$C$25)*10000000+(N('Dvd Calendar'!$J$871)&gt;0)*1000000+58*1000+46))</f>
        <v/>
      </c>
      <c r="AW66" s="41">
        <f>IF(N('Dvd Calendar'!$K$872)=0,"",IF(('Dvd Calendar'!$K$872&gt;=MIN(DATE(Summary!$C$12,1,1),Summary!$C$11))*('Dvd Calendar'!$K$872&lt;=MAX(DATE(Summary!$C$12,12,31),Summary!$C$15))*('Dvd Calendar'!$K$872&gt;Summary!$C$11)=0,"",'Dvd Calendar'!$K$872*1000000000+ISNUMBER('Dvd Calendar'!$K$873)*100000000+('Dvd Calendar'!$K$877='Field Check'!$C$25)*10000000+(N('Dvd Calendar'!$K$871)&gt;0)*1000000+58*1000+47))</f>
        <v/>
      </c>
      <c r="AX66" s="41">
        <f>IF(N('Dvd Calendar'!$L$872)=0,"",IF(('Dvd Calendar'!$L$872&gt;=MIN(DATE(Summary!$C$12,1,1),Summary!$C$11))*('Dvd Calendar'!$L$872&lt;=MAX(DATE(Summary!$C$12,12,31),Summary!$C$15))*('Dvd Calendar'!$L$872&gt;Summary!$C$11)=0,"",'Dvd Calendar'!$L$872*1000000000+ISNUMBER('Dvd Calendar'!$L$873)*100000000+('Dvd Calendar'!$L$877='Field Check'!$C$25)*10000000+(N('Dvd Calendar'!$L$871)&gt;0)*1000000+58*1000+48))</f>
        <v/>
      </c>
      <c r="AY66" s="41">
        <f>IF(N('Dvd Calendar'!$M$872)=0,"",IF(('Dvd Calendar'!$M$872&gt;=MIN(DATE(Summary!$C$12,1,1),Summary!$C$11))*('Dvd Calendar'!$M$872&lt;=MAX(DATE(Summary!$C$12,12,31),Summary!$C$15))*('Dvd Calendar'!$M$872&gt;Summary!$C$11)=0,"",'Dvd Calendar'!$M$872*1000000000+ISNUMBER('Dvd Calendar'!$M$873)*100000000+('Dvd Calendar'!$M$877='Field Check'!$C$25)*10000000+(N('Dvd Calendar'!$M$871)&gt;0)*1000000+58*1000+49))</f>
        <v/>
      </c>
      <c r="AZ66" s="41">
        <f>IF(N('Dvd Calendar'!$N$872)=0,"",IF(('Dvd Calendar'!$N$872&gt;=MIN(DATE(Summary!$C$12,1,1),Summary!$C$11))*('Dvd Calendar'!$N$872&lt;=MAX(DATE(Summary!$C$12,12,31),Summary!$C$15))*('Dvd Calendar'!$N$872&gt;Summary!$C$11)=0,"",'Dvd Calendar'!$N$872*1000000000+ISNUMBER('Dvd Calendar'!$N$873)*100000000+('Dvd Calendar'!$N$877='Field Check'!$C$25)*10000000+(N('Dvd Calendar'!$N$871)&gt;0)*1000000+58*1000+50))</f>
        <v/>
      </c>
      <c r="BA66" s="41">
        <f>IF(N('Dvd Calendar'!$O$872)=0,"",IF(('Dvd Calendar'!$O$872&gt;=MIN(DATE(Summary!$C$12,1,1),Summary!$C$11))*('Dvd Calendar'!$O$872&lt;=MAX(DATE(Summary!$C$12,12,31),Summary!$C$15))*('Dvd Calendar'!$O$872&gt;Summary!$C$11)=0,"",'Dvd Calendar'!$O$872*1000000000+ISNUMBER('Dvd Calendar'!$O$873)*100000000+('Dvd Calendar'!$O$877='Field Check'!$C$25)*10000000+(N('Dvd Calendar'!$O$871)&gt;0)*1000000+58*1000+51))</f>
        <v/>
      </c>
      <c r="BB66" s="41">
        <f>IF(N('Dvd Calendar'!$P$872)=0,"",IF(('Dvd Calendar'!$P$872&gt;=MIN(DATE(Summary!$C$12,1,1),Summary!$C$11))*('Dvd Calendar'!$P$872&lt;=MAX(DATE(Summary!$C$12,12,31),Summary!$C$15))*('Dvd Calendar'!$P$872&gt;Summary!$C$11)=0,"",'Dvd Calendar'!$P$872*1000000000+ISNUMBER('Dvd Calendar'!$P$873)*100000000+('Dvd Calendar'!$P$877='Field Check'!$C$25)*10000000+(N('Dvd Calendar'!$P$871)&gt;0)*1000000+58*1000+52))</f>
        <v/>
      </c>
      <c r="BC66" s="41">
        <f>IF(N('Dvd Calendar'!$Q$872)=0,"",IF(('Dvd Calendar'!$Q$872&gt;=MIN(DATE(Summary!$C$12,1,1),Summary!$C$11))*('Dvd Calendar'!$Q$872&lt;=MAX(DATE(Summary!$C$12,12,31),Summary!$C$15))*('Dvd Calendar'!$Q$872&gt;Summary!$C$11)=0,"",'Dvd Calendar'!$Q$872*1000000000+ISNUMBER('Dvd Calendar'!$Q$873)*100000000+('Dvd Calendar'!$Q$877='Field Check'!$C$25)*10000000+(N('Dvd Calendar'!$Q$871)&gt;0)*1000000+58*1000+53))</f>
        <v/>
      </c>
      <c r="BD66" s="41">
        <f>IF(N('Dvd Calendar'!$R$872)=0,"",IF(('Dvd Calendar'!$R$872&gt;=MIN(DATE(Summary!$C$12,1,1),Summary!$C$11))*('Dvd Calendar'!$R$872&lt;=MAX(DATE(Summary!$C$12,12,31),Summary!$C$15))*('Dvd Calendar'!$R$872&gt;Summary!$C$11)=0,"",'Dvd Calendar'!$R$872*1000000000+ISNUMBER('Dvd Calendar'!$R$873)*100000000+('Dvd Calendar'!$R$877='Field Check'!$C$25)*10000000+(N('Dvd Calendar'!$R$871)&gt;0)*1000000+58*1000+54))</f>
        <v/>
      </c>
      <c r="BE66" s="41">
        <f>IF(N('Dvd Calendar'!$S$872)=0,"",IF(('Dvd Calendar'!$S$872&gt;=MIN(DATE(Summary!$C$12,1,1),Summary!$C$11))*('Dvd Calendar'!$S$872&lt;=MAX(DATE(Summary!$C$12,12,31),Summary!$C$15))*('Dvd Calendar'!$S$872&gt;Summary!$C$11)=0,"",'Dvd Calendar'!$S$872*1000000000+ISNUMBER('Dvd Calendar'!$S$873)*100000000+('Dvd Calendar'!$S$877='Field Check'!$C$25)*10000000+(N('Dvd Calendar'!$S$871)&gt;0)*1000000+58*1000+55))</f>
        <v/>
      </c>
      <c r="BF66" s="41">
        <f>IF(N('Dvd Calendar'!$T$872)=0,"",IF(('Dvd Calendar'!$T$872&gt;=MIN(DATE(Summary!$C$12,1,1),Summary!$C$11))*('Dvd Calendar'!$T$872&lt;=MAX(DATE(Summary!$C$12,12,31),Summary!$C$15))*('Dvd Calendar'!$T$872&gt;Summary!$C$11)=0,"",'Dvd Calendar'!$T$872*1000000000+ISNUMBER('Dvd Calendar'!$T$873)*100000000+('Dvd Calendar'!$T$877='Field Check'!$C$25)*10000000+(N('Dvd Calendar'!$T$871)&gt;0)*1000000+58*1000+56))</f>
        <v/>
      </c>
      <c r="BG66" s="41">
        <f>IF(N('Dvd Calendar'!$U$872)=0,"",IF(('Dvd Calendar'!$U$872&gt;=MIN(DATE(Summary!$C$12,1,1),Summary!$C$11))*('Dvd Calendar'!$U$872&lt;=MAX(DATE(Summary!$C$12,12,31),Summary!$C$15))*('Dvd Calendar'!$U$872&gt;Summary!$C$11)=0,"",'Dvd Calendar'!$U$872*1000000000+ISNUMBER('Dvd Calendar'!$U$873)*100000000+('Dvd Calendar'!$U$877='Field Check'!$C$25)*10000000+(N('Dvd Calendar'!$U$871)&gt;0)*1000000+58*1000+57))</f>
        <v/>
      </c>
      <c r="BH66" s="41">
        <f>IF(N('Dvd Calendar'!$V$872)=0,"",IF(('Dvd Calendar'!$V$872&gt;=MIN(DATE(Summary!$C$12,1,1),Summary!$C$11))*('Dvd Calendar'!$V$872&lt;=MAX(DATE(Summary!$C$12,12,31),Summary!$C$15))*('Dvd Calendar'!$V$872&gt;Summary!$C$11)=0,"",'Dvd Calendar'!$V$872*1000000000+ISNUMBER('Dvd Calendar'!$V$873)*100000000+('Dvd Calendar'!$V$877='Field Check'!$C$25)*10000000+(N('Dvd Calendar'!$V$871)&gt;0)*1000000+58*1000+58))</f>
        <v/>
      </c>
      <c r="BI66" s="41">
        <f>IF(N('Dvd Calendar'!$W$872)=0,"",IF(('Dvd Calendar'!$W$872&gt;=MIN(DATE(Summary!$C$12,1,1),Summary!$C$11))*('Dvd Calendar'!$W$872&lt;=MAX(DATE(Summary!$C$12,12,31),Summary!$C$15))*('Dvd Calendar'!$W$872&gt;Summary!$C$11)=0,"",'Dvd Calendar'!$W$872*1000000000+ISNUMBER('Dvd Calendar'!$W$873)*100000000+('Dvd Calendar'!$W$877='Field Check'!$C$25)*10000000+(N('Dvd Calendar'!$W$871)&gt;0)*1000000+58*1000+59))</f>
        <v/>
      </c>
      <c r="BJ66" s="41">
        <f>IF(N('Dvd Calendar'!$X$872)=0,"",IF(('Dvd Calendar'!$X$872&gt;=MIN(DATE(Summary!$C$12,1,1),Summary!$C$11))*('Dvd Calendar'!$X$872&lt;=MAX(DATE(Summary!$C$12,12,31),Summary!$C$15))*('Dvd Calendar'!$X$872&gt;Summary!$C$11)=0,"",'Dvd Calendar'!$X$872*1000000000+ISNUMBER('Dvd Calendar'!$X$873)*100000000+('Dvd Calendar'!$X$877='Field Check'!$C$25)*10000000+(N('Dvd Calendar'!$X$871)&gt;0)*1000000+58*1000+60))</f>
        <v/>
      </c>
      <c r="BK66" s="41">
        <f>IF(N('Dvd Calendar'!$Y$872)=0,"",IF(('Dvd Calendar'!$Y$872&gt;=MIN(DATE(Summary!$C$12,1,1),Summary!$C$11))*('Dvd Calendar'!$Y$872&lt;=MAX(DATE(Summary!$C$12,12,31),Summary!$C$15))*('Dvd Calendar'!$Y$872&gt;Summary!$C$11)=0,"",'Dvd Calendar'!$Y$872*1000000000+ISNUMBER('Dvd Calendar'!$Y$873)*100000000+('Dvd Calendar'!$Y$877='Field Check'!$C$25)*10000000+(N('Dvd Calendar'!$Y$871)&gt;0)*1000000+58*1000+61))</f>
        <v/>
      </c>
      <c r="BL66" s="41">
        <f>IF(N('Dvd Calendar'!$Z$872)=0,"",IF(('Dvd Calendar'!$Z$872&gt;=MIN(DATE(Summary!$C$12,1,1),Summary!$C$11))*('Dvd Calendar'!$Z$872&lt;=MAX(DATE(Summary!$C$12,12,31),Summary!$C$15))*('Dvd Calendar'!$Z$872&gt;Summary!$C$11)=0,"",'Dvd Calendar'!$Z$872*1000000000+ISNUMBER('Dvd Calendar'!$Z$873)*100000000+('Dvd Calendar'!$Z$877='Field Check'!$C$25)*10000000+(N('Dvd Calendar'!$Z$871)&gt;0)*1000000+58*1000+62))</f>
        <v/>
      </c>
      <c r="BM66" s="41">
        <f>IF(N('Dvd Calendar'!$AA$872)=0,"",IF(('Dvd Calendar'!$AA$872&gt;=MIN(DATE(Summary!$C$12,1,1),Summary!$C$11))*('Dvd Calendar'!$AA$872&lt;=MAX(DATE(Summary!$C$12,12,31),Summary!$C$15))*('Dvd Calendar'!$AA$872&gt;Summary!$C$11)=0,"",'Dvd Calendar'!$AA$872*1000000000+ISNUMBER('Dvd Calendar'!$AA$873)*100000000+('Dvd Calendar'!$AA$877='Field Check'!$C$25)*10000000+(N('Dvd Calendar'!$AA$871)&gt;0)*1000000+58*1000+63))</f>
        <v/>
      </c>
      <c r="BN66" s="41">
        <f>IF(N('Dvd Calendar'!$AB$872)=0,"",IF(('Dvd Calendar'!$AB$872&gt;=MIN(DATE(Summary!$C$12,1,1),Summary!$C$11))*('Dvd Calendar'!$AB$872&lt;=MAX(DATE(Summary!$C$12,12,31),Summary!$C$15))*('Dvd Calendar'!$AB$872&gt;Summary!$C$11)=0,"",'Dvd Calendar'!$AB$872*1000000000+ISNUMBER('Dvd Calendar'!$AB$873)*100000000+('Dvd Calendar'!$AB$877='Field Check'!$C$25)*10000000+(N('Dvd Calendar'!$AB$871)&gt;0)*1000000+58*1000+64))</f>
        <v/>
      </c>
      <c r="BO66" s="41">
        <f>IF(N('Dvd Calendar'!$AC$872)=0,"",IF(('Dvd Calendar'!$AC$872&gt;=MIN(DATE(Summary!$C$12,1,1),Summary!$C$11))*('Dvd Calendar'!$AC$872&lt;=MAX(DATE(Summary!$C$12,12,31),Summary!$C$15))*('Dvd Calendar'!$AC$872&gt;Summary!$C$11)=0,"",'Dvd Calendar'!$AC$872*1000000000+ISNUMBER('Dvd Calendar'!$AC$873)*100000000+('Dvd Calendar'!$AC$877='Field Check'!$C$25)*10000000+(N('Dvd Calendar'!$AC$871)&gt;0)*1000000+58*1000+65))</f>
        <v/>
      </c>
      <c r="BQ66" s="85">
        <f>IF(C66="","",IF(ISNUMBER('Dvd Calendar'!$E$866)=FALSE,"",IF((Summary!$C$13="N")*('Dvd Calendar'!$E$870='Field Check'!$C$25)&gt;0,"",'Dvd Calendar'!$E$866)))</f>
        <v/>
      </c>
      <c r="BR66" s="85">
        <f>IF(D66="","",IF(ISNUMBER('Dvd Calendar'!$F$866)=FALSE,"",IF((Summary!$C$13="N")*('Dvd Calendar'!$F$870='Field Check'!$C$25)&gt;0,"",'Dvd Calendar'!$F$866)))</f>
        <v/>
      </c>
      <c r="BS66" s="85">
        <f>IF(E66="","",IF(ISNUMBER('Dvd Calendar'!$G$866)=FALSE,"",IF((Summary!$C$13="N")*('Dvd Calendar'!$G$870='Field Check'!$C$25)&gt;0,"",'Dvd Calendar'!$G$866)))</f>
        <v/>
      </c>
      <c r="BT66" s="85">
        <f>IF(F66="","",IF(ISNUMBER('Dvd Calendar'!$H$866)=FALSE,"",IF((Summary!$C$13="N")*('Dvd Calendar'!$H$870='Field Check'!$C$25)&gt;0,"",'Dvd Calendar'!$H$866)))</f>
        <v/>
      </c>
      <c r="BU66" s="85">
        <f>IF(G66="","",IF(ISNUMBER('Dvd Calendar'!$I$866)=FALSE,"",IF((Summary!$C$13="N")*('Dvd Calendar'!$I$870='Field Check'!$C$25)&gt;0,"",'Dvd Calendar'!$I$866)))</f>
        <v/>
      </c>
      <c r="BV66" s="85">
        <f>IF(H66="","",IF(ISNUMBER('Dvd Calendar'!$J$866)=FALSE,"",IF((Summary!$C$13="N")*('Dvd Calendar'!$J$870='Field Check'!$C$25)&gt;0,"",'Dvd Calendar'!$J$866)))</f>
        <v/>
      </c>
      <c r="BW66" s="85">
        <f>IF(I66="","",IF(ISNUMBER('Dvd Calendar'!$K$866)=FALSE,"",IF((Summary!$C$13="N")*('Dvd Calendar'!$K$870='Field Check'!$C$25)&gt;0,"",'Dvd Calendar'!$K$866)))</f>
        <v/>
      </c>
      <c r="BX66" s="85">
        <f>IF(J66="","",IF(ISNUMBER('Dvd Calendar'!$L$866)=FALSE,"",IF((Summary!$C$13="N")*('Dvd Calendar'!$L$870='Field Check'!$C$25)&gt;0,"",'Dvd Calendar'!$L$866)))</f>
        <v/>
      </c>
      <c r="BY66" s="85">
        <f>IF(K66="","",IF(ISNUMBER('Dvd Calendar'!$M$866)=FALSE,"",IF((Summary!$C$13="N")*('Dvd Calendar'!$M$870='Field Check'!$C$25)&gt;0,"",'Dvd Calendar'!$M$866)))</f>
        <v/>
      </c>
      <c r="BZ66" s="85">
        <f>IF(L66="","",IF(ISNUMBER('Dvd Calendar'!$N$866)=FALSE,"",IF((Summary!$C$13="N")*('Dvd Calendar'!$N$870='Field Check'!$C$25)&gt;0,"",'Dvd Calendar'!$N$866)))</f>
        <v/>
      </c>
      <c r="CA66" s="85">
        <f>IF(M66="","",IF(ISNUMBER('Dvd Calendar'!$O$866)=FALSE,"",IF((Summary!$C$13="N")*('Dvd Calendar'!$O$870='Field Check'!$C$25)&gt;0,"",'Dvd Calendar'!$O$866)))</f>
        <v/>
      </c>
      <c r="CB66" s="85">
        <f>IF(N66="","",IF(ISNUMBER('Dvd Calendar'!$P$866)=FALSE,"",IF((Summary!$C$13="N")*('Dvd Calendar'!$P$870='Field Check'!$C$25)&gt;0,"",'Dvd Calendar'!$P$866)))</f>
        <v/>
      </c>
      <c r="CC66" s="85">
        <f>IF(O66="","",IF(ISNUMBER('Dvd Calendar'!$Q$866)=FALSE,"",IF((Summary!$C$13="N")*('Dvd Calendar'!$Q$870='Field Check'!$C$25)&gt;0,"",'Dvd Calendar'!$Q$866)))</f>
        <v/>
      </c>
      <c r="CD66" s="85">
        <f>IF(P66="","",IF(ISNUMBER('Dvd Calendar'!$R$866)=FALSE,"",IF((Summary!$C$13="N")*('Dvd Calendar'!$R$870='Field Check'!$C$25)&gt;0,"",'Dvd Calendar'!$R$866)))</f>
        <v/>
      </c>
      <c r="CE66" s="85">
        <f>IF(Q66="","",IF(ISNUMBER('Dvd Calendar'!$S$866)=FALSE,"",IF((Summary!$C$13="N")*('Dvd Calendar'!$S$870='Field Check'!$C$25)&gt;0,"",'Dvd Calendar'!$S$866)))</f>
        <v/>
      </c>
      <c r="CF66" s="85">
        <f>IF(R66="","",IF(ISNUMBER('Dvd Calendar'!$T$866)=FALSE,"",IF((Summary!$C$13="N")*('Dvd Calendar'!$T$870='Field Check'!$C$25)&gt;0,"",'Dvd Calendar'!$T$866)))</f>
        <v/>
      </c>
      <c r="CG66" s="85">
        <f>IF(S66="","",IF(ISNUMBER('Dvd Calendar'!$U$866)=FALSE,"",IF((Summary!$C$13="N")*('Dvd Calendar'!$U$870='Field Check'!$C$25)&gt;0,"",'Dvd Calendar'!$U$866)))</f>
        <v/>
      </c>
      <c r="CH66" s="85">
        <f>IF(T66="","",IF(ISNUMBER('Dvd Calendar'!$V$866)=FALSE,"",IF((Summary!$C$13="N")*('Dvd Calendar'!$V$870='Field Check'!$C$25)&gt;0,"",'Dvd Calendar'!$V$866)))</f>
        <v/>
      </c>
      <c r="CI66" s="85">
        <f>IF(U66="","",IF(ISNUMBER('Dvd Calendar'!$W$866)=FALSE,"",IF((Summary!$C$13="N")*('Dvd Calendar'!$W$870='Field Check'!$C$25)&gt;0,"",'Dvd Calendar'!$W$866)))</f>
        <v/>
      </c>
      <c r="CJ66" s="85">
        <f>IF(V66="","",IF(ISNUMBER('Dvd Calendar'!$X$866)=FALSE,"",IF((Summary!$C$13="N")*('Dvd Calendar'!$X$870='Field Check'!$C$25)&gt;0,"",'Dvd Calendar'!$X$866)))</f>
        <v/>
      </c>
      <c r="CK66" s="85">
        <f>IF(W66="","",IF(ISNUMBER('Dvd Calendar'!$Y$866)=FALSE,"",IF((Summary!$C$13="N")*('Dvd Calendar'!$Y$870='Field Check'!$C$25)&gt;0,"",'Dvd Calendar'!$Y$866)))</f>
        <v/>
      </c>
      <c r="CL66" s="85">
        <f>IF(X66="","",IF(ISNUMBER('Dvd Calendar'!$Z$866)=FALSE,"",IF((Summary!$C$13="N")*('Dvd Calendar'!$Z$870='Field Check'!$C$25)&gt;0,"",'Dvd Calendar'!$Z$866)))</f>
        <v/>
      </c>
      <c r="CM66" s="85">
        <f>IF(Y66="","",IF(ISNUMBER('Dvd Calendar'!$AA$866)=FALSE,"",IF((Summary!$C$13="N")*('Dvd Calendar'!$AA$870='Field Check'!$C$25)&gt;0,"",'Dvd Calendar'!$AA$866)))</f>
        <v/>
      </c>
      <c r="CN66" s="85">
        <f>IF(Z66="","",IF(ISNUMBER('Dvd Calendar'!$AB$866)=FALSE,"",IF((Summary!$C$13="N")*('Dvd Calendar'!$AB$870='Field Check'!$C$25)&gt;0,"",'Dvd Calendar'!$AB$866)))</f>
        <v/>
      </c>
      <c r="CO66" s="85">
        <f>IF(AA66="","",IF(ISNUMBER('Dvd Calendar'!$AC$866)=FALSE,"",IF((Summary!$C$13="N")*('Dvd Calendar'!$AC$870='Field Check'!$C$25)&gt;0,"",'Dvd Calendar'!$AC$866)))</f>
        <v/>
      </c>
      <c r="CP66" s="85">
        <f>IF(AB66="","",IF(ISNUMBER('Dvd Calendar'!$AD$866)=FALSE,"",IF((Summary!$C$13="N")*('Dvd Calendar'!$AD$870='Field Check'!$C$25)&gt;0,"",'Dvd Calendar'!$AD$866)))</f>
        <v/>
      </c>
      <c r="CQ66" s="85">
        <f>IF(AC66="","",IF(ISNUMBER('Dvd Calendar'!$AE$866)=FALSE,"",IF((Summary!$C$13="N")*('Dvd Calendar'!$AE$870='Field Check'!$C$25)&gt;0,"",'Dvd Calendar'!$AE$866)))</f>
        <v/>
      </c>
      <c r="CR66" s="85">
        <f>IF(AD66="","",IF(ISNUMBER('Dvd Calendar'!$AF$866)=FALSE,"",IF((Summary!$C$13="N")*('Dvd Calendar'!$AF$870='Field Check'!$C$25)&gt;0,"",'Dvd Calendar'!$AF$866)))</f>
        <v/>
      </c>
      <c r="CS66" s="85">
        <f>IF(AE66="","",IF(ISNUMBER('Dvd Calendar'!$AG$866)=FALSE,"",IF((Summary!$C$13="N")*('Dvd Calendar'!$AG$870='Field Check'!$C$25)&gt;0,"",'Dvd Calendar'!$AG$866)))</f>
        <v/>
      </c>
      <c r="CT66" s="85">
        <f>IF(AF66="","",IF(ISNUMBER('Dvd Calendar'!$AH$866)=FALSE,"",IF((Summary!$C$13="N")*('Dvd Calendar'!$AH$870='Field Check'!$C$25)&gt;0,"",'Dvd Calendar'!$AH$866)))</f>
        <v/>
      </c>
      <c r="CU66" s="85">
        <f>IF(AG66="","",IF(ISNUMBER('Dvd Calendar'!$AI$866)=FALSE,"",IF((Summary!$C$13="N")*('Dvd Calendar'!$AI$870='Field Check'!$C$25)&gt;0,"",'Dvd Calendar'!$AI$866)))</f>
        <v/>
      </c>
      <c r="CV66" s="85">
        <f>IF(AH66="","",IF(ISNUMBER('Dvd Calendar'!$AJ$866)=FALSE,"",IF((Summary!$C$13="N")*('Dvd Calendar'!$AJ$870='Field Check'!$C$25)&gt;0,"",'Dvd Calendar'!$AJ$866)))</f>
        <v/>
      </c>
      <c r="CW66" s="85">
        <f>IF(AI66="","",IF(ISNUMBER('Dvd Calendar'!$AK$866)=FALSE,"",IF((Summary!$C$13="N")*('Dvd Calendar'!$AK$870='Field Check'!$C$25)&gt;0,"",'Dvd Calendar'!$AK$866)))</f>
        <v/>
      </c>
      <c r="CX66" s="85">
        <f>IF(AJ66="","",IF(ISNUMBER('Dvd Calendar'!$AL$866)=FALSE,"",IF((Summary!$C$13="N")*('Dvd Calendar'!$AL$870='Field Check'!$C$25)&gt;0,"",'Dvd Calendar'!$AL$866)))</f>
        <v/>
      </c>
      <c r="CY66" s="85">
        <f>IF(AK66="","",IF(ISNUMBER('Dvd Calendar'!$AM$866)=FALSE,"",IF((Summary!$C$13="N")*('Dvd Calendar'!$AM$870='Field Check'!$C$25)&gt;0,"",'Dvd Calendar'!$AM$866)))</f>
        <v/>
      </c>
      <c r="CZ66" s="85">
        <f>IF(AL66="","",IF(ISNUMBER('Dvd Calendar'!$AN$866)=FALSE,"",IF((Summary!$C$13="N")*('Dvd Calendar'!$AN$870='Field Check'!$C$25)&gt;0,"",'Dvd Calendar'!$AN$866)))</f>
        <v/>
      </c>
      <c r="DA66" s="85">
        <f>IF(AM66="","",IF(ISNUMBER('Dvd Calendar'!$AO$866)=FALSE,"",IF((Summary!$C$13="N")*('Dvd Calendar'!$AO$870='Field Check'!$C$25)&gt;0,"",'Dvd Calendar'!$AO$866)))</f>
        <v/>
      </c>
      <c r="DB66" s="85">
        <f>IF(AN66="","",IF(ISNUMBER('Dvd Calendar'!$AP$866)=FALSE,"",IF((Summary!$C$13="N")*('Dvd Calendar'!$AP$870='Field Check'!$C$25)&gt;0,"",'Dvd Calendar'!$AP$866)))</f>
        <v/>
      </c>
      <c r="DC66" s="85">
        <f>IF(AO66="","",IF(ISNUMBER('Dvd Calendar'!$AQ$866)=FALSE,"",IF((Summary!$C$13="N")*('Dvd Calendar'!$AQ$870='Field Check'!$C$25)&gt;0,"",'Dvd Calendar'!$AQ$866)))</f>
        <v/>
      </c>
      <c r="DD66" s="85">
        <f>IF(AP66="","",IF(ISNUMBER('Dvd Calendar'!$AR$866)=FALSE,"",IF((Summary!$C$13="N")*('Dvd Calendar'!$AR$870='Field Check'!$C$25)&gt;0,"",'Dvd Calendar'!$AR$866)))</f>
        <v/>
      </c>
      <c r="DE66" s="85">
        <f>IF(AQ66="","",IF(ISNUMBER('Dvd Calendar'!$E$873)=FALSE,"",IF((Summary!$C$13="N")*('Dvd Calendar'!$E$877='Field Check'!$C$25)&gt;0,"",'Dvd Calendar'!$E$873)))</f>
        <v/>
      </c>
      <c r="DF66" s="85">
        <f>IF(AR66="","",IF(ISNUMBER('Dvd Calendar'!$F$873)=FALSE,"",IF((Summary!$C$13="N")*('Dvd Calendar'!$F$877='Field Check'!$C$25)&gt;0,"",'Dvd Calendar'!$F$873)))</f>
        <v/>
      </c>
      <c r="DG66" s="85">
        <f>IF(AS66="","",IF(ISNUMBER('Dvd Calendar'!$G$873)=FALSE,"",IF((Summary!$C$13="N")*('Dvd Calendar'!$G$877='Field Check'!$C$25)&gt;0,"",'Dvd Calendar'!$G$873)))</f>
        <v/>
      </c>
      <c r="DH66" s="85">
        <f>IF(AT66="","",IF(ISNUMBER('Dvd Calendar'!$H$873)=FALSE,"",IF((Summary!$C$13="N")*('Dvd Calendar'!$H$877='Field Check'!$C$25)&gt;0,"",'Dvd Calendar'!$H$873)))</f>
        <v/>
      </c>
      <c r="DI66" s="85">
        <f>IF(AU66="","",IF(ISNUMBER('Dvd Calendar'!$I$873)=FALSE,"",IF((Summary!$C$13="N")*('Dvd Calendar'!$I$877='Field Check'!$C$25)&gt;0,"",'Dvd Calendar'!$I$873)))</f>
        <v/>
      </c>
      <c r="DJ66" s="85">
        <f>IF(AV66="","",IF(ISNUMBER('Dvd Calendar'!$J$873)=FALSE,"",IF((Summary!$C$13="N")*('Dvd Calendar'!$J$877='Field Check'!$C$25)&gt;0,"",'Dvd Calendar'!$J$873)))</f>
        <v/>
      </c>
      <c r="DK66" s="85">
        <f>IF(AW66="","",IF(ISNUMBER('Dvd Calendar'!$K$873)=FALSE,"",IF((Summary!$C$13="N")*('Dvd Calendar'!$K$877='Field Check'!$C$25)&gt;0,"",'Dvd Calendar'!$K$873)))</f>
        <v/>
      </c>
      <c r="DL66" s="85">
        <f>IF(AX66="","",IF(ISNUMBER('Dvd Calendar'!$L$873)=FALSE,"",IF((Summary!$C$13="N")*('Dvd Calendar'!$L$877='Field Check'!$C$25)&gt;0,"",'Dvd Calendar'!$L$873)))</f>
        <v/>
      </c>
      <c r="DM66" s="85">
        <f>IF(AY66="","",IF(ISNUMBER('Dvd Calendar'!$M$873)=FALSE,"",IF((Summary!$C$13="N")*('Dvd Calendar'!$M$877='Field Check'!$C$25)&gt;0,"",'Dvd Calendar'!$M$873)))</f>
        <v/>
      </c>
      <c r="DN66" s="85">
        <f>IF(AZ66="","",IF(ISNUMBER('Dvd Calendar'!$N$873)=FALSE,"",IF((Summary!$C$13="N")*('Dvd Calendar'!$N$877='Field Check'!$C$25)&gt;0,"",'Dvd Calendar'!$N$873)))</f>
        <v/>
      </c>
      <c r="DO66" s="85">
        <f>IF(BA66="","",IF(ISNUMBER('Dvd Calendar'!$O$873)=FALSE,"",IF((Summary!$C$13="N")*('Dvd Calendar'!$O$877='Field Check'!$C$25)&gt;0,"",'Dvd Calendar'!$O$873)))</f>
        <v/>
      </c>
      <c r="DP66" s="85">
        <f>IF(BB66="","",IF(ISNUMBER('Dvd Calendar'!$P$873)=FALSE,"",IF((Summary!$C$13="N")*('Dvd Calendar'!$P$877='Field Check'!$C$25)&gt;0,"",'Dvd Calendar'!$P$873)))</f>
        <v/>
      </c>
      <c r="DQ66" s="85">
        <f>IF(BC66="","",IF(ISNUMBER('Dvd Calendar'!$Q$873)=FALSE,"",IF((Summary!$C$13="N")*('Dvd Calendar'!$Q$877='Field Check'!$C$25)&gt;0,"",'Dvd Calendar'!$Q$873)))</f>
        <v/>
      </c>
      <c r="DR66" s="85">
        <f>IF(BD66="","",IF(ISNUMBER('Dvd Calendar'!$R$873)=FALSE,"",IF((Summary!$C$13="N")*('Dvd Calendar'!$R$877='Field Check'!$C$25)&gt;0,"",'Dvd Calendar'!$R$873)))</f>
        <v/>
      </c>
      <c r="DS66" s="85">
        <f>IF(BE66="","",IF(ISNUMBER('Dvd Calendar'!$S$873)=FALSE,"",IF((Summary!$C$13="N")*('Dvd Calendar'!$S$877='Field Check'!$C$25)&gt;0,"",'Dvd Calendar'!$S$873)))</f>
        <v/>
      </c>
      <c r="DT66" s="85">
        <f>IF(BF66="","",IF(ISNUMBER('Dvd Calendar'!$T$873)=FALSE,"",IF((Summary!$C$13="N")*('Dvd Calendar'!$T$877='Field Check'!$C$25)&gt;0,"",'Dvd Calendar'!$T$873)))</f>
        <v/>
      </c>
      <c r="DU66" s="85">
        <f>IF(BG66="","",IF(ISNUMBER('Dvd Calendar'!$U$873)=FALSE,"",IF((Summary!$C$13="N")*('Dvd Calendar'!$U$877='Field Check'!$C$25)&gt;0,"",'Dvd Calendar'!$U$873)))</f>
        <v/>
      </c>
      <c r="DV66" s="85">
        <f>IF(BH66="","",IF(ISNUMBER('Dvd Calendar'!$V$873)=FALSE,"",IF((Summary!$C$13="N")*('Dvd Calendar'!$V$877='Field Check'!$C$25)&gt;0,"",'Dvd Calendar'!$V$873)))</f>
        <v/>
      </c>
      <c r="DW66" s="85">
        <f>IF(BI66="","",IF(ISNUMBER('Dvd Calendar'!$W$873)=FALSE,"",IF((Summary!$C$13="N")*('Dvd Calendar'!$W$877='Field Check'!$C$25)&gt;0,"",'Dvd Calendar'!$W$873)))</f>
        <v/>
      </c>
      <c r="DX66" s="85">
        <f>IF(BJ66="","",IF(ISNUMBER('Dvd Calendar'!$X$873)=FALSE,"",IF((Summary!$C$13="N")*('Dvd Calendar'!$X$877='Field Check'!$C$25)&gt;0,"",'Dvd Calendar'!$X$873)))</f>
        <v/>
      </c>
      <c r="DY66" s="85">
        <f>IF(BK66="","",IF(ISNUMBER('Dvd Calendar'!$Y$873)=FALSE,"",IF((Summary!$C$13="N")*('Dvd Calendar'!$Y$877='Field Check'!$C$25)&gt;0,"",'Dvd Calendar'!$Y$873)))</f>
        <v/>
      </c>
      <c r="DZ66" s="85">
        <f>IF(BL66="","",IF(ISNUMBER('Dvd Calendar'!$Z$873)=FALSE,"",IF((Summary!$C$13="N")*('Dvd Calendar'!$Z$877='Field Check'!$C$25)&gt;0,"",'Dvd Calendar'!$Z$873)))</f>
        <v/>
      </c>
      <c r="EA66" s="85">
        <f>IF(BM66="","",IF(ISNUMBER('Dvd Calendar'!$AA$873)=FALSE,"",IF((Summary!$C$13="N")*('Dvd Calendar'!$AA$877='Field Check'!$C$25)&gt;0,"",'Dvd Calendar'!$AA$873)))</f>
        <v/>
      </c>
      <c r="EB66" s="85">
        <f>IF(BN66="","",IF(ISNUMBER('Dvd Calendar'!$AB$873)=FALSE,"",IF((Summary!$C$13="N")*('Dvd Calendar'!$AB$877='Field Check'!$C$25)&gt;0,"",'Dvd Calendar'!$AB$873)))</f>
        <v/>
      </c>
      <c r="EC66" s="85">
        <f>IF(BO66="","",IF(ISNUMBER('Dvd Calendar'!$AC$873)=FALSE,"",IF((Summary!$C$13="N")*('Dvd Calendar'!$AC$877='Field Check'!$C$25)&gt;0,"",'Dvd Calendar'!$AC$873)))</f>
        <v/>
      </c>
      <c r="EE66" s="85">
        <f>IF(BQ66="","",IFERROR(BQ66*HSI!$B$64*HSI!$G$64/HSI!$B$3,""))</f>
        <v/>
      </c>
      <c r="EF66" s="85">
        <f>IF(BR66="","",IFERROR(BR66*HSI!$B$64*HSI!$G$64/HSI!$B$3,""))</f>
        <v/>
      </c>
      <c r="EG66" s="85">
        <f>IF(BS66="","",IFERROR(BS66*HSI!$B$64*HSI!$G$64/HSI!$B$3,""))</f>
        <v/>
      </c>
      <c r="EH66" s="85">
        <f>IF(BT66="","",IFERROR(BT66*HSI!$B$64*HSI!$G$64/HSI!$B$3,""))</f>
        <v/>
      </c>
      <c r="EI66" s="85">
        <f>IF(BU66="","",IFERROR(BU66*HSI!$B$64*HSI!$G$64/HSI!$B$3,""))</f>
        <v/>
      </c>
      <c r="EJ66" s="85">
        <f>IF(BV66="","",IFERROR(BV66*HSI!$B$64*HSI!$G$64/HSI!$B$3,""))</f>
        <v/>
      </c>
      <c r="EK66" s="85">
        <f>IF(BW66="","",IFERROR(BW66*HSI!$B$64*HSI!$G$64/HSI!$B$3,""))</f>
        <v/>
      </c>
      <c r="EL66" s="85">
        <f>IF(BX66="","",IFERROR(BX66*HSI!$B$64*HSI!$G$64/HSI!$B$3,""))</f>
        <v/>
      </c>
      <c r="EM66" s="85">
        <f>IF(BY66="","",IFERROR(BY66*HSI!$B$64*HSI!$G$64/HSI!$B$3,""))</f>
        <v/>
      </c>
      <c r="EN66" s="85">
        <f>IF(BZ66="","",IFERROR(BZ66*HSI!$B$64*HSI!$G$64/HSI!$B$3,""))</f>
        <v/>
      </c>
      <c r="EO66" s="85">
        <f>IF(CA66="","",IFERROR(CA66*HSI!$B$64*HSI!$G$64/HSI!$B$3,""))</f>
        <v/>
      </c>
      <c r="EP66" s="85">
        <f>IF(CB66="","",IFERROR(CB66*HSI!$B$64*HSI!$G$64/HSI!$B$3,""))</f>
        <v/>
      </c>
      <c r="EQ66" s="85">
        <f>IF(CC66="","",IFERROR(CC66*HSI!$B$64*HSI!$G$64/HSI!$B$3,""))</f>
        <v/>
      </c>
      <c r="ER66" s="85">
        <f>IF(CD66="","",IFERROR(CD66*HSI!$B$64*HSI!$G$64/HSI!$B$3,""))</f>
        <v/>
      </c>
      <c r="ES66" s="85">
        <f>IF(CE66="","",IFERROR(CE66*HSI!$B$64*HSI!$G$64/HSI!$B$3,""))</f>
        <v/>
      </c>
      <c r="ET66" s="85">
        <f>IF(CF66="","",IFERROR(CF66*HSI!$B$64*HSI!$G$64/HSI!$B$3,""))</f>
        <v/>
      </c>
      <c r="EU66" s="85">
        <f>IF(CG66="","",IFERROR(CG66*HSI!$B$64*HSI!$G$64/HSI!$B$3,""))</f>
        <v/>
      </c>
      <c r="EV66" s="85">
        <f>IF(CH66="","",IFERROR(CH66*HSI!$B$64*HSI!$G$64/HSI!$B$3,""))</f>
        <v/>
      </c>
      <c r="EW66" s="85">
        <f>IF(CI66="","",IFERROR(CI66*HSI!$B$64*HSI!$G$64/HSI!$B$3,""))</f>
        <v/>
      </c>
      <c r="EX66" s="85">
        <f>IF(CJ66="","",IFERROR(CJ66*HSI!$B$64*HSI!$G$64/HSI!$B$3,""))</f>
        <v/>
      </c>
      <c r="EY66" s="85">
        <f>IF(CK66="","",IFERROR(CK66*HSI!$B$64*HSI!$G$64/HSI!$B$3,""))</f>
        <v/>
      </c>
      <c r="EZ66" s="85">
        <f>IF(CL66="","",IFERROR(CL66*HSI!$B$64*HSI!$G$64/HSI!$B$3,""))</f>
        <v/>
      </c>
      <c r="FA66" s="85">
        <f>IF(CM66="","",IFERROR(CM66*HSI!$B$64*HSI!$G$64/HSI!$B$3,""))</f>
        <v/>
      </c>
      <c r="FB66" s="85">
        <f>IF(CN66="","",IFERROR(CN66*HSI!$B$64*HSI!$G$64/HSI!$B$3,""))</f>
        <v/>
      </c>
      <c r="FC66" s="85">
        <f>IF(CO66="","",IFERROR(CO66*HSI!$B$64*HSI!$G$64/HSI!$B$3,""))</f>
        <v/>
      </c>
      <c r="FD66" s="85">
        <f>IF(CP66="","",IFERROR(CP66*HSI!$B$64*HSI!$G$64/HSI!$B$3,""))</f>
        <v/>
      </c>
      <c r="FE66" s="85">
        <f>IF(CQ66="","",IFERROR(CQ66*HSI!$B$64*HSI!$G$64/HSI!$B$3,""))</f>
        <v/>
      </c>
      <c r="FF66" s="85">
        <f>IF(CR66="","",IFERROR(CR66*HSI!$B$64*HSI!$G$64/HSI!$B$3,""))</f>
        <v/>
      </c>
      <c r="FG66" s="85">
        <f>IF(CS66="","",IFERROR(CS66*HSI!$B$64*HSI!$G$64/HSI!$B$3,""))</f>
        <v/>
      </c>
      <c r="FH66" s="85">
        <f>IF(CT66="","",IFERROR(CT66*HSI!$B$64*HSI!$G$64/HSI!$B$3,""))</f>
        <v/>
      </c>
      <c r="FI66" s="85">
        <f>IF(CU66="","",IFERROR(CU66*HSI!$B$64*HSI!$G$64/HSI!$B$3,""))</f>
        <v/>
      </c>
      <c r="FJ66" s="85">
        <f>IF(CV66="","",IFERROR(CV66*HSI!$B$64*HSI!$G$64/HSI!$B$3,""))</f>
        <v/>
      </c>
      <c r="FK66" s="85">
        <f>IF(CW66="","",IFERROR(CW66*HSI!$B$64*HSI!$G$64/HSI!$B$3,""))</f>
        <v/>
      </c>
      <c r="FL66" s="85">
        <f>IF(CX66="","",IFERROR(CX66*HSI!$B$64*HSI!$G$64/HSI!$B$3,""))</f>
        <v/>
      </c>
      <c r="FM66" s="85">
        <f>IF(CY66="","",IFERROR(CY66*HSI!$B$64*HSI!$G$64/HSI!$B$3,""))</f>
        <v/>
      </c>
      <c r="FN66" s="85">
        <f>IF(CZ66="","",IFERROR(CZ66*HSI!$B$64*HSI!$G$64/HSI!$B$3,""))</f>
        <v/>
      </c>
      <c r="FO66" s="85">
        <f>IF(DA66="","",IFERROR(DA66*HSI!$B$64*HSI!$G$64/HSI!$B$3,""))</f>
        <v/>
      </c>
      <c r="FP66" s="85">
        <f>IF(DB66="","",IFERROR(DB66*HSI!$B$64*HSI!$G$64/HSI!$B$3,""))</f>
        <v/>
      </c>
      <c r="FQ66" s="85">
        <f>IF(DC66="","",IFERROR(DC66*HSI!$B$64*HSI!$G$64/HSI!$B$3,""))</f>
        <v/>
      </c>
      <c r="FR66" s="85">
        <f>IF(DD66="","",IFERROR(DD66*HSI!$B$64*HSI!$G$64/HSI!$B$3,""))</f>
        <v/>
      </c>
      <c r="FS66" s="85">
        <f>IF(DE66="","",IFERROR(DE66*HSI!$B$64*HSI!$G$64/HSI!$B$3,""))</f>
        <v/>
      </c>
      <c r="FT66" s="85">
        <f>IF(DF66="","",IFERROR(DF66*HSI!$B$64*HSI!$G$64/HSI!$B$3,""))</f>
        <v/>
      </c>
      <c r="FU66" s="85">
        <f>IF(DG66="","",IFERROR(DG66*HSI!$B$64*HSI!$G$64/HSI!$B$3,""))</f>
        <v/>
      </c>
      <c r="FV66" s="85">
        <f>IF(DH66="","",IFERROR(DH66*HSI!$B$64*HSI!$G$64/HSI!$B$3,""))</f>
        <v/>
      </c>
      <c r="FW66" s="85">
        <f>IF(DI66="","",IFERROR(DI66*HSI!$B$64*HSI!$G$64/HSI!$B$3,""))</f>
        <v/>
      </c>
      <c r="FX66" s="85">
        <f>IF(DJ66="","",IFERROR(DJ66*HSI!$B$64*HSI!$G$64/HSI!$B$3,""))</f>
        <v/>
      </c>
      <c r="FY66" s="85">
        <f>IF(DK66="","",IFERROR(DK66*HSI!$B$64*HSI!$G$64/HSI!$B$3,""))</f>
        <v/>
      </c>
      <c r="FZ66" s="85">
        <f>IF(DL66="","",IFERROR(DL66*HSI!$B$64*HSI!$G$64/HSI!$B$3,""))</f>
        <v/>
      </c>
      <c r="GA66" s="85">
        <f>IF(DM66="","",IFERROR(DM66*HSI!$B$64*HSI!$G$64/HSI!$B$3,""))</f>
        <v/>
      </c>
      <c r="GB66" s="85">
        <f>IF(DN66="","",IFERROR(DN66*HSI!$B$64*HSI!$G$64/HSI!$B$3,""))</f>
        <v/>
      </c>
      <c r="GC66" s="85">
        <f>IF(DO66="","",IFERROR(DO66*HSI!$B$64*HSI!$G$64/HSI!$B$3,""))</f>
        <v/>
      </c>
      <c r="GD66" s="85">
        <f>IF(DP66="","",IFERROR(DP66*HSI!$B$64*HSI!$G$64/HSI!$B$3,""))</f>
        <v/>
      </c>
      <c r="GE66" s="85">
        <f>IF(DQ66="","",IFERROR(DQ66*HSI!$B$64*HSI!$G$64/HSI!$B$3,""))</f>
        <v/>
      </c>
      <c r="GF66" s="85">
        <f>IF(DR66="","",IFERROR(DR66*HSI!$B$64*HSI!$G$64/HSI!$B$3,""))</f>
        <v/>
      </c>
      <c r="GG66" s="85">
        <f>IF(DS66="","",IFERROR(DS66*HSI!$B$64*HSI!$G$64/HSI!$B$3,""))</f>
        <v/>
      </c>
      <c r="GH66" s="85">
        <f>IF(DT66="","",IFERROR(DT66*HSI!$B$64*HSI!$G$64/HSI!$B$3,""))</f>
        <v/>
      </c>
      <c r="GI66" s="85">
        <f>IF(DU66="","",IFERROR(DU66*HSI!$B$64*HSI!$G$64/HSI!$B$3,""))</f>
        <v/>
      </c>
      <c r="GJ66" s="85">
        <f>IF(DV66="","",IFERROR(DV66*HSI!$B$64*HSI!$G$64/HSI!$B$3,""))</f>
        <v/>
      </c>
      <c r="GK66" s="85">
        <f>IF(DW66="","",IFERROR(DW66*HSI!$B$64*HSI!$G$64/HSI!$B$3,""))</f>
        <v/>
      </c>
      <c r="GL66" s="85">
        <f>IF(DX66="","",IFERROR(DX66*HSI!$B$64*HSI!$G$64/HSI!$B$3,""))</f>
        <v/>
      </c>
      <c r="GM66" s="85">
        <f>IF(DY66="","",IFERROR(DY66*HSI!$B$64*HSI!$G$64/HSI!$B$3,""))</f>
        <v/>
      </c>
      <c r="GN66" s="85">
        <f>IF(DZ66="","",IFERROR(DZ66*HSI!$B$64*HSI!$G$64/HSI!$B$3,""))</f>
        <v/>
      </c>
      <c r="GO66" s="85">
        <f>IF(EA66="","",IFERROR(EA66*HSI!$B$64*HSI!$G$64/HSI!$B$3,""))</f>
        <v/>
      </c>
      <c r="GP66" s="85">
        <f>IF(EB66="","",IFERROR(EB66*HSI!$B$64*HSI!$G$64/HSI!$B$3,""))</f>
        <v/>
      </c>
      <c r="GQ66" s="85">
        <f>IF(EC66="","",IFERROR(EC66*HSI!$B$64*HSI!$G$64/HSI!$B$3,""))</f>
        <v/>
      </c>
    </row>
    <row r="67">
      <c r="B67" s="2">
        <f>IF(HSI!$C$65="","",HSI!$C$65)</f>
        <v/>
      </c>
      <c r="C67" s="41">
        <f>IF(N('Dvd Calendar'!$E$880)=0,"",IF(('Dvd Calendar'!$E$880&gt;=MIN(DATE(Summary!$C$12,1,1),Summary!$C$11))*('Dvd Calendar'!$E$880&lt;=MAX(DATE(Summary!$C$12,12,31),Summary!$C$15))*('Dvd Calendar'!$E$880&lt;=Summary!$C$11)=0,"",'Dvd Calendar'!$E$880*1000000000+ISNUMBER('Dvd Calendar'!$E$881)*100000000+('Dvd Calendar'!$E$885='Field Check'!$C$25)*10000000+(N('Dvd Calendar'!$E$879)&gt;0)*1000000+59*1000+1))</f>
        <v/>
      </c>
      <c r="D67" s="41">
        <f>IF(N('Dvd Calendar'!$F$880)=0,"",IF(('Dvd Calendar'!$F$880&gt;=MIN(DATE(Summary!$C$12,1,1),Summary!$C$11))*('Dvd Calendar'!$F$880&lt;=MAX(DATE(Summary!$C$12,12,31),Summary!$C$15))*('Dvd Calendar'!$F$880&lt;=Summary!$C$11)=0,"",'Dvd Calendar'!$F$880*1000000000+ISNUMBER('Dvd Calendar'!$F$881)*100000000+('Dvd Calendar'!$F$885='Field Check'!$C$25)*10000000+(N('Dvd Calendar'!$F$879)&gt;0)*1000000+59*1000+2))</f>
        <v/>
      </c>
      <c r="E67" s="41">
        <f>IF(N('Dvd Calendar'!$G$880)=0,"",IF(('Dvd Calendar'!$G$880&gt;=MIN(DATE(Summary!$C$12,1,1),Summary!$C$11))*('Dvd Calendar'!$G$880&lt;=MAX(DATE(Summary!$C$12,12,31),Summary!$C$15))*('Dvd Calendar'!$G$880&lt;=Summary!$C$11)=0,"",'Dvd Calendar'!$G$880*1000000000+ISNUMBER('Dvd Calendar'!$G$881)*100000000+('Dvd Calendar'!$G$885='Field Check'!$C$25)*10000000+(N('Dvd Calendar'!$G$879)&gt;0)*1000000+59*1000+3))</f>
        <v/>
      </c>
      <c r="F67" s="41">
        <f>IF(N('Dvd Calendar'!$H$880)=0,"",IF(('Dvd Calendar'!$H$880&gt;=MIN(DATE(Summary!$C$12,1,1),Summary!$C$11))*('Dvd Calendar'!$H$880&lt;=MAX(DATE(Summary!$C$12,12,31),Summary!$C$15))*('Dvd Calendar'!$H$880&lt;=Summary!$C$11)=0,"",'Dvd Calendar'!$H$880*1000000000+ISNUMBER('Dvd Calendar'!$H$881)*100000000+('Dvd Calendar'!$H$885='Field Check'!$C$25)*10000000+(N('Dvd Calendar'!$H$879)&gt;0)*1000000+59*1000+4))</f>
        <v/>
      </c>
      <c r="G67" s="41">
        <f>IF(N('Dvd Calendar'!$I$880)=0,"",IF(('Dvd Calendar'!$I$880&gt;=MIN(DATE(Summary!$C$12,1,1),Summary!$C$11))*('Dvd Calendar'!$I$880&lt;=MAX(DATE(Summary!$C$12,12,31),Summary!$C$15))*('Dvd Calendar'!$I$880&lt;=Summary!$C$11)=0,"",'Dvd Calendar'!$I$880*1000000000+ISNUMBER('Dvd Calendar'!$I$881)*100000000+('Dvd Calendar'!$I$885='Field Check'!$C$25)*10000000+(N('Dvd Calendar'!$I$879)&gt;0)*1000000+59*1000+5))</f>
        <v/>
      </c>
      <c r="H67" s="41">
        <f>IF(N('Dvd Calendar'!$J$880)=0,"",IF(('Dvd Calendar'!$J$880&gt;=MIN(DATE(Summary!$C$12,1,1),Summary!$C$11))*('Dvd Calendar'!$J$880&lt;=MAX(DATE(Summary!$C$12,12,31),Summary!$C$15))*('Dvd Calendar'!$J$880&lt;=Summary!$C$11)=0,"",'Dvd Calendar'!$J$880*1000000000+ISNUMBER('Dvd Calendar'!$J$881)*100000000+('Dvd Calendar'!$J$885='Field Check'!$C$25)*10000000+(N('Dvd Calendar'!$J$879)&gt;0)*1000000+59*1000+6))</f>
        <v/>
      </c>
      <c r="I67" s="41">
        <f>IF(N('Dvd Calendar'!$K$880)=0,"",IF(('Dvd Calendar'!$K$880&gt;=MIN(DATE(Summary!$C$12,1,1),Summary!$C$11))*('Dvd Calendar'!$K$880&lt;=MAX(DATE(Summary!$C$12,12,31),Summary!$C$15))*('Dvd Calendar'!$K$880&lt;=Summary!$C$11)=0,"",'Dvd Calendar'!$K$880*1000000000+ISNUMBER('Dvd Calendar'!$K$881)*100000000+('Dvd Calendar'!$K$885='Field Check'!$C$25)*10000000+(N('Dvd Calendar'!$K$879)&gt;0)*1000000+59*1000+7))</f>
        <v/>
      </c>
      <c r="J67" s="41">
        <f>IF(N('Dvd Calendar'!$L$880)=0,"",IF(('Dvd Calendar'!$L$880&gt;=MIN(DATE(Summary!$C$12,1,1),Summary!$C$11))*('Dvd Calendar'!$L$880&lt;=MAX(DATE(Summary!$C$12,12,31),Summary!$C$15))*('Dvd Calendar'!$L$880&lt;=Summary!$C$11)=0,"",'Dvd Calendar'!$L$880*1000000000+ISNUMBER('Dvd Calendar'!$L$881)*100000000+('Dvd Calendar'!$L$885='Field Check'!$C$25)*10000000+(N('Dvd Calendar'!$L$879)&gt;0)*1000000+59*1000+8))</f>
        <v/>
      </c>
      <c r="K67" s="41">
        <f>IF(N('Dvd Calendar'!$M$880)=0,"",IF(('Dvd Calendar'!$M$880&gt;=MIN(DATE(Summary!$C$12,1,1),Summary!$C$11))*('Dvd Calendar'!$M$880&lt;=MAX(DATE(Summary!$C$12,12,31),Summary!$C$15))*('Dvd Calendar'!$M$880&lt;=Summary!$C$11)=0,"",'Dvd Calendar'!$M$880*1000000000+ISNUMBER('Dvd Calendar'!$M$881)*100000000+('Dvd Calendar'!$M$885='Field Check'!$C$25)*10000000+(N('Dvd Calendar'!$M$879)&gt;0)*1000000+59*1000+9))</f>
        <v/>
      </c>
      <c r="L67" s="41">
        <f>IF(N('Dvd Calendar'!$N$880)=0,"",IF(('Dvd Calendar'!$N$880&gt;=MIN(DATE(Summary!$C$12,1,1),Summary!$C$11))*('Dvd Calendar'!$N$880&lt;=MAX(DATE(Summary!$C$12,12,31),Summary!$C$15))*('Dvd Calendar'!$N$880&lt;=Summary!$C$11)=0,"",'Dvd Calendar'!$N$880*1000000000+ISNUMBER('Dvd Calendar'!$N$881)*100000000+('Dvd Calendar'!$N$885='Field Check'!$C$25)*10000000+(N('Dvd Calendar'!$N$879)&gt;0)*1000000+59*1000+10))</f>
        <v/>
      </c>
      <c r="M67" s="41">
        <f>IF(N('Dvd Calendar'!$O$880)=0,"",IF(('Dvd Calendar'!$O$880&gt;=MIN(DATE(Summary!$C$12,1,1),Summary!$C$11))*('Dvd Calendar'!$O$880&lt;=MAX(DATE(Summary!$C$12,12,31),Summary!$C$15))*('Dvd Calendar'!$O$880&lt;=Summary!$C$11)=0,"",'Dvd Calendar'!$O$880*1000000000+ISNUMBER('Dvd Calendar'!$O$881)*100000000+('Dvd Calendar'!$O$885='Field Check'!$C$25)*10000000+(N('Dvd Calendar'!$O$879)&gt;0)*1000000+59*1000+11))</f>
        <v/>
      </c>
      <c r="N67" s="41">
        <f>IF(N('Dvd Calendar'!$P$880)=0,"",IF(('Dvd Calendar'!$P$880&gt;=MIN(DATE(Summary!$C$12,1,1),Summary!$C$11))*('Dvd Calendar'!$P$880&lt;=MAX(DATE(Summary!$C$12,12,31),Summary!$C$15))*('Dvd Calendar'!$P$880&lt;=Summary!$C$11)=0,"",'Dvd Calendar'!$P$880*1000000000+ISNUMBER('Dvd Calendar'!$P$881)*100000000+('Dvd Calendar'!$P$885='Field Check'!$C$25)*10000000+(N('Dvd Calendar'!$P$879)&gt;0)*1000000+59*1000+12))</f>
        <v/>
      </c>
      <c r="O67" s="41">
        <f>IF(N('Dvd Calendar'!$Q$880)=0,"",IF(('Dvd Calendar'!$Q$880&gt;=MIN(DATE(Summary!$C$12,1,1),Summary!$C$11))*('Dvd Calendar'!$Q$880&lt;=MAX(DATE(Summary!$C$12,12,31),Summary!$C$15))*('Dvd Calendar'!$Q$880&lt;=Summary!$C$11)=0,"",'Dvd Calendar'!$Q$880*1000000000+ISNUMBER('Dvd Calendar'!$Q$881)*100000000+('Dvd Calendar'!$Q$885='Field Check'!$C$25)*10000000+(N('Dvd Calendar'!$Q$879)&gt;0)*1000000+59*1000+13))</f>
        <v/>
      </c>
      <c r="P67" s="41">
        <f>IF(N('Dvd Calendar'!$R$880)=0,"",IF(('Dvd Calendar'!$R$880&gt;=MIN(DATE(Summary!$C$12,1,1),Summary!$C$11))*('Dvd Calendar'!$R$880&lt;=MAX(DATE(Summary!$C$12,12,31),Summary!$C$15))*('Dvd Calendar'!$R$880&lt;=Summary!$C$11)=0,"",'Dvd Calendar'!$R$880*1000000000+ISNUMBER('Dvd Calendar'!$R$881)*100000000+('Dvd Calendar'!$R$885='Field Check'!$C$25)*10000000+(N('Dvd Calendar'!$R$879)&gt;0)*1000000+59*1000+14))</f>
        <v/>
      </c>
      <c r="Q67" s="41">
        <f>IF(N('Dvd Calendar'!$S$880)=0,"",IF(('Dvd Calendar'!$S$880&gt;=MIN(DATE(Summary!$C$12,1,1),Summary!$C$11))*('Dvd Calendar'!$S$880&lt;=MAX(DATE(Summary!$C$12,12,31),Summary!$C$15))*('Dvd Calendar'!$S$880&lt;=Summary!$C$11)=0,"",'Dvd Calendar'!$S$880*1000000000+ISNUMBER('Dvd Calendar'!$S$881)*100000000+('Dvd Calendar'!$S$885='Field Check'!$C$25)*10000000+(N('Dvd Calendar'!$S$879)&gt;0)*1000000+59*1000+15))</f>
        <v/>
      </c>
      <c r="R67" s="41">
        <f>IF(N('Dvd Calendar'!$T$880)=0,"",IF(('Dvd Calendar'!$T$880&gt;=MIN(DATE(Summary!$C$12,1,1),Summary!$C$11))*('Dvd Calendar'!$T$880&lt;=MAX(DATE(Summary!$C$12,12,31),Summary!$C$15))*('Dvd Calendar'!$T$880&lt;=Summary!$C$11)=0,"",'Dvd Calendar'!$T$880*1000000000+ISNUMBER('Dvd Calendar'!$T$881)*100000000+('Dvd Calendar'!$T$885='Field Check'!$C$25)*10000000+(N('Dvd Calendar'!$T$879)&gt;0)*1000000+59*1000+16))</f>
        <v/>
      </c>
      <c r="S67" s="41">
        <f>IF(N('Dvd Calendar'!$U$880)=0,"",IF(('Dvd Calendar'!$U$880&gt;=MIN(DATE(Summary!$C$12,1,1),Summary!$C$11))*('Dvd Calendar'!$U$880&lt;=MAX(DATE(Summary!$C$12,12,31),Summary!$C$15))*('Dvd Calendar'!$U$880&lt;=Summary!$C$11)=0,"",'Dvd Calendar'!$U$880*1000000000+ISNUMBER('Dvd Calendar'!$U$881)*100000000+('Dvd Calendar'!$U$885='Field Check'!$C$25)*10000000+(N('Dvd Calendar'!$U$879)&gt;0)*1000000+59*1000+17))</f>
        <v/>
      </c>
      <c r="T67" s="41">
        <f>IF(N('Dvd Calendar'!$V$880)=0,"",IF(('Dvd Calendar'!$V$880&gt;=MIN(DATE(Summary!$C$12,1,1),Summary!$C$11))*('Dvd Calendar'!$V$880&lt;=MAX(DATE(Summary!$C$12,12,31),Summary!$C$15))*('Dvd Calendar'!$V$880&lt;=Summary!$C$11)=0,"",'Dvd Calendar'!$V$880*1000000000+ISNUMBER('Dvd Calendar'!$V$881)*100000000+('Dvd Calendar'!$V$885='Field Check'!$C$25)*10000000+(N('Dvd Calendar'!$V$879)&gt;0)*1000000+59*1000+18))</f>
        <v/>
      </c>
      <c r="U67" s="41">
        <f>IF(N('Dvd Calendar'!$W$880)=0,"",IF(('Dvd Calendar'!$W$880&gt;=MIN(DATE(Summary!$C$12,1,1),Summary!$C$11))*('Dvd Calendar'!$W$880&lt;=MAX(DATE(Summary!$C$12,12,31),Summary!$C$15))*('Dvd Calendar'!$W$880&lt;=Summary!$C$11)=0,"",'Dvd Calendar'!$W$880*1000000000+ISNUMBER('Dvd Calendar'!$W$881)*100000000+('Dvd Calendar'!$W$885='Field Check'!$C$25)*10000000+(N('Dvd Calendar'!$W$879)&gt;0)*1000000+59*1000+19))</f>
        <v/>
      </c>
      <c r="V67" s="41">
        <f>IF(N('Dvd Calendar'!$X$880)=0,"",IF(('Dvd Calendar'!$X$880&gt;=MIN(DATE(Summary!$C$12,1,1),Summary!$C$11))*('Dvd Calendar'!$X$880&lt;=MAX(DATE(Summary!$C$12,12,31),Summary!$C$15))*('Dvd Calendar'!$X$880&lt;=Summary!$C$11)=0,"",'Dvd Calendar'!$X$880*1000000000+ISNUMBER('Dvd Calendar'!$X$881)*100000000+('Dvd Calendar'!$X$885='Field Check'!$C$25)*10000000+(N('Dvd Calendar'!$X$879)&gt;0)*1000000+59*1000+20))</f>
        <v/>
      </c>
      <c r="W67" s="41">
        <f>IF(N('Dvd Calendar'!$Y$880)=0,"",IF(('Dvd Calendar'!$Y$880&gt;=MIN(DATE(Summary!$C$12,1,1),Summary!$C$11))*('Dvd Calendar'!$Y$880&lt;=MAX(DATE(Summary!$C$12,12,31),Summary!$C$15))*('Dvd Calendar'!$Y$880&lt;=Summary!$C$11)=0,"",'Dvd Calendar'!$Y$880*1000000000+ISNUMBER('Dvd Calendar'!$Y$881)*100000000+('Dvd Calendar'!$Y$885='Field Check'!$C$25)*10000000+(N('Dvd Calendar'!$Y$879)&gt;0)*1000000+59*1000+21))</f>
        <v/>
      </c>
      <c r="X67" s="41">
        <f>IF(N('Dvd Calendar'!$Z$880)=0,"",IF(('Dvd Calendar'!$Z$880&gt;=MIN(DATE(Summary!$C$12,1,1),Summary!$C$11))*('Dvd Calendar'!$Z$880&lt;=MAX(DATE(Summary!$C$12,12,31),Summary!$C$15))*('Dvd Calendar'!$Z$880&lt;=Summary!$C$11)=0,"",'Dvd Calendar'!$Z$880*1000000000+ISNUMBER('Dvd Calendar'!$Z$881)*100000000+('Dvd Calendar'!$Z$885='Field Check'!$C$25)*10000000+(N('Dvd Calendar'!$Z$879)&gt;0)*1000000+59*1000+22))</f>
        <v/>
      </c>
      <c r="Y67" s="41">
        <f>IF(N('Dvd Calendar'!$AA$880)=0,"",IF(('Dvd Calendar'!$AA$880&gt;=MIN(DATE(Summary!$C$12,1,1),Summary!$C$11))*('Dvd Calendar'!$AA$880&lt;=MAX(DATE(Summary!$C$12,12,31),Summary!$C$15))*('Dvd Calendar'!$AA$880&lt;=Summary!$C$11)=0,"",'Dvd Calendar'!$AA$880*1000000000+ISNUMBER('Dvd Calendar'!$AA$881)*100000000+('Dvd Calendar'!$AA$885='Field Check'!$C$25)*10000000+(N('Dvd Calendar'!$AA$879)&gt;0)*1000000+59*1000+23))</f>
        <v/>
      </c>
      <c r="Z67" s="41">
        <f>IF(N('Dvd Calendar'!$AB$880)=0,"",IF(('Dvd Calendar'!$AB$880&gt;=MIN(DATE(Summary!$C$12,1,1),Summary!$C$11))*('Dvd Calendar'!$AB$880&lt;=MAX(DATE(Summary!$C$12,12,31),Summary!$C$15))*('Dvd Calendar'!$AB$880&lt;=Summary!$C$11)=0,"",'Dvd Calendar'!$AB$880*1000000000+ISNUMBER('Dvd Calendar'!$AB$881)*100000000+('Dvd Calendar'!$AB$885='Field Check'!$C$25)*10000000+(N('Dvd Calendar'!$AB$879)&gt;0)*1000000+59*1000+24))</f>
        <v/>
      </c>
      <c r="AA67" s="41">
        <f>IF(N('Dvd Calendar'!$AC$880)=0,"",IF(('Dvd Calendar'!$AC$880&gt;=MIN(DATE(Summary!$C$12,1,1),Summary!$C$11))*('Dvd Calendar'!$AC$880&lt;=MAX(DATE(Summary!$C$12,12,31),Summary!$C$15))*('Dvd Calendar'!$AC$880&lt;=Summary!$C$11)=0,"",'Dvd Calendar'!$AC$880*1000000000+ISNUMBER('Dvd Calendar'!$AC$881)*100000000+('Dvd Calendar'!$AC$885='Field Check'!$C$25)*10000000+(N('Dvd Calendar'!$AC$879)&gt;0)*1000000+59*1000+25))</f>
        <v/>
      </c>
      <c r="AB67" s="41">
        <f>IF(N('Dvd Calendar'!$AD$880)=0,"",IF(('Dvd Calendar'!$AD$880&gt;=MIN(DATE(Summary!$C$12,1,1),Summary!$C$11))*('Dvd Calendar'!$AD$880&lt;=MAX(DATE(Summary!$C$12,12,31),Summary!$C$15))*('Dvd Calendar'!$AD$880&lt;=Summary!$C$11)=0,"",'Dvd Calendar'!$AD$880*1000000000+ISNUMBER('Dvd Calendar'!$AD$881)*100000000+('Dvd Calendar'!$AD$885='Field Check'!$C$25)*10000000+(N('Dvd Calendar'!$AD$879)&gt;0)*1000000+59*1000+26))</f>
        <v/>
      </c>
      <c r="AC67" s="41">
        <f>IF(N('Dvd Calendar'!$AE$880)=0,"",IF(('Dvd Calendar'!$AE$880&gt;=MIN(DATE(Summary!$C$12,1,1),Summary!$C$11))*('Dvd Calendar'!$AE$880&lt;=MAX(DATE(Summary!$C$12,12,31),Summary!$C$15))*('Dvd Calendar'!$AE$880&lt;=Summary!$C$11)=0,"",'Dvd Calendar'!$AE$880*1000000000+ISNUMBER('Dvd Calendar'!$AE$881)*100000000+('Dvd Calendar'!$AE$885='Field Check'!$C$25)*10000000+(N('Dvd Calendar'!$AE$879)&gt;0)*1000000+59*1000+27))</f>
        <v/>
      </c>
      <c r="AD67" s="41">
        <f>IF(N('Dvd Calendar'!$AF$880)=0,"",IF(('Dvd Calendar'!$AF$880&gt;=MIN(DATE(Summary!$C$12,1,1),Summary!$C$11))*('Dvd Calendar'!$AF$880&lt;=MAX(DATE(Summary!$C$12,12,31),Summary!$C$15))*('Dvd Calendar'!$AF$880&lt;=Summary!$C$11)=0,"",'Dvd Calendar'!$AF$880*1000000000+ISNUMBER('Dvd Calendar'!$AF$881)*100000000+('Dvd Calendar'!$AF$885='Field Check'!$C$25)*10000000+(N('Dvd Calendar'!$AF$879)&gt;0)*1000000+59*1000+28))</f>
        <v/>
      </c>
      <c r="AE67" s="41">
        <f>IF(N('Dvd Calendar'!$AG$880)=0,"",IF(('Dvd Calendar'!$AG$880&gt;=MIN(DATE(Summary!$C$12,1,1),Summary!$C$11))*('Dvd Calendar'!$AG$880&lt;=MAX(DATE(Summary!$C$12,12,31),Summary!$C$15))*('Dvd Calendar'!$AG$880&lt;=Summary!$C$11)=0,"",'Dvd Calendar'!$AG$880*1000000000+ISNUMBER('Dvd Calendar'!$AG$881)*100000000+('Dvd Calendar'!$AG$885='Field Check'!$C$25)*10000000+(N('Dvd Calendar'!$AG$879)&gt;0)*1000000+59*1000+29))</f>
        <v/>
      </c>
      <c r="AF67" s="41">
        <f>IF(N('Dvd Calendar'!$AH$880)=0,"",IF(('Dvd Calendar'!$AH$880&gt;=MIN(DATE(Summary!$C$12,1,1),Summary!$C$11))*('Dvd Calendar'!$AH$880&lt;=MAX(DATE(Summary!$C$12,12,31),Summary!$C$15))*('Dvd Calendar'!$AH$880&lt;=Summary!$C$11)=0,"",'Dvd Calendar'!$AH$880*1000000000+ISNUMBER('Dvd Calendar'!$AH$881)*100000000+('Dvd Calendar'!$AH$885='Field Check'!$C$25)*10000000+(N('Dvd Calendar'!$AH$879)&gt;0)*1000000+59*1000+30))</f>
        <v/>
      </c>
      <c r="AG67" s="41">
        <f>IF(N('Dvd Calendar'!$AI$880)=0,"",IF(('Dvd Calendar'!$AI$880&gt;=MIN(DATE(Summary!$C$12,1,1),Summary!$C$11))*('Dvd Calendar'!$AI$880&lt;=MAX(DATE(Summary!$C$12,12,31),Summary!$C$15))*('Dvd Calendar'!$AI$880&lt;=Summary!$C$11)=0,"",'Dvd Calendar'!$AI$880*1000000000+ISNUMBER('Dvd Calendar'!$AI$881)*100000000+('Dvd Calendar'!$AI$885='Field Check'!$C$25)*10000000+(N('Dvd Calendar'!$AI$879)&gt;0)*1000000+59*1000+31))</f>
        <v/>
      </c>
      <c r="AH67" s="41">
        <f>IF(N('Dvd Calendar'!$AJ$880)=0,"",IF(('Dvd Calendar'!$AJ$880&gt;=MIN(DATE(Summary!$C$12,1,1),Summary!$C$11))*('Dvd Calendar'!$AJ$880&lt;=MAX(DATE(Summary!$C$12,12,31),Summary!$C$15))*('Dvd Calendar'!$AJ$880&lt;=Summary!$C$11)=0,"",'Dvd Calendar'!$AJ$880*1000000000+ISNUMBER('Dvd Calendar'!$AJ$881)*100000000+('Dvd Calendar'!$AJ$885='Field Check'!$C$25)*10000000+(N('Dvd Calendar'!$AJ$879)&gt;0)*1000000+59*1000+32))</f>
        <v/>
      </c>
      <c r="AI67" s="41">
        <f>IF(N('Dvd Calendar'!$AK$880)=0,"",IF(('Dvd Calendar'!$AK$880&gt;=MIN(DATE(Summary!$C$12,1,1),Summary!$C$11))*('Dvd Calendar'!$AK$880&lt;=MAX(DATE(Summary!$C$12,12,31),Summary!$C$15))*('Dvd Calendar'!$AK$880&lt;=Summary!$C$11)=0,"",'Dvd Calendar'!$AK$880*1000000000+ISNUMBER('Dvd Calendar'!$AK$881)*100000000+('Dvd Calendar'!$AK$885='Field Check'!$C$25)*10000000+(N('Dvd Calendar'!$AK$879)&gt;0)*1000000+59*1000+33))</f>
        <v/>
      </c>
      <c r="AJ67" s="41">
        <f>IF(N('Dvd Calendar'!$AL$880)=0,"",IF(('Dvd Calendar'!$AL$880&gt;=MIN(DATE(Summary!$C$12,1,1),Summary!$C$11))*('Dvd Calendar'!$AL$880&lt;=MAX(DATE(Summary!$C$12,12,31),Summary!$C$15))*('Dvd Calendar'!$AL$880&lt;=Summary!$C$11)=0,"",'Dvd Calendar'!$AL$880*1000000000+ISNUMBER('Dvd Calendar'!$AL$881)*100000000+('Dvd Calendar'!$AL$885='Field Check'!$C$25)*10000000+(N('Dvd Calendar'!$AL$879)&gt;0)*1000000+59*1000+34))</f>
        <v/>
      </c>
      <c r="AK67" s="41">
        <f>IF(N('Dvd Calendar'!$AM$880)=0,"",IF(('Dvd Calendar'!$AM$880&gt;=MIN(DATE(Summary!$C$12,1,1),Summary!$C$11))*('Dvd Calendar'!$AM$880&lt;=MAX(DATE(Summary!$C$12,12,31),Summary!$C$15))*('Dvd Calendar'!$AM$880&lt;=Summary!$C$11)=0,"",'Dvd Calendar'!$AM$880*1000000000+ISNUMBER('Dvd Calendar'!$AM$881)*100000000+('Dvd Calendar'!$AM$885='Field Check'!$C$25)*10000000+(N('Dvd Calendar'!$AM$879)&gt;0)*1000000+59*1000+35))</f>
        <v/>
      </c>
      <c r="AL67" s="41">
        <f>IF(N('Dvd Calendar'!$AN$880)=0,"",IF(('Dvd Calendar'!$AN$880&gt;=MIN(DATE(Summary!$C$12,1,1),Summary!$C$11))*('Dvd Calendar'!$AN$880&lt;=MAX(DATE(Summary!$C$12,12,31),Summary!$C$15))*('Dvd Calendar'!$AN$880&lt;=Summary!$C$11)=0,"",'Dvd Calendar'!$AN$880*1000000000+ISNUMBER('Dvd Calendar'!$AN$881)*100000000+('Dvd Calendar'!$AN$885='Field Check'!$C$25)*10000000+(N('Dvd Calendar'!$AN$879)&gt;0)*1000000+59*1000+36))</f>
        <v/>
      </c>
      <c r="AM67" s="41">
        <f>IF(N('Dvd Calendar'!$AO$880)=0,"",IF(('Dvd Calendar'!$AO$880&gt;=MIN(DATE(Summary!$C$12,1,1),Summary!$C$11))*('Dvd Calendar'!$AO$880&lt;=MAX(DATE(Summary!$C$12,12,31),Summary!$C$15))*('Dvd Calendar'!$AO$880&lt;=Summary!$C$11)=0,"",'Dvd Calendar'!$AO$880*1000000000+ISNUMBER('Dvd Calendar'!$AO$881)*100000000+('Dvd Calendar'!$AO$885='Field Check'!$C$25)*10000000+(N('Dvd Calendar'!$AO$879)&gt;0)*1000000+59*1000+37))</f>
        <v/>
      </c>
      <c r="AN67" s="41">
        <f>IF(N('Dvd Calendar'!$AP$880)=0,"",IF(('Dvd Calendar'!$AP$880&gt;=MIN(DATE(Summary!$C$12,1,1),Summary!$C$11))*('Dvd Calendar'!$AP$880&lt;=MAX(DATE(Summary!$C$12,12,31),Summary!$C$15))*('Dvd Calendar'!$AP$880&lt;=Summary!$C$11)=0,"",'Dvd Calendar'!$AP$880*1000000000+ISNUMBER('Dvd Calendar'!$AP$881)*100000000+('Dvd Calendar'!$AP$885='Field Check'!$C$25)*10000000+(N('Dvd Calendar'!$AP$879)&gt;0)*1000000+59*1000+38))</f>
        <v/>
      </c>
      <c r="AO67" s="41">
        <f>IF(N('Dvd Calendar'!$AQ$880)=0,"",IF(('Dvd Calendar'!$AQ$880&gt;=MIN(DATE(Summary!$C$12,1,1),Summary!$C$11))*('Dvd Calendar'!$AQ$880&lt;=MAX(DATE(Summary!$C$12,12,31),Summary!$C$15))*('Dvd Calendar'!$AQ$880&lt;=Summary!$C$11)=0,"",'Dvd Calendar'!$AQ$880*1000000000+ISNUMBER('Dvd Calendar'!$AQ$881)*100000000+('Dvd Calendar'!$AQ$885='Field Check'!$C$25)*10000000+(N('Dvd Calendar'!$AQ$879)&gt;0)*1000000+59*1000+39))</f>
        <v/>
      </c>
      <c r="AP67" s="41">
        <f>IF(N('Dvd Calendar'!$AR$880)=0,"",IF(('Dvd Calendar'!$AR$880&gt;=MIN(DATE(Summary!$C$12,1,1),Summary!$C$11))*('Dvd Calendar'!$AR$880&lt;=MAX(DATE(Summary!$C$12,12,31),Summary!$C$15))*('Dvd Calendar'!$AR$880&lt;=Summary!$C$11)=0,"",'Dvd Calendar'!$AR$880*1000000000+ISNUMBER('Dvd Calendar'!$AR$881)*100000000+('Dvd Calendar'!$AR$885='Field Check'!$C$25)*10000000+(N('Dvd Calendar'!$AR$879)&gt;0)*1000000+59*1000+40))</f>
        <v/>
      </c>
      <c r="AQ67" s="41">
        <f>IF(N('Dvd Calendar'!$E$887)=0,"",IF(('Dvd Calendar'!$E$887&gt;=MIN(DATE(Summary!$C$12,1,1),Summary!$C$11))*('Dvd Calendar'!$E$887&lt;=MAX(DATE(Summary!$C$12,12,31),Summary!$C$15))*('Dvd Calendar'!$E$887&gt;Summary!$C$11)=0,"",'Dvd Calendar'!$E$887*1000000000+ISNUMBER('Dvd Calendar'!$E$888)*100000000+('Dvd Calendar'!$E$892='Field Check'!$C$25)*10000000+(N('Dvd Calendar'!$E$886)&gt;0)*1000000+59*1000+41))</f>
        <v/>
      </c>
      <c r="AR67" s="41">
        <f>IF(N('Dvd Calendar'!$F$887)=0,"",IF(('Dvd Calendar'!$F$887&gt;=MIN(DATE(Summary!$C$12,1,1),Summary!$C$11))*('Dvd Calendar'!$F$887&lt;=MAX(DATE(Summary!$C$12,12,31),Summary!$C$15))*('Dvd Calendar'!$F$887&gt;Summary!$C$11)=0,"",'Dvd Calendar'!$F$887*1000000000+ISNUMBER('Dvd Calendar'!$F$888)*100000000+('Dvd Calendar'!$F$892='Field Check'!$C$25)*10000000+(N('Dvd Calendar'!$F$886)&gt;0)*1000000+59*1000+42))</f>
        <v/>
      </c>
      <c r="AS67" s="41">
        <f>IF(N('Dvd Calendar'!$G$887)=0,"",IF(('Dvd Calendar'!$G$887&gt;=MIN(DATE(Summary!$C$12,1,1),Summary!$C$11))*('Dvd Calendar'!$G$887&lt;=MAX(DATE(Summary!$C$12,12,31),Summary!$C$15))*('Dvd Calendar'!$G$887&gt;Summary!$C$11)=0,"",'Dvd Calendar'!$G$887*1000000000+ISNUMBER('Dvd Calendar'!$G$888)*100000000+('Dvd Calendar'!$G$892='Field Check'!$C$25)*10000000+(N('Dvd Calendar'!$G$886)&gt;0)*1000000+59*1000+43))</f>
        <v/>
      </c>
      <c r="AT67" s="41">
        <f>IF(N('Dvd Calendar'!$H$887)=0,"",IF(('Dvd Calendar'!$H$887&gt;=MIN(DATE(Summary!$C$12,1,1),Summary!$C$11))*('Dvd Calendar'!$H$887&lt;=MAX(DATE(Summary!$C$12,12,31),Summary!$C$15))*('Dvd Calendar'!$H$887&gt;Summary!$C$11)=0,"",'Dvd Calendar'!$H$887*1000000000+ISNUMBER('Dvd Calendar'!$H$888)*100000000+('Dvd Calendar'!$H$892='Field Check'!$C$25)*10000000+(N('Dvd Calendar'!$H$886)&gt;0)*1000000+59*1000+44))</f>
        <v/>
      </c>
      <c r="AU67" s="41">
        <f>IF(N('Dvd Calendar'!$I$887)=0,"",IF(('Dvd Calendar'!$I$887&gt;=MIN(DATE(Summary!$C$12,1,1),Summary!$C$11))*('Dvd Calendar'!$I$887&lt;=MAX(DATE(Summary!$C$12,12,31),Summary!$C$15))*('Dvd Calendar'!$I$887&gt;Summary!$C$11)=0,"",'Dvd Calendar'!$I$887*1000000000+ISNUMBER('Dvd Calendar'!$I$888)*100000000+('Dvd Calendar'!$I$892='Field Check'!$C$25)*10000000+(N('Dvd Calendar'!$I$886)&gt;0)*1000000+59*1000+45))</f>
        <v/>
      </c>
      <c r="AV67" s="41">
        <f>IF(N('Dvd Calendar'!$J$887)=0,"",IF(('Dvd Calendar'!$J$887&gt;=MIN(DATE(Summary!$C$12,1,1),Summary!$C$11))*('Dvd Calendar'!$J$887&lt;=MAX(DATE(Summary!$C$12,12,31),Summary!$C$15))*('Dvd Calendar'!$J$887&gt;Summary!$C$11)=0,"",'Dvd Calendar'!$J$887*1000000000+ISNUMBER('Dvd Calendar'!$J$888)*100000000+('Dvd Calendar'!$J$892='Field Check'!$C$25)*10000000+(N('Dvd Calendar'!$J$886)&gt;0)*1000000+59*1000+46))</f>
        <v/>
      </c>
      <c r="AW67" s="41">
        <f>IF(N('Dvd Calendar'!$K$887)=0,"",IF(('Dvd Calendar'!$K$887&gt;=MIN(DATE(Summary!$C$12,1,1),Summary!$C$11))*('Dvd Calendar'!$K$887&lt;=MAX(DATE(Summary!$C$12,12,31),Summary!$C$15))*('Dvd Calendar'!$K$887&gt;Summary!$C$11)=0,"",'Dvd Calendar'!$K$887*1000000000+ISNUMBER('Dvd Calendar'!$K$888)*100000000+('Dvd Calendar'!$K$892='Field Check'!$C$25)*10000000+(N('Dvd Calendar'!$K$886)&gt;0)*1000000+59*1000+47))</f>
        <v/>
      </c>
      <c r="AX67" s="41">
        <f>IF(N('Dvd Calendar'!$L$887)=0,"",IF(('Dvd Calendar'!$L$887&gt;=MIN(DATE(Summary!$C$12,1,1),Summary!$C$11))*('Dvd Calendar'!$L$887&lt;=MAX(DATE(Summary!$C$12,12,31),Summary!$C$15))*('Dvd Calendar'!$L$887&gt;Summary!$C$11)=0,"",'Dvd Calendar'!$L$887*1000000000+ISNUMBER('Dvd Calendar'!$L$888)*100000000+('Dvd Calendar'!$L$892='Field Check'!$C$25)*10000000+(N('Dvd Calendar'!$L$886)&gt;0)*1000000+59*1000+48))</f>
        <v/>
      </c>
      <c r="AY67" s="41">
        <f>IF(N('Dvd Calendar'!$M$887)=0,"",IF(('Dvd Calendar'!$M$887&gt;=MIN(DATE(Summary!$C$12,1,1),Summary!$C$11))*('Dvd Calendar'!$M$887&lt;=MAX(DATE(Summary!$C$12,12,31),Summary!$C$15))*('Dvd Calendar'!$M$887&gt;Summary!$C$11)=0,"",'Dvd Calendar'!$M$887*1000000000+ISNUMBER('Dvd Calendar'!$M$888)*100000000+('Dvd Calendar'!$M$892='Field Check'!$C$25)*10000000+(N('Dvd Calendar'!$M$886)&gt;0)*1000000+59*1000+49))</f>
        <v/>
      </c>
      <c r="AZ67" s="41">
        <f>IF(N('Dvd Calendar'!$N$887)=0,"",IF(('Dvd Calendar'!$N$887&gt;=MIN(DATE(Summary!$C$12,1,1),Summary!$C$11))*('Dvd Calendar'!$N$887&lt;=MAX(DATE(Summary!$C$12,12,31),Summary!$C$15))*('Dvd Calendar'!$N$887&gt;Summary!$C$11)=0,"",'Dvd Calendar'!$N$887*1000000000+ISNUMBER('Dvd Calendar'!$N$888)*100000000+('Dvd Calendar'!$N$892='Field Check'!$C$25)*10000000+(N('Dvd Calendar'!$N$886)&gt;0)*1000000+59*1000+50))</f>
        <v/>
      </c>
      <c r="BA67" s="41">
        <f>IF(N('Dvd Calendar'!$O$887)=0,"",IF(('Dvd Calendar'!$O$887&gt;=MIN(DATE(Summary!$C$12,1,1),Summary!$C$11))*('Dvd Calendar'!$O$887&lt;=MAX(DATE(Summary!$C$12,12,31),Summary!$C$15))*('Dvd Calendar'!$O$887&gt;Summary!$C$11)=0,"",'Dvd Calendar'!$O$887*1000000000+ISNUMBER('Dvd Calendar'!$O$888)*100000000+('Dvd Calendar'!$O$892='Field Check'!$C$25)*10000000+(N('Dvd Calendar'!$O$886)&gt;0)*1000000+59*1000+51))</f>
        <v/>
      </c>
      <c r="BB67" s="41">
        <f>IF(N('Dvd Calendar'!$P$887)=0,"",IF(('Dvd Calendar'!$P$887&gt;=MIN(DATE(Summary!$C$12,1,1),Summary!$C$11))*('Dvd Calendar'!$P$887&lt;=MAX(DATE(Summary!$C$12,12,31),Summary!$C$15))*('Dvd Calendar'!$P$887&gt;Summary!$C$11)=0,"",'Dvd Calendar'!$P$887*1000000000+ISNUMBER('Dvd Calendar'!$P$888)*100000000+('Dvd Calendar'!$P$892='Field Check'!$C$25)*10000000+(N('Dvd Calendar'!$P$886)&gt;0)*1000000+59*1000+52))</f>
        <v/>
      </c>
      <c r="BC67" s="41">
        <f>IF(N('Dvd Calendar'!$Q$887)=0,"",IF(('Dvd Calendar'!$Q$887&gt;=MIN(DATE(Summary!$C$12,1,1),Summary!$C$11))*('Dvd Calendar'!$Q$887&lt;=MAX(DATE(Summary!$C$12,12,31),Summary!$C$15))*('Dvd Calendar'!$Q$887&gt;Summary!$C$11)=0,"",'Dvd Calendar'!$Q$887*1000000000+ISNUMBER('Dvd Calendar'!$Q$888)*100000000+('Dvd Calendar'!$Q$892='Field Check'!$C$25)*10000000+(N('Dvd Calendar'!$Q$886)&gt;0)*1000000+59*1000+53))</f>
        <v/>
      </c>
      <c r="BD67" s="41">
        <f>IF(N('Dvd Calendar'!$R$887)=0,"",IF(('Dvd Calendar'!$R$887&gt;=MIN(DATE(Summary!$C$12,1,1),Summary!$C$11))*('Dvd Calendar'!$R$887&lt;=MAX(DATE(Summary!$C$12,12,31),Summary!$C$15))*('Dvd Calendar'!$R$887&gt;Summary!$C$11)=0,"",'Dvd Calendar'!$R$887*1000000000+ISNUMBER('Dvd Calendar'!$R$888)*100000000+('Dvd Calendar'!$R$892='Field Check'!$C$25)*10000000+(N('Dvd Calendar'!$R$886)&gt;0)*1000000+59*1000+54))</f>
        <v/>
      </c>
      <c r="BE67" s="41">
        <f>IF(N('Dvd Calendar'!$S$887)=0,"",IF(('Dvd Calendar'!$S$887&gt;=MIN(DATE(Summary!$C$12,1,1),Summary!$C$11))*('Dvd Calendar'!$S$887&lt;=MAX(DATE(Summary!$C$12,12,31),Summary!$C$15))*('Dvd Calendar'!$S$887&gt;Summary!$C$11)=0,"",'Dvd Calendar'!$S$887*1000000000+ISNUMBER('Dvd Calendar'!$S$888)*100000000+('Dvd Calendar'!$S$892='Field Check'!$C$25)*10000000+(N('Dvd Calendar'!$S$886)&gt;0)*1000000+59*1000+55))</f>
        <v/>
      </c>
      <c r="BF67" s="41">
        <f>IF(N('Dvd Calendar'!$T$887)=0,"",IF(('Dvd Calendar'!$T$887&gt;=MIN(DATE(Summary!$C$12,1,1),Summary!$C$11))*('Dvd Calendar'!$T$887&lt;=MAX(DATE(Summary!$C$12,12,31),Summary!$C$15))*('Dvd Calendar'!$T$887&gt;Summary!$C$11)=0,"",'Dvd Calendar'!$T$887*1000000000+ISNUMBER('Dvd Calendar'!$T$888)*100000000+('Dvd Calendar'!$T$892='Field Check'!$C$25)*10000000+(N('Dvd Calendar'!$T$886)&gt;0)*1000000+59*1000+56))</f>
        <v/>
      </c>
      <c r="BG67" s="41">
        <f>IF(N('Dvd Calendar'!$U$887)=0,"",IF(('Dvd Calendar'!$U$887&gt;=MIN(DATE(Summary!$C$12,1,1),Summary!$C$11))*('Dvd Calendar'!$U$887&lt;=MAX(DATE(Summary!$C$12,12,31),Summary!$C$15))*('Dvd Calendar'!$U$887&gt;Summary!$C$11)=0,"",'Dvd Calendar'!$U$887*1000000000+ISNUMBER('Dvd Calendar'!$U$888)*100000000+('Dvd Calendar'!$U$892='Field Check'!$C$25)*10000000+(N('Dvd Calendar'!$U$886)&gt;0)*1000000+59*1000+57))</f>
        <v/>
      </c>
      <c r="BH67" s="41">
        <f>IF(N('Dvd Calendar'!$V$887)=0,"",IF(('Dvd Calendar'!$V$887&gt;=MIN(DATE(Summary!$C$12,1,1),Summary!$C$11))*('Dvd Calendar'!$V$887&lt;=MAX(DATE(Summary!$C$12,12,31),Summary!$C$15))*('Dvd Calendar'!$V$887&gt;Summary!$C$11)=0,"",'Dvd Calendar'!$V$887*1000000000+ISNUMBER('Dvd Calendar'!$V$888)*100000000+('Dvd Calendar'!$V$892='Field Check'!$C$25)*10000000+(N('Dvd Calendar'!$V$886)&gt;0)*1000000+59*1000+58))</f>
        <v/>
      </c>
      <c r="BI67" s="41">
        <f>IF(N('Dvd Calendar'!$W$887)=0,"",IF(('Dvd Calendar'!$W$887&gt;=MIN(DATE(Summary!$C$12,1,1),Summary!$C$11))*('Dvd Calendar'!$W$887&lt;=MAX(DATE(Summary!$C$12,12,31),Summary!$C$15))*('Dvd Calendar'!$W$887&gt;Summary!$C$11)=0,"",'Dvd Calendar'!$W$887*1000000000+ISNUMBER('Dvd Calendar'!$W$888)*100000000+('Dvd Calendar'!$W$892='Field Check'!$C$25)*10000000+(N('Dvd Calendar'!$W$886)&gt;0)*1000000+59*1000+59))</f>
        <v/>
      </c>
      <c r="BJ67" s="41">
        <f>IF(N('Dvd Calendar'!$X$887)=0,"",IF(('Dvd Calendar'!$X$887&gt;=MIN(DATE(Summary!$C$12,1,1),Summary!$C$11))*('Dvd Calendar'!$X$887&lt;=MAX(DATE(Summary!$C$12,12,31),Summary!$C$15))*('Dvd Calendar'!$X$887&gt;Summary!$C$11)=0,"",'Dvd Calendar'!$X$887*1000000000+ISNUMBER('Dvd Calendar'!$X$888)*100000000+('Dvd Calendar'!$X$892='Field Check'!$C$25)*10000000+(N('Dvd Calendar'!$X$886)&gt;0)*1000000+59*1000+60))</f>
        <v/>
      </c>
      <c r="BK67" s="41">
        <f>IF(N('Dvd Calendar'!$Y$887)=0,"",IF(('Dvd Calendar'!$Y$887&gt;=MIN(DATE(Summary!$C$12,1,1),Summary!$C$11))*('Dvd Calendar'!$Y$887&lt;=MAX(DATE(Summary!$C$12,12,31),Summary!$C$15))*('Dvd Calendar'!$Y$887&gt;Summary!$C$11)=0,"",'Dvd Calendar'!$Y$887*1000000000+ISNUMBER('Dvd Calendar'!$Y$888)*100000000+('Dvd Calendar'!$Y$892='Field Check'!$C$25)*10000000+(N('Dvd Calendar'!$Y$886)&gt;0)*1000000+59*1000+61))</f>
        <v/>
      </c>
      <c r="BL67" s="41">
        <f>IF(N('Dvd Calendar'!$Z$887)=0,"",IF(('Dvd Calendar'!$Z$887&gt;=MIN(DATE(Summary!$C$12,1,1),Summary!$C$11))*('Dvd Calendar'!$Z$887&lt;=MAX(DATE(Summary!$C$12,12,31),Summary!$C$15))*('Dvd Calendar'!$Z$887&gt;Summary!$C$11)=0,"",'Dvd Calendar'!$Z$887*1000000000+ISNUMBER('Dvd Calendar'!$Z$888)*100000000+('Dvd Calendar'!$Z$892='Field Check'!$C$25)*10000000+(N('Dvd Calendar'!$Z$886)&gt;0)*1000000+59*1000+62))</f>
        <v/>
      </c>
      <c r="BM67" s="41">
        <f>IF(N('Dvd Calendar'!$AA$887)=0,"",IF(('Dvd Calendar'!$AA$887&gt;=MIN(DATE(Summary!$C$12,1,1),Summary!$C$11))*('Dvd Calendar'!$AA$887&lt;=MAX(DATE(Summary!$C$12,12,31),Summary!$C$15))*('Dvd Calendar'!$AA$887&gt;Summary!$C$11)=0,"",'Dvd Calendar'!$AA$887*1000000000+ISNUMBER('Dvd Calendar'!$AA$888)*100000000+('Dvd Calendar'!$AA$892='Field Check'!$C$25)*10000000+(N('Dvd Calendar'!$AA$886)&gt;0)*1000000+59*1000+63))</f>
        <v/>
      </c>
      <c r="BN67" s="41">
        <f>IF(N('Dvd Calendar'!$AB$887)=0,"",IF(('Dvd Calendar'!$AB$887&gt;=MIN(DATE(Summary!$C$12,1,1),Summary!$C$11))*('Dvd Calendar'!$AB$887&lt;=MAX(DATE(Summary!$C$12,12,31),Summary!$C$15))*('Dvd Calendar'!$AB$887&gt;Summary!$C$11)=0,"",'Dvd Calendar'!$AB$887*1000000000+ISNUMBER('Dvd Calendar'!$AB$888)*100000000+('Dvd Calendar'!$AB$892='Field Check'!$C$25)*10000000+(N('Dvd Calendar'!$AB$886)&gt;0)*1000000+59*1000+64))</f>
        <v/>
      </c>
      <c r="BO67" s="41">
        <f>IF(N('Dvd Calendar'!$AC$887)=0,"",IF(('Dvd Calendar'!$AC$887&gt;=MIN(DATE(Summary!$C$12,1,1),Summary!$C$11))*('Dvd Calendar'!$AC$887&lt;=MAX(DATE(Summary!$C$12,12,31),Summary!$C$15))*('Dvd Calendar'!$AC$887&gt;Summary!$C$11)=0,"",'Dvd Calendar'!$AC$887*1000000000+ISNUMBER('Dvd Calendar'!$AC$888)*100000000+('Dvd Calendar'!$AC$892='Field Check'!$C$25)*10000000+(N('Dvd Calendar'!$AC$886)&gt;0)*1000000+59*1000+65))</f>
        <v/>
      </c>
      <c r="BQ67" s="85">
        <f>IF(C67="","",IF(ISNUMBER('Dvd Calendar'!$E$881)=FALSE,"",IF((Summary!$C$13="N")*('Dvd Calendar'!$E$885='Field Check'!$C$25)&gt;0,"",'Dvd Calendar'!$E$881)))</f>
        <v/>
      </c>
      <c r="BR67" s="85">
        <f>IF(D67="","",IF(ISNUMBER('Dvd Calendar'!$F$881)=FALSE,"",IF((Summary!$C$13="N")*('Dvd Calendar'!$F$885='Field Check'!$C$25)&gt;0,"",'Dvd Calendar'!$F$881)))</f>
        <v/>
      </c>
      <c r="BS67" s="85">
        <f>IF(E67="","",IF(ISNUMBER('Dvd Calendar'!$G$881)=FALSE,"",IF((Summary!$C$13="N")*('Dvd Calendar'!$G$885='Field Check'!$C$25)&gt;0,"",'Dvd Calendar'!$G$881)))</f>
        <v/>
      </c>
      <c r="BT67" s="85">
        <f>IF(F67="","",IF(ISNUMBER('Dvd Calendar'!$H$881)=FALSE,"",IF((Summary!$C$13="N")*('Dvd Calendar'!$H$885='Field Check'!$C$25)&gt;0,"",'Dvd Calendar'!$H$881)))</f>
        <v/>
      </c>
      <c r="BU67" s="85">
        <f>IF(G67="","",IF(ISNUMBER('Dvd Calendar'!$I$881)=FALSE,"",IF((Summary!$C$13="N")*('Dvd Calendar'!$I$885='Field Check'!$C$25)&gt;0,"",'Dvd Calendar'!$I$881)))</f>
        <v/>
      </c>
      <c r="BV67" s="85">
        <f>IF(H67="","",IF(ISNUMBER('Dvd Calendar'!$J$881)=FALSE,"",IF((Summary!$C$13="N")*('Dvd Calendar'!$J$885='Field Check'!$C$25)&gt;0,"",'Dvd Calendar'!$J$881)))</f>
        <v/>
      </c>
      <c r="BW67" s="85">
        <f>IF(I67="","",IF(ISNUMBER('Dvd Calendar'!$K$881)=FALSE,"",IF((Summary!$C$13="N")*('Dvd Calendar'!$K$885='Field Check'!$C$25)&gt;0,"",'Dvd Calendar'!$K$881)))</f>
        <v/>
      </c>
      <c r="BX67" s="85">
        <f>IF(J67="","",IF(ISNUMBER('Dvd Calendar'!$L$881)=FALSE,"",IF((Summary!$C$13="N")*('Dvd Calendar'!$L$885='Field Check'!$C$25)&gt;0,"",'Dvd Calendar'!$L$881)))</f>
        <v/>
      </c>
      <c r="BY67" s="85">
        <f>IF(K67="","",IF(ISNUMBER('Dvd Calendar'!$M$881)=FALSE,"",IF((Summary!$C$13="N")*('Dvd Calendar'!$M$885='Field Check'!$C$25)&gt;0,"",'Dvd Calendar'!$M$881)))</f>
        <v/>
      </c>
      <c r="BZ67" s="85">
        <f>IF(L67="","",IF(ISNUMBER('Dvd Calendar'!$N$881)=FALSE,"",IF((Summary!$C$13="N")*('Dvd Calendar'!$N$885='Field Check'!$C$25)&gt;0,"",'Dvd Calendar'!$N$881)))</f>
        <v/>
      </c>
      <c r="CA67" s="85">
        <f>IF(M67="","",IF(ISNUMBER('Dvd Calendar'!$O$881)=FALSE,"",IF((Summary!$C$13="N")*('Dvd Calendar'!$O$885='Field Check'!$C$25)&gt;0,"",'Dvd Calendar'!$O$881)))</f>
        <v/>
      </c>
      <c r="CB67" s="85">
        <f>IF(N67="","",IF(ISNUMBER('Dvd Calendar'!$P$881)=FALSE,"",IF((Summary!$C$13="N")*('Dvd Calendar'!$P$885='Field Check'!$C$25)&gt;0,"",'Dvd Calendar'!$P$881)))</f>
        <v/>
      </c>
      <c r="CC67" s="85">
        <f>IF(O67="","",IF(ISNUMBER('Dvd Calendar'!$Q$881)=FALSE,"",IF((Summary!$C$13="N")*('Dvd Calendar'!$Q$885='Field Check'!$C$25)&gt;0,"",'Dvd Calendar'!$Q$881)))</f>
        <v/>
      </c>
      <c r="CD67" s="85">
        <f>IF(P67="","",IF(ISNUMBER('Dvd Calendar'!$R$881)=FALSE,"",IF((Summary!$C$13="N")*('Dvd Calendar'!$R$885='Field Check'!$C$25)&gt;0,"",'Dvd Calendar'!$R$881)))</f>
        <v/>
      </c>
      <c r="CE67" s="85">
        <f>IF(Q67="","",IF(ISNUMBER('Dvd Calendar'!$S$881)=FALSE,"",IF((Summary!$C$13="N")*('Dvd Calendar'!$S$885='Field Check'!$C$25)&gt;0,"",'Dvd Calendar'!$S$881)))</f>
        <v/>
      </c>
      <c r="CF67" s="85">
        <f>IF(R67="","",IF(ISNUMBER('Dvd Calendar'!$T$881)=FALSE,"",IF((Summary!$C$13="N")*('Dvd Calendar'!$T$885='Field Check'!$C$25)&gt;0,"",'Dvd Calendar'!$T$881)))</f>
        <v/>
      </c>
      <c r="CG67" s="85">
        <f>IF(S67="","",IF(ISNUMBER('Dvd Calendar'!$U$881)=FALSE,"",IF((Summary!$C$13="N")*('Dvd Calendar'!$U$885='Field Check'!$C$25)&gt;0,"",'Dvd Calendar'!$U$881)))</f>
        <v/>
      </c>
      <c r="CH67" s="85">
        <f>IF(T67="","",IF(ISNUMBER('Dvd Calendar'!$V$881)=FALSE,"",IF((Summary!$C$13="N")*('Dvd Calendar'!$V$885='Field Check'!$C$25)&gt;0,"",'Dvd Calendar'!$V$881)))</f>
        <v/>
      </c>
      <c r="CI67" s="85">
        <f>IF(U67="","",IF(ISNUMBER('Dvd Calendar'!$W$881)=FALSE,"",IF((Summary!$C$13="N")*('Dvd Calendar'!$W$885='Field Check'!$C$25)&gt;0,"",'Dvd Calendar'!$W$881)))</f>
        <v/>
      </c>
      <c r="CJ67" s="85">
        <f>IF(V67="","",IF(ISNUMBER('Dvd Calendar'!$X$881)=FALSE,"",IF((Summary!$C$13="N")*('Dvd Calendar'!$X$885='Field Check'!$C$25)&gt;0,"",'Dvd Calendar'!$X$881)))</f>
        <v/>
      </c>
      <c r="CK67" s="85">
        <f>IF(W67="","",IF(ISNUMBER('Dvd Calendar'!$Y$881)=FALSE,"",IF((Summary!$C$13="N")*('Dvd Calendar'!$Y$885='Field Check'!$C$25)&gt;0,"",'Dvd Calendar'!$Y$881)))</f>
        <v/>
      </c>
      <c r="CL67" s="85">
        <f>IF(X67="","",IF(ISNUMBER('Dvd Calendar'!$Z$881)=FALSE,"",IF((Summary!$C$13="N")*('Dvd Calendar'!$Z$885='Field Check'!$C$25)&gt;0,"",'Dvd Calendar'!$Z$881)))</f>
        <v/>
      </c>
      <c r="CM67" s="85">
        <f>IF(Y67="","",IF(ISNUMBER('Dvd Calendar'!$AA$881)=FALSE,"",IF((Summary!$C$13="N")*('Dvd Calendar'!$AA$885='Field Check'!$C$25)&gt;0,"",'Dvd Calendar'!$AA$881)))</f>
        <v/>
      </c>
      <c r="CN67" s="85">
        <f>IF(Z67="","",IF(ISNUMBER('Dvd Calendar'!$AB$881)=FALSE,"",IF((Summary!$C$13="N")*('Dvd Calendar'!$AB$885='Field Check'!$C$25)&gt;0,"",'Dvd Calendar'!$AB$881)))</f>
        <v/>
      </c>
      <c r="CO67" s="85">
        <f>IF(AA67="","",IF(ISNUMBER('Dvd Calendar'!$AC$881)=FALSE,"",IF((Summary!$C$13="N")*('Dvd Calendar'!$AC$885='Field Check'!$C$25)&gt;0,"",'Dvd Calendar'!$AC$881)))</f>
        <v/>
      </c>
      <c r="CP67" s="85">
        <f>IF(AB67="","",IF(ISNUMBER('Dvd Calendar'!$AD$881)=FALSE,"",IF((Summary!$C$13="N")*('Dvd Calendar'!$AD$885='Field Check'!$C$25)&gt;0,"",'Dvd Calendar'!$AD$881)))</f>
        <v/>
      </c>
      <c r="CQ67" s="85">
        <f>IF(AC67="","",IF(ISNUMBER('Dvd Calendar'!$AE$881)=FALSE,"",IF((Summary!$C$13="N")*('Dvd Calendar'!$AE$885='Field Check'!$C$25)&gt;0,"",'Dvd Calendar'!$AE$881)))</f>
        <v/>
      </c>
      <c r="CR67" s="85">
        <f>IF(AD67="","",IF(ISNUMBER('Dvd Calendar'!$AF$881)=FALSE,"",IF((Summary!$C$13="N")*('Dvd Calendar'!$AF$885='Field Check'!$C$25)&gt;0,"",'Dvd Calendar'!$AF$881)))</f>
        <v/>
      </c>
      <c r="CS67" s="85">
        <f>IF(AE67="","",IF(ISNUMBER('Dvd Calendar'!$AG$881)=FALSE,"",IF((Summary!$C$13="N")*('Dvd Calendar'!$AG$885='Field Check'!$C$25)&gt;0,"",'Dvd Calendar'!$AG$881)))</f>
        <v/>
      </c>
      <c r="CT67" s="85">
        <f>IF(AF67="","",IF(ISNUMBER('Dvd Calendar'!$AH$881)=FALSE,"",IF((Summary!$C$13="N")*('Dvd Calendar'!$AH$885='Field Check'!$C$25)&gt;0,"",'Dvd Calendar'!$AH$881)))</f>
        <v/>
      </c>
      <c r="CU67" s="85">
        <f>IF(AG67="","",IF(ISNUMBER('Dvd Calendar'!$AI$881)=FALSE,"",IF((Summary!$C$13="N")*('Dvd Calendar'!$AI$885='Field Check'!$C$25)&gt;0,"",'Dvd Calendar'!$AI$881)))</f>
        <v/>
      </c>
      <c r="CV67" s="85">
        <f>IF(AH67="","",IF(ISNUMBER('Dvd Calendar'!$AJ$881)=FALSE,"",IF((Summary!$C$13="N")*('Dvd Calendar'!$AJ$885='Field Check'!$C$25)&gt;0,"",'Dvd Calendar'!$AJ$881)))</f>
        <v/>
      </c>
      <c r="CW67" s="85">
        <f>IF(AI67="","",IF(ISNUMBER('Dvd Calendar'!$AK$881)=FALSE,"",IF((Summary!$C$13="N")*('Dvd Calendar'!$AK$885='Field Check'!$C$25)&gt;0,"",'Dvd Calendar'!$AK$881)))</f>
        <v/>
      </c>
      <c r="CX67" s="85">
        <f>IF(AJ67="","",IF(ISNUMBER('Dvd Calendar'!$AL$881)=FALSE,"",IF((Summary!$C$13="N")*('Dvd Calendar'!$AL$885='Field Check'!$C$25)&gt;0,"",'Dvd Calendar'!$AL$881)))</f>
        <v/>
      </c>
      <c r="CY67" s="85">
        <f>IF(AK67="","",IF(ISNUMBER('Dvd Calendar'!$AM$881)=FALSE,"",IF((Summary!$C$13="N")*('Dvd Calendar'!$AM$885='Field Check'!$C$25)&gt;0,"",'Dvd Calendar'!$AM$881)))</f>
        <v/>
      </c>
      <c r="CZ67" s="85">
        <f>IF(AL67="","",IF(ISNUMBER('Dvd Calendar'!$AN$881)=FALSE,"",IF((Summary!$C$13="N")*('Dvd Calendar'!$AN$885='Field Check'!$C$25)&gt;0,"",'Dvd Calendar'!$AN$881)))</f>
        <v/>
      </c>
      <c r="DA67" s="85">
        <f>IF(AM67="","",IF(ISNUMBER('Dvd Calendar'!$AO$881)=FALSE,"",IF((Summary!$C$13="N")*('Dvd Calendar'!$AO$885='Field Check'!$C$25)&gt;0,"",'Dvd Calendar'!$AO$881)))</f>
        <v/>
      </c>
      <c r="DB67" s="85">
        <f>IF(AN67="","",IF(ISNUMBER('Dvd Calendar'!$AP$881)=FALSE,"",IF((Summary!$C$13="N")*('Dvd Calendar'!$AP$885='Field Check'!$C$25)&gt;0,"",'Dvd Calendar'!$AP$881)))</f>
        <v/>
      </c>
      <c r="DC67" s="85">
        <f>IF(AO67="","",IF(ISNUMBER('Dvd Calendar'!$AQ$881)=FALSE,"",IF((Summary!$C$13="N")*('Dvd Calendar'!$AQ$885='Field Check'!$C$25)&gt;0,"",'Dvd Calendar'!$AQ$881)))</f>
        <v/>
      </c>
      <c r="DD67" s="85">
        <f>IF(AP67="","",IF(ISNUMBER('Dvd Calendar'!$AR$881)=FALSE,"",IF((Summary!$C$13="N")*('Dvd Calendar'!$AR$885='Field Check'!$C$25)&gt;0,"",'Dvd Calendar'!$AR$881)))</f>
        <v/>
      </c>
      <c r="DE67" s="85">
        <f>IF(AQ67="","",IF(ISNUMBER('Dvd Calendar'!$E$888)=FALSE,"",IF((Summary!$C$13="N")*('Dvd Calendar'!$E$892='Field Check'!$C$25)&gt;0,"",'Dvd Calendar'!$E$888)))</f>
        <v/>
      </c>
      <c r="DF67" s="85">
        <f>IF(AR67="","",IF(ISNUMBER('Dvd Calendar'!$F$888)=FALSE,"",IF((Summary!$C$13="N")*('Dvd Calendar'!$F$892='Field Check'!$C$25)&gt;0,"",'Dvd Calendar'!$F$888)))</f>
        <v/>
      </c>
      <c r="DG67" s="85">
        <f>IF(AS67="","",IF(ISNUMBER('Dvd Calendar'!$G$888)=FALSE,"",IF((Summary!$C$13="N")*('Dvd Calendar'!$G$892='Field Check'!$C$25)&gt;0,"",'Dvd Calendar'!$G$888)))</f>
        <v/>
      </c>
      <c r="DH67" s="85">
        <f>IF(AT67="","",IF(ISNUMBER('Dvd Calendar'!$H$888)=FALSE,"",IF((Summary!$C$13="N")*('Dvd Calendar'!$H$892='Field Check'!$C$25)&gt;0,"",'Dvd Calendar'!$H$888)))</f>
        <v/>
      </c>
      <c r="DI67" s="85">
        <f>IF(AU67="","",IF(ISNUMBER('Dvd Calendar'!$I$888)=FALSE,"",IF((Summary!$C$13="N")*('Dvd Calendar'!$I$892='Field Check'!$C$25)&gt;0,"",'Dvd Calendar'!$I$888)))</f>
        <v/>
      </c>
      <c r="DJ67" s="85">
        <f>IF(AV67="","",IF(ISNUMBER('Dvd Calendar'!$J$888)=FALSE,"",IF((Summary!$C$13="N")*('Dvd Calendar'!$J$892='Field Check'!$C$25)&gt;0,"",'Dvd Calendar'!$J$888)))</f>
        <v/>
      </c>
      <c r="DK67" s="85">
        <f>IF(AW67="","",IF(ISNUMBER('Dvd Calendar'!$K$888)=FALSE,"",IF((Summary!$C$13="N")*('Dvd Calendar'!$K$892='Field Check'!$C$25)&gt;0,"",'Dvd Calendar'!$K$888)))</f>
        <v/>
      </c>
      <c r="DL67" s="85">
        <f>IF(AX67="","",IF(ISNUMBER('Dvd Calendar'!$L$888)=FALSE,"",IF((Summary!$C$13="N")*('Dvd Calendar'!$L$892='Field Check'!$C$25)&gt;0,"",'Dvd Calendar'!$L$888)))</f>
        <v/>
      </c>
      <c r="DM67" s="85">
        <f>IF(AY67="","",IF(ISNUMBER('Dvd Calendar'!$M$888)=FALSE,"",IF((Summary!$C$13="N")*('Dvd Calendar'!$M$892='Field Check'!$C$25)&gt;0,"",'Dvd Calendar'!$M$888)))</f>
        <v/>
      </c>
      <c r="DN67" s="85">
        <f>IF(AZ67="","",IF(ISNUMBER('Dvd Calendar'!$N$888)=FALSE,"",IF((Summary!$C$13="N")*('Dvd Calendar'!$N$892='Field Check'!$C$25)&gt;0,"",'Dvd Calendar'!$N$888)))</f>
        <v/>
      </c>
      <c r="DO67" s="85">
        <f>IF(BA67="","",IF(ISNUMBER('Dvd Calendar'!$O$888)=FALSE,"",IF((Summary!$C$13="N")*('Dvd Calendar'!$O$892='Field Check'!$C$25)&gt;0,"",'Dvd Calendar'!$O$888)))</f>
        <v/>
      </c>
      <c r="DP67" s="85">
        <f>IF(BB67="","",IF(ISNUMBER('Dvd Calendar'!$P$888)=FALSE,"",IF((Summary!$C$13="N")*('Dvd Calendar'!$P$892='Field Check'!$C$25)&gt;0,"",'Dvd Calendar'!$P$888)))</f>
        <v/>
      </c>
      <c r="DQ67" s="85">
        <f>IF(BC67="","",IF(ISNUMBER('Dvd Calendar'!$Q$888)=FALSE,"",IF((Summary!$C$13="N")*('Dvd Calendar'!$Q$892='Field Check'!$C$25)&gt;0,"",'Dvd Calendar'!$Q$888)))</f>
        <v/>
      </c>
      <c r="DR67" s="85">
        <f>IF(BD67="","",IF(ISNUMBER('Dvd Calendar'!$R$888)=FALSE,"",IF((Summary!$C$13="N")*('Dvd Calendar'!$R$892='Field Check'!$C$25)&gt;0,"",'Dvd Calendar'!$R$888)))</f>
        <v/>
      </c>
      <c r="DS67" s="85">
        <f>IF(BE67="","",IF(ISNUMBER('Dvd Calendar'!$S$888)=FALSE,"",IF((Summary!$C$13="N")*('Dvd Calendar'!$S$892='Field Check'!$C$25)&gt;0,"",'Dvd Calendar'!$S$888)))</f>
        <v/>
      </c>
      <c r="DT67" s="85">
        <f>IF(BF67="","",IF(ISNUMBER('Dvd Calendar'!$T$888)=FALSE,"",IF((Summary!$C$13="N")*('Dvd Calendar'!$T$892='Field Check'!$C$25)&gt;0,"",'Dvd Calendar'!$T$888)))</f>
        <v/>
      </c>
      <c r="DU67" s="85">
        <f>IF(BG67="","",IF(ISNUMBER('Dvd Calendar'!$U$888)=FALSE,"",IF((Summary!$C$13="N")*('Dvd Calendar'!$U$892='Field Check'!$C$25)&gt;0,"",'Dvd Calendar'!$U$888)))</f>
        <v/>
      </c>
      <c r="DV67" s="85">
        <f>IF(BH67="","",IF(ISNUMBER('Dvd Calendar'!$V$888)=FALSE,"",IF((Summary!$C$13="N")*('Dvd Calendar'!$V$892='Field Check'!$C$25)&gt;0,"",'Dvd Calendar'!$V$888)))</f>
        <v/>
      </c>
      <c r="DW67" s="85">
        <f>IF(BI67="","",IF(ISNUMBER('Dvd Calendar'!$W$888)=FALSE,"",IF((Summary!$C$13="N")*('Dvd Calendar'!$W$892='Field Check'!$C$25)&gt;0,"",'Dvd Calendar'!$W$888)))</f>
        <v/>
      </c>
      <c r="DX67" s="85">
        <f>IF(BJ67="","",IF(ISNUMBER('Dvd Calendar'!$X$888)=FALSE,"",IF((Summary!$C$13="N")*('Dvd Calendar'!$X$892='Field Check'!$C$25)&gt;0,"",'Dvd Calendar'!$X$888)))</f>
        <v/>
      </c>
      <c r="DY67" s="85">
        <f>IF(BK67="","",IF(ISNUMBER('Dvd Calendar'!$Y$888)=FALSE,"",IF((Summary!$C$13="N")*('Dvd Calendar'!$Y$892='Field Check'!$C$25)&gt;0,"",'Dvd Calendar'!$Y$888)))</f>
        <v/>
      </c>
      <c r="DZ67" s="85">
        <f>IF(BL67="","",IF(ISNUMBER('Dvd Calendar'!$Z$888)=FALSE,"",IF((Summary!$C$13="N")*('Dvd Calendar'!$Z$892='Field Check'!$C$25)&gt;0,"",'Dvd Calendar'!$Z$888)))</f>
        <v/>
      </c>
      <c r="EA67" s="85">
        <f>IF(BM67="","",IF(ISNUMBER('Dvd Calendar'!$AA$888)=FALSE,"",IF((Summary!$C$13="N")*('Dvd Calendar'!$AA$892='Field Check'!$C$25)&gt;0,"",'Dvd Calendar'!$AA$888)))</f>
        <v/>
      </c>
      <c r="EB67" s="85">
        <f>IF(BN67="","",IF(ISNUMBER('Dvd Calendar'!$AB$888)=FALSE,"",IF((Summary!$C$13="N")*('Dvd Calendar'!$AB$892='Field Check'!$C$25)&gt;0,"",'Dvd Calendar'!$AB$888)))</f>
        <v/>
      </c>
      <c r="EC67" s="85">
        <f>IF(BO67="","",IF(ISNUMBER('Dvd Calendar'!$AC$888)=FALSE,"",IF((Summary!$C$13="N")*('Dvd Calendar'!$AC$892='Field Check'!$C$25)&gt;0,"",'Dvd Calendar'!$AC$888)))</f>
        <v/>
      </c>
      <c r="EE67" s="85">
        <f>IF(BQ67="","",IFERROR(BQ67*HSI!$B$65*HSI!$G$65/HSI!$B$3,""))</f>
        <v/>
      </c>
      <c r="EF67" s="85">
        <f>IF(BR67="","",IFERROR(BR67*HSI!$B$65*HSI!$G$65/HSI!$B$3,""))</f>
        <v/>
      </c>
      <c r="EG67" s="85">
        <f>IF(BS67="","",IFERROR(BS67*HSI!$B$65*HSI!$G$65/HSI!$B$3,""))</f>
        <v/>
      </c>
      <c r="EH67" s="85">
        <f>IF(BT67="","",IFERROR(BT67*HSI!$B$65*HSI!$G$65/HSI!$B$3,""))</f>
        <v/>
      </c>
      <c r="EI67" s="85">
        <f>IF(BU67="","",IFERROR(BU67*HSI!$B$65*HSI!$G$65/HSI!$B$3,""))</f>
        <v/>
      </c>
      <c r="EJ67" s="85">
        <f>IF(BV67="","",IFERROR(BV67*HSI!$B$65*HSI!$G$65/HSI!$B$3,""))</f>
        <v/>
      </c>
      <c r="EK67" s="85">
        <f>IF(BW67="","",IFERROR(BW67*HSI!$B$65*HSI!$G$65/HSI!$B$3,""))</f>
        <v/>
      </c>
      <c r="EL67" s="85">
        <f>IF(BX67="","",IFERROR(BX67*HSI!$B$65*HSI!$G$65/HSI!$B$3,""))</f>
        <v/>
      </c>
      <c r="EM67" s="85">
        <f>IF(BY67="","",IFERROR(BY67*HSI!$B$65*HSI!$G$65/HSI!$B$3,""))</f>
        <v/>
      </c>
      <c r="EN67" s="85">
        <f>IF(BZ67="","",IFERROR(BZ67*HSI!$B$65*HSI!$G$65/HSI!$B$3,""))</f>
        <v/>
      </c>
      <c r="EO67" s="85">
        <f>IF(CA67="","",IFERROR(CA67*HSI!$B$65*HSI!$G$65/HSI!$B$3,""))</f>
        <v/>
      </c>
      <c r="EP67" s="85">
        <f>IF(CB67="","",IFERROR(CB67*HSI!$B$65*HSI!$G$65/HSI!$B$3,""))</f>
        <v/>
      </c>
      <c r="EQ67" s="85">
        <f>IF(CC67="","",IFERROR(CC67*HSI!$B$65*HSI!$G$65/HSI!$B$3,""))</f>
        <v/>
      </c>
      <c r="ER67" s="85">
        <f>IF(CD67="","",IFERROR(CD67*HSI!$B$65*HSI!$G$65/HSI!$B$3,""))</f>
        <v/>
      </c>
      <c r="ES67" s="85">
        <f>IF(CE67="","",IFERROR(CE67*HSI!$B$65*HSI!$G$65/HSI!$B$3,""))</f>
        <v/>
      </c>
      <c r="ET67" s="85">
        <f>IF(CF67="","",IFERROR(CF67*HSI!$B$65*HSI!$G$65/HSI!$B$3,""))</f>
        <v/>
      </c>
      <c r="EU67" s="85">
        <f>IF(CG67="","",IFERROR(CG67*HSI!$B$65*HSI!$G$65/HSI!$B$3,""))</f>
        <v/>
      </c>
      <c r="EV67" s="85">
        <f>IF(CH67="","",IFERROR(CH67*HSI!$B$65*HSI!$G$65/HSI!$B$3,""))</f>
        <v/>
      </c>
      <c r="EW67" s="85">
        <f>IF(CI67="","",IFERROR(CI67*HSI!$B$65*HSI!$G$65/HSI!$B$3,""))</f>
        <v/>
      </c>
      <c r="EX67" s="85">
        <f>IF(CJ67="","",IFERROR(CJ67*HSI!$B$65*HSI!$G$65/HSI!$B$3,""))</f>
        <v/>
      </c>
      <c r="EY67" s="85">
        <f>IF(CK67="","",IFERROR(CK67*HSI!$B$65*HSI!$G$65/HSI!$B$3,""))</f>
        <v/>
      </c>
      <c r="EZ67" s="85">
        <f>IF(CL67="","",IFERROR(CL67*HSI!$B$65*HSI!$G$65/HSI!$B$3,""))</f>
        <v/>
      </c>
      <c r="FA67" s="85">
        <f>IF(CM67="","",IFERROR(CM67*HSI!$B$65*HSI!$G$65/HSI!$B$3,""))</f>
        <v/>
      </c>
      <c r="FB67" s="85">
        <f>IF(CN67="","",IFERROR(CN67*HSI!$B$65*HSI!$G$65/HSI!$B$3,""))</f>
        <v/>
      </c>
      <c r="FC67" s="85">
        <f>IF(CO67="","",IFERROR(CO67*HSI!$B$65*HSI!$G$65/HSI!$B$3,""))</f>
        <v/>
      </c>
      <c r="FD67" s="85">
        <f>IF(CP67="","",IFERROR(CP67*HSI!$B$65*HSI!$G$65/HSI!$B$3,""))</f>
        <v/>
      </c>
      <c r="FE67" s="85">
        <f>IF(CQ67="","",IFERROR(CQ67*HSI!$B$65*HSI!$G$65/HSI!$B$3,""))</f>
        <v/>
      </c>
      <c r="FF67" s="85">
        <f>IF(CR67="","",IFERROR(CR67*HSI!$B$65*HSI!$G$65/HSI!$B$3,""))</f>
        <v/>
      </c>
      <c r="FG67" s="85">
        <f>IF(CS67="","",IFERROR(CS67*HSI!$B$65*HSI!$G$65/HSI!$B$3,""))</f>
        <v/>
      </c>
      <c r="FH67" s="85">
        <f>IF(CT67="","",IFERROR(CT67*HSI!$B$65*HSI!$G$65/HSI!$B$3,""))</f>
        <v/>
      </c>
      <c r="FI67" s="85">
        <f>IF(CU67="","",IFERROR(CU67*HSI!$B$65*HSI!$G$65/HSI!$B$3,""))</f>
        <v/>
      </c>
      <c r="FJ67" s="85">
        <f>IF(CV67="","",IFERROR(CV67*HSI!$B$65*HSI!$G$65/HSI!$B$3,""))</f>
        <v/>
      </c>
      <c r="FK67" s="85">
        <f>IF(CW67="","",IFERROR(CW67*HSI!$B$65*HSI!$G$65/HSI!$B$3,""))</f>
        <v/>
      </c>
      <c r="FL67" s="85">
        <f>IF(CX67="","",IFERROR(CX67*HSI!$B$65*HSI!$G$65/HSI!$B$3,""))</f>
        <v/>
      </c>
      <c r="FM67" s="85">
        <f>IF(CY67="","",IFERROR(CY67*HSI!$B$65*HSI!$G$65/HSI!$B$3,""))</f>
        <v/>
      </c>
      <c r="FN67" s="85">
        <f>IF(CZ67="","",IFERROR(CZ67*HSI!$B$65*HSI!$G$65/HSI!$B$3,""))</f>
        <v/>
      </c>
      <c r="FO67" s="85">
        <f>IF(DA67="","",IFERROR(DA67*HSI!$B$65*HSI!$G$65/HSI!$B$3,""))</f>
        <v/>
      </c>
      <c r="FP67" s="85">
        <f>IF(DB67="","",IFERROR(DB67*HSI!$B$65*HSI!$G$65/HSI!$B$3,""))</f>
        <v/>
      </c>
      <c r="FQ67" s="85">
        <f>IF(DC67="","",IFERROR(DC67*HSI!$B$65*HSI!$G$65/HSI!$B$3,""))</f>
        <v/>
      </c>
      <c r="FR67" s="85">
        <f>IF(DD67="","",IFERROR(DD67*HSI!$B$65*HSI!$G$65/HSI!$B$3,""))</f>
        <v/>
      </c>
      <c r="FS67" s="85">
        <f>IF(DE67="","",IFERROR(DE67*HSI!$B$65*HSI!$G$65/HSI!$B$3,""))</f>
        <v/>
      </c>
      <c r="FT67" s="85">
        <f>IF(DF67="","",IFERROR(DF67*HSI!$B$65*HSI!$G$65/HSI!$B$3,""))</f>
        <v/>
      </c>
      <c r="FU67" s="85">
        <f>IF(DG67="","",IFERROR(DG67*HSI!$B$65*HSI!$G$65/HSI!$B$3,""))</f>
        <v/>
      </c>
      <c r="FV67" s="85">
        <f>IF(DH67="","",IFERROR(DH67*HSI!$B$65*HSI!$G$65/HSI!$B$3,""))</f>
        <v/>
      </c>
      <c r="FW67" s="85">
        <f>IF(DI67="","",IFERROR(DI67*HSI!$B$65*HSI!$G$65/HSI!$B$3,""))</f>
        <v/>
      </c>
      <c r="FX67" s="85">
        <f>IF(DJ67="","",IFERROR(DJ67*HSI!$B$65*HSI!$G$65/HSI!$B$3,""))</f>
        <v/>
      </c>
      <c r="FY67" s="85">
        <f>IF(DK67="","",IFERROR(DK67*HSI!$B$65*HSI!$G$65/HSI!$B$3,""))</f>
        <v/>
      </c>
      <c r="FZ67" s="85">
        <f>IF(DL67="","",IFERROR(DL67*HSI!$B$65*HSI!$G$65/HSI!$B$3,""))</f>
        <v/>
      </c>
      <c r="GA67" s="85">
        <f>IF(DM67="","",IFERROR(DM67*HSI!$B$65*HSI!$G$65/HSI!$B$3,""))</f>
        <v/>
      </c>
      <c r="GB67" s="85">
        <f>IF(DN67="","",IFERROR(DN67*HSI!$B$65*HSI!$G$65/HSI!$B$3,""))</f>
        <v/>
      </c>
      <c r="GC67" s="85">
        <f>IF(DO67="","",IFERROR(DO67*HSI!$B$65*HSI!$G$65/HSI!$B$3,""))</f>
        <v/>
      </c>
      <c r="GD67" s="85">
        <f>IF(DP67="","",IFERROR(DP67*HSI!$B$65*HSI!$G$65/HSI!$B$3,""))</f>
        <v/>
      </c>
      <c r="GE67" s="85">
        <f>IF(DQ67="","",IFERROR(DQ67*HSI!$B$65*HSI!$G$65/HSI!$B$3,""))</f>
        <v/>
      </c>
      <c r="GF67" s="85">
        <f>IF(DR67="","",IFERROR(DR67*HSI!$B$65*HSI!$G$65/HSI!$B$3,""))</f>
        <v/>
      </c>
      <c r="GG67" s="85">
        <f>IF(DS67="","",IFERROR(DS67*HSI!$B$65*HSI!$G$65/HSI!$B$3,""))</f>
        <v/>
      </c>
      <c r="GH67" s="85">
        <f>IF(DT67="","",IFERROR(DT67*HSI!$B$65*HSI!$G$65/HSI!$B$3,""))</f>
        <v/>
      </c>
      <c r="GI67" s="85">
        <f>IF(DU67="","",IFERROR(DU67*HSI!$B$65*HSI!$G$65/HSI!$B$3,""))</f>
        <v/>
      </c>
      <c r="GJ67" s="85">
        <f>IF(DV67="","",IFERROR(DV67*HSI!$B$65*HSI!$G$65/HSI!$B$3,""))</f>
        <v/>
      </c>
      <c r="GK67" s="85">
        <f>IF(DW67="","",IFERROR(DW67*HSI!$B$65*HSI!$G$65/HSI!$B$3,""))</f>
        <v/>
      </c>
      <c r="GL67" s="85">
        <f>IF(DX67="","",IFERROR(DX67*HSI!$B$65*HSI!$G$65/HSI!$B$3,""))</f>
        <v/>
      </c>
      <c r="GM67" s="85">
        <f>IF(DY67="","",IFERROR(DY67*HSI!$B$65*HSI!$G$65/HSI!$B$3,""))</f>
        <v/>
      </c>
      <c r="GN67" s="85">
        <f>IF(DZ67="","",IFERROR(DZ67*HSI!$B$65*HSI!$G$65/HSI!$B$3,""))</f>
        <v/>
      </c>
      <c r="GO67" s="85">
        <f>IF(EA67="","",IFERROR(EA67*HSI!$B$65*HSI!$G$65/HSI!$B$3,""))</f>
        <v/>
      </c>
      <c r="GP67" s="85">
        <f>IF(EB67="","",IFERROR(EB67*HSI!$B$65*HSI!$G$65/HSI!$B$3,""))</f>
        <v/>
      </c>
      <c r="GQ67" s="85">
        <f>IF(EC67="","",IFERROR(EC67*HSI!$B$65*HSI!$G$65/HSI!$B$3,""))</f>
        <v/>
      </c>
    </row>
    <row r="68">
      <c r="B68" s="2">
        <f>IF(HSI!$C$66="","",HSI!$C$66)</f>
        <v/>
      </c>
      <c r="C68" s="41">
        <f>IF(N('Dvd Calendar'!$E$895)=0,"",IF(('Dvd Calendar'!$E$895&gt;=MIN(DATE(Summary!$C$12,1,1),Summary!$C$11))*('Dvd Calendar'!$E$895&lt;=MAX(DATE(Summary!$C$12,12,31),Summary!$C$15))*('Dvd Calendar'!$E$895&lt;=Summary!$C$11)=0,"",'Dvd Calendar'!$E$895*1000000000+ISNUMBER('Dvd Calendar'!$E$896)*100000000+('Dvd Calendar'!$E$900='Field Check'!$C$25)*10000000+(N('Dvd Calendar'!$E$894)&gt;0)*1000000+60*1000+1))</f>
        <v/>
      </c>
      <c r="D68" s="41">
        <f>IF(N('Dvd Calendar'!$F$895)=0,"",IF(('Dvd Calendar'!$F$895&gt;=MIN(DATE(Summary!$C$12,1,1),Summary!$C$11))*('Dvd Calendar'!$F$895&lt;=MAX(DATE(Summary!$C$12,12,31),Summary!$C$15))*('Dvd Calendar'!$F$895&lt;=Summary!$C$11)=0,"",'Dvd Calendar'!$F$895*1000000000+ISNUMBER('Dvd Calendar'!$F$896)*100000000+('Dvd Calendar'!$F$900='Field Check'!$C$25)*10000000+(N('Dvd Calendar'!$F$894)&gt;0)*1000000+60*1000+2))</f>
        <v/>
      </c>
      <c r="E68" s="41">
        <f>IF(N('Dvd Calendar'!$G$895)=0,"",IF(('Dvd Calendar'!$G$895&gt;=MIN(DATE(Summary!$C$12,1,1),Summary!$C$11))*('Dvd Calendar'!$G$895&lt;=MAX(DATE(Summary!$C$12,12,31),Summary!$C$15))*('Dvd Calendar'!$G$895&lt;=Summary!$C$11)=0,"",'Dvd Calendar'!$G$895*1000000000+ISNUMBER('Dvd Calendar'!$G$896)*100000000+('Dvd Calendar'!$G$900='Field Check'!$C$25)*10000000+(N('Dvd Calendar'!$G$894)&gt;0)*1000000+60*1000+3))</f>
        <v/>
      </c>
      <c r="F68" s="41">
        <f>IF(N('Dvd Calendar'!$H$895)=0,"",IF(('Dvd Calendar'!$H$895&gt;=MIN(DATE(Summary!$C$12,1,1),Summary!$C$11))*('Dvd Calendar'!$H$895&lt;=MAX(DATE(Summary!$C$12,12,31),Summary!$C$15))*('Dvd Calendar'!$H$895&lt;=Summary!$C$11)=0,"",'Dvd Calendar'!$H$895*1000000000+ISNUMBER('Dvd Calendar'!$H$896)*100000000+('Dvd Calendar'!$H$900='Field Check'!$C$25)*10000000+(N('Dvd Calendar'!$H$894)&gt;0)*1000000+60*1000+4))</f>
        <v/>
      </c>
      <c r="G68" s="41">
        <f>IF(N('Dvd Calendar'!$I$895)=0,"",IF(('Dvd Calendar'!$I$895&gt;=MIN(DATE(Summary!$C$12,1,1),Summary!$C$11))*('Dvd Calendar'!$I$895&lt;=MAX(DATE(Summary!$C$12,12,31),Summary!$C$15))*('Dvd Calendar'!$I$895&lt;=Summary!$C$11)=0,"",'Dvd Calendar'!$I$895*1000000000+ISNUMBER('Dvd Calendar'!$I$896)*100000000+('Dvd Calendar'!$I$900='Field Check'!$C$25)*10000000+(N('Dvd Calendar'!$I$894)&gt;0)*1000000+60*1000+5))</f>
        <v/>
      </c>
      <c r="H68" s="41">
        <f>IF(N('Dvd Calendar'!$J$895)=0,"",IF(('Dvd Calendar'!$J$895&gt;=MIN(DATE(Summary!$C$12,1,1),Summary!$C$11))*('Dvd Calendar'!$J$895&lt;=MAX(DATE(Summary!$C$12,12,31),Summary!$C$15))*('Dvd Calendar'!$J$895&lt;=Summary!$C$11)=0,"",'Dvd Calendar'!$J$895*1000000000+ISNUMBER('Dvd Calendar'!$J$896)*100000000+('Dvd Calendar'!$J$900='Field Check'!$C$25)*10000000+(N('Dvd Calendar'!$J$894)&gt;0)*1000000+60*1000+6))</f>
        <v/>
      </c>
      <c r="I68" s="41">
        <f>IF(N('Dvd Calendar'!$K$895)=0,"",IF(('Dvd Calendar'!$K$895&gt;=MIN(DATE(Summary!$C$12,1,1),Summary!$C$11))*('Dvd Calendar'!$K$895&lt;=MAX(DATE(Summary!$C$12,12,31),Summary!$C$15))*('Dvd Calendar'!$K$895&lt;=Summary!$C$11)=0,"",'Dvd Calendar'!$K$895*1000000000+ISNUMBER('Dvd Calendar'!$K$896)*100000000+('Dvd Calendar'!$K$900='Field Check'!$C$25)*10000000+(N('Dvd Calendar'!$K$894)&gt;0)*1000000+60*1000+7))</f>
        <v/>
      </c>
      <c r="J68" s="41">
        <f>IF(N('Dvd Calendar'!$L$895)=0,"",IF(('Dvd Calendar'!$L$895&gt;=MIN(DATE(Summary!$C$12,1,1),Summary!$C$11))*('Dvd Calendar'!$L$895&lt;=MAX(DATE(Summary!$C$12,12,31),Summary!$C$15))*('Dvd Calendar'!$L$895&lt;=Summary!$C$11)=0,"",'Dvd Calendar'!$L$895*1000000000+ISNUMBER('Dvd Calendar'!$L$896)*100000000+('Dvd Calendar'!$L$900='Field Check'!$C$25)*10000000+(N('Dvd Calendar'!$L$894)&gt;0)*1000000+60*1000+8))</f>
        <v/>
      </c>
      <c r="K68" s="41">
        <f>IF(N('Dvd Calendar'!$M$895)=0,"",IF(('Dvd Calendar'!$M$895&gt;=MIN(DATE(Summary!$C$12,1,1),Summary!$C$11))*('Dvd Calendar'!$M$895&lt;=MAX(DATE(Summary!$C$12,12,31),Summary!$C$15))*('Dvd Calendar'!$M$895&lt;=Summary!$C$11)=0,"",'Dvd Calendar'!$M$895*1000000000+ISNUMBER('Dvd Calendar'!$M$896)*100000000+('Dvd Calendar'!$M$900='Field Check'!$C$25)*10000000+(N('Dvd Calendar'!$M$894)&gt;0)*1000000+60*1000+9))</f>
        <v/>
      </c>
      <c r="L68" s="41">
        <f>IF(N('Dvd Calendar'!$N$895)=0,"",IF(('Dvd Calendar'!$N$895&gt;=MIN(DATE(Summary!$C$12,1,1),Summary!$C$11))*('Dvd Calendar'!$N$895&lt;=MAX(DATE(Summary!$C$12,12,31),Summary!$C$15))*('Dvd Calendar'!$N$895&lt;=Summary!$C$11)=0,"",'Dvd Calendar'!$N$895*1000000000+ISNUMBER('Dvd Calendar'!$N$896)*100000000+('Dvd Calendar'!$N$900='Field Check'!$C$25)*10000000+(N('Dvd Calendar'!$N$894)&gt;0)*1000000+60*1000+10))</f>
        <v/>
      </c>
      <c r="M68" s="41">
        <f>IF(N('Dvd Calendar'!$O$895)=0,"",IF(('Dvd Calendar'!$O$895&gt;=MIN(DATE(Summary!$C$12,1,1),Summary!$C$11))*('Dvd Calendar'!$O$895&lt;=MAX(DATE(Summary!$C$12,12,31),Summary!$C$15))*('Dvd Calendar'!$O$895&lt;=Summary!$C$11)=0,"",'Dvd Calendar'!$O$895*1000000000+ISNUMBER('Dvd Calendar'!$O$896)*100000000+('Dvd Calendar'!$O$900='Field Check'!$C$25)*10000000+(N('Dvd Calendar'!$O$894)&gt;0)*1000000+60*1000+11))</f>
        <v/>
      </c>
      <c r="N68" s="41">
        <f>IF(N('Dvd Calendar'!$P$895)=0,"",IF(('Dvd Calendar'!$P$895&gt;=MIN(DATE(Summary!$C$12,1,1),Summary!$C$11))*('Dvd Calendar'!$P$895&lt;=MAX(DATE(Summary!$C$12,12,31),Summary!$C$15))*('Dvd Calendar'!$P$895&lt;=Summary!$C$11)=0,"",'Dvd Calendar'!$P$895*1000000000+ISNUMBER('Dvd Calendar'!$P$896)*100000000+('Dvd Calendar'!$P$900='Field Check'!$C$25)*10000000+(N('Dvd Calendar'!$P$894)&gt;0)*1000000+60*1000+12))</f>
        <v/>
      </c>
      <c r="O68" s="41">
        <f>IF(N('Dvd Calendar'!$Q$895)=0,"",IF(('Dvd Calendar'!$Q$895&gt;=MIN(DATE(Summary!$C$12,1,1),Summary!$C$11))*('Dvd Calendar'!$Q$895&lt;=MAX(DATE(Summary!$C$12,12,31),Summary!$C$15))*('Dvd Calendar'!$Q$895&lt;=Summary!$C$11)=0,"",'Dvd Calendar'!$Q$895*1000000000+ISNUMBER('Dvd Calendar'!$Q$896)*100000000+('Dvd Calendar'!$Q$900='Field Check'!$C$25)*10000000+(N('Dvd Calendar'!$Q$894)&gt;0)*1000000+60*1000+13))</f>
        <v/>
      </c>
      <c r="P68" s="41">
        <f>IF(N('Dvd Calendar'!$R$895)=0,"",IF(('Dvd Calendar'!$R$895&gt;=MIN(DATE(Summary!$C$12,1,1),Summary!$C$11))*('Dvd Calendar'!$R$895&lt;=MAX(DATE(Summary!$C$12,12,31),Summary!$C$15))*('Dvd Calendar'!$R$895&lt;=Summary!$C$11)=0,"",'Dvd Calendar'!$R$895*1000000000+ISNUMBER('Dvd Calendar'!$R$896)*100000000+('Dvd Calendar'!$R$900='Field Check'!$C$25)*10000000+(N('Dvd Calendar'!$R$894)&gt;0)*1000000+60*1000+14))</f>
        <v/>
      </c>
      <c r="Q68" s="41">
        <f>IF(N('Dvd Calendar'!$S$895)=0,"",IF(('Dvd Calendar'!$S$895&gt;=MIN(DATE(Summary!$C$12,1,1),Summary!$C$11))*('Dvd Calendar'!$S$895&lt;=MAX(DATE(Summary!$C$12,12,31),Summary!$C$15))*('Dvd Calendar'!$S$895&lt;=Summary!$C$11)=0,"",'Dvd Calendar'!$S$895*1000000000+ISNUMBER('Dvd Calendar'!$S$896)*100000000+('Dvd Calendar'!$S$900='Field Check'!$C$25)*10000000+(N('Dvd Calendar'!$S$894)&gt;0)*1000000+60*1000+15))</f>
        <v/>
      </c>
      <c r="R68" s="41">
        <f>IF(N('Dvd Calendar'!$T$895)=0,"",IF(('Dvd Calendar'!$T$895&gt;=MIN(DATE(Summary!$C$12,1,1),Summary!$C$11))*('Dvd Calendar'!$T$895&lt;=MAX(DATE(Summary!$C$12,12,31),Summary!$C$15))*('Dvd Calendar'!$T$895&lt;=Summary!$C$11)=0,"",'Dvd Calendar'!$T$895*1000000000+ISNUMBER('Dvd Calendar'!$T$896)*100000000+('Dvd Calendar'!$T$900='Field Check'!$C$25)*10000000+(N('Dvd Calendar'!$T$894)&gt;0)*1000000+60*1000+16))</f>
        <v/>
      </c>
      <c r="S68" s="41">
        <f>IF(N('Dvd Calendar'!$U$895)=0,"",IF(('Dvd Calendar'!$U$895&gt;=MIN(DATE(Summary!$C$12,1,1),Summary!$C$11))*('Dvd Calendar'!$U$895&lt;=MAX(DATE(Summary!$C$12,12,31),Summary!$C$15))*('Dvd Calendar'!$U$895&lt;=Summary!$C$11)=0,"",'Dvd Calendar'!$U$895*1000000000+ISNUMBER('Dvd Calendar'!$U$896)*100000000+('Dvd Calendar'!$U$900='Field Check'!$C$25)*10000000+(N('Dvd Calendar'!$U$894)&gt;0)*1000000+60*1000+17))</f>
        <v/>
      </c>
      <c r="T68" s="41">
        <f>IF(N('Dvd Calendar'!$V$895)=0,"",IF(('Dvd Calendar'!$V$895&gt;=MIN(DATE(Summary!$C$12,1,1),Summary!$C$11))*('Dvd Calendar'!$V$895&lt;=MAX(DATE(Summary!$C$12,12,31),Summary!$C$15))*('Dvd Calendar'!$V$895&lt;=Summary!$C$11)=0,"",'Dvd Calendar'!$V$895*1000000000+ISNUMBER('Dvd Calendar'!$V$896)*100000000+('Dvd Calendar'!$V$900='Field Check'!$C$25)*10000000+(N('Dvd Calendar'!$V$894)&gt;0)*1000000+60*1000+18))</f>
        <v/>
      </c>
      <c r="U68" s="41">
        <f>IF(N('Dvd Calendar'!$W$895)=0,"",IF(('Dvd Calendar'!$W$895&gt;=MIN(DATE(Summary!$C$12,1,1),Summary!$C$11))*('Dvd Calendar'!$W$895&lt;=MAX(DATE(Summary!$C$12,12,31),Summary!$C$15))*('Dvd Calendar'!$W$895&lt;=Summary!$C$11)=0,"",'Dvd Calendar'!$W$895*1000000000+ISNUMBER('Dvd Calendar'!$W$896)*100000000+('Dvd Calendar'!$W$900='Field Check'!$C$25)*10000000+(N('Dvd Calendar'!$W$894)&gt;0)*1000000+60*1000+19))</f>
        <v/>
      </c>
      <c r="V68" s="41">
        <f>IF(N('Dvd Calendar'!$X$895)=0,"",IF(('Dvd Calendar'!$X$895&gt;=MIN(DATE(Summary!$C$12,1,1),Summary!$C$11))*('Dvd Calendar'!$X$895&lt;=MAX(DATE(Summary!$C$12,12,31),Summary!$C$15))*('Dvd Calendar'!$X$895&lt;=Summary!$C$11)=0,"",'Dvd Calendar'!$X$895*1000000000+ISNUMBER('Dvd Calendar'!$X$896)*100000000+('Dvd Calendar'!$X$900='Field Check'!$C$25)*10000000+(N('Dvd Calendar'!$X$894)&gt;0)*1000000+60*1000+20))</f>
        <v/>
      </c>
      <c r="W68" s="41">
        <f>IF(N('Dvd Calendar'!$Y$895)=0,"",IF(('Dvd Calendar'!$Y$895&gt;=MIN(DATE(Summary!$C$12,1,1),Summary!$C$11))*('Dvd Calendar'!$Y$895&lt;=MAX(DATE(Summary!$C$12,12,31),Summary!$C$15))*('Dvd Calendar'!$Y$895&lt;=Summary!$C$11)=0,"",'Dvd Calendar'!$Y$895*1000000000+ISNUMBER('Dvd Calendar'!$Y$896)*100000000+('Dvd Calendar'!$Y$900='Field Check'!$C$25)*10000000+(N('Dvd Calendar'!$Y$894)&gt;0)*1000000+60*1000+21))</f>
        <v/>
      </c>
      <c r="X68" s="41">
        <f>IF(N('Dvd Calendar'!$Z$895)=0,"",IF(('Dvd Calendar'!$Z$895&gt;=MIN(DATE(Summary!$C$12,1,1),Summary!$C$11))*('Dvd Calendar'!$Z$895&lt;=MAX(DATE(Summary!$C$12,12,31),Summary!$C$15))*('Dvd Calendar'!$Z$895&lt;=Summary!$C$11)=0,"",'Dvd Calendar'!$Z$895*1000000000+ISNUMBER('Dvd Calendar'!$Z$896)*100000000+('Dvd Calendar'!$Z$900='Field Check'!$C$25)*10000000+(N('Dvd Calendar'!$Z$894)&gt;0)*1000000+60*1000+22))</f>
        <v/>
      </c>
      <c r="Y68" s="41">
        <f>IF(N('Dvd Calendar'!$AA$895)=0,"",IF(('Dvd Calendar'!$AA$895&gt;=MIN(DATE(Summary!$C$12,1,1),Summary!$C$11))*('Dvd Calendar'!$AA$895&lt;=MAX(DATE(Summary!$C$12,12,31),Summary!$C$15))*('Dvd Calendar'!$AA$895&lt;=Summary!$C$11)=0,"",'Dvd Calendar'!$AA$895*1000000000+ISNUMBER('Dvd Calendar'!$AA$896)*100000000+('Dvd Calendar'!$AA$900='Field Check'!$C$25)*10000000+(N('Dvd Calendar'!$AA$894)&gt;0)*1000000+60*1000+23))</f>
        <v/>
      </c>
      <c r="Z68" s="41">
        <f>IF(N('Dvd Calendar'!$AB$895)=0,"",IF(('Dvd Calendar'!$AB$895&gt;=MIN(DATE(Summary!$C$12,1,1),Summary!$C$11))*('Dvd Calendar'!$AB$895&lt;=MAX(DATE(Summary!$C$12,12,31),Summary!$C$15))*('Dvd Calendar'!$AB$895&lt;=Summary!$C$11)=0,"",'Dvd Calendar'!$AB$895*1000000000+ISNUMBER('Dvd Calendar'!$AB$896)*100000000+('Dvd Calendar'!$AB$900='Field Check'!$C$25)*10000000+(N('Dvd Calendar'!$AB$894)&gt;0)*1000000+60*1000+24))</f>
        <v/>
      </c>
      <c r="AA68" s="41">
        <f>IF(N('Dvd Calendar'!$AC$895)=0,"",IF(('Dvd Calendar'!$AC$895&gt;=MIN(DATE(Summary!$C$12,1,1),Summary!$C$11))*('Dvd Calendar'!$AC$895&lt;=MAX(DATE(Summary!$C$12,12,31),Summary!$C$15))*('Dvd Calendar'!$AC$895&lt;=Summary!$C$11)=0,"",'Dvd Calendar'!$AC$895*1000000000+ISNUMBER('Dvd Calendar'!$AC$896)*100000000+('Dvd Calendar'!$AC$900='Field Check'!$C$25)*10000000+(N('Dvd Calendar'!$AC$894)&gt;0)*1000000+60*1000+25))</f>
        <v/>
      </c>
      <c r="AB68" s="41">
        <f>IF(N('Dvd Calendar'!$AD$895)=0,"",IF(('Dvd Calendar'!$AD$895&gt;=MIN(DATE(Summary!$C$12,1,1),Summary!$C$11))*('Dvd Calendar'!$AD$895&lt;=MAX(DATE(Summary!$C$12,12,31),Summary!$C$15))*('Dvd Calendar'!$AD$895&lt;=Summary!$C$11)=0,"",'Dvd Calendar'!$AD$895*1000000000+ISNUMBER('Dvd Calendar'!$AD$896)*100000000+('Dvd Calendar'!$AD$900='Field Check'!$C$25)*10000000+(N('Dvd Calendar'!$AD$894)&gt;0)*1000000+60*1000+26))</f>
        <v/>
      </c>
      <c r="AC68" s="41">
        <f>IF(N('Dvd Calendar'!$AE$895)=0,"",IF(('Dvd Calendar'!$AE$895&gt;=MIN(DATE(Summary!$C$12,1,1),Summary!$C$11))*('Dvd Calendar'!$AE$895&lt;=MAX(DATE(Summary!$C$12,12,31),Summary!$C$15))*('Dvd Calendar'!$AE$895&lt;=Summary!$C$11)=0,"",'Dvd Calendar'!$AE$895*1000000000+ISNUMBER('Dvd Calendar'!$AE$896)*100000000+('Dvd Calendar'!$AE$900='Field Check'!$C$25)*10000000+(N('Dvd Calendar'!$AE$894)&gt;0)*1000000+60*1000+27))</f>
        <v/>
      </c>
      <c r="AD68" s="41">
        <f>IF(N('Dvd Calendar'!$AF$895)=0,"",IF(('Dvd Calendar'!$AF$895&gt;=MIN(DATE(Summary!$C$12,1,1),Summary!$C$11))*('Dvd Calendar'!$AF$895&lt;=MAX(DATE(Summary!$C$12,12,31),Summary!$C$15))*('Dvd Calendar'!$AF$895&lt;=Summary!$C$11)=0,"",'Dvd Calendar'!$AF$895*1000000000+ISNUMBER('Dvd Calendar'!$AF$896)*100000000+('Dvd Calendar'!$AF$900='Field Check'!$C$25)*10000000+(N('Dvd Calendar'!$AF$894)&gt;0)*1000000+60*1000+28))</f>
        <v/>
      </c>
      <c r="AE68" s="41">
        <f>IF(N('Dvd Calendar'!$AG$895)=0,"",IF(('Dvd Calendar'!$AG$895&gt;=MIN(DATE(Summary!$C$12,1,1),Summary!$C$11))*('Dvd Calendar'!$AG$895&lt;=MAX(DATE(Summary!$C$12,12,31),Summary!$C$15))*('Dvd Calendar'!$AG$895&lt;=Summary!$C$11)=0,"",'Dvd Calendar'!$AG$895*1000000000+ISNUMBER('Dvd Calendar'!$AG$896)*100000000+('Dvd Calendar'!$AG$900='Field Check'!$C$25)*10000000+(N('Dvd Calendar'!$AG$894)&gt;0)*1000000+60*1000+29))</f>
        <v/>
      </c>
      <c r="AF68" s="41">
        <f>IF(N('Dvd Calendar'!$AH$895)=0,"",IF(('Dvd Calendar'!$AH$895&gt;=MIN(DATE(Summary!$C$12,1,1),Summary!$C$11))*('Dvd Calendar'!$AH$895&lt;=MAX(DATE(Summary!$C$12,12,31),Summary!$C$15))*('Dvd Calendar'!$AH$895&lt;=Summary!$C$11)=0,"",'Dvd Calendar'!$AH$895*1000000000+ISNUMBER('Dvd Calendar'!$AH$896)*100000000+('Dvd Calendar'!$AH$900='Field Check'!$C$25)*10000000+(N('Dvd Calendar'!$AH$894)&gt;0)*1000000+60*1000+30))</f>
        <v/>
      </c>
      <c r="AG68" s="41">
        <f>IF(N('Dvd Calendar'!$AI$895)=0,"",IF(('Dvd Calendar'!$AI$895&gt;=MIN(DATE(Summary!$C$12,1,1),Summary!$C$11))*('Dvd Calendar'!$AI$895&lt;=MAX(DATE(Summary!$C$12,12,31),Summary!$C$15))*('Dvd Calendar'!$AI$895&lt;=Summary!$C$11)=0,"",'Dvd Calendar'!$AI$895*1000000000+ISNUMBER('Dvd Calendar'!$AI$896)*100000000+('Dvd Calendar'!$AI$900='Field Check'!$C$25)*10000000+(N('Dvd Calendar'!$AI$894)&gt;0)*1000000+60*1000+31))</f>
        <v/>
      </c>
      <c r="AH68" s="41">
        <f>IF(N('Dvd Calendar'!$AJ$895)=0,"",IF(('Dvd Calendar'!$AJ$895&gt;=MIN(DATE(Summary!$C$12,1,1),Summary!$C$11))*('Dvd Calendar'!$AJ$895&lt;=MAX(DATE(Summary!$C$12,12,31),Summary!$C$15))*('Dvd Calendar'!$AJ$895&lt;=Summary!$C$11)=0,"",'Dvd Calendar'!$AJ$895*1000000000+ISNUMBER('Dvd Calendar'!$AJ$896)*100000000+('Dvd Calendar'!$AJ$900='Field Check'!$C$25)*10000000+(N('Dvd Calendar'!$AJ$894)&gt;0)*1000000+60*1000+32))</f>
        <v/>
      </c>
      <c r="AI68" s="41">
        <f>IF(N('Dvd Calendar'!$AK$895)=0,"",IF(('Dvd Calendar'!$AK$895&gt;=MIN(DATE(Summary!$C$12,1,1),Summary!$C$11))*('Dvd Calendar'!$AK$895&lt;=MAX(DATE(Summary!$C$12,12,31),Summary!$C$15))*('Dvd Calendar'!$AK$895&lt;=Summary!$C$11)=0,"",'Dvd Calendar'!$AK$895*1000000000+ISNUMBER('Dvd Calendar'!$AK$896)*100000000+('Dvd Calendar'!$AK$900='Field Check'!$C$25)*10000000+(N('Dvd Calendar'!$AK$894)&gt;0)*1000000+60*1000+33))</f>
        <v/>
      </c>
      <c r="AJ68" s="41">
        <f>IF(N('Dvd Calendar'!$AL$895)=0,"",IF(('Dvd Calendar'!$AL$895&gt;=MIN(DATE(Summary!$C$12,1,1),Summary!$C$11))*('Dvd Calendar'!$AL$895&lt;=MAX(DATE(Summary!$C$12,12,31),Summary!$C$15))*('Dvd Calendar'!$AL$895&lt;=Summary!$C$11)=0,"",'Dvd Calendar'!$AL$895*1000000000+ISNUMBER('Dvd Calendar'!$AL$896)*100000000+('Dvd Calendar'!$AL$900='Field Check'!$C$25)*10000000+(N('Dvd Calendar'!$AL$894)&gt;0)*1000000+60*1000+34))</f>
        <v/>
      </c>
      <c r="AK68" s="41">
        <f>IF(N('Dvd Calendar'!$AM$895)=0,"",IF(('Dvd Calendar'!$AM$895&gt;=MIN(DATE(Summary!$C$12,1,1),Summary!$C$11))*('Dvd Calendar'!$AM$895&lt;=MAX(DATE(Summary!$C$12,12,31),Summary!$C$15))*('Dvd Calendar'!$AM$895&lt;=Summary!$C$11)=0,"",'Dvd Calendar'!$AM$895*1000000000+ISNUMBER('Dvd Calendar'!$AM$896)*100000000+('Dvd Calendar'!$AM$900='Field Check'!$C$25)*10000000+(N('Dvd Calendar'!$AM$894)&gt;0)*1000000+60*1000+35))</f>
        <v/>
      </c>
      <c r="AL68" s="41">
        <f>IF(N('Dvd Calendar'!$AN$895)=0,"",IF(('Dvd Calendar'!$AN$895&gt;=MIN(DATE(Summary!$C$12,1,1),Summary!$C$11))*('Dvd Calendar'!$AN$895&lt;=MAX(DATE(Summary!$C$12,12,31),Summary!$C$15))*('Dvd Calendar'!$AN$895&lt;=Summary!$C$11)=0,"",'Dvd Calendar'!$AN$895*1000000000+ISNUMBER('Dvd Calendar'!$AN$896)*100000000+('Dvd Calendar'!$AN$900='Field Check'!$C$25)*10000000+(N('Dvd Calendar'!$AN$894)&gt;0)*1000000+60*1000+36))</f>
        <v/>
      </c>
      <c r="AM68" s="41">
        <f>IF(N('Dvd Calendar'!$AO$895)=0,"",IF(('Dvd Calendar'!$AO$895&gt;=MIN(DATE(Summary!$C$12,1,1),Summary!$C$11))*('Dvd Calendar'!$AO$895&lt;=MAX(DATE(Summary!$C$12,12,31),Summary!$C$15))*('Dvd Calendar'!$AO$895&lt;=Summary!$C$11)=0,"",'Dvd Calendar'!$AO$895*1000000000+ISNUMBER('Dvd Calendar'!$AO$896)*100000000+('Dvd Calendar'!$AO$900='Field Check'!$C$25)*10000000+(N('Dvd Calendar'!$AO$894)&gt;0)*1000000+60*1000+37))</f>
        <v/>
      </c>
      <c r="AN68" s="41">
        <f>IF(N('Dvd Calendar'!$AP$895)=0,"",IF(('Dvd Calendar'!$AP$895&gt;=MIN(DATE(Summary!$C$12,1,1),Summary!$C$11))*('Dvd Calendar'!$AP$895&lt;=MAX(DATE(Summary!$C$12,12,31),Summary!$C$15))*('Dvd Calendar'!$AP$895&lt;=Summary!$C$11)=0,"",'Dvd Calendar'!$AP$895*1000000000+ISNUMBER('Dvd Calendar'!$AP$896)*100000000+('Dvd Calendar'!$AP$900='Field Check'!$C$25)*10000000+(N('Dvd Calendar'!$AP$894)&gt;0)*1000000+60*1000+38))</f>
        <v/>
      </c>
      <c r="AO68" s="41">
        <f>IF(N('Dvd Calendar'!$AQ$895)=0,"",IF(('Dvd Calendar'!$AQ$895&gt;=MIN(DATE(Summary!$C$12,1,1),Summary!$C$11))*('Dvd Calendar'!$AQ$895&lt;=MAX(DATE(Summary!$C$12,12,31),Summary!$C$15))*('Dvd Calendar'!$AQ$895&lt;=Summary!$C$11)=0,"",'Dvd Calendar'!$AQ$895*1000000000+ISNUMBER('Dvd Calendar'!$AQ$896)*100000000+('Dvd Calendar'!$AQ$900='Field Check'!$C$25)*10000000+(N('Dvd Calendar'!$AQ$894)&gt;0)*1000000+60*1000+39))</f>
        <v/>
      </c>
      <c r="AP68" s="41">
        <f>IF(N('Dvd Calendar'!$AR$895)=0,"",IF(('Dvd Calendar'!$AR$895&gt;=MIN(DATE(Summary!$C$12,1,1),Summary!$C$11))*('Dvd Calendar'!$AR$895&lt;=MAX(DATE(Summary!$C$12,12,31),Summary!$C$15))*('Dvd Calendar'!$AR$895&lt;=Summary!$C$11)=0,"",'Dvd Calendar'!$AR$895*1000000000+ISNUMBER('Dvd Calendar'!$AR$896)*100000000+('Dvd Calendar'!$AR$900='Field Check'!$C$25)*10000000+(N('Dvd Calendar'!$AR$894)&gt;0)*1000000+60*1000+40))</f>
        <v/>
      </c>
      <c r="AQ68" s="41">
        <f>IF(N('Dvd Calendar'!$E$902)=0,"",IF(('Dvd Calendar'!$E$902&gt;=MIN(DATE(Summary!$C$12,1,1),Summary!$C$11))*('Dvd Calendar'!$E$902&lt;=MAX(DATE(Summary!$C$12,12,31),Summary!$C$15))*('Dvd Calendar'!$E$902&gt;Summary!$C$11)=0,"",'Dvd Calendar'!$E$902*1000000000+ISNUMBER('Dvd Calendar'!$E$903)*100000000+('Dvd Calendar'!$E$907='Field Check'!$C$25)*10000000+(N('Dvd Calendar'!$E$901)&gt;0)*1000000+60*1000+41))</f>
        <v/>
      </c>
      <c r="AR68" s="41">
        <f>IF(N('Dvd Calendar'!$F$902)=0,"",IF(('Dvd Calendar'!$F$902&gt;=MIN(DATE(Summary!$C$12,1,1),Summary!$C$11))*('Dvd Calendar'!$F$902&lt;=MAX(DATE(Summary!$C$12,12,31),Summary!$C$15))*('Dvd Calendar'!$F$902&gt;Summary!$C$11)=0,"",'Dvd Calendar'!$F$902*1000000000+ISNUMBER('Dvd Calendar'!$F$903)*100000000+('Dvd Calendar'!$F$907='Field Check'!$C$25)*10000000+(N('Dvd Calendar'!$F$901)&gt;0)*1000000+60*1000+42))</f>
        <v/>
      </c>
      <c r="AS68" s="41">
        <f>IF(N('Dvd Calendar'!$G$902)=0,"",IF(('Dvd Calendar'!$G$902&gt;=MIN(DATE(Summary!$C$12,1,1),Summary!$C$11))*('Dvd Calendar'!$G$902&lt;=MAX(DATE(Summary!$C$12,12,31),Summary!$C$15))*('Dvd Calendar'!$G$902&gt;Summary!$C$11)=0,"",'Dvd Calendar'!$G$902*1000000000+ISNUMBER('Dvd Calendar'!$G$903)*100000000+('Dvd Calendar'!$G$907='Field Check'!$C$25)*10000000+(N('Dvd Calendar'!$G$901)&gt;0)*1000000+60*1000+43))</f>
        <v/>
      </c>
      <c r="AT68" s="41">
        <f>IF(N('Dvd Calendar'!$H$902)=0,"",IF(('Dvd Calendar'!$H$902&gt;=MIN(DATE(Summary!$C$12,1,1),Summary!$C$11))*('Dvd Calendar'!$H$902&lt;=MAX(DATE(Summary!$C$12,12,31),Summary!$C$15))*('Dvd Calendar'!$H$902&gt;Summary!$C$11)=0,"",'Dvd Calendar'!$H$902*1000000000+ISNUMBER('Dvd Calendar'!$H$903)*100000000+('Dvd Calendar'!$H$907='Field Check'!$C$25)*10000000+(N('Dvd Calendar'!$H$901)&gt;0)*1000000+60*1000+44))</f>
        <v/>
      </c>
      <c r="AU68" s="41">
        <f>IF(N('Dvd Calendar'!$I$902)=0,"",IF(('Dvd Calendar'!$I$902&gt;=MIN(DATE(Summary!$C$12,1,1),Summary!$C$11))*('Dvd Calendar'!$I$902&lt;=MAX(DATE(Summary!$C$12,12,31),Summary!$C$15))*('Dvd Calendar'!$I$902&gt;Summary!$C$11)=0,"",'Dvd Calendar'!$I$902*1000000000+ISNUMBER('Dvd Calendar'!$I$903)*100000000+('Dvd Calendar'!$I$907='Field Check'!$C$25)*10000000+(N('Dvd Calendar'!$I$901)&gt;0)*1000000+60*1000+45))</f>
        <v/>
      </c>
      <c r="AV68" s="41">
        <f>IF(N('Dvd Calendar'!$J$902)=0,"",IF(('Dvd Calendar'!$J$902&gt;=MIN(DATE(Summary!$C$12,1,1),Summary!$C$11))*('Dvd Calendar'!$J$902&lt;=MAX(DATE(Summary!$C$12,12,31),Summary!$C$15))*('Dvd Calendar'!$J$902&gt;Summary!$C$11)=0,"",'Dvd Calendar'!$J$902*1000000000+ISNUMBER('Dvd Calendar'!$J$903)*100000000+('Dvd Calendar'!$J$907='Field Check'!$C$25)*10000000+(N('Dvd Calendar'!$J$901)&gt;0)*1000000+60*1000+46))</f>
        <v/>
      </c>
      <c r="AW68" s="41">
        <f>IF(N('Dvd Calendar'!$K$902)=0,"",IF(('Dvd Calendar'!$K$902&gt;=MIN(DATE(Summary!$C$12,1,1),Summary!$C$11))*('Dvd Calendar'!$K$902&lt;=MAX(DATE(Summary!$C$12,12,31),Summary!$C$15))*('Dvd Calendar'!$K$902&gt;Summary!$C$11)=0,"",'Dvd Calendar'!$K$902*1000000000+ISNUMBER('Dvd Calendar'!$K$903)*100000000+('Dvd Calendar'!$K$907='Field Check'!$C$25)*10000000+(N('Dvd Calendar'!$K$901)&gt;0)*1000000+60*1000+47))</f>
        <v/>
      </c>
      <c r="AX68" s="41">
        <f>IF(N('Dvd Calendar'!$L$902)=0,"",IF(('Dvd Calendar'!$L$902&gt;=MIN(DATE(Summary!$C$12,1,1),Summary!$C$11))*('Dvd Calendar'!$L$902&lt;=MAX(DATE(Summary!$C$12,12,31),Summary!$C$15))*('Dvd Calendar'!$L$902&gt;Summary!$C$11)=0,"",'Dvd Calendar'!$L$902*1000000000+ISNUMBER('Dvd Calendar'!$L$903)*100000000+('Dvd Calendar'!$L$907='Field Check'!$C$25)*10000000+(N('Dvd Calendar'!$L$901)&gt;0)*1000000+60*1000+48))</f>
        <v/>
      </c>
      <c r="AY68" s="41">
        <f>IF(N('Dvd Calendar'!$M$902)=0,"",IF(('Dvd Calendar'!$M$902&gt;=MIN(DATE(Summary!$C$12,1,1),Summary!$C$11))*('Dvd Calendar'!$M$902&lt;=MAX(DATE(Summary!$C$12,12,31),Summary!$C$15))*('Dvd Calendar'!$M$902&gt;Summary!$C$11)=0,"",'Dvd Calendar'!$M$902*1000000000+ISNUMBER('Dvd Calendar'!$M$903)*100000000+('Dvd Calendar'!$M$907='Field Check'!$C$25)*10000000+(N('Dvd Calendar'!$M$901)&gt;0)*1000000+60*1000+49))</f>
        <v/>
      </c>
      <c r="AZ68" s="41">
        <f>IF(N('Dvd Calendar'!$N$902)=0,"",IF(('Dvd Calendar'!$N$902&gt;=MIN(DATE(Summary!$C$12,1,1),Summary!$C$11))*('Dvd Calendar'!$N$902&lt;=MAX(DATE(Summary!$C$12,12,31),Summary!$C$15))*('Dvd Calendar'!$N$902&gt;Summary!$C$11)=0,"",'Dvd Calendar'!$N$902*1000000000+ISNUMBER('Dvd Calendar'!$N$903)*100000000+('Dvd Calendar'!$N$907='Field Check'!$C$25)*10000000+(N('Dvd Calendar'!$N$901)&gt;0)*1000000+60*1000+50))</f>
        <v/>
      </c>
      <c r="BA68" s="41">
        <f>IF(N('Dvd Calendar'!$O$902)=0,"",IF(('Dvd Calendar'!$O$902&gt;=MIN(DATE(Summary!$C$12,1,1),Summary!$C$11))*('Dvd Calendar'!$O$902&lt;=MAX(DATE(Summary!$C$12,12,31),Summary!$C$15))*('Dvd Calendar'!$O$902&gt;Summary!$C$11)=0,"",'Dvd Calendar'!$O$902*1000000000+ISNUMBER('Dvd Calendar'!$O$903)*100000000+('Dvd Calendar'!$O$907='Field Check'!$C$25)*10000000+(N('Dvd Calendar'!$O$901)&gt;0)*1000000+60*1000+51))</f>
        <v/>
      </c>
      <c r="BB68" s="41">
        <f>IF(N('Dvd Calendar'!$P$902)=0,"",IF(('Dvd Calendar'!$P$902&gt;=MIN(DATE(Summary!$C$12,1,1),Summary!$C$11))*('Dvd Calendar'!$P$902&lt;=MAX(DATE(Summary!$C$12,12,31),Summary!$C$15))*('Dvd Calendar'!$P$902&gt;Summary!$C$11)=0,"",'Dvd Calendar'!$P$902*1000000000+ISNUMBER('Dvd Calendar'!$P$903)*100000000+('Dvd Calendar'!$P$907='Field Check'!$C$25)*10000000+(N('Dvd Calendar'!$P$901)&gt;0)*1000000+60*1000+52))</f>
        <v/>
      </c>
      <c r="BC68" s="41">
        <f>IF(N('Dvd Calendar'!$Q$902)=0,"",IF(('Dvd Calendar'!$Q$902&gt;=MIN(DATE(Summary!$C$12,1,1),Summary!$C$11))*('Dvd Calendar'!$Q$902&lt;=MAX(DATE(Summary!$C$12,12,31),Summary!$C$15))*('Dvd Calendar'!$Q$902&gt;Summary!$C$11)=0,"",'Dvd Calendar'!$Q$902*1000000000+ISNUMBER('Dvd Calendar'!$Q$903)*100000000+('Dvd Calendar'!$Q$907='Field Check'!$C$25)*10000000+(N('Dvd Calendar'!$Q$901)&gt;0)*1000000+60*1000+53))</f>
        <v/>
      </c>
      <c r="BD68" s="41">
        <f>IF(N('Dvd Calendar'!$R$902)=0,"",IF(('Dvd Calendar'!$R$902&gt;=MIN(DATE(Summary!$C$12,1,1),Summary!$C$11))*('Dvd Calendar'!$R$902&lt;=MAX(DATE(Summary!$C$12,12,31),Summary!$C$15))*('Dvd Calendar'!$R$902&gt;Summary!$C$11)=0,"",'Dvd Calendar'!$R$902*1000000000+ISNUMBER('Dvd Calendar'!$R$903)*100000000+('Dvd Calendar'!$R$907='Field Check'!$C$25)*10000000+(N('Dvd Calendar'!$R$901)&gt;0)*1000000+60*1000+54))</f>
        <v/>
      </c>
      <c r="BE68" s="41">
        <f>IF(N('Dvd Calendar'!$S$902)=0,"",IF(('Dvd Calendar'!$S$902&gt;=MIN(DATE(Summary!$C$12,1,1),Summary!$C$11))*('Dvd Calendar'!$S$902&lt;=MAX(DATE(Summary!$C$12,12,31),Summary!$C$15))*('Dvd Calendar'!$S$902&gt;Summary!$C$11)=0,"",'Dvd Calendar'!$S$902*1000000000+ISNUMBER('Dvd Calendar'!$S$903)*100000000+('Dvd Calendar'!$S$907='Field Check'!$C$25)*10000000+(N('Dvd Calendar'!$S$901)&gt;0)*1000000+60*1000+55))</f>
        <v/>
      </c>
      <c r="BF68" s="41">
        <f>IF(N('Dvd Calendar'!$T$902)=0,"",IF(('Dvd Calendar'!$T$902&gt;=MIN(DATE(Summary!$C$12,1,1),Summary!$C$11))*('Dvd Calendar'!$T$902&lt;=MAX(DATE(Summary!$C$12,12,31),Summary!$C$15))*('Dvd Calendar'!$T$902&gt;Summary!$C$11)=0,"",'Dvd Calendar'!$T$902*1000000000+ISNUMBER('Dvd Calendar'!$T$903)*100000000+('Dvd Calendar'!$T$907='Field Check'!$C$25)*10000000+(N('Dvd Calendar'!$T$901)&gt;0)*1000000+60*1000+56))</f>
        <v/>
      </c>
      <c r="BG68" s="41">
        <f>IF(N('Dvd Calendar'!$U$902)=0,"",IF(('Dvd Calendar'!$U$902&gt;=MIN(DATE(Summary!$C$12,1,1),Summary!$C$11))*('Dvd Calendar'!$U$902&lt;=MAX(DATE(Summary!$C$12,12,31),Summary!$C$15))*('Dvd Calendar'!$U$902&gt;Summary!$C$11)=0,"",'Dvd Calendar'!$U$902*1000000000+ISNUMBER('Dvd Calendar'!$U$903)*100000000+('Dvd Calendar'!$U$907='Field Check'!$C$25)*10000000+(N('Dvd Calendar'!$U$901)&gt;0)*1000000+60*1000+57))</f>
        <v/>
      </c>
      <c r="BH68" s="41">
        <f>IF(N('Dvd Calendar'!$V$902)=0,"",IF(('Dvd Calendar'!$V$902&gt;=MIN(DATE(Summary!$C$12,1,1),Summary!$C$11))*('Dvd Calendar'!$V$902&lt;=MAX(DATE(Summary!$C$12,12,31),Summary!$C$15))*('Dvd Calendar'!$V$902&gt;Summary!$C$11)=0,"",'Dvd Calendar'!$V$902*1000000000+ISNUMBER('Dvd Calendar'!$V$903)*100000000+('Dvd Calendar'!$V$907='Field Check'!$C$25)*10000000+(N('Dvd Calendar'!$V$901)&gt;0)*1000000+60*1000+58))</f>
        <v/>
      </c>
      <c r="BI68" s="41">
        <f>IF(N('Dvd Calendar'!$W$902)=0,"",IF(('Dvd Calendar'!$W$902&gt;=MIN(DATE(Summary!$C$12,1,1),Summary!$C$11))*('Dvd Calendar'!$W$902&lt;=MAX(DATE(Summary!$C$12,12,31),Summary!$C$15))*('Dvd Calendar'!$W$902&gt;Summary!$C$11)=0,"",'Dvd Calendar'!$W$902*1000000000+ISNUMBER('Dvd Calendar'!$W$903)*100000000+('Dvd Calendar'!$W$907='Field Check'!$C$25)*10000000+(N('Dvd Calendar'!$W$901)&gt;0)*1000000+60*1000+59))</f>
        <v/>
      </c>
      <c r="BJ68" s="41">
        <f>IF(N('Dvd Calendar'!$X$902)=0,"",IF(('Dvd Calendar'!$X$902&gt;=MIN(DATE(Summary!$C$12,1,1),Summary!$C$11))*('Dvd Calendar'!$X$902&lt;=MAX(DATE(Summary!$C$12,12,31),Summary!$C$15))*('Dvd Calendar'!$X$902&gt;Summary!$C$11)=0,"",'Dvd Calendar'!$X$902*1000000000+ISNUMBER('Dvd Calendar'!$X$903)*100000000+('Dvd Calendar'!$X$907='Field Check'!$C$25)*10000000+(N('Dvd Calendar'!$X$901)&gt;0)*1000000+60*1000+60))</f>
        <v/>
      </c>
      <c r="BK68" s="41">
        <f>IF(N('Dvd Calendar'!$Y$902)=0,"",IF(('Dvd Calendar'!$Y$902&gt;=MIN(DATE(Summary!$C$12,1,1),Summary!$C$11))*('Dvd Calendar'!$Y$902&lt;=MAX(DATE(Summary!$C$12,12,31),Summary!$C$15))*('Dvd Calendar'!$Y$902&gt;Summary!$C$11)=0,"",'Dvd Calendar'!$Y$902*1000000000+ISNUMBER('Dvd Calendar'!$Y$903)*100000000+('Dvd Calendar'!$Y$907='Field Check'!$C$25)*10000000+(N('Dvd Calendar'!$Y$901)&gt;0)*1000000+60*1000+61))</f>
        <v/>
      </c>
      <c r="BL68" s="41">
        <f>IF(N('Dvd Calendar'!$Z$902)=0,"",IF(('Dvd Calendar'!$Z$902&gt;=MIN(DATE(Summary!$C$12,1,1),Summary!$C$11))*('Dvd Calendar'!$Z$902&lt;=MAX(DATE(Summary!$C$12,12,31),Summary!$C$15))*('Dvd Calendar'!$Z$902&gt;Summary!$C$11)=0,"",'Dvd Calendar'!$Z$902*1000000000+ISNUMBER('Dvd Calendar'!$Z$903)*100000000+('Dvd Calendar'!$Z$907='Field Check'!$C$25)*10000000+(N('Dvd Calendar'!$Z$901)&gt;0)*1000000+60*1000+62))</f>
        <v/>
      </c>
      <c r="BM68" s="41">
        <f>IF(N('Dvd Calendar'!$AA$902)=0,"",IF(('Dvd Calendar'!$AA$902&gt;=MIN(DATE(Summary!$C$12,1,1),Summary!$C$11))*('Dvd Calendar'!$AA$902&lt;=MAX(DATE(Summary!$C$12,12,31),Summary!$C$15))*('Dvd Calendar'!$AA$902&gt;Summary!$C$11)=0,"",'Dvd Calendar'!$AA$902*1000000000+ISNUMBER('Dvd Calendar'!$AA$903)*100000000+('Dvd Calendar'!$AA$907='Field Check'!$C$25)*10000000+(N('Dvd Calendar'!$AA$901)&gt;0)*1000000+60*1000+63))</f>
        <v/>
      </c>
      <c r="BN68" s="41">
        <f>IF(N('Dvd Calendar'!$AB$902)=0,"",IF(('Dvd Calendar'!$AB$902&gt;=MIN(DATE(Summary!$C$12,1,1),Summary!$C$11))*('Dvd Calendar'!$AB$902&lt;=MAX(DATE(Summary!$C$12,12,31),Summary!$C$15))*('Dvd Calendar'!$AB$902&gt;Summary!$C$11)=0,"",'Dvd Calendar'!$AB$902*1000000000+ISNUMBER('Dvd Calendar'!$AB$903)*100000000+('Dvd Calendar'!$AB$907='Field Check'!$C$25)*10000000+(N('Dvd Calendar'!$AB$901)&gt;0)*1000000+60*1000+64))</f>
        <v/>
      </c>
      <c r="BO68" s="41">
        <f>IF(N('Dvd Calendar'!$AC$902)=0,"",IF(('Dvd Calendar'!$AC$902&gt;=MIN(DATE(Summary!$C$12,1,1),Summary!$C$11))*('Dvd Calendar'!$AC$902&lt;=MAX(DATE(Summary!$C$12,12,31),Summary!$C$15))*('Dvd Calendar'!$AC$902&gt;Summary!$C$11)=0,"",'Dvd Calendar'!$AC$902*1000000000+ISNUMBER('Dvd Calendar'!$AC$903)*100000000+('Dvd Calendar'!$AC$907='Field Check'!$C$25)*10000000+(N('Dvd Calendar'!$AC$901)&gt;0)*1000000+60*1000+65))</f>
        <v/>
      </c>
      <c r="BQ68" s="85">
        <f>IF(C68="","",IF(ISNUMBER('Dvd Calendar'!$E$896)=FALSE,"",IF((Summary!$C$13="N")*('Dvd Calendar'!$E$900='Field Check'!$C$25)&gt;0,"",'Dvd Calendar'!$E$896)))</f>
        <v/>
      </c>
      <c r="BR68" s="85">
        <f>IF(D68="","",IF(ISNUMBER('Dvd Calendar'!$F$896)=FALSE,"",IF((Summary!$C$13="N")*('Dvd Calendar'!$F$900='Field Check'!$C$25)&gt;0,"",'Dvd Calendar'!$F$896)))</f>
        <v/>
      </c>
      <c r="BS68" s="85">
        <f>IF(E68="","",IF(ISNUMBER('Dvd Calendar'!$G$896)=FALSE,"",IF((Summary!$C$13="N")*('Dvd Calendar'!$G$900='Field Check'!$C$25)&gt;0,"",'Dvd Calendar'!$G$896)))</f>
        <v/>
      </c>
      <c r="BT68" s="85">
        <f>IF(F68="","",IF(ISNUMBER('Dvd Calendar'!$H$896)=FALSE,"",IF((Summary!$C$13="N")*('Dvd Calendar'!$H$900='Field Check'!$C$25)&gt;0,"",'Dvd Calendar'!$H$896)))</f>
        <v/>
      </c>
      <c r="BU68" s="85">
        <f>IF(G68="","",IF(ISNUMBER('Dvd Calendar'!$I$896)=FALSE,"",IF((Summary!$C$13="N")*('Dvd Calendar'!$I$900='Field Check'!$C$25)&gt;0,"",'Dvd Calendar'!$I$896)))</f>
        <v/>
      </c>
      <c r="BV68" s="85">
        <f>IF(H68="","",IF(ISNUMBER('Dvd Calendar'!$J$896)=FALSE,"",IF((Summary!$C$13="N")*('Dvd Calendar'!$J$900='Field Check'!$C$25)&gt;0,"",'Dvd Calendar'!$J$896)))</f>
        <v/>
      </c>
      <c r="BW68" s="85">
        <f>IF(I68="","",IF(ISNUMBER('Dvd Calendar'!$K$896)=FALSE,"",IF((Summary!$C$13="N")*('Dvd Calendar'!$K$900='Field Check'!$C$25)&gt;0,"",'Dvd Calendar'!$K$896)))</f>
        <v/>
      </c>
      <c r="BX68" s="85">
        <f>IF(J68="","",IF(ISNUMBER('Dvd Calendar'!$L$896)=FALSE,"",IF((Summary!$C$13="N")*('Dvd Calendar'!$L$900='Field Check'!$C$25)&gt;0,"",'Dvd Calendar'!$L$896)))</f>
        <v/>
      </c>
      <c r="BY68" s="85">
        <f>IF(K68="","",IF(ISNUMBER('Dvd Calendar'!$M$896)=FALSE,"",IF((Summary!$C$13="N")*('Dvd Calendar'!$M$900='Field Check'!$C$25)&gt;0,"",'Dvd Calendar'!$M$896)))</f>
        <v/>
      </c>
      <c r="BZ68" s="85">
        <f>IF(L68="","",IF(ISNUMBER('Dvd Calendar'!$N$896)=FALSE,"",IF((Summary!$C$13="N")*('Dvd Calendar'!$N$900='Field Check'!$C$25)&gt;0,"",'Dvd Calendar'!$N$896)))</f>
        <v/>
      </c>
      <c r="CA68" s="85">
        <f>IF(M68="","",IF(ISNUMBER('Dvd Calendar'!$O$896)=FALSE,"",IF((Summary!$C$13="N")*('Dvd Calendar'!$O$900='Field Check'!$C$25)&gt;0,"",'Dvd Calendar'!$O$896)))</f>
        <v/>
      </c>
      <c r="CB68" s="85">
        <f>IF(N68="","",IF(ISNUMBER('Dvd Calendar'!$P$896)=FALSE,"",IF((Summary!$C$13="N")*('Dvd Calendar'!$P$900='Field Check'!$C$25)&gt;0,"",'Dvd Calendar'!$P$896)))</f>
        <v/>
      </c>
      <c r="CC68" s="85">
        <f>IF(O68="","",IF(ISNUMBER('Dvd Calendar'!$Q$896)=FALSE,"",IF((Summary!$C$13="N")*('Dvd Calendar'!$Q$900='Field Check'!$C$25)&gt;0,"",'Dvd Calendar'!$Q$896)))</f>
        <v/>
      </c>
      <c r="CD68" s="85">
        <f>IF(P68="","",IF(ISNUMBER('Dvd Calendar'!$R$896)=FALSE,"",IF((Summary!$C$13="N")*('Dvd Calendar'!$R$900='Field Check'!$C$25)&gt;0,"",'Dvd Calendar'!$R$896)))</f>
        <v/>
      </c>
      <c r="CE68" s="85">
        <f>IF(Q68="","",IF(ISNUMBER('Dvd Calendar'!$S$896)=FALSE,"",IF((Summary!$C$13="N")*('Dvd Calendar'!$S$900='Field Check'!$C$25)&gt;0,"",'Dvd Calendar'!$S$896)))</f>
        <v/>
      </c>
      <c r="CF68" s="85">
        <f>IF(R68="","",IF(ISNUMBER('Dvd Calendar'!$T$896)=FALSE,"",IF((Summary!$C$13="N")*('Dvd Calendar'!$T$900='Field Check'!$C$25)&gt;0,"",'Dvd Calendar'!$T$896)))</f>
        <v/>
      </c>
      <c r="CG68" s="85">
        <f>IF(S68="","",IF(ISNUMBER('Dvd Calendar'!$U$896)=FALSE,"",IF((Summary!$C$13="N")*('Dvd Calendar'!$U$900='Field Check'!$C$25)&gt;0,"",'Dvd Calendar'!$U$896)))</f>
        <v/>
      </c>
      <c r="CH68" s="85">
        <f>IF(T68="","",IF(ISNUMBER('Dvd Calendar'!$V$896)=FALSE,"",IF((Summary!$C$13="N")*('Dvd Calendar'!$V$900='Field Check'!$C$25)&gt;0,"",'Dvd Calendar'!$V$896)))</f>
        <v/>
      </c>
      <c r="CI68" s="85">
        <f>IF(U68="","",IF(ISNUMBER('Dvd Calendar'!$W$896)=FALSE,"",IF((Summary!$C$13="N")*('Dvd Calendar'!$W$900='Field Check'!$C$25)&gt;0,"",'Dvd Calendar'!$W$896)))</f>
        <v/>
      </c>
      <c r="CJ68" s="85">
        <f>IF(V68="","",IF(ISNUMBER('Dvd Calendar'!$X$896)=FALSE,"",IF((Summary!$C$13="N")*('Dvd Calendar'!$X$900='Field Check'!$C$25)&gt;0,"",'Dvd Calendar'!$X$896)))</f>
        <v/>
      </c>
      <c r="CK68" s="85">
        <f>IF(W68="","",IF(ISNUMBER('Dvd Calendar'!$Y$896)=FALSE,"",IF((Summary!$C$13="N")*('Dvd Calendar'!$Y$900='Field Check'!$C$25)&gt;0,"",'Dvd Calendar'!$Y$896)))</f>
        <v/>
      </c>
      <c r="CL68" s="85">
        <f>IF(X68="","",IF(ISNUMBER('Dvd Calendar'!$Z$896)=FALSE,"",IF((Summary!$C$13="N")*('Dvd Calendar'!$Z$900='Field Check'!$C$25)&gt;0,"",'Dvd Calendar'!$Z$896)))</f>
        <v/>
      </c>
      <c r="CM68" s="85">
        <f>IF(Y68="","",IF(ISNUMBER('Dvd Calendar'!$AA$896)=FALSE,"",IF((Summary!$C$13="N")*('Dvd Calendar'!$AA$900='Field Check'!$C$25)&gt;0,"",'Dvd Calendar'!$AA$896)))</f>
        <v/>
      </c>
      <c r="CN68" s="85">
        <f>IF(Z68="","",IF(ISNUMBER('Dvd Calendar'!$AB$896)=FALSE,"",IF((Summary!$C$13="N")*('Dvd Calendar'!$AB$900='Field Check'!$C$25)&gt;0,"",'Dvd Calendar'!$AB$896)))</f>
        <v/>
      </c>
      <c r="CO68" s="85">
        <f>IF(AA68="","",IF(ISNUMBER('Dvd Calendar'!$AC$896)=FALSE,"",IF((Summary!$C$13="N")*('Dvd Calendar'!$AC$900='Field Check'!$C$25)&gt;0,"",'Dvd Calendar'!$AC$896)))</f>
        <v/>
      </c>
      <c r="CP68" s="85">
        <f>IF(AB68="","",IF(ISNUMBER('Dvd Calendar'!$AD$896)=FALSE,"",IF((Summary!$C$13="N")*('Dvd Calendar'!$AD$900='Field Check'!$C$25)&gt;0,"",'Dvd Calendar'!$AD$896)))</f>
        <v/>
      </c>
      <c r="CQ68" s="85">
        <f>IF(AC68="","",IF(ISNUMBER('Dvd Calendar'!$AE$896)=FALSE,"",IF((Summary!$C$13="N")*('Dvd Calendar'!$AE$900='Field Check'!$C$25)&gt;0,"",'Dvd Calendar'!$AE$896)))</f>
        <v/>
      </c>
      <c r="CR68" s="85">
        <f>IF(AD68="","",IF(ISNUMBER('Dvd Calendar'!$AF$896)=FALSE,"",IF((Summary!$C$13="N")*('Dvd Calendar'!$AF$900='Field Check'!$C$25)&gt;0,"",'Dvd Calendar'!$AF$896)))</f>
        <v/>
      </c>
      <c r="CS68" s="85">
        <f>IF(AE68="","",IF(ISNUMBER('Dvd Calendar'!$AG$896)=FALSE,"",IF((Summary!$C$13="N")*('Dvd Calendar'!$AG$900='Field Check'!$C$25)&gt;0,"",'Dvd Calendar'!$AG$896)))</f>
        <v/>
      </c>
      <c r="CT68" s="85">
        <f>IF(AF68="","",IF(ISNUMBER('Dvd Calendar'!$AH$896)=FALSE,"",IF((Summary!$C$13="N")*('Dvd Calendar'!$AH$900='Field Check'!$C$25)&gt;0,"",'Dvd Calendar'!$AH$896)))</f>
        <v/>
      </c>
      <c r="CU68" s="85">
        <f>IF(AG68="","",IF(ISNUMBER('Dvd Calendar'!$AI$896)=FALSE,"",IF((Summary!$C$13="N")*('Dvd Calendar'!$AI$900='Field Check'!$C$25)&gt;0,"",'Dvd Calendar'!$AI$896)))</f>
        <v/>
      </c>
      <c r="CV68" s="85">
        <f>IF(AH68="","",IF(ISNUMBER('Dvd Calendar'!$AJ$896)=FALSE,"",IF((Summary!$C$13="N")*('Dvd Calendar'!$AJ$900='Field Check'!$C$25)&gt;0,"",'Dvd Calendar'!$AJ$896)))</f>
        <v/>
      </c>
      <c r="CW68" s="85">
        <f>IF(AI68="","",IF(ISNUMBER('Dvd Calendar'!$AK$896)=FALSE,"",IF((Summary!$C$13="N")*('Dvd Calendar'!$AK$900='Field Check'!$C$25)&gt;0,"",'Dvd Calendar'!$AK$896)))</f>
        <v/>
      </c>
      <c r="CX68" s="85">
        <f>IF(AJ68="","",IF(ISNUMBER('Dvd Calendar'!$AL$896)=FALSE,"",IF((Summary!$C$13="N")*('Dvd Calendar'!$AL$900='Field Check'!$C$25)&gt;0,"",'Dvd Calendar'!$AL$896)))</f>
        <v/>
      </c>
      <c r="CY68" s="85">
        <f>IF(AK68="","",IF(ISNUMBER('Dvd Calendar'!$AM$896)=FALSE,"",IF((Summary!$C$13="N")*('Dvd Calendar'!$AM$900='Field Check'!$C$25)&gt;0,"",'Dvd Calendar'!$AM$896)))</f>
        <v/>
      </c>
      <c r="CZ68" s="85">
        <f>IF(AL68="","",IF(ISNUMBER('Dvd Calendar'!$AN$896)=FALSE,"",IF((Summary!$C$13="N")*('Dvd Calendar'!$AN$900='Field Check'!$C$25)&gt;0,"",'Dvd Calendar'!$AN$896)))</f>
        <v/>
      </c>
      <c r="DA68" s="85">
        <f>IF(AM68="","",IF(ISNUMBER('Dvd Calendar'!$AO$896)=FALSE,"",IF((Summary!$C$13="N")*('Dvd Calendar'!$AO$900='Field Check'!$C$25)&gt;0,"",'Dvd Calendar'!$AO$896)))</f>
        <v/>
      </c>
      <c r="DB68" s="85">
        <f>IF(AN68="","",IF(ISNUMBER('Dvd Calendar'!$AP$896)=FALSE,"",IF((Summary!$C$13="N")*('Dvd Calendar'!$AP$900='Field Check'!$C$25)&gt;0,"",'Dvd Calendar'!$AP$896)))</f>
        <v/>
      </c>
      <c r="DC68" s="85">
        <f>IF(AO68="","",IF(ISNUMBER('Dvd Calendar'!$AQ$896)=FALSE,"",IF((Summary!$C$13="N")*('Dvd Calendar'!$AQ$900='Field Check'!$C$25)&gt;0,"",'Dvd Calendar'!$AQ$896)))</f>
        <v/>
      </c>
      <c r="DD68" s="85">
        <f>IF(AP68="","",IF(ISNUMBER('Dvd Calendar'!$AR$896)=FALSE,"",IF((Summary!$C$13="N")*('Dvd Calendar'!$AR$900='Field Check'!$C$25)&gt;0,"",'Dvd Calendar'!$AR$896)))</f>
        <v/>
      </c>
      <c r="DE68" s="85">
        <f>IF(AQ68="","",IF(ISNUMBER('Dvd Calendar'!$E$903)=FALSE,"",IF((Summary!$C$13="N")*('Dvd Calendar'!$E$907='Field Check'!$C$25)&gt;0,"",'Dvd Calendar'!$E$903)))</f>
        <v/>
      </c>
      <c r="DF68" s="85">
        <f>IF(AR68="","",IF(ISNUMBER('Dvd Calendar'!$F$903)=FALSE,"",IF((Summary!$C$13="N")*('Dvd Calendar'!$F$907='Field Check'!$C$25)&gt;0,"",'Dvd Calendar'!$F$903)))</f>
        <v/>
      </c>
      <c r="DG68" s="85">
        <f>IF(AS68="","",IF(ISNUMBER('Dvd Calendar'!$G$903)=FALSE,"",IF((Summary!$C$13="N")*('Dvd Calendar'!$G$907='Field Check'!$C$25)&gt;0,"",'Dvd Calendar'!$G$903)))</f>
        <v/>
      </c>
      <c r="DH68" s="85">
        <f>IF(AT68="","",IF(ISNUMBER('Dvd Calendar'!$H$903)=FALSE,"",IF((Summary!$C$13="N")*('Dvd Calendar'!$H$907='Field Check'!$C$25)&gt;0,"",'Dvd Calendar'!$H$903)))</f>
        <v/>
      </c>
      <c r="DI68" s="85">
        <f>IF(AU68="","",IF(ISNUMBER('Dvd Calendar'!$I$903)=FALSE,"",IF((Summary!$C$13="N")*('Dvd Calendar'!$I$907='Field Check'!$C$25)&gt;0,"",'Dvd Calendar'!$I$903)))</f>
        <v/>
      </c>
      <c r="DJ68" s="85">
        <f>IF(AV68="","",IF(ISNUMBER('Dvd Calendar'!$J$903)=FALSE,"",IF((Summary!$C$13="N")*('Dvd Calendar'!$J$907='Field Check'!$C$25)&gt;0,"",'Dvd Calendar'!$J$903)))</f>
        <v/>
      </c>
      <c r="DK68" s="85">
        <f>IF(AW68="","",IF(ISNUMBER('Dvd Calendar'!$K$903)=FALSE,"",IF((Summary!$C$13="N")*('Dvd Calendar'!$K$907='Field Check'!$C$25)&gt;0,"",'Dvd Calendar'!$K$903)))</f>
        <v/>
      </c>
      <c r="DL68" s="85">
        <f>IF(AX68="","",IF(ISNUMBER('Dvd Calendar'!$L$903)=FALSE,"",IF((Summary!$C$13="N")*('Dvd Calendar'!$L$907='Field Check'!$C$25)&gt;0,"",'Dvd Calendar'!$L$903)))</f>
        <v/>
      </c>
      <c r="DM68" s="85">
        <f>IF(AY68="","",IF(ISNUMBER('Dvd Calendar'!$M$903)=FALSE,"",IF((Summary!$C$13="N")*('Dvd Calendar'!$M$907='Field Check'!$C$25)&gt;0,"",'Dvd Calendar'!$M$903)))</f>
        <v/>
      </c>
      <c r="DN68" s="85">
        <f>IF(AZ68="","",IF(ISNUMBER('Dvd Calendar'!$N$903)=FALSE,"",IF((Summary!$C$13="N")*('Dvd Calendar'!$N$907='Field Check'!$C$25)&gt;0,"",'Dvd Calendar'!$N$903)))</f>
        <v/>
      </c>
      <c r="DO68" s="85">
        <f>IF(BA68="","",IF(ISNUMBER('Dvd Calendar'!$O$903)=FALSE,"",IF((Summary!$C$13="N")*('Dvd Calendar'!$O$907='Field Check'!$C$25)&gt;0,"",'Dvd Calendar'!$O$903)))</f>
        <v/>
      </c>
      <c r="DP68" s="85">
        <f>IF(BB68="","",IF(ISNUMBER('Dvd Calendar'!$P$903)=FALSE,"",IF((Summary!$C$13="N")*('Dvd Calendar'!$P$907='Field Check'!$C$25)&gt;0,"",'Dvd Calendar'!$P$903)))</f>
        <v/>
      </c>
      <c r="DQ68" s="85">
        <f>IF(BC68="","",IF(ISNUMBER('Dvd Calendar'!$Q$903)=FALSE,"",IF((Summary!$C$13="N")*('Dvd Calendar'!$Q$907='Field Check'!$C$25)&gt;0,"",'Dvd Calendar'!$Q$903)))</f>
        <v/>
      </c>
      <c r="DR68" s="85">
        <f>IF(BD68="","",IF(ISNUMBER('Dvd Calendar'!$R$903)=FALSE,"",IF((Summary!$C$13="N")*('Dvd Calendar'!$R$907='Field Check'!$C$25)&gt;0,"",'Dvd Calendar'!$R$903)))</f>
        <v/>
      </c>
      <c r="DS68" s="85">
        <f>IF(BE68="","",IF(ISNUMBER('Dvd Calendar'!$S$903)=FALSE,"",IF((Summary!$C$13="N")*('Dvd Calendar'!$S$907='Field Check'!$C$25)&gt;0,"",'Dvd Calendar'!$S$903)))</f>
        <v/>
      </c>
      <c r="DT68" s="85">
        <f>IF(BF68="","",IF(ISNUMBER('Dvd Calendar'!$T$903)=FALSE,"",IF((Summary!$C$13="N")*('Dvd Calendar'!$T$907='Field Check'!$C$25)&gt;0,"",'Dvd Calendar'!$T$903)))</f>
        <v/>
      </c>
      <c r="DU68" s="85">
        <f>IF(BG68="","",IF(ISNUMBER('Dvd Calendar'!$U$903)=FALSE,"",IF((Summary!$C$13="N")*('Dvd Calendar'!$U$907='Field Check'!$C$25)&gt;0,"",'Dvd Calendar'!$U$903)))</f>
        <v/>
      </c>
      <c r="DV68" s="85">
        <f>IF(BH68="","",IF(ISNUMBER('Dvd Calendar'!$V$903)=FALSE,"",IF((Summary!$C$13="N")*('Dvd Calendar'!$V$907='Field Check'!$C$25)&gt;0,"",'Dvd Calendar'!$V$903)))</f>
        <v/>
      </c>
      <c r="DW68" s="85">
        <f>IF(BI68="","",IF(ISNUMBER('Dvd Calendar'!$W$903)=FALSE,"",IF((Summary!$C$13="N")*('Dvd Calendar'!$W$907='Field Check'!$C$25)&gt;0,"",'Dvd Calendar'!$W$903)))</f>
        <v/>
      </c>
      <c r="DX68" s="85">
        <f>IF(BJ68="","",IF(ISNUMBER('Dvd Calendar'!$X$903)=FALSE,"",IF((Summary!$C$13="N")*('Dvd Calendar'!$X$907='Field Check'!$C$25)&gt;0,"",'Dvd Calendar'!$X$903)))</f>
        <v/>
      </c>
      <c r="DY68" s="85">
        <f>IF(BK68="","",IF(ISNUMBER('Dvd Calendar'!$Y$903)=FALSE,"",IF((Summary!$C$13="N")*('Dvd Calendar'!$Y$907='Field Check'!$C$25)&gt;0,"",'Dvd Calendar'!$Y$903)))</f>
        <v/>
      </c>
      <c r="DZ68" s="85">
        <f>IF(BL68="","",IF(ISNUMBER('Dvd Calendar'!$Z$903)=FALSE,"",IF((Summary!$C$13="N")*('Dvd Calendar'!$Z$907='Field Check'!$C$25)&gt;0,"",'Dvd Calendar'!$Z$903)))</f>
        <v/>
      </c>
      <c r="EA68" s="85">
        <f>IF(BM68="","",IF(ISNUMBER('Dvd Calendar'!$AA$903)=FALSE,"",IF((Summary!$C$13="N")*('Dvd Calendar'!$AA$907='Field Check'!$C$25)&gt;0,"",'Dvd Calendar'!$AA$903)))</f>
        <v/>
      </c>
      <c r="EB68" s="85">
        <f>IF(BN68="","",IF(ISNUMBER('Dvd Calendar'!$AB$903)=FALSE,"",IF((Summary!$C$13="N")*('Dvd Calendar'!$AB$907='Field Check'!$C$25)&gt;0,"",'Dvd Calendar'!$AB$903)))</f>
        <v/>
      </c>
      <c r="EC68" s="85">
        <f>IF(BO68="","",IF(ISNUMBER('Dvd Calendar'!$AC$903)=FALSE,"",IF((Summary!$C$13="N")*('Dvd Calendar'!$AC$907='Field Check'!$C$25)&gt;0,"",'Dvd Calendar'!$AC$903)))</f>
        <v/>
      </c>
      <c r="EE68" s="85">
        <f>IF(BQ68="","",IFERROR(BQ68*HSI!$B$66*HSI!$G$66/HSI!$B$3,""))</f>
        <v/>
      </c>
      <c r="EF68" s="85">
        <f>IF(BR68="","",IFERROR(BR68*HSI!$B$66*HSI!$G$66/HSI!$B$3,""))</f>
        <v/>
      </c>
      <c r="EG68" s="85">
        <f>IF(BS68="","",IFERROR(BS68*HSI!$B$66*HSI!$G$66/HSI!$B$3,""))</f>
        <v/>
      </c>
      <c r="EH68" s="85">
        <f>IF(BT68="","",IFERROR(BT68*HSI!$B$66*HSI!$G$66/HSI!$B$3,""))</f>
        <v/>
      </c>
      <c r="EI68" s="85">
        <f>IF(BU68="","",IFERROR(BU68*HSI!$B$66*HSI!$G$66/HSI!$B$3,""))</f>
        <v/>
      </c>
      <c r="EJ68" s="85">
        <f>IF(BV68="","",IFERROR(BV68*HSI!$B$66*HSI!$G$66/HSI!$B$3,""))</f>
        <v/>
      </c>
      <c r="EK68" s="85">
        <f>IF(BW68="","",IFERROR(BW68*HSI!$B$66*HSI!$G$66/HSI!$B$3,""))</f>
        <v/>
      </c>
      <c r="EL68" s="85">
        <f>IF(BX68="","",IFERROR(BX68*HSI!$B$66*HSI!$G$66/HSI!$B$3,""))</f>
        <v/>
      </c>
      <c r="EM68" s="85">
        <f>IF(BY68="","",IFERROR(BY68*HSI!$B$66*HSI!$G$66/HSI!$B$3,""))</f>
        <v/>
      </c>
      <c r="EN68" s="85">
        <f>IF(BZ68="","",IFERROR(BZ68*HSI!$B$66*HSI!$G$66/HSI!$B$3,""))</f>
        <v/>
      </c>
      <c r="EO68" s="85">
        <f>IF(CA68="","",IFERROR(CA68*HSI!$B$66*HSI!$G$66/HSI!$B$3,""))</f>
        <v/>
      </c>
      <c r="EP68" s="85">
        <f>IF(CB68="","",IFERROR(CB68*HSI!$B$66*HSI!$G$66/HSI!$B$3,""))</f>
        <v/>
      </c>
      <c r="EQ68" s="85">
        <f>IF(CC68="","",IFERROR(CC68*HSI!$B$66*HSI!$G$66/HSI!$B$3,""))</f>
        <v/>
      </c>
      <c r="ER68" s="85">
        <f>IF(CD68="","",IFERROR(CD68*HSI!$B$66*HSI!$G$66/HSI!$B$3,""))</f>
        <v/>
      </c>
      <c r="ES68" s="85">
        <f>IF(CE68="","",IFERROR(CE68*HSI!$B$66*HSI!$G$66/HSI!$B$3,""))</f>
        <v/>
      </c>
      <c r="ET68" s="85">
        <f>IF(CF68="","",IFERROR(CF68*HSI!$B$66*HSI!$G$66/HSI!$B$3,""))</f>
        <v/>
      </c>
      <c r="EU68" s="85">
        <f>IF(CG68="","",IFERROR(CG68*HSI!$B$66*HSI!$G$66/HSI!$B$3,""))</f>
        <v/>
      </c>
      <c r="EV68" s="85">
        <f>IF(CH68="","",IFERROR(CH68*HSI!$B$66*HSI!$G$66/HSI!$B$3,""))</f>
        <v/>
      </c>
      <c r="EW68" s="85">
        <f>IF(CI68="","",IFERROR(CI68*HSI!$B$66*HSI!$G$66/HSI!$B$3,""))</f>
        <v/>
      </c>
      <c r="EX68" s="85">
        <f>IF(CJ68="","",IFERROR(CJ68*HSI!$B$66*HSI!$G$66/HSI!$B$3,""))</f>
        <v/>
      </c>
      <c r="EY68" s="85">
        <f>IF(CK68="","",IFERROR(CK68*HSI!$B$66*HSI!$G$66/HSI!$B$3,""))</f>
        <v/>
      </c>
      <c r="EZ68" s="85">
        <f>IF(CL68="","",IFERROR(CL68*HSI!$B$66*HSI!$G$66/HSI!$B$3,""))</f>
        <v/>
      </c>
      <c r="FA68" s="85">
        <f>IF(CM68="","",IFERROR(CM68*HSI!$B$66*HSI!$G$66/HSI!$B$3,""))</f>
        <v/>
      </c>
      <c r="FB68" s="85">
        <f>IF(CN68="","",IFERROR(CN68*HSI!$B$66*HSI!$G$66/HSI!$B$3,""))</f>
        <v/>
      </c>
      <c r="FC68" s="85">
        <f>IF(CO68="","",IFERROR(CO68*HSI!$B$66*HSI!$G$66/HSI!$B$3,""))</f>
        <v/>
      </c>
      <c r="FD68" s="85">
        <f>IF(CP68="","",IFERROR(CP68*HSI!$B$66*HSI!$G$66/HSI!$B$3,""))</f>
        <v/>
      </c>
      <c r="FE68" s="85">
        <f>IF(CQ68="","",IFERROR(CQ68*HSI!$B$66*HSI!$G$66/HSI!$B$3,""))</f>
        <v/>
      </c>
      <c r="FF68" s="85">
        <f>IF(CR68="","",IFERROR(CR68*HSI!$B$66*HSI!$G$66/HSI!$B$3,""))</f>
        <v/>
      </c>
      <c r="FG68" s="85">
        <f>IF(CS68="","",IFERROR(CS68*HSI!$B$66*HSI!$G$66/HSI!$B$3,""))</f>
        <v/>
      </c>
      <c r="FH68" s="85">
        <f>IF(CT68="","",IFERROR(CT68*HSI!$B$66*HSI!$G$66/HSI!$B$3,""))</f>
        <v/>
      </c>
      <c r="FI68" s="85">
        <f>IF(CU68="","",IFERROR(CU68*HSI!$B$66*HSI!$G$66/HSI!$B$3,""))</f>
        <v/>
      </c>
      <c r="FJ68" s="85">
        <f>IF(CV68="","",IFERROR(CV68*HSI!$B$66*HSI!$G$66/HSI!$B$3,""))</f>
        <v/>
      </c>
      <c r="FK68" s="85">
        <f>IF(CW68="","",IFERROR(CW68*HSI!$B$66*HSI!$G$66/HSI!$B$3,""))</f>
        <v/>
      </c>
      <c r="FL68" s="85">
        <f>IF(CX68="","",IFERROR(CX68*HSI!$B$66*HSI!$G$66/HSI!$B$3,""))</f>
        <v/>
      </c>
      <c r="FM68" s="85">
        <f>IF(CY68="","",IFERROR(CY68*HSI!$B$66*HSI!$G$66/HSI!$B$3,""))</f>
        <v/>
      </c>
      <c r="FN68" s="85">
        <f>IF(CZ68="","",IFERROR(CZ68*HSI!$B$66*HSI!$G$66/HSI!$B$3,""))</f>
        <v/>
      </c>
      <c r="FO68" s="85">
        <f>IF(DA68="","",IFERROR(DA68*HSI!$B$66*HSI!$G$66/HSI!$B$3,""))</f>
        <v/>
      </c>
      <c r="FP68" s="85">
        <f>IF(DB68="","",IFERROR(DB68*HSI!$B$66*HSI!$G$66/HSI!$B$3,""))</f>
        <v/>
      </c>
      <c r="FQ68" s="85">
        <f>IF(DC68="","",IFERROR(DC68*HSI!$B$66*HSI!$G$66/HSI!$B$3,""))</f>
        <v/>
      </c>
      <c r="FR68" s="85">
        <f>IF(DD68="","",IFERROR(DD68*HSI!$B$66*HSI!$G$66/HSI!$B$3,""))</f>
        <v/>
      </c>
      <c r="FS68" s="85">
        <f>IF(DE68="","",IFERROR(DE68*HSI!$B$66*HSI!$G$66/HSI!$B$3,""))</f>
        <v/>
      </c>
      <c r="FT68" s="85">
        <f>IF(DF68="","",IFERROR(DF68*HSI!$B$66*HSI!$G$66/HSI!$B$3,""))</f>
        <v/>
      </c>
      <c r="FU68" s="85">
        <f>IF(DG68="","",IFERROR(DG68*HSI!$B$66*HSI!$G$66/HSI!$B$3,""))</f>
        <v/>
      </c>
      <c r="FV68" s="85">
        <f>IF(DH68="","",IFERROR(DH68*HSI!$B$66*HSI!$G$66/HSI!$B$3,""))</f>
        <v/>
      </c>
      <c r="FW68" s="85">
        <f>IF(DI68="","",IFERROR(DI68*HSI!$B$66*HSI!$G$66/HSI!$B$3,""))</f>
        <v/>
      </c>
      <c r="FX68" s="85">
        <f>IF(DJ68="","",IFERROR(DJ68*HSI!$B$66*HSI!$G$66/HSI!$B$3,""))</f>
        <v/>
      </c>
      <c r="FY68" s="85">
        <f>IF(DK68="","",IFERROR(DK68*HSI!$B$66*HSI!$G$66/HSI!$B$3,""))</f>
        <v/>
      </c>
      <c r="FZ68" s="85">
        <f>IF(DL68="","",IFERROR(DL68*HSI!$B$66*HSI!$G$66/HSI!$B$3,""))</f>
        <v/>
      </c>
      <c r="GA68" s="85">
        <f>IF(DM68="","",IFERROR(DM68*HSI!$B$66*HSI!$G$66/HSI!$B$3,""))</f>
        <v/>
      </c>
      <c r="GB68" s="85">
        <f>IF(DN68="","",IFERROR(DN68*HSI!$B$66*HSI!$G$66/HSI!$B$3,""))</f>
        <v/>
      </c>
      <c r="GC68" s="85">
        <f>IF(DO68="","",IFERROR(DO68*HSI!$B$66*HSI!$G$66/HSI!$B$3,""))</f>
        <v/>
      </c>
      <c r="GD68" s="85">
        <f>IF(DP68="","",IFERROR(DP68*HSI!$B$66*HSI!$G$66/HSI!$B$3,""))</f>
        <v/>
      </c>
      <c r="GE68" s="85">
        <f>IF(DQ68="","",IFERROR(DQ68*HSI!$B$66*HSI!$G$66/HSI!$B$3,""))</f>
        <v/>
      </c>
      <c r="GF68" s="85">
        <f>IF(DR68="","",IFERROR(DR68*HSI!$B$66*HSI!$G$66/HSI!$B$3,""))</f>
        <v/>
      </c>
      <c r="GG68" s="85">
        <f>IF(DS68="","",IFERROR(DS68*HSI!$B$66*HSI!$G$66/HSI!$B$3,""))</f>
        <v/>
      </c>
      <c r="GH68" s="85">
        <f>IF(DT68="","",IFERROR(DT68*HSI!$B$66*HSI!$G$66/HSI!$B$3,""))</f>
        <v/>
      </c>
      <c r="GI68" s="85">
        <f>IF(DU68="","",IFERROR(DU68*HSI!$B$66*HSI!$G$66/HSI!$B$3,""))</f>
        <v/>
      </c>
      <c r="GJ68" s="85">
        <f>IF(DV68="","",IFERROR(DV68*HSI!$B$66*HSI!$G$66/HSI!$B$3,""))</f>
        <v/>
      </c>
      <c r="GK68" s="85">
        <f>IF(DW68="","",IFERROR(DW68*HSI!$B$66*HSI!$G$66/HSI!$B$3,""))</f>
        <v/>
      </c>
      <c r="GL68" s="85">
        <f>IF(DX68="","",IFERROR(DX68*HSI!$B$66*HSI!$G$66/HSI!$B$3,""))</f>
        <v/>
      </c>
      <c r="GM68" s="85">
        <f>IF(DY68="","",IFERROR(DY68*HSI!$B$66*HSI!$G$66/HSI!$B$3,""))</f>
        <v/>
      </c>
      <c r="GN68" s="85">
        <f>IF(DZ68="","",IFERROR(DZ68*HSI!$B$66*HSI!$G$66/HSI!$B$3,""))</f>
        <v/>
      </c>
      <c r="GO68" s="85">
        <f>IF(EA68="","",IFERROR(EA68*HSI!$B$66*HSI!$G$66/HSI!$B$3,""))</f>
        <v/>
      </c>
      <c r="GP68" s="85">
        <f>IF(EB68="","",IFERROR(EB68*HSI!$B$66*HSI!$G$66/HSI!$B$3,""))</f>
        <v/>
      </c>
      <c r="GQ68" s="85">
        <f>IF(EC68="","",IFERROR(EC68*HSI!$B$66*HSI!$G$66/HSI!$B$3,""))</f>
        <v/>
      </c>
    </row>
    <row r="69">
      <c r="B69" s="2">
        <f>IF(HSI!$C$67="","",HSI!$C$67)</f>
        <v/>
      </c>
      <c r="C69" s="41">
        <f>IF(N('Dvd Calendar'!$E$910)=0,"",IF(('Dvd Calendar'!$E$910&gt;=MIN(DATE(Summary!$C$12,1,1),Summary!$C$11))*('Dvd Calendar'!$E$910&lt;=MAX(DATE(Summary!$C$12,12,31),Summary!$C$15))*('Dvd Calendar'!$E$910&lt;=Summary!$C$11)=0,"",'Dvd Calendar'!$E$910*1000000000+ISNUMBER('Dvd Calendar'!$E$911)*100000000+('Dvd Calendar'!$E$915='Field Check'!$C$25)*10000000+(N('Dvd Calendar'!$E$909)&gt;0)*1000000+61*1000+1))</f>
        <v/>
      </c>
      <c r="D69" s="41">
        <f>IF(N('Dvd Calendar'!$F$910)=0,"",IF(('Dvd Calendar'!$F$910&gt;=MIN(DATE(Summary!$C$12,1,1),Summary!$C$11))*('Dvd Calendar'!$F$910&lt;=MAX(DATE(Summary!$C$12,12,31),Summary!$C$15))*('Dvd Calendar'!$F$910&lt;=Summary!$C$11)=0,"",'Dvd Calendar'!$F$910*1000000000+ISNUMBER('Dvd Calendar'!$F$911)*100000000+('Dvd Calendar'!$F$915='Field Check'!$C$25)*10000000+(N('Dvd Calendar'!$F$909)&gt;0)*1000000+61*1000+2))</f>
        <v/>
      </c>
      <c r="E69" s="41">
        <f>IF(N('Dvd Calendar'!$G$910)=0,"",IF(('Dvd Calendar'!$G$910&gt;=MIN(DATE(Summary!$C$12,1,1),Summary!$C$11))*('Dvd Calendar'!$G$910&lt;=MAX(DATE(Summary!$C$12,12,31),Summary!$C$15))*('Dvd Calendar'!$G$910&lt;=Summary!$C$11)=0,"",'Dvd Calendar'!$G$910*1000000000+ISNUMBER('Dvd Calendar'!$G$911)*100000000+('Dvd Calendar'!$G$915='Field Check'!$C$25)*10000000+(N('Dvd Calendar'!$G$909)&gt;0)*1000000+61*1000+3))</f>
        <v/>
      </c>
      <c r="F69" s="41">
        <f>IF(N('Dvd Calendar'!$H$910)=0,"",IF(('Dvd Calendar'!$H$910&gt;=MIN(DATE(Summary!$C$12,1,1),Summary!$C$11))*('Dvd Calendar'!$H$910&lt;=MAX(DATE(Summary!$C$12,12,31),Summary!$C$15))*('Dvd Calendar'!$H$910&lt;=Summary!$C$11)=0,"",'Dvd Calendar'!$H$910*1000000000+ISNUMBER('Dvd Calendar'!$H$911)*100000000+('Dvd Calendar'!$H$915='Field Check'!$C$25)*10000000+(N('Dvd Calendar'!$H$909)&gt;0)*1000000+61*1000+4))</f>
        <v/>
      </c>
      <c r="G69" s="41">
        <f>IF(N('Dvd Calendar'!$I$910)=0,"",IF(('Dvd Calendar'!$I$910&gt;=MIN(DATE(Summary!$C$12,1,1),Summary!$C$11))*('Dvd Calendar'!$I$910&lt;=MAX(DATE(Summary!$C$12,12,31),Summary!$C$15))*('Dvd Calendar'!$I$910&lt;=Summary!$C$11)=0,"",'Dvd Calendar'!$I$910*1000000000+ISNUMBER('Dvd Calendar'!$I$911)*100000000+('Dvd Calendar'!$I$915='Field Check'!$C$25)*10000000+(N('Dvd Calendar'!$I$909)&gt;0)*1000000+61*1000+5))</f>
        <v/>
      </c>
      <c r="H69" s="41">
        <f>IF(N('Dvd Calendar'!$J$910)=0,"",IF(('Dvd Calendar'!$J$910&gt;=MIN(DATE(Summary!$C$12,1,1),Summary!$C$11))*('Dvd Calendar'!$J$910&lt;=MAX(DATE(Summary!$C$12,12,31),Summary!$C$15))*('Dvd Calendar'!$J$910&lt;=Summary!$C$11)=0,"",'Dvd Calendar'!$J$910*1000000000+ISNUMBER('Dvd Calendar'!$J$911)*100000000+('Dvd Calendar'!$J$915='Field Check'!$C$25)*10000000+(N('Dvd Calendar'!$J$909)&gt;0)*1000000+61*1000+6))</f>
        <v/>
      </c>
      <c r="I69" s="41">
        <f>IF(N('Dvd Calendar'!$K$910)=0,"",IF(('Dvd Calendar'!$K$910&gt;=MIN(DATE(Summary!$C$12,1,1),Summary!$C$11))*('Dvd Calendar'!$K$910&lt;=MAX(DATE(Summary!$C$12,12,31),Summary!$C$15))*('Dvd Calendar'!$K$910&lt;=Summary!$C$11)=0,"",'Dvd Calendar'!$K$910*1000000000+ISNUMBER('Dvd Calendar'!$K$911)*100000000+('Dvd Calendar'!$K$915='Field Check'!$C$25)*10000000+(N('Dvd Calendar'!$K$909)&gt;0)*1000000+61*1000+7))</f>
        <v/>
      </c>
      <c r="J69" s="41">
        <f>IF(N('Dvd Calendar'!$L$910)=0,"",IF(('Dvd Calendar'!$L$910&gt;=MIN(DATE(Summary!$C$12,1,1),Summary!$C$11))*('Dvd Calendar'!$L$910&lt;=MAX(DATE(Summary!$C$12,12,31),Summary!$C$15))*('Dvd Calendar'!$L$910&lt;=Summary!$C$11)=0,"",'Dvd Calendar'!$L$910*1000000000+ISNUMBER('Dvd Calendar'!$L$911)*100000000+('Dvd Calendar'!$L$915='Field Check'!$C$25)*10000000+(N('Dvd Calendar'!$L$909)&gt;0)*1000000+61*1000+8))</f>
        <v/>
      </c>
      <c r="K69" s="41">
        <f>IF(N('Dvd Calendar'!$M$910)=0,"",IF(('Dvd Calendar'!$M$910&gt;=MIN(DATE(Summary!$C$12,1,1),Summary!$C$11))*('Dvd Calendar'!$M$910&lt;=MAX(DATE(Summary!$C$12,12,31),Summary!$C$15))*('Dvd Calendar'!$M$910&lt;=Summary!$C$11)=0,"",'Dvd Calendar'!$M$910*1000000000+ISNUMBER('Dvd Calendar'!$M$911)*100000000+('Dvd Calendar'!$M$915='Field Check'!$C$25)*10000000+(N('Dvd Calendar'!$M$909)&gt;0)*1000000+61*1000+9))</f>
        <v/>
      </c>
      <c r="L69" s="41">
        <f>IF(N('Dvd Calendar'!$N$910)=0,"",IF(('Dvd Calendar'!$N$910&gt;=MIN(DATE(Summary!$C$12,1,1),Summary!$C$11))*('Dvd Calendar'!$N$910&lt;=MAX(DATE(Summary!$C$12,12,31),Summary!$C$15))*('Dvd Calendar'!$N$910&lt;=Summary!$C$11)=0,"",'Dvd Calendar'!$N$910*1000000000+ISNUMBER('Dvd Calendar'!$N$911)*100000000+('Dvd Calendar'!$N$915='Field Check'!$C$25)*10000000+(N('Dvd Calendar'!$N$909)&gt;0)*1000000+61*1000+10))</f>
        <v/>
      </c>
      <c r="M69" s="41">
        <f>IF(N('Dvd Calendar'!$O$910)=0,"",IF(('Dvd Calendar'!$O$910&gt;=MIN(DATE(Summary!$C$12,1,1),Summary!$C$11))*('Dvd Calendar'!$O$910&lt;=MAX(DATE(Summary!$C$12,12,31),Summary!$C$15))*('Dvd Calendar'!$O$910&lt;=Summary!$C$11)=0,"",'Dvd Calendar'!$O$910*1000000000+ISNUMBER('Dvd Calendar'!$O$911)*100000000+('Dvd Calendar'!$O$915='Field Check'!$C$25)*10000000+(N('Dvd Calendar'!$O$909)&gt;0)*1000000+61*1000+11))</f>
        <v/>
      </c>
      <c r="N69" s="41">
        <f>IF(N('Dvd Calendar'!$P$910)=0,"",IF(('Dvd Calendar'!$P$910&gt;=MIN(DATE(Summary!$C$12,1,1),Summary!$C$11))*('Dvd Calendar'!$P$910&lt;=MAX(DATE(Summary!$C$12,12,31),Summary!$C$15))*('Dvd Calendar'!$P$910&lt;=Summary!$C$11)=0,"",'Dvd Calendar'!$P$910*1000000000+ISNUMBER('Dvd Calendar'!$P$911)*100000000+('Dvd Calendar'!$P$915='Field Check'!$C$25)*10000000+(N('Dvd Calendar'!$P$909)&gt;0)*1000000+61*1000+12))</f>
        <v/>
      </c>
      <c r="O69" s="41">
        <f>IF(N('Dvd Calendar'!$Q$910)=0,"",IF(('Dvd Calendar'!$Q$910&gt;=MIN(DATE(Summary!$C$12,1,1),Summary!$C$11))*('Dvd Calendar'!$Q$910&lt;=MAX(DATE(Summary!$C$12,12,31),Summary!$C$15))*('Dvd Calendar'!$Q$910&lt;=Summary!$C$11)=0,"",'Dvd Calendar'!$Q$910*1000000000+ISNUMBER('Dvd Calendar'!$Q$911)*100000000+('Dvd Calendar'!$Q$915='Field Check'!$C$25)*10000000+(N('Dvd Calendar'!$Q$909)&gt;0)*1000000+61*1000+13))</f>
        <v/>
      </c>
      <c r="P69" s="41">
        <f>IF(N('Dvd Calendar'!$R$910)=0,"",IF(('Dvd Calendar'!$R$910&gt;=MIN(DATE(Summary!$C$12,1,1),Summary!$C$11))*('Dvd Calendar'!$R$910&lt;=MAX(DATE(Summary!$C$12,12,31),Summary!$C$15))*('Dvd Calendar'!$R$910&lt;=Summary!$C$11)=0,"",'Dvd Calendar'!$R$910*1000000000+ISNUMBER('Dvd Calendar'!$R$911)*100000000+('Dvd Calendar'!$R$915='Field Check'!$C$25)*10000000+(N('Dvd Calendar'!$R$909)&gt;0)*1000000+61*1000+14))</f>
        <v/>
      </c>
      <c r="Q69" s="41">
        <f>IF(N('Dvd Calendar'!$S$910)=0,"",IF(('Dvd Calendar'!$S$910&gt;=MIN(DATE(Summary!$C$12,1,1),Summary!$C$11))*('Dvd Calendar'!$S$910&lt;=MAX(DATE(Summary!$C$12,12,31),Summary!$C$15))*('Dvd Calendar'!$S$910&lt;=Summary!$C$11)=0,"",'Dvd Calendar'!$S$910*1000000000+ISNUMBER('Dvd Calendar'!$S$911)*100000000+('Dvd Calendar'!$S$915='Field Check'!$C$25)*10000000+(N('Dvd Calendar'!$S$909)&gt;0)*1000000+61*1000+15))</f>
        <v/>
      </c>
      <c r="R69" s="41">
        <f>IF(N('Dvd Calendar'!$T$910)=0,"",IF(('Dvd Calendar'!$T$910&gt;=MIN(DATE(Summary!$C$12,1,1),Summary!$C$11))*('Dvd Calendar'!$T$910&lt;=MAX(DATE(Summary!$C$12,12,31),Summary!$C$15))*('Dvd Calendar'!$T$910&lt;=Summary!$C$11)=0,"",'Dvd Calendar'!$T$910*1000000000+ISNUMBER('Dvd Calendar'!$T$911)*100000000+('Dvd Calendar'!$T$915='Field Check'!$C$25)*10000000+(N('Dvd Calendar'!$T$909)&gt;0)*1000000+61*1000+16))</f>
        <v/>
      </c>
      <c r="S69" s="41">
        <f>IF(N('Dvd Calendar'!$U$910)=0,"",IF(('Dvd Calendar'!$U$910&gt;=MIN(DATE(Summary!$C$12,1,1),Summary!$C$11))*('Dvd Calendar'!$U$910&lt;=MAX(DATE(Summary!$C$12,12,31),Summary!$C$15))*('Dvd Calendar'!$U$910&lt;=Summary!$C$11)=0,"",'Dvd Calendar'!$U$910*1000000000+ISNUMBER('Dvd Calendar'!$U$911)*100000000+('Dvd Calendar'!$U$915='Field Check'!$C$25)*10000000+(N('Dvd Calendar'!$U$909)&gt;0)*1000000+61*1000+17))</f>
        <v/>
      </c>
      <c r="T69" s="41">
        <f>IF(N('Dvd Calendar'!$V$910)=0,"",IF(('Dvd Calendar'!$V$910&gt;=MIN(DATE(Summary!$C$12,1,1),Summary!$C$11))*('Dvd Calendar'!$V$910&lt;=MAX(DATE(Summary!$C$12,12,31),Summary!$C$15))*('Dvd Calendar'!$V$910&lt;=Summary!$C$11)=0,"",'Dvd Calendar'!$V$910*1000000000+ISNUMBER('Dvd Calendar'!$V$911)*100000000+('Dvd Calendar'!$V$915='Field Check'!$C$25)*10000000+(N('Dvd Calendar'!$V$909)&gt;0)*1000000+61*1000+18))</f>
        <v/>
      </c>
      <c r="U69" s="41">
        <f>IF(N('Dvd Calendar'!$W$910)=0,"",IF(('Dvd Calendar'!$W$910&gt;=MIN(DATE(Summary!$C$12,1,1),Summary!$C$11))*('Dvd Calendar'!$W$910&lt;=MAX(DATE(Summary!$C$12,12,31),Summary!$C$15))*('Dvd Calendar'!$W$910&lt;=Summary!$C$11)=0,"",'Dvd Calendar'!$W$910*1000000000+ISNUMBER('Dvd Calendar'!$W$911)*100000000+('Dvd Calendar'!$W$915='Field Check'!$C$25)*10000000+(N('Dvd Calendar'!$W$909)&gt;0)*1000000+61*1000+19))</f>
        <v/>
      </c>
      <c r="V69" s="41">
        <f>IF(N('Dvd Calendar'!$X$910)=0,"",IF(('Dvd Calendar'!$X$910&gt;=MIN(DATE(Summary!$C$12,1,1),Summary!$C$11))*('Dvd Calendar'!$X$910&lt;=MAX(DATE(Summary!$C$12,12,31),Summary!$C$15))*('Dvd Calendar'!$X$910&lt;=Summary!$C$11)=0,"",'Dvd Calendar'!$X$910*1000000000+ISNUMBER('Dvd Calendar'!$X$911)*100000000+('Dvd Calendar'!$X$915='Field Check'!$C$25)*10000000+(N('Dvd Calendar'!$X$909)&gt;0)*1000000+61*1000+20))</f>
        <v/>
      </c>
      <c r="W69" s="41">
        <f>IF(N('Dvd Calendar'!$Y$910)=0,"",IF(('Dvd Calendar'!$Y$910&gt;=MIN(DATE(Summary!$C$12,1,1),Summary!$C$11))*('Dvd Calendar'!$Y$910&lt;=MAX(DATE(Summary!$C$12,12,31),Summary!$C$15))*('Dvd Calendar'!$Y$910&lt;=Summary!$C$11)=0,"",'Dvd Calendar'!$Y$910*1000000000+ISNUMBER('Dvd Calendar'!$Y$911)*100000000+('Dvd Calendar'!$Y$915='Field Check'!$C$25)*10000000+(N('Dvd Calendar'!$Y$909)&gt;0)*1000000+61*1000+21))</f>
        <v/>
      </c>
      <c r="X69" s="41">
        <f>IF(N('Dvd Calendar'!$Z$910)=0,"",IF(('Dvd Calendar'!$Z$910&gt;=MIN(DATE(Summary!$C$12,1,1),Summary!$C$11))*('Dvd Calendar'!$Z$910&lt;=MAX(DATE(Summary!$C$12,12,31),Summary!$C$15))*('Dvd Calendar'!$Z$910&lt;=Summary!$C$11)=0,"",'Dvd Calendar'!$Z$910*1000000000+ISNUMBER('Dvd Calendar'!$Z$911)*100000000+('Dvd Calendar'!$Z$915='Field Check'!$C$25)*10000000+(N('Dvd Calendar'!$Z$909)&gt;0)*1000000+61*1000+22))</f>
        <v/>
      </c>
      <c r="Y69" s="41">
        <f>IF(N('Dvd Calendar'!$AA$910)=0,"",IF(('Dvd Calendar'!$AA$910&gt;=MIN(DATE(Summary!$C$12,1,1),Summary!$C$11))*('Dvd Calendar'!$AA$910&lt;=MAX(DATE(Summary!$C$12,12,31),Summary!$C$15))*('Dvd Calendar'!$AA$910&lt;=Summary!$C$11)=0,"",'Dvd Calendar'!$AA$910*1000000000+ISNUMBER('Dvd Calendar'!$AA$911)*100000000+('Dvd Calendar'!$AA$915='Field Check'!$C$25)*10000000+(N('Dvd Calendar'!$AA$909)&gt;0)*1000000+61*1000+23))</f>
        <v/>
      </c>
      <c r="Z69" s="41">
        <f>IF(N('Dvd Calendar'!$AB$910)=0,"",IF(('Dvd Calendar'!$AB$910&gt;=MIN(DATE(Summary!$C$12,1,1),Summary!$C$11))*('Dvd Calendar'!$AB$910&lt;=MAX(DATE(Summary!$C$12,12,31),Summary!$C$15))*('Dvd Calendar'!$AB$910&lt;=Summary!$C$11)=0,"",'Dvd Calendar'!$AB$910*1000000000+ISNUMBER('Dvd Calendar'!$AB$911)*100000000+('Dvd Calendar'!$AB$915='Field Check'!$C$25)*10000000+(N('Dvd Calendar'!$AB$909)&gt;0)*1000000+61*1000+24))</f>
        <v/>
      </c>
      <c r="AA69" s="41">
        <f>IF(N('Dvd Calendar'!$AC$910)=0,"",IF(('Dvd Calendar'!$AC$910&gt;=MIN(DATE(Summary!$C$12,1,1),Summary!$C$11))*('Dvd Calendar'!$AC$910&lt;=MAX(DATE(Summary!$C$12,12,31),Summary!$C$15))*('Dvd Calendar'!$AC$910&lt;=Summary!$C$11)=0,"",'Dvd Calendar'!$AC$910*1000000000+ISNUMBER('Dvd Calendar'!$AC$911)*100000000+('Dvd Calendar'!$AC$915='Field Check'!$C$25)*10000000+(N('Dvd Calendar'!$AC$909)&gt;0)*1000000+61*1000+25))</f>
        <v/>
      </c>
      <c r="AB69" s="41">
        <f>IF(N('Dvd Calendar'!$AD$910)=0,"",IF(('Dvd Calendar'!$AD$910&gt;=MIN(DATE(Summary!$C$12,1,1),Summary!$C$11))*('Dvd Calendar'!$AD$910&lt;=MAX(DATE(Summary!$C$12,12,31),Summary!$C$15))*('Dvd Calendar'!$AD$910&lt;=Summary!$C$11)=0,"",'Dvd Calendar'!$AD$910*1000000000+ISNUMBER('Dvd Calendar'!$AD$911)*100000000+('Dvd Calendar'!$AD$915='Field Check'!$C$25)*10000000+(N('Dvd Calendar'!$AD$909)&gt;0)*1000000+61*1000+26))</f>
        <v/>
      </c>
      <c r="AC69" s="41">
        <f>IF(N('Dvd Calendar'!$AE$910)=0,"",IF(('Dvd Calendar'!$AE$910&gt;=MIN(DATE(Summary!$C$12,1,1),Summary!$C$11))*('Dvd Calendar'!$AE$910&lt;=MAX(DATE(Summary!$C$12,12,31),Summary!$C$15))*('Dvd Calendar'!$AE$910&lt;=Summary!$C$11)=0,"",'Dvd Calendar'!$AE$910*1000000000+ISNUMBER('Dvd Calendar'!$AE$911)*100000000+('Dvd Calendar'!$AE$915='Field Check'!$C$25)*10000000+(N('Dvd Calendar'!$AE$909)&gt;0)*1000000+61*1000+27))</f>
        <v/>
      </c>
      <c r="AD69" s="41">
        <f>IF(N('Dvd Calendar'!$AF$910)=0,"",IF(('Dvd Calendar'!$AF$910&gt;=MIN(DATE(Summary!$C$12,1,1),Summary!$C$11))*('Dvd Calendar'!$AF$910&lt;=MAX(DATE(Summary!$C$12,12,31),Summary!$C$15))*('Dvd Calendar'!$AF$910&lt;=Summary!$C$11)=0,"",'Dvd Calendar'!$AF$910*1000000000+ISNUMBER('Dvd Calendar'!$AF$911)*100000000+('Dvd Calendar'!$AF$915='Field Check'!$C$25)*10000000+(N('Dvd Calendar'!$AF$909)&gt;0)*1000000+61*1000+28))</f>
        <v/>
      </c>
      <c r="AE69" s="41">
        <f>IF(N('Dvd Calendar'!$AG$910)=0,"",IF(('Dvd Calendar'!$AG$910&gt;=MIN(DATE(Summary!$C$12,1,1),Summary!$C$11))*('Dvd Calendar'!$AG$910&lt;=MAX(DATE(Summary!$C$12,12,31),Summary!$C$15))*('Dvd Calendar'!$AG$910&lt;=Summary!$C$11)=0,"",'Dvd Calendar'!$AG$910*1000000000+ISNUMBER('Dvd Calendar'!$AG$911)*100000000+('Dvd Calendar'!$AG$915='Field Check'!$C$25)*10000000+(N('Dvd Calendar'!$AG$909)&gt;0)*1000000+61*1000+29))</f>
        <v/>
      </c>
      <c r="AF69" s="41">
        <f>IF(N('Dvd Calendar'!$AH$910)=0,"",IF(('Dvd Calendar'!$AH$910&gt;=MIN(DATE(Summary!$C$12,1,1),Summary!$C$11))*('Dvd Calendar'!$AH$910&lt;=MAX(DATE(Summary!$C$12,12,31),Summary!$C$15))*('Dvd Calendar'!$AH$910&lt;=Summary!$C$11)=0,"",'Dvd Calendar'!$AH$910*1000000000+ISNUMBER('Dvd Calendar'!$AH$911)*100000000+('Dvd Calendar'!$AH$915='Field Check'!$C$25)*10000000+(N('Dvd Calendar'!$AH$909)&gt;0)*1000000+61*1000+30))</f>
        <v/>
      </c>
      <c r="AG69" s="41">
        <f>IF(N('Dvd Calendar'!$AI$910)=0,"",IF(('Dvd Calendar'!$AI$910&gt;=MIN(DATE(Summary!$C$12,1,1),Summary!$C$11))*('Dvd Calendar'!$AI$910&lt;=MAX(DATE(Summary!$C$12,12,31),Summary!$C$15))*('Dvd Calendar'!$AI$910&lt;=Summary!$C$11)=0,"",'Dvd Calendar'!$AI$910*1000000000+ISNUMBER('Dvd Calendar'!$AI$911)*100000000+('Dvd Calendar'!$AI$915='Field Check'!$C$25)*10000000+(N('Dvd Calendar'!$AI$909)&gt;0)*1000000+61*1000+31))</f>
        <v/>
      </c>
      <c r="AH69" s="41">
        <f>IF(N('Dvd Calendar'!$AJ$910)=0,"",IF(('Dvd Calendar'!$AJ$910&gt;=MIN(DATE(Summary!$C$12,1,1),Summary!$C$11))*('Dvd Calendar'!$AJ$910&lt;=MAX(DATE(Summary!$C$12,12,31),Summary!$C$15))*('Dvd Calendar'!$AJ$910&lt;=Summary!$C$11)=0,"",'Dvd Calendar'!$AJ$910*1000000000+ISNUMBER('Dvd Calendar'!$AJ$911)*100000000+('Dvd Calendar'!$AJ$915='Field Check'!$C$25)*10000000+(N('Dvd Calendar'!$AJ$909)&gt;0)*1000000+61*1000+32))</f>
        <v/>
      </c>
      <c r="AI69" s="41">
        <f>IF(N('Dvd Calendar'!$AK$910)=0,"",IF(('Dvd Calendar'!$AK$910&gt;=MIN(DATE(Summary!$C$12,1,1),Summary!$C$11))*('Dvd Calendar'!$AK$910&lt;=MAX(DATE(Summary!$C$12,12,31),Summary!$C$15))*('Dvd Calendar'!$AK$910&lt;=Summary!$C$11)=0,"",'Dvd Calendar'!$AK$910*1000000000+ISNUMBER('Dvd Calendar'!$AK$911)*100000000+('Dvd Calendar'!$AK$915='Field Check'!$C$25)*10000000+(N('Dvd Calendar'!$AK$909)&gt;0)*1000000+61*1000+33))</f>
        <v/>
      </c>
      <c r="AJ69" s="41">
        <f>IF(N('Dvd Calendar'!$AL$910)=0,"",IF(('Dvd Calendar'!$AL$910&gt;=MIN(DATE(Summary!$C$12,1,1),Summary!$C$11))*('Dvd Calendar'!$AL$910&lt;=MAX(DATE(Summary!$C$12,12,31),Summary!$C$15))*('Dvd Calendar'!$AL$910&lt;=Summary!$C$11)=0,"",'Dvd Calendar'!$AL$910*1000000000+ISNUMBER('Dvd Calendar'!$AL$911)*100000000+('Dvd Calendar'!$AL$915='Field Check'!$C$25)*10000000+(N('Dvd Calendar'!$AL$909)&gt;0)*1000000+61*1000+34))</f>
        <v/>
      </c>
      <c r="AK69" s="41">
        <f>IF(N('Dvd Calendar'!$AM$910)=0,"",IF(('Dvd Calendar'!$AM$910&gt;=MIN(DATE(Summary!$C$12,1,1),Summary!$C$11))*('Dvd Calendar'!$AM$910&lt;=MAX(DATE(Summary!$C$12,12,31),Summary!$C$15))*('Dvd Calendar'!$AM$910&lt;=Summary!$C$11)=0,"",'Dvd Calendar'!$AM$910*1000000000+ISNUMBER('Dvd Calendar'!$AM$911)*100000000+('Dvd Calendar'!$AM$915='Field Check'!$C$25)*10000000+(N('Dvd Calendar'!$AM$909)&gt;0)*1000000+61*1000+35))</f>
        <v/>
      </c>
      <c r="AL69" s="41">
        <f>IF(N('Dvd Calendar'!$AN$910)=0,"",IF(('Dvd Calendar'!$AN$910&gt;=MIN(DATE(Summary!$C$12,1,1),Summary!$C$11))*('Dvd Calendar'!$AN$910&lt;=MAX(DATE(Summary!$C$12,12,31),Summary!$C$15))*('Dvd Calendar'!$AN$910&lt;=Summary!$C$11)=0,"",'Dvd Calendar'!$AN$910*1000000000+ISNUMBER('Dvd Calendar'!$AN$911)*100000000+('Dvd Calendar'!$AN$915='Field Check'!$C$25)*10000000+(N('Dvd Calendar'!$AN$909)&gt;0)*1000000+61*1000+36))</f>
        <v/>
      </c>
      <c r="AM69" s="41">
        <f>IF(N('Dvd Calendar'!$AO$910)=0,"",IF(('Dvd Calendar'!$AO$910&gt;=MIN(DATE(Summary!$C$12,1,1),Summary!$C$11))*('Dvd Calendar'!$AO$910&lt;=MAX(DATE(Summary!$C$12,12,31),Summary!$C$15))*('Dvd Calendar'!$AO$910&lt;=Summary!$C$11)=0,"",'Dvd Calendar'!$AO$910*1000000000+ISNUMBER('Dvd Calendar'!$AO$911)*100000000+('Dvd Calendar'!$AO$915='Field Check'!$C$25)*10000000+(N('Dvd Calendar'!$AO$909)&gt;0)*1000000+61*1000+37))</f>
        <v/>
      </c>
      <c r="AN69" s="41">
        <f>IF(N('Dvd Calendar'!$AP$910)=0,"",IF(('Dvd Calendar'!$AP$910&gt;=MIN(DATE(Summary!$C$12,1,1),Summary!$C$11))*('Dvd Calendar'!$AP$910&lt;=MAX(DATE(Summary!$C$12,12,31),Summary!$C$15))*('Dvd Calendar'!$AP$910&lt;=Summary!$C$11)=0,"",'Dvd Calendar'!$AP$910*1000000000+ISNUMBER('Dvd Calendar'!$AP$911)*100000000+('Dvd Calendar'!$AP$915='Field Check'!$C$25)*10000000+(N('Dvd Calendar'!$AP$909)&gt;0)*1000000+61*1000+38))</f>
        <v/>
      </c>
      <c r="AO69" s="41">
        <f>IF(N('Dvd Calendar'!$AQ$910)=0,"",IF(('Dvd Calendar'!$AQ$910&gt;=MIN(DATE(Summary!$C$12,1,1),Summary!$C$11))*('Dvd Calendar'!$AQ$910&lt;=MAX(DATE(Summary!$C$12,12,31),Summary!$C$15))*('Dvd Calendar'!$AQ$910&lt;=Summary!$C$11)=0,"",'Dvd Calendar'!$AQ$910*1000000000+ISNUMBER('Dvd Calendar'!$AQ$911)*100000000+('Dvd Calendar'!$AQ$915='Field Check'!$C$25)*10000000+(N('Dvd Calendar'!$AQ$909)&gt;0)*1000000+61*1000+39))</f>
        <v/>
      </c>
      <c r="AP69" s="41">
        <f>IF(N('Dvd Calendar'!$AR$910)=0,"",IF(('Dvd Calendar'!$AR$910&gt;=MIN(DATE(Summary!$C$12,1,1),Summary!$C$11))*('Dvd Calendar'!$AR$910&lt;=MAX(DATE(Summary!$C$12,12,31),Summary!$C$15))*('Dvd Calendar'!$AR$910&lt;=Summary!$C$11)=0,"",'Dvd Calendar'!$AR$910*1000000000+ISNUMBER('Dvd Calendar'!$AR$911)*100000000+('Dvd Calendar'!$AR$915='Field Check'!$C$25)*10000000+(N('Dvd Calendar'!$AR$909)&gt;0)*1000000+61*1000+40))</f>
        <v/>
      </c>
      <c r="AQ69" s="41">
        <f>IF(N('Dvd Calendar'!$E$917)=0,"",IF(('Dvd Calendar'!$E$917&gt;=MIN(DATE(Summary!$C$12,1,1),Summary!$C$11))*('Dvd Calendar'!$E$917&lt;=MAX(DATE(Summary!$C$12,12,31),Summary!$C$15))*('Dvd Calendar'!$E$917&gt;Summary!$C$11)=0,"",'Dvd Calendar'!$E$917*1000000000+ISNUMBER('Dvd Calendar'!$E$918)*100000000+('Dvd Calendar'!$E$922='Field Check'!$C$25)*10000000+(N('Dvd Calendar'!$E$916)&gt;0)*1000000+61*1000+41))</f>
        <v/>
      </c>
      <c r="AR69" s="41">
        <f>IF(N('Dvd Calendar'!$F$917)=0,"",IF(('Dvd Calendar'!$F$917&gt;=MIN(DATE(Summary!$C$12,1,1),Summary!$C$11))*('Dvd Calendar'!$F$917&lt;=MAX(DATE(Summary!$C$12,12,31),Summary!$C$15))*('Dvd Calendar'!$F$917&gt;Summary!$C$11)=0,"",'Dvd Calendar'!$F$917*1000000000+ISNUMBER('Dvd Calendar'!$F$918)*100000000+('Dvd Calendar'!$F$922='Field Check'!$C$25)*10000000+(N('Dvd Calendar'!$F$916)&gt;0)*1000000+61*1000+42))</f>
        <v/>
      </c>
      <c r="AS69" s="41">
        <f>IF(N('Dvd Calendar'!$G$917)=0,"",IF(('Dvd Calendar'!$G$917&gt;=MIN(DATE(Summary!$C$12,1,1),Summary!$C$11))*('Dvd Calendar'!$G$917&lt;=MAX(DATE(Summary!$C$12,12,31),Summary!$C$15))*('Dvd Calendar'!$G$917&gt;Summary!$C$11)=0,"",'Dvd Calendar'!$G$917*1000000000+ISNUMBER('Dvd Calendar'!$G$918)*100000000+('Dvd Calendar'!$G$922='Field Check'!$C$25)*10000000+(N('Dvd Calendar'!$G$916)&gt;0)*1000000+61*1000+43))</f>
        <v/>
      </c>
      <c r="AT69" s="41">
        <f>IF(N('Dvd Calendar'!$H$917)=0,"",IF(('Dvd Calendar'!$H$917&gt;=MIN(DATE(Summary!$C$12,1,1),Summary!$C$11))*('Dvd Calendar'!$H$917&lt;=MAX(DATE(Summary!$C$12,12,31),Summary!$C$15))*('Dvd Calendar'!$H$917&gt;Summary!$C$11)=0,"",'Dvd Calendar'!$H$917*1000000000+ISNUMBER('Dvd Calendar'!$H$918)*100000000+('Dvd Calendar'!$H$922='Field Check'!$C$25)*10000000+(N('Dvd Calendar'!$H$916)&gt;0)*1000000+61*1000+44))</f>
        <v/>
      </c>
      <c r="AU69" s="41">
        <f>IF(N('Dvd Calendar'!$I$917)=0,"",IF(('Dvd Calendar'!$I$917&gt;=MIN(DATE(Summary!$C$12,1,1),Summary!$C$11))*('Dvd Calendar'!$I$917&lt;=MAX(DATE(Summary!$C$12,12,31),Summary!$C$15))*('Dvd Calendar'!$I$917&gt;Summary!$C$11)=0,"",'Dvd Calendar'!$I$917*1000000000+ISNUMBER('Dvd Calendar'!$I$918)*100000000+('Dvd Calendar'!$I$922='Field Check'!$C$25)*10000000+(N('Dvd Calendar'!$I$916)&gt;0)*1000000+61*1000+45))</f>
        <v/>
      </c>
      <c r="AV69" s="41">
        <f>IF(N('Dvd Calendar'!$J$917)=0,"",IF(('Dvd Calendar'!$J$917&gt;=MIN(DATE(Summary!$C$12,1,1),Summary!$C$11))*('Dvd Calendar'!$J$917&lt;=MAX(DATE(Summary!$C$12,12,31),Summary!$C$15))*('Dvd Calendar'!$J$917&gt;Summary!$C$11)=0,"",'Dvd Calendar'!$J$917*1000000000+ISNUMBER('Dvd Calendar'!$J$918)*100000000+('Dvd Calendar'!$J$922='Field Check'!$C$25)*10000000+(N('Dvd Calendar'!$J$916)&gt;0)*1000000+61*1000+46))</f>
        <v/>
      </c>
      <c r="AW69" s="41">
        <f>IF(N('Dvd Calendar'!$K$917)=0,"",IF(('Dvd Calendar'!$K$917&gt;=MIN(DATE(Summary!$C$12,1,1),Summary!$C$11))*('Dvd Calendar'!$K$917&lt;=MAX(DATE(Summary!$C$12,12,31),Summary!$C$15))*('Dvd Calendar'!$K$917&gt;Summary!$C$11)=0,"",'Dvd Calendar'!$K$917*1000000000+ISNUMBER('Dvd Calendar'!$K$918)*100000000+('Dvd Calendar'!$K$922='Field Check'!$C$25)*10000000+(N('Dvd Calendar'!$K$916)&gt;0)*1000000+61*1000+47))</f>
        <v/>
      </c>
      <c r="AX69" s="41">
        <f>IF(N('Dvd Calendar'!$L$917)=0,"",IF(('Dvd Calendar'!$L$917&gt;=MIN(DATE(Summary!$C$12,1,1),Summary!$C$11))*('Dvd Calendar'!$L$917&lt;=MAX(DATE(Summary!$C$12,12,31),Summary!$C$15))*('Dvd Calendar'!$L$917&gt;Summary!$C$11)=0,"",'Dvd Calendar'!$L$917*1000000000+ISNUMBER('Dvd Calendar'!$L$918)*100000000+('Dvd Calendar'!$L$922='Field Check'!$C$25)*10000000+(N('Dvd Calendar'!$L$916)&gt;0)*1000000+61*1000+48))</f>
        <v/>
      </c>
      <c r="AY69" s="41">
        <f>IF(N('Dvd Calendar'!$M$917)=0,"",IF(('Dvd Calendar'!$M$917&gt;=MIN(DATE(Summary!$C$12,1,1),Summary!$C$11))*('Dvd Calendar'!$M$917&lt;=MAX(DATE(Summary!$C$12,12,31),Summary!$C$15))*('Dvd Calendar'!$M$917&gt;Summary!$C$11)=0,"",'Dvd Calendar'!$M$917*1000000000+ISNUMBER('Dvd Calendar'!$M$918)*100000000+('Dvd Calendar'!$M$922='Field Check'!$C$25)*10000000+(N('Dvd Calendar'!$M$916)&gt;0)*1000000+61*1000+49))</f>
        <v/>
      </c>
      <c r="AZ69" s="41">
        <f>IF(N('Dvd Calendar'!$N$917)=0,"",IF(('Dvd Calendar'!$N$917&gt;=MIN(DATE(Summary!$C$12,1,1),Summary!$C$11))*('Dvd Calendar'!$N$917&lt;=MAX(DATE(Summary!$C$12,12,31),Summary!$C$15))*('Dvd Calendar'!$N$917&gt;Summary!$C$11)=0,"",'Dvd Calendar'!$N$917*1000000000+ISNUMBER('Dvd Calendar'!$N$918)*100000000+('Dvd Calendar'!$N$922='Field Check'!$C$25)*10000000+(N('Dvd Calendar'!$N$916)&gt;0)*1000000+61*1000+50))</f>
        <v/>
      </c>
      <c r="BA69" s="41">
        <f>IF(N('Dvd Calendar'!$O$917)=0,"",IF(('Dvd Calendar'!$O$917&gt;=MIN(DATE(Summary!$C$12,1,1),Summary!$C$11))*('Dvd Calendar'!$O$917&lt;=MAX(DATE(Summary!$C$12,12,31),Summary!$C$15))*('Dvd Calendar'!$O$917&gt;Summary!$C$11)=0,"",'Dvd Calendar'!$O$917*1000000000+ISNUMBER('Dvd Calendar'!$O$918)*100000000+('Dvd Calendar'!$O$922='Field Check'!$C$25)*10000000+(N('Dvd Calendar'!$O$916)&gt;0)*1000000+61*1000+51))</f>
        <v/>
      </c>
      <c r="BB69" s="41">
        <f>IF(N('Dvd Calendar'!$P$917)=0,"",IF(('Dvd Calendar'!$P$917&gt;=MIN(DATE(Summary!$C$12,1,1),Summary!$C$11))*('Dvd Calendar'!$P$917&lt;=MAX(DATE(Summary!$C$12,12,31),Summary!$C$15))*('Dvd Calendar'!$P$917&gt;Summary!$C$11)=0,"",'Dvd Calendar'!$P$917*1000000000+ISNUMBER('Dvd Calendar'!$P$918)*100000000+('Dvd Calendar'!$P$922='Field Check'!$C$25)*10000000+(N('Dvd Calendar'!$P$916)&gt;0)*1000000+61*1000+52))</f>
        <v/>
      </c>
      <c r="BC69" s="41">
        <f>IF(N('Dvd Calendar'!$Q$917)=0,"",IF(('Dvd Calendar'!$Q$917&gt;=MIN(DATE(Summary!$C$12,1,1),Summary!$C$11))*('Dvd Calendar'!$Q$917&lt;=MAX(DATE(Summary!$C$12,12,31),Summary!$C$15))*('Dvd Calendar'!$Q$917&gt;Summary!$C$11)=0,"",'Dvd Calendar'!$Q$917*1000000000+ISNUMBER('Dvd Calendar'!$Q$918)*100000000+('Dvd Calendar'!$Q$922='Field Check'!$C$25)*10000000+(N('Dvd Calendar'!$Q$916)&gt;0)*1000000+61*1000+53))</f>
        <v/>
      </c>
      <c r="BD69" s="41">
        <f>IF(N('Dvd Calendar'!$R$917)=0,"",IF(('Dvd Calendar'!$R$917&gt;=MIN(DATE(Summary!$C$12,1,1),Summary!$C$11))*('Dvd Calendar'!$R$917&lt;=MAX(DATE(Summary!$C$12,12,31),Summary!$C$15))*('Dvd Calendar'!$R$917&gt;Summary!$C$11)=0,"",'Dvd Calendar'!$R$917*1000000000+ISNUMBER('Dvd Calendar'!$R$918)*100000000+('Dvd Calendar'!$R$922='Field Check'!$C$25)*10000000+(N('Dvd Calendar'!$R$916)&gt;0)*1000000+61*1000+54))</f>
        <v/>
      </c>
      <c r="BE69" s="41">
        <f>IF(N('Dvd Calendar'!$S$917)=0,"",IF(('Dvd Calendar'!$S$917&gt;=MIN(DATE(Summary!$C$12,1,1),Summary!$C$11))*('Dvd Calendar'!$S$917&lt;=MAX(DATE(Summary!$C$12,12,31),Summary!$C$15))*('Dvd Calendar'!$S$917&gt;Summary!$C$11)=0,"",'Dvd Calendar'!$S$917*1000000000+ISNUMBER('Dvd Calendar'!$S$918)*100000000+('Dvd Calendar'!$S$922='Field Check'!$C$25)*10000000+(N('Dvd Calendar'!$S$916)&gt;0)*1000000+61*1000+55))</f>
        <v/>
      </c>
      <c r="BF69" s="41">
        <f>IF(N('Dvd Calendar'!$T$917)=0,"",IF(('Dvd Calendar'!$T$917&gt;=MIN(DATE(Summary!$C$12,1,1),Summary!$C$11))*('Dvd Calendar'!$T$917&lt;=MAX(DATE(Summary!$C$12,12,31),Summary!$C$15))*('Dvd Calendar'!$T$917&gt;Summary!$C$11)=0,"",'Dvd Calendar'!$T$917*1000000000+ISNUMBER('Dvd Calendar'!$T$918)*100000000+('Dvd Calendar'!$T$922='Field Check'!$C$25)*10000000+(N('Dvd Calendar'!$T$916)&gt;0)*1000000+61*1000+56))</f>
        <v/>
      </c>
      <c r="BG69" s="41">
        <f>IF(N('Dvd Calendar'!$U$917)=0,"",IF(('Dvd Calendar'!$U$917&gt;=MIN(DATE(Summary!$C$12,1,1),Summary!$C$11))*('Dvd Calendar'!$U$917&lt;=MAX(DATE(Summary!$C$12,12,31),Summary!$C$15))*('Dvd Calendar'!$U$917&gt;Summary!$C$11)=0,"",'Dvd Calendar'!$U$917*1000000000+ISNUMBER('Dvd Calendar'!$U$918)*100000000+('Dvd Calendar'!$U$922='Field Check'!$C$25)*10000000+(N('Dvd Calendar'!$U$916)&gt;0)*1000000+61*1000+57))</f>
        <v/>
      </c>
      <c r="BH69" s="41">
        <f>IF(N('Dvd Calendar'!$V$917)=0,"",IF(('Dvd Calendar'!$V$917&gt;=MIN(DATE(Summary!$C$12,1,1),Summary!$C$11))*('Dvd Calendar'!$V$917&lt;=MAX(DATE(Summary!$C$12,12,31),Summary!$C$15))*('Dvd Calendar'!$V$917&gt;Summary!$C$11)=0,"",'Dvd Calendar'!$V$917*1000000000+ISNUMBER('Dvd Calendar'!$V$918)*100000000+('Dvd Calendar'!$V$922='Field Check'!$C$25)*10000000+(N('Dvd Calendar'!$V$916)&gt;0)*1000000+61*1000+58))</f>
        <v/>
      </c>
      <c r="BI69" s="41">
        <f>IF(N('Dvd Calendar'!$W$917)=0,"",IF(('Dvd Calendar'!$W$917&gt;=MIN(DATE(Summary!$C$12,1,1),Summary!$C$11))*('Dvd Calendar'!$W$917&lt;=MAX(DATE(Summary!$C$12,12,31),Summary!$C$15))*('Dvd Calendar'!$W$917&gt;Summary!$C$11)=0,"",'Dvd Calendar'!$W$917*1000000000+ISNUMBER('Dvd Calendar'!$W$918)*100000000+('Dvd Calendar'!$W$922='Field Check'!$C$25)*10000000+(N('Dvd Calendar'!$W$916)&gt;0)*1000000+61*1000+59))</f>
        <v/>
      </c>
      <c r="BJ69" s="41">
        <f>IF(N('Dvd Calendar'!$X$917)=0,"",IF(('Dvd Calendar'!$X$917&gt;=MIN(DATE(Summary!$C$12,1,1),Summary!$C$11))*('Dvd Calendar'!$X$917&lt;=MAX(DATE(Summary!$C$12,12,31),Summary!$C$15))*('Dvd Calendar'!$X$917&gt;Summary!$C$11)=0,"",'Dvd Calendar'!$X$917*1000000000+ISNUMBER('Dvd Calendar'!$X$918)*100000000+('Dvd Calendar'!$X$922='Field Check'!$C$25)*10000000+(N('Dvd Calendar'!$X$916)&gt;0)*1000000+61*1000+60))</f>
        <v/>
      </c>
      <c r="BK69" s="41">
        <f>IF(N('Dvd Calendar'!$Y$917)=0,"",IF(('Dvd Calendar'!$Y$917&gt;=MIN(DATE(Summary!$C$12,1,1),Summary!$C$11))*('Dvd Calendar'!$Y$917&lt;=MAX(DATE(Summary!$C$12,12,31),Summary!$C$15))*('Dvd Calendar'!$Y$917&gt;Summary!$C$11)=0,"",'Dvd Calendar'!$Y$917*1000000000+ISNUMBER('Dvd Calendar'!$Y$918)*100000000+('Dvd Calendar'!$Y$922='Field Check'!$C$25)*10000000+(N('Dvd Calendar'!$Y$916)&gt;0)*1000000+61*1000+61))</f>
        <v/>
      </c>
      <c r="BL69" s="41">
        <f>IF(N('Dvd Calendar'!$Z$917)=0,"",IF(('Dvd Calendar'!$Z$917&gt;=MIN(DATE(Summary!$C$12,1,1),Summary!$C$11))*('Dvd Calendar'!$Z$917&lt;=MAX(DATE(Summary!$C$12,12,31),Summary!$C$15))*('Dvd Calendar'!$Z$917&gt;Summary!$C$11)=0,"",'Dvd Calendar'!$Z$917*1000000000+ISNUMBER('Dvd Calendar'!$Z$918)*100000000+('Dvd Calendar'!$Z$922='Field Check'!$C$25)*10000000+(N('Dvd Calendar'!$Z$916)&gt;0)*1000000+61*1000+62))</f>
        <v/>
      </c>
      <c r="BM69" s="41">
        <f>IF(N('Dvd Calendar'!$AA$917)=0,"",IF(('Dvd Calendar'!$AA$917&gt;=MIN(DATE(Summary!$C$12,1,1),Summary!$C$11))*('Dvd Calendar'!$AA$917&lt;=MAX(DATE(Summary!$C$12,12,31),Summary!$C$15))*('Dvd Calendar'!$AA$917&gt;Summary!$C$11)=0,"",'Dvd Calendar'!$AA$917*1000000000+ISNUMBER('Dvd Calendar'!$AA$918)*100000000+('Dvd Calendar'!$AA$922='Field Check'!$C$25)*10000000+(N('Dvd Calendar'!$AA$916)&gt;0)*1000000+61*1000+63))</f>
        <v/>
      </c>
      <c r="BN69" s="41">
        <f>IF(N('Dvd Calendar'!$AB$917)=0,"",IF(('Dvd Calendar'!$AB$917&gt;=MIN(DATE(Summary!$C$12,1,1),Summary!$C$11))*('Dvd Calendar'!$AB$917&lt;=MAX(DATE(Summary!$C$12,12,31),Summary!$C$15))*('Dvd Calendar'!$AB$917&gt;Summary!$C$11)=0,"",'Dvd Calendar'!$AB$917*1000000000+ISNUMBER('Dvd Calendar'!$AB$918)*100000000+('Dvd Calendar'!$AB$922='Field Check'!$C$25)*10000000+(N('Dvd Calendar'!$AB$916)&gt;0)*1000000+61*1000+64))</f>
        <v/>
      </c>
      <c r="BO69" s="41">
        <f>IF(N('Dvd Calendar'!$AC$917)=0,"",IF(('Dvd Calendar'!$AC$917&gt;=MIN(DATE(Summary!$C$12,1,1),Summary!$C$11))*('Dvd Calendar'!$AC$917&lt;=MAX(DATE(Summary!$C$12,12,31),Summary!$C$15))*('Dvd Calendar'!$AC$917&gt;Summary!$C$11)=0,"",'Dvd Calendar'!$AC$917*1000000000+ISNUMBER('Dvd Calendar'!$AC$918)*100000000+('Dvd Calendar'!$AC$922='Field Check'!$C$25)*10000000+(N('Dvd Calendar'!$AC$916)&gt;0)*1000000+61*1000+65))</f>
        <v/>
      </c>
      <c r="BQ69" s="85">
        <f>IF(C69="","",IF(ISNUMBER('Dvd Calendar'!$E$911)=FALSE,"",IF((Summary!$C$13="N")*('Dvd Calendar'!$E$915='Field Check'!$C$25)&gt;0,"",'Dvd Calendar'!$E$911)))</f>
        <v/>
      </c>
      <c r="BR69" s="85">
        <f>IF(D69="","",IF(ISNUMBER('Dvd Calendar'!$F$911)=FALSE,"",IF((Summary!$C$13="N")*('Dvd Calendar'!$F$915='Field Check'!$C$25)&gt;0,"",'Dvd Calendar'!$F$911)))</f>
        <v/>
      </c>
      <c r="BS69" s="85">
        <f>IF(E69="","",IF(ISNUMBER('Dvd Calendar'!$G$911)=FALSE,"",IF((Summary!$C$13="N")*('Dvd Calendar'!$G$915='Field Check'!$C$25)&gt;0,"",'Dvd Calendar'!$G$911)))</f>
        <v/>
      </c>
      <c r="BT69" s="85">
        <f>IF(F69="","",IF(ISNUMBER('Dvd Calendar'!$H$911)=FALSE,"",IF((Summary!$C$13="N")*('Dvd Calendar'!$H$915='Field Check'!$C$25)&gt;0,"",'Dvd Calendar'!$H$911)))</f>
        <v/>
      </c>
      <c r="BU69" s="85">
        <f>IF(G69="","",IF(ISNUMBER('Dvd Calendar'!$I$911)=FALSE,"",IF((Summary!$C$13="N")*('Dvd Calendar'!$I$915='Field Check'!$C$25)&gt;0,"",'Dvd Calendar'!$I$911)))</f>
        <v/>
      </c>
      <c r="BV69" s="85">
        <f>IF(H69="","",IF(ISNUMBER('Dvd Calendar'!$J$911)=FALSE,"",IF((Summary!$C$13="N")*('Dvd Calendar'!$J$915='Field Check'!$C$25)&gt;0,"",'Dvd Calendar'!$J$911)))</f>
        <v/>
      </c>
      <c r="BW69" s="85">
        <f>IF(I69="","",IF(ISNUMBER('Dvd Calendar'!$K$911)=FALSE,"",IF((Summary!$C$13="N")*('Dvd Calendar'!$K$915='Field Check'!$C$25)&gt;0,"",'Dvd Calendar'!$K$911)))</f>
        <v/>
      </c>
      <c r="BX69" s="85">
        <f>IF(J69="","",IF(ISNUMBER('Dvd Calendar'!$L$911)=FALSE,"",IF((Summary!$C$13="N")*('Dvd Calendar'!$L$915='Field Check'!$C$25)&gt;0,"",'Dvd Calendar'!$L$911)))</f>
        <v/>
      </c>
      <c r="BY69" s="85">
        <f>IF(K69="","",IF(ISNUMBER('Dvd Calendar'!$M$911)=FALSE,"",IF((Summary!$C$13="N")*('Dvd Calendar'!$M$915='Field Check'!$C$25)&gt;0,"",'Dvd Calendar'!$M$911)))</f>
        <v/>
      </c>
      <c r="BZ69" s="85">
        <f>IF(L69="","",IF(ISNUMBER('Dvd Calendar'!$N$911)=FALSE,"",IF((Summary!$C$13="N")*('Dvd Calendar'!$N$915='Field Check'!$C$25)&gt;0,"",'Dvd Calendar'!$N$911)))</f>
        <v/>
      </c>
      <c r="CA69" s="85">
        <f>IF(M69="","",IF(ISNUMBER('Dvd Calendar'!$O$911)=FALSE,"",IF((Summary!$C$13="N")*('Dvd Calendar'!$O$915='Field Check'!$C$25)&gt;0,"",'Dvd Calendar'!$O$911)))</f>
        <v/>
      </c>
      <c r="CB69" s="85">
        <f>IF(N69="","",IF(ISNUMBER('Dvd Calendar'!$P$911)=FALSE,"",IF((Summary!$C$13="N")*('Dvd Calendar'!$P$915='Field Check'!$C$25)&gt;0,"",'Dvd Calendar'!$P$911)))</f>
        <v/>
      </c>
      <c r="CC69" s="85">
        <f>IF(O69="","",IF(ISNUMBER('Dvd Calendar'!$Q$911)=FALSE,"",IF((Summary!$C$13="N")*('Dvd Calendar'!$Q$915='Field Check'!$C$25)&gt;0,"",'Dvd Calendar'!$Q$911)))</f>
        <v/>
      </c>
      <c r="CD69" s="85">
        <f>IF(P69="","",IF(ISNUMBER('Dvd Calendar'!$R$911)=FALSE,"",IF((Summary!$C$13="N")*('Dvd Calendar'!$R$915='Field Check'!$C$25)&gt;0,"",'Dvd Calendar'!$R$911)))</f>
        <v/>
      </c>
      <c r="CE69" s="85">
        <f>IF(Q69="","",IF(ISNUMBER('Dvd Calendar'!$S$911)=FALSE,"",IF((Summary!$C$13="N")*('Dvd Calendar'!$S$915='Field Check'!$C$25)&gt;0,"",'Dvd Calendar'!$S$911)))</f>
        <v/>
      </c>
      <c r="CF69" s="85">
        <f>IF(R69="","",IF(ISNUMBER('Dvd Calendar'!$T$911)=FALSE,"",IF((Summary!$C$13="N")*('Dvd Calendar'!$T$915='Field Check'!$C$25)&gt;0,"",'Dvd Calendar'!$T$911)))</f>
        <v/>
      </c>
      <c r="CG69" s="85">
        <f>IF(S69="","",IF(ISNUMBER('Dvd Calendar'!$U$911)=FALSE,"",IF((Summary!$C$13="N")*('Dvd Calendar'!$U$915='Field Check'!$C$25)&gt;0,"",'Dvd Calendar'!$U$911)))</f>
        <v/>
      </c>
      <c r="CH69" s="85">
        <f>IF(T69="","",IF(ISNUMBER('Dvd Calendar'!$V$911)=FALSE,"",IF((Summary!$C$13="N")*('Dvd Calendar'!$V$915='Field Check'!$C$25)&gt;0,"",'Dvd Calendar'!$V$911)))</f>
        <v/>
      </c>
      <c r="CI69" s="85">
        <f>IF(U69="","",IF(ISNUMBER('Dvd Calendar'!$W$911)=FALSE,"",IF((Summary!$C$13="N")*('Dvd Calendar'!$W$915='Field Check'!$C$25)&gt;0,"",'Dvd Calendar'!$W$911)))</f>
        <v/>
      </c>
      <c r="CJ69" s="85">
        <f>IF(V69="","",IF(ISNUMBER('Dvd Calendar'!$X$911)=FALSE,"",IF((Summary!$C$13="N")*('Dvd Calendar'!$X$915='Field Check'!$C$25)&gt;0,"",'Dvd Calendar'!$X$911)))</f>
        <v/>
      </c>
      <c r="CK69" s="85">
        <f>IF(W69="","",IF(ISNUMBER('Dvd Calendar'!$Y$911)=FALSE,"",IF((Summary!$C$13="N")*('Dvd Calendar'!$Y$915='Field Check'!$C$25)&gt;0,"",'Dvd Calendar'!$Y$911)))</f>
        <v/>
      </c>
      <c r="CL69" s="85">
        <f>IF(X69="","",IF(ISNUMBER('Dvd Calendar'!$Z$911)=FALSE,"",IF((Summary!$C$13="N")*('Dvd Calendar'!$Z$915='Field Check'!$C$25)&gt;0,"",'Dvd Calendar'!$Z$911)))</f>
        <v/>
      </c>
      <c r="CM69" s="85">
        <f>IF(Y69="","",IF(ISNUMBER('Dvd Calendar'!$AA$911)=FALSE,"",IF((Summary!$C$13="N")*('Dvd Calendar'!$AA$915='Field Check'!$C$25)&gt;0,"",'Dvd Calendar'!$AA$911)))</f>
        <v/>
      </c>
      <c r="CN69" s="85">
        <f>IF(Z69="","",IF(ISNUMBER('Dvd Calendar'!$AB$911)=FALSE,"",IF((Summary!$C$13="N")*('Dvd Calendar'!$AB$915='Field Check'!$C$25)&gt;0,"",'Dvd Calendar'!$AB$911)))</f>
        <v/>
      </c>
      <c r="CO69" s="85">
        <f>IF(AA69="","",IF(ISNUMBER('Dvd Calendar'!$AC$911)=FALSE,"",IF((Summary!$C$13="N")*('Dvd Calendar'!$AC$915='Field Check'!$C$25)&gt;0,"",'Dvd Calendar'!$AC$911)))</f>
        <v/>
      </c>
      <c r="CP69" s="85">
        <f>IF(AB69="","",IF(ISNUMBER('Dvd Calendar'!$AD$911)=FALSE,"",IF((Summary!$C$13="N")*('Dvd Calendar'!$AD$915='Field Check'!$C$25)&gt;0,"",'Dvd Calendar'!$AD$911)))</f>
        <v/>
      </c>
      <c r="CQ69" s="85">
        <f>IF(AC69="","",IF(ISNUMBER('Dvd Calendar'!$AE$911)=FALSE,"",IF((Summary!$C$13="N")*('Dvd Calendar'!$AE$915='Field Check'!$C$25)&gt;0,"",'Dvd Calendar'!$AE$911)))</f>
        <v/>
      </c>
      <c r="CR69" s="85">
        <f>IF(AD69="","",IF(ISNUMBER('Dvd Calendar'!$AF$911)=FALSE,"",IF((Summary!$C$13="N")*('Dvd Calendar'!$AF$915='Field Check'!$C$25)&gt;0,"",'Dvd Calendar'!$AF$911)))</f>
        <v/>
      </c>
      <c r="CS69" s="85">
        <f>IF(AE69="","",IF(ISNUMBER('Dvd Calendar'!$AG$911)=FALSE,"",IF((Summary!$C$13="N")*('Dvd Calendar'!$AG$915='Field Check'!$C$25)&gt;0,"",'Dvd Calendar'!$AG$911)))</f>
        <v/>
      </c>
      <c r="CT69" s="85">
        <f>IF(AF69="","",IF(ISNUMBER('Dvd Calendar'!$AH$911)=FALSE,"",IF((Summary!$C$13="N")*('Dvd Calendar'!$AH$915='Field Check'!$C$25)&gt;0,"",'Dvd Calendar'!$AH$911)))</f>
        <v/>
      </c>
      <c r="CU69" s="85">
        <f>IF(AG69="","",IF(ISNUMBER('Dvd Calendar'!$AI$911)=FALSE,"",IF((Summary!$C$13="N")*('Dvd Calendar'!$AI$915='Field Check'!$C$25)&gt;0,"",'Dvd Calendar'!$AI$911)))</f>
        <v/>
      </c>
      <c r="CV69" s="85">
        <f>IF(AH69="","",IF(ISNUMBER('Dvd Calendar'!$AJ$911)=FALSE,"",IF((Summary!$C$13="N")*('Dvd Calendar'!$AJ$915='Field Check'!$C$25)&gt;0,"",'Dvd Calendar'!$AJ$911)))</f>
        <v/>
      </c>
      <c r="CW69" s="85">
        <f>IF(AI69="","",IF(ISNUMBER('Dvd Calendar'!$AK$911)=FALSE,"",IF((Summary!$C$13="N")*('Dvd Calendar'!$AK$915='Field Check'!$C$25)&gt;0,"",'Dvd Calendar'!$AK$911)))</f>
        <v/>
      </c>
      <c r="CX69" s="85">
        <f>IF(AJ69="","",IF(ISNUMBER('Dvd Calendar'!$AL$911)=FALSE,"",IF((Summary!$C$13="N")*('Dvd Calendar'!$AL$915='Field Check'!$C$25)&gt;0,"",'Dvd Calendar'!$AL$911)))</f>
        <v/>
      </c>
      <c r="CY69" s="85">
        <f>IF(AK69="","",IF(ISNUMBER('Dvd Calendar'!$AM$911)=FALSE,"",IF((Summary!$C$13="N")*('Dvd Calendar'!$AM$915='Field Check'!$C$25)&gt;0,"",'Dvd Calendar'!$AM$911)))</f>
        <v/>
      </c>
      <c r="CZ69" s="85">
        <f>IF(AL69="","",IF(ISNUMBER('Dvd Calendar'!$AN$911)=FALSE,"",IF((Summary!$C$13="N")*('Dvd Calendar'!$AN$915='Field Check'!$C$25)&gt;0,"",'Dvd Calendar'!$AN$911)))</f>
        <v/>
      </c>
      <c r="DA69" s="85">
        <f>IF(AM69="","",IF(ISNUMBER('Dvd Calendar'!$AO$911)=FALSE,"",IF((Summary!$C$13="N")*('Dvd Calendar'!$AO$915='Field Check'!$C$25)&gt;0,"",'Dvd Calendar'!$AO$911)))</f>
        <v/>
      </c>
      <c r="DB69" s="85">
        <f>IF(AN69="","",IF(ISNUMBER('Dvd Calendar'!$AP$911)=FALSE,"",IF((Summary!$C$13="N")*('Dvd Calendar'!$AP$915='Field Check'!$C$25)&gt;0,"",'Dvd Calendar'!$AP$911)))</f>
        <v/>
      </c>
      <c r="DC69" s="85">
        <f>IF(AO69="","",IF(ISNUMBER('Dvd Calendar'!$AQ$911)=FALSE,"",IF((Summary!$C$13="N")*('Dvd Calendar'!$AQ$915='Field Check'!$C$25)&gt;0,"",'Dvd Calendar'!$AQ$911)))</f>
        <v/>
      </c>
      <c r="DD69" s="85">
        <f>IF(AP69="","",IF(ISNUMBER('Dvd Calendar'!$AR$911)=FALSE,"",IF((Summary!$C$13="N")*('Dvd Calendar'!$AR$915='Field Check'!$C$25)&gt;0,"",'Dvd Calendar'!$AR$911)))</f>
        <v/>
      </c>
      <c r="DE69" s="85">
        <f>IF(AQ69="","",IF(ISNUMBER('Dvd Calendar'!$E$918)=FALSE,"",IF((Summary!$C$13="N")*('Dvd Calendar'!$E$922='Field Check'!$C$25)&gt;0,"",'Dvd Calendar'!$E$918)))</f>
        <v/>
      </c>
      <c r="DF69" s="85">
        <f>IF(AR69="","",IF(ISNUMBER('Dvd Calendar'!$F$918)=FALSE,"",IF((Summary!$C$13="N")*('Dvd Calendar'!$F$922='Field Check'!$C$25)&gt;0,"",'Dvd Calendar'!$F$918)))</f>
        <v/>
      </c>
      <c r="DG69" s="85">
        <f>IF(AS69="","",IF(ISNUMBER('Dvd Calendar'!$G$918)=FALSE,"",IF((Summary!$C$13="N")*('Dvd Calendar'!$G$922='Field Check'!$C$25)&gt;0,"",'Dvd Calendar'!$G$918)))</f>
        <v/>
      </c>
      <c r="DH69" s="85">
        <f>IF(AT69="","",IF(ISNUMBER('Dvd Calendar'!$H$918)=FALSE,"",IF((Summary!$C$13="N")*('Dvd Calendar'!$H$922='Field Check'!$C$25)&gt;0,"",'Dvd Calendar'!$H$918)))</f>
        <v/>
      </c>
      <c r="DI69" s="85">
        <f>IF(AU69="","",IF(ISNUMBER('Dvd Calendar'!$I$918)=FALSE,"",IF((Summary!$C$13="N")*('Dvd Calendar'!$I$922='Field Check'!$C$25)&gt;0,"",'Dvd Calendar'!$I$918)))</f>
        <v/>
      </c>
      <c r="DJ69" s="85">
        <f>IF(AV69="","",IF(ISNUMBER('Dvd Calendar'!$J$918)=FALSE,"",IF((Summary!$C$13="N")*('Dvd Calendar'!$J$922='Field Check'!$C$25)&gt;0,"",'Dvd Calendar'!$J$918)))</f>
        <v/>
      </c>
      <c r="DK69" s="85">
        <f>IF(AW69="","",IF(ISNUMBER('Dvd Calendar'!$K$918)=FALSE,"",IF((Summary!$C$13="N")*('Dvd Calendar'!$K$922='Field Check'!$C$25)&gt;0,"",'Dvd Calendar'!$K$918)))</f>
        <v/>
      </c>
      <c r="DL69" s="85">
        <f>IF(AX69="","",IF(ISNUMBER('Dvd Calendar'!$L$918)=FALSE,"",IF((Summary!$C$13="N")*('Dvd Calendar'!$L$922='Field Check'!$C$25)&gt;0,"",'Dvd Calendar'!$L$918)))</f>
        <v/>
      </c>
      <c r="DM69" s="85">
        <f>IF(AY69="","",IF(ISNUMBER('Dvd Calendar'!$M$918)=FALSE,"",IF((Summary!$C$13="N")*('Dvd Calendar'!$M$922='Field Check'!$C$25)&gt;0,"",'Dvd Calendar'!$M$918)))</f>
        <v/>
      </c>
      <c r="DN69" s="85">
        <f>IF(AZ69="","",IF(ISNUMBER('Dvd Calendar'!$N$918)=FALSE,"",IF((Summary!$C$13="N")*('Dvd Calendar'!$N$922='Field Check'!$C$25)&gt;0,"",'Dvd Calendar'!$N$918)))</f>
        <v/>
      </c>
      <c r="DO69" s="85">
        <f>IF(BA69="","",IF(ISNUMBER('Dvd Calendar'!$O$918)=FALSE,"",IF((Summary!$C$13="N")*('Dvd Calendar'!$O$922='Field Check'!$C$25)&gt;0,"",'Dvd Calendar'!$O$918)))</f>
        <v/>
      </c>
      <c r="DP69" s="85">
        <f>IF(BB69="","",IF(ISNUMBER('Dvd Calendar'!$P$918)=FALSE,"",IF((Summary!$C$13="N")*('Dvd Calendar'!$P$922='Field Check'!$C$25)&gt;0,"",'Dvd Calendar'!$P$918)))</f>
        <v/>
      </c>
      <c r="DQ69" s="85">
        <f>IF(BC69="","",IF(ISNUMBER('Dvd Calendar'!$Q$918)=FALSE,"",IF((Summary!$C$13="N")*('Dvd Calendar'!$Q$922='Field Check'!$C$25)&gt;0,"",'Dvd Calendar'!$Q$918)))</f>
        <v/>
      </c>
      <c r="DR69" s="85">
        <f>IF(BD69="","",IF(ISNUMBER('Dvd Calendar'!$R$918)=FALSE,"",IF((Summary!$C$13="N")*('Dvd Calendar'!$R$922='Field Check'!$C$25)&gt;0,"",'Dvd Calendar'!$R$918)))</f>
        <v/>
      </c>
      <c r="DS69" s="85">
        <f>IF(BE69="","",IF(ISNUMBER('Dvd Calendar'!$S$918)=FALSE,"",IF((Summary!$C$13="N")*('Dvd Calendar'!$S$922='Field Check'!$C$25)&gt;0,"",'Dvd Calendar'!$S$918)))</f>
        <v/>
      </c>
      <c r="DT69" s="85">
        <f>IF(BF69="","",IF(ISNUMBER('Dvd Calendar'!$T$918)=FALSE,"",IF((Summary!$C$13="N")*('Dvd Calendar'!$T$922='Field Check'!$C$25)&gt;0,"",'Dvd Calendar'!$T$918)))</f>
        <v/>
      </c>
      <c r="DU69" s="85">
        <f>IF(BG69="","",IF(ISNUMBER('Dvd Calendar'!$U$918)=FALSE,"",IF((Summary!$C$13="N")*('Dvd Calendar'!$U$922='Field Check'!$C$25)&gt;0,"",'Dvd Calendar'!$U$918)))</f>
        <v/>
      </c>
      <c r="DV69" s="85">
        <f>IF(BH69="","",IF(ISNUMBER('Dvd Calendar'!$V$918)=FALSE,"",IF((Summary!$C$13="N")*('Dvd Calendar'!$V$922='Field Check'!$C$25)&gt;0,"",'Dvd Calendar'!$V$918)))</f>
        <v/>
      </c>
      <c r="DW69" s="85">
        <f>IF(BI69="","",IF(ISNUMBER('Dvd Calendar'!$W$918)=FALSE,"",IF((Summary!$C$13="N")*('Dvd Calendar'!$W$922='Field Check'!$C$25)&gt;0,"",'Dvd Calendar'!$W$918)))</f>
        <v/>
      </c>
      <c r="DX69" s="85">
        <f>IF(BJ69="","",IF(ISNUMBER('Dvd Calendar'!$X$918)=FALSE,"",IF((Summary!$C$13="N")*('Dvd Calendar'!$X$922='Field Check'!$C$25)&gt;0,"",'Dvd Calendar'!$X$918)))</f>
        <v/>
      </c>
      <c r="DY69" s="85">
        <f>IF(BK69="","",IF(ISNUMBER('Dvd Calendar'!$Y$918)=FALSE,"",IF((Summary!$C$13="N")*('Dvd Calendar'!$Y$922='Field Check'!$C$25)&gt;0,"",'Dvd Calendar'!$Y$918)))</f>
        <v/>
      </c>
      <c r="DZ69" s="85">
        <f>IF(BL69="","",IF(ISNUMBER('Dvd Calendar'!$Z$918)=FALSE,"",IF((Summary!$C$13="N")*('Dvd Calendar'!$Z$922='Field Check'!$C$25)&gt;0,"",'Dvd Calendar'!$Z$918)))</f>
        <v/>
      </c>
      <c r="EA69" s="85">
        <f>IF(BM69="","",IF(ISNUMBER('Dvd Calendar'!$AA$918)=FALSE,"",IF((Summary!$C$13="N")*('Dvd Calendar'!$AA$922='Field Check'!$C$25)&gt;0,"",'Dvd Calendar'!$AA$918)))</f>
        <v/>
      </c>
      <c r="EB69" s="85">
        <f>IF(BN69="","",IF(ISNUMBER('Dvd Calendar'!$AB$918)=FALSE,"",IF((Summary!$C$13="N")*('Dvd Calendar'!$AB$922='Field Check'!$C$25)&gt;0,"",'Dvd Calendar'!$AB$918)))</f>
        <v/>
      </c>
      <c r="EC69" s="85">
        <f>IF(BO69="","",IF(ISNUMBER('Dvd Calendar'!$AC$918)=FALSE,"",IF((Summary!$C$13="N")*('Dvd Calendar'!$AC$922='Field Check'!$C$25)&gt;0,"",'Dvd Calendar'!$AC$918)))</f>
        <v/>
      </c>
      <c r="EE69" s="85">
        <f>IF(BQ69="","",IFERROR(BQ69*HSI!$B$67*HSI!$G$67/HSI!$B$3,""))</f>
        <v/>
      </c>
      <c r="EF69" s="85">
        <f>IF(BR69="","",IFERROR(BR69*HSI!$B$67*HSI!$G$67/HSI!$B$3,""))</f>
        <v/>
      </c>
      <c r="EG69" s="85">
        <f>IF(BS69="","",IFERROR(BS69*HSI!$B$67*HSI!$G$67/HSI!$B$3,""))</f>
        <v/>
      </c>
      <c r="EH69" s="85">
        <f>IF(BT69="","",IFERROR(BT69*HSI!$B$67*HSI!$G$67/HSI!$B$3,""))</f>
        <v/>
      </c>
      <c r="EI69" s="85">
        <f>IF(BU69="","",IFERROR(BU69*HSI!$B$67*HSI!$G$67/HSI!$B$3,""))</f>
        <v/>
      </c>
      <c r="EJ69" s="85">
        <f>IF(BV69="","",IFERROR(BV69*HSI!$B$67*HSI!$G$67/HSI!$B$3,""))</f>
        <v/>
      </c>
      <c r="EK69" s="85">
        <f>IF(BW69="","",IFERROR(BW69*HSI!$B$67*HSI!$G$67/HSI!$B$3,""))</f>
        <v/>
      </c>
      <c r="EL69" s="85">
        <f>IF(BX69="","",IFERROR(BX69*HSI!$B$67*HSI!$G$67/HSI!$B$3,""))</f>
        <v/>
      </c>
      <c r="EM69" s="85">
        <f>IF(BY69="","",IFERROR(BY69*HSI!$B$67*HSI!$G$67/HSI!$B$3,""))</f>
        <v/>
      </c>
      <c r="EN69" s="85">
        <f>IF(BZ69="","",IFERROR(BZ69*HSI!$B$67*HSI!$G$67/HSI!$B$3,""))</f>
        <v/>
      </c>
      <c r="EO69" s="85">
        <f>IF(CA69="","",IFERROR(CA69*HSI!$B$67*HSI!$G$67/HSI!$B$3,""))</f>
        <v/>
      </c>
      <c r="EP69" s="85">
        <f>IF(CB69="","",IFERROR(CB69*HSI!$B$67*HSI!$G$67/HSI!$B$3,""))</f>
        <v/>
      </c>
      <c r="EQ69" s="85">
        <f>IF(CC69="","",IFERROR(CC69*HSI!$B$67*HSI!$G$67/HSI!$B$3,""))</f>
        <v/>
      </c>
      <c r="ER69" s="85">
        <f>IF(CD69="","",IFERROR(CD69*HSI!$B$67*HSI!$G$67/HSI!$B$3,""))</f>
        <v/>
      </c>
      <c r="ES69" s="85">
        <f>IF(CE69="","",IFERROR(CE69*HSI!$B$67*HSI!$G$67/HSI!$B$3,""))</f>
        <v/>
      </c>
      <c r="ET69" s="85">
        <f>IF(CF69="","",IFERROR(CF69*HSI!$B$67*HSI!$G$67/HSI!$B$3,""))</f>
        <v/>
      </c>
      <c r="EU69" s="85">
        <f>IF(CG69="","",IFERROR(CG69*HSI!$B$67*HSI!$G$67/HSI!$B$3,""))</f>
        <v/>
      </c>
      <c r="EV69" s="85">
        <f>IF(CH69="","",IFERROR(CH69*HSI!$B$67*HSI!$G$67/HSI!$B$3,""))</f>
        <v/>
      </c>
      <c r="EW69" s="85">
        <f>IF(CI69="","",IFERROR(CI69*HSI!$B$67*HSI!$G$67/HSI!$B$3,""))</f>
        <v/>
      </c>
      <c r="EX69" s="85">
        <f>IF(CJ69="","",IFERROR(CJ69*HSI!$B$67*HSI!$G$67/HSI!$B$3,""))</f>
        <v/>
      </c>
      <c r="EY69" s="85">
        <f>IF(CK69="","",IFERROR(CK69*HSI!$B$67*HSI!$G$67/HSI!$B$3,""))</f>
        <v/>
      </c>
      <c r="EZ69" s="85">
        <f>IF(CL69="","",IFERROR(CL69*HSI!$B$67*HSI!$G$67/HSI!$B$3,""))</f>
        <v/>
      </c>
      <c r="FA69" s="85">
        <f>IF(CM69="","",IFERROR(CM69*HSI!$B$67*HSI!$G$67/HSI!$B$3,""))</f>
        <v/>
      </c>
      <c r="FB69" s="85">
        <f>IF(CN69="","",IFERROR(CN69*HSI!$B$67*HSI!$G$67/HSI!$B$3,""))</f>
        <v/>
      </c>
      <c r="FC69" s="85">
        <f>IF(CO69="","",IFERROR(CO69*HSI!$B$67*HSI!$G$67/HSI!$B$3,""))</f>
        <v/>
      </c>
      <c r="FD69" s="85">
        <f>IF(CP69="","",IFERROR(CP69*HSI!$B$67*HSI!$G$67/HSI!$B$3,""))</f>
        <v/>
      </c>
      <c r="FE69" s="85">
        <f>IF(CQ69="","",IFERROR(CQ69*HSI!$B$67*HSI!$G$67/HSI!$B$3,""))</f>
        <v/>
      </c>
      <c r="FF69" s="85">
        <f>IF(CR69="","",IFERROR(CR69*HSI!$B$67*HSI!$G$67/HSI!$B$3,""))</f>
        <v/>
      </c>
      <c r="FG69" s="85">
        <f>IF(CS69="","",IFERROR(CS69*HSI!$B$67*HSI!$G$67/HSI!$B$3,""))</f>
        <v/>
      </c>
      <c r="FH69" s="85">
        <f>IF(CT69="","",IFERROR(CT69*HSI!$B$67*HSI!$G$67/HSI!$B$3,""))</f>
        <v/>
      </c>
      <c r="FI69" s="85">
        <f>IF(CU69="","",IFERROR(CU69*HSI!$B$67*HSI!$G$67/HSI!$B$3,""))</f>
        <v/>
      </c>
      <c r="FJ69" s="85">
        <f>IF(CV69="","",IFERROR(CV69*HSI!$B$67*HSI!$G$67/HSI!$B$3,""))</f>
        <v/>
      </c>
      <c r="FK69" s="85">
        <f>IF(CW69="","",IFERROR(CW69*HSI!$B$67*HSI!$G$67/HSI!$B$3,""))</f>
        <v/>
      </c>
      <c r="FL69" s="85">
        <f>IF(CX69="","",IFERROR(CX69*HSI!$B$67*HSI!$G$67/HSI!$B$3,""))</f>
        <v/>
      </c>
      <c r="FM69" s="85">
        <f>IF(CY69="","",IFERROR(CY69*HSI!$B$67*HSI!$G$67/HSI!$B$3,""))</f>
        <v/>
      </c>
      <c r="FN69" s="85">
        <f>IF(CZ69="","",IFERROR(CZ69*HSI!$B$67*HSI!$G$67/HSI!$B$3,""))</f>
        <v/>
      </c>
      <c r="FO69" s="85">
        <f>IF(DA69="","",IFERROR(DA69*HSI!$B$67*HSI!$G$67/HSI!$B$3,""))</f>
        <v/>
      </c>
      <c r="FP69" s="85">
        <f>IF(DB69="","",IFERROR(DB69*HSI!$B$67*HSI!$G$67/HSI!$B$3,""))</f>
        <v/>
      </c>
      <c r="FQ69" s="85">
        <f>IF(DC69="","",IFERROR(DC69*HSI!$B$67*HSI!$G$67/HSI!$B$3,""))</f>
        <v/>
      </c>
      <c r="FR69" s="85">
        <f>IF(DD69="","",IFERROR(DD69*HSI!$B$67*HSI!$G$67/HSI!$B$3,""))</f>
        <v/>
      </c>
      <c r="FS69" s="85">
        <f>IF(DE69="","",IFERROR(DE69*HSI!$B$67*HSI!$G$67/HSI!$B$3,""))</f>
        <v/>
      </c>
      <c r="FT69" s="85">
        <f>IF(DF69="","",IFERROR(DF69*HSI!$B$67*HSI!$G$67/HSI!$B$3,""))</f>
        <v/>
      </c>
      <c r="FU69" s="85">
        <f>IF(DG69="","",IFERROR(DG69*HSI!$B$67*HSI!$G$67/HSI!$B$3,""))</f>
        <v/>
      </c>
      <c r="FV69" s="85">
        <f>IF(DH69="","",IFERROR(DH69*HSI!$B$67*HSI!$G$67/HSI!$B$3,""))</f>
        <v/>
      </c>
      <c r="FW69" s="85">
        <f>IF(DI69="","",IFERROR(DI69*HSI!$B$67*HSI!$G$67/HSI!$B$3,""))</f>
        <v/>
      </c>
      <c r="FX69" s="85">
        <f>IF(DJ69="","",IFERROR(DJ69*HSI!$B$67*HSI!$G$67/HSI!$B$3,""))</f>
        <v/>
      </c>
      <c r="FY69" s="85">
        <f>IF(DK69="","",IFERROR(DK69*HSI!$B$67*HSI!$G$67/HSI!$B$3,""))</f>
        <v/>
      </c>
      <c r="FZ69" s="85">
        <f>IF(DL69="","",IFERROR(DL69*HSI!$B$67*HSI!$G$67/HSI!$B$3,""))</f>
        <v/>
      </c>
      <c r="GA69" s="85">
        <f>IF(DM69="","",IFERROR(DM69*HSI!$B$67*HSI!$G$67/HSI!$B$3,""))</f>
        <v/>
      </c>
      <c r="GB69" s="85">
        <f>IF(DN69="","",IFERROR(DN69*HSI!$B$67*HSI!$G$67/HSI!$B$3,""))</f>
        <v/>
      </c>
      <c r="GC69" s="85">
        <f>IF(DO69="","",IFERROR(DO69*HSI!$B$67*HSI!$G$67/HSI!$B$3,""))</f>
        <v/>
      </c>
      <c r="GD69" s="85">
        <f>IF(DP69="","",IFERROR(DP69*HSI!$B$67*HSI!$G$67/HSI!$B$3,""))</f>
        <v/>
      </c>
      <c r="GE69" s="85">
        <f>IF(DQ69="","",IFERROR(DQ69*HSI!$B$67*HSI!$G$67/HSI!$B$3,""))</f>
        <v/>
      </c>
      <c r="GF69" s="85">
        <f>IF(DR69="","",IFERROR(DR69*HSI!$B$67*HSI!$G$67/HSI!$B$3,""))</f>
        <v/>
      </c>
      <c r="GG69" s="85">
        <f>IF(DS69="","",IFERROR(DS69*HSI!$B$67*HSI!$G$67/HSI!$B$3,""))</f>
        <v/>
      </c>
      <c r="GH69" s="85">
        <f>IF(DT69="","",IFERROR(DT69*HSI!$B$67*HSI!$G$67/HSI!$B$3,""))</f>
        <v/>
      </c>
      <c r="GI69" s="85">
        <f>IF(DU69="","",IFERROR(DU69*HSI!$B$67*HSI!$G$67/HSI!$B$3,""))</f>
        <v/>
      </c>
      <c r="GJ69" s="85">
        <f>IF(DV69="","",IFERROR(DV69*HSI!$B$67*HSI!$G$67/HSI!$B$3,""))</f>
        <v/>
      </c>
      <c r="GK69" s="85">
        <f>IF(DW69="","",IFERROR(DW69*HSI!$B$67*HSI!$G$67/HSI!$B$3,""))</f>
        <v/>
      </c>
      <c r="GL69" s="85">
        <f>IF(DX69="","",IFERROR(DX69*HSI!$B$67*HSI!$G$67/HSI!$B$3,""))</f>
        <v/>
      </c>
      <c r="GM69" s="85">
        <f>IF(DY69="","",IFERROR(DY69*HSI!$B$67*HSI!$G$67/HSI!$B$3,""))</f>
        <v/>
      </c>
      <c r="GN69" s="85">
        <f>IF(DZ69="","",IFERROR(DZ69*HSI!$B$67*HSI!$G$67/HSI!$B$3,""))</f>
        <v/>
      </c>
      <c r="GO69" s="85">
        <f>IF(EA69="","",IFERROR(EA69*HSI!$B$67*HSI!$G$67/HSI!$B$3,""))</f>
        <v/>
      </c>
      <c r="GP69" s="85">
        <f>IF(EB69="","",IFERROR(EB69*HSI!$B$67*HSI!$G$67/HSI!$B$3,""))</f>
        <v/>
      </c>
      <c r="GQ69" s="85">
        <f>IF(EC69="","",IFERROR(EC69*HSI!$B$67*HSI!$G$67/HSI!$B$3,""))</f>
        <v/>
      </c>
    </row>
    <row r="70">
      <c r="B70" s="2">
        <f>IF(HSI!$C$68="","",HSI!$C$68)</f>
        <v/>
      </c>
      <c r="C70" s="41">
        <f>IF(N('Dvd Calendar'!$E$925)=0,"",IF(('Dvd Calendar'!$E$925&gt;=MIN(DATE(Summary!$C$12,1,1),Summary!$C$11))*('Dvd Calendar'!$E$925&lt;=MAX(DATE(Summary!$C$12,12,31),Summary!$C$15))*('Dvd Calendar'!$E$925&lt;=Summary!$C$11)=0,"",'Dvd Calendar'!$E$925*1000000000+ISNUMBER('Dvd Calendar'!$E$926)*100000000+('Dvd Calendar'!$E$930='Field Check'!$C$25)*10000000+(N('Dvd Calendar'!$E$924)&gt;0)*1000000+62*1000+1))</f>
        <v/>
      </c>
      <c r="D70" s="41">
        <f>IF(N('Dvd Calendar'!$F$925)=0,"",IF(('Dvd Calendar'!$F$925&gt;=MIN(DATE(Summary!$C$12,1,1),Summary!$C$11))*('Dvd Calendar'!$F$925&lt;=MAX(DATE(Summary!$C$12,12,31),Summary!$C$15))*('Dvd Calendar'!$F$925&lt;=Summary!$C$11)=0,"",'Dvd Calendar'!$F$925*1000000000+ISNUMBER('Dvd Calendar'!$F$926)*100000000+('Dvd Calendar'!$F$930='Field Check'!$C$25)*10000000+(N('Dvd Calendar'!$F$924)&gt;0)*1000000+62*1000+2))</f>
        <v/>
      </c>
      <c r="E70" s="41">
        <f>IF(N('Dvd Calendar'!$G$925)=0,"",IF(('Dvd Calendar'!$G$925&gt;=MIN(DATE(Summary!$C$12,1,1),Summary!$C$11))*('Dvd Calendar'!$G$925&lt;=MAX(DATE(Summary!$C$12,12,31),Summary!$C$15))*('Dvd Calendar'!$G$925&lt;=Summary!$C$11)=0,"",'Dvd Calendar'!$G$925*1000000000+ISNUMBER('Dvd Calendar'!$G$926)*100000000+('Dvd Calendar'!$G$930='Field Check'!$C$25)*10000000+(N('Dvd Calendar'!$G$924)&gt;0)*1000000+62*1000+3))</f>
        <v/>
      </c>
      <c r="F70" s="41">
        <f>IF(N('Dvd Calendar'!$H$925)=0,"",IF(('Dvd Calendar'!$H$925&gt;=MIN(DATE(Summary!$C$12,1,1),Summary!$C$11))*('Dvd Calendar'!$H$925&lt;=MAX(DATE(Summary!$C$12,12,31),Summary!$C$15))*('Dvd Calendar'!$H$925&lt;=Summary!$C$11)=0,"",'Dvd Calendar'!$H$925*1000000000+ISNUMBER('Dvd Calendar'!$H$926)*100000000+('Dvd Calendar'!$H$930='Field Check'!$C$25)*10000000+(N('Dvd Calendar'!$H$924)&gt;0)*1000000+62*1000+4))</f>
        <v/>
      </c>
      <c r="G70" s="41">
        <f>IF(N('Dvd Calendar'!$I$925)=0,"",IF(('Dvd Calendar'!$I$925&gt;=MIN(DATE(Summary!$C$12,1,1),Summary!$C$11))*('Dvd Calendar'!$I$925&lt;=MAX(DATE(Summary!$C$12,12,31),Summary!$C$15))*('Dvd Calendar'!$I$925&lt;=Summary!$C$11)=0,"",'Dvd Calendar'!$I$925*1000000000+ISNUMBER('Dvd Calendar'!$I$926)*100000000+('Dvd Calendar'!$I$930='Field Check'!$C$25)*10000000+(N('Dvd Calendar'!$I$924)&gt;0)*1000000+62*1000+5))</f>
        <v/>
      </c>
      <c r="H70" s="41">
        <f>IF(N('Dvd Calendar'!$J$925)=0,"",IF(('Dvd Calendar'!$J$925&gt;=MIN(DATE(Summary!$C$12,1,1),Summary!$C$11))*('Dvd Calendar'!$J$925&lt;=MAX(DATE(Summary!$C$12,12,31),Summary!$C$15))*('Dvd Calendar'!$J$925&lt;=Summary!$C$11)=0,"",'Dvd Calendar'!$J$925*1000000000+ISNUMBER('Dvd Calendar'!$J$926)*100000000+('Dvd Calendar'!$J$930='Field Check'!$C$25)*10000000+(N('Dvd Calendar'!$J$924)&gt;0)*1000000+62*1000+6))</f>
        <v/>
      </c>
      <c r="I70" s="41">
        <f>IF(N('Dvd Calendar'!$K$925)=0,"",IF(('Dvd Calendar'!$K$925&gt;=MIN(DATE(Summary!$C$12,1,1),Summary!$C$11))*('Dvd Calendar'!$K$925&lt;=MAX(DATE(Summary!$C$12,12,31),Summary!$C$15))*('Dvd Calendar'!$K$925&lt;=Summary!$C$11)=0,"",'Dvd Calendar'!$K$925*1000000000+ISNUMBER('Dvd Calendar'!$K$926)*100000000+('Dvd Calendar'!$K$930='Field Check'!$C$25)*10000000+(N('Dvd Calendar'!$K$924)&gt;0)*1000000+62*1000+7))</f>
        <v/>
      </c>
      <c r="J70" s="41">
        <f>IF(N('Dvd Calendar'!$L$925)=0,"",IF(('Dvd Calendar'!$L$925&gt;=MIN(DATE(Summary!$C$12,1,1),Summary!$C$11))*('Dvd Calendar'!$L$925&lt;=MAX(DATE(Summary!$C$12,12,31),Summary!$C$15))*('Dvd Calendar'!$L$925&lt;=Summary!$C$11)=0,"",'Dvd Calendar'!$L$925*1000000000+ISNUMBER('Dvd Calendar'!$L$926)*100000000+('Dvd Calendar'!$L$930='Field Check'!$C$25)*10000000+(N('Dvd Calendar'!$L$924)&gt;0)*1000000+62*1000+8))</f>
        <v/>
      </c>
      <c r="K70" s="41">
        <f>IF(N('Dvd Calendar'!$M$925)=0,"",IF(('Dvd Calendar'!$M$925&gt;=MIN(DATE(Summary!$C$12,1,1),Summary!$C$11))*('Dvd Calendar'!$M$925&lt;=MAX(DATE(Summary!$C$12,12,31),Summary!$C$15))*('Dvd Calendar'!$M$925&lt;=Summary!$C$11)=0,"",'Dvd Calendar'!$M$925*1000000000+ISNUMBER('Dvd Calendar'!$M$926)*100000000+('Dvd Calendar'!$M$930='Field Check'!$C$25)*10000000+(N('Dvd Calendar'!$M$924)&gt;0)*1000000+62*1000+9))</f>
        <v/>
      </c>
      <c r="L70" s="41">
        <f>IF(N('Dvd Calendar'!$N$925)=0,"",IF(('Dvd Calendar'!$N$925&gt;=MIN(DATE(Summary!$C$12,1,1),Summary!$C$11))*('Dvd Calendar'!$N$925&lt;=MAX(DATE(Summary!$C$12,12,31),Summary!$C$15))*('Dvd Calendar'!$N$925&lt;=Summary!$C$11)=0,"",'Dvd Calendar'!$N$925*1000000000+ISNUMBER('Dvd Calendar'!$N$926)*100000000+('Dvd Calendar'!$N$930='Field Check'!$C$25)*10000000+(N('Dvd Calendar'!$N$924)&gt;0)*1000000+62*1000+10))</f>
        <v/>
      </c>
      <c r="M70" s="41">
        <f>IF(N('Dvd Calendar'!$O$925)=0,"",IF(('Dvd Calendar'!$O$925&gt;=MIN(DATE(Summary!$C$12,1,1),Summary!$C$11))*('Dvd Calendar'!$O$925&lt;=MAX(DATE(Summary!$C$12,12,31),Summary!$C$15))*('Dvd Calendar'!$O$925&lt;=Summary!$C$11)=0,"",'Dvd Calendar'!$O$925*1000000000+ISNUMBER('Dvd Calendar'!$O$926)*100000000+('Dvd Calendar'!$O$930='Field Check'!$C$25)*10000000+(N('Dvd Calendar'!$O$924)&gt;0)*1000000+62*1000+11))</f>
        <v/>
      </c>
      <c r="N70" s="41">
        <f>IF(N('Dvd Calendar'!$P$925)=0,"",IF(('Dvd Calendar'!$P$925&gt;=MIN(DATE(Summary!$C$12,1,1),Summary!$C$11))*('Dvd Calendar'!$P$925&lt;=MAX(DATE(Summary!$C$12,12,31),Summary!$C$15))*('Dvd Calendar'!$P$925&lt;=Summary!$C$11)=0,"",'Dvd Calendar'!$P$925*1000000000+ISNUMBER('Dvd Calendar'!$P$926)*100000000+('Dvd Calendar'!$P$930='Field Check'!$C$25)*10000000+(N('Dvd Calendar'!$P$924)&gt;0)*1000000+62*1000+12))</f>
        <v/>
      </c>
      <c r="O70" s="41">
        <f>IF(N('Dvd Calendar'!$Q$925)=0,"",IF(('Dvd Calendar'!$Q$925&gt;=MIN(DATE(Summary!$C$12,1,1),Summary!$C$11))*('Dvd Calendar'!$Q$925&lt;=MAX(DATE(Summary!$C$12,12,31),Summary!$C$15))*('Dvd Calendar'!$Q$925&lt;=Summary!$C$11)=0,"",'Dvd Calendar'!$Q$925*1000000000+ISNUMBER('Dvd Calendar'!$Q$926)*100000000+('Dvd Calendar'!$Q$930='Field Check'!$C$25)*10000000+(N('Dvd Calendar'!$Q$924)&gt;0)*1000000+62*1000+13))</f>
        <v/>
      </c>
      <c r="P70" s="41">
        <f>IF(N('Dvd Calendar'!$R$925)=0,"",IF(('Dvd Calendar'!$R$925&gt;=MIN(DATE(Summary!$C$12,1,1),Summary!$C$11))*('Dvd Calendar'!$R$925&lt;=MAX(DATE(Summary!$C$12,12,31),Summary!$C$15))*('Dvd Calendar'!$R$925&lt;=Summary!$C$11)=0,"",'Dvd Calendar'!$R$925*1000000000+ISNUMBER('Dvd Calendar'!$R$926)*100000000+('Dvd Calendar'!$R$930='Field Check'!$C$25)*10000000+(N('Dvd Calendar'!$R$924)&gt;0)*1000000+62*1000+14))</f>
        <v/>
      </c>
      <c r="Q70" s="41">
        <f>IF(N('Dvd Calendar'!$S$925)=0,"",IF(('Dvd Calendar'!$S$925&gt;=MIN(DATE(Summary!$C$12,1,1),Summary!$C$11))*('Dvd Calendar'!$S$925&lt;=MAX(DATE(Summary!$C$12,12,31),Summary!$C$15))*('Dvd Calendar'!$S$925&lt;=Summary!$C$11)=0,"",'Dvd Calendar'!$S$925*1000000000+ISNUMBER('Dvd Calendar'!$S$926)*100000000+('Dvd Calendar'!$S$930='Field Check'!$C$25)*10000000+(N('Dvd Calendar'!$S$924)&gt;0)*1000000+62*1000+15))</f>
        <v/>
      </c>
      <c r="R70" s="41">
        <f>IF(N('Dvd Calendar'!$T$925)=0,"",IF(('Dvd Calendar'!$T$925&gt;=MIN(DATE(Summary!$C$12,1,1),Summary!$C$11))*('Dvd Calendar'!$T$925&lt;=MAX(DATE(Summary!$C$12,12,31),Summary!$C$15))*('Dvd Calendar'!$T$925&lt;=Summary!$C$11)=0,"",'Dvd Calendar'!$T$925*1000000000+ISNUMBER('Dvd Calendar'!$T$926)*100000000+('Dvd Calendar'!$T$930='Field Check'!$C$25)*10000000+(N('Dvd Calendar'!$T$924)&gt;0)*1000000+62*1000+16))</f>
        <v/>
      </c>
      <c r="S70" s="41">
        <f>IF(N('Dvd Calendar'!$U$925)=0,"",IF(('Dvd Calendar'!$U$925&gt;=MIN(DATE(Summary!$C$12,1,1),Summary!$C$11))*('Dvd Calendar'!$U$925&lt;=MAX(DATE(Summary!$C$12,12,31),Summary!$C$15))*('Dvd Calendar'!$U$925&lt;=Summary!$C$11)=0,"",'Dvd Calendar'!$U$925*1000000000+ISNUMBER('Dvd Calendar'!$U$926)*100000000+('Dvd Calendar'!$U$930='Field Check'!$C$25)*10000000+(N('Dvd Calendar'!$U$924)&gt;0)*1000000+62*1000+17))</f>
        <v/>
      </c>
      <c r="T70" s="41">
        <f>IF(N('Dvd Calendar'!$V$925)=0,"",IF(('Dvd Calendar'!$V$925&gt;=MIN(DATE(Summary!$C$12,1,1),Summary!$C$11))*('Dvd Calendar'!$V$925&lt;=MAX(DATE(Summary!$C$12,12,31),Summary!$C$15))*('Dvd Calendar'!$V$925&lt;=Summary!$C$11)=0,"",'Dvd Calendar'!$V$925*1000000000+ISNUMBER('Dvd Calendar'!$V$926)*100000000+('Dvd Calendar'!$V$930='Field Check'!$C$25)*10000000+(N('Dvd Calendar'!$V$924)&gt;0)*1000000+62*1000+18))</f>
        <v/>
      </c>
      <c r="U70" s="41">
        <f>IF(N('Dvd Calendar'!$W$925)=0,"",IF(('Dvd Calendar'!$W$925&gt;=MIN(DATE(Summary!$C$12,1,1),Summary!$C$11))*('Dvd Calendar'!$W$925&lt;=MAX(DATE(Summary!$C$12,12,31),Summary!$C$15))*('Dvd Calendar'!$W$925&lt;=Summary!$C$11)=0,"",'Dvd Calendar'!$W$925*1000000000+ISNUMBER('Dvd Calendar'!$W$926)*100000000+('Dvd Calendar'!$W$930='Field Check'!$C$25)*10000000+(N('Dvd Calendar'!$W$924)&gt;0)*1000000+62*1000+19))</f>
        <v/>
      </c>
      <c r="V70" s="41">
        <f>IF(N('Dvd Calendar'!$X$925)=0,"",IF(('Dvd Calendar'!$X$925&gt;=MIN(DATE(Summary!$C$12,1,1),Summary!$C$11))*('Dvd Calendar'!$X$925&lt;=MAX(DATE(Summary!$C$12,12,31),Summary!$C$15))*('Dvd Calendar'!$X$925&lt;=Summary!$C$11)=0,"",'Dvd Calendar'!$X$925*1000000000+ISNUMBER('Dvd Calendar'!$X$926)*100000000+('Dvd Calendar'!$X$930='Field Check'!$C$25)*10000000+(N('Dvd Calendar'!$X$924)&gt;0)*1000000+62*1000+20))</f>
        <v/>
      </c>
      <c r="W70" s="41">
        <f>IF(N('Dvd Calendar'!$Y$925)=0,"",IF(('Dvd Calendar'!$Y$925&gt;=MIN(DATE(Summary!$C$12,1,1),Summary!$C$11))*('Dvd Calendar'!$Y$925&lt;=MAX(DATE(Summary!$C$12,12,31),Summary!$C$15))*('Dvd Calendar'!$Y$925&lt;=Summary!$C$11)=0,"",'Dvd Calendar'!$Y$925*1000000000+ISNUMBER('Dvd Calendar'!$Y$926)*100000000+('Dvd Calendar'!$Y$930='Field Check'!$C$25)*10000000+(N('Dvd Calendar'!$Y$924)&gt;0)*1000000+62*1000+21))</f>
        <v/>
      </c>
      <c r="X70" s="41">
        <f>IF(N('Dvd Calendar'!$Z$925)=0,"",IF(('Dvd Calendar'!$Z$925&gt;=MIN(DATE(Summary!$C$12,1,1),Summary!$C$11))*('Dvd Calendar'!$Z$925&lt;=MAX(DATE(Summary!$C$12,12,31),Summary!$C$15))*('Dvd Calendar'!$Z$925&lt;=Summary!$C$11)=0,"",'Dvd Calendar'!$Z$925*1000000000+ISNUMBER('Dvd Calendar'!$Z$926)*100000000+('Dvd Calendar'!$Z$930='Field Check'!$C$25)*10000000+(N('Dvd Calendar'!$Z$924)&gt;0)*1000000+62*1000+22))</f>
        <v/>
      </c>
      <c r="Y70" s="41">
        <f>IF(N('Dvd Calendar'!$AA$925)=0,"",IF(('Dvd Calendar'!$AA$925&gt;=MIN(DATE(Summary!$C$12,1,1),Summary!$C$11))*('Dvd Calendar'!$AA$925&lt;=MAX(DATE(Summary!$C$12,12,31),Summary!$C$15))*('Dvd Calendar'!$AA$925&lt;=Summary!$C$11)=0,"",'Dvd Calendar'!$AA$925*1000000000+ISNUMBER('Dvd Calendar'!$AA$926)*100000000+('Dvd Calendar'!$AA$930='Field Check'!$C$25)*10000000+(N('Dvd Calendar'!$AA$924)&gt;0)*1000000+62*1000+23))</f>
        <v/>
      </c>
      <c r="Z70" s="41">
        <f>IF(N('Dvd Calendar'!$AB$925)=0,"",IF(('Dvd Calendar'!$AB$925&gt;=MIN(DATE(Summary!$C$12,1,1),Summary!$C$11))*('Dvd Calendar'!$AB$925&lt;=MAX(DATE(Summary!$C$12,12,31),Summary!$C$15))*('Dvd Calendar'!$AB$925&lt;=Summary!$C$11)=0,"",'Dvd Calendar'!$AB$925*1000000000+ISNUMBER('Dvd Calendar'!$AB$926)*100000000+('Dvd Calendar'!$AB$930='Field Check'!$C$25)*10000000+(N('Dvd Calendar'!$AB$924)&gt;0)*1000000+62*1000+24))</f>
        <v/>
      </c>
      <c r="AA70" s="41">
        <f>IF(N('Dvd Calendar'!$AC$925)=0,"",IF(('Dvd Calendar'!$AC$925&gt;=MIN(DATE(Summary!$C$12,1,1),Summary!$C$11))*('Dvd Calendar'!$AC$925&lt;=MAX(DATE(Summary!$C$12,12,31),Summary!$C$15))*('Dvd Calendar'!$AC$925&lt;=Summary!$C$11)=0,"",'Dvd Calendar'!$AC$925*1000000000+ISNUMBER('Dvd Calendar'!$AC$926)*100000000+('Dvd Calendar'!$AC$930='Field Check'!$C$25)*10000000+(N('Dvd Calendar'!$AC$924)&gt;0)*1000000+62*1000+25))</f>
        <v/>
      </c>
      <c r="AB70" s="41">
        <f>IF(N('Dvd Calendar'!$AD$925)=0,"",IF(('Dvd Calendar'!$AD$925&gt;=MIN(DATE(Summary!$C$12,1,1),Summary!$C$11))*('Dvd Calendar'!$AD$925&lt;=MAX(DATE(Summary!$C$12,12,31),Summary!$C$15))*('Dvd Calendar'!$AD$925&lt;=Summary!$C$11)=0,"",'Dvd Calendar'!$AD$925*1000000000+ISNUMBER('Dvd Calendar'!$AD$926)*100000000+('Dvd Calendar'!$AD$930='Field Check'!$C$25)*10000000+(N('Dvd Calendar'!$AD$924)&gt;0)*1000000+62*1000+26))</f>
        <v/>
      </c>
      <c r="AC70" s="41">
        <f>IF(N('Dvd Calendar'!$AE$925)=0,"",IF(('Dvd Calendar'!$AE$925&gt;=MIN(DATE(Summary!$C$12,1,1),Summary!$C$11))*('Dvd Calendar'!$AE$925&lt;=MAX(DATE(Summary!$C$12,12,31),Summary!$C$15))*('Dvd Calendar'!$AE$925&lt;=Summary!$C$11)=0,"",'Dvd Calendar'!$AE$925*1000000000+ISNUMBER('Dvd Calendar'!$AE$926)*100000000+('Dvd Calendar'!$AE$930='Field Check'!$C$25)*10000000+(N('Dvd Calendar'!$AE$924)&gt;0)*1000000+62*1000+27))</f>
        <v/>
      </c>
      <c r="AD70" s="41">
        <f>IF(N('Dvd Calendar'!$AF$925)=0,"",IF(('Dvd Calendar'!$AF$925&gt;=MIN(DATE(Summary!$C$12,1,1),Summary!$C$11))*('Dvd Calendar'!$AF$925&lt;=MAX(DATE(Summary!$C$12,12,31),Summary!$C$15))*('Dvd Calendar'!$AF$925&lt;=Summary!$C$11)=0,"",'Dvd Calendar'!$AF$925*1000000000+ISNUMBER('Dvd Calendar'!$AF$926)*100000000+('Dvd Calendar'!$AF$930='Field Check'!$C$25)*10000000+(N('Dvd Calendar'!$AF$924)&gt;0)*1000000+62*1000+28))</f>
        <v/>
      </c>
      <c r="AE70" s="41">
        <f>IF(N('Dvd Calendar'!$AG$925)=0,"",IF(('Dvd Calendar'!$AG$925&gt;=MIN(DATE(Summary!$C$12,1,1),Summary!$C$11))*('Dvd Calendar'!$AG$925&lt;=MAX(DATE(Summary!$C$12,12,31),Summary!$C$15))*('Dvd Calendar'!$AG$925&lt;=Summary!$C$11)=0,"",'Dvd Calendar'!$AG$925*1000000000+ISNUMBER('Dvd Calendar'!$AG$926)*100000000+('Dvd Calendar'!$AG$930='Field Check'!$C$25)*10000000+(N('Dvd Calendar'!$AG$924)&gt;0)*1000000+62*1000+29))</f>
        <v/>
      </c>
      <c r="AF70" s="41">
        <f>IF(N('Dvd Calendar'!$AH$925)=0,"",IF(('Dvd Calendar'!$AH$925&gt;=MIN(DATE(Summary!$C$12,1,1),Summary!$C$11))*('Dvd Calendar'!$AH$925&lt;=MAX(DATE(Summary!$C$12,12,31),Summary!$C$15))*('Dvd Calendar'!$AH$925&lt;=Summary!$C$11)=0,"",'Dvd Calendar'!$AH$925*1000000000+ISNUMBER('Dvd Calendar'!$AH$926)*100000000+('Dvd Calendar'!$AH$930='Field Check'!$C$25)*10000000+(N('Dvd Calendar'!$AH$924)&gt;0)*1000000+62*1000+30))</f>
        <v/>
      </c>
      <c r="AG70" s="41">
        <f>IF(N('Dvd Calendar'!$AI$925)=0,"",IF(('Dvd Calendar'!$AI$925&gt;=MIN(DATE(Summary!$C$12,1,1),Summary!$C$11))*('Dvd Calendar'!$AI$925&lt;=MAX(DATE(Summary!$C$12,12,31),Summary!$C$15))*('Dvd Calendar'!$AI$925&lt;=Summary!$C$11)=0,"",'Dvd Calendar'!$AI$925*1000000000+ISNUMBER('Dvd Calendar'!$AI$926)*100000000+('Dvd Calendar'!$AI$930='Field Check'!$C$25)*10000000+(N('Dvd Calendar'!$AI$924)&gt;0)*1000000+62*1000+31))</f>
        <v/>
      </c>
      <c r="AH70" s="41">
        <f>IF(N('Dvd Calendar'!$AJ$925)=0,"",IF(('Dvd Calendar'!$AJ$925&gt;=MIN(DATE(Summary!$C$12,1,1),Summary!$C$11))*('Dvd Calendar'!$AJ$925&lt;=MAX(DATE(Summary!$C$12,12,31),Summary!$C$15))*('Dvd Calendar'!$AJ$925&lt;=Summary!$C$11)=0,"",'Dvd Calendar'!$AJ$925*1000000000+ISNUMBER('Dvd Calendar'!$AJ$926)*100000000+('Dvd Calendar'!$AJ$930='Field Check'!$C$25)*10000000+(N('Dvd Calendar'!$AJ$924)&gt;0)*1000000+62*1000+32))</f>
        <v/>
      </c>
      <c r="AI70" s="41">
        <f>IF(N('Dvd Calendar'!$AK$925)=0,"",IF(('Dvd Calendar'!$AK$925&gt;=MIN(DATE(Summary!$C$12,1,1),Summary!$C$11))*('Dvd Calendar'!$AK$925&lt;=MAX(DATE(Summary!$C$12,12,31),Summary!$C$15))*('Dvd Calendar'!$AK$925&lt;=Summary!$C$11)=0,"",'Dvd Calendar'!$AK$925*1000000000+ISNUMBER('Dvd Calendar'!$AK$926)*100000000+('Dvd Calendar'!$AK$930='Field Check'!$C$25)*10000000+(N('Dvd Calendar'!$AK$924)&gt;0)*1000000+62*1000+33))</f>
        <v/>
      </c>
      <c r="AJ70" s="41">
        <f>IF(N('Dvd Calendar'!$AL$925)=0,"",IF(('Dvd Calendar'!$AL$925&gt;=MIN(DATE(Summary!$C$12,1,1),Summary!$C$11))*('Dvd Calendar'!$AL$925&lt;=MAX(DATE(Summary!$C$12,12,31),Summary!$C$15))*('Dvd Calendar'!$AL$925&lt;=Summary!$C$11)=0,"",'Dvd Calendar'!$AL$925*1000000000+ISNUMBER('Dvd Calendar'!$AL$926)*100000000+('Dvd Calendar'!$AL$930='Field Check'!$C$25)*10000000+(N('Dvd Calendar'!$AL$924)&gt;0)*1000000+62*1000+34))</f>
        <v/>
      </c>
      <c r="AK70" s="41">
        <f>IF(N('Dvd Calendar'!$AM$925)=0,"",IF(('Dvd Calendar'!$AM$925&gt;=MIN(DATE(Summary!$C$12,1,1),Summary!$C$11))*('Dvd Calendar'!$AM$925&lt;=MAX(DATE(Summary!$C$12,12,31),Summary!$C$15))*('Dvd Calendar'!$AM$925&lt;=Summary!$C$11)=0,"",'Dvd Calendar'!$AM$925*1000000000+ISNUMBER('Dvd Calendar'!$AM$926)*100000000+('Dvd Calendar'!$AM$930='Field Check'!$C$25)*10000000+(N('Dvd Calendar'!$AM$924)&gt;0)*1000000+62*1000+35))</f>
        <v/>
      </c>
      <c r="AL70" s="41">
        <f>IF(N('Dvd Calendar'!$AN$925)=0,"",IF(('Dvd Calendar'!$AN$925&gt;=MIN(DATE(Summary!$C$12,1,1),Summary!$C$11))*('Dvd Calendar'!$AN$925&lt;=MAX(DATE(Summary!$C$12,12,31),Summary!$C$15))*('Dvd Calendar'!$AN$925&lt;=Summary!$C$11)=0,"",'Dvd Calendar'!$AN$925*1000000000+ISNUMBER('Dvd Calendar'!$AN$926)*100000000+('Dvd Calendar'!$AN$930='Field Check'!$C$25)*10000000+(N('Dvd Calendar'!$AN$924)&gt;0)*1000000+62*1000+36))</f>
        <v/>
      </c>
      <c r="AM70" s="41">
        <f>IF(N('Dvd Calendar'!$AO$925)=0,"",IF(('Dvd Calendar'!$AO$925&gt;=MIN(DATE(Summary!$C$12,1,1),Summary!$C$11))*('Dvd Calendar'!$AO$925&lt;=MAX(DATE(Summary!$C$12,12,31),Summary!$C$15))*('Dvd Calendar'!$AO$925&lt;=Summary!$C$11)=0,"",'Dvd Calendar'!$AO$925*1000000000+ISNUMBER('Dvd Calendar'!$AO$926)*100000000+('Dvd Calendar'!$AO$930='Field Check'!$C$25)*10000000+(N('Dvd Calendar'!$AO$924)&gt;0)*1000000+62*1000+37))</f>
        <v/>
      </c>
      <c r="AN70" s="41">
        <f>IF(N('Dvd Calendar'!$AP$925)=0,"",IF(('Dvd Calendar'!$AP$925&gt;=MIN(DATE(Summary!$C$12,1,1),Summary!$C$11))*('Dvd Calendar'!$AP$925&lt;=MAX(DATE(Summary!$C$12,12,31),Summary!$C$15))*('Dvd Calendar'!$AP$925&lt;=Summary!$C$11)=0,"",'Dvd Calendar'!$AP$925*1000000000+ISNUMBER('Dvd Calendar'!$AP$926)*100000000+('Dvd Calendar'!$AP$930='Field Check'!$C$25)*10000000+(N('Dvd Calendar'!$AP$924)&gt;0)*1000000+62*1000+38))</f>
        <v/>
      </c>
      <c r="AO70" s="41">
        <f>IF(N('Dvd Calendar'!$AQ$925)=0,"",IF(('Dvd Calendar'!$AQ$925&gt;=MIN(DATE(Summary!$C$12,1,1),Summary!$C$11))*('Dvd Calendar'!$AQ$925&lt;=MAX(DATE(Summary!$C$12,12,31),Summary!$C$15))*('Dvd Calendar'!$AQ$925&lt;=Summary!$C$11)=0,"",'Dvd Calendar'!$AQ$925*1000000000+ISNUMBER('Dvd Calendar'!$AQ$926)*100000000+('Dvd Calendar'!$AQ$930='Field Check'!$C$25)*10000000+(N('Dvd Calendar'!$AQ$924)&gt;0)*1000000+62*1000+39))</f>
        <v/>
      </c>
      <c r="AP70" s="41">
        <f>IF(N('Dvd Calendar'!$AR$925)=0,"",IF(('Dvd Calendar'!$AR$925&gt;=MIN(DATE(Summary!$C$12,1,1),Summary!$C$11))*('Dvd Calendar'!$AR$925&lt;=MAX(DATE(Summary!$C$12,12,31),Summary!$C$15))*('Dvd Calendar'!$AR$925&lt;=Summary!$C$11)=0,"",'Dvd Calendar'!$AR$925*1000000000+ISNUMBER('Dvd Calendar'!$AR$926)*100000000+('Dvd Calendar'!$AR$930='Field Check'!$C$25)*10000000+(N('Dvd Calendar'!$AR$924)&gt;0)*1000000+62*1000+40))</f>
        <v/>
      </c>
      <c r="AQ70" s="41">
        <f>IF(N('Dvd Calendar'!$E$932)=0,"",IF(('Dvd Calendar'!$E$932&gt;=MIN(DATE(Summary!$C$12,1,1),Summary!$C$11))*('Dvd Calendar'!$E$932&lt;=MAX(DATE(Summary!$C$12,12,31),Summary!$C$15))*('Dvd Calendar'!$E$932&gt;Summary!$C$11)=0,"",'Dvd Calendar'!$E$932*1000000000+ISNUMBER('Dvd Calendar'!$E$933)*100000000+('Dvd Calendar'!$E$937='Field Check'!$C$25)*10000000+(N('Dvd Calendar'!$E$931)&gt;0)*1000000+62*1000+41))</f>
        <v/>
      </c>
      <c r="AR70" s="41">
        <f>IF(N('Dvd Calendar'!$F$932)=0,"",IF(('Dvd Calendar'!$F$932&gt;=MIN(DATE(Summary!$C$12,1,1),Summary!$C$11))*('Dvd Calendar'!$F$932&lt;=MAX(DATE(Summary!$C$12,12,31),Summary!$C$15))*('Dvd Calendar'!$F$932&gt;Summary!$C$11)=0,"",'Dvd Calendar'!$F$932*1000000000+ISNUMBER('Dvd Calendar'!$F$933)*100000000+('Dvd Calendar'!$F$937='Field Check'!$C$25)*10000000+(N('Dvd Calendar'!$F$931)&gt;0)*1000000+62*1000+42))</f>
        <v/>
      </c>
      <c r="AS70" s="41">
        <f>IF(N('Dvd Calendar'!$G$932)=0,"",IF(('Dvd Calendar'!$G$932&gt;=MIN(DATE(Summary!$C$12,1,1),Summary!$C$11))*('Dvd Calendar'!$G$932&lt;=MAX(DATE(Summary!$C$12,12,31),Summary!$C$15))*('Dvd Calendar'!$G$932&gt;Summary!$C$11)=0,"",'Dvd Calendar'!$G$932*1000000000+ISNUMBER('Dvd Calendar'!$G$933)*100000000+('Dvd Calendar'!$G$937='Field Check'!$C$25)*10000000+(N('Dvd Calendar'!$G$931)&gt;0)*1000000+62*1000+43))</f>
        <v/>
      </c>
      <c r="AT70" s="41">
        <f>IF(N('Dvd Calendar'!$H$932)=0,"",IF(('Dvd Calendar'!$H$932&gt;=MIN(DATE(Summary!$C$12,1,1),Summary!$C$11))*('Dvd Calendar'!$H$932&lt;=MAX(DATE(Summary!$C$12,12,31),Summary!$C$15))*('Dvd Calendar'!$H$932&gt;Summary!$C$11)=0,"",'Dvd Calendar'!$H$932*1000000000+ISNUMBER('Dvd Calendar'!$H$933)*100000000+('Dvd Calendar'!$H$937='Field Check'!$C$25)*10000000+(N('Dvd Calendar'!$H$931)&gt;0)*1000000+62*1000+44))</f>
        <v/>
      </c>
      <c r="AU70" s="41">
        <f>IF(N('Dvd Calendar'!$I$932)=0,"",IF(('Dvd Calendar'!$I$932&gt;=MIN(DATE(Summary!$C$12,1,1),Summary!$C$11))*('Dvd Calendar'!$I$932&lt;=MAX(DATE(Summary!$C$12,12,31),Summary!$C$15))*('Dvd Calendar'!$I$932&gt;Summary!$C$11)=0,"",'Dvd Calendar'!$I$932*1000000000+ISNUMBER('Dvd Calendar'!$I$933)*100000000+('Dvd Calendar'!$I$937='Field Check'!$C$25)*10000000+(N('Dvd Calendar'!$I$931)&gt;0)*1000000+62*1000+45))</f>
        <v/>
      </c>
      <c r="AV70" s="41">
        <f>IF(N('Dvd Calendar'!$J$932)=0,"",IF(('Dvd Calendar'!$J$932&gt;=MIN(DATE(Summary!$C$12,1,1),Summary!$C$11))*('Dvd Calendar'!$J$932&lt;=MAX(DATE(Summary!$C$12,12,31),Summary!$C$15))*('Dvd Calendar'!$J$932&gt;Summary!$C$11)=0,"",'Dvd Calendar'!$J$932*1000000000+ISNUMBER('Dvd Calendar'!$J$933)*100000000+('Dvd Calendar'!$J$937='Field Check'!$C$25)*10000000+(N('Dvd Calendar'!$J$931)&gt;0)*1000000+62*1000+46))</f>
        <v/>
      </c>
      <c r="AW70" s="41">
        <f>IF(N('Dvd Calendar'!$K$932)=0,"",IF(('Dvd Calendar'!$K$932&gt;=MIN(DATE(Summary!$C$12,1,1),Summary!$C$11))*('Dvd Calendar'!$K$932&lt;=MAX(DATE(Summary!$C$12,12,31),Summary!$C$15))*('Dvd Calendar'!$K$932&gt;Summary!$C$11)=0,"",'Dvd Calendar'!$K$932*1000000000+ISNUMBER('Dvd Calendar'!$K$933)*100000000+('Dvd Calendar'!$K$937='Field Check'!$C$25)*10000000+(N('Dvd Calendar'!$K$931)&gt;0)*1000000+62*1000+47))</f>
        <v/>
      </c>
      <c r="AX70" s="41">
        <f>IF(N('Dvd Calendar'!$L$932)=0,"",IF(('Dvd Calendar'!$L$932&gt;=MIN(DATE(Summary!$C$12,1,1),Summary!$C$11))*('Dvd Calendar'!$L$932&lt;=MAX(DATE(Summary!$C$12,12,31),Summary!$C$15))*('Dvd Calendar'!$L$932&gt;Summary!$C$11)=0,"",'Dvd Calendar'!$L$932*1000000000+ISNUMBER('Dvd Calendar'!$L$933)*100000000+('Dvd Calendar'!$L$937='Field Check'!$C$25)*10000000+(N('Dvd Calendar'!$L$931)&gt;0)*1000000+62*1000+48))</f>
        <v/>
      </c>
      <c r="AY70" s="41">
        <f>IF(N('Dvd Calendar'!$M$932)=0,"",IF(('Dvd Calendar'!$M$932&gt;=MIN(DATE(Summary!$C$12,1,1),Summary!$C$11))*('Dvd Calendar'!$M$932&lt;=MAX(DATE(Summary!$C$12,12,31),Summary!$C$15))*('Dvd Calendar'!$M$932&gt;Summary!$C$11)=0,"",'Dvd Calendar'!$M$932*1000000000+ISNUMBER('Dvd Calendar'!$M$933)*100000000+('Dvd Calendar'!$M$937='Field Check'!$C$25)*10000000+(N('Dvd Calendar'!$M$931)&gt;0)*1000000+62*1000+49))</f>
        <v/>
      </c>
      <c r="AZ70" s="41">
        <f>IF(N('Dvd Calendar'!$N$932)=0,"",IF(('Dvd Calendar'!$N$932&gt;=MIN(DATE(Summary!$C$12,1,1),Summary!$C$11))*('Dvd Calendar'!$N$932&lt;=MAX(DATE(Summary!$C$12,12,31),Summary!$C$15))*('Dvd Calendar'!$N$932&gt;Summary!$C$11)=0,"",'Dvd Calendar'!$N$932*1000000000+ISNUMBER('Dvd Calendar'!$N$933)*100000000+('Dvd Calendar'!$N$937='Field Check'!$C$25)*10000000+(N('Dvd Calendar'!$N$931)&gt;0)*1000000+62*1000+50))</f>
        <v/>
      </c>
      <c r="BA70" s="41">
        <f>IF(N('Dvd Calendar'!$O$932)=0,"",IF(('Dvd Calendar'!$O$932&gt;=MIN(DATE(Summary!$C$12,1,1),Summary!$C$11))*('Dvd Calendar'!$O$932&lt;=MAX(DATE(Summary!$C$12,12,31),Summary!$C$15))*('Dvd Calendar'!$O$932&gt;Summary!$C$11)=0,"",'Dvd Calendar'!$O$932*1000000000+ISNUMBER('Dvd Calendar'!$O$933)*100000000+('Dvd Calendar'!$O$937='Field Check'!$C$25)*10000000+(N('Dvd Calendar'!$O$931)&gt;0)*1000000+62*1000+51))</f>
        <v/>
      </c>
      <c r="BB70" s="41">
        <f>IF(N('Dvd Calendar'!$P$932)=0,"",IF(('Dvd Calendar'!$P$932&gt;=MIN(DATE(Summary!$C$12,1,1),Summary!$C$11))*('Dvd Calendar'!$P$932&lt;=MAX(DATE(Summary!$C$12,12,31),Summary!$C$15))*('Dvd Calendar'!$P$932&gt;Summary!$C$11)=0,"",'Dvd Calendar'!$P$932*1000000000+ISNUMBER('Dvd Calendar'!$P$933)*100000000+('Dvd Calendar'!$P$937='Field Check'!$C$25)*10000000+(N('Dvd Calendar'!$P$931)&gt;0)*1000000+62*1000+52))</f>
        <v/>
      </c>
      <c r="BC70" s="41">
        <f>IF(N('Dvd Calendar'!$Q$932)=0,"",IF(('Dvd Calendar'!$Q$932&gt;=MIN(DATE(Summary!$C$12,1,1),Summary!$C$11))*('Dvd Calendar'!$Q$932&lt;=MAX(DATE(Summary!$C$12,12,31),Summary!$C$15))*('Dvd Calendar'!$Q$932&gt;Summary!$C$11)=0,"",'Dvd Calendar'!$Q$932*1000000000+ISNUMBER('Dvd Calendar'!$Q$933)*100000000+('Dvd Calendar'!$Q$937='Field Check'!$C$25)*10000000+(N('Dvd Calendar'!$Q$931)&gt;0)*1000000+62*1000+53))</f>
        <v/>
      </c>
      <c r="BD70" s="41">
        <f>IF(N('Dvd Calendar'!$R$932)=0,"",IF(('Dvd Calendar'!$R$932&gt;=MIN(DATE(Summary!$C$12,1,1),Summary!$C$11))*('Dvd Calendar'!$R$932&lt;=MAX(DATE(Summary!$C$12,12,31),Summary!$C$15))*('Dvd Calendar'!$R$932&gt;Summary!$C$11)=0,"",'Dvd Calendar'!$R$932*1000000000+ISNUMBER('Dvd Calendar'!$R$933)*100000000+('Dvd Calendar'!$R$937='Field Check'!$C$25)*10000000+(N('Dvd Calendar'!$R$931)&gt;0)*1000000+62*1000+54))</f>
        <v/>
      </c>
      <c r="BE70" s="41">
        <f>IF(N('Dvd Calendar'!$S$932)=0,"",IF(('Dvd Calendar'!$S$932&gt;=MIN(DATE(Summary!$C$12,1,1),Summary!$C$11))*('Dvd Calendar'!$S$932&lt;=MAX(DATE(Summary!$C$12,12,31),Summary!$C$15))*('Dvd Calendar'!$S$932&gt;Summary!$C$11)=0,"",'Dvd Calendar'!$S$932*1000000000+ISNUMBER('Dvd Calendar'!$S$933)*100000000+('Dvd Calendar'!$S$937='Field Check'!$C$25)*10000000+(N('Dvd Calendar'!$S$931)&gt;0)*1000000+62*1000+55))</f>
        <v/>
      </c>
      <c r="BF70" s="41">
        <f>IF(N('Dvd Calendar'!$T$932)=0,"",IF(('Dvd Calendar'!$T$932&gt;=MIN(DATE(Summary!$C$12,1,1),Summary!$C$11))*('Dvd Calendar'!$T$932&lt;=MAX(DATE(Summary!$C$12,12,31),Summary!$C$15))*('Dvd Calendar'!$T$932&gt;Summary!$C$11)=0,"",'Dvd Calendar'!$T$932*1000000000+ISNUMBER('Dvd Calendar'!$T$933)*100000000+('Dvd Calendar'!$T$937='Field Check'!$C$25)*10000000+(N('Dvd Calendar'!$T$931)&gt;0)*1000000+62*1000+56))</f>
        <v/>
      </c>
      <c r="BG70" s="41">
        <f>IF(N('Dvd Calendar'!$U$932)=0,"",IF(('Dvd Calendar'!$U$932&gt;=MIN(DATE(Summary!$C$12,1,1),Summary!$C$11))*('Dvd Calendar'!$U$932&lt;=MAX(DATE(Summary!$C$12,12,31),Summary!$C$15))*('Dvd Calendar'!$U$932&gt;Summary!$C$11)=0,"",'Dvd Calendar'!$U$932*1000000000+ISNUMBER('Dvd Calendar'!$U$933)*100000000+('Dvd Calendar'!$U$937='Field Check'!$C$25)*10000000+(N('Dvd Calendar'!$U$931)&gt;0)*1000000+62*1000+57))</f>
        <v/>
      </c>
      <c r="BH70" s="41">
        <f>IF(N('Dvd Calendar'!$V$932)=0,"",IF(('Dvd Calendar'!$V$932&gt;=MIN(DATE(Summary!$C$12,1,1),Summary!$C$11))*('Dvd Calendar'!$V$932&lt;=MAX(DATE(Summary!$C$12,12,31),Summary!$C$15))*('Dvd Calendar'!$V$932&gt;Summary!$C$11)=0,"",'Dvd Calendar'!$V$932*1000000000+ISNUMBER('Dvd Calendar'!$V$933)*100000000+('Dvd Calendar'!$V$937='Field Check'!$C$25)*10000000+(N('Dvd Calendar'!$V$931)&gt;0)*1000000+62*1000+58))</f>
        <v/>
      </c>
      <c r="BI70" s="41">
        <f>IF(N('Dvd Calendar'!$W$932)=0,"",IF(('Dvd Calendar'!$W$932&gt;=MIN(DATE(Summary!$C$12,1,1),Summary!$C$11))*('Dvd Calendar'!$W$932&lt;=MAX(DATE(Summary!$C$12,12,31),Summary!$C$15))*('Dvd Calendar'!$W$932&gt;Summary!$C$11)=0,"",'Dvd Calendar'!$W$932*1000000000+ISNUMBER('Dvd Calendar'!$W$933)*100000000+('Dvd Calendar'!$W$937='Field Check'!$C$25)*10000000+(N('Dvd Calendar'!$W$931)&gt;0)*1000000+62*1000+59))</f>
        <v/>
      </c>
      <c r="BJ70" s="41">
        <f>IF(N('Dvd Calendar'!$X$932)=0,"",IF(('Dvd Calendar'!$X$932&gt;=MIN(DATE(Summary!$C$12,1,1),Summary!$C$11))*('Dvd Calendar'!$X$932&lt;=MAX(DATE(Summary!$C$12,12,31),Summary!$C$15))*('Dvd Calendar'!$X$932&gt;Summary!$C$11)=0,"",'Dvd Calendar'!$X$932*1000000000+ISNUMBER('Dvd Calendar'!$X$933)*100000000+('Dvd Calendar'!$X$937='Field Check'!$C$25)*10000000+(N('Dvd Calendar'!$X$931)&gt;0)*1000000+62*1000+60))</f>
        <v/>
      </c>
      <c r="BK70" s="41">
        <f>IF(N('Dvd Calendar'!$Y$932)=0,"",IF(('Dvd Calendar'!$Y$932&gt;=MIN(DATE(Summary!$C$12,1,1),Summary!$C$11))*('Dvd Calendar'!$Y$932&lt;=MAX(DATE(Summary!$C$12,12,31),Summary!$C$15))*('Dvd Calendar'!$Y$932&gt;Summary!$C$11)=0,"",'Dvd Calendar'!$Y$932*1000000000+ISNUMBER('Dvd Calendar'!$Y$933)*100000000+('Dvd Calendar'!$Y$937='Field Check'!$C$25)*10000000+(N('Dvd Calendar'!$Y$931)&gt;0)*1000000+62*1000+61))</f>
        <v/>
      </c>
      <c r="BL70" s="41">
        <f>IF(N('Dvd Calendar'!$Z$932)=0,"",IF(('Dvd Calendar'!$Z$932&gt;=MIN(DATE(Summary!$C$12,1,1),Summary!$C$11))*('Dvd Calendar'!$Z$932&lt;=MAX(DATE(Summary!$C$12,12,31),Summary!$C$15))*('Dvd Calendar'!$Z$932&gt;Summary!$C$11)=0,"",'Dvd Calendar'!$Z$932*1000000000+ISNUMBER('Dvd Calendar'!$Z$933)*100000000+('Dvd Calendar'!$Z$937='Field Check'!$C$25)*10000000+(N('Dvd Calendar'!$Z$931)&gt;0)*1000000+62*1000+62))</f>
        <v/>
      </c>
      <c r="BM70" s="41">
        <f>IF(N('Dvd Calendar'!$AA$932)=0,"",IF(('Dvd Calendar'!$AA$932&gt;=MIN(DATE(Summary!$C$12,1,1),Summary!$C$11))*('Dvd Calendar'!$AA$932&lt;=MAX(DATE(Summary!$C$12,12,31),Summary!$C$15))*('Dvd Calendar'!$AA$932&gt;Summary!$C$11)=0,"",'Dvd Calendar'!$AA$932*1000000000+ISNUMBER('Dvd Calendar'!$AA$933)*100000000+('Dvd Calendar'!$AA$937='Field Check'!$C$25)*10000000+(N('Dvd Calendar'!$AA$931)&gt;0)*1000000+62*1000+63))</f>
        <v/>
      </c>
      <c r="BN70" s="41">
        <f>IF(N('Dvd Calendar'!$AB$932)=0,"",IF(('Dvd Calendar'!$AB$932&gt;=MIN(DATE(Summary!$C$12,1,1),Summary!$C$11))*('Dvd Calendar'!$AB$932&lt;=MAX(DATE(Summary!$C$12,12,31),Summary!$C$15))*('Dvd Calendar'!$AB$932&gt;Summary!$C$11)=0,"",'Dvd Calendar'!$AB$932*1000000000+ISNUMBER('Dvd Calendar'!$AB$933)*100000000+('Dvd Calendar'!$AB$937='Field Check'!$C$25)*10000000+(N('Dvd Calendar'!$AB$931)&gt;0)*1000000+62*1000+64))</f>
        <v/>
      </c>
      <c r="BO70" s="41">
        <f>IF(N('Dvd Calendar'!$AC$932)=0,"",IF(('Dvd Calendar'!$AC$932&gt;=MIN(DATE(Summary!$C$12,1,1),Summary!$C$11))*('Dvd Calendar'!$AC$932&lt;=MAX(DATE(Summary!$C$12,12,31),Summary!$C$15))*('Dvd Calendar'!$AC$932&gt;Summary!$C$11)=0,"",'Dvd Calendar'!$AC$932*1000000000+ISNUMBER('Dvd Calendar'!$AC$933)*100000000+('Dvd Calendar'!$AC$937='Field Check'!$C$25)*10000000+(N('Dvd Calendar'!$AC$931)&gt;0)*1000000+62*1000+65))</f>
        <v/>
      </c>
      <c r="BQ70" s="85">
        <f>IF(C70="","",IF(ISNUMBER('Dvd Calendar'!$E$926)=FALSE,"",IF((Summary!$C$13="N")*('Dvd Calendar'!$E$930='Field Check'!$C$25)&gt;0,"",'Dvd Calendar'!$E$926)))</f>
        <v/>
      </c>
      <c r="BR70" s="85">
        <f>IF(D70="","",IF(ISNUMBER('Dvd Calendar'!$F$926)=FALSE,"",IF((Summary!$C$13="N")*('Dvd Calendar'!$F$930='Field Check'!$C$25)&gt;0,"",'Dvd Calendar'!$F$926)))</f>
        <v/>
      </c>
      <c r="BS70" s="85">
        <f>IF(E70="","",IF(ISNUMBER('Dvd Calendar'!$G$926)=FALSE,"",IF((Summary!$C$13="N")*('Dvd Calendar'!$G$930='Field Check'!$C$25)&gt;0,"",'Dvd Calendar'!$G$926)))</f>
        <v/>
      </c>
      <c r="BT70" s="85">
        <f>IF(F70="","",IF(ISNUMBER('Dvd Calendar'!$H$926)=FALSE,"",IF((Summary!$C$13="N")*('Dvd Calendar'!$H$930='Field Check'!$C$25)&gt;0,"",'Dvd Calendar'!$H$926)))</f>
        <v/>
      </c>
      <c r="BU70" s="85">
        <f>IF(G70="","",IF(ISNUMBER('Dvd Calendar'!$I$926)=FALSE,"",IF((Summary!$C$13="N")*('Dvd Calendar'!$I$930='Field Check'!$C$25)&gt;0,"",'Dvd Calendar'!$I$926)))</f>
        <v/>
      </c>
      <c r="BV70" s="85">
        <f>IF(H70="","",IF(ISNUMBER('Dvd Calendar'!$J$926)=FALSE,"",IF((Summary!$C$13="N")*('Dvd Calendar'!$J$930='Field Check'!$C$25)&gt;0,"",'Dvd Calendar'!$J$926)))</f>
        <v/>
      </c>
      <c r="BW70" s="85">
        <f>IF(I70="","",IF(ISNUMBER('Dvd Calendar'!$K$926)=FALSE,"",IF((Summary!$C$13="N")*('Dvd Calendar'!$K$930='Field Check'!$C$25)&gt;0,"",'Dvd Calendar'!$K$926)))</f>
        <v/>
      </c>
      <c r="BX70" s="85">
        <f>IF(J70="","",IF(ISNUMBER('Dvd Calendar'!$L$926)=FALSE,"",IF((Summary!$C$13="N")*('Dvd Calendar'!$L$930='Field Check'!$C$25)&gt;0,"",'Dvd Calendar'!$L$926)))</f>
        <v/>
      </c>
      <c r="BY70" s="85">
        <f>IF(K70="","",IF(ISNUMBER('Dvd Calendar'!$M$926)=FALSE,"",IF((Summary!$C$13="N")*('Dvd Calendar'!$M$930='Field Check'!$C$25)&gt;0,"",'Dvd Calendar'!$M$926)))</f>
        <v/>
      </c>
      <c r="BZ70" s="85">
        <f>IF(L70="","",IF(ISNUMBER('Dvd Calendar'!$N$926)=FALSE,"",IF((Summary!$C$13="N")*('Dvd Calendar'!$N$930='Field Check'!$C$25)&gt;0,"",'Dvd Calendar'!$N$926)))</f>
        <v/>
      </c>
      <c r="CA70" s="85">
        <f>IF(M70="","",IF(ISNUMBER('Dvd Calendar'!$O$926)=FALSE,"",IF((Summary!$C$13="N")*('Dvd Calendar'!$O$930='Field Check'!$C$25)&gt;0,"",'Dvd Calendar'!$O$926)))</f>
        <v/>
      </c>
      <c r="CB70" s="85">
        <f>IF(N70="","",IF(ISNUMBER('Dvd Calendar'!$P$926)=FALSE,"",IF((Summary!$C$13="N")*('Dvd Calendar'!$P$930='Field Check'!$C$25)&gt;0,"",'Dvd Calendar'!$P$926)))</f>
        <v/>
      </c>
      <c r="CC70" s="85">
        <f>IF(O70="","",IF(ISNUMBER('Dvd Calendar'!$Q$926)=FALSE,"",IF((Summary!$C$13="N")*('Dvd Calendar'!$Q$930='Field Check'!$C$25)&gt;0,"",'Dvd Calendar'!$Q$926)))</f>
        <v/>
      </c>
      <c r="CD70" s="85">
        <f>IF(P70="","",IF(ISNUMBER('Dvd Calendar'!$R$926)=FALSE,"",IF((Summary!$C$13="N")*('Dvd Calendar'!$R$930='Field Check'!$C$25)&gt;0,"",'Dvd Calendar'!$R$926)))</f>
        <v/>
      </c>
      <c r="CE70" s="85">
        <f>IF(Q70="","",IF(ISNUMBER('Dvd Calendar'!$S$926)=FALSE,"",IF((Summary!$C$13="N")*('Dvd Calendar'!$S$930='Field Check'!$C$25)&gt;0,"",'Dvd Calendar'!$S$926)))</f>
        <v/>
      </c>
      <c r="CF70" s="85">
        <f>IF(R70="","",IF(ISNUMBER('Dvd Calendar'!$T$926)=FALSE,"",IF((Summary!$C$13="N")*('Dvd Calendar'!$T$930='Field Check'!$C$25)&gt;0,"",'Dvd Calendar'!$T$926)))</f>
        <v/>
      </c>
      <c r="CG70" s="85">
        <f>IF(S70="","",IF(ISNUMBER('Dvd Calendar'!$U$926)=FALSE,"",IF((Summary!$C$13="N")*('Dvd Calendar'!$U$930='Field Check'!$C$25)&gt;0,"",'Dvd Calendar'!$U$926)))</f>
        <v/>
      </c>
      <c r="CH70" s="85">
        <f>IF(T70="","",IF(ISNUMBER('Dvd Calendar'!$V$926)=FALSE,"",IF((Summary!$C$13="N")*('Dvd Calendar'!$V$930='Field Check'!$C$25)&gt;0,"",'Dvd Calendar'!$V$926)))</f>
        <v/>
      </c>
      <c r="CI70" s="85">
        <f>IF(U70="","",IF(ISNUMBER('Dvd Calendar'!$W$926)=FALSE,"",IF((Summary!$C$13="N")*('Dvd Calendar'!$W$930='Field Check'!$C$25)&gt;0,"",'Dvd Calendar'!$W$926)))</f>
        <v/>
      </c>
      <c r="CJ70" s="85">
        <f>IF(V70="","",IF(ISNUMBER('Dvd Calendar'!$X$926)=FALSE,"",IF((Summary!$C$13="N")*('Dvd Calendar'!$X$930='Field Check'!$C$25)&gt;0,"",'Dvd Calendar'!$X$926)))</f>
        <v/>
      </c>
      <c r="CK70" s="85">
        <f>IF(W70="","",IF(ISNUMBER('Dvd Calendar'!$Y$926)=FALSE,"",IF((Summary!$C$13="N")*('Dvd Calendar'!$Y$930='Field Check'!$C$25)&gt;0,"",'Dvd Calendar'!$Y$926)))</f>
        <v/>
      </c>
      <c r="CL70" s="85">
        <f>IF(X70="","",IF(ISNUMBER('Dvd Calendar'!$Z$926)=FALSE,"",IF((Summary!$C$13="N")*('Dvd Calendar'!$Z$930='Field Check'!$C$25)&gt;0,"",'Dvd Calendar'!$Z$926)))</f>
        <v/>
      </c>
      <c r="CM70" s="85">
        <f>IF(Y70="","",IF(ISNUMBER('Dvd Calendar'!$AA$926)=FALSE,"",IF((Summary!$C$13="N")*('Dvd Calendar'!$AA$930='Field Check'!$C$25)&gt;0,"",'Dvd Calendar'!$AA$926)))</f>
        <v/>
      </c>
      <c r="CN70" s="85">
        <f>IF(Z70="","",IF(ISNUMBER('Dvd Calendar'!$AB$926)=FALSE,"",IF((Summary!$C$13="N")*('Dvd Calendar'!$AB$930='Field Check'!$C$25)&gt;0,"",'Dvd Calendar'!$AB$926)))</f>
        <v/>
      </c>
      <c r="CO70" s="85">
        <f>IF(AA70="","",IF(ISNUMBER('Dvd Calendar'!$AC$926)=FALSE,"",IF((Summary!$C$13="N")*('Dvd Calendar'!$AC$930='Field Check'!$C$25)&gt;0,"",'Dvd Calendar'!$AC$926)))</f>
        <v/>
      </c>
      <c r="CP70" s="85">
        <f>IF(AB70="","",IF(ISNUMBER('Dvd Calendar'!$AD$926)=FALSE,"",IF((Summary!$C$13="N")*('Dvd Calendar'!$AD$930='Field Check'!$C$25)&gt;0,"",'Dvd Calendar'!$AD$926)))</f>
        <v/>
      </c>
      <c r="CQ70" s="85">
        <f>IF(AC70="","",IF(ISNUMBER('Dvd Calendar'!$AE$926)=FALSE,"",IF((Summary!$C$13="N")*('Dvd Calendar'!$AE$930='Field Check'!$C$25)&gt;0,"",'Dvd Calendar'!$AE$926)))</f>
        <v/>
      </c>
      <c r="CR70" s="85">
        <f>IF(AD70="","",IF(ISNUMBER('Dvd Calendar'!$AF$926)=FALSE,"",IF((Summary!$C$13="N")*('Dvd Calendar'!$AF$930='Field Check'!$C$25)&gt;0,"",'Dvd Calendar'!$AF$926)))</f>
        <v/>
      </c>
      <c r="CS70" s="85">
        <f>IF(AE70="","",IF(ISNUMBER('Dvd Calendar'!$AG$926)=FALSE,"",IF((Summary!$C$13="N")*('Dvd Calendar'!$AG$930='Field Check'!$C$25)&gt;0,"",'Dvd Calendar'!$AG$926)))</f>
        <v/>
      </c>
      <c r="CT70" s="85">
        <f>IF(AF70="","",IF(ISNUMBER('Dvd Calendar'!$AH$926)=FALSE,"",IF((Summary!$C$13="N")*('Dvd Calendar'!$AH$930='Field Check'!$C$25)&gt;0,"",'Dvd Calendar'!$AH$926)))</f>
        <v/>
      </c>
      <c r="CU70" s="85">
        <f>IF(AG70="","",IF(ISNUMBER('Dvd Calendar'!$AI$926)=FALSE,"",IF((Summary!$C$13="N")*('Dvd Calendar'!$AI$930='Field Check'!$C$25)&gt;0,"",'Dvd Calendar'!$AI$926)))</f>
        <v/>
      </c>
      <c r="CV70" s="85">
        <f>IF(AH70="","",IF(ISNUMBER('Dvd Calendar'!$AJ$926)=FALSE,"",IF((Summary!$C$13="N")*('Dvd Calendar'!$AJ$930='Field Check'!$C$25)&gt;0,"",'Dvd Calendar'!$AJ$926)))</f>
        <v/>
      </c>
      <c r="CW70" s="85">
        <f>IF(AI70="","",IF(ISNUMBER('Dvd Calendar'!$AK$926)=FALSE,"",IF((Summary!$C$13="N")*('Dvd Calendar'!$AK$930='Field Check'!$C$25)&gt;0,"",'Dvd Calendar'!$AK$926)))</f>
        <v/>
      </c>
      <c r="CX70" s="85">
        <f>IF(AJ70="","",IF(ISNUMBER('Dvd Calendar'!$AL$926)=FALSE,"",IF((Summary!$C$13="N")*('Dvd Calendar'!$AL$930='Field Check'!$C$25)&gt;0,"",'Dvd Calendar'!$AL$926)))</f>
        <v/>
      </c>
      <c r="CY70" s="85">
        <f>IF(AK70="","",IF(ISNUMBER('Dvd Calendar'!$AM$926)=FALSE,"",IF((Summary!$C$13="N")*('Dvd Calendar'!$AM$930='Field Check'!$C$25)&gt;0,"",'Dvd Calendar'!$AM$926)))</f>
        <v/>
      </c>
      <c r="CZ70" s="85">
        <f>IF(AL70="","",IF(ISNUMBER('Dvd Calendar'!$AN$926)=FALSE,"",IF((Summary!$C$13="N")*('Dvd Calendar'!$AN$930='Field Check'!$C$25)&gt;0,"",'Dvd Calendar'!$AN$926)))</f>
        <v/>
      </c>
      <c r="DA70" s="85">
        <f>IF(AM70="","",IF(ISNUMBER('Dvd Calendar'!$AO$926)=FALSE,"",IF((Summary!$C$13="N")*('Dvd Calendar'!$AO$930='Field Check'!$C$25)&gt;0,"",'Dvd Calendar'!$AO$926)))</f>
        <v/>
      </c>
      <c r="DB70" s="85">
        <f>IF(AN70="","",IF(ISNUMBER('Dvd Calendar'!$AP$926)=FALSE,"",IF((Summary!$C$13="N")*('Dvd Calendar'!$AP$930='Field Check'!$C$25)&gt;0,"",'Dvd Calendar'!$AP$926)))</f>
        <v/>
      </c>
      <c r="DC70" s="85">
        <f>IF(AO70="","",IF(ISNUMBER('Dvd Calendar'!$AQ$926)=FALSE,"",IF((Summary!$C$13="N")*('Dvd Calendar'!$AQ$930='Field Check'!$C$25)&gt;0,"",'Dvd Calendar'!$AQ$926)))</f>
        <v/>
      </c>
      <c r="DD70" s="85">
        <f>IF(AP70="","",IF(ISNUMBER('Dvd Calendar'!$AR$926)=FALSE,"",IF((Summary!$C$13="N")*('Dvd Calendar'!$AR$930='Field Check'!$C$25)&gt;0,"",'Dvd Calendar'!$AR$926)))</f>
        <v/>
      </c>
      <c r="DE70" s="85">
        <f>IF(AQ70="","",IF(ISNUMBER('Dvd Calendar'!$E$933)=FALSE,"",IF((Summary!$C$13="N")*('Dvd Calendar'!$E$937='Field Check'!$C$25)&gt;0,"",'Dvd Calendar'!$E$933)))</f>
        <v/>
      </c>
      <c r="DF70" s="85">
        <f>IF(AR70="","",IF(ISNUMBER('Dvd Calendar'!$F$933)=FALSE,"",IF((Summary!$C$13="N")*('Dvd Calendar'!$F$937='Field Check'!$C$25)&gt;0,"",'Dvd Calendar'!$F$933)))</f>
        <v/>
      </c>
      <c r="DG70" s="85">
        <f>IF(AS70="","",IF(ISNUMBER('Dvd Calendar'!$G$933)=FALSE,"",IF((Summary!$C$13="N")*('Dvd Calendar'!$G$937='Field Check'!$C$25)&gt;0,"",'Dvd Calendar'!$G$933)))</f>
        <v/>
      </c>
      <c r="DH70" s="85">
        <f>IF(AT70="","",IF(ISNUMBER('Dvd Calendar'!$H$933)=FALSE,"",IF((Summary!$C$13="N")*('Dvd Calendar'!$H$937='Field Check'!$C$25)&gt;0,"",'Dvd Calendar'!$H$933)))</f>
        <v/>
      </c>
      <c r="DI70" s="85">
        <f>IF(AU70="","",IF(ISNUMBER('Dvd Calendar'!$I$933)=FALSE,"",IF((Summary!$C$13="N")*('Dvd Calendar'!$I$937='Field Check'!$C$25)&gt;0,"",'Dvd Calendar'!$I$933)))</f>
        <v/>
      </c>
      <c r="DJ70" s="85">
        <f>IF(AV70="","",IF(ISNUMBER('Dvd Calendar'!$J$933)=FALSE,"",IF((Summary!$C$13="N")*('Dvd Calendar'!$J$937='Field Check'!$C$25)&gt;0,"",'Dvd Calendar'!$J$933)))</f>
        <v/>
      </c>
      <c r="DK70" s="85">
        <f>IF(AW70="","",IF(ISNUMBER('Dvd Calendar'!$K$933)=FALSE,"",IF((Summary!$C$13="N")*('Dvd Calendar'!$K$937='Field Check'!$C$25)&gt;0,"",'Dvd Calendar'!$K$933)))</f>
        <v/>
      </c>
      <c r="DL70" s="85">
        <f>IF(AX70="","",IF(ISNUMBER('Dvd Calendar'!$L$933)=FALSE,"",IF((Summary!$C$13="N")*('Dvd Calendar'!$L$937='Field Check'!$C$25)&gt;0,"",'Dvd Calendar'!$L$933)))</f>
        <v/>
      </c>
      <c r="DM70" s="85">
        <f>IF(AY70="","",IF(ISNUMBER('Dvd Calendar'!$M$933)=FALSE,"",IF((Summary!$C$13="N")*('Dvd Calendar'!$M$937='Field Check'!$C$25)&gt;0,"",'Dvd Calendar'!$M$933)))</f>
        <v/>
      </c>
      <c r="DN70" s="85">
        <f>IF(AZ70="","",IF(ISNUMBER('Dvd Calendar'!$N$933)=FALSE,"",IF((Summary!$C$13="N")*('Dvd Calendar'!$N$937='Field Check'!$C$25)&gt;0,"",'Dvd Calendar'!$N$933)))</f>
        <v/>
      </c>
      <c r="DO70" s="85">
        <f>IF(BA70="","",IF(ISNUMBER('Dvd Calendar'!$O$933)=FALSE,"",IF((Summary!$C$13="N")*('Dvd Calendar'!$O$937='Field Check'!$C$25)&gt;0,"",'Dvd Calendar'!$O$933)))</f>
        <v/>
      </c>
      <c r="DP70" s="85">
        <f>IF(BB70="","",IF(ISNUMBER('Dvd Calendar'!$P$933)=FALSE,"",IF((Summary!$C$13="N")*('Dvd Calendar'!$P$937='Field Check'!$C$25)&gt;0,"",'Dvd Calendar'!$P$933)))</f>
        <v/>
      </c>
      <c r="DQ70" s="85">
        <f>IF(BC70="","",IF(ISNUMBER('Dvd Calendar'!$Q$933)=FALSE,"",IF((Summary!$C$13="N")*('Dvd Calendar'!$Q$937='Field Check'!$C$25)&gt;0,"",'Dvd Calendar'!$Q$933)))</f>
        <v/>
      </c>
      <c r="DR70" s="85">
        <f>IF(BD70="","",IF(ISNUMBER('Dvd Calendar'!$R$933)=FALSE,"",IF((Summary!$C$13="N")*('Dvd Calendar'!$R$937='Field Check'!$C$25)&gt;0,"",'Dvd Calendar'!$R$933)))</f>
        <v/>
      </c>
      <c r="DS70" s="85">
        <f>IF(BE70="","",IF(ISNUMBER('Dvd Calendar'!$S$933)=FALSE,"",IF((Summary!$C$13="N")*('Dvd Calendar'!$S$937='Field Check'!$C$25)&gt;0,"",'Dvd Calendar'!$S$933)))</f>
        <v/>
      </c>
      <c r="DT70" s="85">
        <f>IF(BF70="","",IF(ISNUMBER('Dvd Calendar'!$T$933)=FALSE,"",IF((Summary!$C$13="N")*('Dvd Calendar'!$T$937='Field Check'!$C$25)&gt;0,"",'Dvd Calendar'!$T$933)))</f>
        <v/>
      </c>
      <c r="DU70" s="85">
        <f>IF(BG70="","",IF(ISNUMBER('Dvd Calendar'!$U$933)=FALSE,"",IF((Summary!$C$13="N")*('Dvd Calendar'!$U$937='Field Check'!$C$25)&gt;0,"",'Dvd Calendar'!$U$933)))</f>
        <v/>
      </c>
      <c r="DV70" s="85">
        <f>IF(BH70="","",IF(ISNUMBER('Dvd Calendar'!$V$933)=FALSE,"",IF((Summary!$C$13="N")*('Dvd Calendar'!$V$937='Field Check'!$C$25)&gt;0,"",'Dvd Calendar'!$V$933)))</f>
        <v/>
      </c>
      <c r="DW70" s="85">
        <f>IF(BI70="","",IF(ISNUMBER('Dvd Calendar'!$W$933)=FALSE,"",IF((Summary!$C$13="N")*('Dvd Calendar'!$W$937='Field Check'!$C$25)&gt;0,"",'Dvd Calendar'!$W$933)))</f>
        <v/>
      </c>
      <c r="DX70" s="85">
        <f>IF(BJ70="","",IF(ISNUMBER('Dvd Calendar'!$X$933)=FALSE,"",IF((Summary!$C$13="N")*('Dvd Calendar'!$X$937='Field Check'!$C$25)&gt;0,"",'Dvd Calendar'!$X$933)))</f>
        <v/>
      </c>
      <c r="DY70" s="85">
        <f>IF(BK70="","",IF(ISNUMBER('Dvd Calendar'!$Y$933)=FALSE,"",IF((Summary!$C$13="N")*('Dvd Calendar'!$Y$937='Field Check'!$C$25)&gt;0,"",'Dvd Calendar'!$Y$933)))</f>
        <v/>
      </c>
      <c r="DZ70" s="85">
        <f>IF(BL70="","",IF(ISNUMBER('Dvd Calendar'!$Z$933)=FALSE,"",IF((Summary!$C$13="N")*('Dvd Calendar'!$Z$937='Field Check'!$C$25)&gt;0,"",'Dvd Calendar'!$Z$933)))</f>
        <v/>
      </c>
      <c r="EA70" s="85">
        <f>IF(BM70="","",IF(ISNUMBER('Dvd Calendar'!$AA$933)=FALSE,"",IF((Summary!$C$13="N")*('Dvd Calendar'!$AA$937='Field Check'!$C$25)&gt;0,"",'Dvd Calendar'!$AA$933)))</f>
        <v/>
      </c>
      <c r="EB70" s="85">
        <f>IF(BN70="","",IF(ISNUMBER('Dvd Calendar'!$AB$933)=FALSE,"",IF((Summary!$C$13="N")*('Dvd Calendar'!$AB$937='Field Check'!$C$25)&gt;0,"",'Dvd Calendar'!$AB$933)))</f>
        <v/>
      </c>
      <c r="EC70" s="85">
        <f>IF(BO70="","",IF(ISNUMBER('Dvd Calendar'!$AC$933)=FALSE,"",IF((Summary!$C$13="N")*('Dvd Calendar'!$AC$937='Field Check'!$C$25)&gt;0,"",'Dvd Calendar'!$AC$933)))</f>
        <v/>
      </c>
      <c r="EE70" s="85">
        <f>IF(BQ70="","",IFERROR(BQ70*HSI!$B$68*HSI!$G$68/HSI!$B$3,""))</f>
        <v/>
      </c>
      <c r="EF70" s="85">
        <f>IF(BR70="","",IFERROR(BR70*HSI!$B$68*HSI!$G$68/HSI!$B$3,""))</f>
        <v/>
      </c>
      <c r="EG70" s="85">
        <f>IF(BS70="","",IFERROR(BS70*HSI!$B$68*HSI!$G$68/HSI!$B$3,""))</f>
        <v/>
      </c>
      <c r="EH70" s="85">
        <f>IF(BT70="","",IFERROR(BT70*HSI!$B$68*HSI!$G$68/HSI!$B$3,""))</f>
        <v/>
      </c>
      <c r="EI70" s="85">
        <f>IF(BU70="","",IFERROR(BU70*HSI!$B$68*HSI!$G$68/HSI!$B$3,""))</f>
        <v/>
      </c>
      <c r="EJ70" s="85">
        <f>IF(BV70="","",IFERROR(BV70*HSI!$B$68*HSI!$G$68/HSI!$B$3,""))</f>
        <v/>
      </c>
      <c r="EK70" s="85">
        <f>IF(BW70="","",IFERROR(BW70*HSI!$B$68*HSI!$G$68/HSI!$B$3,""))</f>
        <v/>
      </c>
      <c r="EL70" s="85">
        <f>IF(BX70="","",IFERROR(BX70*HSI!$B$68*HSI!$G$68/HSI!$B$3,""))</f>
        <v/>
      </c>
      <c r="EM70" s="85">
        <f>IF(BY70="","",IFERROR(BY70*HSI!$B$68*HSI!$G$68/HSI!$B$3,""))</f>
        <v/>
      </c>
      <c r="EN70" s="85">
        <f>IF(BZ70="","",IFERROR(BZ70*HSI!$B$68*HSI!$G$68/HSI!$B$3,""))</f>
        <v/>
      </c>
      <c r="EO70" s="85">
        <f>IF(CA70="","",IFERROR(CA70*HSI!$B$68*HSI!$G$68/HSI!$B$3,""))</f>
        <v/>
      </c>
      <c r="EP70" s="85">
        <f>IF(CB70="","",IFERROR(CB70*HSI!$B$68*HSI!$G$68/HSI!$B$3,""))</f>
        <v/>
      </c>
      <c r="EQ70" s="85">
        <f>IF(CC70="","",IFERROR(CC70*HSI!$B$68*HSI!$G$68/HSI!$B$3,""))</f>
        <v/>
      </c>
      <c r="ER70" s="85">
        <f>IF(CD70="","",IFERROR(CD70*HSI!$B$68*HSI!$G$68/HSI!$B$3,""))</f>
        <v/>
      </c>
      <c r="ES70" s="85">
        <f>IF(CE70="","",IFERROR(CE70*HSI!$B$68*HSI!$G$68/HSI!$B$3,""))</f>
        <v/>
      </c>
      <c r="ET70" s="85">
        <f>IF(CF70="","",IFERROR(CF70*HSI!$B$68*HSI!$G$68/HSI!$B$3,""))</f>
        <v/>
      </c>
      <c r="EU70" s="85">
        <f>IF(CG70="","",IFERROR(CG70*HSI!$B$68*HSI!$G$68/HSI!$B$3,""))</f>
        <v/>
      </c>
      <c r="EV70" s="85">
        <f>IF(CH70="","",IFERROR(CH70*HSI!$B$68*HSI!$G$68/HSI!$B$3,""))</f>
        <v/>
      </c>
      <c r="EW70" s="85">
        <f>IF(CI70="","",IFERROR(CI70*HSI!$B$68*HSI!$G$68/HSI!$B$3,""))</f>
        <v/>
      </c>
      <c r="EX70" s="85">
        <f>IF(CJ70="","",IFERROR(CJ70*HSI!$B$68*HSI!$G$68/HSI!$B$3,""))</f>
        <v/>
      </c>
      <c r="EY70" s="85">
        <f>IF(CK70="","",IFERROR(CK70*HSI!$B$68*HSI!$G$68/HSI!$B$3,""))</f>
        <v/>
      </c>
      <c r="EZ70" s="85">
        <f>IF(CL70="","",IFERROR(CL70*HSI!$B$68*HSI!$G$68/HSI!$B$3,""))</f>
        <v/>
      </c>
      <c r="FA70" s="85">
        <f>IF(CM70="","",IFERROR(CM70*HSI!$B$68*HSI!$G$68/HSI!$B$3,""))</f>
        <v/>
      </c>
      <c r="FB70" s="85">
        <f>IF(CN70="","",IFERROR(CN70*HSI!$B$68*HSI!$G$68/HSI!$B$3,""))</f>
        <v/>
      </c>
      <c r="FC70" s="85">
        <f>IF(CO70="","",IFERROR(CO70*HSI!$B$68*HSI!$G$68/HSI!$B$3,""))</f>
        <v/>
      </c>
      <c r="FD70" s="85">
        <f>IF(CP70="","",IFERROR(CP70*HSI!$B$68*HSI!$G$68/HSI!$B$3,""))</f>
        <v/>
      </c>
      <c r="FE70" s="85">
        <f>IF(CQ70="","",IFERROR(CQ70*HSI!$B$68*HSI!$G$68/HSI!$B$3,""))</f>
        <v/>
      </c>
      <c r="FF70" s="85">
        <f>IF(CR70="","",IFERROR(CR70*HSI!$B$68*HSI!$G$68/HSI!$B$3,""))</f>
        <v/>
      </c>
      <c r="FG70" s="85">
        <f>IF(CS70="","",IFERROR(CS70*HSI!$B$68*HSI!$G$68/HSI!$B$3,""))</f>
        <v/>
      </c>
      <c r="FH70" s="85">
        <f>IF(CT70="","",IFERROR(CT70*HSI!$B$68*HSI!$G$68/HSI!$B$3,""))</f>
        <v/>
      </c>
      <c r="FI70" s="85">
        <f>IF(CU70="","",IFERROR(CU70*HSI!$B$68*HSI!$G$68/HSI!$B$3,""))</f>
        <v/>
      </c>
      <c r="FJ70" s="85">
        <f>IF(CV70="","",IFERROR(CV70*HSI!$B$68*HSI!$G$68/HSI!$B$3,""))</f>
        <v/>
      </c>
      <c r="FK70" s="85">
        <f>IF(CW70="","",IFERROR(CW70*HSI!$B$68*HSI!$G$68/HSI!$B$3,""))</f>
        <v/>
      </c>
      <c r="FL70" s="85">
        <f>IF(CX70="","",IFERROR(CX70*HSI!$B$68*HSI!$G$68/HSI!$B$3,""))</f>
        <v/>
      </c>
      <c r="FM70" s="85">
        <f>IF(CY70="","",IFERROR(CY70*HSI!$B$68*HSI!$G$68/HSI!$B$3,""))</f>
        <v/>
      </c>
      <c r="FN70" s="85">
        <f>IF(CZ70="","",IFERROR(CZ70*HSI!$B$68*HSI!$G$68/HSI!$B$3,""))</f>
        <v/>
      </c>
      <c r="FO70" s="85">
        <f>IF(DA70="","",IFERROR(DA70*HSI!$B$68*HSI!$G$68/HSI!$B$3,""))</f>
        <v/>
      </c>
      <c r="FP70" s="85">
        <f>IF(DB70="","",IFERROR(DB70*HSI!$B$68*HSI!$G$68/HSI!$B$3,""))</f>
        <v/>
      </c>
      <c r="FQ70" s="85">
        <f>IF(DC70="","",IFERROR(DC70*HSI!$B$68*HSI!$G$68/HSI!$B$3,""))</f>
        <v/>
      </c>
      <c r="FR70" s="85">
        <f>IF(DD70="","",IFERROR(DD70*HSI!$B$68*HSI!$G$68/HSI!$B$3,""))</f>
        <v/>
      </c>
      <c r="FS70" s="85">
        <f>IF(DE70="","",IFERROR(DE70*HSI!$B$68*HSI!$G$68/HSI!$B$3,""))</f>
        <v/>
      </c>
      <c r="FT70" s="85">
        <f>IF(DF70="","",IFERROR(DF70*HSI!$B$68*HSI!$G$68/HSI!$B$3,""))</f>
        <v/>
      </c>
      <c r="FU70" s="85">
        <f>IF(DG70="","",IFERROR(DG70*HSI!$B$68*HSI!$G$68/HSI!$B$3,""))</f>
        <v/>
      </c>
      <c r="FV70" s="85">
        <f>IF(DH70="","",IFERROR(DH70*HSI!$B$68*HSI!$G$68/HSI!$B$3,""))</f>
        <v/>
      </c>
      <c r="FW70" s="85">
        <f>IF(DI70="","",IFERROR(DI70*HSI!$B$68*HSI!$G$68/HSI!$B$3,""))</f>
        <v/>
      </c>
      <c r="FX70" s="85">
        <f>IF(DJ70="","",IFERROR(DJ70*HSI!$B$68*HSI!$G$68/HSI!$B$3,""))</f>
        <v/>
      </c>
      <c r="FY70" s="85">
        <f>IF(DK70="","",IFERROR(DK70*HSI!$B$68*HSI!$G$68/HSI!$B$3,""))</f>
        <v/>
      </c>
      <c r="FZ70" s="85">
        <f>IF(DL70="","",IFERROR(DL70*HSI!$B$68*HSI!$G$68/HSI!$B$3,""))</f>
        <v/>
      </c>
      <c r="GA70" s="85">
        <f>IF(DM70="","",IFERROR(DM70*HSI!$B$68*HSI!$G$68/HSI!$B$3,""))</f>
        <v/>
      </c>
      <c r="GB70" s="85">
        <f>IF(DN70="","",IFERROR(DN70*HSI!$B$68*HSI!$G$68/HSI!$B$3,""))</f>
        <v/>
      </c>
      <c r="GC70" s="85">
        <f>IF(DO70="","",IFERROR(DO70*HSI!$B$68*HSI!$G$68/HSI!$B$3,""))</f>
        <v/>
      </c>
      <c r="GD70" s="85">
        <f>IF(DP70="","",IFERROR(DP70*HSI!$B$68*HSI!$G$68/HSI!$B$3,""))</f>
        <v/>
      </c>
      <c r="GE70" s="85">
        <f>IF(DQ70="","",IFERROR(DQ70*HSI!$B$68*HSI!$G$68/HSI!$B$3,""))</f>
        <v/>
      </c>
      <c r="GF70" s="85">
        <f>IF(DR70="","",IFERROR(DR70*HSI!$B$68*HSI!$G$68/HSI!$B$3,""))</f>
        <v/>
      </c>
      <c r="GG70" s="85">
        <f>IF(DS70="","",IFERROR(DS70*HSI!$B$68*HSI!$G$68/HSI!$B$3,""))</f>
        <v/>
      </c>
      <c r="GH70" s="85">
        <f>IF(DT70="","",IFERROR(DT70*HSI!$B$68*HSI!$G$68/HSI!$B$3,""))</f>
        <v/>
      </c>
      <c r="GI70" s="85">
        <f>IF(DU70="","",IFERROR(DU70*HSI!$B$68*HSI!$G$68/HSI!$B$3,""))</f>
        <v/>
      </c>
      <c r="GJ70" s="85">
        <f>IF(DV70="","",IFERROR(DV70*HSI!$B$68*HSI!$G$68/HSI!$B$3,""))</f>
        <v/>
      </c>
      <c r="GK70" s="85">
        <f>IF(DW70="","",IFERROR(DW70*HSI!$B$68*HSI!$G$68/HSI!$B$3,""))</f>
        <v/>
      </c>
      <c r="GL70" s="85">
        <f>IF(DX70="","",IFERROR(DX70*HSI!$B$68*HSI!$G$68/HSI!$B$3,""))</f>
        <v/>
      </c>
      <c r="GM70" s="85">
        <f>IF(DY70="","",IFERROR(DY70*HSI!$B$68*HSI!$G$68/HSI!$B$3,""))</f>
        <v/>
      </c>
      <c r="GN70" s="85">
        <f>IF(DZ70="","",IFERROR(DZ70*HSI!$B$68*HSI!$G$68/HSI!$B$3,""))</f>
        <v/>
      </c>
      <c r="GO70" s="85">
        <f>IF(EA70="","",IFERROR(EA70*HSI!$B$68*HSI!$G$68/HSI!$B$3,""))</f>
        <v/>
      </c>
      <c r="GP70" s="85">
        <f>IF(EB70="","",IFERROR(EB70*HSI!$B$68*HSI!$G$68/HSI!$B$3,""))</f>
        <v/>
      </c>
      <c r="GQ70" s="85">
        <f>IF(EC70="","",IFERROR(EC70*HSI!$B$68*HSI!$G$68/HSI!$B$3,""))</f>
        <v/>
      </c>
    </row>
    <row r="71">
      <c r="B71" s="2">
        <f>IF(HSI!$C$69="","",HSI!$C$69)</f>
        <v/>
      </c>
      <c r="C71" s="41">
        <f>IF(N('Dvd Calendar'!$E$940)=0,"",IF(('Dvd Calendar'!$E$940&gt;=MIN(DATE(Summary!$C$12,1,1),Summary!$C$11))*('Dvd Calendar'!$E$940&lt;=MAX(DATE(Summary!$C$12,12,31),Summary!$C$15))*('Dvd Calendar'!$E$940&lt;=Summary!$C$11)=0,"",'Dvd Calendar'!$E$940*1000000000+ISNUMBER('Dvd Calendar'!$E$941)*100000000+('Dvd Calendar'!$E$945='Field Check'!$C$25)*10000000+(N('Dvd Calendar'!$E$939)&gt;0)*1000000+63*1000+1))</f>
        <v/>
      </c>
      <c r="D71" s="41">
        <f>IF(N('Dvd Calendar'!$F$940)=0,"",IF(('Dvd Calendar'!$F$940&gt;=MIN(DATE(Summary!$C$12,1,1),Summary!$C$11))*('Dvd Calendar'!$F$940&lt;=MAX(DATE(Summary!$C$12,12,31),Summary!$C$15))*('Dvd Calendar'!$F$940&lt;=Summary!$C$11)=0,"",'Dvd Calendar'!$F$940*1000000000+ISNUMBER('Dvd Calendar'!$F$941)*100000000+('Dvd Calendar'!$F$945='Field Check'!$C$25)*10000000+(N('Dvd Calendar'!$F$939)&gt;0)*1000000+63*1000+2))</f>
        <v/>
      </c>
      <c r="E71" s="41">
        <f>IF(N('Dvd Calendar'!$G$940)=0,"",IF(('Dvd Calendar'!$G$940&gt;=MIN(DATE(Summary!$C$12,1,1),Summary!$C$11))*('Dvd Calendar'!$G$940&lt;=MAX(DATE(Summary!$C$12,12,31),Summary!$C$15))*('Dvd Calendar'!$G$940&lt;=Summary!$C$11)=0,"",'Dvd Calendar'!$G$940*1000000000+ISNUMBER('Dvd Calendar'!$G$941)*100000000+('Dvd Calendar'!$G$945='Field Check'!$C$25)*10000000+(N('Dvd Calendar'!$G$939)&gt;0)*1000000+63*1000+3))</f>
        <v/>
      </c>
      <c r="F71" s="41">
        <f>IF(N('Dvd Calendar'!$H$940)=0,"",IF(('Dvd Calendar'!$H$940&gt;=MIN(DATE(Summary!$C$12,1,1),Summary!$C$11))*('Dvd Calendar'!$H$940&lt;=MAX(DATE(Summary!$C$12,12,31),Summary!$C$15))*('Dvd Calendar'!$H$940&lt;=Summary!$C$11)=0,"",'Dvd Calendar'!$H$940*1000000000+ISNUMBER('Dvd Calendar'!$H$941)*100000000+('Dvd Calendar'!$H$945='Field Check'!$C$25)*10000000+(N('Dvd Calendar'!$H$939)&gt;0)*1000000+63*1000+4))</f>
        <v/>
      </c>
      <c r="G71" s="41">
        <f>IF(N('Dvd Calendar'!$I$940)=0,"",IF(('Dvd Calendar'!$I$940&gt;=MIN(DATE(Summary!$C$12,1,1),Summary!$C$11))*('Dvd Calendar'!$I$940&lt;=MAX(DATE(Summary!$C$12,12,31),Summary!$C$15))*('Dvd Calendar'!$I$940&lt;=Summary!$C$11)=0,"",'Dvd Calendar'!$I$940*1000000000+ISNUMBER('Dvd Calendar'!$I$941)*100000000+('Dvd Calendar'!$I$945='Field Check'!$C$25)*10000000+(N('Dvd Calendar'!$I$939)&gt;0)*1000000+63*1000+5))</f>
        <v/>
      </c>
      <c r="H71" s="41">
        <f>IF(N('Dvd Calendar'!$J$940)=0,"",IF(('Dvd Calendar'!$J$940&gt;=MIN(DATE(Summary!$C$12,1,1),Summary!$C$11))*('Dvd Calendar'!$J$940&lt;=MAX(DATE(Summary!$C$12,12,31),Summary!$C$15))*('Dvd Calendar'!$J$940&lt;=Summary!$C$11)=0,"",'Dvd Calendar'!$J$940*1000000000+ISNUMBER('Dvd Calendar'!$J$941)*100000000+('Dvd Calendar'!$J$945='Field Check'!$C$25)*10000000+(N('Dvd Calendar'!$J$939)&gt;0)*1000000+63*1000+6))</f>
        <v/>
      </c>
      <c r="I71" s="41">
        <f>IF(N('Dvd Calendar'!$K$940)=0,"",IF(('Dvd Calendar'!$K$940&gt;=MIN(DATE(Summary!$C$12,1,1),Summary!$C$11))*('Dvd Calendar'!$K$940&lt;=MAX(DATE(Summary!$C$12,12,31),Summary!$C$15))*('Dvd Calendar'!$K$940&lt;=Summary!$C$11)=0,"",'Dvd Calendar'!$K$940*1000000000+ISNUMBER('Dvd Calendar'!$K$941)*100000000+('Dvd Calendar'!$K$945='Field Check'!$C$25)*10000000+(N('Dvd Calendar'!$K$939)&gt;0)*1000000+63*1000+7))</f>
        <v/>
      </c>
      <c r="J71" s="41">
        <f>IF(N('Dvd Calendar'!$L$940)=0,"",IF(('Dvd Calendar'!$L$940&gt;=MIN(DATE(Summary!$C$12,1,1),Summary!$C$11))*('Dvd Calendar'!$L$940&lt;=MAX(DATE(Summary!$C$12,12,31),Summary!$C$15))*('Dvd Calendar'!$L$940&lt;=Summary!$C$11)=0,"",'Dvd Calendar'!$L$940*1000000000+ISNUMBER('Dvd Calendar'!$L$941)*100000000+('Dvd Calendar'!$L$945='Field Check'!$C$25)*10000000+(N('Dvd Calendar'!$L$939)&gt;0)*1000000+63*1000+8))</f>
        <v/>
      </c>
      <c r="K71" s="41">
        <f>IF(N('Dvd Calendar'!$M$940)=0,"",IF(('Dvd Calendar'!$M$940&gt;=MIN(DATE(Summary!$C$12,1,1),Summary!$C$11))*('Dvd Calendar'!$M$940&lt;=MAX(DATE(Summary!$C$12,12,31),Summary!$C$15))*('Dvd Calendar'!$M$940&lt;=Summary!$C$11)=0,"",'Dvd Calendar'!$M$940*1000000000+ISNUMBER('Dvd Calendar'!$M$941)*100000000+('Dvd Calendar'!$M$945='Field Check'!$C$25)*10000000+(N('Dvd Calendar'!$M$939)&gt;0)*1000000+63*1000+9))</f>
        <v/>
      </c>
      <c r="L71" s="41">
        <f>IF(N('Dvd Calendar'!$N$940)=0,"",IF(('Dvd Calendar'!$N$940&gt;=MIN(DATE(Summary!$C$12,1,1),Summary!$C$11))*('Dvd Calendar'!$N$940&lt;=MAX(DATE(Summary!$C$12,12,31),Summary!$C$15))*('Dvd Calendar'!$N$940&lt;=Summary!$C$11)=0,"",'Dvd Calendar'!$N$940*1000000000+ISNUMBER('Dvd Calendar'!$N$941)*100000000+('Dvd Calendar'!$N$945='Field Check'!$C$25)*10000000+(N('Dvd Calendar'!$N$939)&gt;0)*1000000+63*1000+10))</f>
        <v/>
      </c>
      <c r="M71" s="41">
        <f>IF(N('Dvd Calendar'!$O$940)=0,"",IF(('Dvd Calendar'!$O$940&gt;=MIN(DATE(Summary!$C$12,1,1),Summary!$C$11))*('Dvd Calendar'!$O$940&lt;=MAX(DATE(Summary!$C$12,12,31),Summary!$C$15))*('Dvd Calendar'!$O$940&lt;=Summary!$C$11)=0,"",'Dvd Calendar'!$O$940*1000000000+ISNUMBER('Dvd Calendar'!$O$941)*100000000+('Dvd Calendar'!$O$945='Field Check'!$C$25)*10000000+(N('Dvd Calendar'!$O$939)&gt;0)*1000000+63*1000+11))</f>
        <v/>
      </c>
      <c r="N71" s="41">
        <f>IF(N('Dvd Calendar'!$P$940)=0,"",IF(('Dvd Calendar'!$P$940&gt;=MIN(DATE(Summary!$C$12,1,1),Summary!$C$11))*('Dvd Calendar'!$P$940&lt;=MAX(DATE(Summary!$C$12,12,31),Summary!$C$15))*('Dvd Calendar'!$P$940&lt;=Summary!$C$11)=0,"",'Dvd Calendar'!$P$940*1000000000+ISNUMBER('Dvd Calendar'!$P$941)*100000000+('Dvd Calendar'!$P$945='Field Check'!$C$25)*10000000+(N('Dvd Calendar'!$P$939)&gt;0)*1000000+63*1000+12))</f>
        <v/>
      </c>
      <c r="O71" s="41">
        <f>IF(N('Dvd Calendar'!$Q$940)=0,"",IF(('Dvd Calendar'!$Q$940&gt;=MIN(DATE(Summary!$C$12,1,1),Summary!$C$11))*('Dvd Calendar'!$Q$940&lt;=MAX(DATE(Summary!$C$12,12,31),Summary!$C$15))*('Dvd Calendar'!$Q$940&lt;=Summary!$C$11)=0,"",'Dvd Calendar'!$Q$940*1000000000+ISNUMBER('Dvd Calendar'!$Q$941)*100000000+('Dvd Calendar'!$Q$945='Field Check'!$C$25)*10000000+(N('Dvd Calendar'!$Q$939)&gt;0)*1000000+63*1000+13))</f>
        <v/>
      </c>
      <c r="P71" s="41">
        <f>IF(N('Dvd Calendar'!$R$940)=0,"",IF(('Dvd Calendar'!$R$940&gt;=MIN(DATE(Summary!$C$12,1,1),Summary!$C$11))*('Dvd Calendar'!$R$940&lt;=MAX(DATE(Summary!$C$12,12,31),Summary!$C$15))*('Dvd Calendar'!$R$940&lt;=Summary!$C$11)=0,"",'Dvd Calendar'!$R$940*1000000000+ISNUMBER('Dvd Calendar'!$R$941)*100000000+('Dvd Calendar'!$R$945='Field Check'!$C$25)*10000000+(N('Dvd Calendar'!$R$939)&gt;0)*1000000+63*1000+14))</f>
        <v/>
      </c>
      <c r="Q71" s="41">
        <f>IF(N('Dvd Calendar'!$S$940)=0,"",IF(('Dvd Calendar'!$S$940&gt;=MIN(DATE(Summary!$C$12,1,1),Summary!$C$11))*('Dvd Calendar'!$S$940&lt;=MAX(DATE(Summary!$C$12,12,31),Summary!$C$15))*('Dvd Calendar'!$S$940&lt;=Summary!$C$11)=0,"",'Dvd Calendar'!$S$940*1000000000+ISNUMBER('Dvd Calendar'!$S$941)*100000000+('Dvd Calendar'!$S$945='Field Check'!$C$25)*10000000+(N('Dvd Calendar'!$S$939)&gt;0)*1000000+63*1000+15))</f>
        <v/>
      </c>
      <c r="R71" s="41">
        <f>IF(N('Dvd Calendar'!$T$940)=0,"",IF(('Dvd Calendar'!$T$940&gt;=MIN(DATE(Summary!$C$12,1,1),Summary!$C$11))*('Dvd Calendar'!$T$940&lt;=MAX(DATE(Summary!$C$12,12,31),Summary!$C$15))*('Dvd Calendar'!$T$940&lt;=Summary!$C$11)=0,"",'Dvd Calendar'!$T$940*1000000000+ISNUMBER('Dvd Calendar'!$T$941)*100000000+('Dvd Calendar'!$T$945='Field Check'!$C$25)*10000000+(N('Dvd Calendar'!$T$939)&gt;0)*1000000+63*1000+16))</f>
        <v/>
      </c>
      <c r="S71" s="41">
        <f>IF(N('Dvd Calendar'!$U$940)=0,"",IF(('Dvd Calendar'!$U$940&gt;=MIN(DATE(Summary!$C$12,1,1),Summary!$C$11))*('Dvd Calendar'!$U$940&lt;=MAX(DATE(Summary!$C$12,12,31),Summary!$C$15))*('Dvd Calendar'!$U$940&lt;=Summary!$C$11)=0,"",'Dvd Calendar'!$U$940*1000000000+ISNUMBER('Dvd Calendar'!$U$941)*100000000+('Dvd Calendar'!$U$945='Field Check'!$C$25)*10000000+(N('Dvd Calendar'!$U$939)&gt;0)*1000000+63*1000+17))</f>
        <v/>
      </c>
      <c r="T71" s="41">
        <f>IF(N('Dvd Calendar'!$V$940)=0,"",IF(('Dvd Calendar'!$V$940&gt;=MIN(DATE(Summary!$C$12,1,1),Summary!$C$11))*('Dvd Calendar'!$V$940&lt;=MAX(DATE(Summary!$C$12,12,31),Summary!$C$15))*('Dvd Calendar'!$V$940&lt;=Summary!$C$11)=0,"",'Dvd Calendar'!$V$940*1000000000+ISNUMBER('Dvd Calendar'!$V$941)*100000000+('Dvd Calendar'!$V$945='Field Check'!$C$25)*10000000+(N('Dvd Calendar'!$V$939)&gt;0)*1000000+63*1000+18))</f>
        <v/>
      </c>
      <c r="U71" s="41">
        <f>IF(N('Dvd Calendar'!$W$940)=0,"",IF(('Dvd Calendar'!$W$940&gt;=MIN(DATE(Summary!$C$12,1,1),Summary!$C$11))*('Dvd Calendar'!$W$940&lt;=MAX(DATE(Summary!$C$12,12,31),Summary!$C$15))*('Dvd Calendar'!$W$940&lt;=Summary!$C$11)=0,"",'Dvd Calendar'!$W$940*1000000000+ISNUMBER('Dvd Calendar'!$W$941)*100000000+('Dvd Calendar'!$W$945='Field Check'!$C$25)*10000000+(N('Dvd Calendar'!$W$939)&gt;0)*1000000+63*1000+19))</f>
        <v/>
      </c>
      <c r="V71" s="41">
        <f>IF(N('Dvd Calendar'!$X$940)=0,"",IF(('Dvd Calendar'!$X$940&gt;=MIN(DATE(Summary!$C$12,1,1),Summary!$C$11))*('Dvd Calendar'!$X$940&lt;=MAX(DATE(Summary!$C$12,12,31),Summary!$C$15))*('Dvd Calendar'!$X$940&lt;=Summary!$C$11)=0,"",'Dvd Calendar'!$X$940*1000000000+ISNUMBER('Dvd Calendar'!$X$941)*100000000+('Dvd Calendar'!$X$945='Field Check'!$C$25)*10000000+(N('Dvd Calendar'!$X$939)&gt;0)*1000000+63*1000+20))</f>
        <v/>
      </c>
      <c r="W71" s="41">
        <f>IF(N('Dvd Calendar'!$Y$940)=0,"",IF(('Dvd Calendar'!$Y$940&gt;=MIN(DATE(Summary!$C$12,1,1),Summary!$C$11))*('Dvd Calendar'!$Y$940&lt;=MAX(DATE(Summary!$C$12,12,31),Summary!$C$15))*('Dvd Calendar'!$Y$940&lt;=Summary!$C$11)=0,"",'Dvd Calendar'!$Y$940*1000000000+ISNUMBER('Dvd Calendar'!$Y$941)*100000000+('Dvd Calendar'!$Y$945='Field Check'!$C$25)*10000000+(N('Dvd Calendar'!$Y$939)&gt;0)*1000000+63*1000+21))</f>
        <v/>
      </c>
      <c r="X71" s="41">
        <f>IF(N('Dvd Calendar'!$Z$940)=0,"",IF(('Dvd Calendar'!$Z$940&gt;=MIN(DATE(Summary!$C$12,1,1),Summary!$C$11))*('Dvd Calendar'!$Z$940&lt;=MAX(DATE(Summary!$C$12,12,31),Summary!$C$15))*('Dvd Calendar'!$Z$940&lt;=Summary!$C$11)=0,"",'Dvd Calendar'!$Z$940*1000000000+ISNUMBER('Dvd Calendar'!$Z$941)*100000000+('Dvd Calendar'!$Z$945='Field Check'!$C$25)*10000000+(N('Dvd Calendar'!$Z$939)&gt;0)*1000000+63*1000+22))</f>
        <v/>
      </c>
      <c r="Y71" s="41">
        <f>IF(N('Dvd Calendar'!$AA$940)=0,"",IF(('Dvd Calendar'!$AA$940&gt;=MIN(DATE(Summary!$C$12,1,1),Summary!$C$11))*('Dvd Calendar'!$AA$940&lt;=MAX(DATE(Summary!$C$12,12,31),Summary!$C$15))*('Dvd Calendar'!$AA$940&lt;=Summary!$C$11)=0,"",'Dvd Calendar'!$AA$940*1000000000+ISNUMBER('Dvd Calendar'!$AA$941)*100000000+('Dvd Calendar'!$AA$945='Field Check'!$C$25)*10000000+(N('Dvd Calendar'!$AA$939)&gt;0)*1000000+63*1000+23))</f>
        <v/>
      </c>
      <c r="Z71" s="41">
        <f>IF(N('Dvd Calendar'!$AB$940)=0,"",IF(('Dvd Calendar'!$AB$940&gt;=MIN(DATE(Summary!$C$12,1,1),Summary!$C$11))*('Dvd Calendar'!$AB$940&lt;=MAX(DATE(Summary!$C$12,12,31),Summary!$C$15))*('Dvd Calendar'!$AB$940&lt;=Summary!$C$11)=0,"",'Dvd Calendar'!$AB$940*1000000000+ISNUMBER('Dvd Calendar'!$AB$941)*100000000+('Dvd Calendar'!$AB$945='Field Check'!$C$25)*10000000+(N('Dvd Calendar'!$AB$939)&gt;0)*1000000+63*1000+24))</f>
        <v/>
      </c>
      <c r="AA71" s="41">
        <f>IF(N('Dvd Calendar'!$AC$940)=0,"",IF(('Dvd Calendar'!$AC$940&gt;=MIN(DATE(Summary!$C$12,1,1),Summary!$C$11))*('Dvd Calendar'!$AC$940&lt;=MAX(DATE(Summary!$C$12,12,31),Summary!$C$15))*('Dvd Calendar'!$AC$940&lt;=Summary!$C$11)=0,"",'Dvd Calendar'!$AC$940*1000000000+ISNUMBER('Dvd Calendar'!$AC$941)*100000000+('Dvd Calendar'!$AC$945='Field Check'!$C$25)*10000000+(N('Dvd Calendar'!$AC$939)&gt;0)*1000000+63*1000+25))</f>
        <v/>
      </c>
      <c r="AB71" s="41">
        <f>IF(N('Dvd Calendar'!$AD$940)=0,"",IF(('Dvd Calendar'!$AD$940&gt;=MIN(DATE(Summary!$C$12,1,1),Summary!$C$11))*('Dvd Calendar'!$AD$940&lt;=MAX(DATE(Summary!$C$12,12,31),Summary!$C$15))*('Dvd Calendar'!$AD$940&lt;=Summary!$C$11)=0,"",'Dvd Calendar'!$AD$940*1000000000+ISNUMBER('Dvd Calendar'!$AD$941)*100000000+('Dvd Calendar'!$AD$945='Field Check'!$C$25)*10000000+(N('Dvd Calendar'!$AD$939)&gt;0)*1000000+63*1000+26))</f>
        <v/>
      </c>
      <c r="AC71" s="41">
        <f>IF(N('Dvd Calendar'!$AE$940)=0,"",IF(('Dvd Calendar'!$AE$940&gt;=MIN(DATE(Summary!$C$12,1,1),Summary!$C$11))*('Dvd Calendar'!$AE$940&lt;=MAX(DATE(Summary!$C$12,12,31),Summary!$C$15))*('Dvd Calendar'!$AE$940&lt;=Summary!$C$11)=0,"",'Dvd Calendar'!$AE$940*1000000000+ISNUMBER('Dvd Calendar'!$AE$941)*100000000+('Dvd Calendar'!$AE$945='Field Check'!$C$25)*10000000+(N('Dvd Calendar'!$AE$939)&gt;0)*1000000+63*1000+27))</f>
        <v/>
      </c>
      <c r="AD71" s="41">
        <f>IF(N('Dvd Calendar'!$AF$940)=0,"",IF(('Dvd Calendar'!$AF$940&gt;=MIN(DATE(Summary!$C$12,1,1),Summary!$C$11))*('Dvd Calendar'!$AF$940&lt;=MAX(DATE(Summary!$C$12,12,31),Summary!$C$15))*('Dvd Calendar'!$AF$940&lt;=Summary!$C$11)=0,"",'Dvd Calendar'!$AF$940*1000000000+ISNUMBER('Dvd Calendar'!$AF$941)*100000000+('Dvd Calendar'!$AF$945='Field Check'!$C$25)*10000000+(N('Dvd Calendar'!$AF$939)&gt;0)*1000000+63*1000+28))</f>
        <v/>
      </c>
      <c r="AE71" s="41">
        <f>IF(N('Dvd Calendar'!$AG$940)=0,"",IF(('Dvd Calendar'!$AG$940&gt;=MIN(DATE(Summary!$C$12,1,1),Summary!$C$11))*('Dvd Calendar'!$AG$940&lt;=MAX(DATE(Summary!$C$12,12,31),Summary!$C$15))*('Dvd Calendar'!$AG$940&lt;=Summary!$C$11)=0,"",'Dvd Calendar'!$AG$940*1000000000+ISNUMBER('Dvd Calendar'!$AG$941)*100000000+('Dvd Calendar'!$AG$945='Field Check'!$C$25)*10000000+(N('Dvd Calendar'!$AG$939)&gt;0)*1000000+63*1000+29))</f>
        <v/>
      </c>
      <c r="AF71" s="41">
        <f>IF(N('Dvd Calendar'!$AH$940)=0,"",IF(('Dvd Calendar'!$AH$940&gt;=MIN(DATE(Summary!$C$12,1,1),Summary!$C$11))*('Dvd Calendar'!$AH$940&lt;=MAX(DATE(Summary!$C$12,12,31),Summary!$C$15))*('Dvd Calendar'!$AH$940&lt;=Summary!$C$11)=0,"",'Dvd Calendar'!$AH$940*1000000000+ISNUMBER('Dvd Calendar'!$AH$941)*100000000+('Dvd Calendar'!$AH$945='Field Check'!$C$25)*10000000+(N('Dvd Calendar'!$AH$939)&gt;0)*1000000+63*1000+30))</f>
        <v/>
      </c>
      <c r="AG71" s="41">
        <f>IF(N('Dvd Calendar'!$AI$940)=0,"",IF(('Dvd Calendar'!$AI$940&gt;=MIN(DATE(Summary!$C$12,1,1),Summary!$C$11))*('Dvd Calendar'!$AI$940&lt;=MAX(DATE(Summary!$C$12,12,31),Summary!$C$15))*('Dvd Calendar'!$AI$940&lt;=Summary!$C$11)=0,"",'Dvd Calendar'!$AI$940*1000000000+ISNUMBER('Dvd Calendar'!$AI$941)*100000000+('Dvd Calendar'!$AI$945='Field Check'!$C$25)*10000000+(N('Dvd Calendar'!$AI$939)&gt;0)*1000000+63*1000+31))</f>
        <v/>
      </c>
      <c r="AH71" s="41">
        <f>IF(N('Dvd Calendar'!$AJ$940)=0,"",IF(('Dvd Calendar'!$AJ$940&gt;=MIN(DATE(Summary!$C$12,1,1),Summary!$C$11))*('Dvd Calendar'!$AJ$940&lt;=MAX(DATE(Summary!$C$12,12,31),Summary!$C$15))*('Dvd Calendar'!$AJ$940&lt;=Summary!$C$11)=0,"",'Dvd Calendar'!$AJ$940*1000000000+ISNUMBER('Dvd Calendar'!$AJ$941)*100000000+('Dvd Calendar'!$AJ$945='Field Check'!$C$25)*10000000+(N('Dvd Calendar'!$AJ$939)&gt;0)*1000000+63*1000+32))</f>
        <v/>
      </c>
      <c r="AI71" s="41">
        <f>IF(N('Dvd Calendar'!$AK$940)=0,"",IF(('Dvd Calendar'!$AK$940&gt;=MIN(DATE(Summary!$C$12,1,1),Summary!$C$11))*('Dvd Calendar'!$AK$940&lt;=MAX(DATE(Summary!$C$12,12,31),Summary!$C$15))*('Dvd Calendar'!$AK$940&lt;=Summary!$C$11)=0,"",'Dvd Calendar'!$AK$940*1000000000+ISNUMBER('Dvd Calendar'!$AK$941)*100000000+('Dvd Calendar'!$AK$945='Field Check'!$C$25)*10000000+(N('Dvd Calendar'!$AK$939)&gt;0)*1000000+63*1000+33))</f>
        <v/>
      </c>
      <c r="AJ71" s="41">
        <f>IF(N('Dvd Calendar'!$AL$940)=0,"",IF(('Dvd Calendar'!$AL$940&gt;=MIN(DATE(Summary!$C$12,1,1),Summary!$C$11))*('Dvd Calendar'!$AL$940&lt;=MAX(DATE(Summary!$C$12,12,31),Summary!$C$15))*('Dvd Calendar'!$AL$940&lt;=Summary!$C$11)=0,"",'Dvd Calendar'!$AL$940*1000000000+ISNUMBER('Dvd Calendar'!$AL$941)*100000000+('Dvd Calendar'!$AL$945='Field Check'!$C$25)*10000000+(N('Dvd Calendar'!$AL$939)&gt;0)*1000000+63*1000+34))</f>
        <v/>
      </c>
      <c r="AK71" s="41">
        <f>IF(N('Dvd Calendar'!$AM$940)=0,"",IF(('Dvd Calendar'!$AM$940&gt;=MIN(DATE(Summary!$C$12,1,1),Summary!$C$11))*('Dvd Calendar'!$AM$940&lt;=MAX(DATE(Summary!$C$12,12,31),Summary!$C$15))*('Dvd Calendar'!$AM$940&lt;=Summary!$C$11)=0,"",'Dvd Calendar'!$AM$940*1000000000+ISNUMBER('Dvd Calendar'!$AM$941)*100000000+('Dvd Calendar'!$AM$945='Field Check'!$C$25)*10000000+(N('Dvd Calendar'!$AM$939)&gt;0)*1000000+63*1000+35))</f>
        <v/>
      </c>
      <c r="AL71" s="41">
        <f>IF(N('Dvd Calendar'!$AN$940)=0,"",IF(('Dvd Calendar'!$AN$940&gt;=MIN(DATE(Summary!$C$12,1,1),Summary!$C$11))*('Dvd Calendar'!$AN$940&lt;=MAX(DATE(Summary!$C$12,12,31),Summary!$C$15))*('Dvd Calendar'!$AN$940&lt;=Summary!$C$11)=0,"",'Dvd Calendar'!$AN$940*1000000000+ISNUMBER('Dvd Calendar'!$AN$941)*100000000+('Dvd Calendar'!$AN$945='Field Check'!$C$25)*10000000+(N('Dvd Calendar'!$AN$939)&gt;0)*1000000+63*1000+36))</f>
        <v/>
      </c>
      <c r="AM71" s="41">
        <f>IF(N('Dvd Calendar'!$AO$940)=0,"",IF(('Dvd Calendar'!$AO$940&gt;=MIN(DATE(Summary!$C$12,1,1),Summary!$C$11))*('Dvd Calendar'!$AO$940&lt;=MAX(DATE(Summary!$C$12,12,31),Summary!$C$15))*('Dvd Calendar'!$AO$940&lt;=Summary!$C$11)=0,"",'Dvd Calendar'!$AO$940*1000000000+ISNUMBER('Dvd Calendar'!$AO$941)*100000000+('Dvd Calendar'!$AO$945='Field Check'!$C$25)*10000000+(N('Dvd Calendar'!$AO$939)&gt;0)*1000000+63*1000+37))</f>
        <v/>
      </c>
      <c r="AN71" s="41">
        <f>IF(N('Dvd Calendar'!$AP$940)=0,"",IF(('Dvd Calendar'!$AP$940&gt;=MIN(DATE(Summary!$C$12,1,1),Summary!$C$11))*('Dvd Calendar'!$AP$940&lt;=MAX(DATE(Summary!$C$12,12,31),Summary!$C$15))*('Dvd Calendar'!$AP$940&lt;=Summary!$C$11)=0,"",'Dvd Calendar'!$AP$940*1000000000+ISNUMBER('Dvd Calendar'!$AP$941)*100000000+('Dvd Calendar'!$AP$945='Field Check'!$C$25)*10000000+(N('Dvd Calendar'!$AP$939)&gt;0)*1000000+63*1000+38))</f>
        <v/>
      </c>
      <c r="AO71" s="41">
        <f>IF(N('Dvd Calendar'!$AQ$940)=0,"",IF(('Dvd Calendar'!$AQ$940&gt;=MIN(DATE(Summary!$C$12,1,1),Summary!$C$11))*('Dvd Calendar'!$AQ$940&lt;=MAX(DATE(Summary!$C$12,12,31),Summary!$C$15))*('Dvd Calendar'!$AQ$940&lt;=Summary!$C$11)=0,"",'Dvd Calendar'!$AQ$940*1000000000+ISNUMBER('Dvd Calendar'!$AQ$941)*100000000+('Dvd Calendar'!$AQ$945='Field Check'!$C$25)*10000000+(N('Dvd Calendar'!$AQ$939)&gt;0)*1000000+63*1000+39))</f>
        <v/>
      </c>
      <c r="AP71" s="41">
        <f>IF(N('Dvd Calendar'!$AR$940)=0,"",IF(('Dvd Calendar'!$AR$940&gt;=MIN(DATE(Summary!$C$12,1,1),Summary!$C$11))*('Dvd Calendar'!$AR$940&lt;=MAX(DATE(Summary!$C$12,12,31),Summary!$C$15))*('Dvd Calendar'!$AR$940&lt;=Summary!$C$11)=0,"",'Dvd Calendar'!$AR$940*1000000000+ISNUMBER('Dvd Calendar'!$AR$941)*100000000+('Dvd Calendar'!$AR$945='Field Check'!$C$25)*10000000+(N('Dvd Calendar'!$AR$939)&gt;0)*1000000+63*1000+40))</f>
        <v/>
      </c>
      <c r="AQ71" s="41">
        <f>IF(N('Dvd Calendar'!$E$947)=0,"",IF(('Dvd Calendar'!$E$947&gt;=MIN(DATE(Summary!$C$12,1,1),Summary!$C$11))*('Dvd Calendar'!$E$947&lt;=MAX(DATE(Summary!$C$12,12,31),Summary!$C$15))*('Dvd Calendar'!$E$947&gt;Summary!$C$11)=0,"",'Dvd Calendar'!$E$947*1000000000+ISNUMBER('Dvd Calendar'!$E$948)*100000000+('Dvd Calendar'!$E$952='Field Check'!$C$25)*10000000+(N('Dvd Calendar'!$E$946)&gt;0)*1000000+63*1000+41))</f>
        <v/>
      </c>
      <c r="AR71" s="41">
        <f>IF(N('Dvd Calendar'!$F$947)=0,"",IF(('Dvd Calendar'!$F$947&gt;=MIN(DATE(Summary!$C$12,1,1),Summary!$C$11))*('Dvd Calendar'!$F$947&lt;=MAX(DATE(Summary!$C$12,12,31),Summary!$C$15))*('Dvd Calendar'!$F$947&gt;Summary!$C$11)=0,"",'Dvd Calendar'!$F$947*1000000000+ISNUMBER('Dvd Calendar'!$F$948)*100000000+('Dvd Calendar'!$F$952='Field Check'!$C$25)*10000000+(N('Dvd Calendar'!$F$946)&gt;0)*1000000+63*1000+42))</f>
        <v/>
      </c>
      <c r="AS71" s="41">
        <f>IF(N('Dvd Calendar'!$G$947)=0,"",IF(('Dvd Calendar'!$G$947&gt;=MIN(DATE(Summary!$C$12,1,1),Summary!$C$11))*('Dvd Calendar'!$G$947&lt;=MAX(DATE(Summary!$C$12,12,31),Summary!$C$15))*('Dvd Calendar'!$G$947&gt;Summary!$C$11)=0,"",'Dvd Calendar'!$G$947*1000000000+ISNUMBER('Dvd Calendar'!$G$948)*100000000+('Dvd Calendar'!$G$952='Field Check'!$C$25)*10000000+(N('Dvd Calendar'!$G$946)&gt;0)*1000000+63*1000+43))</f>
        <v/>
      </c>
      <c r="AT71" s="41">
        <f>IF(N('Dvd Calendar'!$H$947)=0,"",IF(('Dvd Calendar'!$H$947&gt;=MIN(DATE(Summary!$C$12,1,1),Summary!$C$11))*('Dvd Calendar'!$H$947&lt;=MAX(DATE(Summary!$C$12,12,31),Summary!$C$15))*('Dvd Calendar'!$H$947&gt;Summary!$C$11)=0,"",'Dvd Calendar'!$H$947*1000000000+ISNUMBER('Dvd Calendar'!$H$948)*100000000+('Dvd Calendar'!$H$952='Field Check'!$C$25)*10000000+(N('Dvd Calendar'!$H$946)&gt;0)*1000000+63*1000+44))</f>
        <v/>
      </c>
      <c r="AU71" s="41">
        <f>IF(N('Dvd Calendar'!$I$947)=0,"",IF(('Dvd Calendar'!$I$947&gt;=MIN(DATE(Summary!$C$12,1,1),Summary!$C$11))*('Dvd Calendar'!$I$947&lt;=MAX(DATE(Summary!$C$12,12,31),Summary!$C$15))*('Dvd Calendar'!$I$947&gt;Summary!$C$11)=0,"",'Dvd Calendar'!$I$947*1000000000+ISNUMBER('Dvd Calendar'!$I$948)*100000000+('Dvd Calendar'!$I$952='Field Check'!$C$25)*10000000+(N('Dvd Calendar'!$I$946)&gt;0)*1000000+63*1000+45))</f>
        <v/>
      </c>
      <c r="AV71" s="41">
        <f>IF(N('Dvd Calendar'!$J$947)=0,"",IF(('Dvd Calendar'!$J$947&gt;=MIN(DATE(Summary!$C$12,1,1),Summary!$C$11))*('Dvd Calendar'!$J$947&lt;=MAX(DATE(Summary!$C$12,12,31),Summary!$C$15))*('Dvd Calendar'!$J$947&gt;Summary!$C$11)=0,"",'Dvd Calendar'!$J$947*1000000000+ISNUMBER('Dvd Calendar'!$J$948)*100000000+('Dvd Calendar'!$J$952='Field Check'!$C$25)*10000000+(N('Dvd Calendar'!$J$946)&gt;0)*1000000+63*1000+46))</f>
        <v/>
      </c>
      <c r="AW71" s="41">
        <f>IF(N('Dvd Calendar'!$K$947)=0,"",IF(('Dvd Calendar'!$K$947&gt;=MIN(DATE(Summary!$C$12,1,1),Summary!$C$11))*('Dvd Calendar'!$K$947&lt;=MAX(DATE(Summary!$C$12,12,31),Summary!$C$15))*('Dvd Calendar'!$K$947&gt;Summary!$C$11)=0,"",'Dvd Calendar'!$K$947*1000000000+ISNUMBER('Dvd Calendar'!$K$948)*100000000+('Dvd Calendar'!$K$952='Field Check'!$C$25)*10000000+(N('Dvd Calendar'!$K$946)&gt;0)*1000000+63*1000+47))</f>
        <v/>
      </c>
      <c r="AX71" s="41">
        <f>IF(N('Dvd Calendar'!$L$947)=0,"",IF(('Dvd Calendar'!$L$947&gt;=MIN(DATE(Summary!$C$12,1,1),Summary!$C$11))*('Dvd Calendar'!$L$947&lt;=MAX(DATE(Summary!$C$12,12,31),Summary!$C$15))*('Dvd Calendar'!$L$947&gt;Summary!$C$11)=0,"",'Dvd Calendar'!$L$947*1000000000+ISNUMBER('Dvd Calendar'!$L$948)*100000000+('Dvd Calendar'!$L$952='Field Check'!$C$25)*10000000+(N('Dvd Calendar'!$L$946)&gt;0)*1000000+63*1000+48))</f>
        <v/>
      </c>
      <c r="AY71" s="41">
        <f>IF(N('Dvd Calendar'!$M$947)=0,"",IF(('Dvd Calendar'!$M$947&gt;=MIN(DATE(Summary!$C$12,1,1),Summary!$C$11))*('Dvd Calendar'!$M$947&lt;=MAX(DATE(Summary!$C$12,12,31),Summary!$C$15))*('Dvd Calendar'!$M$947&gt;Summary!$C$11)=0,"",'Dvd Calendar'!$M$947*1000000000+ISNUMBER('Dvd Calendar'!$M$948)*100000000+('Dvd Calendar'!$M$952='Field Check'!$C$25)*10000000+(N('Dvd Calendar'!$M$946)&gt;0)*1000000+63*1000+49))</f>
        <v/>
      </c>
      <c r="AZ71" s="41">
        <f>IF(N('Dvd Calendar'!$N$947)=0,"",IF(('Dvd Calendar'!$N$947&gt;=MIN(DATE(Summary!$C$12,1,1),Summary!$C$11))*('Dvd Calendar'!$N$947&lt;=MAX(DATE(Summary!$C$12,12,31),Summary!$C$15))*('Dvd Calendar'!$N$947&gt;Summary!$C$11)=0,"",'Dvd Calendar'!$N$947*1000000000+ISNUMBER('Dvd Calendar'!$N$948)*100000000+('Dvd Calendar'!$N$952='Field Check'!$C$25)*10000000+(N('Dvd Calendar'!$N$946)&gt;0)*1000000+63*1000+50))</f>
        <v/>
      </c>
      <c r="BA71" s="41">
        <f>IF(N('Dvd Calendar'!$O$947)=0,"",IF(('Dvd Calendar'!$O$947&gt;=MIN(DATE(Summary!$C$12,1,1),Summary!$C$11))*('Dvd Calendar'!$O$947&lt;=MAX(DATE(Summary!$C$12,12,31),Summary!$C$15))*('Dvd Calendar'!$O$947&gt;Summary!$C$11)=0,"",'Dvd Calendar'!$O$947*1000000000+ISNUMBER('Dvd Calendar'!$O$948)*100000000+('Dvd Calendar'!$O$952='Field Check'!$C$25)*10000000+(N('Dvd Calendar'!$O$946)&gt;0)*1000000+63*1000+51))</f>
        <v/>
      </c>
      <c r="BB71" s="41">
        <f>IF(N('Dvd Calendar'!$P$947)=0,"",IF(('Dvd Calendar'!$P$947&gt;=MIN(DATE(Summary!$C$12,1,1),Summary!$C$11))*('Dvd Calendar'!$P$947&lt;=MAX(DATE(Summary!$C$12,12,31),Summary!$C$15))*('Dvd Calendar'!$P$947&gt;Summary!$C$11)=0,"",'Dvd Calendar'!$P$947*1000000000+ISNUMBER('Dvd Calendar'!$P$948)*100000000+('Dvd Calendar'!$P$952='Field Check'!$C$25)*10000000+(N('Dvd Calendar'!$P$946)&gt;0)*1000000+63*1000+52))</f>
        <v/>
      </c>
      <c r="BC71" s="41">
        <f>IF(N('Dvd Calendar'!$Q$947)=0,"",IF(('Dvd Calendar'!$Q$947&gt;=MIN(DATE(Summary!$C$12,1,1),Summary!$C$11))*('Dvd Calendar'!$Q$947&lt;=MAX(DATE(Summary!$C$12,12,31),Summary!$C$15))*('Dvd Calendar'!$Q$947&gt;Summary!$C$11)=0,"",'Dvd Calendar'!$Q$947*1000000000+ISNUMBER('Dvd Calendar'!$Q$948)*100000000+('Dvd Calendar'!$Q$952='Field Check'!$C$25)*10000000+(N('Dvd Calendar'!$Q$946)&gt;0)*1000000+63*1000+53))</f>
        <v/>
      </c>
      <c r="BD71" s="41">
        <f>IF(N('Dvd Calendar'!$R$947)=0,"",IF(('Dvd Calendar'!$R$947&gt;=MIN(DATE(Summary!$C$12,1,1),Summary!$C$11))*('Dvd Calendar'!$R$947&lt;=MAX(DATE(Summary!$C$12,12,31),Summary!$C$15))*('Dvd Calendar'!$R$947&gt;Summary!$C$11)=0,"",'Dvd Calendar'!$R$947*1000000000+ISNUMBER('Dvd Calendar'!$R$948)*100000000+('Dvd Calendar'!$R$952='Field Check'!$C$25)*10000000+(N('Dvd Calendar'!$R$946)&gt;0)*1000000+63*1000+54))</f>
        <v/>
      </c>
      <c r="BE71" s="41">
        <f>IF(N('Dvd Calendar'!$S$947)=0,"",IF(('Dvd Calendar'!$S$947&gt;=MIN(DATE(Summary!$C$12,1,1),Summary!$C$11))*('Dvd Calendar'!$S$947&lt;=MAX(DATE(Summary!$C$12,12,31),Summary!$C$15))*('Dvd Calendar'!$S$947&gt;Summary!$C$11)=0,"",'Dvd Calendar'!$S$947*1000000000+ISNUMBER('Dvd Calendar'!$S$948)*100000000+('Dvd Calendar'!$S$952='Field Check'!$C$25)*10000000+(N('Dvd Calendar'!$S$946)&gt;0)*1000000+63*1000+55))</f>
        <v/>
      </c>
      <c r="BF71" s="41">
        <f>IF(N('Dvd Calendar'!$T$947)=0,"",IF(('Dvd Calendar'!$T$947&gt;=MIN(DATE(Summary!$C$12,1,1),Summary!$C$11))*('Dvd Calendar'!$T$947&lt;=MAX(DATE(Summary!$C$12,12,31),Summary!$C$15))*('Dvd Calendar'!$T$947&gt;Summary!$C$11)=0,"",'Dvd Calendar'!$T$947*1000000000+ISNUMBER('Dvd Calendar'!$T$948)*100000000+('Dvd Calendar'!$T$952='Field Check'!$C$25)*10000000+(N('Dvd Calendar'!$T$946)&gt;0)*1000000+63*1000+56))</f>
        <v/>
      </c>
      <c r="BG71" s="41">
        <f>IF(N('Dvd Calendar'!$U$947)=0,"",IF(('Dvd Calendar'!$U$947&gt;=MIN(DATE(Summary!$C$12,1,1),Summary!$C$11))*('Dvd Calendar'!$U$947&lt;=MAX(DATE(Summary!$C$12,12,31),Summary!$C$15))*('Dvd Calendar'!$U$947&gt;Summary!$C$11)=0,"",'Dvd Calendar'!$U$947*1000000000+ISNUMBER('Dvd Calendar'!$U$948)*100000000+('Dvd Calendar'!$U$952='Field Check'!$C$25)*10000000+(N('Dvd Calendar'!$U$946)&gt;0)*1000000+63*1000+57))</f>
        <v/>
      </c>
      <c r="BH71" s="41">
        <f>IF(N('Dvd Calendar'!$V$947)=0,"",IF(('Dvd Calendar'!$V$947&gt;=MIN(DATE(Summary!$C$12,1,1),Summary!$C$11))*('Dvd Calendar'!$V$947&lt;=MAX(DATE(Summary!$C$12,12,31),Summary!$C$15))*('Dvd Calendar'!$V$947&gt;Summary!$C$11)=0,"",'Dvd Calendar'!$V$947*1000000000+ISNUMBER('Dvd Calendar'!$V$948)*100000000+('Dvd Calendar'!$V$952='Field Check'!$C$25)*10000000+(N('Dvd Calendar'!$V$946)&gt;0)*1000000+63*1000+58))</f>
        <v/>
      </c>
      <c r="BI71" s="41">
        <f>IF(N('Dvd Calendar'!$W$947)=0,"",IF(('Dvd Calendar'!$W$947&gt;=MIN(DATE(Summary!$C$12,1,1),Summary!$C$11))*('Dvd Calendar'!$W$947&lt;=MAX(DATE(Summary!$C$12,12,31),Summary!$C$15))*('Dvd Calendar'!$W$947&gt;Summary!$C$11)=0,"",'Dvd Calendar'!$W$947*1000000000+ISNUMBER('Dvd Calendar'!$W$948)*100000000+('Dvd Calendar'!$W$952='Field Check'!$C$25)*10000000+(N('Dvd Calendar'!$W$946)&gt;0)*1000000+63*1000+59))</f>
        <v/>
      </c>
      <c r="BJ71" s="41">
        <f>IF(N('Dvd Calendar'!$X$947)=0,"",IF(('Dvd Calendar'!$X$947&gt;=MIN(DATE(Summary!$C$12,1,1),Summary!$C$11))*('Dvd Calendar'!$X$947&lt;=MAX(DATE(Summary!$C$12,12,31),Summary!$C$15))*('Dvd Calendar'!$X$947&gt;Summary!$C$11)=0,"",'Dvd Calendar'!$X$947*1000000000+ISNUMBER('Dvd Calendar'!$X$948)*100000000+('Dvd Calendar'!$X$952='Field Check'!$C$25)*10000000+(N('Dvd Calendar'!$X$946)&gt;0)*1000000+63*1000+60))</f>
        <v/>
      </c>
      <c r="BK71" s="41">
        <f>IF(N('Dvd Calendar'!$Y$947)=0,"",IF(('Dvd Calendar'!$Y$947&gt;=MIN(DATE(Summary!$C$12,1,1),Summary!$C$11))*('Dvd Calendar'!$Y$947&lt;=MAX(DATE(Summary!$C$12,12,31),Summary!$C$15))*('Dvd Calendar'!$Y$947&gt;Summary!$C$11)=0,"",'Dvd Calendar'!$Y$947*1000000000+ISNUMBER('Dvd Calendar'!$Y$948)*100000000+('Dvd Calendar'!$Y$952='Field Check'!$C$25)*10000000+(N('Dvd Calendar'!$Y$946)&gt;0)*1000000+63*1000+61))</f>
        <v/>
      </c>
      <c r="BL71" s="41">
        <f>IF(N('Dvd Calendar'!$Z$947)=0,"",IF(('Dvd Calendar'!$Z$947&gt;=MIN(DATE(Summary!$C$12,1,1),Summary!$C$11))*('Dvd Calendar'!$Z$947&lt;=MAX(DATE(Summary!$C$12,12,31),Summary!$C$15))*('Dvd Calendar'!$Z$947&gt;Summary!$C$11)=0,"",'Dvd Calendar'!$Z$947*1000000000+ISNUMBER('Dvd Calendar'!$Z$948)*100000000+('Dvd Calendar'!$Z$952='Field Check'!$C$25)*10000000+(N('Dvd Calendar'!$Z$946)&gt;0)*1000000+63*1000+62))</f>
        <v/>
      </c>
      <c r="BM71" s="41">
        <f>IF(N('Dvd Calendar'!$AA$947)=0,"",IF(('Dvd Calendar'!$AA$947&gt;=MIN(DATE(Summary!$C$12,1,1),Summary!$C$11))*('Dvd Calendar'!$AA$947&lt;=MAX(DATE(Summary!$C$12,12,31),Summary!$C$15))*('Dvd Calendar'!$AA$947&gt;Summary!$C$11)=0,"",'Dvd Calendar'!$AA$947*1000000000+ISNUMBER('Dvd Calendar'!$AA$948)*100000000+('Dvd Calendar'!$AA$952='Field Check'!$C$25)*10000000+(N('Dvd Calendar'!$AA$946)&gt;0)*1000000+63*1000+63))</f>
        <v/>
      </c>
      <c r="BN71" s="41">
        <f>IF(N('Dvd Calendar'!$AB$947)=0,"",IF(('Dvd Calendar'!$AB$947&gt;=MIN(DATE(Summary!$C$12,1,1),Summary!$C$11))*('Dvd Calendar'!$AB$947&lt;=MAX(DATE(Summary!$C$12,12,31),Summary!$C$15))*('Dvd Calendar'!$AB$947&gt;Summary!$C$11)=0,"",'Dvd Calendar'!$AB$947*1000000000+ISNUMBER('Dvd Calendar'!$AB$948)*100000000+('Dvd Calendar'!$AB$952='Field Check'!$C$25)*10000000+(N('Dvd Calendar'!$AB$946)&gt;0)*1000000+63*1000+64))</f>
        <v/>
      </c>
      <c r="BO71" s="41">
        <f>IF(N('Dvd Calendar'!$AC$947)=0,"",IF(('Dvd Calendar'!$AC$947&gt;=MIN(DATE(Summary!$C$12,1,1),Summary!$C$11))*('Dvd Calendar'!$AC$947&lt;=MAX(DATE(Summary!$C$12,12,31),Summary!$C$15))*('Dvd Calendar'!$AC$947&gt;Summary!$C$11)=0,"",'Dvd Calendar'!$AC$947*1000000000+ISNUMBER('Dvd Calendar'!$AC$948)*100000000+('Dvd Calendar'!$AC$952='Field Check'!$C$25)*10000000+(N('Dvd Calendar'!$AC$946)&gt;0)*1000000+63*1000+65))</f>
        <v/>
      </c>
      <c r="BQ71" s="85">
        <f>IF(C71="","",IF(ISNUMBER('Dvd Calendar'!$E$941)=FALSE,"",IF((Summary!$C$13="N")*('Dvd Calendar'!$E$945='Field Check'!$C$25)&gt;0,"",'Dvd Calendar'!$E$941)))</f>
        <v/>
      </c>
      <c r="BR71" s="85">
        <f>IF(D71="","",IF(ISNUMBER('Dvd Calendar'!$F$941)=FALSE,"",IF((Summary!$C$13="N")*('Dvd Calendar'!$F$945='Field Check'!$C$25)&gt;0,"",'Dvd Calendar'!$F$941)))</f>
        <v/>
      </c>
      <c r="BS71" s="85">
        <f>IF(E71="","",IF(ISNUMBER('Dvd Calendar'!$G$941)=FALSE,"",IF((Summary!$C$13="N")*('Dvd Calendar'!$G$945='Field Check'!$C$25)&gt;0,"",'Dvd Calendar'!$G$941)))</f>
        <v/>
      </c>
      <c r="BT71" s="85">
        <f>IF(F71="","",IF(ISNUMBER('Dvd Calendar'!$H$941)=FALSE,"",IF((Summary!$C$13="N")*('Dvd Calendar'!$H$945='Field Check'!$C$25)&gt;0,"",'Dvd Calendar'!$H$941)))</f>
        <v/>
      </c>
      <c r="BU71" s="85">
        <f>IF(G71="","",IF(ISNUMBER('Dvd Calendar'!$I$941)=FALSE,"",IF((Summary!$C$13="N")*('Dvd Calendar'!$I$945='Field Check'!$C$25)&gt;0,"",'Dvd Calendar'!$I$941)))</f>
        <v/>
      </c>
      <c r="BV71" s="85">
        <f>IF(H71="","",IF(ISNUMBER('Dvd Calendar'!$J$941)=FALSE,"",IF((Summary!$C$13="N")*('Dvd Calendar'!$J$945='Field Check'!$C$25)&gt;0,"",'Dvd Calendar'!$J$941)))</f>
        <v/>
      </c>
      <c r="BW71" s="85">
        <f>IF(I71="","",IF(ISNUMBER('Dvd Calendar'!$K$941)=FALSE,"",IF((Summary!$C$13="N")*('Dvd Calendar'!$K$945='Field Check'!$C$25)&gt;0,"",'Dvd Calendar'!$K$941)))</f>
        <v/>
      </c>
      <c r="BX71" s="85">
        <f>IF(J71="","",IF(ISNUMBER('Dvd Calendar'!$L$941)=FALSE,"",IF((Summary!$C$13="N")*('Dvd Calendar'!$L$945='Field Check'!$C$25)&gt;0,"",'Dvd Calendar'!$L$941)))</f>
        <v/>
      </c>
      <c r="BY71" s="85">
        <f>IF(K71="","",IF(ISNUMBER('Dvd Calendar'!$M$941)=FALSE,"",IF((Summary!$C$13="N")*('Dvd Calendar'!$M$945='Field Check'!$C$25)&gt;0,"",'Dvd Calendar'!$M$941)))</f>
        <v/>
      </c>
      <c r="BZ71" s="85">
        <f>IF(L71="","",IF(ISNUMBER('Dvd Calendar'!$N$941)=FALSE,"",IF((Summary!$C$13="N")*('Dvd Calendar'!$N$945='Field Check'!$C$25)&gt;0,"",'Dvd Calendar'!$N$941)))</f>
        <v/>
      </c>
      <c r="CA71" s="85">
        <f>IF(M71="","",IF(ISNUMBER('Dvd Calendar'!$O$941)=FALSE,"",IF((Summary!$C$13="N")*('Dvd Calendar'!$O$945='Field Check'!$C$25)&gt;0,"",'Dvd Calendar'!$O$941)))</f>
        <v/>
      </c>
      <c r="CB71" s="85">
        <f>IF(N71="","",IF(ISNUMBER('Dvd Calendar'!$P$941)=FALSE,"",IF((Summary!$C$13="N")*('Dvd Calendar'!$P$945='Field Check'!$C$25)&gt;0,"",'Dvd Calendar'!$P$941)))</f>
        <v/>
      </c>
      <c r="CC71" s="85">
        <f>IF(O71="","",IF(ISNUMBER('Dvd Calendar'!$Q$941)=FALSE,"",IF((Summary!$C$13="N")*('Dvd Calendar'!$Q$945='Field Check'!$C$25)&gt;0,"",'Dvd Calendar'!$Q$941)))</f>
        <v/>
      </c>
      <c r="CD71" s="85">
        <f>IF(P71="","",IF(ISNUMBER('Dvd Calendar'!$R$941)=FALSE,"",IF((Summary!$C$13="N")*('Dvd Calendar'!$R$945='Field Check'!$C$25)&gt;0,"",'Dvd Calendar'!$R$941)))</f>
        <v/>
      </c>
      <c r="CE71" s="85">
        <f>IF(Q71="","",IF(ISNUMBER('Dvd Calendar'!$S$941)=FALSE,"",IF((Summary!$C$13="N")*('Dvd Calendar'!$S$945='Field Check'!$C$25)&gt;0,"",'Dvd Calendar'!$S$941)))</f>
        <v/>
      </c>
      <c r="CF71" s="85">
        <f>IF(R71="","",IF(ISNUMBER('Dvd Calendar'!$T$941)=FALSE,"",IF((Summary!$C$13="N")*('Dvd Calendar'!$T$945='Field Check'!$C$25)&gt;0,"",'Dvd Calendar'!$T$941)))</f>
        <v/>
      </c>
      <c r="CG71" s="85">
        <f>IF(S71="","",IF(ISNUMBER('Dvd Calendar'!$U$941)=FALSE,"",IF((Summary!$C$13="N")*('Dvd Calendar'!$U$945='Field Check'!$C$25)&gt;0,"",'Dvd Calendar'!$U$941)))</f>
        <v/>
      </c>
      <c r="CH71" s="85">
        <f>IF(T71="","",IF(ISNUMBER('Dvd Calendar'!$V$941)=FALSE,"",IF((Summary!$C$13="N")*('Dvd Calendar'!$V$945='Field Check'!$C$25)&gt;0,"",'Dvd Calendar'!$V$941)))</f>
        <v/>
      </c>
      <c r="CI71" s="85">
        <f>IF(U71="","",IF(ISNUMBER('Dvd Calendar'!$W$941)=FALSE,"",IF((Summary!$C$13="N")*('Dvd Calendar'!$W$945='Field Check'!$C$25)&gt;0,"",'Dvd Calendar'!$W$941)))</f>
        <v/>
      </c>
      <c r="CJ71" s="85">
        <f>IF(V71="","",IF(ISNUMBER('Dvd Calendar'!$X$941)=FALSE,"",IF((Summary!$C$13="N")*('Dvd Calendar'!$X$945='Field Check'!$C$25)&gt;0,"",'Dvd Calendar'!$X$941)))</f>
        <v/>
      </c>
      <c r="CK71" s="85">
        <f>IF(W71="","",IF(ISNUMBER('Dvd Calendar'!$Y$941)=FALSE,"",IF((Summary!$C$13="N")*('Dvd Calendar'!$Y$945='Field Check'!$C$25)&gt;0,"",'Dvd Calendar'!$Y$941)))</f>
        <v/>
      </c>
      <c r="CL71" s="85">
        <f>IF(X71="","",IF(ISNUMBER('Dvd Calendar'!$Z$941)=FALSE,"",IF((Summary!$C$13="N")*('Dvd Calendar'!$Z$945='Field Check'!$C$25)&gt;0,"",'Dvd Calendar'!$Z$941)))</f>
        <v/>
      </c>
      <c r="CM71" s="85">
        <f>IF(Y71="","",IF(ISNUMBER('Dvd Calendar'!$AA$941)=FALSE,"",IF((Summary!$C$13="N")*('Dvd Calendar'!$AA$945='Field Check'!$C$25)&gt;0,"",'Dvd Calendar'!$AA$941)))</f>
        <v/>
      </c>
      <c r="CN71" s="85">
        <f>IF(Z71="","",IF(ISNUMBER('Dvd Calendar'!$AB$941)=FALSE,"",IF((Summary!$C$13="N")*('Dvd Calendar'!$AB$945='Field Check'!$C$25)&gt;0,"",'Dvd Calendar'!$AB$941)))</f>
        <v/>
      </c>
      <c r="CO71" s="85">
        <f>IF(AA71="","",IF(ISNUMBER('Dvd Calendar'!$AC$941)=FALSE,"",IF((Summary!$C$13="N")*('Dvd Calendar'!$AC$945='Field Check'!$C$25)&gt;0,"",'Dvd Calendar'!$AC$941)))</f>
        <v/>
      </c>
      <c r="CP71" s="85">
        <f>IF(AB71="","",IF(ISNUMBER('Dvd Calendar'!$AD$941)=FALSE,"",IF((Summary!$C$13="N")*('Dvd Calendar'!$AD$945='Field Check'!$C$25)&gt;0,"",'Dvd Calendar'!$AD$941)))</f>
        <v/>
      </c>
      <c r="CQ71" s="85">
        <f>IF(AC71="","",IF(ISNUMBER('Dvd Calendar'!$AE$941)=FALSE,"",IF((Summary!$C$13="N")*('Dvd Calendar'!$AE$945='Field Check'!$C$25)&gt;0,"",'Dvd Calendar'!$AE$941)))</f>
        <v/>
      </c>
      <c r="CR71" s="85">
        <f>IF(AD71="","",IF(ISNUMBER('Dvd Calendar'!$AF$941)=FALSE,"",IF((Summary!$C$13="N")*('Dvd Calendar'!$AF$945='Field Check'!$C$25)&gt;0,"",'Dvd Calendar'!$AF$941)))</f>
        <v/>
      </c>
      <c r="CS71" s="85">
        <f>IF(AE71="","",IF(ISNUMBER('Dvd Calendar'!$AG$941)=FALSE,"",IF((Summary!$C$13="N")*('Dvd Calendar'!$AG$945='Field Check'!$C$25)&gt;0,"",'Dvd Calendar'!$AG$941)))</f>
        <v/>
      </c>
      <c r="CT71" s="85">
        <f>IF(AF71="","",IF(ISNUMBER('Dvd Calendar'!$AH$941)=FALSE,"",IF((Summary!$C$13="N")*('Dvd Calendar'!$AH$945='Field Check'!$C$25)&gt;0,"",'Dvd Calendar'!$AH$941)))</f>
        <v/>
      </c>
      <c r="CU71" s="85">
        <f>IF(AG71="","",IF(ISNUMBER('Dvd Calendar'!$AI$941)=FALSE,"",IF((Summary!$C$13="N")*('Dvd Calendar'!$AI$945='Field Check'!$C$25)&gt;0,"",'Dvd Calendar'!$AI$941)))</f>
        <v/>
      </c>
      <c r="CV71" s="85">
        <f>IF(AH71="","",IF(ISNUMBER('Dvd Calendar'!$AJ$941)=FALSE,"",IF((Summary!$C$13="N")*('Dvd Calendar'!$AJ$945='Field Check'!$C$25)&gt;0,"",'Dvd Calendar'!$AJ$941)))</f>
        <v/>
      </c>
      <c r="CW71" s="85">
        <f>IF(AI71="","",IF(ISNUMBER('Dvd Calendar'!$AK$941)=FALSE,"",IF((Summary!$C$13="N")*('Dvd Calendar'!$AK$945='Field Check'!$C$25)&gt;0,"",'Dvd Calendar'!$AK$941)))</f>
        <v/>
      </c>
      <c r="CX71" s="85">
        <f>IF(AJ71="","",IF(ISNUMBER('Dvd Calendar'!$AL$941)=FALSE,"",IF((Summary!$C$13="N")*('Dvd Calendar'!$AL$945='Field Check'!$C$25)&gt;0,"",'Dvd Calendar'!$AL$941)))</f>
        <v/>
      </c>
      <c r="CY71" s="85">
        <f>IF(AK71="","",IF(ISNUMBER('Dvd Calendar'!$AM$941)=FALSE,"",IF((Summary!$C$13="N")*('Dvd Calendar'!$AM$945='Field Check'!$C$25)&gt;0,"",'Dvd Calendar'!$AM$941)))</f>
        <v/>
      </c>
      <c r="CZ71" s="85">
        <f>IF(AL71="","",IF(ISNUMBER('Dvd Calendar'!$AN$941)=FALSE,"",IF((Summary!$C$13="N")*('Dvd Calendar'!$AN$945='Field Check'!$C$25)&gt;0,"",'Dvd Calendar'!$AN$941)))</f>
        <v/>
      </c>
      <c r="DA71" s="85">
        <f>IF(AM71="","",IF(ISNUMBER('Dvd Calendar'!$AO$941)=FALSE,"",IF((Summary!$C$13="N")*('Dvd Calendar'!$AO$945='Field Check'!$C$25)&gt;0,"",'Dvd Calendar'!$AO$941)))</f>
        <v/>
      </c>
      <c r="DB71" s="85">
        <f>IF(AN71="","",IF(ISNUMBER('Dvd Calendar'!$AP$941)=FALSE,"",IF((Summary!$C$13="N")*('Dvd Calendar'!$AP$945='Field Check'!$C$25)&gt;0,"",'Dvd Calendar'!$AP$941)))</f>
        <v/>
      </c>
      <c r="DC71" s="85">
        <f>IF(AO71="","",IF(ISNUMBER('Dvd Calendar'!$AQ$941)=FALSE,"",IF((Summary!$C$13="N")*('Dvd Calendar'!$AQ$945='Field Check'!$C$25)&gt;0,"",'Dvd Calendar'!$AQ$941)))</f>
        <v/>
      </c>
      <c r="DD71" s="85">
        <f>IF(AP71="","",IF(ISNUMBER('Dvd Calendar'!$AR$941)=FALSE,"",IF((Summary!$C$13="N")*('Dvd Calendar'!$AR$945='Field Check'!$C$25)&gt;0,"",'Dvd Calendar'!$AR$941)))</f>
        <v/>
      </c>
      <c r="DE71" s="85">
        <f>IF(AQ71="","",IF(ISNUMBER('Dvd Calendar'!$E$948)=FALSE,"",IF((Summary!$C$13="N")*('Dvd Calendar'!$E$952='Field Check'!$C$25)&gt;0,"",'Dvd Calendar'!$E$948)))</f>
        <v/>
      </c>
      <c r="DF71" s="85">
        <f>IF(AR71="","",IF(ISNUMBER('Dvd Calendar'!$F$948)=FALSE,"",IF((Summary!$C$13="N")*('Dvd Calendar'!$F$952='Field Check'!$C$25)&gt;0,"",'Dvd Calendar'!$F$948)))</f>
        <v/>
      </c>
      <c r="DG71" s="85">
        <f>IF(AS71="","",IF(ISNUMBER('Dvd Calendar'!$G$948)=FALSE,"",IF((Summary!$C$13="N")*('Dvd Calendar'!$G$952='Field Check'!$C$25)&gt;0,"",'Dvd Calendar'!$G$948)))</f>
        <v/>
      </c>
      <c r="DH71" s="85">
        <f>IF(AT71="","",IF(ISNUMBER('Dvd Calendar'!$H$948)=FALSE,"",IF((Summary!$C$13="N")*('Dvd Calendar'!$H$952='Field Check'!$C$25)&gt;0,"",'Dvd Calendar'!$H$948)))</f>
        <v/>
      </c>
      <c r="DI71" s="85">
        <f>IF(AU71="","",IF(ISNUMBER('Dvd Calendar'!$I$948)=FALSE,"",IF((Summary!$C$13="N")*('Dvd Calendar'!$I$952='Field Check'!$C$25)&gt;0,"",'Dvd Calendar'!$I$948)))</f>
        <v/>
      </c>
      <c r="DJ71" s="85">
        <f>IF(AV71="","",IF(ISNUMBER('Dvd Calendar'!$J$948)=FALSE,"",IF((Summary!$C$13="N")*('Dvd Calendar'!$J$952='Field Check'!$C$25)&gt;0,"",'Dvd Calendar'!$J$948)))</f>
        <v/>
      </c>
      <c r="DK71" s="85">
        <f>IF(AW71="","",IF(ISNUMBER('Dvd Calendar'!$K$948)=FALSE,"",IF((Summary!$C$13="N")*('Dvd Calendar'!$K$952='Field Check'!$C$25)&gt;0,"",'Dvd Calendar'!$K$948)))</f>
        <v/>
      </c>
      <c r="DL71" s="85">
        <f>IF(AX71="","",IF(ISNUMBER('Dvd Calendar'!$L$948)=FALSE,"",IF((Summary!$C$13="N")*('Dvd Calendar'!$L$952='Field Check'!$C$25)&gt;0,"",'Dvd Calendar'!$L$948)))</f>
        <v/>
      </c>
      <c r="DM71" s="85">
        <f>IF(AY71="","",IF(ISNUMBER('Dvd Calendar'!$M$948)=FALSE,"",IF((Summary!$C$13="N")*('Dvd Calendar'!$M$952='Field Check'!$C$25)&gt;0,"",'Dvd Calendar'!$M$948)))</f>
        <v/>
      </c>
      <c r="DN71" s="85">
        <f>IF(AZ71="","",IF(ISNUMBER('Dvd Calendar'!$N$948)=FALSE,"",IF((Summary!$C$13="N")*('Dvd Calendar'!$N$952='Field Check'!$C$25)&gt;0,"",'Dvd Calendar'!$N$948)))</f>
        <v/>
      </c>
      <c r="DO71" s="85">
        <f>IF(BA71="","",IF(ISNUMBER('Dvd Calendar'!$O$948)=FALSE,"",IF((Summary!$C$13="N")*('Dvd Calendar'!$O$952='Field Check'!$C$25)&gt;0,"",'Dvd Calendar'!$O$948)))</f>
        <v/>
      </c>
      <c r="DP71" s="85">
        <f>IF(BB71="","",IF(ISNUMBER('Dvd Calendar'!$P$948)=FALSE,"",IF((Summary!$C$13="N")*('Dvd Calendar'!$P$952='Field Check'!$C$25)&gt;0,"",'Dvd Calendar'!$P$948)))</f>
        <v/>
      </c>
      <c r="DQ71" s="85">
        <f>IF(BC71="","",IF(ISNUMBER('Dvd Calendar'!$Q$948)=FALSE,"",IF((Summary!$C$13="N")*('Dvd Calendar'!$Q$952='Field Check'!$C$25)&gt;0,"",'Dvd Calendar'!$Q$948)))</f>
        <v/>
      </c>
      <c r="DR71" s="85">
        <f>IF(BD71="","",IF(ISNUMBER('Dvd Calendar'!$R$948)=FALSE,"",IF((Summary!$C$13="N")*('Dvd Calendar'!$R$952='Field Check'!$C$25)&gt;0,"",'Dvd Calendar'!$R$948)))</f>
        <v/>
      </c>
      <c r="DS71" s="85">
        <f>IF(BE71="","",IF(ISNUMBER('Dvd Calendar'!$S$948)=FALSE,"",IF((Summary!$C$13="N")*('Dvd Calendar'!$S$952='Field Check'!$C$25)&gt;0,"",'Dvd Calendar'!$S$948)))</f>
        <v/>
      </c>
      <c r="DT71" s="85">
        <f>IF(BF71="","",IF(ISNUMBER('Dvd Calendar'!$T$948)=FALSE,"",IF((Summary!$C$13="N")*('Dvd Calendar'!$T$952='Field Check'!$C$25)&gt;0,"",'Dvd Calendar'!$T$948)))</f>
        <v/>
      </c>
      <c r="DU71" s="85">
        <f>IF(BG71="","",IF(ISNUMBER('Dvd Calendar'!$U$948)=FALSE,"",IF((Summary!$C$13="N")*('Dvd Calendar'!$U$952='Field Check'!$C$25)&gt;0,"",'Dvd Calendar'!$U$948)))</f>
        <v/>
      </c>
      <c r="DV71" s="85">
        <f>IF(BH71="","",IF(ISNUMBER('Dvd Calendar'!$V$948)=FALSE,"",IF((Summary!$C$13="N")*('Dvd Calendar'!$V$952='Field Check'!$C$25)&gt;0,"",'Dvd Calendar'!$V$948)))</f>
        <v/>
      </c>
      <c r="DW71" s="85">
        <f>IF(BI71="","",IF(ISNUMBER('Dvd Calendar'!$W$948)=FALSE,"",IF((Summary!$C$13="N")*('Dvd Calendar'!$W$952='Field Check'!$C$25)&gt;0,"",'Dvd Calendar'!$W$948)))</f>
        <v/>
      </c>
      <c r="DX71" s="85">
        <f>IF(BJ71="","",IF(ISNUMBER('Dvd Calendar'!$X$948)=FALSE,"",IF((Summary!$C$13="N")*('Dvd Calendar'!$X$952='Field Check'!$C$25)&gt;0,"",'Dvd Calendar'!$X$948)))</f>
        <v/>
      </c>
      <c r="DY71" s="85">
        <f>IF(BK71="","",IF(ISNUMBER('Dvd Calendar'!$Y$948)=FALSE,"",IF((Summary!$C$13="N")*('Dvd Calendar'!$Y$952='Field Check'!$C$25)&gt;0,"",'Dvd Calendar'!$Y$948)))</f>
        <v/>
      </c>
      <c r="DZ71" s="85">
        <f>IF(BL71="","",IF(ISNUMBER('Dvd Calendar'!$Z$948)=FALSE,"",IF((Summary!$C$13="N")*('Dvd Calendar'!$Z$952='Field Check'!$C$25)&gt;0,"",'Dvd Calendar'!$Z$948)))</f>
        <v/>
      </c>
      <c r="EA71" s="85">
        <f>IF(BM71="","",IF(ISNUMBER('Dvd Calendar'!$AA$948)=FALSE,"",IF((Summary!$C$13="N")*('Dvd Calendar'!$AA$952='Field Check'!$C$25)&gt;0,"",'Dvd Calendar'!$AA$948)))</f>
        <v/>
      </c>
      <c r="EB71" s="85">
        <f>IF(BN71="","",IF(ISNUMBER('Dvd Calendar'!$AB$948)=FALSE,"",IF((Summary!$C$13="N")*('Dvd Calendar'!$AB$952='Field Check'!$C$25)&gt;0,"",'Dvd Calendar'!$AB$948)))</f>
        <v/>
      </c>
      <c r="EC71" s="85">
        <f>IF(BO71="","",IF(ISNUMBER('Dvd Calendar'!$AC$948)=FALSE,"",IF((Summary!$C$13="N")*('Dvd Calendar'!$AC$952='Field Check'!$C$25)&gt;0,"",'Dvd Calendar'!$AC$948)))</f>
        <v/>
      </c>
      <c r="EE71" s="85">
        <f>IF(BQ71="","",IFERROR(BQ71*HSI!$B$69*HSI!$G$69/HSI!$B$3,""))</f>
        <v/>
      </c>
      <c r="EF71" s="85">
        <f>IF(BR71="","",IFERROR(BR71*HSI!$B$69*HSI!$G$69/HSI!$B$3,""))</f>
        <v/>
      </c>
      <c r="EG71" s="85">
        <f>IF(BS71="","",IFERROR(BS71*HSI!$B$69*HSI!$G$69/HSI!$B$3,""))</f>
        <v/>
      </c>
      <c r="EH71" s="85">
        <f>IF(BT71="","",IFERROR(BT71*HSI!$B$69*HSI!$G$69/HSI!$B$3,""))</f>
        <v/>
      </c>
      <c r="EI71" s="85">
        <f>IF(BU71="","",IFERROR(BU71*HSI!$B$69*HSI!$G$69/HSI!$B$3,""))</f>
        <v/>
      </c>
      <c r="EJ71" s="85">
        <f>IF(BV71="","",IFERROR(BV71*HSI!$B$69*HSI!$G$69/HSI!$B$3,""))</f>
        <v/>
      </c>
      <c r="EK71" s="85">
        <f>IF(BW71="","",IFERROR(BW71*HSI!$B$69*HSI!$G$69/HSI!$B$3,""))</f>
        <v/>
      </c>
      <c r="EL71" s="85">
        <f>IF(BX71="","",IFERROR(BX71*HSI!$B$69*HSI!$G$69/HSI!$B$3,""))</f>
        <v/>
      </c>
      <c r="EM71" s="85">
        <f>IF(BY71="","",IFERROR(BY71*HSI!$B$69*HSI!$G$69/HSI!$B$3,""))</f>
        <v/>
      </c>
      <c r="EN71" s="85">
        <f>IF(BZ71="","",IFERROR(BZ71*HSI!$B$69*HSI!$G$69/HSI!$B$3,""))</f>
        <v/>
      </c>
      <c r="EO71" s="85">
        <f>IF(CA71="","",IFERROR(CA71*HSI!$B$69*HSI!$G$69/HSI!$B$3,""))</f>
        <v/>
      </c>
      <c r="EP71" s="85">
        <f>IF(CB71="","",IFERROR(CB71*HSI!$B$69*HSI!$G$69/HSI!$B$3,""))</f>
        <v/>
      </c>
      <c r="EQ71" s="85">
        <f>IF(CC71="","",IFERROR(CC71*HSI!$B$69*HSI!$G$69/HSI!$B$3,""))</f>
        <v/>
      </c>
      <c r="ER71" s="85">
        <f>IF(CD71="","",IFERROR(CD71*HSI!$B$69*HSI!$G$69/HSI!$B$3,""))</f>
        <v/>
      </c>
      <c r="ES71" s="85">
        <f>IF(CE71="","",IFERROR(CE71*HSI!$B$69*HSI!$G$69/HSI!$B$3,""))</f>
        <v/>
      </c>
      <c r="ET71" s="85">
        <f>IF(CF71="","",IFERROR(CF71*HSI!$B$69*HSI!$G$69/HSI!$B$3,""))</f>
        <v/>
      </c>
      <c r="EU71" s="85">
        <f>IF(CG71="","",IFERROR(CG71*HSI!$B$69*HSI!$G$69/HSI!$B$3,""))</f>
        <v/>
      </c>
      <c r="EV71" s="85">
        <f>IF(CH71="","",IFERROR(CH71*HSI!$B$69*HSI!$G$69/HSI!$B$3,""))</f>
        <v/>
      </c>
      <c r="EW71" s="85">
        <f>IF(CI71="","",IFERROR(CI71*HSI!$B$69*HSI!$G$69/HSI!$B$3,""))</f>
        <v/>
      </c>
      <c r="EX71" s="85">
        <f>IF(CJ71="","",IFERROR(CJ71*HSI!$B$69*HSI!$G$69/HSI!$B$3,""))</f>
        <v/>
      </c>
      <c r="EY71" s="85">
        <f>IF(CK71="","",IFERROR(CK71*HSI!$B$69*HSI!$G$69/HSI!$B$3,""))</f>
        <v/>
      </c>
      <c r="EZ71" s="85">
        <f>IF(CL71="","",IFERROR(CL71*HSI!$B$69*HSI!$G$69/HSI!$B$3,""))</f>
        <v/>
      </c>
      <c r="FA71" s="85">
        <f>IF(CM71="","",IFERROR(CM71*HSI!$B$69*HSI!$G$69/HSI!$B$3,""))</f>
        <v/>
      </c>
      <c r="FB71" s="85">
        <f>IF(CN71="","",IFERROR(CN71*HSI!$B$69*HSI!$G$69/HSI!$B$3,""))</f>
        <v/>
      </c>
      <c r="FC71" s="85">
        <f>IF(CO71="","",IFERROR(CO71*HSI!$B$69*HSI!$G$69/HSI!$B$3,""))</f>
        <v/>
      </c>
      <c r="FD71" s="85">
        <f>IF(CP71="","",IFERROR(CP71*HSI!$B$69*HSI!$G$69/HSI!$B$3,""))</f>
        <v/>
      </c>
      <c r="FE71" s="85">
        <f>IF(CQ71="","",IFERROR(CQ71*HSI!$B$69*HSI!$G$69/HSI!$B$3,""))</f>
        <v/>
      </c>
      <c r="FF71" s="85">
        <f>IF(CR71="","",IFERROR(CR71*HSI!$B$69*HSI!$G$69/HSI!$B$3,""))</f>
        <v/>
      </c>
      <c r="FG71" s="85">
        <f>IF(CS71="","",IFERROR(CS71*HSI!$B$69*HSI!$G$69/HSI!$B$3,""))</f>
        <v/>
      </c>
      <c r="FH71" s="85">
        <f>IF(CT71="","",IFERROR(CT71*HSI!$B$69*HSI!$G$69/HSI!$B$3,""))</f>
        <v/>
      </c>
      <c r="FI71" s="85">
        <f>IF(CU71="","",IFERROR(CU71*HSI!$B$69*HSI!$G$69/HSI!$B$3,""))</f>
        <v/>
      </c>
      <c r="FJ71" s="85">
        <f>IF(CV71="","",IFERROR(CV71*HSI!$B$69*HSI!$G$69/HSI!$B$3,""))</f>
        <v/>
      </c>
      <c r="FK71" s="85">
        <f>IF(CW71="","",IFERROR(CW71*HSI!$B$69*HSI!$G$69/HSI!$B$3,""))</f>
        <v/>
      </c>
      <c r="FL71" s="85">
        <f>IF(CX71="","",IFERROR(CX71*HSI!$B$69*HSI!$G$69/HSI!$B$3,""))</f>
        <v/>
      </c>
      <c r="FM71" s="85">
        <f>IF(CY71="","",IFERROR(CY71*HSI!$B$69*HSI!$G$69/HSI!$B$3,""))</f>
        <v/>
      </c>
      <c r="FN71" s="85">
        <f>IF(CZ71="","",IFERROR(CZ71*HSI!$B$69*HSI!$G$69/HSI!$B$3,""))</f>
        <v/>
      </c>
      <c r="FO71" s="85">
        <f>IF(DA71="","",IFERROR(DA71*HSI!$B$69*HSI!$G$69/HSI!$B$3,""))</f>
        <v/>
      </c>
      <c r="FP71" s="85">
        <f>IF(DB71="","",IFERROR(DB71*HSI!$B$69*HSI!$G$69/HSI!$B$3,""))</f>
        <v/>
      </c>
      <c r="FQ71" s="85">
        <f>IF(DC71="","",IFERROR(DC71*HSI!$B$69*HSI!$G$69/HSI!$B$3,""))</f>
        <v/>
      </c>
      <c r="FR71" s="85">
        <f>IF(DD71="","",IFERROR(DD71*HSI!$B$69*HSI!$G$69/HSI!$B$3,""))</f>
        <v/>
      </c>
      <c r="FS71" s="85">
        <f>IF(DE71="","",IFERROR(DE71*HSI!$B$69*HSI!$G$69/HSI!$B$3,""))</f>
        <v/>
      </c>
      <c r="FT71" s="85">
        <f>IF(DF71="","",IFERROR(DF71*HSI!$B$69*HSI!$G$69/HSI!$B$3,""))</f>
        <v/>
      </c>
      <c r="FU71" s="85">
        <f>IF(DG71="","",IFERROR(DG71*HSI!$B$69*HSI!$G$69/HSI!$B$3,""))</f>
        <v/>
      </c>
      <c r="FV71" s="85">
        <f>IF(DH71="","",IFERROR(DH71*HSI!$B$69*HSI!$G$69/HSI!$B$3,""))</f>
        <v/>
      </c>
      <c r="FW71" s="85">
        <f>IF(DI71="","",IFERROR(DI71*HSI!$B$69*HSI!$G$69/HSI!$B$3,""))</f>
        <v/>
      </c>
      <c r="FX71" s="85">
        <f>IF(DJ71="","",IFERROR(DJ71*HSI!$B$69*HSI!$G$69/HSI!$B$3,""))</f>
        <v/>
      </c>
      <c r="FY71" s="85">
        <f>IF(DK71="","",IFERROR(DK71*HSI!$B$69*HSI!$G$69/HSI!$B$3,""))</f>
        <v/>
      </c>
      <c r="FZ71" s="85">
        <f>IF(DL71="","",IFERROR(DL71*HSI!$B$69*HSI!$G$69/HSI!$B$3,""))</f>
        <v/>
      </c>
      <c r="GA71" s="85">
        <f>IF(DM71="","",IFERROR(DM71*HSI!$B$69*HSI!$G$69/HSI!$B$3,""))</f>
        <v/>
      </c>
      <c r="GB71" s="85">
        <f>IF(DN71="","",IFERROR(DN71*HSI!$B$69*HSI!$G$69/HSI!$B$3,""))</f>
        <v/>
      </c>
      <c r="GC71" s="85">
        <f>IF(DO71="","",IFERROR(DO71*HSI!$B$69*HSI!$G$69/HSI!$B$3,""))</f>
        <v/>
      </c>
      <c r="GD71" s="85">
        <f>IF(DP71="","",IFERROR(DP71*HSI!$B$69*HSI!$G$69/HSI!$B$3,""))</f>
        <v/>
      </c>
      <c r="GE71" s="85">
        <f>IF(DQ71="","",IFERROR(DQ71*HSI!$B$69*HSI!$G$69/HSI!$B$3,""))</f>
        <v/>
      </c>
      <c r="GF71" s="85">
        <f>IF(DR71="","",IFERROR(DR71*HSI!$B$69*HSI!$G$69/HSI!$B$3,""))</f>
        <v/>
      </c>
      <c r="GG71" s="85">
        <f>IF(DS71="","",IFERROR(DS71*HSI!$B$69*HSI!$G$69/HSI!$B$3,""))</f>
        <v/>
      </c>
      <c r="GH71" s="85">
        <f>IF(DT71="","",IFERROR(DT71*HSI!$B$69*HSI!$G$69/HSI!$B$3,""))</f>
        <v/>
      </c>
      <c r="GI71" s="85">
        <f>IF(DU71="","",IFERROR(DU71*HSI!$B$69*HSI!$G$69/HSI!$B$3,""))</f>
        <v/>
      </c>
      <c r="GJ71" s="85">
        <f>IF(DV71="","",IFERROR(DV71*HSI!$B$69*HSI!$G$69/HSI!$B$3,""))</f>
        <v/>
      </c>
      <c r="GK71" s="85">
        <f>IF(DW71="","",IFERROR(DW71*HSI!$B$69*HSI!$G$69/HSI!$B$3,""))</f>
        <v/>
      </c>
      <c r="GL71" s="85">
        <f>IF(DX71="","",IFERROR(DX71*HSI!$B$69*HSI!$G$69/HSI!$B$3,""))</f>
        <v/>
      </c>
      <c r="GM71" s="85">
        <f>IF(DY71="","",IFERROR(DY71*HSI!$B$69*HSI!$G$69/HSI!$B$3,""))</f>
        <v/>
      </c>
      <c r="GN71" s="85">
        <f>IF(DZ71="","",IFERROR(DZ71*HSI!$B$69*HSI!$G$69/HSI!$B$3,""))</f>
        <v/>
      </c>
      <c r="GO71" s="85">
        <f>IF(EA71="","",IFERROR(EA71*HSI!$B$69*HSI!$G$69/HSI!$B$3,""))</f>
        <v/>
      </c>
      <c r="GP71" s="85">
        <f>IF(EB71="","",IFERROR(EB71*HSI!$B$69*HSI!$G$69/HSI!$B$3,""))</f>
        <v/>
      </c>
      <c r="GQ71" s="85">
        <f>IF(EC71="","",IFERROR(EC71*HSI!$B$69*HSI!$G$69/HSI!$B$3,""))</f>
        <v/>
      </c>
    </row>
    <row r="72">
      <c r="B72" s="2">
        <f>IF(HSI!$C$70="","",HSI!$C$70)</f>
        <v/>
      </c>
      <c r="C72" s="41">
        <f>IF(N('Dvd Calendar'!$E$955)=0,"",IF(('Dvd Calendar'!$E$955&gt;=MIN(DATE(Summary!$C$12,1,1),Summary!$C$11))*('Dvd Calendar'!$E$955&lt;=MAX(DATE(Summary!$C$12,12,31),Summary!$C$15))*('Dvd Calendar'!$E$955&lt;=Summary!$C$11)=0,"",'Dvd Calendar'!$E$955*1000000000+ISNUMBER('Dvd Calendar'!$E$956)*100000000+('Dvd Calendar'!$E$960='Field Check'!$C$25)*10000000+(N('Dvd Calendar'!$E$954)&gt;0)*1000000+64*1000+1))</f>
        <v/>
      </c>
      <c r="D72" s="41">
        <f>IF(N('Dvd Calendar'!$F$955)=0,"",IF(('Dvd Calendar'!$F$955&gt;=MIN(DATE(Summary!$C$12,1,1),Summary!$C$11))*('Dvd Calendar'!$F$955&lt;=MAX(DATE(Summary!$C$12,12,31),Summary!$C$15))*('Dvd Calendar'!$F$955&lt;=Summary!$C$11)=0,"",'Dvd Calendar'!$F$955*1000000000+ISNUMBER('Dvd Calendar'!$F$956)*100000000+('Dvd Calendar'!$F$960='Field Check'!$C$25)*10000000+(N('Dvd Calendar'!$F$954)&gt;0)*1000000+64*1000+2))</f>
        <v/>
      </c>
      <c r="E72" s="41">
        <f>IF(N('Dvd Calendar'!$G$955)=0,"",IF(('Dvd Calendar'!$G$955&gt;=MIN(DATE(Summary!$C$12,1,1),Summary!$C$11))*('Dvd Calendar'!$G$955&lt;=MAX(DATE(Summary!$C$12,12,31),Summary!$C$15))*('Dvd Calendar'!$G$955&lt;=Summary!$C$11)=0,"",'Dvd Calendar'!$G$955*1000000000+ISNUMBER('Dvd Calendar'!$G$956)*100000000+('Dvd Calendar'!$G$960='Field Check'!$C$25)*10000000+(N('Dvd Calendar'!$G$954)&gt;0)*1000000+64*1000+3))</f>
        <v/>
      </c>
      <c r="F72" s="41">
        <f>IF(N('Dvd Calendar'!$H$955)=0,"",IF(('Dvd Calendar'!$H$955&gt;=MIN(DATE(Summary!$C$12,1,1),Summary!$C$11))*('Dvd Calendar'!$H$955&lt;=MAX(DATE(Summary!$C$12,12,31),Summary!$C$15))*('Dvd Calendar'!$H$955&lt;=Summary!$C$11)=0,"",'Dvd Calendar'!$H$955*1000000000+ISNUMBER('Dvd Calendar'!$H$956)*100000000+('Dvd Calendar'!$H$960='Field Check'!$C$25)*10000000+(N('Dvd Calendar'!$H$954)&gt;0)*1000000+64*1000+4))</f>
        <v/>
      </c>
      <c r="G72" s="41">
        <f>IF(N('Dvd Calendar'!$I$955)=0,"",IF(('Dvd Calendar'!$I$955&gt;=MIN(DATE(Summary!$C$12,1,1),Summary!$C$11))*('Dvd Calendar'!$I$955&lt;=MAX(DATE(Summary!$C$12,12,31),Summary!$C$15))*('Dvd Calendar'!$I$955&lt;=Summary!$C$11)=0,"",'Dvd Calendar'!$I$955*1000000000+ISNUMBER('Dvd Calendar'!$I$956)*100000000+('Dvd Calendar'!$I$960='Field Check'!$C$25)*10000000+(N('Dvd Calendar'!$I$954)&gt;0)*1000000+64*1000+5))</f>
        <v/>
      </c>
      <c r="H72" s="41">
        <f>IF(N('Dvd Calendar'!$J$955)=0,"",IF(('Dvd Calendar'!$J$955&gt;=MIN(DATE(Summary!$C$12,1,1),Summary!$C$11))*('Dvd Calendar'!$J$955&lt;=MAX(DATE(Summary!$C$12,12,31),Summary!$C$15))*('Dvd Calendar'!$J$955&lt;=Summary!$C$11)=0,"",'Dvd Calendar'!$J$955*1000000000+ISNUMBER('Dvd Calendar'!$J$956)*100000000+('Dvd Calendar'!$J$960='Field Check'!$C$25)*10000000+(N('Dvd Calendar'!$J$954)&gt;0)*1000000+64*1000+6))</f>
        <v/>
      </c>
      <c r="I72" s="41">
        <f>IF(N('Dvd Calendar'!$K$955)=0,"",IF(('Dvd Calendar'!$K$955&gt;=MIN(DATE(Summary!$C$12,1,1),Summary!$C$11))*('Dvd Calendar'!$K$955&lt;=MAX(DATE(Summary!$C$12,12,31),Summary!$C$15))*('Dvd Calendar'!$K$955&lt;=Summary!$C$11)=0,"",'Dvd Calendar'!$K$955*1000000000+ISNUMBER('Dvd Calendar'!$K$956)*100000000+('Dvd Calendar'!$K$960='Field Check'!$C$25)*10000000+(N('Dvd Calendar'!$K$954)&gt;0)*1000000+64*1000+7))</f>
        <v/>
      </c>
      <c r="J72" s="41">
        <f>IF(N('Dvd Calendar'!$L$955)=0,"",IF(('Dvd Calendar'!$L$955&gt;=MIN(DATE(Summary!$C$12,1,1),Summary!$C$11))*('Dvd Calendar'!$L$955&lt;=MAX(DATE(Summary!$C$12,12,31),Summary!$C$15))*('Dvd Calendar'!$L$955&lt;=Summary!$C$11)=0,"",'Dvd Calendar'!$L$955*1000000000+ISNUMBER('Dvd Calendar'!$L$956)*100000000+('Dvd Calendar'!$L$960='Field Check'!$C$25)*10000000+(N('Dvd Calendar'!$L$954)&gt;0)*1000000+64*1000+8))</f>
        <v/>
      </c>
      <c r="K72" s="41">
        <f>IF(N('Dvd Calendar'!$M$955)=0,"",IF(('Dvd Calendar'!$M$955&gt;=MIN(DATE(Summary!$C$12,1,1),Summary!$C$11))*('Dvd Calendar'!$M$955&lt;=MAX(DATE(Summary!$C$12,12,31),Summary!$C$15))*('Dvd Calendar'!$M$955&lt;=Summary!$C$11)=0,"",'Dvd Calendar'!$M$955*1000000000+ISNUMBER('Dvd Calendar'!$M$956)*100000000+('Dvd Calendar'!$M$960='Field Check'!$C$25)*10000000+(N('Dvd Calendar'!$M$954)&gt;0)*1000000+64*1000+9))</f>
        <v/>
      </c>
      <c r="L72" s="41">
        <f>IF(N('Dvd Calendar'!$N$955)=0,"",IF(('Dvd Calendar'!$N$955&gt;=MIN(DATE(Summary!$C$12,1,1),Summary!$C$11))*('Dvd Calendar'!$N$955&lt;=MAX(DATE(Summary!$C$12,12,31),Summary!$C$15))*('Dvd Calendar'!$N$955&lt;=Summary!$C$11)=0,"",'Dvd Calendar'!$N$955*1000000000+ISNUMBER('Dvd Calendar'!$N$956)*100000000+('Dvd Calendar'!$N$960='Field Check'!$C$25)*10000000+(N('Dvd Calendar'!$N$954)&gt;0)*1000000+64*1000+10))</f>
        <v/>
      </c>
      <c r="M72" s="41">
        <f>IF(N('Dvd Calendar'!$O$955)=0,"",IF(('Dvd Calendar'!$O$955&gt;=MIN(DATE(Summary!$C$12,1,1),Summary!$C$11))*('Dvd Calendar'!$O$955&lt;=MAX(DATE(Summary!$C$12,12,31),Summary!$C$15))*('Dvd Calendar'!$O$955&lt;=Summary!$C$11)=0,"",'Dvd Calendar'!$O$955*1000000000+ISNUMBER('Dvd Calendar'!$O$956)*100000000+('Dvd Calendar'!$O$960='Field Check'!$C$25)*10000000+(N('Dvd Calendar'!$O$954)&gt;0)*1000000+64*1000+11))</f>
        <v/>
      </c>
      <c r="N72" s="41">
        <f>IF(N('Dvd Calendar'!$P$955)=0,"",IF(('Dvd Calendar'!$P$955&gt;=MIN(DATE(Summary!$C$12,1,1),Summary!$C$11))*('Dvd Calendar'!$P$955&lt;=MAX(DATE(Summary!$C$12,12,31),Summary!$C$15))*('Dvd Calendar'!$P$955&lt;=Summary!$C$11)=0,"",'Dvd Calendar'!$P$955*1000000000+ISNUMBER('Dvd Calendar'!$P$956)*100000000+('Dvd Calendar'!$P$960='Field Check'!$C$25)*10000000+(N('Dvd Calendar'!$P$954)&gt;0)*1000000+64*1000+12))</f>
        <v/>
      </c>
      <c r="O72" s="41">
        <f>IF(N('Dvd Calendar'!$Q$955)=0,"",IF(('Dvd Calendar'!$Q$955&gt;=MIN(DATE(Summary!$C$12,1,1),Summary!$C$11))*('Dvd Calendar'!$Q$955&lt;=MAX(DATE(Summary!$C$12,12,31),Summary!$C$15))*('Dvd Calendar'!$Q$955&lt;=Summary!$C$11)=0,"",'Dvd Calendar'!$Q$955*1000000000+ISNUMBER('Dvd Calendar'!$Q$956)*100000000+('Dvd Calendar'!$Q$960='Field Check'!$C$25)*10000000+(N('Dvd Calendar'!$Q$954)&gt;0)*1000000+64*1000+13))</f>
        <v/>
      </c>
      <c r="P72" s="41">
        <f>IF(N('Dvd Calendar'!$R$955)=0,"",IF(('Dvd Calendar'!$R$955&gt;=MIN(DATE(Summary!$C$12,1,1),Summary!$C$11))*('Dvd Calendar'!$R$955&lt;=MAX(DATE(Summary!$C$12,12,31),Summary!$C$15))*('Dvd Calendar'!$R$955&lt;=Summary!$C$11)=0,"",'Dvd Calendar'!$R$955*1000000000+ISNUMBER('Dvd Calendar'!$R$956)*100000000+('Dvd Calendar'!$R$960='Field Check'!$C$25)*10000000+(N('Dvd Calendar'!$R$954)&gt;0)*1000000+64*1000+14))</f>
        <v/>
      </c>
      <c r="Q72" s="41">
        <f>IF(N('Dvd Calendar'!$S$955)=0,"",IF(('Dvd Calendar'!$S$955&gt;=MIN(DATE(Summary!$C$12,1,1),Summary!$C$11))*('Dvd Calendar'!$S$955&lt;=MAX(DATE(Summary!$C$12,12,31),Summary!$C$15))*('Dvd Calendar'!$S$955&lt;=Summary!$C$11)=0,"",'Dvd Calendar'!$S$955*1000000000+ISNUMBER('Dvd Calendar'!$S$956)*100000000+('Dvd Calendar'!$S$960='Field Check'!$C$25)*10000000+(N('Dvd Calendar'!$S$954)&gt;0)*1000000+64*1000+15))</f>
        <v/>
      </c>
      <c r="R72" s="41">
        <f>IF(N('Dvd Calendar'!$T$955)=0,"",IF(('Dvd Calendar'!$T$955&gt;=MIN(DATE(Summary!$C$12,1,1),Summary!$C$11))*('Dvd Calendar'!$T$955&lt;=MAX(DATE(Summary!$C$12,12,31),Summary!$C$15))*('Dvd Calendar'!$T$955&lt;=Summary!$C$11)=0,"",'Dvd Calendar'!$T$955*1000000000+ISNUMBER('Dvd Calendar'!$T$956)*100000000+('Dvd Calendar'!$T$960='Field Check'!$C$25)*10000000+(N('Dvd Calendar'!$T$954)&gt;0)*1000000+64*1000+16))</f>
        <v/>
      </c>
      <c r="S72" s="41">
        <f>IF(N('Dvd Calendar'!$U$955)=0,"",IF(('Dvd Calendar'!$U$955&gt;=MIN(DATE(Summary!$C$12,1,1),Summary!$C$11))*('Dvd Calendar'!$U$955&lt;=MAX(DATE(Summary!$C$12,12,31),Summary!$C$15))*('Dvd Calendar'!$U$955&lt;=Summary!$C$11)=0,"",'Dvd Calendar'!$U$955*1000000000+ISNUMBER('Dvd Calendar'!$U$956)*100000000+('Dvd Calendar'!$U$960='Field Check'!$C$25)*10000000+(N('Dvd Calendar'!$U$954)&gt;0)*1000000+64*1000+17))</f>
        <v/>
      </c>
      <c r="T72" s="41">
        <f>IF(N('Dvd Calendar'!$V$955)=0,"",IF(('Dvd Calendar'!$V$955&gt;=MIN(DATE(Summary!$C$12,1,1),Summary!$C$11))*('Dvd Calendar'!$V$955&lt;=MAX(DATE(Summary!$C$12,12,31),Summary!$C$15))*('Dvd Calendar'!$V$955&lt;=Summary!$C$11)=0,"",'Dvd Calendar'!$V$955*1000000000+ISNUMBER('Dvd Calendar'!$V$956)*100000000+('Dvd Calendar'!$V$960='Field Check'!$C$25)*10000000+(N('Dvd Calendar'!$V$954)&gt;0)*1000000+64*1000+18))</f>
        <v/>
      </c>
      <c r="U72" s="41">
        <f>IF(N('Dvd Calendar'!$W$955)=0,"",IF(('Dvd Calendar'!$W$955&gt;=MIN(DATE(Summary!$C$12,1,1),Summary!$C$11))*('Dvd Calendar'!$W$955&lt;=MAX(DATE(Summary!$C$12,12,31),Summary!$C$15))*('Dvd Calendar'!$W$955&lt;=Summary!$C$11)=0,"",'Dvd Calendar'!$W$955*1000000000+ISNUMBER('Dvd Calendar'!$W$956)*100000000+('Dvd Calendar'!$W$960='Field Check'!$C$25)*10000000+(N('Dvd Calendar'!$W$954)&gt;0)*1000000+64*1000+19))</f>
        <v/>
      </c>
      <c r="V72" s="41">
        <f>IF(N('Dvd Calendar'!$X$955)=0,"",IF(('Dvd Calendar'!$X$955&gt;=MIN(DATE(Summary!$C$12,1,1),Summary!$C$11))*('Dvd Calendar'!$X$955&lt;=MAX(DATE(Summary!$C$12,12,31),Summary!$C$15))*('Dvd Calendar'!$X$955&lt;=Summary!$C$11)=0,"",'Dvd Calendar'!$X$955*1000000000+ISNUMBER('Dvd Calendar'!$X$956)*100000000+('Dvd Calendar'!$X$960='Field Check'!$C$25)*10000000+(N('Dvd Calendar'!$X$954)&gt;0)*1000000+64*1000+20))</f>
        <v/>
      </c>
      <c r="W72" s="41">
        <f>IF(N('Dvd Calendar'!$Y$955)=0,"",IF(('Dvd Calendar'!$Y$955&gt;=MIN(DATE(Summary!$C$12,1,1),Summary!$C$11))*('Dvd Calendar'!$Y$955&lt;=MAX(DATE(Summary!$C$12,12,31),Summary!$C$15))*('Dvd Calendar'!$Y$955&lt;=Summary!$C$11)=0,"",'Dvd Calendar'!$Y$955*1000000000+ISNUMBER('Dvd Calendar'!$Y$956)*100000000+('Dvd Calendar'!$Y$960='Field Check'!$C$25)*10000000+(N('Dvd Calendar'!$Y$954)&gt;0)*1000000+64*1000+21))</f>
        <v/>
      </c>
      <c r="X72" s="41">
        <f>IF(N('Dvd Calendar'!$Z$955)=0,"",IF(('Dvd Calendar'!$Z$955&gt;=MIN(DATE(Summary!$C$12,1,1),Summary!$C$11))*('Dvd Calendar'!$Z$955&lt;=MAX(DATE(Summary!$C$12,12,31),Summary!$C$15))*('Dvd Calendar'!$Z$955&lt;=Summary!$C$11)=0,"",'Dvd Calendar'!$Z$955*1000000000+ISNUMBER('Dvd Calendar'!$Z$956)*100000000+('Dvd Calendar'!$Z$960='Field Check'!$C$25)*10000000+(N('Dvd Calendar'!$Z$954)&gt;0)*1000000+64*1000+22))</f>
        <v/>
      </c>
      <c r="Y72" s="41">
        <f>IF(N('Dvd Calendar'!$AA$955)=0,"",IF(('Dvd Calendar'!$AA$955&gt;=MIN(DATE(Summary!$C$12,1,1),Summary!$C$11))*('Dvd Calendar'!$AA$955&lt;=MAX(DATE(Summary!$C$12,12,31),Summary!$C$15))*('Dvd Calendar'!$AA$955&lt;=Summary!$C$11)=0,"",'Dvd Calendar'!$AA$955*1000000000+ISNUMBER('Dvd Calendar'!$AA$956)*100000000+('Dvd Calendar'!$AA$960='Field Check'!$C$25)*10000000+(N('Dvd Calendar'!$AA$954)&gt;0)*1000000+64*1000+23))</f>
        <v/>
      </c>
      <c r="Z72" s="41">
        <f>IF(N('Dvd Calendar'!$AB$955)=0,"",IF(('Dvd Calendar'!$AB$955&gt;=MIN(DATE(Summary!$C$12,1,1),Summary!$C$11))*('Dvd Calendar'!$AB$955&lt;=MAX(DATE(Summary!$C$12,12,31),Summary!$C$15))*('Dvd Calendar'!$AB$955&lt;=Summary!$C$11)=0,"",'Dvd Calendar'!$AB$955*1000000000+ISNUMBER('Dvd Calendar'!$AB$956)*100000000+('Dvd Calendar'!$AB$960='Field Check'!$C$25)*10000000+(N('Dvd Calendar'!$AB$954)&gt;0)*1000000+64*1000+24))</f>
        <v/>
      </c>
      <c r="AA72" s="41">
        <f>IF(N('Dvd Calendar'!$AC$955)=0,"",IF(('Dvd Calendar'!$AC$955&gt;=MIN(DATE(Summary!$C$12,1,1),Summary!$C$11))*('Dvd Calendar'!$AC$955&lt;=MAX(DATE(Summary!$C$12,12,31),Summary!$C$15))*('Dvd Calendar'!$AC$955&lt;=Summary!$C$11)=0,"",'Dvd Calendar'!$AC$955*1000000000+ISNUMBER('Dvd Calendar'!$AC$956)*100000000+('Dvd Calendar'!$AC$960='Field Check'!$C$25)*10000000+(N('Dvd Calendar'!$AC$954)&gt;0)*1000000+64*1000+25))</f>
        <v/>
      </c>
      <c r="AB72" s="41">
        <f>IF(N('Dvd Calendar'!$AD$955)=0,"",IF(('Dvd Calendar'!$AD$955&gt;=MIN(DATE(Summary!$C$12,1,1),Summary!$C$11))*('Dvd Calendar'!$AD$955&lt;=MAX(DATE(Summary!$C$12,12,31),Summary!$C$15))*('Dvd Calendar'!$AD$955&lt;=Summary!$C$11)=0,"",'Dvd Calendar'!$AD$955*1000000000+ISNUMBER('Dvd Calendar'!$AD$956)*100000000+('Dvd Calendar'!$AD$960='Field Check'!$C$25)*10000000+(N('Dvd Calendar'!$AD$954)&gt;0)*1000000+64*1000+26))</f>
        <v/>
      </c>
      <c r="AC72" s="41">
        <f>IF(N('Dvd Calendar'!$AE$955)=0,"",IF(('Dvd Calendar'!$AE$955&gt;=MIN(DATE(Summary!$C$12,1,1),Summary!$C$11))*('Dvd Calendar'!$AE$955&lt;=MAX(DATE(Summary!$C$12,12,31),Summary!$C$15))*('Dvd Calendar'!$AE$955&lt;=Summary!$C$11)=0,"",'Dvd Calendar'!$AE$955*1000000000+ISNUMBER('Dvd Calendar'!$AE$956)*100000000+('Dvd Calendar'!$AE$960='Field Check'!$C$25)*10000000+(N('Dvd Calendar'!$AE$954)&gt;0)*1000000+64*1000+27))</f>
        <v/>
      </c>
      <c r="AD72" s="41">
        <f>IF(N('Dvd Calendar'!$AF$955)=0,"",IF(('Dvd Calendar'!$AF$955&gt;=MIN(DATE(Summary!$C$12,1,1),Summary!$C$11))*('Dvd Calendar'!$AF$955&lt;=MAX(DATE(Summary!$C$12,12,31),Summary!$C$15))*('Dvd Calendar'!$AF$955&lt;=Summary!$C$11)=0,"",'Dvd Calendar'!$AF$955*1000000000+ISNUMBER('Dvd Calendar'!$AF$956)*100000000+('Dvd Calendar'!$AF$960='Field Check'!$C$25)*10000000+(N('Dvd Calendar'!$AF$954)&gt;0)*1000000+64*1000+28))</f>
        <v/>
      </c>
      <c r="AE72" s="41">
        <f>IF(N('Dvd Calendar'!$AG$955)=0,"",IF(('Dvd Calendar'!$AG$955&gt;=MIN(DATE(Summary!$C$12,1,1),Summary!$C$11))*('Dvd Calendar'!$AG$955&lt;=MAX(DATE(Summary!$C$12,12,31),Summary!$C$15))*('Dvd Calendar'!$AG$955&lt;=Summary!$C$11)=0,"",'Dvd Calendar'!$AG$955*1000000000+ISNUMBER('Dvd Calendar'!$AG$956)*100000000+('Dvd Calendar'!$AG$960='Field Check'!$C$25)*10000000+(N('Dvd Calendar'!$AG$954)&gt;0)*1000000+64*1000+29))</f>
        <v/>
      </c>
      <c r="AF72" s="41">
        <f>IF(N('Dvd Calendar'!$AH$955)=0,"",IF(('Dvd Calendar'!$AH$955&gt;=MIN(DATE(Summary!$C$12,1,1),Summary!$C$11))*('Dvd Calendar'!$AH$955&lt;=MAX(DATE(Summary!$C$12,12,31),Summary!$C$15))*('Dvd Calendar'!$AH$955&lt;=Summary!$C$11)=0,"",'Dvd Calendar'!$AH$955*1000000000+ISNUMBER('Dvd Calendar'!$AH$956)*100000000+('Dvd Calendar'!$AH$960='Field Check'!$C$25)*10000000+(N('Dvd Calendar'!$AH$954)&gt;0)*1000000+64*1000+30))</f>
        <v/>
      </c>
      <c r="AG72" s="41">
        <f>IF(N('Dvd Calendar'!$AI$955)=0,"",IF(('Dvd Calendar'!$AI$955&gt;=MIN(DATE(Summary!$C$12,1,1),Summary!$C$11))*('Dvd Calendar'!$AI$955&lt;=MAX(DATE(Summary!$C$12,12,31),Summary!$C$15))*('Dvd Calendar'!$AI$955&lt;=Summary!$C$11)=0,"",'Dvd Calendar'!$AI$955*1000000000+ISNUMBER('Dvd Calendar'!$AI$956)*100000000+('Dvd Calendar'!$AI$960='Field Check'!$C$25)*10000000+(N('Dvd Calendar'!$AI$954)&gt;0)*1000000+64*1000+31))</f>
        <v/>
      </c>
      <c r="AH72" s="41">
        <f>IF(N('Dvd Calendar'!$AJ$955)=0,"",IF(('Dvd Calendar'!$AJ$955&gt;=MIN(DATE(Summary!$C$12,1,1),Summary!$C$11))*('Dvd Calendar'!$AJ$955&lt;=MAX(DATE(Summary!$C$12,12,31),Summary!$C$15))*('Dvd Calendar'!$AJ$955&lt;=Summary!$C$11)=0,"",'Dvd Calendar'!$AJ$955*1000000000+ISNUMBER('Dvd Calendar'!$AJ$956)*100000000+('Dvd Calendar'!$AJ$960='Field Check'!$C$25)*10000000+(N('Dvd Calendar'!$AJ$954)&gt;0)*1000000+64*1000+32))</f>
        <v/>
      </c>
      <c r="AI72" s="41">
        <f>IF(N('Dvd Calendar'!$AK$955)=0,"",IF(('Dvd Calendar'!$AK$955&gt;=MIN(DATE(Summary!$C$12,1,1),Summary!$C$11))*('Dvd Calendar'!$AK$955&lt;=MAX(DATE(Summary!$C$12,12,31),Summary!$C$15))*('Dvd Calendar'!$AK$955&lt;=Summary!$C$11)=0,"",'Dvd Calendar'!$AK$955*1000000000+ISNUMBER('Dvd Calendar'!$AK$956)*100000000+('Dvd Calendar'!$AK$960='Field Check'!$C$25)*10000000+(N('Dvd Calendar'!$AK$954)&gt;0)*1000000+64*1000+33))</f>
        <v/>
      </c>
      <c r="AJ72" s="41">
        <f>IF(N('Dvd Calendar'!$AL$955)=0,"",IF(('Dvd Calendar'!$AL$955&gt;=MIN(DATE(Summary!$C$12,1,1),Summary!$C$11))*('Dvd Calendar'!$AL$955&lt;=MAX(DATE(Summary!$C$12,12,31),Summary!$C$15))*('Dvd Calendar'!$AL$955&lt;=Summary!$C$11)=0,"",'Dvd Calendar'!$AL$955*1000000000+ISNUMBER('Dvd Calendar'!$AL$956)*100000000+('Dvd Calendar'!$AL$960='Field Check'!$C$25)*10000000+(N('Dvd Calendar'!$AL$954)&gt;0)*1000000+64*1000+34))</f>
        <v/>
      </c>
      <c r="AK72" s="41">
        <f>IF(N('Dvd Calendar'!$AM$955)=0,"",IF(('Dvd Calendar'!$AM$955&gt;=MIN(DATE(Summary!$C$12,1,1),Summary!$C$11))*('Dvd Calendar'!$AM$955&lt;=MAX(DATE(Summary!$C$12,12,31),Summary!$C$15))*('Dvd Calendar'!$AM$955&lt;=Summary!$C$11)=0,"",'Dvd Calendar'!$AM$955*1000000000+ISNUMBER('Dvd Calendar'!$AM$956)*100000000+('Dvd Calendar'!$AM$960='Field Check'!$C$25)*10000000+(N('Dvd Calendar'!$AM$954)&gt;0)*1000000+64*1000+35))</f>
        <v/>
      </c>
      <c r="AL72" s="41">
        <f>IF(N('Dvd Calendar'!$AN$955)=0,"",IF(('Dvd Calendar'!$AN$955&gt;=MIN(DATE(Summary!$C$12,1,1),Summary!$C$11))*('Dvd Calendar'!$AN$955&lt;=MAX(DATE(Summary!$C$12,12,31),Summary!$C$15))*('Dvd Calendar'!$AN$955&lt;=Summary!$C$11)=0,"",'Dvd Calendar'!$AN$955*1000000000+ISNUMBER('Dvd Calendar'!$AN$956)*100000000+('Dvd Calendar'!$AN$960='Field Check'!$C$25)*10000000+(N('Dvd Calendar'!$AN$954)&gt;0)*1000000+64*1000+36))</f>
        <v/>
      </c>
      <c r="AM72" s="41">
        <f>IF(N('Dvd Calendar'!$AO$955)=0,"",IF(('Dvd Calendar'!$AO$955&gt;=MIN(DATE(Summary!$C$12,1,1),Summary!$C$11))*('Dvd Calendar'!$AO$955&lt;=MAX(DATE(Summary!$C$12,12,31),Summary!$C$15))*('Dvd Calendar'!$AO$955&lt;=Summary!$C$11)=0,"",'Dvd Calendar'!$AO$955*1000000000+ISNUMBER('Dvd Calendar'!$AO$956)*100000000+('Dvd Calendar'!$AO$960='Field Check'!$C$25)*10000000+(N('Dvd Calendar'!$AO$954)&gt;0)*1000000+64*1000+37))</f>
        <v/>
      </c>
      <c r="AN72" s="41">
        <f>IF(N('Dvd Calendar'!$AP$955)=0,"",IF(('Dvd Calendar'!$AP$955&gt;=MIN(DATE(Summary!$C$12,1,1),Summary!$C$11))*('Dvd Calendar'!$AP$955&lt;=MAX(DATE(Summary!$C$12,12,31),Summary!$C$15))*('Dvd Calendar'!$AP$955&lt;=Summary!$C$11)=0,"",'Dvd Calendar'!$AP$955*1000000000+ISNUMBER('Dvd Calendar'!$AP$956)*100000000+('Dvd Calendar'!$AP$960='Field Check'!$C$25)*10000000+(N('Dvd Calendar'!$AP$954)&gt;0)*1000000+64*1000+38))</f>
        <v/>
      </c>
      <c r="AO72" s="41">
        <f>IF(N('Dvd Calendar'!$AQ$955)=0,"",IF(('Dvd Calendar'!$AQ$955&gt;=MIN(DATE(Summary!$C$12,1,1),Summary!$C$11))*('Dvd Calendar'!$AQ$955&lt;=MAX(DATE(Summary!$C$12,12,31),Summary!$C$15))*('Dvd Calendar'!$AQ$955&lt;=Summary!$C$11)=0,"",'Dvd Calendar'!$AQ$955*1000000000+ISNUMBER('Dvd Calendar'!$AQ$956)*100000000+('Dvd Calendar'!$AQ$960='Field Check'!$C$25)*10000000+(N('Dvd Calendar'!$AQ$954)&gt;0)*1000000+64*1000+39))</f>
        <v/>
      </c>
      <c r="AP72" s="41">
        <f>IF(N('Dvd Calendar'!$AR$955)=0,"",IF(('Dvd Calendar'!$AR$955&gt;=MIN(DATE(Summary!$C$12,1,1),Summary!$C$11))*('Dvd Calendar'!$AR$955&lt;=MAX(DATE(Summary!$C$12,12,31),Summary!$C$15))*('Dvd Calendar'!$AR$955&lt;=Summary!$C$11)=0,"",'Dvd Calendar'!$AR$955*1000000000+ISNUMBER('Dvd Calendar'!$AR$956)*100000000+('Dvd Calendar'!$AR$960='Field Check'!$C$25)*10000000+(N('Dvd Calendar'!$AR$954)&gt;0)*1000000+64*1000+40))</f>
        <v/>
      </c>
      <c r="AQ72" s="41">
        <f>IF(N('Dvd Calendar'!$E$962)=0,"",IF(('Dvd Calendar'!$E$962&gt;=MIN(DATE(Summary!$C$12,1,1),Summary!$C$11))*('Dvd Calendar'!$E$962&lt;=MAX(DATE(Summary!$C$12,12,31),Summary!$C$15))*('Dvd Calendar'!$E$962&gt;Summary!$C$11)=0,"",'Dvd Calendar'!$E$962*1000000000+ISNUMBER('Dvd Calendar'!$E$963)*100000000+('Dvd Calendar'!$E$967='Field Check'!$C$25)*10000000+(N('Dvd Calendar'!$E$961)&gt;0)*1000000+64*1000+41))</f>
        <v/>
      </c>
      <c r="AR72" s="41">
        <f>IF(N('Dvd Calendar'!$F$962)=0,"",IF(('Dvd Calendar'!$F$962&gt;=MIN(DATE(Summary!$C$12,1,1),Summary!$C$11))*('Dvd Calendar'!$F$962&lt;=MAX(DATE(Summary!$C$12,12,31),Summary!$C$15))*('Dvd Calendar'!$F$962&gt;Summary!$C$11)=0,"",'Dvd Calendar'!$F$962*1000000000+ISNUMBER('Dvd Calendar'!$F$963)*100000000+('Dvd Calendar'!$F$967='Field Check'!$C$25)*10000000+(N('Dvd Calendar'!$F$961)&gt;0)*1000000+64*1000+42))</f>
        <v/>
      </c>
      <c r="AS72" s="41">
        <f>IF(N('Dvd Calendar'!$G$962)=0,"",IF(('Dvd Calendar'!$G$962&gt;=MIN(DATE(Summary!$C$12,1,1),Summary!$C$11))*('Dvd Calendar'!$G$962&lt;=MAX(DATE(Summary!$C$12,12,31),Summary!$C$15))*('Dvd Calendar'!$G$962&gt;Summary!$C$11)=0,"",'Dvd Calendar'!$G$962*1000000000+ISNUMBER('Dvd Calendar'!$G$963)*100000000+('Dvd Calendar'!$G$967='Field Check'!$C$25)*10000000+(N('Dvd Calendar'!$G$961)&gt;0)*1000000+64*1000+43))</f>
        <v/>
      </c>
      <c r="AT72" s="41">
        <f>IF(N('Dvd Calendar'!$H$962)=0,"",IF(('Dvd Calendar'!$H$962&gt;=MIN(DATE(Summary!$C$12,1,1),Summary!$C$11))*('Dvd Calendar'!$H$962&lt;=MAX(DATE(Summary!$C$12,12,31),Summary!$C$15))*('Dvd Calendar'!$H$962&gt;Summary!$C$11)=0,"",'Dvd Calendar'!$H$962*1000000000+ISNUMBER('Dvd Calendar'!$H$963)*100000000+('Dvd Calendar'!$H$967='Field Check'!$C$25)*10000000+(N('Dvd Calendar'!$H$961)&gt;0)*1000000+64*1000+44))</f>
        <v/>
      </c>
      <c r="AU72" s="41">
        <f>IF(N('Dvd Calendar'!$I$962)=0,"",IF(('Dvd Calendar'!$I$962&gt;=MIN(DATE(Summary!$C$12,1,1),Summary!$C$11))*('Dvd Calendar'!$I$962&lt;=MAX(DATE(Summary!$C$12,12,31),Summary!$C$15))*('Dvd Calendar'!$I$962&gt;Summary!$C$11)=0,"",'Dvd Calendar'!$I$962*1000000000+ISNUMBER('Dvd Calendar'!$I$963)*100000000+('Dvd Calendar'!$I$967='Field Check'!$C$25)*10000000+(N('Dvd Calendar'!$I$961)&gt;0)*1000000+64*1000+45))</f>
        <v/>
      </c>
      <c r="AV72" s="41">
        <f>IF(N('Dvd Calendar'!$J$962)=0,"",IF(('Dvd Calendar'!$J$962&gt;=MIN(DATE(Summary!$C$12,1,1),Summary!$C$11))*('Dvd Calendar'!$J$962&lt;=MAX(DATE(Summary!$C$12,12,31),Summary!$C$15))*('Dvd Calendar'!$J$962&gt;Summary!$C$11)=0,"",'Dvd Calendar'!$J$962*1000000000+ISNUMBER('Dvd Calendar'!$J$963)*100000000+('Dvd Calendar'!$J$967='Field Check'!$C$25)*10000000+(N('Dvd Calendar'!$J$961)&gt;0)*1000000+64*1000+46))</f>
        <v/>
      </c>
      <c r="AW72" s="41">
        <f>IF(N('Dvd Calendar'!$K$962)=0,"",IF(('Dvd Calendar'!$K$962&gt;=MIN(DATE(Summary!$C$12,1,1),Summary!$C$11))*('Dvd Calendar'!$K$962&lt;=MAX(DATE(Summary!$C$12,12,31),Summary!$C$15))*('Dvd Calendar'!$K$962&gt;Summary!$C$11)=0,"",'Dvd Calendar'!$K$962*1000000000+ISNUMBER('Dvd Calendar'!$K$963)*100000000+('Dvd Calendar'!$K$967='Field Check'!$C$25)*10000000+(N('Dvd Calendar'!$K$961)&gt;0)*1000000+64*1000+47))</f>
        <v/>
      </c>
      <c r="AX72" s="41">
        <f>IF(N('Dvd Calendar'!$L$962)=0,"",IF(('Dvd Calendar'!$L$962&gt;=MIN(DATE(Summary!$C$12,1,1),Summary!$C$11))*('Dvd Calendar'!$L$962&lt;=MAX(DATE(Summary!$C$12,12,31),Summary!$C$15))*('Dvd Calendar'!$L$962&gt;Summary!$C$11)=0,"",'Dvd Calendar'!$L$962*1000000000+ISNUMBER('Dvd Calendar'!$L$963)*100000000+('Dvd Calendar'!$L$967='Field Check'!$C$25)*10000000+(N('Dvd Calendar'!$L$961)&gt;0)*1000000+64*1000+48))</f>
        <v/>
      </c>
      <c r="AY72" s="41">
        <f>IF(N('Dvd Calendar'!$M$962)=0,"",IF(('Dvd Calendar'!$M$962&gt;=MIN(DATE(Summary!$C$12,1,1),Summary!$C$11))*('Dvd Calendar'!$M$962&lt;=MAX(DATE(Summary!$C$12,12,31),Summary!$C$15))*('Dvd Calendar'!$M$962&gt;Summary!$C$11)=0,"",'Dvd Calendar'!$M$962*1000000000+ISNUMBER('Dvd Calendar'!$M$963)*100000000+('Dvd Calendar'!$M$967='Field Check'!$C$25)*10000000+(N('Dvd Calendar'!$M$961)&gt;0)*1000000+64*1000+49))</f>
        <v/>
      </c>
      <c r="AZ72" s="41">
        <f>IF(N('Dvd Calendar'!$N$962)=0,"",IF(('Dvd Calendar'!$N$962&gt;=MIN(DATE(Summary!$C$12,1,1),Summary!$C$11))*('Dvd Calendar'!$N$962&lt;=MAX(DATE(Summary!$C$12,12,31),Summary!$C$15))*('Dvd Calendar'!$N$962&gt;Summary!$C$11)=0,"",'Dvd Calendar'!$N$962*1000000000+ISNUMBER('Dvd Calendar'!$N$963)*100000000+('Dvd Calendar'!$N$967='Field Check'!$C$25)*10000000+(N('Dvd Calendar'!$N$961)&gt;0)*1000000+64*1000+50))</f>
        <v/>
      </c>
      <c r="BA72" s="41">
        <f>IF(N('Dvd Calendar'!$O$962)=0,"",IF(('Dvd Calendar'!$O$962&gt;=MIN(DATE(Summary!$C$12,1,1),Summary!$C$11))*('Dvd Calendar'!$O$962&lt;=MAX(DATE(Summary!$C$12,12,31),Summary!$C$15))*('Dvd Calendar'!$O$962&gt;Summary!$C$11)=0,"",'Dvd Calendar'!$O$962*1000000000+ISNUMBER('Dvd Calendar'!$O$963)*100000000+('Dvd Calendar'!$O$967='Field Check'!$C$25)*10000000+(N('Dvd Calendar'!$O$961)&gt;0)*1000000+64*1000+51))</f>
        <v/>
      </c>
      <c r="BB72" s="41">
        <f>IF(N('Dvd Calendar'!$P$962)=0,"",IF(('Dvd Calendar'!$P$962&gt;=MIN(DATE(Summary!$C$12,1,1),Summary!$C$11))*('Dvd Calendar'!$P$962&lt;=MAX(DATE(Summary!$C$12,12,31),Summary!$C$15))*('Dvd Calendar'!$P$962&gt;Summary!$C$11)=0,"",'Dvd Calendar'!$P$962*1000000000+ISNUMBER('Dvd Calendar'!$P$963)*100000000+('Dvd Calendar'!$P$967='Field Check'!$C$25)*10000000+(N('Dvd Calendar'!$P$961)&gt;0)*1000000+64*1000+52))</f>
        <v/>
      </c>
      <c r="BC72" s="41">
        <f>IF(N('Dvd Calendar'!$Q$962)=0,"",IF(('Dvd Calendar'!$Q$962&gt;=MIN(DATE(Summary!$C$12,1,1),Summary!$C$11))*('Dvd Calendar'!$Q$962&lt;=MAX(DATE(Summary!$C$12,12,31),Summary!$C$15))*('Dvd Calendar'!$Q$962&gt;Summary!$C$11)=0,"",'Dvd Calendar'!$Q$962*1000000000+ISNUMBER('Dvd Calendar'!$Q$963)*100000000+('Dvd Calendar'!$Q$967='Field Check'!$C$25)*10000000+(N('Dvd Calendar'!$Q$961)&gt;0)*1000000+64*1000+53))</f>
        <v/>
      </c>
      <c r="BD72" s="41">
        <f>IF(N('Dvd Calendar'!$R$962)=0,"",IF(('Dvd Calendar'!$R$962&gt;=MIN(DATE(Summary!$C$12,1,1),Summary!$C$11))*('Dvd Calendar'!$R$962&lt;=MAX(DATE(Summary!$C$12,12,31),Summary!$C$15))*('Dvd Calendar'!$R$962&gt;Summary!$C$11)=0,"",'Dvd Calendar'!$R$962*1000000000+ISNUMBER('Dvd Calendar'!$R$963)*100000000+('Dvd Calendar'!$R$967='Field Check'!$C$25)*10000000+(N('Dvd Calendar'!$R$961)&gt;0)*1000000+64*1000+54))</f>
        <v/>
      </c>
      <c r="BE72" s="41">
        <f>IF(N('Dvd Calendar'!$S$962)=0,"",IF(('Dvd Calendar'!$S$962&gt;=MIN(DATE(Summary!$C$12,1,1),Summary!$C$11))*('Dvd Calendar'!$S$962&lt;=MAX(DATE(Summary!$C$12,12,31),Summary!$C$15))*('Dvd Calendar'!$S$962&gt;Summary!$C$11)=0,"",'Dvd Calendar'!$S$962*1000000000+ISNUMBER('Dvd Calendar'!$S$963)*100000000+('Dvd Calendar'!$S$967='Field Check'!$C$25)*10000000+(N('Dvd Calendar'!$S$961)&gt;0)*1000000+64*1000+55))</f>
        <v/>
      </c>
      <c r="BF72" s="41">
        <f>IF(N('Dvd Calendar'!$T$962)=0,"",IF(('Dvd Calendar'!$T$962&gt;=MIN(DATE(Summary!$C$12,1,1),Summary!$C$11))*('Dvd Calendar'!$T$962&lt;=MAX(DATE(Summary!$C$12,12,31),Summary!$C$15))*('Dvd Calendar'!$T$962&gt;Summary!$C$11)=0,"",'Dvd Calendar'!$T$962*1000000000+ISNUMBER('Dvd Calendar'!$T$963)*100000000+('Dvd Calendar'!$T$967='Field Check'!$C$25)*10000000+(N('Dvd Calendar'!$T$961)&gt;0)*1000000+64*1000+56))</f>
        <v/>
      </c>
      <c r="BG72" s="41">
        <f>IF(N('Dvd Calendar'!$U$962)=0,"",IF(('Dvd Calendar'!$U$962&gt;=MIN(DATE(Summary!$C$12,1,1),Summary!$C$11))*('Dvd Calendar'!$U$962&lt;=MAX(DATE(Summary!$C$12,12,31),Summary!$C$15))*('Dvd Calendar'!$U$962&gt;Summary!$C$11)=0,"",'Dvd Calendar'!$U$962*1000000000+ISNUMBER('Dvd Calendar'!$U$963)*100000000+('Dvd Calendar'!$U$967='Field Check'!$C$25)*10000000+(N('Dvd Calendar'!$U$961)&gt;0)*1000000+64*1000+57))</f>
        <v/>
      </c>
      <c r="BH72" s="41">
        <f>IF(N('Dvd Calendar'!$V$962)=0,"",IF(('Dvd Calendar'!$V$962&gt;=MIN(DATE(Summary!$C$12,1,1),Summary!$C$11))*('Dvd Calendar'!$V$962&lt;=MAX(DATE(Summary!$C$12,12,31),Summary!$C$15))*('Dvd Calendar'!$V$962&gt;Summary!$C$11)=0,"",'Dvd Calendar'!$V$962*1000000000+ISNUMBER('Dvd Calendar'!$V$963)*100000000+('Dvd Calendar'!$V$967='Field Check'!$C$25)*10000000+(N('Dvd Calendar'!$V$961)&gt;0)*1000000+64*1000+58))</f>
        <v/>
      </c>
      <c r="BI72" s="41">
        <f>IF(N('Dvd Calendar'!$W$962)=0,"",IF(('Dvd Calendar'!$W$962&gt;=MIN(DATE(Summary!$C$12,1,1),Summary!$C$11))*('Dvd Calendar'!$W$962&lt;=MAX(DATE(Summary!$C$12,12,31),Summary!$C$15))*('Dvd Calendar'!$W$962&gt;Summary!$C$11)=0,"",'Dvd Calendar'!$W$962*1000000000+ISNUMBER('Dvd Calendar'!$W$963)*100000000+('Dvd Calendar'!$W$967='Field Check'!$C$25)*10000000+(N('Dvd Calendar'!$W$961)&gt;0)*1000000+64*1000+59))</f>
        <v/>
      </c>
      <c r="BJ72" s="41">
        <f>IF(N('Dvd Calendar'!$X$962)=0,"",IF(('Dvd Calendar'!$X$962&gt;=MIN(DATE(Summary!$C$12,1,1),Summary!$C$11))*('Dvd Calendar'!$X$962&lt;=MAX(DATE(Summary!$C$12,12,31),Summary!$C$15))*('Dvd Calendar'!$X$962&gt;Summary!$C$11)=0,"",'Dvd Calendar'!$X$962*1000000000+ISNUMBER('Dvd Calendar'!$X$963)*100000000+('Dvd Calendar'!$X$967='Field Check'!$C$25)*10000000+(N('Dvd Calendar'!$X$961)&gt;0)*1000000+64*1000+60))</f>
        <v/>
      </c>
      <c r="BK72" s="41">
        <f>IF(N('Dvd Calendar'!$Y$962)=0,"",IF(('Dvd Calendar'!$Y$962&gt;=MIN(DATE(Summary!$C$12,1,1),Summary!$C$11))*('Dvd Calendar'!$Y$962&lt;=MAX(DATE(Summary!$C$12,12,31),Summary!$C$15))*('Dvd Calendar'!$Y$962&gt;Summary!$C$11)=0,"",'Dvd Calendar'!$Y$962*1000000000+ISNUMBER('Dvd Calendar'!$Y$963)*100000000+('Dvd Calendar'!$Y$967='Field Check'!$C$25)*10000000+(N('Dvd Calendar'!$Y$961)&gt;0)*1000000+64*1000+61))</f>
        <v/>
      </c>
      <c r="BL72" s="41">
        <f>IF(N('Dvd Calendar'!$Z$962)=0,"",IF(('Dvd Calendar'!$Z$962&gt;=MIN(DATE(Summary!$C$12,1,1),Summary!$C$11))*('Dvd Calendar'!$Z$962&lt;=MAX(DATE(Summary!$C$12,12,31),Summary!$C$15))*('Dvd Calendar'!$Z$962&gt;Summary!$C$11)=0,"",'Dvd Calendar'!$Z$962*1000000000+ISNUMBER('Dvd Calendar'!$Z$963)*100000000+('Dvd Calendar'!$Z$967='Field Check'!$C$25)*10000000+(N('Dvd Calendar'!$Z$961)&gt;0)*1000000+64*1000+62))</f>
        <v/>
      </c>
      <c r="BM72" s="41">
        <f>IF(N('Dvd Calendar'!$AA$962)=0,"",IF(('Dvd Calendar'!$AA$962&gt;=MIN(DATE(Summary!$C$12,1,1),Summary!$C$11))*('Dvd Calendar'!$AA$962&lt;=MAX(DATE(Summary!$C$12,12,31),Summary!$C$15))*('Dvd Calendar'!$AA$962&gt;Summary!$C$11)=0,"",'Dvd Calendar'!$AA$962*1000000000+ISNUMBER('Dvd Calendar'!$AA$963)*100000000+('Dvd Calendar'!$AA$967='Field Check'!$C$25)*10000000+(N('Dvd Calendar'!$AA$961)&gt;0)*1000000+64*1000+63))</f>
        <v/>
      </c>
      <c r="BN72" s="41">
        <f>IF(N('Dvd Calendar'!$AB$962)=0,"",IF(('Dvd Calendar'!$AB$962&gt;=MIN(DATE(Summary!$C$12,1,1),Summary!$C$11))*('Dvd Calendar'!$AB$962&lt;=MAX(DATE(Summary!$C$12,12,31),Summary!$C$15))*('Dvd Calendar'!$AB$962&gt;Summary!$C$11)=0,"",'Dvd Calendar'!$AB$962*1000000000+ISNUMBER('Dvd Calendar'!$AB$963)*100000000+('Dvd Calendar'!$AB$967='Field Check'!$C$25)*10000000+(N('Dvd Calendar'!$AB$961)&gt;0)*1000000+64*1000+64))</f>
        <v/>
      </c>
      <c r="BO72" s="41">
        <f>IF(N('Dvd Calendar'!$AC$962)=0,"",IF(('Dvd Calendar'!$AC$962&gt;=MIN(DATE(Summary!$C$12,1,1),Summary!$C$11))*('Dvd Calendar'!$AC$962&lt;=MAX(DATE(Summary!$C$12,12,31),Summary!$C$15))*('Dvd Calendar'!$AC$962&gt;Summary!$C$11)=0,"",'Dvd Calendar'!$AC$962*1000000000+ISNUMBER('Dvd Calendar'!$AC$963)*100000000+('Dvd Calendar'!$AC$967='Field Check'!$C$25)*10000000+(N('Dvd Calendar'!$AC$961)&gt;0)*1000000+64*1000+65))</f>
        <v/>
      </c>
      <c r="BQ72" s="85">
        <f>IF(C72="","",IF(ISNUMBER('Dvd Calendar'!$E$956)=FALSE,"",IF((Summary!$C$13="N")*('Dvd Calendar'!$E$960='Field Check'!$C$25)&gt;0,"",'Dvd Calendar'!$E$956)))</f>
        <v/>
      </c>
      <c r="BR72" s="85">
        <f>IF(D72="","",IF(ISNUMBER('Dvd Calendar'!$F$956)=FALSE,"",IF((Summary!$C$13="N")*('Dvd Calendar'!$F$960='Field Check'!$C$25)&gt;0,"",'Dvd Calendar'!$F$956)))</f>
        <v/>
      </c>
      <c r="BS72" s="85">
        <f>IF(E72="","",IF(ISNUMBER('Dvd Calendar'!$G$956)=FALSE,"",IF((Summary!$C$13="N")*('Dvd Calendar'!$G$960='Field Check'!$C$25)&gt;0,"",'Dvd Calendar'!$G$956)))</f>
        <v/>
      </c>
      <c r="BT72" s="85">
        <f>IF(F72="","",IF(ISNUMBER('Dvd Calendar'!$H$956)=FALSE,"",IF((Summary!$C$13="N")*('Dvd Calendar'!$H$960='Field Check'!$C$25)&gt;0,"",'Dvd Calendar'!$H$956)))</f>
        <v/>
      </c>
      <c r="BU72" s="85">
        <f>IF(G72="","",IF(ISNUMBER('Dvd Calendar'!$I$956)=FALSE,"",IF((Summary!$C$13="N")*('Dvd Calendar'!$I$960='Field Check'!$C$25)&gt;0,"",'Dvd Calendar'!$I$956)))</f>
        <v/>
      </c>
      <c r="BV72" s="85">
        <f>IF(H72="","",IF(ISNUMBER('Dvd Calendar'!$J$956)=FALSE,"",IF((Summary!$C$13="N")*('Dvd Calendar'!$J$960='Field Check'!$C$25)&gt;0,"",'Dvd Calendar'!$J$956)))</f>
        <v/>
      </c>
      <c r="BW72" s="85">
        <f>IF(I72="","",IF(ISNUMBER('Dvd Calendar'!$K$956)=FALSE,"",IF((Summary!$C$13="N")*('Dvd Calendar'!$K$960='Field Check'!$C$25)&gt;0,"",'Dvd Calendar'!$K$956)))</f>
        <v/>
      </c>
      <c r="BX72" s="85">
        <f>IF(J72="","",IF(ISNUMBER('Dvd Calendar'!$L$956)=FALSE,"",IF((Summary!$C$13="N")*('Dvd Calendar'!$L$960='Field Check'!$C$25)&gt;0,"",'Dvd Calendar'!$L$956)))</f>
        <v/>
      </c>
      <c r="BY72" s="85">
        <f>IF(K72="","",IF(ISNUMBER('Dvd Calendar'!$M$956)=FALSE,"",IF((Summary!$C$13="N")*('Dvd Calendar'!$M$960='Field Check'!$C$25)&gt;0,"",'Dvd Calendar'!$M$956)))</f>
        <v/>
      </c>
      <c r="BZ72" s="85">
        <f>IF(L72="","",IF(ISNUMBER('Dvd Calendar'!$N$956)=FALSE,"",IF((Summary!$C$13="N")*('Dvd Calendar'!$N$960='Field Check'!$C$25)&gt;0,"",'Dvd Calendar'!$N$956)))</f>
        <v/>
      </c>
      <c r="CA72" s="85">
        <f>IF(M72="","",IF(ISNUMBER('Dvd Calendar'!$O$956)=FALSE,"",IF((Summary!$C$13="N")*('Dvd Calendar'!$O$960='Field Check'!$C$25)&gt;0,"",'Dvd Calendar'!$O$956)))</f>
        <v/>
      </c>
      <c r="CB72" s="85">
        <f>IF(N72="","",IF(ISNUMBER('Dvd Calendar'!$P$956)=FALSE,"",IF((Summary!$C$13="N")*('Dvd Calendar'!$P$960='Field Check'!$C$25)&gt;0,"",'Dvd Calendar'!$P$956)))</f>
        <v/>
      </c>
      <c r="CC72" s="85">
        <f>IF(O72="","",IF(ISNUMBER('Dvd Calendar'!$Q$956)=FALSE,"",IF((Summary!$C$13="N")*('Dvd Calendar'!$Q$960='Field Check'!$C$25)&gt;0,"",'Dvd Calendar'!$Q$956)))</f>
        <v/>
      </c>
      <c r="CD72" s="85">
        <f>IF(P72="","",IF(ISNUMBER('Dvd Calendar'!$R$956)=FALSE,"",IF((Summary!$C$13="N")*('Dvd Calendar'!$R$960='Field Check'!$C$25)&gt;0,"",'Dvd Calendar'!$R$956)))</f>
        <v/>
      </c>
      <c r="CE72" s="85">
        <f>IF(Q72="","",IF(ISNUMBER('Dvd Calendar'!$S$956)=FALSE,"",IF((Summary!$C$13="N")*('Dvd Calendar'!$S$960='Field Check'!$C$25)&gt;0,"",'Dvd Calendar'!$S$956)))</f>
        <v/>
      </c>
      <c r="CF72" s="85">
        <f>IF(R72="","",IF(ISNUMBER('Dvd Calendar'!$T$956)=FALSE,"",IF((Summary!$C$13="N")*('Dvd Calendar'!$T$960='Field Check'!$C$25)&gt;0,"",'Dvd Calendar'!$T$956)))</f>
        <v/>
      </c>
      <c r="CG72" s="85">
        <f>IF(S72="","",IF(ISNUMBER('Dvd Calendar'!$U$956)=FALSE,"",IF((Summary!$C$13="N")*('Dvd Calendar'!$U$960='Field Check'!$C$25)&gt;0,"",'Dvd Calendar'!$U$956)))</f>
        <v/>
      </c>
      <c r="CH72" s="85">
        <f>IF(T72="","",IF(ISNUMBER('Dvd Calendar'!$V$956)=FALSE,"",IF((Summary!$C$13="N")*('Dvd Calendar'!$V$960='Field Check'!$C$25)&gt;0,"",'Dvd Calendar'!$V$956)))</f>
        <v/>
      </c>
      <c r="CI72" s="85">
        <f>IF(U72="","",IF(ISNUMBER('Dvd Calendar'!$W$956)=FALSE,"",IF((Summary!$C$13="N")*('Dvd Calendar'!$W$960='Field Check'!$C$25)&gt;0,"",'Dvd Calendar'!$W$956)))</f>
        <v/>
      </c>
      <c r="CJ72" s="85">
        <f>IF(V72="","",IF(ISNUMBER('Dvd Calendar'!$X$956)=FALSE,"",IF((Summary!$C$13="N")*('Dvd Calendar'!$X$960='Field Check'!$C$25)&gt;0,"",'Dvd Calendar'!$X$956)))</f>
        <v/>
      </c>
      <c r="CK72" s="85">
        <f>IF(W72="","",IF(ISNUMBER('Dvd Calendar'!$Y$956)=FALSE,"",IF((Summary!$C$13="N")*('Dvd Calendar'!$Y$960='Field Check'!$C$25)&gt;0,"",'Dvd Calendar'!$Y$956)))</f>
        <v/>
      </c>
      <c r="CL72" s="85">
        <f>IF(X72="","",IF(ISNUMBER('Dvd Calendar'!$Z$956)=FALSE,"",IF((Summary!$C$13="N")*('Dvd Calendar'!$Z$960='Field Check'!$C$25)&gt;0,"",'Dvd Calendar'!$Z$956)))</f>
        <v/>
      </c>
      <c r="CM72" s="85">
        <f>IF(Y72="","",IF(ISNUMBER('Dvd Calendar'!$AA$956)=FALSE,"",IF((Summary!$C$13="N")*('Dvd Calendar'!$AA$960='Field Check'!$C$25)&gt;0,"",'Dvd Calendar'!$AA$956)))</f>
        <v/>
      </c>
      <c r="CN72" s="85">
        <f>IF(Z72="","",IF(ISNUMBER('Dvd Calendar'!$AB$956)=FALSE,"",IF((Summary!$C$13="N")*('Dvd Calendar'!$AB$960='Field Check'!$C$25)&gt;0,"",'Dvd Calendar'!$AB$956)))</f>
        <v/>
      </c>
      <c r="CO72" s="85">
        <f>IF(AA72="","",IF(ISNUMBER('Dvd Calendar'!$AC$956)=FALSE,"",IF((Summary!$C$13="N")*('Dvd Calendar'!$AC$960='Field Check'!$C$25)&gt;0,"",'Dvd Calendar'!$AC$956)))</f>
        <v/>
      </c>
      <c r="CP72" s="85">
        <f>IF(AB72="","",IF(ISNUMBER('Dvd Calendar'!$AD$956)=FALSE,"",IF((Summary!$C$13="N")*('Dvd Calendar'!$AD$960='Field Check'!$C$25)&gt;0,"",'Dvd Calendar'!$AD$956)))</f>
        <v/>
      </c>
      <c r="CQ72" s="85">
        <f>IF(AC72="","",IF(ISNUMBER('Dvd Calendar'!$AE$956)=FALSE,"",IF((Summary!$C$13="N")*('Dvd Calendar'!$AE$960='Field Check'!$C$25)&gt;0,"",'Dvd Calendar'!$AE$956)))</f>
        <v/>
      </c>
      <c r="CR72" s="85">
        <f>IF(AD72="","",IF(ISNUMBER('Dvd Calendar'!$AF$956)=FALSE,"",IF((Summary!$C$13="N")*('Dvd Calendar'!$AF$960='Field Check'!$C$25)&gt;0,"",'Dvd Calendar'!$AF$956)))</f>
        <v/>
      </c>
      <c r="CS72" s="85">
        <f>IF(AE72="","",IF(ISNUMBER('Dvd Calendar'!$AG$956)=FALSE,"",IF((Summary!$C$13="N")*('Dvd Calendar'!$AG$960='Field Check'!$C$25)&gt;0,"",'Dvd Calendar'!$AG$956)))</f>
        <v/>
      </c>
      <c r="CT72" s="85">
        <f>IF(AF72="","",IF(ISNUMBER('Dvd Calendar'!$AH$956)=FALSE,"",IF((Summary!$C$13="N")*('Dvd Calendar'!$AH$960='Field Check'!$C$25)&gt;0,"",'Dvd Calendar'!$AH$956)))</f>
        <v/>
      </c>
      <c r="CU72" s="85">
        <f>IF(AG72="","",IF(ISNUMBER('Dvd Calendar'!$AI$956)=FALSE,"",IF((Summary!$C$13="N")*('Dvd Calendar'!$AI$960='Field Check'!$C$25)&gt;0,"",'Dvd Calendar'!$AI$956)))</f>
        <v/>
      </c>
      <c r="CV72" s="85">
        <f>IF(AH72="","",IF(ISNUMBER('Dvd Calendar'!$AJ$956)=FALSE,"",IF((Summary!$C$13="N")*('Dvd Calendar'!$AJ$960='Field Check'!$C$25)&gt;0,"",'Dvd Calendar'!$AJ$956)))</f>
        <v/>
      </c>
      <c r="CW72" s="85">
        <f>IF(AI72="","",IF(ISNUMBER('Dvd Calendar'!$AK$956)=FALSE,"",IF((Summary!$C$13="N")*('Dvd Calendar'!$AK$960='Field Check'!$C$25)&gt;0,"",'Dvd Calendar'!$AK$956)))</f>
        <v/>
      </c>
      <c r="CX72" s="85">
        <f>IF(AJ72="","",IF(ISNUMBER('Dvd Calendar'!$AL$956)=FALSE,"",IF((Summary!$C$13="N")*('Dvd Calendar'!$AL$960='Field Check'!$C$25)&gt;0,"",'Dvd Calendar'!$AL$956)))</f>
        <v/>
      </c>
      <c r="CY72" s="85">
        <f>IF(AK72="","",IF(ISNUMBER('Dvd Calendar'!$AM$956)=FALSE,"",IF((Summary!$C$13="N")*('Dvd Calendar'!$AM$960='Field Check'!$C$25)&gt;0,"",'Dvd Calendar'!$AM$956)))</f>
        <v/>
      </c>
      <c r="CZ72" s="85">
        <f>IF(AL72="","",IF(ISNUMBER('Dvd Calendar'!$AN$956)=FALSE,"",IF((Summary!$C$13="N")*('Dvd Calendar'!$AN$960='Field Check'!$C$25)&gt;0,"",'Dvd Calendar'!$AN$956)))</f>
        <v/>
      </c>
      <c r="DA72" s="85">
        <f>IF(AM72="","",IF(ISNUMBER('Dvd Calendar'!$AO$956)=FALSE,"",IF((Summary!$C$13="N")*('Dvd Calendar'!$AO$960='Field Check'!$C$25)&gt;0,"",'Dvd Calendar'!$AO$956)))</f>
        <v/>
      </c>
      <c r="DB72" s="85">
        <f>IF(AN72="","",IF(ISNUMBER('Dvd Calendar'!$AP$956)=FALSE,"",IF((Summary!$C$13="N")*('Dvd Calendar'!$AP$960='Field Check'!$C$25)&gt;0,"",'Dvd Calendar'!$AP$956)))</f>
        <v/>
      </c>
      <c r="DC72" s="85">
        <f>IF(AO72="","",IF(ISNUMBER('Dvd Calendar'!$AQ$956)=FALSE,"",IF((Summary!$C$13="N")*('Dvd Calendar'!$AQ$960='Field Check'!$C$25)&gt;0,"",'Dvd Calendar'!$AQ$956)))</f>
        <v/>
      </c>
      <c r="DD72" s="85">
        <f>IF(AP72="","",IF(ISNUMBER('Dvd Calendar'!$AR$956)=FALSE,"",IF((Summary!$C$13="N")*('Dvd Calendar'!$AR$960='Field Check'!$C$25)&gt;0,"",'Dvd Calendar'!$AR$956)))</f>
        <v/>
      </c>
      <c r="DE72" s="85">
        <f>IF(AQ72="","",IF(ISNUMBER('Dvd Calendar'!$E$963)=FALSE,"",IF((Summary!$C$13="N")*('Dvd Calendar'!$E$967='Field Check'!$C$25)&gt;0,"",'Dvd Calendar'!$E$963)))</f>
        <v/>
      </c>
      <c r="DF72" s="85">
        <f>IF(AR72="","",IF(ISNUMBER('Dvd Calendar'!$F$963)=FALSE,"",IF((Summary!$C$13="N")*('Dvd Calendar'!$F$967='Field Check'!$C$25)&gt;0,"",'Dvd Calendar'!$F$963)))</f>
        <v/>
      </c>
      <c r="DG72" s="85">
        <f>IF(AS72="","",IF(ISNUMBER('Dvd Calendar'!$G$963)=FALSE,"",IF((Summary!$C$13="N")*('Dvd Calendar'!$G$967='Field Check'!$C$25)&gt;0,"",'Dvd Calendar'!$G$963)))</f>
        <v/>
      </c>
      <c r="DH72" s="85">
        <f>IF(AT72="","",IF(ISNUMBER('Dvd Calendar'!$H$963)=FALSE,"",IF((Summary!$C$13="N")*('Dvd Calendar'!$H$967='Field Check'!$C$25)&gt;0,"",'Dvd Calendar'!$H$963)))</f>
        <v/>
      </c>
      <c r="DI72" s="85">
        <f>IF(AU72="","",IF(ISNUMBER('Dvd Calendar'!$I$963)=FALSE,"",IF((Summary!$C$13="N")*('Dvd Calendar'!$I$967='Field Check'!$C$25)&gt;0,"",'Dvd Calendar'!$I$963)))</f>
        <v/>
      </c>
      <c r="DJ72" s="85">
        <f>IF(AV72="","",IF(ISNUMBER('Dvd Calendar'!$J$963)=FALSE,"",IF((Summary!$C$13="N")*('Dvd Calendar'!$J$967='Field Check'!$C$25)&gt;0,"",'Dvd Calendar'!$J$963)))</f>
        <v/>
      </c>
      <c r="DK72" s="85">
        <f>IF(AW72="","",IF(ISNUMBER('Dvd Calendar'!$K$963)=FALSE,"",IF((Summary!$C$13="N")*('Dvd Calendar'!$K$967='Field Check'!$C$25)&gt;0,"",'Dvd Calendar'!$K$963)))</f>
        <v/>
      </c>
      <c r="DL72" s="85">
        <f>IF(AX72="","",IF(ISNUMBER('Dvd Calendar'!$L$963)=FALSE,"",IF((Summary!$C$13="N")*('Dvd Calendar'!$L$967='Field Check'!$C$25)&gt;0,"",'Dvd Calendar'!$L$963)))</f>
        <v/>
      </c>
      <c r="DM72" s="85">
        <f>IF(AY72="","",IF(ISNUMBER('Dvd Calendar'!$M$963)=FALSE,"",IF((Summary!$C$13="N")*('Dvd Calendar'!$M$967='Field Check'!$C$25)&gt;0,"",'Dvd Calendar'!$M$963)))</f>
        <v/>
      </c>
      <c r="DN72" s="85">
        <f>IF(AZ72="","",IF(ISNUMBER('Dvd Calendar'!$N$963)=FALSE,"",IF((Summary!$C$13="N")*('Dvd Calendar'!$N$967='Field Check'!$C$25)&gt;0,"",'Dvd Calendar'!$N$963)))</f>
        <v/>
      </c>
      <c r="DO72" s="85">
        <f>IF(BA72="","",IF(ISNUMBER('Dvd Calendar'!$O$963)=FALSE,"",IF((Summary!$C$13="N")*('Dvd Calendar'!$O$967='Field Check'!$C$25)&gt;0,"",'Dvd Calendar'!$O$963)))</f>
        <v/>
      </c>
      <c r="DP72" s="85">
        <f>IF(BB72="","",IF(ISNUMBER('Dvd Calendar'!$P$963)=FALSE,"",IF((Summary!$C$13="N")*('Dvd Calendar'!$P$967='Field Check'!$C$25)&gt;0,"",'Dvd Calendar'!$P$963)))</f>
        <v/>
      </c>
      <c r="DQ72" s="85">
        <f>IF(BC72="","",IF(ISNUMBER('Dvd Calendar'!$Q$963)=FALSE,"",IF((Summary!$C$13="N")*('Dvd Calendar'!$Q$967='Field Check'!$C$25)&gt;0,"",'Dvd Calendar'!$Q$963)))</f>
        <v/>
      </c>
      <c r="DR72" s="85">
        <f>IF(BD72="","",IF(ISNUMBER('Dvd Calendar'!$R$963)=FALSE,"",IF((Summary!$C$13="N")*('Dvd Calendar'!$R$967='Field Check'!$C$25)&gt;0,"",'Dvd Calendar'!$R$963)))</f>
        <v/>
      </c>
      <c r="DS72" s="85">
        <f>IF(BE72="","",IF(ISNUMBER('Dvd Calendar'!$S$963)=FALSE,"",IF((Summary!$C$13="N")*('Dvd Calendar'!$S$967='Field Check'!$C$25)&gt;0,"",'Dvd Calendar'!$S$963)))</f>
        <v/>
      </c>
      <c r="DT72" s="85">
        <f>IF(BF72="","",IF(ISNUMBER('Dvd Calendar'!$T$963)=FALSE,"",IF((Summary!$C$13="N")*('Dvd Calendar'!$T$967='Field Check'!$C$25)&gt;0,"",'Dvd Calendar'!$T$963)))</f>
        <v/>
      </c>
      <c r="DU72" s="85">
        <f>IF(BG72="","",IF(ISNUMBER('Dvd Calendar'!$U$963)=FALSE,"",IF((Summary!$C$13="N")*('Dvd Calendar'!$U$967='Field Check'!$C$25)&gt;0,"",'Dvd Calendar'!$U$963)))</f>
        <v/>
      </c>
      <c r="DV72" s="85">
        <f>IF(BH72="","",IF(ISNUMBER('Dvd Calendar'!$V$963)=FALSE,"",IF((Summary!$C$13="N")*('Dvd Calendar'!$V$967='Field Check'!$C$25)&gt;0,"",'Dvd Calendar'!$V$963)))</f>
        <v/>
      </c>
      <c r="DW72" s="85">
        <f>IF(BI72="","",IF(ISNUMBER('Dvd Calendar'!$W$963)=FALSE,"",IF((Summary!$C$13="N")*('Dvd Calendar'!$W$967='Field Check'!$C$25)&gt;0,"",'Dvd Calendar'!$W$963)))</f>
        <v/>
      </c>
      <c r="DX72" s="85">
        <f>IF(BJ72="","",IF(ISNUMBER('Dvd Calendar'!$X$963)=FALSE,"",IF((Summary!$C$13="N")*('Dvd Calendar'!$X$967='Field Check'!$C$25)&gt;0,"",'Dvd Calendar'!$X$963)))</f>
        <v/>
      </c>
      <c r="DY72" s="85">
        <f>IF(BK72="","",IF(ISNUMBER('Dvd Calendar'!$Y$963)=FALSE,"",IF((Summary!$C$13="N")*('Dvd Calendar'!$Y$967='Field Check'!$C$25)&gt;0,"",'Dvd Calendar'!$Y$963)))</f>
        <v/>
      </c>
      <c r="DZ72" s="85">
        <f>IF(BL72="","",IF(ISNUMBER('Dvd Calendar'!$Z$963)=FALSE,"",IF((Summary!$C$13="N")*('Dvd Calendar'!$Z$967='Field Check'!$C$25)&gt;0,"",'Dvd Calendar'!$Z$963)))</f>
        <v/>
      </c>
      <c r="EA72" s="85">
        <f>IF(BM72="","",IF(ISNUMBER('Dvd Calendar'!$AA$963)=FALSE,"",IF((Summary!$C$13="N")*('Dvd Calendar'!$AA$967='Field Check'!$C$25)&gt;0,"",'Dvd Calendar'!$AA$963)))</f>
        <v/>
      </c>
      <c r="EB72" s="85">
        <f>IF(BN72="","",IF(ISNUMBER('Dvd Calendar'!$AB$963)=FALSE,"",IF((Summary!$C$13="N")*('Dvd Calendar'!$AB$967='Field Check'!$C$25)&gt;0,"",'Dvd Calendar'!$AB$963)))</f>
        <v/>
      </c>
      <c r="EC72" s="85">
        <f>IF(BO72="","",IF(ISNUMBER('Dvd Calendar'!$AC$963)=FALSE,"",IF((Summary!$C$13="N")*('Dvd Calendar'!$AC$967='Field Check'!$C$25)&gt;0,"",'Dvd Calendar'!$AC$963)))</f>
        <v/>
      </c>
      <c r="EE72" s="85">
        <f>IF(BQ72="","",IFERROR(BQ72*HSI!$B$70*HSI!$G$70/HSI!$B$3,""))</f>
        <v/>
      </c>
      <c r="EF72" s="85">
        <f>IF(BR72="","",IFERROR(BR72*HSI!$B$70*HSI!$G$70/HSI!$B$3,""))</f>
        <v/>
      </c>
      <c r="EG72" s="85">
        <f>IF(BS72="","",IFERROR(BS72*HSI!$B$70*HSI!$G$70/HSI!$B$3,""))</f>
        <v/>
      </c>
      <c r="EH72" s="85">
        <f>IF(BT72="","",IFERROR(BT72*HSI!$B$70*HSI!$G$70/HSI!$B$3,""))</f>
        <v/>
      </c>
      <c r="EI72" s="85">
        <f>IF(BU72="","",IFERROR(BU72*HSI!$B$70*HSI!$G$70/HSI!$B$3,""))</f>
        <v/>
      </c>
      <c r="EJ72" s="85">
        <f>IF(BV72="","",IFERROR(BV72*HSI!$B$70*HSI!$G$70/HSI!$B$3,""))</f>
        <v/>
      </c>
      <c r="EK72" s="85">
        <f>IF(BW72="","",IFERROR(BW72*HSI!$B$70*HSI!$G$70/HSI!$B$3,""))</f>
        <v/>
      </c>
      <c r="EL72" s="85">
        <f>IF(BX72="","",IFERROR(BX72*HSI!$B$70*HSI!$G$70/HSI!$B$3,""))</f>
        <v/>
      </c>
      <c r="EM72" s="85">
        <f>IF(BY72="","",IFERROR(BY72*HSI!$B$70*HSI!$G$70/HSI!$B$3,""))</f>
        <v/>
      </c>
      <c r="EN72" s="85">
        <f>IF(BZ72="","",IFERROR(BZ72*HSI!$B$70*HSI!$G$70/HSI!$B$3,""))</f>
        <v/>
      </c>
      <c r="EO72" s="85">
        <f>IF(CA72="","",IFERROR(CA72*HSI!$B$70*HSI!$G$70/HSI!$B$3,""))</f>
        <v/>
      </c>
      <c r="EP72" s="85">
        <f>IF(CB72="","",IFERROR(CB72*HSI!$B$70*HSI!$G$70/HSI!$B$3,""))</f>
        <v/>
      </c>
      <c r="EQ72" s="85">
        <f>IF(CC72="","",IFERROR(CC72*HSI!$B$70*HSI!$G$70/HSI!$B$3,""))</f>
        <v/>
      </c>
      <c r="ER72" s="85">
        <f>IF(CD72="","",IFERROR(CD72*HSI!$B$70*HSI!$G$70/HSI!$B$3,""))</f>
        <v/>
      </c>
      <c r="ES72" s="85">
        <f>IF(CE72="","",IFERROR(CE72*HSI!$B$70*HSI!$G$70/HSI!$B$3,""))</f>
        <v/>
      </c>
      <c r="ET72" s="85">
        <f>IF(CF72="","",IFERROR(CF72*HSI!$B$70*HSI!$G$70/HSI!$B$3,""))</f>
        <v/>
      </c>
      <c r="EU72" s="85">
        <f>IF(CG72="","",IFERROR(CG72*HSI!$B$70*HSI!$G$70/HSI!$B$3,""))</f>
        <v/>
      </c>
      <c r="EV72" s="85">
        <f>IF(CH72="","",IFERROR(CH72*HSI!$B$70*HSI!$G$70/HSI!$B$3,""))</f>
        <v/>
      </c>
      <c r="EW72" s="85">
        <f>IF(CI72="","",IFERROR(CI72*HSI!$B$70*HSI!$G$70/HSI!$B$3,""))</f>
        <v/>
      </c>
      <c r="EX72" s="85">
        <f>IF(CJ72="","",IFERROR(CJ72*HSI!$B$70*HSI!$G$70/HSI!$B$3,""))</f>
        <v/>
      </c>
      <c r="EY72" s="85">
        <f>IF(CK72="","",IFERROR(CK72*HSI!$B$70*HSI!$G$70/HSI!$B$3,""))</f>
        <v/>
      </c>
      <c r="EZ72" s="85">
        <f>IF(CL72="","",IFERROR(CL72*HSI!$B$70*HSI!$G$70/HSI!$B$3,""))</f>
        <v/>
      </c>
      <c r="FA72" s="85">
        <f>IF(CM72="","",IFERROR(CM72*HSI!$B$70*HSI!$G$70/HSI!$B$3,""))</f>
        <v/>
      </c>
      <c r="FB72" s="85">
        <f>IF(CN72="","",IFERROR(CN72*HSI!$B$70*HSI!$G$70/HSI!$B$3,""))</f>
        <v/>
      </c>
      <c r="FC72" s="85">
        <f>IF(CO72="","",IFERROR(CO72*HSI!$B$70*HSI!$G$70/HSI!$B$3,""))</f>
        <v/>
      </c>
      <c r="FD72" s="85">
        <f>IF(CP72="","",IFERROR(CP72*HSI!$B$70*HSI!$G$70/HSI!$B$3,""))</f>
        <v/>
      </c>
      <c r="FE72" s="85">
        <f>IF(CQ72="","",IFERROR(CQ72*HSI!$B$70*HSI!$G$70/HSI!$B$3,""))</f>
        <v/>
      </c>
      <c r="FF72" s="85">
        <f>IF(CR72="","",IFERROR(CR72*HSI!$B$70*HSI!$G$70/HSI!$B$3,""))</f>
        <v/>
      </c>
      <c r="FG72" s="85">
        <f>IF(CS72="","",IFERROR(CS72*HSI!$B$70*HSI!$G$70/HSI!$B$3,""))</f>
        <v/>
      </c>
      <c r="FH72" s="85">
        <f>IF(CT72="","",IFERROR(CT72*HSI!$B$70*HSI!$G$70/HSI!$B$3,""))</f>
        <v/>
      </c>
      <c r="FI72" s="85">
        <f>IF(CU72="","",IFERROR(CU72*HSI!$B$70*HSI!$G$70/HSI!$B$3,""))</f>
        <v/>
      </c>
      <c r="FJ72" s="85">
        <f>IF(CV72="","",IFERROR(CV72*HSI!$B$70*HSI!$G$70/HSI!$B$3,""))</f>
        <v/>
      </c>
      <c r="FK72" s="85">
        <f>IF(CW72="","",IFERROR(CW72*HSI!$B$70*HSI!$G$70/HSI!$B$3,""))</f>
        <v/>
      </c>
      <c r="FL72" s="85">
        <f>IF(CX72="","",IFERROR(CX72*HSI!$B$70*HSI!$G$70/HSI!$B$3,""))</f>
        <v/>
      </c>
      <c r="FM72" s="85">
        <f>IF(CY72="","",IFERROR(CY72*HSI!$B$70*HSI!$G$70/HSI!$B$3,""))</f>
        <v/>
      </c>
      <c r="FN72" s="85">
        <f>IF(CZ72="","",IFERROR(CZ72*HSI!$B$70*HSI!$G$70/HSI!$B$3,""))</f>
        <v/>
      </c>
      <c r="FO72" s="85">
        <f>IF(DA72="","",IFERROR(DA72*HSI!$B$70*HSI!$G$70/HSI!$B$3,""))</f>
        <v/>
      </c>
      <c r="FP72" s="85">
        <f>IF(DB72="","",IFERROR(DB72*HSI!$B$70*HSI!$G$70/HSI!$B$3,""))</f>
        <v/>
      </c>
      <c r="FQ72" s="85">
        <f>IF(DC72="","",IFERROR(DC72*HSI!$B$70*HSI!$G$70/HSI!$B$3,""))</f>
        <v/>
      </c>
      <c r="FR72" s="85">
        <f>IF(DD72="","",IFERROR(DD72*HSI!$B$70*HSI!$G$70/HSI!$B$3,""))</f>
        <v/>
      </c>
      <c r="FS72" s="85">
        <f>IF(DE72="","",IFERROR(DE72*HSI!$B$70*HSI!$G$70/HSI!$B$3,""))</f>
        <v/>
      </c>
      <c r="FT72" s="85">
        <f>IF(DF72="","",IFERROR(DF72*HSI!$B$70*HSI!$G$70/HSI!$B$3,""))</f>
        <v/>
      </c>
      <c r="FU72" s="85">
        <f>IF(DG72="","",IFERROR(DG72*HSI!$B$70*HSI!$G$70/HSI!$B$3,""))</f>
        <v/>
      </c>
      <c r="FV72" s="85">
        <f>IF(DH72="","",IFERROR(DH72*HSI!$B$70*HSI!$G$70/HSI!$B$3,""))</f>
        <v/>
      </c>
      <c r="FW72" s="85">
        <f>IF(DI72="","",IFERROR(DI72*HSI!$B$70*HSI!$G$70/HSI!$B$3,""))</f>
        <v/>
      </c>
      <c r="FX72" s="85">
        <f>IF(DJ72="","",IFERROR(DJ72*HSI!$B$70*HSI!$G$70/HSI!$B$3,""))</f>
        <v/>
      </c>
      <c r="FY72" s="85">
        <f>IF(DK72="","",IFERROR(DK72*HSI!$B$70*HSI!$G$70/HSI!$B$3,""))</f>
        <v/>
      </c>
      <c r="FZ72" s="85">
        <f>IF(DL72="","",IFERROR(DL72*HSI!$B$70*HSI!$G$70/HSI!$B$3,""))</f>
        <v/>
      </c>
      <c r="GA72" s="85">
        <f>IF(DM72="","",IFERROR(DM72*HSI!$B$70*HSI!$G$70/HSI!$B$3,""))</f>
        <v/>
      </c>
      <c r="GB72" s="85">
        <f>IF(DN72="","",IFERROR(DN72*HSI!$B$70*HSI!$G$70/HSI!$B$3,""))</f>
        <v/>
      </c>
      <c r="GC72" s="85">
        <f>IF(DO72="","",IFERROR(DO72*HSI!$B$70*HSI!$G$70/HSI!$B$3,""))</f>
        <v/>
      </c>
      <c r="GD72" s="85">
        <f>IF(DP72="","",IFERROR(DP72*HSI!$B$70*HSI!$G$70/HSI!$B$3,""))</f>
        <v/>
      </c>
      <c r="GE72" s="85">
        <f>IF(DQ72="","",IFERROR(DQ72*HSI!$B$70*HSI!$G$70/HSI!$B$3,""))</f>
        <v/>
      </c>
      <c r="GF72" s="85">
        <f>IF(DR72="","",IFERROR(DR72*HSI!$B$70*HSI!$G$70/HSI!$B$3,""))</f>
        <v/>
      </c>
      <c r="GG72" s="85">
        <f>IF(DS72="","",IFERROR(DS72*HSI!$B$70*HSI!$G$70/HSI!$B$3,""))</f>
        <v/>
      </c>
      <c r="GH72" s="85">
        <f>IF(DT72="","",IFERROR(DT72*HSI!$B$70*HSI!$G$70/HSI!$B$3,""))</f>
        <v/>
      </c>
      <c r="GI72" s="85">
        <f>IF(DU72="","",IFERROR(DU72*HSI!$B$70*HSI!$G$70/HSI!$B$3,""))</f>
        <v/>
      </c>
      <c r="GJ72" s="85">
        <f>IF(DV72="","",IFERROR(DV72*HSI!$B$70*HSI!$G$70/HSI!$B$3,""))</f>
        <v/>
      </c>
      <c r="GK72" s="85">
        <f>IF(DW72="","",IFERROR(DW72*HSI!$B$70*HSI!$G$70/HSI!$B$3,""))</f>
        <v/>
      </c>
      <c r="GL72" s="85">
        <f>IF(DX72="","",IFERROR(DX72*HSI!$B$70*HSI!$G$70/HSI!$B$3,""))</f>
        <v/>
      </c>
      <c r="GM72" s="85">
        <f>IF(DY72="","",IFERROR(DY72*HSI!$B$70*HSI!$G$70/HSI!$B$3,""))</f>
        <v/>
      </c>
      <c r="GN72" s="85">
        <f>IF(DZ72="","",IFERROR(DZ72*HSI!$B$70*HSI!$G$70/HSI!$B$3,""))</f>
        <v/>
      </c>
      <c r="GO72" s="85">
        <f>IF(EA72="","",IFERROR(EA72*HSI!$B$70*HSI!$G$70/HSI!$B$3,""))</f>
        <v/>
      </c>
      <c r="GP72" s="85">
        <f>IF(EB72="","",IFERROR(EB72*HSI!$B$70*HSI!$G$70/HSI!$B$3,""))</f>
        <v/>
      </c>
      <c r="GQ72" s="85">
        <f>IF(EC72="","",IFERROR(EC72*HSI!$B$70*HSI!$G$70/HSI!$B$3,""))</f>
        <v/>
      </c>
    </row>
    <row r="73">
      <c r="B73" s="2">
        <f>IF(HSI!$C$71="","",HSI!$C$71)</f>
        <v/>
      </c>
      <c r="C73" s="41">
        <f>IF(N('Dvd Calendar'!$E$970)=0,"",IF(('Dvd Calendar'!$E$970&gt;=MIN(DATE(Summary!$C$12,1,1),Summary!$C$11))*('Dvd Calendar'!$E$970&lt;=MAX(DATE(Summary!$C$12,12,31),Summary!$C$15))*('Dvd Calendar'!$E$970&lt;=Summary!$C$11)=0,"",'Dvd Calendar'!$E$970*1000000000+ISNUMBER('Dvd Calendar'!$E$971)*100000000+('Dvd Calendar'!$E$975='Field Check'!$C$25)*10000000+(N('Dvd Calendar'!$E$969)&gt;0)*1000000+65*1000+1))</f>
        <v/>
      </c>
      <c r="D73" s="41">
        <f>IF(N('Dvd Calendar'!$F$970)=0,"",IF(('Dvd Calendar'!$F$970&gt;=MIN(DATE(Summary!$C$12,1,1),Summary!$C$11))*('Dvd Calendar'!$F$970&lt;=MAX(DATE(Summary!$C$12,12,31),Summary!$C$15))*('Dvd Calendar'!$F$970&lt;=Summary!$C$11)=0,"",'Dvd Calendar'!$F$970*1000000000+ISNUMBER('Dvd Calendar'!$F$971)*100000000+('Dvd Calendar'!$F$975='Field Check'!$C$25)*10000000+(N('Dvd Calendar'!$F$969)&gt;0)*1000000+65*1000+2))</f>
        <v/>
      </c>
      <c r="E73" s="41">
        <f>IF(N('Dvd Calendar'!$G$970)=0,"",IF(('Dvd Calendar'!$G$970&gt;=MIN(DATE(Summary!$C$12,1,1),Summary!$C$11))*('Dvd Calendar'!$G$970&lt;=MAX(DATE(Summary!$C$12,12,31),Summary!$C$15))*('Dvd Calendar'!$G$970&lt;=Summary!$C$11)=0,"",'Dvd Calendar'!$G$970*1000000000+ISNUMBER('Dvd Calendar'!$G$971)*100000000+('Dvd Calendar'!$G$975='Field Check'!$C$25)*10000000+(N('Dvd Calendar'!$G$969)&gt;0)*1000000+65*1000+3))</f>
        <v/>
      </c>
      <c r="F73" s="41">
        <f>IF(N('Dvd Calendar'!$H$970)=0,"",IF(('Dvd Calendar'!$H$970&gt;=MIN(DATE(Summary!$C$12,1,1),Summary!$C$11))*('Dvd Calendar'!$H$970&lt;=MAX(DATE(Summary!$C$12,12,31),Summary!$C$15))*('Dvd Calendar'!$H$970&lt;=Summary!$C$11)=0,"",'Dvd Calendar'!$H$970*1000000000+ISNUMBER('Dvd Calendar'!$H$971)*100000000+('Dvd Calendar'!$H$975='Field Check'!$C$25)*10000000+(N('Dvd Calendar'!$H$969)&gt;0)*1000000+65*1000+4))</f>
        <v/>
      </c>
      <c r="G73" s="41">
        <f>IF(N('Dvd Calendar'!$I$970)=0,"",IF(('Dvd Calendar'!$I$970&gt;=MIN(DATE(Summary!$C$12,1,1),Summary!$C$11))*('Dvd Calendar'!$I$970&lt;=MAX(DATE(Summary!$C$12,12,31),Summary!$C$15))*('Dvd Calendar'!$I$970&lt;=Summary!$C$11)=0,"",'Dvd Calendar'!$I$970*1000000000+ISNUMBER('Dvd Calendar'!$I$971)*100000000+('Dvd Calendar'!$I$975='Field Check'!$C$25)*10000000+(N('Dvd Calendar'!$I$969)&gt;0)*1000000+65*1000+5))</f>
        <v/>
      </c>
      <c r="H73" s="41">
        <f>IF(N('Dvd Calendar'!$J$970)=0,"",IF(('Dvd Calendar'!$J$970&gt;=MIN(DATE(Summary!$C$12,1,1),Summary!$C$11))*('Dvd Calendar'!$J$970&lt;=MAX(DATE(Summary!$C$12,12,31),Summary!$C$15))*('Dvd Calendar'!$J$970&lt;=Summary!$C$11)=0,"",'Dvd Calendar'!$J$970*1000000000+ISNUMBER('Dvd Calendar'!$J$971)*100000000+('Dvd Calendar'!$J$975='Field Check'!$C$25)*10000000+(N('Dvd Calendar'!$J$969)&gt;0)*1000000+65*1000+6))</f>
        <v/>
      </c>
      <c r="I73" s="41">
        <f>IF(N('Dvd Calendar'!$K$970)=0,"",IF(('Dvd Calendar'!$K$970&gt;=MIN(DATE(Summary!$C$12,1,1),Summary!$C$11))*('Dvd Calendar'!$K$970&lt;=MAX(DATE(Summary!$C$12,12,31),Summary!$C$15))*('Dvd Calendar'!$K$970&lt;=Summary!$C$11)=0,"",'Dvd Calendar'!$K$970*1000000000+ISNUMBER('Dvd Calendar'!$K$971)*100000000+('Dvd Calendar'!$K$975='Field Check'!$C$25)*10000000+(N('Dvd Calendar'!$K$969)&gt;0)*1000000+65*1000+7))</f>
        <v/>
      </c>
      <c r="J73" s="41">
        <f>IF(N('Dvd Calendar'!$L$970)=0,"",IF(('Dvd Calendar'!$L$970&gt;=MIN(DATE(Summary!$C$12,1,1),Summary!$C$11))*('Dvd Calendar'!$L$970&lt;=MAX(DATE(Summary!$C$12,12,31),Summary!$C$15))*('Dvd Calendar'!$L$970&lt;=Summary!$C$11)=0,"",'Dvd Calendar'!$L$970*1000000000+ISNUMBER('Dvd Calendar'!$L$971)*100000000+('Dvd Calendar'!$L$975='Field Check'!$C$25)*10000000+(N('Dvd Calendar'!$L$969)&gt;0)*1000000+65*1000+8))</f>
        <v/>
      </c>
      <c r="K73" s="41">
        <f>IF(N('Dvd Calendar'!$M$970)=0,"",IF(('Dvd Calendar'!$M$970&gt;=MIN(DATE(Summary!$C$12,1,1),Summary!$C$11))*('Dvd Calendar'!$M$970&lt;=MAX(DATE(Summary!$C$12,12,31),Summary!$C$15))*('Dvd Calendar'!$M$970&lt;=Summary!$C$11)=0,"",'Dvd Calendar'!$M$970*1000000000+ISNUMBER('Dvd Calendar'!$M$971)*100000000+('Dvd Calendar'!$M$975='Field Check'!$C$25)*10000000+(N('Dvd Calendar'!$M$969)&gt;0)*1000000+65*1000+9))</f>
        <v/>
      </c>
      <c r="L73" s="41">
        <f>IF(N('Dvd Calendar'!$N$970)=0,"",IF(('Dvd Calendar'!$N$970&gt;=MIN(DATE(Summary!$C$12,1,1),Summary!$C$11))*('Dvd Calendar'!$N$970&lt;=MAX(DATE(Summary!$C$12,12,31),Summary!$C$15))*('Dvd Calendar'!$N$970&lt;=Summary!$C$11)=0,"",'Dvd Calendar'!$N$970*1000000000+ISNUMBER('Dvd Calendar'!$N$971)*100000000+('Dvd Calendar'!$N$975='Field Check'!$C$25)*10000000+(N('Dvd Calendar'!$N$969)&gt;0)*1000000+65*1000+10))</f>
        <v/>
      </c>
      <c r="M73" s="41">
        <f>IF(N('Dvd Calendar'!$O$970)=0,"",IF(('Dvd Calendar'!$O$970&gt;=MIN(DATE(Summary!$C$12,1,1),Summary!$C$11))*('Dvd Calendar'!$O$970&lt;=MAX(DATE(Summary!$C$12,12,31),Summary!$C$15))*('Dvd Calendar'!$O$970&lt;=Summary!$C$11)=0,"",'Dvd Calendar'!$O$970*1000000000+ISNUMBER('Dvd Calendar'!$O$971)*100000000+('Dvd Calendar'!$O$975='Field Check'!$C$25)*10000000+(N('Dvd Calendar'!$O$969)&gt;0)*1000000+65*1000+11))</f>
        <v/>
      </c>
      <c r="N73" s="41">
        <f>IF(N('Dvd Calendar'!$P$970)=0,"",IF(('Dvd Calendar'!$P$970&gt;=MIN(DATE(Summary!$C$12,1,1),Summary!$C$11))*('Dvd Calendar'!$P$970&lt;=MAX(DATE(Summary!$C$12,12,31),Summary!$C$15))*('Dvd Calendar'!$P$970&lt;=Summary!$C$11)=0,"",'Dvd Calendar'!$P$970*1000000000+ISNUMBER('Dvd Calendar'!$P$971)*100000000+('Dvd Calendar'!$P$975='Field Check'!$C$25)*10000000+(N('Dvd Calendar'!$P$969)&gt;0)*1000000+65*1000+12))</f>
        <v/>
      </c>
      <c r="O73" s="41">
        <f>IF(N('Dvd Calendar'!$Q$970)=0,"",IF(('Dvd Calendar'!$Q$970&gt;=MIN(DATE(Summary!$C$12,1,1),Summary!$C$11))*('Dvd Calendar'!$Q$970&lt;=MAX(DATE(Summary!$C$12,12,31),Summary!$C$15))*('Dvd Calendar'!$Q$970&lt;=Summary!$C$11)=0,"",'Dvd Calendar'!$Q$970*1000000000+ISNUMBER('Dvd Calendar'!$Q$971)*100000000+('Dvd Calendar'!$Q$975='Field Check'!$C$25)*10000000+(N('Dvd Calendar'!$Q$969)&gt;0)*1000000+65*1000+13))</f>
        <v/>
      </c>
      <c r="P73" s="41">
        <f>IF(N('Dvd Calendar'!$R$970)=0,"",IF(('Dvd Calendar'!$R$970&gt;=MIN(DATE(Summary!$C$12,1,1),Summary!$C$11))*('Dvd Calendar'!$R$970&lt;=MAX(DATE(Summary!$C$12,12,31),Summary!$C$15))*('Dvd Calendar'!$R$970&lt;=Summary!$C$11)=0,"",'Dvd Calendar'!$R$970*1000000000+ISNUMBER('Dvd Calendar'!$R$971)*100000000+('Dvd Calendar'!$R$975='Field Check'!$C$25)*10000000+(N('Dvd Calendar'!$R$969)&gt;0)*1000000+65*1000+14))</f>
        <v/>
      </c>
      <c r="Q73" s="41">
        <f>IF(N('Dvd Calendar'!$S$970)=0,"",IF(('Dvd Calendar'!$S$970&gt;=MIN(DATE(Summary!$C$12,1,1),Summary!$C$11))*('Dvd Calendar'!$S$970&lt;=MAX(DATE(Summary!$C$12,12,31),Summary!$C$15))*('Dvd Calendar'!$S$970&lt;=Summary!$C$11)=0,"",'Dvd Calendar'!$S$970*1000000000+ISNUMBER('Dvd Calendar'!$S$971)*100000000+('Dvd Calendar'!$S$975='Field Check'!$C$25)*10000000+(N('Dvd Calendar'!$S$969)&gt;0)*1000000+65*1000+15))</f>
        <v/>
      </c>
      <c r="R73" s="41">
        <f>IF(N('Dvd Calendar'!$T$970)=0,"",IF(('Dvd Calendar'!$T$970&gt;=MIN(DATE(Summary!$C$12,1,1),Summary!$C$11))*('Dvd Calendar'!$T$970&lt;=MAX(DATE(Summary!$C$12,12,31),Summary!$C$15))*('Dvd Calendar'!$T$970&lt;=Summary!$C$11)=0,"",'Dvd Calendar'!$T$970*1000000000+ISNUMBER('Dvd Calendar'!$T$971)*100000000+('Dvd Calendar'!$T$975='Field Check'!$C$25)*10000000+(N('Dvd Calendar'!$T$969)&gt;0)*1000000+65*1000+16))</f>
        <v/>
      </c>
      <c r="S73" s="41">
        <f>IF(N('Dvd Calendar'!$U$970)=0,"",IF(('Dvd Calendar'!$U$970&gt;=MIN(DATE(Summary!$C$12,1,1),Summary!$C$11))*('Dvd Calendar'!$U$970&lt;=MAX(DATE(Summary!$C$12,12,31),Summary!$C$15))*('Dvd Calendar'!$U$970&lt;=Summary!$C$11)=0,"",'Dvd Calendar'!$U$970*1000000000+ISNUMBER('Dvd Calendar'!$U$971)*100000000+('Dvd Calendar'!$U$975='Field Check'!$C$25)*10000000+(N('Dvd Calendar'!$U$969)&gt;0)*1000000+65*1000+17))</f>
        <v/>
      </c>
      <c r="T73" s="41">
        <f>IF(N('Dvd Calendar'!$V$970)=0,"",IF(('Dvd Calendar'!$V$970&gt;=MIN(DATE(Summary!$C$12,1,1),Summary!$C$11))*('Dvd Calendar'!$V$970&lt;=MAX(DATE(Summary!$C$12,12,31),Summary!$C$15))*('Dvd Calendar'!$V$970&lt;=Summary!$C$11)=0,"",'Dvd Calendar'!$V$970*1000000000+ISNUMBER('Dvd Calendar'!$V$971)*100000000+('Dvd Calendar'!$V$975='Field Check'!$C$25)*10000000+(N('Dvd Calendar'!$V$969)&gt;0)*1000000+65*1000+18))</f>
        <v/>
      </c>
      <c r="U73" s="41">
        <f>IF(N('Dvd Calendar'!$W$970)=0,"",IF(('Dvd Calendar'!$W$970&gt;=MIN(DATE(Summary!$C$12,1,1),Summary!$C$11))*('Dvd Calendar'!$W$970&lt;=MAX(DATE(Summary!$C$12,12,31),Summary!$C$15))*('Dvd Calendar'!$W$970&lt;=Summary!$C$11)=0,"",'Dvd Calendar'!$W$970*1000000000+ISNUMBER('Dvd Calendar'!$W$971)*100000000+('Dvd Calendar'!$W$975='Field Check'!$C$25)*10000000+(N('Dvd Calendar'!$W$969)&gt;0)*1000000+65*1000+19))</f>
        <v/>
      </c>
      <c r="V73" s="41">
        <f>IF(N('Dvd Calendar'!$X$970)=0,"",IF(('Dvd Calendar'!$X$970&gt;=MIN(DATE(Summary!$C$12,1,1),Summary!$C$11))*('Dvd Calendar'!$X$970&lt;=MAX(DATE(Summary!$C$12,12,31),Summary!$C$15))*('Dvd Calendar'!$X$970&lt;=Summary!$C$11)=0,"",'Dvd Calendar'!$X$970*1000000000+ISNUMBER('Dvd Calendar'!$X$971)*100000000+('Dvd Calendar'!$X$975='Field Check'!$C$25)*10000000+(N('Dvd Calendar'!$X$969)&gt;0)*1000000+65*1000+20))</f>
        <v/>
      </c>
      <c r="W73" s="41">
        <f>IF(N('Dvd Calendar'!$Y$970)=0,"",IF(('Dvd Calendar'!$Y$970&gt;=MIN(DATE(Summary!$C$12,1,1),Summary!$C$11))*('Dvd Calendar'!$Y$970&lt;=MAX(DATE(Summary!$C$12,12,31),Summary!$C$15))*('Dvd Calendar'!$Y$970&lt;=Summary!$C$11)=0,"",'Dvd Calendar'!$Y$970*1000000000+ISNUMBER('Dvd Calendar'!$Y$971)*100000000+('Dvd Calendar'!$Y$975='Field Check'!$C$25)*10000000+(N('Dvd Calendar'!$Y$969)&gt;0)*1000000+65*1000+21))</f>
        <v/>
      </c>
      <c r="X73" s="41">
        <f>IF(N('Dvd Calendar'!$Z$970)=0,"",IF(('Dvd Calendar'!$Z$970&gt;=MIN(DATE(Summary!$C$12,1,1),Summary!$C$11))*('Dvd Calendar'!$Z$970&lt;=MAX(DATE(Summary!$C$12,12,31),Summary!$C$15))*('Dvd Calendar'!$Z$970&lt;=Summary!$C$11)=0,"",'Dvd Calendar'!$Z$970*1000000000+ISNUMBER('Dvd Calendar'!$Z$971)*100000000+('Dvd Calendar'!$Z$975='Field Check'!$C$25)*10000000+(N('Dvd Calendar'!$Z$969)&gt;0)*1000000+65*1000+22))</f>
        <v/>
      </c>
      <c r="Y73" s="41">
        <f>IF(N('Dvd Calendar'!$AA$970)=0,"",IF(('Dvd Calendar'!$AA$970&gt;=MIN(DATE(Summary!$C$12,1,1),Summary!$C$11))*('Dvd Calendar'!$AA$970&lt;=MAX(DATE(Summary!$C$12,12,31),Summary!$C$15))*('Dvd Calendar'!$AA$970&lt;=Summary!$C$11)=0,"",'Dvd Calendar'!$AA$970*1000000000+ISNUMBER('Dvd Calendar'!$AA$971)*100000000+('Dvd Calendar'!$AA$975='Field Check'!$C$25)*10000000+(N('Dvd Calendar'!$AA$969)&gt;0)*1000000+65*1000+23))</f>
        <v/>
      </c>
      <c r="Z73" s="41">
        <f>IF(N('Dvd Calendar'!$AB$970)=0,"",IF(('Dvd Calendar'!$AB$970&gt;=MIN(DATE(Summary!$C$12,1,1),Summary!$C$11))*('Dvd Calendar'!$AB$970&lt;=MAX(DATE(Summary!$C$12,12,31),Summary!$C$15))*('Dvd Calendar'!$AB$970&lt;=Summary!$C$11)=0,"",'Dvd Calendar'!$AB$970*1000000000+ISNUMBER('Dvd Calendar'!$AB$971)*100000000+('Dvd Calendar'!$AB$975='Field Check'!$C$25)*10000000+(N('Dvd Calendar'!$AB$969)&gt;0)*1000000+65*1000+24))</f>
        <v/>
      </c>
      <c r="AA73" s="41">
        <f>IF(N('Dvd Calendar'!$AC$970)=0,"",IF(('Dvd Calendar'!$AC$970&gt;=MIN(DATE(Summary!$C$12,1,1),Summary!$C$11))*('Dvd Calendar'!$AC$970&lt;=MAX(DATE(Summary!$C$12,12,31),Summary!$C$15))*('Dvd Calendar'!$AC$970&lt;=Summary!$C$11)=0,"",'Dvd Calendar'!$AC$970*1000000000+ISNUMBER('Dvd Calendar'!$AC$971)*100000000+('Dvd Calendar'!$AC$975='Field Check'!$C$25)*10000000+(N('Dvd Calendar'!$AC$969)&gt;0)*1000000+65*1000+25))</f>
        <v/>
      </c>
      <c r="AB73" s="41">
        <f>IF(N('Dvd Calendar'!$AD$970)=0,"",IF(('Dvd Calendar'!$AD$970&gt;=MIN(DATE(Summary!$C$12,1,1),Summary!$C$11))*('Dvd Calendar'!$AD$970&lt;=MAX(DATE(Summary!$C$12,12,31),Summary!$C$15))*('Dvd Calendar'!$AD$970&lt;=Summary!$C$11)=0,"",'Dvd Calendar'!$AD$970*1000000000+ISNUMBER('Dvd Calendar'!$AD$971)*100000000+('Dvd Calendar'!$AD$975='Field Check'!$C$25)*10000000+(N('Dvd Calendar'!$AD$969)&gt;0)*1000000+65*1000+26))</f>
        <v/>
      </c>
      <c r="AC73" s="41">
        <f>IF(N('Dvd Calendar'!$AE$970)=0,"",IF(('Dvd Calendar'!$AE$970&gt;=MIN(DATE(Summary!$C$12,1,1),Summary!$C$11))*('Dvd Calendar'!$AE$970&lt;=MAX(DATE(Summary!$C$12,12,31),Summary!$C$15))*('Dvd Calendar'!$AE$970&lt;=Summary!$C$11)=0,"",'Dvd Calendar'!$AE$970*1000000000+ISNUMBER('Dvd Calendar'!$AE$971)*100000000+('Dvd Calendar'!$AE$975='Field Check'!$C$25)*10000000+(N('Dvd Calendar'!$AE$969)&gt;0)*1000000+65*1000+27))</f>
        <v/>
      </c>
      <c r="AD73" s="41">
        <f>IF(N('Dvd Calendar'!$AF$970)=0,"",IF(('Dvd Calendar'!$AF$970&gt;=MIN(DATE(Summary!$C$12,1,1),Summary!$C$11))*('Dvd Calendar'!$AF$970&lt;=MAX(DATE(Summary!$C$12,12,31),Summary!$C$15))*('Dvd Calendar'!$AF$970&lt;=Summary!$C$11)=0,"",'Dvd Calendar'!$AF$970*1000000000+ISNUMBER('Dvd Calendar'!$AF$971)*100000000+('Dvd Calendar'!$AF$975='Field Check'!$C$25)*10000000+(N('Dvd Calendar'!$AF$969)&gt;0)*1000000+65*1000+28))</f>
        <v/>
      </c>
      <c r="AE73" s="41">
        <f>IF(N('Dvd Calendar'!$AG$970)=0,"",IF(('Dvd Calendar'!$AG$970&gt;=MIN(DATE(Summary!$C$12,1,1),Summary!$C$11))*('Dvd Calendar'!$AG$970&lt;=MAX(DATE(Summary!$C$12,12,31),Summary!$C$15))*('Dvd Calendar'!$AG$970&lt;=Summary!$C$11)=0,"",'Dvd Calendar'!$AG$970*1000000000+ISNUMBER('Dvd Calendar'!$AG$971)*100000000+('Dvd Calendar'!$AG$975='Field Check'!$C$25)*10000000+(N('Dvd Calendar'!$AG$969)&gt;0)*1000000+65*1000+29))</f>
        <v/>
      </c>
      <c r="AF73" s="41">
        <f>IF(N('Dvd Calendar'!$AH$970)=0,"",IF(('Dvd Calendar'!$AH$970&gt;=MIN(DATE(Summary!$C$12,1,1),Summary!$C$11))*('Dvd Calendar'!$AH$970&lt;=MAX(DATE(Summary!$C$12,12,31),Summary!$C$15))*('Dvd Calendar'!$AH$970&lt;=Summary!$C$11)=0,"",'Dvd Calendar'!$AH$970*1000000000+ISNUMBER('Dvd Calendar'!$AH$971)*100000000+('Dvd Calendar'!$AH$975='Field Check'!$C$25)*10000000+(N('Dvd Calendar'!$AH$969)&gt;0)*1000000+65*1000+30))</f>
        <v/>
      </c>
      <c r="AG73" s="41">
        <f>IF(N('Dvd Calendar'!$AI$970)=0,"",IF(('Dvd Calendar'!$AI$970&gt;=MIN(DATE(Summary!$C$12,1,1),Summary!$C$11))*('Dvd Calendar'!$AI$970&lt;=MAX(DATE(Summary!$C$12,12,31),Summary!$C$15))*('Dvd Calendar'!$AI$970&lt;=Summary!$C$11)=0,"",'Dvd Calendar'!$AI$970*1000000000+ISNUMBER('Dvd Calendar'!$AI$971)*100000000+('Dvd Calendar'!$AI$975='Field Check'!$C$25)*10000000+(N('Dvd Calendar'!$AI$969)&gt;0)*1000000+65*1000+31))</f>
        <v/>
      </c>
      <c r="AH73" s="41">
        <f>IF(N('Dvd Calendar'!$AJ$970)=0,"",IF(('Dvd Calendar'!$AJ$970&gt;=MIN(DATE(Summary!$C$12,1,1),Summary!$C$11))*('Dvd Calendar'!$AJ$970&lt;=MAX(DATE(Summary!$C$12,12,31),Summary!$C$15))*('Dvd Calendar'!$AJ$970&lt;=Summary!$C$11)=0,"",'Dvd Calendar'!$AJ$970*1000000000+ISNUMBER('Dvd Calendar'!$AJ$971)*100000000+('Dvd Calendar'!$AJ$975='Field Check'!$C$25)*10000000+(N('Dvd Calendar'!$AJ$969)&gt;0)*1000000+65*1000+32))</f>
        <v/>
      </c>
      <c r="AI73" s="41">
        <f>IF(N('Dvd Calendar'!$AK$970)=0,"",IF(('Dvd Calendar'!$AK$970&gt;=MIN(DATE(Summary!$C$12,1,1),Summary!$C$11))*('Dvd Calendar'!$AK$970&lt;=MAX(DATE(Summary!$C$12,12,31),Summary!$C$15))*('Dvd Calendar'!$AK$970&lt;=Summary!$C$11)=0,"",'Dvd Calendar'!$AK$970*1000000000+ISNUMBER('Dvd Calendar'!$AK$971)*100000000+('Dvd Calendar'!$AK$975='Field Check'!$C$25)*10000000+(N('Dvd Calendar'!$AK$969)&gt;0)*1000000+65*1000+33))</f>
        <v/>
      </c>
      <c r="AJ73" s="41">
        <f>IF(N('Dvd Calendar'!$AL$970)=0,"",IF(('Dvd Calendar'!$AL$970&gt;=MIN(DATE(Summary!$C$12,1,1),Summary!$C$11))*('Dvd Calendar'!$AL$970&lt;=MAX(DATE(Summary!$C$12,12,31),Summary!$C$15))*('Dvd Calendar'!$AL$970&lt;=Summary!$C$11)=0,"",'Dvd Calendar'!$AL$970*1000000000+ISNUMBER('Dvd Calendar'!$AL$971)*100000000+('Dvd Calendar'!$AL$975='Field Check'!$C$25)*10000000+(N('Dvd Calendar'!$AL$969)&gt;0)*1000000+65*1000+34))</f>
        <v/>
      </c>
      <c r="AK73" s="41">
        <f>IF(N('Dvd Calendar'!$AM$970)=0,"",IF(('Dvd Calendar'!$AM$970&gt;=MIN(DATE(Summary!$C$12,1,1),Summary!$C$11))*('Dvd Calendar'!$AM$970&lt;=MAX(DATE(Summary!$C$12,12,31),Summary!$C$15))*('Dvd Calendar'!$AM$970&lt;=Summary!$C$11)=0,"",'Dvd Calendar'!$AM$970*1000000000+ISNUMBER('Dvd Calendar'!$AM$971)*100000000+('Dvd Calendar'!$AM$975='Field Check'!$C$25)*10000000+(N('Dvd Calendar'!$AM$969)&gt;0)*1000000+65*1000+35))</f>
        <v/>
      </c>
      <c r="AL73" s="41">
        <f>IF(N('Dvd Calendar'!$AN$970)=0,"",IF(('Dvd Calendar'!$AN$970&gt;=MIN(DATE(Summary!$C$12,1,1),Summary!$C$11))*('Dvd Calendar'!$AN$970&lt;=MAX(DATE(Summary!$C$12,12,31),Summary!$C$15))*('Dvd Calendar'!$AN$970&lt;=Summary!$C$11)=0,"",'Dvd Calendar'!$AN$970*1000000000+ISNUMBER('Dvd Calendar'!$AN$971)*100000000+('Dvd Calendar'!$AN$975='Field Check'!$C$25)*10000000+(N('Dvd Calendar'!$AN$969)&gt;0)*1000000+65*1000+36))</f>
        <v/>
      </c>
      <c r="AM73" s="41">
        <f>IF(N('Dvd Calendar'!$AO$970)=0,"",IF(('Dvd Calendar'!$AO$970&gt;=MIN(DATE(Summary!$C$12,1,1),Summary!$C$11))*('Dvd Calendar'!$AO$970&lt;=MAX(DATE(Summary!$C$12,12,31),Summary!$C$15))*('Dvd Calendar'!$AO$970&lt;=Summary!$C$11)=0,"",'Dvd Calendar'!$AO$970*1000000000+ISNUMBER('Dvd Calendar'!$AO$971)*100000000+('Dvd Calendar'!$AO$975='Field Check'!$C$25)*10000000+(N('Dvd Calendar'!$AO$969)&gt;0)*1000000+65*1000+37))</f>
        <v/>
      </c>
      <c r="AN73" s="41">
        <f>IF(N('Dvd Calendar'!$AP$970)=0,"",IF(('Dvd Calendar'!$AP$970&gt;=MIN(DATE(Summary!$C$12,1,1),Summary!$C$11))*('Dvd Calendar'!$AP$970&lt;=MAX(DATE(Summary!$C$12,12,31),Summary!$C$15))*('Dvd Calendar'!$AP$970&lt;=Summary!$C$11)=0,"",'Dvd Calendar'!$AP$970*1000000000+ISNUMBER('Dvd Calendar'!$AP$971)*100000000+('Dvd Calendar'!$AP$975='Field Check'!$C$25)*10000000+(N('Dvd Calendar'!$AP$969)&gt;0)*1000000+65*1000+38))</f>
        <v/>
      </c>
      <c r="AO73" s="41">
        <f>IF(N('Dvd Calendar'!$AQ$970)=0,"",IF(('Dvd Calendar'!$AQ$970&gt;=MIN(DATE(Summary!$C$12,1,1),Summary!$C$11))*('Dvd Calendar'!$AQ$970&lt;=MAX(DATE(Summary!$C$12,12,31),Summary!$C$15))*('Dvd Calendar'!$AQ$970&lt;=Summary!$C$11)=0,"",'Dvd Calendar'!$AQ$970*1000000000+ISNUMBER('Dvd Calendar'!$AQ$971)*100000000+('Dvd Calendar'!$AQ$975='Field Check'!$C$25)*10000000+(N('Dvd Calendar'!$AQ$969)&gt;0)*1000000+65*1000+39))</f>
        <v/>
      </c>
      <c r="AP73" s="41">
        <f>IF(N('Dvd Calendar'!$AR$970)=0,"",IF(('Dvd Calendar'!$AR$970&gt;=MIN(DATE(Summary!$C$12,1,1),Summary!$C$11))*('Dvd Calendar'!$AR$970&lt;=MAX(DATE(Summary!$C$12,12,31),Summary!$C$15))*('Dvd Calendar'!$AR$970&lt;=Summary!$C$11)=0,"",'Dvd Calendar'!$AR$970*1000000000+ISNUMBER('Dvd Calendar'!$AR$971)*100000000+('Dvd Calendar'!$AR$975='Field Check'!$C$25)*10000000+(N('Dvd Calendar'!$AR$969)&gt;0)*1000000+65*1000+40))</f>
        <v/>
      </c>
      <c r="AQ73" s="41">
        <f>IF(N('Dvd Calendar'!$E$977)=0,"",IF(('Dvd Calendar'!$E$977&gt;=MIN(DATE(Summary!$C$12,1,1),Summary!$C$11))*('Dvd Calendar'!$E$977&lt;=MAX(DATE(Summary!$C$12,12,31),Summary!$C$15))*('Dvd Calendar'!$E$977&gt;Summary!$C$11)=0,"",'Dvd Calendar'!$E$977*1000000000+ISNUMBER('Dvd Calendar'!$E$978)*100000000+('Dvd Calendar'!$E$982='Field Check'!$C$25)*10000000+(N('Dvd Calendar'!$E$976)&gt;0)*1000000+65*1000+41))</f>
        <v/>
      </c>
      <c r="AR73" s="41">
        <f>IF(N('Dvd Calendar'!$F$977)=0,"",IF(('Dvd Calendar'!$F$977&gt;=MIN(DATE(Summary!$C$12,1,1),Summary!$C$11))*('Dvd Calendar'!$F$977&lt;=MAX(DATE(Summary!$C$12,12,31),Summary!$C$15))*('Dvd Calendar'!$F$977&gt;Summary!$C$11)=0,"",'Dvd Calendar'!$F$977*1000000000+ISNUMBER('Dvd Calendar'!$F$978)*100000000+('Dvd Calendar'!$F$982='Field Check'!$C$25)*10000000+(N('Dvd Calendar'!$F$976)&gt;0)*1000000+65*1000+42))</f>
        <v/>
      </c>
      <c r="AS73" s="41">
        <f>IF(N('Dvd Calendar'!$G$977)=0,"",IF(('Dvd Calendar'!$G$977&gt;=MIN(DATE(Summary!$C$12,1,1),Summary!$C$11))*('Dvd Calendar'!$G$977&lt;=MAX(DATE(Summary!$C$12,12,31),Summary!$C$15))*('Dvd Calendar'!$G$977&gt;Summary!$C$11)=0,"",'Dvd Calendar'!$G$977*1000000000+ISNUMBER('Dvd Calendar'!$G$978)*100000000+('Dvd Calendar'!$G$982='Field Check'!$C$25)*10000000+(N('Dvd Calendar'!$G$976)&gt;0)*1000000+65*1000+43))</f>
        <v/>
      </c>
      <c r="AT73" s="41">
        <f>IF(N('Dvd Calendar'!$H$977)=0,"",IF(('Dvd Calendar'!$H$977&gt;=MIN(DATE(Summary!$C$12,1,1),Summary!$C$11))*('Dvd Calendar'!$H$977&lt;=MAX(DATE(Summary!$C$12,12,31),Summary!$C$15))*('Dvd Calendar'!$H$977&gt;Summary!$C$11)=0,"",'Dvd Calendar'!$H$977*1000000000+ISNUMBER('Dvd Calendar'!$H$978)*100000000+('Dvd Calendar'!$H$982='Field Check'!$C$25)*10000000+(N('Dvd Calendar'!$H$976)&gt;0)*1000000+65*1000+44))</f>
        <v/>
      </c>
      <c r="AU73" s="41">
        <f>IF(N('Dvd Calendar'!$I$977)=0,"",IF(('Dvd Calendar'!$I$977&gt;=MIN(DATE(Summary!$C$12,1,1),Summary!$C$11))*('Dvd Calendar'!$I$977&lt;=MAX(DATE(Summary!$C$12,12,31),Summary!$C$15))*('Dvd Calendar'!$I$977&gt;Summary!$C$11)=0,"",'Dvd Calendar'!$I$977*1000000000+ISNUMBER('Dvd Calendar'!$I$978)*100000000+('Dvd Calendar'!$I$982='Field Check'!$C$25)*10000000+(N('Dvd Calendar'!$I$976)&gt;0)*1000000+65*1000+45))</f>
        <v/>
      </c>
      <c r="AV73" s="41">
        <f>IF(N('Dvd Calendar'!$J$977)=0,"",IF(('Dvd Calendar'!$J$977&gt;=MIN(DATE(Summary!$C$12,1,1),Summary!$C$11))*('Dvd Calendar'!$J$977&lt;=MAX(DATE(Summary!$C$12,12,31),Summary!$C$15))*('Dvd Calendar'!$J$977&gt;Summary!$C$11)=0,"",'Dvd Calendar'!$J$977*1000000000+ISNUMBER('Dvd Calendar'!$J$978)*100000000+('Dvd Calendar'!$J$982='Field Check'!$C$25)*10000000+(N('Dvd Calendar'!$J$976)&gt;0)*1000000+65*1000+46))</f>
        <v/>
      </c>
      <c r="AW73" s="41">
        <f>IF(N('Dvd Calendar'!$K$977)=0,"",IF(('Dvd Calendar'!$K$977&gt;=MIN(DATE(Summary!$C$12,1,1),Summary!$C$11))*('Dvd Calendar'!$K$977&lt;=MAX(DATE(Summary!$C$12,12,31),Summary!$C$15))*('Dvd Calendar'!$K$977&gt;Summary!$C$11)=0,"",'Dvd Calendar'!$K$977*1000000000+ISNUMBER('Dvd Calendar'!$K$978)*100000000+('Dvd Calendar'!$K$982='Field Check'!$C$25)*10000000+(N('Dvd Calendar'!$K$976)&gt;0)*1000000+65*1000+47))</f>
        <v/>
      </c>
      <c r="AX73" s="41">
        <f>IF(N('Dvd Calendar'!$L$977)=0,"",IF(('Dvd Calendar'!$L$977&gt;=MIN(DATE(Summary!$C$12,1,1),Summary!$C$11))*('Dvd Calendar'!$L$977&lt;=MAX(DATE(Summary!$C$12,12,31),Summary!$C$15))*('Dvd Calendar'!$L$977&gt;Summary!$C$11)=0,"",'Dvd Calendar'!$L$977*1000000000+ISNUMBER('Dvd Calendar'!$L$978)*100000000+('Dvd Calendar'!$L$982='Field Check'!$C$25)*10000000+(N('Dvd Calendar'!$L$976)&gt;0)*1000000+65*1000+48))</f>
        <v/>
      </c>
      <c r="AY73" s="41">
        <f>IF(N('Dvd Calendar'!$M$977)=0,"",IF(('Dvd Calendar'!$M$977&gt;=MIN(DATE(Summary!$C$12,1,1),Summary!$C$11))*('Dvd Calendar'!$M$977&lt;=MAX(DATE(Summary!$C$12,12,31),Summary!$C$15))*('Dvd Calendar'!$M$977&gt;Summary!$C$11)=0,"",'Dvd Calendar'!$M$977*1000000000+ISNUMBER('Dvd Calendar'!$M$978)*100000000+('Dvd Calendar'!$M$982='Field Check'!$C$25)*10000000+(N('Dvd Calendar'!$M$976)&gt;0)*1000000+65*1000+49))</f>
        <v/>
      </c>
      <c r="AZ73" s="41">
        <f>IF(N('Dvd Calendar'!$N$977)=0,"",IF(('Dvd Calendar'!$N$977&gt;=MIN(DATE(Summary!$C$12,1,1),Summary!$C$11))*('Dvd Calendar'!$N$977&lt;=MAX(DATE(Summary!$C$12,12,31),Summary!$C$15))*('Dvd Calendar'!$N$977&gt;Summary!$C$11)=0,"",'Dvd Calendar'!$N$977*1000000000+ISNUMBER('Dvd Calendar'!$N$978)*100000000+('Dvd Calendar'!$N$982='Field Check'!$C$25)*10000000+(N('Dvd Calendar'!$N$976)&gt;0)*1000000+65*1000+50))</f>
        <v/>
      </c>
      <c r="BA73" s="41">
        <f>IF(N('Dvd Calendar'!$O$977)=0,"",IF(('Dvd Calendar'!$O$977&gt;=MIN(DATE(Summary!$C$12,1,1),Summary!$C$11))*('Dvd Calendar'!$O$977&lt;=MAX(DATE(Summary!$C$12,12,31),Summary!$C$15))*('Dvd Calendar'!$O$977&gt;Summary!$C$11)=0,"",'Dvd Calendar'!$O$977*1000000000+ISNUMBER('Dvd Calendar'!$O$978)*100000000+('Dvd Calendar'!$O$982='Field Check'!$C$25)*10000000+(N('Dvd Calendar'!$O$976)&gt;0)*1000000+65*1000+51))</f>
        <v/>
      </c>
      <c r="BB73" s="41">
        <f>IF(N('Dvd Calendar'!$P$977)=0,"",IF(('Dvd Calendar'!$P$977&gt;=MIN(DATE(Summary!$C$12,1,1),Summary!$C$11))*('Dvd Calendar'!$P$977&lt;=MAX(DATE(Summary!$C$12,12,31),Summary!$C$15))*('Dvd Calendar'!$P$977&gt;Summary!$C$11)=0,"",'Dvd Calendar'!$P$977*1000000000+ISNUMBER('Dvd Calendar'!$P$978)*100000000+('Dvd Calendar'!$P$982='Field Check'!$C$25)*10000000+(N('Dvd Calendar'!$P$976)&gt;0)*1000000+65*1000+52))</f>
        <v/>
      </c>
      <c r="BC73" s="41">
        <f>IF(N('Dvd Calendar'!$Q$977)=0,"",IF(('Dvd Calendar'!$Q$977&gt;=MIN(DATE(Summary!$C$12,1,1),Summary!$C$11))*('Dvd Calendar'!$Q$977&lt;=MAX(DATE(Summary!$C$12,12,31),Summary!$C$15))*('Dvd Calendar'!$Q$977&gt;Summary!$C$11)=0,"",'Dvd Calendar'!$Q$977*1000000000+ISNUMBER('Dvd Calendar'!$Q$978)*100000000+('Dvd Calendar'!$Q$982='Field Check'!$C$25)*10000000+(N('Dvd Calendar'!$Q$976)&gt;0)*1000000+65*1000+53))</f>
        <v/>
      </c>
      <c r="BD73" s="41">
        <f>IF(N('Dvd Calendar'!$R$977)=0,"",IF(('Dvd Calendar'!$R$977&gt;=MIN(DATE(Summary!$C$12,1,1),Summary!$C$11))*('Dvd Calendar'!$R$977&lt;=MAX(DATE(Summary!$C$12,12,31),Summary!$C$15))*('Dvd Calendar'!$R$977&gt;Summary!$C$11)=0,"",'Dvd Calendar'!$R$977*1000000000+ISNUMBER('Dvd Calendar'!$R$978)*100000000+('Dvd Calendar'!$R$982='Field Check'!$C$25)*10000000+(N('Dvd Calendar'!$R$976)&gt;0)*1000000+65*1000+54))</f>
        <v/>
      </c>
      <c r="BE73" s="41">
        <f>IF(N('Dvd Calendar'!$S$977)=0,"",IF(('Dvd Calendar'!$S$977&gt;=MIN(DATE(Summary!$C$12,1,1),Summary!$C$11))*('Dvd Calendar'!$S$977&lt;=MAX(DATE(Summary!$C$12,12,31),Summary!$C$15))*('Dvd Calendar'!$S$977&gt;Summary!$C$11)=0,"",'Dvd Calendar'!$S$977*1000000000+ISNUMBER('Dvd Calendar'!$S$978)*100000000+('Dvd Calendar'!$S$982='Field Check'!$C$25)*10000000+(N('Dvd Calendar'!$S$976)&gt;0)*1000000+65*1000+55))</f>
        <v/>
      </c>
      <c r="BF73" s="41">
        <f>IF(N('Dvd Calendar'!$T$977)=0,"",IF(('Dvd Calendar'!$T$977&gt;=MIN(DATE(Summary!$C$12,1,1),Summary!$C$11))*('Dvd Calendar'!$T$977&lt;=MAX(DATE(Summary!$C$12,12,31),Summary!$C$15))*('Dvd Calendar'!$T$977&gt;Summary!$C$11)=0,"",'Dvd Calendar'!$T$977*1000000000+ISNUMBER('Dvd Calendar'!$T$978)*100000000+('Dvd Calendar'!$T$982='Field Check'!$C$25)*10000000+(N('Dvd Calendar'!$T$976)&gt;0)*1000000+65*1000+56))</f>
        <v/>
      </c>
      <c r="BG73" s="41">
        <f>IF(N('Dvd Calendar'!$U$977)=0,"",IF(('Dvd Calendar'!$U$977&gt;=MIN(DATE(Summary!$C$12,1,1),Summary!$C$11))*('Dvd Calendar'!$U$977&lt;=MAX(DATE(Summary!$C$12,12,31),Summary!$C$15))*('Dvd Calendar'!$U$977&gt;Summary!$C$11)=0,"",'Dvd Calendar'!$U$977*1000000000+ISNUMBER('Dvd Calendar'!$U$978)*100000000+('Dvd Calendar'!$U$982='Field Check'!$C$25)*10000000+(N('Dvd Calendar'!$U$976)&gt;0)*1000000+65*1000+57))</f>
        <v/>
      </c>
      <c r="BH73" s="41">
        <f>IF(N('Dvd Calendar'!$V$977)=0,"",IF(('Dvd Calendar'!$V$977&gt;=MIN(DATE(Summary!$C$12,1,1),Summary!$C$11))*('Dvd Calendar'!$V$977&lt;=MAX(DATE(Summary!$C$12,12,31),Summary!$C$15))*('Dvd Calendar'!$V$977&gt;Summary!$C$11)=0,"",'Dvd Calendar'!$V$977*1000000000+ISNUMBER('Dvd Calendar'!$V$978)*100000000+('Dvd Calendar'!$V$982='Field Check'!$C$25)*10000000+(N('Dvd Calendar'!$V$976)&gt;0)*1000000+65*1000+58))</f>
        <v/>
      </c>
      <c r="BI73" s="41">
        <f>IF(N('Dvd Calendar'!$W$977)=0,"",IF(('Dvd Calendar'!$W$977&gt;=MIN(DATE(Summary!$C$12,1,1),Summary!$C$11))*('Dvd Calendar'!$W$977&lt;=MAX(DATE(Summary!$C$12,12,31),Summary!$C$15))*('Dvd Calendar'!$W$977&gt;Summary!$C$11)=0,"",'Dvd Calendar'!$W$977*1000000000+ISNUMBER('Dvd Calendar'!$W$978)*100000000+('Dvd Calendar'!$W$982='Field Check'!$C$25)*10000000+(N('Dvd Calendar'!$W$976)&gt;0)*1000000+65*1000+59))</f>
        <v/>
      </c>
      <c r="BJ73" s="41">
        <f>IF(N('Dvd Calendar'!$X$977)=0,"",IF(('Dvd Calendar'!$X$977&gt;=MIN(DATE(Summary!$C$12,1,1),Summary!$C$11))*('Dvd Calendar'!$X$977&lt;=MAX(DATE(Summary!$C$12,12,31),Summary!$C$15))*('Dvd Calendar'!$X$977&gt;Summary!$C$11)=0,"",'Dvd Calendar'!$X$977*1000000000+ISNUMBER('Dvd Calendar'!$X$978)*100000000+('Dvd Calendar'!$X$982='Field Check'!$C$25)*10000000+(N('Dvd Calendar'!$X$976)&gt;0)*1000000+65*1000+60))</f>
        <v/>
      </c>
      <c r="BK73" s="41">
        <f>IF(N('Dvd Calendar'!$Y$977)=0,"",IF(('Dvd Calendar'!$Y$977&gt;=MIN(DATE(Summary!$C$12,1,1),Summary!$C$11))*('Dvd Calendar'!$Y$977&lt;=MAX(DATE(Summary!$C$12,12,31),Summary!$C$15))*('Dvd Calendar'!$Y$977&gt;Summary!$C$11)=0,"",'Dvd Calendar'!$Y$977*1000000000+ISNUMBER('Dvd Calendar'!$Y$978)*100000000+('Dvd Calendar'!$Y$982='Field Check'!$C$25)*10000000+(N('Dvd Calendar'!$Y$976)&gt;0)*1000000+65*1000+61))</f>
        <v/>
      </c>
      <c r="BL73" s="41">
        <f>IF(N('Dvd Calendar'!$Z$977)=0,"",IF(('Dvd Calendar'!$Z$977&gt;=MIN(DATE(Summary!$C$12,1,1),Summary!$C$11))*('Dvd Calendar'!$Z$977&lt;=MAX(DATE(Summary!$C$12,12,31),Summary!$C$15))*('Dvd Calendar'!$Z$977&gt;Summary!$C$11)=0,"",'Dvd Calendar'!$Z$977*1000000000+ISNUMBER('Dvd Calendar'!$Z$978)*100000000+('Dvd Calendar'!$Z$982='Field Check'!$C$25)*10000000+(N('Dvd Calendar'!$Z$976)&gt;0)*1000000+65*1000+62))</f>
        <v/>
      </c>
      <c r="BM73" s="41">
        <f>IF(N('Dvd Calendar'!$AA$977)=0,"",IF(('Dvd Calendar'!$AA$977&gt;=MIN(DATE(Summary!$C$12,1,1),Summary!$C$11))*('Dvd Calendar'!$AA$977&lt;=MAX(DATE(Summary!$C$12,12,31),Summary!$C$15))*('Dvd Calendar'!$AA$977&gt;Summary!$C$11)=0,"",'Dvd Calendar'!$AA$977*1000000000+ISNUMBER('Dvd Calendar'!$AA$978)*100000000+('Dvd Calendar'!$AA$982='Field Check'!$C$25)*10000000+(N('Dvd Calendar'!$AA$976)&gt;0)*1000000+65*1000+63))</f>
        <v/>
      </c>
      <c r="BN73" s="41">
        <f>IF(N('Dvd Calendar'!$AB$977)=0,"",IF(('Dvd Calendar'!$AB$977&gt;=MIN(DATE(Summary!$C$12,1,1),Summary!$C$11))*('Dvd Calendar'!$AB$977&lt;=MAX(DATE(Summary!$C$12,12,31),Summary!$C$15))*('Dvd Calendar'!$AB$977&gt;Summary!$C$11)=0,"",'Dvd Calendar'!$AB$977*1000000000+ISNUMBER('Dvd Calendar'!$AB$978)*100000000+('Dvd Calendar'!$AB$982='Field Check'!$C$25)*10000000+(N('Dvd Calendar'!$AB$976)&gt;0)*1000000+65*1000+64))</f>
        <v/>
      </c>
      <c r="BO73" s="41">
        <f>IF(N('Dvd Calendar'!$AC$977)=0,"",IF(('Dvd Calendar'!$AC$977&gt;=MIN(DATE(Summary!$C$12,1,1),Summary!$C$11))*('Dvd Calendar'!$AC$977&lt;=MAX(DATE(Summary!$C$12,12,31),Summary!$C$15))*('Dvd Calendar'!$AC$977&gt;Summary!$C$11)=0,"",'Dvd Calendar'!$AC$977*1000000000+ISNUMBER('Dvd Calendar'!$AC$978)*100000000+('Dvd Calendar'!$AC$982='Field Check'!$C$25)*10000000+(N('Dvd Calendar'!$AC$976)&gt;0)*1000000+65*1000+65))</f>
        <v/>
      </c>
      <c r="BQ73" s="85">
        <f>IF(C73="","",IF(ISNUMBER('Dvd Calendar'!$E$971)=FALSE,"",IF((Summary!$C$13="N")*('Dvd Calendar'!$E$975='Field Check'!$C$25)&gt;0,"",'Dvd Calendar'!$E$971)))</f>
        <v/>
      </c>
      <c r="BR73" s="85">
        <f>IF(D73="","",IF(ISNUMBER('Dvd Calendar'!$F$971)=FALSE,"",IF((Summary!$C$13="N")*('Dvd Calendar'!$F$975='Field Check'!$C$25)&gt;0,"",'Dvd Calendar'!$F$971)))</f>
        <v/>
      </c>
      <c r="BS73" s="85">
        <f>IF(E73="","",IF(ISNUMBER('Dvd Calendar'!$G$971)=FALSE,"",IF((Summary!$C$13="N")*('Dvd Calendar'!$G$975='Field Check'!$C$25)&gt;0,"",'Dvd Calendar'!$G$971)))</f>
        <v/>
      </c>
      <c r="BT73" s="85">
        <f>IF(F73="","",IF(ISNUMBER('Dvd Calendar'!$H$971)=FALSE,"",IF((Summary!$C$13="N")*('Dvd Calendar'!$H$975='Field Check'!$C$25)&gt;0,"",'Dvd Calendar'!$H$971)))</f>
        <v/>
      </c>
      <c r="BU73" s="85">
        <f>IF(G73="","",IF(ISNUMBER('Dvd Calendar'!$I$971)=FALSE,"",IF((Summary!$C$13="N")*('Dvd Calendar'!$I$975='Field Check'!$C$25)&gt;0,"",'Dvd Calendar'!$I$971)))</f>
        <v/>
      </c>
      <c r="BV73" s="85">
        <f>IF(H73="","",IF(ISNUMBER('Dvd Calendar'!$J$971)=FALSE,"",IF((Summary!$C$13="N")*('Dvd Calendar'!$J$975='Field Check'!$C$25)&gt;0,"",'Dvd Calendar'!$J$971)))</f>
        <v/>
      </c>
      <c r="BW73" s="85">
        <f>IF(I73="","",IF(ISNUMBER('Dvd Calendar'!$K$971)=FALSE,"",IF((Summary!$C$13="N")*('Dvd Calendar'!$K$975='Field Check'!$C$25)&gt;0,"",'Dvd Calendar'!$K$971)))</f>
        <v/>
      </c>
      <c r="BX73" s="85">
        <f>IF(J73="","",IF(ISNUMBER('Dvd Calendar'!$L$971)=FALSE,"",IF((Summary!$C$13="N")*('Dvd Calendar'!$L$975='Field Check'!$C$25)&gt;0,"",'Dvd Calendar'!$L$971)))</f>
        <v/>
      </c>
      <c r="BY73" s="85">
        <f>IF(K73="","",IF(ISNUMBER('Dvd Calendar'!$M$971)=FALSE,"",IF((Summary!$C$13="N")*('Dvd Calendar'!$M$975='Field Check'!$C$25)&gt;0,"",'Dvd Calendar'!$M$971)))</f>
        <v/>
      </c>
      <c r="BZ73" s="85">
        <f>IF(L73="","",IF(ISNUMBER('Dvd Calendar'!$N$971)=FALSE,"",IF((Summary!$C$13="N")*('Dvd Calendar'!$N$975='Field Check'!$C$25)&gt;0,"",'Dvd Calendar'!$N$971)))</f>
        <v/>
      </c>
      <c r="CA73" s="85">
        <f>IF(M73="","",IF(ISNUMBER('Dvd Calendar'!$O$971)=FALSE,"",IF((Summary!$C$13="N")*('Dvd Calendar'!$O$975='Field Check'!$C$25)&gt;0,"",'Dvd Calendar'!$O$971)))</f>
        <v/>
      </c>
      <c r="CB73" s="85">
        <f>IF(N73="","",IF(ISNUMBER('Dvd Calendar'!$P$971)=FALSE,"",IF((Summary!$C$13="N")*('Dvd Calendar'!$P$975='Field Check'!$C$25)&gt;0,"",'Dvd Calendar'!$P$971)))</f>
        <v/>
      </c>
      <c r="CC73" s="85">
        <f>IF(O73="","",IF(ISNUMBER('Dvd Calendar'!$Q$971)=FALSE,"",IF((Summary!$C$13="N")*('Dvd Calendar'!$Q$975='Field Check'!$C$25)&gt;0,"",'Dvd Calendar'!$Q$971)))</f>
        <v/>
      </c>
      <c r="CD73" s="85">
        <f>IF(P73="","",IF(ISNUMBER('Dvd Calendar'!$R$971)=FALSE,"",IF((Summary!$C$13="N")*('Dvd Calendar'!$R$975='Field Check'!$C$25)&gt;0,"",'Dvd Calendar'!$R$971)))</f>
        <v/>
      </c>
      <c r="CE73" s="85">
        <f>IF(Q73="","",IF(ISNUMBER('Dvd Calendar'!$S$971)=FALSE,"",IF((Summary!$C$13="N")*('Dvd Calendar'!$S$975='Field Check'!$C$25)&gt;0,"",'Dvd Calendar'!$S$971)))</f>
        <v/>
      </c>
      <c r="CF73" s="85">
        <f>IF(R73="","",IF(ISNUMBER('Dvd Calendar'!$T$971)=FALSE,"",IF((Summary!$C$13="N")*('Dvd Calendar'!$T$975='Field Check'!$C$25)&gt;0,"",'Dvd Calendar'!$T$971)))</f>
        <v/>
      </c>
      <c r="CG73" s="85">
        <f>IF(S73="","",IF(ISNUMBER('Dvd Calendar'!$U$971)=FALSE,"",IF((Summary!$C$13="N")*('Dvd Calendar'!$U$975='Field Check'!$C$25)&gt;0,"",'Dvd Calendar'!$U$971)))</f>
        <v/>
      </c>
      <c r="CH73" s="85">
        <f>IF(T73="","",IF(ISNUMBER('Dvd Calendar'!$V$971)=FALSE,"",IF((Summary!$C$13="N")*('Dvd Calendar'!$V$975='Field Check'!$C$25)&gt;0,"",'Dvd Calendar'!$V$971)))</f>
        <v/>
      </c>
      <c r="CI73" s="85">
        <f>IF(U73="","",IF(ISNUMBER('Dvd Calendar'!$W$971)=FALSE,"",IF((Summary!$C$13="N")*('Dvd Calendar'!$W$975='Field Check'!$C$25)&gt;0,"",'Dvd Calendar'!$W$971)))</f>
        <v/>
      </c>
      <c r="CJ73" s="85">
        <f>IF(V73="","",IF(ISNUMBER('Dvd Calendar'!$X$971)=FALSE,"",IF((Summary!$C$13="N")*('Dvd Calendar'!$X$975='Field Check'!$C$25)&gt;0,"",'Dvd Calendar'!$X$971)))</f>
        <v/>
      </c>
      <c r="CK73" s="85">
        <f>IF(W73="","",IF(ISNUMBER('Dvd Calendar'!$Y$971)=FALSE,"",IF((Summary!$C$13="N")*('Dvd Calendar'!$Y$975='Field Check'!$C$25)&gt;0,"",'Dvd Calendar'!$Y$971)))</f>
        <v/>
      </c>
      <c r="CL73" s="85">
        <f>IF(X73="","",IF(ISNUMBER('Dvd Calendar'!$Z$971)=FALSE,"",IF((Summary!$C$13="N")*('Dvd Calendar'!$Z$975='Field Check'!$C$25)&gt;0,"",'Dvd Calendar'!$Z$971)))</f>
        <v/>
      </c>
      <c r="CM73" s="85">
        <f>IF(Y73="","",IF(ISNUMBER('Dvd Calendar'!$AA$971)=FALSE,"",IF((Summary!$C$13="N")*('Dvd Calendar'!$AA$975='Field Check'!$C$25)&gt;0,"",'Dvd Calendar'!$AA$971)))</f>
        <v/>
      </c>
      <c r="CN73" s="85">
        <f>IF(Z73="","",IF(ISNUMBER('Dvd Calendar'!$AB$971)=FALSE,"",IF((Summary!$C$13="N")*('Dvd Calendar'!$AB$975='Field Check'!$C$25)&gt;0,"",'Dvd Calendar'!$AB$971)))</f>
        <v/>
      </c>
      <c r="CO73" s="85">
        <f>IF(AA73="","",IF(ISNUMBER('Dvd Calendar'!$AC$971)=FALSE,"",IF((Summary!$C$13="N")*('Dvd Calendar'!$AC$975='Field Check'!$C$25)&gt;0,"",'Dvd Calendar'!$AC$971)))</f>
        <v/>
      </c>
      <c r="CP73" s="85">
        <f>IF(AB73="","",IF(ISNUMBER('Dvd Calendar'!$AD$971)=FALSE,"",IF((Summary!$C$13="N")*('Dvd Calendar'!$AD$975='Field Check'!$C$25)&gt;0,"",'Dvd Calendar'!$AD$971)))</f>
        <v/>
      </c>
      <c r="CQ73" s="85">
        <f>IF(AC73="","",IF(ISNUMBER('Dvd Calendar'!$AE$971)=FALSE,"",IF((Summary!$C$13="N")*('Dvd Calendar'!$AE$975='Field Check'!$C$25)&gt;0,"",'Dvd Calendar'!$AE$971)))</f>
        <v/>
      </c>
      <c r="CR73" s="85">
        <f>IF(AD73="","",IF(ISNUMBER('Dvd Calendar'!$AF$971)=FALSE,"",IF((Summary!$C$13="N")*('Dvd Calendar'!$AF$975='Field Check'!$C$25)&gt;0,"",'Dvd Calendar'!$AF$971)))</f>
        <v/>
      </c>
      <c r="CS73" s="85">
        <f>IF(AE73="","",IF(ISNUMBER('Dvd Calendar'!$AG$971)=FALSE,"",IF((Summary!$C$13="N")*('Dvd Calendar'!$AG$975='Field Check'!$C$25)&gt;0,"",'Dvd Calendar'!$AG$971)))</f>
        <v/>
      </c>
      <c r="CT73" s="85">
        <f>IF(AF73="","",IF(ISNUMBER('Dvd Calendar'!$AH$971)=FALSE,"",IF((Summary!$C$13="N")*('Dvd Calendar'!$AH$975='Field Check'!$C$25)&gt;0,"",'Dvd Calendar'!$AH$971)))</f>
        <v/>
      </c>
      <c r="CU73" s="85">
        <f>IF(AG73="","",IF(ISNUMBER('Dvd Calendar'!$AI$971)=FALSE,"",IF((Summary!$C$13="N")*('Dvd Calendar'!$AI$975='Field Check'!$C$25)&gt;0,"",'Dvd Calendar'!$AI$971)))</f>
        <v/>
      </c>
      <c r="CV73" s="85">
        <f>IF(AH73="","",IF(ISNUMBER('Dvd Calendar'!$AJ$971)=FALSE,"",IF((Summary!$C$13="N")*('Dvd Calendar'!$AJ$975='Field Check'!$C$25)&gt;0,"",'Dvd Calendar'!$AJ$971)))</f>
        <v/>
      </c>
      <c r="CW73" s="85">
        <f>IF(AI73="","",IF(ISNUMBER('Dvd Calendar'!$AK$971)=FALSE,"",IF((Summary!$C$13="N")*('Dvd Calendar'!$AK$975='Field Check'!$C$25)&gt;0,"",'Dvd Calendar'!$AK$971)))</f>
        <v/>
      </c>
      <c r="CX73" s="85">
        <f>IF(AJ73="","",IF(ISNUMBER('Dvd Calendar'!$AL$971)=FALSE,"",IF((Summary!$C$13="N")*('Dvd Calendar'!$AL$975='Field Check'!$C$25)&gt;0,"",'Dvd Calendar'!$AL$971)))</f>
        <v/>
      </c>
      <c r="CY73" s="85">
        <f>IF(AK73="","",IF(ISNUMBER('Dvd Calendar'!$AM$971)=FALSE,"",IF((Summary!$C$13="N")*('Dvd Calendar'!$AM$975='Field Check'!$C$25)&gt;0,"",'Dvd Calendar'!$AM$971)))</f>
        <v/>
      </c>
      <c r="CZ73" s="85">
        <f>IF(AL73="","",IF(ISNUMBER('Dvd Calendar'!$AN$971)=FALSE,"",IF((Summary!$C$13="N")*('Dvd Calendar'!$AN$975='Field Check'!$C$25)&gt;0,"",'Dvd Calendar'!$AN$971)))</f>
        <v/>
      </c>
      <c r="DA73" s="85">
        <f>IF(AM73="","",IF(ISNUMBER('Dvd Calendar'!$AO$971)=FALSE,"",IF((Summary!$C$13="N")*('Dvd Calendar'!$AO$975='Field Check'!$C$25)&gt;0,"",'Dvd Calendar'!$AO$971)))</f>
        <v/>
      </c>
      <c r="DB73" s="85">
        <f>IF(AN73="","",IF(ISNUMBER('Dvd Calendar'!$AP$971)=FALSE,"",IF((Summary!$C$13="N")*('Dvd Calendar'!$AP$975='Field Check'!$C$25)&gt;0,"",'Dvd Calendar'!$AP$971)))</f>
        <v/>
      </c>
      <c r="DC73" s="85">
        <f>IF(AO73="","",IF(ISNUMBER('Dvd Calendar'!$AQ$971)=FALSE,"",IF((Summary!$C$13="N")*('Dvd Calendar'!$AQ$975='Field Check'!$C$25)&gt;0,"",'Dvd Calendar'!$AQ$971)))</f>
        <v/>
      </c>
      <c r="DD73" s="85">
        <f>IF(AP73="","",IF(ISNUMBER('Dvd Calendar'!$AR$971)=FALSE,"",IF((Summary!$C$13="N")*('Dvd Calendar'!$AR$975='Field Check'!$C$25)&gt;0,"",'Dvd Calendar'!$AR$971)))</f>
        <v/>
      </c>
      <c r="DE73" s="85">
        <f>IF(AQ73="","",IF(ISNUMBER('Dvd Calendar'!$E$978)=FALSE,"",IF((Summary!$C$13="N")*('Dvd Calendar'!$E$982='Field Check'!$C$25)&gt;0,"",'Dvd Calendar'!$E$978)))</f>
        <v/>
      </c>
      <c r="DF73" s="85">
        <f>IF(AR73="","",IF(ISNUMBER('Dvd Calendar'!$F$978)=FALSE,"",IF((Summary!$C$13="N")*('Dvd Calendar'!$F$982='Field Check'!$C$25)&gt;0,"",'Dvd Calendar'!$F$978)))</f>
        <v/>
      </c>
      <c r="DG73" s="85">
        <f>IF(AS73="","",IF(ISNUMBER('Dvd Calendar'!$G$978)=FALSE,"",IF((Summary!$C$13="N")*('Dvd Calendar'!$G$982='Field Check'!$C$25)&gt;0,"",'Dvd Calendar'!$G$978)))</f>
        <v/>
      </c>
      <c r="DH73" s="85">
        <f>IF(AT73="","",IF(ISNUMBER('Dvd Calendar'!$H$978)=FALSE,"",IF((Summary!$C$13="N")*('Dvd Calendar'!$H$982='Field Check'!$C$25)&gt;0,"",'Dvd Calendar'!$H$978)))</f>
        <v/>
      </c>
      <c r="DI73" s="85">
        <f>IF(AU73="","",IF(ISNUMBER('Dvd Calendar'!$I$978)=FALSE,"",IF((Summary!$C$13="N")*('Dvd Calendar'!$I$982='Field Check'!$C$25)&gt;0,"",'Dvd Calendar'!$I$978)))</f>
        <v/>
      </c>
      <c r="DJ73" s="85">
        <f>IF(AV73="","",IF(ISNUMBER('Dvd Calendar'!$J$978)=FALSE,"",IF((Summary!$C$13="N")*('Dvd Calendar'!$J$982='Field Check'!$C$25)&gt;0,"",'Dvd Calendar'!$J$978)))</f>
        <v/>
      </c>
      <c r="DK73" s="85">
        <f>IF(AW73="","",IF(ISNUMBER('Dvd Calendar'!$K$978)=FALSE,"",IF((Summary!$C$13="N")*('Dvd Calendar'!$K$982='Field Check'!$C$25)&gt;0,"",'Dvd Calendar'!$K$978)))</f>
        <v/>
      </c>
      <c r="DL73" s="85">
        <f>IF(AX73="","",IF(ISNUMBER('Dvd Calendar'!$L$978)=FALSE,"",IF((Summary!$C$13="N")*('Dvd Calendar'!$L$982='Field Check'!$C$25)&gt;0,"",'Dvd Calendar'!$L$978)))</f>
        <v/>
      </c>
      <c r="DM73" s="85">
        <f>IF(AY73="","",IF(ISNUMBER('Dvd Calendar'!$M$978)=FALSE,"",IF((Summary!$C$13="N")*('Dvd Calendar'!$M$982='Field Check'!$C$25)&gt;0,"",'Dvd Calendar'!$M$978)))</f>
        <v/>
      </c>
      <c r="DN73" s="85">
        <f>IF(AZ73="","",IF(ISNUMBER('Dvd Calendar'!$N$978)=FALSE,"",IF((Summary!$C$13="N")*('Dvd Calendar'!$N$982='Field Check'!$C$25)&gt;0,"",'Dvd Calendar'!$N$978)))</f>
        <v/>
      </c>
      <c r="DO73" s="85">
        <f>IF(BA73="","",IF(ISNUMBER('Dvd Calendar'!$O$978)=FALSE,"",IF((Summary!$C$13="N")*('Dvd Calendar'!$O$982='Field Check'!$C$25)&gt;0,"",'Dvd Calendar'!$O$978)))</f>
        <v/>
      </c>
      <c r="DP73" s="85">
        <f>IF(BB73="","",IF(ISNUMBER('Dvd Calendar'!$P$978)=FALSE,"",IF((Summary!$C$13="N")*('Dvd Calendar'!$P$982='Field Check'!$C$25)&gt;0,"",'Dvd Calendar'!$P$978)))</f>
        <v/>
      </c>
      <c r="DQ73" s="85">
        <f>IF(BC73="","",IF(ISNUMBER('Dvd Calendar'!$Q$978)=FALSE,"",IF((Summary!$C$13="N")*('Dvd Calendar'!$Q$982='Field Check'!$C$25)&gt;0,"",'Dvd Calendar'!$Q$978)))</f>
        <v/>
      </c>
      <c r="DR73" s="85">
        <f>IF(BD73="","",IF(ISNUMBER('Dvd Calendar'!$R$978)=FALSE,"",IF((Summary!$C$13="N")*('Dvd Calendar'!$R$982='Field Check'!$C$25)&gt;0,"",'Dvd Calendar'!$R$978)))</f>
        <v/>
      </c>
      <c r="DS73" s="85">
        <f>IF(BE73="","",IF(ISNUMBER('Dvd Calendar'!$S$978)=FALSE,"",IF((Summary!$C$13="N")*('Dvd Calendar'!$S$982='Field Check'!$C$25)&gt;0,"",'Dvd Calendar'!$S$978)))</f>
        <v/>
      </c>
      <c r="DT73" s="85">
        <f>IF(BF73="","",IF(ISNUMBER('Dvd Calendar'!$T$978)=FALSE,"",IF((Summary!$C$13="N")*('Dvd Calendar'!$T$982='Field Check'!$C$25)&gt;0,"",'Dvd Calendar'!$T$978)))</f>
        <v/>
      </c>
      <c r="DU73" s="85">
        <f>IF(BG73="","",IF(ISNUMBER('Dvd Calendar'!$U$978)=FALSE,"",IF((Summary!$C$13="N")*('Dvd Calendar'!$U$982='Field Check'!$C$25)&gt;0,"",'Dvd Calendar'!$U$978)))</f>
        <v/>
      </c>
      <c r="DV73" s="85">
        <f>IF(BH73="","",IF(ISNUMBER('Dvd Calendar'!$V$978)=FALSE,"",IF((Summary!$C$13="N")*('Dvd Calendar'!$V$982='Field Check'!$C$25)&gt;0,"",'Dvd Calendar'!$V$978)))</f>
        <v/>
      </c>
      <c r="DW73" s="85">
        <f>IF(BI73="","",IF(ISNUMBER('Dvd Calendar'!$W$978)=FALSE,"",IF((Summary!$C$13="N")*('Dvd Calendar'!$W$982='Field Check'!$C$25)&gt;0,"",'Dvd Calendar'!$W$978)))</f>
        <v/>
      </c>
      <c r="DX73" s="85">
        <f>IF(BJ73="","",IF(ISNUMBER('Dvd Calendar'!$X$978)=FALSE,"",IF((Summary!$C$13="N")*('Dvd Calendar'!$X$982='Field Check'!$C$25)&gt;0,"",'Dvd Calendar'!$X$978)))</f>
        <v/>
      </c>
      <c r="DY73" s="85">
        <f>IF(BK73="","",IF(ISNUMBER('Dvd Calendar'!$Y$978)=FALSE,"",IF((Summary!$C$13="N")*('Dvd Calendar'!$Y$982='Field Check'!$C$25)&gt;0,"",'Dvd Calendar'!$Y$978)))</f>
        <v/>
      </c>
      <c r="DZ73" s="85">
        <f>IF(BL73="","",IF(ISNUMBER('Dvd Calendar'!$Z$978)=FALSE,"",IF((Summary!$C$13="N")*('Dvd Calendar'!$Z$982='Field Check'!$C$25)&gt;0,"",'Dvd Calendar'!$Z$978)))</f>
        <v/>
      </c>
      <c r="EA73" s="85">
        <f>IF(BM73="","",IF(ISNUMBER('Dvd Calendar'!$AA$978)=FALSE,"",IF((Summary!$C$13="N")*('Dvd Calendar'!$AA$982='Field Check'!$C$25)&gt;0,"",'Dvd Calendar'!$AA$978)))</f>
        <v/>
      </c>
      <c r="EB73" s="85">
        <f>IF(BN73="","",IF(ISNUMBER('Dvd Calendar'!$AB$978)=FALSE,"",IF((Summary!$C$13="N")*('Dvd Calendar'!$AB$982='Field Check'!$C$25)&gt;0,"",'Dvd Calendar'!$AB$978)))</f>
        <v/>
      </c>
      <c r="EC73" s="85">
        <f>IF(BO73="","",IF(ISNUMBER('Dvd Calendar'!$AC$978)=FALSE,"",IF((Summary!$C$13="N")*('Dvd Calendar'!$AC$982='Field Check'!$C$25)&gt;0,"",'Dvd Calendar'!$AC$978)))</f>
        <v/>
      </c>
      <c r="EE73" s="85">
        <f>IF(BQ73="","",IFERROR(BQ73*HSI!$B$71*HSI!$G$71/HSI!$B$3,""))</f>
        <v/>
      </c>
      <c r="EF73" s="85">
        <f>IF(BR73="","",IFERROR(BR73*HSI!$B$71*HSI!$G$71/HSI!$B$3,""))</f>
        <v/>
      </c>
      <c r="EG73" s="85">
        <f>IF(BS73="","",IFERROR(BS73*HSI!$B$71*HSI!$G$71/HSI!$B$3,""))</f>
        <v/>
      </c>
      <c r="EH73" s="85">
        <f>IF(BT73="","",IFERROR(BT73*HSI!$B$71*HSI!$G$71/HSI!$B$3,""))</f>
        <v/>
      </c>
      <c r="EI73" s="85">
        <f>IF(BU73="","",IFERROR(BU73*HSI!$B$71*HSI!$G$71/HSI!$B$3,""))</f>
        <v/>
      </c>
      <c r="EJ73" s="85">
        <f>IF(BV73="","",IFERROR(BV73*HSI!$B$71*HSI!$G$71/HSI!$B$3,""))</f>
        <v/>
      </c>
      <c r="EK73" s="85">
        <f>IF(BW73="","",IFERROR(BW73*HSI!$B$71*HSI!$G$71/HSI!$B$3,""))</f>
        <v/>
      </c>
      <c r="EL73" s="85">
        <f>IF(BX73="","",IFERROR(BX73*HSI!$B$71*HSI!$G$71/HSI!$B$3,""))</f>
        <v/>
      </c>
      <c r="EM73" s="85">
        <f>IF(BY73="","",IFERROR(BY73*HSI!$B$71*HSI!$G$71/HSI!$B$3,""))</f>
        <v/>
      </c>
      <c r="EN73" s="85">
        <f>IF(BZ73="","",IFERROR(BZ73*HSI!$B$71*HSI!$G$71/HSI!$B$3,""))</f>
        <v/>
      </c>
      <c r="EO73" s="85">
        <f>IF(CA73="","",IFERROR(CA73*HSI!$B$71*HSI!$G$71/HSI!$B$3,""))</f>
        <v/>
      </c>
      <c r="EP73" s="85">
        <f>IF(CB73="","",IFERROR(CB73*HSI!$B$71*HSI!$G$71/HSI!$B$3,""))</f>
        <v/>
      </c>
      <c r="EQ73" s="85">
        <f>IF(CC73="","",IFERROR(CC73*HSI!$B$71*HSI!$G$71/HSI!$B$3,""))</f>
        <v/>
      </c>
      <c r="ER73" s="85">
        <f>IF(CD73="","",IFERROR(CD73*HSI!$B$71*HSI!$G$71/HSI!$B$3,""))</f>
        <v/>
      </c>
      <c r="ES73" s="85">
        <f>IF(CE73="","",IFERROR(CE73*HSI!$B$71*HSI!$G$71/HSI!$B$3,""))</f>
        <v/>
      </c>
      <c r="ET73" s="85">
        <f>IF(CF73="","",IFERROR(CF73*HSI!$B$71*HSI!$G$71/HSI!$B$3,""))</f>
        <v/>
      </c>
      <c r="EU73" s="85">
        <f>IF(CG73="","",IFERROR(CG73*HSI!$B$71*HSI!$G$71/HSI!$B$3,""))</f>
        <v/>
      </c>
      <c r="EV73" s="85">
        <f>IF(CH73="","",IFERROR(CH73*HSI!$B$71*HSI!$G$71/HSI!$B$3,""))</f>
        <v/>
      </c>
      <c r="EW73" s="85">
        <f>IF(CI73="","",IFERROR(CI73*HSI!$B$71*HSI!$G$71/HSI!$B$3,""))</f>
        <v/>
      </c>
      <c r="EX73" s="85">
        <f>IF(CJ73="","",IFERROR(CJ73*HSI!$B$71*HSI!$G$71/HSI!$B$3,""))</f>
        <v/>
      </c>
      <c r="EY73" s="85">
        <f>IF(CK73="","",IFERROR(CK73*HSI!$B$71*HSI!$G$71/HSI!$B$3,""))</f>
        <v/>
      </c>
      <c r="EZ73" s="85">
        <f>IF(CL73="","",IFERROR(CL73*HSI!$B$71*HSI!$G$71/HSI!$B$3,""))</f>
        <v/>
      </c>
      <c r="FA73" s="85">
        <f>IF(CM73="","",IFERROR(CM73*HSI!$B$71*HSI!$G$71/HSI!$B$3,""))</f>
        <v/>
      </c>
      <c r="FB73" s="85">
        <f>IF(CN73="","",IFERROR(CN73*HSI!$B$71*HSI!$G$71/HSI!$B$3,""))</f>
        <v/>
      </c>
      <c r="FC73" s="85">
        <f>IF(CO73="","",IFERROR(CO73*HSI!$B$71*HSI!$G$71/HSI!$B$3,""))</f>
        <v/>
      </c>
      <c r="FD73" s="85">
        <f>IF(CP73="","",IFERROR(CP73*HSI!$B$71*HSI!$G$71/HSI!$B$3,""))</f>
        <v/>
      </c>
      <c r="FE73" s="85">
        <f>IF(CQ73="","",IFERROR(CQ73*HSI!$B$71*HSI!$G$71/HSI!$B$3,""))</f>
        <v/>
      </c>
      <c r="FF73" s="85">
        <f>IF(CR73="","",IFERROR(CR73*HSI!$B$71*HSI!$G$71/HSI!$B$3,""))</f>
        <v/>
      </c>
      <c r="FG73" s="85">
        <f>IF(CS73="","",IFERROR(CS73*HSI!$B$71*HSI!$G$71/HSI!$B$3,""))</f>
        <v/>
      </c>
      <c r="FH73" s="85">
        <f>IF(CT73="","",IFERROR(CT73*HSI!$B$71*HSI!$G$71/HSI!$B$3,""))</f>
        <v/>
      </c>
      <c r="FI73" s="85">
        <f>IF(CU73="","",IFERROR(CU73*HSI!$B$71*HSI!$G$71/HSI!$B$3,""))</f>
        <v/>
      </c>
      <c r="FJ73" s="85">
        <f>IF(CV73="","",IFERROR(CV73*HSI!$B$71*HSI!$G$71/HSI!$B$3,""))</f>
        <v/>
      </c>
      <c r="FK73" s="85">
        <f>IF(CW73="","",IFERROR(CW73*HSI!$B$71*HSI!$G$71/HSI!$B$3,""))</f>
        <v/>
      </c>
      <c r="FL73" s="85">
        <f>IF(CX73="","",IFERROR(CX73*HSI!$B$71*HSI!$G$71/HSI!$B$3,""))</f>
        <v/>
      </c>
      <c r="FM73" s="85">
        <f>IF(CY73="","",IFERROR(CY73*HSI!$B$71*HSI!$G$71/HSI!$B$3,""))</f>
        <v/>
      </c>
      <c r="FN73" s="85">
        <f>IF(CZ73="","",IFERROR(CZ73*HSI!$B$71*HSI!$G$71/HSI!$B$3,""))</f>
        <v/>
      </c>
      <c r="FO73" s="85">
        <f>IF(DA73="","",IFERROR(DA73*HSI!$B$71*HSI!$G$71/HSI!$B$3,""))</f>
        <v/>
      </c>
      <c r="FP73" s="85">
        <f>IF(DB73="","",IFERROR(DB73*HSI!$B$71*HSI!$G$71/HSI!$B$3,""))</f>
        <v/>
      </c>
      <c r="FQ73" s="85">
        <f>IF(DC73="","",IFERROR(DC73*HSI!$B$71*HSI!$G$71/HSI!$B$3,""))</f>
        <v/>
      </c>
      <c r="FR73" s="85">
        <f>IF(DD73="","",IFERROR(DD73*HSI!$B$71*HSI!$G$71/HSI!$B$3,""))</f>
        <v/>
      </c>
      <c r="FS73" s="85">
        <f>IF(DE73="","",IFERROR(DE73*HSI!$B$71*HSI!$G$71/HSI!$B$3,""))</f>
        <v/>
      </c>
      <c r="FT73" s="85">
        <f>IF(DF73="","",IFERROR(DF73*HSI!$B$71*HSI!$G$71/HSI!$B$3,""))</f>
        <v/>
      </c>
      <c r="FU73" s="85">
        <f>IF(DG73="","",IFERROR(DG73*HSI!$B$71*HSI!$G$71/HSI!$B$3,""))</f>
        <v/>
      </c>
      <c r="FV73" s="85">
        <f>IF(DH73="","",IFERROR(DH73*HSI!$B$71*HSI!$G$71/HSI!$B$3,""))</f>
        <v/>
      </c>
      <c r="FW73" s="85">
        <f>IF(DI73="","",IFERROR(DI73*HSI!$B$71*HSI!$G$71/HSI!$B$3,""))</f>
        <v/>
      </c>
      <c r="FX73" s="85">
        <f>IF(DJ73="","",IFERROR(DJ73*HSI!$B$71*HSI!$G$71/HSI!$B$3,""))</f>
        <v/>
      </c>
      <c r="FY73" s="85">
        <f>IF(DK73="","",IFERROR(DK73*HSI!$B$71*HSI!$G$71/HSI!$B$3,""))</f>
        <v/>
      </c>
      <c r="FZ73" s="85">
        <f>IF(DL73="","",IFERROR(DL73*HSI!$B$71*HSI!$G$71/HSI!$B$3,""))</f>
        <v/>
      </c>
      <c r="GA73" s="85">
        <f>IF(DM73="","",IFERROR(DM73*HSI!$B$71*HSI!$G$71/HSI!$B$3,""))</f>
        <v/>
      </c>
      <c r="GB73" s="85">
        <f>IF(DN73="","",IFERROR(DN73*HSI!$B$71*HSI!$G$71/HSI!$B$3,""))</f>
        <v/>
      </c>
      <c r="GC73" s="85">
        <f>IF(DO73="","",IFERROR(DO73*HSI!$B$71*HSI!$G$71/HSI!$B$3,""))</f>
        <v/>
      </c>
      <c r="GD73" s="85">
        <f>IF(DP73="","",IFERROR(DP73*HSI!$B$71*HSI!$G$71/HSI!$B$3,""))</f>
        <v/>
      </c>
      <c r="GE73" s="85">
        <f>IF(DQ73="","",IFERROR(DQ73*HSI!$B$71*HSI!$G$71/HSI!$B$3,""))</f>
        <v/>
      </c>
      <c r="GF73" s="85">
        <f>IF(DR73="","",IFERROR(DR73*HSI!$B$71*HSI!$G$71/HSI!$B$3,""))</f>
        <v/>
      </c>
      <c r="GG73" s="85">
        <f>IF(DS73="","",IFERROR(DS73*HSI!$B$71*HSI!$G$71/HSI!$B$3,""))</f>
        <v/>
      </c>
      <c r="GH73" s="85">
        <f>IF(DT73="","",IFERROR(DT73*HSI!$B$71*HSI!$G$71/HSI!$B$3,""))</f>
        <v/>
      </c>
      <c r="GI73" s="85">
        <f>IF(DU73="","",IFERROR(DU73*HSI!$B$71*HSI!$G$71/HSI!$B$3,""))</f>
        <v/>
      </c>
      <c r="GJ73" s="85">
        <f>IF(DV73="","",IFERROR(DV73*HSI!$B$71*HSI!$G$71/HSI!$B$3,""))</f>
        <v/>
      </c>
      <c r="GK73" s="85">
        <f>IF(DW73="","",IFERROR(DW73*HSI!$B$71*HSI!$G$71/HSI!$B$3,""))</f>
        <v/>
      </c>
      <c r="GL73" s="85">
        <f>IF(DX73="","",IFERROR(DX73*HSI!$B$71*HSI!$G$71/HSI!$B$3,""))</f>
        <v/>
      </c>
      <c r="GM73" s="85">
        <f>IF(DY73="","",IFERROR(DY73*HSI!$B$71*HSI!$G$71/HSI!$B$3,""))</f>
        <v/>
      </c>
      <c r="GN73" s="85">
        <f>IF(DZ73="","",IFERROR(DZ73*HSI!$B$71*HSI!$G$71/HSI!$B$3,""))</f>
        <v/>
      </c>
      <c r="GO73" s="85">
        <f>IF(EA73="","",IFERROR(EA73*HSI!$B$71*HSI!$G$71/HSI!$B$3,""))</f>
        <v/>
      </c>
      <c r="GP73" s="85">
        <f>IF(EB73="","",IFERROR(EB73*HSI!$B$71*HSI!$G$71/HSI!$B$3,""))</f>
        <v/>
      </c>
      <c r="GQ73" s="85">
        <f>IF(EC73="","",IFERROR(EC73*HSI!$B$71*HSI!$G$71/HSI!$B$3,""))</f>
        <v/>
      </c>
    </row>
    <row r="74">
      <c r="B74" s="2">
        <f>IF(HSI!$C$72="","",HSI!$C$72)</f>
        <v/>
      </c>
      <c r="C74" s="41">
        <f>IF(N('Dvd Calendar'!$E$985)=0,"",IF(('Dvd Calendar'!$E$985&gt;=MIN(DATE(Summary!$C$12,1,1),Summary!$C$11))*('Dvd Calendar'!$E$985&lt;=MAX(DATE(Summary!$C$12,12,31),Summary!$C$15))*('Dvd Calendar'!$E$985&lt;=Summary!$C$11)=0,"",'Dvd Calendar'!$E$985*1000000000+ISNUMBER('Dvd Calendar'!$E$986)*100000000+('Dvd Calendar'!$E$990='Field Check'!$C$25)*10000000+(N('Dvd Calendar'!$E$984)&gt;0)*1000000+66*1000+1))</f>
        <v/>
      </c>
      <c r="D74" s="41">
        <f>IF(N('Dvd Calendar'!$F$985)=0,"",IF(('Dvd Calendar'!$F$985&gt;=MIN(DATE(Summary!$C$12,1,1),Summary!$C$11))*('Dvd Calendar'!$F$985&lt;=MAX(DATE(Summary!$C$12,12,31),Summary!$C$15))*('Dvd Calendar'!$F$985&lt;=Summary!$C$11)=0,"",'Dvd Calendar'!$F$985*1000000000+ISNUMBER('Dvd Calendar'!$F$986)*100000000+('Dvd Calendar'!$F$990='Field Check'!$C$25)*10000000+(N('Dvd Calendar'!$F$984)&gt;0)*1000000+66*1000+2))</f>
        <v/>
      </c>
      <c r="E74" s="41">
        <f>IF(N('Dvd Calendar'!$G$985)=0,"",IF(('Dvd Calendar'!$G$985&gt;=MIN(DATE(Summary!$C$12,1,1),Summary!$C$11))*('Dvd Calendar'!$G$985&lt;=MAX(DATE(Summary!$C$12,12,31),Summary!$C$15))*('Dvd Calendar'!$G$985&lt;=Summary!$C$11)=0,"",'Dvd Calendar'!$G$985*1000000000+ISNUMBER('Dvd Calendar'!$G$986)*100000000+('Dvd Calendar'!$G$990='Field Check'!$C$25)*10000000+(N('Dvd Calendar'!$G$984)&gt;0)*1000000+66*1000+3))</f>
        <v/>
      </c>
      <c r="F74" s="41">
        <f>IF(N('Dvd Calendar'!$H$985)=0,"",IF(('Dvd Calendar'!$H$985&gt;=MIN(DATE(Summary!$C$12,1,1),Summary!$C$11))*('Dvd Calendar'!$H$985&lt;=MAX(DATE(Summary!$C$12,12,31),Summary!$C$15))*('Dvd Calendar'!$H$985&lt;=Summary!$C$11)=0,"",'Dvd Calendar'!$H$985*1000000000+ISNUMBER('Dvd Calendar'!$H$986)*100000000+('Dvd Calendar'!$H$990='Field Check'!$C$25)*10000000+(N('Dvd Calendar'!$H$984)&gt;0)*1000000+66*1000+4))</f>
        <v/>
      </c>
      <c r="G74" s="41">
        <f>IF(N('Dvd Calendar'!$I$985)=0,"",IF(('Dvd Calendar'!$I$985&gt;=MIN(DATE(Summary!$C$12,1,1),Summary!$C$11))*('Dvd Calendar'!$I$985&lt;=MAX(DATE(Summary!$C$12,12,31),Summary!$C$15))*('Dvd Calendar'!$I$985&lt;=Summary!$C$11)=0,"",'Dvd Calendar'!$I$985*1000000000+ISNUMBER('Dvd Calendar'!$I$986)*100000000+('Dvd Calendar'!$I$990='Field Check'!$C$25)*10000000+(N('Dvd Calendar'!$I$984)&gt;0)*1000000+66*1000+5))</f>
        <v/>
      </c>
      <c r="H74" s="41">
        <f>IF(N('Dvd Calendar'!$J$985)=0,"",IF(('Dvd Calendar'!$J$985&gt;=MIN(DATE(Summary!$C$12,1,1),Summary!$C$11))*('Dvd Calendar'!$J$985&lt;=MAX(DATE(Summary!$C$12,12,31),Summary!$C$15))*('Dvd Calendar'!$J$985&lt;=Summary!$C$11)=0,"",'Dvd Calendar'!$J$985*1000000000+ISNUMBER('Dvd Calendar'!$J$986)*100000000+('Dvd Calendar'!$J$990='Field Check'!$C$25)*10000000+(N('Dvd Calendar'!$J$984)&gt;0)*1000000+66*1000+6))</f>
        <v/>
      </c>
      <c r="I74" s="41">
        <f>IF(N('Dvd Calendar'!$K$985)=0,"",IF(('Dvd Calendar'!$K$985&gt;=MIN(DATE(Summary!$C$12,1,1),Summary!$C$11))*('Dvd Calendar'!$K$985&lt;=MAX(DATE(Summary!$C$12,12,31),Summary!$C$15))*('Dvd Calendar'!$K$985&lt;=Summary!$C$11)=0,"",'Dvd Calendar'!$K$985*1000000000+ISNUMBER('Dvd Calendar'!$K$986)*100000000+('Dvd Calendar'!$K$990='Field Check'!$C$25)*10000000+(N('Dvd Calendar'!$K$984)&gt;0)*1000000+66*1000+7))</f>
        <v/>
      </c>
      <c r="J74" s="41">
        <f>IF(N('Dvd Calendar'!$L$985)=0,"",IF(('Dvd Calendar'!$L$985&gt;=MIN(DATE(Summary!$C$12,1,1),Summary!$C$11))*('Dvd Calendar'!$L$985&lt;=MAX(DATE(Summary!$C$12,12,31),Summary!$C$15))*('Dvd Calendar'!$L$985&lt;=Summary!$C$11)=0,"",'Dvd Calendar'!$L$985*1000000000+ISNUMBER('Dvd Calendar'!$L$986)*100000000+('Dvd Calendar'!$L$990='Field Check'!$C$25)*10000000+(N('Dvd Calendar'!$L$984)&gt;0)*1000000+66*1000+8))</f>
        <v/>
      </c>
      <c r="K74" s="41">
        <f>IF(N('Dvd Calendar'!$M$985)=0,"",IF(('Dvd Calendar'!$M$985&gt;=MIN(DATE(Summary!$C$12,1,1),Summary!$C$11))*('Dvd Calendar'!$M$985&lt;=MAX(DATE(Summary!$C$12,12,31),Summary!$C$15))*('Dvd Calendar'!$M$985&lt;=Summary!$C$11)=0,"",'Dvd Calendar'!$M$985*1000000000+ISNUMBER('Dvd Calendar'!$M$986)*100000000+('Dvd Calendar'!$M$990='Field Check'!$C$25)*10000000+(N('Dvd Calendar'!$M$984)&gt;0)*1000000+66*1000+9))</f>
        <v/>
      </c>
      <c r="L74" s="41">
        <f>IF(N('Dvd Calendar'!$N$985)=0,"",IF(('Dvd Calendar'!$N$985&gt;=MIN(DATE(Summary!$C$12,1,1),Summary!$C$11))*('Dvd Calendar'!$N$985&lt;=MAX(DATE(Summary!$C$12,12,31),Summary!$C$15))*('Dvd Calendar'!$N$985&lt;=Summary!$C$11)=0,"",'Dvd Calendar'!$N$985*1000000000+ISNUMBER('Dvd Calendar'!$N$986)*100000000+('Dvd Calendar'!$N$990='Field Check'!$C$25)*10000000+(N('Dvd Calendar'!$N$984)&gt;0)*1000000+66*1000+10))</f>
        <v/>
      </c>
      <c r="M74" s="41">
        <f>IF(N('Dvd Calendar'!$O$985)=0,"",IF(('Dvd Calendar'!$O$985&gt;=MIN(DATE(Summary!$C$12,1,1),Summary!$C$11))*('Dvd Calendar'!$O$985&lt;=MAX(DATE(Summary!$C$12,12,31),Summary!$C$15))*('Dvd Calendar'!$O$985&lt;=Summary!$C$11)=0,"",'Dvd Calendar'!$O$985*1000000000+ISNUMBER('Dvd Calendar'!$O$986)*100000000+('Dvd Calendar'!$O$990='Field Check'!$C$25)*10000000+(N('Dvd Calendar'!$O$984)&gt;0)*1000000+66*1000+11))</f>
        <v/>
      </c>
      <c r="N74" s="41">
        <f>IF(N('Dvd Calendar'!$P$985)=0,"",IF(('Dvd Calendar'!$P$985&gt;=MIN(DATE(Summary!$C$12,1,1),Summary!$C$11))*('Dvd Calendar'!$P$985&lt;=MAX(DATE(Summary!$C$12,12,31),Summary!$C$15))*('Dvd Calendar'!$P$985&lt;=Summary!$C$11)=0,"",'Dvd Calendar'!$P$985*1000000000+ISNUMBER('Dvd Calendar'!$P$986)*100000000+('Dvd Calendar'!$P$990='Field Check'!$C$25)*10000000+(N('Dvd Calendar'!$P$984)&gt;0)*1000000+66*1000+12))</f>
        <v/>
      </c>
      <c r="O74" s="41">
        <f>IF(N('Dvd Calendar'!$Q$985)=0,"",IF(('Dvd Calendar'!$Q$985&gt;=MIN(DATE(Summary!$C$12,1,1),Summary!$C$11))*('Dvd Calendar'!$Q$985&lt;=MAX(DATE(Summary!$C$12,12,31),Summary!$C$15))*('Dvd Calendar'!$Q$985&lt;=Summary!$C$11)=0,"",'Dvd Calendar'!$Q$985*1000000000+ISNUMBER('Dvd Calendar'!$Q$986)*100000000+('Dvd Calendar'!$Q$990='Field Check'!$C$25)*10000000+(N('Dvd Calendar'!$Q$984)&gt;0)*1000000+66*1000+13))</f>
        <v/>
      </c>
      <c r="P74" s="41">
        <f>IF(N('Dvd Calendar'!$R$985)=0,"",IF(('Dvd Calendar'!$R$985&gt;=MIN(DATE(Summary!$C$12,1,1),Summary!$C$11))*('Dvd Calendar'!$R$985&lt;=MAX(DATE(Summary!$C$12,12,31),Summary!$C$15))*('Dvd Calendar'!$R$985&lt;=Summary!$C$11)=0,"",'Dvd Calendar'!$R$985*1000000000+ISNUMBER('Dvd Calendar'!$R$986)*100000000+('Dvd Calendar'!$R$990='Field Check'!$C$25)*10000000+(N('Dvd Calendar'!$R$984)&gt;0)*1000000+66*1000+14))</f>
        <v/>
      </c>
      <c r="Q74" s="41">
        <f>IF(N('Dvd Calendar'!$S$985)=0,"",IF(('Dvd Calendar'!$S$985&gt;=MIN(DATE(Summary!$C$12,1,1),Summary!$C$11))*('Dvd Calendar'!$S$985&lt;=MAX(DATE(Summary!$C$12,12,31),Summary!$C$15))*('Dvd Calendar'!$S$985&lt;=Summary!$C$11)=0,"",'Dvd Calendar'!$S$985*1000000000+ISNUMBER('Dvd Calendar'!$S$986)*100000000+('Dvd Calendar'!$S$990='Field Check'!$C$25)*10000000+(N('Dvd Calendar'!$S$984)&gt;0)*1000000+66*1000+15))</f>
        <v/>
      </c>
      <c r="R74" s="41">
        <f>IF(N('Dvd Calendar'!$T$985)=0,"",IF(('Dvd Calendar'!$T$985&gt;=MIN(DATE(Summary!$C$12,1,1),Summary!$C$11))*('Dvd Calendar'!$T$985&lt;=MAX(DATE(Summary!$C$12,12,31),Summary!$C$15))*('Dvd Calendar'!$T$985&lt;=Summary!$C$11)=0,"",'Dvd Calendar'!$T$985*1000000000+ISNUMBER('Dvd Calendar'!$T$986)*100000000+('Dvd Calendar'!$T$990='Field Check'!$C$25)*10000000+(N('Dvd Calendar'!$T$984)&gt;0)*1000000+66*1000+16))</f>
        <v/>
      </c>
      <c r="S74" s="41">
        <f>IF(N('Dvd Calendar'!$U$985)=0,"",IF(('Dvd Calendar'!$U$985&gt;=MIN(DATE(Summary!$C$12,1,1),Summary!$C$11))*('Dvd Calendar'!$U$985&lt;=MAX(DATE(Summary!$C$12,12,31),Summary!$C$15))*('Dvd Calendar'!$U$985&lt;=Summary!$C$11)=0,"",'Dvd Calendar'!$U$985*1000000000+ISNUMBER('Dvd Calendar'!$U$986)*100000000+('Dvd Calendar'!$U$990='Field Check'!$C$25)*10000000+(N('Dvd Calendar'!$U$984)&gt;0)*1000000+66*1000+17))</f>
        <v/>
      </c>
      <c r="T74" s="41">
        <f>IF(N('Dvd Calendar'!$V$985)=0,"",IF(('Dvd Calendar'!$V$985&gt;=MIN(DATE(Summary!$C$12,1,1),Summary!$C$11))*('Dvd Calendar'!$V$985&lt;=MAX(DATE(Summary!$C$12,12,31),Summary!$C$15))*('Dvd Calendar'!$V$985&lt;=Summary!$C$11)=0,"",'Dvd Calendar'!$V$985*1000000000+ISNUMBER('Dvd Calendar'!$V$986)*100000000+('Dvd Calendar'!$V$990='Field Check'!$C$25)*10000000+(N('Dvd Calendar'!$V$984)&gt;0)*1000000+66*1000+18))</f>
        <v/>
      </c>
      <c r="U74" s="41">
        <f>IF(N('Dvd Calendar'!$W$985)=0,"",IF(('Dvd Calendar'!$W$985&gt;=MIN(DATE(Summary!$C$12,1,1),Summary!$C$11))*('Dvd Calendar'!$W$985&lt;=MAX(DATE(Summary!$C$12,12,31),Summary!$C$15))*('Dvd Calendar'!$W$985&lt;=Summary!$C$11)=0,"",'Dvd Calendar'!$W$985*1000000000+ISNUMBER('Dvd Calendar'!$W$986)*100000000+('Dvd Calendar'!$W$990='Field Check'!$C$25)*10000000+(N('Dvd Calendar'!$W$984)&gt;0)*1000000+66*1000+19))</f>
        <v/>
      </c>
      <c r="V74" s="41">
        <f>IF(N('Dvd Calendar'!$X$985)=0,"",IF(('Dvd Calendar'!$X$985&gt;=MIN(DATE(Summary!$C$12,1,1),Summary!$C$11))*('Dvd Calendar'!$X$985&lt;=MAX(DATE(Summary!$C$12,12,31),Summary!$C$15))*('Dvd Calendar'!$X$985&lt;=Summary!$C$11)=0,"",'Dvd Calendar'!$X$985*1000000000+ISNUMBER('Dvd Calendar'!$X$986)*100000000+('Dvd Calendar'!$X$990='Field Check'!$C$25)*10000000+(N('Dvd Calendar'!$X$984)&gt;0)*1000000+66*1000+20))</f>
        <v/>
      </c>
      <c r="W74" s="41">
        <f>IF(N('Dvd Calendar'!$Y$985)=0,"",IF(('Dvd Calendar'!$Y$985&gt;=MIN(DATE(Summary!$C$12,1,1),Summary!$C$11))*('Dvd Calendar'!$Y$985&lt;=MAX(DATE(Summary!$C$12,12,31),Summary!$C$15))*('Dvd Calendar'!$Y$985&lt;=Summary!$C$11)=0,"",'Dvd Calendar'!$Y$985*1000000000+ISNUMBER('Dvd Calendar'!$Y$986)*100000000+('Dvd Calendar'!$Y$990='Field Check'!$C$25)*10000000+(N('Dvd Calendar'!$Y$984)&gt;0)*1000000+66*1000+21))</f>
        <v/>
      </c>
      <c r="X74" s="41">
        <f>IF(N('Dvd Calendar'!$Z$985)=0,"",IF(('Dvd Calendar'!$Z$985&gt;=MIN(DATE(Summary!$C$12,1,1),Summary!$C$11))*('Dvd Calendar'!$Z$985&lt;=MAX(DATE(Summary!$C$12,12,31),Summary!$C$15))*('Dvd Calendar'!$Z$985&lt;=Summary!$C$11)=0,"",'Dvd Calendar'!$Z$985*1000000000+ISNUMBER('Dvd Calendar'!$Z$986)*100000000+('Dvd Calendar'!$Z$990='Field Check'!$C$25)*10000000+(N('Dvd Calendar'!$Z$984)&gt;0)*1000000+66*1000+22))</f>
        <v/>
      </c>
      <c r="Y74" s="41">
        <f>IF(N('Dvd Calendar'!$AA$985)=0,"",IF(('Dvd Calendar'!$AA$985&gt;=MIN(DATE(Summary!$C$12,1,1),Summary!$C$11))*('Dvd Calendar'!$AA$985&lt;=MAX(DATE(Summary!$C$12,12,31),Summary!$C$15))*('Dvd Calendar'!$AA$985&lt;=Summary!$C$11)=0,"",'Dvd Calendar'!$AA$985*1000000000+ISNUMBER('Dvd Calendar'!$AA$986)*100000000+('Dvd Calendar'!$AA$990='Field Check'!$C$25)*10000000+(N('Dvd Calendar'!$AA$984)&gt;0)*1000000+66*1000+23))</f>
        <v/>
      </c>
      <c r="Z74" s="41">
        <f>IF(N('Dvd Calendar'!$AB$985)=0,"",IF(('Dvd Calendar'!$AB$985&gt;=MIN(DATE(Summary!$C$12,1,1),Summary!$C$11))*('Dvd Calendar'!$AB$985&lt;=MAX(DATE(Summary!$C$12,12,31),Summary!$C$15))*('Dvd Calendar'!$AB$985&lt;=Summary!$C$11)=0,"",'Dvd Calendar'!$AB$985*1000000000+ISNUMBER('Dvd Calendar'!$AB$986)*100000000+('Dvd Calendar'!$AB$990='Field Check'!$C$25)*10000000+(N('Dvd Calendar'!$AB$984)&gt;0)*1000000+66*1000+24))</f>
        <v/>
      </c>
      <c r="AA74" s="41">
        <f>IF(N('Dvd Calendar'!$AC$985)=0,"",IF(('Dvd Calendar'!$AC$985&gt;=MIN(DATE(Summary!$C$12,1,1),Summary!$C$11))*('Dvd Calendar'!$AC$985&lt;=MAX(DATE(Summary!$C$12,12,31),Summary!$C$15))*('Dvd Calendar'!$AC$985&lt;=Summary!$C$11)=0,"",'Dvd Calendar'!$AC$985*1000000000+ISNUMBER('Dvd Calendar'!$AC$986)*100000000+('Dvd Calendar'!$AC$990='Field Check'!$C$25)*10000000+(N('Dvd Calendar'!$AC$984)&gt;0)*1000000+66*1000+25))</f>
        <v/>
      </c>
      <c r="AB74" s="41">
        <f>IF(N('Dvd Calendar'!$AD$985)=0,"",IF(('Dvd Calendar'!$AD$985&gt;=MIN(DATE(Summary!$C$12,1,1),Summary!$C$11))*('Dvd Calendar'!$AD$985&lt;=MAX(DATE(Summary!$C$12,12,31),Summary!$C$15))*('Dvd Calendar'!$AD$985&lt;=Summary!$C$11)=0,"",'Dvd Calendar'!$AD$985*1000000000+ISNUMBER('Dvd Calendar'!$AD$986)*100000000+('Dvd Calendar'!$AD$990='Field Check'!$C$25)*10000000+(N('Dvd Calendar'!$AD$984)&gt;0)*1000000+66*1000+26))</f>
        <v/>
      </c>
      <c r="AC74" s="41">
        <f>IF(N('Dvd Calendar'!$AE$985)=0,"",IF(('Dvd Calendar'!$AE$985&gt;=MIN(DATE(Summary!$C$12,1,1),Summary!$C$11))*('Dvd Calendar'!$AE$985&lt;=MAX(DATE(Summary!$C$12,12,31),Summary!$C$15))*('Dvd Calendar'!$AE$985&lt;=Summary!$C$11)=0,"",'Dvd Calendar'!$AE$985*1000000000+ISNUMBER('Dvd Calendar'!$AE$986)*100000000+('Dvd Calendar'!$AE$990='Field Check'!$C$25)*10000000+(N('Dvd Calendar'!$AE$984)&gt;0)*1000000+66*1000+27))</f>
        <v/>
      </c>
      <c r="AD74" s="41">
        <f>IF(N('Dvd Calendar'!$AF$985)=0,"",IF(('Dvd Calendar'!$AF$985&gt;=MIN(DATE(Summary!$C$12,1,1),Summary!$C$11))*('Dvd Calendar'!$AF$985&lt;=MAX(DATE(Summary!$C$12,12,31),Summary!$C$15))*('Dvd Calendar'!$AF$985&lt;=Summary!$C$11)=0,"",'Dvd Calendar'!$AF$985*1000000000+ISNUMBER('Dvd Calendar'!$AF$986)*100000000+('Dvd Calendar'!$AF$990='Field Check'!$C$25)*10000000+(N('Dvd Calendar'!$AF$984)&gt;0)*1000000+66*1000+28))</f>
        <v/>
      </c>
      <c r="AE74" s="41">
        <f>IF(N('Dvd Calendar'!$AG$985)=0,"",IF(('Dvd Calendar'!$AG$985&gt;=MIN(DATE(Summary!$C$12,1,1),Summary!$C$11))*('Dvd Calendar'!$AG$985&lt;=MAX(DATE(Summary!$C$12,12,31),Summary!$C$15))*('Dvd Calendar'!$AG$985&lt;=Summary!$C$11)=0,"",'Dvd Calendar'!$AG$985*1000000000+ISNUMBER('Dvd Calendar'!$AG$986)*100000000+('Dvd Calendar'!$AG$990='Field Check'!$C$25)*10000000+(N('Dvd Calendar'!$AG$984)&gt;0)*1000000+66*1000+29))</f>
        <v/>
      </c>
      <c r="AF74" s="41">
        <f>IF(N('Dvd Calendar'!$AH$985)=0,"",IF(('Dvd Calendar'!$AH$985&gt;=MIN(DATE(Summary!$C$12,1,1),Summary!$C$11))*('Dvd Calendar'!$AH$985&lt;=MAX(DATE(Summary!$C$12,12,31),Summary!$C$15))*('Dvd Calendar'!$AH$985&lt;=Summary!$C$11)=0,"",'Dvd Calendar'!$AH$985*1000000000+ISNUMBER('Dvd Calendar'!$AH$986)*100000000+('Dvd Calendar'!$AH$990='Field Check'!$C$25)*10000000+(N('Dvd Calendar'!$AH$984)&gt;0)*1000000+66*1000+30))</f>
        <v/>
      </c>
      <c r="AG74" s="41">
        <f>IF(N('Dvd Calendar'!$AI$985)=0,"",IF(('Dvd Calendar'!$AI$985&gt;=MIN(DATE(Summary!$C$12,1,1),Summary!$C$11))*('Dvd Calendar'!$AI$985&lt;=MAX(DATE(Summary!$C$12,12,31),Summary!$C$15))*('Dvd Calendar'!$AI$985&lt;=Summary!$C$11)=0,"",'Dvd Calendar'!$AI$985*1000000000+ISNUMBER('Dvd Calendar'!$AI$986)*100000000+('Dvd Calendar'!$AI$990='Field Check'!$C$25)*10000000+(N('Dvd Calendar'!$AI$984)&gt;0)*1000000+66*1000+31))</f>
        <v/>
      </c>
      <c r="AH74" s="41">
        <f>IF(N('Dvd Calendar'!$AJ$985)=0,"",IF(('Dvd Calendar'!$AJ$985&gt;=MIN(DATE(Summary!$C$12,1,1),Summary!$C$11))*('Dvd Calendar'!$AJ$985&lt;=MAX(DATE(Summary!$C$12,12,31),Summary!$C$15))*('Dvd Calendar'!$AJ$985&lt;=Summary!$C$11)=0,"",'Dvd Calendar'!$AJ$985*1000000000+ISNUMBER('Dvd Calendar'!$AJ$986)*100000000+('Dvd Calendar'!$AJ$990='Field Check'!$C$25)*10000000+(N('Dvd Calendar'!$AJ$984)&gt;0)*1000000+66*1000+32))</f>
        <v/>
      </c>
      <c r="AI74" s="41">
        <f>IF(N('Dvd Calendar'!$AK$985)=0,"",IF(('Dvd Calendar'!$AK$985&gt;=MIN(DATE(Summary!$C$12,1,1),Summary!$C$11))*('Dvd Calendar'!$AK$985&lt;=MAX(DATE(Summary!$C$12,12,31),Summary!$C$15))*('Dvd Calendar'!$AK$985&lt;=Summary!$C$11)=0,"",'Dvd Calendar'!$AK$985*1000000000+ISNUMBER('Dvd Calendar'!$AK$986)*100000000+('Dvd Calendar'!$AK$990='Field Check'!$C$25)*10000000+(N('Dvd Calendar'!$AK$984)&gt;0)*1000000+66*1000+33))</f>
        <v/>
      </c>
      <c r="AJ74" s="41">
        <f>IF(N('Dvd Calendar'!$AL$985)=0,"",IF(('Dvd Calendar'!$AL$985&gt;=MIN(DATE(Summary!$C$12,1,1),Summary!$C$11))*('Dvd Calendar'!$AL$985&lt;=MAX(DATE(Summary!$C$12,12,31),Summary!$C$15))*('Dvd Calendar'!$AL$985&lt;=Summary!$C$11)=0,"",'Dvd Calendar'!$AL$985*1000000000+ISNUMBER('Dvd Calendar'!$AL$986)*100000000+('Dvd Calendar'!$AL$990='Field Check'!$C$25)*10000000+(N('Dvd Calendar'!$AL$984)&gt;0)*1000000+66*1000+34))</f>
        <v/>
      </c>
      <c r="AK74" s="41">
        <f>IF(N('Dvd Calendar'!$AM$985)=0,"",IF(('Dvd Calendar'!$AM$985&gt;=MIN(DATE(Summary!$C$12,1,1),Summary!$C$11))*('Dvd Calendar'!$AM$985&lt;=MAX(DATE(Summary!$C$12,12,31),Summary!$C$15))*('Dvd Calendar'!$AM$985&lt;=Summary!$C$11)=0,"",'Dvd Calendar'!$AM$985*1000000000+ISNUMBER('Dvd Calendar'!$AM$986)*100000000+('Dvd Calendar'!$AM$990='Field Check'!$C$25)*10000000+(N('Dvd Calendar'!$AM$984)&gt;0)*1000000+66*1000+35))</f>
        <v/>
      </c>
      <c r="AL74" s="41">
        <f>IF(N('Dvd Calendar'!$AN$985)=0,"",IF(('Dvd Calendar'!$AN$985&gt;=MIN(DATE(Summary!$C$12,1,1),Summary!$C$11))*('Dvd Calendar'!$AN$985&lt;=MAX(DATE(Summary!$C$12,12,31),Summary!$C$15))*('Dvd Calendar'!$AN$985&lt;=Summary!$C$11)=0,"",'Dvd Calendar'!$AN$985*1000000000+ISNUMBER('Dvd Calendar'!$AN$986)*100000000+('Dvd Calendar'!$AN$990='Field Check'!$C$25)*10000000+(N('Dvd Calendar'!$AN$984)&gt;0)*1000000+66*1000+36))</f>
        <v/>
      </c>
      <c r="AM74" s="41">
        <f>IF(N('Dvd Calendar'!$AO$985)=0,"",IF(('Dvd Calendar'!$AO$985&gt;=MIN(DATE(Summary!$C$12,1,1),Summary!$C$11))*('Dvd Calendar'!$AO$985&lt;=MAX(DATE(Summary!$C$12,12,31),Summary!$C$15))*('Dvd Calendar'!$AO$985&lt;=Summary!$C$11)=0,"",'Dvd Calendar'!$AO$985*1000000000+ISNUMBER('Dvd Calendar'!$AO$986)*100000000+('Dvd Calendar'!$AO$990='Field Check'!$C$25)*10000000+(N('Dvd Calendar'!$AO$984)&gt;0)*1000000+66*1000+37))</f>
        <v/>
      </c>
      <c r="AN74" s="41">
        <f>IF(N('Dvd Calendar'!$AP$985)=0,"",IF(('Dvd Calendar'!$AP$985&gt;=MIN(DATE(Summary!$C$12,1,1),Summary!$C$11))*('Dvd Calendar'!$AP$985&lt;=MAX(DATE(Summary!$C$12,12,31),Summary!$C$15))*('Dvd Calendar'!$AP$985&lt;=Summary!$C$11)=0,"",'Dvd Calendar'!$AP$985*1000000000+ISNUMBER('Dvd Calendar'!$AP$986)*100000000+('Dvd Calendar'!$AP$990='Field Check'!$C$25)*10000000+(N('Dvd Calendar'!$AP$984)&gt;0)*1000000+66*1000+38))</f>
        <v/>
      </c>
      <c r="AO74" s="41">
        <f>IF(N('Dvd Calendar'!$AQ$985)=0,"",IF(('Dvd Calendar'!$AQ$985&gt;=MIN(DATE(Summary!$C$12,1,1),Summary!$C$11))*('Dvd Calendar'!$AQ$985&lt;=MAX(DATE(Summary!$C$12,12,31),Summary!$C$15))*('Dvd Calendar'!$AQ$985&lt;=Summary!$C$11)=0,"",'Dvd Calendar'!$AQ$985*1000000000+ISNUMBER('Dvd Calendar'!$AQ$986)*100000000+('Dvd Calendar'!$AQ$990='Field Check'!$C$25)*10000000+(N('Dvd Calendar'!$AQ$984)&gt;0)*1000000+66*1000+39))</f>
        <v/>
      </c>
      <c r="AP74" s="41">
        <f>IF(N('Dvd Calendar'!$AR$985)=0,"",IF(('Dvd Calendar'!$AR$985&gt;=MIN(DATE(Summary!$C$12,1,1),Summary!$C$11))*('Dvd Calendar'!$AR$985&lt;=MAX(DATE(Summary!$C$12,12,31),Summary!$C$15))*('Dvd Calendar'!$AR$985&lt;=Summary!$C$11)=0,"",'Dvd Calendar'!$AR$985*1000000000+ISNUMBER('Dvd Calendar'!$AR$986)*100000000+('Dvd Calendar'!$AR$990='Field Check'!$C$25)*10000000+(N('Dvd Calendar'!$AR$984)&gt;0)*1000000+66*1000+40))</f>
        <v/>
      </c>
      <c r="AQ74" s="41">
        <f>IF(N('Dvd Calendar'!$E$992)=0,"",IF(('Dvd Calendar'!$E$992&gt;=MIN(DATE(Summary!$C$12,1,1),Summary!$C$11))*('Dvd Calendar'!$E$992&lt;=MAX(DATE(Summary!$C$12,12,31),Summary!$C$15))*('Dvd Calendar'!$E$992&gt;Summary!$C$11)=0,"",'Dvd Calendar'!$E$992*1000000000+ISNUMBER('Dvd Calendar'!$E$993)*100000000+('Dvd Calendar'!$E$997='Field Check'!$C$25)*10000000+(N('Dvd Calendar'!$E$991)&gt;0)*1000000+66*1000+41))</f>
        <v/>
      </c>
      <c r="AR74" s="41">
        <f>IF(N('Dvd Calendar'!$F$992)=0,"",IF(('Dvd Calendar'!$F$992&gt;=MIN(DATE(Summary!$C$12,1,1),Summary!$C$11))*('Dvd Calendar'!$F$992&lt;=MAX(DATE(Summary!$C$12,12,31),Summary!$C$15))*('Dvd Calendar'!$F$992&gt;Summary!$C$11)=0,"",'Dvd Calendar'!$F$992*1000000000+ISNUMBER('Dvd Calendar'!$F$993)*100000000+('Dvd Calendar'!$F$997='Field Check'!$C$25)*10000000+(N('Dvd Calendar'!$F$991)&gt;0)*1000000+66*1000+42))</f>
        <v/>
      </c>
      <c r="AS74" s="41">
        <f>IF(N('Dvd Calendar'!$G$992)=0,"",IF(('Dvd Calendar'!$G$992&gt;=MIN(DATE(Summary!$C$12,1,1),Summary!$C$11))*('Dvd Calendar'!$G$992&lt;=MAX(DATE(Summary!$C$12,12,31),Summary!$C$15))*('Dvd Calendar'!$G$992&gt;Summary!$C$11)=0,"",'Dvd Calendar'!$G$992*1000000000+ISNUMBER('Dvd Calendar'!$G$993)*100000000+('Dvd Calendar'!$G$997='Field Check'!$C$25)*10000000+(N('Dvd Calendar'!$G$991)&gt;0)*1000000+66*1000+43))</f>
        <v/>
      </c>
      <c r="AT74" s="41">
        <f>IF(N('Dvd Calendar'!$H$992)=0,"",IF(('Dvd Calendar'!$H$992&gt;=MIN(DATE(Summary!$C$12,1,1),Summary!$C$11))*('Dvd Calendar'!$H$992&lt;=MAX(DATE(Summary!$C$12,12,31),Summary!$C$15))*('Dvd Calendar'!$H$992&gt;Summary!$C$11)=0,"",'Dvd Calendar'!$H$992*1000000000+ISNUMBER('Dvd Calendar'!$H$993)*100000000+('Dvd Calendar'!$H$997='Field Check'!$C$25)*10000000+(N('Dvd Calendar'!$H$991)&gt;0)*1000000+66*1000+44))</f>
        <v/>
      </c>
      <c r="AU74" s="41">
        <f>IF(N('Dvd Calendar'!$I$992)=0,"",IF(('Dvd Calendar'!$I$992&gt;=MIN(DATE(Summary!$C$12,1,1),Summary!$C$11))*('Dvd Calendar'!$I$992&lt;=MAX(DATE(Summary!$C$12,12,31),Summary!$C$15))*('Dvd Calendar'!$I$992&gt;Summary!$C$11)=0,"",'Dvd Calendar'!$I$992*1000000000+ISNUMBER('Dvd Calendar'!$I$993)*100000000+('Dvd Calendar'!$I$997='Field Check'!$C$25)*10000000+(N('Dvd Calendar'!$I$991)&gt;0)*1000000+66*1000+45))</f>
        <v/>
      </c>
      <c r="AV74" s="41">
        <f>IF(N('Dvd Calendar'!$J$992)=0,"",IF(('Dvd Calendar'!$J$992&gt;=MIN(DATE(Summary!$C$12,1,1),Summary!$C$11))*('Dvd Calendar'!$J$992&lt;=MAX(DATE(Summary!$C$12,12,31),Summary!$C$15))*('Dvd Calendar'!$J$992&gt;Summary!$C$11)=0,"",'Dvd Calendar'!$J$992*1000000000+ISNUMBER('Dvd Calendar'!$J$993)*100000000+('Dvd Calendar'!$J$997='Field Check'!$C$25)*10000000+(N('Dvd Calendar'!$J$991)&gt;0)*1000000+66*1000+46))</f>
        <v/>
      </c>
      <c r="AW74" s="41">
        <f>IF(N('Dvd Calendar'!$K$992)=0,"",IF(('Dvd Calendar'!$K$992&gt;=MIN(DATE(Summary!$C$12,1,1),Summary!$C$11))*('Dvd Calendar'!$K$992&lt;=MAX(DATE(Summary!$C$12,12,31),Summary!$C$15))*('Dvd Calendar'!$K$992&gt;Summary!$C$11)=0,"",'Dvd Calendar'!$K$992*1000000000+ISNUMBER('Dvd Calendar'!$K$993)*100000000+('Dvd Calendar'!$K$997='Field Check'!$C$25)*10000000+(N('Dvd Calendar'!$K$991)&gt;0)*1000000+66*1000+47))</f>
        <v/>
      </c>
      <c r="AX74" s="41">
        <f>IF(N('Dvd Calendar'!$L$992)=0,"",IF(('Dvd Calendar'!$L$992&gt;=MIN(DATE(Summary!$C$12,1,1),Summary!$C$11))*('Dvd Calendar'!$L$992&lt;=MAX(DATE(Summary!$C$12,12,31),Summary!$C$15))*('Dvd Calendar'!$L$992&gt;Summary!$C$11)=0,"",'Dvd Calendar'!$L$992*1000000000+ISNUMBER('Dvd Calendar'!$L$993)*100000000+('Dvd Calendar'!$L$997='Field Check'!$C$25)*10000000+(N('Dvd Calendar'!$L$991)&gt;0)*1000000+66*1000+48))</f>
        <v/>
      </c>
      <c r="AY74" s="41">
        <f>IF(N('Dvd Calendar'!$M$992)=0,"",IF(('Dvd Calendar'!$M$992&gt;=MIN(DATE(Summary!$C$12,1,1),Summary!$C$11))*('Dvd Calendar'!$M$992&lt;=MAX(DATE(Summary!$C$12,12,31),Summary!$C$15))*('Dvd Calendar'!$M$992&gt;Summary!$C$11)=0,"",'Dvd Calendar'!$M$992*1000000000+ISNUMBER('Dvd Calendar'!$M$993)*100000000+('Dvd Calendar'!$M$997='Field Check'!$C$25)*10000000+(N('Dvd Calendar'!$M$991)&gt;0)*1000000+66*1000+49))</f>
        <v/>
      </c>
      <c r="AZ74" s="41">
        <f>IF(N('Dvd Calendar'!$N$992)=0,"",IF(('Dvd Calendar'!$N$992&gt;=MIN(DATE(Summary!$C$12,1,1),Summary!$C$11))*('Dvd Calendar'!$N$992&lt;=MAX(DATE(Summary!$C$12,12,31),Summary!$C$15))*('Dvd Calendar'!$N$992&gt;Summary!$C$11)=0,"",'Dvd Calendar'!$N$992*1000000000+ISNUMBER('Dvd Calendar'!$N$993)*100000000+('Dvd Calendar'!$N$997='Field Check'!$C$25)*10000000+(N('Dvd Calendar'!$N$991)&gt;0)*1000000+66*1000+50))</f>
        <v/>
      </c>
      <c r="BA74" s="41">
        <f>IF(N('Dvd Calendar'!$O$992)=0,"",IF(('Dvd Calendar'!$O$992&gt;=MIN(DATE(Summary!$C$12,1,1),Summary!$C$11))*('Dvd Calendar'!$O$992&lt;=MAX(DATE(Summary!$C$12,12,31),Summary!$C$15))*('Dvd Calendar'!$O$992&gt;Summary!$C$11)=0,"",'Dvd Calendar'!$O$992*1000000000+ISNUMBER('Dvd Calendar'!$O$993)*100000000+('Dvd Calendar'!$O$997='Field Check'!$C$25)*10000000+(N('Dvd Calendar'!$O$991)&gt;0)*1000000+66*1000+51))</f>
        <v/>
      </c>
      <c r="BB74" s="41">
        <f>IF(N('Dvd Calendar'!$P$992)=0,"",IF(('Dvd Calendar'!$P$992&gt;=MIN(DATE(Summary!$C$12,1,1),Summary!$C$11))*('Dvd Calendar'!$P$992&lt;=MAX(DATE(Summary!$C$12,12,31),Summary!$C$15))*('Dvd Calendar'!$P$992&gt;Summary!$C$11)=0,"",'Dvd Calendar'!$P$992*1000000000+ISNUMBER('Dvd Calendar'!$P$993)*100000000+('Dvd Calendar'!$P$997='Field Check'!$C$25)*10000000+(N('Dvd Calendar'!$P$991)&gt;0)*1000000+66*1000+52))</f>
        <v/>
      </c>
      <c r="BC74" s="41">
        <f>IF(N('Dvd Calendar'!$Q$992)=0,"",IF(('Dvd Calendar'!$Q$992&gt;=MIN(DATE(Summary!$C$12,1,1),Summary!$C$11))*('Dvd Calendar'!$Q$992&lt;=MAX(DATE(Summary!$C$12,12,31),Summary!$C$15))*('Dvd Calendar'!$Q$992&gt;Summary!$C$11)=0,"",'Dvd Calendar'!$Q$992*1000000000+ISNUMBER('Dvd Calendar'!$Q$993)*100000000+('Dvd Calendar'!$Q$997='Field Check'!$C$25)*10000000+(N('Dvd Calendar'!$Q$991)&gt;0)*1000000+66*1000+53))</f>
        <v/>
      </c>
      <c r="BD74" s="41">
        <f>IF(N('Dvd Calendar'!$R$992)=0,"",IF(('Dvd Calendar'!$R$992&gt;=MIN(DATE(Summary!$C$12,1,1),Summary!$C$11))*('Dvd Calendar'!$R$992&lt;=MAX(DATE(Summary!$C$12,12,31),Summary!$C$15))*('Dvd Calendar'!$R$992&gt;Summary!$C$11)=0,"",'Dvd Calendar'!$R$992*1000000000+ISNUMBER('Dvd Calendar'!$R$993)*100000000+('Dvd Calendar'!$R$997='Field Check'!$C$25)*10000000+(N('Dvd Calendar'!$R$991)&gt;0)*1000000+66*1000+54))</f>
        <v/>
      </c>
      <c r="BE74" s="41">
        <f>IF(N('Dvd Calendar'!$S$992)=0,"",IF(('Dvd Calendar'!$S$992&gt;=MIN(DATE(Summary!$C$12,1,1),Summary!$C$11))*('Dvd Calendar'!$S$992&lt;=MAX(DATE(Summary!$C$12,12,31),Summary!$C$15))*('Dvd Calendar'!$S$992&gt;Summary!$C$11)=0,"",'Dvd Calendar'!$S$992*1000000000+ISNUMBER('Dvd Calendar'!$S$993)*100000000+('Dvd Calendar'!$S$997='Field Check'!$C$25)*10000000+(N('Dvd Calendar'!$S$991)&gt;0)*1000000+66*1000+55))</f>
        <v/>
      </c>
      <c r="BF74" s="41">
        <f>IF(N('Dvd Calendar'!$T$992)=0,"",IF(('Dvd Calendar'!$T$992&gt;=MIN(DATE(Summary!$C$12,1,1),Summary!$C$11))*('Dvd Calendar'!$T$992&lt;=MAX(DATE(Summary!$C$12,12,31),Summary!$C$15))*('Dvd Calendar'!$T$992&gt;Summary!$C$11)=0,"",'Dvd Calendar'!$T$992*1000000000+ISNUMBER('Dvd Calendar'!$T$993)*100000000+('Dvd Calendar'!$T$997='Field Check'!$C$25)*10000000+(N('Dvd Calendar'!$T$991)&gt;0)*1000000+66*1000+56))</f>
        <v/>
      </c>
      <c r="BG74" s="41">
        <f>IF(N('Dvd Calendar'!$U$992)=0,"",IF(('Dvd Calendar'!$U$992&gt;=MIN(DATE(Summary!$C$12,1,1),Summary!$C$11))*('Dvd Calendar'!$U$992&lt;=MAX(DATE(Summary!$C$12,12,31),Summary!$C$15))*('Dvd Calendar'!$U$992&gt;Summary!$C$11)=0,"",'Dvd Calendar'!$U$992*1000000000+ISNUMBER('Dvd Calendar'!$U$993)*100000000+('Dvd Calendar'!$U$997='Field Check'!$C$25)*10000000+(N('Dvd Calendar'!$U$991)&gt;0)*1000000+66*1000+57))</f>
        <v/>
      </c>
      <c r="BH74" s="41">
        <f>IF(N('Dvd Calendar'!$V$992)=0,"",IF(('Dvd Calendar'!$V$992&gt;=MIN(DATE(Summary!$C$12,1,1),Summary!$C$11))*('Dvd Calendar'!$V$992&lt;=MAX(DATE(Summary!$C$12,12,31),Summary!$C$15))*('Dvd Calendar'!$V$992&gt;Summary!$C$11)=0,"",'Dvd Calendar'!$V$992*1000000000+ISNUMBER('Dvd Calendar'!$V$993)*100000000+('Dvd Calendar'!$V$997='Field Check'!$C$25)*10000000+(N('Dvd Calendar'!$V$991)&gt;0)*1000000+66*1000+58))</f>
        <v/>
      </c>
      <c r="BI74" s="41">
        <f>IF(N('Dvd Calendar'!$W$992)=0,"",IF(('Dvd Calendar'!$W$992&gt;=MIN(DATE(Summary!$C$12,1,1),Summary!$C$11))*('Dvd Calendar'!$W$992&lt;=MAX(DATE(Summary!$C$12,12,31),Summary!$C$15))*('Dvd Calendar'!$W$992&gt;Summary!$C$11)=0,"",'Dvd Calendar'!$W$992*1000000000+ISNUMBER('Dvd Calendar'!$W$993)*100000000+('Dvd Calendar'!$W$997='Field Check'!$C$25)*10000000+(N('Dvd Calendar'!$W$991)&gt;0)*1000000+66*1000+59))</f>
        <v/>
      </c>
      <c r="BJ74" s="41">
        <f>IF(N('Dvd Calendar'!$X$992)=0,"",IF(('Dvd Calendar'!$X$992&gt;=MIN(DATE(Summary!$C$12,1,1),Summary!$C$11))*('Dvd Calendar'!$X$992&lt;=MAX(DATE(Summary!$C$12,12,31),Summary!$C$15))*('Dvd Calendar'!$X$992&gt;Summary!$C$11)=0,"",'Dvd Calendar'!$X$992*1000000000+ISNUMBER('Dvd Calendar'!$X$993)*100000000+('Dvd Calendar'!$X$997='Field Check'!$C$25)*10000000+(N('Dvd Calendar'!$X$991)&gt;0)*1000000+66*1000+60))</f>
        <v/>
      </c>
      <c r="BK74" s="41">
        <f>IF(N('Dvd Calendar'!$Y$992)=0,"",IF(('Dvd Calendar'!$Y$992&gt;=MIN(DATE(Summary!$C$12,1,1),Summary!$C$11))*('Dvd Calendar'!$Y$992&lt;=MAX(DATE(Summary!$C$12,12,31),Summary!$C$15))*('Dvd Calendar'!$Y$992&gt;Summary!$C$11)=0,"",'Dvd Calendar'!$Y$992*1000000000+ISNUMBER('Dvd Calendar'!$Y$993)*100000000+('Dvd Calendar'!$Y$997='Field Check'!$C$25)*10000000+(N('Dvd Calendar'!$Y$991)&gt;0)*1000000+66*1000+61))</f>
        <v/>
      </c>
      <c r="BL74" s="41">
        <f>IF(N('Dvd Calendar'!$Z$992)=0,"",IF(('Dvd Calendar'!$Z$992&gt;=MIN(DATE(Summary!$C$12,1,1),Summary!$C$11))*('Dvd Calendar'!$Z$992&lt;=MAX(DATE(Summary!$C$12,12,31),Summary!$C$15))*('Dvd Calendar'!$Z$992&gt;Summary!$C$11)=0,"",'Dvd Calendar'!$Z$992*1000000000+ISNUMBER('Dvd Calendar'!$Z$993)*100000000+('Dvd Calendar'!$Z$997='Field Check'!$C$25)*10000000+(N('Dvd Calendar'!$Z$991)&gt;0)*1000000+66*1000+62))</f>
        <v/>
      </c>
      <c r="BM74" s="41">
        <f>IF(N('Dvd Calendar'!$AA$992)=0,"",IF(('Dvd Calendar'!$AA$992&gt;=MIN(DATE(Summary!$C$12,1,1),Summary!$C$11))*('Dvd Calendar'!$AA$992&lt;=MAX(DATE(Summary!$C$12,12,31),Summary!$C$15))*('Dvd Calendar'!$AA$992&gt;Summary!$C$11)=0,"",'Dvd Calendar'!$AA$992*1000000000+ISNUMBER('Dvd Calendar'!$AA$993)*100000000+('Dvd Calendar'!$AA$997='Field Check'!$C$25)*10000000+(N('Dvd Calendar'!$AA$991)&gt;0)*1000000+66*1000+63))</f>
        <v/>
      </c>
      <c r="BN74" s="41">
        <f>IF(N('Dvd Calendar'!$AB$992)=0,"",IF(('Dvd Calendar'!$AB$992&gt;=MIN(DATE(Summary!$C$12,1,1),Summary!$C$11))*('Dvd Calendar'!$AB$992&lt;=MAX(DATE(Summary!$C$12,12,31),Summary!$C$15))*('Dvd Calendar'!$AB$992&gt;Summary!$C$11)=0,"",'Dvd Calendar'!$AB$992*1000000000+ISNUMBER('Dvd Calendar'!$AB$993)*100000000+('Dvd Calendar'!$AB$997='Field Check'!$C$25)*10000000+(N('Dvd Calendar'!$AB$991)&gt;0)*1000000+66*1000+64))</f>
        <v/>
      </c>
      <c r="BO74" s="41">
        <f>IF(N('Dvd Calendar'!$AC$992)=0,"",IF(('Dvd Calendar'!$AC$992&gt;=MIN(DATE(Summary!$C$12,1,1),Summary!$C$11))*('Dvd Calendar'!$AC$992&lt;=MAX(DATE(Summary!$C$12,12,31),Summary!$C$15))*('Dvd Calendar'!$AC$992&gt;Summary!$C$11)=0,"",'Dvd Calendar'!$AC$992*1000000000+ISNUMBER('Dvd Calendar'!$AC$993)*100000000+('Dvd Calendar'!$AC$997='Field Check'!$C$25)*10000000+(N('Dvd Calendar'!$AC$991)&gt;0)*1000000+66*1000+65))</f>
        <v/>
      </c>
      <c r="BQ74" s="85">
        <f>IF(C74="","",IF(ISNUMBER('Dvd Calendar'!$E$986)=FALSE,"",IF((Summary!$C$13="N")*('Dvd Calendar'!$E$990='Field Check'!$C$25)&gt;0,"",'Dvd Calendar'!$E$986)))</f>
        <v/>
      </c>
      <c r="BR74" s="85">
        <f>IF(D74="","",IF(ISNUMBER('Dvd Calendar'!$F$986)=FALSE,"",IF((Summary!$C$13="N")*('Dvd Calendar'!$F$990='Field Check'!$C$25)&gt;0,"",'Dvd Calendar'!$F$986)))</f>
        <v/>
      </c>
      <c r="BS74" s="85">
        <f>IF(E74="","",IF(ISNUMBER('Dvd Calendar'!$G$986)=FALSE,"",IF((Summary!$C$13="N")*('Dvd Calendar'!$G$990='Field Check'!$C$25)&gt;0,"",'Dvd Calendar'!$G$986)))</f>
        <v/>
      </c>
      <c r="BT74" s="85">
        <f>IF(F74="","",IF(ISNUMBER('Dvd Calendar'!$H$986)=FALSE,"",IF((Summary!$C$13="N")*('Dvd Calendar'!$H$990='Field Check'!$C$25)&gt;0,"",'Dvd Calendar'!$H$986)))</f>
        <v/>
      </c>
      <c r="BU74" s="85">
        <f>IF(G74="","",IF(ISNUMBER('Dvd Calendar'!$I$986)=FALSE,"",IF((Summary!$C$13="N")*('Dvd Calendar'!$I$990='Field Check'!$C$25)&gt;0,"",'Dvd Calendar'!$I$986)))</f>
        <v/>
      </c>
      <c r="BV74" s="85">
        <f>IF(H74="","",IF(ISNUMBER('Dvd Calendar'!$J$986)=FALSE,"",IF((Summary!$C$13="N")*('Dvd Calendar'!$J$990='Field Check'!$C$25)&gt;0,"",'Dvd Calendar'!$J$986)))</f>
        <v/>
      </c>
      <c r="BW74" s="85">
        <f>IF(I74="","",IF(ISNUMBER('Dvd Calendar'!$K$986)=FALSE,"",IF((Summary!$C$13="N")*('Dvd Calendar'!$K$990='Field Check'!$C$25)&gt;0,"",'Dvd Calendar'!$K$986)))</f>
        <v/>
      </c>
      <c r="BX74" s="85">
        <f>IF(J74="","",IF(ISNUMBER('Dvd Calendar'!$L$986)=FALSE,"",IF((Summary!$C$13="N")*('Dvd Calendar'!$L$990='Field Check'!$C$25)&gt;0,"",'Dvd Calendar'!$L$986)))</f>
        <v/>
      </c>
      <c r="BY74" s="85">
        <f>IF(K74="","",IF(ISNUMBER('Dvd Calendar'!$M$986)=FALSE,"",IF((Summary!$C$13="N")*('Dvd Calendar'!$M$990='Field Check'!$C$25)&gt;0,"",'Dvd Calendar'!$M$986)))</f>
        <v/>
      </c>
      <c r="BZ74" s="85">
        <f>IF(L74="","",IF(ISNUMBER('Dvd Calendar'!$N$986)=FALSE,"",IF((Summary!$C$13="N")*('Dvd Calendar'!$N$990='Field Check'!$C$25)&gt;0,"",'Dvd Calendar'!$N$986)))</f>
        <v/>
      </c>
      <c r="CA74" s="85">
        <f>IF(M74="","",IF(ISNUMBER('Dvd Calendar'!$O$986)=FALSE,"",IF((Summary!$C$13="N")*('Dvd Calendar'!$O$990='Field Check'!$C$25)&gt;0,"",'Dvd Calendar'!$O$986)))</f>
        <v/>
      </c>
      <c r="CB74" s="85">
        <f>IF(N74="","",IF(ISNUMBER('Dvd Calendar'!$P$986)=FALSE,"",IF((Summary!$C$13="N")*('Dvd Calendar'!$P$990='Field Check'!$C$25)&gt;0,"",'Dvd Calendar'!$P$986)))</f>
        <v/>
      </c>
      <c r="CC74" s="85">
        <f>IF(O74="","",IF(ISNUMBER('Dvd Calendar'!$Q$986)=FALSE,"",IF((Summary!$C$13="N")*('Dvd Calendar'!$Q$990='Field Check'!$C$25)&gt;0,"",'Dvd Calendar'!$Q$986)))</f>
        <v/>
      </c>
      <c r="CD74" s="85">
        <f>IF(P74="","",IF(ISNUMBER('Dvd Calendar'!$R$986)=FALSE,"",IF((Summary!$C$13="N")*('Dvd Calendar'!$R$990='Field Check'!$C$25)&gt;0,"",'Dvd Calendar'!$R$986)))</f>
        <v/>
      </c>
      <c r="CE74" s="85">
        <f>IF(Q74="","",IF(ISNUMBER('Dvd Calendar'!$S$986)=FALSE,"",IF((Summary!$C$13="N")*('Dvd Calendar'!$S$990='Field Check'!$C$25)&gt;0,"",'Dvd Calendar'!$S$986)))</f>
        <v/>
      </c>
      <c r="CF74" s="85">
        <f>IF(R74="","",IF(ISNUMBER('Dvd Calendar'!$T$986)=FALSE,"",IF((Summary!$C$13="N")*('Dvd Calendar'!$T$990='Field Check'!$C$25)&gt;0,"",'Dvd Calendar'!$T$986)))</f>
        <v/>
      </c>
      <c r="CG74" s="85">
        <f>IF(S74="","",IF(ISNUMBER('Dvd Calendar'!$U$986)=FALSE,"",IF((Summary!$C$13="N")*('Dvd Calendar'!$U$990='Field Check'!$C$25)&gt;0,"",'Dvd Calendar'!$U$986)))</f>
        <v/>
      </c>
      <c r="CH74" s="85">
        <f>IF(T74="","",IF(ISNUMBER('Dvd Calendar'!$V$986)=FALSE,"",IF((Summary!$C$13="N")*('Dvd Calendar'!$V$990='Field Check'!$C$25)&gt;0,"",'Dvd Calendar'!$V$986)))</f>
        <v/>
      </c>
      <c r="CI74" s="85">
        <f>IF(U74="","",IF(ISNUMBER('Dvd Calendar'!$W$986)=FALSE,"",IF((Summary!$C$13="N")*('Dvd Calendar'!$W$990='Field Check'!$C$25)&gt;0,"",'Dvd Calendar'!$W$986)))</f>
        <v/>
      </c>
      <c r="CJ74" s="85">
        <f>IF(V74="","",IF(ISNUMBER('Dvd Calendar'!$X$986)=FALSE,"",IF((Summary!$C$13="N")*('Dvd Calendar'!$X$990='Field Check'!$C$25)&gt;0,"",'Dvd Calendar'!$X$986)))</f>
        <v/>
      </c>
      <c r="CK74" s="85">
        <f>IF(W74="","",IF(ISNUMBER('Dvd Calendar'!$Y$986)=FALSE,"",IF((Summary!$C$13="N")*('Dvd Calendar'!$Y$990='Field Check'!$C$25)&gt;0,"",'Dvd Calendar'!$Y$986)))</f>
        <v/>
      </c>
      <c r="CL74" s="85">
        <f>IF(X74="","",IF(ISNUMBER('Dvd Calendar'!$Z$986)=FALSE,"",IF((Summary!$C$13="N")*('Dvd Calendar'!$Z$990='Field Check'!$C$25)&gt;0,"",'Dvd Calendar'!$Z$986)))</f>
        <v/>
      </c>
      <c r="CM74" s="85">
        <f>IF(Y74="","",IF(ISNUMBER('Dvd Calendar'!$AA$986)=FALSE,"",IF((Summary!$C$13="N")*('Dvd Calendar'!$AA$990='Field Check'!$C$25)&gt;0,"",'Dvd Calendar'!$AA$986)))</f>
        <v/>
      </c>
      <c r="CN74" s="85">
        <f>IF(Z74="","",IF(ISNUMBER('Dvd Calendar'!$AB$986)=FALSE,"",IF((Summary!$C$13="N")*('Dvd Calendar'!$AB$990='Field Check'!$C$25)&gt;0,"",'Dvd Calendar'!$AB$986)))</f>
        <v/>
      </c>
      <c r="CO74" s="85">
        <f>IF(AA74="","",IF(ISNUMBER('Dvd Calendar'!$AC$986)=FALSE,"",IF((Summary!$C$13="N")*('Dvd Calendar'!$AC$990='Field Check'!$C$25)&gt;0,"",'Dvd Calendar'!$AC$986)))</f>
        <v/>
      </c>
      <c r="CP74" s="85">
        <f>IF(AB74="","",IF(ISNUMBER('Dvd Calendar'!$AD$986)=FALSE,"",IF((Summary!$C$13="N")*('Dvd Calendar'!$AD$990='Field Check'!$C$25)&gt;0,"",'Dvd Calendar'!$AD$986)))</f>
        <v/>
      </c>
      <c r="CQ74" s="85">
        <f>IF(AC74="","",IF(ISNUMBER('Dvd Calendar'!$AE$986)=FALSE,"",IF((Summary!$C$13="N")*('Dvd Calendar'!$AE$990='Field Check'!$C$25)&gt;0,"",'Dvd Calendar'!$AE$986)))</f>
        <v/>
      </c>
      <c r="CR74" s="85">
        <f>IF(AD74="","",IF(ISNUMBER('Dvd Calendar'!$AF$986)=FALSE,"",IF((Summary!$C$13="N")*('Dvd Calendar'!$AF$990='Field Check'!$C$25)&gt;0,"",'Dvd Calendar'!$AF$986)))</f>
        <v/>
      </c>
      <c r="CS74" s="85">
        <f>IF(AE74="","",IF(ISNUMBER('Dvd Calendar'!$AG$986)=FALSE,"",IF((Summary!$C$13="N")*('Dvd Calendar'!$AG$990='Field Check'!$C$25)&gt;0,"",'Dvd Calendar'!$AG$986)))</f>
        <v/>
      </c>
      <c r="CT74" s="85">
        <f>IF(AF74="","",IF(ISNUMBER('Dvd Calendar'!$AH$986)=FALSE,"",IF((Summary!$C$13="N")*('Dvd Calendar'!$AH$990='Field Check'!$C$25)&gt;0,"",'Dvd Calendar'!$AH$986)))</f>
        <v/>
      </c>
      <c r="CU74" s="85">
        <f>IF(AG74="","",IF(ISNUMBER('Dvd Calendar'!$AI$986)=FALSE,"",IF((Summary!$C$13="N")*('Dvd Calendar'!$AI$990='Field Check'!$C$25)&gt;0,"",'Dvd Calendar'!$AI$986)))</f>
        <v/>
      </c>
      <c r="CV74" s="85">
        <f>IF(AH74="","",IF(ISNUMBER('Dvd Calendar'!$AJ$986)=FALSE,"",IF((Summary!$C$13="N")*('Dvd Calendar'!$AJ$990='Field Check'!$C$25)&gt;0,"",'Dvd Calendar'!$AJ$986)))</f>
        <v/>
      </c>
      <c r="CW74" s="85">
        <f>IF(AI74="","",IF(ISNUMBER('Dvd Calendar'!$AK$986)=FALSE,"",IF((Summary!$C$13="N")*('Dvd Calendar'!$AK$990='Field Check'!$C$25)&gt;0,"",'Dvd Calendar'!$AK$986)))</f>
        <v/>
      </c>
      <c r="CX74" s="85">
        <f>IF(AJ74="","",IF(ISNUMBER('Dvd Calendar'!$AL$986)=FALSE,"",IF((Summary!$C$13="N")*('Dvd Calendar'!$AL$990='Field Check'!$C$25)&gt;0,"",'Dvd Calendar'!$AL$986)))</f>
        <v/>
      </c>
      <c r="CY74" s="85">
        <f>IF(AK74="","",IF(ISNUMBER('Dvd Calendar'!$AM$986)=FALSE,"",IF((Summary!$C$13="N")*('Dvd Calendar'!$AM$990='Field Check'!$C$25)&gt;0,"",'Dvd Calendar'!$AM$986)))</f>
        <v/>
      </c>
      <c r="CZ74" s="85">
        <f>IF(AL74="","",IF(ISNUMBER('Dvd Calendar'!$AN$986)=FALSE,"",IF((Summary!$C$13="N")*('Dvd Calendar'!$AN$990='Field Check'!$C$25)&gt;0,"",'Dvd Calendar'!$AN$986)))</f>
        <v/>
      </c>
      <c r="DA74" s="85">
        <f>IF(AM74="","",IF(ISNUMBER('Dvd Calendar'!$AO$986)=FALSE,"",IF((Summary!$C$13="N")*('Dvd Calendar'!$AO$990='Field Check'!$C$25)&gt;0,"",'Dvd Calendar'!$AO$986)))</f>
        <v/>
      </c>
      <c r="DB74" s="85">
        <f>IF(AN74="","",IF(ISNUMBER('Dvd Calendar'!$AP$986)=FALSE,"",IF((Summary!$C$13="N")*('Dvd Calendar'!$AP$990='Field Check'!$C$25)&gt;0,"",'Dvd Calendar'!$AP$986)))</f>
        <v/>
      </c>
      <c r="DC74" s="85">
        <f>IF(AO74="","",IF(ISNUMBER('Dvd Calendar'!$AQ$986)=FALSE,"",IF((Summary!$C$13="N")*('Dvd Calendar'!$AQ$990='Field Check'!$C$25)&gt;0,"",'Dvd Calendar'!$AQ$986)))</f>
        <v/>
      </c>
      <c r="DD74" s="85">
        <f>IF(AP74="","",IF(ISNUMBER('Dvd Calendar'!$AR$986)=FALSE,"",IF((Summary!$C$13="N")*('Dvd Calendar'!$AR$990='Field Check'!$C$25)&gt;0,"",'Dvd Calendar'!$AR$986)))</f>
        <v/>
      </c>
      <c r="DE74" s="85">
        <f>IF(AQ74="","",IF(ISNUMBER('Dvd Calendar'!$E$993)=FALSE,"",IF((Summary!$C$13="N")*('Dvd Calendar'!$E$997='Field Check'!$C$25)&gt;0,"",'Dvd Calendar'!$E$993)))</f>
        <v/>
      </c>
      <c r="DF74" s="85">
        <f>IF(AR74="","",IF(ISNUMBER('Dvd Calendar'!$F$993)=FALSE,"",IF((Summary!$C$13="N")*('Dvd Calendar'!$F$997='Field Check'!$C$25)&gt;0,"",'Dvd Calendar'!$F$993)))</f>
        <v/>
      </c>
      <c r="DG74" s="85">
        <f>IF(AS74="","",IF(ISNUMBER('Dvd Calendar'!$G$993)=FALSE,"",IF((Summary!$C$13="N")*('Dvd Calendar'!$G$997='Field Check'!$C$25)&gt;0,"",'Dvd Calendar'!$G$993)))</f>
        <v/>
      </c>
      <c r="DH74" s="85">
        <f>IF(AT74="","",IF(ISNUMBER('Dvd Calendar'!$H$993)=FALSE,"",IF((Summary!$C$13="N")*('Dvd Calendar'!$H$997='Field Check'!$C$25)&gt;0,"",'Dvd Calendar'!$H$993)))</f>
        <v/>
      </c>
      <c r="DI74" s="85">
        <f>IF(AU74="","",IF(ISNUMBER('Dvd Calendar'!$I$993)=FALSE,"",IF((Summary!$C$13="N")*('Dvd Calendar'!$I$997='Field Check'!$C$25)&gt;0,"",'Dvd Calendar'!$I$993)))</f>
        <v/>
      </c>
      <c r="DJ74" s="85">
        <f>IF(AV74="","",IF(ISNUMBER('Dvd Calendar'!$J$993)=FALSE,"",IF((Summary!$C$13="N")*('Dvd Calendar'!$J$997='Field Check'!$C$25)&gt;0,"",'Dvd Calendar'!$J$993)))</f>
        <v/>
      </c>
      <c r="DK74" s="85">
        <f>IF(AW74="","",IF(ISNUMBER('Dvd Calendar'!$K$993)=FALSE,"",IF((Summary!$C$13="N")*('Dvd Calendar'!$K$997='Field Check'!$C$25)&gt;0,"",'Dvd Calendar'!$K$993)))</f>
        <v/>
      </c>
      <c r="DL74" s="85">
        <f>IF(AX74="","",IF(ISNUMBER('Dvd Calendar'!$L$993)=FALSE,"",IF((Summary!$C$13="N")*('Dvd Calendar'!$L$997='Field Check'!$C$25)&gt;0,"",'Dvd Calendar'!$L$993)))</f>
        <v/>
      </c>
      <c r="DM74" s="85">
        <f>IF(AY74="","",IF(ISNUMBER('Dvd Calendar'!$M$993)=FALSE,"",IF((Summary!$C$13="N")*('Dvd Calendar'!$M$997='Field Check'!$C$25)&gt;0,"",'Dvd Calendar'!$M$993)))</f>
        <v/>
      </c>
      <c r="DN74" s="85">
        <f>IF(AZ74="","",IF(ISNUMBER('Dvd Calendar'!$N$993)=FALSE,"",IF((Summary!$C$13="N")*('Dvd Calendar'!$N$997='Field Check'!$C$25)&gt;0,"",'Dvd Calendar'!$N$993)))</f>
        <v/>
      </c>
      <c r="DO74" s="85">
        <f>IF(BA74="","",IF(ISNUMBER('Dvd Calendar'!$O$993)=FALSE,"",IF((Summary!$C$13="N")*('Dvd Calendar'!$O$997='Field Check'!$C$25)&gt;0,"",'Dvd Calendar'!$O$993)))</f>
        <v/>
      </c>
      <c r="DP74" s="85">
        <f>IF(BB74="","",IF(ISNUMBER('Dvd Calendar'!$P$993)=FALSE,"",IF((Summary!$C$13="N")*('Dvd Calendar'!$P$997='Field Check'!$C$25)&gt;0,"",'Dvd Calendar'!$P$993)))</f>
        <v/>
      </c>
      <c r="DQ74" s="85">
        <f>IF(BC74="","",IF(ISNUMBER('Dvd Calendar'!$Q$993)=FALSE,"",IF((Summary!$C$13="N")*('Dvd Calendar'!$Q$997='Field Check'!$C$25)&gt;0,"",'Dvd Calendar'!$Q$993)))</f>
        <v/>
      </c>
      <c r="DR74" s="85">
        <f>IF(BD74="","",IF(ISNUMBER('Dvd Calendar'!$R$993)=FALSE,"",IF((Summary!$C$13="N")*('Dvd Calendar'!$R$997='Field Check'!$C$25)&gt;0,"",'Dvd Calendar'!$R$993)))</f>
        <v/>
      </c>
      <c r="DS74" s="85">
        <f>IF(BE74="","",IF(ISNUMBER('Dvd Calendar'!$S$993)=FALSE,"",IF((Summary!$C$13="N")*('Dvd Calendar'!$S$997='Field Check'!$C$25)&gt;0,"",'Dvd Calendar'!$S$993)))</f>
        <v/>
      </c>
      <c r="DT74" s="85">
        <f>IF(BF74="","",IF(ISNUMBER('Dvd Calendar'!$T$993)=FALSE,"",IF((Summary!$C$13="N")*('Dvd Calendar'!$T$997='Field Check'!$C$25)&gt;0,"",'Dvd Calendar'!$T$993)))</f>
        <v/>
      </c>
      <c r="DU74" s="85">
        <f>IF(BG74="","",IF(ISNUMBER('Dvd Calendar'!$U$993)=FALSE,"",IF((Summary!$C$13="N")*('Dvd Calendar'!$U$997='Field Check'!$C$25)&gt;0,"",'Dvd Calendar'!$U$993)))</f>
        <v/>
      </c>
      <c r="DV74" s="85">
        <f>IF(BH74="","",IF(ISNUMBER('Dvd Calendar'!$V$993)=FALSE,"",IF((Summary!$C$13="N")*('Dvd Calendar'!$V$997='Field Check'!$C$25)&gt;0,"",'Dvd Calendar'!$V$993)))</f>
        <v/>
      </c>
      <c r="DW74" s="85">
        <f>IF(BI74="","",IF(ISNUMBER('Dvd Calendar'!$W$993)=FALSE,"",IF((Summary!$C$13="N")*('Dvd Calendar'!$W$997='Field Check'!$C$25)&gt;0,"",'Dvd Calendar'!$W$993)))</f>
        <v/>
      </c>
      <c r="DX74" s="85">
        <f>IF(BJ74="","",IF(ISNUMBER('Dvd Calendar'!$X$993)=FALSE,"",IF((Summary!$C$13="N")*('Dvd Calendar'!$X$997='Field Check'!$C$25)&gt;0,"",'Dvd Calendar'!$X$993)))</f>
        <v/>
      </c>
      <c r="DY74" s="85">
        <f>IF(BK74="","",IF(ISNUMBER('Dvd Calendar'!$Y$993)=FALSE,"",IF((Summary!$C$13="N")*('Dvd Calendar'!$Y$997='Field Check'!$C$25)&gt;0,"",'Dvd Calendar'!$Y$993)))</f>
        <v/>
      </c>
      <c r="DZ74" s="85">
        <f>IF(BL74="","",IF(ISNUMBER('Dvd Calendar'!$Z$993)=FALSE,"",IF((Summary!$C$13="N")*('Dvd Calendar'!$Z$997='Field Check'!$C$25)&gt;0,"",'Dvd Calendar'!$Z$993)))</f>
        <v/>
      </c>
      <c r="EA74" s="85">
        <f>IF(BM74="","",IF(ISNUMBER('Dvd Calendar'!$AA$993)=FALSE,"",IF((Summary!$C$13="N")*('Dvd Calendar'!$AA$997='Field Check'!$C$25)&gt;0,"",'Dvd Calendar'!$AA$993)))</f>
        <v/>
      </c>
      <c r="EB74" s="85">
        <f>IF(BN74="","",IF(ISNUMBER('Dvd Calendar'!$AB$993)=FALSE,"",IF((Summary!$C$13="N")*('Dvd Calendar'!$AB$997='Field Check'!$C$25)&gt;0,"",'Dvd Calendar'!$AB$993)))</f>
        <v/>
      </c>
      <c r="EC74" s="85">
        <f>IF(BO74="","",IF(ISNUMBER('Dvd Calendar'!$AC$993)=FALSE,"",IF((Summary!$C$13="N")*('Dvd Calendar'!$AC$997='Field Check'!$C$25)&gt;0,"",'Dvd Calendar'!$AC$993)))</f>
        <v/>
      </c>
      <c r="EE74" s="85">
        <f>IF(BQ74="","",IFERROR(BQ74*HSI!$B$72*HSI!$G$72/HSI!$B$3,""))</f>
        <v/>
      </c>
      <c r="EF74" s="85">
        <f>IF(BR74="","",IFERROR(BR74*HSI!$B$72*HSI!$G$72/HSI!$B$3,""))</f>
        <v/>
      </c>
      <c r="EG74" s="85">
        <f>IF(BS74="","",IFERROR(BS74*HSI!$B$72*HSI!$G$72/HSI!$B$3,""))</f>
        <v/>
      </c>
      <c r="EH74" s="85">
        <f>IF(BT74="","",IFERROR(BT74*HSI!$B$72*HSI!$G$72/HSI!$B$3,""))</f>
        <v/>
      </c>
      <c r="EI74" s="85">
        <f>IF(BU74="","",IFERROR(BU74*HSI!$B$72*HSI!$G$72/HSI!$B$3,""))</f>
        <v/>
      </c>
      <c r="EJ74" s="85">
        <f>IF(BV74="","",IFERROR(BV74*HSI!$B$72*HSI!$G$72/HSI!$B$3,""))</f>
        <v/>
      </c>
      <c r="EK74" s="85">
        <f>IF(BW74="","",IFERROR(BW74*HSI!$B$72*HSI!$G$72/HSI!$B$3,""))</f>
        <v/>
      </c>
      <c r="EL74" s="85">
        <f>IF(BX74="","",IFERROR(BX74*HSI!$B$72*HSI!$G$72/HSI!$B$3,""))</f>
        <v/>
      </c>
      <c r="EM74" s="85">
        <f>IF(BY74="","",IFERROR(BY74*HSI!$B$72*HSI!$G$72/HSI!$B$3,""))</f>
        <v/>
      </c>
      <c r="EN74" s="85">
        <f>IF(BZ74="","",IFERROR(BZ74*HSI!$B$72*HSI!$G$72/HSI!$B$3,""))</f>
        <v/>
      </c>
      <c r="EO74" s="85">
        <f>IF(CA74="","",IFERROR(CA74*HSI!$B$72*HSI!$G$72/HSI!$B$3,""))</f>
        <v/>
      </c>
      <c r="EP74" s="85">
        <f>IF(CB74="","",IFERROR(CB74*HSI!$B$72*HSI!$G$72/HSI!$B$3,""))</f>
        <v/>
      </c>
      <c r="EQ74" s="85">
        <f>IF(CC74="","",IFERROR(CC74*HSI!$B$72*HSI!$G$72/HSI!$B$3,""))</f>
        <v/>
      </c>
      <c r="ER74" s="85">
        <f>IF(CD74="","",IFERROR(CD74*HSI!$B$72*HSI!$G$72/HSI!$B$3,""))</f>
        <v/>
      </c>
      <c r="ES74" s="85">
        <f>IF(CE74="","",IFERROR(CE74*HSI!$B$72*HSI!$G$72/HSI!$B$3,""))</f>
        <v/>
      </c>
      <c r="ET74" s="85">
        <f>IF(CF74="","",IFERROR(CF74*HSI!$B$72*HSI!$G$72/HSI!$B$3,""))</f>
        <v/>
      </c>
      <c r="EU74" s="85">
        <f>IF(CG74="","",IFERROR(CG74*HSI!$B$72*HSI!$G$72/HSI!$B$3,""))</f>
        <v/>
      </c>
      <c r="EV74" s="85">
        <f>IF(CH74="","",IFERROR(CH74*HSI!$B$72*HSI!$G$72/HSI!$B$3,""))</f>
        <v/>
      </c>
      <c r="EW74" s="85">
        <f>IF(CI74="","",IFERROR(CI74*HSI!$B$72*HSI!$G$72/HSI!$B$3,""))</f>
        <v/>
      </c>
      <c r="EX74" s="85">
        <f>IF(CJ74="","",IFERROR(CJ74*HSI!$B$72*HSI!$G$72/HSI!$B$3,""))</f>
        <v/>
      </c>
      <c r="EY74" s="85">
        <f>IF(CK74="","",IFERROR(CK74*HSI!$B$72*HSI!$G$72/HSI!$B$3,""))</f>
        <v/>
      </c>
      <c r="EZ74" s="85">
        <f>IF(CL74="","",IFERROR(CL74*HSI!$B$72*HSI!$G$72/HSI!$B$3,""))</f>
        <v/>
      </c>
      <c r="FA74" s="85">
        <f>IF(CM74="","",IFERROR(CM74*HSI!$B$72*HSI!$G$72/HSI!$B$3,""))</f>
        <v/>
      </c>
      <c r="FB74" s="85">
        <f>IF(CN74="","",IFERROR(CN74*HSI!$B$72*HSI!$G$72/HSI!$B$3,""))</f>
        <v/>
      </c>
      <c r="FC74" s="85">
        <f>IF(CO74="","",IFERROR(CO74*HSI!$B$72*HSI!$G$72/HSI!$B$3,""))</f>
        <v/>
      </c>
      <c r="FD74" s="85">
        <f>IF(CP74="","",IFERROR(CP74*HSI!$B$72*HSI!$G$72/HSI!$B$3,""))</f>
        <v/>
      </c>
      <c r="FE74" s="85">
        <f>IF(CQ74="","",IFERROR(CQ74*HSI!$B$72*HSI!$G$72/HSI!$B$3,""))</f>
        <v/>
      </c>
      <c r="FF74" s="85">
        <f>IF(CR74="","",IFERROR(CR74*HSI!$B$72*HSI!$G$72/HSI!$B$3,""))</f>
        <v/>
      </c>
      <c r="FG74" s="85">
        <f>IF(CS74="","",IFERROR(CS74*HSI!$B$72*HSI!$G$72/HSI!$B$3,""))</f>
        <v/>
      </c>
      <c r="FH74" s="85">
        <f>IF(CT74="","",IFERROR(CT74*HSI!$B$72*HSI!$G$72/HSI!$B$3,""))</f>
        <v/>
      </c>
      <c r="FI74" s="85">
        <f>IF(CU74="","",IFERROR(CU74*HSI!$B$72*HSI!$G$72/HSI!$B$3,""))</f>
        <v/>
      </c>
      <c r="FJ74" s="85">
        <f>IF(CV74="","",IFERROR(CV74*HSI!$B$72*HSI!$G$72/HSI!$B$3,""))</f>
        <v/>
      </c>
      <c r="FK74" s="85">
        <f>IF(CW74="","",IFERROR(CW74*HSI!$B$72*HSI!$G$72/HSI!$B$3,""))</f>
        <v/>
      </c>
      <c r="FL74" s="85">
        <f>IF(CX74="","",IFERROR(CX74*HSI!$B$72*HSI!$G$72/HSI!$B$3,""))</f>
        <v/>
      </c>
      <c r="FM74" s="85">
        <f>IF(CY74="","",IFERROR(CY74*HSI!$B$72*HSI!$G$72/HSI!$B$3,""))</f>
        <v/>
      </c>
      <c r="FN74" s="85">
        <f>IF(CZ74="","",IFERROR(CZ74*HSI!$B$72*HSI!$G$72/HSI!$B$3,""))</f>
        <v/>
      </c>
      <c r="FO74" s="85">
        <f>IF(DA74="","",IFERROR(DA74*HSI!$B$72*HSI!$G$72/HSI!$B$3,""))</f>
        <v/>
      </c>
      <c r="FP74" s="85">
        <f>IF(DB74="","",IFERROR(DB74*HSI!$B$72*HSI!$G$72/HSI!$B$3,""))</f>
        <v/>
      </c>
      <c r="FQ74" s="85">
        <f>IF(DC74="","",IFERROR(DC74*HSI!$B$72*HSI!$G$72/HSI!$B$3,""))</f>
        <v/>
      </c>
      <c r="FR74" s="85">
        <f>IF(DD74="","",IFERROR(DD74*HSI!$B$72*HSI!$G$72/HSI!$B$3,""))</f>
        <v/>
      </c>
      <c r="FS74" s="85">
        <f>IF(DE74="","",IFERROR(DE74*HSI!$B$72*HSI!$G$72/HSI!$B$3,""))</f>
        <v/>
      </c>
      <c r="FT74" s="85">
        <f>IF(DF74="","",IFERROR(DF74*HSI!$B$72*HSI!$G$72/HSI!$B$3,""))</f>
        <v/>
      </c>
      <c r="FU74" s="85">
        <f>IF(DG74="","",IFERROR(DG74*HSI!$B$72*HSI!$G$72/HSI!$B$3,""))</f>
        <v/>
      </c>
      <c r="FV74" s="85">
        <f>IF(DH74="","",IFERROR(DH74*HSI!$B$72*HSI!$G$72/HSI!$B$3,""))</f>
        <v/>
      </c>
      <c r="FW74" s="85">
        <f>IF(DI74="","",IFERROR(DI74*HSI!$B$72*HSI!$G$72/HSI!$B$3,""))</f>
        <v/>
      </c>
      <c r="FX74" s="85">
        <f>IF(DJ74="","",IFERROR(DJ74*HSI!$B$72*HSI!$G$72/HSI!$B$3,""))</f>
        <v/>
      </c>
      <c r="FY74" s="85">
        <f>IF(DK74="","",IFERROR(DK74*HSI!$B$72*HSI!$G$72/HSI!$B$3,""))</f>
        <v/>
      </c>
      <c r="FZ74" s="85">
        <f>IF(DL74="","",IFERROR(DL74*HSI!$B$72*HSI!$G$72/HSI!$B$3,""))</f>
        <v/>
      </c>
      <c r="GA74" s="85">
        <f>IF(DM74="","",IFERROR(DM74*HSI!$B$72*HSI!$G$72/HSI!$B$3,""))</f>
        <v/>
      </c>
      <c r="GB74" s="85">
        <f>IF(DN74="","",IFERROR(DN74*HSI!$B$72*HSI!$G$72/HSI!$B$3,""))</f>
        <v/>
      </c>
      <c r="GC74" s="85">
        <f>IF(DO74="","",IFERROR(DO74*HSI!$B$72*HSI!$G$72/HSI!$B$3,""))</f>
        <v/>
      </c>
      <c r="GD74" s="85">
        <f>IF(DP74="","",IFERROR(DP74*HSI!$B$72*HSI!$G$72/HSI!$B$3,""))</f>
        <v/>
      </c>
      <c r="GE74" s="85">
        <f>IF(DQ74="","",IFERROR(DQ74*HSI!$B$72*HSI!$G$72/HSI!$B$3,""))</f>
        <v/>
      </c>
      <c r="GF74" s="85">
        <f>IF(DR74="","",IFERROR(DR74*HSI!$B$72*HSI!$G$72/HSI!$B$3,""))</f>
        <v/>
      </c>
      <c r="GG74" s="85">
        <f>IF(DS74="","",IFERROR(DS74*HSI!$B$72*HSI!$G$72/HSI!$B$3,""))</f>
        <v/>
      </c>
      <c r="GH74" s="85">
        <f>IF(DT74="","",IFERROR(DT74*HSI!$B$72*HSI!$G$72/HSI!$B$3,""))</f>
        <v/>
      </c>
      <c r="GI74" s="85">
        <f>IF(DU74="","",IFERROR(DU74*HSI!$B$72*HSI!$G$72/HSI!$B$3,""))</f>
        <v/>
      </c>
      <c r="GJ74" s="85">
        <f>IF(DV74="","",IFERROR(DV74*HSI!$B$72*HSI!$G$72/HSI!$B$3,""))</f>
        <v/>
      </c>
      <c r="GK74" s="85">
        <f>IF(DW74="","",IFERROR(DW74*HSI!$B$72*HSI!$G$72/HSI!$B$3,""))</f>
        <v/>
      </c>
      <c r="GL74" s="85">
        <f>IF(DX74="","",IFERROR(DX74*HSI!$B$72*HSI!$G$72/HSI!$B$3,""))</f>
        <v/>
      </c>
      <c r="GM74" s="85">
        <f>IF(DY74="","",IFERROR(DY74*HSI!$B$72*HSI!$G$72/HSI!$B$3,""))</f>
        <v/>
      </c>
      <c r="GN74" s="85">
        <f>IF(DZ74="","",IFERROR(DZ74*HSI!$B$72*HSI!$G$72/HSI!$B$3,""))</f>
        <v/>
      </c>
      <c r="GO74" s="85">
        <f>IF(EA74="","",IFERROR(EA74*HSI!$B$72*HSI!$G$72/HSI!$B$3,""))</f>
        <v/>
      </c>
      <c r="GP74" s="85">
        <f>IF(EB74="","",IFERROR(EB74*HSI!$B$72*HSI!$G$72/HSI!$B$3,""))</f>
        <v/>
      </c>
      <c r="GQ74" s="85">
        <f>IF(EC74="","",IFERROR(EC74*HSI!$B$72*HSI!$G$72/HSI!$B$3,""))</f>
        <v/>
      </c>
    </row>
    <row r="75">
      <c r="B75" s="2">
        <f>IF(HSI!$C$73="","",HSI!$C$73)</f>
        <v/>
      </c>
      <c r="C75" s="41">
        <f>IF(N('Dvd Calendar'!$E$1000)=0,"",IF(('Dvd Calendar'!$E$1000&gt;=MIN(DATE(Summary!$C$12,1,1),Summary!$C$11))*('Dvd Calendar'!$E$1000&lt;=MAX(DATE(Summary!$C$12,12,31),Summary!$C$15))*('Dvd Calendar'!$E$1000&lt;=Summary!$C$11)=0,"",'Dvd Calendar'!$E$1000*1000000000+ISNUMBER('Dvd Calendar'!$E$1001)*100000000+('Dvd Calendar'!$E$1005='Field Check'!$C$25)*10000000+(N('Dvd Calendar'!$E$999)&gt;0)*1000000+67*1000+1))</f>
        <v/>
      </c>
      <c r="D75" s="41">
        <f>IF(N('Dvd Calendar'!$F$1000)=0,"",IF(('Dvd Calendar'!$F$1000&gt;=MIN(DATE(Summary!$C$12,1,1),Summary!$C$11))*('Dvd Calendar'!$F$1000&lt;=MAX(DATE(Summary!$C$12,12,31),Summary!$C$15))*('Dvd Calendar'!$F$1000&lt;=Summary!$C$11)=0,"",'Dvd Calendar'!$F$1000*1000000000+ISNUMBER('Dvd Calendar'!$F$1001)*100000000+('Dvd Calendar'!$F$1005='Field Check'!$C$25)*10000000+(N('Dvd Calendar'!$F$999)&gt;0)*1000000+67*1000+2))</f>
        <v/>
      </c>
      <c r="E75" s="41">
        <f>IF(N('Dvd Calendar'!$G$1000)=0,"",IF(('Dvd Calendar'!$G$1000&gt;=MIN(DATE(Summary!$C$12,1,1),Summary!$C$11))*('Dvd Calendar'!$G$1000&lt;=MAX(DATE(Summary!$C$12,12,31),Summary!$C$15))*('Dvd Calendar'!$G$1000&lt;=Summary!$C$11)=0,"",'Dvd Calendar'!$G$1000*1000000000+ISNUMBER('Dvd Calendar'!$G$1001)*100000000+('Dvd Calendar'!$G$1005='Field Check'!$C$25)*10000000+(N('Dvd Calendar'!$G$999)&gt;0)*1000000+67*1000+3))</f>
        <v/>
      </c>
      <c r="F75" s="41">
        <f>IF(N('Dvd Calendar'!$H$1000)=0,"",IF(('Dvd Calendar'!$H$1000&gt;=MIN(DATE(Summary!$C$12,1,1),Summary!$C$11))*('Dvd Calendar'!$H$1000&lt;=MAX(DATE(Summary!$C$12,12,31),Summary!$C$15))*('Dvd Calendar'!$H$1000&lt;=Summary!$C$11)=0,"",'Dvd Calendar'!$H$1000*1000000000+ISNUMBER('Dvd Calendar'!$H$1001)*100000000+('Dvd Calendar'!$H$1005='Field Check'!$C$25)*10000000+(N('Dvd Calendar'!$H$999)&gt;0)*1000000+67*1000+4))</f>
        <v/>
      </c>
      <c r="G75" s="41">
        <f>IF(N('Dvd Calendar'!$I$1000)=0,"",IF(('Dvd Calendar'!$I$1000&gt;=MIN(DATE(Summary!$C$12,1,1),Summary!$C$11))*('Dvd Calendar'!$I$1000&lt;=MAX(DATE(Summary!$C$12,12,31),Summary!$C$15))*('Dvd Calendar'!$I$1000&lt;=Summary!$C$11)=0,"",'Dvd Calendar'!$I$1000*1000000000+ISNUMBER('Dvd Calendar'!$I$1001)*100000000+('Dvd Calendar'!$I$1005='Field Check'!$C$25)*10000000+(N('Dvd Calendar'!$I$999)&gt;0)*1000000+67*1000+5))</f>
        <v/>
      </c>
      <c r="H75" s="41">
        <f>IF(N('Dvd Calendar'!$J$1000)=0,"",IF(('Dvd Calendar'!$J$1000&gt;=MIN(DATE(Summary!$C$12,1,1),Summary!$C$11))*('Dvd Calendar'!$J$1000&lt;=MAX(DATE(Summary!$C$12,12,31),Summary!$C$15))*('Dvd Calendar'!$J$1000&lt;=Summary!$C$11)=0,"",'Dvd Calendar'!$J$1000*1000000000+ISNUMBER('Dvd Calendar'!$J$1001)*100000000+('Dvd Calendar'!$J$1005='Field Check'!$C$25)*10000000+(N('Dvd Calendar'!$J$999)&gt;0)*1000000+67*1000+6))</f>
        <v/>
      </c>
      <c r="I75" s="41">
        <f>IF(N('Dvd Calendar'!$K$1000)=0,"",IF(('Dvd Calendar'!$K$1000&gt;=MIN(DATE(Summary!$C$12,1,1),Summary!$C$11))*('Dvd Calendar'!$K$1000&lt;=MAX(DATE(Summary!$C$12,12,31),Summary!$C$15))*('Dvd Calendar'!$K$1000&lt;=Summary!$C$11)=0,"",'Dvd Calendar'!$K$1000*1000000000+ISNUMBER('Dvd Calendar'!$K$1001)*100000000+('Dvd Calendar'!$K$1005='Field Check'!$C$25)*10000000+(N('Dvd Calendar'!$K$999)&gt;0)*1000000+67*1000+7))</f>
        <v/>
      </c>
      <c r="J75" s="41">
        <f>IF(N('Dvd Calendar'!$L$1000)=0,"",IF(('Dvd Calendar'!$L$1000&gt;=MIN(DATE(Summary!$C$12,1,1),Summary!$C$11))*('Dvd Calendar'!$L$1000&lt;=MAX(DATE(Summary!$C$12,12,31),Summary!$C$15))*('Dvd Calendar'!$L$1000&lt;=Summary!$C$11)=0,"",'Dvd Calendar'!$L$1000*1000000000+ISNUMBER('Dvd Calendar'!$L$1001)*100000000+('Dvd Calendar'!$L$1005='Field Check'!$C$25)*10000000+(N('Dvd Calendar'!$L$999)&gt;0)*1000000+67*1000+8))</f>
        <v/>
      </c>
      <c r="K75" s="41">
        <f>IF(N('Dvd Calendar'!$M$1000)=0,"",IF(('Dvd Calendar'!$M$1000&gt;=MIN(DATE(Summary!$C$12,1,1),Summary!$C$11))*('Dvd Calendar'!$M$1000&lt;=MAX(DATE(Summary!$C$12,12,31),Summary!$C$15))*('Dvd Calendar'!$M$1000&lt;=Summary!$C$11)=0,"",'Dvd Calendar'!$M$1000*1000000000+ISNUMBER('Dvd Calendar'!$M$1001)*100000000+('Dvd Calendar'!$M$1005='Field Check'!$C$25)*10000000+(N('Dvd Calendar'!$M$999)&gt;0)*1000000+67*1000+9))</f>
        <v/>
      </c>
      <c r="L75" s="41">
        <f>IF(N('Dvd Calendar'!$N$1000)=0,"",IF(('Dvd Calendar'!$N$1000&gt;=MIN(DATE(Summary!$C$12,1,1),Summary!$C$11))*('Dvd Calendar'!$N$1000&lt;=MAX(DATE(Summary!$C$12,12,31),Summary!$C$15))*('Dvd Calendar'!$N$1000&lt;=Summary!$C$11)=0,"",'Dvd Calendar'!$N$1000*1000000000+ISNUMBER('Dvd Calendar'!$N$1001)*100000000+('Dvd Calendar'!$N$1005='Field Check'!$C$25)*10000000+(N('Dvd Calendar'!$N$999)&gt;0)*1000000+67*1000+10))</f>
        <v/>
      </c>
      <c r="M75" s="41">
        <f>IF(N('Dvd Calendar'!$O$1000)=0,"",IF(('Dvd Calendar'!$O$1000&gt;=MIN(DATE(Summary!$C$12,1,1),Summary!$C$11))*('Dvd Calendar'!$O$1000&lt;=MAX(DATE(Summary!$C$12,12,31),Summary!$C$15))*('Dvd Calendar'!$O$1000&lt;=Summary!$C$11)=0,"",'Dvd Calendar'!$O$1000*1000000000+ISNUMBER('Dvd Calendar'!$O$1001)*100000000+('Dvd Calendar'!$O$1005='Field Check'!$C$25)*10000000+(N('Dvd Calendar'!$O$999)&gt;0)*1000000+67*1000+11))</f>
        <v/>
      </c>
      <c r="N75" s="41">
        <f>IF(N('Dvd Calendar'!$P$1000)=0,"",IF(('Dvd Calendar'!$P$1000&gt;=MIN(DATE(Summary!$C$12,1,1),Summary!$C$11))*('Dvd Calendar'!$P$1000&lt;=MAX(DATE(Summary!$C$12,12,31),Summary!$C$15))*('Dvd Calendar'!$P$1000&lt;=Summary!$C$11)=0,"",'Dvd Calendar'!$P$1000*1000000000+ISNUMBER('Dvd Calendar'!$P$1001)*100000000+('Dvd Calendar'!$P$1005='Field Check'!$C$25)*10000000+(N('Dvd Calendar'!$P$999)&gt;0)*1000000+67*1000+12))</f>
        <v/>
      </c>
      <c r="O75" s="41">
        <f>IF(N('Dvd Calendar'!$Q$1000)=0,"",IF(('Dvd Calendar'!$Q$1000&gt;=MIN(DATE(Summary!$C$12,1,1),Summary!$C$11))*('Dvd Calendar'!$Q$1000&lt;=MAX(DATE(Summary!$C$12,12,31),Summary!$C$15))*('Dvd Calendar'!$Q$1000&lt;=Summary!$C$11)=0,"",'Dvd Calendar'!$Q$1000*1000000000+ISNUMBER('Dvd Calendar'!$Q$1001)*100000000+('Dvd Calendar'!$Q$1005='Field Check'!$C$25)*10000000+(N('Dvd Calendar'!$Q$999)&gt;0)*1000000+67*1000+13))</f>
        <v/>
      </c>
      <c r="P75" s="41">
        <f>IF(N('Dvd Calendar'!$R$1000)=0,"",IF(('Dvd Calendar'!$R$1000&gt;=MIN(DATE(Summary!$C$12,1,1),Summary!$C$11))*('Dvd Calendar'!$R$1000&lt;=MAX(DATE(Summary!$C$12,12,31),Summary!$C$15))*('Dvd Calendar'!$R$1000&lt;=Summary!$C$11)=0,"",'Dvd Calendar'!$R$1000*1000000000+ISNUMBER('Dvd Calendar'!$R$1001)*100000000+('Dvd Calendar'!$R$1005='Field Check'!$C$25)*10000000+(N('Dvd Calendar'!$R$999)&gt;0)*1000000+67*1000+14))</f>
        <v/>
      </c>
      <c r="Q75" s="41">
        <f>IF(N('Dvd Calendar'!$S$1000)=0,"",IF(('Dvd Calendar'!$S$1000&gt;=MIN(DATE(Summary!$C$12,1,1),Summary!$C$11))*('Dvd Calendar'!$S$1000&lt;=MAX(DATE(Summary!$C$12,12,31),Summary!$C$15))*('Dvd Calendar'!$S$1000&lt;=Summary!$C$11)=0,"",'Dvd Calendar'!$S$1000*1000000000+ISNUMBER('Dvd Calendar'!$S$1001)*100000000+('Dvd Calendar'!$S$1005='Field Check'!$C$25)*10000000+(N('Dvd Calendar'!$S$999)&gt;0)*1000000+67*1000+15))</f>
        <v/>
      </c>
      <c r="R75" s="41">
        <f>IF(N('Dvd Calendar'!$T$1000)=0,"",IF(('Dvd Calendar'!$T$1000&gt;=MIN(DATE(Summary!$C$12,1,1),Summary!$C$11))*('Dvd Calendar'!$T$1000&lt;=MAX(DATE(Summary!$C$12,12,31),Summary!$C$15))*('Dvd Calendar'!$T$1000&lt;=Summary!$C$11)=0,"",'Dvd Calendar'!$T$1000*1000000000+ISNUMBER('Dvd Calendar'!$T$1001)*100000000+('Dvd Calendar'!$T$1005='Field Check'!$C$25)*10000000+(N('Dvd Calendar'!$T$999)&gt;0)*1000000+67*1000+16))</f>
        <v/>
      </c>
      <c r="S75" s="41">
        <f>IF(N('Dvd Calendar'!$U$1000)=0,"",IF(('Dvd Calendar'!$U$1000&gt;=MIN(DATE(Summary!$C$12,1,1),Summary!$C$11))*('Dvd Calendar'!$U$1000&lt;=MAX(DATE(Summary!$C$12,12,31),Summary!$C$15))*('Dvd Calendar'!$U$1000&lt;=Summary!$C$11)=0,"",'Dvd Calendar'!$U$1000*1000000000+ISNUMBER('Dvd Calendar'!$U$1001)*100000000+('Dvd Calendar'!$U$1005='Field Check'!$C$25)*10000000+(N('Dvd Calendar'!$U$999)&gt;0)*1000000+67*1000+17))</f>
        <v/>
      </c>
      <c r="T75" s="41">
        <f>IF(N('Dvd Calendar'!$V$1000)=0,"",IF(('Dvd Calendar'!$V$1000&gt;=MIN(DATE(Summary!$C$12,1,1),Summary!$C$11))*('Dvd Calendar'!$V$1000&lt;=MAX(DATE(Summary!$C$12,12,31),Summary!$C$15))*('Dvd Calendar'!$V$1000&lt;=Summary!$C$11)=0,"",'Dvd Calendar'!$V$1000*1000000000+ISNUMBER('Dvd Calendar'!$V$1001)*100000000+('Dvd Calendar'!$V$1005='Field Check'!$C$25)*10000000+(N('Dvd Calendar'!$V$999)&gt;0)*1000000+67*1000+18))</f>
        <v/>
      </c>
      <c r="U75" s="41">
        <f>IF(N('Dvd Calendar'!$W$1000)=0,"",IF(('Dvd Calendar'!$W$1000&gt;=MIN(DATE(Summary!$C$12,1,1),Summary!$C$11))*('Dvd Calendar'!$W$1000&lt;=MAX(DATE(Summary!$C$12,12,31),Summary!$C$15))*('Dvd Calendar'!$W$1000&lt;=Summary!$C$11)=0,"",'Dvd Calendar'!$W$1000*1000000000+ISNUMBER('Dvd Calendar'!$W$1001)*100000000+('Dvd Calendar'!$W$1005='Field Check'!$C$25)*10000000+(N('Dvd Calendar'!$W$999)&gt;0)*1000000+67*1000+19))</f>
        <v/>
      </c>
      <c r="V75" s="41">
        <f>IF(N('Dvd Calendar'!$X$1000)=0,"",IF(('Dvd Calendar'!$X$1000&gt;=MIN(DATE(Summary!$C$12,1,1),Summary!$C$11))*('Dvd Calendar'!$X$1000&lt;=MAX(DATE(Summary!$C$12,12,31),Summary!$C$15))*('Dvd Calendar'!$X$1000&lt;=Summary!$C$11)=0,"",'Dvd Calendar'!$X$1000*1000000000+ISNUMBER('Dvd Calendar'!$X$1001)*100000000+('Dvd Calendar'!$X$1005='Field Check'!$C$25)*10000000+(N('Dvd Calendar'!$X$999)&gt;0)*1000000+67*1000+20))</f>
        <v/>
      </c>
      <c r="W75" s="41">
        <f>IF(N('Dvd Calendar'!$Y$1000)=0,"",IF(('Dvd Calendar'!$Y$1000&gt;=MIN(DATE(Summary!$C$12,1,1),Summary!$C$11))*('Dvd Calendar'!$Y$1000&lt;=MAX(DATE(Summary!$C$12,12,31),Summary!$C$15))*('Dvd Calendar'!$Y$1000&lt;=Summary!$C$11)=0,"",'Dvd Calendar'!$Y$1000*1000000000+ISNUMBER('Dvd Calendar'!$Y$1001)*100000000+('Dvd Calendar'!$Y$1005='Field Check'!$C$25)*10000000+(N('Dvd Calendar'!$Y$999)&gt;0)*1000000+67*1000+21))</f>
        <v/>
      </c>
      <c r="X75" s="41">
        <f>IF(N('Dvd Calendar'!$Z$1000)=0,"",IF(('Dvd Calendar'!$Z$1000&gt;=MIN(DATE(Summary!$C$12,1,1),Summary!$C$11))*('Dvd Calendar'!$Z$1000&lt;=MAX(DATE(Summary!$C$12,12,31),Summary!$C$15))*('Dvd Calendar'!$Z$1000&lt;=Summary!$C$11)=0,"",'Dvd Calendar'!$Z$1000*1000000000+ISNUMBER('Dvd Calendar'!$Z$1001)*100000000+('Dvd Calendar'!$Z$1005='Field Check'!$C$25)*10000000+(N('Dvd Calendar'!$Z$999)&gt;0)*1000000+67*1000+22))</f>
        <v/>
      </c>
      <c r="Y75" s="41">
        <f>IF(N('Dvd Calendar'!$AA$1000)=0,"",IF(('Dvd Calendar'!$AA$1000&gt;=MIN(DATE(Summary!$C$12,1,1),Summary!$C$11))*('Dvd Calendar'!$AA$1000&lt;=MAX(DATE(Summary!$C$12,12,31),Summary!$C$15))*('Dvd Calendar'!$AA$1000&lt;=Summary!$C$11)=0,"",'Dvd Calendar'!$AA$1000*1000000000+ISNUMBER('Dvd Calendar'!$AA$1001)*100000000+('Dvd Calendar'!$AA$1005='Field Check'!$C$25)*10000000+(N('Dvd Calendar'!$AA$999)&gt;0)*1000000+67*1000+23))</f>
        <v/>
      </c>
      <c r="Z75" s="41">
        <f>IF(N('Dvd Calendar'!$AB$1000)=0,"",IF(('Dvd Calendar'!$AB$1000&gt;=MIN(DATE(Summary!$C$12,1,1),Summary!$C$11))*('Dvd Calendar'!$AB$1000&lt;=MAX(DATE(Summary!$C$12,12,31),Summary!$C$15))*('Dvd Calendar'!$AB$1000&lt;=Summary!$C$11)=0,"",'Dvd Calendar'!$AB$1000*1000000000+ISNUMBER('Dvd Calendar'!$AB$1001)*100000000+('Dvd Calendar'!$AB$1005='Field Check'!$C$25)*10000000+(N('Dvd Calendar'!$AB$999)&gt;0)*1000000+67*1000+24))</f>
        <v/>
      </c>
      <c r="AA75" s="41">
        <f>IF(N('Dvd Calendar'!$AC$1000)=0,"",IF(('Dvd Calendar'!$AC$1000&gt;=MIN(DATE(Summary!$C$12,1,1),Summary!$C$11))*('Dvd Calendar'!$AC$1000&lt;=MAX(DATE(Summary!$C$12,12,31),Summary!$C$15))*('Dvd Calendar'!$AC$1000&lt;=Summary!$C$11)=0,"",'Dvd Calendar'!$AC$1000*1000000000+ISNUMBER('Dvd Calendar'!$AC$1001)*100000000+('Dvd Calendar'!$AC$1005='Field Check'!$C$25)*10000000+(N('Dvd Calendar'!$AC$999)&gt;0)*1000000+67*1000+25))</f>
        <v/>
      </c>
      <c r="AB75" s="41">
        <f>IF(N('Dvd Calendar'!$AD$1000)=0,"",IF(('Dvd Calendar'!$AD$1000&gt;=MIN(DATE(Summary!$C$12,1,1),Summary!$C$11))*('Dvd Calendar'!$AD$1000&lt;=MAX(DATE(Summary!$C$12,12,31),Summary!$C$15))*('Dvd Calendar'!$AD$1000&lt;=Summary!$C$11)=0,"",'Dvd Calendar'!$AD$1000*1000000000+ISNUMBER('Dvd Calendar'!$AD$1001)*100000000+('Dvd Calendar'!$AD$1005='Field Check'!$C$25)*10000000+(N('Dvd Calendar'!$AD$999)&gt;0)*1000000+67*1000+26))</f>
        <v/>
      </c>
      <c r="AC75" s="41">
        <f>IF(N('Dvd Calendar'!$AE$1000)=0,"",IF(('Dvd Calendar'!$AE$1000&gt;=MIN(DATE(Summary!$C$12,1,1),Summary!$C$11))*('Dvd Calendar'!$AE$1000&lt;=MAX(DATE(Summary!$C$12,12,31),Summary!$C$15))*('Dvd Calendar'!$AE$1000&lt;=Summary!$C$11)=0,"",'Dvd Calendar'!$AE$1000*1000000000+ISNUMBER('Dvd Calendar'!$AE$1001)*100000000+('Dvd Calendar'!$AE$1005='Field Check'!$C$25)*10000000+(N('Dvd Calendar'!$AE$999)&gt;0)*1000000+67*1000+27))</f>
        <v/>
      </c>
      <c r="AD75" s="41">
        <f>IF(N('Dvd Calendar'!$AF$1000)=0,"",IF(('Dvd Calendar'!$AF$1000&gt;=MIN(DATE(Summary!$C$12,1,1),Summary!$C$11))*('Dvd Calendar'!$AF$1000&lt;=MAX(DATE(Summary!$C$12,12,31),Summary!$C$15))*('Dvd Calendar'!$AF$1000&lt;=Summary!$C$11)=0,"",'Dvd Calendar'!$AF$1000*1000000000+ISNUMBER('Dvd Calendar'!$AF$1001)*100000000+('Dvd Calendar'!$AF$1005='Field Check'!$C$25)*10000000+(N('Dvd Calendar'!$AF$999)&gt;0)*1000000+67*1000+28))</f>
        <v/>
      </c>
      <c r="AE75" s="41">
        <f>IF(N('Dvd Calendar'!$AG$1000)=0,"",IF(('Dvd Calendar'!$AG$1000&gt;=MIN(DATE(Summary!$C$12,1,1),Summary!$C$11))*('Dvd Calendar'!$AG$1000&lt;=MAX(DATE(Summary!$C$12,12,31),Summary!$C$15))*('Dvd Calendar'!$AG$1000&lt;=Summary!$C$11)=0,"",'Dvd Calendar'!$AG$1000*1000000000+ISNUMBER('Dvd Calendar'!$AG$1001)*100000000+('Dvd Calendar'!$AG$1005='Field Check'!$C$25)*10000000+(N('Dvd Calendar'!$AG$999)&gt;0)*1000000+67*1000+29))</f>
        <v/>
      </c>
      <c r="AF75" s="41">
        <f>IF(N('Dvd Calendar'!$AH$1000)=0,"",IF(('Dvd Calendar'!$AH$1000&gt;=MIN(DATE(Summary!$C$12,1,1),Summary!$C$11))*('Dvd Calendar'!$AH$1000&lt;=MAX(DATE(Summary!$C$12,12,31),Summary!$C$15))*('Dvd Calendar'!$AH$1000&lt;=Summary!$C$11)=0,"",'Dvd Calendar'!$AH$1000*1000000000+ISNUMBER('Dvd Calendar'!$AH$1001)*100000000+('Dvd Calendar'!$AH$1005='Field Check'!$C$25)*10000000+(N('Dvd Calendar'!$AH$999)&gt;0)*1000000+67*1000+30))</f>
        <v/>
      </c>
      <c r="AG75" s="41">
        <f>IF(N('Dvd Calendar'!$AI$1000)=0,"",IF(('Dvd Calendar'!$AI$1000&gt;=MIN(DATE(Summary!$C$12,1,1),Summary!$C$11))*('Dvd Calendar'!$AI$1000&lt;=MAX(DATE(Summary!$C$12,12,31),Summary!$C$15))*('Dvd Calendar'!$AI$1000&lt;=Summary!$C$11)=0,"",'Dvd Calendar'!$AI$1000*1000000000+ISNUMBER('Dvd Calendar'!$AI$1001)*100000000+('Dvd Calendar'!$AI$1005='Field Check'!$C$25)*10000000+(N('Dvd Calendar'!$AI$999)&gt;0)*1000000+67*1000+31))</f>
        <v/>
      </c>
      <c r="AH75" s="41">
        <f>IF(N('Dvd Calendar'!$AJ$1000)=0,"",IF(('Dvd Calendar'!$AJ$1000&gt;=MIN(DATE(Summary!$C$12,1,1),Summary!$C$11))*('Dvd Calendar'!$AJ$1000&lt;=MAX(DATE(Summary!$C$12,12,31),Summary!$C$15))*('Dvd Calendar'!$AJ$1000&lt;=Summary!$C$11)=0,"",'Dvd Calendar'!$AJ$1000*1000000000+ISNUMBER('Dvd Calendar'!$AJ$1001)*100000000+('Dvd Calendar'!$AJ$1005='Field Check'!$C$25)*10000000+(N('Dvd Calendar'!$AJ$999)&gt;0)*1000000+67*1000+32))</f>
        <v/>
      </c>
      <c r="AI75" s="41">
        <f>IF(N('Dvd Calendar'!$AK$1000)=0,"",IF(('Dvd Calendar'!$AK$1000&gt;=MIN(DATE(Summary!$C$12,1,1),Summary!$C$11))*('Dvd Calendar'!$AK$1000&lt;=MAX(DATE(Summary!$C$12,12,31),Summary!$C$15))*('Dvd Calendar'!$AK$1000&lt;=Summary!$C$11)=0,"",'Dvd Calendar'!$AK$1000*1000000000+ISNUMBER('Dvd Calendar'!$AK$1001)*100000000+('Dvd Calendar'!$AK$1005='Field Check'!$C$25)*10000000+(N('Dvd Calendar'!$AK$999)&gt;0)*1000000+67*1000+33))</f>
        <v/>
      </c>
      <c r="AJ75" s="41">
        <f>IF(N('Dvd Calendar'!$AL$1000)=0,"",IF(('Dvd Calendar'!$AL$1000&gt;=MIN(DATE(Summary!$C$12,1,1),Summary!$C$11))*('Dvd Calendar'!$AL$1000&lt;=MAX(DATE(Summary!$C$12,12,31),Summary!$C$15))*('Dvd Calendar'!$AL$1000&lt;=Summary!$C$11)=0,"",'Dvd Calendar'!$AL$1000*1000000000+ISNUMBER('Dvd Calendar'!$AL$1001)*100000000+('Dvd Calendar'!$AL$1005='Field Check'!$C$25)*10000000+(N('Dvd Calendar'!$AL$999)&gt;0)*1000000+67*1000+34))</f>
        <v/>
      </c>
      <c r="AK75" s="41">
        <f>IF(N('Dvd Calendar'!$AM$1000)=0,"",IF(('Dvd Calendar'!$AM$1000&gt;=MIN(DATE(Summary!$C$12,1,1),Summary!$C$11))*('Dvd Calendar'!$AM$1000&lt;=MAX(DATE(Summary!$C$12,12,31),Summary!$C$15))*('Dvd Calendar'!$AM$1000&lt;=Summary!$C$11)=0,"",'Dvd Calendar'!$AM$1000*1000000000+ISNUMBER('Dvd Calendar'!$AM$1001)*100000000+('Dvd Calendar'!$AM$1005='Field Check'!$C$25)*10000000+(N('Dvd Calendar'!$AM$999)&gt;0)*1000000+67*1000+35))</f>
        <v/>
      </c>
      <c r="AL75" s="41">
        <f>IF(N('Dvd Calendar'!$AN$1000)=0,"",IF(('Dvd Calendar'!$AN$1000&gt;=MIN(DATE(Summary!$C$12,1,1),Summary!$C$11))*('Dvd Calendar'!$AN$1000&lt;=MAX(DATE(Summary!$C$12,12,31),Summary!$C$15))*('Dvd Calendar'!$AN$1000&lt;=Summary!$C$11)=0,"",'Dvd Calendar'!$AN$1000*1000000000+ISNUMBER('Dvd Calendar'!$AN$1001)*100000000+('Dvd Calendar'!$AN$1005='Field Check'!$C$25)*10000000+(N('Dvd Calendar'!$AN$999)&gt;0)*1000000+67*1000+36))</f>
        <v/>
      </c>
      <c r="AM75" s="41">
        <f>IF(N('Dvd Calendar'!$AO$1000)=0,"",IF(('Dvd Calendar'!$AO$1000&gt;=MIN(DATE(Summary!$C$12,1,1),Summary!$C$11))*('Dvd Calendar'!$AO$1000&lt;=MAX(DATE(Summary!$C$12,12,31),Summary!$C$15))*('Dvd Calendar'!$AO$1000&lt;=Summary!$C$11)=0,"",'Dvd Calendar'!$AO$1000*1000000000+ISNUMBER('Dvd Calendar'!$AO$1001)*100000000+('Dvd Calendar'!$AO$1005='Field Check'!$C$25)*10000000+(N('Dvd Calendar'!$AO$999)&gt;0)*1000000+67*1000+37))</f>
        <v/>
      </c>
      <c r="AN75" s="41">
        <f>IF(N('Dvd Calendar'!$AP$1000)=0,"",IF(('Dvd Calendar'!$AP$1000&gt;=MIN(DATE(Summary!$C$12,1,1),Summary!$C$11))*('Dvd Calendar'!$AP$1000&lt;=MAX(DATE(Summary!$C$12,12,31),Summary!$C$15))*('Dvd Calendar'!$AP$1000&lt;=Summary!$C$11)=0,"",'Dvd Calendar'!$AP$1000*1000000000+ISNUMBER('Dvd Calendar'!$AP$1001)*100000000+('Dvd Calendar'!$AP$1005='Field Check'!$C$25)*10000000+(N('Dvd Calendar'!$AP$999)&gt;0)*1000000+67*1000+38))</f>
        <v/>
      </c>
      <c r="AO75" s="41">
        <f>IF(N('Dvd Calendar'!$AQ$1000)=0,"",IF(('Dvd Calendar'!$AQ$1000&gt;=MIN(DATE(Summary!$C$12,1,1),Summary!$C$11))*('Dvd Calendar'!$AQ$1000&lt;=MAX(DATE(Summary!$C$12,12,31),Summary!$C$15))*('Dvd Calendar'!$AQ$1000&lt;=Summary!$C$11)=0,"",'Dvd Calendar'!$AQ$1000*1000000000+ISNUMBER('Dvd Calendar'!$AQ$1001)*100000000+('Dvd Calendar'!$AQ$1005='Field Check'!$C$25)*10000000+(N('Dvd Calendar'!$AQ$999)&gt;0)*1000000+67*1000+39))</f>
        <v/>
      </c>
      <c r="AP75" s="41">
        <f>IF(N('Dvd Calendar'!$AR$1000)=0,"",IF(('Dvd Calendar'!$AR$1000&gt;=MIN(DATE(Summary!$C$12,1,1),Summary!$C$11))*('Dvd Calendar'!$AR$1000&lt;=MAX(DATE(Summary!$C$12,12,31),Summary!$C$15))*('Dvd Calendar'!$AR$1000&lt;=Summary!$C$11)=0,"",'Dvd Calendar'!$AR$1000*1000000000+ISNUMBER('Dvd Calendar'!$AR$1001)*100000000+('Dvd Calendar'!$AR$1005='Field Check'!$C$25)*10000000+(N('Dvd Calendar'!$AR$999)&gt;0)*1000000+67*1000+40))</f>
        <v/>
      </c>
      <c r="AQ75" s="41">
        <f>IF(N('Dvd Calendar'!$E$1007)=0,"",IF(('Dvd Calendar'!$E$1007&gt;=MIN(DATE(Summary!$C$12,1,1),Summary!$C$11))*('Dvd Calendar'!$E$1007&lt;=MAX(DATE(Summary!$C$12,12,31),Summary!$C$15))*('Dvd Calendar'!$E$1007&gt;Summary!$C$11)=0,"",'Dvd Calendar'!$E$1007*1000000000+ISNUMBER('Dvd Calendar'!$E$1008)*100000000+('Dvd Calendar'!$E$1012='Field Check'!$C$25)*10000000+(N('Dvd Calendar'!$E$1006)&gt;0)*1000000+67*1000+41))</f>
        <v/>
      </c>
      <c r="AR75" s="41">
        <f>IF(N('Dvd Calendar'!$F$1007)=0,"",IF(('Dvd Calendar'!$F$1007&gt;=MIN(DATE(Summary!$C$12,1,1),Summary!$C$11))*('Dvd Calendar'!$F$1007&lt;=MAX(DATE(Summary!$C$12,12,31),Summary!$C$15))*('Dvd Calendar'!$F$1007&gt;Summary!$C$11)=0,"",'Dvd Calendar'!$F$1007*1000000000+ISNUMBER('Dvd Calendar'!$F$1008)*100000000+('Dvd Calendar'!$F$1012='Field Check'!$C$25)*10000000+(N('Dvd Calendar'!$F$1006)&gt;0)*1000000+67*1000+42))</f>
        <v/>
      </c>
      <c r="AS75" s="41">
        <f>IF(N('Dvd Calendar'!$G$1007)=0,"",IF(('Dvd Calendar'!$G$1007&gt;=MIN(DATE(Summary!$C$12,1,1),Summary!$C$11))*('Dvd Calendar'!$G$1007&lt;=MAX(DATE(Summary!$C$12,12,31),Summary!$C$15))*('Dvd Calendar'!$G$1007&gt;Summary!$C$11)=0,"",'Dvd Calendar'!$G$1007*1000000000+ISNUMBER('Dvd Calendar'!$G$1008)*100000000+('Dvd Calendar'!$G$1012='Field Check'!$C$25)*10000000+(N('Dvd Calendar'!$G$1006)&gt;0)*1000000+67*1000+43))</f>
        <v/>
      </c>
      <c r="AT75" s="41">
        <f>IF(N('Dvd Calendar'!$H$1007)=0,"",IF(('Dvd Calendar'!$H$1007&gt;=MIN(DATE(Summary!$C$12,1,1),Summary!$C$11))*('Dvd Calendar'!$H$1007&lt;=MAX(DATE(Summary!$C$12,12,31),Summary!$C$15))*('Dvd Calendar'!$H$1007&gt;Summary!$C$11)=0,"",'Dvd Calendar'!$H$1007*1000000000+ISNUMBER('Dvd Calendar'!$H$1008)*100000000+('Dvd Calendar'!$H$1012='Field Check'!$C$25)*10000000+(N('Dvd Calendar'!$H$1006)&gt;0)*1000000+67*1000+44))</f>
        <v/>
      </c>
      <c r="AU75" s="41">
        <f>IF(N('Dvd Calendar'!$I$1007)=0,"",IF(('Dvd Calendar'!$I$1007&gt;=MIN(DATE(Summary!$C$12,1,1),Summary!$C$11))*('Dvd Calendar'!$I$1007&lt;=MAX(DATE(Summary!$C$12,12,31),Summary!$C$15))*('Dvd Calendar'!$I$1007&gt;Summary!$C$11)=0,"",'Dvd Calendar'!$I$1007*1000000000+ISNUMBER('Dvd Calendar'!$I$1008)*100000000+('Dvd Calendar'!$I$1012='Field Check'!$C$25)*10000000+(N('Dvd Calendar'!$I$1006)&gt;0)*1000000+67*1000+45))</f>
        <v/>
      </c>
      <c r="AV75" s="41">
        <f>IF(N('Dvd Calendar'!$J$1007)=0,"",IF(('Dvd Calendar'!$J$1007&gt;=MIN(DATE(Summary!$C$12,1,1),Summary!$C$11))*('Dvd Calendar'!$J$1007&lt;=MAX(DATE(Summary!$C$12,12,31),Summary!$C$15))*('Dvd Calendar'!$J$1007&gt;Summary!$C$11)=0,"",'Dvd Calendar'!$J$1007*1000000000+ISNUMBER('Dvd Calendar'!$J$1008)*100000000+('Dvd Calendar'!$J$1012='Field Check'!$C$25)*10000000+(N('Dvd Calendar'!$J$1006)&gt;0)*1000000+67*1000+46))</f>
        <v/>
      </c>
      <c r="AW75" s="41">
        <f>IF(N('Dvd Calendar'!$K$1007)=0,"",IF(('Dvd Calendar'!$K$1007&gt;=MIN(DATE(Summary!$C$12,1,1),Summary!$C$11))*('Dvd Calendar'!$K$1007&lt;=MAX(DATE(Summary!$C$12,12,31),Summary!$C$15))*('Dvd Calendar'!$K$1007&gt;Summary!$C$11)=0,"",'Dvd Calendar'!$K$1007*1000000000+ISNUMBER('Dvd Calendar'!$K$1008)*100000000+('Dvd Calendar'!$K$1012='Field Check'!$C$25)*10000000+(N('Dvd Calendar'!$K$1006)&gt;0)*1000000+67*1000+47))</f>
        <v/>
      </c>
      <c r="AX75" s="41">
        <f>IF(N('Dvd Calendar'!$L$1007)=0,"",IF(('Dvd Calendar'!$L$1007&gt;=MIN(DATE(Summary!$C$12,1,1),Summary!$C$11))*('Dvd Calendar'!$L$1007&lt;=MAX(DATE(Summary!$C$12,12,31),Summary!$C$15))*('Dvd Calendar'!$L$1007&gt;Summary!$C$11)=0,"",'Dvd Calendar'!$L$1007*1000000000+ISNUMBER('Dvd Calendar'!$L$1008)*100000000+('Dvd Calendar'!$L$1012='Field Check'!$C$25)*10000000+(N('Dvd Calendar'!$L$1006)&gt;0)*1000000+67*1000+48))</f>
        <v/>
      </c>
      <c r="AY75" s="41">
        <f>IF(N('Dvd Calendar'!$M$1007)=0,"",IF(('Dvd Calendar'!$M$1007&gt;=MIN(DATE(Summary!$C$12,1,1),Summary!$C$11))*('Dvd Calendar'!$M$1007&lt;=MAX(DATE(Summary!$C$12,12,31),Summary!$C$15))*('Dvd Calendar'!$M$1007&gt;Summary!$C$11)=0,"",'Dvd Calendar'!$M$1007*1000000000+ISNUMBER('Dvd Calendar'!$M$1008)*100000000+('Dvd Calendar'!$M$1012='Field Check'!$C$25)*10000000+(N('Dvd Calendar'!$M$1006)&gt;0)*1000000+67*1000+49))</f>
        <v/>
      </c>
      <c r="AZ75" s="41">
        <f>IF(N('Dvd Calendar'!$N$1007)=0,"",IF(('Dvd Calendar'!$N$1007&gt;=MIN(DATE(Summary!$C$12,1,1),Summary!$C$11))*('Dvd Calendar'!$N$1007&lt;=MAX(DATE(Summary!$C$12,12,31),Summary!$C$15))*('Dvd Calendar'!$N$1007&gt;Summary!$C$11)=0,"",'Dvd Calendar'!$N$1007*1000000000+ISNUMBER('Dvd Calendar'!$N$1008)*100000000+('Dvd Calendar'!$N$1012='Field Check'!$C$25)*10000000+(N('Dvd Calendar'!$N$1006)&gt;0)*1000000+67*1000+50))</f>
        <v/>
      </c>
      <c r="BA75" s="41">
        <f>IF(N('Dvd Calendar'!$O$1007)=0,"",IF(('Dvd Calendar'!$O$1007&gt;=MIN(DATE(Summary!$C$12,1,1),Summary!$C$11))*('Dvd Calendar'!$O$1007&lt;=MAX(DATE(Summary!$C$12,12,31),Summary!$C$15))*('Dvd Calendar'!$O$1007&gt;Summary!$C$11)=0,"",'Dvd Calendar'!$O$1007*1000000000+ISNUMBER('Dvd Calendar'!$O$1008)*100000000+('Dvd Calendar'!$O$1012='Field Check'!$C$25)*10000000+(N('Dvd Calendar'!$O$1006)&gt;0)*1000000+67*1000+51))</f>
        <v/>
      </c>
      <c r="BB75" s="41">
        <f>IF(N('Dvd Calendar'!$P$1007)=0,"",IF(('Dvd Calendar'!$P$1007&gt;=MIN(DATE(Summary!$C$12,1,1),Summary!$C$11))*('Dvd Calendar'!$P$1007&lt;=MAX(DATE(Summary!$C$12,12,31),Summary!$C$15))*('Dvd Calendar'!$P$1007&gt;Summary!$C$11)=0,"",'Dvd Calendar'!$P$1007*1000000000+ISNUMBER('Dvd Calendar'!$P$1008)*100000000+('Dvd Calendar'!$P$1012='Field Check'!$C$25)*10000000+(N('Dvd Calendar'!$P$1006)&gt;0)*1000000+67*1000+52))</f>
        <v/>
      </c>
      <c r="BC75" s="41">
        <f>IF(N('Dvd Calendar'!$Q$1007)=0,"",IF(('Dvd Calendar'!$Q$1007&gt;=MIN(DATE(Summary!$C$12,1,1),Summary!$C$11))*('Dvd Calendar'!$Q$1007&lt;=MAX(DATE(Summary!$C$12,12,31),Summary!$C$15))*('Dvd Calendar'!$Q$1007&gt;Summary!$C$11)=0,"",'Dvd Calendar'!$Q$1007*1000000000+ISNUMBER('Dvd Calendar'!$Q$1008)*100000000+('Dvd Calendar'!$Q$1012='Field Check'!$C$25)*10000000+(N('Dvd Calendar'!$Q$1006)&gt;0)*1000000+67*1000+53))</f>
        <v/>
      </c>
      <c r="BD75" s="41">
        <f>IF(N('Dvd Calendar'!$R$1007)=0,"",IF(('Dvd Calendar'!$R$1007&gt;=MIN(DATE(Summary!$C$12,1,1),Summary!$C$11))*('Dvd Calendar'!$R$1007&lt;=MAX(DATE(Summary!$C$12,12,31),Summary!$C$15))*('Dvd Calendar'!$R$1007&gt;Summary!$C$11)=0,"",'Dvd Calendar'!$R$1007*1000000000+ISNUMBER('Dvd Calendar'!$R$1008)*100000000+('Dvd Calendar'!$R$1012='Field Check'!$C$25)*10000000+(N('Dvd Calendar'!$R$1006)&gt;0)*1000000+67*1000+54))</f>
        <v/>
      </c>
      <c r="BE75" s="41">
        <f>IF(N('Dvd Calendar'!$S$1007)=0,"",IF(('Dvd Calendar'!$S$1007&gt;=MIN(DATE(Summary!$C$12,1,1),Summary!$C$11))*('Dvd Calendar'!$S$1007&lt;=MAX(DATE(Summary!$C$12,12,31),Summary!$C$15))*('Dvd Calendar'!$S$1007&gt;Summary!$C$11)=0,"",'Dvd Calendar'!$S$1007*1000000000+ISNUMBER('Dvd Calendar'!$S$1008)*100000000+('Dvd Calendar'!$S$1012='Field Check'!$C$25)*10000000+(N('Dvd Calendar'!$S$1006)&gt;0)*1000000+67*1000+55))</f>
        <v/>
      </c>
      <c r="BF75" s="41">
        <f>IF(N('Dvd Calendar'!$T$1007)=0,"",IF(('Dvd Calendar'!$T$1007&gt;=MIN(DATE(Summary!$C$12,1,1),Summary!$C$11))*('Dvd Calendar'!$T$1007&lt;=MAX(DATE(Summary!$C$12,12,31),Summary!$C$15))*('Dvd Calendar'!$T$1007&gt;Summary!$C$11)=0,"",'Dvd Calendar'!$T$1007*1000000000+ISNUMBER('Dvd Calendar'!$T$1008)*100000000+('Dvd Calendar'!$T$1012='Field Check'!$C$25)*10000000+(N('Dvd Calendar'!$T$1006)&gt;0)*1000000+67*1000+56))</f>
        <v/>
      </c>
      <c r="BG75" s="41">
        <f>IF(N('Dvd Calendar'!$U$1007)=0,"",IF(('Dvd Calendar'!$U$1007&gt;=MIN(DATE(Summary!$C$12,1,1),Summary!$C$11))*('Dvd Calendar'!$U$1007&lt;=MAX(DATE(Summary!$C$12,12,31),Summary!$C$15))*('Dvd Calendar'!$U$1007&gt;Summary!$C$11)=0,"",'Dvd Calendar'!$U$1007*1000000000+ISNUMBER('Dvd Calendar'!$U$1008)*100000000+('Dvd Calendar'!$U$1012='Field Check'!$C$25)*10000000+(N('Dvd Calendar'!$U$1006)&gt;0)*1000000+67*1000+57))</f>
        <v/>
      </c>
      <c r="BH75" s="41">
        <f>IF(N('Dvd Calendar'!$V$1007)=0,"",IF(('Dvd Calendar'!$V$1007&gt;=MIN(DATE(Summary!$C$12,1,1),Summary!$C$11))*('Dvd Calendar'!$V$1007&lt;=MAX(DATE(Summary!$C$12,12,31),Summary!$C$15))*('Dvd Calendar'!$V$1007&gt;Summary!$C$11)=0,"",'Dvd Calendar'!$V$1007*1000000000+ISNUMBER('Dvd Calendar'!$V$1008)*100000000+('Dvd Calendar'!$V$1012='Field Check'!$C$25)*10000000+(N('Dvd Calendar'!$V$1006)&gt;0)*1000000+67*1000+58))</f>
        <v/>
      </c>
      <c r="BI75" s="41">
        <f>IF(N('Dvd Calendar'!$W$1007)=0,"",IF(('Dvd Calendar'!$W$1007&gt;=MIN(DATE(Summary!$C$12,1,1),Summary!$C$11))*('Dvd Calendar'!$W$1007&lt;=MAX(DATE(Summary!$C$12,12,31),Summary!$C$15))*('Dvd Calendar'!$W$1007&gt;Summary!$C$11)=0,"",'Dvd Calendar'!$W$1007*1000000000+ISNUMBER('Dvd Calendar'!$W$1008)*100000000+('Dvd Calendar'!$W$1012='Field Check'!$C$25)*10000000+(N('Dvd Calendar'!$W$1006)&gt;0)*1000000+67*1000+59))</f>
        <v/>
      </c>
      <c r="BJ75" s="41">
        <f>IF(N('Dvd Calendar'!$X$1007)=0,"",IF(('Dvd Calendar'!$X$1007&gt;=MIN(DATE(Summary!$C$12,1,1),Summary!$C$11))*('Dvd Calendar'!$X$1007&lt;=MAX(DATE(Summary!$C$12,12,31),Summary!$C$15))*('Dvd Calendar'!$X$1007&gt;Summary!$C$11)=0,"",'Dvd Calendar'!$X$1007*1000000000+ISNUMBER('Dvd Calendar'!$X$1008)*100000000+('Dvd Calendar'!$X$1012='Field Check'!$C$25)*10000000+(N('Dvd Calendar'!$X$1006)&gt;0)*1000000+67*1000+60))</f>
        <v/>
      </c>
      <c r="BK75" s="41">
        <f>IF(N('Dvd Calendar'!$Y$1007)=0,"",IF(('Dvd Calendar'!$Y$1007&gt;=MIN(DATE(Summary!$C$12,1,1),Summary!$C$11))*('Dvd Calendar'!$Y$1007&lt;=MAX(DATE(Summary!$C$12,12,31),Summary!$C$15))*('Dvd Calendar'!$Y$1007&gt;Summary!$C$11)=0,"",'Dvd Calendar'!$Y$1007*1000000000+ISNUMBER('Dvd Calendar'!$Y$1008)*100000000+('Dvd Calendar'!$Y$1012='Field Check'!$C$25)*10000000+(N('Dvd Calendar'!$Y$1006)&gt;0)*1000000+67*1000+61))</f>
        <v/>
      </c>
      <c r="BL75" s="41">
        <f>IF(N('Dvd Calendar'!$Z$1007)=0,"",IF(('Dvd Calendar'!$Z$1007&gt;=MIN(DATE(Summary!$C$12,1,1),Summary!$C$11))*('Dvd Calendar'!$Z$1007&lt;=MAX(DATE(Summary!$C$12,12,31),Summary!$C$15))*('Dvd Calendar'!$Z$1007&gt;Summary!$C$11)=0,"",'Dvd Calendar'!$Z$1007*1000000000+ISNUMBER('Dvd Calendar'!$Z$1008)*100000000+('Dvd Calendar'!$Z$1012='Field Check'!$C$25)*10000000+(N('Dvd Calendar'!$Z$1006)&gt;0)*1000000+67*1000+62))</f>
        <v/>
      </c>
      <c r="BM75" s="41">
        <f>IF(N('Dvd Calendar'!$AA$1007)=0,"",IF(('Dvd Calendar'!$AA$1007&gt;=MIN(DATE(Summary!$C$12,1,1),Summary!$C$11))*('Dvd Calendar'!$AA$1007&lt;=MAX(DATE(Summary!$C$12,12,31),Summary!$C$15))*('Dvd Calendar'!$AA$1007&gt;Summary!$C$11)=0,"",'Dvd Calendar'!$AA$1007*1000000000+ISNUMBER('Dvd Calendar'!$AA$1008)*100000000+('Dvd Calendar'!$AA$1012='Field Check'!$C$25)*10000000+(N('Dvd Calendar'!$AA$1006)&gt;0)*1000000+67*1000+63))</f>
        <v/>
      </c>
      <c r="BN75" s="41">
        <f>IF(N('Dvd Calendar'!$AB$1007)=0,"",IF(('Dvd Calendar'!$AB$1007&gt;=MIN(DATE(Summary!$C$12,1,1),Summary!$C$11))*('Dvd Calendar'!$AB$1007&lt;=MAX(DATE(Summary!$C$12,12,31),Summary!$C$15))*('Dvd Calendar'!$AB$1007&gt;Summary!$C$11)=0,"",'Dvd Calendar'!$AB$1007*1000000000+ISNUMBER('Dvd Calendar'!$AB$1008)*100000000+('Dvd Calendar'!$AB$1012='Field Check'!$C$25)*10000000+(N('Dvd Calendar'!$AB$1006)&gt;0)*1000000+67*1000+64))</f>
        <v/>
      </c>
      <c r="BO75" s="41">
        <f>IF(N('Dvd Calendar'!$AC$1007)=0,"",IF(('Dvd Calendar'!$AC$1007&gt;=MIN(DATE(Summary!$C$12,1,1),Summary!$C$11))*('Dvd Calendar'!$AC$1007&lt;=MAX(DATE(Summary!$C$12,12,31),Summary!$C$15))*('Dvd Calendar'!$AC$1007&gt;Summary!$C$11)=0,"",'Dvd Calendar'!$AC$1007*1000000000+ISNUMBER('Dvd Calendar'!$AC$1008)*100000000+('Dvd Calendar'!$AC$1012='Field Check'!$C$25)*10000000+(N('Dvd Calendar'!$AC$1006)&gt;0)*1000000+67*1000+65))</f>
        <v/>
      </c>
      <c r="BQ75" s="85">
        <f>IF(C75="","",IF(ISNUMBER('Dvd Calendar'!$E$1001)=FALSE,"",IF((Summary!$C$13="N")*('Dvd Calendar'!$E$1005='Field Check'!$C$25)&gt;0,"",'Dvd Calendar'!$E$1001)))</f>
        <v/>
      </c>
      <c r="BR75" s="85">
        <f>IF(D75="","",IF(ISNUMBER('Dvd Calendar'!$F$1001)=FALSE,"",IF((Summary!$C$13="N")*('Dvd Calendar'!$F$1005='Field Check'!$C$25)&gt;0,"",'Dvd Calendar'!$F$1001)))</f>
        <v/>
      </c>
      <c r="BS75" s="85">
        <f>IF(E75="","",IF(ISNUMBER('Dvd Calendar'!$G$1001)=FALSE,"",IF((Summary!$C$13="N")*('Dvd Calendar'!$G$1005='Field Check'!$C$25)&gt;0,"",'Dvd Calendar'!$G$1001)))</f>
        <v/>
      </c>
      <c r="BT75" s="85">
        <f>IF(F75="","",IF(ISNUMBER('Dvd Calendar'!$H$1001)=FALSE,"",IF((Summary!$C$13="N")*('Dvd Calendar'!$H$1005='Field Check'!$C$25)&gt;0,"",'Dvd Calendar'!$H$1001)))</f>
        <v/>
      </c>
      <c r="BU75" s="85">
        <f>IF(G75="","",IF(ISNUMBER('Dvd Calendar'!$I$1001)=FALSE,"",IF((Summary!$C$13="N")*('Dvd Calendar'!$I$1005='Field Check'!$C$25)&gt;0,"",'Dvd Calendar'!$I$1001)))</f>
        <v/>
      </c>
      <c r="BV75" s="85">
        <f>IF(H75="","",IF(ISNUMBER('Dvd Calendar'!$J$1001)=FALSE,"",IF((Summary!$C$13="N")*('Dvd Calendar'!$J$1005='Field Check'!$C$25)&gt;0,"",'Dvd Calendar'!$J$1001)))</f>
        <v/>
      </c>
      <c r="BW75" s="85">
        <f>IF(I75="","",IF(ISNUMBER('Dvd Calendar'!$K$1001)=FALSE,"",IF((Summary!$C$13="N")*('Dvd Calendar'!$K$1005='Field Check'!$C$25)&gt;0,"",'Dvd Calendar'!$K$1001)))</f>
        <v/>
      </c>
      <c r="BX75" s="85">
        <f>IF(J75="","",IF(ISNUMBER('Dvd Calendar'!$L$1001)=FALSE,"",IF((Summary!$C$13="N")*('Dvd Calendar'!$L$1005='Field Check'!$C$25)&gt;0,"",'Dvd Calendar'!$L$1001)))</f>
        <v/>
      </c>
      <c r="BY75" s="85">
        <f>IF(K75="","",IF(ISNUMBER('Dvd Calendar'!$M$1001)=FALSE,"",IF((Summary!$C$13="N")*('Dvd Calendar'!$M$1005='Field Check'!$C$25)&gt;0,"",'Dvd Calendar'!$M$1001)))</f>
        <v/>
      </c>
      <c r="BZ75" s="85">
        <f>IF(L75="","",IF(ISNUMBER('Dvd Calendar'!$N$1001)=FALSE,"",IF((Summary!$C$13="N")*('Dvd Calendar'!$N$1005='Field Check'!$C$25)&gt;0,"",'Dvd Calendar'!$N$1001)))</f>
        <v/>
      </c>
      <c r="CA75" s="85">
        <f>IF(M75="","",IF(ISNUMBER('Dvd Calendar'!$O$1001)=FALSE,"",IF((Summary!$C$13="N")*('Dvd Calendar'!$O$1005='Field Check'!$C$25)&gt;0,"",'Dvd Calendar'!$O$1001)))</f>
        <v/>
      </c>
      <c r="CB75" s="85">
        <f>IF(N75="","",IF(ISNUMBER('Dvd Calendar'!$P$1001)=FALSE,"",IF((Summary!$C$13="N")*('Dvd Calendar'!$P$1005='Field Check'!$C$25)&gt;0,"",'Dvd Calendar'!$P$1001)))</f>
        <v/>
      </c>
      <c r="CC75" s="85">
        <f>IF(O75="","",IF(ISNUMBER('Dvd Calendar'!$Q$1001)=FALSE,"",IF((Summary!$C$13="N")*('Dvd Calendar'!$Q$1005='Field Check'!$C$25)&gt;0,"",'Dvd Calendar'!$Q$1001)))</f>
        <v/>
      </c>
      <c r="CD75" s="85">
        <f>IF(P75="","",IF(ISNUMBER('Dvd Calendar'!$R$1001)=FALSE,"",IF((Summary!$C$13="N")*('Dvd Calendar'!$R$1005='Field Check'!$C$25)&gt;0,"",'Dvd Calendar'!$R$1001)))</f>
        <v/>
      </c>
      <c r="CE75" s="85">
        <f>IF(Q75="","",IF(ISNUMBER('Dvd Calendar'!$S$1001)=FALSE,"",IF((Summary!$C$13="N")*('Dvd Calendar'!$S$1005='Field Check'!$C$25)&gt;0,"",'Dvd Calendar'!$S$1001)))</f>
        <v/>
      </c>
      <c r="CF75" s="85">
        <f>IF(R75="","",IF(ISNUMBER('Dvd Calendar'!$T$1001)=FALSE,"",IF((Summary!$C$13="N")*('Dvd Calendar'!$T$1005='Field Check'!$C$25)&gt;0,"",'Dvd Calendar'!$T$1001)))</f>
        <v/>
      </c>
      <c r="CG75" s="85">
        <f>IF(S75="","",IF(ISNUMBER('Dvd Calendar'!$U$1001)=FALSE,"",IF((Summary!$C$13="N")*('Dvd Calendar'!$U$1005='Field Check'!$C$25)&gt;0,"",'Dvd Calendar'!$U$1001)))</f>
        <v/>
      </c>
      <c r="CH75" s="85">
        <f>IF(T75="","",IF(ISNUMBER('Dvd Calendar'!$V$1001)=FALSE,"",IF((Summary!$C$13="N")*('Dvd Calendar'!$V$1005='Field Check'!$C$25)&gt;0,"",'Dvd Calendar'!$V$1001)))</f>
        <v/>
      </c>
      <c r="CI75" s="85">
        <f>IF(U75="","",IF(ISNUMBER('Dvd Calendar'!$W$1001)=FALSE,"",IF((Summary!$C$13="N")*('Dvd Calendar'!$W$1005='Field Check'!$C$25)&gt;0,"",'Dvd Calendar'!$W$1001)))</f>
        <v/>
      </c>
      <c r="CJ75" s="85">
        <f>IF(V75="","",IF(ISNUMBER('Dvd Calendar'!$X$1001)=FALSE,"",IF((Summary!$C$13="N")*('Dvd Calendar'!$X$1005='Field Check'!$C$25)&gt;0,"",'Dvd Calendar'!$X$1001)))</f>
        <v/>
      </c>
      <c r="CK75" s="85">
        <f>IF(W75="","",IF(ISNUMBER('Dvd Calendar'!$Y$1001)=FALSE,"",IF((Summary!$C$13="N")*('Dvd Calendar'!$Y$1005='Field Check'!$C$25)&gt;0,"",'Dvd Calendar'!$Y$1001)))</f>
        <v/>
      </c>
      <c r="CL75" s="85">
        <f>IF(X75="","",IF(ISNUMBER('Dvd Calendar'!$Z$1001)=FALSE,"",IF((Summary!$C$13="N")*('Dvd Calendar'!$Z$1005='Field Check'!$C$25)&gt;0,"",'Dvd Calendar'!$Z$1001)))</f>
        <v/>
      </c>
      <c r="CM75" s="85">
        <f>IF(Y75="","",IF(ISNUMBER('Dvd Calendar'!$AA$1001)=FALSE,"",IF((Summary!$C$13="N")*('Dvd Calendar'!$AA$1005='Field Check'!$C$25)&gt;0,"",'Dvd Calendar'!$AA$1001)))</f>
        <v/>
      </c>
      <c r="CN75" s="85">
        <f>IF(Z75="","",IF(ISNUMBER('Dvd Calendar'!$AB$1001)=FALSE,"",IF((Summary!$C$13="N")*('Dvd Calendar'!$AB$1005='Field Check'!$C$25)&gt;0,"",'Dvd Calendar'!$AB$1001)))</f>
        <v/>
      </c>
      <c r="CO75" s="85">
        <f>IF(AA75="","",IF(ISNUMBER('Dvd Calendar'!$AC$1001)=FALSE,"",IF((Summary!$C$13="N")*('Dvd Calendar'!$AC$1005='Field Check'!$C$25)&gt;0,"",'Dvd Calendar'!$AC$1001)))</f>
        <v/>
      </c>
      <c r="CP75" s="85">
        <f>IF(AB75="","",IF(ISNUMBER('Dvd Calendar'!$AD$1001)=FALSE,"",IF((Summary!$C$13="N")*('Dvd Calendar'!$AD$1005='Field Check'!$C$25)&gt;0,"",'Dvd Calendar'!$AD$1001)))</f>
        <v/>
      </c>
      <c r="CQ75" s="85">
        <f>IF(AC75="","",IF(ISNUMBER('Dvd Calendar'!$AE$1001)=FALSE,"",IF((Summary!$C$13="N")*('Dvd Calendar'!$AE$1005='Field Check'!$C$25)&gt;0,"",'Dvd Calendar'!$AE$1001)))</f>
        <v/>
      </c>
      <c r="CR75" s="85">
        <f>IF(AD75="","",IF(ISNUMBER('Dvd Calendar'!$AF$1001)=FALSE,"",IF((Summary!$C$13="N")*('Dvd Calendar'!$AF$1005='Field Check'!$C$25)&gt;0,"",'Dvd Calendar'!$AF$1001)))</f>
        <v/>
      </c>
      <c r="CS75" s="85">
        <f>IF(AE75="","",IF(ISNUMBER('Dvd Calendar'!$AG$1001)=FALSE,"",IF((Summary!$C$13="N")*('Dvd Calendar'!$AG$1005='Field Check'!$C$25)&gt;0,"",'Dvd Calendar'!$AG$1001)))</f>
        <v/>
      </c>
      <c r="CT75" s="85">
        <f>IF(AF75="","",IF(ISNUMBER('Dvd Calendar'!$AH$1001)=FALSE,"",IF((Summary!$C$13="N")*('Dvd Calendar'!$AH$1005='Field Check'!$C$25)&gt;0,"",'Dvd Calendar'!$AH$1001)))</f>
        <v/>
      </c>
      <c r="CU75" s="85">
        <f>IF(AG75="","",IF(ISNUMBER('Dvd Calendar'!$AI$1001)=FALSE,"",IF((Summary!$C$13="N")*('Dvd Calendar'!$AI$1005='Field Check'!$C$25)&gt;0,"",'Dvd Calendar'!$AI$1001)))</f>
        <v/>
      </c>
      <c r="CV75" s="85">
        <f>IF(AH75="","",IF(ISNUMBER('Dvd Calendar'!$AJ$1001)=FALSE,"",IF((Summary!$C$13="N")*('Dvd Calendar'!$AJ$1005='Field Check'!$C$25)&gt;0,"",'Dvd Calendar'!$AJ$1001)))</f>
        <v/>
      </c>
      <c r="CW75" s="85">
        <f>IF(AI75="","",IF(ISNUMBER('Dvd Calendar'!$AK$1001)=FALSE,"",IF((Summary!$C$13="N")*('Dvd Calendar'!$AK$1005='Field Check'!$C$25)&gt;0,"",'Dvd Calendar'!$AK$1001)))</f>
        <v/>
      </c>
      <c r="CX75" s="85">
        <f>IF(AJ75="","",IF(ISNUMBER('Dvd Calendar'!$AL$1001)=FALSE,"",IF((Summary!$C$13="N")*('Dvd Calendar'!$AL$1005='Field Check'!$C$25)&gt;0,"",'Dvd Calendar'!$AL$1001)))</f>
        <v/>
      </c>
      <c r="CY75" s="85">
        <f>IF(AK75="","",IF(ISNUMBER('Dvd Calendar'!$AM$1001)=FALSE,"",IF((Summary!$C$13="N")*('Dvd Calendar'!$AM$1005='Field Check'!$C$25)&gt;0,"",'Dvd Calendar'!$AM$1001)))</f>
        <v/>
      </c>
      <c r="CZ75" s="85">
        <f>IF(AL75="","",IF(ISNUMBER('Dvd Calendar'!$AN$1001)=FALSE,"",IF((Summary!$C$13="N")*('Dvd Calendar'!$AN$1005='Field Check'!$C$25)&gt;0,"",'Dvd Calendar'!$AN$1001)))</f>
        <v/>
      </c>
      <c r="DA75" s="85">
        <f>IF(AM75="","",IF(ISNUMBER('Dvd Calendar'!$AO$1001)=FALSE,"",IF((Summary!$C$13="N")*('Dvd Calendar'!$AO$1005='Field Check'!$C$25)&gt;0,"",'Dvd Calendar'!$AO$1001)))</f>
        <v/>
      </c>
      <c r="DB75" s="85">
        <f>IF(AN75="","",IF(ISNUMBER('Dvd Calendar'!$AP$1001)=FALSE,"",IF((Summary!$C$13="N")*('Dvd Calendar'!$AP$1005='Field Check'!$C$25)&gt;0,"",'Dvd Calendar'!$AP$1001)))</f>
        <v/>
      </c>
      <c r="DC75" s="85">
        <f>IF(AO75="","",IF(ISNUMBER('Dvd Calendar'!$AQ$1001)=FALSE,"",IF((Summary!$C$13="N")*('Dvd Calendar'!$AQ$1005='Field Check'!$C$25)&gt;0,"",'Dvd Calendar'!$AQ$1001)))</f>
        <v/>
      </c>
      <c r="DD75" s="85">
        <f>IF(AP75="","",IF(ISNUMBER('Dvd Calendar'!$AR$1001)=FALSE,"",IF((Summary!$C$13="N")*('Dvd Calendar'!$AR$1005='Field Check'!$C$25)&gt;0,"",'Dvd Calendar'!$AR$1001)))</f>
        <v/>
      </c>
      <c r="DE75" s="85">
        <f>IF(AQ75="","",IF(ISNUMBER('Dvd Calendar'!$E$1008)=FALSE,"",IF((Summary!$C$13="N")*('Dvd Calendar'!$E$1012='Field Check'!$C$25)&gt;0,"",'Dvd Calendar'!$E$1008)))</f>
        <v/>
      </c>
      <c r="DF75" s="85">
        <f>IF(AR75="","",IF(ISNUMBER('Dvd Calendar'!$F$1008)=FALSE,"",IF((Summary!$C$13="N")*('Dvd Calendar'!$F$1012='Field Check'!$C$25)&gt;0,"",'Dvd Calendar'!$F$1008)))</f>
        <v/>
      </c>
      <c r="DG75" s="85">
        <f>IF(AS75="","",IF(ISNUMBER('Dvd Calendar'!$G$1008)=FALSE,"",IF((Summary!$C$13="N")*('Dvd Calendar'!$G$1012='Field Check'!$C$25)&gt;0,"",'Dvd Calendar'!$G$1008)))</f>
        <v/>
      </c>
      <c r="DH75" s="85">
        <f>IF(AT75="","",IF(ISNUMBER('Dvd Calendar'!$H$1008)=FALSE,"",IF((Summary!$C$13="N")*('Dvd Calendar'!$H$1012='Field Check'!$C$25)&gt;0,"",'Dvd Calendar'!$H$1008)))</f>
        <v/>
      </c>
      <c r="DI75" s="85">
        <f>IF(AU75="","",IF(ISNUMBER('Dvd Calendar'!$I$1008)=FALSE,"",IF((Summary!$C$13="N")*('Dvd Calendar'!$I$1012='Field Check'!$C$25)&gt;0,"",'Dvd Calendar'!$I$1008)))</f>
        <v/>
      </c>
      <c r="DJ75" s="85">
        <f>IF(AV75="","",IF(ISNUMBER('Dvd Calendar'!$J$1008)=FALSE,"",IF((Summary!$C$13="N")*('Dvd Calendar'!$J$1012='Field Check'!$C$25)&gt;0,"",'Dvd Calendar'!$J$1008)))</f>
        <v/>
      </c>
      <c r="DK75" s="85">
        <f>IF(AW75="","",IF(ISNUMBER('Dvd Calendar'!$K$1008)=FALSE,"",IF((Summary!$C$13="N")*('Dvd Calendar'!$K$1012='Field Check'!$C$25)&gt;0,"",'Dvd Calendar'!$K$1008)))</f>
        <v/>
      </c>
      <c r="DL75" s="85">
        <f>IF(AX75="","",IF(ISNUMBER('Dvd Calendar'!$L$1008)=FALSE,"",IF((Summary!$C$13="N")*('Dvd Calendar'!$L$1012='Field Check'!$C$25)&gt;0,"",'Dvd Calendar'!$L$1008)))</f>
        <v/>
      </c>
      <c r="DM75" s="85">
        <f>IF(AY75="","",IF(ISNUMBER('Dvd Calendar'!$M$1008)=FALSE,"",IF((Summary!$C$13="N")*('Dvd Calendar'!$M$1012='Field Check'!$C$25)&gt;0,"",'Dvd Calendar'!$M$1008)))</f>
        <v/>
      </c>
      <c r="DN75" s="85">
        <f>IF(AZ75="","",IF(ISNUMBER('Dvd Calendar'!$N$1008)=FALSE,"",IF((Summary!$C$13="N")*('Dvd Calendar'!$N$1012='Field Check'!$C$25)&gt;0,"",'Dvd Calendar'!$N$1008)))</f>
        <v/>
      </c>
      <c r="DO75" s="85">
        <f>IF(BA75="","",IF(ISNUMBER('Dvd Calendar'!$O$1008)=FALSE,"",IF((Summary!$C$13="N")*('Dvd Calendar'!$O$1012='Field Check'!$C$25)&gt;0,"",'Dvd Calendar'!$O$1008)))</f>
        <v/>
      </c>
      <c r="DP75" s="85">
        <f>IF(BB75="","",IF(ISNUMBER('Dvd Calendar'!$P$1008)=FALSE,"",IF((Summary!$C$13="N")*('Dvd Calendar'!$P$1012='Field Check'!$C$25)&gt;0,"",'Dvd Calendar'!$P$1008)))</f>
        <v/>
      </c>
      <c r="DQ75" s="85">
        <f>IF(BC75="","",IF(ISNUMBER('Dvd Calendar'!$Q$1008)=FALSE,"",IF((Summary!$C$13="N")*('Dvd Calendar'!$Q$1012='Field Check'!$C$25)&gt;0,"",'Dvd Calendar'!$Q$1008)))</f>
        <v/>
      </c>
      <c r="DR75" s="85">
        <f>IF(BD75="","",IF(ISNUMBER('Dvd Calendar'!$R$1008)=FALSE,"",IF((Summary!$C$13="N")*('Dvd Calendar'!$R$1012='Field Check'!$C$25)&gt;0,"",'Dvd Calendar'!$R$1008)))</f>
        <v/>
      </c>
      <c r="DS75" s="85">
        <f>IF(BE75="","",IF(ISNUMBER('Dvd Calendar'!$S$1008)=FALSE,"",IF((Summary!$C$13="N")*('Dvd Calendar'!$S$1012='Field Check'!$C$25)&gt;0,"",'Dvd Calendar'!$S$1008)))</f>
        <v/>
      </c>
      <c r="DT75" s="85">
        <f>IF(BF75="","",IF(ISNUMBER('Dvd Calendar'!$T$1008)=FALSE,"",IF((Summary!$C$13="N")*('Dvd Calendar'!$T$1012='Field Check'!$C$25)&gt;0,"",'Dvd Calendar'!$T$1008)))</f>
        <v/>
      </c>
      <c r="DU75" s="85">
        <f>IF(BG75="","",IF(ISNUMBER('Dvd Calendar'!$U$1008)=FALSE,"",IF((Summary!$C$13="N")*('Dvd Calendar'!$U$1012='Field Check'!$C$25)&gt;0,"",'Dvd Calendar'!$U$1008)))</f>
        <v/>
      </c>
      <c r="DV75" s="85">
        <f>IF(BH75="","",IF(ISNUMBER('Dvd Calendar'!$V$1008)=FALSE,"",IF((Summary!$C$13="N")*('Dvd Calendar'!$V$1012='Field Check'!$C$25)&gt;0,"",'Dvd Calendar'!$V$1008)))</f>
        <v/>
      </c>
      <c r="DW75" s="85">
        <f>IF(BI75="","",IF(ISNUMBER('Dvd Calendar'!$W$1008)=FALSE,"",IF((Summary!$C$13="N")*('Dvd Calendar'!$W$1012='Field Check'!$C$25)&gt;0,"",'Dvd Calendar'!$W$1008)))</f>
        <v/>
      </c>
      <c r="DX75" s="85">
        <f>IF(BJ75="","",IF(ISNUMBER('Dvd Calendar'!$X$1008)=FALSE,"",IF((Summary!$C$13="N")*('Dvd Calendar'!$X$1012='Field Check'!$C$25)&gt;0,"",'Dvd Calendar'!$X$1008)))</f>
        <v/>
      </c>
      <c r="DY75" s="85">
        <f>IF(BK75="","",IF(ISNUMBER('Dvd Calendar'!$Y$1008)=FALSE,"",IF((Summary!$C$13="N")*('Dvd Calendar'!$Y$1012='Field Check'!$C$25)&gt;0,"",'Dvd Calendar'!$Y$1008)))</f>
        <v/>
      </c>
      <c r="DZ75" s="85">
        <f>IF(BL75="","",IF(ISNUMBER('Dvd Calendar'!$Z$1008)=FALSE,"",IF((Summary!$C$13="N")*('Dvd Calendar'!$Z$1012='Field Check'!$C$25)&gt;0,"",'Dvd Calendar'!$Z$1008)))</f>
        <v/>
      </c>
      <c r="EA75" s="85">
        <f>IF(BM75="","",IF(ISNUMBER('Dvd Calendar'!$AA$1008)=FALSE,"",IF((Summary!$C$13="N")*('Dvd Calendar'!$AA$1012='Field Check'!$C$25)&gt;0,"",'Dvd Calendar'!$AA$1008)))</f>
        <v/>
      </c>
      <c r="EB75" s="85">
        <f>IF(BN75="","",IF(ISNUMBER('Dvd Calendar'!$AB$1008)=FALSE,"",IF((Summary!$C$13="N")*('Dvd Calendar'!$AB$1012='Field Check'!$C$25)&gt;0,"",'Dvd Calendar'!$AB$1008)))</f>
        <v/>
      </c>
      <c r="EC75" s="85">
        <f>IF(BO75="","",IF(ISNUMBER('Dvd Calendar'!$AC$1008)=FALSE,"",IF((Summary!$C$13="N")*('Dvd Calendar'!$AC$1012='Field Check'!$C$25)&gt;0,"",'Dvd Calendar'!$AC$1008)))</f>
        <v/>
      </c>
      <c r="EE75" s="85">
        <f>IF(BQ75="","",IFERROR(BQ75*HSI!$B$73*HSI!$G$73/HSI!$B$3,""))</f>
        <v/>
      </c>
      <c r="EF75" s="85">
        <f>IF(BR75="","",IFERROR(BR75*HSI!$B$73*HSI!$G$73/HSI!$B$3,""))</f>
        <v/>
      </c>
      <c r="EG75" s="85">
        <f>IF(BS75="","",IFERROR(BS75*HSI!$B$73*HSI!$G$73/HSI!$B$3,""))</f>
        <v/>
      </c>
      <c r="EH75" s="85">
        <f>IF(BT75="","",IFERROR(BT75*HSI!$B$73*HSI!$G$73/HSI!$B$3,""))</f>
        <v/>
      </c>
      <c r="EI75" s="85">
        <f>IF(BU75="","",IFERROR(BU75*HSI!$B$73*HSI!$G$73/HSI!$B$3,""))</f>
        <v/>
      </c>
      <c r="EJ75" s="85">
        <f>IF(BV75="","",IFERROR(BV75*HSI!$B$73*HSI!$G$73/HSI!$B$3,""))</f>
        <v/>
      </c>
      <c r="EK75" s="85">
        <f>IF(BW75="","",IFERROR(BW75*HSI!$B$73*HSI!$G$73/HSI!$B$3,""))</f>
        <v/>
      </c>
      <c r="EL75" s="85">
        <f>IF(BX75="","",IFERROR(BX75*HSI!$B$73*HSI!$G$73/HSI!$B$3,""))</f>
        <v/>
      </c>
      <c r="EM75" s="85">
        <f>IF(BY75="","",IFERROR(BY75*HSI!$B$73*HSI!$G$73/HSI!$B$3,""))</f>
        <v/>
      </c>
      <c r="EN75" s="85">
        <f>IF(BZ75="","",IFERROR(BZ75*HSI!$B$73*HSI!$G$73/HSI!$B$3,""))</f>
        <v/>
      </c>
      <c r="EO75" s="85">
        <f>IF(CA75="","",IFERROR(CA75*HSI!$B$73*HSI!$G$73/HSI!$B$3,""))</f>
        <v/>
      </c>
      <c r="EP75" s="85">
        <f>IF(CB75="","",IFERROR(CB75*HSI!$B$73*HSI!$G$73/HSI!$B$3,""))</f>
        <v/>
      </c>
      <c r="EQ75" s="85">
        <f>IF(CC75="","",IFERROR(CC75*HSI!$B$73*HSI!$G$73/HSI!$B$3,""))</f>
        <v/>
      </c>
      <c r="ER75" s="85">
        <f>IF(CD75="","",IFERROR(CD75*HSI!$B$73*HSI!$G$73/HSI!$B$3,""))</f>
        <v/>
      </c>
      <c r="ES75" s="85">
        <f>IF(CE75="","",IFERROR(CE75*HSI!$B$73*HSI!$G$73/HSI!$B$3,""))</f>
        <v/>
      </c>
      <c r="ET75" s="85">
        <f>IF(CF75="","",IFERROR(CF75*HSI!$B$73*HSI!$G$73/HSI!$B$3,""))</f>
        <v/>
      </c>
      <c r="EU75" s="85">
        <f>IF(CG75="","",IFERROR(CG75*HSI!$B$73*HSI!$G$73/HSI!$B$3,""))</f>
        <v/>
      </c>
      <c r="EV75" s="85">
        <f>IF(CH75="","",IFERROR(CH75*HSI!$B$73*HSI!$G$73/HSI!$B$3,""))</f>
        <v/>
      </c>
      <c r="EW75" s="85">
        <f>IF(CI75="","",IFERROR(CI75*HSI!$B$73*HSI!$G$73/HSI!$B$3,""))</f>
        <v/>
      </c>
      <c r="EX75" s="85">
        <f>IF(CJ75="","",IFERROR(CJ75*HSI!$B$73*HSI!$G$73/HSI!$B$3,""))</f>
        <v/>
      </c>
      <c r="EY75" s="85">
        <f>IF(CK75="","",IFERROR(CK75*HSI!$B$73*HSI!$G$73/HSI!$B$3,""))</f>
        <v/>
      </c>
      <c r="EZ75" s="85">
        <f>IF(CL75="","",IFERROR(CL75*HSI!$B$73*HSI!$G$73/HSI!$B$3,""))</f>
        <v/>
      </c>
      <c r="FA75" s="85">
        <f>IF(CM75="","",IFERROR(CM75*HSI!$B$73*HSI!$G$73/HSI!$B$3,""))</f>
        <v/>
      </c>
      <c r="FB75" s="85">
        <f>IF(CN75="","",IFERROR(CN75*HSI!$B$73*HSI!$G$73/HSI!$B$3,""))</f>
        <v/>
      </c>
      <c r="FC75" s="85">
        <f>IF(CO75="","",IFERROR(CO75*HSI!$B$73*HSI!$G$73/HSI!$B$3,""))</f>
        <v/>
      </c>
      <c r="FD75" s="85">
        <f>IF(CP75="","",IFERROR(CP75*HSI!$B$73*HSI!$G$73/HSI!$B$3,""))</f>
        <v/>
      </c>
      <c r="FE75" s="85">
        <f>IF(CQ75="","",IFERROR(CQ75*HSI!$B$73*HSI!$G$73/HSI!$B$3,""))</f>
        <v/>
      </c>
      <c r="FF75" s="85">
        <f>IF(CR75="","",IFERROR(CR75*HSI!$B$73*HSI!$G$73/HSI!$B$3,""))</f>
        <v/>
      </c>
      <c r="FG75" s="85">
        <f>IF(CS75="","",IFERROR(CS75*HSI!$B$73*HSI!$G$73/HSI!$B$3,""))</f>
        <v/>
      </c>
      <c r="FH75" s="85">
        <f>IF(CT75="","",IFERROR(CT75*HSI!$B$73*HSI!$G$73/HSI!$B$3,""))</f>
        <v/>
      </c>
      <c r="FI75" s="85">
        <f>IF(CU75="","",IFERROR(CU75*HSI!$B$73*HSI!$G$73/HSI!$B$3,""))</f>
        <v/>
      </c>
      <c r="FJ75" s="85">
        <f>IF(CV75="","",IFERROR(CV75*HSI!$B$73*HSI!$G$73/HSI!$B$3,""))</f>
        <v/>
      </c>
      <c r="FK75" s="85">
        <f>IF(CW75="","",IFERROR(CW75*HSI!$B$73*HSI!$G$73/HSI!$B$3,""))</f>
        <v/>
      </c>
      <c r="FL75" s="85">
        <f>IF(CX75="","",IFERROR(CX75*HSI!$B$73*HSI!$G$73/HSI!$B$3,""))</f>
        <v/>
      </c>
      <c r="FM75" s="85">
        <f>IF(CY75="","",IFERROR(CY75*HSI!$B$73*HSI!$G$73/HSI!$B$3,""))</f>
        <v/>
      </c>
      <c r="FN75" s="85">
        <f>IF(CZ75="","",IFERROR(CZ75*HSI!$B$73*HSI!$G$73/HSI!$B$3,""))</f>
        <v/>
      </c>
      <c r="FO75" s="85">
        <f>IF(DA75="","",IFERROR(DA75*HSI!$B$73*HSI!$G$73/HSI!$B$3,""))</f>
        <v/>
      </c>
      <c r="FP75" s="85">
        <f>IF(DB75="","",IFERROR(DB75*HSI!$B$73*HSI!$G$73/HSI!$B$3,""))</f>
        <v/>
      </c>
      <c r="FQ75" s="85">
        <f>IF(DC75="","",IFERROR(DC75*HSI!$B$73*HSI!$G$73/HSI!$B$3,""))</f>
        <v/>
      </c>
      <c r="FR75" s="85">
        <f>IF(DD75="","",IFERROR(DD75*HSI!$B$73*HSI!$G$73/HSI!$B$3,""))</f>
        <v/>
      </c>
      <c r="FS75" s="85">
        <f>IF(DE75="","",IFERROR(DE75*HSI!$B$73*HSI!$G$73/HSI!$B$3,""))</f>
        <v/>
      </c>
      <c r="FT75" s="85">
        <f>IF(DF75="","",IFERROR(DF75*HSI!$B$73*HSI!$G$73/HSI!$B$3,""))</f>
        <v/>
      </c>
      <c r="FU75" s="85">
        <f>IF(DG75="","",IFERROR(DG75*HSI!$B$73*HSI!$G$73/HSI!$B$3,""))</f>
        <v/>
      </c>
      <c r="FV75" s="85">
        <f>IF(DH75="","",IFERROR(DH75*HSI!$B$73*HSI!$G$73/HSI!$B$3,""))</f>
        <v/>
      </c>
      <c r="FW75" s="85">
        <f>IF(DI75="","",IFERROR(DI75*HSI!$B$73*HSI!$G$73/HSI!$B$3,""))</f>
        <v/>
      </c>
      <c r="FX75" s="85">
        <f>IF(DJ75="","",IFERROR(DJ75*HSI!$B$73*HSI!$G$73/HSI!$B$3,""))</f>
        <v/>
      </c>
      <c r="FY75" s="85">
        <f>IF(DK75="","",IFERROR(DK75*HSI!$B$73*HSI!$G$73/HSI!$B$3,""))</f>
        <v/>
      </c>
      <c r="FZ75" s="85">
        <f>IF(DL75="","",IFERROR(DL75*HSI!$B$73*HSI!$G$73/HSI!$B$3,""))</f>
        <v/>
      </c>
      <c r="GA75" s="85">
        <f>IF(DM75="","",IFERROR(DM75*HSI!$B$73*HSI!$G$73/HSI!$B$3,""))</f>
        <v/>
      </c>
      <c r="GB75" s="85">
        <f>IF(DN75="","",IFERROR(DN75*HSI!$B$73*HSI!$G$73/HSI!$B$3,""))</f>
        <v/>
      </c>
      <c r="GC75" s="85">
        <f>IF(DO75="","",IFERROR(DO75*HSI!$B$73*HSI!$G$73/HSI!$B$3,""))</f>
        <v/>
      </c>
      <c r="GD75" s="85">
        <f>IF(DP75="","",IFERROR(DP75*HSI!$B$73*HSI!$G$73/HSI!$B$3,""))</f>
        <v/>
      </c>
      <c r="GE75" s="85">
        <f>IF(DQ75="","",IFERROR(DQ75*HSI!$B$73*HSI!$G$73/HSI!$B$3,""))</f>
        <v/>
      </c>
      <c r="GF75" s="85">
        <f>IF(DR75="","",IFERROR(DR75*HSI!$B$73*HSI!$G$73/HSI!$B$3,""))</f>
        <v/>
      </c>
      <c r="GG75" s="85">
        <f>IF(DS75="","",IFERROR(DS75*HSI!$B$73*HSI!$G$73/HSI!$B$3,""))</f>
        <v/>
      </c>
      <c r="GH75" s="85">
        <f>IF(DT75="","",IFERROR(DT75*HSI!$B$73*HSI!$G$73/HSI!$B$3,""))</f>
        <v/>
      </c>
      <c r="GI75" s="85">
        <f>IF(DU75="","",IFERROR(DU75*HSI!$B$73*HSI!$G$73/HSI!$B$3,""))</f>
        <v/>
      </c>
      <c r="GJ75" s="85">
        <f>IF(DV75="","",IFERROR(DV75*HSI!$B$73*HSI!$G$73/HSI!$B$3,""))</f>
        <v/>
      </c>
      <c r="GK75" s="85">
        <f>IF(DW75="","",IFERROR(DW75*HSI!$B$73*HSI!$G$73/HSI!$B$3,""))</f>
        <v/>
      </c>
      <c r="GL75" s="85">
        <f>IF(DX75="","",IFERROR(DX75*HSI!$B$73*HSI!$G$73/HSI!$B$3,""))</f>
        <v/>
      </c>
      <c r="GM75" s="85">
        <f>IF(DY75="","",IFERROR(DY75*HSI!$B$73*HSI!$G$73/HSI!$B$3,""))</f>
        <v/>
      </c>
      <c r="GN75" s="85">
        <f>IF(DZ75="","",IFERROR(DZ75*HSI!$B$73*HSI!$G$73/HSI!$B$3,""))</f>
        <v/>
      </c>
      <c r="GO75" s="85">
        <f>IF(EA75="","",IFERROR(EA75*HSI!$B$73*HSI!$G$73/HSI!$B$3,""))</f>
        <v/>
      </c>
      <c r="GP75" s="85">
        <f>IF(EB75="","",IFERROR(EB75*HSI!$B$73*HSI!$G$73/HSI!$B$3,""))</f>
        <v/>
      </c>
      <c r="GQ75" s="85">
        <f>IF(EC75="","",IFERROR(EC75*HSI!$B$73*HSI!$G$73/HSI!$B$3,""))</f>
        <v/>
      </c>
    </row>
    <row r="76">
      <c r="B76" s="2">
        <f>IF(HSI!$C$74="","",HSI!$C$74)</f>
        <v/>
      </c>
      <c r="C76" s="41">
        <f>IF(N('Dvd Calendar'!$E$1015)=0,"",IF(('Dvd Calendar'!$E$1015&gt;=MIN(DATE(Summary!$C$12,1,1),Summary!$C$11))*('Dvd Calendar'!$E$1015&lt;=MAX(DATE(Summary!$C$12,12,31),Summary!$C$15))*('Dvd Calendar'!$E$1015&lt;=Summary!$C$11)=0,"",'Dvd Calendar'!$E$1015*1000000000+ISNUMBER('Dvd Calendar'!$E$1016)*100000000+('Dvd Calendar'!$E$1020='Field Check'!$C$25)*10000000+(N('Dvd Calendar'!$E$1014)&gt;0)*1000000+68*1000+1))</f>
        <v/>
      </c>
      <c r="D76" s="41">
        <f>IF(N('Dvd Calendar'!$F$1015)=0,"",IF(('Dvd Calendar'!$F$1015&gt;=MIN(DATE(Summary!$C$12,1,1),Summary!$C$11))*('Dvd Calendar'!$F$1015&lt;=MAX(DATE(Summary!$C$12,12,31),Summary!$C$15))*('Dvd Calendar'!$F$1015&lt;=Summary!$C$11)=0,"",'Dvd Calendar'!$F$1015*1000000000+ISNUMBER('Dvd Calendar'!$F$1016)*100000000+('Dvd Calendar'!$F$1020='Field Check'!$C$25)*10000000+(N('Dvd Calendar'!$F$1014)&gt;0)*1000000+68*1000+2))</f>
        <v/>
      </c>
      <c r="E76" s="41">
        <f>IF(N('Dvd Calendar'!$G$1015)=0,"",IF(('Dvd Calendar'!$G$1015&gt;=MIN(DATE(Summary!$C$12,1,1),Summary!$C$11))*('Dvd Calendar'!$G$1015&lt;=MAX(DATE(Summary!$C$12,12,31),Summary!$C$15))*('Dvd Calendar'!$G$1015&lt;=Summary!$C$11)=0,"",'Dvd Calendar'!$G$1015*1000000000+ISNUMBER('Dvd Calendar'!$G$1016)*100000000+('Dvd Calendar'!$G$1020='Field Check'!$C$25)*10000000+(N('Dvd Calendar'!$G$1014)&gt;0)*1000000+68*1000+3))</f>
        <v/>
      </c>
      <c r="F76" s="41">
        <f>IF(N('Dvd Calendar'!$H$1015)=0,"",IF(('Dvd Calendar'!$H$1015&gt;=MIN(DATE(Summary!$C$12,1,1),Summary!$C$11))*('Dvd Calendar'!$H$1015&lt;=MAX(DATE(Summary!$C$12,12,31),Summary!$C$15))*('Dvd Calendar'!$H$1015&lt;=Summary!$C$11)=0,"",'Dvd Calendar'!$H$1015*1000000000+ISNUMBER('Dvd Calendar'!$H$1016)*100000000+('Dvd Calendar'!$H$1020='Field Check'!$C$25)*10000000+(N('Dvd Calendar'!$H$1014)&gt;0)*1000000+68*1000+4))</f>
        <v/>
      </c>
      <c r="G76" s="41">
        <f>IF(N('Dvd Calendar'!$I$1015)=0,"",IF(('Dvd Calendar'!$I$1015&gt;=MIN(DATE(Summary!$C$12,1,1),Summary!$C$11))*('Dvd Calendar'!$I$1015&lt;=MAX(DATE(Summary!$C$12,12,31),Summary!$C$15))*('Dvd Calendar'!$I$1015&lt;=Summary!$C$11)=0,"",'Dvd Calendar'!$I$1015*1000000000+ISNUMBER('Dvd Calendar'!$I$1016)*100000000+('Dvd Calendar'!$I$1020='Field Check'!$C$25)*10000000+(N('Dvd Calendar'!$I$1014)&gt;0)*1000000+68*1000+5))</f>
        <v/>
      </c>
      <c r="H76" s="41">
        <f>IF(N('Dvd Calendar'!$J$1015)=0,"",IF(('Dvd Calendar'!$J$1015&gt;=MIN(DATE(Summary!$C$12,1,1),Summary!$C$11))*('Dvd Calendar'!$J$1015&lt;=MAX(DATE(Summary!$C$12,12,31),Summary!$C$15))*('Dvd Calendar'!$J$1015&lt;=Summary!$C$11)=0,"",'Dvd Calendar'!$J$1015*1000000000+ISNUMBER('Dvd Calendar'!$J$1016)*100000000+('Dvd Calendar'!$J$1020='Field Check'!$C$25)*10000000+(N('Dvd Calendar'!$J$1014)&gt;0)*1000000+68*1000+6))</f>
        <v/>
      </c>
      <c r="I76" s="41">
        <f>IF(N('Dvd Calendar'!$K$1015)=0,"",IF(('Dvd Calendar'!$K$1015&gt;=MIN(DATE(Summary!$C$12,1,1),Summary!$C$11))*('Dvd Calendar'!$K$1015&lt;=MAX(DATE(Summary!$C$12,12,31),Summary!$C$15))*('Dvd Calendar'!$K$1015&lt;=Summary!$C$11)=0,"",'Dvd Calendar'!$K$1015*1000000000+ISNUMBER('Dvd Calendar'!$K$1016)*100000000+('Dvd Calendar'!$K$1020='Field Check'!$C$25)*10000000+(N('Dvd Calendar'!$K$1014)&gt;0)*1000000+68*1000+7))</f>
        <v/>
      </c>
      <c r="J76" s="41">
        <f>IF(N('Dvd Calendar'!$L$1015)=0,"",IF(('Dvd Calendar'!$L$1015&gt;=MIN(DATE(Summary!$C$12,1,1),Summary!$C$11))*('Dvd Calendar'!$L$1015&lt;=MAX(DATE(Summary!$C$12,12,31),Summary!$C$15))*('Dvd Calendar'!$L$1015&lt;=Summary!$C$11)=0,"",'Dvd Calendar'!$L$1015*1000000000+ISNUMBER('Dvd Calendar'!$L$1016)*100000000+('Dvd Calendar'!$L$1020='Field Check'!$C$25)*10000000+(N('Dvd Calendar'!$L$1014)&gt;0)*1000000+68*1000+8))</f>
        <v/>
      </c>
      <c r="K76" s="41">
        <f>IF(N('Dvd Calendar'!$M$1015)=0,"",IF(('Dvd Calendar'!$M$1015&gt;=MIN(DATE(Summary!$C$12,1,1),Summary!$C$11))*('Dvd Calendar'!$M$1015&lt;=MAX(DATE(Summary!$C$12,12,31),Summary!$C$15))*('Dvd Calendar'!$M$1015&lt;=Summary!$C$11)=0,"",'Dvd Calendar'!$M$1015*1000000000+ISNUMBER('Dvd Calendar'!$M$1016)*100000000+('Dvd Calendar'!$M$1020='Field Check'!$C$25)*10000000+(N('Dvd Calendar'!$M$1014)&gt;0)*1000000+68*1000+9))</f>
        <v/>
      </c>
      <c r="L76" s="41">
        <f>IF(N('Dvd Calendar'!$N$1015)=0,"",IF(('Dvd Calendar'!$N$1015&gt;=MIN(DATE(Summary!$C$12,1,1),Summary!$C$11))*('Dvd Calendar'!$N$1015&lt;=MAX(DATE(Summary!$C$12,12,31),Summary!$C$15))*('Dvd Calendar'!$N$1015&lt;=Summary!$C$11)=0,"",'Dvd Calendar'!$N$1015*1000000000+ISNUMBER('Dvd Calendar'!$N$1016)*100000000+('Dvd Calendar'!$N$1020='Field Check'!$C$25)*10000000+(N('Dvd Calendar'!$N$1014)&gt;0)*1000000+68*1000+10))</f>
        <v/>
      </c>
      <c r="M76" s="41">
        <f>IF(N('Dvd Calendar'!$O$1015)=0,"",IF(('Dvd Calendar'!$O$1015&gt;=MIN(DATE(Summary!$C$12,1,1),Summary!$C$11))*('Dvd Calendar'!$O$1015&lt;=MAX(DATE(Summary!$C$12,12,31),Summary!$C$15))*('Dvd Calendar'!$O$1015&lt;=Summary!$C$11)=0,"",'Dvd Calendar'!$O$1015*1000000000+ISNUMBER('Dvd Calendar'!$O$1016)*100000000+('Dvd Calendar'!$O$1020='Field Check'!$C$25)*10000000+(N('Dvd Calendar'!$O$1014)&gt;0)*1000000+68*1000+11))</f>
        <v/>
      </c>
      <c r="N76" s="41">
        <f>IF(N('Dvd Calendar'!$P$1015)=0,"",IF(('Dvd Calendar'!$P$1015&gt;=MIN(DATE(Summary!$C$12,1,1),Summary!$C$11))*('Dvd Calendar'!$P$1015&lt;=MAX(DATE(Summary!$C$12,12,31),Summary!$C$15))*('Dvd Calendar'!$P$1015&lt;=Summary!$C$11)=0,"",'Dvd Calendar'!$P$1015*1000000000+ISNUMBER('Dvd Calendar'!$P$1016)*100000000+('Dvd Calendar'!$P$1020='Field Check'!$C$25)*10000000+(N('Dvd Calendar'!$P$1014)&gt;0)*1000000+68*1000+12))</f>
        <v/>
      </c>
      <c r="O76" s="41">
        <f>IF(N('Dvd Calendar'!$Q$1015)=0,"",IF(('Dvd Calendar'!$Q$1015&gt;=MIN(DATE(Summary!$C$12,1,1),Summary!$C$11))*('Dvd Calendar'!$Q$1015&lt;=MAX(DATE(Summary!$C$12,12,31),Summary!$C$15))*('Dvd Calendar'!$Q$1015&lt;=Summary!$C$11)=0,"",'Dvd Calendar'!$Q$1015*1000000000+ISNUMBER('Dvd Calendar'!$Q$1016)*100000000+('Dvd Calendar'!$Q$1020='Field Check'!$C$25)*10000000+(N('Dvd Calendar'!$Q$1014)&gt;0)*1000000+68*1000+13))</f>
        <v/>
      </c>
      <c r="P76" s="41">
        <f>IF(N('Dvd Calendar'!$R$1015)=0,"",IF(('Dvd Calendar'!$R$1015&gt;=MIN(DATE(Summary!$C$12,1,1),Summary!$C$11))*('Dvd Calendar'!$R$1015&lt;=MAX(DATE(Summary!$C$12,12,31),Summary!$C$15))*('Dvd Calendar'!$R$1015&lt;=Summary!$C$11)=0,"",'Dvd Calendar'!$R$1015*1000000000+ISNUMBER('Dvd Calendar'!$R$1016)*100000000+('Dvd Calendar'!$R$1020='Field Check'!$C$25)*10000000+(N('Dvd Calendar'!$R$1014)&gt;0)*1000000+68*1000+14))</f>
        <v/>
      </c>
      <c r="Q76" s="41">
        <f>IF(N('Dvd Calendar'!$S$1015)=0,"",IF(('Dvd Calendar'!$S$1015&gt;=MIN(DATE(Summary!$C$12,1,1),Summary!$C$11))*('Dvd Calendar'!$S$1015&lt;=MAX(DATE(Summary!$C$12,12,31),Summary!$C$15))*('Dvd Calendar'!$S$1015&lt;=Summary!$C$11)=0,"",'Dvd Calendar'!$S$1015*1000000000+ISNUMBER('Dvd Calendar'!$S$1016)*100000000+('Dvd Calendar'!$S$1020='Field Check'!$C$25)*10000000+(N('Dvd Calendar'!$S$1014)&gt;0)*1000000+68*1000+15))</f>
        <v/>
      </c>
      <c r="R76" s="41">
        <f>IF(N('Dvd Calendar'!$T$1015)=0,"",IF(('Dvd Calendar'!$T$1015&gt;=MIN(DATE(Summary!$C$12,1,1),Summary!$C$11))*('Dvd Calendar'!$T$1015&lt;=MAX(DATE(Summary!$C$12,12,31),Summary!$C$15))*('Dvd Calendar'!$T$1015&lt;=Summary!$C$11)=0,"",'Dvd Calendar'!$T$1015*1000000000+ISNUMBER('Dvd Calendar'!$T$1016)*100000000+('Dvd Calendar'!$T$1020='Field Check'!$C$25)*10000000+(N('Dvd Calendar'!$T$1014)&gt;0)*1000000+68*1000+16))</f>
        <v/>
      </c>
      <c r="S76" s="41">
        <f>IF(N('Dvd Calendar'!$U$1015)=0,"",IF(('Dvd Calendar'!$U$1015&gt;=MIN(DATE(Summary!$C$12,1,1),Summary!$C$11))*('Dvd Calendar'!$U$1015&lt;=MAX(DATE(Summary!$C$12,12,31),Summary!$C$15))*('Dvd Calendar'!$U$1015&lt;=Summary!$C$11)=0,"",'Dvd Calendar'!$U$1015*1000000000+ISNUMBER('Dvd Calendar'!$U$1016)*100000000+('Dvd Calendar'!$U$1020='Field Check'!$C$25)*10000000+(N('Dvd Calendar'!$U$1014)&gt;0)*1000000+68*1000+17))</f>
        <v/>
      </c>
      <c r="T76" s="41">
        <f>IF(N('Dvd Calendar'!$V$1015)=0,"",IF(('Dvd Calendar'!$V$1015&gt;=MIN(DATE(Summary!$C$12,1,1),Summary!$C$11))*('Dvd Calendar'!$V$1015&lt;=MAX(DATE(Summary!$C$12,12,31),Summary!$C$15))*('Dvd Calendar'!$V$1015&lt;=Summary!$C$11)=0,"",'Dvd Calendar'!$V$1015*1000000000+ISNUMBER('Dvd Calendar'!$V$1016)*100000000+('Dvd Calendar'!$V$1020='Field Check'!$C$25)*10000000+(N('Dvd Calendar'!$V$1014)&gt;0)*1000000+68*1000+18))</f>
        <v/>
      </c>
      <c r="U76" s="41">
        <f>IF(N('Dvd Calendar'!$W$1015)=0,"",IF(('Dvd Calendar'!$W$1015&gt;=MIN(DATE(Summary!$C$12,1,1),Summary!$C$11))*('Dvd Calendar'!$W$1015&lt;=MAX(DATE(Summary!$C$12,12,31),Summary!$C$15))*('Dvd Calendar'!$W$1015&lt;=Summary!$C$11)=0,"",'Dvd Calendar'!$W$1015*1000000000+ISNUMBER('Dvd Calendar'!$W$1016)*100000000+('Dvd Calendar'!$W$1020='Field Check'!$C$25)*10000000+(N('Dvd Calendar'!$W$1014)&gt;0)*1000000+68*1000+19))</f>
        <v/>
      </c>
      <c r="V76" s="41">
        <f>IF(N('Dvd Calendar'!$X$1015)=0,"",IF(('Dvd Calendar'!$X$1015&gt;=MIN(DATE(Summary!$C$12,1,1),Summary!$C$11))*('Dvd Calendar'!$X$1015&lt;=MAX(DATE(Summary!$C$12,12,31),Summary!$C$15))*('Dvd Calendar'!$X$1015&lt;=Summary!$C$11)=0,"",'Dvd Calendar'!$X$1015*1000000000+ISNUMBER('Dvd Calendar'!$X$1016)*100000000+('Dvd Calendar'!$X$1020='Field Check'!$C$25)*10000000+(N('Dvd Calendar'!$X$1014)&gt;0)*1000000+68*1000+20))</f>
        <v/>
      </c>
      <c r="W76" s="41">
        <f>IF(N('Dvd Calendar'!$Y$1015)=0,"",IF(('Dvd Calendar'!$Y$1015&gt;=MIN(DATE(Summary!$C$12,1,1),Summary!$C$11))*('Dvd Calendar'!$Y$1015&lt;=MAX(DATE(Summary!$C$12,12,31),Summary!$C$15))*('Dvd Calendar'!$Y$1015&lt;=Summary!$C$11)=0,"",'Dvd Calendar'!$Y$1015*1000000000+ISNUMBER('Dvd Calendar'!$Y$1016)*100000000+('Dvd Calendar'!$Y$1020='Field Check'!$C$25)*10000000+(N('Dvd Calendar'!$Y$1014)&gt;0)*1000000+68*1000+21))</f>
        <v/>
      </c>
      <c r="X76" s="41">
        <f>IF(N('Dvd Calendar'!$Z$1015)=0,"",IF(('Dvd Calendar'!$Z$1015&gt;=MIN(DATE(Summary!$C$12,1,1),Summary!$C$11))*('Dvd Calendar'!$Z$1015&lt;=MAX(DATE(Summary!$C$12,12,31),Summary!$C$15))*('Dvd Calendar'!$Z$1015&lt;=Summary!$C$11)=0,"",'Dvd Calendar'!$Z$1015*1000000000+ISNUMBER('Dvd Calendar'!$Z$1016)*100000000+('Dvd Calendar'!$Z$1020='Field Check'!$C$25)*10000000+(N('Dvd Calendar'!$Z$1014)&gt;0)*1000000+68*1000+22))</f>
        <v/>
      </c>
      <c r="Y76" s="41">
        <f>IF(N('Dvd Calendar'!$AA$1015)=0,"",IF(('Dvd Calendar'!$AA$1015&gt;=MIN(DATE(Summary!$C$12,1,1),Summary!$C$11))*('Dvd Calendar'!$AA$1015&lt;=MAX(DATE(Summary!$C$12,12,31),Summary!$C$15))*('Dvd Calendar'!$AA$1015&lt;=Summary!$C$11)=0,"",'Dvd Calendar'!$AA$1015*1000000000+ISNUMBER('Dvd Calendar'!$AA$1016)*100000000+('Dvd Calendar'!$AA$1020='Field Check'!$C$25)*10000000+(N('Dvd Calendar'!$AA$1014)&gt;0)*1000000+68*1000+23))</f>
        <v/>
      </c>
      <c r="Z76" s="41">
        <f>IF(N('Dvd Calendar'!$AB$1015)=0,"",IF(('Dvd Calendar'!$AB$1015&gt;=MIN(DATE(Summary!$C$12,1,1),Summary!$C$11))*('Dvd Calendar'!$AB$1015&lt;=MAX(DATE(Summary!$C$12,12,31),Summary!$C$15))*('Dvd Calendar'!$AB$1015&lt;=Summary!$C$11)=0,"",'Dvd Calendar'!$AB$1015*1000000000+ISNUMBER('Dvd Calendar'!$AB$1016)*100000000+('Dvd Calendar'!$AB$1020='Field Check'!$C$25)*10000000+(N('Dvd Calendar'!$AB$1014)&gt;0)*1000000+68*1000+24))</f>
        <v/>
      </c>
      <c r="AA76" s="41">
        <f>IF(N('Dvd Calendar'!$AC$1015)=0,"",IF(('Dvd Calendar'!$AC$1015&gt;=MIN(DATE(Summary!$C$12,1,1),Summary!$C$11))*('Dvd Calendar'!$AC$1015&lt;=MAX(DATE(Summary!$C$12,12,31),Summary!$C$15))*('Dvd Calendar'!$AC$1015&lt;=Summary!$C$11)=0,"",'Dvd Calendar'!$AC$1015*1000000000+ISNUMBER('Dvd Calendar'!$AC$1016)*100000000+('Dvd Calendar'!$AC$1020='Field Check'!$C$25)*10000000+(N('Dvd Calendar'!$AC$1014)&gt;0)*1000000+68*1000+25))</f>
        <v/>
      </c>
      <c r="AB76" s="41">
        <f>IF(N('Dvd Calendar'!$AD$1015)=0,"",IF(('Dvd Calendar'!$AD$1015&gt;=MIN(DATE(Summary!$C$12,1,1),Summary!$C$11))*('Dvd Calendar'!$AD$1015&lt;=MAX(DATE(Summary!$C$12,12,31),Summary!$C$15))*('Dvd Calendar'!$AD$1015&lt;=Summary!$C$11)=0,"",'Dvd Calendar'!$AD$1015*1000000000+ISNUMBER('Dvd Calendar'!$AD$1016)*100000000+('Dvd Calendar'!$AD$1020='Field Check'!$C$25)*10000000+(N('Dvd Calendar'!$AD$1014)&gt;0)*1000000+68*1000+26))</f>
        <v/>
      </c>
      <c r="AC76" s="41">
        <f>IF(N('Dvd Calendar'!$AE$1015)=0,"",IF(('Dvd Calendar'!$AE$1015&gt;=MIN(DATE(Summary!$C$12,1,1),Summary!$C$11))*('Dvd Calendar'!$AE$1015&lt;=MAX(DATE(Summary!$C$12,12,31),Summary!$C$15))*('Dvd Calendar'!$AE$1015&lt;=Summary!$C$11)=0,"",'Dvd Calendar'!$AE$1015*1000000000+ISNUMBER('Dvd Calendar'!$AE$1016)*100000000+('Dvd Calendar'!$AE$1020='Field Check'!$C$25)*10000000+(N('Dvd Calendar'!$AE$1014)&gt;0)*1000000+68*1000+27))</f>
        <v/>
      </c>
      <c r="AD76" s="41">
        <f>IF(N('Dvd Calendar'!$AF$1015)=0,"",IF(('Dvd Calendar'!$AF$1015&gt;=MIN(DATE(Summary!$C$12,1,1),Summary!$C$11))*('Dvd Calendar'!$AF$1015&lt;=MAX(DATE(Summary!$C$12,12,31),Summary!$C$15))*('Dvd Calendar'!$AF$1015&lt;=Summary!$C$11)=0,"",'Dvd Calendar'!$AF$1015*1000000000+ISNUMBER('Dvd Calendar'!$AF$1016)*100000000+('Dvd Calendar'!$AF$1020='Field Check'!$C$25)*10000000+(N('Dvd Calendar'!$AF$1014)&gt;0)*1000000+68*1000+28))</f>
        <v/>
      </c>
      <c r="AE76" s="41">
        <f>IF(N('Dvd Calendar'!$AG$1015)=0,"",IF(('Dvd Calendar'!$AG$1015&gt;=MIN(DATE(Summary!$C$12,1,1),Summary!$C$11))*('Dvd Calendar'!$AG$1015&lt;=MAX(DATE(Summary!$C$12,12,31),Summary!$C$15))*('Dvd Calendar'!$AG$1015&lt;=Summary!$C$11)=0,"",'Dvd Calendar'!$AG$1015*1000000000+ISNUMBER('Dvd Calendar'!$AG$1016)*100000000+('Dvd Calendar'!$AG$1020='Field Check'!$C$25)*10000000+(N('Dvd Calendar'!$AG$1014)&gt;0)*1000000+68*1000+29))</f>
        <v/>
      </c>
      <c r="AF76" s="41">
        <f>IF(N('Dvd Calendar'!$AH$1015)=0,"",IF(('Dvd Calendar'!$AH$1015&gt;=MIN(DATE(Summary!$C$12,1,1),Summary!$C$11))*('Dvd Calendar'!$AH$1015&lt;=MAX(DATE(Summary!$C$12,12,31),Summary!$C$15))*('Dvd Calendar'!$AH$1015&lt;=Summary!$C$11)=0,"",'Dvd Calendar'!$AH$1015*1000000000+ISNUMBER('Dvd Calendar'!$AH$1016)*100000000+('Dvd Calendar'!$AH$1020='Field Check'!$C$25)*10000000+(N('Dvd Calendar'!$AH$1014)&gt;0)*1000000+68*1000+30))</f>
        <v/>
      </c>
      <c r="AG76" s="41">
        <f>IF(N('Dvd Calendar'!$AI$1015)=0,"",IF(('Dvd Calendar'!$AI$1015&gt;=MIN(DATE(Summary!$C$12,1,1),Summary!$C$11))*('Dvd Calendar'!$AI$1015&lt;=MAX(DATE(Summary!$C$12,12,31),Summary!$C$15))*('Dvd Calendar'!$AI$1015&lt;=Summary!$C$11)=0,"",'Dvd Calendar'!$AI$1015*1000000000+ISNUMBER('Dvd Calendar'!$AI$1016)*100000000+('Dvd Calendar'!$AI$1020='Field Check'!$C$25)*10000000+(N('Dvd Calendar'!$AI$1014)&gt;0)*1000000+68*1000+31))</f>
        <v/>
      </c>
      <c r="AH76" s="41">
        <f>IF(N('Dvd Calendar'!$AJ$1015)=0,"",IF(('Dvd Calendar'!$AJ$1015&gt;=MIN(DATE(Summary!$C$12,1,1),Summary!$C$11))*('Dvd Calendar'!$AJ$1015&lt;=MAX(DATE(Summary!$C$12,12,31),Summary!$C$15))*('Dvd Calendar'!$AJ$1015&lt;=Summary!$C$11)=0,"",'Dvd Calendar'!$AJ$1015*1000000000+ISNUMBER('Dvd Calendar'!$AJ$1016)*100000000+('Dvd Calendar'!$AJ$1020='Field Check'!$C$25)*10000000+(N('Dvd Calendar'!$AJ$1014)&gt;0)*1000000+68*1000+32))</f>
        <v/>
      </c>
      <c r="AI76" s="41">
        <f>IF(N('Dvd Calendar'!$AK$1015)=0,"",IF(('Dvd Calendar'!$AK$1015&gt;=MIN(DATE(Summary!$C$12,1,1),Summary!$C$11))*('Dvd Calendar'!$AK$1015&lt;=MAX(DATE(Summary!$C$12,12,31),Summary!$C$15))*('Dvd Calendar'!$AK$1015&lt;=Summary!$C$11)=0,"",'Dvd Calendar'!$AK$1015*1000000000+ISNUMBER('Dvd Calendar'!$AK$1016)*100000000+('Dvd Calendar'!$AK$1020='Field Check'!$C$25)*10000000+(N('Dvd Calendar'!$AK$1014)&gt;0)*1000000+68*1000+33))</f>
        <v/>
      </c>
      <c r="AJ76" s="41">
        <f>IF(N('Dvd Calendar'!$AL$1015)=0,"",IF(('Dvd Calendar'!$AL$1015&gt;=MIN(DATE(Summary!$C$12,1,1),Summary!$C$11))*('Dvd Calendar'!$AL$1015&lt;=MAX(DATE(Summary!$C$12,12,31),Summary!$C$15))*('Dvd Calendar'!$AL$1015&lt;=Summary!$C$11)=0,"",'Dvd Calendar'!$AL$1015*1000000000+ISNUMBER('Dvd Calendar'!$AL$1016)*100000000+('Dvd Calendar'!$AL$1020='Field Check'!$C$25)*10000000+(N('Dvd Calendar'!$AL$1014)&gt;0)*1000000+68*1000+34))</f>
        <v/>
      </c>
      <c r="AK76" s="41">
        <f>IF(N('Dvd Calendar'!$AM$1015)=0,"",IF(('Dvd Calendar'!$AM$1015&gt;=MIN(DATE(Summary!$C$12,1,1),Summary!$C$11))*('Dvd Calendar'!$AM$1015&lt;=MAX(DATE(Summary!$C$12,12,31),Summary!$C$15))*('Dvd Calendar'!$AM$1015&lt;=Summary!$C$11)=0,"",'Dvd Calendar'!$AM$1015*1000000000+ISNUMBER('Dvd Calendar'!$AM$1016)*100000000+('Dvd Calendar'!$AM$1020='Field Check'!$C$25)*10000000+(N('Dvd Calendar'!$AM$1014)&gt;0)*1000000+68*1000+35))</f>
        <v/>
      </c>
      <c r="AL76" s="41">
        <f>IF(N('Dvd Calendar'!$AN$1015)=0,"",IF(('Dvd Calendar'!$AN$1015&gt;=MIN(DATE(Summary!$C$12,1,1),Summary!$C$11))*('Dvd Calendar'!$AN$1015&lt;=MAX(DATE(Summary!$C$12,12,31),Summary!$C$15))*('Dvd Calendar'!$AN$1015&lt;=Summary!$C$11)=0,"",'Dvd Calendar'!$AN$1015*1000000000+ISNUMBER('Dvd Calendar'!$AN$1016)*100000000+('Dvd Calendar'!$AN$1020='Field Check'!$C$25)*10000000+(N('Dvd Calendar'!$AN$1014)&gt;0)*1000000+68*1000+36))</f>
        <v/>
      </c>
      <c r="AM76" s="41">
        <f>IF(N('Dvd Calendar'!$AO$1015)=0,"",IF(('Dvd Calendar'!$AO$1015&gt;=MIN(DATE(Summary!$C$12,1,1),Summary!$C$11))*('Dvd Calendar'!$AO$1015&lt;=MAX(DATE(Summary!$C$12,12,31),Summary!$C$15))*('Dvd Calendar'!$AO$1015&lt;=Summary!$C$11)=0,"",'Dvd Calendar'!$AO$1015*1000000000+ISNUMBER('Dvd Calendar'!$AO$1016)*100000000+('Dvd Calendar'!$AO$1020='Field Check'!$C$25)*10000000+(N('Dvd Calendar'!$AO$1014)&gt;0)*1000000+68*1000+37))</f>
        <v/>
      </c>
      <c r="AN76" s="41">
        <f>IF(N('Dvd Calendar'!$AP$1015)=0,"",IF(('Dvd Calendar'!$AP$1015&gt;=MIN(DATE(Summary!$C$12,1,1),Summary!$C$11))*('Dvd Calendar'!$AP$1015&lt;=MAX(DATE(Summary!$C$12,12,31),Summary!$C$15))*('Dvd Calendar'!$AP$1015&lt;=Summary!$C$11)=0,"",'Dvd Calendar'!$AP$1015*1000000000+ISNUMBER('Dvd Calendar'!$AP$1016)*100000000+('Dvd Calendar'!$AP$1020='Field Check'!$C$25)*10000000+(N('Dvd Calendar'!$AP$1014)&gt;0)*1000000+68*1000+38))</f>
        <v/>
      </c>
      <c r="AO76" s="41">
        <f>IF(N('Dvd Calendar'!$AQ$1015)=0,"",IF(('Dvd Calendar'!$AQ$1015&gt;=MIN(DATE(Summary!$C$12,1,1),Summary!$C$11))*('Dvd Calendar'!$AQ$1015&lt;=MAX(DATE(Summary!$C$12,12,31),Summary!$C$15))*('Dvd Calendar'!$AQ$1015&lt;=Summary!$C$11)=0,"",'Dvd Calendar'!$AQ$1015*1000000000+ISNUMBER('Dvd Calendar'!$AQ$1016)*100000000+('Dvd Calendar'!$AQ$1020='Field Check'!$C$25)*10000000+(N('Dvd Calendar'!$AQ$1014)&gt;0)*1000000+68*1000+39))</f>
        <v/>
      </c>
      <c r="AP76" s="41">
        <f>IF(N('Dvd Calendar'!$AR$1015)=0,"",IF(('Dvd Calendar'!$AR$1015&gt;=MIN(DATE(Summary!$C$12,1,1),Summary!$C$11))*('Dvd Calendar'!$AR$1015&lt;=MAX(DATE(Summary!$C$12,12,31),Summary!$C$15))*('Dvd Calendar'!$AR$1015&lt;=Summary!$C$11)=0,"",'Dvd Calendar'!$AR$1015*1000000000+ISNUMBER('Dvd Calendar'!$AR$1016)*100000000+('Dvd Calendar'!$AR$1020='Field Check'!$C$25)*10000000+(N('Dvd Calendar'!$AR$1014)&gt;0)*1000000+68*1000+40))</f>
        <v/>
      </c>
      <c r="AQ76" s="41">
        <f>IF(N('Dvd Calendar'!$E$1022)=0,"",IF(('Dvd Calendar'!$E$1022&gt;=MIN(DATE(Summary!$C$12,1,1),Summary!$C$11))*('Dvd Calendar'!$E$1022&lt;=MAX(DATE(Summary!$C$12,12,31),Summary!$C$15))*('Dvd Calendar'!$E$1022&gt;Summary!$C$11)=0,"",'Dvd Calendar'!$E$1022*1000000000+ISNUMBER('Dvd Calendar'!$E$1023)*100000000+('Dvd Calendar'!$E$1027='Field Check'!$C$25)*10000000+(N('Dvd Calendar'!$E$1021)&gt;0)*1000000+68*1000+41))</f>
        <v/>
      </c>
      <c r="AR76" s="41">
        <f>IF(N('Dvd Calendar'!$F$1022)=0,"",IF(('Dvd Calendar'!$F$1022&gt;=MIN(DATE(Summary!$C$12,1,1),Summary!$C$11))*('Dvd Calendar'!$F$1022&lt;=MAX(DATE(Summary!$C$12,12,31),Summary!$C$15))*('Dvd Calendar'!$F$1022&gt;Summary!$C$11)=0,"",'Dvd Calendar'!$F$1022*1000000000+ISNUMBER('Dvd Calendar'!$F$1023)*100000000+('Dvd Calendar'!$F$1027='Field Check'!$C$25)*10000000+(N('Dvd Calendar'!$F$1021)&gt;0)*1000000+68*1000+42))</f>
        <v/>
      </c>
      <c r="AS76" s="41">
        <f>IF(N('Dvd Calendar'!$G$1022)=0,"",IF(('Dvd Calendar'!$G$1022&gt;=MIN(DATE(Summary!$C$12,1,1),Summary!$C$11))*('Dvd Calendar'!$G$1022&lt;=MAX(DATE(Summary!$C$12,12,31),Summary!$C$15))*('Dvd Calendar'!$G$1022&gt;Summary!$C$11)=0,"",'Dvd Calendar'!$G$1022*1000000000+ISNUMBER('Dvd Calendar'!$G$1023)*100000000+('Dvd Calendar'!$G$1027='Field Check'!$C$25)*10000000+(N('Dvd Calendar'!$G$1021)&gt;0)*1000000+68*1000+43))</f>
        <v/>
      </c>
      <c r="AT76" s="41">
        <f>IF(N('Dvd Calendar'!$H$1022)=0,"",IF(('Dvd Calendar'!$H$1022&gt;=MIN(DATE(Summary!$C$12,1,1),Summary!$C$11))*('Dvd Calendar'!$H$1022&lt;=MAX(DATE(Summary!$C$12,12,31),Summary!$C$15))*('Dvd Calendar'!$H$1022&gt;Summary!$C$11)=0,"",'Dvd Calendar'!$H$1022*1000000000+ISNUMBER('Dvd Calendar'!$H$1023)*100000000+('Dvd Calendar'!$H$1027='Field Check'!$C$25)*10000000+(N('Dvd Calendar'!$H$1021)&gt;0)*1000000+68*1000+44))</f>
        <v/>
      </c>
      <c r="AU76" s="41">
        <f>IF(N('Dvd Calendar'!$I$1022)=0,"",IF(('Dvd Calendar'!$I$1022&gt;=MIN(DATE(Summary!$C$12,1,1),Summary!$C$11))*('Dvd Calendar'!$I$1022&lt;=MAX(DATE(Summary!$C$12,12,31),Summary!$C$15))*('Dvd Calendar'!$I$1022&gt;Summary!$C$11)=0,"",'Dvd Calendar'!$I$1022*1000000000+ISNUMBER('Dvd Calendar'!$I$1023)*100000000+('Dvd Calendar'!$I$1027='Field Check'!$C$25)*10000000+(N('Dvd Calendar'!$I$1021)&gt;0)*1000000+68*1000+45))</f>
        <v/>
      </c>
      <c r="AV76" s="41">
        <f>IF(N('Dvd Calendar'!$J$1022)=0,"",IF(('Dvd Calendar'!$J$1022&gt;=MIN(DATE(Summary!$C$12,1,1),Summary!$C$11))*('Dvd Calendar'!$J$1022&lt;=MAX(DATE(Summary!$C$12,12,31),Summary!$C$15))*('Dvd Calendar'!$J$1022&gt;Summary!$C$11)=0,"",'Dvd Calendar'!$J$1022*1000000000+ISNUMBER('Dvd Calendar'!$J$1023)*100000000+('Dvd Calendar'!$J$1027='Field Check'!$C$25)*10000000+(N('Dvd Calendar'!$J$1021)&gt;0)*1000000+68*1000+46))</f>
        <v/>
      </c>
      <c r="AW76" s="41">
        <f>IF(N('Dvd Calendar'!$K$1022)=0,"",IF(('Dvd Calendar'!$K$1022&gt;=MIN(DATE(Summary!$C$12,1,1),Summary!$C$11))*('Dvd Calendar'!$K$1022&lt;=MAX(DATE(Summary!$C$12,12,31),Summary!$C$15))*('Dvd Calendar'!$K$1022&gt;Summary!$C$11)=0,"",'Dvd Calendar'!$K$1022*1000000000+ISNUMBER('Dvd Calendar'!$K$1023)*100000000+('Dvd Calendar'!$K$1027='Field Check'!$C$25)*10000000+(N('Dvd Calendar'!$K$1021)&gt;0)*1000000+68*1000+47))</f>
        <v/>
      </c>
      <c r="AX76" s="41">
        <f>IF(N('Dvd Calendar'!$L$1022)=0,"",IF(('Dvd Calendar'!$L$1022&gt;=MIN(DATE(Summary!$C$12,1,1),Summary!$C$11))*('Dvd Calendar'!$L$1022&lt;=MAX(DATE(Summary!$C$12,12,31),Summary!$C$15))*('Dvd Calendar'!$L$1022&gt;Summary!$C$11)=0,"",'Dvd Calendar'!$L$1022*1000000000+ISNUMBER('Dvd Calendar'!$L$1023)*100000000+('Dvd Calendar'!$L$1027='Field Check'!$C$25)*10000000+(N('Dvd Calendar'!$L$1021)&gt;0)*1000000+68*1000+48))</f>
        <v/>
      </c>
      <c r="AY76" s="41">
        <f>IF(N('Dvd Calendar'!$M$1022)=0,"",IF(('Dvd Calendar'!$M$1022&gt;=MIN(DATE(Summary!$C$12,1,1),Summary!$C$11))*('Dvd Calendar'!$M$1022&lt;=MAX(DATE(Summary!$C$12,12,31),Summary!$C$15))*('Dvd Calendar'!$M$1022&gt;Summary!$C$11)=0,"",'Dvd Calendar'!$M$1022*1000000000+ISNUMBER('Dvd Calendar'!$M$1023)*100000000+('Dvd Calendar'!$M$1027='Field Check'!$C$25)*10000000+(N('Dvd Calendar'!$M$1021)&gt;0)*1000000+68*1000+49))</f>
        <v/>
      </c>
      <c r="AZ76" s="41">
        <f>IF(N('Dvd Calendar'!$N$1022)=0,"",IF(('Dvd Calendar'!$N$1022&gt;=MIN(DATE(Summary!$C$12,1,1),Summary!$C$11))*('Dvd Calendar'!$N$1022&lt;=MAX(DATE(Summary!$C$12,12,31),Summary!$C$15))*('Dvd Calendar'!$N$1022&gt;Summary!$C$11)=0,"",'Dvd Calendar'!$N$1022*1000000000+ISNUMBER('Dvd Calendar'!$N$1023)*100000000+('Dvd Calendar'!$N$1027='Field Check'!$C$25)*10000000+(N('Dvd Calendar'!$N$1021)&gt;0)*1000000+68*1000+50))</f>
        <v/>
      </c>
      <c r="BA76" s="41">
        <f>IF(N('Dvd Calendar'!$O$1022)=0,"",IF(('Dvd Calendar'!$O$1022&gt;=MIN(DATE(Summary!$C$12,1,1),Summary!$C$11))*('Dvd Calendar'!$O$1022&lt;=MAX(DATE(Summary!$C$12,12,31),Summary!$C$15))*('Dvd Calendar'!$O$1022&gt;Summary!$C$11)=0,"",'Dvd Calendar'!$O$1022*1000000000+ISNUMBER('Dvd Calendar'!$O$1023)*100000000+('Dvd Calendar'!$O$1027='Field Check'!$C$25)*10000000+(N('Dvd Calendar'!$O$1021)&gt;0)*1000000+68*1000+51))</f>
        <v/>
      </c>
      <c r="BB76" s="41">
        <f>IF(N('Dvd Calendar'!$P$1022)=0,"",IF(('Dvd Calendar'!$P$1022&gt;=MIN(DATE(Summary!$C$12,1,1),Summary!$C$11))*('Dvd Calendar'!$P$1022&lt;=MAX(DATE(Summary!$C$12,12,31),Summary!$C$15))*('Dvd Calendar'!$P$1022&gt;Summary!$C$11)=0,"",'Dvd Calendar'!$P$1022*1000000000+ISNUMBER('Dvd Calendar'!$P$1023)*100000000+('Dvd Calendar'!$P$1027='Field Check'!$C$25)*10000000+(N('Dvd Calendar'!$P$1021)&gt;0)*1000000+68*1000+52))</f>
        <v/>
      </c>
      <c r="BC76" s="41">
        <f>IF(N('Dvd Calendar'!$Q$1022)=0,"",IF(('Dvd Calendar'!$Q$1022&gt;=MIN(DATE(Summary!$C$12,1,1),Summary!$C$11))*('Dvd Calendar'!$Q$1022&lt;=MAX(DATE(Summary!$C$12,12,31),Summary!$C$15))*('Dvd Calendar'!$Q$1022&gt;Summary!$C$11)=0,"",'Dvd Calendar'!$Q$1022*1000000000+ISNUMBER('Dvd Calendar'!$Q$1023)*100000000+('Dvd Calendar'!$Q$1027='Field Check'!$C$25)*10000000+(N('Dvd Calendar'!$Q$1021)&gt;0)*1000000+68*1000+53))</f>
        <v/>
      </c>
      <c r="BD76" s="41">
        <f>IF(N('Dvd Calendar'!$R$1022)=0,"",IF(('Dvd Calendar'!$R$1022&gt;=MIN(DATE(Summary!$C$12,1,1),Summary!$C$11))*('Dvd Calendar'!$R$1022&lt;=MAX(DATE(Summary!$C$12,12,31),Summary!$C$15))*('Dvd Calendar'!$R$1022&gt;Summary!$C$11)=0,"",'Dvd Calendar'!$R$1022*1000000000+ISNUMBER('Dvd Calendar'!$R$1023)*100000000+('Dvd Calendar'!$R$1027='Field Check'!$C$25)*10000000+(N('Dvd Calendar'!$R$1021)&gt;0)*1000000+68*1000+54))</f>
        <v/>
      </c>
      <c r="BE76" s="41">
        <f>IF(N('Dvd Calendar'!$S$1022)=0,"",IF(('Dvd Calendar'!$S$1022&gt;=MIN(DATE(Summary!$C$12,1,1),Summary!$C$11))*('Dvd Calendar'!$S$1022&lt;=MAX(DATE(Summary!$C$12,12,31),Summary!$C$15))*('Dvd Calendar'!$S$1022&gt;Summary!$C$11)=0,"",'Dvd Calendar'!$S$1022*1000000000+ISNUMBER('Dvd Calendar'!$S$1023)*100000000+('Dvd Calendar'!$S$1027='Field Check'!$C$25)*10000000+(N('Dvd Calendar'!$S$1021)&gt;0)*1000000+68*1000+55))</f>
        <v/>
      </c>
      <c r="BF76" s="41">
        <f>IF(N('Dvd Calendar'!$T$1022)=0,"",IF(('Dvd Calendar'!$T$1022&gt;=MIN(DATE(Summary!$C$12,1,1),Summary!$C$11))*('Dvd Calendar'!$T$1022&lt;=MAX(DATE(Summary!$C$12,12,31),Summary!$C$15))*('Dvd Calendar'!$T$1022&gt;Summary!$C$11)=0,"",'Dvd Calendar'!$T$1022*1000000000+ISNUMBER('Dvd Calendar'!$T$1023)*100000000+('Dvd Calendar'!$T$1027='Field Check'!$C$25)*10000000+(N('Dvd Calendar'!$T$1021)&gt;0)*1000000+68*1000+56))</f>
        <v/>
      </c>
      <c r="BG76" s="41">
        <f>IF(N('Dvd Calendar'!$U$1022)=0,"",IF(('Dvd Calendar'!$U$1022&gt;=MIN(DATE(Summary!$C$12,1,1),Summary!$C$11))*('Dvd Calendar'!$U$1022&lt;=MAX(DATE(Summary!$C$12,12,31),Summary!$C$15))*('Dvd Calendar'!$U$1022&gt;Summary!$C$11)=0,"",'Dvd Calendar'!$U$1022*1000000000+ISNUMBER('Dvd Calendar'!$U$1023)*100000000+('Dvd Calendar'!$U$1027='Field Check'!$C$25)*10000000+(N('Dvd Calendar'!$U$1021)&gt;0)*1000000+68*1000+57))</f>
        <v/>
      </c>
      <c r="BH76" s="41">
        <f>IF(N('Dvd Calendar'!$V$1022)=0,"",IF(('Dvd Calendar'!$V$1022&gt;=MIN(DATE(Summary!$C$12,1,1),Summary!$C$11))*('Dvd Calendar'!$V$1022&lt;=MAX(DATE(Summary!$C$12,12,31),Summary!$C$15))*('Dvd Calendar'!$V$1022&gt;Summary!$C$11)=0,"",'Dvd Calendar'!$V$1022*1000000000+ISNUMBER('Dvd Calendar'!$V$1023)*100000000+('Dvd Calendar'!$V$1027='Field Check'!$C$25)*10000000+(N('Dvd Calendar'!$V$1021)&gt;0)*1000000+68*1000+58))</f>
        <v/>
      </c>
      <c r="BI76" s="41">
        <f>IF(N('Dvd Calendar'!$W$1022)=0,"",IF(('Dvd Calendar'!$W$1022&gt;=MIN(DATE(Summary!$C$12,1,1),Summary!$C$11))*('Dvd Calendar'!$W$1022&lt;=MAX(DATE(Summary!$C$12,12,31),Summary!$C$15))*('Dvd Calendar'!$W$1022&gt;Summary!$C$11)=0,"",'Dvd Calendar'!$W$1022*1000000000+ISNUMBER('Dvd Calendar'!$W$1023)*100000000+('Dvd Calendar'!$W$1027='Field Check'!$C$25)*10000000+(N('Dvd Calendar'!$W$1021)&gt;0)*1000000+68*1000+59))</f>
        <v/>
      </c>
      <c r="BJ76" s="41">
        <f>IF(N('Dvd Calendar'!$X$1022)=0,"",IF(('Dvd Calendar'!$X$1022&gt;=MIN(DATE(Summary!$C$12,1,1),Summary!$C$11))*('Dvd Calendar'!$X$1022&lt;=MAX(DATE(Summary!$C$12,12,31),Summary!$C$15))*('Dvd Calendar'!$X$1022&gt;Summary!$C$11)=0,"",'Dvd Calendar'!$X$1022*1000000000+ISNUMBER('Dvd Calendar'!$X$1023)*100000000+('Dvd Calendar'!$X$1027='Field Check'!$C$25)*10000000+(N('Dvd Calendar'!$X$1021)&gt;0)*1000000+68*1000+60))</f>
        <v/>
      </c>
      <c r="BK76" s="41">
        <f>IF(N('Dvd Calendar'!$Y$1022)=0,"",IF(('Dvd Calendar'!$Y$1022&gt;=MIN(DATE(Summary!$C$12,1,1),Summary!$C$11))*('Dvd Calendar'!$Y$1022&lt;=MAX(DATE(Summary!$C$12,12,31),Summary!$C$15))*('Dvd Calendar'!$Y$1022&gt;Summary!$C$11)=0,"",'Dvd Calendar'!$Y$1022*1000000000+ISNUMBER('Dvd Calendar'!$Y$1023)*100000000+('Dvd Calendar'!$Y$1027='Field Check'!$C$25)*10000000+(N('Dvd Calendar'!$Y$1021)&gt;0)*1000000+68*1000+61))</f>
        <v/>
      </c>
      <c r="BL76" s="41">
        <f>IF(N('Dvd Calendar'!$Z$1022)=0,"",IF(('Dvd Calendar'!$Z$1022&gt;=MIN(DATE(Summary!$C$12,1,1),Summary!$C$11))*('Dvd Calendar'!$Z$1022&lt;=MAX(DATE(Summary!$C$12,12,31),Summary!$C$15))*('Dvd Calendar'!$Z$1022&gt;Summary!$C$11)=0,"",'Dvd Calendar'!$Z$1022*1000000000+ISNUMBER('Dvd Calendar'!$Z$1023)*100000000+('Dvd Calendar'!$Z$1027='Field Check'!$C$25)*10000000+(N('Dvd Calendar'!$Z$1021)&gt;0)*1000000+68*1000+62))</f>
        <v/>
      </c>
      <c r="BM76" s="41">
        <f>IF(N('Dvd Calendar'!$AA$1022)=0,"",IF(('Dvd Calendar'!$AA$1022&gt;=MIN(DATE(Summary!$C$12,1,1),Summary!$C$11))*('Dvd Calendar'!$AA$1022&lt;=MAX(DATE(Summary!$C$12,12,31),Summary!$C$15))*('Dvd Calendar'!$AA$1022&gt;Summary!$C$11)=0,"",'Dvd Calendar'!$AA$1022*1000000000+ISNUMBER('Dvd Calendar'!$AA$1023)*100000000+('Dvd Calendar'!$AA$1027='Field Check'!$C$25)*10000000+(N('Dvd Calendar'!$AA$1021)&gt;0)*1000000+68*1000+63))</f>
        <v/>
      </c>
      <c r="BN76" s="41">
        <f>IF(N('Dvd Calendar'!$AB$1022)=0,"",IF(('Dvd Calendar'!$AB$1022&gt;=MIN(DATE(Summary!$C$12,1,1),Summary!$C$11))*('Dvd Calendar'!$AB$1022&lt;=MAX(DATE(Summary!$C$12,12,31),Summary!$C$15))*('Dvd Calendar'!$AB$1022&gt;Summary!$C$11)=0,"",'Dvd Calendar'!$AB$1022*1000000000+ISNUMBER('Dvd Calendar'!$AB$1023)*100000000+('Dvd Calendar'!$AB$1027='Field Check'!$C$25)*10000000+(N('Dvd Calendar'!$AB$1021)&gt;0)*1000000+68*1000+64))</f>
        <v/>
      </c>
      <c r="BO76" s="41">
        <f>IF(N('Dvd Calendar'!$AC$1022)=0,"",IF(('Dvd Calendar'!$AC$1022&gt;=MIN(DATE(Summary!$C$12,1,1),Summary!$C$11))*('Dvd Calendar'!$AC$1022&lt;=MAX(DATE(Summary!$C$12,12,31),Summary!$C$15))*('Dvd Calendar'!$AC$1022&gt;Summary!$C$11)=0,"",'Dvd Calendar'!$AC$1022*1000000000+ISNUMBER('Dvd Calendar'!$AC$1023)*100000000+('Dvd Calendar'!$AC$1027='Field Check'!$C$25)*10000000+(N('Dvd Calendar'!$AC$1021)&gt;0)*1000000+68*1000+65))</f>
        <v/>
      </c>
      <c r="BQ76" s="85">
        <f>IF(C76="","",IF(ISNUMBER('Dvd Calendar'!$E$1016)=FALSE,"",IF((Summary!$C$13="N")*('Dvd Calendar'!$E$1020='Field Check'!$C$25)&gt;0,"",'Dvd Calendar'!$E$1016)))</f>
        <v/>
      </c>
      <c r="BR76" s="85">
        <f>IF(D76="","",IF(ISNUMBER('Dvd Calendar'!$F$1016)=FALSE,"",IF((Summary!$C$13="N")*('Dvd Calendar'!$F$1020='Field Check'!$C$25)&gt;0,"",'Dvd Calendar'!$F$1016)))</f>
        <v/>
      </c>
      <c r="BS76" s="85">
        <f>IF(E76="","",IF(ISNUMBER('Dvd Calendar'!$G$1016)=FALSE,"",IF((Summary!$C$13="N")*('Dvd Calendar'!$G$1020='Field Check'!$C$25)&gt;0,"",'Dvd Calendar'!$G$1016)))</f>
        <v/>
      </c>
      <c r="BT76" s="85">
        <f>IF(F76="","",IF(ISNUMBER('Dvd Calendar'!$H$1016)=FALSE,"",IF((Summary!$C$13="N")*('Dvd Calendar'!$H$1020='Field Check'!$C$25)&gt;0,"",'Dvd Calendar'!$H$1016)))</f>
        <v/>
      </c>
      <c r="BU76" s="85">
        <f>IF(G76="","",IF(ISNUMBER('Dvd Calendar'!$I$1016)=FALSE,"",IF((Summary!$C$13="N")*('Dvd Calendar'!$I$1020='Field Check'!$C$25)&gt;0,"",'Dvd Calendar'!$I$1016)))</f>
        <v/>
      </c>
      <c r="BV76" s="85">
        <f>IF(H76="","",IF(ISNUMBER('Dvd Calendar'!$J$1016)=FALSE,"",IF((Summary!$C$13="N")*('Dvd Calendar'!$J$1020='Field Check'!$C$25)&gt;0,"",'Dvd Calendar'!$J$1016)))</f>
        <v/>
      </c>
      <c r="BW76" s="85">
        <f>IF(I76="","",IF(ISNUMBER('Dvd Calendar'!$K$1016)=FALSE,"",IF((Summary!$C$13="N")*('Dvd Calendar'!$K$1020='Field Check'!$C$25)&gt;0,"",'Dvd Calendar'!$K$1016)))</f>
        <v/>
      </c>
      <c r="BX76" s="85">
        <f>IF(J76="","",IF(ISNUMBER('Dvd Calendar'!$L$1016)=FALSE,"",IF((Summary!$C$13="N")*('Dvd Calendar'!$L$1020='Field Check'!$C$25)&gt;0,"",'Dvd Calendar'!$L$1016)))</f>
        <v/>
      </c>
      <c r="BY76" s="85">
        <f>IF(K76="","",IF(ISNUMBER('Dvd Calendar'!$M$1016)=FALSE,"",IF((Summary!$C$13="N")*('Dvd Calendar'!$M$1020='Field Check'!$C$25)&gt;0,"",'Dvd Calendar'!$M$1016)))</f>
        <v/>
      </c>
      <c r="BZ76" s="85">
        <f>IF(L76="","",IF(ISNUMBER('Dvd Calendar'!$N$1016)=FALSE,"",IF((Summary!$C$13="N")*('Dvd Calendar'!$N$1020='Field Check'!$C$25)&gt;0,"",'Dvd Calendar'!$N$1016)))</f>
        <v/>
      </c>
      <c r="CA76" s="85">
        <f>IF(M76="","",IF(ISNUMBER('Dvd Calendar'!$O$1016)=FALSE,"",IF((Summary!$C$13="N")*('Dvd Calendar'!$O$1020='Field Check'!$C$25)&gt;0,"",'Dvd Calendar'!$O$1016)))</f>
        <v/>
      </c>
      <c r="CB76" s="85">
        <f>IF(N76="","",IF(ISNUMBER('Dvd Calendar'!$P$1016)=FALSE,"",IF((Summary!$C$13="N")*('Dvd Calendar'!$P$1020='Field Check'!$C$25)&gt;0,"",'Dvd Calendar'!$P$1016)))</f>
        <v/>
      </c>
      <c r="CC76" s="85">
        <f>IF(O76="","",IF(ISNUMBER('Dvd Calendar'!$Q$1016)=FALSE,"",IF((Summary!$C$13="N")*('Dvd Calendar'!$Q$1020='Field Check'!$C$25)&gt;0,"",'Dvd Calendar'!$Q$1016)))</f>
        <v/>
      </c>
      <c r="CD76" s="85">
        <f>IF(P76="","",IF(ISNUMBER('Dvd Calendar'!$R$1016)=FALSE,"",IF((Summary!$C$13="N")*('Dvd Calendar'!$R$1020='Field Check'!$C$25)&gt;0,"",'Dvd Calendar'!$R$1016)))</f>
        <v/>
      </c>
      <c r="CE76" s="85">
        <f>IF(Q76="","",IF(ISNUMBER('Dvd Calendar'!$S$1016)=FALSE,"",IF((Summary!$C$13="N")*('Dvd Calendar'!$S$1020='Field Check'!$C$25)&gt;0,"",'Dvd Calendar'!$S$1016)))</f>
        <v/>
      </c>
      <c r="CF76" s="85">
        <f>IF(R76="","",IF(ISNUMBER('Dvd Calendar'!$T$1016)=FALSE,"",IF((Summary!$C$13="N")*('Dvd Calendar'!$T$1020='Field Check'!$C$25)&gt;0,"",'Dvd Calendar'!$T$1016)))</f>
        <v/>
      </c>
      <c r="CG76" s="85">
        <f>IF(S76="","",IF(ISNUMBER('Dvd Calendar'!$U$1016)=FALSE,"",IF((Summary!$C$13="N")*('Dvd Calendar'!$U$1020='Field Check'!$C$25)&gt;0,"",'Dvd Calendar'!$U$1016)))</f>
        <v/>
      </c>
      <c r="CH76" s="85">
        <f>IF(T76="","",IF(ISNUMBER('Dvd Calendar'!$V$1016)=FALSE,"",IF((Summary!$C$13="N")*('Dvd Calendar'!$V$1020='Field Check'!$C$25)&gt;0,"",'Dvd Calendar'!$V$1016)))</f>
        <v/>
      </c>
      <c r="CI76" s="85">
        <f>IF(U76="","",IF(ISNUMBER('Dvd Calendar'!$W$1016)=FALSE,"",IF((Summary!$C$13="N")*('Dvd Calendar'!$W$1020='Field Check'!$C$25)&gt;0,"",'Dvd Calendar'!$W$1016)))</f>
        <v/>
      </c>
      <c r="CJ76" s="85">
        <f>IF(V76="","",IF(ISNUMBER('Dvd Calendar'!$X$1016)=FALSE,"",IF((Summary!$C$13="N")*('Dvd Calendar'!$X$1020='Field Check'!$C$25)&gt;0,"",'Dvd Calendar'!$X$1016)))</f>
        <v/>
      </c>
      <c r="CK76" s="85">
        <f>IF(W76="","",IF(ISNUMBER('Dvd Calendar'!$Y$1016)=FALSE,"",IF((Summary!$C$13="N")*('Dvd Calendar'!$Y$1020='Field Check'!$C$25)&gt;0,"",'Dvd Calendar'!$Y$1016)))</f>
        <v/>
      </c>
      <c r="CL76" s="85">
        <f>IF(X76="","",IF(ISNUMBER('Dvd Calendar'!$Z$1016)=FALSE,"",IF((Summary!$C$13="N")*('Dvd Calendar'!$Z$1020='Field Check'!$C$25)&gt;0,"",'Dvd Calendar'!$Z$1016)))</f>
        <v/>
      </c>
      <c r="CM76" s="85">
        <f>IF(Y76="","",IF(ISNUMBER('Dvd Calendar'!$AA$1016)=FALSE,"",IF((Summary!$C$13="N")*('Dvd Calendar'!$AA$1020='Field Check'!$C$25)&gt;0,"",'Dvd Calendar'!$AA$1016)))</f>
        <v/>
      </c>
      <c r="CN76" s="85">
        <f>IF(Z76="","",IF(ISNUMBER('Dvd Calendar'!$AB$1016)=FALSE,"",IF((Summary!$C$13="N")*('Dvd Calendar'!$AB$1020='Field Check'!$C$25)&gt;0,"",'Dvd Calendar'!$AB$1016)))</f>
        <v/>
      </c>
      <c r="CO76" s="85">
        <f>IF(AA76="","",IF(ISNUMBER('Dvd Calendar'!$AC$1016)=FALSE,"",IF((Summary!$C$13="N")*('Dvd Calendar'!$AC$1020='Field Check'!$C$25)&gt;0,"",'Dvd Calendar'!$AC$1016)))</f>
        <v/>
      </c>
      <c r="CP76" s="85">
        <f>IF(AB76="","",IF(ISNUMBER('Dvd Calendar'!$AD$1016)=FALSE,"",IF((Summary!$C$13="N")*('Dvd Calendar'!$AD$1020='Field Check'!$C$25)&gt;0,"",'Dvd Calendar'!$AD$1016)))</f>
        <v/>
      </c>
      <c r="CQ76" s="85">
        <f>IF(AC76="","",IF(ISNUMBER('Dvd Calendar'!$AE$1016)=FALSE,"",IF((Summary!$C$13="N")*('Dvd Calendar'!$AE$1020='Field Check'!$C$25)&gt;0,"",'Dvd Calendar'!$AE$1016)))</f>
        <v/>
      </c>
      <c r="CR76" s="85">
        <f>IF(AD76="","",IF(ISNUMBER('Dvd Calendar'!$AF$1016)=FALSE,"",IF((Summary!$C$13="N")*('Dvd Calendar'!$AF$1020='Field Check'!$C$25)&gt;0,"",'Dvd Calendar'!$AF$1016)))</f>
        <v/>
      </c>
      <c r="CS76" s="85">
        <f>IF(AE76="","",IF(ISNUMBER('Dvd Calendar'!$AG$1016)=FALSE,"",IF((Summary!$C$13="N")*('Dvd Calendar'!$AG$1020='Field Check'!$C$25)&gt;0,"",'Dvd Calendar'!$AG$1016)))</f>
        <v/>
      </c>
      <c r="CT76" s="85">
        <f>IF(AF76="","",IF(ISNUMBER('Dvd Calendar'!$AH$1016)=FALSE,"",IF((Summary!$C$13="N")*('Dvd Calendar'!$AH$1020='Field Check'!$C$25)&gt;0,"",'Dvd Calendar'!$AH$1016)))</f>
        <v/>
      </c>
      <c r="CU76" s="85">
        <f>IF(AG76="","",IF(ISNUMBER('Dvd Calendar'!$AI$1016)=FALSE,"",IF((Summary!$C$13="N")*('Dvd Calendar'!$AI$1020='Field Check'!$C$25)&gt;0,"",'Dvd Calendar'!$AI$1016)))</f>
        <v/>
      </c>
      <c r="CV76" s="85">
        <f>IF(AH76="","",IF(ISNUMBER('Dvd Calendar'!$AJ$1016)=FALSE,"",IF((Summary!$C$13="N")*('Dvd Calendar'!$AJ$1020='Field Check'!$C$25)&gt;0,"",'Dvd Calendar'!$AJ$1016)))</f>
        <v/>
      </c>
      <c r="CW76" s="85">
        <f>IF(AI76="","",IF(ISNUMBER('Dvd Calendar'!$AK$1016)=FALSE,"",IF((Summary!$C$13="N")*('Dvd Calendar'!$AK$1020='Field Check'!$C$25)&gt;0,"",'Dvd Calendar'!$AK$1016)))</f>
        <v/>
      </c>
      <c r="CX76" s="85">
        <f>IF(AJ76="","",IF(ISNUMBER('Dvd Calendar'!$AL$1016)=FALSE,"",IF((Summary!$C$13="N")*('Dvd Calendar'!$AL$1020='Field Check'!$C$25)&gt;0,"",'Dvd Calendar'!$AL$1016)))</f>
        <v/>
      </c>
      <c r="CY76" s="85">
        <f>IF(AK76="","",IF(ISNUMBER('Dvd Calendar'!$AM$1016)=FALSE,"",IF((Summary!$C$13="N")*('Dvd Calendar'!$AM$1020='Field Check'!$C$25)&gt;0,"",'Dvd Calendar'!$AM$1016)))</f>
        <v/>
      </c>
      <c r="CZ76" s="85">
        <f>IF(AL76="","",IF(ISNUMBER('Dvd Calendar'!$AN$1016)=FALSE,"",IF((Summary!$C$13="N")*('Dvd Calendar'!$AN$1020='Field Check'!$C$25)&gt;0,"",'Dvd Calendar'!$AN$1016)))</f>
        <v/>
      </c>
      <c r="DA76" s="85">
        <f>IF(AM76="","",IF(ISNUMBER('Dvd Calendar'!$AO$1016)=FALSE,"",IF((Summary!$C$13="N")*('Dvd Calendar'!$AO$1020='Field Check'!$C$25)&gt;0,"",'Dvd Calendar'!$AO$1016)))</f>
        <v/>
      </c>
      <c r="DB76" s="85">
        <f>IF(AN76="","",IF(ISNUMBER('Dvd Calendar'!$AP$1016)=FALSE,"",IF((Summary!$C$13="N")*('Dvd Calendar'!$AP$1020='Field Check'!$C$25)&gt;0,"",'Dvd Calendar'!$AP$1016)))</f>
        <v/>
      </c>
      <c r="DC76" s="85">
        <f>IF(AO76="","",IF(ISNUMBER('Dvd Calendar'!$AQ$1016)=FALSE,"",IF((Summary!$C$13="N")*('Dvd Calendar'!$AQ$1020='Field Check'!$C$25)&gt;0,"",'Dvd Calendar'!$AQ$1016)))</f>
        <v/>
      </c>
      <c r="DD76" s="85">
        <f>IF(AP76="","",IF(ISNUMBER('Dvd Calendar'!$AR$1016)=FALSE,"",IF((Summary!$C$13="N")*('Dvd Calendar'!$AR$1020='Field Check'!$C$25)&gt;0,"",'Dvd Calendar'!$AR$1016)))</f>
        <v/>
      </c>
      <c r="DE76" s="85">
        <f>IF(AQ76="","",IF(ISNUMBER('Dvd Calendar'!$E$1023)=FALSE,"",IF((Summary!$C$13="N")*('Dvd Calendar'!$E$1027='Field Check'!$C$25)&gt;0,"",'Dvd Calendar'!$E$1023)))</f>
        <v/>
      </c>
      <c r="DF76" s="85">
        <f>IF(AR76="","",IF(ISNUMBER('Dvd Calendar'!$F$1023)=FALSE,"",IF((Summary!$C$13="N")*('Dvd Calendar'!$F$1027='Field Check'!$C$25)&gt;0,"",'Dvd Calendar'!$F$1023)))</f>
        <v/>
      </c>
      <c r="DG76" s="85">
        <f>IF(AS76="","",IF(ISNUMBER('Dvd Calendar'!$G$1023)=FALSE,"",IF((Summary!$C$13="N")*('Dvd Calendar'!$G$1027='Field Check'!$C$25)&gt;0,"",'Dvd Calendar'!$G$1023)))</f>
        <v/>
      </c>
      <c r="DH76" s="85">
        <f>IF(AT76="","",IF(ISNUMBER('Dvd Calendar'!$H$1023)=FALSE,"",IF((Summary!$C$13="N")*('Dvd Calendar'!$H$1027='Field Check'!$C$25)&gt;0,"",'Dvd Calendar'!$H$1023)))</f>
        <v/>
      </c>
      <c r="DI76" s="85">
        <f>IF(AU76="","",IF(ISNUMBER('Dvd Calendar'!$I$1023)=FALSE,"",IF((Summary!$C$13="N")*('Dvd Calendar'!$I$1027='Field Check'!$C$25)&gt;0,"",'Dvd Calendar'!$I$1023)))</f>
        <v/>
      </c>
      <c r="DJ76" s="85">
        <f>IF(AV76="","",IF(ISNUMBER('Dvd Calendar'!$J$1023)=FALSE,"",IF((Summary!$C$13="N")*('Dvd Calendar'!$J$1027='Field Check'!$C$25)&gt;0,"",'Dvd Calendar'!$J$1023)))</f>
        <v/>
      </c>
      <c r="DK76" s="85">
        <f>IF(AW76="","",IF(ISNUMBER('Dvd Calendar'!$K$1023)=FALSE,"",IF((Summary!$C$13="N")*('Dvd Calendar'!$K$1027='Field Check'!$C$25)&gt;0,"",'Dvd Calendar'!$K$1023)))</f>
        <v/>
      </c>
      <c r="DL76" s="85">
        <f>IF(AX76="","",IF(ISNUMBER('Dvd Calendar'!$L$1023)=FALSE,"",IF((Summary!$C$13="N")*('Dvd Calendar'!$L$1027='Field Check'!$C$25)&gt;0,"",'Dvd Calendar'!$L$1023)))</f>
        <v/>
      </c>
      <c r="DM76" s="85">
        <f>IF(AY76="","",IF(ISNUMBER('Dvd Calendar'!$M$1023)=FALSE,"",IF((Summary!$C$13="N")*('Dvd Calendar'!$M$1027='Field Check'!$C$25)&gt;0,"",'Dvd Calendar'!$M$1023)))</f>
        <v/>
      </c>
      <c r="DN76" s="85">
        <f>IF(AZ76="","",IF(ISNUMBER('Dvd Calendar'!$N$1023)=FALSE,"",IF((Summary!$C$13="N")*('Dvd Calendar'!$N$1027='Field Check'!$C$25)&gt;0,"",'Dvd Calendar'!$N$1023)))</f>
        <v/>
      </c>
      <c r="DO76" s="85">
        <f>IF(BA76="","",IF(ISNUMBER('Dvd Calendar'!$O$1023)=FALSE,"",IF((Summary!$C$13="N")*('Dvd Calendar'!$O$1027='Field Check'!$C$25)&gt;0,"",'Dvd Calendar'!$O$1023)))</f>
        <v/>
      </c>
      <c r="DP76" s="85">
        <f>IF(BB76="","",IF(ISNUMBER('Dvd Calendar'!$P$1023)=FALSE,"",IF((Summary!$C$13="N")*('Dvd Calendar'!$P$1027='Field Check'!$C$25)&gt;0,"",'Dvd Calendar'!$P$1023)))</f>
        <v/>
      </c>
      <c r="DQ76" s="85">
        <f>IF(BC76="","",IF(ISNUMBER('Dvd Calendar'!$Q$1023)=FALSE,"",IF((Summary!$C$13="N")*('Dvd Calendar'!$Q$1027='Field Check'!$C$25)&gt;0,"",'Dvd Calendar'!$Q$1023)))</f>
        <v/>
      </c>
      <c r="DR76" s="85">
        <f>IF(BD76="","",IF(ISNUMBER('Dvd Calendar'!$R$1023)=FALSE,"",IF((Summary!$C$13="N")*('Dvd Calendar'!$R$1027='Field Check'!$C$25)&gt;0,"",'Dvd Calendar'!$R$1023)))</f>
        <v/>
      </c>
      <c r="DS76" s="85">
        <f>IF(BE76="","",IF(ISNUMBER('Dvd Calendar'!$S$1023)=FALSE,"",IF((Summary!$C$13="N")*('Dvd Calendar'!$S$1027='Field Check'!$C$25)&gt;0,"",'Dvd Calendar'!$S$1023)))</f>
        <v/>
      </c>
      <c r="DT76" s="85">
        <f>IF(BF76="","",IF(ISNUMBER('Dvd Calendar'!$T$1023)=FALSE,"",IF((Summary!$C$13="N")*('Dvd Calendar'!$T$1027='Field Check'!$C$25)&gt;0,"",'Dvd Calendar'!$T$1023)))</f>
        <v/>
      </c>
      <c r="DU76" s="85">
        <f>IF(BG76="","",IF(ISNUMBER('Dvd Calendar'!$U$1023)=FALSE,"",IF((Summary!$C$13="N")*('Dvd Calendar'!$U$1027='Field Check'!$C$25)&gt;0,"",'Dvd Calendar'!$U$1023)))</f>
        <v/>
      </c>
      <c r="DV76" s="85">
        <f>IF(BH76="","",IF(ISNUMBER('Dvd Calendar'!$V$1023)=FALSE,"",IF((Summary!$C$13="N")*('Dvd Calendar'!$V$1027='Field Check'!$C$25)&gt;0,"",'Dvd Calendar'!$V$1023)))</f>
        <v/>
      </c>
      <c r="DW76" s="85">
        <f>IF(BI76="","",IF(ISNUMBER('Dvd Calendar'!$W$1023)=FALSE,"",IF((Summary!$C$13="N")*('Dvd Calendar'!$W$1027='Field Check'!$C$25)&gt;0,"",'Dvd Calendar'!$W$1023)))</f>
        <v/>
      </c>
      <c r="DX76" s="85">
        <f>IF(BJ76="","",IF(ISNUMBER('Dvd Calendar'!$X$1023)=FALSE,"",IF((Summary!$C$13="N")*('Dvd Calendar'!$X$1027='Field Check'!$C$25)&gt;0,"",'Dvd Calendar'!$X$1023)))</f>
        <v/>
      </c>
      <c r="DY76" s="85">
        <f>IF(BK76="","",IF(ISNUMBER('Dvd Calendar'!$Y$1023)=FALSE,"",IF((Summary!$C$13="N")*('Dvd Calendar'!$Y$1027='Field Check'!$C$25)&gt;0,"",'Dvd Calendar'!$Y$1023)))</f>
        <v/>
      </c>
      <c r="DZ76" s="85">
        <f>IF(BL76="","",IF(ISNUMBER('Dvd Calendar'!$Z$1023)=FALSE,"",IF((Summary!$C$13="N")*('Dvd Calendar'!$Z$1027='Field Check'!$C$25)&gt;0,"",'Dvd Calendar'!$Z$1023)))</f>
        <v/>
      </c>
      <c r="EA76" s="85">
        <f>IF(BM76="","",IF(ISNUMBER('Dvd Calendar'!$AA$1023)=FALSE,"",IF((Summary!$C$13="N")*('Dvd Calendar'!$AA$1027='Field Check'!$C$25)&gt;0,"",'Dvd Calendar'!$AA$1023)))</f>
        <v/>
      </c>
      <c r="EB76" s="85">
        <f>IF(BN76="","",IF(ISNUMBER('Dvd Calendar'!$AB$1023)=FALSE,"",IF((Summary!$C$13="N")*('Dvd Calendar'!$AB$1027='Field Check'!$C$25)&gt;0,"",'Dvd Calendar'!$AB$1023)))</f>
        <v/>
      </c>
      <c r="EC76" s="85">
        <f>IF(BO76="","",IF(ISNUMBER('Dvd Calendar'!$AC$1023)=FALSE,"",IF((Summary!$C$13="N")*('Dvd Calendar'!$AC$1027='Field Check'!$C$25)&gt;0,"",'Dvd Calendar'!$AC$1023)))</f>
        <v/>
      </c>
      <c r="EE76" s="85">
        <f>IF(BQ76="","",IFERROR(BQ76*HSI!$B$74*HSI!$G$74/HSI!$B$3,""))</f>
        <v/>
      </c>
      <c r="EF76" s="85">
        <f>IF(BR76="","",IFERROR(BR76*HSI!$B$74*HSI!$G$74/HSI!$B$3,""))</f>
        <v/>
      </c>
      <c r="EG76" s="85">
        <f>IF(BS76="","",IFERROR(BS76*HSI!$B$74*HSI!$G$74/HSI!$B$3,""))</f>
        <v/>
      </c>
      <c r="EH76" s="85">
        <f>IF(BT76="","",IFERROR(BT76*HSI!$B$74*HSI!$G$74/HSI!$B$3,""))</f>
        <v/>
      </c>
      <c r="EI76" s="85">
        <f>IF(BU76="","",IFERROR(BU76*HSI!$B$74*HSI!$G$74/HSI!$B$3,""))</f>
        <v/>
      </c>
      <c r="EJ76" s="85">
        <f>IF(BV76="","",IFERROR(BV76*HSI!$B$74*HSI!$G$74/HSI!$B$3,""))</f>
        <v/>
      </c>
      <c r="EK76" s="85">
        <f>IF(BW76="","",IFERROR(BW76*HSI!$B$74*HSI!$G$74/HSI!$B$3,""))</f>
        <v/>
      </c>
      <c r="EL76" s="85">
        <f>IF(BX76="","",IFERROR(BX76*HSI!$B$74*HSI!$G$74/HSI!$B$3,""))</f>
        <v/>
      </c>
      <c r="EM76" s="85">
        <f>IF(BY76="","",IFERROR(BY76*HSI!$B$74*HSI!$G$74/HSI!$B$3,""))</f>
        <v/>
      </c>
      <c r="EN76" s="85">
        <f>IF(BZ76="","",IFERROR(BZ76*HSI!$B$74*HSI!$G$74/HSI!$B$3,""))</f>
        <v/>
      </c>
      <c r="EO76" s="85">
        <f>IF(CA76="","",IFERROR(CA76*HSI!$B$74*HSI!$G$74/HSI!$B$3,""))</f>
        <v/>
      </c>
      <c r="EP76" s="85">
        <f>IF(CB76="","",IFERROR(CB76*HSI!$B$74*HSI!$G$74/HSI!$B$3,""))</f>
        <v/>
      </c>
      <c r="EQ76" s="85">
        <f>IF(CC76="","",IFERROR(CC76*HSI!$B$74*HSI!$G$74/HSI!$B$3,""))</f>
        <v/>
      </c>
      <c r="ER76" s="85">
        <f>IF(CD76="","",IFERROR(CD76*HSI!$B$74*HSI!$G$74/HSI!$B$3,""))</f>
        <v/>
      </c>
      <c r="ES76" s="85">
        <f>IF(CE76="","",IFERROR(CE76*HSI!$B$74*HSI!$G$74/HSI!$B$3,""))</f>
        <v/>
      </c>
      <c r="ET76" s="85">
        <f>IF(CF76="","",IFERROR(CF76*HSI!$B$74*HSI!$G$74/HSI!$B$3,""))</f>
        <v/>
      </c>
      <c r="EU76" s="85">
        <f>IF(CG76="","",IFERROR(CG76*HSI!$B$74*HSI!$G$74/HSI!$B$3,""))</f>
        <v/>
      </c>
      <c r="EV76" s="85">
        <f>IF(CH76="","",IFERROR(CH76*HSI!$B$74*HSI!$G$74/HSI!$B$3,""))</f>
        <v/>
      </c>
      <c r="EW76" s="85">
        <f>IF(CI76="","",IFERROR(CI76*HSI!$B$74*HSI!$G$74/HSI!$B$3,""))</f>
        <v/>
      </c>
      <c r="EX76" s="85">
        <f>IF(CJ76="","",IFERROR(CJ76*HSI!$B$74*HSI!$G$74/HSI!$B$3,""))</f>
        <v/>
      </c>
      <c r="EY76" s="85">
        <f>IF(CK76="","",IFERROR(CK76*HSI!$B$74*HSI!$G$74/HSI!$B$3,""))</f>
        <v/>
      </c>
      <c r="EZ76" s="85">
        <f>IF(CL76="","",IFERROR(CL76*HSI!$B$74*HSI!$G$74/HSI!$B$3,""))</f>
        <v/>
      </c>
      <c r="FA76" s="85">
        <f>IF(CM76="","",IFERROR(CM76*HSI!$B$74*HSI!$G$74/HSI!$B$3,""))</f>
        <v/>
      </c>
      <c r="FB76" s="85">
        <f>IF(CN76="","",IFERROR(CN76*HSI!$B$74*HSI!$G$74/HSI!$B$3,""))</f>
        <v/>
      </c>
      <c r="FC76" s="85">
        <f>IF(CO76="","",IFERROR(CO76*HSI!$B$74*HSI!$G$74/HSI!$B$3,""))</f>
        <v/>
      </c>
      <c r="FD76" s="85">
        <f>IF(CP76="","",IFERROR(CP76*HSI!$B$74*HSI!$G$74/HSI!$B$3,""))</f>
        <v/>
      </c>
      <c r="FE76" s="85">
        <f>IF(CQ76="","",IFERROR(CQ76*HSI!$B$74*HSI!$G$74/HSI!$B$3,""))</f>
        <v/>
      </c>
      <c r="FF76" s="85">
        <f>IF(CR76="","",IFERROR(CR76*HSI!$B$74*HSI!$G$74/HSI!$B$3,""))</f>
        <v/>
      </c>
      <c r="FG76" s="85">
        <f>IF(CS76="","",IFERROR(CS76*HSI!$B$74*HSI!$G$74/HSI!$B$3,""))</f>
        <v/>
      </c>
      <c r="FH76" s="85">
        <f>IF(CT76="","",IFERROR(CT76*HSI!$B$74*HSI!$G$74/HSI!$B$3,""))</f>
        <v/>
      </c>
      <c r="FI76" s="85">
        <f>IF(CU76="","",IFERROR(CU76*HSI!$B$74*HSI!$G$74/HSI!$B$3,""))</f>
        <v/>
      </c>
      <c r="FJ76" s="85">
        <f>IF(CV76="","",IFERROR(CV76*HSI!$B$74*HSI!$G$74/HSI!$B$3,""))</f>
        <v/>
      </c>
      <c r="FK76" s="85">
        <f>IF(CW76="","",IFERROR(CW76*HSI!$B$74*HSI!$G$74/HSI!$B$3,""))</f>
        <v/>
      </c>
      <c r="FL76" s="85">
        <f>IF(CX76="","",IFERROR(CX76*HSI!$B$74*HSI!$G$74/HSI!$B$3,""))</f>
        <v/>
      </c>
      <c r="FM76" s="85">
        <f>IF(CY76="","",IFERROR(CY76*HSI!$B$74*HSI!$G$74/HSI!$B$3,""))</f>
        <v/>
      </c>
      <c r="FN76" s="85">
        <f>IF(CZ76="","",IFERROR(CZ76*HSI!$B$74*HSI!$G$74/HSI!$B$3,""))</f>
        <v/>
      </c>
      <c r="FO76" s="85">
        <f>IF(DA76="","",IFERROR(DA76*HSI!$B$74*HSI!$G$74/HSI!$B$3,""))</f>
        <v/>
      </c>
      <c r="FP76" s="85">
        <f>IF(DB76="","",IFERROR(DB76*HSI!$B$74*HSI!$G$74/HSI!$B$3,""))</f>
        <v/>
      </c>
      <c r="FQ76" s="85">
        <f>IF(DC76="","",IFERROR(DC76*HSI!$B$74*HSI!$G$74/HSI!$B$3,""))</f>
        <v/>
      </c>
      <c r="FR76" s="85">
        <f>IF(DD76="","",IFERROR(DD76*HSI!$B$74*HSI!$G$74/HSI!$B$3,""))</f>
        <v/>
      </c>
      <c r="FS76" s="85">
        <f>IF(DE76="","",IFERROR(DE76*HSI!$B$74*HSI!$G$74/HSI!$B$3,""))</f>
        <v/>
      </c>
      <c r="FT76" s="85">
        <f>IF(DF76="","",IFERROR(DF76*HSI!$B$74*HSI!$G$74/HSI!$B$3,""))</f>
        <v/>
      </c>
      <c r="FU76" s="85">
        <f>IF(DG76="","",IFERROR(DG76*HSI!$B$74*HSI!$G$74/HSI!$B$3,""))</f>
        <v/>
      </c>
      <c r="FV76" s="85">
        <f>IF(DH76="","",IFERROR(DH76*HSI!$B$74*HSI!$G$74/HSI!$B$3,""))</f>
        <v/>
      </c>
      <c r="FW76" s="85">
        <f>IF(DI76="","",IFERROR(DI76*HSI!$B$74*HSI!$G$74/HSI!$B$3,""))</f>
        <v/>
      </c>
      <c r="FX76" s="85">
        <f>IF(DJ76="","",IFERROR(DJ76*HSI!$B$74*HSI!$G$74/HSI!$B$3,""))</f>
        <v/>
      </c>
      <c r="FY76" s="85">
        <f>IF(DK76="","",IFERROR(DK76*HSI!$B$74*HSI!$G$74/HSI!$B$3,""))</f>
        <v/>
      </c>
      <c r="FZ76" s="85">
        <f>IF(DL76="","",IFERROR(DL76*HSI!$B$74*HSI!$G$74/HSI!$B$3,""))</f>
        <v/>
      </c>
      <c r="GA76" s="85">
        <f>IF(DM76="","",IFERROR(DM76*HSI!$B$74*HSI!$G$74/HSI!$B$3,""))</f>
        <v/>
      </c>
      <c r="GB76" s="85">
        <f>IF(DN76="","",IFERROR(DN76*HSI!$B$74*HSI!$G$74/HSI!$B$3,""))</f>
        <v/>
      </c>
      <c r="GC76" s="85">
        <f>IF(DO76="","",IFERROR(DO76*HSI!$B$74*HSI!$G$74/HSI!$B$3,""))</f>
        <v/>
      </c>
      <c r="GD76" s="85">
        <f>IF(DP76="","",IFERROR(DP76*HSI!$B$74*HSI!$G$74/HSI!$B$3,""))</f>
        <v/>
      </c>
      <c r="GE76" s="85">
        <f>IF(DQ76="","",IFERROR(DQ76*HSI!$B$74*HSI!$G$74/HSI!$B$3,""))</f>
        <v/>
      </c>
      <c r="GF76" s="85">
        <f>IF(DR76="","",IFERROR(DR76*HSI!$B$74*HSI!$G$74/HSI!$B$3,""))</f>
        <v/>
      </c>
      <c r="GG76" s="85">
        <f>IF(DS76="","",IFERROR(DS76*HSI!$B$74*HSI!$G$74/HSI!$B$3,""))</f>
        <v/>
      </c>
      <c r="GH76" s="85">
        <f>IF(DT76="","",IFERROR(DT76*HSI!$B$74*HSI!$G$74/HSI!$B$3,""))</f>
        <v/>
      </c>
      <c r="GI76" s="85">
        <f>IF(DU76="","",IFERROR(DU76*HSI!$B$74*HSI!$G$74/HSI!$B$3,""))</f>
        <v/>
      </c>
      <c r="GJ76" s="85">
        <f>IF(DV76="","",IFERROR(DV76*HSI!$B$74*HSI!$G$74/HSI!$B$3,""))</f>
        <v/>
      </c>
      <c r="GK76" s="85">
        <f>IF(DW76="","",IFERROR(DW76*HSI!$B$74*HSI!$G$74/HSI!$B$3,""))</f>
        <v/>
      </c>
      <c r="GL76" s="85">
        <f>IF(DX76="","",IFERROR(DX76*HSI!$B$74*HSI!$G$74/HSI!$B$3,""))</f>
        <v/>
      </c>
      <c r="GM76" s="85">
        <f>IF(DY76="","",IFERROR(DY76*HSI!$B$74*HSI!$G$74/HSI!$B$3,""))</f>
        <v/>
      </c>
      <c r="GN76" s="85">
        <f>IF(DZ76="","",IFERROR(DZ76*HSI!$B$74*HSI!$G$74/HSI!$B$3,""))</f>
        <v/>
      </c>
      <c r="GO76" s="85">
        <f>IF(EA76="","",IFERROR(EA76*HSI!$B$74*HSI!$G$74/HSI!$B$3,""))</f>
        <v/>
      </c>
      <c r="GP76" s="85">
        <f>IF(EB76="","",IFERROR(EB76*HSI!$B$74*HSI!$G$74/HSI!$B$3,""))</f>
        <v/>
      </c>
      <c r="GQ76" s="85">
        <f>IF(EC76="","",IFERROR(EC76*HSI!$B$74*HSI!$G$74/HSI!$B$3,""))</f>
        <v/>
      </c>
    </row>
    <row r="77">
      <c r="B77" s="2">
        <f>IF(HSI!$C$75="","",HSI!$C$75)</f>
        <v/>
      </c>
      <c r="C77" s="41">
        <f>IF(N('Dvd Calendar'!$E$1030)=0,"",IF(('Dvd Calendar'!$E$1030&gt;=MIN(DATE(Summary!$C$12,1,1),Summary!$C$11))*('Dvd Calendar'!$E$1030&lt;=MAX(DATE(Summary!$C$12,12,31),Summary!$C$15))*('Dvd Calendar'!$E$1030&lt;=Summary!$C$11)=0,"",'Dvd Calendar'!$E$1030*1000000000+ISNUMBER('Dvd Calendar'!$E$1031)*100000000+('Dvd Calendar'!$E$1035='Field Check'!$C$25)*10000000+(N('Dvd Calendar'!$E$1029)&gt;0)*1000000+69*1000+1))</f>
        <v/>
      </c>
      <c r="D77" s="41">
        <f>IF(N('Dvd Calendar'!$F$1030)=0,"",IF(('Dvd Calendar'!$F$1030&gt;=MIN(DATE(Summary!$C$12,1,1),Summary!$C$11))*('Dvd Calendar'!$F$1030&lt;=MAX(DATE(Summary!$C$12,12,31),Summary!$C$15))*('Dvd Calendar'!$F$1030&lt;=Summary!$C$11)=0,"",'Dvd Calendar'!$F$1030*1000000000+ISNUMBER('Dvd Calendar'!$F$1031)*100000000+('Dvd Calendar'!$F$1035='Field Check'!$C$25)*10000000+(N('Dvd Calendar'!$F$1029)&gt;0)*1000000+69*1000+2))</f>
        <v/>
      </c>
      <c r="E77" s="41">
        <f>IF(N('Dvd Calendar'!$G$1030)=0,"",IF(('Dvd Calendar'!$G$1030&gt;=MIN(DATE(Summary!$C$12,1,1),Summary!$C$11))*('Dvd Calendar'!$G$1030&lt;=MAX(DATE(Summary!$C$12,12,31),Summary!$C$15))*('Dvd Calendar'!$G$1030&lt;=Summary!$C$11)=0,"",'Dvd Calendar'!$G$1030*1000000000+ISNUMBER('Dvd Calendar'!$G$1031)*100000000+('Dvd Calendar'!$G$1035='Field Check'!$C$25)*10000000+(N('Dvd Calendar'!$G$1029)&gt;0)*1000000+69*1000+3))</f>
        <v/>
      </c>
      <c r="F77" s="41">
        <f>IF(N('Dvd Calendar'!$H$1030)=0,"",IF(('Dvd Calendar'!$H$1030&gt;=MIN(DATE(Summary!$C$12,1,1),Summary!$C$11))*('Dvd Calendar'!$H$1030&lt;=MAX(DATE(Summary!$C$12,12,31),Summary!$C$15))*('Dvd Calendar'!$H$1030&lt;=Summary!$C$11)=0,"",'Dvd Calendar'!$H$1030*1000000000+ISNUMBER('Dvd Calendar'!$H$1031)*100000000+('Dvd Calendar'!$H$1035='Field Check'!$C$25)*10000000+(N('Dvd Calendar'!$H$1029)&gt;0)*1000000+69*1000+4))</f>
        <v/>
      </c>
      <c r="G77" s="41">
        <f>IF(N('Dvd Calendar'!$I$1030)=0,"",IF(('Dvd Calendar'!$I$1030&gt;=MIN(DATE(Summary!$C$12,1,1),Summary!$C$11))*('Dvd Calendar'!$I$1030&lt;=MAX(DATE(Summary!$C$12,12,31),Summary!$C$15))*('Dvd Calendar'!$I$1030&lt;=Summary!$C$11)=0,"",'Dvd Calendar'!$I$1030*1000000000+ISNUMBER('Dvd Calendar'!$I$1031)*100000000+('Dvd Calendar'!$I$1035='Field Check'!$C$25)*10000000+(N('Dvd Calendar'!$I$1029)&gt;0)*1000000+69*1000+5))</f>
        <v/>
      </c>
      <c r="H77" s="41">
        <f>IF(N('Dvd Calendar'!$J$1030)=0,"",IF(('Dvd Calendar'!$J$1030&gt;=MIN(DATE(Summary!$C$12,1,1),Summary!$C$11))*('Dvd Calendar'!$J$1030&lt;=MAX(DATE(Summary!$C$12,12,31),Summary!$C$15))*('Dvd Calendar'!$J$1030&lt;=Summary!$C$11)=0,"",'Dvd Calendar'!$J$1030*1000000000+ISNUMBER('Dvd Calendar'!$J$1031)*100000000+('Dvd Calendar'!$J$1035='Field Check'!$C$25)*10000000+(N('Dvd Calendar'!$J$1029)&gt;0)*1000000+69*1000+6))</f>
        <v/>
      </c>
      <c r="I77" s="41">
        <f>IF(N('Dvd Calendar'!$K$1030)=0,"",IF(('Dvd Calendar'!$K$1030&gt;=MIN(DATE(Summary!$C$12,1,1),Summary!$C$11))*('Dvd Calendar'!$K$1030&lt;=MAX(DATE(Summary!$C$12,12,31),Summary!$C$15))*('Dvd Calendar'!$K$1030&lt;=Summary!$C$11)=0,"",'Dvd Calendar'!$K$1030*1000000000+ISNUMBER('Dvd Calendar'!$K$1031)*100000000+('Dvd Calendar'!$K$1035='Field Check'!$C$25)*10000000+(N('Dvd Calendar'!$K$1029)&gt;0)*1000000+69*1000+7))</f>
        <v/>
      </c>
      <c r="J77" s="41">
        <f>IF(N('Dvd Calendar'!$L$1030)=0,"",IF(('Dvd Calendar'!$L$1030&gt;=MIN(DATE(Summary!$C$12,1,1),Summary!$C$11))*('Dvd Calendar'!$L$1030&lt;=MAX(DATE(Summary!$C$12,12,31),Summary!$C$15))*('Dvd Calendar'!$L$1030&lt;=Summary!$C$11)=0,"",'Dvd Calendar'!$L$1030*1000000000+ISNUMBER('Dvd Calendar'!$L$1031)*100000000+('Dvd Calendar'!$L$1035='Field Check'!$C$25)*10000000+(N('Dvd Calendar'!$L$1029)&gt;0)*1000000+69*1000+8))</f>
        <v/>
      </c>
      <c r="K77" s="41">
        <f>IF(N('Dvd Calendar'!$M$1030)=0,"",IF(('Dvd Calendar'!$M$1030&gt;=MIN(DATE(Summary!$C$12,1,1),Summary!$C$11))*('Dvd Calendar'!$M$1030&lt;=MAX(DATE(Summary!$C$12,12,31),Summary!$C$15))*('Dvd Calendar'!$M$1030&lt;=Summary!$C$11)=0,"",'Dvd Calendar'!$M$1030*1000000000+ISNUMBER('Dvd Calendar'!$M$1031)*100000000+('Dvd Calendar'!$M$1035='Field Check'!$C$25)*10000000+(N('Dvd Calendar'!$M$1029)&gt;0)*1000000+69*1000+9))</f>
        <v/>
      </c>
      <c r="L77" s="41">
        <f>IF(N('Dvd Calendar'!$N$1030)=0,"",IF(('Dvd Calendar'!$N$1030&gt;=MIN(DATE(Summary!$C$12,1,1),Summary!$C$11))*('Dvd Calendar'!$N$1030&lt;=MAX(DATE(Summary!$C$12,12,31),Summary!$C$15))*('Dvd Calendar'!$N$1030&lt;=Summary!$C$11)=0,"",'Dvd Calendar'!$N$1030*1000000000+ISNUMBER('Dvd Calendar'!$N$1031)*100000000+('Dvd Calendar'!$N$1035='Field Check'!$C$25)*10000000+(N('Dvd Calendar'!$N$1029)&gt;0)*1000000+69*1000+10))</f>
        <v/>
      </c>
      <c r="M77" s="41">
        <f>IF(N('Dvd Calendar'!$O$1030)=0,"",IF(('Dvd Calendar'!$O$1030&gt;=MIN(DATE(Summary!$C$12,1,1),Summary!$C$11))*('Dvd Calendar'!$O$1030&lt;=MAX(DATE(Summary!$C$12,12,31),Summary!$C$15))*('Dvd Calendar'!$O$1030&lt;=Summary!$C$11)=0,"",'Dvd Calendar'!$O$1030*1000000000+ISNUMBER('Dvd Calendar'!$O$1031)*100000000+('Dvd Calendar'!$O$1035='Field Check'!$C$25)*10000000+(N('Dvd Calendar'!$O$1029)&gt;0)*1000000+69*1000+11))</f>
        <v/>
      </c>
      <c r="N77" s="41">
        <f>IF(N('Dvd Calendar'!$P$1030)=0,"",IF(('Dvd Calendar'!$P$1030&gt;=MIN(DATE(Summary!$C$12,1,1),Summary!$C$11))*('Dvd Calendar'!$P$1030&lt;=MAX(DATE(Summary!$C$12,12,31),Summary!$C$15))*('Dvd Calendar'!$P$1030&lt;=Summary!$C$11)=0,"",'Dvd Calendar'!$P$1030*1000000000+ISNUMBER('Dvd Calendar'!$P$1031)*100000000+('Dvd Calendar'!$P$1035='Field Check'!$C$25)*10000000+(N('Dvd Calendar'!$P$1029)&gt;0)*1000000+69*1000+12))</f>
        <v/>
      </c>
      <c r="O77" s="41">
        <f>IF(N('Dvd Calendar'!$Q$1030)=0,"",IF(('Dvd Calendar'!$Q$1030&gt;=MIN(DATE(Summary!$C$12,1,1),Summary!$C$11))*('Dvd Calendar'!$Q$1030&lt;=MAX(DATE(Summary!$C$12,12,31),Summary!$C$15))*('Dvd Calendar'!$Q$1030&lt;=Summary!$C$11)=0,"",'Dvd Calendar'!$Q$1030*1000000000+ISNUMBER('Dvd Calendar'!$Q$1031)*100000000+('Dvd Calendar'!$Q$1035='Field Check'!$C$25)*10000000+(N('Dvd Calendar'!$Q$1029)&gt;0)*1000000+69*1000+13))</f>
        <v/>
      </c>
      <c r="P77" s="41">
        <f>IF(N('Dvd Calendar'!$R$1030)=0,"",IF(('Dvd Calendar'!$R$1030&gt;=MIN(DATE(Summary!$C$12,1,1),Summary!$C$11))*('Dvd Calendar'!$R$1030&lt;=MAX(DATE(Summary!$C$12,12,31),Summary!$C$15))*('Dvd Calendar'!$R$1030&lt;=Summary!$C$11)=0,"",'Dvd Calendar'!$R$1030*1000000000+ISNUMBER('Dvd Calendar'!$R$1031)*100000000+('Dvd Calendar'!$R$1035='Field Check'!$C$25)*10000000+(N('Dvd Calendar'!$R$1029)&gt;0)*1000000+69*1000+14))</f>
        <v/>
      </c>
      <c r="Q77" s="41">
        <f>IF(N('Dvd Calendar'!$S$1030)=0,"",IF(('Dvd Calendar'!$S$1030&gt;=MIN(DATE(Summary!$C$12,1,1),Summary!$C$11))*('Dvd Calendar'!$S$1030&lt;=MAX(DATE(Summary!$C$12,12,31),Summary!$C$15))*('Dvd Calendar'!$S$1030&lt;=Summary!$C$11)=0,"",'Dvd Calendar'!$S$1030*1000000000+ISNUMBER('Dvd Calendar'!$S$1031)*100000000+('Dvd Calendar'!$S$1035='Field Check'!$C$25)*10000000+(N('Dvd Calendar'!$S$1029)&gt;0)*1000000+69*1000+15))</f>
        <v/>
      </c>
      <c r="R77" s="41">
        <f>IF(N('Dvd Calendar'!$T$1030)=0,"",IF(('Dvd Calendar'!$T$1030&gt;=MIN(DATE(Summary!$C$12,1,1),Summary!$C$11))*('Dvd Calendar'!$T$1030&lt;=MAX(DATE(Summary!$C$12,12,31),Summary!$C$15))*('Dvd Calendar'!$T$1030&lt;=Summary!$C$11)=0,"",'Dvd Calendar'!$T$1030*1000000000+ISNUMBER('Dvd Calendar'!$T$1031)*100000000+('Dvd Calendar'!$T$1035='Field Check'!$C$25)*10000000+(N('Dvd Calendar'!$T$1029)&gt;0)*1000000+69*1000+16))</f>
        <v/>
      </c>
      <c r="S77" s="41">
        <f>IF(N('Dvd Calendar'!$U$1030)=0,"",IF(('Dvd Calendar'!$U$1030&gt;=MIN(DATE(Summary!$C$12,1,1),Summary!$C$11))*('Dvd Calendar'!$U$1030&lt;=MAX(DATE(Summary!$C$12,12,31),Summary!$C$15))*('Dvd Calendar'!$U$1030&lt;=Summary!$C$11)=0,"",'Dvd Calendar'!$U$1030*1000000000+ISNUMBER('Dvd Calendar'!$U$1031)*100000000+('Dvd Calendar'!$U$1035='Field Check'!$C$25)*10000000+(N('Dvd Calendar'!$U$1029)&gt;0)*1000000+69*1000+17))</f>
        <v/>
      </c>
      <c r="T77" s="41">
        <f>IF(N('Dvd Calendar'!$V$1030)=0,"",IF(('Dvd Calendar'!$V$1030&gt;=MIN(DATE(Summary!$C$12,1,1),Summary!$C$11))*('Dvd Calendar'!$V$1030&lt;=MAX(DATE(Summary!$C$12,12,31),Summary!$C$15))*('Dvd Calendar'!$V$1030&lt;=Summary!$C$11)=0,"",'Dvd Calendar'!$V$1030*1000000000+ISNUMBER('Dvd Calendar'!$V$1031)*100000000+('Dvd Calendar'!$V$1035='Field Check'!$C$25)*10000000+(N('Dvd Calendar'!$V$1029)&gt;0)*1000000+69*1000+18))</f>
        <v/>
      </c>
      <c r="U77" s="41">
        <f>IF(N('Dvd Calendar'!$W$1030)=0,"",IF(('Dvd Calendar'!$W$1030&gt;=MIN(DATE(Summary!$C$12,1,1),Summary!$C$11))*('Dvd Calendar'!$W$1030&lt;=MAX(DATE(Summary!$C$12,12,31),Summary!$C$15))*('Dvd Calendar'!$W$1030&lt;=Summary!$C$11)=0,"",'Dvd Calendar'!$W$1030*1000000000+ISNUMBER('Dvd Calendar'!$W$1031)*100000000+('Dvd Calendar'!$W$1035='Field Check'!$C$25)*10000000+(N('Dvd Calendar'!$W$1029)&gt;0)*1000000+69*1000+19))</f>
        <v/>
      </c>
      <c r="V77" s="41">
        <f>IF(N('Dvd Calendar'!$X$1030)=0,"",IF(('Dvd Calendar'!$X$1030&gt;=MIN(DATE(Summary!$C$12,1,1),Summary!$C$11))*('Dvd Calendar'!$X$1030&lt;=MAX(DATE(Summary!$C$12,12,31),Summary!$C$15))*('Dvd Calendar'!$X$1030&lt;=Summary!$C$11)=0,"",'Dvd Calendar'!$X$1030*1000000000+ISNUMBER('Dvd Calendar'!$X$1031)*100000000+('Dvd Calendar'!$X$1035='Field Check'!$C$25)*10000000+(N('Dvd Calendar'!$X$1029)&gt;0)*1000000+69*1000+20))</f>
        <v/>
      </c>
      <c r="W77" s="41">
        <f>IF(N('Dvd Calendar'!$Y$1030)=0,"",IF(('Dvd Calendar'!$Y$1030&gt;=MIN(DATE(Summary!$C$12,1,1),Summary!$C$11))*('Dvd Calendar'!$Y$1030&lt;=MAX(DATE(Summary!$C$12,12,31),Summary!$C$15))*('Dvd Calendar'!$Y$1030&lt;=Summary!$C$11)=0,"",'Dvd Calendar'!$Y$1030*1000000000+ISNUMBER('Dvd Calendar'!$Y$1031)*100000000+('Dvd Calendar'!$Y$1035='Field Check'!$C$25)*10000000+(N('Dvd Calendar'!$Y$1029)&gt;0)*1000000+69*1000+21))</f>
        <v/>
      </c>
      <c r="X77" s="41">
        <f>IF(N('Dvd Calendar'!$Z$1030)=0,"",IF(('Dvd Calendar'!$Z$1030&gt;=MIN(DATE(Summary!$C$12,1,1),Summary!$C$11))*('Dvd Calendar'!$Z$1030&lt;=MAX(DATE(Summary!$C$12,12,31),Summary!$C$15))*('Dvd Calendar'!$Z$1030&lt;=Summary!$C$11)=0,"",'Dvd Calendar'!$Z$1030*1000000000+ISNUMBER('Dvd Calendar'!$Z$1031)*100000000+('Dvd Calendar'!$Z$1035='Field Check'!$C$25)*10000000+(N('Dvd Calendar'!$Z$1029)&gt;0)*1000000+69*1000+22))</f>
        <v/>
      </c>
      <c r="Y77" s="41">
        <f>IF(N('Dvd Calendar'!$AA$1030)=0,"",IF(('Dvd Calendar'!$AA$1030&gt;=MIN(DATE(Summary!$C$12,1,1),Summary!$C$11))*('Dvd Calendar'!$AA$1030&lt;=MAX(DATE(Summary!$C$12,12,31),Summary!$C$15))*('Dvd Calendar'!$AA$1030&lt;=Summary!$C$11)=0,"",'Dvd Calendar'!$AA$1030*1000000000+ISNUMBER('Dvd Calendar'!$AA$1031)*100000000+('Dvd Calendar'!$AA$1035='Field Check'!$C$25)*10000000+(N('Dvd Calendar'!$AA$1029)&gt;0)*1000000+69*1000+23))</f>
        <v/>
      </c>
      <c r="Z77" s="41">
        <f>IF(N('Dvd Calendar'!$AB$1030)=0,"",IF(('Dvd Calendar'!$AB$1030&gt;=MIN(DATE(Summary!$C$12,1,1),Summary!$C$11))*('Dvd Calendar'!$AB$1030&lt;=MAX(DATE(Summary!$C$12,12,31),Summary!$C$15))*('Dvd Calendar'!$AB$1030&lt;=Summary!$C$11)=0,"",'Dvd Calendar'!$AB$1030*1000000000+ISNUMBER('Dvd Calendar'!$AB$1031)*100000000+('Dvd Calendar'!$AB$1035='Field Check'!$C$25)*10000000+(N('Dvd Calendar'!$AB$1029)&gt;0)*1000000+69*1000+24))</f>
        <v/>
      </c>
      <c r="AA77" s="41">
        <f>IF(N('Dvd Calendar'!$AC$1030)=0,"",IF(('Dvd Calendar'!$AC$1030&gt;=MIN(DATE(Summary!$C$12,1,1),Summary!$C$11))*('Dvd Calendar'!$AC$1030&lt;=MAX(DATE(Summary!$C$12,12,31),Summary!$C$15))*('Dvd Calendar'!$AC$1030&lt;=Summary!$C$11)=0,"",'Dvd Calendar'!$AC$1030*1000000000+ISNUMBER('Dvd Calendar'!$AC$1031)*100000000+('Dvd Calendar'!$AC$1035='Field Check'!$C$25)*10000000+(N('Dvd Calendar'!$AC$1029)&gt;0)*1000000+69*1000+25))</f>
        <v/>
      </c>
      <c r="AB77" s="41">
        <f>IF(N('Dvd Calendar'!$AD$1030)=0,"",IF(('Dvd Calendar'!$AD$1030&gt;=MIN(DATE(Summary!$C$12,1,1),Summary!$C$11))*('Dvd Calendar'!$AD$1030&lt;=MAX(DATE(Summary!$C$12,12,31),Summary!$C$15))*('Dvd Calendar'!$AD$1030&lt;=Summary!$C$11)=0,"",'Dvd Calendar'!$AD$1030*1000000000+ISNUMBER('Dvd Calendar'!$AD$1031)*100000000+('Dvd Calendar'!$AD$1035='Field Check'!$C$25)*10000000+(N('Dvd Calendar'!$AD$1029)&gt;0)*1000000+69*1000+26))</f>
        <v/>
      </c>
      <c r="AC77" s="41">
        <f>IF(N('Dvd Calendar'!$AE$1030)=0,"",IF(('Dvd Calendar'!$AE$1030&gt;=MIN(DATE(Summary!$C$12,1,1),Summary!$C$11))*('Dvd Calendar'!$AE$1030&lt;=MAX(DATE(Summary!$C$12,12,31),Summary!$C$15))*('Dvd Calendar'!$AE$1030&lt;=Summary!$C$11)=0,"",'Dvd Calendar'!$AE$1030*1000000000+ISNUMBER('Dvd Calendar'!$AE$1031)*100000000+('Dvd Calendar'!$AE$1035='Field Check'!$C$25)*10000000+(N('Dvd Calendar'!$AE$1029)&gt;0)*1000000+69*1000+27))</f>
        <v/>
      </c>
      <c r="AD77" s="41">
        <f>IF(N('Dvd Calendar'!$AF$1030)=0,"",IF(('Dvd Calendar'!$AF$1030&gt;=MIN(DATE(Summary!$C$12,1,1),Summary!$C$11))*('Dvd Calendar'!$AF$1030&lt;=MAX(DATE(Summary!$C$12,12,31),Summary!$C$15))*('Dvd Calendar'!$AF$1030&lt;=Summary!$C$11)=0,"",'Dvd Calendar'!$AF$1030*1000000000+ISNUMBER('Dvd Calendar'!$AF$1031)*100000000+('Dvd Calendar'!$AF$1035='Field Check'!$C$25)*10000000+(N('Dvd Calendar'!$AF$1029)&gt;0)*1000000+69*1000+28))</f>
        <v/>
      </c>
      <c r="AE77" s="41">
        <f>IF(N('Dvd Calendar'!$AG$1030)=0,"",IF(('Dvd Calendar'!$AG$1030&gt;=MIN(DATE(Summary!$C$12,1,1),Summary!$C$11))*('Dvd Calendar'!$AG$1030&lt;=MAX(DATE(Summary!$C$12,12,31),Summary!$C$15))*('Dvd Calendar'!$AG$1030&lt;=Summary!$C$11)=0,"",'Dvd Calendar'!$AG$1030*1000000000+ISNUMBER('Dvd Calendar'!$AG$1031)*100000000+('Dvd Calendar'!$AG$1035='Field Check'!$C$25)*10000000+(N('Dvd Calendar'!$AG$1029)&gt;0)*1000000+69*1000+29))</f>
        <v/>
      </c>
      <c r="AF77" s="41">
        <f>IF(N('Dvd Calendar'!$AH$1030)=0,"",IF(('Dvd Calendar'!$AH$1030&gt;=MIN(DATE(Summary!$C$12,1,1),Summary!$C$11))*('Dvd Calendar'!$AH$1030&lt;=MAX(DATE(Summary!$C$12,12,31),Summary!$C$15))*('Dvd Calendar'!$AH$1030&lt;=Summary!$C$11)=0,"",'Dvd Calendar'!$AH$1030*1000000000+ISNUMBER('Dvd Calendar'!$AH$1031)*100000000+('Dvd Calendar'!$AH$1035='Field Check'!$C$25)*10000000+(N('Dvd Calendar'!$AH$1029)&gt;0)*1000000+69*1000+30))</f>
        <v/>
      </c>
      <c r="AG77" s="41">
        <f>IF(N('Dvd Calendar'!$AI$1030)=0,"",IF(('Dvd Calendar'!$AI$1030&gt;=MIN(DATE(Summary!$C$12,1,1),Summary!$C$11))*('Dvd Calendar'!$AI$1030&lt;=MAX(DATE(Summary!$C$12,12,31),Summary!$C$15))*('Dvd Calendar'!$AI$1030&lt;=Summary!$C$11)=0,"",'Dvd Calendar'!$AI$1030*1000000000+ISNUMBER('Dvd Calendar'!$AI$1031)*100000000+('Dvd Calendar'!$AI$1035='Field Check'!$C$25)*10000000+(N('Dvd Calendar'!$AI$1029)&gt;0)*1000000+69*1000+31))</f>
        <v/>
      </c>
      <c r="AH77" s="41">
        <f>IF(N('Dvd Calendar'!$AJ$1030)=0,"",IF(('Dvd Calendar'!$AJ$1030&gt;=MIN(DATE(Summary!$C$12,1,1),Summary!$C$11))*('Dvd Calendar'!$AJ$1030&lt;=MAX(DATE(Summary!$C$12,12,31),Summary!$C$15))*('Dvd Calendar'!$AJ$1030&lt;=Summary!$C$11)=0,"",'Dvd Calendar'!$AJ$1030*1000000000+ISNUMBER('Dvd Calendar'!$AJ$1031)*100000000+('Dvd Calendar'!$AJ$1035='Field Check'!$C$25)*10000000+(N('Dvd Calendar'!$AJ$1029)&gt;0)*1000000+69*1000+32))</f>
        <v/>
      </c>
      <c r="AI77" s="41">
        <f>IF(N('Dvd Calendar'!$AK$1030)=0,"",IF(('Dvd Calendar'!$AK$1030&gt;=MIN(DATE(Summary!$C$12,1,1),Summary!$C$11))*('Dvd Calendar'!$AK$1030&lt;=MAX(DATE(Summary!$C$12,12,31),Summary!$C$15))*('Dvd Calendar'!$AK$1030&lt;=Summary!$C$11)=0,"",'Dvd Calendar'!$AK$1030*1000000000+ISNUMBER('Dvd Calendar'!$AK$1031)*100000000+('Dvd Calendar'!$AK$1035='Field Check'!$C$25)*10000000+(N('Dvd Calendar'!$AK$1029)&gt;0)*1000000+69*1000+33))</f>
        <v/>
      </c>
      <c r="AJ77" s="41">
        <f>IF(N('Dvd Calendar'!$AL$1030)=0,"",IF(('Dvd Calendar'!$AL$1030&gt;=MIN(DATE(Summary!$C$12,1,1),Summary!$C$11))*('Dvd Calendar'!$AL$1030&lt;=MAX(DATE(Summary!$C$12,12,31),Summary!$C$15))*('Dvd Calendar'!$AL$1030&lt;=Summary!$C$11)=0,"",'Dvd Calendar'!$AL$1030*1000000000+ISNUMBER('Dvd Calendar'!$AL$1031)*100000000+('Dvd Calendar'!$AL$1035='Field Check'!$C$25)*10000000+(N('Dvd Calendar'!$AL$1029)&gt;0)*1000000+69*1000+34))</f>
        <v/>
      </c>
      <c r="AK77" s="41">
        <f>IF(N('Dvd Calendar'!$AM$1030)=0,"",IF(('Dvd Calendar'!$AM$1030&gt;=MIN(DATE(Summary!$C$12,1,1),Summary!$C$11))*('Dvd Calendar'!$AM$1030&lt;=MAX(DATE(Summary!$C$12,12,31),Summary!$C$15))*('Dvd Calendar'!$AM$1030&lt;=Summary!$C$11)=0,"",'Dvd Calendar'!$AM$1030*1000000000+ISNUMBER('Dvd Calendar'!$AM$1031)*100000000+('Dvd Calendar'!$AM$1035='Field Check'!$C$25)*10000000+(N('Dvd Calendar'!$AM$1029)&gt;0)*1000000+69*1000+35))</f>
        <v/>
      </c>
      <c r="AL77" s="41">
        <f>IF(N('Dvd Calendar'!$AN$1030)=0,"",IF(('Dvd Calendar'!$AN$1030&gt;=MIN(DATE(Summary!$C$12,1,1),Summary!$C$11))*('Dvd Calendar'!$AN$1030&lt;=MAX(DATE(Summary!$C$12,12,31),Summary!$C$15))*('Dvd Calendar'!$AN$1030&lt;=Summary!$C$11)=0,"",'Dvd Calendar'!$AN$1030*1000000000+ISNUMBER('Dvd Calendar'!$AN$1031)*100000000+('Dvd Calendar'!$AN$1035='Field Check'!$C$25)*10000000+(N('Dvd Calendar'!$AN$1029)&gt;0)*1000000+69*1000+36))</f>
        <v/>
      </c>
      <c r="AM77" s="41">
        <f>IF(N('Dvd Calendar'!$AO$1030)=0,"",IF(('Dvd Calendar'!$AO$1030&gt;=MIN(DATE(Summary!$C$12,1,1),Summary!$C$11))*('Dvd Calendar'!$AO$1030&lt;=MAX(DATE(Summary!$C$12,12,31),Summary!$C$15))*('Dvd Calendar'!$AO$1030&lt;=Summary!$C$11)=0,"",'Dvd Calendar'!$AO$1030*1000000000+ISNUMBER('Dvd Calendar'!$AO$1031)*100000000+('Dvd Calendar'!$AO$1035='Field Check'!$C$25)*10000000+(N('Dvd Calendar'!$AO$1029)&gt;0)*1000000+69*1000+37))</f>
        <v/>
      </c>
      <c r="AN77" s="41">
        <f>IF(N('Dvd Calendar'!$AP$1030)=0,"",IF(('Dvd Calendar'!$AP$1030&gt;=MIN(DATE(Summary!$C$12,1,1),Summary!$C$11))*('Dvd Calendar'!$AP$1030&lt;=MAX(DATE(Summary!$C$12,12,31),Summary!$C$15))*('Dvd Calendar'!$AP$1030&lt;=Summary!$C$11)=0,"",'Dvd Calendar'!$AP$1030*1000000000+ISNUMBER('Dvd Calendar'!$AP$1031)*100000000+('Dvd Calendar'!$AP$1035='Field Check'!$C$25)*10000000+(N('Dvd Calendar'!$AP$1029)&gt;0)*1000000+69*1000+38))</f>
        <v/>
      </c>
      <c r="AO77" s="41">
        <f>IF(N('Dvd Calendar'!$AQ$1030)=0,"",IF(('Dvd Calendar'!$AQ$1030&gt;=MIN(DATE(Summary!$C$12,1,1),Summary!$C$11))*('Dvd Calendar'!$AQ$1030&lt;=MAX(DATE(Summary!$C$12,12,31),Summary!$C$15))*('Dvd Calendar'!$AQ$1030&lt;=Summary!$C$11)=0,"",'Dvd Calendar'!$AQ$1030*1000000000+ISNUMBER('Dvd Calendar'!$AQ$1031)*100000000+('Dvd Calendar'!$AQ$1035='Field Check'!$C$25)*10000000+(N('Dvd Calendar'!$AQ$1029)&gt;0)*1000000+69*1000+39))</f>
        <v/>
      </c>
      <c r="AP77" s="41">
        <f>IF(N('Dvd Calendar'!$AR$1030)=0,"",IF(('Dvd Calendar'!$AR$1030&gt;=MIN(DATE(Summary!$C$12,1,1),Summary!$C$11))*('Dvd Calendar'!$AR$1030&lt;=MAX(DATE(Summary!$C$12,12,31),Summary!$C$15))*('Dvd Calendar'!$AR$1030&lt;=Summary!$C$11)=0,"",'Dvd Calendar'!$AR$1030*1000000000+ISNUMBER('Dvd Calendar'!$AR$1031)*100000000+('Dvd Calendar'!$AR$1035='Field Check'!$C$25)*10000000+(N('Dvd Calendar'!$AR$1029)&gt;0)*1000000+69*1000+40))</f>
        <v/>
      </c>
      <c r="AQ77" s="41">
        <f>IF(N('Dvd Calendar'!$E$1037)=0,"",IF(('Dvd Calendar'!$E$1037&gt;=MIN(DATE(Summary!$C$12,1,1),Summary!$C$11))*('Dvd Calendar'!$E$1037&lt;=MAX(DATE(Summary!$C$12,12,31),Summary!$C$15))*('Dvd Calendar'!$E$1037&gt;Summary!$C$11)=0,"",'Dvd Calendar'!$E$1037*1000000000+ISNUMBER('Dvd Calendar'!$E$1038)*100000000+('Dvd Calendar'!$E$1042='Field Check'!$C$25)*10000000+(N('Dvd Calendar'!$E$1036)&gt;0)*1000000+69*1000+41))</f>
        <v/>
      </c>
      <c r="AR77" s="41">
        <f>IF(N('Dvd Calendar'!$F$1037)=0,"",IF(('Dvd Calendar'!$F$1037&gt;=MIN(DATE(Summary!$C$12,1,1),Summary!$C$11))*('Dvd Calendar'!$F$1037&lt;=MAX(DATE(Summary!$C$12,12,31),Summary!$C$15))*('Dvd Calendar'!$F$1037&gt;Summary!$C$11)=0,"",'Dvd Calendar'!$F$1037*1000000000+ISNUMBER('Dvd Calendar'!$F$1038)*100000000+('Dvd Calendar'!$F$1042='Field Check'!$C$25)*10000000+(N('Dvd Calendar'!$F$1036)&gt;0)*1000000+69*1000+42))</f>
        <v/>
      </c>
      <c r="AS77" s="41">
        <f>IF(N('Dvd Calendar'!$G$1037)=0,"",IF(('Dvd Calendar'!$G$1037&gt;=MIN(DATE(Summary!$C$12,1,1),Summary!$C$11))*('Dvd Calendar'!$G$1037&lt;=MAX(DATE(Summary!$C$12,12,31),Summary!$C$15))*('Dvd Calendar'!$G$1037&gt;Summary!$C$11)=0,"",'Dvd Calendar'!$G$1037*1000000000+ISNUMBER('Dvd Calendar'!$G$1038)*100000000+('Dvd Calendar'!$G$1042='Field Check'!$C$25)*10000000+(N('Dvd Calendar'!$G$1036)&gt;0)*1000000+69*1000+43))</f>
        <v/>
      </c>
      <c r="AT77" s="41">
        <f>IF(N('Dvd Calendar'!$H$1037)=0,"",IF(('Dvd Calendar'!$H$1037&gt;=MIN(DATE(Summary!$C$12,1,1),Summary!$C$11))*('Dvd Calendar'!$H$1037&lt;=MAX(DATE(Summary!$C$12,12,31),Summary!$C$15))*('Dvd Calendar'!$H$1037&gt;Summary!$C$11)=0,"",'Dvd Calendar'!$H$1037*1000000000+ISNUMBER('Dvd Calendar'!$H$1038)*100000000+('Dvd Calendar'!$H$1042='Field Check'!$C$25)*10000000+(N('Dvd Calendar'!$H$1036)&gt;0)*1000000+69*1000+44))</f>
        <v/>
      </c>
      <c r="AU77" s="41">
        <f>IF(N('Dvd Calendar'!$I$1037)=0,"",IF(('Dvd Calendar'!$I$1037&gt;=MIN(DATE(Summary!$C$12,1,1),Summary!$C$11))*('Dvd Calendar'!$I$1037&lt;=MAX(DATE(Summary!$C$12,12,31),Summary!$C$15))*('Dvd Calendar'!$I$1037&gt;Summary!$C$11)=0,"",'Dvd Calendar'!$I$1037*1000000000+ISNUMBER('Dvd Calendar'!$I$1038)*100000000+('Dvd Calendar'!$I$1042='Field Check'!$C$25)*10000000+(N('Dvd Calendar'!$I$1036)&gt;0)*1000000+69*1000+45))</f>
        <v/>
      </c>
      <c r="AV77" s="41">
        <f>IF(N('Dvd Calendar'!$J$1037)=0,"",IF(('Dvd Calendar'!$J$1037&gt;=MIN(DATE(Summary!$C$12,1,1),Summary!$C$11))*('Dvd Calendar'!$J$1037&lt;=MAX(DATE(Summary!$C$12,12,31),Summary!$C$15))*('Dvd Calendar'!$J$1037&gt;Summary!$C$11)=0,"",'Dvd Calendar'!$J$1037*1000000000+ISNUMBER('Dvd Calendar'!$J$1038)*100000000+('Dvd Calendar'!$J$1042='Field Check'!$C$25)*10000000+(N('Dvd Calendar'!$J$1036)&gt;0)*1000000+69*1000+46))</f>
        <v/>
      </c>
      <c r="AW77" s="41">
        <f>IF(N('Dvd Calendar'!$K$1037)=0,"",IF(('Dvd Calendar'!$K$1037&gt;=MIN(DATE(Summary!$C$12,1,1),Summary!$C$11))*('Dvd Calendar'!$K$1037&lt;=MAX(DATE(Summary!$C$12,12,31),Summary!$C$15))*('Dvd Calendar'!$K$1037&gt;Summary!$C$11)=0,"",'Dvd Calendar'!$K$1037*1000000000+ISNUMBER('Dvd Calendar'!$K$1038)*100000000+('Dvd Calendar'!$K$1042='Field Check'!$C$25)*10000000+(N('Dvd Calendar'!$K$1036)&gt;0)*1000000+69*1000+47))</f>
        <v/>
      </c>
      <c r="AX77" s="41">
        <f>IF(N('Dvd Calendar'!$L$1037)=0,"",IF(('Dvd Calendar'!$L$1037&gt;=MIN(DATE(Summary!$C$12,1,1),Summary!$C$11))*('Dvd Calendar'!$L$1037&lt;=MAX(DATE(Summary!$C$12,12,31),Summary!$C$15))*('Dvd Calendar'!$L$1037&gt;Summary!$C$11)=0,"",'Dvd Calendar'!$L$1037*1000000000+ISNUMBER('Dvd Calendar'!$L$1038)*100000000+('Dvd Calendar'!$L$1042='Field Check'!$C$25)*10000000+(N('Dvd Calendar'!$L$1036)&gt;0)*1000000+69*1000+48))</f>
        <v/>
      </c>
      <c r="AY77" s="41">
        <f>IF(N('Dvd Calendar'!$M$1037)=0,"",IF(('Dvd Calendar'!$M$1037&gt;=MIN(DATE(Summary!$C$12,1,1),Summary!$C$11))*('Dvd Calendar'!$M$1037&lt;=MAX(DATE(Summary!$C$12,12,31),Summary!$C$15))*('Dvd Calendar'!$M$1037&gt;Summary!$C$11)=0,"",'Dvd Calendar'!$M$1037*1000000000+ISNUMBER('Dvd Calendar'!$M$1038)*100000000+('Dvd Calendar'!$M$1042='Field Check'!$C$25)*10000000+(N('Dvd Calendar'!$M$1036)&gt;0)*1000000+69*1000+49))</f>
        <v/>
      </c>
      <c r="AZ77" s="41">
        <f>IF(N('Dvd Calendar'!$N$1037)=0,"",IF(('Dvd Calendar'!$N$1037&gt;=MIN(DATE(Summary!$C$12,1,1),Summary!$C$11))*('Dvd Calendar'!$N$1037&lt;=MAX(DATE(Summary!$C$12,12,31),Summary!$C$15))*('Dvd Calendar'!$N$1037&gt;Summary!$C$11)=0,"",'Dvd Calendar'!$N$1037*1000000000+ISNUMBER('Dvd Calendar'!$N$1038)*100000000+('Dvd Calendar'!$N$1042='Field Check'!$C$25)*10000000+(N('Dvd Calendar'!$N$1036)&gt;0)*1000000+69*1000+50))</f>
        <v/>
      </c>
      <c r="BA77" s="41">
        <f>IF(N('Dvd Calendar'!$O$1037)=0,"",IF(('Dvd Calendar'!$O$1037&gt;=MIN(DATE(Summary!$C$12,1,1),Summary!$C$11))*('Dvd Calendar'!$O$1037&lt;=MAX(DATE(Summary!$C$12,12,31),Summary!$C$15))*('Dvd Calendar'!$O$1037&gt;Summary!$C$11)=0,"",'Dvd Calendar'!$O$1037*1000000000+ISNUMBER('Dvd Calendar'!$O$1038)*100000000+('Dvd Calendar'!$O$1042='Field Check'!$C$25)*10000000+(N('Dvd Calendar'!$O$1036)&gt;0)*1000000+69*1000+51))</f>
        <v/>
      </c>
      <c r="BB77" s="41">
        <f>IF(N('Dvd Calendar'!$P$1037)=0,"",IF(('Dvd Calendar'!$P$1037&gt;=MIN(DATE(Summary!$C$12,1,1),Summary!$C$11))*('Dvd Calendar'!$P$1037&lt;=MAX(DATE(Summary!$C$12,12,31),Summary!$C$15))*('Dvd Calendar'!$P$1037&gt;Summary!$C$11)=0,"",'Dvd Calendar'!$P$1037*1000000000+ISNUMBER('Dvd Calendar'!$P$1038)*100000000+('Dvd Calendar'!$P$1042='Field Check'!$C$25)*10000000+(N('Dvd Calendar'!$P$1036)&gt;0)*1000000+69*1000+52))</f>
        <v/>
      </c>
      <c r="BC77" s="41">
        <f>IF(N('Dvd Calendar'!$Q$1037)=0,"",IF(('Dvd Calendar'!$Q$1037&gt;=MIN(DATE(Summary!$C$12,1,1),Summary!$C$11))*('Dvd Calendar'!$Q$1037&lt;=MAX(DATE(Summary!$C$12,12,31),Summary!$C$15))*('Dvd Calendar'!$Q$1037&gt;Summary!$C$11)=0,"",'Dvd Calendar'!$Q$1037*1000000000+ISNUMBER('Dvd Calendar'!$Q$1038)*100000000+('Dvd Calendar'!$Q$1042='Field Check'!$C$25)*10000000+(N('Dvd Calendar'!$Q$1036)&gt;0)*1000000+69*1000+53))</f>
        <v/>
      </c>
      <c r="BD77" s="41">
        <f>IF(N('Dvd Calendar'!$R$1037)=0,"",IF(('Dvd Calendar'!$R$1037&gt;=MIN(DATE(Summary!$C$12,1,1),Summary!$C$11))*('Dvd Calendar'!$R$1037&lt;=MAX(DATE(Summary!$C$12,12,31),Summary!$C$15))*('Dvd Calendar'!$R$1037&gt;Summary!$C$11)=0,"",'Dvd Calendar'!$R$1037*1000000000+ISNUMBER('Dvd Calendar'!$R$1038)*100000000+('Dvd Calendar'!$R$1042='Field Check'!$C$25)*10000000+(N('Dvd Calendar'!$R$1036)&gt;0)*1000000+69*1000+54))</f>
        <v/>
      </c>
      <c r="BE77" s="41">
        <f>IF(N('Dvd Calendar'!$S$1037)=0,"",IF(('Dvd Calendar'!$S$1037&gt;=MIN(DATE(Summary!$C$12,1,1),Summary!$C$11))*('Dvd Calendar'!$S$1037&lt;=MAX(DATE(Summary!$C$12,12,31),Summary!$C$15))*('Dvd Calendar'!$S$1037&gt;Summary!$C$11)=0,"",'Dvd Calendar'!$S$1037*1000000000+ISNUMBER('Dvd Calendar'!$S$1038)*100000000+('Dvd Calendar'!$S$1042='Field Check'!$C$25)*10000000+(N('Dvd Calendar'!$S$1036)&gt;0)*1000000+69*1000+55))</f>
        <v/>
      </c>
      <c r="BF77" s="41">
        <f>IF(N('Dvd Calendar'!$T$1037)=0,"",IF(('Dvd Calendar'!$T$1037&gt;=MIN(DATE(Summary!$C$12,1,1),Summary!$C$11))*('Dvd Calendar'!$T$1037&lt;=MAX(DATE(Summary!$C$12,12,31),Summary!$C$15))*('Dvd Calendar'!$T$1037&gt;Summary!$C$11)=0,"",'Dvd Calendar'!$T$1037*1000000000+ISNUMBER('Dvd Calendar'!$T$1038)*100000000+('Dvd Calendar'!$T$1042='Field Check'!$C$25)*10000000+(N('Dvd Calendar'!$T$1036)&gt;0)*1000000+69*1000+56))</f>
        <v/>
      </c>
      <c r="BG77" s="41">
        <f>IF(N('Dvd Calendar'!$U$1037)=0,"",IF(('Dvd Calendar'!$U$1037&gt;=MIN(DATE(Summary!$C$12,1,1),Summary!$C$11))*('Dvd Calendar'!$U$1037&lt;=MAX(DATE(Summary!$C$12,12,31),Summary!$C$15))*('Dvd Calendar'!$U$1037&gt;Summary!$C$11)=0,"",'Dvd Calendar'!$U$1037*1000000000+ISNUMBER('Dvd Calendar'!$U$1038)*100000000+('Dvd Calendar'!$U$1042='Field Check'!$C$25)*10000000+(N('Dvd Calendar'!$U$1036)&gt;0)*1000000+69*1000+57))</f>
        <v/>
      </c>
      <c r="BH77" s="41">
        <f>IF(N('Dvd Calendar'!$V$1037)=0,"",IF(('Dvd Calendar'!$V$1037&gt;=MIN(DATE(Summary!$C$12,1,1),Summary!$C$11))*('Dvd Calendar'!$V$1037&lt;=MAX(DATE(Summary!$C$12,12,31),Summary!$C$15))*('Dvd Calendar'!$V$1037&gt;Summary!$C$11)=0,"",'Dvd Calendar'!$V$1037*1000000000+ISNUMBER('Dvd Calendar'!$V$1038)*100000000+('Dvd Calendar'!$V$1042='Field Check'!$C$25)*10000000+(N('Dvd Calendar'!$V$1036)&gt;0)*1000000+69*1000+58))</f>
        <v/>
      </c>
      <c r="BI77" s="41">
        <f>IF(N('Dvd Calendar'!$W$1037)=0,"",IF(('Dvd Calendar'!$W$1037&gt;=MIN(DATE(Summary!$C$12,1,1),Summary!$C$11))*('Dvd Calendar'!$W$1037&lt;=MAX(DATE(Summary!$C$12,12,31),Summary!$C$15))*('Dvd Calendar'!$W$1037&gt;Summary!$C$11)=0,"",'Dvd Calendar'!$W$1037*1000000000+ISNUMBER('Dvd Calendar'!$W$1038)*100000000+('Dvd Calendar'!$W$1042='Field Check'!$C$25)*10000000+(N('Dvd Calendar'!$W$1036)&gt;0)*1000000+69*1000+59))</f>
        <v/>
      </c>
      <c r="BJ77" s="41">
        <f>IF(N('Dvd Calendar'!$X$1037)=0,"",IF(('Dvd Calendar'!$X$1037&gt;=MIN(DATE(Summary!$C$12,1,1),Summary!$C$11))*('Dvd Calendar'!$X$1037&lt;=MAX(DATE(Summary!$C$12,12,31),Summary!$C$15))*('Dvd Calendar'!$X$1037&gt;Summary!$C$11)=0,"",'Dvd Calendar'!$X$1037*1000000000+ISNUMBER('Dvd Calendar'!$X$1038)*100000000+('Dvd Calendar'!$X$1042='Field Check'!$C$25)*10000000+(N('Dvd Calendar'!$X$1036)&gt;0)*1000000+69*1000+60))</f>
        <v/>
      </c>
      <c r="BK77" s="41">
        <f>IF(N('Dvd Calendar'!$Y$1037)=0,"",IF(('Dvd Calendar'!$Y$1037&gt;=MIN(DATE(Summary!$C$12,1,1),Summary!$C$11))*('Dvd Calendar'!$Y$1037&lt;=MAX(DATE(Summary!$C$12,12,31),Summary!$C$15))*('Dvd Calendar'!$Y$1037&gt;Summary!$C$11)=0,"",'Dvd Calendar'!$Y$1037*1000000000+ISNUMBER('Dvd Calendar'!$Y$1038)*100000000+('Dvd Calendar'!$Y$1042='Field Check'!$C$25)*10000000+(N('Dvd Calendar'!$Y$1036)&gt;0)*1000000+69*1000+61))</f>
        <v/>
      </c>
      <c r="BL77" s="41">
        <f>IF(N('Dvd Calendar'!$Z$1037)=0,"",IF(('Dvd Calendar'!$Z$1037&gt;=MIN(DATE(Summary!$C$12,1,1),Summary!$C$11))*('Dvd Calendar'!$Z$1037&lt;=MAX(DATE(Summary!$C$12,12,31),Summary!$C$15))*('Dvd Calendar'!$Z$1037&gt;Summary!$C$11)=0,"",'Dvd Calendar'!$Z$1037*1000000000+ISNUMBER('Dvd Calendar'!$Z$1038)*100000000+('Dvd Calendar'!$Z$1042='Field Check'!$C$25)*10000000+(N('Dvd Calendar'!$Z$1036)&gt;0)*1000000+69*1000+62))</f>
        <v/>
      </c>
      <c r="BM77" s="41">
        <f>IF(N('Dvd Calendar'!$AA$1037)=0,"",IF(('Dvd Calendar'!$AA$1037&gt;=MIN(DATE(Summary!$C$12,1,1),Summary!$C$11))*('Dvd Calendar'!$AA$1037&lt;=MAX(DATE(Summary!$C$12,12,31),Summary!$C$15))*('Dvd Calendar'!$AA$1037&gt;Summary!$C$11)=0,"",'Dvd Calendar'!$AA$1037*1000000000+ISNUMBER('Dvd Calendar'!$AA$1038)*100000000+('Dvd Calendar'!$AA$1042='Field Check'!$C$25)*10000000+(N('Dvd Calendar'!$AA$1036)&gt;0)*1000000+69*1000+63))</f>
        <v/>
      </c>
      <c r="BN77" s="41">
        <f>IF(N('Dvd Calendar'!$AB$1037)=0,"",IF(('Dvd Calendar'!$AB$1037&gt;=MIN(DATE(Summary!$C$12,1,1),Summary!$C$11))*('Dvd Calendar'!$AB$1037&lt;=MAX(DATE(Summary!$C$12,12,31),Summary!$C$15))*('Dvd Calendar'!$AB$1037&gt;Summary!$C$11)=0,"",'Dvd Calendar'!$AB$1037*1000000000+ISNUMBER('Dvd Calendar'!$AB$1038)*100000000+('Dvd Calendar'!$AB$1042='Field Check'!$C$25)*10000000+(N('Dvd Calendar'!$AB$1036)&gt;0)*1000000+69*1000+64))</f>
        <v/>
      </c>
      <c r="BO77" s="41">
        <f>IF(N('Dvd Calendar'!$AC$1037)=0,"",IF(('Dvd Calendar'!$AC$1037&gt;=MIN(DATE(Summary!$C$12,1,1),Summary!$C$11))*('Dvd Calendar'!$AC$1037&lt;=MAX(DATE(Summary!$C$12,12,31),Summary!$C$15))*('Dvd Calendar'!$AC$1037&gt;Summary!$C$11)=0,"",'Dvd Calendar'!$AC$1037*1000000000+ISNUMBER('Dvd Calendar'!$AC$1038)*100000000+('Dvd Calendar'!$AC$1042='Field Check'!$C$25)*10000000+(N('Dvd Calendar'!$AC$1036)&gt;0)*1000000+69*1000+65))</f>
        <v/>
      </c>
      <c r="BQ77" s="85">
        <f>IF(C77="","",IF(ISNUMBER('Dvd Calendar'!$E$1031)=FALSE,"",IF((Summary!$C$13="N")*('Dvd Calendar'!$E$1035='Field Check'!$C$25)&gt;0,"",'Dvd Calendar'!$E$1031)))</f>
        <v/>
      </c>
      <c r="BR77" s="85">
        <f>IF(D77="","",IF(ISNUMBER('Dvd Calendar'!$F$1031)=FALSE,"",IF((Summary!$C$13="N")*('Dvd Calendar'!$F$1035='Field Check'!$C$25)&gt;0,"",'Dvd Calendar'!$F$1031)))</f>
        <v/>
      </c>
      <c r="BS77" s="85">
        <f>IF(E77="","",IF(ISNUMBER('Dvd Calendar'!$G$1031)=FALSE,"",IF((Summary!$C$13="N")*('Dvd Calendar'!$G$1035='Field Check'!$C$25)&gt;0,"",'Dvd Calendar'!$G$1031)))</f>
        <v/>
      </c>
      <c r="BT77" s="85">
        <f>IF(F77="","",IF(ISNUMBER('Dvd Calendar'!$H$1031)=FALSE,"",IF((Summary!$C$13="N")*('Dvd Calendar'!$H$1035='Field Check'!$C$25)&gt;0,"",'Dvd Calendar'!$H$1031)))</f>
        <v/>
      </c>
      <c r="BU77" s="85">
        <f>IF(G77="","",IF(ISNUMBER('Dvd Calendar'!$I$1031)=FALSE,"",IF((Summary!$C$13="N")*('Dvd Calendar'!$I$1035='Field Check'!$C$25)&gt;0,"",'Dvd Calendar'!$I$1031)))</f>
        <v/>
      </c>
      <c r="BV77" s="85">
        <f>IF(H77="","",IF(ISNUMBER('Dvd Calendar'!$J$1031)=FALSE,"",IF((Summary!$C$13="N")*('Dvd Calendar'!$J$1035='Field Check'!$C$25)&gt;0,"",'Dvd Calendar'!$J$1031)))</f>
        <v/>
      </c>
      <c r="BW77" s="85">
        <f>IF(I77="","",IF(ISNUMBER('Dvd Calendar'!$K$1031)=FALSE,"",IF((Summary!$C$13="N")*('Dvd Calendar'!$K$1035='Field Check'!$C$25)&gt;0,"",'Dvd Calendar'!$K$1031)))</f>
        <v/>
      </c>
      <c r="BX77" s="85">
        <f>IF(J77="","",IF(ISNUMBER('Dvd Calendar'!$L$1031)=FALSE,"",IF((Summary!$C$13="N")*('Dvd Calendar'!$L$1035='Field Check'!$C$25)&gt;0,"",'Dvd Calendar'!$L$1031)))</f>
        <v/>
      </c>
      <c r="BY77" s="85">
        <f>IF(K77="","",IF(ISNUMBER('Dvd Calendar'!$M$1031)=FALSE,"",IF((Summary!$C$13="N")*('Dvd Calendar'!$M$1035='Field Check'!$C$25)&gt;0,"",'Dvd Calendar'!$M$1031)))</f>
        <v/>
      </c>
      <c r="BZ77" s="85">
        <f>IF(L77="","",IF(ISNUMBER('Dvd Calendar'!$N$1031)=FALSE,"",IF((Summary!$C$13="N")*('Dvd Calendar'!$N$1035='Field Check'!$C$25)&gt;0,"",'Dvd Calendar'!$N$1031)))</f>
        <v/>
      </c>
      <c r="CA77" s="85">
        <f>IF(M77="","",IF(ISNUMBER('Dvd Calendar'!$O$1031)=FALSE,"",IF((Summary!$C$13="N")*('Dvd Calendar'!$O$1035='Field Check'!$C$25)&gt;0,"",'Dvd Calendar'!$O$1031)))</f>
        <v/>
      </c>
      <c r="CB77" s="85">
        <f>IF(N77="","",IF(ISNUMBER('Dvd Calendar'!$P$1031)=FALSE,"",IF((Summary!$C$13="N")*('Dvd Calendar'!$P$1035='Field Check'!$C$25)&gt;0,"",'Dvd Calendar'!$P$1031)))</f>
        <v/>
      </c>
      <c r="CC77" s="85">
        <f>IF(O77="","",IF(ISNUMBER('Dvd Calendar'!$Q$1031)=FALSE,"",IF((Summary!$C$13="N")*('Dvd Calendar'!$Q$1035='Field Check'!$C$25)&gt;0,"",'Dvd Calendar'!$Q$1031)))</f>
        <v/>
      </c>
      <c r="CD77" s="85">
        <f>IF(P77="","",IF(ISNUMBER('Dvd Calendar'!$R$1031)=FALSE,"",IF((Summary!$C$13="N")*('Dvd Calendar'!$R$1035='Field Check'!$C$25)&gt;0,"",'Dvd Calendar'!$R$1031)))</f>
        <v/>
      </c>
      <c r="CE77" s="85">
        <f>IF(Q77="","",IF(ISNUMBER('Dvd Calendar'!$S$1031)=FALSE,"",IF((Summary!$C$13="N")*('Dvd Calendar'!$S$1035='Field Check'!$C$25)&gt;0,"",'Dvd Calendar'!$S$1031)))</f>
        <v/>
      </c>
      <c r="CF77" s="85">
        <f>IF(R77="","",IF(ISNUMBER('Dvd Calendar'!$T$1031)=FALSE,"",IF((Summary!$C$13="N")*('Dvd Calendar'!$T$1035='Field Check'!$C$25)&gt;0,"",'Dvd Calendar'!$T$1031)))</f>
        <v/>
      </c>
      <c r="CG77" s="85">
        <f>IF(S77="","",IF(ISNUMBER('Dvd Calendar'!$U$1031)=FALSE,"",IF((Summary!$C$13="N")*('Dvd Calendar'!$U$1035='Field Check'!$C$25)&gt;0,"",'Dvd Calendar'!$U$1031)))</f>
        <v/>
      </c>
      <c r="CH77" s="85">
        <f>IF(T77="","",IF(ISNUMBER('Dvd Calendar'!$V$1031)=FALSE,"",IF((Summary!$C$13="N")*('Dvd Calendar'!$V$1035='Field Check'!$C$25)&gt;0,"",'Dvd Calendar'!$V$1031)))</f>
        <v/>
      </c>
      <c r="CI77" s="85">
        <f>IF(U77="","",IF(ISNUMBER('Dvd Calendar'!$W$1031)=FALSE,"",IF((Summary!$C$13="N")*('Dvd Calendar'!$W$1035='Field Check'!$C$25)&gt;0,"",'Dvd Calendar'!$W$1031)))</f>
        <v/>
      </c>
      <c r="CJ77" s="85">
        <f>IF(V77="","",IF(ISNUMBER('Dvd Calendar'!$X$1031)=FALSE,"",IF((Summary!$C$13="N")*('Dvd Calendar'!$X$1035='Field Check'!$C$25)&gt;0,"",'Dvd Calendar'!$X$1031)))</f>
        <v/>
      </c>
      <c r="CK77" s="85">
        <f>IF(W77="","",IF(ISNUMBER('Dvd Calendar'!$Y$1031)=FALSE,"",IF((Summary!$C$13="N")*('Dvd Calendar'!$Y$1035='Field Check'!$C$25)&gt;0,"",'Dvd Calendar'!$Y$1031)))</f>
        <v/>
      </c>
      <c r="CL77" s="85">
        <f>IF(X77="","",IF(ISNUMBER('Dvd Calendar'!$Z$1031)=FALSE,"",IF((Summary!$C$13="N")*('Dvd Calendar'!$Z$1035='Field Check'!$C$25)&gt;0,"",'Dvd Calendar'!$Z$1031)))</f>
        <v/>
      </c>
      <c r="CM77" s="85">
        <f>IF(Y77="","",IF(ISNUMBER('Dvd Calendar'!$AA$1031)=FALSE,"",IF((Summary!$C$13="N")*('Dvd Calendar'!$AA$1035='Field Check'!$C$25)&gt;0,"",'Dvd Calendar'!$AA$1031)))</f>
        <v/>
      </c>
      <c r="CN77" s="85">
        <f>IF(Z77="","",IF(ISNUMBER('Dvd Calendar'!$AB$1031)=FALSE,"",IF((Summary!$C$13="N")*('Dvd Calendar'!$AB$1035='Field Check'!$C$25)&gt;0,"",'Dvd Calendar'!$AB$1031)))</f>
        <v/>
      </c>
      <c r="CO77" s="85">
        <f>IF(AA77="","",IF(ISNUMBER('Dvd Calendar'!$AC$1031)=FALSE,"",IF((Summary!$C$13="N")*('Dvd Calendar'!$AC$1035='Field Check'!$C$25)&gt;0,"",'Dvd Calendar'!$AC$1031)))</f>
        <v/>
      </c>
      <c r="CP77" s="85">
        <f>IF(AB77="","",IF(ISNUMBER('Dvd Calendar'!$AD$1031)=FALSE,"",IF((Summary!$C$13="N")*('Dvd Calendar'!$AD$1035='Field Check'!$C$25)&gt;0,"",'Dvd Calendar'!$AD$1031)))</f>
        <v/>
      </c>
      <c r="CQ77" s="85">
        <f>IF(AC77="","",IF(ISNUMBER('Dvd Calendar'!$AE$1031)=FALSE,"",IF((Summary!$C$13="N")*('Dvd Calendar'!$AE$1035='Field Check'!$C$25)&gt;0,"",'Dvd Calendar'!$AE$1031)))</f>
        <v/>
      </c>
      <c r="CR77" s="85">
        <f>IF(AD77="","",IF(ISNUMBER('Dvd Calendar'!$AF$1031)=FALSE,"",IF((Summary!$C$13="N")*('Dvd Calendar'!$AF$1035='Field Check'!$C$25)&gt;0,"",'Dvd Calendar'!$AF$1031)))</f>
        <v/>
      </c>
      <c r="CS77" s="85">
        <f>IF(AE77="","",IF(ISNUMBER('Dvd Calendar'!$AG$1031)=FALSE,"",IF((Summary!$C$13="N")*('Dvd Calendar'!$AG$1035='Field Check'!$C$25)&gt;0,"",'Dvd Calendar'!$AG$1031)))</f>
        <v/>
      </c>
      <c r="CT77" s="85">
        <f>IF(AF77="","",IF(ISNUMBER('Dvd Calendar'!$AH$1031)=FALSE,"",IF((Summary!$C$13="N")*('Dvd Calendar'!$AH$1035='Field Check'!$C$25)&gt;0,"",'Dvd Calendar'!$AH$1031)))</f>
        <v/>
      </c>
      <c r="CU77" s="85">
        <f>IF(AG77="","",IF(ISNUMBER('Dvd Calendar'!$AI$1031)=FALSE,"",IF((Summary!$C$13="N")*('Dvd Calendar'!$AI$1035='Field Check'!$C$25)&gt;0,"",'Dvd Calendar'!$AI$1031)))</f>
        <v/>
      </c>
      <c r="CV77" s="85">
        <f>IF(AH77="","",IF(ISNUMBER('Dvd Calendar'!$AJ$1031)=FALSE,"",IF((Summary!$C$13="N")*('Dvd Calendar'!$AJ$1035='Field Check'!$C$25)&gt;0,"",'Dvd Calendar'!$AJ$1031)))</f>
        <v/>
      </c>
      <c r="CW77" s="85">
        <f>IF(AI77="","",IF(ISNUMBER('Dvd Calendar'!$AK$1031)=FALSE,"",IF((Summary!$C$13="N")*('Dvd Calendar'!$AK$1035='Field Check'!$C$25)&gt;0,"",'Dvd Calendar'!$AK$1031)))</f>
        <v/>
      </c>
      <c r="CX77" s="85">
        <f>IF(AJ77="","",IF(ISNUMBER('Dvd Calendar'!$AL$1031)=FALSE,"",IF((Summary!$C$13="N")*('Dvd Calendar'!$AL$1035='Field Check'!$C$25)&gt;0,"",'Dvd Calendar'!$AL$1031)))</f>
        <v/>
      </c>
      <c r="CY77" s="85">
        <f>IF(AK77="","",IF(ISNUMBER('Dvd Calendar'!$AM$1031)=FALSE,"",IF((Summary!$C$13="N")*('Dvd Calendar'!$AM$1035='Field Check'!$C$25)&gt;0,"",'Dvd Calendar'!$AM$1031)))</f>
        <v/>
      </c>
      <c r="CZ77" s="85">
        <f>IF(AL77="","",IF(ISNUMBER('Dvd Calendar'!$AN$1031)=FALSE,"",IF((Summary!$C$13="N")*('Dvd Calendar'!$AN$1035='Field Check'!$C$25)&gt;0,"",'Dvd Calendar'!$AN$1031)))</f>
        <v/>
      </c>
      <c r="DA77" s="85">
        <f>IF(AM77="","",IF(ISNUMBER('Dvd Calendar'!$AO$1031)=FALSE,"",IF((Summary!$C$13="N")*('Dvd Calendar'!$AO$1035='Field Check'!$C$25)&gt;0,"",'Dvd Calendar'!$AO$1031)))</f>
        <v/>
      </c>
      <c r="DB77" s="85">
        <f>IF(AN77="","",IF(ISNUMBER('Dvd Calendar'!$AP$1031)=FALSE,"",IF((Summary!$C$13="N")*('Dvd Calendar'!$AP$1035='Field Check'!$C$25)&gt;0,"",'Dvd Calendar'!$AP$1031)))</f>
        <v/>
      </c>
      <c r="DC77" s="85">
        <f>IF(AO77="","",IF(ISNUMBER('Dvd Calendar'!$AQ$1031)=FALSE,"",IF((Summary!$C$13="N")*('Dvd Calendar'!$AQ$1035='Field Check'!$C$25)&gt;0,"",'Dvd Calendar'!$AQ$1031)))</f>
        <v/>
      </c>
      <c r="DD77" s="85">
        <f>IF(AP77="","",IF(ISNUMBER('Dvd Calendar'!$AR$1031)=FALSE,"",IF((Summary!$C$13="N")*('Dvd Calendar'!$AR$1035='Field Check'!$C$25)&gt;0,"",'Dvd Calendar'!$AR$1031)))</f>
        <v/>
      </c>
      <c r="DE77" s="85">
        <f>IF(AQ77="","",IF(ISNUMBER('Dvd Calendar'!$E$1038)=FALSE,"",IF((Summary!$C$13="N")*('Dvd Calendar'!$E$1042='Field Check'!$C$25)&gt;0,"",'Dvd Calendar'!$E$1038)))</f>
        <v/>
      </c>
      <c r="DF77" s="85">
        <f>IF(AR77="","",IF(ISNUMBER('Dvd Calendar'!$F$1038)=FALSE,"",IF((Summary!$C$13="N")*('Dvd Calendar'!$F$1042='Field Check'!$C$25)&gt;0,"",'Dvd Calendar'!$F$1038)))</f>
        <v/>
      </c>
      <c r="DG77" s="85">
        <f>IF(AS77="","",IF(ISNUMBER('Dvd Calendar'!$G$1038)=FALSE,"",IF((Summary!$C$13="N")*('Dvd Calendar'!$G$1042='Field Check'!$C$25)&gt;0,"",'Dvd Calendar'!$G$1038)))</f>
        <v/>
      </c>
      <c r="DH77" s="85">
        <f>IF(AT77="","",IF(ISNUMBER('Dvd Calendar'!$H$1038)=FALSE,"",IF((Summary!$C$13="N")*('Dvd Calendar'!$H$1042='Field Check'!$C$25)&gt;0,"",'Dvd Calendar'!$H$1038)))</f>
        <v/>
      </c>
      <c r="DI77" s="85">
        <f>IF(AU77="","",IF(ISNUMBER('Dvd Calendar'!$I$1038)=FALSE,"",IF((Summary!$C$13="N")*('Dvd Calendar'!$I$1042='Field Check'!$C$25)&gt;0,"",'Dvd Calendar'!$I$1038)))</f>
        <v/>
      </c>
      <c r="DJ77" s="85">
        <f>IF(AV77="","",IF(ISNUMBER('Dvd Calendar'!$J$1038)=FALSE,"",IF((Summary!$C$13="N")*('Dvd Calendar'!$J$1042='Field Check'!$C$25)&gt;0,"",'Dvd Calendar'!$J$1038)))</f>
        <v/>
      </c>
      <c r="DK77" s="85">
        <f>IF(AW77="","",IF(ISNUMBER('Dvd Calendar'!$K$1038)=FALSE,"",IF((Summary!$C$13="N")*('Dvd Calendar'!$K$1042='Field Check'!$C$25)&gt;0,"",'Dvd Calendar'!$K$1038)))</f>
        <v/>
      </c>
      <c r="DL77" s="85">
        <f>IF(AX77="","",IF(ISNUMBER('Dvd Calendar'!$L$1038)=FALSE,"",IF((Summary!$C$13="N")*('Dvd Calendar'!$L$1042='Field Check'!$C$25)&gt;0,"",'Dvd Calendar'!$L$1038)))</f>
        <v/>
      </c>
      <c r="DM77" s="85">
        <f>IF(AY77="","",IF(ISNUMBER('Dvd Calendar'!$M$1038)=FALSE,"",IF((Summary!$C$13="N")*('Dvd Calendar'!$M$1042='Field Check'!$C$25)&gt;0,"",'Dvd Calendar'!$M$1038)))</f>
        <v/>
      </c>
      <c r="DN77" s="85">
        <f>IF(AZ77="","",IF(ISNUMBER('Dvd Calendar'!$N$1038)=FALSE,"",IF((Summary!$C$13="N")*('Dvd Calendar'!$N$1042='Field Check'!$C$25)&gt;0,"",'Dvd Calendar'!$N$1038)))</f>
        <v/>
      </c>
      <c r="DO77" s="85">
        <f>IF(BA77="","",IF(ISNUMBER('Dvd Calendar'!$O$1038)=FALSE,"",IF((Summary!$C$13="N")*('Dvd Calendar'!$O$1042='Field Check'!$C$25)&gt;0,"",'Dvd Calendar'!$O$1038)))</f>
        <v/>
      </c>
      <c r="DP77" s="85">
        <f>IF(BB77="","",IF(ISNUMBER('Dvd Calendar'!$P$1038)=FALSE,"",IF((Summary!$C$13="N")*('Dvd Calendar'!$P$1042='Field Check'!$C$25)&gt;0,"",'Dvd Calendar'!$P$1038)))</f>
        <v/>
      </c>
      <c r="DQ77" s="85">
        <f>IF(BC77="","",IF(ISNUMBER('Dvd Calendar'!$Q$1038)=FALSE,"",IF((Summary!$C$13="N")*('Dvd Calendar'!$Q$1042='Field Check'!$C$25)&gt;0,"",'Dvd Calendar'!$Q$1038)))</f>
        <v/>
      </c>
      <c r="DR77" s="85">
        <f>IF(BD77="","",IF(ISNUMBER('Dvd Calendar'!$R$1038)=FALSE,"",IF((Summary!$C$13="N")*('Dvd Calendar'!$R$1042='Field Check'!$C$25)&gt;0,"",'Dvd Calendar'!$R$1038)))</f>
        <v/>
      </c>
      <c r="DS77" s="85">
        <f>IF(BE77="","",IF(ISNUMBER('Dvd Calendar'!$S$1038)=FALSE,"",IF((Summary!$C$13="N")*('Dvd Calendar'!$S$1042='Field Check'!$C$25)&gt;0,"",'Dvd Calendar'!$S$1038)))</f>
        <v/>
      </c>
      <c r="DT77" s="85">
        <f>IF(BF77="","",IF(ISNUMBER('Dvd Calendar'!$T$1038)=FALSE,"",IF((Summary!$C$13="N")*('Dvd Calendar'!$T$1042='Field Check'!$C$25)&gt;0,"",'Dvd Calendar'!$T$1038)))</f>
        <v/>
      </c>
      <c r="DU77" s="85">
        <f>IF(BG77="","",IF(ISNUMBER('Dvd Calendar'!$U$1038)=FALSE,"",IF((Summary!$C$13="N")*('Dvd Calendar'!$U$1042='Field Check'!$C$25)&gt;0,"",'Dvd Calendar'!$U$1038)))</f>
        <v/>
      </c>
      <c r="DV77" s="85">
        <f>IF(BH77="","",IF(ISNUMBER('Dvd Calendar'!$V$1038)=FALSE,"",IF((Summary!$C$13="N")*('Dvd Calendar'!$V$1042='Field Check'!$C$25)&gt;0,"",'Dvd Calendar'!$V$1038)))</f>
        <v/>
      </c>
      <c r="DW77" s="85">
        <f>IF(BI77="","",IF(ISNUMBER('Dvd Calendar'!$W$1038)=FALSE,"",IF((Summary!$C$13="N")*('Dvd Calendar'!$W$1042='Field Check'!$C$25)&gt;0,"",'Dvd Calendar'!$W$1038)))</f>
        <v/>
      </c>
      <c r="DX77" s="85">
        <f>IF(BJ77="","",IF(ISNUMBER('Dvd Calendar'!$X$1038)=FALSE,"",IF((Summary!$C$13="N")*('Dvd Calendar'!$X$1042='Field Check'!$C$25)&gt;0,"",'Dvd Calendar'!$X$1038)))</f>
        <v/>
      </c>
      <c r="DY77" s="85">
        <f>IF(BK77="","",IF(ISNUMBER('Dvd Calendar'!$Y$1038)=FALSE,"",IF((Summary!$C$13="N")*('Dvd Calendar'!$Y$1042='Field Check'!$C$25)&gt;0,"",'Dvd Calendar'!$Y$1038)))</f>
        <v/>
      </c>
      <c r="DZ77" s="85">
        <f>IF(BL77="","",IF(ISNUMBER('Dvd Calendar'!$Z$1038)=FALSE,"",IF((Summary!$C$13="N")*('Dvd Calendar'!$Z$1042='Field Check'!$C$25)&gt;0,"",'Dvd Calendar'!$Z$1038)))</f>
        <v/>
      </c>
      <c r="EA77" s="85">
        <f>IF(BM77="","",IF(ISNUMBER('Dvd Calendar'!$AA$1038)=FALSE,"",IF((Summary!$C$13="N")*('Dvd Calendar'!$AA$1042='Field Check'!$C$25)&gt;0,"",'Dvd Calendar'!$AA$1038)))</f>
        <v/>
      </c>
      <c r="EB77" s="85">
        <f>IF(BN77="","",IF(ISNUMBER('Dvd Calendar'!$AB$1038)=FALSE,"",IF((Summary!$C$13="N")*('Dvd Calendar'!$AB$1042='Field Check'!$C$25)&gt;0,"",'Dvd Calendar'!$AB$1038)))</f>
        <v/>
      </c>
      <c r="EC77" s="85">
        <f>IF(BO77="","",IF(ISNUMBER('Dvd Calendar'!$AC$1038)=FALSE,"",IF((Summary!$C$13="N")*('Dvd Calendar'!$AC$1042='Field Check'!$C$25)&gt;0,"",'Dvd Calendar'!$AC$1038)))</f>
        <v/>
      </c>
      <c r="EE77" s="85">
        <f>IF(BQ77="","",IFERROR(BQ77*HSI!$B$75*HSI!$G$75/HSI!$B$3,""))</f>
        <v/>
      </c>
      <c r="EF77" s="85">
        <f>IF(BR77="","",IFERROR(BR77*HSI!$B$75*HSI!$G$75/HSI!$B$3,""))</f>
        <v/>
      </c>
      <c r="EG77" s="85">
        <f>IF(BS77="","",IFERROR(BS77*HSI!$B$75*HSI!$G$75/HSI!$B$3,""))</f>
        <v/>
      </c>
      <c r="EH77" s="85">
        <f>IF(BT77="","",IFERROR(BT77*HSI!$B$75*HSI!$G$75/HSI!$B$3,""))</f>
        <v/>
      </c>
      <c r="EI77" s="85">
        <f>IF(BU77="","",IFERROR(BU77*HSI!$B$75*HSI!$G$75/HSI!$B$3,""))</f>
        <v/>
      </c>
      <c r="EJ77" s="85">
        <f>IF(BV77="","",IFERROR(BV77*HSI!$B$75*HSI!$G$75/HSI!$B$3,""))</f>
        <v/>
      </c>
      <c r="EK77" s="85">
        <f>IF(BW77="","",IFERROR(BW77*HSI!$B$75*HSI!$G$75/HSI!$B$3,""))</f>
        <v/>
      </c>
      <c r="EL77" s="85">
        <f>IF(BX77="","",IFERROR(BX77*HSI!$B$75*HSI!$G$75/HSI!$B$3,""))</f>
        <v/>
      </c>
      <c r="EM77" s="85">
        <f>IF(BY77="","",IFERROR(BY77*HSI!$B$75*HSI!$G$75/HSI!$B$3,""))</f>
        <v/>
      </c>
      <c r="EN77" s="85">
        <f>IF(BZ77="","",IFERROR(BZ77*HSI!$B$75*HSI!$G$75/HSI!$B$3,""))</f>
        <v/>
      </c>
      <c r="EO77" s="85">
        <f>IF(CA77="","",IFERROR(CA77*HSI!$B$75*HSI!$G$75/HSI!$B$3,""))</f>
        <v/>
      </c>
      <c r="EP77" s="85">
        <f>IF(CB77="","",IFERROR(CB77*HSI!$B$75*HSI!$G$75/HSI!$B$3,""))</f>
        <v/>
      </c>
      <c r="EQ77" s="85">
        <f>IF(CC77="","",IFERROR(CC77*HSI!$B$75*HSI!$G$75/HSI!$B$3,""))</f>
        <v/>
      </c>
      <c r="ER77" s="85">
        <f>IF(CD77="","",IFERROR(CD77*HSI!$B$75*HSI!$G$75/HSI!$B$3,""))</f>
        <v/>
      </c>
      <c r="ES77" s="85">
        <f>IF(CE77="","",IFERROR(CE77*HSI!$B$75*HSI!$G$75/HSI!$B$3,""))</f>
        <v/>
      </c>
      <c r="ET77" s="85">
        <f>IF(CF77="","",IFERROR(CF77*HSI!$B$75*HSI!$G$75/HSI!$B$3,""))</f>
        <v/>
      </c>
      <c r="EU77" s="85">
        <f>IF(CG77="","",IFERROR(CG77*HSI!$B$75*HSI!$G$75/HSI!$B$3,""))</f>
        <v/>
      </c>
      <c r="EV77" s="85">
        <f>IF(CH77="","",IFERROR(CH77*HSI!$B$75*HSI!$G$75/HSI!$B$3,""))</f>
        <v/>
      </c>
      <c r="EW77" s="85">
        <f>IF(CI77="","",IFERROR(CI77*HSI!$B$75*HSI!$G$75/HSI!$B$3,""))</f>
        <v/>
      </c>
      <c r="EX77" s="85">
        <f>IF(CJ77="","",IFERROR(CJ77*HSI!$B$75*HSI!$G$75/HSI!$B$3,""))</f>
        <v/>
      </c>
      <c r="EY77" s="85">
        <f>IF(CK77="","",IFERROR(CK77*HSI!$B$75*HSI!$G$75/HSI!$B$3,""))</f>
        <v/>
      </c>
      <c r="EZ77" s="85">
        <f>IF(CL77="","",IFERROR(CL77*HSI!$B$75*HSI!$G$75/HSI!$B$3,""))</f>
        <v/>
      </c>
      <c r="FA77" s="85">
        <f>IF(CM77="","",IFERROR(CM77*HSI!$B$75*HSI!$G$75/HSI!$B$3,""))</f>
        <v/>
      </c>
      <c r="FB77" s="85">
        <f>IF(CN77="","",IFERROR(CN77*HSI!$B$75*HSI!$G$75/HSI!$B$3,""))</f>
        <v/>
      </c>
      <c r="FC77" s="85">
        <f>IF(CO77="","",IFERROR(CO77*HSI!$B$75*HSI!$G$75/HSI!$B$3,""))</f>
        <v/>
      </c>
      <c r="FD77" s="85">
        <f>IF(CP77="","",IFERROR(CP77*HSI!$B$75*HSI!$G$75/HSI!$B$3,""))</f>
        <v/>
      </c>
      <c r="FE77" s="85">
        <f>IF(CQ77="","",IFERROR(CQ77*HSI!$B$75*HSI!$G$75/HSI!$B$3,""))</f>
        <v/>
      </c>
      <c r="FF77" s="85">
        <f>IF(CR77="","",IFERROR(CR77*HSI!$B$75*HSI!$G$75/HSI!$B$3,""))</f>
        <v/>
      </c>
      <c r="FG77" s="85">
        <f>IF(CS77="","",IFERROR(CS77*HSI!$B$75*HSI!$G$75/HSI!$B$3,""))</f>
        <v/>
      </c>
      <c r="FH77" s="85">
        <f>IF(CT77="","",IFERROR(CT77*HSI!$B$75*HSI!$G$75/HSI!$B$3,""))</f>
        <v/>
      </c>
      <c r="FI77" s="85">
        <f>IF(CU77="","",IFERROR(CU77*HSI!$B$75*HSI!$G$75/HSI!$B$3,""))</f>
        <v/>
      </c>
      <c r="FJ77" s="85">
        <f>IF(CV77="","",IFERROR(CV77*HSI!$B$75*HSI!$G$75/HSI!$B$3,""))</f>
        <v/>
      </c>
      <c r="FK77" s="85">
        <f>IF(CW77="","",IFERROR(CW77*HSI!$B$75*HSI!$G$75/HSI!$B$3,""))</f>
        <v/>
      </c>
      <c r="FL77" s="85">
        <f>IF(CX77="","",IFERROR(CX77*HSI!$B$75*HSI!$G$75/HSI!$B$3,""))</f>
        <v/>
      </c>
      <c r="FM77" s="85">
        <f>IF(CY77="","",IFERROR(CY77*HSI!$B$75*HSI!$G$75/HSI!$B$3,""))</f>
        <v/>
      </c>
      <c r="FN77" s="85">
        <f>IF(CZ77="","",IFERROR(CZ77*HSI!$B$75*HSI!$G$75/HSI!$B$3,""))</f>
        <v/>
      </c>
      <c r="FO77" s="85">
        <f>IF(DA77="","",IFERROR(DA77*HSI!$B$75*HSI!$G$75/HSI!$B$3,""))</f>
        <v/>
      </c>
      <c r="FP77" s="85">
        <f>IF(DB77="","",IFERROR(DB77*HSI!$B$75*HSI!$G$75/HSI!$B$3,""))</f>
        <v/>
      </c>
      <c r="FQ77" s="85">
        <f>IF(DC77="","",IFERROR(DC77*HSI!$B$75*HSI!$G$75/HSI!$B$3,""))</f>
        <v/>
      </c>
      <c r="FR77" s="85">
        <f>IF(DD77="","",IFERROR(DD77*HSI!$B$75*HSI!$G$75/HSI!$B$3,""))</f>
        <v/>
      </c>
      <c r="FS77" s="85">
        <f>IF(DE77="","",IFERROR(DE77*HSI!$B$75*HSI!$G$75/HSI!$B$3,""))</f>
        <v/>
      </c>
      <c r="FT77" s="85">
        <f>IF(DF77="","",IFERROR(DF77*HSI!$B$75*HSI!$G$75/HSI!$B$3,""))</f>
        <v/>
      </c>
      <c r="FU77" s="85">
        <f>IF(DG77="","",IFERROR(DG77*HSI!$B$75*HSI!$G$75/HSI!$B$3,""))</f>
        <v/>
      </c>
      <c r="FV77" s="85">
        <f>IF(DH77="","",IFERROR(DH77*HSI!$B$75*HSI!$G$75/HSI!$B$3,""))</f>
        <v/>
      </c>
      <c r="FW77" s="85">
        <f>IF(DI77="","",IFERROR(DI77*HSI!$B$75*HSI!$G$75/HSI!$B$3,""))</f>
        <v/>
      </c>
      <c r="FX77" s="85">
        <f>IF(DJ77="","",IFERROR(DJ77*HSI!$B$75*HSI!$G$75/HSI!$B$3,""))</f>
        <v/>
      </c>
      <c r="FY77" s="85">
        <f>IF(DK77="","",IFERROR(DK77*HSI!$B$75*HSI!$G$75/HSI!$B$3,""))</f>
        <v/>
      </c>
      <c r="FZ77" s="85">
        <f>IF(DL77="","",IFERROR(DL77*HSI!$B$75*HSI!$G$75/HSI!$B$3,""))</f>
        <v/>
      </c>
      <c r="GA77" s="85">
        <f>IF(DM77="","",IFERROR(DM77*HSI!$B$75*HSI!$G$75/HSI!$B$3,""))</f>
        <v/>
      </c>
      <c r="GB77" s="85">
        <f>IF(DN77="","",IFERROR(DN77*HSI!$B$75*HSI!$G$75/HSI!$B$3,""))</f>
        <v/>
      </c>
      <c r="GC77" s="85">
        <f>IF(DO77="","",IFERROR(DO77*HSI!$B$75*HSI!$G$75/HSI!$B$3,""))</f>
        <v/>
      </c>
      <c r="GD77" s="85">
        <f>IF(DP77="","",IFERROR(DP77*HSI!$B$75*HSI!$G$75/HSI!$B$3,""))</f>
        <v/>
      </c>
      <c r="GE77" s="85">
        <f>IF(DQ77="","",IFERROR(DQ77*HSI!$B$75*HSI!$G$75/HSI!$B$3,""))</f>
        <v/>
      </c>
      <c r="GF77" s="85">
        <f>IF(DR77="","",IFERROR(DR77*HSI!$B$75*HSI!$G$75/HSI!$B$3,""))</f>
        <v/>
      </c>
      <c r="GG77" s="85">
        <f>IF(DS77="","",IFERROR(DS77*HSI!$B$75*HSI!$G$75/HSI!$B$3,""))</f>
        <v/>
      </c>
      <c r="GH77" s="85">
        <f>IF(DT77="","",IFERROR(DT77*HSI!$B$75*HSI!$G$75/HSI!$B$3,""))</f>
        <v/>
      </c>
      <c r="GI77" s="85">
        <f>IF(DU77="","",IFERROR(DU77*HSI!$B$75*HSI!$G$75/HSI!$B$3,""))</f>
        <v/>
      </c>
      <c r="GJ77" s="85">
        <f>IF(DV77="","",IFERROR(DV77*HSI!$B$75*HSI!$G$75/HSI!$B$3,""))</f>
        <v/>
      </c>
      <c r="GK77" s="85">
        <f>IF(DW77="","",IFERROR(DW77*HSI!$B$75*HSI!$G$75/HSI!$B$3,""))</f>
        <v/>
      </c>
      <c r="GL77" s="85">
        <f>IF(DX77="","",IFERROR(DX77*HSI!$B$75*HSI!$G$75/HSI!$B$3,""))</f>
        <v/>
      </c>
      <c r="GM77" s="85">
        <f>IF(DY77="","",IFERROR(DY77*HSI!$B$75*HSI!$G$75/HSI!$B$3,""))</f>
        <v/>
      </c>
      <c r="GN77" s="85">
        <f>IF(DZ77="","",IFERROR(DZ77*HSI!$B$75*HSI!$G$75/HSI!$B$3,""))</f>
        <v/>
      </c>
      <c r="GO77" s="85">
        <f>IF(EA77="","",IFERROR(EA77*HSI!$B$75*HSI!$G$75/HSI!$B$3,""))</f>
        <v/>
      </c>
      <c r="GP77" s="85">
        <f>IF(EB77="","",IFERROR(EB77*HSI!$B$75*HSI!$G$75/HSI!$B$3,""))</f>
        <v/>
      </c>
      <c r="GQ77" s="85">
        <f>IF(EC77="","",IFERROR(EC77*HSI!$B$75*HSI!$G$75/HSI!$B$3,""))</f>
        <v/>
      </c>
    </row>
    <row r="78">
      <c r="B78" s="2">
        <f>IF(HSI!$C$76="","",HSI!$C$76)</f>
        <v/>
      </c>
      <c r="C78" s="41">
        <f>IF(N('Dvd Calendar'!$E$1045)=0,"",IF(('Dvd Calendar'!$E$1045&gt;=MIN(DATE(Summary!$C$12,1,1),Summary!$C$11))*('Dvd Calendar'!$E$1045&lt;=MAX(DATE(Summary!$C$12,12,31),Summary!$C$15))*('Dvd Calendar'!$E$1045&lt;=Summary!$C$11)=0,"",'Dvd Calendar'!$E$1045*1000000000+ISNUMBER('Dvd Calendar'!$E$1046)*100000000+('Dvd Calendar'!$E$1050='Field Check'!$C$25)*10000000+(N('Dvd Calendar'!$E$1044)&gt;0)*1000000+70*1000+1))</f>
        <v/>
      </c>
      <c r="D78" s="41">
        <f>IF(N('Dvd Calendar'!$F$1045)=0,"",IF(('Dvd Calendar'!$F$1045&gt;=MIN(DATE(Summary!$C$12,1,1),Summary!$C$11))*('Dvd Calendar'!$F$1045&lt;=MAX(DATE(Summary!$C$12,12,31),Summary!$C$15))*('Dvd Calendar'!$F$1045&lt;=Summary!$C$11)=0,"",'Dvd Calendar'!$F$1045*1000000000+ISNUMBER('Dvd Calendar'!$F$1046)*100000000+('Dvd Calendar'!$F$1050='Field Check'!$C$25)*10000000+(N('Dvd Calendar'!$F$1044)&gt;0)*1000000+70*1000+2))</f>
        <v/>
      </c>
      <c r="E78" s="41">
        <f>IF(N('Dvd Calendar'!$G$1045)=0,"",IF(('Dvd Calendar'!$G$1045&gt;=MIN(DATE(Summary!$C$12,1,1),Summary!$C$11))*('Dvd Calendar'!$G$1045&lt;=MAX(DATE(Summary!$C$12,12,31),Summary!$C$15))*('Dvd Calendar'!$G$1045&lt;=Summary!$C$11)=0,"",'Dvd Calendar'!$G$1045*1000000000+ISNUMBER('Dvd Calendar'!$G$1046)*100000000+('Dvd Calendar'!$G$1050='Field Check'!$C$25)*10000000+(N('Dvd Calendar'!$G$1044)&gt;0)*1000000+70*1000+3))</f>
        <v/>
      </c>
      <c r="F78" s="41">
        <f>IF(N('Dvd Calendar'!$H$1045)=0,"",IF(('Dvd Calendar'!$H$1045&gt;=MIN(DATE(Summary!$C$12,1,1),Summary!$C$11))*('Dvd Calendar'!$H$1045&lt;=MAX(DATE(Summary!$C$12,12,31),Summary!$C$15))*('Dvd Calendar'!$H$1045&lt;=Summary!$C$11)=0,"",'Dvd Calendar'!$H$1045*1000000000+ISNUMBER('Dvd Calendar'!$H$1046)*100000000+('Dvd Calendar'!$H$1050='Field Check'!$C$25)*10000000+(N('Dvd Calendar'!$H$1044)&gt;0)*1000000+70*1000+4))</f>
        <v/>
      </c>
      <c r="G78" s="41">
        <f>IF(N('Dvd Calendar'!$I$1045)=0,"",IF(('Dvd Calendar'!$I$1045&gt;=MIN(DATE(Summary!$C$12,1,1),Summary!$C$11))*('Dvd Calendar'!$I$1045&lt;=MAX(DATE(Summary!$C$12,12,31),Summary!$C$15))*('Dvd Calendar'!$I$1045&lt;=Summary!$C$11)=0,"",'Dvd Calendar'!$I$1045*1000000000+ISNUMBER('Dvd Calendar'!$I$1046)*100000000+('Dvd Calendar'!$I$1050='Field Check'!$C$25)*10000000+(N('Dvd Calendar'!$I$1044)&gt;0)*1000000+70*1000+5))</f>
        <v/>
      </c>
      <c r="H78" s="41">
        <f>IF(N('Dvd Calendar'!$J$1045)=0,"",IF(('Dvd Calendar'!$J$1045&gt;=MIN(DATE(Summary!$C$12,1,1),Summary!$C$11))*('Dvd Calendar'!$J$1045&lt;=MAX(DATE(Summary!$C$12,12,31),Summary!$C$15))*('Dvd Calendar'!$J$1045&lt;=Summary!$C$11)=0,"",'Dvd Calendar'!$J$1045*1000000000+ISNUMBER('Dvd Calendar'!$J$1046)*100000000+('Dvd Calendar'!$J$1050='Field Check'!$C$25)*10000000+(N('Dvd Calendar'!$J$1044)&gt;0)*1000000+70*1000+6))</f>
        <v/>
      </c>
      <c r="I78" s="41">
        <f>IF(N('Dvd Calendar'!$K$1045)=0,"",IF(('Dvd Calendar'!$K$1045&gt;=MIN(DATE(Summary!$C$12,1,1),Summary!$C$11))*('Dvd Calendar'!$K$1045&lt;=MAX(DATE(Summary!$C$12,12,31),Summary!$C$15))*('Dvd Calendar'!$K$1045&lt;=Summary!$C$11)=0,"",'Dvd Calendar'!$K$1045*1000000000+ISNUMBER('Dvd Calendar'!$K$1046)*100000000+('Dvd Calendar'!$K$1050='Field Check'!$C$25)*10000000+(N('Dvd Calendar'!$K$1044)&gt;0)*1000000+70*1000+7))</f>
        <v/>
      </c>
      <c r="J78" s="41">
        <f>IF(N('Dvd Calendar'!$L$1045)=0,"",IF(('Dvd Calendar'!$L$1045&gt;=MIN(DATE(Summary!$C$12,1,1),Summary!$C$11))*('Dvd Calendar'!$L$1045&lt;=MAX(DATE(Summary!$C$12,12,31),Summary!$C$15))*('Dvd Calendar'!$L$1045&lt;=Summary!$C$11)=0,"",'Dvd Calendar'!$L$1045*1000000000+ISNUMBER('Dvd Calendar'!$L$1046)*100000000+('Dvd Calendar'!$L$1050='Field Check'!$C$25)*10000000+(N('Dvd Calendar'!$L$1044)&gt;0)*1000000+70*1000+8))</f>
        <v/>
      </c>
      <c r="K78" s="41">
        <f>IF(N('Dvd Calendar'!$M$1045)=0,"",IF(('Dvd Calendar'!$M$1045&gt;=MIN(DATE(Summary!$C$12,1,1),Summary!$C$11))*('Dvd Calendar'!$M$1045&lt;=MAX(DATE(Summary!$C$12,12,31),Summary!$C$15))*('Dvd Calendar'!$M$1045&lt;=Summary!$C$11)=0,"",'Dvd Calendar'!$M$1045*1000000000+ISNUMBER('Dvd Calendar'!$M$1046)*100000000+('Dvd Calendar'!$M$1050='Field Check'!$C$25)*10000000+(N('Dvd Calendar'!$M$1044)&gt;0)*1000000+70*1000+9))</f>
        <v/>
      </c>
      <c r="L78" s="41">
        <f>IF(N('Dvd Calendar'!$N$1045)=0,"",IF(('Dvd Calendar'!$N$1045&gt;=MIN(DATE(Summary!$C$12,1,1),Summary!$C$11))*('Dvd Calendar'!$N$1045&lt;=MAX(DATE(Summary!$C$12,12,31),Summary!$C$15))*('Dvd Calendar'!$N$1045&lt;=Summary!$C$11)=0,"",'Dvd Calendar'!$N$1045*1000000000+ISNUMBER('Dvd Calendar'!$N$1046)*100000000+('Dvd Calendar'!$N$1050='Field Check'!$C$25)*10000000+(N('Dvd Calendar'!$N$1044)&gt;0)*1000000+70*1000+10))</f>
        <v/>
      </c>
      <c r="M78" s="41">
        <f>IF(N('Dvd Calendar'!$O$1045)=0,"",IF(('Dvd Calendar'!$O$1045&gt;=MIN(DATE(Summary!$C$12,1,1),Summary!$C$11))*('Dvd Calendar'!$O$1045&lt;=MAX(DATE(Summary!$C$12,12,31),Summary!$C$15))*('Dvd Calendar'!$O$1045&lt;=Summary!$C$11)=0,"",'Dvd Calendar'!$O$1045*1000000000+ISNUMBER('Dvd Calendar'!$O$1046)*100000000+('Dvd Calendar'!$O$1050='Field Check'!$C$25)*10000000+(N('Dvd Calendar'!$O$1044)&gt;0)*1000000+70*1000+11))</f>
        <v/>
      </c>
      <c r="N78" s="41">
        <f>IF(N('Dvd Calendar'!$P$1045)=0,"",IF(('Dvd Calendar'!$P$1045&gt;=MIN(DATE(Summary!$C$12,1,1),Summary!$C$11))*('Dvd Calendar'!$P$1045&lt;=MAX(DATE(Summary!$C$12,12,31),Summary!$C$15))*('Dvd Calendar'!$P$1045&lt;=Summary!$C$11)=0,"",'Dvd Calendar'!$P$1045*1000000000+ISNUMBER('Dvd Calendar'!$P$1046)*100000000+('Dvd Calendar'!$P$1050='Field Check'!$C$25)*10000000+(N('Dvd Calendar'!$P$1044)&gt;0)*1000000+70*1000+12))</f>
        <v/>
      </c>
      <c r="O78" s="41">
        <f>IF(N('Dvd Calendar'!$Q$1045)=0,"",IF(('Dvd Calendar'!$Q$1045&gt;=MIN(DATE(Summary!$C$12,1,1),Summary!$C$11))*('Dvd Calendar'!$Q$1045&lt;=MAX(DATE(Summary!$C$12,12,31),Summary!$C$15))*('Dvd Calendar'!$Q$1045&lt;=Summary!$C$11)=0,"",'Dvd Calendar'!$Q$1045*1000000000+ISNUMBER('Dvd Calendar'!$Q$1046)*100000000+('Dvd Calendar'!$Q$1050='Field Check'!$C$25)*10000000+(N('Dvd Calendar'!$Q$1044)&gt;0)*1000000+70*1000+13))</f>
        <v/>
      </c>
      <c r="P78" s="41">
        <f>IF(N('Dvd Calendar'!$R$1045)=0,"",IF(('Dvd Calendar'!$R$1045&gt;=MIN(DATE(Summary!$C$12,1,1),Summary!$C$11))*('Dvd Calendar'!$R$1045&lt;=MAX(DATE(Summary!$C$12,12,31),Summary!$C$15))*('Dvd Calendar'!$R$1045&lt;=Summary!$C$11)=0,"",'Dvd Calendar'!$R$1045*1000000000+ISNUMBER('Dvd Calendar'!$R$1046)*100000000+('Dvd Calendar'!$R$1050='Field Check'!$C$25)*10000000+(N('Dvd Calendar'!$R$1044)&gt;0)*1000000+70*1000+14))</f>
        <v/>
      </c>
      <c r="Q78" s="41">
        <f>IF(N('Dvd Calendar'!$S$1045)=0,"",IF(('Dvd Calendar'!$S$1045&gt;=MIN(DATE(Summary!$C$12,1,1),Summary!$C$11))*('Dvd Calendar'!$S$1045&lt;=MAX(DATE(Summary!$C$12,12,31),Summary!$C$15))*('Dvd Calendar'!$S$1045&lt;=Summary!$C$11)=0,"",'Dvd Calendar'!$S$1045*1000000000+ISNUMBER('Dvd Calendar'!$S$1046)*100000000+('Dvd Calendar'!$S$1050='Field Check'!$C$25)*10000000+(N('Dvd Calendar'!$S$1044)&gt;0)*1000000+70*1000+15))</f>
        <v/>
      </c>
      <c r="R78" s="41">
        <f>IF(N('Dvd Calendar'!$T$1045)=0,"",IF(('Dvd Calendar'!$T$1045&gt;=MIN(DATE(Summary!$C$12,1,1),Summary!$C$11))*('Dvd Calendar'!$T$1045&lt;=MAX(DATE(Summary!$C$12,12,31),Summary!$C$15))*('Dvd Calendar'!$T$1045&lt;=Summary!$C$11)=0,"",'Dvd Calendar'!$T$1045*1000000000+ISNUMBER('Dvd Calendar'!$T$1046)*100000000+('Dvd Calendar'!$T$1050='Field Check'!$C$25)*10000000+(N('Dvd Calendar'!$T$1044)&gt;0)*1000000+70*1000+16))</f>
        <v/>
      </c>
      <c r="S78" s="41">
        <f>IF(N('Dvd Calendar'!$U$1045)=0,"",IF(('Dvd Calendar'!$U$1045&gt;=MIN(DATE(Summary!$C$12,1,1),Summary!$C$11))*('Dvd Calendar'!$U$1045&lt;=MAX(DATE(Summary!$C$12,12,31),Summary!$C$15))*('Dvd Calendar'!$U$1045&lt;=Summary!$C$11)=0,"",'Dvd Calendar'!$U$1045*1000000000+ISNUMBER('Dvd Calendar'!$U$1046)*100000000+('Dvd Calendar'!$U$1050='Field Check'!$C$25)*10000000+(N('Dvd Calendar'!$U$1044)&gt;0)*1000000+70*1000+17))</f>
        <v/>
      </c>
      <c r="T78" s="41">
        <f>IF(N('Dvd Calendar'!$V$1045)=0,"",IF(('Dvd Calendar'!$V$1045&gt;=MIN(DATE(Summary!$C$12,1,1),Summary!$C$11))*('Dvd Calendar'!$V$1045&lt;=MAX(DATE(Summary!$C$12,12,31),Summary!$C$15))*('Dvd Calendar'!$V$1045&lt;=Summary!$C$11)=0,"",'Dvd Calendar'!$V$1045*1000000000+ISNUMBER('Dvd Calendar'!$V$1046)*100000000+('Dvd Calendar'!$V$1050='Field Check'!$C$25)*10000000+(N('Dvd Calendar'!$V$1044)&gt;0)*1000000+70*1000+18))</f>
        <v/>
      </c>
      <c r="U78" s="41">
        <f>IF(N('Dvd Calendar'!$W$1045)=0,"",IF(('Dvd Calendar'!$W$1045&gt;=MIN(DATE(Summary!$C$12,1,1),Summary!$C$11))*('Dvd Calendar'!$W$1045&lt;=MAX(DATE(Summary!$C$12,12,31),Summary!$C$15))*('Dvd Calendar'!$W$1045&lt;=Summary!$C$11)=0,"",'Dvd Calendar'!$W$1045*1000000000+ISNUMBER('Dvd Calendar'!$W$1046)*100000000+('Dvd Calendar'!$W$1050='Field Check'!$C$25)*10000000+(N('Dvd Calendar'!$W$1044)&gt;0)*1000000+70*1000+19))</f>
        <v/>
      </c>
      <c r="V78" s="41">
        <f>IF(N('Dvd Calendar'!$X$1045)=0,"",IF(('Dvd Calendar'!$X$1045&gt;=MIN(DATE(Summary!$C$12,1,1),Summary!$C$11))*('Dvd Calendar'!$X$1045&lt;=MAX(DATE(Summary!$C$12,12,31),Summary!$C$15))*('Dvd Calendar'!$X$1045&lt;=Summary!$C$11)=0,"",'Dvd Calendar'!$X$1045*1000000000+ISNUMBER('Dvd Calendar'!$X$1046)*100000000+('Dvd Calendar'!$X$1050='Field Check'!$C$25)*10000000+(N('Dvd Calendar'!$X$1044)&gt;0)*1000000+70*1000+20))</f>
        <v/>
      </c>
      <c r="W78" s="41">
        <f>IF(N('Dvd Calendar'!$Y$1045)=0,"",IF(('Dvd Calendar'!$Y$1045&gt;=MIN(DATE(Summary!$C$12,1,1),Summary!$C$11))*('Dvd Calendar'!$Y$1045&lt;=MAX(DATE(Summary!$C$12,12,31),Summary!$C$15))*('Dvd Calendar'!$Y$1045&lt;=Summary!$C$11)=0,"",'Dvd Calendar'!$Y$1045*1000000000+ISNUMBER('Dvd Calendar'!$Y$1046)*100000000+('Dvd Calendar'!$Y$1050='Field Check'!$C$25)*10000000+(N('Dvd Calendar'!$Y$1044)&gt;0)*1000000+70*1000+21))</f>
        <v/>
      </c>
      <c r="X78" s="41">
        <f>IF(N('Dvd Calendar'!$Z$1045)=0,"",IF(('Dvd Calendar'!$Z$1045&gt;=MIN(DATE(Summary!$C$12,1,1),Summary!$C$11))*('Dvd Calendar'!$Z$1045&lt;=MAX(DATE(Summary!$C$12,12,31),Summary!$C$15))*('Dvd Calendar'!$Z$1045&lt;=Summary!$C$11)=0,"",'Dvd Calendar'!$Z$1045*1000000000+ISNUMBER('Dvd Calendar'!$Z$1046)*100000000+('Dvd Calendar'!$Z$1050='Field Check'!$C$25)*10000000+(N('Dvd Calendar'!$Z$1044)&gt;0)*1000000+70*1000+22))</f>
        <v/>
      </c>
      <c r="Y78" s="41">
        <f>IF(N('Dvd Calendar'!$AA$1045)=0,"",IF(('Dvd Calendar'!$AA$1045&gt;=MIN(DATE(Summary!$C$12,1,1),Summary!$C$11))*('Dvd Calendar'!$AA$1045&lt;=MAX(DATE(Summary!$C$12,12,31),Summary!$C$15))*('Dvd Calendar'!$AA$1045&lt;=Summary!$C$11)=0,"",'Dvd Calendar'!$AA$1045*1000000000+ISNUMBER('Dvd Calendar'!$AA$1046)*100000000+('Dvd Calendar'!$AA$1050='Field Check'!$C$25)*10000000+(N('Dvd Calendar'!$AA$1044)&gt;0)*1000000+70*1000+23))</f>
        <v/>
      </c>
      <c r="Z78" s="41">
        <f>IF(N('Dvd Calendar'!$AB$1045)=0,"",IF(('Dvd Calendar'!$AB$1045&gt;=MIN(DATE(Summary!$C$12,1,1),Summary!$C$11))*('Dvd Calendar'!$AB$1045&lt;=MAX(DATE(Summary!$C$12,12,31),Summary!$C$15))*('Dvd Calendar'!$AB$1045&lt;=Summary!$C$11)=0,"",'Dvd Calendar'!$AB$1045*1000000000+ISNUMBER('Dvd Calendar'!$AB$1046)*100000000+('Dvd Calendar'!$AB$1050='Field Check'!$C$25)*10000000+(N('Dvd Calendar'!$AB$1044)&gt;0)*1000000+70*1000+24))</f>
        <v/>
      </c>
      <c r="AA78" s="41">
        <f>IF(N('Dvd Calendar'!$AC$1045)=0,"",IF(('Dvd Calendar'!$AC$1045&gt;=MIN(DATE(Summary!$C$12,1,1),Summary!$C$11))*('Dvd Calendar'!$AC$1045&lt;=MAX(DATE(Summary!$C$12,12,31),Summary!$C$15))*('Dvd Calendar'!$AC$1045&lt;=Summary!$C$11)=0,"",'Dvd Calendar'!$AC$1045*1000000000+ISNUMBER('Dvd Calendar'!$AC$1046)*100000000+('Dvd Calendar'!$AC$1050='Field Check'!$C$25)*10000000+(N('Dvd Calendar'!$AC$1044)&gt;0)*1000000+70*1000+25))</f>
        <v/>
      </c>
      <c r="AB78" s="41">
        <f>IF(N('Dvd Calendar'!$AD$1045)=0,"",IF(('Dvd Calendar'!$AD$1045&gt;=MIN(DATE(Summary!$C$12,1,1),Summary!$C$11))*('Dvd Calendar'!$AD$1045&lt;=MAX(DATE(Summary!$C$12,12,31),Summary!$C$15))*('Dvd Calendar'!$AD$1045&lt;=Summary!$C$11)=0,"",'Dvd Calendar'!$AD$1045*1000000000+ISNUMBER('Dvd Calendar'!$AD$1046)*100000000+('Dvd Calendar'!$AD$1050='Field Check'!$C$25)*10000000+(N('Dvd Calendar'!$AD$1044)&gt;0)*1000000+70*1000+26))</f>
        <v/>
      </c>
      <c r="AC78" s="41">
        <f>IF(N('Dvd Calendar'!$AE$1045)=0,"",IF(('Dvd Calendar'!$AE$1045&gt;=MIN(DATE(Summary!$C$12,1,1),Summary!$C$11))*('Dvd Calendar'!$AE$1045&lt;=MAX(DATE(Summary!$C$12,12,31),Summary!$C$15))*('Dvd Calendar'!$AE$1045&lt;=Summary!$C$11)=0,"",'Dvd Calendar'!$AE$1045*1000000000+ISNUMBER('Dvd Calendar'!$AE$1046)*100000000+('Dvd Calendar'!$AE$1050='Field Check'!$C$25)*10000000+(N('Dvd Calendar'!$AE$1044)&gt;0)*1000000+70*1000+27))</f>
        <v/>
      </c>
      <c r="AD78" s="41">
        <f>IF(N('Dvd Calendar'!$AF$1045)=0,"",IF(('Dvd Calendar'!$AF$1045&gt;=MIN(DATE(Summary!$C$12,1,1),Summary!$C$11))*('Dvd Calendar'!$AF$1045&lt;=MAX(DATE(Summary!$C$12,12,31),Summary!$C$15))*('Dvd Calendar'!$AF$1045&lt;=Summary!$C$11)=0,"",'Dvd Calendar'!$AF$1045*1000000000+ISNUMBER('Dvd Calendar'!$AF$1046)*100000000+('Dvd Calendar'!$AF$1050='Field Check'!$C$25)*10000000+(N('Dvd Calendar'!$AF$1044)&gt;0)*1000000+70*1000+28))</f>
        <v/>
      </c>
      <c r="AE78" s="41">
        <f>IF(N('Dvd Calendar'!$AG$1045)=0,"",IF(('Dvd Calendar'!$AG$1045&gt;=MIN(DATE(Summary!$C$12,1,1),Summary!$C$11))*('Dvd Calendar'!$AG$1045&lt;=MAX(DATE(Summary!$C$12,12,31),Summary!$C$15))*('Dvd Calendar'!$AG$1045&lt;=Summary!$C$11)=0,"",'Dvd Calendar'!$AG$1045*1000000000+ISNUMBER('Dvd Calendar'!$AG$1046)*100000000+('Dvd Calendar'!$AG$1050='Field Check'!$C$25)*10000000+(N('Dvd Calendar'!$AG$1044)&gt;0)*1000000+70*1000+29))</f>
        <v/>
      </c>
      <c r="AF78" s="41">
        <f>IF(N('Dvd Calendar'!$AH$1045)=0,"",IF(('Dvd Calendar'!$AH$1045&gt;=MIN(DATE(Summary!$C$12,1,1),Summary!$C$11))*('Dvd Calendar'!$AH$1045&lt;=MAX(DATE(Summary!$C$12,12,31),Summary!$C$15))*('Dvd Calendar'!$AH$1045&lt;=Summary!$C$11)=0,"",'Dvd Calendar'!$AH$1045*1000000000+ISNUMBER('Dvd Calendar'!$AH$1046)*100000000+('Dvd Calendar'!$AH$1050='Field Check'!$C$25)*10000000+(N('Dvd Calendar'!$AH$1044)&gt;0)*1000000+70*1000+30))</f>
        <v/>
      </c>
      <c r="AG78" s="41">
        <f>IF(N('Dvd Calendar'!$AI$1045)=0,"",IF(('Dvd Calendar'!$AI$1045&gt;=MIN(DATE(Summary!$C$12,1,1),Summary!$C$11))*('Dvd Calendar'!$AI$1045&lt;=MAX(DATE(Summary!$C$12,12,31),Summary!$C$15))*('Dvd Calendar'!$AI$1045&lt;=Summary!$C$11)=0,"",'Dvd Calendar'!$AI$1045*1000000000+ISNUMBER('Dvd Calendar'!$AI$1046)*100000000+('Dvd Calendar'!$AI$1050='Field Check'!$C$25)*10000000+(N('Dvd Calendar'!$AI$1044)&gt;0)*1000000+70*1000+31))</f>
        <v/>
      </c>
      <c r="AH78" s="41">
        <f>IF(N('Dvd Calendar'!$AJ$1045)=0,"",IF(('Dvd Calendar'!$AJ$1045&gt;=MIN(DATE(Summary!$C$12,1,1),Summary!$C$11))*('Dvd Calendar'!$AJ$1045&lt;=MAX(DATE(Summary!$C$12,12,31),Summary!$C$15))*('Dvd Calendar'!$AJ$1045&lt;=Summary!$C$11)=0,"",'Dvd Calendar'!$AJ$1045*1000000000+ISNUMBER('Dvd Calendar'!$AJ$1046)*100000000+('Dvd Calendar'!$AJ$1050='Field Check'!$C$25)*10000000+(N('Dvd Calendar'!$AJ$1044)&gt;0)*1000000+70*1000+32))</f>
        <v/>
      </c>
      <c r="AI78" s="41">
        <f>IF(N('Dvd Calendar'!$AK$1045)=0,"",IF(('Dvd Calendar'!$AK$1045&gt;=MIN(DATE(Summary!$C$12,1,1),Summary!$C$11))*('Dvd Calendar'!$AK$1045&lt;=MAX(DATE(Summary!$C$12,12,31),Summary!$C$15))*('Dvd Calendar'!$AK$1045&lt;=Summary!$C$11)=0,"",'Dvd Calendar'!$AK$1045*1000000000+ISNUMBER('Dvd Calendar'!$AK$1046)*100000000+('Dvd Calendar'!$AK$1050='Field Check'!$C$25)*10000000+(N('Dvd Calendar'!$AK$1044)&gt;0)*1000000+70*1000+33))</f>
        <v/>
      </c>
      <c r="AJ78" s="41">
        <f>IF(N('Dvd Calendar'!$AL$1045)=0,"",IF(('Dvd Calendar'!$AL$1045&gt;=MIN(DATE(Summary!$C$12,1,1),Summary!$C$11))*('Dvd Calendar'!$AL$1045&lt;=MAX(DATE(Summary!$C$12,12,31),Summary!$C$15))*('Dvd Calendar'!$AL$1045&lt;=Summary!$C$11)=0,"",'Dvd Calendar'!$AL$1045*1000000000+ISNUMBER('Dvd Calendar'!$AL$1046)*100000000+('Dvd Calendar'!$AL$1050='Field Check'!$C$25)*10000000+(N('Dvd Calendar'!$AL$1044)&gt;0)*1000000+70*1000+34))</f>
        <v/>
      </c>
      <c r="AK78" s="41">
        <f>IF(N('Dvd Calendar'!$AM$1045)=0,"",IF(('Dvd Calendar'!$AM$1045&gt;=MIN(DATE(Summary!$C$12,1,1),Summary!$C$11))*('Dvd Calendar'!$AM$1045&lt;=MAX(DATE(Summary!$C$12,12,31),Summary!$C$15))*('Dvd Calendar'!$AM$1045&lt;=Summary!$C$11)=0,"",'Dvd Calendar'!$AM$1045*1000000000+ISNUMBER('Dvd Calendar'!$AM$1046)*100000000+('Dvd Calendar'!$AM$1050='Field Check'!$C$25)*10000000+(N('Dvd Calendar'!$AM$1044)&gt;0)*1000000+70*1000+35))</f>
        <v/>
      </c>
      <c r="AL78" s="41">
        <f>IF(N('Dvd Calendar'!$AN$1045)=0,"",IF(('Dvd Calendar'!$AN$1045&gt;=MIN(DATE(Summary!$C$12,1,1),Summary!$C$11))*('Dvd Calendar'!$AN$1045&lt;=MAX(DATE(Summary!$C$12,12,31),Summary!$C$15))*('Dvd Calendar'!$AN$1045&lt;=Summary!$C$11)=0,"",'Dvd Calendar'!$AN$1045*1000000000+ISNUMBER('Dvd Calendar'!$AN$1046)*100000000+('Dvd Calendar'!$AN$1050='Field Check'!$C$25)*10000000+(N('Dvd Calendar'!$AN$1044)&gt;0)*1000000+70*1000+36))</f>
        <v/>
      </c>
      <c r="AM78" s="41">
        <f>IF(N('Dvd Calendar'!$AO$1045)=0,"",IF(('Dvd Calendar'!$AO$1045&gt;=MIN(DATE(Summary!$C$12,1,1),Summary!$C$11))*('Dvd Calendar'!$AO$1045&lt;=MAX(DATE(Summary!$C$12,12,31),Summary!$C$15))*('Dvd Calendar'!$AO$1045&lt;=Summary!$C$11)=0,"",'Dvd Calendar'!$AO$1045*1000000000+ISNUMBER('Dvd Calendar'!$AO$1046)*100000000+('Dvd Calendar'!$AO$1050='Field Check'!$C$25)*10000000+(N('Dvd Calendar'!$AO$1044)&gt;0)*1000000+70*1000+37))</f>
        <v/>
      </c>
      <c r="AN78" s="41">
        <f>IF(N('Dvd Calendar'!$AP$1045)=0,"",IF(('Dvd Calendar'!$AP$1045&gt;=MIN(DATE(Summary!$C$12,1,1),Summary!$C$11))*('Dvd Calendar'!$AP$1045&lt;=MAX(DATE(Summary!$C$12,12,31),Summary!$C$15))*('Dvd Calendar'!$AP$1045&lt;=Summary!$C$11)=0,"",'Dvd Calendar'!$AP$1045*1000000000+ISNUMBER('Dvd Calendar'!$AP$1046)*100000000+('Dvd Calendar'!$AP$1050='Field Check'!$C$25)*10000000+(N('Dvd Calendar'!$AP$1044)&gt;0)*1000000+70*1000+38))</f>
        <v/>
      </c>
      <c r="AO78" s="41">
        <f>IF(N('Dvd Calendar'!$AQ$1045)=0,"",IF(('Dvd Calendar'!$AQ$1045&gt;=MIN(DATE(Summary!$C$12,1,1),Summary!$C$11))*('Dvd Calendar'!$AQ$1045&lt;=MAX(DATE(Summary!$C$12,12,31),Summary!$C$15))*('Dvd Calendar'!$AQ$1045&lt;=Summary!$C$11)=0,"",'Dvd Calendar'!$AQ$1045*1000000000+ISNUMBER('Dvd Calendar'!$AQ$1046)*100000000+('Dvd Calendar'!$AQ$1050='Field Check'!$C$25)*10000000+(N('Dvd Calendar'!$AQ$1044)&gt;0)*1000000+70*1000+39))</f>
        <v/>
      </c>
      <c r="AP78" s="41">
        <f>IF(N('Dvd Calendar'!$AR$1045)=0,"",IF(('Dvd Calendar'!$AR$1045&gt;=MIN(DATE(Summary!$C$12,1,1),Summary!$C$11))*('Dvd Calendar'!$AR$1045&lt;=MAX(DATE(Summary!$C$12,12,31),Summary!$C$15))*('Dvd Calendar'!$AR$1045&lt;=Summary!$C$11)=0,"",'Dvd Calendar'!$AR$1045*1000000000+ISNUMBER('Dvd Calendar'!$AR$1046)*100000000+('Dvd Calendar'!$AR$1050='Field Check'!$C$25)*10000000+(N('Dvd Calendar'!$AR$1044)&gt;0)*1000000+70*1000+40))</f>
        <v/>
      </c>
      <c r="AQ78" s="41">
        <f>IF(N('Dvd Calendar'!$E$1052)=0,"",IF(('Dvd Calendar'!$E$1052&gt;=MIN(DATE(Summary!$C$12,1,1),Summary!$C$11))*('Dvd Calendar'!$E$1052&lt;=MAX(DATE(Summary!$C$12,12,31),Summary!$C$15))*('Dvd Calendar'!$E$1052&gt;Summary!$C$11)=0,"",'Dvd Calendar'!$E$1052*1000000000+ISNUMBER('Dvd Calendar'!$E$1053)*100000000+('Dvd Calendar'!$E$1057='Field Check'!$C$25)*10000000+(N('Dvd Calendar'!$E$1051)&gt;0)*1000000+70*1000+41))</f>
        <v/>
      </c>
      <c r="AR78" s="41">
        <f>IF(N('Dvd Calendar'!$F$1052)=0,"",IF(('Dvd Calendar'!$F$1052&gt;=MIN(DATE(Summary!$C$12,1,1),Summary!$C$11))*('Dvd Calendar'!$F$1052&lt;=MAX(DATE(Summary!$C$12,12,31),Summary!$C$15))*('Dvd Calendar'!$F$1052&gt;Summary!$C$11)=0,"",'Dvd Calendar'!$F$1052*1000000000+ISNUMBER('Dvd Calendar'!$F$1053)*100000000+('Dvd Calendar'!$F$1057='Field Check'!$C$25)*10000000+(N('Dvd Calendar'!$F$1051)&gt;0)*1000000+70*1000+42))</f>
        <v/>
      </c>
      <c r="AS78" s="41">
        <f>IF(N('Dvd Calendar'!$G$1052)=0,"",IF(('Dvd Calendar'!$G$1052&gt;=MIN(DATE(Summary!$C$12,1,1),Summary!$C$11))*('Dvd Calendar'!$G$1052&lt;=MAX(DATE(Summary!$C$12,12,31),Summary!$C$15))*('Dvd Calendar'!$G$1052&gt;Summary!$C$11)=0,"",'Dvd Calendar'!$G$1052*1000000000+ISNUMBER('Dvd Calendar'!$G$1053)*100000000+('Dvd Calendar'!$G$1057='Field Check'!$C$25)*10000000+(N('Dvd Calendar'!$G$1051)&gt;0)*1000000+70*1000+43))</f>
        <v/>
      </c>
      <c r="AT78" s="41">
        <f>IF(N('Dvd Calendar'!$H$1052)=0,"",IF(('Dvd Calendar'!$H$1052&gt;=MIN(DATE(Summary!$C$12,1,1),Summary!$C$11))*('Dvd Calendar'!$H$1052&lt;=MAX(DATE(Summary!$C$12,12,31),Summary!$C$15))*('Dvd Calendar'!$H$1052&gt;Summary!$C$11)=0,"",'Dvd Calendar'!$H$1052*1000000000+ISNUMBER('Dvd Calendar'!$H$1053)*100000000+('Dvd Calendar'!$H$1057='Field Check'!$C$25)*10000000+(N('Dvd Calendar'!$H$1051)&gt;0)*1000000+70*1000+44))</f>
        <v/>
      </c>
      <c r="AU78" s="41">
        <f>IF(N('Dvd Calendar'!$I$1052)=0,"",IF(('Dvd Calendar'!$I$1052&gt;=MIN(DATE(Summary!$C$12,1,1),Summary!$C$11))*('Dvd Calendar'!$I$1052&lt;=MAX(DATE(Summary!$C$12,12,31),Summary!$C$15))*('Dvd Calendar'!$I$1052&gt;Summary!$C$11)=0,"",'Dvd Calendar'!$I$1052*1000000000+ISNUMBER('Dvd Calendar'!$I$1053)*100000000+('Dvd Calendar'!$I$1057='Field Check'!$C$25)*10000000+(N('Dvd Calendar'!$I$1051)&gt;0)*1000000+70*1000+45))</f>
        <v/>
      </c>
      <c r="AV78" s="41">
        <f>IF(N('Dvd Calendar'!$J$1052)=0,"",IF(('Dvd Calendar'!$J$1052&gt;=MIN(DATE(Summary!$C$12,1,1),Summary!$C$11))*('Dvd Calendar'!$J$1052&lt;=MAX(DATE(Summary!$C$12,12,31),Summary!$C$15))*('Dvd Calendar'!$J$1052&gt;Summary!$C$11)=0,"",'Dvd Calendar'!$J$1052*1000000000+ISNUMBER('Dvd Calendar'!$J$1053)*100000000+('Dvd Calendar'!$J$1057='Field Check'!$C$25)*10000000+(N('Dvd Calendar'!$J$1051)&gt;0)*1000000+70*1000+46))</f>
        <v/>
      </c>
      <c r="AW78" s="41">
        <f>IF(N('Dvd Calendar'!$K$1052)=0,"",IF(('Dvd Calendar'!$K$1052&gt;=MIN(DATE(Summary!$C$12,1,1),Summary!$C$11))*('Dvd Calendar'!$K$1052&lt;=MAX(DATE(Summary!$C$12,12,31),Summary!$C$15))*('Dvd Calendar'!$K$1052&gt;Summary!$C$11)=0,"",'Dvd Calendar'!$K$1052*1000000000+ISNUMBER('Dvd Calendar'!$K$1053)*100000000+('Dvd Calendar'!$K$1057='Field Check'!$C$25)*10000000+(N('Dvd Calendar'!$K$1051)&gt;0)*1000000+70*1000+47))</f>
        <v/>
      </c>
      <c r="AX78" s="41">
        <f>IF(N('Dvd Calendar'!$L$1052)=0,"",IF(('Dvd Calendar'!$L$1052&gt;=MIN(DATE(Summary!$C$12,1,1),Summary!$C$11))*('Dvd Calendar'!$L$1052&lt;=MAX(DATE(Summary!$C$12,12,31),Summary!$C$15))*('Dvd Calendar'!$L$1052&gt;Summary!$C$11)=0,"",'Dvd Calendar'!$L$1052*1000000000+ISNUMBER('Dvd Calendar'!$L$1053)*100000000+('Dvd Calendar'!$L$1057='Field Check'!$C$25)*10000000+(N('Dvd Calendar'!$L$1051)&gt;0)*1000000+70*1000+48))</f>
        <v/>
      </c>
      <c r="AY78" s="41">
        <f>IF(N('Dvd Calendar'!$M$1052)=0,"",IF(('Dvd Calendar'!$M$1052&gt;=MIN(DATE(Summary!$C$12,1,1),Summary!$C$11))*('Dvd Calendar'!$M$1052&lt;=MAX(DATE(Summary!$C$12,12,31),Summary!$C$15))*('Dvd Calendar'!$M$1052&gt;Summary!$C$11)=0,"",'Dvd Calendar'!$M$1052*1000000000+ISNUMBER('Dvd Calendar'!$M$1053)*100000000+('Dvd Calendar'!$M$1057='Field Check'!$C$25)*10000000+(N('Dvd Calendar'!$M$1051)&gt;0)*1000000+70*1000+49))</f>
        <v/>
      </c>
      <c r="AZ78" s="41">
        <f>IF(N('Dvd Calendar'!$N$1052)=0,"",IF(('Dvd Calendar'!$N$1052&gt;=MIN(DATE(Summary!$C$12,1,1),Summary!$C$11))*('Dvd Calendar'!$N$1052&lt;=MAX(DATE(Summary!$C$12,12,31),Summary!$C$15))*('Dvd Calendar'!$N$1052&gt;Summary!$C$11)=0,"",'Dvd Calendar'!$N$1052*1000000000+ISNUMBER('Dvd Calendar'!$N$1053)*100000000+('Dvd Calendar'!$N$1057='Field Check'!$C$25)*10000000+(N('Dvd Calendar'!$N$1051)&gt;0)*1000000+70*1000+50))</f>
        <v/>
      </c>
      <c r="BA78" s="41">
        <f>IF(N('Dvd Calendar'!$O$1052)=0,"",IF(('Dvd Calendar'!$O$1052&gt;=MIN(DATE(Summary!$C$12,1,1),Summary!$C$11))*('Dvd Calendar'!$O$1052&lt;=MAX(DATE(Summary!$C$12,12,31),Summary!$C$15))*('Dvd Calendar'!$O$1052&gt;Summary!$C$11)=0,"",'Dvd Calendar'!$O$1052*1000000000+ISNUMBER('Dvd Calendar'!$O$1053)*100000000+('Dvd Calendar'!$O$1057='Field Check'!$C$25)*10000000+(N('Dvd Calendar'!$O$1051)&gt;0)*1000000+70*1000+51))</f>
        <v/>
      </c>
      <c r="BB78" s="41">
        <f>IF(N('Dvd Calendar'!$P$1052)=0,"",IF(('Dvd Calendar'!$P$1052&gt;=MIN(DATE(Summary!$C$12,1,1),Summary!$C$11))*('Dvd Calendar'!$P$1052&lt;=MAX(DATE(Summary!$C$12,12,31),Summary!$C$15))*('Dvd Calendar'!$P$1052&gt;Summary!$C$11)=0,"",'Dvd Calendar'!$P$1052*1000000000+ISNUMBER('Dvd Calendar'!$P$1053)*100000000+('Dvd Calendar'!$P$1057='Field Check'!$C$25)*10000000+(N('Dvd Calendar'!$P$1051)&gt;0)*1000000+70*1000+52))</f>
        <v/>
      </c>
      <c r="BC78" s="41">
        <f>IF(N('Dvd Calendar'!$Q$1052)=0,"",IF(('Dvd Calendar'!$Q$1052&gt;=MIN(DATE(Summary!$C$12,1,1),Summary!$C$11))*('Dvd Calendar'!$Q$1052&lt;=MAX(DATE(Summary!$C$12,12,31),Summary!$C$15))*('Dvd Calendar'!$Q$1052&gt;Summary!$C$11)=0,"",'Dvd Calendar'!$Q$1052*1000000000+ISNUMBER('Dvd Calendar'!$Q$1053)*100000000+('Dvd Calendar'!$Q$1057='Field Check'!$C$25)*10000000+(N('Dvd Calendar'!$Q$1051)&gt;0)*1000000+70*1000+53))</f>
        <v/>
      </c>
      <c r="BD78" s="41">
        <f>IF(N('Dvd Calendar'!$R$1052)=0,"",IF(('Dvd Calendar'!$R$1052&gt;=MIN(DATE(Summary!$C$12,1,1),Summary!$C$11))*('Dvd Calendar'!$R$1052&lt;=MAX(DATE(Summary!$C$12,12,31),Summary!$C$15))*('Dvd Calendar'!$R$1052&gt;Summary!$C$11)=0,"",'Dvd Calendar'!$R$1052*1000000000+ISNUMBER('Dvd Calendar'!$R$1053)*100000000+('Dvd Calendar'!$R$1057='Field Check'!$C$25)*10000000+(N('Dvd Calendar'!$R$1051)&gt;0)*1000000+70*1000+54))</f>
        <v/>
      </c>
      <c r="BE78" s="41">
        <f>IF(N('Dvd Calendar'!$S$1052)=0,"",IF(('Dvd Calendar'!$S$1052&gt;=MIN(DATE(Summary!$C$12,1,1),Summary!$C$11))*('Dvd Calendar'!$S$1052&lt;=MAX(DATE(Summary!$C$12,12,31),Summary!$C$15))*('Dvd Calendar'!$S$1052&gt;Summary!$C$11)=0,"",'Dvd Calendar'!$S$1052*1000000000+ISNUMBER('Dvd Calendar'!$S$1053)*100000000+('Dvd Calendar'!$S$1057='Field Check'!$C$25)*10000000+(N('Dvd Calendar'!$S$1051)&gt;0)*1000000+70*1000+55))</f>
        <v/>
      </c>
      <c r="BF78" s="41">
        <f>IF(N('Dvd Calendar'!$T$1052)=0,"",IF(('Dvd Calendar'!$T$1052&gt;=MIN(DATE(Summary!$C$12,1,1),Summary!$C$11))*('Dvd Calendar'!$T$1052&lt;=MAX(DATE(Summary!$C$12,12,31),Summary!$C$15))*('Dvd Calendar'!$T$1052&gt;Summary!$C$11)=0,"",'Dvd Calendar'!$T$1052*1000000000+ISNUMBER('Dvd Calendar'!$T$1053)*100000000+('Dvd Calendar'!$T$1057='Field Check'!$C$25)*10000000+(N('Dvd Calendar'!$T$1051)&gt;0)*1000000+70*1000+56))</f>
        <v/>
      </c>
      <c r="BG78" s="41">
        <f>IF(N('Dvd Calendar'!$U$1052)=0,"",IF(('Dvd Calendar'!$U$1052&gt;=MIN(DATE(Summary!$C$12,1,1),Summary!$C$11))*('Dvd Calendar'!$U$1052&lt;=MAX(DATE(Summary!$C$12,12,31),Summary!$C$15))*('Dvd Calendar'!$U$1052&gt;Summary!$C$11)=0,"",'Dvd Calendar'!$U$1052*1000000000+ISNUMBER('Dvd Calendar'!$U$1053)*100000000+('Dvd Calendar'!$U$1057='Field Check'!$C$25)*10000000+(N('Dvd Calendar'!$U$1051)&gt;0)*1000000+70*1000+57))</f>
        <v/>
      </c>
      <c r="BH78" s="41">
        <f>IF(N('Dvd Calendar'!$V$1052)=0,"",IF(('Dvd Calendar'!$V$1052&gt;=MIN(DATE(Summary!$C$12,1,1),Summary!$C$11))*('Dvd Calendar'!$V$1052&lt;=MAX(DATE(Summary!$C$12,12,31),Summary!$C$15))*('Dvd Calendar'!$V$1052&gt;Summary!$C$11)=0,"",'Dvd Calendar'!$V$1052*1000000000+ISNUMBER('Dvd Calendar'!$V$1053)*100000000+('Dvd Calendar'!$V$1057='Field Check'!$C$25)*10000000+(N('Dvd Calendar'!$V$1051)&gt;0)*1000000+70*1000+58))</f>
        <v/>
      </c>
      <c r="BI78" s="41">
        <f>IF(N('Dvd Calendar'!$W$1052)=0,"",IF(('Dvd Calendar'!$W$1052&gt;=MIN(DATE(Summary!$C$12,1,1),Summary!$C$11))*('Dvd Calendar'!$W$1052&lt;=MAX(DATE(Summary!$C$12,12,31),Summary!$C$15))*('Dvd Calendar'!$W$1052&gt;Summary!$C$11)=0,"",'Dvd Calendar'!$W$1052*1000000000+ISNUMBER('Dvd Calendar'!$W$1053)*100000000+('Dvd Calendar'!$W$1057='Field Check'!$C$25)*10000000+(N('Dvd Calendar'!$W$1051)&gt;0)*1000000+70*1000+59))</f>
        <v/>
      </c>
      <c r="BJ78" s="41">
        <f>IF(N('Dvd Calendar'!$X$1052)=0,"",IF(('Dvd Calendar'!$X$1052&gt;=MIN(DATE(Summary!$C$12,1,1),Summary!$C$11))*('Dvd Calendar'!$X$1052&lt;=MAX(DATE(Summary!$C$12,12,31),Summary!$C$15))*('Dvd Calendar'!$X$1052&gt;Summary!$C$11)=0,"",'Dvd Calendar'!$X$1052*1000000000+ISNUMBER('Dvd Calendar'!$X$1053)*100000000+('Dvd Calendar'!$X$1057='Field Check'!$C$25)*10000000+(N('Dvd Calendar'!$X$1051)&gt;0)*1000000+70*1000+60))</f>
        <v/>
      </c>
      <c r="BK78" s="41">
        <f>IF(N('Dvd Calendar'!$Y$1052)=0,"",IF(('Dvd Calendar'!$Y$1052&gt;=MIN(DATE(Summary!$C$12,1,1),Summary!$C$11))*('Dvd Calendar'!$Y$1052&lt;=MAX(DATE(Summary!$C$12,12,31),Summary!$C$15))*('Dvd Calendar'!$Y$1052&gt;Summary!$C$11)=0,"",'Dvd Calendar'!$Y$1052*1000000000+ISNUMBER('Dvd Calendar'!$Y$1053)*100000000+('Dvd Calendar'!$Y$1057='Field Check'!$C$25)*10000000+(N('Dvd Calendar'!$Y$1051)&gt;0)*1000000+70*1000+61))</f>
        <v/>
      </c>
      <c r="BL78" s="41">
        <f>IF(N('Dvd Calendar'!$Z$1052)=0,"",IF(('Dvd Calendar'!$Z$1052&gt;=MIN(DATE(Summary!$C$12,1,1),Summary!$C$11))*('Dvd Calendar'!$Z$1052&lt;=MAX(DATE(Summary!$C$12,12,31),Summary!$C$15))*('Dvd Calendar'!$Z$1052&gt;Summary!$C$11)=0,"",'Dvd Calendar'!$Z$1052*1000000000+ISNUMBER('Dvd Calendar'!$Z$1053)*100000000+('Dvd Calendar'!$Z$1057='Field Check'!$C$25)*10000000+(N('Dvd Calendar'!$Z$1051)&gt;0)*1000000+70*1000+62))</f>
        <v/>
      </c>
      <c r="BM78" s="41">
        <f>IF(N('Dvd Calendar'!$AA$1052)=0,"",IF(('Dvd Calendar'!$AA$1052&gt;=MIN(DATE(Summary!$C$12,1,1),Summary!$C$11))*('Dvd Calendar'!$AA$1052&lt;=MAX(DATE(Summary!$C$12,12,31),Summary!$C$15))*('Dvd Calendar'!$AA$1052&gt;Summary!$C$11)=0,"",'Dvd Calendar'!$AA$1052*1000000000+ISNUMBER('Dvd Calendar'!$AA$1053)*100000000+('Dvd Calendar'!$AA$1057='Field Check'!$C$25)*10000000+(N('Dvd Calendar'!$AA$1051)&gt;0)*1000000+70*1000+63))</f>
        <v/>
      </c>
      <c r="BN78" s="41">
        <f>IF(N('Dvd Calendar'!$AB$1052)=0,"",IF(('Dvd Calendar'!$AB$1052&gt;=MIN(DATE(Summary!$C$12,1,1),Summary!$C$11))*('Dvd Calendar'!$AB$1052&lt;=MAX(DATE(Summary!$C$12,12,31),Summary!$C$15))*('Dvd Calendar'!$AB$1052&gt;Summary!$C$11)=0,"",'Dvd Calendar'!$AB$1052*1000000000+ISNUMBER('Dvd Calendar'!$AB$1053)*100000000+('Dvd Calendar'!$AB$1057='Field Check'!$C$25)*10000000+(N('Dvd Calendar'!$AB$1051)&gt;0)*1000000+70*1000+64))</f>
        <v/>
      </c>
      <c r="BO78" s="41">
        <f>IF(N('Dvd Calendar'!$AC$1052)=0,"",IF(('Dvd Calendar'!$AC$1052&gt;=MIN(DATE(Summary!$C$12,1,1),Summary!$C$11))*('Dvd Calendar'!$AC$1052&lt;=MAX(DATE(Summary!$C$12,12,31),Summary!$C$15))*('Dvd Calendar'!$AC$1052&gt;Summary!$C$11)=0,"",'Dvd Calendar'!$AC$1052*1000000000+ISNUMBER('Dvd Calendar'!$AC$1053)*100000000+('Dvd Calendar'!$AC$1057='Field Check'!$C$25)*10000000+(N('Dvd Calendar'!$AC$1051)&gt;0)*1000000+70*1000+65))</f>
        <v/>
      </c>
      <c r="BQ78" s="85">
        <f>IF(C78="","",IF(ISNUMBER('Dvd Calendar'!$E$1046)=FALSE,"",IF((Summary!$C$13="N")*('Dvd Calendar'!$E$1050='Field Check'!$C$25)&gt;0,"",'Dvd Calendar'!$E$1046)))</f>
        <v/>
      </c>
      <c r="BR78" s="85">
        <f>IF(D78="","",IF(ISNUMBER('Dvd Calendar'!$F$1046)=FALSE,"",IF((Summary!$C$13="N")*('Dvd Calendar'!$F$1050='Field Check'!$C$25)&gt;0,"",'Dvd Calendar'!$F$1046)))</f>
        <v/>
      </c>
      <c r="BS78" s="85">
        <f>IF(E78="","",IF(ISNUMBER('Dvd Calendar'!$G$1046)=FALSE,"",IF((Summary!$C$13="N")*('Dvd Calendar'!$G$1050='Field Check'!$C$25)&gt;0,"",'Dvd Calendar'!$G$1046)))</f>
        <v/>
      </c>
      <c r="BT78" s="85">
        <f>IF(F78="","",IF(ISNUMBER('Dvd Calendar'!$H$1046)=FALSE,"",IF((Summary!$C$13="N")*('Dvd Calendar'!$H$1050='Field Check'!$C$25)&gt;0,"",'Dvd Calendar'!$H$1046)))</f>
        <v/>
      </c>
      <c r="BU78" s="85">
        <f>IF(G78="","",IF(ISNUMBER('Dvd Calendar'!$I$1046)=FALSE,"",IF((Summary!$C$13="N")*('Dvd Calendar'!$I$1050='Field Check'!$C$25)&gt;0,"",'Dvd Calendar'!$I$1046)))</f>
        <v/>
      </c>
      <c r="BV78" s="85">
        <f>IF(H78="","",IF(ISNUMBER('Dvd Calendar'!$J$1046)=FALSE,"",IF((Summary!$C$13="N")*('Dvd Calendar'!$J$1050='Field Check'!$C$25)&gt;0,"",'Dvd Calendar'!$J$1046)))</f>
        <v/>
      </c>
      <c r="BW78" s="85">
        <f>IF(I78="","",IF(ISNUMBER('Dvd Calendar'!$K$1046)=FALSE,"",IF((Summary!$C$13="N")*('Dvd Calendar'!$K$1050='Field Check'!$C$25)&gt;0,"",'Dvd Calendar'!$K$1046)))</f>
        <v/>
      </c>
      <c r="BX78" s="85">
        <f>IF(J78="","",IF(ISNUMBER('Dvd Calendar'!$L$1046)=FALSE,"",IF((Summary!$C$13="N")*('Dvd Calendar'!$L$1050='Field Check'!$C$25)&gt;0,"",'Dvd Calendar'!$L$1046)))</f>
        <v/>
      </c>
      <c r="BY78" s="85">
        <f>IF(K78="","",IF(ISNUMBER('Dvd Calendar'!$M$1046)=FALSE,"",IF((Summary!$C$13="N")*('Dvd Calendar'!$M$1050='Field Check'!$C$25)&gt;0,"",'Dvd Calendar'!$M$1046)))</f>
        <v/>
      </c>
      <c r="BZ78" s="85">
        <f>IF(L78="","",IF(ISNUMBER('Dvd Calendar'!$N$1046)=FALSE,"",IF((Summary!$C$13="N")*('Dvd Calendar'!$N$1050='Field Check'!$C$25)&gt;0,"",'Dvd Calendar'!$N$1046)))</f>
        <v/>
      </c>
      <c r="CA78" s="85">
        <f>IF(M78="","",IF(ISNUMBER('Dvd Calendar'!$O$1046)=FALSE,"",IF((Summary!$C$13="N")*('Dvd Calendar'!$O$1050='Field Check'!$C$25)&gt;0,"",'Dvd Calendar'!$O$1046)))</f>
        <v/>
      </c>
      <c r="CB78" s="85">
        <f>IF(N78="","",IF(ISNUMBER('Dvd Calendar'!$P$1046)=FALSE,"",IF((Summary!$C$13="N")*('Dvd Calendar'!$P$1050='Field Check'!$C$25)&gt;0,"",'Dvd Calendar'!$P$1046)))</f>
        <v/>
      </c>
      <c r="CC78" s="85">
        <f>IF(O78="","",IF(ISNUMBER('Dvd Calendar'!$Q$1046)=FALSE,"",IF((Summary!$C$13="N")*('Dvd Calendar'!$Q$1050='Field Check'!$C$25)&gt;0,"",'Dvd Calendar'!$Q$1046)))</f>
        <v/>
      </c>
      <c r="CD78" s="85">
        <f>IF(P78="","",IF(ISNUMBER('Dvd Calendar'!$R$1046)=FALSE,"",IF((Summary!$C$13="N")*('Dvd Calendar'!$R$1050='Field Check'!$C$25)&gt;0,"",'Dvd Calendar'!$R$1046)))</f>
        <v/>
      </c>
      <c r="CE78" s="85">
        <f>IF(Q78="","",IF(ISNUMBER('Dvd Calendar'!$S$1046)=FALSE,"",IF((Summary!$C$13="N")*('Dvd Calendar'!$S$1050='Field Check'!$C$25)&gt;0,"",'Dvd Calendar'!$S$1046)))</f>
        <v/>
      </c>
      <c r="CF78" s="85">
        <f>IF(R78="","",IF(ISNUMBER('Dvd Calendar'!$T$1046)=FALSE,"",IF((Summary!$C$13="N")*('Dvd Calendar'!$T$1050='Field Check'!$C$25)&gt;0,"",'Dvd Calendar'!$T$1046)))</f>
        <v/>
      </c>
      <c r="CG78" s="85">
        <f>IF(S78="","",IF(ISNUMBER('Dvd Calendar'!$U$1046)=FALSE,"",IF((Summary!$C$13="N")*('Dvd Calendar'!$U$1050='Field Check'!$C$25)&gt;0,"",'Dvd Calendar'!$U$1046)))</f>
        <v/>
      </c>
      <c r="CH78" s="85">
        <f>IF(T78="","",IF(ISNUMBER('Dvd Calendar'!$V$1046)=FALSE,"",IF((Summary!$C$13="N")*('Dvd Calendar'!$V$1050='Field Check'!$C$25)&gt;0,"",'Dvd Calendar'!$V$1046)))</f>
        <v/>
      </c>
      <c r="CI78" s="85">
        <f>IF(U78="","",IF(ISNUMBER('Dvd Calendar'!$W$1046)=FALSE,"",IF((Summary!$C$13="N")*('Dvd Calendar'!$W$1050='Field Check'!$C$25)&gt;0,"",'Dvd Calendar'!$W$1046)))</f>
        <v/>
      </c>
      <c r="CJ78" s="85">
        <f>IF(V78="","",IF(ISNUMBER('Dvd Calendar'!$X$1046)=FALSE,"",IF((Summary!$C$13="N")*('Dvd Calendar'!$X$1050='Field Check'!$C$25)&gt;0,"",'Dvd Calendar'!$X$1046)))</f>
        <v/>
      </c>
      <c r="CK78" s="85">
        <f>IF(W78="","",IF(ISNUMBER('Dvd Calendar'!$Y$1046)=FALSE,"",IF((Summary!$C$13="N")*('Dvd Calendar'!$Y$1050='Field Check'!$C$25)&gt;0,"",'Dvd Calendar'!$Y$1046)))</f>
        <v/>
      </c>
      <c r="CL78" s="85">
        <f>IF(X78="","",IF(ISNUMBER('Dvd Calendar'!$Z$1046)=FALSE,"",IF((Summary!$C$13="N")*('Dvd Calendar'!$Z$1050='Field Check'!$C$25)&gt;0,"",'Dvd Calendar'!$Z$1046)))</f>
        <v/>
      </c>
      <c r="CM78" s="85">
        <f>IF(Y78="","",IF(ISNUMBER('Dvd Calendar'!$AA$1046)=FALSE,"",IF((Summary!$C$13="N")*('Dvd Calendar'!$AA$1050='Field Check'!$C$25)&gt;0,"",'Dvd Calendar'!$AA$1046)))</f>
        <v/>
      </c>
      <c r="CN78" s="85">
        <f>IF(Z78="","",IF(ISNUMBER('Dvd Calendar'!$AB$1046)=FALSE,"",IF((Summary!$C$13="N")*('Dvd Calendar'!$AB$1050='Field Check'!$C$25)&gt;0,"",'Dvd Calendar'!$AB$1046)))</f>
        <v/>
      </c>
      <c r="CO78" s="85">
        <f>IF(AA78="","",IF(ISNUMBER('Dvd Calendar'!$AC$1046)=FALSE,"",IF((Summary!$C$13="N")*('Dvd Calendar'!$AC$1050='Field Check'!$C$25)&gt;0,"",'Dvd Calendar'!$AC$1046)))</f>
        <v/>
      </c>
      <c r="CP78" s="85">
        <f>IF(AB78="","",IF(ISNUMBER('Dvd Calendar'!$AD$1046)=FALSE,"",IF((Summary!$C$13="N")*('Dvd Calendar'!$AD$1050='Field Check'!$C$25)&gt;0,"",'Dvd Calendar'!$AD$1046)))</f>
        <v/>
      </c>
      <c r="CQ78" s="85">
        <f>IF(AC78="","",IF(ISNUMBER('Dvd Calendar'!$AE$1046)=FALSE,"",IF((Summary!$C$13="N")*('Dvd Calendar'!$AE$1050='Field Check'!$C$25)&gt;0,"",'Dvd Calendar'!$AE$1046)))</f>
        <v/>
      </c>
      <c r="CR78" s="85">
        <f>IF(AD78="","",IF(ISNUMBER('Dvd Calendar'!$AF$1046)=FALSE,"",IF((Summary!$C$13="N")*('Dvd Calendar'!$AF$1050='Field Check'!$C$25)&gt;0,"",'Dvd Calendar'!$AF$1046)))</f>
        <v/>
      </c>
      <c r="CS78" s="85">
        <f>IF(AE78="","",IF(ISNUMBER('Dvd Calendar'!$AG$1046)=FALSE,"",IF((Summary!$C$13="N")*('Dvd Calendar'!$AG$1050='Field Check'!$C$25)&gt;0,"",'Dvd Calendar'!$AG$1046)))</f>
        <v/>
      </c>
      <c r="CT78" s="85">
        <f>IF(AF78="","",IF(ISNUMBER('Dvd Calendar'!$AH$1046)=FALSE,"",IF((Summary!$C$13="N")*('Dvd Calendar'!$AH$1050='Field Check'!$C$25)&gt;0,"",'Dvd Calendar'!$AH$1046)))</f>
        <v/>
      </c>
      <c r="CU78" s="85">
        <f>IF(AG78="","",IF(ISNUMBER('Dvd Calendar'!$AI$1046)=FALSE,"",IF((Summary!$C$13="N")*('Dvd Calendar'!$AI$1050='Field Check'!$C$25)&gt;0,"",'Dvd Calendar'!$AI$1046)))</f>
        <v/>
      </c>
      <c r="CV78" s="85">
        <f>IF(AH78="","",IF(ISNUMBER('Dvd Calendar'!$AJ$1046)=FALSE,"",IF((Summary!$C$13="N")*('Dvd Calendar'!$AJ$1050='Field Check'!$C$25)&gt;0,"",'Dvd Calendar'!$AJ$1046)))</f>
        <v/>
      </c>
      <c r="CW78" s="85">
        <f>IF(AI78="","",IF(ISNUMBER('Dvd Calendar'!$AK$1046)=FALSE,"",IF((Summary!$C$13="N")*('Dvd Calendar'!$AK$1050='Field Check'!$C$25)&gt;0,"",'Dvd Calendar'!$AK$1046)))</f>
        <v/>
      </c>
      <c r="CX78" s="85">
        <f>IF(AJ78="","",IF(ISNUMBER('Dvd Calendar'!$AL$1046)=FALSE,"",IF((Summary!$C$13="N")*('Dvd Calendar'!$AL$1050='Field Check'!$C$25)&gt;0,"",'Dvd Calendar'!$AL$1046)))</f>
        <v/>
      </c>
      <c r="CY78" s="85">
        <f>IF(AK78="","",IF(ISNUMBER('Dvd Calendar'!$AM$1046)=FALSE,"",IF((Summary!$C$13="N")*('Dvd Calendar'!$AM$1050='Field Check'!$C$25)&gt;0,"",'Dvd Calendar'!$AM$1046)))</f>
        <v/>
      </c>
      <c r="CZ78" s="85">
        <f>IF(AL78="","",IF(ISNUMBER('Dvd Calendar'!$AN$1046)=FALSE,"",IF((Summary!$C$13="N")*('Dvd Calendar'!$AN$1050='Field Check'!$C$25)&gt;0,"",'Dvd Calendar'!$AN$1046)))</f>
        <v/>
      </c>
      <c r="DA78" s="85">
        <f>IF(AM78="","",IF(ISNUMBER('Dvd Calendar'!$AO$1046)=FALSE,"",IF((Summary!$C$13="N")*('Dvd Calendar'!$AO$1050='Field Check'!$C$25)&gt;0,"",'Dvd Calendar'!$AO$1046)))</f>
        <v/>
      </c>
      <c r="DB78" s="85">
        <f>IF(AN78="","",IF(ISNUMBER('Dvd Calendar'!$AP$1046)=FALSE,"",IF((Summary!$C$13="N")*('Dvd Calendar'!$AP$1050='Field Check'!$C$25)&gt;0,"",'Dvd Calendar'!$AP$1046)))</f>
        <v/>
      </c>
      <c r="DC78" s="85">
        <f>IF(AO78="","",IF(ISNUMBER('Dvd Calendar'!$AQ$1046)=FALSE,"",IF((Summary!$C$13="N")*('Dvd Calendar'!$AQ$1050='Field Check'!$C$25)&gt;0,"",'Dvd Calendar'!$AQ$1046)))</f>
        <v/>
      </c>
      <c r="DD78" s="85">
        <f>IF(AP78="","",IF(ISNUMBER('Dvd Calendar'!$AR$1046)=FALSE,"",IF((Summary!$C$13="N")*('Dvd Calendar'!$AR$1050='Field Check'!$C$25)&gt;0,"",'Dvd Calendar'!$AR$1046)))</f>
        <v/>
      </c>
      <c r="DE78" s="85">
        <f>IF(AQ78="","",IF(ISNUMBER('Dvd Calendar'!$E$1053)=FALSE,"",IF((Summary!$C$13="N")*('Dvd Calendar'!$E$1057='Field Check'!$C$25)&gt;0,"",'Dvd Calendar'!$E$1053)))</f>
        <v/>
      </c>
      <c r="DF78" s="85">
        <f>IF(AR78="","",IF(ISNUMBER('Dvd Calendar'!$F$1053)=FALSE,"",IF((Summary!$C$13="N")*('Dvd Calendar'!$F$1057='Field Check'!$C$25)&gt;0,"",'Dvd Calendar'!$F$1053)))</f>
        <v/>
      </c>
      <c r="DG78" s="85">
        <f>IF(AS78="","",IF(ISNUMBER('Dvd Calendar'!$G$1053)=FALSE,"",IF((Summary!$C$13="N")*('Dvd Calendar'!$G$1057='Field Check'!$C$25)&gt;0,"",'Dvd Calendar'!$G$1053)))</f>
        <v/>
      </c>
      <c r="DH78" s="85">
        <f>IF(AT78="","",IF(ISNUMBER('Dvd Calendar'!$H$1053)=FALSE,"",IF((Summary!$C$13="N")*('Dvd Calendar'!$H$1057='Field Check'!$C$25)&gt;0,"",'Dvd Calendar'!$H$1053)))</f>
        <v/>
      </c>
      <c r="DI78" s="85">
        <f>IF(AU78="","",IF(ISNUMBER('Dvd Calendar'!$I$1053)=FALSE,"",IF((Summary!$C$13="N")*('Dvd Calendar'!$I$1057='Field Check'!$C$25)&gt;0,"",'Dvd Calendar'!$I$1053)))</f>
        <v/>
      </c>
      <c r="DJ78" s="85">
        <f>IF(AV78="","",IF(ISNUMBER('Dvd Calendar'!$J$1053)=FALSE,"",IF((Summary!$C$13="N")*('Dvd Calendar'!$J$1057='Field Check'!$C$25)&gt;0,"",'Dvd Calendar'!$J$1053)))</f>
        <v/>
      </c>
      <c r="DK78" s="85">
        <f>IF(AW78="","",IF(ISNUMBER('Dvd Calendar'!$K$1053)=FALSE,"",IF((Summary!$C$13="N")*('Dvd Calendar'!$K$1057='Field Check'!$C$25)&gt;0,"",'Dvd Calendar'!$K$1053)))</f>
        <v/>
      </c>
      <c r="DL78" s="85">
        <f>IF(AX78="","",IF(ISNUMBER('Dvd Calendar'!$L$1053)=FALSE,"",IF((Summary!$C$13="N")*('Dvd Calendar'!$L$1057='Field Check'!$C$25)&gt;0,"",'Dvd Calendar'!$L$1053)))</f>
        <v/>
      </c>
      <c r="DM78" s="85">
        <f>IF(AY78="","",IF(ISNUMBER('Dvd Calendar'!$M$1053)=FALSE,"",IF((Summary!$C$13="N")*('Dvd Calendar'!$M$1057='Field Check'!$C$25)&gt;0,"",'Dvd Calendar'!$M$1053)))</f>
        <v/>
      </c>
      <c r="DN78" s="85">
        <f>IF(AZ78="","",IF(ISNUMBER('Dvd Calendar'!$N$1053)=FALSE,"",IF((Summary!$C$13="N")*('Dvd Calendar'!$N$1057='Field Check'!$C$25)&gt;0,"",'Dvd Calendar'!$N$1053)))</f>
        <v/>
      </c>
      <c r="DO78" s="85">
        <f>IF(BA78="","",IF(ISNUMBER('Dvd Calendar'!$O$1053)=FALSE,"",IF((Summary!$C$13="N")*('Dvd Calendar'!$O$1057='Field Check'!$C$25)&gt;0,"",'Dvd Calendar'!$O$1053)))</f>
        <v/>
      </c>
      <c r="DP78" s="85">
        <f>IF(BB78="","",IF(ISNUMBER('Dvd Calendar'!$P$1053)=FALSE,"",IF((Summary!$C$13="N")*('Dvd Calendar'!$P$1057='Field Check'!$C$25)&gt;0,"",'Dvd Calendar'!$P$1053)))</f>
        <v/>
      </c>
      <c r="DQ78" s="85">
        <f>IF(BC78="","",IF(ISNUMBER('Dvd Calendar'!$Q$1053)=FALSE,"",IF((Summary!$C$13="N")*('Dvd Calendar'!$Q$1057='Field Check'!$C$25)&gt;0,"",'Dvd Calendar'!$Q$1053)))</f>
        <v/>
      </c>
      <c r="DR78" s="85">
        <f>IF(BD78="","",IF(ISNUMBER('Dvd Calendar'!$R$1053)=FALSE,"",IF((Summary!$C$13="N")*('Dvd Calendar'!$R$1057='Field Check'!$C$25)&gt;0,"",'Dvd Calendar'!$R$1053)))</f>
        <v/>
      </c>
      <c r="DS78" s="85">
        <f>IF(BE78="","",IF(ISNUMBER('Dvd Calendar'!$S$1053)=FALSE,"",IF((Summary!$C$13="N")*('Dvd Calendar'!$S$1057='Field Check'!$C$25)&gt;0,"",'Dvd Calendar'!$S$1053)))</f>
        <v/>
      </c>
      <c r="DT78" s="85">
        <f>IF(BF78="","",IF(ISNUMBER('Dvd Calendar'!$T$1053)=FALSE,"",IF((Summary!$C$13="N")*('Dvd Calendar'!$T$1057='Field Check'!$C$25)&gt;0,"",'Dvd Calendar'!$T$1053)))</f>
        <v/>
      </c>
      <c r="DU78" s="85">
        <f>IF(BG78="","",IF(ISNUMBER('Dvd Calendar'!$U$1053)=FALSE,"",IF((Summary!$C$13="N")*('Dvd Calendar'!$U$1057='Field Check'!$C$25)&gt;0,"",'Dvd Calendar'!$U$1053)))</f>
        <v/>
      </c>
      <c r="DV78" s="85">
        <f>IF(BH78="","",IF(ISNUMBER('Dvd Calendar'!$V$1053)=FALSE,"",IF((Summary!$C$13="N")*('Dvd Calendar'!$V$1057='Field Check'!$C$25)&gt;0,"",'Dvd Calendar'!$V$1053)))</f>
        <v/>
      </c>
      <c r="DW78" s="85">
        <f>IF(BI78="","",IF(ISNUMBER('Dvd Calendar'!$W$1053)=FALSE,"",IF((Summary!$C$13="N")*('Dvd Calendar'!$W$1057='Field Check'!$C$25)&gt;0,"",'Dvd Calendar'!$W$1053)))</f>
        <v/>
      </c>
      <c r="DX78" s="85">
        <f>IF(BJ78="","",IF(ISNUMBER('Dvd Calendar'!$X$1053)=FALSE,"",IF((Summary!$C$13="N")*('Dvd Calendar'!$X$1057='Field Check'!$C$25)&gt;0,"",'Dvd Calendar'!$X$1053)))</f>
        <v/>
      </c>
      <c r="DY78" s="85">
        <f>IF(BK78="","",IF(ISNUMBER('Dvd Calendar'!$Y$1053)=FALSE,"",IF((Summary!$C$13="N")*('Dvd Calendar'!$Y$1057='Field Check'!$C$25)&gt;0,"",'Dvd Calendar'!$Y$1053)))</f>
        <v/>
      </c>
      <c r="DZ78" s="85">
        <f>IF(BL78="","",IF(ISNUMBER('Dvd Calendar'!$Z$1053)=FALSE,"",IF((Summary!$C$13="N")*('Dvd Calendar'!$Z$1057='Field Check'!$C$25)&gt;0,"",'Dvd Calendar'!$Z$1053)))</f>
        <v/>
      </c>
      <c r="EA78" s="85">
        <f>IF(BM78="","",IF(ISNUMBER('Dvd Calendar'!$AA$1053)=FALSE,"",IF((Summary!$C$13="N")*('Dvd Calendar'!$AA$1057='Field Check'!$C$25)&gt;0,"",'Dvd Calendar'!$AA$1053)))</f>
        <v/>
      </c>
      <c r="EB78" s="85">
        <f>IF(BN78="","",IF(ISNUMBER('Dvd Calendar'!$AB$1053)=FALSE,"",IF((Summary!$C$13="N")*('Dvd Calendar'!$AB$1057='Field Check'!$C$25)&gt;0,"",'Dvd Calendar'!$AB$1053)))</f>
        <v/>
      </c>
      <c r="EC78" s="85">
        <f>IF(BO78="","",IF(ISNUMBER('Dvd Calendar'!$AC$1053)=FALSE,"",IF((Summary!$C$13="N")*('Dvd Calendar'!$AC$1057='Field Check'!$C$25)&gt;0,"",'Dvd Calendar'!$AC$1053)))</f>
        <v/>
      </c>
      <c r="EE78" s="85">
        <f>IF(BQ78="","",IFERROR(BQ78*HSI!$B$76*HSI!$G$76/HSI!$B$3,""))</f>
        <v/>
      </c>
      <c r="EF78" s="85">
        <f>IF(BR78="","",IFERROR(BR78*HSI!$B$76*HSI!$G$76/HSI!$B$3,""))</f>
        <v/>
      </c>
      <c r="EG78" s="85">
        <f>IF(BS78="","",IFERROR(BS78*HSI!$B$76*HSI!$G$76/HSI!$B$3,""))</f>
        <v/>
      </c>
      <c r="EH78" s="85">
        <f>IF(BT78="","",IFERROR(BT78*HSI!$B$76*HSI!$G$76/HSI!$B$3,""))</f>
        <v/>
      </c>
      <c r="EI78" s="85">
        <f>IF(BU78="","",IFERROR(BU78*HSI!$B$76*HSI!$G$76/HSI!$B$3,""))</f>
        <v/>
      </c>
      <c r="EJ78" s="85">
        <f>IF(BV78="","",IFERROR(BV78*HSI!$B$76*HSI!$G$76/HSI!$B$3,""))</f>
        <v/>
      </c>
      <c r="EK78" s="85">
        <f>IF(BW78="","",IFERROR(BW78*HSI!$B$76*HSI!$G$76/HSI!$B$3,""))</f>
        <v/>
      </c>
      <c r="EL78" s="85">
        <f>IF(BX78="","",IFERROR(BX78*HSI!$B$76*HSI!$G$76/HSI!$B$3,""))</f>
        <v/>
      </c>
      <c r="EM78" s="85">
        <f>IF(BY78="","",IFERROR(BY78*HSI!$B$76*HSI!$G$76/HSI!$B$3,""))</f>
        <v/>
      </c>
      <c r="EN78" s="85">
        <f>IF(BZ78="","",IFERROR(BZ78*HSI!$B$76*HSI!$G$76/HSI!$B$3,""))</f>
        <v/>
      </c>
      <c r="EO78" s="85">
        <f>IF(CA78="","",IFERROR(CA78*HSI!$B$76*HSI!$G$76/HSI!$B$3,""))</f>
        <v/>
      </c>
      <c r="EP78" s="85">
        <f>IF(CB78="","",IFERROR(CB78*HSI!$B$76*HSI!$G$76/HSI!$B$3,""))</f>
        <v/>
      </c>
      <c r="EQ78" s="85">
        <f>IF(CC78="","",IFERROR(CC78*HSI!$B$76*HSI!$G$76/HSI!$B$3,""))</f>
        <v/>
      </c>
      <c r="ER78" s="85">
        <f>IF(CD78="","",IFERROR(CD78*HSI!$B$76*HSI!$G$76/HSI!$B$3,""))</f>
        <v/>
      </c>
      <c r="ES78" s="85">
        <f>IF(CE78="","",IFERROR(CE78*HSI!$B$76*HSI!$G$76/HSI!$B$3,""))</f>
        <v/>
      </c>
      <c r="ET78" s="85">
        <f>IF(CF78="","",IFERROR(CF78*HSI!$B$76*HSI!$G$76/HSI!$B$3,""))</f>
        <v/>
      </c>
      <c r="EU78" s="85">
        <f>IF(CG78="","",IFERROR(CG78*HSI!$B$76*HSI!$G$76/HSI!$B$3,""))</f>
        <v/>
      </c>
      <c r="EV78" s="85">
        <f>IF(CH78="","",IFERROR(CH78*HSI!$B$76*HSI!$G$76/HSI!$B$3,""))</f>
        <v/>
      </c>
      <c r="EW78" s="85">
        <f>IF(CI78="","",IFERROR(CI78*HSI!$B$76*HSI!$G$76/HSI!$B$3,""))</f>
        <v/>
      </c>
      <c r="EX78" s="85">
        <f>IF(CJ78="","",IFERROR(CJ78*HSI!$B$76*HSI!$G$76/HSI!$B$3,""))</f>
        <v/>
      </c>
      <c r="EY78" s="85">
        <f>IF(CK78="","",IFERROR(CK78*HSI!$B$76*HSI!$G$76/HSI!$B$3,""))</f>
        <v/>
      </c>
      <c r="EZ78" s="85">
        <f>IF(CL78="","",IFERROR(CL78*HSI!$B$76*HSI!$G$76/HSI!$B$3,""))</f>
        <v/>
      </c>
      <c r="FA78" s="85">
        <f>IF(CM78="","",IFERROR(CM78*HSI!$B$76*HSI!$G$76/HSI!$B$3,""))</f>
        <v/>
      </c>
      <c r="FB78" s="85">
        <f>IF(CN78="","",IFERROR(CN78*HSI!$B$76*HSI!$G$76/HSI!$B$3,""))</f>
        <v/>
      </c>
      <c r="FC78" s="85">
        <f>IF(CO78="","",IFERROR(CO78*HSI!$B$76*HSI!$G$76/HSI!$B$3,""))</f>
        <v/>
      </c>
      <c r="FD78" s="85">
        <f>IF(CP78="","",IFERROR(CP78*HSI!$B$76*HSI!$G$76/HSI!$B$3,""))</f>
        <v/>
      </c>
      <c r="FE78" s="85">
        <f>IF(CQ78="","",IFERROR(CQ78*HSI!$B$76*HSI!$G$76/HSI!$B$3,""))</f>
        <v/>
      </c>
      <c r="FF78" s="85">
        <f>IF(CR78="","",IFERROR(CR78*HSI!$B$76*HSI!$G$76/HSI!$B$3,""))</f>
        <v/>
      </c>
      <c r="FG78" s="85">
        <f>IF(CS78="","",IFERROR(CS78*HSI!$B$76*HSI!$G$76/HSI!$B$3,""))</f>
        <v/>
      </c>
      <c r="FH78" s="85">
        <f>IF(CT78="","",IFERROR(CT78*HSI!$B$76*HSI!$G$76/HSI!$B$3,""))</f>
        <v/>
      </c>
      <c r="FI78" s="85">
        <f>IF(CU78="","",IFERROR(CU78*HSI!$B$76*HSI!$G$76/HSI!$B$3,""))</f>
        <v/>
      </c>
      <c r="FJ78" s="85">
        <f>IF(CV78="","",IFERROR(CV78*HSI!$B$76*HSI!$G$76/HSI!$B$3,""))</f>
        <v/>
      </c>
      <c r="FK78" s="85">
        <f>IF(CW78="","",IFERROR(CW78*HSI!$B$76*HSI!$G$76/HSI!$B$3,""))</f>
        <v/>
      </c>
      <c r="FL78" s="85">
        <f>IF(CX78="","",IFERROR(CX78*HSI!$B$76*HSI!$G$76/HSI!$B$3,""))</f>
        <v/>
      </c>
      <c r="FM78" s="85">
        <f>IF(CY78="","",IFERROR(CY78*HSI!$B$76*HSI!$G$76/HSI!$B$3,""))</f>
        <v/>
      </c>
      <c r="FN78" s="85">
        <f>IF(CZ78="","",IFERROR(CZ78*HSI!$B$76*HSI!$G$76/HSI!$B$3,""))</f>
        <v/>
      </c>
      <c r="FO78" s="85">
        <f>IF(DA78="","",IFERROR(DA78*HSI!$B$76*HSI!$G$76/HSI!$B$3,""))</f>
        <v/>
      </c>
      <c r="FP78" s="85">
        <f>IF(DB78="","",IFERROR(DB78*HSI!$B$76*HSI!$G$76/HSI!$B$3,""))</f>
        <v/>
      </c>
      <c r="FQ78" s="85">
        <f>IF(DC78="","",IFERROR(DC78*HSI!$B$76*HSI!$G$76/HSI!$B$3,""))</f>
        <v/>
      </c>
      <c r="FR78" s="85">
        <f>IF(DD78="","",IFERROR(DD78*HSI!$B$76*HSI!$G$76/HSI!$B$3,""))</f>
        <v/>
      </c>
      <c r="FS78" s="85">
        <f>IF(DE78="","",IFERROR(DE78*HSI!$B$76*HSI!$G$76/HSI!$B$3,""))</f>
        <v/>
      </c>
      <c r="FT78" s="85">
        <f>IF(DF78="","",IFERROR(DF78*HSI!$B$76*HSI!$G$76/HSI!$B$3,""))</f>
        <v/>
      </c>
      <c r="FU78" s="85">
        <f>IF(DG78="","",IFERROR(DG78*HSI!$B$76*HSI!$G$76/HSI!$B$3,""))</f>
        <v/>
      </c>
      <c r="FV78" s="85">
        <f>IF(DH78="","",IFERROR(DH78*HSI!$B$76*HSI!$G$76/HSI!$B$3,""))</f>
        <v/>
      </c>
      <c r="FW78" s="85">
        <f>IF(DI78="","",IFERROR(DI78*HSI!$B$76*HSI!$G$76/HSI!$B$3,""))</f>
        <v/>
      </c>
      <c r="FX78" s="85">
        <f>IF(DJ78="","",IFERROR(DJ78*HSI!$B$76*HSI!$G$76/HSI!$B$3,""))</f>
        <v/>
      </c>
      <c r="FY78" s="85">
        <f>IF(DK78="","",IFERROR(DK78*HSI!$B$76*HSI!$G$76/HSI!$B$3,""))</f>
        <v/>
      </c>
      <c r="FZ78" s="85">
        <f>IF(DL78="","",IFERROR(DL78*HSI!$B$76*HSI!$G$76/HSI!$B$3,""))</f>
        <v/>
      </c>
      <c r="GA78" s="85">
        <f>IF(DM78="","",IFERROR(DM78*HSI!$B$76*HSI!$G$76/HSI!$B$3,""))</f>
        <v/>
      </c>
      <c r="GB78" s="85">
        <f>IF(DN78="","",IFERROR(DN78*HSI!$B$76*HSI!$G$76/HSI!$B$3,""))</f>
        <v/>
      </c>
      <c r="GC78" s="85">
        <f>IF(DO78="","",IFERROR(DO78*HSI!$B$76*HSI!$G$76/HSI!$B$3,""))</f>
        <v/>
      </c>
      <c r="GD78" s="85">
        <f>IF(DP78="","",IFERROR(DP78*HSI!$B$76*HSI!$G$76/HSI!$B$3,""))</f>
        <v/>
      </c>
      <c r="GE78" s="85">
        <f>IF(DQ78="","",IFERROR(DQ78*HSI!$B$76*HSI!$G$76/HSI!$B$3,""))</f>
        <v/>
      </c>
      <c r="GF78" s="85">
        <f>IF(DR78="","",IFERROR(DR78*HSI!$B$76*HSI!$G$76/HSI!$B$3,""))</f>
        <v/>
      </c>
      <c r="GG78" s="85">
        <f>IF(DS78="","",IFERROR(DS78*HSI!$B$76*HSI!$G$76/HSI!$B$3,""))</f>
        <v/>
      </c>
      <c r="GH78" s="85">
        <f>IF(DT78="","",IFERROR(DT78*HSI!$B$76*HSI!$G$76/HSI!$B$3,""))</f>
        <v/>
      </c>
      <c r="GI78" s="85">
        <f>IF(DU78="","",IFERROR(DU78*HSI!$B$76*HSI!$G$76/HSI!$B$3,""))</f>
        <v/>
      </c>
      <c r="GJ78" s="85">
        <f>IF(DV78="","",IFERROR(DV78*HSI!$B$76*HSI!$G$76/HSI!$B$3,""))</f>
        <v/>
      </c>
      <c r="GK78" s="85">
        <f>IF(DW78="","",IFERROR(DW78*HSI!$B$76*HSI!$G$76/HSI!$B$3,""))</f>
        <v/>
      </c>
      <c r="GL78" s="85">
        <f>IF(DX78="","",IFERROR(DX78*HSI!$B$76*HSI!$G$76/HSI!$B$3,""))</f>
        <v/>
      </c>
      <c r="GM78" s="85">
        <f>IF(DY78="","",IFERROR(DY78*HSI!$B$76*HSI!$G$76/HSI!$B$3,""))</f>
        <v/>
      </c>
      <c r="GN78" s="85">
        <f>IF(DZ78="","",IFERROR(DZ78*HSI!$B$76*HSI!$G$76/HSI!$B$3,""))</f>
        <v/>
      </c>
      <c r="GO78" s="85">
        <f>IF(EA78="","",IFERROR(EA78*HSI!$B$76*HSI!$G$76/HSI!$B$3,""))</f>
        <v/>
      </c>
      <c r="GP78" s="85">
        <f>IF(EB78="","",IFERROR(EB78*HSI!$B$76*HSI!$G$76/HSI!$B$3,""))</f>
        <v/>
      </c>
      <c r="GQ78" s="85">
        <f>IF(EC78="","",IFERROR(EC78*HSI!$B$76*HSI!$G$76/HSI!$B$3,""))</f>
        <v/>
      </c>
    </row>
    <row r="79">
      <c r="B79" s="2">
        <f>IF(HSI!$C$77="","",HSI!$C$77)</f>
        <v/>
      </c>
      <c r="C79" s="41">
        <f>IF(N('Dvd Calendar'!$E$1060)=0,"",IF(('Dvd Calendar'!$E$1060&gt;=MIN(DATE(Summary!$C$12,1,1),Summary!$C$11))*('Dvd Calendar'!$E$1060&lt;=MAX(DATE(Summary!$C$12,12,31),Summary!$C$15))*('Dvd Calendar'!$E$1060&lt;=Summary!$C$11)=0,"",'Dvd Calendar'!$E$1060*1000000000+ISNUMBER('Dvd Calendar'!$E$1061)*100000000+('Dvd Calendar'!$E$1065='Field Check'!$C$25)*10000000+(N('Dvd Calendar'!$E$1059)&gt;0)*1000000+71*1000+1))</f>
        <v/>
      </c>
      <c r="D79" s="41">
        <f>IF(N('Dvd Calendar'!$F$1060)=0,"",IF(('Dvd Calendar'!$F$1060&gt;=MIN(DATE(Summary!$C$12,1,1),Summary!$C$11))*('Dvd Calendar'!$F$1060&lt;=MAX(DATE(Summary!$C$12,12,31),Summary!$C$15))*('Dvd Calendar'!$F$1060&lt;=Summary!$C$11)=0,"",'Dvd Calendar'!$F$1060*1000000000+ISNUMBER('Dvd Calendar'!$F$1061)*100000000+('Dvd Calendar'!$F$1065='Field Check'!$C$25)*10000000+(N('Dvd Calendar'!$F$1059)&gt;0)*1000000+71*1000+2))</f>
        <v/>
      </c>
      <c r="E79" s="41">
        <f>IF(N('Dvd Calendar'!$G$1060)=0,"",IF(('Dvd Calendar'!$G$1060&gt;=MIN(DATE(Summary!$C$12,1,1),Summary!$C$11))*('Dvd Calendar'!$G$1060&lt;=MAX(DATE(Summary!$C$12,12,31),Summary!$C$15))*('Dvd Calendar'!$G$1060&lt;=Summary!$C$11)=0,"",'Dvd Calendar'!$G$1060*1000000000+ISNUMBER('Dvd Calendar'!$G$1061)*100000000+('Dvd Calendar'!$G$1065='Field Check'!$C$25)*10000000+(N('Dvd Calendar'!$G$1059)&gt;0)*1000000+71*1000+3))</f>
        <v/>
      </c>
      <c r="F79" s="41">
        <f>IF(N('Dvd Calendar'!$H$1060)=0,"",IF(('Dvd Calendar'!$H$1060&gt;=MIN(DATE(Summary!$C$12,1,1),Summary!$C$11))*('Dvd Calendar'!$H$1060&lt;=MAX(DATE(Summary!$C$12,12,31),Summary!$C$15))*('Dvd Calendar'!$H$1060&lt;=Summary!$C$11)=0,"",'Dvd Calendar'!$H$1060*1000000000+ISNUMBER('Dvd Calendar'!$H$1061)*100000000+('Dvd Calendar'!$H$1065='Field Check'!$C$25)*10000000+(N('Dvd Calendar'!$H$1059)&gt;0)*1000000+71*1000+4))</f>
        <v/>
      </c>
      <c r="G79" s="41">
        <f>IF(N('Dvd Calendar'!$I$1060)=0,"",IF(('Dvd Calendar'!$I$1060&gt;=MIN(DATE(Summary!$C$12,1,1),Summary!$C$11))*('Dvd Calendar'!$I$1060&lt;=MAX(DATE(Summary!$C$12,12,31),Summary!$C$15))*('Dvd Calendar'!$I$1060&lt;=Summary!$C$11)=0,"",'Dvd Calendar'!$I$1060*1000000000+ISNUMBER('Dvd Calendar'!$I$1061)*100000000+('Dvd Calendar'!$I$1065='Field Check'!$C$25)*10000000+(N('Dvd Calendar'!$I$1059)&gt;0)*1000000+71*1000+5))</f>
        <v/>
      </c>
      <c r="H79" s="41">
        <f>IF(N('Dvd Calendar'!$J$1060)=0,"",IF(('Dvd Calendar'!$J$1060&gt;=MIN(DATE(Summary!$C$12,1,1),Summary!$C$11))*('Dvd Calendar'!$J$1060&lt;=MAX(DATE(Summary!$C$12,12,31),Summary!$C$15))*('Dvd Calendar'!$J$1060&lt;=Summary!$C$11)=0,"",'Dvd Calendar'!$J$1060*1000000000+ISNUMBER('Dvd Calendar'!$J$1061)*100000000+('Dvd Calendar'!$J$1065='Field Check'!$C$25)*10000000+(N('Dvd Calendar'!$J$1059)&gt;0)*1000000+71*1000+6))</f>
        <v/>
      </c>
      <c r="I79" s="41">
        <f>IF(N('Dvd Calendar'!$K$1060)=0,"",IF(('Dvd Calendar'!$K$1060&gt;=MIN(DATE(Summary!$C$12,1,1),Summary!$C$11))*('Dvd Calendar'!$K$1060&lt;=MAX(DATE(Summary!$C$12,12,31),Summary!$C$15))*('Dvd Calendar'!$K$1060&lt;=Summary!$C$11)=0,"",'Dvd Calendar'!$K$1060*1000000000+ISNUMBER('Dvd Calendar'!$K$1061)*100000000+('Dvd Calendar'!$K$1065='Field Check'!$C$25)*10000000+(N('Dvd Calendar'!$K$1059)&gt;0)*1000000+71*1000+7))</f>
        <v/>
      </c>
      <c r="J79" s="41">
        <f>IF(N('Dvd Calendar'!$L$1060)=0,"",IF(('Dvd Calendar'!$L$1060&gt;=MIN(DATE(Summary!$C$12,1,1),Summary!$C$11))*('Dvd Calendar'!$L$1060&lt;=MAX(DATE(Summary!$C$12,12,31),Summary!$C$15))*('Dvd Calendar'!$L$1060&lt;=Summary!$C$11)=0,"",'Dvd Calendar'!$L$1060*1000000000+ISNUMBER('Dvd Calendar'!$L$1061)*100000000+('Dvd Calendar'!$L$1065='Field Check'!$C$25)*10000000+(N('Dvd Calendar'!$L$1059)&gt;0)*1000000+71*1000+8))</f>
        <v/>
      </c>
      <c r="K79" s="41">
        <f>IF(N('Dvd Calendar'!$M$1060)=0,"",IF(('Dvd Calendar'!$M$1060&gt;=MIN(DATE(Summary!$C$12,1,1),Summary!$C$11))*('Dvd Calendar'!$M$1060&lt;=MAX(DATE(Summary!$C$12,12,31),Summary!$C$15))*('Dvd Calendar'!$M$1060&lt;=Summary!$C$11)=0,"",'Dvd Calendar'!$M$1060*1000000000+ISNUMBER('Dvd Calendar'!$M$1061)*100000000+('Dvd Calendar'!$M$1065='Field Check'!$C$25)*10000000+(N('Dvd Calendar'!$M$1059)&gt;0)*1000000+71*1000+9))</f>
        <v/>
      </c>
      <c r="L79" s="41">
        <f>IF(N('Dvd Calendar'!$N$1060)=0,"",IF(('Dvd Calendar'!$N$1060&gt;=MIN(DATE(Summary!$C$12,1,1),Summary!$C$11))*('Dvd Calendar'!$N$1060&lt;=MAX(DATE(Summary!$C$12,12,31),Summary!$C$15))*('Dvd Calendar'!$N$1060&lt;=Summary!$C$11)=0,"",'Dvd Calendar'!$N$1060*1000000000+ISNUMBER('Dvd Calendar'!$N$1061)*100000000+('Dvd Calendar'!$N$1065='Field Check'!$C$25)*10000000+(N('Dvd Calendar'!$N$1059)&gt;0)*1000000+71*1000+10))</f>
        <v/>
      </c>
      <c r="M79" s="41">
        <f>IF(N('Dvd Calendar'!$O$1060)=0,"",IF(('Dvd Calendar'!$O$1060&gt;=MIN(DATE(Summary!$C$12,1,1),Summary!$C$11))*('Dvd Calendar'!$O$1060&lt;=MAX(DATE(Summary!$C$12,12,31),Summary!$C$15))*('Dvd Calendar'!$O$1060&lt;=Summary!$C$11)=0,"",'Dvd Calendar'!$O$1060*1000000000+ISNUMBER('Dvd Calendar'!$O$1061)*100000000+('Dvd Calendar'!$O$1065='Field Check'!$C$25)*10000000+(N('Dvd Calendar'!$O$1059)&gt;0)*1000000+71*1000+11))</f>
        <v/>
      </c>
      <c r="N79" s="41">
        <f>IF(N('Dvd Calendar'!$P$1060)=0,"",IF(('Dvd Calendar'!$P$1060&gt;=MIN(DATE(Summary!$C$12,1,1),Summary!$C$11))*('Dvd Calendar'!$P$1060&lt;=MAX(DATE(Summary!$C$12,12,31),Summary!$C$15))*('Dvd Calendar'!$P$1060&lt;=Summary!$C$11)=0,"",'Dvd Calendar'!$P$1060*1000000000+ISNUMBER('Dvd Calendar'!$P$1061)*100000000+('Dvd Calendar'!$P$1065='Field Check'!$C$25)*10000000+(N('Dvd Calendar'!$P$1059)&gt;0)*1000000+71*1000+12))</f>
        <v/>
      </c>
      <c r="O79" s="41">
        <f>IF(N('Dvd Calendar'!$Q$1060)=0,"",IF(('Dvd Calendar'!$Q$1060&gt;=MIN(DATE(Summary!$C$12,1,1),Summary!$C$11))*('Dvd Calendar'!$Q$1060&lt;=MAX(DATE(Summary!$C$12,12,31),Summary!$C$15))*('Dvd Calendar'!$Q$1060&lt;=Summary!$C$11)=0,"",'Dvd Calendar'!$Q$1060*1000000000+ISNUMBER('Dvd Calendar'!$Q$1061)*100000000+('Dvd Calendar'!$Q$1065='Field Check'!$C$25)*10000000+(N('Dvd Calendar'!$Q$1059)&gt;0)*1000000+71*1000+13))</f>
        <v/>
      </c>
      <c r="P79" s="41">
        <f>IF(N('Dvd Calendar'!$R$1060)=0,"",IF(('Dvd Calendar'!$R$1060&gt;=MIN(DATE(Summary!$C$12,1,1),Summary!$C$11))*('Dvd Calendar'!$R$1060&lt;=MAX(DATE(Summary!$C$12,12,31),Summary!$C$15))*('Dvd Calendar'!$R$1060&lt;=Summary!$C$11)=0,"",'Dvd Calendar'!$R$1060*1000000000+ISNUMBER('Dvd Calendar'!$R$1061)*100000000+('Dvd Calendar'!$R$1065='Field Check'!$C$25)*10000000+(N('Dvd Calendar'!$R$1059)&gt;0)*1000000+71*1000+14))</f>
        <v/>
      </c>
      <c r="Q79" s="41">
        <f>IF(N('Dvd Calendar'!$S$1060)=0,"",IF(('Dvd Calendar'!$S$1060&gt;=MIN(DATE(Summary!$C$12,1,1),Summary!$C$11))*('Dvd Calendar'!$S$1060&lt;=MAX(DATE(Summary!$C$12,12,31),Summary!$C$15))*('Dvd Calendar'!$S$1060&lt;=Summary!$C$11)=0,"",'Dvd Calendar'!$S$1060*1000000000+ISNUMBER('Dvd Calendar'!$S$1061)*100000000+('Dvd Calendar'!$S$1065='Field Check'!$C$25)*10000000+(N('Dvd Calendar'!$S$1059)&gt;0)*1000000+71*1000+15))</f>
        <v/>
      </c>
      <c r="R79" s="41">
        <f>IF(N('Dvd Calendar'!$T$1060)=0,"",IF(('Dvd Calendar'!$T$1060&gt;=MIN(DATE(Summary!$C$12,1,1),Summary!$C$11))*('Dvd Calendar'!$T$1060&lt;=MAX(DATE(Summary!$C$12,12,31),Summary!$C$15))*('Dvd Calendar'!$T$1060&lt;=Summary!$C$11)=0,"",'Dvd Calendar'!$T$1060*1000000000+ISNUMBER('Dvd Calendar'!$T$1061)*100000000+('Dvd Calendar'!$T$1065='Field Check'!$C$25)*10000000+(N('Dvd Calendar'!$T$1059)&gt;0)*1000000+71*1000+16))</f>
        <v/>
      </c>
      <c r="S79" s="41">
        <f>IF(N('Dvd Calendar'!$U$1060)=0,"",IF(('Dvd Calendar'!$U$1060&gt;=MIN(DATE(Summary!$C$12,1,1),Summary!$C$11))*('Dvd Calendar'!$U$1060&lt;=MAX(DATE(Summary!$C$12,12,31),Summary!$C$15))*('Dvd Calendar'!$U$1060&lt;=Summary!$C$11)=0,"",'Dvd Calendar'!$U$1060*1000000000+ISNUMBER('Dvd Calendar'!$U$1061)*100000000+('Dvd Calendar'!$U$1065='Field Check'!$C$25)*10000000+(N('Dvd Calendar'!$U$1059)&gt;0)*1000000+71*1000+17))</f>
        <v/>
      </c>
      <c r="T79" s="41">
        <f>IF(N('Dvd Calendar'!$V$1060)=0,"",IF(('Dvd Calendar'!$V$1060&gt;=MIN(DATE(Summary!$C$12,1,1),Summary!$C$11))*('Dvd Calendar'!$V$1060&lt;=MAX(DATE(Summary!$C$12,12,31),Summary!$C$15))*('Dvd Calendar'!$V$1060&lt;=Summary!$C$11)=0,"",'Dvd Calendar'!$V$1060*1000000000+ISNUMBER('Dvd Calendar'!$V$1061)*100000000+('Dvd Calendar'!$V$1065='Field Check'!$C$25)*10000000+(N('Dvd Calendar'!$V$1059)&gt;0)*1000000+71*1000+18))</f>
        <v/>
      </c>
      <c r="U79" s="41">
        <f>IF(N('Dvd Calendar'!$W$1060)=0,"",IF(('Dvd Calendar'!$W$1060&gt;=MIN(DATE(Summary!$C$12,1,1),Summary!$C$11))*('Dvd Calendar'!$W$1060&lt;=MAX(DATE(Summary!$C$12,12,31),Summary!$C$15))*('Dvd Calendar'!$W$1060&lt;=Summary!$C$11)=0,"",'Dvd Calendar'!$W$1060*1000000000+ISNUMBER('Dvd Calendar'!$W$1061)*100000000+('Dvd Calendar'!$W$1065='Field Check'!$C$25)*10000000+(N('Dvd Calendar'!$W$1059)&gt;0)*1000000+71*1000+19))</f>
        <v/>
      </c>
      <c r="V79" s="41">
        <f>IF(N('Dvd Calendar'!$X$1060)=0,"",IF(('Dvd Calendar'!$X$1060&gt;=MIN(DATE(Summary!$C$12,1,1),Summary!$C$11))*('Dvd Calendar'!$X$1060&lt;=MAX(DATE(Summary!$C$12,12,31),Summary!$C$15))*('Dvd Calendar'!$X$1060&lt;=Summary!$C$11)=0,"",'Dvd Calendar'!$X$1060*1000000000+ISNUMBER('Dvd Calendar'!$X$1061)*100000000+('Dvd Calendar'!$X$1065='Field Check'!$C$25)*10000000+(N('Dvd Calendar'!$X$1059)&gt;0)*1000000+71*1000+20))</f>
        <v/>
      </c>
      <c r="W79" s="41">
        <f>IF(N('Dvd Calendar'!$Y$1060)=0,"",IF(('Dvd Calendar'!$Y$1060&gt;=MIN(DATE(Summary!$C$12,1,1),Summary!$C$11))*('Dvd Calendar'!$Y$1060&lt;=MAX(DATE(Summary!$C$12,12,31),Summary!$C$15))*('Dvd Calendar'!$Y$1060&lt;=Summary!$C$11)=0,"",'Dvd Calendar'!$Y$1060*1000000000+ISNUMBER('Dvd Calendar'!$Y$1061)*100000000+('Dvd Calendar'!$Y$1065='Field Check'!$C$25)*10000000+(N('Dvd Calendar'!$Y$1059)&gt;0)*1000000+71*1000+21))</f>
        <v/>
      </c>
      <c r="X79" s="41">
        <f>IF(N('Dvd Calendar'!$Z$1060)=0,"",IF(('Dvd Calendar'!$Z$1060&gt;=MIN(DATE(Summary!$C$12,1,1),Summary!$C$11))*('Dvd Calendar'!$Z$1060&lt;=MAX(DATE(Summary!$C$12,12,31),Summary!$C$15))*('Dvd Calendar'!$Z$1060&lt;=Summary!$C$11)=0,"",'Dvd Calendar'!$Z$1060*1000000000+ISNUMBER('Dvd Calendar'!$Z$1061)*100000000+('Dvd Calendar'!$Z$1065='Field Check'!$C$25)*10000000+(N('Dvd Calendar'!$Z$1059)&gt;0)*1000000+71*1000+22))</f>
        <v/>
      </c>
      <c r="Y79" s="41">
        <f>IF(N('Dvd Calendar'!$AA$1060)=0,"",IF(('Dvd Calendar'!$AA$1060&gt;=MIN(DATE(Summary!$C$12,1,1),Summary!$C$11))*('Dvd Calendar'!$AA$1060&lt;=MAX(DATE(Summary!$C$12,12,31),Summary!$C$15))*('Dvd Calendar'!$AA$1060&lt;=Summary!$C$11)=0,"",'Dvd Calendar'!$AA$1060*1000000000+ISNUMBER('Dvd Calendar'!$AA$1061)*100000000+('Dvd Calendar'!$AA$1065='Field Check'!$C$25)*10000000+(N('Dvd Calendar'!$AA$1059)&gt;0)*1000000+71*1000+23))</f>
        <v/>
      </c>
      <c r="Z79" s="41">
        <f>IF(N('Dvd Calendar'!$AB$1060)=0,"",IF(('Dvd Calendar'!$AB$1060&gt;=MIN(DATE(Summary!$C$12,1,1),Summary!$C$11))*('Dvd Calendar'!$AB$1060&lt;=MAX(DATE(Summary!$C$12,12,31),Summary!$C$15))*('Dvd Calendar'!$AB$1060&lt;=Summary!$C$11)=0,"",'Dvd Calendar'!$AB$1060*1000000000+ISNUMBER('Dvd Calendar'!$AB$1061)*100000000+('Dvd Calendar'!$AB$1065='Field Check'!$C$25)*10000000+(N('Dvd Calendar'!$AB$1059)&gt;0)*1000000+71*1000+24))</f>
        <v/>
      </c>
      <c r="AA79" s="41">
        <f>IF(N('Dvd Calendar'!$AC$1060)=0,"",IF(('Dvd Calendar'!$AC$1060&gt;=MIN(DATE(Summary!$C$12,1,1),Summary!$C$11))*('Dvd Calendar'!$AC$1060&lt;=MAX(DATE(Summary!$C$12,12,31),Summary!$C$15))*('Dvd Calendar'!$AC$1060&lt;=Summary!$C$11)=0,"",'Dvd Calendar'!$AC$1060*1000000000+ISNUMBER('Dvd Calendar'!$AC$1061)*100000000+('Dvd Calendar'!$AC$1065='Field Check'!$C$25)*10000000+(N('Dvd Calendar'!$AC$1059)&gt;0)*1000000+71*1000+25))</f>
        <v/>
      </c>
      <c r="AB79" s="41">
        <f>IF(N('Dvd Calendar'!$AD$1060)=0,"",IF(('Dvd Calendar'!$AD$1060&gt;=MIN(DATE(Summary!$C$12,1,1),Summary!$C$11))*('Dvd Calendar'!$AD$1060&lt;=MAX(DATE(Summary!$C$12,12,31),Summary!$C$15))*('Dvd Calendar'!$AD$1060&lt;=Summary!$C$11)=0,"",'Dvd Calendar'!$AD$1060*1000000000+ISNUMBER('Dvd Calendar'!$AD$1061)*100000000+('Dvd Calendar'!$AD$1065='Field Check'!$C$25)*10000000+(N('Dvd Calendar'!$AD$1059)&gt;0)*1000000+71*1000+26))</f>
        <v/>
      </c>
      <c r="AC79" s="41">
        <f>IF(N('Dvd Calendar'!$AE$1060)=0,"",IF(('Dvd Calendar'!$AE$1060&gt;=MIN(DATE(Summary!$C$12,1,1),Summary!$C$11))*('Dvd Calendar'!$AE$1060&lt;=MAX(DATE(Summary!$C$12,12,31),Summary!$C$15))*('Dvd Calendar'!$AE$1060&lt;=Summary!$C$11)=0,"",'Dvd Calendar'!$AE$1060*1000000000+ISNUMBER('Dvd Calendar'!$AE$1061)*100000000+('Dvd Calendar'!$AE$1065='Field Check'!$C$25)*10000000+(N('Dvd Calendar'!$AE$1059)&gt;0)*1000000+71*1000+27))</f>
        <v/>
      </c>
      <c r="AD79" s="41">
        <f>IF(N('Dvd Calendar'!$AF$1060)=0,"",IF(('Dvd Calendar'!$AF$1060&gt;=MIN(DATE(Summary!$C$12,1,1),Summary!$C$11))*('Dvd Calendar'!$AF$1060&lt;=MAX(DATE(Summary!$C$12,12,31),Summary!$C$15))*('Dvd Calendar'!$AF$1060&lt;=Summary!$C$11)=0,"",'Dvd Calendar'!$AF$1060*1000000000+ISNUMBER('Dvd Calendar'!$AF$1061)*100000000+('Dvd Calendar'!$AF$1065='Field Check'!$C$25)*10000000+(N('Dvd Calendar'!$AF$1059)&gt;0)*1000000+71*1000+28))</f>
        <v/>
      </c>
      <c r="AE79" s="41">
        <f>IF(N('Dvd Calendar'!$AG$1060)=0,"",IF(('Dvd Calendar'!$AG$1060&gt;=MIN(DATE(Summary!$C$12,1,1),Summary!$C$11))*('Dvd Calendar'!$AG$1060&lt;=MAX(DATE(Summary!$C$12,12,31),Summary!$C$15))*('Dvd Calendar'!$AG$1060&lt;=Summary!$C$11)=0,"",'Dvd Calendar'!$AG$1060*1000000000+ISNUMBER('Dvd Calendar'!$AG$1061)*100000000+('Dvd Calendar'!$AG$1065='Field Check'!$C$25)*10000000+(N('Dvd Calendar'!$AG$1059)&gt;0)*1000000+71*1000+29))</f>
        <v/>
      </c>
      <c r="AF79" s="41">
        <f>IF(N('Dvd Calendar'!$AH$1060)=0,"",IF(('Dvd Calendar'!$AH$1060&gt;=MIN(DATE(Summary!$C$12,1,1),Summary!$C$11))*('Dvd Calendar'!$AH$1060&lt;=MAX(DATE(Summary!$C$12,12,31),Summary!$C$15))*('Dvd Calendar'!$AH$1060&lt;=Summary!$C$11)=0,"",'Dvd Calendar'!$AH$1060*1000000000+ISNUMBER('Dvd Calendar'!$AH$1061)*100000000+('Dvd Calendar'!$AH$1065='Field Check'!$C$25)*10000000+(N('Dvd Calendar'!$AH$1059)&gt;0)*1000000+71*1000+30))</f>
        <v/>
      </c>
      <c r="AG79" s="41">
        <f>IF(N('Dvd Calendar'!$AI$1060)=0,"",IF(('Dvd Calendar'!$AI$1060&gt;=MIN(DATE(Summary!$C$12,1,1),Summary!$C$11))*('Dvd Calendar'!$AI$1060&lt;=MAX(DATE(Summary!$C$12,12,31),Summary!$C$15))*('Dvd Calendar'!$AI$1060&lt;=Summary!$C$11)=0,"",'Dvd Calendar'!$AI$1060*1000000000+ISNUMBER('Dvd Calendar'!$AI$1061)*100000000+('Dvd Calendar'!$AI$1065='Field Check'!$C$25)*10000000+(N('Dvd Calendar'!$AI$1059)&gt;0)*1000000+71*1000+31))</f>
        <v/>
      </c>
      <c r="AH79" s="41">
        <f>IF(N('Dvd Calendar'!$AJ$1060)=0,"",IF(('Dvd Calendar'!$AJ$1060&gt;=MIN(DATE(Summary!$C$12,1,1),Summary!$C$11))*('Dvd Calendar'!$AJ$1060&lt;=MAX(DATE(Summary!$C$12,12,31),Summary!$C$15))*('Dvd Calendar'!$AJ$1060&lt;=Summary!$C$11)=0,"",'Dvd Calendar'!$AJ$1060*1000000000+ISNUMBER('Dvd Calendar'!$AJ$1061)*100000000+('Dvd Calendar'!$AJ$1065='Field Check'!$C$25)*10000000+(N('Dvd Calendar'!$AJ$1059)&gt;0)*1000000+71*1000+32))</f>
        <v/>
      </c>
      <c r="AI79" s="41">
        <f>IF(N('Dvd Calendar'!$AK$1060)=0,"",IF(('Dvd Calendar'!$AK$1060&gt;=MIN(DATE(Summary!$C$12,1,1),Summary!$C$11))*('Dvd Calendar'!$AK$1060&lt;=MAX(DATE(Summary!$C$12,12,31),Summary!$C$15))*('Dvd Calendar'!$AK$1060&lt;=Summary!$C$11)=0,"",'Dvd Calendar'!$AK$1060*1000000000+ISNUMBER('Dvd Calendar'!$AK$1061)*100000000+('Dvd Calendar'!$AK$1065='Field Check'!$C$25)*10000000+(N('Dvd Calendar'!$AK$1059)&gt;0)*1000000+71*1000+33))</f>
        <v/>
      </c>
      <c r="AJ79" s="41">
        <f>IF(N('Dvd Calendar'!$AL$1060)=0,"",IF(('Dvd Calendar'!$AL$1060&gt;=MIN(DATE(Summary!$C$12,1,1),Summary!$C$11))*('Dvd Calendar'!$AL$1060&lt;=MAX(DATE(Summary!$C$12,12,31),Summary!$C$15))*('Dvd Calendar'!$AL$1060&lt;=Summary!$C$11)=0,"",'Dvd Calendar'!$AL$1060*1000000000+ISNUMBER('Dvd Calendar'!$AL$1061)*100000000+('Dvd Calendar'!$AL$1065='Field Check'!$C$25)*10000000+(N('Dvd Calendar'!$AL$1059)&gt;0)*1000000+71*1000+34))</f>
        <v/>
      </c>
      <c r="AK79" s="41">
        <f>IF(N('Dvd Calendar'!$AM$1060)=0,"",IF(('Dvd Calendar'!$AM$1060&gt;=MIN(DATE(Summary!$C$12,1,1),Summary!$C$11))*('Dvd Calendar'!$AM$1060&lt;=MAX(DATE(Summary!$C$12,12,31),Summary!$C$15))*('Dvd Calendar'!$AM$1060&lt;=Summary!$C$11)=0,"",'Dvd Calendar'!$AM$1060*1000000000+ISNUMBER('Dvd Calendar'!$AM$1061)*100000000+('Dvd Calendar'!$AM$1065='Field Check'!$C$25)*10000000+(N('Dvd Calendar'!$AM$1059)&gt;0)*1000000+71*1000+35))</f>
        <v/>
      </c>
      <c r="AL79" s="41">
        <f>IF(N('Dvd Calendar'!$AN$1060)=0,"",IF(('Dvd Calendar'!$AN$1060&gt;=MIN(DATE(Summary!$C$12,1,1),Summary!$C$11))*('Dvd Calendar'!$AN$1060&lt;=MAX(DATE(Summary!$C$12,12,31),Summary!$C$15))*('Dvd Calendar'!$AN$1060&lt;=Summary!$C$11)=0,"",'Dvd Calendar'!$AN$1060*1000000000+ISNUMBER('Dvd Calendar'!$AN$1061)*100000000+('Dvd Calendar'!$AN$1065='Field Check'!$C$25)*10000000+(N('Dvd Calendar'!$AN$1059)&gt;0)*1000000+71*1000+36))</f>
        <v/>
      </c>
      <c r="AM79" s="41">
        <f>IF(N('Dvd Calendar'!$AO$1060)=0,"",IF(('Dvd Calendar'!$AO$1060&gt;=MIN(DATE(Summary!$C$12,1,1),Summary!$C$11))*('Dvd Calendar'!$AO$1060&lt;=MAX(DATE(Summary!$C$12,12,31),Summary!$C$15))*('Dvd Calendar'!$AO$1060&lt;=Summary!$C$11)=0,"",'Dvd Calendar'!$AO$1060*1000000000+ISNUMBER('Dvd Calendar'!$AO$1061)*100000000+('Dvd Calendar'!$AO$1065='Field Check'!$C$25)*10000000+(N('Dvd Calendar'!$AO$1059)&gt;0)*1000000+71*1000+37))</f>
        <v/>
      </c>
      <c r="AN79" s="41">
        <f>IF(N('Dvd Calendar'!$AP$1060)=0,"",IF(('Dvd Calendar'!$AP$1060&gt;=MIN(DATE(Summary!$C$12,1,1),Summary!$C$11))*('Dvd Calendar'!$AP$1060&lt;=MAX(DATE(Summary!$C$12,12,31),Summary!$C$15))*('Dvd Calendar'!$AP$1060&lt;=Summary!$C$11)=0,"",'Dvd Calendar'!$AP$1060*1000000000+ISNUMBER('Dvd Calendar'!$AP$1061)*100000000+('Dvd Calendar'!$AP$1065='Field Check'!$C$25)*10000000+(N('Dvd Calendar'!$AP$1059)&gt;0)*1000000+71*1000+38))</f>
        <v/>
      </c>
      <c r="AO79" s="41">
        <f>IF(N('Dvd Calendar'!$AQ$1060)=0,"",IF(('Dvd Calendar'!$AQ$1060&gt;=MIN(DATE(Summary!$C$12,1,1),Summary!$C$11))*('Dvd Calendar'!$AQ$1060&lt;=MAX(DATE(Summary!$C$12,12,31),Summary!$C$15))*('Dvd Calendar'!$AQ$1060&lt;=Summary!$C$11)=0,"",'Dvd Calendar'!$AQ$1060*1000000000+ISNUMBER('Dvd Calendar'!$AQ$1061)*100000000+('Dvd Calendar'!$AQ$1065='Field Check'!$C$25)*10000000+(N('Dvd Calendar'!$AQ$1059)&gt;0)*1000000+71*1000+39))</f>
        <v/>
      </c>
      <c r="AP79" s="41">
        <f>IF(N('Dvd Calendar'!$AR$1060)=0,"",IF(('Dvd Calendar'!$AR$1060&gt;=MIN(DATE(Summary!$C$12,1,1),Summary!$C$11))*('Dvd Calendar'!$AR$1060&lt;=MAX(DATE(Summary!$C$12,12,31),Summary!$C$15))*('Dvd Calendar'!$AR$1060&lt;=Summary!$C$11)=0,"",'Dvd Calendar'!$AR$1060*1000000000+ISNUMBER('Dvd Calendar'!$AR$1061)*100000000+('Dvd Calendar'!$AR$1065='Field Check'!$C$25)*10000000+(N('Dvd Calendar'!$AR$1059)&gt;0)*1000000+71*1000+40))</f>
        <v/>
      </c>
      <c r="AQ79" s="41">
        <f>IF(N('Dvd Calendar'!$E$1067)=0,"",IF(('Dvd Calendar'!$E$1067&gt;=MIN(DATE(Summary!$C$12,1,1),Summary!$C$11))*('Dvd Calendar'!$E$1067&lt;=MAX(DATE(Summary!$C$12,12,31),Summary!$C$15))*('Dvd Calendar'!$E$1067&gt;Summary!$C$11)=0,"",'Dvd Calendar'!$E$1067*1000000000+ISNUMBER('Dvd Calendar'!$E$1068)*100000000+('Dvd Calendar'!$E$1072='Field Check'!$C$25)*10000000+(N('Dvd Calendar'!$E$1066)&gt;0)*1000000+71*1000+41))</f>
        <v/>
      </c>
      <c r="AR79" s="41">
        <f>IF(N('Dvd Calendar'!$F$1067)=0,"",IF(('Dvd Calendar'!$F$1067&gt;=MIN(DATE(Summary!$C$12,1,1),Summary!$C$11))*('Dvd Calendar'!$F$1067&lt;=MAX(DATE(Summary!$C$12,12,31),Summary!$C$15))*('Dvd Calendar'!$F$1067&gt;Summary!$C$11)=0,"",'Dvd Calendar'!$F$1067*1000000000+ISNUMBER('Dvd Calendar'!$F$1068)*100000000+('Dvd Calendar'!$F$1072='Field Check'!$C$25)*10000000+(N('Dvd Calendar'!$F$1066)&gt;0)*1000000+71*1000+42))</f>
        <v/>
      </c>
      <c r="AS79" s="41">
        <f>IF(N('Dvd Calendar'!$G$1067)=0,"",IF(('Dvd Calendar'!$G$1067&gt;=MIN(DATE(Summary!$C$12,1,1),Summary!$C$11))*('Dvd Calendar'!$G$1067&lt;=MAX(DATE(Summary!$C$12,12,31),Summary!$C$15))*('Dvd Calendar'!$G$1067&gt;Summary!$C$11)=0,"",'Dvd Calendar'!$G$1067*1000000000+ISNUMBER('Dvd Calendar'!$G$1068)*100000000+('Dvd Calendar'!$G$1072='Field Check'!$C$25)*10000000+(N('Dvd Calendar'!$G$1066)&gt;0)*1000000+71*1000+43))</f>
        <v/>
      </c>
      <c r="AT79" s="41">
        <f>IF(N('Dvd Calendar'!$H$1067)=0,"",IF(('Dvd Calendar'!$H$1067&gt;=MIN(DATE(Summary!$C$12,1,1),Summary!$C$11))*('Dvd Calendar'!$H$1067&lt;=MAX(DATE(Summary!$C$12,12,31),Summary!$C$15))*('Dvd Calendar'!$H$1067&gt;Summary!$C$11)=0,"",'Dvd Calendar'!$H$1067*1000000000+ISNUMBER('Dvd Calendar'!$H$1068)*100000000+('Dvd Calendar'!$H$1072='Field Check'!$C$25)*10000000+(N('Dvd Calendar'!$H$1066)&gt;0)*1000000+71*1000+44))</f>
        <v/>
      </c>
      <c r="AU79" s="41">
        <f>IF(N('Dvd Calendar'!$I$1067)=0,"",IF(('Dvd Calendar'!$I$1067&gt;=MIN(DATE(Summary!$C$12,1,1),Summary!$C$11))*('Dvd Calendar'!$I$1067&lt;=MAX(DATE(Summary!$C$12,12,31),Summary!$C$15))*('Dvd Calendar'!$I$1067&gt;Summary!$C$11)=0,"",'Dvd Calendar'!$I$1067*1000000000+ISNUMBER('Dvd Calendar'!$I$1068)*100000000+('Dvd Calendar'!$I$1072='Field Check'!$C$25)*10000000+(N('Dvd Calendar'!$I$1066)&gt;0)*1000000+71*1000+45))</f>
        <v/>
      </c>
      <c r="AV79" s="41">
        <f>IF(N('Dvd Calendar'!$J$1067)=0,"",IF(('Dvd Calendar'!$J$1067&gt;=MIN(DATE(Summary!$C$12,1,1),Summary!$C$11))*('Dvd Calendar'!$J$1067&lt;=MAX(DATE(Summary!$C$12,12,31),Summary!$C$15))*('Dvd Calendar'!$J$1067&gt;Summary!$C$11)=0,"",'Dvd Calendar'!$J$1067*1000000000+ISNUMBER('Dvd Calendar'!$J$1068)*100000000+('Dvd Calendar'!$J$1072='Field Check'!$C$25)*10000000+(N('Dvd Calendar'!$J$1066)&gt;0)*1000000+71*1000+46))</f>
        <v/>
      </c>
      <c r="AW79" s="41">
        <f>IF(N('Dvd Calendar'!$K$1067)=0,"",IF(('Dvd Calendar'!$K$1067&gt;=MIN(DATE(Summary!$C$12,1,1),Summary!$C$11))*('Dvd Calendar'!$K$1067&lt;=MAX(DATE(Summary!$C$12,12,31),Summary!$C$15))*('Dvd Calendar'!$K$1067&gt;Summary!$C$11)=0,"",'Dvd Calendar'!$K$1067*1000000000+ISNUMBER('Dvd Calendar'!$K$1068)*100000000+('Dvd Calendar'!$K$1072='Field Check'!$C$25)*10000000+(N('Dvd Calendar'!$K$1066)&gt;0)*1000000+71*1000+47))</f>
        <v/>
      </c>
      <c r="AX79" s="41">
        <f>IF(N('Dvd Calendar'!$L$1067)=0,"",IF(('Dvd Calendar'!$L$1067&gt;=MIN(DATE(Summary!$C$12,1,1),Summary!$C$11))*('Dvd Calendar'!$L$1067&lt;=MAX(DATE(Summary!$C$12,12,31),Summary!$C$15))*('Dvd Calendar'!$L$1067&gt;Summary!$C$11)=0,"",'Dvd Calendar'!$L$1067*1000000000+ISNUMBER('Dvd Calendar'!$L$1068)*100000000+('Dvd Calendar'!$L$1072='Field Check'!$C$25)*10000000+(N('Dvd Calendar'!$L$1066)&gt;0)*1000000+71*1000+48))</f>
        <v/>
      </c>
      <c r="AY79" s="41">
        <f>IF(N('Dvd Calendar'!$M$1067)=0,"",IF(('Dvd Calendar'!$M$1067&gt;=MIN(DATE(Summary!$C$12,1,1),Summary!$C$11))*('Dvd Calendar'!$M$1067&lt;=MAX(DATE(Summary!$C$12,12,31),Summary!$C$15))*('Dvd Calendar'!$M$1067&gt;Summary!$C$11)=0,"",'Dvd Calendar'!$M$1067*1000000000+ISNUMBER('Dvd Calendar'!$M$1068)*100000000+('Dvd Calendar'!$M$1072='Field Check'!$C$25)*10000000+(N('Dvd Calendar'!$M$1066)&gt;0)*1000000+71*1000+49))</f>
        <v/>
      </c>
      <c r="AZ79" s="41">
        <f>IF(N('Dvd Calendar'!$N$1067)=0,"",IF(('Dvd Calendar'!$N$1067&gt;=MIN(DATE(Summary!$C$12,1,1),Summary!$C$11))*('Dvd Calendar'!$N$1067&lt;=MAX(DATE(Summary!$C$12,12,31),Summary!$C$15))*('Dvd Calendar'!$N$1067&gt;Summary!$C$11)=0,"",'Dvd Calendar'!$N$1067*1000000000+ISNUMBER('Dvd Calendar'!$N$1068)*100000000+('Dvd Calendar'!$N$1072='Field Check'!$C$25)*10000000+(N('Dvd Calendar'!$N$1066)&gt;0)*1000000+71*1000+50))</f>
        <v/>
      </c>
      <c r="BA79" s="41">
        <f>IF(N('Dvd Calendar'!$O$1067)=0,"",IF(('Dvd Calendar'!$O$1067&gt;=MIN(DATE(Summary!$C$12,1,1),Summary!$C$11))*('Dvd Calendar'!$O$1067&lt;=MAX(DATE(Summary!$C$12,12,31),Summary!$C$15))*('Dvd Calendar'!$O$1067&gt;Summary!$C$11)=0,"",'Dvd Calendar'!$O$1067*1000000000+ISNUMBER('Dvd Calendar'!$O$1068)*100000000+('Dvd Calendar'!$O$1072='Field Check'!$C$25)*10000000+(N('Dvd Calendar'!$O$1066)&gt;0)*1000000+71*1000+51))</f>
        <v/>
      </c>
      <c r="BB79" s="41">
        <f>IF(N('Dvd Calendar'!$P$1067)=0,"",IF(('Dvd Calendar'!$P$1067&gt;=MIN(DATE(Summary!$C$12,1,1),Summary!$C$11))*('Dvd Calendar'!$P$1067&lt;=MAX(DATE(Summary!$C$12,12,31),Summary!$C$15))*('Dvd Calendar'!$P$1067&gt;Summary!$C$11)=0,"",'Dvd Calendar'!$P$1067*1000000000+ISNUMBER('Dvd Calendar'!$P$1068)*100000000+('Dvd Calendar'!$P$1072='Field Check'!$C$25)*10000000+(N('Dvd Calendar'!$P$1066)&gt;0)*1000000+71*1000+52))</f>
        <v/>
      </c>
      <c r="BC79" s="41">
        <f>IF(N('Dvd Calendar'!$Q$1067)=0,"",IF(('Dvd Calendar'!$Q$1067&gt;=MIN(DATE(Summary!$C$12,1,1),Summary!$C$11))*('Dvd Calendar'!$Q$1067&lt;=MAX(DATE(Summary!$C$12,12,31),Summary!$C$15))*('Dvd Calendar'!$Q$1067&gt;Summary!$C$11)=0,"",'Dvd Calendar'!$Q$1067*1000000000+ISNUMBER('Dvd Calendar'!$Q$1068)*100000000+('Dvd Calendar'!$Q$1072='Field Check'!$C$25)*10000000+(N('Dvd Calendar'!$Q$1066)&gt;0)*1000000+71*1000+53))</f>
        <v/>
      </c>
      <c r="BD79" s="41">
        <f>IF(N('Dvd Calendar'!$R$1067)=0,"",IF(('Dvd Calendar'!$R$1067&gt;=MIN(DATE(Summary!$C$12,1,1),Summary!$C$11))*('Dvd Calendar'!$R$1067&lt;=MAX(DATE(Summary!$C$12,12,31),Summary!$C$15))*('Dvd Calendar'!$R$1067&gt;Summary!$C$11)=0,"",'Dvd Calendar'!$R$1067*1000000000+ISNUMBER('Dvd Calendar'!$R$1068)*100000000+('Dvd Calendar'!$R$1072='Field Check'!$C$25)*10000000+(N('Dvd Calendar'!$R$1066)&gt;0)*1000000+71*1000+54))</f>
        <v/>
      </c>
      <c r="BE79" s="41">
        <f>IF(N('Dvd Calendar'!$S$1067)=0,"",IF(('Dvd Calendar'!$S$1067&gt;=MIN(DATE(Summary!$C$12,1,1),Summary!$C$11))*('Dvd Calendar'!$S$1067&lt;=MAX(DATE(Summary!$C$12,12,31),Summary!$C$15))*('Dvd Calendar'!$S$1067&gt;Summary!$C$11)=0,"",'Dvd Calendar'!$S$1067*1000000000+ISNUMBER('Dvd Calendar'!$S$1068)*100000000+('Dvd Calendar'!$S$1072='Field Check'!$C$25)*10000000+(N('Dvd Calendar'!$S$1066)&gt;0)*1000000+71*1000+55))</f>
        <v/>
      </c>
      <c r="BF79" s="41">
        <f>IF(N('Dvd Calendar'!$T$1067)=0,"",IF(('Dvd Calendar'!$T$1067&gt;=MIN(DATE(Summary!$C$12,1,1),Summary!$C$11))*('Dvd Calendar'!$T$1067&lt;=MAX(DATE(Summary!$C$12,12,31),Summary!$C$15))*('Dvd Calendar'!$T$1067&gt;Summary!$C$11)=0,"",'Dvd Calendar'!$T$1067*1000000000+ISNUMBER('Dvd Calendar'!$T$1068)*100000000+('Dvd Calendar'!$T$1072='Field Check'!$C$25)*10000000+(N('Dvd Calendar'!$T$1066)&gt;0)*1000000+71*1000+56))</f>
        <v/>
      </c>
      <c r="BG79" s="41">
        <f>IF(N('Dvd Calendar'!$U$1067)=0,"",IF(('Dvd Calendar'!$U$1067&gt;=MIN(DATE(Summary!$C$12,1,1),Summary!$C$11))*('Dvd Calendar'!$U$1067&lt;=MAX(DATE(Summary!$C$12,12,31),Summary!$C$15))*('Dvd Calendar'!$U$1067&gt;Summary!$C$11)=0,"",'Dvd Calendar'!$U$1067*1000000000+ISNUMBER('Dvd Calendar'!$U$1068)*100000000+('Dvd Calendar'!$U$1072='Field Check'!$C$25)*10000000+(N('Dvd Calendar'!$U$1066)&gt;0)*1000000+71*1000+57))</f>
        <v/>
      </c>
      <c r="BH79" s="41">
        <f>IF(N('Dvd Calendar'!$V$1067)=0,"",IF(('Dvd Calendar'!$V$1067&gt;=MIN(DATE(Summary!$C$12,1,1),Summary!$C$11))*('Dvd Calendar'!$V$1067&lt;=MAX(DATE(Summary!$C$12,12,31),Summary!$C$15))*('Dvd Calendar'!$V$1067&gt;Summary!$C$11)=0,"",'Dvd Calendar'!$V$1067*1000000000+ISNUMBER('Dvd Calendar'!$V$1068)*100000000+('Dvd Calendar'!$V$1072='Field Check'!$C$25)*10000000+(N('Dvd Calendar'!$V$1066)&gt;0)*1000000+71*1000+58))</f>
        <v/>
      </c>
      <c r="BI79" s="41">
        <f>IF(N('Dvd Calendar'!$W$1067)=0,"",IF(('Dvd Calendar'!$W$1067&gt;=MIN(DATE(Summary!$C$12,1,1),Summary!$C$11))*('Dvd Calendar'!$W$1067&lt;=MAX(DATE(Summary!$C$12,12,31),Summary!$C$15))*('Dvd Calendar'!$W$1067&gt;Summary!$C$11)=0,"",'Dvd Calendar'!$W$1067*1000000000+ISNUMBER('Dvd Calendar'!$W$1068)*100000000+('Dvd Calendar'!$W$1072='Field Check'!$C$25)*10000000+(N('Dvd Calendar'!$W$1066)&gt;0)*1000000+71*1000+59))</f>
        <v/>
      </c>
      <c r="BJ79" s="41">
        <f>IF(N('Dvd Calendar'!$X$1067)=0,"",IF(('Dvd Calendar'!$X$1067&gt;=MIN(DATE(Summary!$C$12,1,1),Summary!$C$11))*('Dvd Calendar'!$X$1067&lt;=MAX(DATE(Summary!$C$12,12,31),Summary!$C$15))*('Dvd Calendar'!$X$1067&gt;Summary!$C$11)=0,"",'Dvd Calendar'!$X$1067*1000000000+ISNUMBER('Dvd Calendar'!$X$1068)*100000000+('Dvd Calendar'!$X$1072='Field Check'!$C$25)*10000000+(N('Dvd Calendar'!$X$1066)&gt;0)*1000000+71*1000+60))</f>
        <v/>
      </c>
      <c r="BK79" s="41">
        <f>IF(N('Dvd Calendar'!$Y$1067)=0,"",IF(('Dvd Calendar'!$Y$1067&gt;=MIN(DATE(Summary!$C$12,1,1),Summary!$C$11))*('Dvd Calendar'!$Y$1067&lt;=MAX(DATE(Summary!$C$12,12,31),Summary!$C$15))*('Dvd Calendar'!$Y$1067&gt;Summary!$C$11)=0,"",'Dvd Calendar'!$Y$1067*1000000000+ISNUMBER('Dvd Calendar'!$Y$1068)*100000000+('Dvd Calendar'!$Y$1072='Field Check'!$C$25)*10000000+(N('Dvd Calendar'!$Y$1066)&gt;0)*1000000+71*1000+61))</f>
        <v/>
      </c>
      <c r="BL79" s="41">
        <f>IF(N('Dvd Calendar'!$Z$1067)=0,"",IF(('Dvd Calendar'!$Z$1067&gt;=MIN(DATE(Summary!$C$12,1,1),Summary!$C$11))*('Dvd Calendar'!$Z$1067&lt;=MAX(DATE(Summary!$C$12,12,31),Summary!$C$15))*('Dvd Calendar'!$Z$1067&gt;Summary!$C$11)=0,"",'Dvd Calendar'!$Z$1067*1000000000+ISNUMBER('Dvd Calendar'!$Z$1068)*100000000+('Dvd Calendar'!$Z$1072='Field Check'!$C$25)*10000000+(N('Dvd Calendar'!$Z$1066)&gt;0)*1000000+71*1000+62))</f>
        <v/>
      </c>
      <c r="BM79" s="41">
        <f>IF(N('Dvd Calendar'!$AA$1067)=0,"",IF(('Dvd Calendar'!$AA$1067&gt;=MIN(DATE(Summary!$C$12,1,1),Summary!$C$11))*('Dvd Calendar'!$AA$1067&lt;=MAX(DATE(Summary!$C$12,12,31),Summary!$C$15))*('Dvd Calendar'!$AA$1067&gt;Summary!$C$11)=0,"",'Dvd Calendar'!$AA$1067*1000000000+ISNUMBER('Dvd Calendar'!$AA$1068)*100000000+('Dvd Calendar'!$AA$1072='Field Check'!$C$25)*10000000+(N('Dvd Calendar'!$AA$1066)&gt;0)*1000000+71*1000+63))</f>
        <v/>
      </c>
      <c r="BN79" s="41">
        <f>IF(N('Dvd Calendar'!$AB$1067)=0,"",IF(('Dvd Calendar'!$AB$1067&gt;=MIN(DATE(Summary!$C$12,1,1),Summary!$C$11))*('Dvd Calendar'!$AB$1067&lt;=MAX(DATE(Summary!$C$12,12,31),Summary!$C$15))*('Dvd Calendar'!$AB$1067&gt;Summary!$C$11)=0,"",'Dvd Calendar'!$AB$1067*1000000000+ISNUMBER('Dvd Calendar'!$AB$1068)*100000000+('Dvd Calendar'!$AB$1072='Field Check'!$C$25)*10000000+(N('Dvd Calendar'!$AB$1066)&gt;0)*1000000+71*1000+64))</f>
        <v/>
      </c>
      <c r="BO79" s="41">
        <f>IF(N('Dvd Calendar'!$AC$1067)=0,"",IF(('Dvd Calendar'!$AC$1067&gt;=MIN(DATE(Summary!$C$12,1,1),Summary!$C$11))*('Dvd Calendar'!$AC$1067&lt;=MAX(DATE(Summary!$C$12,12,31),Summary!$C$15))*('Dvd Calendar'!$AC$1067&gt;Summary!$C$11)=0,"",'Dvd Calendar'!$AC$1067*1000000000+ISNUMBER('Dvd Calendar'!$AC$1068)*100000000+('Dvd Calendar'!$AC$1072='Field Check'!$C$25)*10000000+(N('Dvd Calendar'!$AC$1066)&gt;0)*1000000+71*1000+65))</f>
        <v/>
      </c>
      <c r="BQ79" s="85">
        <f>IF(C79="","",IF(ISNUMBER('Dvd Calendar'!$E$1061)=FALSE,"",IF((Summary!$C$13="N")*('Dvd Calendar'!$E$1065='Field Check'!$C$25)&gt;0,"",'Dvd Calendar'!$E$1061)))</f>
        <v/>
      </c>
      <c r="BR79" s="85">
        <f>IF(D79="","",IF(ISNUMBER('Dvd Calendar'!$F$1061)=FALSE,"",IF((Summary!$C$13="N")*('Dvd Calendar'!$F$1065='Field Check'!$C$25)&gt;0,"",'Dvd Calendar'!$F$1061)))</f>
        <v/>
      </c>
      <c r="BS79" s="85">
        <f>IF(E79="","",IF(ISNUMBER('Dvd Calendar'!$G$1061)=FALSE,"",IF((Summary!$C$13="N")*('Dvd Calendar'!$G$1065='Field Check'!$C$25)&gt;0,"",'Dvd Calendar'!$G$1061)))</f>
        <v/>
      </c>
      <c r="BT79" s="85">
        <f>IF(F79="","",IF(ISNUMBER('Dvd Calendar'!$H$1061)=FALSE,"",IF((Summary!$C$13="N")*('Dvd Calendar'!$H$1065='Field Check'!$C$25)&gt;0,"",'Dvd Calendar'!$H$1061)))</f>
        <v/>
      </c>
      <c r="BU79" s="85">
        <f>IF(G79="","",IF(ISNUMBER('Dvd Calendar'!$I$1061)=FALSE,"",IF((Summary!$C$13="N")*('Dvd Calendar'!$I$1065='Field Check'!$C$25)&gt;0,"",'Dvd Calendar'!$I$1061)))</f>
        <v/>
      </c>
      <c r="BV79" s="85">
        <f>IF(H79="","",IF(ISNUMBER('Dvd Calendar'!$J$1061)=FALSE,"",IF((Summary!$C$13="N")*('Dvd Calendar'!$J$1065='Field Check'!$C$25)&gt;0,"",'Dvd Calendar'!$J$1061)))</f>
        <v/>
      </c>
      <c r="BW79" s="85">
        <f>IF(I79="","",IF(ISNUMBER('Dvd Calendar'!$K$1061)=FALSE,"",IF((Summary!$C$13="N")*('Dvd Calendar'!$K$1065='Field Check'!$C$25)&gt;0,"",'Dvd Calendar'!$K$1061)))</f>
        <v/>
      </c>
      <c r="BX79" s="85">
        <f>IF(J79="","",IF(ISNUMBER('Dvd Calendar'!$L$1061)=FALSE,"",IF((Summary!$C$13="N")*('Dvd Calendar'!$L$1065='Field Check'!$C$25)&gt;0,"",'Dvd Calendar'!$L$1061)))</f>
        <v/>
      </c>
      <c r="BY79" s="85">
        <f>IF(K79="","",IF(ISNUMBER('Dvd Calendar'!$M$1061)=FALSE,"",IF((Summary!$C$13="N")*('Dvd Calendar'!$M$1065='Field Check'!$C$25)&gt;0,"",'Dvd Calendar'!$M$1061)))</f>
        <v/>
      </c>
      <c r="BZ79" s="85">
        <f>IF(L79="","",IF(ISNUMBER('Dvd Calendar'!$N$1061)=FALSE,"",IF((Summary!$C$13="N")*('Dvd Calendar'!$N$1065='Field Check'!$C$25)&gt;0,"",'Dvd Calendar'!$N$1061)))</f>
        <v/>
      </c>
      <c r="CA79" s="85">
        <f>IF(M79="","",IF(ISNUMBER('Dvd Calendar'!$O$1061)=FALSE,"",IF((Summary!$C$13="N")*('Dvd Calendar'!$O$1065='Field Check'!$C$25)&gt;0,"",'Dvd Calendar'!$O$1061)))</f>
        <v/>
      </c>
      <c r="CB79" s="85">
        <f>IF(N79="","",IF(ISNUMBER('Dvd Calendar'!$P$1061)=FALSE,"",IF((Summary!$C$13="N")*('Dvd Calendar'!$P$1065='Field Check'!$C$25)&gt;0,"",'Dvd Calendar'!$P$1061)))</f>
        <v/>
      </c>
      <c r="CC79" s="85">
        <f>IF(O79="","",IF(ISNUMBER('Dvd Calendar'!$Q$1061)=FALSE,"",IF((Summary!$C$13="N")*('Dvd Calendar'!$Q$1065='Field Check'!$C$25)&gt;0,"",'Dvd Calendar'!$Q$1061)))</f>
        <v/>
      </c>
      <c r="CD79" s="85">
        <f>IF(P79="","",IF(ISNUMBER('Dvd Calendar'!$R$1061)=FALSE,"",IF((Summary!$C$13="N")*('Dvd Calendar'!$R$1065='Field Check'!$C$25)&gt;0,"",'Dvd Calendar'!$R$1061)))</f>
        <v/>
      </c>
      <c r="CE79" s="85">
        <f>IF(Q79="","",IF(ISNUMBER('Dvd Calendar'!$S$1061)=FALSE,"",IF((Summary!$C$13="N")*('Dvd Calendar'!$S$1065='Field Check'!$C$25)&gt;0,"",'Dvd Calendar'!$S$1061)))</f>
        <v/>
      </c>
      <c r="CF79" s="85">
        <f>IF(R79="","",IF(ISNUMBER('Dvd Calendar'!$T$1061)=FALSE,"",IF((Summary!$C$13="N")*('Dvd Calendar'!$T$1065='Field Check'!$C$25)&gt;0,"",'Dvd Calendar'!$T$1061)))</f>
        <v/>
      </c>
      <c r="CG79" s="85">
        <f>IF(S79="","",IF(ISNUMBER('Dvd Calendar'!$U$1061)=FALSE,"",IF((Summary!$C$13="N")*('Dvd Calendar'!$U$1065='Field Check'!$C$25)&gt;0,"",'Dvd Calendar'!$U$1061)))</f>
        <v/>
      </c>
      <c r="CH79" s="85">
        <f>IF(T79="","",IF(ISNUMBER('Dvd Calendar'!$V$1061)=FALSE,"",IF((Summary!$C$13="N")*('Dvd Calendar'!$V$1065='Field Check'!$C$25)&gt;0,"",'Dvd Calendar'!$V$1061)))</f>
        <v/>
      </c>
      <c r="CI79" s="85">
        <f>IF(U79="","",IF(ISNUMBER('Dvd Calendar'!$W$1061)=FALSE,"",IF((Summary!$C$13="N")*('Dvd Calendar'!$W$1065='Field Check'!$C$25)&gt;0,"",'Dvd Calendar'!$W$1061)))</f>
        <v/>
      </c>
      <c r="CJ79" s="85">
        <f>IF(V79="","",IF(ISNUMBER('Dvd Calendar'!$X$1061)=FALSE,"",IF((Summary!$C$13="N")*('Dvd Calendar'!$X$1065='Field Check'!$C$25)&gt;0,"",'Dvd Calendar'!$X$1061)))</f>
        <v/>
      </c>
      <c r="CK79" s="85">
        <f>IF(W79="","",IF(ISNUMBER('Dvd Calendar'!$Y$1061)=FALSE,"",IF((Summary!$C$13="N")*('Dvd Calendar'!$Y$1065='Field Check'!$C$25)&gt;0,"",'Dvd Calendar'!$Y$1061)))</f>
        <v/>
      </c>
      <c r="CL79" s="85">
        <f>IF(X79="","",IF(ISNUMBER('Dvd Calendar'!$Z$1061)=FALSE,"",IF((Summary!$C$13="N")*('Dvd Calendar'!$Z$1065='Field Check'!$C$25)&gt;0,"",'Dvd Calendar'!$Z$1061)))</f>
        <v/>
      </c>
      <c r="CM79" s="85">
        <f>IF(Y79="","",IF(ISNUMBER('Dvd Calendar'!$AA$1061)=FALSE,"",IF((Summary!$C$13="N")*('Dvd Calendar'!$AA$1065='Field Check'!$C$25)&gt;0,"",'Dvd Calendar'!$AA$1061)))</f>
        <v/>
      </c>
      <c r="CN79" s="85">
        <f>IF(Z79="","",IF(ISNUMBER('Dvd Calendar'!$AB$1061)=FALSE,"",IF((Summary!$C$13="N")*('Dvd Calendar'!$AB$1065='Field Check'!$C$25)&gt;0,"",'Dvd Calendar'!$AB$1061)))</f>
        <v/>
      </c>
      <c r="CO79" s="85">
        <f>IF(AA79="","",IF(ISNUMBER('Dvd Calendar'!$AC$1061)=FALSE,"",IF((Summary!$C$13="N")*('Dvd Calendar'!$AC$1065='Field Check'!$C$25)&gt;0,"",'Dvd Calendar'!$AC$1061)))</f>
        <v/>
      </c>
      <c r="CP79" s="85">
        <f>IF(AB79="","",IF(ISNUMBER('Dvd Calendar'!$AD$1061)=FALSE,"",IF((Summary!$C$13="N")*('Dvd Calendar'!$AD$1065='Field Check'!$C$25)&gt;0,"",'Dvd Calendar'!$AD$1061)))</f>
        <v/>
      </c>
      <c r="CQ79" s="85">
        <f>IF(AC79="","",IF(ISNUMBER('Dvd Calendar'!$AE$1061)=FALSE,"",IF((Summary!$C$13="N")*('Dvd Calendar'!$AE$1065='Field Check'!$C$25)&gt;0,"",'Dvd Calendar'!$AE$1061)))</f>
        <v/>
      </c>
      <c r="CR79" s="85">
        <f>IF(AD79="","",IF(ISNUMBER('Dvd Calendar'!$AF$1061)=FALSE,"",IF((Summary!$C$13="N")*('Dvd Calendar'!$AF$1065='Field Check'!$C$25)&gt;0,"",'Dvd Calendar'!$AF$1061)))</f>
        <v/>
      </c>
      <c r="CS79" s="85">
        <f>IF(AE79="","",IF(ISNUMBER('Dvd Calendar'!$AG$1061)=FALSE,"",IF((Summary!$C$13="N")*('Dvd Calendar'!$AG$1065='Field Check'!$C$25)&gt;0,"",'Dvd Calendar'!$AG$1061)))</f>
        <v/>
      </c>
      <c r="CT79" s="85">
        <f>IF(AF79="","",IF(ISNUMBER('Dvd Calendar'!$AH$1061)=FALSE,"",IF((Summary!$C$13="N")*('Dvd Calendar'!$AH$1065='Field Check'!$C$25)&gt;0,"",'Dvd Calendar'!$AH$1061)))</f>
        <v/>
      </c>
      <c r="CU79" s="85">
        <f>IF(AG79="","",IF(ISNUMBER('Dvd Calendar'!$AI$1061)=FALSE,"",IF((Summary!$C$13="N")*('Dvd Calendar'!$AI$1065='Field Check'!$C$25)&gt;0,"",'Dvd Calendar'!$AI$1061)))</f>
        <v/>
      </c>
      <c r="CV79" s="85">
        <f>IF(AH79="","",IF(ISNUMBER('Dvd Calendar'!$AJ$1061)=FALSE,"",IF((Summary!$C$13="N")*('Dvd Calendar'!$AJ$1065='Field Check'!$C$25)&gt;0,"",'Dvd Calendar'!$AJ$1061)))</f>
        <v/>
      </c>
      <c r="CW79" s="85">
        <f>IF(AI79="","",IF(ISNUMBER('Dvd Calendar'!$AK$1061)=FALSE,"",IF((Summary!$C$13="N")*('Dvd Calendar'!$AK$1065='Field Check'!$C$25)&gt;0,"",'Dvd Calendar'!$AK$1061)))</f>
        <v/>
      </c>
      <c r="CX79" s="85">
        <f>IF(AJ79="","",IF(ISNUMBER('Dvd Calendar'!$AL$1061)=FALSE,"",IF((Summary!$C$13="N")*('Dvd Calendar'!$AL$1065='Field Check'!$C$25)&gt;0,"",'Dvd Calendar'!$AL$1061)))</f>
        <v/>
      </c>
      <c r="CY79" s="85">
        <f>IF(AK79="","",IF(ISNUMBER('Dvd Calendar'!$AM$1061)=FALSE,"",IF((Summary!$C$13="N")*('Dvd Calendar'!$AM$1065='Field Check'!$C$25)&gt;0,"",'Dvd Calendar'!$AM$1061)))</f>
        <v/>
      </c>
      <c r="CZ79" s="85">
        <f>IF(AL79="","",IF(ISNUMBER('Dvd Calendar'!$AN$1061)=FALSE,"",IF((Summary!$C$13="N")*('Dvd Calendar'!$AN$1065='Field Check'!$C$25)&gt;0,"",'Dvd Calendar'!$AN$1061)))</f>
        <v/>
      </c>
      <c r="DA79" s="85">
        <f>IF(AM79="","",IF(ISNUMBER('Dvd Calendar'!$AO$1061)=FALSE,"",IF((Summary!$C$13="N")*('Dvd Calendar'!$AO$1065='Field Check'!$C$25)&gt;0,"",'Dvd Calendar'!$AO$1061)))</f>
        <v/>
      </c>
      <c r="DB79" s="85">
        <f>IF(AN79="","",IF(ISNUMBER('Dvd Calendar'!$AP$1061)=FALSE,"",IF((Summary!$C$13="N")*('Dvd Calendar'!$AP$1065='Field Check'!$C$25)&gt;0,"",'Dvd Calendar'!$AP$1061)))</f>
        <v/>
      </c>
      <c r="DC79" s="85">
        <f>IF(AO79="","",IF(ISNUMBER('Dvd Calendar'!$AQ$1061)=FALSE,"",IF((Summary!$C$13="N")*('Dvd Calendar'!$AQ$1065='Field Check'!$C$25)&gt;0,"",'Dvd Calendar'!$AQ$1061)))</f>
        <v/>
      </c>
      <c r="DD79" s="85">
        <f>IF(AP79="","",IF(ISNUMBER('Dvd Calendar'!$AR$1061)=FALSE,"",IF((Summary!$C$13="N")*('Dvd Calendar'!$AR$1065='Field Check'!$C$25)&gt;0,"",'Dvd Calendar'!$AR$1061)))</f>
        <v/>
      </c>
      <c r="DE79" s="85">
        <f>IF(AQ79="","",IF(ISNUMBER('Dvd Calendar'!$E$1068)=FALSE,"",IF((Summary!$C$13="N")*('Dvd Calendar'!$E$1072='Field Check'!$C$25)&gt;0,"",'Dvd Calendar'!$E$1068)))</f>
        <v/>
      </c>
      <c r="DF79" s="85">
        <f>IF(AR79="","",IF(ISNUMBER('Dvd Calendar'!$F$1068)=FALSE,"",IF((Summary!$C$13="N")*('Dvd Calendar'!$F$1072='Field Check'!$C$25)&gt;0,"",'Dvd Calendar'!$F$1068)))</f>
        <v/>
      </c>
      <c r="DG79" s="85">
        <f>IF(AS79="","",IF(ISNUMBER('Dvd Calendar'!$G$1068)=FALSE,"",IF((Summary!$C$13="N")*('Dvd Calendar'!$G$1072='Field Check'!$C$25)&gt;0,"",'Dvd Calendar'!$G$1068)))</f>
        <v/>
      </c>
      <c r="DH79" s="85">
        <f>IF(AT79="","",IF(ISNUMBER('Dvd Calendar'!$H$1068)=FALSE,"",IF((Summary!$C$13="N")*('Dvd Calendar'!$H$1072='Field Check'!$C$25)&gt;0,"",'Dvd Calendar'!$H$1068)))</f>
        <v/>
      </c>
      <c r="DI79" s="85">
        <f>IF(AU79="","",IF(ISNUMBER('Dvd Calendar'!$I$1068)=FALSE,"",IF((Summary!$C$13="N")*('Dvd Calendar'!$I$1072='Field Check'!$C$25)&gt;0,"",'Dvd Calendar'!$I$1068)))</f>
        <v/>
      </c>
      <c r="DJ79" s="85">
        <f>IF(AV79="","",IF(ISNUMBER('Dvd Calendar'!$J$1068)=FALSE,"",IF((Summary!$C$13="N")*('Dvd Calendar'!$J$1072='Field Check'!$C$25)&gt;0,"",'Dvd Calendar'!$J$1068)))</f>
        <v/>
      </c>
      <c r="DK79" s="85">
        <f>IF(AW79="","",IF(ISNUMBER('Dvd Calendar'!$K$1068)=FALSE,"",IF((Summary!$C$13="N")*('Dvd Calendar'!$K$1072='Field Check'!$C$25)&gt;0,"",'Dvd Calendar'!$K$1068)))</f>
        <v/>
      </c>
      <c r="DL79" s="85">
        <f>IF(AX79="","",IF(ISNUMBER('Dvd Calendar'!$L$1068)=FALSE,"",IF((Summary!$C$13="N")*('Dvd Calendar'!$L$1072='Field Check'!$C$25)&gt;0,"",'Dvd Calendar'!$L$1068)))</f>
        <v/>
      </c>
      <c r="DM79" s="85">
        <f>IF(AY79="","",IF(ISNUMBER('Dvd Calendar'!$M$1068)=FALSE,"",IF((Summary!$C$13="N")*('Dvd Calendar'!$M$1072='Field Check'!$C$25)&gt;0,"",'Dvd Calendar'!$M$1068)))</f>
        <v/>
      </c>
      <c r="DN79" s="85">
        <f>IF(AZ79="","",IF(ISNUMBER('Dvd Calendar'!$N$1068)=FALSE,"",IF((Summary!$C$13="N")*('Dvd Calendar'!$N$1072='Field Check'!$C$25)&gt;0,"",'Dvd Calendar'!$N$1068)))</f>
        <v/>
      </c>
      <c r="DO79" s="85">
        <f>IF(BA79="","",IF(ISNUMBER('Dvd Calendar'!$O$1068)=FALSE,"",IF((Summary!$C$13="N")*('Dvd Calendar'!$O$1072='Field Check'!$C$25)&gt;0,"",'Dvd Calendar'!$O$1068)))</f>
        <v/>
      </c>
      <c r="DP79" s="85">
        <f>IF(BB79="","",IF(ISNUMBER('Dvd Calendar'!$P$1068)=FALSE,"",IF((Summary!$C$13="N")*('Dvd Calendar'!$P$1072='Field Check'!$C$25)&gt;0,"",'Dvd Calendar'!$P$1068)))</f>
        <v/>
      </c>
      <c r="DQ79" s="85">
        <f>IF(BC79="","",IF(ISNUMBER('Dvd Calendar'!$Q$1068)=FALSE,"",IF((Summary!$C$13="N")*('Dvd Calendar'!$Q$1072='Field Check'!$C$25)&gt;0,"",'Dvd Calendar'!$Q$1068)))</f>
        <v/>
      </c>
      <c r="DR79" s="85">
        <f>IF(BD79="","",IF(ISNUMBER('Dvd Calendar'!$R$1068)=FALSE,"",IF((Summary!$C$13="N")*('Dvd Calendar'!$R$1072='Field Check'!$C$25)&gt;0,"",'Dvd Calendar'!$R$1068)))</f>
        <v/>
      </c>
      <c r="DS79" s="85">
        <f>IF(BE79="","",IF(ISNUMBER('Dvd Calendar'!$S$1068)=FALSE,"",IF((Summary!$C$13="N")*('Dvd Calendar'!$S$1072='Field Check'!$C$25)&gt;0,"",'Dvd Calendar'!$S$1068)))</f>
        <v/>
      </c>
      <c r="DT79" s="85">
        <f>IF(BF79="","",IF(ISNUMBER('Dvd Calendar'!$T$1068)=FALSE,"",IF((Summary!$C$13="N")*('Dvd Calendar'!$T$1072='Field Check'!$C$25)&gt;0,"",'Dvd Calendar'!$T$1068)))</f>
        <v/>
      </c>
      <c r="DU79" s="85">
        <f>IF(BG79="","",IF(ISNUMBER('Dvd Calendar'!$U$1068)=FALSE,"",IF((Summary!$C$13="N")*('Dvd Calendar'!$U$1072='Field Check'!$C$25)&gt;0,"",'Dvd Calendar'!$U$1068)))</f>
        <v/>
      </c>
      <c r="DV79" s="85">
        <f>IF(BH79="","",IF(ISNUMBER('Dvd Calendar'!$V$1068)=FALSE,"",IF((Summary!$C$13="N")*('Dvd Calendar'!$V$1072='Field Check'!$C$25)&gt;0,"",'Dvd Calendar'!$V$1068)))</f>
        <v/>
      </c>
      <c r="DW79" s="85">
        <f>IF(BI79="","",IF(ISNUMBER('Dvd Calendar'!$W$1068)=FALSE,"",IF((Summary!$C$13="N")*('Dvd Calendar'!$W$1072='Field Check'!$C$25)&gt;0,"",'Dvd Calendar'!$W$1068)))</f>
        <v/>
      </c>
      <c r="DX79" s="85">
        <f>IF(BJ79="","",IF(ISNUMBER('Dvd Calendar'!$X$1068)=FALSE,"",IF((Summary!$C$13="N")*('Dvd Calendar'!$X$1072='Field Check'!$C$25)&gt;0,"",'Dvd Calendar'!$X$1068)))</f>
        <v/>
      </c>
      <c r="DY79" s="85">
        <f>IF(BK79="","",IF(ISNUMBER('Dvd Calendar'!$Y$1068)=FALSE,"",IF((Summary!$C$13="N")*('Dvd Calendar'!$Y$1072='Field Check'!$C$25)&gt;0,"",'Dvd Calendar'!$Y$1068)))</f>
        <v/>
      </c>
      <c r="DZ79" s="85">
        <f>IF(BL79="","",IF(ISNUMBER('Dvd Calendar'!$Z$1068)=FALSE,"",IF((Summary!$C$13="N")*('Dvd Calendar'!$Z$1072='Field Check'!$C$25)&gt;0,"",'Dvd Calendar'!$Z$1068)))</f>
        <v/>
      </c>
      <c r="EA79" s="85">
        <f>IF(BM79="","",IF(ISNUMBER('Dvd Calendar'!$AA$1068)=FALSE,"",IF((Summary!$C$13="N")*('Dvd Calendar'!$AA$1072='Field Check'!$C$25)&gt;0,"",'Dvd Calendar'!$AA$1068)))</f>
        <v/>
      </c>
      <c r="EB79" s="85">
        <f>IF(BN79="","",IF(ISNUMBER('Dvd Calendar'!$AB$1068)=FALSE,"",IF((Summary!$C$13="N")*('Dvd Calendar'!$AB$1072='Field Check'!$C$25)&gt;0,"",'Dvd Calendar'!$AB$1068)))</f>
        <v/>
      </c>
      <c r="EC79" s="85">
        <f>IF(BO79="","",IF(ISNUMBER('Dvd Calendar'!$AC$1068)=FALSE,"",IF((Summary!$C$13="N")*('Dvd Calendar'!$AC$1072='Field Check'!$C$25)&gt;0,"",'Dvd Calendar'!$AC$1068)))</f>
        <v/>
      </c>
      <c r="EE79" s="85">
        <f>IF(BQ79="","",IFERROR(BQ79*HSI!$B$77*HSI!$G$77/HSI!$B$3,""))</f>
        <v/>
      </c>
      <c r="EF79" s="85">
        <f>IF(BR79="","",IFERROR(BR79*HSI!$B$77*HSI!$G$77/HSI!$B$3,""))</f>
        <v/>
      </c>
      <c r="EG79" s="85">
        <f>IF(BS79="","",IFERROR(BS79*HSI!$B$77*HSI!$G$77/HSI!$B$3,""))</f>
        <v/>
      </c>
      <c r="EH79" s="85">
        <f>IF(BT79="","",IFERROR(BT79*HSI!$B$77*HSI!$G$77/HSI!$B$3,""))</f>
        <v/>
      </c>
      <c r="EI79" s="85">
        <f>IF(BU79="","",IFERROR(BU79*HSI!$B$77*HSI!$G$77/HSI!$B$3,""))</f>
        <v/>
      </c>
      <c r="EJ79" s="85">
        <f>IF(BV79="","",IFERROR(BV79*HSI!$B$77*HSI!$G$77/HSI!$B$3,""))</f>
        <v/>
      </c>
      <c r="EK79" s="85">
        <f>IF(BW79="","",IFERROR(BW79*HSI!$B$77*HSI!$G$77/HSI!$B$3,""))</f>
        <v/>
      </c>
      <c r="EL79" s="85">
        <f>IF(BX79="","",IFERROR(BX79*HSI!$B$77*HSI!$G$77/HSI!$B$3,""))</f>
        <v/>
      </c>
      <c r="EM79" s="85">
        <f>IF(BY79="","",IFERROR(BY79*HSI!$B$77*HSI!$G$77/HSI!$B$3,""))</f>
        <v/>
      </c>
      <c r="EN79" s="85">
        <f>IF(BZ79="","",IFERROR(BZ79*HSI!$B$77*HSI!$G$77/HSI!$B$3,""))</f>
        <v/>
      </c>
      <c r="EO79" s="85">
        <f>IF(CA79="","",IFERROR(CA79*HSI!$B$77*HSI!$G$77/HSI!$B$3,""))</f>
        <v/>
      </c>
      <c r="EP79" s="85">
        <f>IF(CB79="","",IFERROR(CB79*HSI!$B$77*HSI!$G$77/HSI!$B$3,""))</f>
        <v/>
      </c>
      <c r="EQ79" s="85">
        <f>IF(CC79="","",IFERROR(CC79*HSI!$B$77*HSI!$G$77/HSI!$B$3,""))</f>
        <v/>
      </c>
      <c r="ER79" s="85">
        <f>IF(CD79="","",IFERROR(CD79*HSI!$B$77*HSI!$G$77/HSI!$B$3,""))</f>
        <v/>
      </c>
      <c r="ES79" s="85">
        <f>IF(CE79="","",IFERROR(CE79*HSI!$B$77*HSI!$G$77/HSI!$B$3,""))</f>
        <v/>
      </c>
      <c r="ET79" s="85">
        <f>IF(CF79="","",IFERROR(CF79*HSI!$B$77*HSI!$G$77/HSI!$B$3,""))</f>
        <v/>
      </c>
      <c r="EU79" s="85">
        <f>IF(CG79="","",IFERROR(CG79*HSI!$B$77*HSI!$G$77/HSI!$B$3,""))</f>
        <v/>
      </c>
      <c r="EV79" s="85">
        <f>IF(CH79="","",IFERROR(CH79*HSI!$B$77*HSI!$G$77/HSI!$B$3,""))</f>
        <v/>
      </c>
      <c r="EW79" s="85">
        <f>IF(CI79="","",IFERROR(CI79*HSI!$B$77*HSI!$G$77/HSI!$B$3,""))</f>
        <v/>
      </c>
      <c r="EX79" s="85">
        <f>IF(CJ79="","",IFERROR(CJ79*HSI!$B$77*HSI!$G$77/HSI!$B$3,""))</f>
        <v/>
      </c>
      <c r="EY79" s="85">
        <f>IF(CK79="","",IFERROR(CK79*HSI!$B$77*HSI!$G$77/HSI!$B$3,""))</f>
        <v/>
      </c>
      <c r="EZ79" s="85">
        <f>IF(CL79="","",IFERROR(CL79*HSI!$B$77*HSI!$G$77/HSI!$B$3,""))</f>
        <v/>
      </c>
      <c r="FA79" s="85">
        <f>IF(CM79="","",IFERROR(CM79*HSI!$B$77*HSI!$G$77/HSI!$B$3,""))</f>
        <v/>
      </c>
      <c r="FB79" s="85">
        <f>IF(CN79="","",IFERROR(CN79*HSI!$B$77*HSI!$G$77/HSI!$B$3,""))</f>
        <v/>
      </c>
      <c r="FC79" s="85">
        <f>IF(CO79="","",IFERROR(CO79*HSI!$B$77*HSI!$G$77/HSI!$B$3,""))</f>
        <v/>
      </c>
      <c r="FD79" s="85">
        <f>IF(CP79="","",IFERROR(CP79*HSI!$B$77*HSI!$G$77/HSI!$B$3,""))</f>
        <v/>
      </c>
      <c r="FE79" s="85">
        <f>IF(CQ79="","",IFERROR(CQ79*HSI!$B$77*HSI!$G$77/HSI!$B$3,""))</f>
        <v/>
      </c>
      <c r="FF79" s="85">
        <f>IF(CR79="","",IFERROR(CR79*HSI!$B$77*HSI!$G$77/HSI!$B$3,""))</f>
        <v/>
      </c>
      <c r="FG79" s="85">
        <f>IF(CS79="","",IFERROR(CS79*HSI!$B$77*HSI!$G$77/HSI!$B$3,""))</f>
        <v/>
      </c>
      <c r="FH79" s="85">
        <f>IF(CT79="","",IFERROR(CT79*HSI!$B$77*HSI!$G$77/HSI!$B$3,""))</f>
        <v/>
      </c>
      <c r="FI79" s="85">
        <f>IF(CU79="","",IFERROR(CU79*HSI!$B$77*HSI!$G$77/HSI!$B$3,""))</f>
        <v/>
      </c>
      <c r="FJ79" s="85">
        <f>IF(CV79="","",IFERROR(CV79*HSI!$B$77*HSI!$G$77/HSI!$B$3,""))</f>
        <v/>
      </c>
      <c r="FK79" s="85">
        <f>IF(CW79="","",IFERROR(CW79*HSI!$B$77*HSI!$G$77/HSI!$B$3,""))</f>
        <v/>
      </c>
      <c r="FL79" s="85">
        <f>IF(CX79="","",IFERROR(CX79*HSI!$B$77*HSI!$G$77/HSI!$B$3,""))</f>
        <v/>
      </c>
      <c r="FM79" s="85">
        <f>IF(CY79="","",IFERROR(CY79*HSI!$B$77*HSI!$G$77/HSI!$B$3,""))</f>
        <v/>
      </c>
      <c r="FN79" s="85">
        <f>IF(CZ79="","",IFERROR(CZ79*HSI!$B$77*HSI!$G$77/HSI!$B$3,""))</f>
        <v/>
      </c>
      <c r="FO79" s="85">
        <f>IF(DA79="","",IFERROR(DA79*HSI!$B$77*HSI!$G$77/HSI!$B$3,""))</f>
        <v/>
      </c>
      <c r="FP79" s="85">
        <f>IF(DB79="","",IFERROR(DB79*HSI!$B$77*HSI!$G$77/HSI!$B$3,""))</f>
        <v/>
      </c>
      <c r="FQ79" s="85">
        <f>IF(DC79="","",IFERROR(DC79*HSI!$B$77*HSI!$G$77/HSI!$B$3,""))</f>
        <v/>
      </c>
      <c r="FR79" s="85">
        <f>IF(DD79="","",IFERROR(DD79*HSI!$B$77*HSI!$G$77/HSI!$B$3,""))</f>
        <v/>
      </c>
      <c r="FS79" s="85">
        <f>IF(DE79="","",IFERROR(DE79*HSI!$B$77*HSI!$G$77/HSI!$B$3,""))</f>
        <v/>
      </c>
      <c r="FT79" s="85">
        <f>IF(DF79="","",IFERROR(DF79*HSI!$B$77*HSI!$G$77/HSI!$B$3,""))</f>
        <v/>
      </c>
      <c r="FU79" s="85">
        <f>IF(DG79="","",IFERROR(DG79*HSI!$B$77*HSI!$G$77/HSI!$B$3,""))</f>
        <v/>
      </c>
      <c r="FV79" s="85">
        <f>IF(DH79="","",IFERROR(DH79*HSI!$B$77*HSI!$G$77/HSI!$B$3,""))</f>
        <v/>
      </c>
      <c r="FW79" s="85">
        <f>IF(DI79="","",IFERROR(DI79*HSI!$B$77*HSI!$G$77/HSI!$B$3,""))</f>
        <v/>
      </c>
      <c r="FX79" s="85">
        <f>IF(DJ79="","",IFERROR(DJ79*HSI!$B$77*HSI!$G$77/HSI!$B$3,""))</f>
        <v/>
      </c>
      <c r="FY79" s="85">
        <f>IF(DK79="","",IFERROR(DK79*HSI!$B$77*HSI!$G$77/HSI!$B$3,""))</f>
        <v/>
      </c>
      <c r="FZ79" s="85">
        <f>IF(DL79="","",IFERROR(DL79*HSI!$B$77*HSI!$G$77/HSI!$B$3,""))</f>
        <v/>
      </c>
      <c r="GA79" s="85">
        <f>IF(DM79="","",IFERROR(DM79*HSI!$B$77*HSI!$G$77/HSI!$B$3,""))</f>
        <v/>
      </c>
      <c r="GB79" s="85">
        <f>IF(DN79="","",IFERROR(DN79*HSI!$B$77*HSI!$G$77/HSI!$B$3,""))</f>
        <v/>
      </c>
      <c r="GC79" s="85">
        <f>IF(DO79="","",IFERROR(DO79*HSI!$B$77*HSI!$G$77/HSI!$B$3,""))</f>
        <v/>
      </c>
      <c r="GD79" s="85">
        <f>IF(DP79="","",IFERROR(DP79*HSI!$B$77*HSI!$G$77/HSI!$B$3,""))</f>
        <v/>
      </c>
      <c r="GE79" s="85">
        <f>IF(DQ79="","",IFERROR(DQ79*HSI!$B$77*HSI!$G$77/HSI!$B$3,""))</f>
        <v/>
      </c>
      <c r="GF79" s="85">
        <f>IF(DR79="","",IFERROR(DR79*HSI!$B$77*HSI!$G$77/HSI!$B$3,""))</f>
        <v/>
      </c>
      <c r="GG79" s="85">
        <f>IF(DS79="","",IFERROR(DS79*HSI!$B$77*HSI!$G$77/HSI!$B$3,""))</f>
        <v/>
      </c>
      <c r="GH79" s="85">
        <f>IF(DT79="","",IFERROR(DT79*HSI!$B$77*HSI!$G$77/HSI!$B$3,""))</f>
        <v/>
      </c>
      <c r="GI79" s="85">
        <f>IF(DU79="","",IFERROR(DU79*HSI!$B$77*HSI!$G$77/HSI!$B$3,""))</f>
        <v/>
      </c>
      <c r="GJ79" s="85">
        <f>IF(DV79="","",IFERROR(DV79*HSI!$B$77*HSI!$G$77/HSI!$B$3,""))</f>
        <v/>
      </c>
      <c r="GK79" s="85">
        <f>IF(DW79="","",IFERROR(DW79*HSI!$B$77*HSI!$G$77/HSI!$B$3,""))</f>
        <v/>
      </c>
      <c r="GL79" s="85">
        <f>IF(DX79="","",IFERROR(DX79*HSI!$B$77*HSI!$G$77/HSI!$B$3,""))</f>
        <v/>
      </c>
      <c r="GM79" s="85">
        <f>IF(DY79="","",IFERROR(DY79*HSI!$B$77*HSI!$G$77/HSI!$B$3,""))</f>
        <v/>
      </c>
      <c r="GN79" s="85">
        <f>IF(DZ79="","",IFERROR(DZ79*HSI!$B$77*HSI!$G$77/HSI!$B$3,""))</f>
        <v/>
      </c>
      <c r="GO79" s="85">
        <f>IF(EA79="","",IFERROR(EA79*HSI!$B$77*HSI!$G$77/HSI!$B$3,""))</f>
        <v/>
      </c>
      <c r="GP79" s="85">
        <f>IF(EB79="","",IFERROR(EB79*HSI!$B$77*HSI!$G$77/HSI!$B$3,""))</f>
        <v/>
      </c>
      <c r="GQ79" s="85">
        <f>IF(EC79="","",IFERROR(EC79*HSI!$B$77*HSI!$G$77/HSI!$B$3,""))</f>
        <v/>
      </c>
    </row>
    <row r="80">
      <c r="B80" s="2">
        <f>IF(HSI!$C$78="","",HSI!$C$78)</f>
        <v/>
      </c>
      <c r="C80" s="41">
        <f>IF(N('Dvd Calendar'!$E$1075)=0,"",IF(('Dvd Calendar'!$E$1075&gt;=MIN(DATE(Summary!$C$12,1,1),Summary!$C$11))*('Dvd Calendar'!$E$1075&lt;=MAX(DATE(Summary!$C$12,12,31),Summary!$C$15))*('Dvd Calendar'!$E$1075&lt;=Summary!$C$11)=0,"",'Dvd Calendar'!$E$1075*1000000000+ISNUMBER('Dvd Calendar'!$E$1076)*100000000+('Dvd Calendar'!$E$1080='Field Check'!$C$25)*10000000+(N('Dvd Calendar'!$E$1074)&gt;0)*1000000+72*1000+1))</f>
        <v/>
      </c>
      <c r="D80" s="41">
        <f>IF(N('Dvd Calendar'!$F$1075)=0,"",IF(('Dvd Calendar'!$F$1075&gt;=MIN(DATE(Summary!$C$12,1,1),Summary!$C$11))*('Dvd Calendar'!$F$1075&lt;=MAX(DATE(Summary!$C$12,12,31),Summary!$C$15))*('Dvd Calendar'!$F$1075&lt;=Summary!$C$11)=0,"",'Dvd Calendar'!$F$1075*1000000000+ISNUMBER('Dvd Calendar'!$F$1076)*100000000+('Dvd Calendar'!$F$1080='Field Check'!$C$25)*10000000+(N('Dvd Calendar'!$F$1074)&gt;0)*1000000+72*1000+2))</f>
        <v/>
      </c>
      <c r="E80" s="41">
        <f>IF(N('Dvd Calendar'!$G$1075)=0,"",IF(('Dvd Calendar'!$G$1075&gt;=MIN(DATE(Summary!$C$12,1,1),Summary!$C$11))*('Dvd Calendar'!$G$1075&lt;=MAX(DATE(Summary!$C$12,12,31),Summary!$C$15))*('Dvd Calendar'!$G$1075&lt;=Summary!$C$11)=0,"",'Dvd Calendar'!$G$1075*1000000000+ISNUMBER('Dvd Calendar'!$G$1076)*100000000+('Dvd Calendar'!$G$1080='Field Check'!$C$25)*10000000+(N('Dvd Calendar'!$G$1074)&gt;0)*1000000+72*1000+3))</f>
        <v/>
      </c>
      <c r="F80" s="41">
        <f>IF(N('Dvd Calendar'!$H$1075)=0,"",IF(('Dvd Calendar'!$H$1075&gt;=MIN(DATE(Summary!$C$12,1,1),Summary!$C$11))*('Dvd Calendar'!$H$1075&lt;=MAX(DATE(Summary!$C$12,12,31),Summary!$C$15))*('Dvd Calendar'!$H$1075&lt;=Summary!$C$11)=0,"",'Dvd Calendar'!$H$1075*1000000000+ISNUMBER('Dvd Calendar'!$H$1076)*100000000+('Dvd Calendar'!$H$1080='Field Check'!$C$25)*10000000+(N('Dvd Calendar'!$H$1074)&gt;0)*1000000+72*1000+4))</f>
        <v/>
      </c>
      <c r="G80" s="41">
        <f>IF(N('Dvd Calendar'!$I$1075)=0,"",IF(('Dvd Calendar'!$I$1075&gt;=MIN(DATE(Summary!$C$12,1,1),Summary!$C$11))*('Dvd Calendar'!$I$1075&lt;=MAX(DATE(Summary!$C$12,12,31),Summary!$C$15))*('Dvd Calendar'!$I$1075&lt;=Summary!$C$11)=0,"",'Dvd Calendar'!$I$1075*1000000000+ISNUMBER('Dvd Calendar'!$I$1076)*100000000+('Dvd Calendar'!$I$1080='Field Check'!$C$25)*10000000+(N('Dvd Calendar'!$I$1074)&gt;0)*1000000+72*1000+5))</f>
        <v/>
      </c>
      <c r="H80" s="41">
        <f>IF(N('Dvd Calendar'!$J$1075)=0,"",IF(('Dvd Calendar'!$J$1075&gt;=MIN(DATE(Summary!$C$12,1,1),Summary!$C$11))*('Dvd Calendar'!$J$1075&lt;=MAX(DATE(Summary!$C$12,12,31),Summary!$C$15))*('Dvd Calendar'!$J$1075&lt;=Summary!$C$11)=0,"",'Dvd Calendar'!$J$1075*1000000000+ISNUMBER('Dvd Calendar'!$J$1076)*100000000+('Dvd Calendar'!$J$1080='Field Check'!$C$25)*10000000+(N('Dvd Calendar'!$J$1074)&gt;0)*1000000+72*1000+6))</f>
        <v/>
      </c>
      <c r="I80" s="41">
        <f>IF(N('Dvd Calendar'!$K$1075)=0,"",IF(('Dvd Calendar'!$K$1075&gt;=MIN(DATE(Summary!$C$12,1,1),Summary!$C$11))*('Dvd Calendar'!$K$1075&lt;=MAX(DATE(Summary!$C$12,12,31),Summary!$C$15))*('Dvd Calendar'!$K$1075&lt;=Summary!$C$11)=0,"",'Dvd Calendar'!$K$1075*1000000000+ISNUMBER('Dvd Calendar'!$K$1076)*100000000+('Dvd Calendar'!$K$1080='Field Check'!$C$25)*10000000+(N('Dvd Calendar'!$K$1074)&gt;0)*1000000+72*1000+7))</f>
        <v/>
      </c>
      <c r="J80" s="41">
        <f>IF(N('Dvd Calendar'!$L$1075)=0,"",IF(('Dvd Calendar'!$L$1075&gt;=MIN(DATE(Summary!$C$12,1,1),Summary!$C$11))*('Dvd Calendar'!$L$1075&lt;=MAX(DATE(Summary!$C$12,12,31),Summary!$C$15))*('Dvd Calendar'!$L$1075&lt;=Summary!$C$11)=0,"",'Dvd Calendar'!$L$1075*1000000000+ISNUMBER('Dvd Calendar'!$L$1076)*100000000+('Dvd Calendar'!$L$1080='Field Check'!$C$25)*10000000+(N('Dvd Calendar'!$L$1074)&gt;0)*1000000+72*1000+8))</f>
        <v/>
      </c>
      <c r="K80" s="41">
        <f>IF(N('Dvd Calendar'!$M$1075)=0,"",IF(('Dvd Calendar'!$M$1075&gt;=MIN(DATE(Summary!$C$12,1,1),Summary!$C$11))*('Dvd Calendar'!$M$1075&lt;=MAX(DATE(Summary!$C$12,12,31),Summary!$C$15))*('Dvd Calendar'!$M$1075&lt;=Summary!$C$11)=0,"",'Dvd Calendar'!$M$1075*1000000000+ISNUMBER('Dvd Calendar'!$M$1076)*100000000+('Dvd Calendar'!$M$1080='Field Check'!$C$25)*10000000+(N('Dvd Calendar'!$M$1074)&gt;0)*1000000+72*1000+9))</f>
        <v/>
      </c>
      <c r="L80" s="41">
        <f>IF(N('Dvd Calendar'!$N$1075)=0,"",IF(('Dvd Calendar'!$N$1075&gt;=MIN(DATE(Summary!$C$12,1,1),Summary!$C$11))*('Dvd Calendar'!$N$1075&lt;=MAX(DATE(Summary!$C$12,12,31),Summary!$C$15))*('Dvd Calendar'!$N$1075&lt;=Summary!$C$11)=0,"",'Dvd Calendar'!$N$1075*1000000000+ISNUMBER('Dvd Calendar'!$N$1076)*100000000+('Dvd Calendar'!$N$1080='Field Check'!$C$25)*10000000+(N('Dvd Calendar'!$N$1074)&gt;0)*1000000+72*1000+10))</f>
        <v/>
      </c>
      <c r="M80" s="41">
        <f>IF(N('Dvd Calendar'!$O$1075)=0,"",IF(('Dvd Calendar'!$O$1075&gt;=MIN(DATE(Summary!$C$12,1,1),Summary!$C$11))*('Dvd Calendar'!$O$1075&lt;=MAX(DATE(Summary!$C$12,12,31),Summary!$C$15))*('Dvd Calendar'!$O$1075&lt;=Summary!$C$11)=0,"",'Dvd Calendar'!$O$1075*1000000000+ISNUMBER('Dvd Calendar'!$O$1076)*100000000+('Dvd Calendar'!$O$1080='Field Check'!$C$25)*10000000+(N('Dvd Calendar'!$O$1074)&gt;0)*1000000+72*1000+11))</f>
        <v/>
      </c>
      <c r="N80" s="41">
        <f>IF(N('Dvd Calendar'!$P$1075)=0,"",IF(('Dvd Calendar'!$P$1075&gt;=MIN(DATE(Summary!$C$12,1,1),Summary!$C$11))*('Dvd Calendar'!$P$1075&lt;=MAX(DATE(Summary!$C$12,12,31),Summary!$C$15))*('Dvd Calendar'!$P$1075&lt;=Summary!$C$11)=0,"",'Dvd Calendar'!$P$1075*1000000000+ISNUMBER('Dvd Calendar'!$P$1076)*100000000+('Dvd Calendar'!$P$1080='Field Check'!$C$25)*10000000+(N('Dvd Calendar'!$P$1074)&gt;0)*1000000+72*1000+12))</f>
        <v/>
      </c>
      <c r="O80" s="41">
        <f>IF(N('Dvd Calendar'!$Q$1075)=0,"",IF(('Dvd Calendar'!$Q$1075&gt;=MIN(DATE(Summary!$C$12,1,1),Summary!$C$11))*('Dvd Calendar'!$Q$1075&lt;=MAX(DATE(Summary!$C$12,12,31),Summary!$C$15))*('Dvd Calendar'!$Q$1075&lt;=Summary!$C$11)=0,"",'Dvd Calendar'!$Q$1075*1000000000+ISNUMBER('Dvd Calendar'!$Q$1076)*100000000+('Dvd Calendar'!$Q$1080='Field Check'!$C$25)*10000000+(N('Dvd Calendar'!$Q$1074)&gt;0)*1000000+72*1000+13))</f>
        <v/>
      </c>
      <c r="P80" s="41">
        <f>IF(N('Dvd Calendar'!$R$1075)=0,"",IF(('Dvd Calendar'!$R$1075&gt;=MIN(DATE(Summary!$C$12,1,1),Summary!$C$11))*('Dvd Calendar'!$R$1075&lt;=MAX(DATE(Summary!$C$12,12,31),Summary!$C$15))*('Dvd Calendar'!$R$1075&lt;=Summary!$C$11)=0,"",'Dvd Calendar'!$R$1075*1000000000+ISNUMBER('Dvd Calendar'!$R$1076)*100000000+('Dvd Calendar'!$R$1080='Field Check'!$C$25)*10000000+(N('Dvd Calendar'!$R$1074)&gt;0)*1000000+72*1000+14))</f>
        <v/>
      </c>
      <c r="Q80" s="41">
        <f>IF(N('Dvd Calendar'!$S$1075)=0,"",IF(('Dvd Calendar'!$S$1075&gt;=MIN(DATE(Summary!$C$12,1,1),Summary!$C$11))*('Dvd Calendar'!$S$1075&lt;=MAX(DATE(Summary!$C$12,12,31),Summary!$C$15))*('Dvd Calendar'!$S$1075&lt;=Summary!$C$11)=0,"",'Dvd Calendar'!$S$1075*1000000000+ISNUMBER('Dvd Calendar'!$S$1076)*100000000+('Dvd Calendar'!$S$1080='Field Check'!$C$25)*10000000+(N('Dvd Calendar'!$S$1074)&gt;0)*1000000+72*1000+15))</f>
        <v/>
      </c>
      <c r="R80" s="41">
        <f>IF(N('Dvd Calendar'!$T$1075)=0,"",IF(('Dvd Calendar'!$T$1075&gt;=MIN(DATE(Summary!$C$12,1,1),Summary!$C$11))*('Dvd Calendar'!$T$1075&lt;=MAX(DATE(Summary!$C$12,12,31),Summary!$C$15))*('Dvd Calendar'!$T$1075&lt;=Summary!$C$11)=0,"",'Dvd Calendar'!$T$1075*1000000000+ISNUMBER('Dvd Calendar'!$T$1076)*100000000+('Dvd Calendar'!$T$1080='Field Check'!$C$25)*10000000+(N('Dvd Calendar'!$T$1074)&gt;0)*1000000+72*1000+16))</f>
        <v/>
      </c>
      <c r="S80" s="41">
        <f>IF(N('Dvd Calendar'!$U$1075)=0,"",IF(('Dvd Calendar'!$U$1075&gt;=MIN(DATE(Summary!$C$12,1,1),Summary!$C$11))*('Dvd Calendar'!$U$1075&lt;=MAX(DATE(Summary!$C$12,12,31),Summary!$C$15))*('Dvd Calendar'!$U$1075&lt;=Summary!$C$11)=0,"",'Dvd Calendar'!$U$1075*1000000000+ISNUMBER('Dvd Calendar'!$U$1076)*100000000+('Dvd Calendar'!$U$1080='Field Check'!$C$25)*10000000+(N('Dvd Calendar'!$U$1074)&gt;0)*1000000+72*1000+17))</f>
        <v/>
      </c>
      <c r="T80" s="41">
        <f>IF(N('Dvd Calendar'!$V$1075)=0,"",IF(('Dvd Calendar'!$V$1075&gt;=MIN(DATE(Summary!$C$12,1,1),Summary!$C$11))*('Dvd Calendar'!$V$1075&lt;=MAX(DATE(Summary!$C$12,12,31),Summary!$C$15))*('Dvd Calendar'!$V$1075&lt;=Summary!$C$11)=0,"",'Dvd Calendar'!$V$1075*1000000000+ISNUMBER('Dvd Calendar'!$V$1076)*100000000+('Dvd Calendar'!$V$1080='Field Check'!$C$25)*10000000+(N('Dvd Calendar'!$V$1074)&gt;0)*1000000+72*1000+18))</f>
        <v/>
      </c>
      <c r="U80" s="41">
        <f>IF(N('Dvd Calendar'!$W$1075)=0,"",IF(('Dvd Calendar'!$W$1075&gt;=MIN(DATE(Summary!$C$12,1,1),Summary!$C$11))*('Dvd Calendar'!$W$1075&lt;=MAX(DATE(Summary!$C$12,12,31),Summary!$C$15))*('Dvd Calendar'!$W$1075&lt;=Summary!$C$11)=0,"",'Dvd Calendar'!$W$1075*1000000000+ISNUMBER('Dvd Calendar'!$W$1076)*100000000+('Dvd Calendar'!$W$1080='Field Check'!$C$25)*10000000+(N('Dvd Calendar'!$W$1074)&gt;0)*1000000+72*1000+19))</f>
        <v/>
      </c>
      <c r="V80" s="41">
        <f>IF(N('Dvd Calendar'!$X$1075)=0,"",IF(('Dvd Calendar'!$X$1075&gt;=MIN(DATE(Summary!$C$12,1,1),Summary!$C$11))*('Dvd Calendar'!$X$1075&lt;=MAX(DATE(Summary!$C$12,12,31),Summary!$C$15))*('Dvd Calendar'!$X$1075&lt;=Summary!$C$11)=0,"",'Dvd Calendar'!$X$1075*1000000000+ISNUMBER('Dvd Calendar'!$X$1076)*100000000+('Dvd Calendar'!$X$1080='Field Check'!$C$25)*10000000+(N('Dvd Calendar'!$X$1074)&gt;0)*1000000+72*1000+20))</f>
        <v/>
      </c>
      <c r="W80" s="41">
        <f>IF(N('Dvd Calendar'!$Y$1075)=0,"",IF(('Dvd Calendar'!$Y$1075&gt;=MIN(DATE(Summary!$C$12,1,1),Summary!$C$11))*('Dvd Calendar'!$Y$1075&lt;=MAX(DATE(Summary!$C$12,12,31),Summary!$C$15))*('Dvd Calendar'!$Y$1075&lt;=Summary!$C$11)=0,"",'Dvd Calendar'!$Y$1075*1000000000+ISNUMBER('Dvd Calendar'!$Y$1076)*100000000+('Dvd Calendar'!$Y$1080='Field Check'!$C$25)*10000000+(N('Dvd Calendar'!$Y$1074)&gt;0)*1000000+72*1000+21))</f>
        <v/>
      </c>
      <c r="X80" s="41">
        <f>IF(N('Dvd Calendar'!$Z$1075)=0,"",IF(('Dvd Calendar'!$Z$1075&gt;=MIN(DATE(Summary!$C$12,1,1),Summary!$C$11))*('Dvd Calendar'!$Z$1075&lt;=MAX(DATE(Summary!$C$12,12,31),Summary!$C$15))*('Dvd Calendar'!$Z$1075&lt;=Summary!$C$11)=0,"",'Dvd Calendar'!$Z$1075*1000000000+ISNUMBER('Dvd Calendar'!$Z$1076)*100000000+('Dvd Calendar'!$Z$1080='Field Check'!$C$25)*10000000+(N('Dvd Calendar'!$Z$1074)&gt;0)*1000000+72*1000+22))</f>
        <v/>
      </c>
      <c r="Y80" s="41">
        <f>IF(N('Dvd Calendar'!$AA$1075)=0,"",IF(('Dvd Calendar'!$AA$1075&gt;=MIN(DATE(Summary!$C$12,1,1),Summary!$C$11))*('Dvd Calendar'!$AA$1075&lt;=MAX(DATE(Summary!$C$12,12,31),Summary!$C$15))*('Dvd Calendar'!$AA$1075&lt;=Summary!$C$11)=0,"",'Dvd Calendar'!$AA$1075*1000000000+ISNUMBER('Dvd Calendar'!$AA$1076)*100000000+('Dvd Calendar'!$AA$1080='Field Check'!$C$25)*10000000+(N('Dvd Calendar'!$AA$1074)&gt;0)*1000000+72*1000+23))</f>
        <v/>
      </c>
      <c r="Z80" s="41">
        <f>IF(N('Dvd Calendar'!$AB$1075)=0,"",IF(('Dvd Calendar'!$AB$1075&gt;=MIN(DATE(Summary!$C$12,1,1),Summary!$C$11))*('Dvd Calendar'!$AB$1075&lt;=MAX(DATE(Summary!$C$12,12,31),Summary!$C$15))*('Dvd Calendar'!$AB$1075&lt;=Summary!$C$11)=0,"",'Dvd Calendar'!$AB$1075*1000000000+ISNUMBER('Dvd Calendar'!$AB$1076)*100000000+('Dvd Calendar'!$AB$1080='Field Check'!$C$25)*10000000+(N('Dvd Calendar'!$AB$1074)&gt;0)*1000000+72*1000+24))</f>
        <v/>
      </c>
      <c r="AA80" s="41">
        <f>IF(N('Dvd Calendar'!$AC$1075)=0,"",IF(('Dvd Calendar'!$AC$1075&gt;=MIN(DATE(Summary!$C$12,1,1),Summary!$C$11))*('Dvd Calendar'!$AC$1075&lt;=MAX(DATE(Summary!$C$12,12,31),Summary!$C$15))*('Dvd Calendar'!$AC$1075&lt;=Summary!$C$11)=0,"",'Dvd Calendar'!$AC$1075*1000000000+ISNUMBER('Dvd Calendar'!$AC$1076)*100000000+('Dvd Calendar'!$AC$1080='Field Check'!$C$25)*10000000+(N('Dvd Calendar'!$AC$1074)&gt;0)*1000000+72*1000+25))</f>
        <v/>
      </c>
      <c r="AB80" s="41">
        <f>IF(N('Dvd Calendar'!$AD$1075)=0,"",IF(('Dvd Calendar'!$AD$1075&gt;=MIN(DATE(Summary!$C$12,1,1),Summary!$C$11))*('Dvd Calendar'!$AD$1075&lt;=MAX(DATE(Summary!$C$12,12,31),Summary!$C$15))*('Dvd Calendar'!$AD$1075&lt;=Summary!$C$11)=0,"",'Dvd Calendar'!$AD$1075*1000000000+ISNUMBER('Dvd Calendar'!$AD$1076)*100000000+('Dvd Calendar'!$AD$1080='Field Check'!$C$25)*10000000+(N('Dvd Calendar'!$AD$1074)&gt;0)*1000000+72*1000+26))</f>
        <v/>
      </c>
      <c r="AC80" s="41">
        <f>IF(N('Dvd Calendar'!$AE$1075)=0,"",IF(('Dvd Calendar'!$AE$1075&gt;=MIN(DATE(Summary!$C$12,1,1),Summary!$C$11))*('Dvd Calendar'!$AE$1075&lt;=MAX(DATE(Summary!$C$12,12,31),Summary!$C$15))*('Dvd Calendar'!$AE$1075&lt;=Summary!$C$11)=0,"",'Dvd Calendar'!$AE$1075*1000000000+ISNUMBER('Dvd Calendar'!$AE$1076)*100000000+('Dvd Calendar'!$AE$1080='Field Check'!$C$25)*10000000+(N('Dvd Calendar'!$AE$1074)&gt;0)*1000000+72*1000+27))</f>
        <v/>
      </c>
      <c r="AD80" s="41">
        <f>IF(N('Dvd Calendar'!$AF$1075)=0,"",IF(('Dvd Calendar'!$AF$1075&gt;=MIN(DATE(Summary!$C$12,1,1),Summary!$C$11))*('Dvd Calendar'!$AF$1075&lt;=MAX(DATE(Summary!$C$12,12,31),Summary!$C$15))*('Dvd Calendar'!$AF$1075&lt;=Summary!$C$11)=0,"",'Dvd Calendar'!$AF$1075*1000000000+ISNUMBER('Dvd Calendar'!$AF$1076)*100000000+('Dvd Calendar'!$AF$1080='Field Check'!$C$25)*10000000+(N('Dvd Calendar'!$AF$1074)&gt;0)*1000000+72*1000+28))</f>
        <v/>
      </c>
      <c r="AE80" s="41">
        <f>IF(N('Dvd Calendar'!$AG$1075)=0,"",IF(('Dvd Calendar'!$AG$1075&gt;=MIN(DATE(Summary!$C$12,1,1),Summary!$C$11))*('Dvd Calendar'!$AG$1075&lt;=MAX(DATE(Summary!$C$12,12,31),Summary!$C$15))*('Dvd Calendar'!$AG$1075&lt;=Summary!$C$11)=0,"",'Dvd Calendar'!$AG$1075*1000000000+ISNUMBER('Dvd Calendar'!$AG$1076)*100000000+('Dvd Calendar'!$AG$1080='Field Check'!$C$25)*10000000+(N('Dvd Calendar'!$AG$1074)&gt;0)*1000000+72*1000+29))</f>
        <v/>
      </c>
      <c r="AF80" s="41">
        <f>IF(N('Dvd Calendar'!$AH$1075)=0,"",IF(('Dvd Calendar'!$AH$1075&gt;=MIN(DATE(Summary!$C$12,1,1),Summary!$C$11))*('Dvd Calendar'!$AH$1075&lt;=MAX(DATE(Summary!$C$12,12,31),Summary!$C$15))*('Dvd Calendar'!$AH$1075&lt;=Summary!$C$11)=0,"",'Dvd Calendar'!$AH$1075*1000000000+ISNUMBER('Dvd Calendar'!$AH$1076)*100000000+('Dvd Calendar'!$AH$1080='Field Check'!$C$25)*10000000+(N('Dvd Calendar'!$AH$1074)&gt;0)*1000000+72*1000+30))</f>
        <v/>
      </c>
      <c r="AG80" s="41">
        <f>IF(N('Dvd Calendar'!$AI$1075)=0,"",IF(('Dvd Calendar'!$AI$1075&gt;=MIN(DATE(Summary!$C$12,1,1),Summary!$C$11))*('Dvd Calendar'!$AI$1075&lt;=MAX(DATE(Summary!$C$12,12,31),Summary!$C$15))*('Dvd Calendar'!$AI$1075&lt;=Summary!$C$11)=0,"",'Dvd Calendar'!$AI$1075*1000000000+ISNUMBER('Dvd Calendar'!$AI$1076)*100000000+('Dvd Calendar'!$AI$1080='Field Check'!$C$25)*10000000+(N('Dvd Calendar'!$AI$1074)&gt;0)*1000000+72*1000+31))</f>
        <v/>
      </c>
      <c r="AH80" s="41">
        <f>IF(N('Dvd Calendar'!$AJ$1075)=0,"",IF(('Dvd Calendar'!$AJ$1075&gt;=MIN(DATE(Summary!$C$12,1,1),Summary!$C$11))*('Dvd Calendar'!$AJ$1075&lt;=MAX(DATE(Summary!$C$12,12,31),Summary!$C$15))*('Dvd Calendar'!$AJ$1075&lt;=Summary!$C$11)=0,"",'Dvd Calendar'!$AJ$1075*1000000000+ISNUMBER('Dvd Calendar'!$AJ$1076)*100000000+('Dvd Calendar'!$AJ$1080='Field Check'!$C$25)*10000000+(N('Dvd Calendar'!$AJ$1074)&gt;0)*1000000+72*1000+32))</f>
        <v/>
      </c>
      <c r="AI80" s="41">
        <f>IF(N('Dvd Calendar'!$AK$1075)=0,"",IF(('Dvd Calendar'!$AK$1075&gt;=MIN(DATE(Summary!$C$12,1,1),Summary!$C$11))*('Dvd Calendar'!$AK$1075&lt;=MAX(DATE(Summary!$C$12,12,31),Summary!$C$15))*('Dvd Calendar'!$AK$1075&lt;=Summary!$C$11)=0,"",'Dvd Calendar'!$AK$1075*1000000000+ISNUMBER('Dvd Calendar'!$AK$1076)*100000000+('Dvd Calendar'!$AK$1080='Field Check'!$C$25)*10000000+(N('Dvd Calendar'!$AK$1074)&gt;0)*1000000+72*1000+33))</f>
        <v/>
      </c>
      <c r="AJ80" s="41">
        <f>IF(N('Dvd Calendar'!$AL$1075)=0,"",IF(('Dvd Calendar'!$AL$1075&gt;=MIN(DATE(Summary!$C$12,1,1),Summary!$C$11))*('Dvd Calendar'!$AL$1075&lt;=MAX(DATE(Summary!$C$12,12,31),Summary!$C$15))*('Dvd Calendar'!$AL$1075&lt;=Summary!$C$11)=0,"",'Dvd Calendar'!$AL$1075*1000000000+ISNUMBER('Dvd Calendar'!$AL$1076)*100000000+('Dvd Calendar'!$AL$1080='Field Check'!$C$25)*10000000+(N('Dvd Calendar'!$AL$1074)&gt;0)*1000000+72*1000+34))</f>
        <v/>
      </c>
      <c r="AK80" s="41">
        <f>IF(N('Dvd Calendar'!$AM$1075)=0,"",IF(('Dvd Calendar'!$AM$1075&gt;=MIN(DATE(Summary!$C$12,1,1),Summary!$C$11))*('Dvd Calendar'!$AM$1075&lt;=MAX(DATE(Summary!$C$12,12,31),Summary!$C$15))*('Dvd Calendar'!$AM$1075&lt;=Summary!$C$11)=0,"",'Dvd Calendar'!$AM$1075*1000000000+ISNUMBER('Dvd Calendar'!$AM$1076)*100000000+('Dvd Calendar'!$AM$1080='Field Check'!$C$25)*10000000+(N('Dvd Calendar'!$AM$1074)&gt;0)*1000000+72*1000+35))</f>
        <v/>
      </c>
      <c r="AL80" s="41">
        <f>IF(N('Dvd Calendar'!$AN$1075)=0,"",IF(('Dvd Calendar'!$AN$1075&gt;=MIN(DATE(Summary!$C$12,1,1),Summary!$C$11))*('Dvd Calendar'!$AN$1075&lt;=MAX(DATE(Summary!$C$12,12,31),Summary!$C$15))*('Dvd Calendar'!$AN$1075&lt;=Summary!$C$11)=0,"",'Dvd Calendar'!$AN$1075*1000000000+ISNUMBER('Dvd Calendar'!$AN$1076)*100000000+('Dvd Calendar'!$AN$1080='Field Check'!$C$25)*10000000+(N('Dvd Calendar'!$AN$1074)&gt;0)*1000000+72*1000+36))</f>
        <v/>
      </c>
      <c r="AM80" s="41">
        <f>IF(N('Dvd Calendar'!$AO$1075)=0,"",IF(('Dvd Calendar'!$AO$1075&gt;=MIN(DATE(Summary!$C$12,1,1),Summary!$C$11))*('Dvd Calendar'!$AO$1075&lt;=MAX(DATE(Summary!$C$12,12,31),Summary!$C$15))*('Dvd Calendar'!$AO$1075&lt;=Summary!$C$11)=0,"",'Dvd Calendar'!$AO$1075*1000000000+ISNUMBER('Dvd Calendar'!$AO$1076)*100000000+('Dvd Calendar'!$AO$1080='Field Check'!$C$25)*10000000+(N('Dvd Calendar'!$AO$1074)&gt;0)*1000000+72*1000+37))</f>
        <v/>
      </c>
      <c r="AN80" s="41">
        <f>IF(N('Dvd Calendar'!$AP$1075)=0,"",IF(('Dvd Calendar'!$AP$1075&gt;=MIN(DATE(Summary!$C$12,1,1),Summary!$C$11))*('Dvd Calendar'!$AP$1075&lt;=MAX(DATE(Summary!$C$12,12,31),Summary!$C$15))*('Dvd Calendar'!$AP$1075&lt;=Summary!$C$11)=0,"",'Dvd Calendar'!$AP$1075*1000000000+ISNUMBER('Dvd Calendar'!$AP$1076)*100000000+('Dvd Calendar'!$AP$1080='Field Check'!$C$25)*10000000+(N('Dvd Calendar'!$AP$1074)&gt;0)*1000000+72*1000+38))</f>
        <v/>
      </c>
      <c r="AO80" s="41">
        <f>IF(N('Dvd Calendar'!$AQ$1075)=0,"",IF(('Dvd Calendar'!$AQ$1075&gt;=MIN(DATE(Summary!$C$12,1,1),Summary!$C$11))*('Dvd Calendar'!$AQ$1075&lt;=MAX(DATE(Summary!$C$12,12,31),Summary!$C$15))*('Dvd Calendar'!$AQ$1075&lt;=Summary!$C$11)=0,"",'Dvd Calendar'!$AQ$1075*1000000000+ISNUMBER('Dvd Calendar'!$AQ$1076)*100000000+('Dvd Calendar'!$AQ$1080='Field Check'!$C$25)*10000000+(N('Dvd Calendar'!$AQ$1074)&gt;0)*1000000+72*1000+39))</f>
        <v/>
      </c>
      <c r="AP80" s="41">
        <f>IF(N('Dvd Calendar'!$AR$1075)=0,"",IF(('Dvd Calendar'!$AR$1075&gt;=MIN(DATE(Summary!$C$12,1,1),Summary!$C$11))*('Dvd Calendar'!$AR$1075&lt;=MAX(DATE(Summary!$C$12,12,31),Summary!$C$15))*('Dvd Calendar'!$AR$1075&lt;=Summary!$C$11)=0,"",'Dvd Calendar'!$AR$1075*1000000000+ISNUMBER('Dvd Calendar'!$AR$1076)*100000000+('Dvd Calendar'!$AR$1080='Field Check'!$C$25)*10000000+(N('Dvd Calendar'!$AR$1074)&gt;0)*1000000+72*1000+40))</f>
        <v/>
      </c>
      <c r="AQ80" s="41">
        <f>IF(N('Dvd Calendar'!$E$1082)=0,"",IF(('Dvd Calendar'!$E$1082&gt;=MIN(DATE(Summary!$C$12,1,1),Summary!$C$11))*('Dvd Calendar'!$E$1082&lt;=MAX(DATE(Summary!$C$12,12,31),Summary!$C$15))*('Dvd Calendar'!$E$1082&gt;Summary!$C$11)=0,"",'Dvd Calendar'!$E$1082*1000000000+ISNUMBER('Dvd Calendar'!$E$1083)*100000000+('Dvd Calendar'!$E$1087='Field Check'!$C$25)*10000000+(N('Dvd Calendar'!$E$1081)&gt;0)*1000000+72*1000+41))</f>
        <v/>
      </c>
      <c r="AR80" s="41">
        <f>IF(N('Dvd Calendar'!$F$1082)=0,"",IF(('Dvd Calendar'!$F$1082&gt;=MIN(DATE(Summary!$C$12,1,1),Summary!$C$11))*('Dvd Calendar'!$F$1082&lt;=MAX(DATE(Summary!$C$12,12,31),Summary!$C$15))*('Dvd Calendar'!$F$1082&gt;Summary!$C$11)=0,"",'Dvd Calendar'!$F$1082*1000000000+ISNUMBER('Dvd Calendar'!$F$1083)*100000000+('Dvd Calendar'!$F$1087='Field Check'!$C$25)*10000000+(N('Dvd Calendar'!$F$1081)&gt;0)*1000000+72*1000+42))</f>
        <v/>
      </c>
      <c r="AS80" s="41">
        <f>IF(N('Dvd Calendar'!$G$1082)=0,"",IF(('Dvd Calendar'!$G$1082&gt;=MIN(DATE(Summary!$C$12,1,1),Summary!$C$11))*('Dvd Calendar'!$G$1082&lt;=MAX(DATE(Summary!$C$12,12,31),Summary!$C$15))*('Dvd Calendar'!$G$1082&gt;Summary!$C$11)=0,"",'Dvd Calendar'!$G$1082*1000000000+ISNUMBER('Dvd Calendar'!$G$1083)*100000000+('Dvd Calendar'!$G$1087='Field Check'!$C$25)*10000000+(N('Dvd Calendar'!$G$1081)&gt;0)*1000000+72*1000+43))</f>
        <v/>
      </c>
      <c r="AT80" s="41">
        <f>IF(N('Dvd Calendar'!$H$1082)=0,"",IF(('Dvd Calendar'!$H$1082&gt;=MIN(DATE(Summary!$C$12,1,1),Summary!$C$11))*('Dvd Calendar'!$H$1082&lt;=MAX(DATE(Summary!$C$12,12,31),Summary!$C$15))*('Dvd Calendar'!$H$1082&gt;Summary!$C$11)=0,"",'Dvd Calendar'!$H$1082*1000000000+ISNUMBER('Dvd Calendar'!$H$1083)*100000000+('Dvd Calendar'!$H$1087='Field Check'!$C$25)*10000000+(N('Dvd Calendar'!$H$1081)&gt;0)*1000000+72*1000+44))</f>
        <v/>
      </c>
      <c r="AU80" s="41">
        <f>IF(N('Dvd Calendar'!$I$1082)=0,"",IF(('Dvd Calendar'!$I$1082&gt;=MIN(DATE(Summary!$C$12,1,1),Summary!$C$11))*('Dvd Calendar'!$I$1082&lt;=MAX(DATE(Summary!$C$12,12,31),Summary!$C$15))*('Dvd Calendar'!$I$1082&gt;Summary!$C$11)=0,"",'Dvd Calendar'!$I$1082*1000000000+ISNUMBER('Dvd Calendar'!$I$1083)*100000000+('Dvd Calendar'!$I$1087='Field Check'!$C$25)*10000000+(N('Dvd Calendar'!$I$1081)&gt;0)*1000000+72*1000+45))</f>
        <v/>
      </c>
      <c r="AV80" s="41">
        <f>IF(N('Dvd Calendar'!$J$1082)=0,"",IF(('Dvd Calendar'!$J$1082&gt;=MIN(DATE(Summary!$C$12,1,1),Summary!$C$11))*('Dvd Calendar'!$J$1082&lt;=MAX(DATE(Summary!$C$12,12,31),Summary!$C$15))*('Dvd Calendar'!$J$1082&gt;Summary!$C$11)=0,"",'Dvd Calendar'!$J$1082*1000000000+ISNUMBER('Dvd Calendar'!$J$1083)*100000000+('Dvd Calendar'!$J$1087='Field Check'!$C$25)*10000000+(N('Dvd Calendar'!$J$1081)&gt;0)*1000000+72*1000+46))</f>
        <v/>
      </c>
      <c r="AW80" s="41">
        <f>IF(N('Dvd Calendar'!$K$1082)=0,"",IF(('Dvd Calendar'!$K$1082&gt;=MIN(DATE(Summary!$C$12,1,1),Summary!$C$11))*('Dvd Calendar'!$K$1082&lt;=MAX(DATE(Summary!$C$12,12,31),Summary!$C$15))*('Dvd Calendar'!$K$1082&gt;Summary!$C$11)=0,"",'Dvd Calendar'!$K$1082*1000000000+ISNUMBER('Dvd Calendar'!$K$1083)*100000000+('Dvd Calendar'!$K$1087='Field Check'!$C$25)*10000000+(N('Dvd Calendar'!$K$1081)&gt;0)*1000000+72*1000+47))</f>
        <v/>
      </c>
      <c r="AX80" s="41">
        <f>IF(N('Dvd Calendar'!$L$1082)=0,"",IF(('Dvd Calendar'!$L$1082&gt;=MIN(DATE(Summary!$C$12,1,1),Summary!$C$11))*('Dvd Calendar'!$L$1082&lt;=MAX(DATE(Summary!$C$12,12,31),Summary!$C$15))*('Dvd Calendar'!$L$1082&gt;Summary!$C$11)=0,"",'Dvd Calendar'!$L$1082*1000000000+ISNUMBER('Dvd Calendar'!$L$1083)*100000000+('Dvd Calendar'!$L$1087='Field Check'!$C$25)*10000000+(N('Dvd Calendar'!$L$1081)&gt;0)*1000000+72*1000+48))</f>
        <v/>
      </c>
      <c r="AY80" s="41">
        <f>IF(N('Dvd Calendar'!$M$1082)=0,"",IF(('Dvd Calendar'!$M$1082&gt;=MIN(DATE(Summary!$C$12,1,1),Summary!$C$11))*('Dvd Calendar'!$M$1082&lt;=MAX(DATE(Summary!$C$12,12,31),Summary!$C$15))*('Dvd Calendar'!$M$1082&gt;Summary!$C$11)=0,"",'Dvd Calendar'!$M$1082*1000000000+ISNUMBER('Dvd Calendar'!$M$1083)*100000000+('Dvd Calendar'!$M$1087='Field Check'!$C$25)*10000000+(N('Dvd Calendar'!$M$1081)&gt;0)*1000000+72*1000+49))</f>
        <v/>
      </c>
      <c r="AZ80" s="41">
        <f>IF(N('Dvd Calendar'!$N$1082)=0,"",IF(('Dvd Calendar'!$N$1082&gt;=MIN(DATE(Summary!$C$12,1,1),Summary!$C$11))*('Dvd Calendar'!$N$1082&lt;=MAX(DATE(Summary!$C$12,12,31),Summary!$C$15))*('Dvd Calendar'!$N$1082&gt;Summary!$C$11)=0,"",'Dvd Calendar'!$N$1082*1000000000+ISNUMBER('Dvd Calendar'!$N$1083)*100000000+('Dvd Calendar'!$N$1087='Field Check'!$C$25)*10000000+(N('Dvd Calendar'!$N$1081)&gt;0)*1000000+72*1000+50))</f>
        <v/>
      </c>
      <c r="BA80" s="41">
        <f>IF(N('Dvd Calendar'!$O$1082)=0,"",IF(('Dvd Calendar'!$O$1082&gt;=MIN(DATE(Summary!$C$12,1,1),Summary!$C$11))*('Dvd Calendar'!$O$1082&lt;=MAX(DATE(Summary!$C$12,12,31),Summary!$C$15))*('Dvd Calendar'!$O$1082&gt;Summary!$C$11)=0,"",'Dvd Calendar'!$O$1082*1000000000+ISNUMBER('Dvd Calendar'!$O$1083)*100000000+('Dvd Calendar'!$O$1087='Field Check'!$C$25)*10000000+(N('Dvd Calendar'!$O$1081)&gt;0)*1000000+72*1000+51))</f>
        <v/>
      </c>
      <c r="BB80" s="41">
        <f>IF(N('Dvd Calendar'!$P$1082)=0,"",IF(('Dvd Calendar'!$P$1082&gt;=MIN(DATE(Summary!$C$12,1,1),Summary!$C$11))*('Dvd Calendar'!$P$1082&lt;=MAX(DATE(Summary!$C$12,12,31),Summary!$C$15))*('Dvd Calendar'!$P$1082&gt;Summary!$C$11)=0,"",'Dvd Calendar'!$P$1082*1000000000+ISNUMBER('Dvd Calendar'!$P$1083)*100000000+('Dvd Calendar'!$P$1087='Field Check'!$C$25)*10000000+(N('Dvd Calendar'!$P$1081)&gt;0)*1000000+72*1000+52))</f>
        <v/>
      </c>
      <c r="BC80" s="41">
        <f>IF(N('Dvd Calendar'!$Q$1082)=0,"",IF(('Dvd Calendar'!$Q$1082&gt;=MIN(DATE(Summary!$C$12,1,1),Summary!$C$11))*('Dvd Calendar'!$Q$1082&lt;=MAX(DATE(Summary!$C$12,12,31),Summary!$C$15))*('Dvd Calendar'!$Q$1082&gt;Summary!$C$11)=0,"",'Dvd Calendar'!$Q$1082*1000000000+ISNUMBER('Dvd Calendar'!$Q$1083)*100000000+('Dvd Calendar'!$Q$1087='Field Check'!$C$25)*10000000+(N('Dvd Calendar'!$Q$1081)&gt;0)*1000000+72*1000+53))</f>
        <v/>
      </c>
      <c r="BD80" s="41">
        <f>IF(N('Dvd Calendar'!$R$1082)=0,"",IF(('Dvd Calendar'!$R$1082&gt;=MIN(DATE(Summary!$C$12,1,1),Summary!$C$11))*('Dvd Calendar'!$R$1082&lt;=MAX(DATE(Summary!$C$12,12,31),Summary!$C$15))*('Dvd Calendar'!$R$1082&gt;Summary!$C$11)=0,"",'Dvd Calendar'!$R$1082*1000000000+ISNUMBER('Dvd Calendar'!$R$1083)*100000000+('Dvd Calendar'!$R$1087='Field Check'!$C$25)*10000000+(N('Dvd Calendar'!$R$1081)&gt;0)*1000000+72*1000+54))</f>
        <v/>
      </c>
      <c r="BE80" s="41">
        <f>IF(N('Dvd Calendar'!$S$1082)=0,"",IF(('Dvd Calendar'!$S$1082&gt;=MIN(DATE(Summary!$C$12,1,1),Summary!$C$11))*('Dvd Calendar'!$S$1082&lt;=MAX(DATE(Summary!$C$12,12,31),Summary!$C$15))*('Dvd Calendar'!$S$1082&gt;Summary!$C$11)=0,"",'Dvd Calendar'!$S$1082*1000000000+ISNUMBER('Dvd Calendar'!$S$1083)*100000000+('Dvd Calendar'!$S$1087='Field Check'!$C$25)*10000000+(N('Dvd Calendar'!$S$1081)&gt;0)*1000000+72*1000+55))</f>
        <v/>
      </c>
      <c r="BF80" s="41">
        <f>IF(N('Dvd Calendar'!$T$1082)=0,"",IF(('Dvd Calendar'!$T$1082&gt;=MIN(DATE(Summary!$C$12,1,1),Summary!$C$11))*('Dvd Calendar'!$T$1082&lt;=MAX(DATE(Summary!$C$12,12,31),Summary!$C$15))*('Dvd Calendar'!$T$1082&gt;Summary!$C$11)=0,"",'Dvd Calendar'!$T$1082*1000000000+ISNUMBER('Dvd Calendar'!$T$1083)*100000000+('Dvd Calendar'!$T$1087='Field Check'!$C$25)*10000000+(N('Dvd Calendar'!$T$1081)&gt;0)*1000000+72*1000+56))</f>
        <v/>
      </c>
      <c r="BG80" s="41">
        <f>IF(N('Dvd Calendar'!$U$1082)=0,"",IF(('Dvd Calendar'!$U$1082&gt;=MIN(DATE(Summary!$C$12,1,1),Summary!$C$11))*('Dvd Calendar'!$U$1082&lt;=MAX(DATE(Summary!$C$12,12,31),Summary!$C$15))*('Dvd Calendar'!$U$1082&gt;Summary!$C$11)=0,"",'Dvd Calendar'!$U$1082*1000000000+ISNUMBER('Dvd Calendar'!$U$1083)*100000000+('Dvd Calendar'!$U$1087='Field Check'!$C$25)*10000000+(N('Dvd Calendar'!$U$1081)&gt;0)*1000000+72*1000+57))</f>
        <v/>
      </c>
      <c r="BH80" s="41">
        <f>IF(N('Dvd Calendar'!$V$1082)=0,"",IF(('Dvd Calendar'!$V$1082&gt;=MIN(DATE(Summary!$C$12,1,1),Summary!$C$11))*('Dvd Calendar'!$V$1082&lt;=MAX(DATE(Summary!$C$12,12,31),Summary!$C$15))*('Dvd Calendar'!$V$1082&gt;Summary!$C$11)=0,"",'Dvd Calendar'!$V$1082*1000000000+ISNUMBER('Dvd Calendar'!$V$1083)*100000000+('Dvd Calendar'!$V$1087='Field Check'!$C$25)*10000000+(N('Dvd Calendar'!$V$1081)&gt;0)*1000000+72*1000+58))</f>
        <v/>
      </c>
      <c r="BI80" s="41">
        <f>IF(N('Dvd Calendar'!$W$1082)=0,"",IF(('Dvd Calendar'!$W$1082&gt;=MIN(DATE(Summary!$C$12,1,1),Summary!$C$11))*('Dvd Calendar'!$W$1082&lt;=MAX(DATE(Summary!$C$12,12,31),Summary!$C$15))*('Dvd Calendar'!$W$1082&gt;Summary!$C$11)=0,"",'Dvd Calendar'!$W$1082*1000000000+ISNUMBER('Dvd Calendar'!$W$1083)*100000000+('Dvd Calendar'!$W$1087='Field Check'!$C$25)*10000000+(N('Dvd Calendar'!$W$1081)&gt;0)*1000000+72*1000+59))</f>
        <v/>
      </c>
      <c r="BJ80" s="41">
        <f>IF(N('Dvd Calendar'!$X$1082)=0,"",IF(('Dvd Calendar'!$X$1082&gt;=MIN(DATE(Summary!$C$12,1,1),Summary!$C$11))*('Dvd Calendar'!$X$1082&lt;=MAX(DATE(Summary!$C$12,12,31),Summary!$C$15))*('Dvd Calendar'!$X$1082&gt;Summary!$C$11)=0,"",'Dvd Calendar'!$X$1082*1000000000+ISNUMBER('Dvd Calendar'!$X$1083)*100000000+('Dvd Calendar'!$X$1087='Field Check'!$C$25)*10000000+(N('Dvd Calendar'!$X$1081)&gt;0)*1000000+72*1000+60))</f>
        <v/>
      </c>
      <c r="BK80" s="41">
        <f>IF(N('Dvd Calendar'!$Y$1082)=0,"",IF(('Dvd Calendar'!$Y$1082&gt;=MIN(DATE(Summary!$C$12,1,1),Summary!$C$11))*('Dvd Calendar'!$Y$1082&lt;=MAX(DATE(Summary!$C$12,12,31),Summary!$C$15))*('Dvd Calendar'!$Y$1082&gt;Summary!$C$11)=0,"",'Dvd Calendar'!$Y$1082*1000000000+ISNUMBER('Dvd Calendar'!$Y$1083)*100000000+('Dvd Calendar'!$Y$1087='Field Check'!$C$25)*10000000+(N('Dvd Calendar'!$Y$1081)&gt;0)*1000000+72*1000+61))</f>
        <v/>
      </c>
      <c r="BL80" s="41">
        <f>IF(N('Dvd Calendar'!$Z$1082)=0,"",IF(('Dvd Calendar'!$Z$1082&gt;=MIN(DATE(Summary!$C$12,1,1),Summary!$C$11))*('Dvd Calendar'!$Z$1082&lt;=MAX(DATE(Summary!$C$12,12,31),Summary!$C$15))*('Dvd Calendar'!$Z$1082&gt;Summary!$C$11)=0,"",'Dvd Calendar'!$Z$1082*1000000000+ISNUMBER('Dvd Calendar'!$Z$1083)*100000000+('Dvd Calendar'!$Z$1087='Field Check'!$C$25)*10000000+(N('Dvd Calendar'!$Z$1081)&gt;0)*1000000+72*1000+62))</f>
        <v/>
      </c>
      <c r="BM80" s="41">
        <f>IF(N('Dvd Calendar'!$AA$1082)=0,"",IF(('Dvd Calendar'!$AA$1082&gt;=MIN(DATE(Summary!$C$12,1,1),Summary!$C$11))*('Dvd Calendar'!$AA$1082&lt;=MAX(DATE(Summary!$C$12,12,31),Summary!$C$15))*('Dvd Calendar'!$AA$1082&gt;Summary!$C$11)=0,"",'Dvd Calendar'!$AA$1082*1000000000+ISNUMBER('Dvd Calendar'!$AA$1083)*100000000+('Dvd Calendar'!$AA$1087='Field Check'!$C$25)*10000000+(N('Dvd Calendar'!$AA$1081)&gt;0)*1000000+72*1000+63))</f>
        <v/>
      </c>
      <c r="BN80" s="41">
        <f>IF(N('Dvd Calendar'!$AB$1082)=0,"",IF(('Dvd Calendar'!$AB$1082&gt;=MIN(DATE(Summary!$C$12,1,1),Summary!$C$11))*('Dvd Calendar'!$AB$1082&lt;=MAX(DATE(Summary!$C$12,12,31),Summary!$C$15))*('Dvd Calendar'!$AB$1082&gt;Summary!$C$11)=0,"",'Dvd Calendar'!$AB$1082*1000000000+ISNUMBER('Dvd Calendar'!$AB$1083)*100000000+('Dvd Calendar'!$AB$1087='Field Check'!$C$25)*10000000+(N('Dvd Calendar'!$AB$1081)&gt;0)*1000000+72*1000+64))</f>
        <v/>
      </c>
      <c r="BO80" s="41">
        <f>IF(N('Dvd Calendar'!$AC$1082)=0,"",IF(('Dvd Calendar'!$AC$1082&gt;=MIN(DATE(Summary!$C$12,1,1),Summary!$C$11))*('Dvd Calendar'!$AC$1082&lt;=MAX(DATE(Summary!$C$12,12,31),Summary!$C$15))*('Dvd Calendar'!$AC$1082&gt;Summary!$C$11)=0,"",'Dvd Calendar'!$AC$1082*1000000000+ISNUMBER('Dvd Calendar'!$AC$1083)*100000000+('Dvd Calendar'!$AC$1087='Field Check'!$C$25)*10000000+(N('Dvd Calendar'!$AC$1081)&gt;0)*1000000+72*1000+65))</f>
        <v/>
      </c>
      <c r="BQ80" s="85">
        <f>IF(C80="","",IF(ISNUMBER('Dvd Calendar'!$E$1076)=FALSE,"",IF((Summary!$C$13="N")*('Dvd Calendar'!$E$1080='Field Check'!$C$25)&gt;0,"",'Dvd Calendar'!$E$1076)))</f>
        <v/>
      </c>
      <c r="BR80" s="85">
        <f>IF(D80="","",IF(ISNUMBER('Dvd Calendar'!$F$1076)=FALSE,"",IF((Summary!$C$13="N")*('Dvd Calendar'!$F$1080='Field Check'!$C$25)&gt;0,"",'Dvd Calendar'!$F$1076)))</f>
        <v/>
      </c>
      <c r="BS80" s="85">
        <f>IF(E80="","",IF(ISNUMBER('Dvd Calendar'!$G$1076)=FALSE,"",IF((Summary!$C$13="N")*('Dvd Calendar'!$G$1080='Field Check'!$C$25)&gt;0,"",'Dvd Calendar'!$G$1076)))</f>
        <v/>
      </c>
      <c r="BT80" s="85">
        <f>IF(F80="","",IF(ISNUMBER('Dvd Calendar'!$H$1076)=FALSE,"",IF((Summary!$C$13="N")*('Dvd Calendar'!$H$1080='Field Check'!$C$25)&gt;0,"",'Dvd Calendar'!$H$1076)))</f>
        <v/>
      </c>
      <c r="BU80" s="85">
        <f>IF(G80="","",IF(ISNUMBER('Dvd Calendar'!$I$1076)=FALSE,"",IF((Summary!$C$13="N")*('Dvd Calendar'!$I$1080='Field Check'!$C$25)&gt;0,"",'Dvd Calendar'!$I$1076)))</f>
        <v/>
      </c>
      <c r="BV80" s="85">
        <f>IF(H80="","",IF(ISNUMBER('Dvd Calendar'!$J$1076)=FALSE,"",IF((Summary!$C$13="N")*('Dvd Calendar'!$J$1080='Field Check'!$C$25)&gt;0,"",'Dvd Calendar'!$J$1076)))</f>
        <v/>
      </c>
      <c r="BW80" s="85">
        <f>IF(I80="","",IF(ISNUMBER('Dvd Calendar'!$K$1076)=FALSE,"",IF((Summary!$C$13="N")*('Dvd Calendar'!$K$1080='Field Check'!$C$25)&gt;0,"",'Dvd Calendar'!$K$1076)))</f>
        <v/>
      </c>
      <c r="BX80" s="85">
        <f>IF(J80="","",IF(ISNUMBER('Dvd Calendar'!$L$1076)=FALSE,"",IF((Summary!$C$13="N")*('Dvd Calendar'!$L$1080='Field Check'!$C$25)&gt;0,"",'Dvd Calendar'!$L$1076)))</f>
        <v/>
      </c>
      <c r="BY80" s="85">
        <f>IF(K80="","",IF(ISNUMBER('Dvd Calendar'!$M$1076)=FALSE,"",IF((Summary!$C$13="N")*('Dvd Calendar'!$M$1080='Field Check'!$C$25)&gt;0,"",'Dvd Calendar'!$M$1076)))</f>
        <v/>
      </c>
      <c r="BZ80" s="85">
        <f>IF(L80="","",IF(ISNUMBER('Dvd Calendar'!$N$1076)=FALSE,"",IF((Summary!$C$13="N")*('Dvd Calendar'!$N$1080='Field Check'!$C$25)&gt;0,"",'Dvd Calendar'!$N$1076)))</f>
        <v/>
      </c>
      <c r="CA80" s="85">
        <f>IF(M80="","",IF(ISNUMBER('Dvd Calendar'!$O$1076)=FALSE,"",IF((Summary!$C$13="N")*('Dvd Calendar'!$O$1080='Field Check'!$C$25)&gt;0,"",'Dvd Calendar'!$O$1076)))</f>
        <v/>
      </c>
      <c r="CB80" s="85">
        <f>IF(N80="","",IF(ISNUMBER('Dvd Calendar'!$P$1076)=FALSE,"",IF((Summary!$C$13="N")*('Dvd Calendar'!$P$1080='Field Check'!$C$25)&gt;0,"",'Dvd Calendar'!$P$1076)))</f>
        <v/>
      </c>
      <c r="CC80" s="85">
        <f>IF(O80="","",IF(ISNUMBER('Dvd Calendar'!$Q$1076)=FALSE,"",IF((Summary!$C$13="N")*('Dvd Calendar'!$Q$1080='Field Check'!$C$25)&gt;0,"",'Dvd Calendar'!$Q$1076)))</f>
        <v/>
      </c>
      <c r="CD80" s="85">
        <f>IF(P80="","",IF(ISNUMBER('Dvd Calendar'!$R$1076)=FALSE,"",IF((Summary!$C$13="N")*('Dvd Calendar'!$R$1080='Field Check'!$C$25)&gt;0,"",'Dvd Calendar'!$R$1076)))</f>
        <v/>
      </c>
      <c r="CE80" s="85">
        <f>IF(Q80="","",IF(ISNUMBER('Dvd Calendar'!$S$1076)=FALSE,"",IF((Summary!$C$13="N")*('Dvd Calendar'!$S$1080='Field Check'!$C$25)&gt;0,"",'Dvd Calendar'!$S$1076)))</f>
        <v/>
      </c>
      <c r="CF80" s="85">
        <f>IF(R80="","",IF(ISNUMBER('Dvd Calendar'!$T$1076)=FALSE,"",IF((Summary!$C$13="N")*('Dvd Calendar'!$T$1080='Field Check'!$C$25)&gt;0,"",'Dvd Calendar'!$T$1076)))</f>
        <v/>
      </c>
      <c r="CG80" s="85">
        <f>IF(S80="","",IF(ISNUMBER('Dvd Calendar'!$U$1076)=FALSE,"",IF((Summary!$C$13="N")*('Dvd Calendar'!$U$1080='Field Check'!$C$25)&gt;0,"",'Dvd Calendar'!$U$1076)))</f>
        <v/>
      </c>
      <c r="CH80" s="85">
        <f>IF(T80="","",IF(ISNUMBER('Dvd Calendar'!$V$1076)=FALSE,"",IF((Summary!$C$13="N")*('Dvd Calendar'!$V$1080='Field Check'!$C$25)&gt;0,"",'Dvd Calendar'!$V$1076)))</f>
        <v/>
      </c>
      <c r="CI80" s="85">
        <f>IF(U80="","",IF(ISNUMBER('Dvd Calendar'!$W$1076)=FALSE,"",IF((Summary!$C$13="N")*('Dvd Calendar'!$W$1080='Field Check'!$C$25)&gt;0,"",'Dvd Calendar'!$W$1076)))</f>
        <v/>
      </c>
      <c r="CJ80" s="85">
        <f>IF(V80="","",IF(ISNUMBER('Dvd Calendar'!$X$1076)=FALSE,"",IF((Summary!$C$13="N")*('Dvd Calendar'!$X$1080='Field Check'!$C$25)&gt;0,"",'Dvd Calendar'!$X$1076)))</f>
        <v/>
      </c>
      <c r="CK80" s="85">
        <f>IF(W80="","",IF(ISNUMBER('Dvd Calendar'!$Y$1076)=FALSE,"",IF((Summary!$C$13="N")*('Dvd Calendar'!$Y$1080='Field Check'!$C$25)&gt;0,"",'Dvd Calendar'!$Y$1076)))</f>
        <v/>
      </c>
      <c r="CL80" s="85">
        <f>IF(X80="","",IF(ISNUMBER('Dvd Calendar'!$Z$1076)=FALSE,"",IF((Summary!$C$13="N")*('Dvd Calendar'!$Z$1080='Field Check'!$C$25)&gt;0,"",'Dvd Calendar'!$Z$1076)))</f>
        <v/>
      </c>
      <c r="CM80" s="85">
        <f>IF(Y80="","",IF(ISNUMBER('Dvd Calendar'!$AA$1076)=FALSE,"",IF((Summary!$C$13="N")*('Dvd Calendar'!$AA$1080='Field Check'!$C$25)&gt;0,"",'Dvd Calendar'!$AA$1076)))</f>
        <v/>
      </c>
      <c r="CN80" s="85">
        <f>IF(Z80="","",IF(ISNUMBER('Dvd Calendar'!$AB$1076)=FALSE,"",IF((Summary!$C$13="N")*('Dvd Calendar'!$AB$1080='Field Check'!$C$25)&gt;0,"",'Dvd Calendar'!$AB$1076)))</f>
        <v/>
      </c>
      <c r="CO80" s="85">
        <f>IF(AA80="","",IF(ISNUMBER('Dvd Calendar'!$AC$1076)=FALSE,"",IF((Summary!$C$13="N")*('Dvd Calendar'!$AC$1080='Field Check'!$C$25)&gt;0,"",'Dvd Calendar'!$AC$1076)))</f>
        <v/>
      </c>
      <c r="CP80" s="85">
        <f>IF(AB80="","",IF(ISNUMBER('Dvd Calendar'!$AD$1076)=FALSE,"",IF((Summary!$C$13="N")*('Dvd Calendar'!$AD$1080='Field Check'!$C$25)&gt;0,"",'Dvd Calendar'!$AD$1076)))</f>
        <v/>
      </c>
      <c r="CQ80" s="85">
        <f>IF(AC80="","",IF(ISNUMBER('Dvd Calendar'!$AE$1076)=FALSE,"",IF((Summary!$C$13="N")*('Dvd Calendar'!$AE$1080='Field Check'!$C$25)&gt;0,"",'Dvd Calendar'!$AE$1076)))</f>
        <v/>
      </c>
      <c r="CR80" s="85">
        <f>IF(AD80="","",IF(ISNUMBER('Dvd Calendar'!$AF$1076)=FALSE,"",IF((Summary!$C$13="N")*('Dvd Calendar'!$AF$1080='Field Check'!$C$25)&gt;0,"",'Dvd Calendar'!$AF$1076)))</f>
        <v/>
      </c>
      <c r="CS80" s="85">
        <f>IF(AE80="","",IF(ISNUMBER('Dvd Calendar'!$AG$1076)=FALSE,"",IF((Summary!$C$13="N")*('Dvd Calendar'!$AG$1080='Field Check'!$C$25)&gt;0,"",'Dvd Calendar'!$AG$1076)))</f>
        <v/>
      </c>
      <c r="CT80" s="85">
        <f>IF(AF80="","",IF(ISNUMBER('Dvd Calendar'!$AH$1076)=FALSE,"",IF((Summary!$C$13="N")*('Dvd Calendar'!$AH$1080='Field Check'!$C$25)&gt;0,"",'Dvd Calendar'!$AH$1076)))</f>
        <v/>
      </c>
      <c r="CU80" s="85">
        <f>IF(AG80="","",IF(ISNUMBER('Dvd Calendar'!$AI$1076)=FALSE,"",IF((Summary!$C$13="N")*('Dvd Calendar'!$AI$1080='Field Check'!$C$25)&gt;0,"",'Dvd Calendar'!$AI$1076)))</f>
        <v/>
      </c>
      <c r="CV80" s="85">
        <f>IF(AH80="","",IF(ISNUMBER('Dvd Calendar'!$AJ$1076)=FALSE,"",IF((Summary!$C$13="N")*('Dvd Calendar'!$AJ$1080='Field Check'!$C$25)&gt;0,"",'Dvd Calendar'!$AJ$1076)))</f>
        <v/>
      </c>
      <c r="CW80" s="85">
        <f>IF(AI80="","",IF(ISNUMBER('Dvd Calendar'!$AK$1076)=FALSE,"",IF((Summary!$C$13="N")*('Dvd Calendar'!$AK$1080='Field Check'!$C$25)&gt;0,"",'Dvd Calendar'!$AK$1076)))</f>
        <v/>
      </c>
      <c r="CX80" s="85">
        <f>IF(AJ80="","",IF(ISNUMBER('Dvd Calendar'!$AL$1076)=FALSE,"",IF((Summary!$C$13="N")*('Dvd Calendar'!$AL$1080='Field Check'!$C$25)&gt;0,"",'Dvd Calendar'!$AL$1076)))</f>
        <v/>
      </c>
      <c r="CY80" s="85">
        <f>IF(AK80="","",IF(ISNUMBER('Dvd Calendar'!$AM$1076)=FALSE,"",IF((Summary!$C$13="N")*('Dvd Calendar'!$AM$1080='Field Check'!$C$25)&gt;0,"",'Dvd Calendar'!$AM$1076)))</f>
        <v/>
      </c>
      <c r="CZ80" s="85">
        <f>IF(AL80="","",IF(ISNUMBER('Dvd Calendar'!$AN$1076)=FALSE,"",IF((Summary!$C$13="N")*('Dvd Calendar'!$AN$1080='Field Check'!$C$25)&gt;0,"",'Dvd Calendar'!$AN$1076)))</f>
        <v/>
      </c>
      <c r="DA80" s="85">
        <f>IF(AM80="","",IF(ISNUMBER('Dvd Calendar'!$AO$1076)=FALSE,"",IF((Summary!$C$13="N")*('Dvd Calendar'!$AO$1080='Field Check'!$C$25)&gt;0,"",'Dvd Calendar'!$AO$1076)))</f>
        <v/>
      </c>
      <c r="DB80" s="85">
        <f>IF(AN80="","",IF(ISNUMBER('Dvd Calendar'!$AP$1076)=FALSE,"",IF((Summary!$C$13="N")*('Dvd Calendar'!$AP$1080='Field Check'!$C$25)&gt;0,"",'Dvd Calendar'!$AP$1076)))</f>
        <v/>
      </c>
      <c r="DC80" s="85">
        <f>IF(AO80="","",IF(ISNUMBER('Dvd Calendar'!$AQ$1076)=FALSE,"",IF((Summary!$C$13="N")*('Dvd Calendar'!$AQ$1080='Field Check'!$C$25)&gt;0,"",'Dvd Calendar'!$AQ$1076)))</f>
        <v/>
      </c>
      <c r="DD80" s="85">
        <f>IF(AP80="","",IF(ISNUMBER('Dvd Calendar'!$AR$1076)=FALSE,"",IF((Summary!$C$13="N")*('Dvd Calendar'!$AR$1080='Field Check'!$C$25)&gt;0,"",'Dvd Calendar'!$AR$1076)))</f>
        <v/>
      </c>
      <c r="DE80" s="85">
        <f>IF(AQ80="","",IF(ISNUMBER('Dvd Calendar'!$E$1083)=FALSE,"",IF((Summary!$C$13="N")*('Dvd Calendar'!$E$1087='Field Check'!$C$25)&gt;0,"",'Dvd Calendar'!$E$1083)))</f>
        <v/>
      </c>
      <c r="DF80" s="85">
        <f>IF(AR80="","",IF(ISNUMBER('Dvd Calendar'!$F$1083)=FALSE,"",IF((Summary!$C$13="N")*('Dvd Calendar'!$F$1087='Field Check'!$C$25)&gt;0,"",'Dvd Calendar'!$F$1083)))</f>
        <v/>
      </c>
      <c r="DG80" s="85">
        <f>IF(AS80="","",IF(ISNUMBER('Dvd Calendar'!$G$1083)=FALSE,"",IF((Summary!$C$13="N")*('Dvd Calendar'!$G$1087='Field Check'!$C$25)&gt;0,"",'Dvd Calendar'!$G$1083)))</f>
        <v/>
      </c>
      <c r="DH80" s="85">
        <f>IF(AT80="","",IF(ISNUMBER('Dvd Calendar'!$H$1083)=FALSE,"",IF((Summary!$C$13="N")*('Dvd Calendar'!$H$1087='Field Check'!$C$25)&gt;0,"",'Dvd Calendar'!$H$1083)))</f>
        <v/>
      </c>
      <c r="DI80" s="85">
        <f>IF(AU80="","",IF(ISNUMBER('Dvd Calendar'!$I$1083)=FALSE,"",IF((Summary!$C$13="N")*('Dvd Calendar'!$I$1087='Field Check'!$C$25)&gt;0,"",'Dvd Calendar'!$I$1083)))</f>
        <v/>
      </c>
      <c r="DJ80" s="85">
        <f>IF(AV80="","",IF(ISNUMBER('Dvd Calendar'!$J$1083)=FALSE,"",IF((Summary!$C$13="N")*('Dvd Calendar'!$J$1087='Field Check'!$C$25)&gt;0,"",'Dvd Calendar'!$J$1083)))</f>
        <v/>
      </c>
      <c r="DK80" s="85">
        <f>IF(AW80="","",IF(ISNUMBER('Dvd Calendar'!$K$1083)=FALSE,"",IF((Summary!$C$13="N")*('Dvd Calendar'!$K$1087='Field Check'!$C$25)&gt;0,"",'Dvd Calendar'!$K$1083)))</f>
        <v/>
      </c>
      <c r="DL80" s="85">
        <f>IF(AX80="","",IF(ISNUMBER('Dvd Calendar'!$L$1083)=FALSE,"",IF((Summary!$C$13="N")*('Dvd Calendar'!$L$1087='Field Check'!$C$25)&gt;0,"",'Dvd Calendar'!$L$1083)))</f>
        <v/>
      </c>
      <c r="DM80" s="85">
        <f>IF(AY80="","",IF(ISNUMBER('Dvd Calendar'!$M$1083)=FALSE,"",IF((Summary!$C$13="N")*('Dvd Calendar'!$M$1087='Field Check'!$C$25)&gt;0,"",'Dvd Calendar'!$M$1083)))</f>
        <v/>
      </c>
      <c r="DN80" s="85">
        <f>IF(AZ80="","",IF(ISNUMBER('Dvd Calendar'!$N$1083)=FALSE,"",IF((Summary!$C$13="N")*('Dvd Calendar'!$N$1087='Field Check'!$C$25)&gt;0,"",'Dvd Calendar'!$N$1083)))</f>
        <v/>
      </c>
      <c r="DO80" s="85">
        <f>IF(BA80="","",IF(ISNUMBER('Dvd Calendar'!$O$1083)=FALSE,"",IF((Summary!$C$13="N")*('Dvd Calendar'!$O$1087='Field Check'!$C$25)&gt;0,"",'Dvd Calendar'!$O$1083)))</f>
        <v/>
      </c>
      <c r="DP80" s="85">
        <f>IF(BB80="","",IF(ISNUMBER('Dvd Calendar'!$P$1083)=FALSE,"",IF((Summary!$C$13="N")*('Dvd Calendar'!$P$1087='Field Check'!$C$25)&gt;0,"",'Dvd Calendar'!$P$1083)))</f>
        <v/>
      </c>
      <c r="DQ80" s="85">
        <f>IF(BC80="","",IF(ISNUMBER('Dvd Calendar'!$Q$1083)=FALSE,"",IF((Summary!$C$13="N")*('Dvd Calendar'!$Q$1087='Field Check'!$C$25)&gt;0,"",'Dvd Calendar'!$Q$1083)))</f>
        <v/>
      </c>
      <c r="DR80" s="85">
        <f>IF(BD80="","",IF(ISNUMBER('Dvd Calendar'!$R$1083)=FALSE,"",IF((Summary!$C$13="N")*('Dvd Calendar'!$R$1087='Field Check'!$C$25)&gt;0,"",'Dvd Calendar'!$R$1083)))</f>
        <v/>
      </c>
      <c r="DS80" s="85">
        <f>IF(BE80="","",IF(ISNUMBER('Dvd Calendar'!$S$1083)=FALSE,"",IF((Summary!$C$13="N")*('Dvd Calendar'!$S$1087='Field Check'!$C$25)&gt;0,"",'Dvd Calendar'!$S$1083)))</f>
        <v/>
      </c>
      <c r="DT80" s="85">
        <f>IF(BF80="","",IF(ISNUMBER('Dvd Calendar'!$T$1083)=FALSE,"",IF((Summary!$C$13="N")*('Dvd Calendar'!$T$1087='Field Check'!$C$25)&gt;0,"",'Dvd Calendar'!$T$1083)))</f>
        <v/>
      </c>
      <c r="DU80" s="85">
        <f>IF(BG80="","",IF(ISNUMBER('Dvd Calendar'!$U$1083)=FALSE,"",IF((Summary!$C$13="N")*('Dvd Calendar'!$U$1087='Field Check'!$C$25)&gt;0,"",'Dvd Calendar'!$U$1083)))</f>
        <v/>
      </c>
      <c r="DV80" s="85">
        <f>IF(BH80="","",IF(ISNUMBER('Dvd Calendar'!$V$1083)=FALSE,"",IF((Summary!$C$13="N")*('Dvd Calendar'!$V$1087='Field Check'!$C$25)&gt;0,"",'Dvd Calendar'!$V$1083)))</f>
        <v/>
      </c>
      <c r="DW80" s="85">
        <f>IF(BI80="","",IF(ISNUMBER('Dvd Calendar'!$W$1083)=FALSE,"",IF((Summary!$C$13="N")*('Dvd Calendar'!$W$1087='Field Check'!$C$25)&gt;0,"",'Dvd Calendar'!$W$1083)))</f>
        <v/>
      </c>
      <c r="DX80" s="85">
        <f>IF(BJ80="","",IF(ISNUMBER('Dvd Calendar'!$X$1083)=FALSE,"",IF((Summary!$C$13="N")*('Dvd Calendar'!$X$1087='Field Check'!$C$25)&gt;0,"",'Dvd Calendar'!$X$1083)))</f>
        <v/>
      </c>
      <c r="DY80" s="85">
        <f>IF(BK80="","",IF(ISNUMBER('Dvd Calendar'!$Y$1083)=FALSE,"",IF((Summary!$C$13="N")*('Dvd Calendar'!$Y$1087='Field Check'!$C$25)&gt;0,"",'Dvd Calendar'!$Y$1083)))</f>
        <v/>
      </c>
      <c r="DZ80" s="85">
        <f>IF(BL80="","",IF(ISNUMBER('Dvd Calendar'!$Z$1083)=FALSE,"",IF((Summary!$C$13="N")*('Dvd Calendar'!$Z$1087='Field Check'!$C$25)&gt;0,"",'Dvd Calendar'!$Z$1083)))</f>
        <v/>
      </c>
      <c r="EA80" s="85">
        <f>IF(BM80="","",IF(ISNUMBER('Dvd Calendar'!$AA$1083)=FALSE,"",IF((Summary!$C$13="N")*('Dvd Calendar'!$AA$1087='Field Check'!$C$25)&gt;0,"",'Dvd Calendar'!$AA$1083)))</f>
        <v/>
      </c>
      <c r="EB80" s="85">
        <f>IF(BN80="","",IF(ISNUMBER('Dvd Calendar'!$AB$1083)=FALSE,"",IF((Summary!$C$13="N")*('Dvd Calendar'!$AB$1087='Field Check'!$C$25)&gt;0,"",'Dvd Calendar'!$AB$1083)))</f>
        <v/>
      </c>
      <c r="EC80" s="85">
        <f>IF(BO80="","",IF(ISNUMBER('Dvd Calendar'!$AC$1083)=FALSE,"",IF((Summary!$C$13="N")*('Dvd Calendar'!$AC$1087='Field Check'!$C$25)&gt;0,"",'Dvd Calendar'!$AC$1083)))</f>
        <v/>
      </c>
      <c r="EE80" s="85">
        <f>IF(BQ80="","",IFERROR(BQ80*HSI!$B$78*HSI!$G$78/HSI!$B$3,""))</f>
        <v/>
      </c>
      <c r="EF80" s="85">
        <f>IF(BR80="","",IFERROR(BR80*HSI!$B$78*HSI!$G$78/HSI!$B$3,""))</f>
        <v/>
      </c>
      <c r="EG80" s="85">
        <f>IF(BS80="","",IFERROR(BS80*HSI!$B$78*HSI!$G$78/HSI!$B$3,""))</f>
        <v/>
      </c>
      <c r="EH80" s="85">
        <f>IF(BT80="","",IFERROR(BT80*HSI!$B$78*HSI!$G$78/HSI!$B$3,""))</f>
        <v/>
      </c>
      <c r="EI80" s="85">
        <f>IF(BU80="","",IFERROR(BU80*HSI!$B$78*HSI!$G$78/HSI!$B$3,""))</f>
        <v/>
      </c>
      <c r="EJ80" s="85">
        <f>IF(BV80="","",IFERROR(BV80*HSI!$B$78*HSI!$G$78/HSI!$B$3,""))</f>
        <v/>
      </c>
      <c r="EK80" s="85">
        <f>IF(BW80="","",IFERROR(BW80*HSI!$B$78*HSI!$G$78/HSI!$B$3,""))</f>
        <v/>
      </c>
      <c r="EL80" s="85">
        <f>IF(BX80="","",IFERROR(BX80*HSI!$B$78*HSI!$G$78/HSI!$B$3,""))</f>
        <v/>
      </c>
      <c r="EM80" s="85">
        <f>IF(BY80="","",IFERROR(BY80*HSI!$B$78*HSI!$G$78/HSI!$B$3,""))</f>
        <v/>
      </c>
      <c r="EN80" s="85">
        <f>IF(BZ80="","",IFERROR(BZ80*HSI!$B$78*HSI!$G$78/HSI!$B$3,""))</f>
        <v/>
      </c>
      <c r="EO80" s="85">
        <f>IF(CA80="","",IFERROR(CA80*HSI!$B$78*HSI!$G$78/HSI!$B$3,""))</f>
        <v/>
      </c>
      <c r="EP80" s="85">
        <f>IF(CB80="","",IFERROR(CB80*HSI!$B$78*HSI!$G$78/HSI!$B$3,""))</f>
        <v/>
      </c>
      <c r="EQ80" s="85">
        <f>IF(CC80="","",IFERROR(CC80*HSI!$B$78*HSI!$G$78/HSI!$B$3,""))</f>
        <v/>
      </c>
      <c r="ER80" s="85">
        <f>IF(CD80="","",IFERROR(CD80*HSI!$B$78*HSI!$G$78/HSI!$B$3,""))</f>
        <v/>
      </c>
      <c r="ES80" s="85">
        <f>IF(CE80="","",IFERROR(CE80*HSI!$B$78*HSI!$G$78/HSI!$B$3,""))</f>
        <v/>
      </c>
      <c r="ET80" s="85">
        <f>IF(CF80="","",IFERROR(CF80*HSI!$B$78*HSI!$G$78/HSI!$B$3,""))</f>
        <v/>
      </c>
      <c r="EU80" s="85">
        <f>IF(CG80="","",IFERROR(CG80*HSI!$B$78*HSI!$G$78/HSI!$B$3,""))</f>
        <v/>
      </c>
      <c r="EV80" s="85">
        <f>IF(CH80="","",IFERROR(CH80*HSI!$B$78*HSI!$G$78/HSI!$B$3,""))</f>
        <v/>
      </c>
      <c r="EW80" s="85">
        <f>IF(CI80="","",IFERROR(CI80*HSI!$B$78*HSI!$G$78/HSI!$B$3,""))</f>
        <v/>
      </c>
      <c r="EX80" s="85">
        <f>IF(CJ80="","",IFERROR(CJ80*HSI!$B$78*HSI!$G$78/HSI!$B$3,""))</f>
        <v/>
      </c>
      <c r="EY80" s="85">
        <f>IF(CK80="","",IFERROR(CK80*HSI!$B$78*HSI!$G$78/HSI!$B$3,""))</f>
        <v/>
      </c>
      <c r="EZ80" s="85">
        <f>IF(CL80="","",IFERROR(CL80*HSI!$B$78*HSI!$G$78/HSI!$B$3,""))</f>
        <v/>
      </c>
      <c r="FA80" s="85">
        <f>IF(CM80="","",IFERROR(CM80*HSI!$B$78*HSI!$G$78/HSI!$B$3,""))</f>
        <v/>
      </c>
      <c r="FB80" s="85">
        <f>IF(CN80="","",IFERROR(CN80*HSI!$B$78*HSI!$G$78/HSI!$B$3,""))</f>
        <v/>
      </c>
      <c r="FC80" s="85">
        <f>IF(CO80="","",IFERROR(CO80*HSI!$B$78*HSI!$G$78/HSI!$B$3,""))</f>
        <v/>
      </c>
      <c r="FD80" s="85">
        <f>IF(CP80="","",IFERROR(CP80*HSI!$B$78*HSI!$G$78/HSI!$B$3,""))</f>
        <v/>
      </c>
      <c r="FE80" s="85">
        <f>IF(CQ80="","",IFERROR(CQ80*HSI!$B$78*HSI!$G$78/HSI!$B$3,""))</f>
        <v/>
      </c>
      <c r="FF80" s="85">
        <f>IF(CR80="","",IFERROR(CR80*HSI!$B$78*HSI!$G$78/HSI!$B$3,""))</f>
        <v/>
      </c>
      <c r="FG80" s="85">
        <f>IF(CS80="","",IFERROR(CS80*HSI!$B$78*HSI!$G$78/HSI!$B$3,""))</f>
        <v/>
      </c>
      <c r="FH80" s="85">
        <f>IF(CT80="","",IFERROR(CT80*HSI!$B$78*HSI!$G$78/HSI!$B$3,""))</f>
        <v/>
      </c>
      <c r="FI80" s="85">
        <f>IF(CU80="","",IFERROR(CU80*HSI!$B$78*HSI!$G$78/HSI!$B$3,""))</f>
        <v/>
      </c>
      <c r="FJ80" s="85">
        <f>IF(CV80="","",IFERROR(CV80*HSI!$B$78*HSI!$G$78/HSI!$B$3,""))</f>
        <v/>
      </c>
      <c r="FK80" s="85">
        <f>IF(CW80="","",IFERROR(CW80*HSI!$B$78*HSI!$G$78/HSI!$B$3,""))</f>
        <v/>
      </c>
      <c r="FL80" s="85">
        <f>IF(CX80="","",IFERROR(CX80*HSI!$B$78*HSI!$G$78/HSI!$B$3,""))</f>
        <v/>
      </c>
      <c r="FM80" s="85">
        <f>IF(CY80="","",IFERROR(CY80*HSI!$B$78*HSI!$G$78/HSI!$B$3,""))</f>
        <v/>
      </c>
      <c r="FN80" s="85">
        <f>IF(CZ80="","",IFERROR(CZ80*HSI!$B$78*HSI!$G$78/HSI!$B$3,""))</f>
        <v/>
      </c>
      <c r="FO80" s="85">
        <f>IF(DA80="","",IFERROR(DA80*HSI!$B$78*HSI!$G$78/HSI!$B$3,""))</f>
        <v/>
      </c>
      <c r="FP80" s="85">
        <f>IF(DB80="","",IFERROR(DB80*HSI!$B$78*HSI!$G$78/HSI!$B$3,""))</f>
        <v/>
      </c>
      <c r="FQ80" s="85">
        <f>IF(DC80="","",IFERROR(DC80*HSI!$B$78*HSI!$G$78/HSI!$B$3,""))</f>
        <v/>
      </c>
      <c r="FR80" s="85">
        <f>IF(DD80="","",IFERROR(DD80*HSI!$B$78*HSI!$G$78/HSI!$B$3,""))</f>
        <v/>
      </c>
      <c r="FS80" s="85">
        <f>IF(DE80="","",IFERROR(DE80*HSI!$B$78*HSI!$G$78/HSI!$B$3,""))</f>
        <v/>
      </c>
      <c r="FT80" s="85">
        <f>IF(DF80="","",IFERROR(DF80*HSI!$B$78*HSI!$G$78/HSI!$B$3,""))</f>
        <v/>
      </c>
      <c r="FU80" s="85">
        <f>IF(DG80="","",IFERROR(DG80*HSI!$B$78*HSI!$G$78/HSI!$B$3,""))</f>
        <v/>
      </c>
      <c r="FV80" s="85">
        <f>IF(DH80="","",IFERROR(DH80*HSI!$B$78*HSI!$G$78/HSI!$B$3,""))</f>
        <v/>
      </c>
      <c r="FW80" s="85">
        <f>IF(DI80="","",IFERROR(DI80*HSI!$B$78*HSI!$G$78/HSI!$B$3,""))</f>
        <v/>
      </c>
      <c r="FX80" s="85">
        <f>IF(DJ80="","",IFERROR(DJ80*HSI!$B$78*HSI!$G$78/HSI!$B$3,""))</f>
        <v/>
      </c>
      <c r="FY80" s="85">
        <f>IF(DK80="","",IFERROR(DK80*HSI!$B$78*HSI!$G$78/HSI!$B$3,""))</f>
        <v/>
      </c>
      <c r="FZ80" s="85">
        <f>IF(DL80="","",IFERROR(DL80*HSI!$B$78*HSI!$G$78/HSI!$B$3,""))</f>
        <v/>
      </c>
      <c r="GA80" s="85">
        <f>IF(DM80="","",IFERROR(DM80*HSI!$B$78*HSI!$G$78/HSI!$B$3,""))</f>
        <v/>
      </c>
      <c r="GB80" s="85">
        <f>IF(DN80="","",IFERROR(DN80*HSI!$B$78*HSI!$G$78/HSI!$B$3,""))</f>
        <v/>
      </c>
      <c r="GC80" s="85">
        <f>IF(DO80="","",IFERROR(DO80*HSI!$B$78*HSI!$G$78/HSI!$B$3,""))</f>
        <v/>
      </c>
      <c r="GD80" s="85">
        <f>IF(DP80="","",IFERROR(DP80*HSI!$B$78*HSI!$G$78/HSI!$B$3,""))</f>
        <v/>
      </c>
      <c r="GE80" s="85">
        <f>IF(DQ80="","",IFERROR(DQ80*HSI!$B$78*HSI!$G$78/HSI!$B$3,""))</f>
        <v/>
      </c>
      <c r="GF80" s="85">
        <f>IF(DR80="","",IFERROR(DR80*HSI!$B$78*HSI!$G$78/HSI!$B$3,""))</f>
        <v/>
      </c>
      <c r="GG80" s="85">
        <f>IF(DS80="","",IFERROR(DS80*HSI!$B$78*HSI!$G$78/HSI!$B$3,""))</f>
        <v/>
      </c>
      <c r="GH80" s="85">
        <f>IF(DT80="","",IFERROR(DT80*HSI!$B$78*HSI!$G$78/HSI!$B$3,""))</f>
        <v/>
      </c>
      <c r="GI80" s="85">
        <f>IF(DU80="","",IFERROR(DU80*HSI!$B$78*HSI!$G$78/HSI!$B$3,""))</f>
        <v/>
      </c>
      <c r="GJ80" s="85">
        <f>IF(DV80="","",IFERROR(DV80*HSI!$B$78*HSI!$G$78/HSI!$B$3,""))</f>
        <v/>
      </c>
      <c r="GK80" s="85">
        <f>IF(DW80="","",IFERROR(DW80*HSI!$B$78*HSI!$G$78/HSI!$B$3,""))</f>
        <v/>
      </c>
      <c r="GL80" s="85">
        <f>IF(DX80="","",IFERROR(DX80*HSI!$B$78*HSI!$G$78/HSI!$B$3,""))</f>
        <v/>
      </c>
      <c r="GM80" s="85">
        <f>IF(DY80="","",IFERROR(DY80*HSI!$B$78*HSI!$G$78/HSI!$B$3,""))</f>
        <v/>
      </c>
      <c r="GN80" s="85">
        <f>IF(DZ80="","",IFERROR(DZ80*HSI!$B$78*HSI!$G$78/HSI!$B$3,""))</f>
        <v/>
      </c>
      <c r="GO80" s="85">
        <f>IF(EA80="","",IFERROR(EA80*HSI!$B$78*HSI!$G$78/HSI!$B$3,""))</f>
        <v/>
      </c>
      <c r="GP80" s="85">
        <f>IF(EB80="","",IFERROR(EB80*HSI!$B$78*HSI!$G$78/HSI!$B$3,""))</f>
        <v/>
      </c>
      <c r="GQ80" s="85">
        <f>IF(EC80="","",IFERROR(EC80*HSI!$B$78*HSI!$G$78/HSI!$B$3,""))</f>
        <v/>
      </c>
    </row>
    <row r="81">
      <c r="B81" s="2">
        <f>IF(HSI!$C$79="","",HSI!$C$79)</f>
        <v/>
      </c>
      <c r="C81" s="41">
        <f>IF(N('Dvd Calendar'!$E$1090)=0,"",IF(('Dvd Calendar'!$E$1090&gt;=MIN(DATE(Summary!$C$12,1,1),Summary!$C$11))*('Dvd Calendar'!$E$1090&lt;=MAX(DATE(Summary!$C$12,12,31),Summary!$C$15))*('Dvd Calendar'!$E$1090&lt;=Summary!$C$11)=0,"",'Dvd Calendar'!$E$1090*1000000000+ISNUMBER('Dvd Calendar'!$E$1091)*100000000+('Dvd Calendar'!$E$1095='Field Check'!$C$25)*10000000+(N('Dvd Calendar'!$E$1089)&gt;0)*1000000+73*1000+1))</f>
        <v/>
      </c>
      <c r="D81" s="41">
        <f>IF(N('Dvd Calendar'!$F$1090)=0,"",IF(('Dvd Calendar'!$F$1090&gt;=MIN(DATE(Summary!$C$12,1,1),Summary!$C$11))*('Dvd Calendar'!$F$1090&lt;=MAX(DATE(Summary!$C$12,12,31),Summary!$C$15))*('Dvd Calendar'!$F$1090&lt;=Summary!$C$11)=0,"",'Dvd Calendar'!$F$1090*1000000000+ISNUMBER('Dvd Calendar'!$F$1091)*100000000+('Dvd Calendar'!$F$1095='Field Check'!$C$25)*10000000+(N('Dvd Calendar'!$F$1089)&gt;0)*1000000+73*1000+2))</f>
        <v/>
      </c>
      <c r="E81" s="41">
        <f>IF(N('Dvd Calendar'!$G$1090)=0,"",IF(('Dvd Calendar'!$G$1090&gt;=MIN(DATE(Summary!$C$12,1,1),Summary!$C$11))*('Dvd Calendar'!$G$1090&lt;=MAX(DATE(Summary!$C$12,12,31),Summary!$C$15))*('Dvd Calendar'!$G$1090&lt;=Summary!$C$11)=0,"",'Dvd Calendar'!$G$1090*1000000000+ISNUMBER('Dvd Calendar'!$G$1091)*100000000+('Dvd Calendar'!$G$1095='Field Check'!$C$25)*10000000+(N('Dvd Calendar'!$G$1089)&gt;0)*1000000+73*1000+3))</f>
        <v/>
      </c>
      <c r="F81" s="41">
        <f>IF(N('Dvd Calendar'!$H$1090)=0,"",IF(('Dvd Calendar'!$H$1090&gt;=MIN(DATE(Summary!$C$12,1,1),Summary!$C$11))*('Dvd Calendar'!$H$1090&lt;=MAX(DATE(Summary!$C$12,12,31),Summary!$C$15))*('Dvd Calendar'!$H$1090&lt;=Summary!$C$11)=0,"",'Dvd Calendar'!$H$1090*1000000000+ISNUMBER('Dvd Calendar'!$H$1091)*100000000+('Dvd Calendar'!$H$1095='Field Check'!$C$25)*10000000+(N('Dvd Calendar'!$H$1089)&gt;0)*1000000+73*1000+4))</f>
        <v/>
      </c>
      <c r="G81" s="41">
        <f>IF(N('Dvd Calendar'!$I$1090)=0,"",IF(('Dvd Calendar'!$I$1090&gt;=MIN(DATE(Summary!$C$12,1,1),Summary!$C$11))*('Dvd Calendar'!$I$1090&lt;=MAX(DATE(Summary!$C$12,12,31),Summary!$C$15))*('Dvd Calendar'!$I$1090&lt;=Summary!$C$11)=0,"",'Dvd Calendar'!$I$1090*1000000000+ISNUMBER('Dvd Calendar'!$I$1091)*100000000+('Dvd Calendar'!$I$1095='Field Check'!$C$25)*10000000+(N('Dvd Calendar'!$I$1089)&gt;0)*1000000+73*1000+5))</f>
        <v/>
      </c>
      <c r="H81" s="41">
        <f>IF(N('Dvd Calendar'!$J$1090)=0,"",IF(('Dvd Calendar'!$J$1090&gt;=MIN(DATE(Summary!$C$12,1,1),Summary!$C$11))*('Dvd Calendar'!$J$1090&lt;=MAX(DATE(Summary!$C$12,12,31),Summary!$C$15))*('Dvd Calendar'!$J$1090&lt;=Summary!$C$11)=0,"",'Dvd Calendar'!$J$1090*1000000000+ISNUMBER('Dvd Calendar'!$J$1091)*100000000+('Dvd Calendar'!$J$1095='Field Check'!$C$25)*10000000+(N('Dvd Calendar'!$J$1089)&gt;0)*1000000+73*1000+6))</f>
        <v/>
      </c>
      <c r="I81" s="41">
        <f>IF(N('Dvd Calendar'!$K$1090)=0,"",IF(('Dvd Calendar'!$K$1090&gt;=MIN(DATE(Summary!$C$12,1,1),Summary!$C$11))*('Dvd Calendar'!$K$1090&lt;=MAX(DATE(Summary!$C$12,12,31),Summary!$C$15))*('Dvd Calendar'!$K$1090&lt;=Summary!$C$11)=0,"",'Dvd Calendar'!$K$1090*1000000000+ISNUMBER('Dvd Calendar'!$K$1091)*100000000+('Dvd Calendar'!$K$1095='Field Check'!$C$25)*10000000+(N('Dvd Calendar'!$K$1089)&gt;0)*1000000+73*1000+7))</f>
        <v/>
      </c>
      <c r="J81" s="41">
        <f>IF(N('Dvd Calendar'!$L$1090)=0,"",IF(('Dvd Calendar'!$L$1090&gt;=MIN(DATE(Summary!$C$12,1,1),Summary!$C$11))*('Dvd Calendar'!$L$1090&lt;=MAX(DATE(Summary!$C$12,12,31),Summary!$C$15))*('Dvd Calendar'!$L$1090&lt;=Summary!$C$11)=0,"",'Dvd Calendar'!$L$1090*1000000000+ISNUMBER('Dvd Calendar'!$L$1091)*100000000+('Dvd Calendar'!$L$1095='Field Check'!$C$25)*10000000+(N('Dvd Calendar'!$L$1089)&gt;0)*1000000+73*1000+8))</f>
        <v/>
      </c>
      <c r="K81" s="41">
        <f>IF(N('Dvd Calendar'!$M$1090)=0,"",IF(('Dvd Calendar'!$M$1090&gt;=MIN(DATE(Summary!$C$12,1,1),Summary!$C$11))*('Dvd Calendar'!$M$1090&lt;=MAX(DATE(Summary!$C$12,12,31),Summary!$C$15))*('Dvd Calendar'!$M$1090&lt;=Summary!$C$11)=0,"",'Dvd Calendar'!$M$1090*1000000000+ISNUMBER('Dvd Calendar'!$M$1091)*100000000+('Dvd Calendar'!$M$1095='Field Check'!$C$25)*10000000+(N('Dvd Calendar'!$M$1089)&gt;0)*1000000+73*1000+9))</f>
        <v/>
      </c>
      <c r="L81" s="41">
        <f>IF(N('Dvd Calendar'!$N$1090)=0,"",IF(('Dvd Calendar'!$N$1090&gt;=MIN(DATE(Summary!$C$12,1,1),Summary!$C$11))*('Dvd Calendar'!$N$1090&lt;=MAX(DATE(Summary!$C$12,12,31),Summary!$C$15))*('Dvd Calendar'!$N$1090&lt;=Summary!$C$11)=0,"",'Dvd Calendar'!$N$1090*1000000000+ISNUMBER('Dvd Calendar'!$N$1091)*100000000+('Dvd Calendar'!$N$1095='Field Check'!$C$25)*10000000+(N('Dvd Calendar'!$N$1089)&gt;0)*1000000+73*1000+10))</f>
        <v/>
      </c>
      <c r="M81" s="41">
        <f>IF(N('Dvd Calendar'!$O$1090)=0,"",IF(('Dvd Calendar'!$O$1090&gt;=MIN(DATE(Summary!$C$12,1,1),Summary!$C$11))*('Dvd Calendar'!$O$1090&lt;=MAX(DATE(Summary!$C$12,12,31),Summary!$C$15))*('Dvd Calendar'!$O$1090&lt;=Summary!$C$11)=0,"",'Dvd Calendar'!$O$1090*1000000000+ISNUMBER('Dvd Calendar'!$O$1091)*100000000+('Dvd Calendar'!$O$1095='Field Check'!$C$25)*10000000+(N('Dvd Calendar'!$O$1089)&gt;0)*1000000+73*1000+11))</f>
        <v/>
      </c>
      <c r="N81" s="41">
        <f>IF(N('Dvd Calendar'!$P$1090)=0,"",IF(('Dvd Calendar'!$P$1090&gt;=MIN(DATE(Summary!$C$12,1,1),Summary!$C$11))*('Dvd Calendar'!$P$1090&lt;=MAX(DATE(Summary!$C$12,12,31),Summary!$C$15))*('Dvd Calendar'!$P$1090&lt;=Summary!$C$11)=0,"",'Dvd Calendar'!$P$1090*1000000000+ISNUMBER('Dvd Calendar'!$P$1091)*100000000+('Dvd Calendar'!$P$1095='Field Check'!$C$25)*10000000+(N('Dvd Calendar'!$P$1089)&gt;0)*1000000+73*1000+12))</f>
        <v/>
      </c>
      <c r="O81" s="41">
        <f>IF(N('Dvd Calendar'!$Q$1090)=0,"",IF(('Dvd Calendar'!$Q$1090&gt;=MIN(DATE(Summary!$C$12,1,1),Summary!$C$11))*('Dvd Calendar'!$Q$1090&lt;=MAX(DATE(Summary!$C$12,12,31),Summary!$C$15))*('Dvd Calendar'!$Q$1090&lt;=Summary!$C$11)=0,"",'Dvd Calendar'!$Q$1090*1000000000+ISNUMBER('Dvd Calendar'!$Q$1091)*100000000+('Dvd Calendar'!$Q$1095='Field Check'!$C$25)*10000000+(N('Dvd Calendar'!$Q$1089)&gt;0)*1000000+73*1000+13))</f>
        <v/>
      </c>
      <c r="P81" s="41">
        <f>IF(N('Dvd Calendar'!$R$1090)=0,"",IF(('Dvd Calendar'!$R$1090&gt;=MIN(DATE(Summary!$C$12,1,1),Summary!$C$11))*('Dvd Calendar'!$R$1090&lt;=MAX(DATE(Summary!$C$12,12,31),Summary!$C$15))*('Dvd Calendar'!$R$1090&lt;=Summary!$C$11)=0,"",'Dvd Calendar'!$R$1090*1000000000+ISNUMBER('Dvd Calendar'!$R$1091)*100000000+('Dvd Calendar'!$R$1095='Field Check'!$C$25)*10000000+(N('Dvd Calendar'!$R$1089)&gt;0)*1000000+73*1000+14))</f>
        <v/>
      </c>
      <c r="Q81" s="41">
        <f>IF(N('Dvd Calendar'!$S$1090)=0,"",IF(('Dvd Calendar'!$S$1090&gt;=MIN(DATE(Summary!$C$12,1,1),Summary!$C$11))*('Dvd Calendar'!$S$1090&lt;=MAX(DATE(Summary!$C$12,12,31),Summary!$C$15))*('Dvd Calendar'!$S$1090&lt;=Summary!$C$11)=0,"",'Dvd Calendar'!$S$1090*1000000000+ISNUMBER('Dvd Calendar'!$S$1091)*100000000+('Dvd Calendar'!$S$1095='Field Check'!$C$25)*10000000+(N('Dvd Calendar'!$S$1089)&gt;0)*1000000+73*1000+15))</f>
        <v/>
      </c>
      <c r="R81" s="41">
        <f>IF(N('Dvd Calendar'!$T$1090)=0,"",IF(('Dvd Calendar'!$T$1090&gt;=MIN(DATE(Summary!$C$12,1,1),Summary!$C$11))*('Dvd Calendar'!$T$1090&lt;=MAX(DATE(Summary!$C$12,12,31),Summary!$C$15))*('Dvd Calendar'!$T$1090&lt;=Summary!$C$11)=0,"",'Dvd Calendar'!$T$1090*1000000000+ISNUMBER('Dvd Calendar'!$T$1091)*100000000+('Dvd Calendar'!$T$1095='Field Check'!$C$25)*10000000+(N('Dvd Calendar'!$T$1089)&gt;0)*1000000+73*1000+16))</f>
        <v/>
      </c>
      <c r="S81" s="41">
        <f>IF(N('Dvd Calendar'!$U$1090)=0,"",IF(('Dvd Calendar'!$U$1090&gt;=MIN(DATE(Summary!$C$12,1,1),Summary!$C$11))*('Dvd Calendar'!$U$1090&lt;=MAX(DATE(Summary!$C$12,12,31),Summary!$C$15))*('Dvd Calendar'!$U$1090&lt;=Summary!$C$11)=0,"",'Dvd Calendar'!$U$1090*1000000000+ISNUMBER('Dvd Calendar'!$U$1091)*100000000+('Dvd Calendar'!$U$1095='Field Check'!$C$25)*10000000+(N('Dvd Calendar'!$U$1089)&gt;0)*1000000+73*1000+17))</f>
        <v/>
      </c>
      <c r="T81" s="41">
        <f>IF(N('Dvd Calendar'!$V$1090)=0,"",IF(('Dvd Calendar'!$V$1090&gt;=MIN(DATE(Summary!$C$12,1,1),Summary!$C$11))*('Dvd Calendar'!$V$1090&lt;=MAX(DATE(Summary!$C$12,12,31),Summary!$C$15))*('Dvd Calendar'!$V$1090&lt;=Summary!$C$11)=0,"",'Dvd Calendar'!$V$1090*1000000000+ISNUMBER('Dvd Calendar'!$V$1091)*100000000+('Dvd Calendar'!$V$1095='Field Check'!$C$25)*10000000+(N('Dvd Calendar'!$V$1089)&gt;0)*1000000+73*1000+18))</f>
        <v/>
      </c>
      <c r="U81" s="41">
        <f>IF(N('Dvd Calendar'!$W$1090)=0,"",IF(('Dvd Calendar'!$W$1090&gt;=MIN(DATE(Summary!$C$12,1,1),Summary!$C$11))*('Dvd Calendar'!$W$1090&lt;=MAX(DATE(Summary!$C$12,12,31),Summary!$C$15))*('Dvd Calendar'!$W$1090&lt;=Summary!$C$11)=0,"",'Dvd Calendar'!$W$1090*1000000000+ISNUMBER('Dvd Calendar'!$W$1091)*100000000+('Dvd Calendar'!$W$1095='Field Check'!$C$25)*10000000+(N('Dvd Calendar'!$W$1089)&gt;0)*1000000+73*1000+19))</f>
        <v/>
      </c>
      <c r="V81" s="41">
        <f>IF(N('Dvd Calendar'!$X$1090)=0,"",IF(('Dvd Calendar'!$X$1090&gt;=MIN(DATE(Summary!$C$12,1,1),Summary!$C$11))*('Dvd Calendar'!$X$1090&lt;=MAX(DATE(Summary!$C$12,12,31),Summary!$C$15))*('Dvd Calendar'!$X$1090&lt;=Summary!$C$11)=0,"",'Dvd Calendar'!$X$1090*1000000000+ISNUMBER('Dvd Calendar'!$X$1091)*100000000+('Dvd Calendar'!$X$1095='Field Check'!$C$25)*10000000+(N('Dvd Calendar'!$X$1089)&gt;0)*1000000+73*1000+20))</f>
        <v/>
      </c>
      <c r="W81" s="41">
        <f>IF(N('Dvd Calendar'!$Y$1090)=0,"",IF(('Dvd Calendar'!$Y$1090&gt;=MIN(DATE(Summary!$C$12,1,1),Summary!$C$11))*('Dvd Calendar'!$Y$1090&lt;=MAX(DATE(Summary!$C$12,12,31),Summary!$C$15))*('Dvd Calendar'!$Y$1090&lt;=Summary!$C$11)=0,"",'Dvd Calendar'!$Y$1090*1000000000+ISNUMBER('Dvd Calendar'!$Y$1091)*100000000+('Dvd Calendar'!$Y$1095='Field Check'!$C$25)*10000000+(N('Dvd Calendar'!$Y$1089)&gt;0)*1000000+73*1000+21))</f>
        <v/>
      </c>
      <c r="X81" s="41">
        <f>IF(N('Dvd Calendar'!$Z$1090)=0,"",IF(('Dvd Calendar'!$Z$1090&gt;=MIN(DATE(Summary!$C$12,1,1),Summary!$C$11))*('Dvd Calendar'!$Z$1090&lt;=MAX(DATE(Summary!$C$12,12,31),Summary!$C$15))*('Dvd Calendar'!$Z$1090&lt;=Summary!$C$11)=0,"",'Dvd Calendar'!$Z$1090*1000000000+ISNUMBER('Dvd Calendar'!$Z$1091)*100000000+('Dvd Calendar'!$Z$1095='Field Check'!$C$25)*10000000+(N('Dvd Calendar'!$Z$1089)&gt;0)*1000000+73*1000+22))</f>
        <v/>
      </c>
      <c r="Y81" s="41">
        <f>IF(N('Dvd Calendar'!$AA$1090)=0,"",IF(('Dvd Calendar'!$AA$1090&gt;=MIN(DATE(Summary!$C$12,1,1),Summary!$C$11))*('Dvd Calendar'!$AA$1090&lt;=MAX(DATE(Summary!$C$12,12,31),Summary!$C$15))*('Dvd Calendar'!$AA$1090&lt;=Summary!$C$11)=0,"",'Dvd Calendar'!$AA$1090*1000000000+ISNUMBER('Dvd Calendar'!$AA$1091)*100000000+('Dvd Calendar'!$AA$1095='Field Check'!$C$25)*10000000+(N('Dvd Calendar'!$AA$1089)&gt;0)*1000000+73*1000+23))</f>
        <v/>
      </c>
      <c r="Z81" s="41">
        <f>IF(N('Dvd Calendar'!$AB$1090)=0,"",IF(('Dvd Calendar'!$AB$1090&gt;=MIN(DATE(Summary!$C$12,1,1),Summary!$C$11))*('Dvd Calendar'!$AB$1090&lt;=MAX(DATE(Summary!$C$12,12,31),Summary!$C$15))*('Dvd Calendar'!$AB$1090&lt;=Summary!$C$11)=0,"",'Dvd Calendar'!$AB$1090*1000000000+ISNUMBER('Dvd Calendar'!$AB$1091)*100000000+('Dvd Calendar'!$AB$1095='Field Check'!$C$25)*10000000+(N('Dvd Calendar'!$AB$1089)&gt;0)*1000000+73*1000+24))</f>
        <v/>
      </c>
      <c r="AA81" s="41">
        <f>IF(N('Dvd Calendar'!$AC$1090)=0,"",IF(('Dvd Calendar'!$AC$1090&gt;=MIN(DATE(Summary!$C$12,1,1),Summary!$C$11))*('Dvd Calendar'!$AC$1090&lt;=MAX(DATE(Summary!$C$12,12,31),Summary!$C$15))*('Dvd Calendar'!$AC$1090&lt;=Summary!$C$11)=0,"",'Dvd Calendar'!$AC$1090*1000000000+ISNUMBER('Dvd Calendar'!$AC$1091)*100000000+('Dvd Calendar'!$AC$1095='Field Check'!$C$25)*10000000+(N('Dvd Calendar'!$AC$1089)&gt;0)*1000000+73*1000+25))</f>
        <v/>
      </c>
      <c r="AB81" s="41">
        <f>IF(N('Dvd Calendar'!$AD$1090)=0,"",IF(('Dvd Calendar'!$AD$1090&gt;=MIN(DATE(Summary!$C$12,1,1),Summary!$C$11))*('Dvd Calendar'!$AD$1090&lt;=MAX(DATE(Summary!$C$12,12,31),Summary!$C$15))*('Dvd Calendar'!$AD$1090&lt;=Summary!$C$11)=0,"",'Dvd Calendar'!$AD$1090*1000000000+ISNUMBER('Dvd Calendar'!$AD$1091)*100000000+('Dvd Calendar'!$AD$1095='Field Check'!$C$25)*10000000+(N('Dvd Calendar'!$AD$1089)&gt;0)*1000000+73*1000+26))</f>
        <v/>
      </c>
      <c r="AC81" s="41">
        <f>IF(N('Dvd Calendar'!$AE$1090)=0,"",IF(('Dvd Calendar'!$AE$1090&gt;=MIN(DATE(Summary!$C$12,1,1),Summary!$C$11))*('Dvd Calendar'!$AE$1090&lt;=MAX(DATE(Summary!$C$12,12,31),Summary!$C$15))*('Dvd Calendar'!$AE$1090&lt;=Summary!$C$11)=0,"",'Dvd Calendar'!$AE$1090*1000000000+ISNUMBER('Dvd Calendar'!$AE$1091)*100000000+('Dvd Calendar'!$AE$1095='Field Check'!$C$25)*10000000+(N('Dvd Calendar'!$AE$1089)&gt;0)*1000000+73*1000+27))</f>
        <v/>
      </c>
      <c r="AD81" s="41">
        <f>IF(N('Dvd Calendar'!$AF$1090)=0,"",IF(('Dvd Calendar'!$AF$1090&gt;=MIN(DATE(Summary!$C$12,1,1),Summary!$C$11))*('Dvd Calendar'!$AF$1090&lt;=MAX(DATE(Summary!$C$12,12,31),Summary!$C$15))*('Dvd Calendar'!$AF$1090&lt;=Summary!$C$11)=0,"",'Dvd Calendar'!$AF$1090*1000000000+ISNUMBER('Dvd Calendar'!$AF$1091)*100000000+('Dvd Calendar'!$AF$1095='Field Check'!$C$25)*10000000+(N('Dvd Calendar'!$AF$1089)&gt;0)*1000000+73*1000+28))</f>
        <v/>
      </c>
      <c r="AE81" s="41">
        <f>IF(N('Dvd Calendar'!$AG$1090)=0,"",IF(('Dvd Calendar'!$AG$1090&gt;=MIN(DATE(Summary!$C$12,1,1),Summary!$C$11))*('Dvd Calendar'!$AG$1090&lt;=MAX(DATE(Summary!$C$12,12,31),Summary!$C$15))*('Dvd Calendar'!$AG$1090&lt;=Summary!$C$11)=0,"",'Dvd Calendar'!$AG$1090*1000000000+ISNUMBER('Dvd Calendar'!$AG$1091)*100000000+('Dvd Calendar'!$AG$1095='Field Check'!$C$25)*10000000+(N('Dvd Calendar'!$AG$1089)&gt;0)*1000000+73*1000+29))</f>
        <v/>
      </c>
      <c r="AF81" s="41">
        <f>IF(N('Dvd Calendar'!$AH$1090)=0,"",IF(('Dvd Calendar'!$AH$1090&gt;=MIN(DATE(Summary!$C$12,1,1),Summary!$C$11))*('Dvd Calendar'!$AH$1090&lt;=MAX(DATE(Summary!$C$12,12,31),Summary!$C$15))*('Dvd Calendar'!$AH$1090&lt;=Summary!$C$11)=0,"",'Dvd Calendar'!$AH$1090*1000000000+ISNUMBER('Dvd Calendar'!$AH$1091)*100000000+('Dvd Calendar'!$AH$1095='Field Check'!$C$25)*10000000+(N('Dvd Calendar'!$AH$1089)&gt;0)*1000000+73*1000+30))</f>
        <v/>
      </c>
      <c r="AG81" s="41">
        <f>IF(N('Dvd Calendar'!$AI$1090)=0,"",IF(('Dvd Calendar'!$AI$1090&gt;=MIN(DATE(Summary!$C$12,1,1),Summary!$C$11))*('Dvd Calendar'!$AI$1090&lt;=MAX(DATE(Summary!$C$12,12,31),Summary!$C$15))*('Dvd Calendar'!$AI$1090&lt;=Summary!$C$11)=0,"",'Dvd Calendar'!$AI$1090*1000000000+ISNUMBER('Dvd Calendar'!$AI$1091)*100000000+('Dvd Calendar'!$AI$1095='Field Check'!$C$25)*10000000+(N('Dvd Calendar'!$AI$1089)&gt;0)*1000000+73*1000+31))</f>
        <v/>
      </c>
      <c r="AH81" s="41">
        <f>IF(N('Dvd Calendar'!$AJ$1090)=0,"",IF(('Dvd Calendar'!$AJ$1090&gt;=MIN(DATE(Summary!$C$12,1,1),Summary!$C$11))*('Dvd Calendar'!$AJ$1090&lt;=MAX(DATE(Summary!$C$12,12,31),Summary!$C$15))*('Dvd Calendar'!$AJ$1090&lt;=Summary!$C$11)=0,"",'Dvd Calendar'!$AJ$1090*1000000000+ISNUMBER('Dvd Calendar'!$AJ$1091)*100000000+('Dvd Calendar'!$AJ$1095='Field Check'!$C$25)*10000000+(N('Dvd Calendar'!$AJ$1089)&gt;0)*1000000+73*1000+32))</f>
        <v/>
      </c>
      <c r="AI81" s="41">
        <f>IF(N('Dvd Calendar'!$AK$1090)=0,"",IF(('Dvd Calendar'!$AK$1090&gt;=MIN(DATE(Summary!$C$12,1,1),Summary!$C$11))*('Dvd Calendar'!$AK$1090&lt;=MAX(DATE(Summary!$C$12,12,31),Summary!$C$15))*('Dvd Calendar'!$AK$1090&lt;=Summary!$C$11)=0,"",'Dvd Calendar'!$AK$1090*1000000000+ISNUMBER('Dvd Calendar'!$AK$1091)*100000000+('Dvd Calendar'!$AK$1095='Field Check'!$C$25)*10000000+(N('Dvd Calendar'!$AK$1089)&gt;0)*1000000+73*1000+33))</f>
        <v/>
      </c>
      <c r="AJ81" s="41">
        <f>IF(N('Dvd Calendar'!$AL$1090)=0,"",IF(('Dvd Calendar'!$AL$1090&gt;=MIN(DATE(Summary!$C$12,1,1),Summary!$C$11))*('Dvd Calendar'!$AL$1090&lt;=MAX(DATE(Summary!$C$12,12,31),Summary!$C$15))*('Dvd Calendar'!$AL$1090&lt;=Summary!$C$11)=0,"",'Dvd Calendar'!$AL$1090*1000000000+ISNUMBER('Dvd Calendar'!$AL$1091)*100000000+('Dvd Calendar'!$AL$1095='Field Check'!$C$25)*10000000+(N('Dvd Calendar'!$AL$1089)&gt;0)*1000000+73*1000+34))</f>
        <v/>
      </c>
      <c r="AK81" s="41">
        <f>IF(N('Dvd Calendar'!$AM$1090)=0,"",IF(('Dvd Calendar'!$AM$1090&gt;=MIN(DATE(Summary!$C$12,1,1),Summary!$C$11))*('Dvd Calendar'!$AM$1090&lt;=MAX(DATE(Summary!$C$12,12,31),Summary!$C$15))*('Dvd Calendar'!$AM$1090&lt;=Summary!$C$11)=0,"",'Dvd Calendar'!$AM$1090*1000000000+ISNUMBER('Dvd Calendar'!$AM$1091)*100000000+('Dvd Calendar'!$AM$1095='Field Check'!$C$25)*10000000+(N('Dvd Calendar'!$AM$1089)&gt;0)*1000000+73*1000+35))</f>
        <v/>
      </c>
      <c r="AL81" s="41">
        <f>IF(N('Dvd Calendar'!$AN$1090)=0,"",IF(('Dvd Calendar'!$AN$1090&gt;=MIN(DATE(Summary!$C$12,1,1),Summary!$C$11))*('Dvd Calendar'!$AN$1090&lt;=MAX(DATE(Summary!$C$12,12,31),Summary!$C$15))*('Dvd Calendar'!$AN$1090&lt;=Summary!$C$11)=0,"",'Dvd Calendar'!$AN$1090*1000000000+ISNUMBER('Dvd Calendar'!$AN$1091)*100000000+('Dvd Calendar'!$AN$1095='Field Check'!$C$25)*10000000+(N('Dvd Calendar'!$AN$1089)&gt;0)*1000000+73*1000+36))</f>
        <v/>
      </c>
      <c r="AM81" s="41">
        <f>IF(N('Dvd Calendar'!$AO$1090)=0,"",IF(('Dvd Calendar'!$AO$1090&gt;=MIN(DATE(Summary!$C$12,1,1),Summary!$C$11))*('Dvd Calendar'!$AO$1090&lt;=MAX(DATE(Summary!$C$12,12,31),Summary!$C$15))*('Dvd Calendar'!$AO$1090&lt;=Summary!$C$11)=0,"",'Dvd Calendar'!$AO$1090*1000000000+ISNUMBER('Dvd Calendar'!$AO$1091)*100000000+('Dvd Calendar'!$AO$1095='Field Check'!$C$25)*10000000+(N('Dvd Calendar'!$AO$1089)&gt;0)*1000000+73*1000+37))</f>
        <v/>
      </c>
      <c r="AN81" s="41">
        <f>IF(N('Dvd Calendar'!$AP$1090)=0,"",IF(('Dvd Calendar'!$AP$1090&gt;=MIN(DATE(Summary!$C$12,1,1),Summary!$C$11))*('Dvd Calendar'!$AP$1090&lt;=MAX(DATE(Summary!$C$12,12,31),Summary!$C$15))*('Dvd Calendar'!$AP$1090&lt;=Summary!$C$11)=0,"",'Dvd Calendar'!$AP$1090*1000000000+ISNUMBER('Dvd Calendar'!$AP$1091)*100000000+('Dvd Calendar'!$AP$1095='Field Check'!$C$25)*10000000+(N('Dvd Calendar'!$AP$1089)&gt;0)*1000000+73*1000+38))</f>
        <v/>
      </c>
      <c r="AO81" s="41">
        <f>IF(N('Dvd Calendar'!$AQ$1090)=0,"",IF(('Dvd Calendar'!$AQ$1090&gt;=MIN(DATE(Summary!$C$12,1,1),Summary!$C$11))*('Dvd Calendar'!$AQ$1090&lt;=MAX(DATE(Summary!$C$12,12,31),Summary!$C$15))*('Dvd Calendar'!$AQ$1090&lt;=Summary!$C$11)=0,"",'Dvd Calendar'!$AQ$1090*1000000000+ISNUMBER('Dvd Calendar'!$AQ$1091)*100000000+('Dvd Calendar'!$AQ$1095='Field Check'!$C$25)*10000000+(N('Dvd Calendar'!$AQ$1089)&gt;0)*1000000+73*1000+39))</f>
        <v/>
      </c>
      <c r="AP81" s="41">
        <f>IF(N('Dvd Calendar'!$AR$1090)=0,"",IF(('Dvd Calendar'!$AR$1090&gt;=MIN(DATE(Summary!$C$12,1,1),Summary!$C$11))*('Dvd Calendar'!$AR$1090&lt;=MAX(DATE(Summary!$C$12,12,31),Summary!$C$15))*('Dvd Calendar'!$AR$1090&lt;=Summary!$C$11)=0,"",'Dvd Calendar'!$AR$1090*1000000000+ISNUMBER('Dvd Calendar'!$AR$1091)*100000000+('Dvd Calendar'!$AR$1095='Field Check'!$C$25)*10000000+(N('Dvd Calendar'!$AR$1089)&gt;0)*1000000+73*1000+40))</f>
        <v/>
      </c>
      <c r="AQ81" s="41">
        <f>IF(N('Dvd Calendar'!$E$1097)=0,"",IF(('Dvd Calendar'!$E$1097&gt;=MIN(DATE(Summary!$C$12,1,1),Summary!$C$11))*('Dvd Calendar'!$E$1097&lt;=MAX(DATE(Summary!$C$12,12,31),Summary!$C$15))*('Dvd Calendar'!$E$1097&gt;Summary!$C$11)=0,"",'Dvd Calendar'!$E$1097*1000000000+ISNUMBER('Dvd Calendar'!$E$1098)*100000000+('Dvd Calendar'!$E$1102='Field Check'!$C$25)*10000000+(N('Dvd Calendar'!$E$1096)&gt;0)*1000000+73*1000+41))</f>
        <v/>
      </c>
      <c r="AR81" s="41">
        <f>IF(N('Dvd Calendar'!$F$1097)=0,"",IF(('Dvd Calendar'!$F$1097&gt;=MIN(DATE(Summary!$C$12,1,1),Summary!$C$11))*('Dvd Calendar'!$F$1097&lt;=MAX(DATE(Summary!$C$12,12,31),Summary!$C$15))*('Dvd Calendar'!$F$1097&gt;Summary!$C$11)=0,"",'Dvd Calendar'!$F$1097*1000000000+ISNUMBER('Dvd Calendar'!$F$1098)*100000000+('Dvd Calendar'!$F$1102='Field Check'!$C$25)*10000000+(N('Dvd Calendar'!$F$1096)&gt;0)*1000000+73*1000+42))</f>
        <v/>
      </c>
      <c r="AS81" s="41">
        <f>IF(N('Dvd Calendar'!$G$1097)=0,"",IF(('Dvd Calendar'!$G$1097&gt;=MIN(DATE(Summary!$C$12,1,1),Summary!$C$11))*('Dvd Calendar'!$G$1097&lt;=MAX(DATE(Summary!$C$12,12,31),Summary!$C$15))*('Dvd Calendar'!$G$1097&gt;Summary!$C$11)=0,"",'Dvd Calendar'!$G$1097*1000000000+ISNUMBER('Dvd Calendar'!$G$1098)*100000000+('Dvd Calendar'!$G$1102='Field Check'!$C$25)*10000000+(N('Dvd Calendar'!$G$1096)&gt;0)*1000000+73*1000+43))</f>
        <v/>
      </c>
      <c r="AT81" s="41">
        <f>IF(N('Dvd Calendar'!$H$1097)=0,"",IF(('Dvd Calendar'!$H$1097&gt;=MIN(DATE(Summary!$C$12,1,1),Summary!$C$11))*('Dvd Calendar'!$H$1097&lt;=MAX(DATE(Summary!$C$12,12,31),Summary!$C$15))*('Dvd Calendar'!$H$1097&gt;Summary!$C$11)=0,"",'Dvd Calendar'!$H$1097*1000000000+ISNUMBER('Dvd Calendar'!$H$1098)*100000000+('Dvd Calendar'!$H$1102='Field Check'!$C$25)*10000000+(N('Dvd Calendar'!$H$1096)&gt;0)*1000000+73*1000+44))</f>
        <v/>
      </c>
      <c r="AU81" s="41">
        <f>IF(N('Dvd Calendar'!$I$1097)=0,"",IF(('Dvd Calendar'!$I$1097&gt;=MIN(DATE(Summary!$C$12,1,1),Summary!$C$11))*('Dvd Calendar'!$I$1097&lt;=MAX(DATE(Summary!$C$12,12,31),Summary!$C$15))*('Dvd Calendar'!$I$1097&gt;Summary!$C$11)=0,"",'Dvd Calendar'!$I$1097*1000000000+ISNUMBER('Dvd Calendar'!$I$1098)*100000000+('Dvd Calendar'!$I$1102='Field Check'!$C$25)*10000000+(N('Dvd Calendar'!$I$1096)&gt;0)*1000000+73*1000+45))</f>
        <v/>
      </c>
      <c r="AV81" s="41">
        <f>IF(N('Dvd Calendar'!$J$1097)=0,"",IF(('Dvd Calendar'!$J$1097&gt;=MIN(DATE(Summary!$C$12,1,1),Summary!$C$11))*('Dvd Calendar'!$J$1097&lt;=MAX(DATE(Summary!$C$12,12,31),Summary!$C$15))*('Dvd Calendar'!$J$1097&gt;Summary!$C$11)=0,"",'Dvd Calendar'!$J$1097*1000000000+ISNUMBER('Dvd Calendar'!$J$1098)*100000000+('Dvd Calendar'!$J$1102='Field Check'!$C$25)*10000000+(N('Dvd Calendar'!$J$1096)&gt;0)*1000000+73*1000+46))</f>
        <v/>
      </c>
      <c r="AW81" s="41">
        <f>IF(N('Dvd Calendar'!$K$1097)=0,"",IF(('Dvd Calendar'!$K$1097&gt;=MIN(DATE(Summary!$C$12,1,1),Summary!$C$11))*('Dvd Calendar'!$K$1097&lt;=MAX(DATE(Summary!$C$12,12,31),Summary!$C$15))*('Dvd Calendar'!$K$1097&gt;Summary!$C$11)=0,"",'Dvd Calendar'!$K$1097*1000000000+ISNUMBER('Dvd Calendar'!$K$1098)*100000000+('Dvd Calendar'!$K$1102='Field Check'!$C$25)*10000000+(N('Dvd Calendar'!$K$1096)&gt;0)*1000000+73*1000+47))</f>
        <v/>
      </c>
      <c r="AX81" s="41">
        <f>IF(N('Dvd Calendar'!$L$1097)=0,"",IF(('Dvd Calendar'!$L$1097&gt;=MIN(DATE(Summary!$C$12,1,1),Summary!$C$11))*('Dvd Calendar'!$L$1097&lt;=MAX(DATE(Summary!$C$12,12,31),Summary!$C$15))*('Dvd Calendar'!$L$1097&gt;Summary!$C$11)=0,"",'Dvd Calendar'!$L$1097*1000000000+ISNUMBER('Dvd Calendar'!$L$1098)*100000000+('Dvd Calendar'!$L$1102='Field Check'!$C$25)*10000000+(N('Dvd Calendar'!$L$1096)&gt;0)*1000000+73*1000+48))</f>
        <v/>
      </c>
      <c r="AY81" s="41">
        <f>IF(N('Dvd Calendar'!$M$1097)=0,"",IF(('Dvd Calendar'!$M$1097&gt;=MIN(DATE(Summary!$C$12,1,1),Summary!$C$11))*('Dvd Calendar'!$M$1097&lt;=MAX(DATE(Summary!$C$12,12,31),Summary!$C$15))*('Dvd Calendar'!$M$1097&gt;Summary!$C$11)=0,"",'Dvd Calendar'!$M$1097*1000000000+ISNUMBER('Dvd Calendar'!$M$1098)*100000000+('Dvd Calendar'!$M$1102='Field Check'!$C$25)*10000000+(N('Dvd Calendar'!$M$1096)&gt;0)*1000000+73*1000+49))</f>
        <v/>
      </c>
      <c r="AZ81" s="41">
        <f>IF(N('Dvd Calendar'!$N$1097)=0,"",IF(('Dvd Calendar'!$N$1097&gt;=MIN(DATE(Summary!$C$12,1,1),Summary!$C$11))*('Dvd Calendar'!$N$1097&lt;=MAX(DATE(Summary!$C$12,12,31),Summary!$C$15))*('Dvd Calendar'!$N$1097&gt;Summary!$C$11)=0,"",'Dvd Calendar'!$N$1097*1000000000+ISNUMBER('Dvd Calendar'!$N$1098)*100000000+('Dvd Calendar'!$N$1102='Field Check'!$C$25)*10000000+(N('Dvd Calendar'!$N$1096)&gt;0)*1000000+73*1000+50))</f>
        <v/>
      </c>
      <c r="BA81" s="41">
        <f>IF(N('Dvd Calendar'!$O$1097)=0,"",IF(('Dvd Calendar'!$O$1097&gt;=MIN(DATE(Summary!$C$12,1,1),Summary!$C$11))*('Dvd Calendar'!$O$1097&lt;=MAX(DATE(Summary!$C$12,12,31),Summary!$C$15))*('Dvd Calendar'!$O$1097&gt;Summary!$C$11)=0,"",'Dvd Calendar'!$O$1097*1000000000+ISNUMBER('Dvd Calendar'!$O$1098)*100000000+('Dvd Calendar'!$O$1102='Field Check'!$C$25)*10000000+(N('Dvd Calendar'!$O$1096)&gt;0)*1000000+73*1000+51))</f>
        <v/>
      </c>
      <c r="BB81" s="41">
        <f>IF(N('Dvd Calendar'!$P$1097)=0,"",IF(('Dvd Calendar'!$P$1097&gt;=MIN(DATE(Summary!$C$12,1,1),Summary!$C$11))*('Dvd Calendar'!$P$1097&lt;=MAX(DATE(Summary!$C$12,12,31),Summary!$C$15))*('Dvd Calendar'!$P$1097&gt;Summary!$C$11)=0,"",'Dvd Calendar'!$P$1097*1000000000+ISNUMBER('Dvd Calendar'!$P$1098)*100000000+('Dvd Calendar'!$P$1102='Field Check'!$C$25)*10000000+(N('Dvd Calendar'!$P$1096)&gt;0)*1000000+73*1000+52))</f>
        <v/>
      </c>
      <c r="BC81" s="41">
        <f>IF(N('Dvd Calendar'!$Q$1097)=0,"",IF(('Dvd Calendar'!$Q$1097&gt;=MIN(DATE(Summary!$C$12,1,1),Summary!$C$11))*('Dvd Calendar'!$Q$1097&lt;=MAX(DATE(Summary!$C$12,12,31),Summary!$C$15))*('Dvd Calendar'!$Q$1097&gt;Summary!$C$11)=0,"",'Dvd Calendar'!$Q$1097*1000000000+ISNUMBER('Dvd Calendar'!$Q$1098)*100000000+('Dvd Calendar'!$Q$1102='Field Check'!$C$25)*10000000+(N('Dvd Calendar'!$Q$1096)&gt;0)*1000000+73*1000+53))</f>
        <v/>
      </c>
      <c r="BD81" s="41">
        <f>IF(N('Dvd Calendar'!$R$1097)=0,"",IF(('Dvd Calendar'!$R$1097&gt;=MIN(DATE(Summary!$C$12,1,1),Summary!$C$11))*('Dvd Calendar'!$R$1097&lt;=MAX(DATE(Summary!$C$12,12,31),Summary!$C$15))*('Dvd Calendar'!$R$1097&gt;Summary!$C$11)=0,"",'Dvd Calendar'!$R$1097*1000000000+ISNUMBER('Dvd Calendar'!$R$1098)*100000000+('Dvd Calendar'!$R$1102='Field Check'!$C$25)*10000000+(N('Dvd Calendar'!$R$1096)&gt;0)*1000000+73*1000+54))</f>
        <v/>
      </c>
      <c r="BE81" s="41">
        <f>IF(N('Dvd Calendar'!$S$1097)=0,"",IF(('Dvd Calendar'!$S$1097&gt;=MIN(DATE(Summary!$C$12,1,1),Summary!$C$11))*('Dvd Calendar'!$S$1097&lt;=MAX(DATE(Summary!$C$12,12,31),Summary!$C$15))*('Dvd Calendar'!$S$1097&gt;Summary!$C$11)=0,"",'Dvd Calendar'!$S$1097*1000000000+ISNUMBER('Dvd Calendar'!$S$1098)*100000000+('Dvd Calendar'!$S$1102='Field Check'!$C$25)*10000000+(N('Dvd Calendar'!$S$1096)&gt;0)*1000000+73*1000+55))</f>
        <v/>
      </c>
      <c r="BF81" s="41">
        <f>IF(N('Dvd Calendar'!$T$1097)=0,"",IF(('Dvd Calendar'!$T$1097&gt;=MIN(DATE(Summary!$C$12,1,1),Summary!$C$11))*('Dvd Calendar'!$T$1097&lt;=MAX(DATE(Summary!$C$12,12,31),Summary!$C$15))*('Dvd Calendar'!$T$1097&gt;Summary!$C$11)=0,"",'Dvd Calendar'!$T$1097*1000000000+ISNUMBER('Dvd Calendar'!$T$1098)*100000000+('Dvd Calendar'!$T$1102='Field Check'!$C$25)*10000000+(N('Dvd Calendar'!$T$1096)&gt;0)*1000000+73*1000+56))</f>
        <v/>
      </c>
      <c r="BG81" s="41">
        <f>IF(N('Dvd Calendar'!$U$1097)=0,"",IF(('Dvd Calendar'!$U$1097&gt;=MIN(DATE(Summary!$C$12,1,1),Summary!$C$11))*('Dvd Calendar'!$U$1097&lt;=MAX(DATE(Summary!$C$12,12,31),Summary!$C$15))*('Dvd Calendar'!$U$1097&gt;Summary!$C$11)=0,"",'Dvd Calendar'!$U$1097*1000000000+ISNUMBER('Dvd Calendar'!$U$1098)*100000000+('Dvd Calendar'!$U$1102='Field Check'!$C$25)*10000000+(N('Dvd Calendar'!$U$1096)&gt;0)*1000000+73*1000+57))</f>
        <v/>
      </c>
      <c r="BH81" s="41">
        <f>IF(N('Dvd Calendar'!$V$1097)=0,"",IF(('Dvd Calendar'!$V$1097&gt;=MIN(DATE(Summary!$C$12,1,1),Summary!$C$11))*('Dvd Calendar'!$V$1097&lt;=MAX(DATE(Summary!$C$12,12,31),Summary!$C$15))*('Dvd Calendar'!$V$1097&gt;Summary!$C$11)=0,"",'Dvd Calendar'!$V$1097*1000000000+ISNUMBER('Dvd Calendar'!$V$1098)*100000000+('Dvd Calendar'!$V$1102='Field Check'!$C$25)*10000000+(N('Dvd Calendar'!$V$1096)&gt;0)*1000000+73*1000+58))</f>
        <v/>
      </c>
      <c r="BI81" s="41">
        <f>IF(N('Dvd Calendar'!$W$1097)=0,"",IF(('Dvd Calendar'!$W$1097&gt;=MIN(DATE(Summary!$C$12,1,1),Summary!$C$11))*('Dvd Calendar'!$W$1097&lt;=MAX(DATE(Summary!$C$12,12,31),Summary!$C$15))*('Dvd Calendar'!$W$1097&gt;Summary!$C$11)=0,"",'Dvd Calendar'!$W$1097*1000000000+ISNUMBER('Dvd Calendar'!$W$1098)*100000000+('Dvd Calendar'!$W$1102='Field Check'!$C$25)*10000000+(N('Dvd Calendar'!$W$1096)&gt;0)*1000000+73*1000+59))</f>
        <v/>
      </c>
      <c r="BJ81" s="41">
        <f>IF(N('Dvd Calendar'!$X$1097)=0,"",IF(('Dvd Calendar'!$X$1097&gt;=MIN(DATE(Summary!$C$12,1,1),Summary!$C$11))*('Dvd Calendar'!$X$1097&lt;=MAX(DATE(Summary!$C$12,12,31),Summary!$C$15))*('Dvd Calendar'!$X$1097&gt;Summary!$C$11)=0,"",'Dvd Calendar'!$X$1097*1000000000+ISNUMBER('Dvd Calendar'!$X$1098)*100000000+('Dvd Calendar'!$X$1102='Field Check'!$C$25)*10000000+(N('Dvd Calendar'!$X$1096)&gt;0)*1000000+73*1000+60))</f>
        <v/>
      </c>
      <c r="BK81" s="41">
        <f>IF(N('Dvd Calendar'!$Y$1097)=0,"",IF(('Dvd Calendar'!$Y$1097&gt;=MIN(DATE(Summary!$C$12,1,1),Summary!$C$11))*('Dvd Calendar'!$Y$1097&lt;=MAX(DATE(Summary!$C$12,12,31),Summary!$C$15))*('Dvd Calendar'!$Y$1097&gt;Summary!$C$11)=0,"",'Dvd Calendar'!$Y$1097*1000000000+ISNUMBER('Dvd Calendar'!$Y$1098)*100000000+('Dvd Calendar'!$Y$1102='Field Check'!$C$25)*10000000+(N('Dvd Calendar'!$Y$1096)&gt;0)*1000000+73*1000+61))</f>
        <v/>
      </c>
      <c r="BL81" s="41">
        <f>IF(N('Dvd Calendar'!$Z$1097)=0,"",IF(('Dvd Calendar'!$Z$1097&gt;=MIN(DATE(Summary!$C$12,1,1),Summary!$C$11))*('Dvd Calendar'!$Z$1097&lt;=MAX(DATE(Summary!$C$12,12,31),Summary!$C$15))*('Dvd Calendar'!$Z$1097&gt;Summary!$C$11)=0,"",'Dvd Calendar'!$Z$1097*1000000000+ISNUMBER('Dvd Calendar'!$Z$1098)*100000000+('Dvd Calendar'!$Z$1102='Field Check'!$C$25)*10000000+(N('Dvd Calendar'!$Z$1096)&gt;0)*1000000+73*1000+62))</f>
        <v/>
      </c>
      <c r="BM81" s="41">
        <f>IF(N('Dvd Calendar'!$AA$1097)=0,"",IF(('Dvd Calendar'!$AA$1097&gt;=MIN(DATE(Summary!$C$12,1,1),Summary!$C$11))*('Dvd Calendar'!$AA$1097&lt;=MAX(DATE(Summary!$C$12,12,31),Summary!$C$15))*('Dvd Calendar'!$AA$1097&gt;Summary!$C$11)=0,"",'Dvd Calendar'!$AA$1097*1000000000+ISNUMBER('Dvd Calendar'!$AA$1098)*100000000+('Dvd Calendar'!$AA$1102='Field Check'!$C$25)*10000000+(N('Dvd Calendar'!$AA$1096)&gt;0)*1000000+73*1000+63))</f>
        <v/>
      </c>
      <c r="BN81" s="41">
        <f>IF(N('Dvd Calendar'!$AB$1097)=0,"",IF(('Dvd Calendar'!$AB$1097&gt;=MIN(DATE(Summary!$C$12,1,1),Summary!$C$11))*('Dvd Calendar'!$AB$1097&lt;=MAX(DATE(Summary!$C$12,12,31),Summary!$C$15))*('Dvd Calendar'!$AB$1097&gt;Summary!$C$11)=0,"",'Dvd Calendar'!$AB$1097*1000000000+ISNUMBER('Dvd Calendar'!$AB$1098)*100000000+('Dvd Calendar'!$AB$1102='Field Check'!$C$25)*10000000+(N('Dvd Calendar'!$AB$1096)&gt;0)*1000000+73*1000+64))</f>
        <v/>
      </c>
      <c r="BO81" s="41">
        <f>IF(N('Dvd Calendar'!$AC$1097)=0,"",IF(('Dvd Calendar'!$AC$1097&gt;=MIN(DATE(Summary!$C$12,1,1),Summary!$C$11))*('Dvd Calendar'!$AC$1097&lt;=MAX(DATE(Summary!$C$12,12,31),Summary!$C$15))*('Dvd Calendar'!$AC$1097&gt;Summary!$C$11)=0,"",'Dvd Calendar'!$AC$1097*1000000000+ISNUMBER('Dvd Calendar'!$AC$1098)*100000000+('Dvd Calendar'!$AC$1102='Field Check'!$C$25)*10000000+(N('Dvd Calendar'!$AC$1096)&gt;0)*1000000+73*1000+65))</f>
        <v/>
      </c>
      <c r="BQ81" s="85">
        <f>IF(C81="","",IF(ISNUMBER('Dvd Calendar'!$E$1091)=FALSE,"",IF((Summary!$C$13="N")*('Dvd Calendar'!$E$1095='Field Check'!$C$25)&gt;0,"",'Dvd Calendar'!$E$1091)))</f>
        <v/>
      </c>
      <c r="BR81" s="85">
        <f>IF(D81="","",IF(ISNUMBER('Dvd Calendar'!$F$1091)=FALSE,"",IF((Summary!$C$13="N")*('Dvd Calendar'!$F$1095='Field Check'!$C$25)&gt;0,"",'Dvd Calendar'!$F$1091)))</f>
        <v/>
      </c>
      <c r="BS81" s="85">
        <f>IF(E81="","",IF(ISNUMBER('Dvd Calendar'!$G$1091)=FALSE,"",IF((Summary!$C$13="N")*('Dvd Calendar'!$G$1095='Field Check'!$C$25)&gt;0,"",'Dvd Calendar'!$G$1091)))</f>
        <v/>
      </c>
      <c r="BT81" s="85">
        <f>IF(F81="","",IF(ISNUMBER('Dvd Calendar'!$H$1091)=FALSE,"",IF((Summary!$C$13="N")*('Dvd Calendar'!$H$1095='Field Check'!$C$25)&gt;0,"",'Dvd Calendar'!$H$1091)))</f>
        <v/>
      </c>
      <c r="BU81" s="85">
        <f>IF(G81="","",IF(ISNUMBER('Dvd Calendar'!$I$1091)=FALSE,"",IF((Summary!$C$13="N")*('Dvd Calendar'!$I$1095='Field Check'!$C$25)&gt;0,"",'Dvd Calendar'!$I$1091)))</f>
        <v/>
      </c>
      <c r="BV81" s="85">
        <f>IF(H81="","",IF(ISNUMBER('Dvd Calendar'!$J$1091)=FALSE,"",IF((Summary!$C$13="N")*('Dvd Calendar'!$J$1095='Field Check'!$C$25)&gt;0,"",'Dvd Calendar'!$J$1091)))</f>
        <v/>
      </c>
      <c r="BW81" s="85">
        <f>IF(I81="","",IF(ISNUMBER('Dvd Calendar'!$K$1091)=FALSE,"",IF((Summary!$C$13="N")*('Dvd Calendar'!$K$1095='Field Check'!$C$25)&gt;0,"",'Dvd Calendar'!$K$1091)))</f>
        <v/>
      </c>
      <c r="BX81" s="85">
        <f>IF(J81="","",IF(ISNUMBER('Dvd Calendar'!$L$1091)=FALSE,"",IF((Summary!$C$13="N")*('Dvd Calendar'!$L$1095='Field Check'!$C$25)&gt;0,"",'Dvd Calendar'!$L$1091)))</f>
        <v/>
      </c>
      <c r="BY81" s="85">
        <f>IF(K81="","",IF(ISNUMBER('Dvd Calendar'!$M$1091)=FALSE,"",IF((Summary!$C$13="N")*('Dvd Calendar'!$M$1095='Field Check'!$C$25)&gt;0,"",'Dvd Calendar'!$M$1091)))</f>
        <v/>
      </c>
      <c r="BZ81" s="85">
        <f>IF(L81="","",IF(ISNUMBER('Dvd Calendar'!$N$1091)=FALSE,"",IF((Summary!$C$13="N")*('Dvd Calendar'!$N$1095='Field Check'!$C$25)&gt;0,"",'Dvd Calendar'!$N$1091)))</f>
        <v/>
      </c>
      <c r="CA81" s="85">
        <f>IF(M81="","",IF(ISNUMBER('Dvd Calendar'!$O$1091)=FALSE,"",IF((Summary!$C$13="N")*('Dvd Calendar'!$O$1095='Field Check'!$C$25)&gt;0,"",'Dvd Calendar'!$O$1091)))</f>
        <v/>
      </c>
      <c r="CB81" s="85">
        <f>IF(N81="","",IF(ISNUMBER('Dvd Calendar'!$P$1091)=FALSE,"",IF((Summary!$C$13="N")*('Dvd Calendar'!$P$1095='Field Check'!$C$25)&gt;0,"",'Dvd Calendar'!$P$1091)))</f>
        <v/>
      </c>
      <c r="CC81" s="85">
        <f>IF(O81="","",IF(ISNUMBER('Dvd Calendar'!$Q$1091)=FALSE,"",IF((Summary!$C$13="N")*('Dvd Calendar'!$Q$1095='Field Check'!$C$25)&gt;0,"",'Dvd Calendar'!$Q$1091)))</f>
        <v/>
      </c>
      <c r="CD81" s="85">
        <f>IF(P81="","",IF(ISNUMBER('Dvd Calendar'!$R$1091)=FALSE,"",IF((Summary!$C$13="N")*('Dvd Calendar'!$R$1095='Field Check'!$C$25)&gt;0,"",'Dvd Calendar'!$R$1091)))</f>
        <v/>
      </c>
      <c r="CE81" s="85">
        <f>IF(Q81="","",IF(ISNUMBER('Dvd Calendar'!$S$1091)=FALSE,"",IF((Summary!$C$13="N")*('Dvd Calendar'!$S$1095='Field Check'!$C$25)&gt;0,"",'Dvd Calendar'!$S$1091)))</f>
        <v/>
      </c>
      <c r="CF81" s="85">
        <f>IF(R81="","",IF(ISNUMBER('Dvd Calendar'!$T$1091)=FALSE,"",IF((Summary!$C$13="N")*('Dvd Calendar'!$T$1095='Field Check'!$C$25)&gt;0,"",'Dvd Calendar'!$T$1091)))</f>
        <v/>
      </c>
      <c r="CG81" s="85">
        <f>IF(S81="","",IF(ISNUMBER('Dvd Calendar'!$U$1091)=FALSE,"",IF((Summary!$C$13="N")*('Dvd Calendar'!$U$1095='Field Check'!$C$25)&gt;0,"",'Dvd Calendar'!$U$1091)))</f>
        <v/>
      </c>
      <c r="CH81" s="85">
        <f>IF(T81="","",IF(ISNUMBER('Dvd Calendar'!$V$1091)=FALSE,"",IF((Summary!$C$13="N")*('Dvd Calendar'!$V$1095='Field Check'!$C$25)&gt;0,"",'Dvd Calendar'!$V$1091)))</f>
        <v/>
      </c>
      <c r="CI81" s="85">
        <f>IF(U81="","",IF(ISNUMBER('Dvd Calendar'!$W$1091)=FALSE,"",IF((Summary!$C$13="N")*('Dvd Calendar'!$W$1095='Field Check'!$C$25)&gt;0,"",'Dvd Calendar'!$W$1091)))</f>
        <v/>
      </c>
      <c r="CJ81" s="85">
        <f>IF(V81="","",IF(ISNUMBER('Dvd Calendar'!$X$1091)=FALSE,"",IF((Summary!$C$13="N")*('Dvd Calendar'!$X$1095='Field Check'!$C$25)&gt;0,"",'Dvd Calendar'!$X$1091)))</f>
        <v/>
      </c>
      <c r="CK81" s="85">
        <f>IF(W81="","",IF(ISNUMBER('Dvd Calendar'!$Y$1091)=FALSE,"",IF((Summary!$C$13="N")*('Dvd Calendar'!$Y$1095='Field Check'!$C$25)&gt;0,"",'Dvd Calendar'!$Y$1091)))</f>
        <v/>
      </c>
      <c r="CL81" s="85">
        <f>IF(X81="","",IF(ISNUMBER('Dvd Calendar'!$Z$1091)=FALSE,"",IF((Summary!$C$13="N")*('Dvd Calendar'!$Z$1095='Field Check'!$C$25)&gt;0,"",'Dvd Calendar'!$Z$1091)))</f>
        <v/>
      </c>
      <c r="CM81" s="85">
        <f>IF(Y81="","",IF(ISNUMBER('Dvd Calendar'!$AA$1091)=FALSE,"",IF((Summary!$C$13="N")*('Dvd Calendar'!$AA$1095='Field Check'!$C$25)&gt;0,"",'Dvd Calendar'!$AA$1091)))</f>
        <v/>
      </c>
      <c r="CN81" s="85">
        <f>IF(Z81="","",IF(ISNUMBER('Dvd Calendar'!$AB$1091)=FALSE,"",IF((Summary!$C$13="N")*('Dvd Calendar'!$AB$1095='Field Check'!$C$25)&gt;0,"",'Dvd Calendar'!$AB$1091)))</f>
        <v/>
      </c>
      <c r="CO81" s="85">
        <f>IF(AA81="","",IF(ISNUMBER('Dvd Calendar'!$AC$1091)=FALSE,"",IF((Summary!$C$13="N")*('Dvd Calendar'!$AC$1095='Field Check'!$C$25)&gt;0,"",'Dvd Calendar'!$AC$1091)))</f>
        <v/>
      </c>
      <c r="CP81" s="85">
        <f>IF(AB81="","",IF(ISNUMBER('Dvd Calendar'!$AD$1091)=FALSE,"",IF((Summary!$C$13="N")*('Dvd Calendar'!$AD$1095='Field Check'!$C$25)&gt;0,"",'Dvd Calendar'!$AD$1091)))</f>
        <v/>
      </c>
      <c r="CQ81" s="85">
        <f>IF(AC81="","",IF(ISNUMBER('Dvd Calendar'!$AE$1091)=FALSE,"",IF((Summary!$C$13="N")*('Dvd Calendar'!$AE$1095='Field Check'!$C$25)&gt;0,"",'Dvd Calendar'!$AE$1091)))</f>
        <v/>
      </c>
      <c r="CR81" s="85">
        <f>IF(AD81="","",IF(ISNUMBER('Dvd Calendar'!$AF$1091)=FALSE,"",IF((Summary!$C$13="N")*('Dvd Calendar'!$AF$1095='Field Check'!$C$25)&gt;0,"",'Dvd Calendar'!$AF$1091)))</f>
        <v/>
      </c>
      <c r="CS81" s="85">
        <f>IF(AE81="","",IF(ISNUMBER('Dvd Calendar'!$AG$1091)=FALSE,"",IF((Summary!$C$13="N")*('Dvd Calendar'!$AG$1095='Field Check'!$C$25)&gt;0,"",'Dvd Calendar'!$AG$1091)))</f>
        <v/>
      </c>
      <c r="CT81" s="85">
        <f>IF(AF81="","",IF(ISNUMBER('Dvd Calendar'!$AH$1091)=FALSE,"",IF((Summary!$C$13="N")*('Dvd Calendar'!$AH$1095='Field Check'!$C$25)&gt;0,"",'Dvd Calendar'!$AH$1091)))</f>
        <v/>
      </c>
      <c r="CU81" s="85">
        <f>IF(AG81="","",IF(ISNUMBER('Dvd Calendar'!$AI$1091)=FALSE,"",IF((Summary!$C$13="N")*('Dvd Calendar'!$AI$1095='Field Check'!$C$25)&gt;0,"",'Dvd Calendar'!$AI$1091)))</f>
        <v/>
      </c>
      <c r="CV81" s="85">
        <f>IF(AH81="","",IF(ISNUMBER('Dvd Calendar'!$AJ$1091)=FALSE,"",IF((Summary!$C$13="N")*('Dvd Calendar'!$AJ$1095='Field Check'!$C$25)&gt;0,"",'Dvd Calendar'!$AJ$1091)))</f>
        <v/>
      </c>
      <c r="CW81" s="85">
        <f>IF(AI81="","",IF(ISNUMBER('Dvd Calendar'!$AK$1091)=FALSE,"",IF((Summary!$C$13="N")*('Dvd Calendar'!$AK$1095='Field Check'!$C$25)&gt;0,"",'Dvd Calendar'!$AK$1091)))</f>
        <v/>
      </c>
      <c r="CX81" s="85">
        <f>IF(AJ81="","",IF(ISNUMBER('Dvd Calendar'!$AL$1091)=FALSE,"",IF((Summary!$C$13="N")*('Dvd Calendar'!$AL$1095='Field Check'!$C$25)&gt;0,"",'Dvd Calendar'!$AL$1091)))</f>
        <v/>
      </c>
      <c r="CY81" s="85">
        <f>IF(AK81="","",IF(ISNUMBER('Dvd Calendar'!$AM$1091)=FALSE,"",IF((Summary!$C$13="N")*('Dvd Calendar'!$AM$1095='Field Check'!$C$25)&gt;0,"",'Dvd Calendar'!$AM$1091)))</f>
        <v/>
      </c>
      <c r="CZ81" s="85">
        <f>IF(AL81="","",IF(ISNUMBER('Dvd Calendar'!$AN$1091)=FALSE,"",IF((Summary!$C$13="N")*('Dvd Calendar'!$AN$1095='Field Check'!$C$25)&gt;0,"",'Dvd Calendar'!$AN$1091)))</f>
        <v/>
      </c>
      <c r="DA81" s="85">
        <f>IF(AM81="","",IF(ISNUMBER('Dvd Calendar'!$AO$1091)=FALSE,"",IF((Summary!$C$13="N")*('Dvd Calendar'!$AO$1095='Field Check'!$C$25)&gt;0,"",'Dvd Calendar'!$AO$1091)))</f>
        <v/>
      </c>
      <c r="DB81" s="85">
        <f>IF(AN81="","",IF(ISNUMBER('Dvd Calendar'!$AP$1091)=FALSE,"",IF((Summary!$C$13="N")*('Dvd Calendar'!$AP$1095='Field Check'!$C$25)&gt;0,"",'Dvd Calendar'!$AP$1091)))</f>
        <v/>
      </c>
      <c r="DC81" s="85">
        <f>IF(AO81="","",IF(ISNUMBER('Dvd Calendar'!$AQ$1091)=FALSE,"",IF((Summary!$C$13="N")*('Dvd Calendar'!$AQ$1095='Field Check'!$C$25)&gt;0,"",'Dvd Calendar'!$AQ$1091)))</f>
        <v/>
      </c>
      <c r="DD81" s="85">
        <f>IF(AP81="","",IF(ISNUMBER('Dvd Calendar'!$AR$1091)=FALSE,"",IF((Summary!$C$13="N")*('Dvd Calendar'!$AR$1095='Field Check'!$C$25)&gt;0,"",'Dvd Calendar'!$AR$1091)))</f>
        <v/>
      </c>
      <c r="DE81" s="85">
        <f>IF(AQ81="","",IF(ISNUMBER('Dvd Calendar'!$E$1098)=FALSE,"",IF((Summary!$C$13="N")*('Dvd Calendar'!$E$1102='Field Check'!$C$25)&gt;0,"",'Dvd Calendar'!$E$1098)))</f>
        <v/>
      </c>
      <c r="DF81" s="85">
        <f>IF(AR81="","",IF(ISNUMBER('Dvd Calendar'!$F$1098)=FALSE,"",IF((Summary!$C$13="N")*('Dvd Calendar'!$F$1102='Field Check'!$C$25)&gt;0,"",'Dvd Calendar'!$F$1098)))</f>
        <v/>
      </c>
      <c r="DG81" s="85">
        <f>IF(AS81="","",IF(ISNUMBER('Dvd Calendar'!$G$1098)=FALSE,"",IF((Summary!$C$13="N")*('Dvd Calendar'!$G$1102='Field Check'!$C$25)&gt;0,"",'Dvd Calendar'!$G$1098)))</f>
        <v/>
      </c>
      <c r="DH81" s="85">
        <f>IF(AT81="","",IF(ISNUMBER('Dvd Calendar'!$H$1098)=FALSE,"",IF((Summary!$C$13="N")*('Dvd Calendar'!$H$1102='Field Check'!$C$25)&gt;0,"",'Dvd Calendar'!$H$1098)))</f>
        <v/>
      </c>
      <c r="DI81" s="85">
        <f>IF(AU81="","",IF(ISNUMBER('Dvd Calendar'!$I$1098)=FALSE,"",IF((Summary!$C$13="N")*('Dvd Calendar'!$I$1102='Field Check'!$C$25)&gt;0,"",'Dvd Calendar'!$I$1098)))</f>
        <v/>
      </c>
      <c r="DJ81" s="85">
        <f>IF(AV81="","",IF(ISNUMBER('Dvd Calendar'!$J$1098)=FALSE,"",IF((Summary!$C$13="N")*('Dvd Calendar'!$J$1102='Field Check'!$C$25)&gt;0,"",'Dvd Calendar'!$J$1098)))</f>
        <v/>
      </c>
      <c r="DK81" s="85">
        <f>IF(AW81="","",IF(ISNUMBER('Dvd Calendar'!$K$1098)=FALSE,"",IF((Summary!$C$13="N")*('Dvd Calendar'!$K$1102='Field Check'!$C$25)&gt;0,"",'Dvd Calendar'!$K$1098)))</f>
        <v/>
      </c>
      <c r="DL81" s="85">
        <f>IF(AX81="","",IF(ISNUMBER('Dvd Calendar'!$L$1098)=FALSE,"",IF((Summary!$C$13="N")*('Dvd Calendar'!$L$1102='Field Check'!$C$25)&gt;0,"",'Dvd Calendar'!$L$1098)))</f>
        <v/>
      </c>
      <c r="DM81" s="85">
        <f>IF(AY81="","",IF(ISNUMBER('Dvd Calendar'!$M$1098)=FALSE,"",IF((Summary!$C$13="N")*('Dvd Calendar'!$M$1102='Field Check'!$C$25)&gt;0,"",'Dvd Calendar'!$M$1098)))</f>
        <v/>
      </c>
      <c r="DN81" s="85">
        <f>IF(AZ81="","",IF(ISNUMBER('Dvd Calendar'!$N$1098)=FALSE,"",IF((Summary!$C$13="N")*('Dvd Calendar'!$N$1102='Field Check'!$C$25)&gt;0,"",'Dvd Calendar'!$N$1098)))</f>
        <v/>
      </c>
      <c r="DO81" s="85">
        <f>IF(BA81="","",IF(ISNUMBER('Dvd Calendar'!$O$1098)=FALSE,"",IF((Summary!$C$13="N")*('Dvd Calendar'!$O$1102='Field Check'!$C$25)&gt;0,"",'Dvd Calendar'!$O$1098)))</f>
        <v/>
      </c>
      <c r="DP81" s="85">
        <f>IF(BB81="","",IF(ISNUMBER('Dvd Calendar'!$P$1098)=FALSE,"",IF((Summary!$C$13="N")*('Dvd Calendar'!$P$1102='Field Check'!$C$25)&gt;0,"",'Dvd Calendar'!$P$1098)))</f>
        <v/>
      </c>
      <c r="DQ81" s="85">
        <f>IF(BC81="","",IF(ISNUMBER('Dvd Calendar'!$Q$1098)=FALSE,"",IF((Summary!$C$13="N")*('Dvd Calendar'!$Q$1102='Field Check'!$C$25)&gt;0,"",'Dvd Calendar'!$Q$1098)))</f>
        <v/>
      </c>
      <c r="DR81" s="85">
        <f>IF(BD81="","",IF(ISNUMBER('Dvd Calendar'!$R$1098)=FALSE,"",IF((Summary!$C$13="N")*('Dvd Calendar'!$R$1102='Field Check'!$C$25)&gt;0,"",'Dvd Calendar'!$R$1098)))</f>
        <v/>
      </c>
      <c r="DS81" s="85">
        <f>IF(BE81="","",IF(ISNUMBER('Dvd Calendar'!$S$1098)=FALSE,"",IF((Summary!$C$13="N")*('Dvd Calendar'!$S$1102='Field Check'!$C$25)&gt;0,"",'Dvd Calendar'!$S$1098)))</f>
        <v/>
      </c>
      <c r="DT81" s="85">
        <f>IF(BF81="","",IF(ISNUMBER('Dvd Calendar'!$T$1098)=FALSE,"",IF((Summary!$C$13="N")*('Dvd Calendar'!$T$1102='Field Check'!$C$25)&gt;0,"",'Dvd Calendar'!$T$1098)))</f>
        <v/>
      </c>
      <c r="DU81" s="85">
        <f>IF(BG81="","",IF(ISNUMBER('Dvd Calendar'!$U$1098)=FALSE,"",IF((Summary!$C$13="N")*('Dvd Calendar'!$U$1102='Field Check'!$C$25)&gt;0,"",'Dvd Calendar'!$U$1098)))</f>
        <v/>
      </c>
      <c r="DV81" s="85">
        <f>IF(BH81="","",IF(ISNUMBER('Dvd Calendar'!$V$1098)=FALSE,"",IF((Summary!$C$13="N")*('Dvd Calendar'!$V$1102='Field Check'!$C$25)&gt;0,"",'Dvd Calendar'!$V$1098)))</f>
        <v/>
      </c>
      <c r="DW81" s="85">
        <f>IF(BI81="","",IF(ISNUMBER('Dvd Calendar'!$W$1098)=FALSE,"",IF((Summary!$C$13="N")*('Dvd Calendar'!$W$1102='Field Check'!$C$25)&gt;0,"",'Dvd Calendar'!$W$1098)))</f>
        <v/>
      </c>
      <c r="DX81" s="85">
        <f>IF(BJ81="","",IF(ISNUMBER('Dvd Calendar'!$X$1098)=FALSE,"",IF((Summary!$C$13="N")*('Dvd Calendar'!$X$1102='Field Check'!$C$25)&gt;0,"",'Dvd Calendar'!$X$1098)))</f>
        <v/>
      </c>
      <c r="DY81" s="85">
        <f>IF(BK81="","",IF(ISNUMBER('Dvd Calendar'!$Y$1098)=FALSE,"",IF((Summary!$C$13="N")*('Dvd Calendar'!$Y$1102='Field Check'!$C$25)&gt;0,"",'Dvd Calendar'!$Y$1098)))</f>
        <v/>
      </c>
      <c r="DZ81" s="85">
        <f>IF(BL81="","",IF(ISNUMBER('Dvd Calendar'!$Z$1098)=FALSE,"",IF((Summary!$C$13="N")*('Dvd Calendar'!$Z$1102='Field Check'!$C$25)&gt;0,"",'Dvd Calendar'!$Z$1098)))</f>
        <v/>
      </c>
      <c r="EA81" s="85">
        <f>IF(BM81="","",IF(ISNUMBER('Dvd Calendar'!$AA$1098)=FALSE,"",IF((Summary!$C$13="N")*('Dvd Calendar'!$AA$1102='Field Check'!$C$25)&gt;0,"",'Dvd Calendar'!$AA$1098)))</f>
        <v/>
      </c>
      <c r="EB81" s="85">
        <f>IF(BN81="","",IF(ISNUMBER('Dvd Calendar'!$AB$1098)=FALSE,"",IF((Summary!$C$13="N")*('Dvd Calendar'!$AB$1102='Field Check'!$C$25)&gt;0,"",'Dvd Calendar'!$AB$1098)))</f>
        <v/>
      </c>
      <c r="EC81" s="85">
        <f>IF(BO81="","",IF(ISNUMBER('Dvd Calendar'!$AC$1098)=FALSE,"",IF((Summary!$C$13="N")*('Dvd Calendar'!$AC$1102='Field Check'!$C$25)&gt;0,"",'Dvd Calendar'!$AC$1098)))</f>
        <v/>
      </c>
      <c r="EE81" s="85">
        <f>IF(BQ81="","",IFERROR(BQ81*HSI!$B$79*HSI!$G$79/HSI!$B$3,""))</f>
        <v/>
      </c>
      <c r="EF81" s="85">
        <f>IF(BR81="","",IFERROR(BR81*HSI!$B$79*HSI!$G$79/HSI!$B$3,""))</f>
        <v/>
      </c>
      <c r="EG81" s="85">
        <f>IF(BS81="","",IFERROR(BS81*HSI!$B$79*HSI!$G$79/HSI!$B$3,""))</f>
        <v/>
      </c>
      <c r="EH81" s="85">
        <f>IF(BT81="","",IFERROR(BT81*HSI!$B$79*HSI!$G$79/HSI!$B$3,""))</f>
        <v/>
      </c>
      <c r="EI81" s="85">
        <f>IF(BU81="","",IFERROR(BU81*HSI!$B$79*HSI!$G$79/HSI!$B$3,""))</f>
        <v/>
      </c>
      <c r="EJ81" s="85">
        <f>IF(BV81="","",IFERROR(BV81*HSI!$B$79*HSI!$G$79/HSI!$B$3,""))</f>
        <v/>
      </c>
      <c r="EK81" s="85">
        <f>IF(BW81="","",IFERROR(BW81*HSI!$B$79*HSI!$G$79/HSI!$B$3,""))</f>
        <v/>
      </c>
      <c r="EL81" s="85">
        <f>IF(BX81="","",IFERROR(BX81*HSI!$B$79*HSI!$G$79/HSI!$B$3,""))</f>
        <v/>
      </c>
      <c r="EM81" s="85">
        <f>IF(BY81="","",IFERROR(BY81*HSI!$B$79*HSI!$G$79/HSI!$B$3,""))</f>
        <v/>
      </c>
      <c r="EN81" s="85">
        <f>IF(BZ81="","",IFERROR(BZ81*HSI!$B$79*HSI!$G$79/HSI!$B$3,""))</f>
        <v/>
      </c>
      <c r="EO81" s="85">
        <f>IF(CA81="","",IFERROR(CA81*HSI!$B$79*HSI!$G$79/HSI!$B$3,""))</f>
        <v/>
      </c>
      <c r="EP81" s="85">
        <f>IF(CB81="","",IFERROR(CB81*HSI!$B$79*HSI!$G$79/HSI!$B$3,""))</f>
        <v/>
      </c>
      <c r="EQ81" s="85">
        <f>IF(CC81="","",IFERROR(CC81*HSI!$B$79*HSI!$G$79/HSI!$B$3,""))</f>
        <v/>
      </c>
      <c r="ER81" s="85">
        <f>IF(CD81="","",IFERROR(CD81*HSI!$B$79*HSI!$G$79/HSI!$B$3,""))</f>
        <v/>
      </c>
      <c r="ES81" s="85">
        <f>IF(CE81="","",IFERROR(CE81*HSI!$B$79*HSI!$G$79/HSI!$B$3,""))</f>
        <v/>
      </c>
      <c r="ET81" s="85">
        <f>IF(CF81="","",IFERROR(CF81*HSI!$B$79*HSI!$G$79/HSI!$B$3,""))</f>
        <v/>
      </c>
      <c r="EU81" s="85">
        <f>IF(CG81="","",IFERROR(CG81*HSI!$B$79*HSI!$G$79/HSI!$B$3,""))</f>
        <v/>
      </c>
      <c r="EV81" s="85">
        <f>IF(CH81="","",IFERROR(CH81*HSI!$B$79*HSI!$G$79/HSI!$B$3,""))</f>
        <v/>
      </c>
      <c r="EW81" s="85">
        <f>IF(CI81="","",IFERROR(CI81*HSI!$B$79*HSI!$G$79/HSI!$B$3,""))</f>
        <v/>
      </c>
      <c r="EX81" s="85">
        <f>IF(CJ81="","",IFERROR(CJ81*HSI!$B$79*HSI!$G$79/HSI!$B$3,""))</f>
        <v/>
      </c>
      <c r="EY81" s="85">
        <f>IF(CK81="","",IFERROR(CK81*HSI!$B$79*HSI!$G$79/HSI!$B$3,""))</f>
        <v/>
      </c>
      <c r="EZ81" s="85">
        <f>IF(CL81="","",IFERROR(CL81*HSI!$B$79*HSI!$G$79/HSI!$B$3,""))</f>
        <v/>
      </c>
      <c r="FA81" s="85">
        <f>IF(CM81="","",IFERROR(CM81*HSI!$B$79*HSI!$G$79/HSI!$B$3,""))</f>
        <v/>
      </c>
      <c r="FB81" s="85">
        <f>IF(CN81="","",IFERROR(CN81*HSI!$B$79*HSI!$G$79/HSI!$B$3,""))</f>
        <v/>
      </c>
      <c r="FC81" s="85">
        <f>IF(CO81="","",IFERROR(CO81*HSI!$B$79*HSI!$G$79/HSI!$B$3,""))</f>
        <v/>
      </c>
      <c r="FD81" s="85">
        <f>IF(CP81="","",IFERROR(CP81*HSI!$B$79*HSI!$G$79/HSI!$B$3,""))</f>
        <v/>
      </c>
      <c r="FE81" s="85">
        <f>IF(CQ81="","",IFERROR(CQ81*HSI!$B$79*HSI!$G$79/HSI!$B$3,""))</f>
        <v/>
      </c>
      <c r="FF81" s="85">
        <f>IF(CR81="","",IFERROR(CR81*HSI!$B$79*HSI!$G$79/HSI!$B$3,""))</f>
        <v/>
      </c>
      <c r="FG81" s="85">
        <f>IF(CS81="","",IFERROR(CS81*HSI!$B$79*HSI!$G$79/HSI!$B$3,""))</f>
        <v/>
      </c>
      <c r="FH81" s="85">
        <f>IF(CT81="","",IFERROR(CT81*HSI!$B$79*HSI!$G$79/HSI!$B$3,""))</f>
        <v/>
      </c>
      <c r="FI81" s="85">
        <f>IF(CU81="","",IFERROR(CU81*HSI!$B$79*HSI!$G$79/HSI!$B$3,""))</f>
        <v/>
      </c>
      <c r="FJ81" s="85">
        <f>IF(CV81="","",IFERROR(CV81*HSI!$B$79*HSI!$G$79/HSI!$B$3,""))</f>
        <v/>
      </c>
      <c r="FK81" s="85">
        <f>IF(CW81="","",IFERROR(CW81*HSI!$B$79*HSI!$G$79/HSI!$B$3,""))</f>
        <v/>
      </c>
      <c r="FL81" s="85">
        <f>IF(CX81="","",IFERROR(CX81*HSI!$B$79*HSI!$G$79/HSI!$B$3,""))</f>
        <v/>
      </c>
      <c r="FM81" s="85">
        <f>IF(CY81="","",IFERROR(CY81*HSI!$B$79*HSI!$G$79/HSI!$B$3,""))</f>
        <v/>
      </c>
      <c r="FN81" s="85">
        <f>IF(CZ81="","",IFERROR(CZ81*HSI!$B$79*HSI!$G$79/HSI!$B$3,""))</f>
        <v/>
      </c>
      <c r="FO81" s="85">
        <f>IF(DA81="","",IFERROR(DA81*HSI!$B$79*HSI!$G$79/HSI!$B$3,""))</f>
        <v/>
      </c>
      <c r="FP81" s="85">
        <f>IF(DB81="","",IFERROR(DB81*HSI!$B$79*HSI!$G$79/HSI!$B$3,""))</f>
        <v/>
      </c>
      <c r="FQ81" s="85">
        <f>IF(DC81="","",IFERROR(DC81*HSI!$B$79*HSI!$G$79/HSI!$B$3,""))</f>
        <v/>
      </c>
      <c r="FR81" s="85">
        <f>IF(DD81="","",IFERROR(DD81*HSI!$B$79*HSI!$G$79/HSI!$B$3,""))</f>
        <v/>
      </c>
      <c r="FS81" s="85">
        <f>IF(DE81="","",IFERROR(DE81*HSI!$B$79*HSI!$G$79/HSI!$B$3,""))</f>
        <v/>
      </c>
      <c r="FT81" s="85">
        <f>IF(DF81="","",IFERROR(DF81*HSI!$B$79*HSI!$G$79/HSI!$B$3,""))</f>
        <v/>
      </c>
      <c r="FU81" s="85">
        <f>IF(DG81="","",IFERROR(DG81*HSI!$B$79*HSI!$G$79/HSI!$B$3,""))</f>
        <v/>
      </c>
      <c r="FV81" s="85">
        <f>IF(DH81="","",IFERROR(DH81*HSI!$B$79*HSI!$G$79/HSI!$B$3,""))</f>
        <v/>
      </c>
      <c r="FW81" s="85">
        <f>IF(DI81="","",IFERROR(DI81*HSI!$B$79*HSI!$G$79/HSI!$B$3,""))</f>
        <v/>
      </c>
      <c r="FX81" s="85">
        <f>IF(DJ81="","",IFERROR(DJ81*HSI!$B$79*HSI!$G$79/HSI!$B$3,""))</f>
        <v/>
      </c>
      <c r="FY81" s="85">
        <f>IF(DK81="","",IFERROR(DK81*HSI!$B$79*HSI!$G$79/HSI!$B$3,""))</f>
        <v/>
      </c>
      <c r="FZ81" s="85">
        <f>IF(DL81="","",IFERROR(DL81*HSI!$B$79*HSI!$G$79/HSI!$B$3,""))</f>
        <v/>
      </c>
      <c r="GA81" s="85">
        <f>IF(DM81="","",IFERROR(DM81*HSI!$B$79*HSI!$G$79/HSI!$B$3,""))</f>
        <v/>
      </c>
      <c r="GB81" s="85">
        <f>IF(DN81="","",IFERROR(DN81*HSI!$B$79*HSI!$G$79/HSI!$B$3,""))</f>
        <v/>
      </c>
      <c r="GC81" s="85">
        <f>IF(DO81="","",IFERROR(DO81*HSI!$B$79*HSI!$G$79/HSI!$B$3,""))</f>
        <v/>
      </c>
      <c r="GD81" s="85">
        <f>IF(DP81="","",IFERROR(DP81*HSI!$B$79*HSI!$G$79/HSI!$B$3,""))</f>
        <v/>
      </c>
      <c r="GE81" s="85">
        <f>IF(DQ81="","",IFERROR(DQ81*HSI!$B$79*HSI!$G$79/HSI!$B$3,""))</f>
        <v/>
      </c>
      <c r="GF81" s="85">
        <f>IF(DR81="","",IFERROR(DR81*HSI!$B$79*HSI!$G$79/HSI!$B$3,""))</f>
        <v/>
      </c>
      <c r="GG81" s="85">
        <f>IF(DS81="","",IFERROR(DS81*HSI!$B$79*HSI!$G$79/HSI!$B$3,""))</f>
        <v/>
      </c>
      <c r="GH81" s="85">
        <f>IF(DT81="","",IFERROR(DT81*HSI!$B$79*HSI!$G$79/HSI!$B$3,""))</f>
        <v/>
      </c>
      <c r="GI81" s="85">
        <f>IF(DU81="","",IFERROR(DU81*HSI!$B$79*HSI!$G$79/HSI!$B$3,""))</f>
        <v/>
      </c>
      <c r="GJ81" s="85">
        <f>IF(DV81="","",IFERROR(DV81*HSI!$B$79*HSI!$G$79/HSI!$B$3,""))</f>
        <v/>
      </c>
      <c r="GK81" s="85">
        <f>IF(DW81="","",IFERROR(DW81*HSI!$B$79*HSI!$G$79/HSI!$B$3,""))</f>
        <v/>
      </c>
      <c r="GL81" s="85">
        <f>IF(DX81="","",IFERROR(DX81*HSI!$B$79*HSI!$G$79/HSI!$B$3,""))</f>
        <v/>
      </c>
      <c r="GM81" s="85">
        <f>IF(DY81="","",IFERROR(DY81*HSI!$B$79*HSI!$G$79/HSI!$B$3,""))</f>
        <v/>
      </c>
      <c r="GN81" s="85">
        <f>IF(DZ81="","",IFERROR(DZ81*HSI!$B$79*HSI!$G$79/HSI!$B$3,""))</f>
        <v/>
      </c>
      <c r="GO81" s="85">
        <f>IF(EA81="","",IFERROR(EA81*HSI!$B$79*HSI!$G$79/HSI!$B$3,""))</f>
        <v/>
      </c>
      <c r="GP81" s="85">
        <f>IF(EB81="","",IFERROR(EB81*HSI!$B$79*HSI!$G$79/HSI!$B$3,""))</f>
        <v/>
      </c>
      <c r="GQ81" s="85">
        <f>IF(EC81="","",IFERROR(EC81*HSI!$B$79*HSI!$G$79/HSI!$B$3,""))</f>
        <v/>
      </c>
    </row>
    <row r="82">
      <c r="B82" s="2">
        <f>IF(HSI!$C$80="","",HSI!$C$80)</f>
        <v/>
      </c>
      <c r="C82" s="41">
        <f>IF(N('Dvd Calendar'!$E$1105)=0,"",IF(('Dvd Calendar'!$E$1105&gt;=MIN(DATE(Summary!$C$12,1,1),Summary!$C$11))*('Dvd Calendar'!$E$1105&lt;=MAX(DATE(Summary!$C$12,12,31),Summary!$C$15))*('Dvd Calendar'!$E$1105&lt;=Summary!$C$11)=0,"",'Dvd Calendar'!$E$1105*1000000000+ISNUMBER('Dvd Calendar'!$E$1106)*100000000+('Dvd Calendar'!$E$1110='Field Check'!$C$25)*10000000+(N('Dvd Calendar'!$E$1104)&gt;0)*1000000+74*1000+1))</f>
        <v/>
      </c>
      <c r="D82" s="41">
        <f>IF(N('Dvd Calendar'!$F$1105)=0,"",IF(('Dvd Calendar'!$F$1105&gt;=MIN(DATE(Summary!$C$12,1,1),Summary!$C$11))*('Dvd Calendar'!$F$1105&lt;=MAX(DATE(Summary!$C$12,12,31),Summary!$C$15))*('Dvd Calendar'!$F$1105&lt;=Summary!$C$11)=0,"",'Dvd Calendar'!$F$1105*1000000000+ISNUMBER('Dvd Calendar'!$F$1106)*100000000+('Dvd Calendar'!$F$1110='Field Check'!$C$25)*10000000+(N('Dvd Calendar'!$F$1104)&gt;0)*1000000+74*1000+2))</f>
        <v/>
      </c>
      <c r="E82" s="41">
        <f>IF(N('Dvd Calendar'!$G$1105)=0,"",IF(('Dvd Calendar'!$G$1105&gt;=MIN(DATE(Summary!$C$12,1,1),Summary!$C$11))*('Dvd Calendar'!$G$1105&lt;=MAX(DATE(Summary!$C$12,12,31),Summary!$C$15))*('Dvd Calendar'!$G$1105&lt;=Summary!$C$11)=0,"",'Dvd Calendar'!$G$1105*1000000000+ISNUMBER('Dvd Calendar'!$G$1106)*100000000+('Dvd Calendar'!$G$1110='Field Check'!$C$25)*10000000+(N('Dvd Calendar'!$G$1104)&gt;0)*1000000+74*1000+3))</f>
        <v/>
      </c>
      <c r="F82" s="41">
        <f>IF(N('Dvd Calendar'!$H$1105)=0,"",IF(('Dvd Calendar'!$H$1105&gt;=MIN(DATE(Summary!$C$12,1,1),Summary!$C$11))*('Dvd Calendar'!$H$1105&lt;=MAX(DATE(Summary!$C$12,12,31),Summary!$C$15))*('Dvd Calendar'!$H$1105&lt;=Summary!$C$11)=0,"",'Dvd Calendar'!$H$1105*1000000000+ISNUMBER('Dvd Calendar'!$H$1106)*100000000+('Dvd Calendar'!$H$1110='Field Check'!$C$25)*10000000+(N('Dvd Calendar'!$H$1104)&gt;0)*1000000+74*1000+4))</f>
        <v/>
      </c>
      <c r="G82" s="41">
        <f>IF(N('Dvd Calendar'!$I$1105)=0,"",IF(('Dvd Calendar'!$I$1105&gt;=MIN(DATE(Summary!$C$12,1,1),Summary!$C$11))*('Dvd Calendar'!$I$1105&lt;=MAX(DATE(Summary!$C$12,12,31),Summary!$C$15))*('Dvd Calendar'!$I$1105&lt;=Summary!$C$11)=0,"",'Dvd Calendar'!$I$1105*1000000000+ISNUMBER('Dvd Calendar'!$I$1106)*100000000+('Dvd Calendar'!$I$1110='Field Check'!$C$25)*10000000+(N('Dvd Calendar'!$I$1104)&gt;0)*1000000+74*1000+5))</f>
        <v/>
      </c>
      <c r="H82" s="41">
        <f>IF(N('Dvd Calendar'!$J$1105)=0,"",IF(('Dvd Calendar'!$J$1105&gt;=MIN(DATE(Summary!$C$12,1,1),Summary!$C$11))*('Dvd Calendar'!$J$1105&lt;=MAX(DATE(Summary!$C$12,12,31),Summary!$C$15))*('Dvd Calendar'!$J$1105&lt;=Summary!$C$11)=0,"",'Dvd Calendar'!$J$1105*1000000000+ISNUMBER('Dvd Calendar'!$J$1106)*100000000+('Dvd Calendar'!$J$1110='Field Check'!$C$25)*10000000+(N('Dvd Calendar'!$J$1104)&gt;0)*1000000+74*1000+6))</f>
        <v/>
      </c>
      <c r="I82" s="41">
        <f>IF(N('Dvd Calendar'!$K$1105)=0,"",IF(('Dvd Calendar'!$K$1105&gt;=MIN(DATE(Summary!$C$12,1,1),Summary!$C$11))*('Dvd Calendar'!$K$1105&lt;=MAX(DATE(Summary!$C$12,12,31),Summary!$C$15))*('Dvd Calendar'!$K$1105&lt;=Summary!$C$11)=0,"",'Dvd Calendar'!$K$1105*1000000000+ISNUMBER('Dvd Calendar'!$K$1106)*100000000+('Dvd Calendar'!$K$1110='Field Check'!$C$25)*10000000+(N('Dvd Calendar'!$K$1104)&gt;0)*1000000+74*1000+7))</f>
        <v/>
      </c>
      <c r="J82" s="41">
        <f>IF(N('Dvd Calendar'!$L$1105)=0,"",IF(('Dvd Calendar'!$L$1105&gt;=MIN(DATE(Summary!$C$12,1,1),Summary!$C$11))*('Dvd Calendar'!$L$1105&lt;=MAX(DATE(Summary!$C$12,12,31),Summary!$C$15))*('Dvd Calendar'!$L$1105&lt;=Summary!$C$11)=0,"",'Dvd Calendar'!$L$1105*1000000000+ISNUMBER('Dvd Calendar'!$L$1106)*100000000+('Dvd Calendar'!$L$1110='Field Check'!$C$25)*10000000+(N('Dvd Calendar'!$L$1104)&gt;0)*1000000+74*1000+8))</f>
        <v/>
      </c>
      <c r="K82" s="41">
        <f>IF(N('Dvd Calendar'!$M$1105)=0,"",IF(('Dvd Calendar'!$M$1105&gt;=MIN(DATE(Summary!$C$12,1,1),Summary!$C$11))*('Dvd Calendar'!$M$1105&lt;=MAX(DATE(Summary!$C$12,12,31),Summary!$C$15))*('Dvd Calendar'!$M$1105&lt;=Summary!$C$11)=0,"",'Dvd Calendar'!$M$1105*1000000000+ISNUMBER('Dvd Calendar'!$M$1106)*100000000+('Dvd Calendar'!$M$1110='Field Check'!$C$25)*10000000+(N('Dvd Calendar'!$M$1104)&gt;0)*1000000+74*1000+9))</f>
        <v/>
      </c>
      <c r="L82" s="41">
        <f>IF(N('Dvd Calendar'!$N$1105)=0,"",IF(('Dvd Calendar'!$N$1105&gt;=MIN(DATE(Summary!$C$12,1,1),Summary!$C$11))*('Dvd Calendar'!$N$1105&lt;=MAX(DATE(Summary!$C$12,12,31),Summary!$C$15))*('Dvd Calendar'!$N$1105&lt;=Summary!$C$11)=0,"",'Dvd Calendar'!$N$1105*1000000000+ISNUMBER('Dvd Calendar'!$N$1106)*100000000+('Dvd Calendar'!$N$1110='Field Check'!$C$25)*10000000+(N('Dvd Calendar'!$N$1104)&gt;0)*1000000+74*1000+10))</f>
        <v/>
      </c>
      <c r="M82" s="41">
        <f>IF(N('Dvd Calendar'!$O$1105)=0,"",IF(('Dvd Calendar'!$O$1105&gt;=MIN(DATE(Summary!$C$12,1,1),Summary!$C$11))*('Dvd Calendar'!$O$1105&lt;=MAX(DATE(Summary!$C$12,12,31),Summary!$C$15))*('Dvd Calendar'!$O$1105&lt;=Summary!$C$11)=0,"",'Dvd Calendar'!$O$1105*1000000000+ISNUMBER('Dvd Calendar'!$O$1106)*100000000+('Dvd Calendar'!$O$1110='Field Check'!$C$25)*10000000+(N('Dvd Calendar'!$O$1104)&gt;0)*1000000+74*1000+11))</f>
        <v/>
      </c>
      <c r="N82" s="41">
        <f>IF(N('Dvd Calendar'!$P$1105)=0,"",IF(('Dvd Calendar'!$P$1105&gt;=MIN(DATE(Summary!$C$12,1,1),Summary!$C$11))*('Dvd Calendar'!$P$1105&lt;=MAX(DATE(Summary!$C$12,12,31),Summary!$C$15))*('Dvd Calendar'!$P$1105&lt;=Summary!$C$11)=0,"",'Dvd Calendar'!$P$1105*1000000000+ISNUMBER('Dvd Calendar'!$P$1106)*100000000+('Dvd Calendar'!$P$1110='Field Check'!$C$25)*10000000+(N('Dvd Calendar'!$P$1104)&gt;0)*1000000+74*1000+12))</f>
        <v/>
      </c>
      <c r="O82" s="41">
        <f>IF(N('Dvd Calendar'!$Q$1105)=0,"",IF(('Dvd Calendar'!$Q$1105&gt;=MIN(DATE(Summary!$C$12,1,1),Summary!$C$11))*('Dvd Calendar'!$Q$1105&lt;=MAX(DATE(Summary!$C$12,12,31),Summary!$C$15))*('Dvd Calendar'!$Q$1105&lt;=Summary!$C$11)=0,"",'Dvd Calendar'!$Q$1105*1000000000+ISNUMBER('Dvd Calendar'!$Q$1106)*100000000+('Dvd Calendar'!$Q$1110='Field Check'!$C$25)*10000000+(N('Dvd Calendar'!$Q$1104)&gt;0)*1000000+74*1000+13))</f>
        <v/>
      </c>
      <c r="P82" s="41">
        <f>IF(N('Dvd Calendar'!$R$1105)=0,"",IF(('Dvd Calendar'!$R$1105&gt;=MIN(DATE(Summary!$C$12,1,1),Summary!$C$11))*('Dvd Calendar'!$R$1105&lt;=MAX(DATE(Summary!$C$12,12,31),Summary!$C$15))*('Dvd Calendar'!$R$1105&lt;=Summary!$C$11)=0,"",'Dvd Calendar'!$R$1105*1000000000+ISNUMBER('Dvd Calendar'!$R$1106)*100000000+('Dvd Calendar'!$R$1110='Field Check'!$C$25)*10000000+(N('Dvd Calendar'!$R$1104)&gt;0)*1000000+74*1000+14))</f>
        <v/>
      </c>
      <c r="Q82" s="41">
        <f>IF(N('Dvd Calendar'!$S$1105)=0,"",IF(('Dvd Calendar'!$S$1105&gt;=MIN(DATE(Summary!$C$12,1,1),Summary!$C$11))*('Dvd Calendar'!$S$1105&lt;=MAX(DATE(Summary!$C$12,12,31),Summary!$C$15))*('Dvd Calendar'!$S$1105&lt;=Summary!$C$11)=0,"",'Dvd Calendar'!$S$1105*1000000000+ISNUMBER('Dvd Calendar'!$S$1106)*100000000+('Dvd Calendar'!$S$1110='Field Check'!$C$25)*10000000+(N('Dvd Calendar'!$S$1104)&gt;0)*1000000+74*1000+15))</f>
        <v/>
      </c>
      <c r="R82" s="41">
        <f>IF(N('Dvd Calendar'!$T$1105)=0,"",IF(('Dvd Calendar'!$T$1105&gt;=MIN(DATE(Summary!$C$12,1,1),Summary!$C$11))*('Dvd Calendar'!$T$1105&lt;=MAX(DATE(Summary!$C$12,12,31),Summary!$C$15))*('Dvd Calendar'!$T$1105&lt;=Summary!$C$11)=0,"",'Dvd Calendar'!$T$1105*1000000000+ISNUMBER('Dvd Calendar'!$T$1106)*100000000+('Dvd Calendar'!$T$1110='Field Check'!$C$25)*10000000+(N('Dvd Calendar'!$T$1104)&gt;0)*1000000+74*1000+16))</f>
        <v/>
      </c>
      <c r="S82" s="41">
        <f>IF(N('Dvd Calendar'!$U$1105)=0,"",IF(('Dvd Calendar'!$U$1105&gt;=MIN(DATE(Summary!$C$12,1,1),Summary!$C$11))*('Dvd Calendar'!$U$1105&lt;=MAX(DATE(Summary!$C$12,12,31),Summary!$C$15))*('Dvd Calendar'!$U$1105&lt;=Summary!$C$11)=0,"",'Dvd Calendar'!$U$1105*1000000000+ISNUMBER('Dvd Calendar'!$U$1106)*100000000+('Dvd Calendar'!$U$1110='Field Check'!$C$25)*10000000+(N('Dvd Calendar'!$U$1104)&gt;0)*1000000+74*1000+17))</f>
        <v/>
      </c>
      <c r="T82" s="41">
        <f>IF(N('Dvd Calendar'!$V$1105)=0,"",IF(('Dvd Calendar'!$V$1105&gt;=MIN(DATE(Summary!$C$12,1,1),Summary!$C$11))*('Dvd Calendar'!$V$1105&lt;=MAX(DATE(Summary!$C$12,12,31),Summary!$C$15))*('Dvd Calendar'!$V$1105&lt;=Summary!$C$11)=0,"",'Dvd Calendar'!$V$1105*1000000000+ISNUMBER('Dvd Calendar'!$V$1106)*100000000+('Dvd Calendar'!$V$1110='Field Check'!$C$25)*10000000+(N('Dvd Calendar'!$V$1104)&gt;0)*1000000+74*1000+18))</f>
        <v/>
      </c>
      <c r="U82" s="41">
        <f>IF(N('Dvd Calendar'!$W$1105)=0,"",IF(('Dvd Calendar'!$W$1105&gt;=MIN(DATE(Summary!$C$12,1,1),Summary!$C$11))*('Dvd Calendar'!$W$1105&lt;=MAX(DATE(Summary!$C$12,12,31),Summary!$C$15))*('Dvd Calendar'!$W$1105&lt;=Summary!$C$11)=0,"",'Dvd Calendar'!$W$1105*1000000000+ISNUMBER('Dvd Calendar'!$W$1106)*100000000+('Dvd Calendar'!$W$1110='Field Check'!$C$25)*10000000+(N('Dvd Calendar'!$W$1104)&gt;0)*1000000+74*1000+19))</f>
        <v/>
      </c>
      <c r="V82" s="41">
        <f>IF(N('Dvd Calendar'!$X$1105)=0,"",IF(('Dvd Calendar'!$X$1105&gt;=MIN(DATE(Summary!$C$12,1,1),Summary!$C$11))*('Dvd Calendar'!$X$1105&lt;=MAX(DATE(Summary!$C$12,12,31),Summary!$C$15))*('Dvd Calendar'!$X$1105&lt;=Summary!$C$11)=0,"",'Dvd Calendar'!$X$1105*1000000000+ISNUMBER('Dvd Calendar'!$X$1106)*100000000+('Dvd Calendar'!$X$1110='Field Check'!$C$25)*10000000+(N('Dvd Calendar'!$X$1104)&gt;0)*1000000+74*1000+20))</f>
        <v/>
      </c>
      <c r="W82" s="41">
        <f>IF(N('Dvd Calendar'!$Y$1105)=0,"",IF(('Dvd Calendar'!$Y$1105&gt;=MIN(DATE(Summary!$C$12,1,1),Summary!$C$11))*('Dvd Calendar'!$Y$1105&lt;=MAX(DATE(Summary!$C$12,12,31),Summary!$C$15))*('Dvd Calendar'!$Y$1105&lt;=Summary!$C$11)=0,"",'Dvd Calendar'!$Y$1105*1000000000+ISNUMBER('Dvd Calendar'!$Y$1106)*100000000+('Dvd Calendar'!$Y$1110='Field Check'!$C$25)*10000000+(N('Dvd Calendar'!$Y$1104)&gt;0)*1000000+74*1000+21))</f>
        <v/>
      </c>
      <c r="X82" s="41">
        <f>IF(N('Dvd Calendar'!$Z$1105)=0,"",IF(('Dvd Calendar'!$Z$1105&gt;=MIN(DATE(Summary!$C$12,1,1),Summary!$C$11))*('Dvd Calendar'!$Z$1105&lt;=MAX(DATE(Summary!$C$12,12,31),Summary!$C$15))*('Dvd Calendar'!$Z$1105&lt;=Summary!$C$11)=0,"",'Dvd Calendar'!$Z$1105*1000000000+ISNUMBER('Dvd Calendar'!$Z$1106)*100000000+('Dvd Calendar'!$Z$1110='Field Check'!$C$25)*10000000+(N('Dvd Calendar'!$Z$1104)&gt;0)*1000000+74*1000+22))</f>
        <v/>
      </c>
      <c r="Y82" s="41">
        <f>IF(N('Dvd Calendar'!$AA$1105)=0,"",IF(('Dvd Calendar'!$AA$1105&gt;=MIN(DATE(Summary!$C$12,1,1),Summary!$C$11))*('Dvd Calendar'!$AA$1105&lt;=MAX(DATE(Summary!$C$12,12,31),Summary!$C$15))*('Dvd Calendar'!$AA$1105&lt;=Summary!$C$11)=0,"",'Dvd Calendar'!$AA$1105*1000000000+ISNUMBER('Dvd Calendar'!$AA$1106)*100000000+('Dvd Calendar'!$AA$1110='Field Check'!$C$25)*10000000+(N('Dvd Calendar'!$AA$1104)&gt;0)*1000000+74*1000+23))</f>
        <v/>
      </c>
      <c r="Z82" s="41">
        <f>IF(N('Dvd Calendar'!$AB$1105)=0,"",IF(('Dvd Calendar'!$AB$1105&gt;=MIN(DATE(Summary!$C$12,1,1),Summary!$C$11))*('Dvd Calendar'!$AB$1105&lt;=MAX(DATE(Summary!$C$12,12,31),Summary!$C$15))*('Dvd Calendar'!$AB$1105&lt;=Summary!$C$11)=0,"",'Dvd Calendar'!$AB$1105*1000000000+ISNUMBER('Dvd Calendar'!$AB$1106)*100000000+('Dvd Calendar'!$AB$1110='Field Check'!$C$25)*10000000+(N('Dvd Calendar'!$AB$1104)&gt;0)*1000000+74*1000+24))</f>
        <v/>
      </c>
      <c r="AA82" s="41">
        <f>IF(N('Dvd Calendar'!$AC$1105)=0,"",IF(('Dvd Calendar'!$AC$1105&gt;=MIN(DATE(Summary!$C$12,1,1),Summary!$C$11))*('Dvd Calendar'!$AC$1105&lt;=MAX(DATE(Summary!$C$12,12,31),Summary!$C$15))*('Dvd Calendar'!$AC$1105&lt;=Summary!$C$11)=0,"",'Dvd Calendar'!$AC$1105*1000000000+ISNUMBER('Dvd Calendar'!$AC$1106)*100000000+('Dvd Calendar'!$AC$1110='Field Check'!$C$25)*10000000+(N('Dvd Calendar'!$AC$1104)&gt;0)*1000000+74*1000+25))</f>
        <v/>
      </c>
      <c r="AB82" s="41">
        <f>IF(N('Dvd Calendar'!$AD$1105)=0,"",IF(('Dvd Calendar'!$AD$1105&gt;=MIN(DATE(Summary!$C$12,1,1),Summary!$C$11))*('Dvd Calendar'!$AD$1105&lt;=MAX(DATE(Summary!$C$12,12,31),Summary!$C$15))*('Dvd Calendar'!$AD$1105&lt;=Summary!$C$11)=0,"",'Dvd Calendar'!$AD$1105*1000000000+ISNUMBER('Dvd Calendar'!$AD$1106)*100000000+('Dvd Calendar'!$AD$1110='Field Check'!$C$25)*10000000+(N('Dvd Calendar'!$AD$1104)&gt;0)*1000000+74*1000+26))</f>
        <v/>
      </c>
      <c r="AC82" s="41">
        <f>IF(N('Dvd Calendar'!$AE$1105)=0,"",IF(('Dvd Calendar'!$AE$1105&gt;=MIN(DATE(Summary!$C$12,1,1),Summary!$C$11))*('Dvd Calendar'!$AE$1105&lt;=MAX(DATE(Summary!$C$12,12,31),Summary!$C$15))*('Dvd Calendar'!$AE$1105&lt;=Summary!$C$11)=0,"",'Dvd Calendar'!$AE$1105*1000000000+ISNUMBER('Dvd Calendar'!$AE$1106)*100000000+('Dvd Calendar'!$AE$1110='Field Check'!$C$25)*10000000+(N('Dvd Calendar'!$AE$1104)&gt;0)*1000000+74*1000+27))</f>
        <v/>
      </c>
      <c r="AD82" s="41">
        <f>IF(N('Dvd Calendar'!$AF$1105)=0,"",IF(('Dvd Calendar'!$AF$1105&gt;=MIN(DATE(Summary!$C$12,1,1),Summary!$C$11))*('Dvd Calendar'!$AF$1105&lt;=MAX(DATE(Summary!$C$12,12,31),Summary!$C$15))*('Dvd Calendar'!$AF$1105&lt;=Summary!$C$11)=0,"",'Dvd Calendar'!$AF$1105*1000000000+ISNUMBER('Dvd Calendar'!$AF$1106)*100000000+('Dvd Calendar'!$AF$1110='Field Check'!$C$25)*10000000+(N('Dvd Calendar'!$AF$1104)&gt;0)*1000000+74*1000+28))</f>
        <v/>
      </c>
      <c r="AE82" s="41">
        <f>IF(N('Dvd Calendar'!$AG$1105)=0,"",IF(('Dvd Calendar'!$AG$1105&gt;=MIN(DATE(Summary!$C$12,1,1),Summary!$C$11))*('Dvd Calendar'!$AG$1105&lt;=MAX(DATE(Summary!$C$12,12,31),Summary!$C$15))*('Dvd Calendar'!$AG$1105&lt;=Summary!$C$11)=0,"",'Dvd Calendar'!$AG$1105*1000000000+ISNUMBER('Dvd Calendar'!$AG$1106)*100000000+('Dvd Calendar'!$AG$1110='Field Check'!$C$25)*10000000+(N('Dvd Calendar'!$AG$1104)&gt;0)*1000000+74*1000+29))</f>
        <v/>
      </c>
      <c r="AF82" s="41">
        <f>IF(N('Dvd Calendar'!$AH$1105)=0,"",IF(('Dvd Calendar'!$AH$1105&gt;=MIN(DATE(Summary!$C$12,1,1),Summary!$C$11))*('Dvd Calendar'!$AH$1105&lt;=MAX(DATE(Summary!$C$12,12,31),Summary!$C$15))*('Dvd Calendar'!$AH$1105&lt;=Summary!$C$11)=0,"",'Dvd Calendar'!$AH$1105*1000000000+ISNUMBER('Dvd Calendar'!$AH$1106)*100000000+('Dvd Calendar'!$AH$1110='Field Check'!$C$25)*10000000+(N('Dvd Calendar'!$AH$1104)&gt;0)*1000000+74*1000+30))</f>
        <v/>
      </c>
      <c r="AG82" s="41">
        <f>IF(N('Dvd Calendar'!$AI$1105)=0,"",IF(('Dvd Calendar'!$AI$1105&gt;=MIN(DATE(Summary!$C$12,1,1),Summary!$C$11))*('Dvd Calendar'!$AI$1105&lt;=MAX(DATE(Summary!$C$12,12,31),Summary!$C$15))*('Dvd Calendar'!$AI$1105&lt;=Summary!$C$11)=0,"",'Dvd Calendar'!$AI$1105*1000000000+ISNUMBER('Dvd Calendar'!$AI$1106)*100000000+('Dvd Calendar'!$AI$1110='Field Check'!$C$25)*10000000+(N('Dvd Calendar'!$AI$1104)&gt;0)*1000000+74*1000+31))</f>
        <v/>
      </c>
      <c r="AH82" s="41">
        <f>IF(N('Dvd Calendar'!$AJ$1105)=0,"",IF(('Dvd Calendar'!$AJ$1105&gt;=MIN(DATE(Summary!$C$12,1,1),Summary!$C$11))*('Dvd Calendar'!$AJ$1105&lt;=MAX(DATE(Summary!$C$12,12,31),Summary!$C$15))*('Dvd Calendar'!$AJ$1105&lt;=Summary!$C$11)=0,"",'Dvd Calendar'!$AJ$1105*1000000000+ISNUMBER('Dvd Calendar'!$AJ$1106)*100000000+('Dvd Calendar'!$AJ$1110='Field Check'!$C$25)*10000000+(N('Dvd Calendar'!$AJ$1104)&gt;0)*1000000+74*1000+32))</f>
        <v/>
      </c>
      <c r="AI82" s="41">
        <f>IF(N('Dvd Calendar'!$AK$1105)=0,"",IF(('Dvd Calendar'!$AK$1105&gt;=MIN(DATE(Summary!$C$12,1,1),Summary!$C$11))*('Dvd Calendar'!$AK$1105&lt;=MAX(DATE(Summary!$C$12,12,31),Summary!$C$15))*('Dvd Calendar'!$AK$1105&lt;=Summary!$C$11)=0,"",'Dvd Calendar'!$AK$1105*1000000000+ISNUMBER('Dvd Calendar'!$AK$1106)*100000000+('Dvd Calendar'!$AK$1110='Field Check'!$C$25)*10000000+(N('Dvd Calendar'!$AK$1104)&gt;0)*1000000+74*1000+33))</f>
        <v/>
      </c>
      <c r="AJ82" s="41">
        <f>IF(N('Dvd Calendar'!$AL$1105)=0,"",IF(('Dvd Calendar'!$AL$1105&gt;=MIN(DATE(Summary!$C$12,1,1),Summary!$C$11))*('Dvd Calendar'!$AL$1105&lt;=MAX(DATE(Summary!$C$12,12,31),Summary!$C$15))*('Dvd Calendar'!$AL$1105&lt;=Summary!$C$11)=0,"",'Dvd Calendar'!$AL$1105*1000000000+ISNUMBER('Dvd Calendar'!$AL$1106)*100000000+('Dvd Calendar'!$AL$1110='Field Check'!$C$25)*10000000+(N('Dvd Calendar'!$AL$1104)&gt;0)*1000000+74*1000+34))</f>
        <v/>
      </c>
      <c r="AK82" s="41">
        <f>IF(N('Dvd Calendar'!$AM$1105)=0,"",IF(('Dvd Calendar'!$AM$1105&gt;=MIN(DATE(Summary!$C$12,1,1),Summary!$C$11))*('Dvd Calendar'!$AM$1105&lt;=MAX(DATE(Summary!$C$12,12,31),Summary!$C$15))*('Dvd Calendar'!$AM$1105&lt;=Summary!$C$11)=0,"",'Dvd Calendar'!$AM$1105*1000000000+ISNUMBER('Dvd Calendar'!$AM$1106)*100000000+('Dvd Calendar'!$AM$1110='Field Check'!$C$25)*10000000+(N('Dvd Calendar'!$AM$1104)&gt;0)*1000000+74*1000+35))</f>
        <v/>
      </c>
      <c r="AL82" s="41">
        <f>IF(N('Dvd Calendar'!$AN$1105)=0,"",IF(('Dvd Calendar'!$AN$1105&gt;=MIN(DATE(Summary!$C$12,1,1),Summary!$C$11))*('Dvd Calendar'!$AN$1105&lt;=MAX(DATE(Summary!$C$12,12,31),Summary!$C$15))*('Dvd Calendar'!$AN$1105&lt;=Summary!$C$11)=0,"",'Dvd Calendar'!$AN$1105*1000000000+ISNUMBER('Dvd Calendar'!$AN$1106)*100000000+('Dvd Calendar'!$AN$1110='Field Check'!$C$25)*10000000+(N('Dvd Calendar'!$AN$1104)&gt;0)*1000000+74*1000+36))</f>
        <v/>
      </c>
      <c r="AM82" s="41">
        <f>IF(N('Dvd Calendar'!$AO$1105)=0,"",IF(('Dvd Calendar'!$AO$1105&gt;=MIN(DATE(Summary!$C$12,1,1),Summary!$C$11))*('Dvd Calendar'!$AO$1105&lt;=MAX(DATE(Summary!$C$12,12,31),Summary!$C$15))*('Dvd Calendar'!$AO$1105&lt;=Summary!$C$11)=0,"",'Dvd Calendar'!$AO$1105*1000000000+ISNUMBER('Dvd Calendar'!$AO$1106)*100000000+('Dvd Calendar'!$AO$1110='Field Check'!$C$25)*10000000+(N('Dvd Calendar'!$AO$1104)&gt;0)*1000000+74*1000+37))</f>
        <v/>
      </c>
      <c r="AN82" s="41">
        <f>IF(N('Dvd Calendar'!$AP$1105)=0,"",IF(('Dvd Calendar'!$AP$1105&gt;=MIN(DATE(Summary!$C$12,1,1),Summary!$C$11))*('Dvd Calendar'!$AP$1105&lt;=MAX(DATE(Summary!$C$12,12,31),Summary!$C$15))*('Dvd Calendar'!$AP$1105&lt;=Summary!$C$11)=0,"",'Dvd Calendar'!$AP$1105*1000000000+ISNUMBER('Dvd Calendar'!$AP$1106)*100000000+('Dvd Calendar'!$AP$1110='Field Check'!$C$25)*10000000+(N('Dvd Calendar'!$AP$1104)&gt;0)*1000000+74*1000+38))</f>
        <v/>
      </c>
      <c r="AO82" s="41">
        <f>IF(N('Dvd Calendar'!$AQ$1105)=0,"",IF(('Dvd Calendar'!$AQ$1105&gt;=MIN(DATE(Summary!$C$12,1,1),Summary!$C$11))*('Dvd Calendar'!$AQ$1105&lt;=MAX(DATE(Summary!$C$12,12,31),Summary!$C$15))*('Dvd Calendar'!$AQ$1105&lt;=Summary!$C$11)=0,"",'Dvd Calendar'!$AQ$1105*1000000000+ISNUMBER('Dvd Calendar'!$AQ$1106)*100000000+('Dvd Calendar'!$AQ$1110='Field Check'!$C$25)*10000000+(N('Dvd Calendar'!$AQ$1104)&gt;0)*1000000+74*1000+39))</f>
        <v/>
      </c>
      <c r="AP82" s="41">
        <f>IF(N('Dvd Calendar'!$AR$1105)=0,"",IF(('Dvd Calendar'!$AR$1105&gt;=MIN(DATE(Summary!$C$12,1,1),Summary!$C$11))*('Dvd Calendar'!$AR$1105&lt;=MAX(DATE(Summary!$C$12,12,31),Summary!$C$15))*('Dvd Calendar'!$AR$1105&lt;=Summary!$C$11)=0,"",'Dvd Calendar'!$AR$1105*1000000000+ISNUMBER('Dvd Calendar'!$AR$1106)*100000000+('Dvd Calendar'!$AR$1110='Field Check'!$C$25)*10000000+(N('Dvd Calendar'!$AR$1104)&gt;0)*1000000+74*1000+40))</f>
        <v/>
      </c>
      <c r="AQ82" s="41">
        <f>IF(N('Dvd Calendar'!$E$1112)=0,"",IF(('Dvd Calendar'!$E$1112&gt;=MIN(DATE(Summary!$C$12,1,1),Summary!$C$11))*('Dvd Calendar'!$E$1112&lt;=MAX(DATE(Summary!$C$12,12,31),Summary!$C$15))*('Dvd Calendar'!$E$1112&gt;Summary!$C$11)=0,"",'Dvd Calendar'!$E$1112*1000000000+ISNUMBER('Dvd Calendar'!$E$1113)*100000000+('Dvd Calendar'!$E$1117='Field Check'!$C$25)*10000000+(N('Dvd Calendar'!$E$1111)&gt;0)*1000000+74*1000+41))</f>
        <v/>
      </c>
      <c r="AR82" s="41">
        <f>IF(N('Dvd Calendar'!$F$1112)=0,"",IF(('Dvd Calendar'!$F$1112&gt;=MIN(DATE(Summary!$C$12,1,1),Summary!$C$11))*('Dvd Calendar'!$F$1112&lt;=MAX(DATE(Summary!$C$12,12,31),Summary!$C$15))*('Dvd Calendar'!$F$1112&gt;Summary!$C$11)=0,"",'Dvd Calendar'!$F$1112*1000000000+ISNUMBER('Dvd Calendar'!$F$1113)*100000000+('Dvd Calendar'!$F$1117='Field Check'!$C$25)*10000000+(N('Dvd Calendar'!$F$1111)&gt;0)*1000000+74*1000+42))</f>
        <v/>
      </c>
      <c r="AS82" s="41">
        <f>IF(N('Dvd Calendar'!$G$1112)=0,"",IF(('Dvd Calendar'!$G$1112&gt;=MIN(DATE(Summary!$C$12,1,1),Summary!$C$11))*('Dvd Calendar'!$G$1112&lt;=MAX(DATE(Summary!$C$12,12,31),Summary!$C$15))*('Dvd Calendar'!$G$1112&gt;Summary!$C$11)=0,"",'Dvd Calendar'!$G$1112*1000000000+ISNUMBER('Dvd Calendar'!$G$1113)*100000000+('Dvd Calendar'!$G$1117='Field Check'!$C$25)*10000000+(N('Dvd Calendar'!$G$1111)&gt;0)*1000000+74*1000+43))</f>
        <v/>
      </c>
      <c r="AT82" s="41">
        <f>IF(N('Dvd Calendar'!$H$1112)=0,"",IF(('Dvd Calendar'!$H$1112&gt;=MIN(DATE(Summary!$C$12,1,1),Summary!$C$11))*('Dvd Calendar'!$H$1112&lt;=MAX(DATE(Summary!$C$12,12,31),Summary!$C$15))*('Dvd Calendar'!$H$1112&gt;Summary!$C$11)=0,"",'Dvd Calendar'!$H$1112*1000000000+ISNUMBER('Dvd Calendar'!$H$1113)*100000000+('Dvd Calendar'!$H$1117='Field Check'!$C$25)*10000000+(N('Dvd Calendar'!$H$1111)&gt;0)*1000000+74*1000+44))</f>
        <v/>
      </c>
      <c r="AU82" s="41">
        <f>IF(N('Dvd Calendar'!$I$1112)=0,"",IF(('Dvd Calendar'!$I$1112&gt;=MIN(DATE(Summary!$C$12,1,1),Summary!$C$11))*('Dvd Calendar'!$I$1112&lt;=MAX(DATE(Summary!$C$12,12,31),Summary!$C$15))*('Dvd Calendar'!$I$1112&gt;Summary!$C$11)=0,"",'Dvd Calendar'!$I$1112*1000000000+ISNUMBER('Dvd Calendar'!$I$1113)*100000000+('Dvd Calendar'!$I$1117='Field Check'!$C$25)*10000000+(N('Dvd Calendar'!$I$1111)&gt;0)*1000000+74*1000+45))</f>
        <v/>
      </c>
      <c r="AV82" s="41">
        <f>IF(N('Dvd Calendar'!$J$1112)=0,"",IF(('Dvd Calendar'!$J$1112&gt;=MIN(DATE(Summary!$C$12,1,1),Summary!$C$11))*('Dvd Calendar'!$J$1112&lt;=MAX(DATE(Summary!$C$12,12,31),Summary!$C$15))*('Dvd Calendar'!$J$1112&gt;Summary!$C$11)=0,"",'Dvd Calendar'!$J$1112*1000000000+ISNUMBER('Dvd Calendar'!$J$1113)*100000000+('Dvd Calendar'!$J$1117='Field Check'!$C$25)*10000000+(N('Dvd Calendar'!$J$1111)&gt;0)*1000000+74*1000+46))</f>
        <v/>
      </c>
      <c r="AW82" s="41">
        <f>IF(N('Dvd Calendar'!$K$1112)=0,"",IF(('Dvd Calendar'!$K$1112&gt;=MIN(DATE(Summary!$C$12,1,1),Summary!$C$11))*('Dvd Calendar'!$K$1112&lt;=MAX(DATE(Summary!$C$12,12,31),Summary!$C$15))*('Dvd Calendar'!$K$1112&gt;Summary!$C$11)=0,"",'Dvd Calendar'!$K$1112*1000000000+ISNUMBER('Dvd Calendar'!$K$1113)*100000000+('Dvd Calendar'!$K$1117='Field Check'!$C$25)*10000000+(N('Dvd Calendar'!$K$1111)&gt;0)*1000000+74*1000+47))</f>
        <v/>
      </c>
      <c r="AX82" s="41">
        <f>IF(N('Dvd Calendar'!$L$1112)=0,"",IF(('Dvd Calendar'!$L$1112&gt;=MIN(DATE(Summary!$C$12,1,1),Summary!$C$11))*('Dvd Calendar'!$L$1112&lt;=MAX(DATE(Summary!$C$12,12,31),Summary!$C$15))*('Dvd Calendar'!$L$1112&gt;Summary!$C$11)=0,"",'Dvd Calendar'!$L$1112*1000000000+ISNUMBER('Dvd Calendar'!$L$1113)*100000000+('Dvd Calendar'!$L$1117='Field Check'!$C$25)*10000000+(N('Dvd Calendar'!$L$1111)&gt;0)*1000000+74*1000+48))</f>
        <v/>
      </c>
      <c r="AY82" s="41">
        <f>IF(N('Dvd Calendar'!$M$1112)=0,"",IF(('Dvd Calendar'!$M$1112&gt;=MIN(DATE(Summary!$C$12,1,1),Summary!$C$11))*('Dvd Calendar'!$M$1112&lt;=MAX(DATE(Summary!$C$12,12,31),Summary!$C$15))*('Dvd Calendar'!$M$1112&gt;Summary!$C$11)=0,"",'Dvd Calendar'!$M$1112*1000000000+ISNUMBER('Dvd Calendar'!$M$1113)*100000000+('Dvd Calendar'!$M$1117='Field Check'!$C$25)*10000000+(N('Dvd Calendar'!$M$1111)&gt;0)*1000000+74*1000+49))</f>
        <v/>
      </c>
      <c r="AZ82" s="41">
        <f>IF(N('Dvd Calendar'!$N$1112)=0,"",IF(('Dvd Calendar'!$N$1112&gt;=MIN(DATE(Summary!$C$12,1,1),Summary!$C$11))*('Dvd Calendar'!$N$1112&lt;=MAX(DATE(Summary!$C$12,12,31),Summary!$C$15))*('Dvd Calendar'!$N$1112&gt;Summary!$C$11)=0,"",'Dvd Calendar'!$N$1112*1000000000+ISNUMBER('Dvd Calendar'!$N$1113)*100000000+('Dvd Calendar'!$N$1117='Field Check'!$C$25)*10000000+(N('Dvd Calendar'!$N$1111)&gt;0)*1000000+74*1000+50))</f>
        <v/>
      </c>
      <c r="BA82" s="41">
        <f>IF(N('Dvd Calendar'!$O$1112)=0,"",IF(('Dvd Calendar'!$O$1112&gt;=MIN(DATE(Summary!$C$12,1,1),Summary!$C$11))*('Dvd Calendar'!$O$1112&lt;=MAX(DATE(Summary!$C$12,12,31),Summary!$C$15))*('Dvd Calendar'!$O$1112&gt;Summary!$C$11)=0,"",'Dvd Calendar'!$O$1112*1000000000+ISNUMBER('Dvd Calendar'!$O$1113)*100000000+('Dvd Calendar'!$O$1117='Field Check'!$C$25)*10000000+(N('Dvd Calendar'!$O$1111)&gt;0)*1000000+74*1000+51))</f>
        <v/>
      </c>
      <c r="BB82" s="41">
        <f>IF(N('Dvd Calendar'!$P$1112)=0,"",IF(('Dvd Calendar'!$P$1112&gt;=MIN(DATE(Summary!$C$12,1,1),Summary!$C$11))*('Dvd Calendar'!$P$1112&lt;=MAX(DATE(Summary!$C$12,12,31),Summary!$C$15))*('Dvd Calendar'!$P$1112&gt;Summary!$C$11)=0,"",'Dvd Calendar'!$P$1112*1000000000+ISNUMBER('Dvd Calendar'!$P$1113)*100000000+('Dvd Calendar'!$P$1117='Field Check'!$C$25)*10000000+(N('Dvd Calendar'!$P$1111)&gt;0)*1000000+74*1000+52))</f>
        <v/>
      </c>
      <c r="BC82" s="41">
        <f>IF(N('Dvd Calendar'!$Q$1112)=0,"",IF(('Dvd Calendar'!$Q$1112&gt;=MIN(DATE(Summary!$C$12,1,1),Summary!$C$11))*('Dvd Calendar'!$Q$1112&lt;=MAX(DATE(Summary!$C$12,12,31),Summary!$C$15))*('Dvd Calendar'!$Q$1112&gt;Summary!$C$11)=0,"",'Dvd Calendar'!$Q$1112*1000000000+ISNUMBER('Dvd Calendar'!$Q$1113)*100000000+('Dvd Calendar'!$Q$1117='Field Check'!$C$25)*10000000+(N('Dvd Calendar'!$Q$1111)&gt;0)*1000000+74*1000+53))</f>
        <v/>
      </c>
      <c r="BD82" s="41">
        <f>IF(N('Dvd Calendar'!$R$1112)=0,"",IF(('Dvd Calendar'!$R$1112&gt;=MIN(DATE(Summary!$C$12,1,1),Summary!$C$11))*('Dvd Calendar'!$R$1112&lt;=MAX(DATE(Summary!$C$12,12,31),Summary!$C$15))*('Dvd Calendar'!$R$1112&gt;Summary!$C$11)=0,"",'Dvd Calendar'!$R$1112*1000000000+ISNUMBER('Dvd Calendar'!$R$1113)*100000000+('Dvd Calendar'!$R$1117='Field Check'!$C$25)*10000000+(N('Dvd Calendar'!$R$1111)&gt;0)*1000000+74*1000+54))</f>
        <v/>
      </c>
      <c r="BE82" s="41">
        <f>IF(N('Dvd Calendar'!$S$1112)=0,"",IF(('Dvd Calendar'!$S$1112&gt;=MIN(DATE(Summary!$C$12,1,1),Summary!$C$11))*('Dvd Calendar'!$S$1112&lt;=MAX(DATE(Summary!$C$12,12,31),Summary!$C$15))*('Dvd Calendar'!$S$1112&gt;Summary!$C$11)=0,"",'Dvd Calendar'!$S$1112*1000000000+ISNUMBER('Dvd Calendar'!$S$1113)*100000000+('Dvd Calendar'!$S$1117='Field Check'!$C$25)*10000000+(N('Dvd Calendar'!$S$1111)&gt;0)*1000000+74*1000+55))</f>
        <v/>
      </c>
      <c r="BF82" s="41">
        <f>IF(N('Dvd Calendar'!$T$1112)=0,"",IF(('Dvd Calendar'!$T$1112&gt;=MIN(DATE(Summary!$C$12,1,1),Summary!$C$11))*('Dvd Calendar'!$T$1112&lt;=MAX(DATE(Summary!$C$12,12,31),Summary!$C$15))*('Dvd Calendar'!$T$1112&gt;Summary!$C$11)=0,"",'Dvd Calendar'!$T$1112*1000000000+ISNUMBER('Dvd Calendar'!$T$1113)*100000000+('Dvd Calendar'!$T$1117='Field Check'!$C$25)*10000000+(N('Dvd Calendar'!$T$1111)&gt;0)*1000000+74*1000+56))</f>
        <v/>
      </c>
      <c r="BG82" s="41">
        <f>IF(N('Dvd Calendar'!$U$1112)=0,"",IF(('Dvd Calendar'!$U$1112&gt;=MIN(DATE(Summary!$C$12,1,1),Summary!$C$11))*('Dvd Calendar'!$U$1112&lt;=MAX(DATE(Summary!$C$12,12,31),Summary!$C$15))*('Dvd Calendar'!$U$1112&gt;Summary!$C$11)=0,"",'Dvd Calendar'!$U$1112*1000000000+ISNUMBER('Dvd Calendar'!$U$1113)*100000000+('Dvd Calendar'!$U$1117='Field Check'!$C$25)*10000000+(N('Dvd Calendar'!$U$1111)&gt;0)*1000000+74*1000+57))</f>
        <v/>
      </c>
      <c r="BH82" s="41">
        <f>IF(N('Dvd Calendar'!$V$1112)=0,"",IF(('Dvd Calendar'!$V$1112&gt;=MIN(DATE(Summary!$C$12,1,1),Summary!$C$11))*('Dvd Calendar'!$V$1112&lt;=MAX(DATE(Summary!$C$12,12,31),Summary!$C$15))*('Dvd Calendar'!$V$1112&gt;Summary!$C$11)=0,"",'Dvd Calendar'!$V$1112*1000000000+ISNUMBER('Dvd Calendar'!$V$1113)*100000000+('Dvd Calendar'!$V$1117='Field Check'!$C$25)*10000000+(N('Dvd Calendar'!$V$1111)&gt;0)*1000000+74*1000+58))</f>
        <v/>
      </c>
      <c r="BI82" s="41">
        <f>IF(N('Dvd Calendar'!$W$1112)=0,"",IF(('Dvd Calendar'!$W$1112&gt;=MIN(DATE(Summary!$C$12,1,1),Summary!$C$11))*('Dvd Calendar'!$W$1112&lt;=MAX(DATE(Summary!$C$12,12,31),Summary!$C$15))*('Dvd Calendar'!$W$1112&gt;Summary!$C$11)=0,"",'Dvd Calendar'!$W$1112*1000000000+ISNUMBER('Dvd Calendar'!$W$1113)*100000000+('Dvd Calendar'!$W$1117='Field Check'!$C$25)*10000000+(N('Dvd Calendar'!$W$1111)&gt;0)*1000000+74*1000+59))</f>
        <v/>
      </c>
      <c r="BJ82" s="41">
        <f>IF(N('Dvd Calendar'!$X$1112)=0,"",IF(('Dvd Calendar'!$X$1112&gt;=MIN(DATE(Summary!$C$12,1,1),Summary!$C$11))*('Dvd Calendar'!$X$1112&lt;=MAX(DATE(Summary!$C$12,12,31),Summary!$C$15))*('Dvd Calendar'!$X$1112&gt;Summary!$C$11)=0,"",'Dvd Calendar'!$X$1112*1000000000+ISNUMBER('Dvd Calendar'!$X$1113)*100000000+('Dvd Calendar'!$X$1117='Field Check'!$C$25)*10000000+(N('Dvd Calendar'!$X$1111)&gt;0)*1000000+74*1000+60))</f>
        <v/>
      </c>
      <c r="BK82" s="41">
        <f>IF(N('Dvd Calendar'!$Y$1112)=0,"",IF(('Dvd Calendar'!$Y$1112&gt;=MIN(DATE(Summary!$C$12,1,1),Summary!$C$11))*('Dvd Calendar'!$Y$1112&lt;=MAX(DATE(Summary!$C$12,12,31),Summary!$C$15))*('Dvd Calendar'!$Y$1112&gt;Summary!$C$11)=0,"",'Dvd Calendar'!$Y$1112*1000000000+ISNUMBER('Dvd Calendar'!$Y$1113)*100000000+('Dvd Calendar'!$Y$1117='Field Check'!$C$25)*10000000+(N('Dvd Calendar'!$Y$1111)&gt;0)*1000000+74*1000+61))</f>
        <v/>
      </c>
      <c r="BL82" s="41">
        <f>IF(N('Dvd Calendar'!$Z$1112)=0,"",IF(('Dvd Calendar'!$Z$1112&gt;=MIN(DATE(Summary!$C$12,1,1),Summary!$C$11))*('Dvd Calendar'!$Z$1112&lt;=MAX(DATE(Summary!$C$12,12,31),Summary!$C$15))*('Dvd Calendar'!$Z$1112&gt;Summary!$C$11)=0,"",'Dvd Calendar'!$Z$1112*1000000000+ISNUMBER('Dvd Calendar'!$Z$1113)*100000000+('Dvd Calendar'!$Z$1117='Field Check'!$C$25)*10000000+(N('Dvd Calendar'!$Z$1111)&gt;0)*1000000+74*1000+62))</f>
        <v/>
      </c>
      <c r="BM82" s="41">
        <f>IF(N('Dvd Calendar'!$AA$1112)=0,"",IF(('Dvd Calendar'!$AA$1112&gt;=MIN(DATE(Summary!$C$12,1,1),Summary!$C$11))*('Dvd Calendar'!$AA$1112&lt;=MAX(DATE(Summary!$C$12,12,31),Summary!$C$15))*('Dvd Calendar'!$AA$1112&gt;Summary!$C$11)=0,"",'Dvd Calendar'!$AA$1112*1000000000+ISNUMBER('Dvd Calendar'!$AA$1113)*100000000+('Dvd Calendar'!$AA$1117='Field Check'!$C$25)*10000000+(N('Dvd Calendar'!$AA$1111)&gt;0)*1000000+74*1000+63))</f>
        <v/>
      </c>
      <c r="BN82" s="41">
        <f>IF(N('Dvd Calendar'!$AB$1112)=0,"",IF(('Dvd Calendar'!$AB$1112&gt;=MIN(DATE(Summary!$C$12,1,1),Summary!$C$11))*('Dvd Calendar'!$AB$1112&lt;=MAX(DATE(Summary!$C$12,12,31),Summary!$C$15))*('Dvd Calendar'!$AB$1112&gt;Summary!$C$11)=0,"",'Dvd Calendar'!$AB$1112*1000000000+ISNUMBER('Dvd Calendar'!$AB$1113)*100000000+('Dvd Calendar'!$AB$1117='Field Check'!$C$25)*10000000+(N('Dvd Calendar'!$AB$1111)&gt;0)*1000000+74*1000+64))</f>
        <v/>
      </c>
      <c r="BO82" s="41">
        <f>IF(N('Dvd Calendar'!$AC$1112)=0,"",IF(('Dvd Calendar'!$AC$1112&gt;=MIN(DATE(Summary!$C$12,1,1),Summary!$C$11))*('Dvd Calendar'!$AC$1112&lt;=MAX(DATE(Summary!$C$12,12,31),Summary!$C$15))*('Dvd Calendar'!$AC$1112&gt;Summary!$C$11)=0,"",'Dvd Calendar'!$AC$1112*1000000000+ISNUMBER('Dvd Calendar'!$AC$1113)*100000000+('Dvd Calendar'!$AC$1117='Field Check'!$C$25)*10000000+(N('Dvd Calendar'!$AC$1111)&gt;0)*1000000+74*1000+65))</f>
        <v/>
      </c>
      <c r="BQ82" s="85">
        <f>IF(C82="","",IF(ISNUMBER('Dvd Calendar'!$E$1106)=FALSE,"",IF((Summary!$C$13="N")*('Dvd Calendar'!$E$1110='Field Check'!$C$25)&gt;0,"",'Dvd Calendar'!$E$1106)))</f>
        <v/>
      </c>
      <c r="BR82" s="85">
        <f>IF(D82="","",IF(ISNUMBER('Dvd Calendar'!$F$1106)=FALSE,"",IF((Summary!$C$13="N")*('Dvd Calendar'!$F$1110='Field Check'!$C$25)&gt;0,"",'Dvd Calendar'!$F$1106)))</f>
        <v/>
      </c>
      <c r="BS82" s="85">
        <f>IF(E82="","",IF(ISNUMBER('Dvd Calendar'!$G$1106)=FALSE,"",IF((Summary!$C$13="N")*('Dvd Calendar'!$G$1110='Field Check'!$C$25)&gt;0,"",'Dvd Calendar'!$G$1106)))</f>
        <v/>
      </c>
      <c r="BT82" s="85">
        <f>IF(F82="","",IF(ISNUMBER('Dvd Calendar'!$H$1106)=FALSE,"",IF((Summary!$C$13="N")*('Dvd Calendar'!$H$1110='Field Check'!$C$25)&gt;0,"",'Dvd Calendar'!$H$1106)))</f>
        <v/>
      </c>
      <c r="BU82" s="85">
        <f>IF(G82="","",IF(ISNUMBER('Dvd Calendar'!$I$1106)=FALSE,"",IF((Summary!$C$13="N")*('Dvd Calendar'!$I$1110='Field Check'!$C$25)&gt;0,"",'Dvd Calendar'!$I$1106)))</f>
        <v/>
      </c>
      <c r="BV82" s="85">
        <f>IF(H82="","",IF(ISNUMBER('Dvd Calendar'!$J$1106)=FALSE,"",IF((Summary!$C$13="N")*('Dvd Calendar'!$J$1110='Field Check'!$C$25)&gt;0,"",'Dvd Calendar'!$J$1106)))</f>
        <v/>
      </c>
      <c r="BW82" s="85">
        <f>IF(I82="","",IF(ISNUMBER('Dvd Calendar'!$K$1106)=FALSE,"",IF((Summary!$C$13="N")*('Dvd Calendar'!$K$1110='Field Check'!$C$25)&gt;0,"",'Dvd Calendar'!$K$1106)))</f>
        <v/>
      </c>
      <c r="BX82" s="85">
        <f>IF(J82="","",IF(ISNUMBER('Dvd Calendar'!$L$1106)=FALSE,"",IF((Summary!$C$13="N")*('Dvd Calendar'!$L$1110='Field Check'!$C$25)&gt;0,"",'Dvd Calendar'!$L$1106)))</f>
        <v/>
      </c>
      <c r="BY82" s="85">
        <f>IF(K82="","",IF(ISNUMBER('Dvd Calendar'!$M$1106)=FALSE,"",IF((Summary!$C$13="N")*('Dvd Calendar'!$M$1110='Field Check'!$C$25)&gt;0,"",'Dvd Calendar'!$M$1106)))</f>
        <v/>
      </c>
      <c r="BZ82" s="85">
        <f>IF(L82="","",IF(ISNUMBER('Dvd Calendar'!$N$1106)=FALSE,"",IF((Summary!$C$13="N")*('Dvd Calendar'!$N$1110='Field Check'!$C$25)&gt;0,"",'Dvd Calendar'!$N$1106)))</f>
        <v/>
      </c>
      <c r="CA82" s="85">
        <f>IF(M82="","",IF(ISNUMBER('Dvd Calendar'!$O$1106)=FALSE,"",IF((Summary!$C$13="N")*('Dvd Calendar'!$O$1110='Field Check'!$C$25)&gt;0,"",'Dvd Calendar'!$O$1106)))</f>
        <v/>
      </c>
      <c r="CB82" s="85">
        <f>IF(N82="","",IF(ISNUMBER('Dvd Calendar'!$P$1106)=FALSE,"",IF((Summary!$C$13="N")*('Dvd Calendar'!$P$1110='Field Check'!$C$25)&gt;0,"",'Dvd Calendar'!$P$1106)))</f>
        <v/>
      </c>
      <c r="CC82" s="85">
        <f>IF(O82="","",IF(ISNUMBER('Dvd Calendar'!$Q$1106)=FALSE,"",IF((Summary!$C$13="N")*('Dvd Calendar'!$Q$1110='Field Check'!$C$25)&gt;0,"",'Dvd Calendar'!$Q$1106)))</f>
        <v/>
      </c>
      <c r="CD82" s="85">
        <f>IF(P82="","",IF(ISNUMBER('Dvd Calendar'!$R$1106)=FALSE,"",IF((Summary!$C$13="N")*('Dvd Calendar'!$R$1110='Field Check'!$C$25)&gt;0,"",'Dvd Calendar'!$R$1106)))</f>
        <v/>
      </c>
      <c r="CE82" s="85">
        <f>IF(Q82="","",IF(ISNUMBER('Dvd Calendar'!$S$1106)=FALSE,"",IF((Summary!$C$13="N")*('Dvd Calendar'!$S$1110='Field Check'!$C$25)&gt;0,"",'Dvd Calendar'!$S$1106)))</f>
        <v/>
      </c>
      <c r="CF82" s="85">
        <f>IF(R82="","",IF(ISNUMBER('Dvd Calendar'!$T$1106)=FALSE,"",IF((Summary!$C$13="N")*('Dvd Calendar'!$T$1110='Field Check'!$C$25)&gt;0,"",'Dvd Calendar'!$T$1106)))</f>
        <v/>
      </c>
      <c r="CG82" s="85">
        <f>IF(S82="","",IF(ISNUMBER('Dvd Calendar'!$U$1106)=FALSE,"",IF((Summary!$C$13="N")*('Dvd Calendar'!$U$1110='Field Check'!$C$25)&gt;0,"",'Dvd Calendar'!$U$1106)))</f>
        <v/>
      </c>
      <c r="CH82" s="85">
        <f>IF(T82="","",IF(ISNUMBER('Dvd Calendar'!$V$1106)=FALSE,"",IF((Summary!$C$13="N")*('Dvd Calendar'!$V$1110='Field Check'!$C$25)&gt;0,"",'Dvd Calendar'!$V$1106)))</f>
        <v/>
      </c>
      <c r="CI82" s="85">
        <f>IF(U82="","",IF(ISNUMBER('Dvd Calendar'!$W$1106)=FALSE,"",IF((Summary!$C$13="N")*('Dvd Calendar'!$W$1110='Field Check'!$C$25)&gt;0,"",'Dvd Calendar'!$W$1106)))</f>
        <v/>
      </c>
      <c r="CJ82" s="85">
        <f>IF(V82="","",IF(ISNUMBER('Dvd Calendar'!$X$1106)=FALSE,"",IF((Summary!$C$13="N")*('Dvd Calendar'!$X$1110='Field Check'!$C$25)&gt;0,"",'Dvd Calendar'!$X$1106)))</f>
        <v/>
      </c>
      <c r="CK82" s="85">
        <f>IF(W82="","",IF(ISNUMBER('Dvd Calendar'!$Y$1106)=FALSE,"",IF((Summary!$C$13="N")*('Dvd Calendar'!$Y$1110='Field Check'!$C$25)&gt;0,"",'Dvd Calendar'!$Y$1106)))</f>
        <v/>
      </c>
      <c r="CL82" s="85">
        <f>IF(X82="","",IF(ISNUMBER('Dvd Calendar'!$Z$1106)=FALSE,"",IF((Summary!$C$13="N")*('Dvd Calendar'!$Z$1110='Field Check'!$C$25)&gt;0,"",'Dvd Calendar'!$Z$1106)))</f>
        <v/>
      </c>
      <c r="CM82" s="85">
        <f>IF(Y82="","",IF(ISNUMBER('Dvd Calendar'!$AA$1106)=FALSE,"",IF((Summary!$C$13="N")*('Dvd Calendar'!$AA$1110='Field Check'!$C$25)&gt;0,"",'Dvd Calendar'!$AA$1106)))</f>
        <v/>
      </c>
      <c r="CN82" s="85">
        <f>IF(Z82="","",IF(ISNUMBER('Dvd Calendar'!$AB$1106)=FALSE,"",IF((Summary!$C$13="N")*('Dvd Calendar'!$AB$1110='Field Check'!$C$25)&gt;0,"",'Dvd Calendar'!$AB$1106)))</f>
        <v/>
      </c>
      <c r="CO82" s="85">
        <f>IF(AA82="","",IF(ISNUMBER('Dvd Calendar'!$AC$1106)=FALSE,"",IF((Summary!$C$13="N")*('Dvd Calendar'!$AC$1110='Field Check'!$C$25)&gt;0,"",'Dvd Calendar'!$AC$1106)))</f>
        <v/>
      </c>
      <c r="CP82" s="85">
        <f>IF(AB82="","",IF(ISNUMBER('Dvd Calendar'!$AD$1106)=FALSE,"",IF((Summary!$C$13="N")*('Dvd Calendar'!$AD$1110='Field Check'!$C$25)&gt;0,"",'Dvd Calendar'!$AD$1106)))</f>
        <v/>
      </c>
      <c r="CQ82" s="85">
        <f>IF(AC82="","",IF(ISNUMBER('Dvd Calendar'!$AE$1106)=FALSE,"",IF((Summary!$C$13="N")*('Dvd Calendar'!$AE$1110='Field Check'!$C$25)&gt;0,"",'Dvd Calendar'!$AE$1106)))</f>
        <v/>
      </c>
      <c r="CR82" s="85">
        <f>IF(AD82="","",IF(ISNUMBER('Dvd Calendar'!$AF$1106)=FALSE,"",IF((Summary!$C$13="N")*('Dvd Calendar'!$AF$1110='Field Check'!$C$25)&gt;0,"",'Dvd Calendar'!$AF$1106)))</f>
        <v/>
      </c>
      <c r="CS82" s="85">
        <f>IF(AE82="","",IF(ISNUMBER('Dvd Calendar'!$AG$1106)=FALSE,"",IF((Summary!$C$13="N")*('Dvd Calendar'!$AG$1110='Field Check'!$C$25)&gt;0,"",'Dvd Calendar'!$AG$1106)))</f>
        <v/>
      </c>
      <c r="CT82" s="85">
        <f>IF(AF82="","",IF(ISNUMBER('Dvd Calendar'!$AH$1106)=FALSE,"",IF((Summary!$C$13="N")*('Dvd Calendar'!$AH$1110='Field Check'!$C$25)&gt;0,"",'Dvd Calendar'!$AH$1106)))</f>
        <v/>
      </c>
      <c r="CU82" s="85">
        <f>IF(AG82="","",IF(ISNUMBER('Dvd Calendar'!$AI$1106)=FALSE,"",IF((Summary!$C$13="N")*('Dvd Calendar'!$AI$1110='Field Check'!$C$25)&gt;0,"",'Dvd Calendar'!$AI$1106)))</f>
        <v/>
      </c>
      <c r="CV82" s="85">
        <f>IF(AH82="","",IF(ISNUMBER('Dvd Calendar'!$AJ$1106)=FALSE,"",IF((Summary!$C$13="N")*('Dvd Calendar'!$AJ$1110='Field Check'!$C$25)&gt;0,"",'Dvd Calendar'!$AJ$1106)))</f>
        <v/>
      </c>
      <c r="CW82" s="85">
        <f>IF(AI82="","",IF(ISNUMBER('Dvd Calendar'!$AK$1106)=FALSE,"",IF((Summary!$C$13="N")*('Dvd Calendar'!$AK$1110='Field Check'!$C$25)&gt;0,"",'Dvd Calendar'!$AK$1106)))</f>
        <v/>
      </c>
      <c r="CX82" s="85">
        <f>IF(AJ82="","",IF(ISNUMBER('Dvd Calendar'!$AL$1106)=FALSE,"",IF((Summary!$C$13="N")*('Dvd Calendar'!$AL$1110='Field Check'!$C$25)&gt;0,"",'Dvd Calendar'!$AL$1106)))</f>
        <v/>
      </c>
      <c r="CY82" s="85">
        <f>IF(AK82="","",IF(ISNUMBER('Dvd Calendar'!$AM$1106)=FALSE,"",IF((Summary!$C$13="N")*('Dvd Calendar'!$AM$1110='Field Check'!$C$25)&gt;0,"",'Dvd Calendar'!$AM$1106)))</f>
        <v/>
      </c>
      <c r="CZ82" s="85">
        <f>IF(AL82="","",IF(ISNUMBER('Dvd Calendar'!$AN$1106)=FALSE,"",IF((Summary!$C$13="N")*('Dvd Calendar'!$AN$1110='Field Check'!$C$25)&gt;0,"",'Dvd Calendar'!$AN$1106)))</f>
        <v/>
      </c>
      <c r="DA82" s="85">
        <f>IF(AM82="","",IF(ISNUMBER('Dvd Calendar'!$AO$1106)=FALSE,"",IF((Summary!$C$13="N")*('Dvd Calendar'!$AO$1110='Field Check'!$C$25)&gt;0,"",'Dvd Calendar'!$AO$1106)))</f>
        <v/>
      </c>
      <c r="DB82" s="85">
        <f>IF(AN82="","",IF(ISNUMBER('Dvd Calendar'!$AP$1106)=FALSE,"",IF((Summary!$C$13="N")*('Dvd Calendar'!$AP$1110='Field Check'!$C$25)&gt;0,"",'Dvd Calendar'!$AP$1106)))</f>
        <v/>
      </c>
      <c r="DC82" s="85">
        <f>IF(AO82="","",IF(ISNUMBER('Dvd Calendar'!$AQ$1106)=FALSE,"",IF((Summary!$C$13="N")*('Dvd Calendar'!$AQ$1110='Field Check'!$C$25)&gt;0,"",'Dvd Calendar'!$AQ$1106)))</f>
        <v/>
      </c>
      <c r="DD82" s="85">
        <f>IF(AP82="","",IF(ISNUMBER('Dvd Calendar'!$AR$1106)=FALSE,"",IF((Summary!$C$13="N")*('Dvd Calendar'!$AR$1110='Field Check'!$C$25)&gt;0,"",'Dvd Calendar'!$AR$1106)))</f>
        <v/>
      </c>
      <c r="DE82" s="85">
        <f>IF(AQ82="","",IF(ISNUMBER('Dvd Calendar'!$E$1113)=FALSE,"",IF((Summary!$C$13="N")*('Dvd Calendar'!$E$1117='Field Check'!$C$25)&gt;0,"",'Dvd Calendar'!$E$1113)))</f>
        <v/>
      </c>
      <c r="DF82" s="85">
        <f>IF(AR82="","",IF(ISNUMBER('Dvd Calendar'!$F$1113)=FALSE,"",IF((Summary!$C$13="N")*('Dvd Calendar'!$F$1117='Field Check'!$C$25)&gt;0,"",'Dvd Calendar'!$F$1113)))</f>
        <v/>
      </c>
      <c r="DG82" s="85">
        <f>IF(AS82="","",IF(ISNUMBER('Dvd Calendar'!$G$1113)=FALSE,"",IF((Summary!$C$13="N")*('Dvd Calendar'!$G$1117='Field Check'!$C$25)&gt;0,"",'Dvd Calendar'!$G$1113)))</f>
        <v/>
      </c>
      <c r="DH82" s="85">
        <f>IF(AT82="","",IF(ISNUMBER('Dvd Calendar'!$H$1113)=FALSE,"",IF((Summary!$C$13="N")*('Dvd Calendar'!$H$1117='Field Check'!$C$25)&gt;0,"",'Dvd Calendar'!$H$1113)))</f>
        <v/>
      </c>
      <c r="DI82" s="85">
        <f>IF(AU82="","",IF(ISNUMBER('Dvd Calendar'!$I$1113)=FALSE,"",IF((Summary!$C$13="N")*('Dvd Calendar'!$I$1117='Field Check'!$C$25)&gt;0,"",'Dvd Calendar'!$I$1113)))</f>
        <v/>
      </c>
      <c r="DJ82" s="85">
        <f>IF(AV82="","",IF(ISNUMBER('Dvd Calendar'!$J$1113)=FALSE,"",IF((Summary!$C$13="N")*('Dvd Calendar'!$J$1117='Field Check'!$C$25)&gt;0,"",'Dvd Calendar'!$J$1113)))</f>
        <v/>
      </c>
      <c r="DK82" s="85">
        <f>IF(AW82="","",IF(ISNUMBER('Dvd Calendar'!$K$1113)=FALSE,"",IF((Summary!$C$13="N")*('Dvd Calendar'!$K$1117='Field Check'!$C$25)&gt;0,"",'Dvd Calendar'!$K$1113)))</f>
        <v/>
      </c>
      <c r="DL82" s="85">
        <f>IF(AX82="","",IF(ISNUMBER('Dvd Calendar'!$L$1113)=FALSE,"",IF((Summary!$C$13="N")*('Dvd Calendar'!$L$1117='Field Check'!$C$25)&gt;0,"",'Dvd Calendar'!$L$1113)))</f>
        <v/>
      </c>
      <c r="DM82" s="85">
        <f>IF(AY82="","",IF(ISNUMBER('Dvd Calendar'!$M$1113)=FALSE,"",IF((Summary!$C$13="N")*('Dvd Calendar'!$M$1117='Field Check'!$C$25)&gt;0,"",'Dvd Calendar'!$M$1113)))</f>
        <v/>
      </c>
      <c r="DN82" s="85">
        <f>IF(AZ82="","",IF(ISNUMBER('Dvd Calendar'!$N$1113)=FALSE,"",IF((Summary!$C$13="N")*('Dvd Calendar'!$N$1117='Field Check'!$C$25)&gt;0,"",'Dvd Calendar'!$N$1113)))</f>
        <v/>
      </c>
      <c r="DO82" s="85">
        <f>IF(BA82="","",IF(ISNUMBER('Dvd Calendar'!$O$1113)=FALSE,"",IF((Summary!$C$13="N")*('Dvd Calendar'!$O$1117='Field Check'!$C$25)&gt;0,"",'Dvd Calendar'!$O$1113)))</f>
        <v/>
      </c>
      <c r="DP82" s="85">
        <f>IF(BB82="","",IF(ISNUMBER('Dvd Calendar'!$P$1113)=FALSE,"",IF((Summary!$C$13="N")*('Dvd Calendar'!$P$1117='Field Check'!$C$25)&gt;0,"",'Dvd Calendar'!$P$1113)))</f>
        <v/>
      </c>
      <c r="DQ82" s="85">
        <f>IF(BC82="","",IF(ISNUMBER('Dvd Calendar'!$Q$1113)=FALSE,"",IF((Summary!$C$13="N")*('Dvd Calendar'!$Q$1117='Field Check'!$C$25)&gt;0,"",'Dvd Calendar'!$Q$1113)))</f>
        <v/>
      </c>
      <c r="DR82" s="85">
        <f>IF(BD82="","",IF(ISNUMBER('Dvd Calendar'!$R$1113)=FALSE,"",IF((Summary!$C$13="N")*('Dvd Calendar'!$R$1117='Field Check'!$C$25)&gt;0,"",'Dvd Calendar'!$R$1113)))</f>
        <v/>
      </c>
      <c r="DS82" s="85">
        <f>IF(BE82="","",IF(ISNUMBER('Dvd Calendar'!$S$1113)=FALSE,"",IF((Summary!$C$13="N")*('Dvd Calendar'!$S$1117='Field Check'!$C$25)&gt;0,"",'Dvd Calendar'!$S$1113)))</f>
        <v/>
      </c>
      <c r="DT82" s="85">
        <f>IF(BF82="","",IF(ISNUMBER('Dvd Calendar'!$T$1113)=FALSE,"",IF((Summary!$C$13="N")*('Dvd Calendar'!$T$1117='Field Check'!$C$25)&gt;0,"",'Dvd Calendar'!$T$1113)))</f>
        <v/>
      </c>
      <c r="DU82" s="85">
        <f>IF(BG82="","",IF(ISNUMBER('Dvd Calendar'!$U$1113)=FALSE,"",IF((Summary!$C$13="N")*('Dvd Calendar'!$U$1117='Field Check'!$C$25)&gt;0,"",'Dvd Calendar'!$U$1113)))</f>
        <v/>
      </c>
      <c r="DV82" s="85">
        <f>IF(BH82="","",IF(ISNUMBER('Dvd Calendar'!$V$1113)=FALSE,"",IF((Summary!$C$13="N")*('Dvd Calendar'!$V$1117='Field Check'!$C$25)&gt;0,"",'Dvd Calendar'!$V$1113)))</f>
        <v/>
      </c>
      <c r="DW82" s="85">
        <f>IF(BI82="","",IF(ISNUMBER('Dvd Calendar'!$W$1113)=FALSE,"",IF((Summary!$C$13="N")*('Dvd Calendar'!$W$1117='Field Check'!$C$25)&gt;0,"",'Dvd Calendar'!$W$1113)))</f>
        <v/>
      </c>
      <c r="DX82" s="85">
        <f>IF(BJ82="","",IF(ISNUMBER('Dvd Calendar'!$X$1113)=FALSE,"",IF((Summary!$C$13="N")*('Dvd Calendar'!$X$1117='Field Check'!$C$25)&gt;0,"",'Dvd Calendar'!$X$1113)))</f>
        <v/>
      </c>
      <c r="DY82" s="85">
        <f>IF(BK82="","",IF(ISNUMBER('Dvd Calendar'!$Y$1113)=FALSE,"",IF((Summary!$C$13="N")*('Dvd Calendar'!$Y$1117='Field Check'!$C$25)&gt;0,"",'Dvd Calendar'!$Y$1113)))</f>
        <v/>
      </c>
      <c r="DZ82" s="85">
        <f>IF(BL82="","",IF(ISNUMBER('Dvd Calendar'!$Z$1113)=FALSE,"",IF((Summary!$C$13="N")*('Dvd Calendar'!$Z$1117='Field Check'!$C$25)&gt;0,"",'Dvd Calendar'!$Z$1113)))</f>
        <v/>
      </c>
      <c r="EA82" s="85">
        <f>IF(BM82="","",IF(ISNUMBER('Dvd Calendar'!$AA$1113)=FALSE,"",IF((Summary!$C$13="N")*('Dvd Calendar'!$AA$1117='Field Check'!$C$25)&gt;0,"",'Dvd Calendar'!$AA$1113)))</f>
        <v/>
      </c>
      <c r="EB82" s="85">
        <f>IF(BN82="","",IF(ISNUMBER('Dvd Calendar'!$AB$1113)=FALSE,"",IF((Summary!$C$13="N")*('Dvd Calendar'!$AB$1117='Field Check'!$C$25)&gt;0,"",'Dvd Calendar'!$AB$1113)))</f>
        <v/>
      </c>
      <c r="EC82" s="85">
        <f>IF(BO82="","",IF(ISNUMBER('Dvd Calendar'!$AC$1113)=FALSE,"",IF((Summary!$C$13="N")*('Dvd Calendar'!$AC$1117='Field Check'!$C$25)&gt;0,"",'Dvd Calendar'!$AC$1113)))</f>
        <v/>
      </c>
      <c r="EE82" s="85">
        <f>IF(BQ82="","",IFERROR(BQ82*HSI!$B$80*HSI!$G$80/HSI!$B$3,""))</f>
        <v/>
      </c>
      <c r="EF82" s="85">
        <f>IF(BR82="","",IFERROR(BR82*HSI!$B$80*HSI!$G$80/HSI!$B$3,""))</f>
        <v/>
      </c>
      <c r="EG82" s="85">
        <f>IF(BS82="","",IFERROR(BS82*HSI!$B$80*HSI!$G$80/HSI!$B$3,""))</f>
        <v/>
      </c>
      <c r="EH82" s="85">
        <f>IF(BT82="","",IFERROR(BT82*HSI!$B$80*HSI!$G$80/HSI!$B$3,""))</f>
        <v/>
      </c>
      <c r="EI82" s="85">
        <f>IF(BU82="","",IFERROR(BU82*HSI!$B$80*HSI!$G$80/HSI!$B$3,""))</f>
        <v/>
      </c>
      <c r="EJ82" s="85">
        <f>IF(BV82="","",IFERROR(BV82*HSI!$B$80*HSI!$G$80/HSI!$B$3,""))</f>
        <v/>
      </c>
      <c r="EK82" s="85">
        <f>IF(BW82="","",IFERROR(BW82*HSI!$B$80*HSI!$G$80/HSI!$B$3,""))</f>
        <v/>
      </c>
      <c r="EL82" s="85">
        <f>IF(BX82="","",IFERROR(BX82*HSI!$B$80*HSI!$G$80/HSI!$B$3,""))</f>
        <v/>
      </c>
      <c r="EM82" s="85">
        <f>IF(BY82="","",IFERROR(BY82*HSI!$B$80*HSI!$G$80/HSI!$B$3,""))</f>
        <v/>
      </c>
      <c r="EN82" s="85">
        <f>IF(BZ82="","",IFERROR(BZ82*HSI!$B$80*HSI!$G$80/HSI!$B$3,""))</f>
        <v/>
      </c>
      <c r="EO82" s="85">
        <f>IF(CA82="","",IFERROR(CA82*HSI!$B$80*HSI!$G$80/HSI!$B$3,""))</f>
        <v/>
      </c>
      <c r="EP82" s="85">
        <f>IF(CB82="","",IFERROR(CB82*HSI!$B$80*HSI!$G$80/HSI!$B$3,""))</f>
        <v/>
      </c>
      <c r="EQ82" s="85">
        <f>IF(CC82="","",IFERROR(CC82*HSI!$B$80*HSI!$G$80/HSI!$B$3,""))</f>
        <v/>
      </c>
      <c r="ER82" s="85">
        <f>IF(CD82="","",IFERROR(CD82*HSI!$B$80*HSI!$G$80/HSI!$B$3,""))</f>
        <v/>
      </c>
      <c r="ES82" s="85">
        <f>IF(CE82="","",IFERROR(CE82*HSI!$B$80*HSI!$G$80/HSI!$B$3,""))</f>
        <v/>
      </c>
      <c r="ET82" s="85">
        <f>IF(CF82="","",IFERROR(CF82*HSI!$B$80*HSI!$G$80/HSI!$B$3,""))</f>
        <v/>
      </c>
      <c r="EU82" s="85">
        <f>IF(CG82="","",IFERROR(CG82*HSI!$B$80*HSI!$G$80/HSI!$B$3,""))</f>
        <v/>
      </c>
      <c r="EV82" s="85">
        <f>IF(CH82="","",IFERROR(CH82*HSI!$B$80*HSI!$G$80/HSI!$B$3,""))</f>
        <v/>
      </c>
      <c r="EW82" s="85">
        <f>IF(CI82="","",IFERROR(CI82*HSI!$B$80*HSI!$G$80/HSI!$B$3,""))</f>
        <v/>
      </c>
      <c r="EX82" s="85">
        <f>IF(CJ82="","",IFERROR(CJ82*HSI!$B$80*HSI!$G$80/HSI!$B$3,""))</f>
        <v/>
      </c>
      <c r="EY82" s="85">
        <f>IF(CK82="","",IFERROR(CK82*HSI!$B$80*HSI!$G$80/HSI!$B$3,""))</f>
        <v/>
      </c>
      <c r="EZ82" s="85">
        <f>IF(CL82="","",IFERROR(CL82*HSI!$B$80*HSI!$G$80/HSI!$B$3,""))</f>
        <v/>
      </c>
      <c r="FA82" s="85">
        <f>IF(CM82="","",IFERROR(CM82*HSI!$B$80*HSI!$G$80/HSI!$B$3,""))</f>
        <v/>
      </c>
      <c r="FB82" s="85">
        <f>IF(CN82="","",IFERROR(CN82*HSI!$B$80*HSI!$G$80/HSI!$B$3,""))</f>
        <v/>
      </c>
      <c r="FC82" s="85">
        <f>IF(CO82="","",IFERROR(CO82*HSI!$B$80*HSI!$G$80/HSI!$B$3,""))</f>
        <v/>
      </c>
      <c r="FD82" s="85">
        <f>IF(CP82="","",IFERROR(CP82*HSI!$B$80*HSI!$G$80/HSI!$B$3,""))</f>
        <v/>
      </c>
      <c r="FE82" s="85">
        <f>IF(CQ82="","",IFERROR(CQ82*HSI!$B$80*HSI!$G$80/HSI!$B$3,""))</f>
        <v/>
      </c>
      <c r="FF82" s="85">
        <f>IF(CR82="","",IFERROR(CR82*HSI!$B$80*HSI!$G$80/HSI!$B$3,""))</f>
        <v/>
      </c>
      <c r="FG82" s="85">
        <f>IF(CS82="","",IFERROR(CS82*HSI!$B$80*HSI!$G$80/HSI!$B$3,""))</f>
        <v/>
      </c>
      <c r="FH82" s="85">
        <f>IF(CT82="","",IFERROR(CT82*HSI!$B$80*HSI!$G$80/HSI!$B$3,""))</f>
        <v/>
      </c>
      <c r="FI82" s="85">
        <f>IF(CU82="","",IFERROR(CU82*HSI!$B$80*HSI!$G$80/HSI!$B$3,""))</f>
        <v/>
      </c>
      <c r="FJ82" s="85">
        <f>IF(CV82="","",IFERROR(CV82*HSI!$B$80*HSI!$G$80/HSI!$B$3,""))</f>
        <v/>
      </c>
      <c r="FK82" s="85">
        <f>IF(CW82="","",IFERROR(CW82*HSI!$B$80*HSI!$G$80/HSI!$B$3,""))</f>
        <v/>
      </c>
      <c r="FL82" s="85">
        <f>IF(CX82="","",IFERROR(CX82*HSI!$B$80*HSI!$G$80/HSI!$B$3,""))</f>
        <v/>
      </c>
      <c r="FM82" s="85">
        <f>IF(CY82="","",IFERROR(CY82*HSI!$B$80*HSI!$G$80/HSI!$B$3,""))</f>
        <v/>
      </c>
      <c r="FN82" s="85">
        <f>IF(CZ82="","",IFERROR(CZ82*HSI!$B$80*HSI!$G$80/HSI!$B$3,""))</f>
        <v/>
      </c>
      <c r="FO82" s="85">
        <f>IF(DA82="","",IFERROR(DA82*HSI!$B$80*HSI!$G$80/HSI!$B$3,""))</f>
        <v/>
      </c>
      <c r="FP82" s="85">
        <f>IF(DB82="","",IFERROR(DB82*HSI!$B$80*HSI!$G$80/HSI!$B$3,""))</f>
        <v/>
      </c>
      <c r="FQ82" s="85">
        <f>IF(DC82="","",IFERROR(DC82*HSI!$B$80*HSI!$G$80/HSI!$B$3,""))</f>
        <v/>
      </c>
      <c r="FR82" s="85">
        <f>IF(DD82="","",IFERROR(DD82*HSI!$B$80*HSI!$G$80/HSI!$B$3,""))</f>
        <v/>
      </c>
      <c r="FS82" s="85">
        <f>IF(DE82="","",IFERROR(DE82*HSI!$B$80*HSI!$G$80/HSI!$B$3,""))</f>
        <v/>
      </c>
      <c r="FT82" s="85">
        <f>IF(DF82="","",IFERROR(DF82*HSI!$B$80*HSI!$G$80/HSI!$B$3,""))</f>
        <v/>
      </c>
      <c r="FU82" s="85">
        <f>IF(DG82="","",IFERROR(DG82*HSI!$B$80*HSI!$G$80/HSI!$B$3,""))</f>
        <v/>
      </c>
      <c r="FV82" s="85">
        <f>IF(DH82="","",IFERROR(DH82*HSI!$B$80*HSI!$G$80/HSI!$B$3,""))</f>
        <v/>
      </c>
      <c r="FW82" s="85">
        <f>IF(DI82="","",IFERROR(DI82*HSI!$B$80*HSI!$G$80/HSI!$B$3,""))</f>
        <v/>
      </c>
      <c r="FX82" s="85">
        <f>IF(DJ82="","",IFERROR(DJ82*HSI!$B$80*HSI!$G$80/HSI!$B$3,""))</f>
        <v/>
      </c>
      <c r="FY82" s="85">
        <f>IF(DK82="","",IFERROR(DK82*HSI!$B$80*HSI!$G$80/HSI!$B$3,""))</f>
        <v/>
      </c>
      <c r="FZ82" s="85">
        <f>IF(DL82="","",IFERROR(DL82*HSI!$B$80*HSI!$G$80/HSI!$B$3,""))</f>
        <v/>
      </c>
      <c r="GA82" s="85">
        <f>IF(DM82="","",IFERROR(DM82*HSI!$B$80*HSI!$G$80/HSI!$B$3,""))</f>
        <v/>
      </c>
      <c r="GB82" s="85">
        <f>IF(DN82="","",IFERROR(DN82*HSI!$B$80*HSI!$G$80/HSI!$B$3,""))</f>
        <v/>
      </c>
      <c r="GC82" s="85">
        <f>IF(DO82="","",IFERROR(DO82*HSI!$B$80*HSI!$G$80/HSI!$B$3,""))</f>
        <v/>
      </c>
      <c r="GD82" s="85">
        <f>IF(DP82="","",IFERROR(DP82*HSI!$B$80*HSI!$G$80/HSI!$B$3,""))</f>
        <v/>
      </c>
      <c r="GE82" s="85">
        <f>IF(DQ82="","",IFERROR(DQ82*HSI!$B$80*HSI!$G$80/HSI!$B$3,""))</f>
        <v/>
      </c>
      <c r="GF82" s="85">
        <f>IF(DR82="","",IFERROR(DR82*HSI!$B$80*HSI!$G$80/HSI!$B$3,""))</f>
        <v/>
      </c>
      <c r="GG82" s="85">
        <f>IF(DS82="","",IFERROR(DS82*HSI!$B$80*HSI!$G$80/HSI!$B$3,""))</f>
        <v/>
      </c>
      <c r="GH82" s="85">
        <f>IF(DT82="","",IFERROR(DT82*HSI!$B$80*HSI!$G$80/HSI!$B$3,""))</f>
        <v/>
      </c>
      <c r="GI82" s="85">
        <f>IF(DU82="","",IFERROR(DU82*HSI!$B$80*HSI!$G$80/HSI!$B$3,""))</f>
        <v/>
      </c>
      <c r="GJ82" s="85">
        <f>IF(DV82="","",IFERROR(DV82*HSI!$B$80*HSI!$G$80/HSI!$B$3,""))</f>
        <v/>
      </c>
      <c r="GK82" s="85">
        <f>IF(DW82="","",IFERROR(DW82*HSI!$B$80*HSI!$G$80/HSI!$B$3,""))</f>
        <v/>
      </c>
      <c r="GL82" s="85">
        <f>IF(DX82="","",IFERROR(DX82*HSI!$B$80*HSI!$G$80/HSI!$B$3,""))</f>
        <v/>
      </c>
      <c r="GM82" s="85">
        <f>IF(DY82="","",IFERROR(DY82*HSI!$B$80*HSI!$G$80/HSI!$B$3,""))</f>
        <v/>
      </c>
      <c r="GN82" s="85">
        <f>IF(DZ82="","",IFERROR(DZ82*HSI!$B$80*HSI!$G$80/HSI!$B$3,""))</f>
        <v/>
      </c>
      <c r="GO82" s="85">
        <f>IF(EA82="","",IFERROR(EA82*HSI!$B$80*HSI!$G$80/HSI!$B$3,""))</f>
        <v/>
      </c>
      <c r="GP82" s="85">
        <f>IF(EB82="","",IFERROR(EB82*HSI!$B$80*HSI!$G$80/HSI!$B$3,""))</f>
        <v/>
      </c>
      <c r="GQ82" s="85">
        <f>IF(EC82="","",IFERROR(EC82*HSI!$B$80*HSI!$G$80/HSI!$B$3,""))</f>
        <v/>
      </c>
    </row>
    <row r="83">
      <c r="B83" s="2">
        <f>IF(HSI!$C$81="","",HSI!$C$81)</f>
        <v/>
      </c>
      <c r="C83" s="41">
        <f>IF(N('Dvd Calendar'!$E$1120)=0,"",IF(('Dvd Calendar'!$E$1120&gt;=MIN(DATE(Summary!$C$12,1,1),Summary!$C$11))*('Dvd Calendar'!$E$1120&lt;=MAX(DATE(Summary!$C$12,12,31),Summary!$C$15))*('Dvd Calendar'!$E$1120&lt;=Summary!$C$11)=0,"",'Dvd Calendar'!$E$1120*1000000000+ISNUMBER('Dvd Calendar'!$E$1121)*100000000+('Dvd Calendar'!$E$1125='Field Check'!$C$25)*10000000+(N('Dvd Calendar'!$E$1119)&gt;0)*1000000+75*1000+1))</f>
        <v/>
      </c>
      <c r="D83" s="41">
        <f>IF(N('Dvd Calendar'!$F$1120)=0,"",IF(('Dvd Calendar'!$F$1120&gt;=MIN(DATE(Summary!$C$12,1,1),Summary!$C$11))*('Dvd Calendar'!$F$1120&lt;=MAX(DATE(Summary!$C$12,12,31),Summary!$C$15))*('Dvd Calendar'!$F$1120&lt;=Summary!$C$11)=0,"",'Dvd Calendar'!$F$1120*1000000000+ISNUMBER('Dvd Calendar'!$F$1121)*100000000+('Dvd Calendar'!$F$1125='Field Check'!$C$25)*10000000+(N('Dvd Calendar'!$F$1119)&gt;0)*1000000+75*1000+2))</f>
        <v/>
      </c>
      <c r="E83" s="41">
        <f>IF(N('Dvd Calendar'!$G$1120)=0,"",IF(('Dvd Calendar'!$G$1120&gt;=MIN(DATE(Summary!$C$12,1,1),Summary!$C$11))*('Dvd Calendar'!$G$1120&lt;=MAX(DATE(Summary!$C$12,12,31),Summary!$C$15))*('Dvd Calendar'!$G$1120&lt;=Summary!$C$11)=0,"",'Dvd Calendar'!$G$1120*1000000000+ISNUMBER('Dvd Calendar'!$G$1121)*100000000+('Dvd Calendar'!$G$1125='Field Check'!$C$25)*10000000+(N('Dvd Calendar'!$G$1119)&gt;0)*1000000+75*1000+3))</f>
        <v/>
      </c>
      <c r="F83" s="41">
        <f>IF(N('Dvd Calendar'!$H$1120)=0,"",IF(('Dvd Calendar'!$H$1120&gt;=MIN(DATE(Summary!$C$12,1,1),Summary!$C$11))*('Dvd Calendar'!$H$1120&lt;=MAX(DATE(Summary!$C$12,12,31),Summary!$C$15))*('Dvd Calendar'!$H$1120&lt;=Summary!$C$11)=0,"",'Dvd Calendar'!$H$1120*1000000000+ISNUMBER('Dvd Calendar'!$H$1121)*100000000+('Dvd Calendar'!$H$1125='Field Check'!$C$25)*10000000+(N('Dvd Calendar'!$H$1119)&gt;0)*1000000+75*1000+4))</f>
        <v/>
      </c>
      <c r="G83" s="41">
        <f>IF(N('Dvd Calendar'!$I$1120)=0,"",IF(('Dvd Calendar'!$I$1120&gt;=MIN(DATE(Summary!$C$12,1,1),Summary!$C$11))*('Dvd Calendar'!$I$1120&lt;=MAX(DATE(Summary!$C$12,12,31),Summary!$C$15))*('Dvd Calendar'!$I$1120&lt;=Summary!$C$11)=0,"",'Dvd Calendar'!$I$1120*1000000000+ISNUMBER('Dvd Calendar'!$I$1121)*100000000+('Dvd Calendar'!$I$1125='Field Check'!$C$25)*10000000+(N('Dvd Calendar'!$I$1119)&gt;0)*1000000+75*1000+5))</f>
        <v/>
      </c>
      <c r="H83" s="41">
        <f>IF(N('Dvd Calendar'!$J$1120)=0,"",IF(('Dvd Calendar'!$J$1120&gt;=MIN(DATE(Summary!$C$12,1,1),Summary!$C$11))*('Dvd Calendar'!$J$1120&lt;=MAX(DATE(Summary!$C$12,12,31),Summary!$C$15))*('Dvd Calendar'!$J$1120&lt;=Summary!$C$11)=0,"",'Dvd Calendar'!$J$1120*1000000000+ISNUMBER('Dvd Calendar'!$J$1121)*100000000+('Dvd Calendar'!$J$1125='Field Check'!$C$25)*10000000+(N('Dvd Calendar'!$J$1119)&gt;0)*1000000+75*1000+6))</f>
        <v/>
      </c>
      <c r="I83" s="41">
        <f>IF(N('Dvd Calendar'!$K$1120)=0,"",IF(('Dvd Calendar'!$K$1120&gt;=MIN(DATE(Summary!$C$12,1,1),Summary!$C$11))*('Dvd Calendar'!$K$1120&lt;=MAX(DATE(Summary!$C$12,12,31),Summary!$C$15))*('Dvd Calendar'!$K$1120&lt;=Summary!$C$11)=0,"",'Dvd Calendar'!$K$1120*1000000000+ISNUMBER('Dvd Calendar'!$K$1121)*100000000+('Dvd Calendar'!$K$1125='Field Check'!$C$25)*10000000+(N('Dvd Calendar'!$K$1119)&gt;0)*1000000+75*1000+7))</f>
        <v/>
      </c>
      <c r="J83" s="41">
        <f>IF(N('Dvd Calendar'!$L$1120)=0,"",IF(('Dvd Calendar'!$L$1120&gt;=MIN(DATE(Summary!$C$12,1,1),Summary!$C$11))*('Dvd Calendar'!$L$1120&lt;=MAX(DATE(Summary!$C$12,12,31),Summary!$C$15))*('Dvd Calendar'!$L$1120&lt;=Summary!$C$11)=0,"",'Dvd Calendar'!$L$1120*1000000000+ISNUMBER('Dvd Calendar'!$L$1121)*100000000+('Dvd Calendar'!$L$1125='Field Check'!$C$25)*10000000+(N('Dvd Calendar'!$L$1119)&gt;0)*1000000+75*1000+8))</f>
        <v/>
      </c>
      <c r="K83" s="41">
        <f>IF(N('Dvd Calendar'!$M$1120)=0,"",IF(('Dvd Calendar'!$M$1120&gt;=MIN(DATE(Summary!$C$12,1,1),Summary!$C$11))*('Dvd Calendar'!$M$1120&lt;=MAX(DATE(Summary!$C$12,12,31),Summary!$C$15))*('Dvd Calendar'!$M$1120&lt;=Summary!$C$11)=0,"",'Dvd Calendar'!$M$1120*1000000000+ISNUMBER('Dvd Calendar'!$M$1121)*100000000+('Dvd Calendar'!$M$1125='Field Check'!$C$25)*10000000+(N('Dvd Calendar'!$M$1119)&gt;0)*1000000+75*1000+9))</f>
        <v/>
      </c>
      <c r="L83" s="41">
        <f>IF(N('Dvd Calendar'!$N$1120)=0,"",IF(('Dvd Calendar'!$N$1120&gt;=MIN(DATE(Summary!$C$12,1,1),Summary!$C$11))*('Dvd Calendar'!$N$1120&lt;=MAX(DATE(Summary!$C$12,12,31),Summary!$C$15))*('Dvd Calendar'!$N$1120&lt;=Summary!$C$11)=0,"",'Dvd Calendar'!$N$1120*1000000000+ISNUMBER('Dvd Calendar'!$N$1121)*100000000+('Dvd Calendar'!$N$1125='Field Check'!$C$25)*10000000+(N('Dvd Calendar'!$N$1119)&gt;0)*1000000+75*1000+10))</f>
        <v/>
      </c>
      <c r="M83" s="41">
        <f>IF(N('Dvd Calendar'!$O$1120)=0,"",IF(('Dvd Calendar'!$O$1120&gt;=MIN(DATE(Summary!$C$12,1,1),Summary!$C$11))*('Dvd Calendar'!$O$1120&lt;=MAX(DATE(Summary!$C$12,12,31),Summary!$C$15))*('Dvd Calendar'!$O$1120&lt;=Summary!$C$11)=0,"",'Dvd Calendar'!$O$1120*1000000000+ISNUMBER('Dvd Calendar'!$O$1121)*100000000+('Dvd Calendar'!$O$1125='Field Check'!$C$25)*10000000+(N('Dvd Calendar'!$O$1119)&gt;0)*1000000+75*1000+11))</f>
        <v/>
      </c>
      <c r="N83" s="41">
        <f>IF(N('Dvd Calendar'!$P$1120)=0,"",IF(('Dvd Calendar'!$P$1120&gt;=MIN(DATE(Summary!$C$12,1,1),Summary!$C$11))*('Dvd Calendar'!$P$1120&lt;=MAX(DATE(Summary!$C$12,12,31),Summary!$C$15))*('Dvd Calendar'!$P$1120&lt;=Summary!$C$11)=0,"",'Dvd Calendar'!$P$1120*1000000000+ISNUMBER('Dvd Calendar'!$P$1121)*100000000+('Dvd Calendar'!$P$1125='Field Check'!$C$25)*10000000+(N('Dvd Calendar'!$P$1119)&gt;0)*1000000+75*1000+12))</f>
        <v/>
      </c>
      <c r="O83" s="41">
        <f>IF(N('Dvd Calendar'!$Q$1120)=0,"",IF(('Dvd Calendar'!$Q$1120&gt;=MIN(DATE(Summary!$C$12,1,1),Summary!$C$11))*('Dvd Calendar'!$Q$1120&lt;=MAX(DATE(Summary!$C$12,12,31),Summary!$C$15))*('Dvd Calendar'!$Q$1120&lt;=Summary!$C$11)=0,"",'Dvd Calendar'!$Q$1120*1000000000+ISNUMBER('Dvd Calendar'!$Q$1121)*100000000+('Dvd Calendar'!$Q$1125='Field Check'!$C$25)*10000000+(N('Dvd Calendar'!$Q$1119)&gt;0)*1000000+75*1000+13))</f>
        <v/>
      </c>
      <c r="P83" s="41">
        <f>IF(N('Dvd Calendar'!$R$1120)=0,"",IF(('Dvd Calendar'!$R$1120&gt;=MIN(DATE(Summary!$C$12,1,1),Summary!$C$11))*('Dvd Calendar'!$R$1120&lt;=MAX(DATE(Summary!$C$12,12,31),Summary!$C$15))*('Dvd Calendar'!$R$1120&lt;=Summary!$C$11)=0,"",'Dvd Calendar'!$R$1120*1000000000+ISNUMBER('Dvd Calendar'!$R$1121)*100000000+('Dvd Calendar'!$R$1125='Field Check'!$C$25)*10000000+(N('Dvd Calendar'!$R$1119)&gt;0)*1000000+75*1000+14))</f>
        <v/>
      </c>
      <c r="Q83" s="41">
        <f>IF(N('Dvd Calendar'!$S$1120)=0,"",IF(('Dvd Calendar'!$S$1120&gt;=MIN(DATE(Summary!$C$12,1,1),Summary!$C$11))*('Dvd Calendar'!$S$1120&lt;=MAX(DATE(Summary!$C$12,12,31),Summary!$C$15))*('Dvd Calendar'!$S$1120&lt;=Summary!$C$11)=0,"",'Dvd Calendar'!$S$1120*1000000000+ISNUMBER('Dvd Calendar'!$S$1121)*100000000+('Dvd Calendar'!$S$1125='Field Check'!$C$25)*10000000+(N('Dvd Calendar'!$S$1119)&gt;0)*1000000+75*1000+15))</f>
        <v/>
      </c>
      <c r="R83" s="41">
        <f>IF(N('Dvd Calendar'!$T$1120)=0,"",IF(('Dvd Calendar'!$T$1120&gt;=MIN(DATE(Summary!$C$12,1,1),Summary!$C$11))*('Dvd Calendar'!$T$1120&lt;=MAX(DATE(Summary!$C$12,12,31),Summary!$C$15))*('Dvd Calendar'!$T$1120&lt;=Summary!$C$11)=0,"",'Dvd Calendar'!$T$1120*1000000000+ISNUMBER('Dvd Calendar'!$T$1121)*100000000+('Dvd Calendar'!$T$1125='Field Check'!$C$25)*10000000+(N('Dvd Calendar'!$T$1119)&gt;0)*1000000+75*1000+16))</f>
        <v/>
      </c>
      <c r="S83" s="41">
        <f>IF(N('Dvd Calendar'!$U$1120)=0,"",IF(('Dvd Calendar'!$U$1120&gt;=MIN(DATE(Summary!$C$12,1,1),Summary!$C$11))*('Dvd Calendar'!$U$1120&lt;=MAX(DATE(Summary!$C$12,12,31),Summary!$C$15))*('Dvd Calendar'!$U$1120&lt;=Summary!$C$11)=0,"",'Dvd Calendar'!$U$1120*1000000000+ISNUMBER('Dvd Calendar'!$U$1121)*100000000+('Dvd Calendar'!$U$1125='Field Check'!$C$25)*10000000+(N('Dvd Calendar'!$U$1119)&gt;0)*1000000+75*1000+17))</f>
        <v/>
      </c>
      <c r="T83" s="41">
        <f>IF(N('Dvd Calendar'!$V$1120)=0,"",IF(('Dvd Calendar'!$V$1120&gt;=MIN(DATE(Summary!$C$12,1,1),Summary!$C$11))*('Dvd Calendar'!$V$1120&lt;=MAX(DATE(Summary!$C$12,12,31),Summary!$C$15))*('Dvd Calendar'!$V$1120&lt;=Summary!$C$11)=0,"",'Dvd Calendar'!$V$1120*1000000000+ISNUMBER('Dvd Calendar'!$V$1121)*100000000+('Dvd Calendar'!$V$1125='Field Check'!$C$25)*10000000+(N('Dvd Calendar'!$V$1119)&gt;0)*1000000+75*1000+18))</f>
        <v/>
      </c>
      <c r="U83" s="41">
        <f>IF(N('Dvd Calendar'!$W$1120)=0,"",IF(('Dvd Calendar'!$W$1120&gt;=MIN(DATE(Summary!$C$12,1,1),Summary!$C$11))*('Dvd Calendar'!$W$1120&lt;=MAX(DATE(Summary!$C$12,12,31),Summary!$C$15))*('Dvd Calendar'!$W$1120&lt;=Summary!$C$11)=0,"",'Dvd Calendar'!$W$1120*1000000000+ISNUMBER('Dvd Calendar'!$W$1121)*100000000+('Dvd Calendar'!$W$1125='Field Check'!$C$25)*10000000+(N('Dvd Calendar'!$W$1119)&gt;0)*1000000+75*1000+19))</f>
        <v/>
      </c>
      <c r="V83" s="41">
        <f>IF(N('Dvd Calendar'!$X$1120)=0,"",IF(('Dvd Calendar'!$X$1120&gt;=MIN(DATE(Summary!$C$12,1,1),Summary!$C$11))*('Dvd Calendar'!$X$1120&lt;=MAX(DATE(Summary!$C$12,12,31),Summary!$C$15))*('Dvd Calendar'!$X$1120&lt;=Summary!$C$11)=0,"",'Dvd Calendar'!$X$1120*1000000000+ISNUMBER('Dvd Calendar'!$X$1121)*100000000+('Dvd Calendar'!$X$1125='Field Check'!$C$25)*10000000+(N('Dvd Calendar'!$X$1119)&gt;0)*1000000+75*1000+20))</f>
        <v/>
      </c>
      <c r="W83" s="41">
        <f>IF(N('Dvd Calendar'!$Y$1120)=0,"",IF(('Dvd Calendar'!$Y$1120&gt;=MIN(DATE(Summary!$C$12,1,1),Summary!$C$11))*('Dvd Calendar'!$Y$1120&lt;=MAX(DATE(Summary!$C$12,12,31),Summary!$C$15))*('Dvd Calendar'!$Y$1120&lt;=Summary!$C$11)=0,"",'Dvd Calendar'!$Y$1120*1000000000+ISNUMBER('Dvd Calendar'!$Y$1121)*100000000+('Dvd Calendar'!$Y$1125='Field Check'!$C$25)*10000000+(N('Dvd Calendar'!$Y$1119)&gt;0)*1000000+75*1000+21))</f>
        <v/>
      </c>
      <c r="X83" s="41">
        <f>IF(N('Dvd Calendar'!$Z$1120)=0,"",IF(('Dvd Calendar'!$Z$1120&gt;=MIN(DATE(Summary!$C$12,1,1),Summary!$C$11))*('Dvd Calendar'!$Z$1120&lt;=MAX(DATE(Summary!$C$12,12,31),Summary!$C$15))*('Dvd Calendar'!$Z$1120&lt;=Summary!$C$11)=0,"",'Dvd Calendar'!$Z$1120*1000000000+ISNUMBER('Dvd Calendar'!$Z$1121)*100000000+('Dvd Calendar'!$Z$1125='Field Check'!$C$25)*10000000+(N('Dvd Calendar'!$Z$1119)&gt;0)*1000000+75*1000+22))</f>
        <v/>
      </c>
      <c r="Y83" s="41">
        <f>IF(N('Dvd Calendar'!$AA$1120)=0,"",IF(('Dvd Calendar'!$AA$1120&gt;=MIN(DATE(Summary!$C$12,1,1),Summary!$C$11))*('Dvd Calendar'!$AA$1120&lt;=MAX(DATE(Summary!$C$12,12,31),Summary!$C$15))*('Dvd Calendar'!$AA$1120&lt;=Summary!$C$11)=0,"",'Dvd Calendar'!$AA$1120*1000000000+ISNUMBER('Dvd Calendar'!$AA$1121)*100000000+('Dvd Calendar'!$AA$1125='Field Check'!$C$25)*10000000+(N('Dvd Calendar'!$AA$1119)&gt;0)*1000000+75*1000+23))</f>
        <v/>
      </c>
      <c r="Z83" s="41">
        <f>IF(N('Dvd Calendar'!$AB$1120)=0,"",IF(('Dvd Calendar'!$AB$1120&gt;=MIN(DATE(Summary!$C$12,1,1),Summary!$C$11))*('Dvd Calendar'!$AB$1120&lt;=MAX(DATE(Summary!$C$12,12,31),Summary!$C$15))*('Dvd Calendar'!$AB$1120&lt;=Summary!$C$11)=0,"",'Dvd Calendar'!$AB$1120*1000000000+ISNUMBER('Dvd Calendar'!$AB$1121)*100000000+('Dvd Calendar'!$AB$1125='Field Check'!$C$25)*10000000+(N('Dvd Calendar'!$AB$1119)&gt;0)*1000000+75*1000+24))</f>
        <v/>
      </c>
      <c r="AA83" s="41">
        <f>IF(N('Dvd Calendar'!$AC$1120)=0,"",IF(('Dvd Calendar'!$AC$1120&gt;=MIN(DATE(Summary!$C$12,1,1),Summary!$C$11))*('Dvd Calendar'!$AC$1120&lt;=MAX(DATE(Summary!$C$12,12,31),Summary!$C$15))*('Dvd Calendar'!$AC$1120&lt;=Summary!$C$11)=0,"",'Dvd Calendar'!$AC$1120*1000000000+ISNUMBER('Dvd Calendar'!$AC$1121)*100000000+('Dvd Calendar'!$AC$1125='Field Check'!$C$25)*10000000+(N('Dvd Calendar'!$AC$1119)&gt;0)*1000000+75*1000+25))</f>
        <v/>
      </c>
      <c r="AB83" s="41">
        <f>IF(N('Dvd Calendar'!$AD$1120)=0,"",IF(('Dvd Calendar'!$AD$1120&gt;=MIN(DATE(Summary!$C$12,1,1),Summary!$C$11))*('Dvd Calendar'!$AD$1120&lt;=MAX(DATE(Summary!$C$12,12,31),Summary!$C$15))*('Dvd Calendar'!$AD$1120&lt;=Summary!$C$11)=0,"",'Dvd Calendar'!$AD$1120*1000000000+ISNUMBER('Dvd Calendar'!$AD$1121)*100000000+('Dvd Calendar'!$AD$1125='Field Check'!$C$25)*10000000+(N('Dvd Calendar'!$AD$1119)&gt;0)*1000000+75*1000+26))</f>
        <v/>
      </c>
      <c r="AC83" s="41">
        <f>IF(N('Dvd Calendar'!$AE$1120)=0,"",IF(('Dvd Calendar'!$AE$1120&gt;=MIN(DATE(Summary!$C$12,1,1),Summary!$C$11))*('Dvd Calendar'!$AE$1120&lt;=MAX(DATE(Summary!$C$12,12,31),Summary!$C$15))*('Dvd Calendar'!$AE$1120&lt;=Summary!$C$11)=0,"",'Dvd Calendar'!$AE$1120*1000000000+ISNUMBER('Dvd Calendar'!$AE$1121)*100000000+('Dvd Calendar'!$AE$1125='Field Check'!$C$25)*10000000+(N('Dvd Calendar'!$AE$1119)&gt;0)*1000000+75*1000+27))</f>
        <v/>
      </c>
      <c r="AD83" s="41">
        <f>IF(N('Dvd Calendar'!$AF$1120)=0,"",IF(('Dvd Calendar'!$AF$1120&gt;=MIN(DATE(Summary!$C$12,1,1),Summary!$C$11))*('Dvd Calendar'!$AF$1120&lt;=MAX(DATE(Summary!$C$12,12,31),Summary!$C$15))*('Dvd Calendar'!$AF$1120&lt;=Summary!$C$11)=0,"",'Dvd Calendar'!$AF$1120*1000000000+ISNUMBER('Dvd Calendar'!$AF$1121)*100000000+('Dvd Calendar'!$AF$1125='Field Check'!$C$25)*10000000+(N('Dvd Calendar'!$AF$1119)&gt;0)*1000000+75*1000+28))</f>
        <v/>
      </c>
      <c r="AE83" s="41">
        <f>IF(N('Dvd Calendar'!$AG$1120)=0,"",IF(('Dvd Calendar'!$AG$1120&gt;=MIN(DATE(Summary!$C$12,1,1),Summary!$C$11))*('Dvd Calendar'!$AG$1120&lt;=MAX(DATE(Summary!$C$12,12,31),Summary!$C$15))*('Dvd Calendar'!$AG$1120&lt;=Summary!$C$11)=0,"",'Dvd Calendar'!$AG$1120*1000000000+ISNUMBER('Dvd Calendar'!$AG$1121)*100000000+('Dvd Calendar'!$AG$1125='Field Check'!$C$25)*10000000+(N('Dvd Calendar'!$AG$1119)&gt;0)*1000000+75*1000+29))</f>
        <v/>
      </c>
      <c r="AF83" s="41">
        <f>IF(N('Dvd Calendar'!$AH$1120)=0,"",IF(('Dvd Calendar'!$AH$1120&gt;=MIN(DATE(Summary!$C$12,1,1),Summary!$C$11))*('Dvd Calendar'!$AH$1120&lt;=MAX(DATE(Summary!$C$12,12,31),Summary!$C$15))*('Dvd Calendar'!$AH$1120&lt;=Summary!$C$11)=0,"",'Dvd Calendar'!$AH$1120*1000000000+ISNUMBER('Dvd Calendar'!$AH$1121)*100000000+('Dvd Calendar'!$AH$1125='Field Check'!$C$25)*10000000+(N('Dvd Calendar'!$AH$1119)&gt;0)*1000000+75*1000+30))</f>
        <v/>
      </c>
      <c r="AG83" s="41">
        <f>IF(N('Dvd Calendar'!$AI$1120)=0,"",IF(('Dvd Calendar'!$AI$1120&gt;=MIN(DATE(Summary!$C$12,1,1),Summary!$C$11))*('Dvd Calendar'!$AI$1120&lt;=MAX(DATE(Summary!$C$12,12,31),Summary!$C$15))*('Dvd Calendar'!$AI$1120&lt;=Summary!$C$11)=0,"",'Dvd Calendar'!$AI$1120*1000000000+ISNUMBER('Dvd Calendar'!$AI$1121)*100000000+('Dvd Calendar'!$AI$1125='Field Check'!$C$25)*10000000+(N('Dvd Calendar'!$AI$1119)&gt;0)*1000000+75*1000+31))</f>
        <v/>
      </c>
      <c r="AH83" s="41">
        <f>IF(N('Dvd Calendar'!$AJ$1120)=0,"",IF(('Dvd Calendar'!$AJ$1120&gt;=MIN(DATE(Summary!$C$12,1,1),Summary!$C$11))*('Dvd Calendar'!$AJ$1120&lt;=MAX(DATE(Summary!$C$12,12,31),Summary!$C$15))*('Dvd Calendar'!$AJ$1120&lt;=Summary!$C$11)=0,"",'Dvd Calendar'!$AJ$1120*1000000000+ISNUMBER('Dvd Calendar'!$AJ$1121)*100000000+('Dvd Calendar'!$AJ$1125='Field Check'!$C$25)*10000000+(N('Dvd Calendar'!$AJ$1119)&gt;0)*1000000+75*1000+32))</f>
        <v/>
      </c>
      <c r="AI83" s="41">
        <f>IF(N('Dvd Calendar'!$AK$1120)=0,"",IF(('Dvd Calendar'!$AK$1120&gt;=MIN(DATE(Summary!$C$12,1,1),Summary!$C$11))*('Dvd Calendar'!$AK$1120&lt;=MAX(DATE(Summary!$C$12,12,31),Summary!$C$15))*('Dvd Calendar'!$AK$1120&lt;=Summary!$C$11)=0,"",'Dvd Calendar'!$AK$1120*1000000000+ISNUMBER('Dvd Calendar'!$AK$1121)*100000000+('Dvd Calendar'!$AK$1125='Field Check'!$C$25)*10000000+(N('Dvd Calendar'!$AK$1119)&gt;0)*1000000+75*1000+33))</f>
        <v/>
      </c>
      <c r="AJ83" s="41">
        <f>IF(N('Dvd Calendar'!$AL$1120)=0,"",IF(('Dvd Calendar'!$AL$1120&gt;=MIN(DATE(Summary!$C$12,1,1),Summary!$C$11))*('Dvd Calendar'!$AL$1120&lt;=MAX(DATE(Summary!$C$12,12,31),Summary!$C$15))*('Dvd Calendar'!$AL$1120&lt;=Summary!$C$11)=0,"",'Dvd Calendar'!$AL$1120*1000000000+ISNUMBER('Dvd Calendar'!$AL$1121)*100000000+('Dvd Calendar'!$AL$1125='Field Check'!$C$25)*10000000+(N('Dvd Calendar'!$AL$1119)&gt;0)*1000000+75*1000+34))</f>
        <v/>
      </c>
      <c r="AK83" s="41">
        <f>IF(N('Dvd Calendar'!$AM$1120)=0,"",IF(('Dvd Calendar'!$AM$1120&gt;=MIN(DATE(Summary!$C$12,1,1),Summary!$C$11))*('Dvd Calendar'!$AM$1120&lt;=MAX(DATE(Summary!$C$12,12,31),Summary!$C$15))*('Dvd Calendar'!$AM$1120&lt;=Summary!$C$11)=0,"",'Dvd Calendar'!$AM$1120*1000000000+ISNUMBER('Dvd Calendar'!$AM$1121)*100000000+('Dvd Calendar'!$AM$1125='Field Check'!$C$25)*10000000+(N('Dvd Calendar'!$AM$1119)&gt;0)*1000000+75*1000+35))</f>
        <v/>
      </c>
      <c r="AL83" s="41">
        <f>IF(N('Dvd Calendar'!$AN$1120)=0,"",IF(('Dvd Calendar'!$AN$1120&gt;=MIN(DATE(Summary!$C$12,1,1),Summary!$C$11))*('Dvd Calendar'!$AN$1120&lt;=MAX(DATE(Summary!$C$12,12,31),Summary!$C$15))*('Dvd Calendar'!$AN$1120&lt;=Summary!$C$11)=0,"",'Dvd Calendar'!$AN$1120*1000000000+ISNUMBER('Dvd Calendar'!$AN$1121)*100000000+('Dvd Calendar'!$AN$1125='Field Check'!$C$25)*10000000+(N('Dvd Calendar'!$AN$1119)&gt;0)*1000000+75*1000+36))</f>
        <v/>
      </c>
      <c r="AM83" s="41">
        <f>IF(N('Dvd Calendar'!$AO$1120)=0,"",IF(('Dvd Calendar'!$AO$1120&gt;=MIN(DATE(Summary!$C$12,1,1),Summary!$C$11))*('Dvd Calendar'!$AO$1120&lt;=MAX(DATE(Summary!$C$12,12,31),Summary!$C$15))*('Dvd Calendar'!$AO$1120&lt;=Summary!$C$11)=0,"",'Dvd Calendar'!$AO$1120*1000000000+ISNUMBER('Dvd Calendar'!$AO$1121)*100000000+('Dvd Calendar'!$AO$1125='Field Check'!$C$25)*10000000+(N('Dvd Calendar'!$AO$1119)&gt;0)*1000000+75*1000+37))</f>
        <v/>
      </c>
      <c r="AN83" s="41">
        <f>IF(N('Dvd Calendar'!$AP$1120)=0,"",IF(('Dvd Calendar'!$AP$1120&gt;=MIN(DATE(Summary!$C$12,1,1),Summary!$C$11))*('Dvd Calendar'!$AP$1120&lt;=MAX(DATE(Summary!$C$12,12,31),Summary!$C$15))*('Dvd Calendar'!$AP$1120&lt;=Summary!$C$11)=0,"",'Dvd Calendar'!$AP$1120*1000000000+ISNUMBER('Dvd Calendar'!$AP$1121)*100000000+('Dvd Calendar'!$AP$1125='Field Check'!$C$25)*10000000+(N('Dvd Calendar'!$AP$1119)&gt;0)*1000000+75*1000+38))</f>
        <v/>
      </c>
      <c r="AO83" s="41">
        <f>IF(N('Dvd Calendar'!$AQ$1120)=0,"",IF(('Dvd Calendar'!$AQ$1120&gt;=MIN(DATE(Summary!$C$12,1,1),Summary!$C$11))*('Dvd Calendar'!$AQ$1120&lt;=MAX(DATE(Summary!$C$12,12,31),Summary!$C$15))*('Dvd Calendar'!$AQ$1120&lt;=Summary!$C$11)=0,"",'Dvd Calendar'!$AQ$1120*1000000000+ISNUMBER('Dvd Calendar'!$AQ$1121)*100000000+('Dvd Calendar'!$AQ$1125='Field Check'!$C$25)*10000000+(N('Dvd Calendar'!$AQ$1119)&gt;0)*1000000+75*1000+39))</f>
        <v/>
      </c>
      <c r="AP83" s="41">
        <f>IF(N('Dvd Calendar'!$AR$1120)=0,"",IF(('Dvd Calendar'!$AR$1120&gt;=MIN(DATE(Summary!$C$12,1,1),Summary!$C$11))*('Dvd Calendar'!$AR$1120&lt;=MAX(DATE(Summary!$C$12,12,31),Summary!$C$15))*('Dvd Calendar'!$AR$1120&lt;=Summary!$C$11)=0,"",'Dvd Calendar'!$AR$1120*1000000000+ISNUMBER('Dvd Calendar'!$AR$1121)*100000000+('Dvd Calendar'!$AR$1125='Field Check'!$C$25)*10000000+(N('Dvd Calendar'!$AR$1119)&gt;0)*1000000+75*1000+40))</f>
        <v/>
      </c>
      <c r="AQ83" s="41">
        <f>IF(N('Dvd Calendar'!$E$1127)=0,"",IF(('Dvd Calendar'!$E$1127&gt;=MIN(DATE(Summary!$C$12,1,1),Summary!$C$11))*('Dvd Calendar'!$E$1127&lt;=MAX(DATE(Summary!$C$12,12,31),Summary!$C$15))*('Dvd Calendar'!$E$1127&gt;Summary!$C$11)=0,"",'Dvd Calendar'!$E$1127*1000000000+ISNUMBER('Dvd Calendar'!$E$1128)*100000000+('Dvd Calendar'!$E$1132='Field Check'!$C$25)*10000000+(N('Dvd Calendar'!$E$1126)&gt;0)*1000000+75*1000+41))</f>
        <v/>
      </c>
      <c r="AR83" s="41">
        <f>IF(N('Dvd Calendar'!$F$1127)=0,"",IF(('Dvd Calendar'!$F$1127&gt;=MIN(DATE(Summary!$C$12,1,1),Summary!$C$11))*('Dvd Calendar'!$F$1127&lt;=MAX(DATE(Summary!$C$12,12,31),Summary!$C$15))*('Dvd Calendar'!$F$1127&gt;Summary!$C$11)=0,"",'Dvd Calendar'!$F$1127*1000000000+ISNUMBER('Dvd Calendar'!$F$1128)*100000000+('Dvd Calendar'!$F$1132='Field Check'!$C$25)*10000000+(N('Dvd Calendar'!$F$1126)&gt;0)*1000000+75*1000+42))</f>
        <v/>
      </c>
      <c r="AS83" s="41">
        <f>IF(N('Dvd Calendar'!$G$1127)=0,"",IF(('Dvd Calendar'!$G$1127&gt;=MIN(DATE(Summary!$C$12,1,1),Summary!$C$11))*('Dvd Calendar'!$G$1127&lt;=MAX(DATE(Summary!$C$12,12,31),Summary!$C$15))*('Dvd Calendar'!$G$1127&gt;Summary!$C$11)=0,"",'Dvd Calendar'!$G$1127*1000000000+ISNUMBER('Dvd Calendar'!$G$1128)*100000000+('Dvd Calendar'!$G$1132='Field Check'!$C$25)*10000000+(N('Dvd Calendar'!$G$1126)&gt;0)*1000000+75*1000+43))</f>
        <v/>
      </c>
      <c r="AT83" s="41">
        <f>IF(N('Dvd Calendar'!$H$1127)=0,"",IF(('Dvd Calendar'!$H$1127&gt;=MIN(DATE(Summary!$C$12,1,1),Summary!$C$11))*('Dvd Calendar'!$H$1127&lt;=MAX(DATE(Summary!$C$12,12,31),Summary!$C$15))*('Dvd Calendar'!$H$1127&gt;Summary!$C$11)=0,"",'Dvd Calendar'!$H$1127*1000000000+ISNUMBER('Dvd Calendar'!$H$1128)*100000000+('Dvd Calendar'!$H$1132='Field Check'!$C$25)*10000000+(N('Dvd Calendar'!$H$1126)&gt;0)*1000000+75*1000+44))</f>
        <v/>
      </c>
      <c r="AU83" s="41">
        <f>IF(N('Dvd Calendar'!$I$1127)=0,"",IF(('Dvd Calendar'!$I$1127&gt;=MIN(DATE(Summary!$C$12,1,1),Summary!$C$11))*('Dvd Calendar'!$I$1127&lt;=MAX(DATE(Summary!$C$12,12,31),Summary!$C$15))*('Dvd Calendar'!$I$1127&gt;Summary!$C$11)=0,"",'Dvd Calendar'!$I$1127*1000000000+ISNUMBER('Dvd Calendar'!$I$1128)*100000000+('Dvd Calendar'!$I$1132='Field Check'!$C$25)*10000000+(N('Dvd Calendar'!$I$1126)&gt;0)*1000000+75*1000+45))</f>
        <v/>
      </c>
      <c r="AV83" s="41">
        <f>IF(N('Dvd Calendar'!$J$1127)=0,"",IF(('Dvd Calendar'!$J$1127&gt;=MIN(DATE(Summary!$C$12,1,1),Summary!$C$11))*('Dvd Calendar'!$J$1127&lt;=MAX(DATE(Summary!$C$12,12,31),Summary!$C$15))*('Dvd Calendar'!$J$1127&gt;Summary!$C$11)=0,"",'Dvd Calendar'!$J$1127*1000000000+ISNUMBER('Dvd Calendar'!$J$1128)*100000000+('Dvd Calendar'!$J$1132='Field Check'!$C$25)*10000000+(N('Dvd Calendar'!$J$1126)&gt;0)*1000000+75*1000+46))</f>
        <v/>
      </c>
      <c r="AW83" s="41">
        <f>IF(N('Dvd Calendar'!$K$1127)=0,"",IF(('Dvd Calendar'!$K$1127&gt;=MIN(DATE(Summary!$C$12,1,1),Summary!$C$11))*('Dvd Calendar'!$K$1127&lt;=MAX(DATE(Summary!$C$12,12,31),Summary!$C$15))*('Dvd Calendar'!$K$1127&gt;Summary!$C$11)=0,"",'Dvd Calendar'!$K$1127*1000000000+ISNUMBER('Dvd Calendar'!$K$1128)*100000000+('Dvd Calendar'!$K$1132='Field Check'!$C$25)*10000000+(N('Dvd Calendar'!$K$1126)&gt;0)*1000000+75*1000+47))</f>
        <v/>
      </c>
      <c r="AX83" s="41">
        <f>IF(N('Dvd Calendar'!$L$1127)=0,"",IF(('Dvd Calendar'!$L$1127&gt;=MIN(DATE(Summary!$C$12,1,1),Summary!$C$11))*('Dvd Calendar'!$L$1127&lt;=MAX(DATE(Summary!$C$12,12,31),Summary!$C$15))*('Dvd Calendar'!$L$1127&gt;Summary!$C$11)=0,"",'Dvd Calendar'!$L$1127*1000000000+ISNUMBER('Dvd Calendar'!$L$1128)*100000000+('Dvd Calendar'!$L$1132='Field Check'!$C$25)*10000000+(N('Dvd Calendar'!$L$1126)&gt;0)*1000000+75*1000+48))</f>
        <v/>
      </c>
      <c r="AY83" s="41">
        <f>IF(N('Dvd Calendar'!$M$1127)=0,"",IF(('Dvd Calendar'!$M$1127&gt;=MIN(DATE(Summary!$C$12,1,1),Summary!$C$11))*('Dvd Calendar'!$M$1127&lt;=MAX(DATE(Summary!$C$12,12,31),Summary!$C$15))*('Dvd Calendar'!$M$1127&gt;Summary!$C$11)=0,"",'Dvd Calendar'!$M$1127*1000000000+ISNUMBER('Dvd Calendar'!$M$1128)*100000000+('Dvd Calendar'!$M$1132='Field Check'!$C$25)*10000000+(N('Dvd Calendar'!$M$1126)&gt;0)*1000000+75*1000+49))</f>
        <v/>
      </c>
      <c r="AZ83" s="41">
        <f>IF(N('Dvd Calendar'!$N$1127)=0,"",IF(('Dvd Calendar'!$N$1127&gt;=MIN(DATE(Summary!$C$12,1,1),Summary!$C$11))*('Dvd Calendar'!$N$1127&lt;=MAX(DATE(Summary!$C$12,12,31),Summary!$C$15))*('Dvd Calendar'!$N$1127&gt;Summary!$C$11)=0,"",'Dvd Calendar'!$N$1127*1000000000+ISNUMBER('Dvd Calendar'!$N$1128)*100000000+('Dvd Calendar'!$N$1132='Field Check'!$C$25)*10000000+(N('Dvd Calendar'!$N$1126)&gt;0)*1000000+75*1000+50))</f>
        <v/>
      </c>
      <c r="BA83" s="41">
        <f>IF(N('Dvd Calendar'!$O$1127)=0,"",IF(('Dvd Calendar'!$O$1127&gt;=MIN(DATE(Summary!$C$12,1,1),Summary!$C$11))*('Dvd Calendar'!$O$1127&lt;=MAX(DATE(Summary!$C$12,12,31),Summary!$C$15))*('Dvd Calendar'!$O$1127&gt;Summary!$C$11)=0,"",'Dvd Calendar'!$O$1127*1000000000+ISNUMBER('Dvd Calendar'!$O$1128)*100000000+('Dvd Calendar'!$O$1132='Field Check'!$C$25)*10000000+(N('Dvd Calendar'!$O$1126)&gt;0)*1000000+75*1000+51))</f>
        <v/>
      </c>
      <c r="BB83" s="41">
        <f>IF(N('Dvd Calendar'!$P$1127)=0,"",IF(('Dvd Calendar'!$P$1127&gt;=MIN(DATE(Summary!$C$12,1,1),Summary!$C$11))*('Dvd Calendar'!$P$1127&lt;=MAX(DATE(Summary!$C$12,12,31),Summary!$C$15))*('Dvd Calendar'!$P$1127&gt;Summary!$C$11)=0,"",'Dvd Calendar'!$P$1127*1000000000+ISNUMBER('Dvd Calendar'!$P$1128)*100000000+('Dvd Calendar'!$P$1132='Field Check'!$C$25)*10000000+(N('Dvd Calendar'!$P$1126)&gt;0)*1000000+75*1000+52))</f>
        <v/>
      </c>
      <c r="BC83" s="41">
        <f>IF(N('Dvd Calendar'!$Q$1127)=0,"",IF(('Dvd Calendar'!$Q$1127&gt;=MIN(DATE(Summary!$C$12,1,1),Summary!$C$11))*('Dvd Calendar'!$Q$1127&lt;=MAX(DATE(Summary!$C$12,12,31),Summary!$C$15))*('Dvd Calendar'!$Q$1127&gt;Summary!$C$11)=0,"",'Dvd Calendar'!$Q$1127*1000000000+ISNUMBER('Dvd Calendar'!$Q$1128)*100000000+('Dvd Calendar'!$Q$1132='Field Check'!$C$25)*10000000+(N('Dvd Calendar'!$Q$1126)&gt;0)*1000000+75*1000+53))</f>
        <v/>
      </c>
      <c r="BD83" s="41">
        <f>IF(N('Dvd Calendar'!$R$1127)=0,"",IF(('Dvd Calendar'!$R$1127&gt;=MIN(DATE(Summary!$C$12,1,1),Summary!$C$11))*('Dvd Calendar'!$R$1127&lt;=MAX(DATE(Summary!$C$12,12,31),Summary!$C$15))*('Dvd Calendar'!$R$1127&gt;Summary!$C$11)=0,"",'Dvd Calendar'!$R$1127*1000000000+ISNUMBER('Dvd Calendar'!$R$1128)*100000000+('Dvd Calendar'!$R$1132='Field Check'!$C$25)*10000000+(N('Dvd Calendar'!$R$1126)&gt;0)*1000000+75*1000+54))</f>
        <v/>
      </c>
      <c r="BE83" s="41">
        <f>IF(N('Dvd Calendar'!$S$1127)=0,"",IF(('Dvd Calendar'!$S$1127&gt;=MIN(DATE(Summary!$C$12,1,1),Summary!$C$11))*('Dvd Calendar'!$S$1127&lt;=MAX(DATE(Summary!$C$12,12,31),Summary!$C$15))*('Dvd Calendar'!$S$1127&gt;Summary!$C$11)=0,"",'Dvd Calendar'!$S$1127*1000000000+ISNUMBER('Dvd Calendar'!$S$1128)*100000000+('Dvd Calendar'!$S$1132='Field Check'!$C$25)*10000000+(N('Dvd Calendar'!$S$1126)&gt;0)*1000000+75*1000+55))</f>
        <v/>
      </c>
      <c r="BF83" s="41">
        <f>IF(N('Dvd Calendar'!$T$1127)=0,"",IF(('Dvd Calendar'!$T$1127&gt;=MIN(DATE(Summary!$C$12,1,1),Summary!$C$11))*('Dvd Calendar'!$T$1127&lt;=MAX(DATE(Summary!$C$12,12,31),Summary!$C$15))*('Dvd Calendar'!$T$1127&gt;Summary!$C$11)=0,"",'Dvd Calendar'!$T$1127*1000000000+ISNUMBER('Dvd Calendar'!$T$1128)*100000000+('Dvd Calendar'!$T$1132='Field Check'!$C$25)*10000000+(N('Dvd Calendar'!$T$1126)&gt;0)*1000000+75*1000+56))</f>
        <v/>
      </c>
      <c r="BG83" s="41">
        <f>IF(N('Dvd Calendar'!$U$1127)=0,"",IF(('Dvd Calendar'!$U$1127&gt;=MIN(DATE(Summary!$C$12,1,1),Summary!$C$11))*('Dvd Calendar'!$U$1127&lt;=MAX(DATE(Summary!$C$12,12,31),Summary!$C$15))*('Dvd Calendar'!$U$1127&gt;Summary!$C$11)=0,"",'Dvd Calendar'!$U$1127*1000000000+ISNUMBER('Dvd Calendar'!$U$1128)*100000000+('Dvd Calendar'!$U$1132='Field Check'!$C$25)*10000000+(N('Dvd Calendar'!$U$1126)&gt;0)*1000000+75*1000+57))</f>
        <v/>
      </c>
      <c r="BH83" s="41">
        <f>IF(N('Dvd Calendar'!$V$1127)=0,"",IF(('Dvd Calendar'!$V$1127&gt;=MIN(DATE(Summary!$C$12,1,1),Summary!$C$11))*('Dvd Calendar'!$V$1127&lt;=MAX(DATE(Summary!$C$12,12,31),Summary!$C$15))*('Dvd Calendar'!$V$1127&gt;Summary!$C$11)=0,"",'Dvd Calendar'!$V$1127*1000000000+ISNUMBER('Dvd Calendar'!$V$1128)*100000000+('Dvd Calendar'!$V$1132='Field Check'!$C$25)*10000000+(N('Dvd Calendar'!$V$1126)&gt;0)*1000000+75*1000+58))</f>
        <v/>
      </c>
      <c r="BI83" s="41">
        <f>IF(N('Dvd Calendar'!$W$1127)=0,"",IF(('Dvd Calendar'!$W$1127&gt;=MIN(DATE(Summary!$C$12,1,1),Summary!$C$11))*('Dvd Calendar'!$W$1127&lt;=MAX(DATE(Summary!$C$12,12,31),Summary!$C$15))*('Dvd Calendar'!$W$1127&gt;Summary!$C$11)=0,"",'Dvd Calendar'!$W$1127*1000000000+ISNUMBER('Dvd Calendar'!$W$1128)*100000000+('Dvd Calendar'!$W$1132='Field Check'!$C$25)*10000000+(N('Dvd Calendar'!$W$1126)&gt;0)*1000000+75*1000+59))</f>
        <v/>
      </c>
      <c r="BJ83" s="41">
        <f>IF(N('Dvd Calendar'!$X$1127)=0,"",IF(('Dvd Calendar'!$X$1127&gt;=MIN(DATE(Summary!$C$12,1,1),Summary!$C$11))*('Dvd Calendar'!$X$1127&lt;=MAX(DATE(Summary!$C$12,12,31),Summary!$C$15))*('Dvd Calendar'!$X$1127&gt;Summary!$C$11)=0,"",'Dvd Calendar'!$X$1127*1000000000+ISNUMBER('Dvd Calendar'!$X$1128)*100000000+('Dvd Calendar'!$X$1132='Field Check'!$C$25)*10000000+(N('Dvd Calendar'!$X$1126)&gt;0)*1000000+75*1000+60))</f>
        <v/>
      </c>
      <c r="BK83" s="41">
        <f>IF(N('Dvd Calendar'!$Y$1127)=0,"",IF(('Dvd Calendar'!$Y$1127&gt;=MIN(DATE(Summary!$C$12,1,1),Summary!$C$11))*('Dvd Calendar'!$Y$1127&lt;=MAX(DATE(Summary!$C$12,12,31),Summary!$C$15))*('Dvd Calendar'!$Y$1127&gt;Summary!$C$11)=0,"",'Dvd Calendar'!$Y$1127*1000000000+ISNUMBER('Dvd Calendar'!$Y$1128)*100000000+('Dvd Calendar'!$Y$1132='Field Check'!$C$25)*10000000+(N('Dvd Calendar'!$Y$1126)&gt;0)*1000000+75*1000+61))</f>
        <v/>
      </c>
      <c r="BL83" s="41">
        <f>IF(N('Dvd Calendar'!$Z$1127)=0,"",IF(('Dvd Calendar'!$Z$1127&gt;=MIN(DATE(Summary!$C$12,1,1),Summary!$C$11))*('Dvd Calendar'!$Z$1127&lt;=MAX(DATE(Summary!$C$12,12,31),Summary!$C$15))*('Dvd Calendar'!$Z$1127&gt;Summary!$C$11)=0,"",'Dvd Calendar'!$Z$1127*1000000000+ISNUMBER('Dvd Calendar'!$Z$1128)*100000000+('Dvd Calendar'!$Z$1132='Field Check'!$C$25)*10000000+(N('Dvd Calendar'!$Z$1126)&gt;0)*1000000+75*1000+62))</f>
        <v/>
      </c>
      <c r="BM83" s="41">
        <f>IF(N('Dvd Calendar'!$AA$1127)=0,"",IF(('Dvd Calendar'!$AA$1127&gt;=MIN(DATE(Summary!$C$12,1,1),Summary!$C$11))*('Dvd Calendar'!$AA$1127&lt;=MAX(DATE(Summary!$C$12,12,31),Summary!$C$15))*('Dvd Calendar'!$AA$1127&gt;Summary!$C$11)=0,"",'Dvd Calendar'!$AA$1127*1000000000+ISNUMBER('Dvd Calendar'!$AA$1128)*100000000+('Dvd Calendar'!$AA$1132='Field Check'!$C$25)*10000000+(N('Dvd Calendar'!$AA$1126)&gt;0)*1000000+75*1000+63))</f>
        <v/>
      </c>
      <c r="BN83" s="41">
        <f>IF(N('Dvd Calendar'!$AB$1127)=0,"",IF(('Dvd Calendar'!$AB$1127&gt;=MIN(DATE(Summary!$C$12,1,1),Summary!$C$11))*('Dvd Calendar'!$AB$1127&lt;=MAX(DATE(Summary!$C$12,12,31),Summary!$C$15))*('Dvd Calendar'!$AB$1127&gt;Summary!$C$11)=0,"",'Dvd Calendar'!$AB$1127*1000000000+ISNUMBER('Dvd Calendar'!$AB$1128)*100000000+('Dvd Calendar'!$AB$1132='Field Check'!$C$25)*10000000+(N('Dvd Calendar'!$AB$1126)&gt;0)*1000000+75*1000+64))</f>
        <v/>
      </c>
      <c r="BO83" s="41">
        <f>IF(N('Dvd Calendar'!$AC$1127)=0,"",IF(('Dvd Calendar'!$AC$1127&gt;=MIN(DATE(Summary!$C$12,1,1),Summary!$C$11))*('Dvd Calendar'!$AC$1127&lt;=MAX(DATE(Summary!$C$12,12,31),Summary!$C$15))*('Dvd Calendar'!$AC$1127&gt;Summary!$C$11)=0,"",'Dvd Calendar'!$AC$1127*1000000000+ISNUMBER('Dvd Calendar'!$AC$1128)*100000000+('Dvd Calendar'!$AC$1132='Field Check'!$C$25)*10000000+(N('Dvd Calendar'!$AC$1126)&gt;0)*1000000+75*1000+65))</f>
        <v/>
      </c>
      <c r="BQ83" s="85">
        <f>IF(C83="","",IF(ISNUMBER('Dvd Calendar'!$E$1121)=FALSE,"",IF((Summary!$C$13="N")*('Dvd Calendar'!$E$1125='Field Check'!$C$25)&gt;0,"",'Dvd Calendar'!$E$1121)))</f>
        <v/>
      </c>
      <c r="BR83" s="85">
        <f>IF(D83="","",IF(ISNUMBER('Dvd Calendar'!$F$1121)=FALSE,"",IF((Summary!$C$13="N")*('Dvd Calendar'!$F$1125='Field Check'!$C$25)&gt;0,"",'Dvd Calendar'!$F$1121)))</f>
        <v/>
      </c>
      <c r="BS83" s="85">
        <f>IF(E83="","",IF(ISNUMBER('Dvd Calendar'!$G$1121)=FALSE,"",IF((Summary!$C$13="N")*('Dvd Calendar'!$G$1125='Field Check'!$C$25)&gt;0,"",'Dvd Calendar'!$G$1121)))</f>
        <v/>
      </c>
      <c r="BT83" s="85">
        <f>IF(F83="","",IF(ISNUMBER('Dvd Calendar'!$H$1121)=FALSE,"",IF((Summary!$C$13="N")*('Dvd Calendar'!$H$1125='Field Check'!$C$25)&gt;0,"",'Dvd Calendar'!$H$1121)))</f>
        <v/>
      </c>
      <c r="BU83" s="85">
        <f>IF(G83="","",IF(ISNUMBER('Dvd Calendar'!$I$1121)=FALSE,"",IF((Summary!$C$13="N")*('Dvd Calendar'!$I$1125='Field Check'!$C$25)&gt;0,"",'Dvd Calendar'!$I$1121)))</f>
        <v/>
      </c>
      <c r="BV83" s="85">
        <f>IF(H83="","",IF(ISNUMBER('Dvd Calendar'!$J$1121)=FALSE,"",IF((Summary!$C$13="N")*('Dvd Calendar'!$J$1125='Field Check'!$C$25)&gt;0,"",'Dvd Calendar'!$J$1121)))</f>
        <v/>
      </c>
      <c r="BW83" s="85">
        <f>IF(I83="","",IF(ISNUMBER('Dvd Calendar'!$K$1121)=FALSE,"",IF((Summary!$C$13="N")*('Dvd Calendar'!$K$1125='Field Check'!$C$25)&gt;0,"",'Dvd Calendar'!$K$1121)))</f>
        <v/>
      </c>
      <c r="BX83" s="85">
        <f>IF(J83="","",IF(ISNUMBER('Dvd Calendar'!$L$1121)=FALSE,"",IF((Summary!$C$13="N")*('Dvd Calendar'!$L$1125='Field Check'!$C$25)&gt;0,"",'Dvd Calendar'!$L$1121)))</f>
        <v/>
      </c>
      <c r="BY83" s="85">
        <f>IF(K83="","",IF(ISNUMBER('Dvd Calendar'!$M$1121)=FALSE,"",IF((Summary!$C$13="N")*('Dvd Calendar'!$M$1125='Field Check'!$C$25)&gt;0,"",'Dvd Calendar'!$M$1121)))</f>
        <v/>
      </c>
      <c r="BZ83" s="85">
        <f>IF(L83="","",IF(ISNUMBER('Dvd Calendar'!$N$1121)=FALSE,"",IF((Summary!$C$13="N")*('Dvd Calendar'!$N$1125='Field Check'!$C$25)&gt;0,"",'Dvd Calendar'!$N$1121)))</f>
        <v/>
      </c>
      <c r="CA83" s="85">
        <f>IF(M83="","",IF(ISNUMBER('Dvd Calendar'!$O$1121)=FALSE,"",IF((Summary!$C$13="N")*('Dvd Calendar'!$O$1125='Field Check'!$C$25)&gt;0,"",'Dvd Calendar'!$O$1121)))</f>
        <v/>
      </c>
      <c r="CB83" s="85">
        <f>IF(N83="","",IF(ISNUMBER('Dvd Calendar'!$P$1121)=FALSE,"",IF((Summary!$C$13="N")*('Dvd Calendar'!$P$1125='Field Check'!$C$25)&gt;0,"",'Dvd Calendar'!$P$1121)))</f>
        <v/>
      </c>
      <c r="CC83" s="85">
        <f>IF(O83="","",IF(ISNUMBER('Dvd Calendar'!$Q$1121)=FALSE,"",IF((Summary!$C$13="N")*('Dvd Calendar'!$Q$1125='Field Check'!$C$25)&gt;0,"",'Dvd Calendar'!$Q$1121)))</f>
        <v/>
      </c>
      <c r="CD83" s="85">
        <f>IF(P83="","",IF(ISNUMBER('Dvd Calendar'!$R$1121)=FALSE,"",IF((Summary!$C$13="N")*('Dvd Calendar'!$R$1125='Field Check'!$C$25)&gt;0,"",'Dvd Calendar'!$R$1121)))</f>
        <v/>
      </c>
      <c r="CE83" s="85">
        <f>IF(Q83="","",IF(ISNUMBER('Dvd Calendar'!$S$1121)=FALSE,"",IF((Summary!$C$13="N")*('Dvd Calendar'!$S$1125='Field Check'!$C$25)&gt;0,"",'Dvd Calendar'!$S$1121)))</f>
        <v/>
      </c>
      <c r="CF83" s="85">
        <f>IF(R83="","",IF(ISNUMBER('Dvd Calendar'!$T$1121)=FALSE,"",IF((Summary!$C$13="N")*('Dvd Calendar'!$T$1125='Field Check'!$C$25)&gt;0,"",'Dvd Calendar'!$T$1121)))</f>
        <v/>
      </c>
      <c r="CG83" s="85">
        <f>IF(S83="","",IF(ISNUMBER('Dvd Calendar'!$U$1121)=FALSE,"",IF((Summary!$C$13="N")*('Dvd Calendar'!$U$1125='Field Check'!$C$25)&gt;0,"",'Dvd Calendar'!$U$1121)))</f>
        <v/>
      </c>
      <c r="CH83" s="85">
        <f>IF(T83="","",IF(ISNUMBER('Dvd Calendar'!$V$1121)=FALSE,"",IF((Summary!$C$13="N")*('Dvd Calendar'!$V$1125='Field Check'!$C$25)&gt;0,"",'Dvd Calendar'!$V$1121)))</f>
        <v/>
      </c>
      <c r="CI83" s="85">
        <f>IF(U83="","",IF(ISNUMBER('Dvd Calendar'!$W$1121)=FALSE,"",IF((Summary!$C$13="N")*('Dvd Calendar'!$W$1125='Field Check'!$C$25)&gt;0,"",'Dvd Calendar'!$W$1121)))</f>
        <v/>
      </c>
      <c r="CJ83" s="85">
        <f>IF(V83="","",IF(ISNUMBER('Dvd Calendar'!$X$1121)=FALSE,"",IF((Summary!$C$13="N")*('Dvd Calendar'!$X$1125='Field Check'!$C$25)&gt;0,"",'Dvd Calendar'!$X$1121)))</f>
        <v/>
      </c>
      <c r="CK83" s="85">
        <f>IF(W83="","",IF(ISNUMBER('Dvd Calendar'!$Y$1121)=FALSE,"",IF((Summary!$C$13="N")*('Dvd Calendar'!$Y$1125='Field Check'!$C$25)&gt;0,"",'Dvd Calendar'!$Y$1121)))</f>
        <v/>
      </c>
      <c r="CL83" s="85">
        <f>IF(X83="","",IF(ISNUMBER('Dvd Calendar'!$Z$1121)=FALSE,"",IF((Summary!$C$13="N")*('Dvd Calendar'!$Z$1125='Field Check'!$C$25)&gt;0,"",'Dvd Calendar'!$Z$1121)))</f>
        <v/>
      </c>
      <c r="CM83" s="85">
        <f>IF(Y83="","",IF(ISNUMBER('Dvd Calendar'!$AA$1121)=FALSE,"",IF((Summary!$C$13="N")*('Dvd Calendar'!$AA$1125='Field Check'!$C$25)&gt;0,"",'Dvd Calendar'!$AA$1121)))</f>
        <v/>
      </c>
      <c r="CN83" s="85">
        <f>IF(Z83="","",IF(ISNUMBER('Dvd Calendar'!$AB$1121)=FALSE,"",IF((Summary!$C$13="N")*('Dvd Calendar'!$AB$1125='Field Check'!$C$25)&gt;0,"",'Dvd Calendar'!$AB$1121)))</f>
        <v/>
      </c>
      <c r="CO83" s="85">
        <f>IF(AA83="","",IF(ISNUMBER('Dvd Calendar'!$AC$1121)=FALSE,"",IF((Summary!$C$13="N")*('Dvd Calendar'!$AC$1125='Field Check'!$C$25)&gt;0,"",'Dvd Calendar'!$AC$1121)))</f>
        <v/>
      </c>
      <c r="CP83" s="85">
        <f>IF(AB83="","",IF(ISNUMBER('Dvd Calendar'!$AD$1121)=FALSE,"",IF((Summary!$C$13="N")*('Dvd Calendar'!$AD$1125='Field Check'!$C$25)&gt;0,"",'Dvd Calendar'!$AD$1121)))</f>
        <v/>
      </c>
      <c r="CQ83" s="85">
        <f>IF(AC83="","",IF(ISNUMBER('Dvd Calendar'!$AE$1121)=FALSE,"",IF((Summary!$C$13="N")*('Dvd Calendar'!$AE$1125='Field Check'!$C$25)&gt;0,"",'Dvd Calendar'!$AE$1121)))</f>
        <v/>
      </c>
      <c r="CR83" s="85">
        <f>IF(AD83="","",IF(ISNUMBER('Dvd Calendar'!$AF$1121)=FALSE,"",IF((Summary!$C$13="N")*('Dvd Calendar'!$AF$1125='Field Check'!$C$25)&gt;0,"",'Dvd Calendar'!$AF$1121)))</f>
        <v/>
      </c>
      <c r="CS83" s="85">
        <f>IF(AE83="","",IF(ISNUMBER('Dvd Calendar'!$AG$1121)=FALSE,"",IF((Summary!$C$13="N")*('Dvd Calendar'!$AG$1125='Field Check'!$C$25)&gt;0,"",'Dvd Calendar'!$AG$1121)))</f>
        <v/>
      </c>
      <c r="CT83" s="85">
        <f>IF(AF83="","",IF(ISNUMBER('Dvd Calendar'!$AH$1121)=FALSE,"",IF((Summary!$C$13="N")*('Dvd Calendar'!$AH$1125='Field Check'!$C$25)&gt;0,"",'Dvd Calendar'!$AH$1121)))</f>
        <v/>
      </c>
      <c r="CU83" s="85">
        <f>IF(AG83="","",IF(ISNUMBER('Dvd Calendar'!$AI$1121)=FALSE,"",IF((Summary!$C$13="N")*('Dvd Calendar'!$AI$1125='Field Check'!$C$25)&gt;0,"",'Dvd Calendar'!$AI$1121)))</f>
        <v/>
      </c>
      <c r="CV83" s="85">
        <f>IF(AH83="","",IF(ISNUMBER('Dvd Calendar'!$AJ$1121)=FALSE,"",IF((Summary!$C$13="N")*('Dvd Calendar'!$AJ$1125='Field Check'!$C$25)&gt;0,"",'Dvd Calendar'!$AJ$1121)))</f>
        <v/>
      </c>
      <c r="CW83" s="85">
        <f>IF(AI83="","",IF(ISNUMBER('Dvd Calendar'!$AK$1121)=FALSE,"",IF((Summary!$C$13="N")*('Dvd Calendar'!$AK$1125='Field Check'!$C$25)&gt;0,"",'Dvd Calendar'!$AK$1121)))</f>
        <v/>
      </c>
      <c r="CX83" s="85">
        <f>IF(AJ83="","",IF(ISNUMBER('Dvd Calendar'!$AL$1121)=FALSE,"",IF((Summary!$C$13="N")*('Dvd Calendar'!$AL$1125='Field Check'!$C$25)&gt;0,"",'Dvd Calendar'!$AL$1121)))</f>
        <v/>
      </c>
      <c r="CY83" s="85">
        <f>IF(AK83="","",IF(ISNUMBER('Dvd Calendar'!$AM$1121)=FALSE,"",IF((Summary!$C$13="N")*('Dvd Calendar'!$AM$1125='Field Check'!$C$25)&gt;0,"",'Dvd Calendar'!$AM$1121)))</f>
        <v/>
      </c>
      <c r="CZ83" s="85">
        <f>IF(AL83="","",IF(ISNUMBER('Dvd Calendar'!$AN$1121)=FALSE,"",IF((Summary!$C$13="N")*('Dvd Calendar'!$AN$1125='Field Check'!$C$25)&gt;0,"",'Dvd Calendar'!$AN$1121)))</f>
        <v/>
      </c>
      <c r="DA83" s="85">
        <f>IF(AM83="","",IF(ISNUMBER('Dvd Calendar'!$AO$1121)=FALSE,"",IF((Summary!$C$13="N")*('Dvd Calendar'!$AO$1125='Field Check'!$C$25)&gt;0,"",'Dvd Calendar'!$AO$1121)))</f>
        <v/>
      </c>
      <c r="DB83" s="85">
        <f>IF(AN83="","",IF(ISNUMBER('Dvd Calendar'!$AP$1121)=FALSE,"",IF((Summary!$C$13="N")*('Dvd Calendar'!$AP$1125='Field Check'!$C$25)&gt;0,"",'Dvd Calendar'!$AP$1121)))</f>
        <v/>
      </c>
      <c r="DC83" s="85">
        <f>IF(AO83="","",IF(ISNUMBER('Dvd Calendar'!$AQ$1121)=FALSE,"",IF((Summary!$C$13="N")*('Dvd Calendar'!$AQ$1125='Field Check'!$C$25)&gt;0,"",'Dvd Calendar'!$AQ$1121)))</f>
        <v/>
      </c>
      <c r="DD83" s="85">
        <f>IF(AP83="","",IF(ISNUMBER('Dvd Calendar'!$AR$1121)=FALSE,"",IF((Summary!$C$13="N")*('Dvd Calendar'!$AR$1125='Field Check'!$C$25)&gt;0,"",'Dvd Calendar'!$AR$1121)))</f>
        <v/>
      </c>
      <c r="DE83" s="85">
        <f>IF(AQ83="","",IF(ISNUMBER('Dvd Calendar'!$E$1128)=FALSE,"",IF((Summary!$C$13="N")*('Dvd Calendar'!$E$1132='Field Check'!$C$25)&gt;0,"",'Dvd Calendar'!$E$1128)))</f>
        <v/>
      </c>
      <c r="DF83" s="85">
        <f>IF(AR83="","",IF(ISNUMBER('Dvd Calendar'!$F$1128)=FALSE,"",IF((Summary!$C$13="N")*('Dvd Calendar'!$F$1132='Field Check'!$C$25)&gt;0,"",'Dvd Calendar'!$F$1128)))</f>
        <v/>
      </c>
      <c r="DG83" s="85">
        <f>IF(AS83="","",IF(ISNUMBER('Dvd Calendar'!$G$1128)=FALSE,"",IF((Summary!$C$13="N")*('Dvd Calendar'!$G$1132='Field Check'!$C$25)&gt;0,"",'Dvd Calendar'!$G$1128)))</f>
        <v/>
      </c>
      <c r="DH83" s="85">
        <f>IF(AT83="","",IF(ISNUMBER('Dvd Calendar'!$H$1128)=FALSE,"",IF((Summary!$C$13="N")*('Dvd Calendar'!$H$1132='Field Check'!$C$25)&gt;0,"",'Dvd Calendar'!$H$1128)))</f>
        <v/>
      </c>
      <c r="DI83" s="85">
        <f>IF(AU83="","",IF(ISNUMBER('Dvd Calendar'!$I$1128)=FALSE,"",IF((Summary!$C$13="N")*('Dvd Calendar'!$I$1132='Field Check'!$C$25)&gt;0,"",'Dvd Calendar'!$I$1128)))</f>
        <v/>
      </c>
      <c r="DJ83" s="85">
        <f>IF(AV83="","",IF(ISNUMBER('Dvd Calendar'!$J$1128)=FALSE,"",IF((Summary!$C$13="N")*('Dvd Calendar'!$J$1132='Field Check'!$C$25)&gt;0,"",'Dvd Calendar'!$J$1128)))</f>
        <v/>
      </c>
      <c r="DK83" s="85">
        <f>IF(AW83="","",IF(ISNUMBER('Dvd Calendar'!$K$1128)=FALSE,"",IF((Summary!$C$13="N")*('Dvd Calendar'!$K$1132='Field Check'!$C$25)&gt;0,"",'Dvd Calendar'!$K$1128)))</f>
        <v/>
      </c>
      <c r="DL83" s="85">
        <f>IF(AX83="","",IF(ISNUMBER('Dvd Calendar'!$L$1128)=FALSE,"",IF((Summary!$C$13="N")*('Dvd Calendar'!$L$1132='Field Check'!$C$25)&gt;0,"",'Dvd Calendar'!$L$1128)))</f>
        <v/>
      </c>
      <c r="DM83" s="85">
        <f>IF(AY83="","",IF(ISNUMBER('Dvd Calendar'!$M$1128)=FALSE,"",IF((Summary!$C$13="N")*('Dvd Calendar'!$M$1132='Field Check'!$C$25)&gt;0,"",'Dvd Calendar'!$M$1128)))</f>
        <v/>
      </c>
      <c r="DN83" s="85">
        <f>IF(AZ83="","",IF(ISNUMBER('Dvd Calendar'!$N$1128)=FALSE,"",IF((Summary!$C$13="N")*('Dvd Calendar'!$N$1132='Field Check'!$C$25)&gt;0,"",'Dvd Calendar'!$N$1128)))</f>
        <v/>
      </c>
      <c r="DO83" s="85">
        <f>IF(BA83="","",IF(ISNUMBER('Dvd Calendar'!$O$1128)=FALSE,"",IF((Summary!$C$13="N")*('Dvd Calendar'!$O$1132='Field Check'!$C$25)&gt;0,"",'Dvd Calendar'!$O$1128)))</f>
        <v/>
      </c>
      <c r="DP83" s="85">
        <f>IF(BB83="","",IF(ISNUMBER('Dvd Calendar'!$P$1128)=FALSE,"",IF((Summary!$C$13="N")*('Dvd Calendar'!$P$1132='Field Check'!$C$25)&gt;0,"",'Dvd Calendar'!$P$1128)))</f>
        <v/>
      </c>
      <c r="DQ83" s="85">
        <f>IF(BC83="","",IF(ISNUMBER('Dvd Calendar'!$Q$1128)=FALSE,"",IF((Summary!$C$13="N")*('Dvd Calendar'!$Q$1132='Field Check'!$C$25)&gt;0,"",'Dvd Calendar'!$Q$1128)))</f>
        <v/>
      </c>
      <c r="DR83" s="85">
        <f>IF(BD83="","",IF(ISNUMBER('Dvd Calendar'!$R$1128)=FALSE,"",IF((Summary!$C$13="N")*('Dvd Calendar'!$R$1132='Field Check'!$C$25)&gt;0,"",'Dvd Calendar'!$R$1128)))</f>
        <v/>
      </c>
      <c r="DS83" s="85">
        <f>IF(BE83="","",IF(ISNUMBER('Dvd Calendar'!$S$1128)=FALSE,"",IF((Summary!$C$13="N")*('Dvd Calendar'!$S$1132='Field Check'!$C$25)&gt;0,"",'Dvd Calendar'!$S$1128)))</f>
        <v/>
      </c>
      <c r="DT83" s="85">
        <f>IF(BF83="","",IF(ISNUMBER('Dvd Calendar'!$T$1128)=FALSE,"",IF((Summary!$C$13="N")*('Dvd Calendar'!$T$1132='Field Check'!$C$25)&gt;0,"",'Dvd Calendar'!$T$1128)))</f>
        <v/>
      </c>
      <c r="DU83" s="85">
        <f>IF(BG83="","",IF(ISNUMBER('Dvd Calendar'!$U$1128)=FALSE,"",IF((Summary!$C$13="N")*('Dvd Calendar'!$U$1132='Field Check'!$C$25)&gt;0,"",'Dvd Calendar'!$U$1128)))</f>
        <v/>
      </c>
      <c r="DV83" s="85">
        <f>IF(BH83="","",IF(ISNUMBER('Dvd Calendar'!$V$1128)=FALSE,"",IF((Summary!$C$13="N")*('Dvd Calendar'!$V$1132='Field Check'!$C$25)&gt;0,"",'Dvd Calendar'!$V$1128)))</f>
        <v/>
      </c>
      <c r="DW83" s="85">
        <f>IF(BI83="","",IF(ISNUMBER('Dvd Calendar'!$W$1128)=FALSE,"",IF((Summary!$C$13="N")*('Dvd Calendar'!$W$1132='Field Check'!$C$25)&gt;0,"",'Dvd Calendar'!$W$1128)))</f>
        <v/>
      </c>
      <c r="DX83" s="85">
        <f>IF(BJ83="","",IF(ISNUMBER('Dvd Calendar'!$X$1128)=FALSE,"",IF((Summary!$C$13="N")*('Dvd Calendar'!$X$1132='Field Check'!$C$25)&gt;0,"",'Dvd Calendar'!$X$1128)))</f>
        <v/>
      </c>
      <c r="DY83" s="85">
        <f>IF(BK83="","",IF(ISNUMBER('Dvd Calendar'!$Y$1128)=FALSE,"",IF((Summary!$C$13="N")*('Dvd Calendar'!$Y$1132='Field Check'!$C$25)&gt;0,"",'Dvd Calendar'!$Y$1128)))</f>
        <v/>
      </c>
      <c r="DZ83" s="85">
        <f>IF(BL83="","",IF(ISNUMBER('Dvd Calendar'!$Z$1128)=FALSE,"",IF((Summary!$C$13="N")*('Dvd Calendar'!$Z$1132='Field Check'!$C$25)&gt;0,"",'Dvd Calendar'!$Z$1128)))</f>
        <v/>
      </c>
      <c r="EA83" s="85">
        <f>IF(BM83="","",IF(ISNUMBER('Dvd Calendar'!$AA$1128)=FALSE,"",IF((Summary!$C$13="N")*('Dvd Calendar'!$AA$1132='Field Check'!$C$25)&gt;0,"",'Dvd Calendar'!$AA$1128)))</f>
        <v/>
      </c>
      <c r="EB83" s="85">
        <f>IF(BN83="","",IF(ISNUMBER('Dvd Calendar'!$AB$1128)=FALSE,"",IF((Summary!$C$13="N")*('Dvd Calendar'!$AB$1132='Field Check'!$C$25)&gt;0,"",'Dvd Calendar'!$AB$1128)))</f>
        <v/>
      </c>
      <c r="EC83" s="85">
        <f>IF(BO83="","",IF(ISNUMBER('Dvd Calendar'!$AC$1128)=FALSE,"",IF((Summary!$C$13="N")*('Dvd Calendar'!$AC$1132='Field Check'!$C$25)&gt;0,"",'Dvd Calendar'!$AC$1128)))</f>
        <v/>
      </c>
      <c r="EE83" s="85">
        <f>IF(BQ83="","",IFERROR(BQ83*HSI!$B$81*HSI!$G$81/HSI!$B$3,""))</f>
        <v/>
      </c>
      <c r="EF83" s="85">
        <f>IF(BR83="","",IFERROR(BR83*HSI!$B$81*HSI!$G$81/HSI!$B$3,""))</f>
        <v/>
      </c>
      <c r="EG83" s="85">
        <f>IF(BS83="","",IFERROR(BS83*HSI!$B$81*HSI!$G$81/HSI!$B$3,""))</f>
        <v/>
      </c>
      <c r="EH83" s="85">
        <f>IF(BT83="","",IFERROR(BT83*HSI!$B$81*HSI!$G$81/HSI!$B$3,""))</f>
        <v/>
      </c>
      <c r="EI83" s="85">
        <f>IF(BU83="","",IFERROR(BU83*HSI!$B$81*HSI!$G$81/HSI!$B$3,""))</f>
        <v/>
      </c>
      <c r="EJ83" s="85">
        <f>IF(BV83="","",IFERROR(BV83*HSI!$B$81*HSI!$G$81/HSI!$B$3,""))</f>
        <v/>
      </c>
      <c r="EK83" s="85">
        <f>IF(BW83="","",IFERROR(BW83*HSI!$B$81*HSI!$G$81/HSI!$B$3,""))</f>
        <v/>
      </c>
      <c r="EL83" s="85">
        <f>IF(BX83="","",IFERROR(BX83*HSI!$B$81*HSI!$G$81/HSI!$B$3,""))</f>
        <v/>
      </c>
      <c r="EM83" s="85">
        <f>IF(BY83="","",IFERROR(BY83*HSI!$B$81*HSI!$G$81/HSI!$B$3,""))</f>
        <v/>
      </c>
      <c r="EN83" s="85">
        <f>IF(BZ83="","",IFERROR(BZ83*HSI!$B$81*HSI!$G$81/HSI!$B$3,""))</f>
        <v/>
      </c>
      <c r="EO83" s="85">
        <f>IF(CA83="","",IFERROR(CA83*HSI!$B$81*HSI!$G$81/HSI!$B$3,""))</f>
        <v/>
      </c>
      <c r="EP83" s="85">
        <f>IF(CB83="","",IFERROR(CB83*HSI!$B$81*HSI!$G$81/HSI!$B$3,""))</f>
        <v/>
      </c>
      <c r="EQ83" s="85">
        <f>IF(CC83="","",IFERROR(CC83*HSI!$B$81*HSI!$G$81/HSI!$B$3,""))</f>
        <v/>
      </c>
      <c r="ER83" s="85">
        <f>IF(CD83="","",IFERROR(CD83*HSI!$B$81*HSI!$G$81/HSI!$B$3,""))</f>
        <v/>
      </c>
      <c r="ES83" s="85">
        <f>IF(CE83="","",IFERROR(CE83*HSI!$B$81*HSI!$G$81/HSI!$B$3,""))</f>
        <v/>
      </c>
      <c r="ET83" s="85">
        <f>IF(CF83="","",IFERROR(CF83*HSI!$B$81*HSI!$G$81/HSI!$B$3,""))</f>
        <v/>
      </c>
      <c r="EU83" s="85">
        <f>IF(CG83="","",IFERROR(CG83*HSI!$B$81*HSI!$G$81/HSI!$B$3,""))</f>
        <v/>
      </c>
      <c r="EV83" s="85">
        <f>IF(CH83="","",IFERROR(CH83*HSI!$B$81*HSI!$G$81/HSI!$B$3,""))</f>
        <v/>
      </c>
      <c r="EW83" s="85">
        <f>IF(CI83="","",IFERROR(CI83*HSI!$B$81*HSI!$G$81/HSI!$B$3,""))</f>
        <v/>
      </c>
      <c r="EX83" s="85">
        <f>IF(CJ83="","",IFERROR(CJ83*HSI!$B$81*HSI!$G$81/HSI!$B$3,""))</f>
        <v/>
      </c>
      <c r="EY83" s="85">
        <f>IF(CK83="","",IFERROR(CK83*HSI!$B$81*HSI!$G$81/HSI!$B$3,""))</f>
        <v/>
      </c>
      <c r="EZ83" s="85">
        <f>IF(CL83="","",IFERROR(CL83*HSI!$B$81*HSI!$G$81/HSI!$B$3,""))</f>
        <v/>
      </c>
      <c r="FA83" s="85">
        <f>IF(CM83="","",IFERROR(CM83*HSI!$B$81*HSI!$G$81/HSI!$B$3,""))</f>
        <v/>
      </c>
      <c r="FB83" s="85">
        <f>IF(CN83="","",IFERROR(CN83*HSI!$B$81*HSI!$G$81/HSI!$B$3,""))</f>
        <v/>
      </c>
      <c r="FC83" s="85">
        <f>IF(CO83="","",IFERROR(CO83*HSI!$B$81*HSI!$G$81/HSI!$B$3,""))</f>
        <v/>
      </c>
      <c r="FD83" s="85">
        <f>IF(CP83="","",IFERROR(CP83*HSI!$B$81*HSI!$G$81/HSI!$B$3,""))</f>
        <v/>
      </c>
      <c r="FE83" s="85">
        <f>IF(CQ83="","",IFERROR(CQ83*HSI!$B$81*HSI!$G$81/HSI!$B$3,""))</f>
        <v/>
      </c>
      <c r="FF83" s="85">
        <f>IF(CR83="","",IFERROR(CR83*HSI!$B$81*HSI!$G$81/HSI!$B$3,""))</f>
        <v/>
      </c>
      <c r="FG83" s="85">
        <f>IF(CS83="","",IFERROR(CS83*HSI!$B$81*HSI!$G$81/HSI!$B$3,""))</f>
        <v/>
      </c>
      <c r="FH83" s="85">
        <f>IF(CT83="","",IFERROR(CT83*HSI!$B$81*HSI!$G$81/HSI!$B$3,""))</f>
        <v/>
      </c>
      <c r="FI83" s="85">
        <f>IF(CU83="","",IFERROR(CU83*HSI!$B$81*HSI!$G$81/HSI!$B$3,""))</f>
        <v/>
      </c>
      <c r="FJ83" s="85">
        <f>IF(CV83="","",IFERROR(CV83*HSI!$B$81*HSI!$G$81/HSI!$B$3,""))</f>
        <v/>
      </c>
      <c r="FK83" s="85">
        <f>IF(CW83="","",IFERROR(CW83*HSI!$B$81*HSI!$G$81/HSI!$B$3,""))</f>
        <v/>
      </c>
      <c r="FL83" s="85">
        <f>IF(CX83="","",IFERROR(CX83*HSI!$B$81*HSI!$G$81/HSI!$B$3,""))</f>
        <v/>
      </c>
      <c r="FM83" s="85">
        <f>IF(CY83="","",IFERROR(CY83*HSI!$B$81*HSI!$G$81/HSI!$B$3,""))</f>
        <v/>
      </c>
      <c r="FN83" s="85">
        <f>IF(CZ83="","",IFERROR(CZ83*HSI!$B$81*HSI!$G$81/HSI!$B$3,""))</f>
        <v/>
      </c>
      <c r="FO83" s="85">
        <f>IF(DA83="","",IFERROR(DA83*HSI!$B$81*HSI!$G$81/HSI!$B$3,""))</f>
        <v/>
      </c>
      <c r="FP83" s="85">
        <f>IF(DB83="","",IFERROR(DB83*HSI!$B$81*HSI!$G$81/HSI!$B$3,""))</f>
        <v/>
      </c>
      <c r="FQ83" s="85">
        <f>IF(DC83="","",IFERROR(DC83*HSI!$B$81*HSI!$G$81/HSI!$B$3,""))</f>
        <v/>
      </c>
      <c r="FR83" s="85">
        <f>IF(DD83="","",IFERROR(DD83*HSI!$B$81*HSI!$G$81/HSI!$B$3,""))</f>
        <v/>
      </c>
      <c r="FS83" s="85">
        <f>IF(DE83="","",IFERROR(DE83*HSI!$B$81*HSI!$G$81/HSI!$B$3,""))</f>
        <v/>
      </c>
      <c r="FT83" s="85">
        <f>IF(DF83="","",IFERROR(DF83*HSI!$B$81*HSI!$G$81/HSI!$B$3,""))</f>
        <v/>
      </c>
      <c r="FU83" s="85">
        <f>IF(DG83="","",IFERROR(DG83*HSI!$B$81*HSI!$G$81/HSI!$B$3,""))</f>
        <v/>
      </c>
      <c r="FV83" s="85">
        <f>IF(DH83="","",IFERROR(DH83*HSI!$B$81*HSI!$G$81/HSI!$B$3,""))</f>
        <v/>
      </c>
      <c r="FW83" s="85">
        <f>IF(DI83="","",IFERROR(DI83*HSI!$B$81*HSI!$G$81/HSI!$B$3,""))</f>
        <v/>
      </c>
      <c r="FX83" s="85">
        <f>IF(DJ83="","",IFERROR(DJ83*HSI!$B$81*HSI!$G$81/HSI!$B$3,""))</f>
        <v/>
      </c>
      <c r="FY83" s="85">
        <f>IF(DK83="","",IFERROR(DK83*HSI!$B$81*HSI!$G$81/HSI!$B$3,""))</f>
        <v/>
      </c>
      <c r="FZ83" s="85">
        <f>IF(DL83="","",IFERROR(DL83*HSI!$B$81*HSI!$G$81/HSI!$B$3,""))</f>
        <v/>
      </c>
      <c r="GA83" s="85">
        <f>IF(DM83="","",IFERROR(DM83*HSI!$B$81*HSI!$G$81/HSI!$B$3,""))</f>
        <v/>
      </c>
      <c r="GB83" s="85">
        <f>IF(DN83="","",IFERROR(DN83*HSI!$B$81*HSI!$G$81/HSI!$B$3,""))</f>
        <v/>
      </c>
      <c r="GC83" s="85">
        <f>IF(DO83="","",IFERROR(DO83*HSI!$B$81*HSI!$G$81/HSI!$B$3,""))</f>
        <v/>
      </c>
      <c r="GD83" s="85">
        <f>IF(DP83="","",IFERROR(DP83*HSI!$B$81*HSI!$G$81/HSI!$B$3,""))</f>
        <v/>
      </c>
      <c r="GE83" s="85">
        <f>IF(DQ83="","",IFERROR(DQ83*HSI!$B$81*HSI!$G$81/HSI!$B$3,""))</f>
        <v/>
      </c>
      <c r="GF83" s="85">
        <f>IF(DR83="","",IFERROR(DR83*HSI!$B$81*HSI!$G$81/HSI!$B$3,""))</f>
        <v/>
      </c>
      <c r="GG83" s="85">
        <f>IF(DS83="","",IFERROR(DS83*HSI!$B$81*HSI!$G$81/HSI!$B$3,""))</f>
        <v/>
      </c>
      <c r="GH83" s="85">
        <f>IF(DT83="","",IFERROR(DT83*HSI!$B$81*HSI!$G$81/HSI!$B$3,""))</f>
        <v/>
      </c>
      <c r="GI83" s="85">
        <f>IF(DU83="","",IFERROR(DU83*HSI!$B$81*HSI!$G$81/HSI!$B$3,""))</f>
        <v/>
      </c>
      <c r="GJ83" s="85">
        <f>IF(DV83="","",IFERROR(DV83*HSI!$B$81*HSI!$G$81/HSI!$B$3,""))</f>
        <v/>
      </c>
      <c r="GK83" s="85">
        <f>IF(DW83="","",IFERROR(DW83*HSI!$B$81*HSI!$G$81/HSI!$B$3,""))</f>
        <v/>
      </c>
      <c r="GL83" s="85">
        <f>IF(DX83="","",IFERROR(DX83*HSI!$B$81*HSI!$G$81/HSI!$B$3,""))</f>
        <v/>
      </c>
      <c r="GM83" s="85">
        <f>IF(DY83="","",IFERROR(DY83*HSI!$B$81*HSI!$G$81/HSI!$B$3,""))</f>
        <v/>
      </c>
      <c r="GN83" s="85">
        <f>IF(DZ83="","",IFERROR(DZ83*HSI!$B$81*HSI!$G$81/HSI!$B$3,""))</f>
        <v/>
      </c>
      <c r="GO83" s="85">
        <f>IF(EA83="","",IFERROR(EA83*HSI!$B$81*HSI!$G$81/HSI!$B$3,""))</f>
        <v/>
      </c>
      <c r="GP83" s="85">
        <f>IF(EB83="","",IFERROR(EB83*HSI!$B$81*HSI!$G$81/HSI!$B$3,""))</f>
        <v/>
      </c>
      <c r="GQ83" s="85">
        <f>IF(EC83="","",IFERROR(EC83*HSI!$B$81*HSI!$G$81/HSI!$B$3,""))</f>
        <v/>
      </c>
    </row>
    <row r="84">
      <c r="B84" s="2">
        <f>IF(HSI!$C$82="","",HSI!$C$82)</f>
        <v/>
      </c>
      <c r="C84" s="41">
        <f>IF(N('Dvd Calendar'!$E$1135)=0,"",IF(('Dvd Calendar'!$E$1135&gt;=MIN(DATE(Summary!$C$12,1,1),Summary!$C$11))*('Dvd Calendar'!$E$1135&lt;=MAX(DATE(Summary!$C$12,12,31),Summary!$C$15))*('Dvd Calendar'!$E$1135&lt;=Summary!$C$11)=0,"",'Dvd Calendar'!$E$1135*1000000000+ISNUMBER('Dvd Calendar'!$E$1136)*100000000+('Dvd Calendar'!$E$1140='Field Check'!$C$25)*10000000+(N('Dvd Calendar'!$E$1134)&gt;0)*1000000+76*1000+1))</f>
        <v/>
      </c>
      <c r="D84" s="41">
        <f>IF(N('Dvd Calendar'!$F$1135)=0,"",IF(('Dvd Calendar'!$F$1135&gt;=MIN(DATE(Summary!$C$12,1,1),Summary!$C$11))*('Dvd Calendar'!$F$1135&lt;=MAX(DATE(Summary!$C$12,12,31),Summary!$C$15))*('Dvd Calendar'!$F$1135&lt;=Summary!$C$11)=0,"",'Dvd Calendar'!$F$1135*1000000000+ISNUMBER('Dvd Calendar'!$F$1136)*100000000+('Dvd Calendar'!$F$1140='Field Check'!$C$25)*10000000+(N('Dvd Calendar'!$F$1134)&gt;0)*1000000+76*1000+2))</f>
        <v/>
      </c>
      <c r="E84" s="41">
        <f>IF(N('Dvd Calendar'!$G$1135)=0,"",IF(('Dvd Calendar'!$G$1135&gt;=MIN(DATE(Summary!$C$12,1,1),Summary!$C$11))*('Dvd Calendar'!$G$1135&lt;=MAX(DATE(Summary!$C$12,12,31),Summary!$C$15))*('Dvd Calendar'!$G$1135&lt;=Summary!$C$11)=0,"",'Dvd Calendar'!$G$1135*1000000000+ISNUMBER('Dvd Calendar'!$G$1136)*100000000+('Dvd Calendar'!$G$1140='Field Check'!$C$25)*10000000+(N('Dvd Calendar'!$G$1134)&gt;0)*1000000+76*1000+3))</f>
        <v/>
      </c>
      <c r="F84" s="41">
        <f>IF(N('Dvd Calendar'!$H$1135)=0,"",IF(('Dvd Calendar'!$H$1135&gt;=MIN(DATE(Summary!$C$12,1,1),Summary!$C$11))*('Dvd Calendar'!$H$1135&lt;=MAX(DATE(Summary!$C$12,12,31),Summary!$C$15))*('Dvd Calendar'!$H$1135&lt;=Summary!$C$11)=0,"",'Dvd Calendar'!$H$1135*1000000000+ISNUMBER('Dvd Calendar'!$H$1136)*100000000+('Dvd Calendar'!$H$1140='Field Check'!$C$25)*10000000+(N('Dvd Calendar'!$H$1134)&gt;0)*1000000+76*1000+4))</f>
        <v/>
      </c>
      <c r="G84" s="41">
        <f>IF(N('Dvd Calendar'!$I$1135)=0,"",IF(('Dvd Calendar'!$I$1135&gt;=MIN(DATE(Summary!$C$12,1,1),Summary!$C$11))*('Dvd Calendar'!$I$1135&lt;=MAX(DATE(Summary!$C$12,12,31),Summary!$C$15))*('Dvd Calendar'!$I$1135&lt;=Summary!$C$11)=0,"",'Dvd Calendar'!$I$1135*1000000000+ISNUMBER('Dvd Calendar'!$I$1136)*100000000+('Dvd Calendar'!$I$1140='Field Check'!$C$25)*10000000+(N('Dvd Calendar'!$I$1134)&gt;0)*1000000+76*1000+5))</f>
        <v/>
      </c>
      <c r="H84" s="41">
        <f>IF(N('Dvd Calendar'!$J$1135)=0,"",IF(('Dvd Calendar'!$J$1135&gt;=MIN(DATE(Summary!$C$12,1,1),Summary!$C$11))*('Dvd Calendar'!$J$1135&lt;=MAX(DATE(Summary!$C$12,12,31),Summary!$C$15))*('Dvd Calendar'!$J$1135&lt;=Summary!$C$11)=0,"",'Dvd Calendar'!$J$1135*1000000000+ISNUMBER('Dvd Calendar'!$J$1136)*100000000+('Dvd Calendar'!$J$1140='Field Check'!$C$25)*10000000+(N('Dvd Calendar'!$J$1134)&gt;0)*1000000+76*1000+6))</f>
        <v/>
      </c>
      <c r="I84" s="41">
        <f>IF(N('Dvd Calendar'!$K$1135)=0,"",IF(('Dvd Calendar'!$K$1135&gt;=MIN(DATE(Summary!$C$12,1,1),Summary!$C$11))*('Dvd Calendar'!$K$1135&lt;=MAX(DATE(Summary!$C$12,12,31),Summary!$C$15))*('Dvd Calendar'!$K$1135&lt;=Summary!$C$11)=0,"",'Dvd Calendar'!$K$1135*1000000000+ISNUMBER('Dvd Calendar'!$K$1136)*100000000+('Dvd Calendar'!$K$1140='Field Check'!$C$25)*10000000+(N('Dvd Calendar'!$K$1134)&gt;0)*1000000+76*1000+7))</f>
        <v/>
      </c>
      <c r="J84" s="41">
        <f>IF(N('Dvd Calendar'!$L$1135)=0,"",IF(('Dvd Calendar'!$L$1135&gt;=MIN(DATE(Summary!$C$12,1,1),Summary!$C$11))*('Dvd Calendar'!$L$1135&lt;=MAX(DATE(Summary!$C$12,12,31),Summary!$C$15))*('Dvd Calendar'!$L$1135&lt;=Summary!$C$11)=0,"",'Dvd Calendar'!$L$1135*1000000000+ISNUMBER('Dvd Calendar'!$L$1136)*100000000+('Dvd Calendar'!$L$1140='Field Check'!$C$25)*10000000+(N('Dvd Calendar'!$L$1134)&gt;0)*1000000+76*1000+8))</f>
        <v/>
      </c>
      <c r="K84" s="41">
        <f>IF(N('Dvd Calendar'!$M$1135)=0,"",IF(('Dvd Calendar'!$M$1135&gt;=MIN(DATE(Summary!$C$12,1,1),Summary!$C$11))*('Dvd Calendar'!$M$1135&lt;=MAX(DATE(Summary!$C$12,12,31),Summary!$C$15))*('Dvd Calendar'!$M$1135&lt;=Summary!$C$11)=0,"",'Dvd Calendar'!$M$1135*1000000000+ISNUMBER('Dvd Calendar'!$M$1136)*100000000+('Dvd Calendar'!$M$1140='Field Check'!$C$25)*10000000+(N('Dvd Calendar'!$M$1134)&gt;0)*1000000+76*1000+9))</f>
        <v/>
      </c>
      <c r="L84" s="41">
        <f>IF(N('Dvd Calendar'!$N$1135)=0,"",IF(('Dvd Calendar'!$N$1135&gt;=MIN(DATE(Summary!$C$12,1,1),Summary!$C$11))*('Dvd Calendar'!$N$1135&lt;=MAX(DATE(Summary!$C$12,12,31),Summary!$C$15))*('Dvd Calendar'!$N$1135&lt;=Summary!$C$11)=0,"",'Dvd Calendar'!$N$1135*1000000000+ISNUMBER('Dvd Calendar'!$N$1136)*100000000+('Dvd Calendar'!$N$1140='Field Check'!$C$25)*10000000+(N('Dvd Calendar'!$N$1134)&gt;0)*1000000+76*1000+10))</f>
        <v/>
      </c>
      <c r="M84" s="41">
        <f>IF(N('Dvd Calendar'!$O$1135)=0,"",IF(('Dvd Calendar'!$O$1135&gt;=MIN(DATE(Summary!$C$12,1,1),Summary!$C$11))*('Dvd Calendar'!$O$1135&lt;=MAX(DATE(Summary!$C$12,12,31),Summary!$C$15))*('Dvd Calendar'!$O$1135&lt;=Summary!$C$11)=0,"",'Dvd Calendar'!$O$1135*1000000000+ISNUMBER('Dvd Calendar'!$O$1136)*100000000+('Dvd Calendar'!$O$1140='Field Check'!$C$25)*10000000+(N('Dvd Calendar'!$O$1134)&gt;0)*1000000+76*1000+11))</f>
        <v/>
      </c>
      <c r="N84" s="41">
        <f>IF(N('Dvd Calendar'!$P$1135)=0,"",IF(('Dvd Calendar'!$P$1135&gt;=MIN(DATE(Summary!$C$12,1,1),Summary!$C$11))*('Dvd Calendar'!$P$1135&lt;=MAX(DATE(Summary!$C$12,12,31),Summary!$C$15))*('Dvd Calendar'!$P$1135&lt;=Summary!$C$11)=0,"",'Dvd Calendar'!$P$1135*1000000000+ISNUMBER('Dvd Calendar'!$P$1136)*100000000+('Dvd Calendar'!$P$1140='Field Check'!$C$25)*10000000+(N('Dvd Calendar'!$P$1134)&gt;0)*1000000+76*1000+12))</f>
        <v/>
      </c>
      <c r="O84" s="41">
        <f>IF(N('Dvd Calendar'!$Q$1135)=0,"",IF(('Dvd Calendar'!$Q$1135&gt;=MIN(DATE(Summary!$C$12,1,1),Summary!$C$11))*('Dvd Calendar'!$Q$1135&lt;=MAX(DATE(Summary!$C$12,12,31),Summary!$C$15))*('Dvd Calendar'!$Q$1135&lt;=Summary!$C$11)=0,"",'Dvd Calendar'!$Q$1135*1000000000+ISNUMBER('Dvd Calendar'!$Q$1136)*100000000+('Dvd Calendar'!$Q$1140='Field Check'!$C$25)*10000000+(N('Dvd Calendar'!$Q$1134)&gt;0)*1000000+76*1000+13))</f>
        <v/>
      </c>
      <c r="P84" s="41">
        <f>IF(N('Dvd Calendar'!$R$1135)=0,"",IF(('Dvd Calendar'!$R$1135&gt;=MIN(DATE(Summary!$C$12,1,1),Summary!$C$11))*('Dvd Calendar'!$R$1135&lt;=MAX(DATE(Summary!$C$12,12,31),Summary!$C$15))*('Dvd Calendar'!$R$1135&lt;=Summary!$C$11)=0,"",'Dvd Calendar'!$R$1135*1000000000+ISNUMBER('Dvd Calendar'!$R$1136)*100000000+('Dvd Calendar'!$R$1140='Field Check'!$C$25)*10000000+(N('Dvd Calendar'!$R$1134)&gt;0)*1000000+76*1000+14))</f>
        <v/>
      </c>
      <c r="Q84" s="41">
        <f>IF(N('Dvd Calendar'!$S$1135)=0,"",IF(('Dvd Calendar'!$S$1135&gt;=MIN(DATE(Summary!$C$12,1,1),Summary!$C$11))*('Dvd Calendar'!$S$1135&lt;=MAX(DATE(Summary!$C$12,12,31),Summary!$C$15))*('Dvd Calendar'!$S$1135&lt;=Summary!$C$11)=0,"",'Dvd Calendar'!$S$1135*1000000000+ISNUMBER('Dvd Calendar'!$S$1136)*100000000+('Dvd Calendar'!$S$1140='Field Check'!$C$25)*10000000+(N('Dvd Calendar'!$S$1134)&gt;0)*1000000+76*1000+15))</f>
        <v/>
      </c>
      <c r="R84" s="41">
        <f>IF(N('Dvd Calendar'!$T$1135)=0,"",IF(('Dvd Calendar'!$T$1135&gt;=MIN(DATE(Summary!$C$12,1,1),Summary!$C$11))*('Dvd Calendar'!$T$1135&lt;=MAX(DATE(Summary!$C$12,12,31),Summary!$C$15))*('Dvd Calendar'!$T$1135&lt;=Summary!$C$11)=0,"",'Dvd Calendar'!$T$1135*1000000000+ISNUMBER('Dvd Calendar'!$T$1136)*100000000+('Dvd Calendar'!$T$1140='Field Check'!$C$25)*10000000+(N('Dvd Calendar'!$T$1134)&gt;0)*1000000+76*1000+16))</f>
        <v/>
      </c>
      <c r="S84" s="41">
        <f>IF(N('Dvd Calendar'!$U$1135)=0,"",IF(('Dvd Calendar'!$U$1135&gt;=MIN(DATE(Summary!$C$12,1,1),Summary!$C$11))*('Dvd Calendar'!$U$1135&lt;=MAX(DATE(Summary!$C$12,12,31),Summary!$C$15))*('Dvd Calendar'!$U$1135&lt;=Summary!$C$11)=0,"",'Dvd Calendar'!$U$1135*1000000000+ISNUMBER('Dvd Calendar'!$U$1136)*100000000+('Dvd Calendar'!$U$1140='Field Check'!$C$25)*10000000+(N('Dvd Calendar'!$U$1134)&gt;0)*1000000+76*1000+17))</f>
        <v/>
      </c>
      <c r="T84" s="41">
        <f>IF(N('Dvd Calendar'!$V$1135)=0,"",IF(('Dvd Calendar'!$V$1135&gt;=MIN(DATE(Summary!$C$12,1,1),Summary!$C$11))*('Dvd Calendar'!$V$1135&lt;=MAX(DATE(Summary!$C$12,12,31),Summary!$C$15))*('Dvd Calendar'!$V$1135&lt;=Summary!$C$11)=0,"",'Dvd Calendar'!$V$1135*1000000000+ISNUMBER('Dvd Calendar'!$V$1136)*100000000+('Dvd Calendar'!$V$1140='Field Check'!$C$25)*10000000+(N('Dvd Calendar'!$V$1134)&gt;0)*1000000+76*1000+18))</f>
        <v/>
      </c>
      <c r="U84" s="41">
        <f>IF(N('Dvd Calendar'!$W$1135)=0,"",IF(('Dvd Calendar'!$W$1135&gt;=MIN(DATE(Summary!$C$12,1,1),Summary!$C$11))*('Dvd Calendar'!$W$1135&lt;=MAX(DATE(Summary!$C$12,12,31),Summary!$C$15))*('Dvd Calendar'!$W$1135&lt;=Summary!$C$11)=0,"",'Dvd Calendar'!$W$1135*1000000000+ISNUMBER('Dvd Calendar'!$W$1136)*100000000+('Dvd Calendar'!$W$1140='Field Check'!$C$25)*10000000+(N('Dvd Calendar'!$W$1134)&gt;0)*1000000+76*1000+19))</f>
        <v/>
      </c>
      <c r="V84" s="41">
        <f>IF(N('Dvd Calendar'!$X$1135)=0,"",IF(('Dvd Calendar'!$X$1135&gt;=MIN(DATE(Summary!$C$12,1,1),Summary!$C$11))*('Dvd Calendar'!$X$1135&lt;=MAX(DATE(Summary!$C$12,12,31),Summary!$C$15))*('Dvd Calendar'!$X$1135&lt;=Summary!$C$11)=0,"",'Dvd Calendar'!$X$1135*1000000000+ISNUMBER('Dvd Calendar'!$X$1136)*100000000+('Dvd Calendar'!$X$1140='Field Check'!$C$25)*10000000+(N('Dvd Calendar'!$X$1134)&gt;0)*1000000+76*1000+20))</f>
        <v/>
      </c>
      <c r="W84" s="41">
        <f>IF(N('Dvd Calendar'!$Y$1135)=0,"",IF(('Dvd Calendar'!$Y$1135&gt;=MIN(DATE(Summary!$C$12,1,1),Summary!$C$11))*('Dvd Calendar'!$Y$1135&lt;=MAX(DATE(Summary!$C$12,12,31),Summary!$C$15))*('Dvd Calendar'!$Y$1135&lt;=Summary!$C$11)=0,"",'Dvd Calendar'!$Y$1135*1000000000+ISNUMBER('Dvd Calendar'!$Y$1136)*100000000+('Dvd Calendar'!$Y$1140='Field Check'!$C$25)*10000000+(N('Dvd Calendar'!$Y$1134)&gt;0)*1000000+76*1000+21))</f>
        <v/>
      </c>
      <c r="X84" s="41">
        <f>IF(N('Dvd Calendar'!$Z$1135)=0,"",IF(('Dvd Calendar'!$Z$1135&gt;=MIN(DATE(Summary!$C$12,1,1),Summary!$C$11))*('Dvd Calendar'!$Z$1135&lt;=MAX(DATE(Summary!$C$12,12,31),Summary!$C$15))*('Dvd Calendar'!$Z$1135&lt;=Summary!$C$11)=0,"",'Dvd Calendar'!$Z$1135*1000000000+ISNUMBER('Dvd Calendar'!$Z$1136)*100000000+('Dvd Calendar'!$Z$1140='Field Check'!$C$25)*10000000+(N('Dvd Calendar'!$Z$1134)&gt;0)*1000000+76*1000+22))</f>
        <v/>
      </c>
      <c r="Y84" s="41">
        <f>IF(N('Dvd Calendar'!$AA$1135)=0,"",IF(('Dvd Calendar'!$AA$1135&gt;=MIN(DATE(Summary!$C$12,1,1),Summary!$C$11))*('Dvd Calendar'!$AA$1135&lt;=MAX(DATE(Summary!$C$12,12,31),Summary!$C$15))*('Dvd Calendar'!$AA$1135&lt;=Summary!$C$11)=0,"",'Dvd Calendar'!$AA$1135*1000000000+ISNUMBER('Dvd Calendar'!$AA$1136)*100000000+('Dvd Calendar'!$AA$1140='Field Check'!$C$25)*10000000+(N('Dvd Calendar'!$AA$1134)&gt;0)*1000000+76*1000+23))</f>
        <v/>
      </c>
      <c r="Z84" s="41">
        <f>IF(N('Dvd Calendar'!$AB$1135)=0,"",IF(('Dvd Calendar'!$AB$1135&gt;=MIN(DATE(Summary!$C$12,1,1),Summary!$C$11))*('Dvd Calendar'!$AB$1135&lt;=MAX(DATE(Summary!$C$12,12,31),Summary!$C$15))*('Dvd Calendar'!$AB$1135&lt;=Summary!$C$11)=0,"",'Dvd Calendar'!$AB$1135*1000000000+ISNUMBER('Dvd Calendar'!$AB$1136)*100000000+('Dvd Calendar'!$AB$1140='Field Check'!$C$25)*10000000+(N('Dvd Calendar'!$AB$1134)&gt;0)*1000000+76*1000+24))</f>
        <v/>
      </c>
      <c r="AA84" s="41">
        <f>IF(N('Dvd Calendar'!$AC$1135)=0,"",IF(('Dvd Calendar'!$AC$1135&gt;=MIN(DATE(Summary!$C$12,1,1),Summary!$C$11))*('Dvd Calendar'!$AC$1135&lt;=MAX(DATE(Summary!$C$12,12,31),Summary!$C$15))*('Dvd Calendar'!$AC$1135&lt;=Summary!$C$11)=0,"",'Dvd Calendar'!$AC$1135*1000000000+ISNUMBER('Dvd Calendar'!$AC$1136)*100000000+('Dvd Calendar'!$AC$1140='Field Check'!$C$25)*10000000+(N('Dvd Calendar'!$AC$1134)&gt;0)*1000000+76*1000+25))</f>
        <v/>
      </c>
      <c r="AB84" s="41">
        <f>IF(N('Dvd Calendar'!$AD$1135)=0,"",IF(('Dvd Calendar'!$AD$1135&gt;=MIN(DATE(Summary!$C$12,1,1),Summary!$C$11))*('Dvd Calendar'!$AD$1135&lt;=MAX(DATE(Summary!$C$12,12,31),Summary!$C$15))*('Dvd Calendar'!$AD$1135&lt;=Summary!$C$11)=0,"",'Dvd Calendar'!$AD$1135*1000000000+ISNUMBER('Dvd Calendar'!$AD$1136)*100000000+('Dvd Calendar'!$AD$1140='Field Check'!$C$25)*10000000+(N('Dvd Calendar'!$AD$1134)&gt;0)*1000000+76*1000+26))</f>
        <v/>
      </c>
      <c r="AC84" s="41">
        <f>IF(N('Dvd Calendar'!$AE$1135)=0,"",IF(('Dvd Calendar'!$AE$1135&gt;=MIN(DATE(Summary!$C$12,1,1),Summary!$C$11))*('Dvd Calendar'!$AE$1135&lt;=MAX(DATE(Summary!$C$12,12,31),Summary!$C$15))*('Dvd Calendar'!$AE$1135&lt;=Summary!$C$11)=0,"",'Dvd Calendar'!$AE$1135*1000000000+ISNUMBER('Dvd Calendar'!$AE$1136)*100000000+('Dvd Calendar'!$AE$1140='Field Check'!$C$25)*10000000+(N('Dvd Calendar'!$AE$1134)&gt;0)*1000000+76*1000+27))</f>
        <v/>
      </c>
      <c r="AD84" s="41">
        <f>IF(N('Dvd Calendar'!$AF$1135)=0,"",IF(('Dvd Calendar'!$AF$1135&gt;=MIN(DATE(Summary!$C$12,1,1),Summary!$C$11))*('Dvd Calendar'!$AF$1135&lt;=MAX(DATE(Summary!$C$12,12,31),Summary!$C$15))*('Dvd Calendar'!$AF$1135&lt;=Summary!$C$11)=0,"",'Dvd Calendar'!$AF$1135*1000000000+ISNUMBER('Dvd Calendar'!$AF$1136)*100000000+('Dvd Calendar'!$AF$1140='Field Check'!$C$25)*10000000+(N('Dvd Calendar'!$AF$1134)&gt;0)*1000000+76*1000+28))</f>
        <v/>
      </c>
      <c r="AE84" s="41">
        <f>IF(N('Dvd Calendar'!$AG$1135)=0,"",IF(('Dvd Calendar'!$AG$1135&gt;=MIN(DATE(Summary!$C$12,1,1),Summary!$C$11))*('Dvd Calendar'!$AG$1135&lt;=MAX(DATE(Summary!$C$12,12,31),Summary!$C$15))*('Dvd Calendar'!$AG$1135&lt;=Summary!$C$11)=0,"",'Dvd Calendar'!$AG$1135*1000000000+ISNUMBER('Dvd Calendar'!$AG$1136)*100000000+('Dvd Calendar'!$AG$1140='Field Check'!$C$25)*10000000+(N('Dvd Calendar'!$AG$1134)&gt;0)*1000000+76*1000+29))</f>
        <v/>
      </c>
      <c r="AF84" s="41">
        <f>IF(N('Dvd Calendar'!$AH$1135)=0,"",IF(('Dvd Calendar'!$AH$1135&gt;=MIN(DATE(Summary!$C$12,1,1),Summary!$C$11))*('Dvd Calendar'!$AH$1135&lt;=MAX(DATE(Summary!$C$12,12,31),Summary!$C$15))*('Dvd Calendar'!$AH$1135&lt;=Summary!$C$11)=0,"",'Dvd Calendar'!$AH$1135*1000000000+ISNUMBER('Dvd Calendar'!$AH$1136)*100000000+('Dvd Calendar'!$AH$1140='Field Check'!$C$25)*10000000+(N('Dvd Calendar'!$AH$1134)&gt;0)*1000000+76*1000+30))</f>
        <v/>
      </c>
      <c r="AG84" s="41">
        <f>IF(N('Dvd Calendar'!$AI$1135)=0,"",IF(('Dvd Calendar'!$AI$1135&gt;=MIN(DATE(Summary!$C$12,1,1),Summary!$C$11))*('Dvd Calendar'!$AI$1135&lt;=MAX(DATE(Summary!$C$12,12,31),Summary!$C$15))*('Dvd Calendar'!$AI$1135&lt;=Summary!$C$11)=0,"",'Dvd Calendar'!$AI$1135*1000000000+ISNUMBER('Dvd Calendar'!$AI$1136)*100000000+('Dvd Calendar'!$AI$1140='Field Check'!$C$25)*10000000+(N('Dvd Calendar'!$AI$1134)&gt;0)*1000000+76*1000+31))</f>
        <v/>
      </c>
      <c r="AH84" s="41">
        <f>IF(N('Dvd Calendar'!$AJ$1135)=0,"",IF(('Dvd Calendar'!$AJ$1135&gt;=MIN(DATE(Summary!$C$12,1,1),Summary!$C$11))*('Dvd Calendar'!$AJ$1135&lt;=MAX(DATE(Summary!$C$12,12,31),Summary!$C$15))*('Dvd Calendar'!$AJ$1135&lt;=Summary!$C$11)=0,"",'Dvd Calendar'!$AJ$1135*1000000000+ISNUMBER('Dvd Calendar'!$AJ$1136)*100000000+('Dvd Calendar'!$AJ$1140='Field Check'!$C$25)*10000000+(N('Dvd Calendar'!$AJ$1134)&gt;0)*1000000+76*1000+32))</f>
        <v/>
      </c>
      <c r="AI84" s="41">
        <f>IF(N('Dvd Calendar'!$AK$1135)=0,"",IF(('Dvd Calendar'!$AK$1135&gt;=MIN(DATE(Summary!$C$12,1,1),Summary!$C$11))*('Dvd Calendar'!$AK$1135&lt;=MAX(DATE(Summary!$C$12,12,31),Summary!$C$15))*('Dvd Calendar'!$AK$1135&lt;=Summary!$C$11)=0,"",'Dvd Calendar'!$AK$1135*1000000000+ISNUMBER('Dvd Calendar'!$AK$1136)*100000000+('Dvd Calendar'!$AK$1140='Field Check'!$C$25)*10000000+(N('Dvd Calendar'!$AK$1134)&gt;0)*1000000+76*1000+33))</f>
        <v/>
      </c>
      <c r="AJ84" s="41">
        <f>IF(N('Dvd Calendar'!$AL$1135)=0,"",IF(('Dvd Calendar'!$AL$1135&gt;=MIN(DATE(Summary!$C$12,1,1),Summary!$C$11))*('Dvd Calendar'!$AL$1135&lt;=MAX(DATE(Summary!$C$12,12,31),Summary!$C$15))*('Dvd Calendar'!$AL$1135&lt;=Summary!$C$11)=0,"",'Dvd Calendar'!$AL$1135*1000000000+ISNUMBER('Dvd Calendar'!$AL$1136)*100000000+('Dvd Calendar'!$AL$1140='Field Check'!$C$25)*10000000+(N('Dvd Calendar'!$AL$1134)&gt;0)*1000000+76*1000+34))</f>
        <v/>
      </c>
      <c r="AK84" s="41">
        <f>IF(N('Dvd Calendar'!$AM$1135)=0,"",IF(('Dvd Calendar'!$AM$1135&gt;=MIN(DATE(Summary!$C$12,1,1),Summary!$C$11))*('Dvd Calendar'!$AM$1135&lt;=MAX(DATE(Summary!$C$12,12,31),Summary!$C$15))*('Dvd Calendar'!$AM$1135&lt;=Summary!$C$11)=0,"",'Dvd Calendar'!$AM$1135*1000000000+ISNUMBER('Dvd Calendar'!$AM$1136)*100000000+('Dvd Calendar'!$AM$1140='Field Check'!$C$25)*10000000+(N('Dvd Calendar'!$AM$1134)&gt;0)*1000000+76*1000+35))</f>
        <v/>
      </c>
      <c r="AL84" s="41">
        <f>IF(N('Dvd Calendar'!$AN$1135)=0,"",IF(('Dvd Calendar'!$AN$1135&gt;=MIN(DATE(Summary!$C$12,1,1),Summary!$C$11))*('Dvd Calendar'!$AN$1135&lt;=MAX(DATE(Summary!$C$12,12,31),Summary!$C$15))*('Dvd Calendar'!$AN$1135&lt;=Summary!$C$11)=0,"",'Dvd Calendar'!$AN$1135*1000000000+ISNUMBER('Dvd Calendar'!$AN$1136)*100000000+('Dvd Calendar'!$AN$1140='Field Check'!$C$25)*10000000+(N('Dvd Calendar'!$AN$1134)&gt;0)*1000000+76*1000+36))</f>
        <v/>
      </c>
      <c r="AM84" s="41">
        <f>IF(N('Dvd Calendar'!$AO$1135)=0,"",IF(('Dvd Calendar'!$AO$1135&gt;=MIN(DATE(Summary!$C$12,1,1),Summary!$C$11))*('Dvd Calendar'!$AO$1135&lt;=MAX(DATE(Summary!$C$12,12,31),Summary!$C$15))*('Dvd Calendar'!$AO$1135&lt;=Summary!$C$11)=0,"",'Dvd Calendar'!$AO$1135*1000000000+ISNUMBER('Dvd Calendar'!$AO$1136)*100000000+('Dvd Calendar'!$AO$1140='Field Check'!$C$25)*10000000+(N('Dvd Calendar'!$AO$1134)&gt;0)*1000000+76*1000+37))</f>
        <v/>
      </c>
      <c r="AN84" s="41">
        <f>IF(N('Dvd Calendar'!$AP$1135)=0,"",IF(('Dvd Calendar'!$AP$1135&gt;=MIN(DATE(Summary!$C$12,1,1),Summary!$C$11))*('Dvd Calendar'!$AP$1135&lt;=MAX(DATE(Summary!$C$12,12,31),Summary!$C$15))*('Dvd Calendar'!$AP$1135&lt;=Summary!$C$11)=0,"",'Dvd Calendar'!$AP$1135*1000000000+ISNUMBER('Dvd Calendar'!$AP$1136)*100000000+('Dvd Calendar'!$AP$1140='Field Check'!$C$25)*10000000+(N('Dvd Calendar'!$AP$1134)&gt;0)*1000000+76*1000+38))</f>
        <v/>
      </c>
      <c r="AO84" s="41">
        <f>IF(N('Dvd Calendar'!$AQ$1135)=0,"",IF(('Dvd Calendar'!$AQ$1135&gt;=MIN(DATE(Summary!$C$12,1,1),Summary!$C$11))*('Dvd Calendar'!$AQ$1135&lt;=MAX(DATE(Summary!$C$12,12,31),Summary!$C$15))*('Dvd Calendar'!$AQ$1135&lt;=Summary!$C$11)=0,"",'Dvd Calendar'!$AQ$1135*1000000000+ISNUMBER('Dvd Calendar'!$AQ$1136)*100000000+('Dvd Calendar'!$AQ$1140='Field Check'!$C$25)*10000000+(N('Dvd Calendar'!$AQ$1134)&gt;0)*1000000+76*1000+39))</f>
        <v/>
      </c>
      <c r="AP84" s="41">
        <f>IF(N('Dvd Calendar'!$AR$1135)=0,"",IF(('Dvd Calendar'!$AR$1135&gt;=MIN(DATE(Summary!$C$12,1,1),Summary!$C$11))*('Dvd Calendar'!$AR$1135&lt;=MAX(DATE(Summary!$C$12,12,31),Summary!$C$15))*('Dvd Calendar'!$AR$1135&lt;=Summary!$C$11)=0,"",'Dvd Calendar'!$AR$1135*1000000000+ISNUMBER('Dvd Calendar'!$AR$1136)*100000000+('Dvd Calendar'!$AR$1140='Field Check'!$C$25)*10000000+(N('Dvd Calendar'!$AR$1134)&gt;0)*1000000+76*1000+40))</f>
        <v/>
      </c>
      <c r="AQ84" s="41">
        <f>IF(N('Dvd Calendar'!$E$1142)=0,"",IF(('Dvd Calendar'!$E$1142&gt;=MIN(DATE(Summary!$C$12,1,1),Summary!$C$11))*('Dvd Calendar'!$E$1142&lt;=MAX(DATE(Summary!$C$12,12,31),Summary!$C$15))*('Dvd Calendar'!$E$1142&gt;Summary!$C$11)=0,"",'Dvd Calendar'!$E$1142*1000000000+ISNUMBER('Dvd Calendar'!$E$1143)*100000000+('Dvd Calendar'!$E$1147='Field Check'!$C$25)*10000000+(N('Dvd Calendar'!$E$1141)&gt;0)*1000000+76*1000+41))</f>
        <v/>
      </c>
      <c r="AR84" s="41">
        <f>IF(N('Dvd Calendar'!$F$1142)=0,"",IF(('Dvd Calendar'!$F$1142&gt;=MIN(DATE(Summary!$C$12,1,1),Summary!$C$11))*('Dvd Calendar'!$F$1142&lt;=MAX(DATE(Summary!$C$12,12,31),Summary!$C$15))*('Dvd Calendar'!$F$1142&gt;Summary!$C$11)=0,"",'Dvd Calendar'!$F$1142*1000000000+ISNUMBER('Dvd Calendar'!$F$1143)*100000000+('Dvd Calendar'!$F$1147='Field Check'!$C$25)*10000000+(N('Dvd Calendar'!$F$1141)&gt;0)*1000000+76*1000+42))</f>
        <v/>
      </c>
      <c r="AS84" s="41">
        <f>IF(N('Dvd Calendar'!$G$1142)=0,"",IF(('Dvd Calendar'!$G$1142&gt;=MIN(DATE(Summary!$C$12,1,1),Summary!$C$11))*('Dvd Calendar'!$G$1142&lt;=MAX(DATE(Summary!$C$12,12,31),Summary!$C$15))*('Dvd Calendar'!$G$1142&gt;Summary!$C$11)=0,"",'Dvd Calendar'!$G$1142*1000000000+ISNUMBER('Dvd Calendar'!$G$1143)*100000000+('Dvd Calendar'!$G$1147='Field Check'!$C$25)*10000000+(N('Dvd Calendar'!$G$1141)&gt;0)*1000000+76*1000+43))</f>
        <v/>
      </c>
      <c r="AT84" s="41">
        <f>IF(N('Dvd Calendar'!$H$1142)=0,"",IF(('Dvd Calendar'!$H$1142&gt;=MIN(DATE(Summary!$C$12,1,1),Summary!$C$11))*('Dvd Calendar'!$H$1142&lt;=MAX(DATE(Summary!$C$12,12,31),Summary!$C$15))*('Dvd Calendar'!$H$1142&gt;Summary!$C$11)=0,"",'Dvd Calendar'!$H$1142*1000000000+ISNUMBER('Dvd Calendar'!$H$1143)*100000000+('Dvd Calendar'!$H$1147='Field Check'!$C$25)*10000000+(N('Dvd Calendar'!$H$1141)&gt;0)*1000000+76*1000+44))</f>
        <v/>
      </c>
      <c r="AU84" s="41">
        <f>IF(N('Dvd Calendar'!$I$1142)=0,"",IF(('Dvd Calendar'!$I$1142&gt;=MIN(DATE(Summary!$C$12,1,1),Summary!$C$11))*('Dvd Calendar'!$I$1142&lt;=MAX(DATE(Summary!$C$12,12,31),Summary!$C$15))*('Dvd Calendar'!$I$1142&gt;Summary!$C$11)=0,"",'Dvd Calendar'!$I$1142*1000000000+ISNUMBER('Dvd Calendar'!$I$1143)*100000000+('Dvd Calendar'!$I$1147='Field Check'!$C$25)*10000000+(N('Dvd Calendar'!$I$1141)&gt;0)*1000000+76*1000+45))</f>
        <v/>
      </c>
      <c r="AV84" s="41">
        <f>IF(N('Dvd Calendar'!$J$1142)=0,"",IF(('Dvd Calendar'!$J$1142&gt;=MIN(DATE(Summary!$C$12,1,1),Summary!$C$11))*('Dvd Calendar'!$J$1142&lt;=MAX(DATE(Summary!$C$12,12,31),Summary!$C$15))*('Dvd Calendar'!$J$1142&gt;Summary!$C$11)=0,"",'Dvd Calendar'!$J$1142*1000000000+ISNUMBER('Dvd Calendar'!$J$1143)*100000000+('Dvd Calendar'!$J$1147='Field Check'!$C$25)*10000000+(N('Dvd Calendar'!$J$1141)&gt;0)*1000000+76*1000+46))</f>
        <v/>
      </c>
      <c r="AW84" s="41">
        <f>IF(N('Dvd Calendar'!$K$1142)=0,"",IF(('Dvd Calendar'!$K$1142&gt;=MIN(DATE(Summary!$C$12,1,1),Summary!$C$11))*('Dvd Calendar'!$K$1142&lt;=MAX(DATE(Summary!$C$12,12,31),Summary!$C$15))*('Dvd Calendar'!$K$1142&gt;Summary!$C$11)=0,"",'Dvd Calendar'!$K$1142*1000000000+ISNUMBER('Dvd Calendar'!$K$1143)*100000000+('Dvd Calendar'!$K$1147='Field Check'!$C$25)*10000000+(N('Dvd Calendar'!$K$1141)&gt;0)*1000000+76*1000+47))</f>
        <v/>
      </c>
      <c r="AX84" s="41">
        <f>IF(N('Dvd Calendar'!$L$1142)=0,"",IF(('Dvd Calendar'!$L$1142&gt;=MIN(DATE(Summary!$C$12,1,1),Summary!$C$11))*('Dvd Calendar'!$L$1142&lt;=MAX(DATE(Summary!$C$12,12,31),Summary!$C$15))*('Dvd Calendar'!$L$1142&gt;Summary!$C$11)=0,"",'Dvd Calendar'!$L$1142*1000000000+ISNUMBER('Dvd Calendar'!$L$1143)*100000000+('Dvd Calendar'!$L$1147='Field Check'!$C$25)*10000000+(N('Dvd Calendar'!$L$1141)&gt;0)*1000000+76*1000+48))</f>
        <v/>
      </c>
      <c r="AY84" s="41">
        <f>IF(N('Dvd Calendar'!$M$1142)=0,"",IF(('Dvd Calendar'!$M$1142&gt;=MIN(DATE(Summary!$C$12,1,1),Summary!$C$11))*('Dvd Calendar'!$M$1142&lt;=MAX(DATE(Summary!$C$12,12,31),Summary!$C$15))*('Dvd Calendar'!$M$1142&gt;Summary!$C$11)=0,"",'Dvd Calendar'!$M$1142*1000000000+ISNUMBER('Dvd Calendar'!$M$1143)*100000000+('Dvd Calendar'!$M$1147='Field Check'!$C$25)*10000000+(N('Dvd Calendar'!$M$1141)&gt;0)*1000000+76*1000+49))</f>
        <v/>
      </c>
      <c r="AZ84" s="41">
        <f>IF(N('Dvd Calendar'!$N$1142)=0,"",IF(('Dvd Calendar'!$N$1142&gt;=MIN(DATE(Summary!$C$12,1,1),Summary!$C$11))*('Dvd Calendar'!$N$1142&lt;=MAX(DATE(Summary!$C$12,12,31),Summary!$C$15))*('Dvd Calendar'!$N$1142&gt;Summary!$C$11)=0,"",'Dvd Calendar'!$N$1142*1000000000+ISNUMBER('Dvd Calendar'!$N$1143)*100000000+('Dvd Calendar'!$N$1147='Field Check'!$C$25)*10000000+(N('Dvd Calendar'!$N$1141)&gt;0)*1000000+76*1000+50))</f>
        <v/>
      </c>
      <c r="BA84" s="41">
        <f>IF(N('Dvd Calendar'!$O$1142)=0,"",IF(('Dvd Calendar'!$O$1142&gt;=MIN(DATE(Summary!$C$12,1,1),Summary!$C$11))*('Dvd Calendar'!$O$1142&lt;=MAX(DATE(Summary!$C$12,12,31),Summary!$C$15))*('Dvd Calendar'!$O$1142&gt;Summary!$C$11)=0,"",'Dvd Calendar'!$O$1142*1000000000+ISNUMBER('Dvd Calendar'!$O$1143)*100000000+('Dvd Calendar'!$O$1147='Field Check'!$C$25)*10000000+(N('Dvd Calendar'!$O$1141)&gt;0)*1000000+76*1000+51))</f>
        <v/>
      </c>
      <c r="BB84" s="41">
        <f>IF(N('Dvd Calendar'!$P$1142)=0,"",IF(('Dvd Calendar'!$P$1142&gt;=MIN(DATE(Summary!$C$12,1,1),Summary!$C$11))*('Dvd Calendar'!$P$1142&lt;=MAX(DATE(Summary!$C$12,12,31),Summary!$C$15))*('Dvd Calendar'!$P$1142&gt;Summary!$C$11)=0,"",'Dvd Calendar'!$P$1142*1000000000+ISNUMBER('Dvd Calendar'!$P$1143)*100000000+('Dvd Calendar'!$P$1147='Field Check'!$C$25)*10000000+(N('Dvd Calendar'!$P$1141)&gt;0)*1000000+76*1000+52))</f>
        <v/>
      </c>
      <c r="BC84" s="41">
        <f>IF(N('Dvd Calendar'!$Q$1142)=0,"",IF(('Dvd Calendar'!$Q$1142&gt;=MIN(DATE(Summary!$C$12,1,1),Summary!$C$11))*('Dvd Calendar'!$Q$1142&lt;=MAX(DATE(Summary!$C$12,12,31),Summary!$C$15))*('Dvd Calendar'!$Q$1142&gt;Summary!$C$11)=0,"",'Dvd Calendar'!$Q$1142*1000000000+ISNUMBER('Dvd Calendar'!$Q$1143)*100000000+('Dvd Calendar'!$Q$1147='Field Check'!$C$25)*10000000+(N('Dvd Calendar'!$Q$1141)&gt;0)*1000000+76*1000+53))</f>
        <v/>
      </c>
      <c r="BD84" s="41">
        <f>IF(N('Dvd Calendar'!$R$1142)=0,"",IF(('Dvd Calendar'!$R$1142&gt;=MIN(DATE(Summary!$C$12,1,1),Summary!$C$11))*('Dvd Calendar'!$R$1142&lt;=MAX(DATE(Summary!$C$12,12,31),Summary!$C$15))*('Dvd Calendar'!$R$1142&gt;Summary!$C$11)=0,"",'Dvd Calendar'!$R$1142*1000000000+ISNUMBER('Dvd Calendar'!$R$1143)*100000000+('Dvd Calendar'!$R$1147='Field Check'!$C$25)*10000000+(N('Dvd Calendar'!$R$1141)&gt;0)*1000000+76*1000+54))</f>
        <v/>
      </c>
      <c r="BE84" s="41">
        <f>IF(N('Dvd Calendar'!$S$1142)=0,"",IF(('Dvd Calendar'!$S$1142&gt;=MIN(DATE(Summary!$C$12,1,1),Summary!$C$11))*('Dvd Calendar'!$S$1142&lt;=MAX(DATE(Summary!$C$12,12,31),Summary!$C$15))*('Dvd Calendar'!$S$1142&gt;Summary!$C$11)=0,"",'Dvd Calendar'!$S$1142*1000000000+ISNUMBER('Dvd Calendar'!$S$1143)*100000000+('Dvd Calendar'!$S$1147='Field Check'!$C$25)*10000000+(N('Dvd Calendar'!$S$1141)&gt;0)*1000000+76*1000+55))</f>
        <v/>
      </c>
      <c r="BF84" s="41">
        <f>IF(N('Dvd Calendar'!$T$1142)=0,"",IF(('Dvd Calendar'!$T$1142&gt;=MIN(DATE(Summary!$C$12,1,1),Summary!$C$11))*('Dvd Calendar'!$T$1142&lt;=MAX(DATE(Summary!$C$12,12,31),Summary!$C$15))*('Dvd Calendar'!$T$1142&gt;Summary!$C$11)=0,"",'Dvd Calendar'!$T$1142*1000000000+ISNUMBER('Dvd Calendar'!$T$1143)*100000000+('Dvd Calendar'!$T$1147='Field Check'!$C$25)*10000000+(N('Dvd Calendar'!$T$1141)&gt;0)*1000000+76*1000+56))</f>
        <v/>
      </c>
      <c r="BG84" s="41">
        <f>IF(N('Dvd Calendar'!$U$1142)=0,"",IF(('Dvd Calendar'!$U$1142&gt;=MIN(DATE(Summary!$C$12,1,1),Summary!$C$11))*('Dvd Calendar'!$U$1142&lt;=MAX(DATE(Summary!$C$12,12,31),Summary!$C$15))*('Dvd Calendar'!$U$1142&gt;Summary!$C$11)=0,"",'Dvd Calendar'!$U$1142*1000000000+ISNUMBER('Dvd Calendar'!$U$1143)*100000000+('Dvd Calendar'!$U$1147='Field Check'!$C$25)*10000000+(N('Dvd Calendar'!$U$1141)&gt;0)*1000000+76*1000+57))</f>
        <v/>
      </c>
      <c r="BH84" s="41">
        <f>IF(N('Dvd Calendar'!$V$1142)=0,"",IF(('Dvd Calendar'!$V$1142&gt;=MIN(DATE(Summary!$C$12,1,1),Summary!$C$11))*('Dvd Calendar'!$V$1142&lt;=MAX(DATE(Summary!$C$12,12,31),Summary!$C$15))*('Dvd Calendar'!$V$1142&gt;Summary!$C$11)=0,"",'Dvd Calendar'!$V$1142*1000000000+ISNUMBER('Dvd Calendar'!$V$1143)*100000000+('Dvd Calendar'!$V$1147='Field Check'!$C$25)*10000000+(N('Dvd Calendar'!$V$1141)&gt;0)*1000000+76*1000+58))</f>
        <v/>
      </c>
      <c r="BI84" s="41">
        <f>IF(N('Dvd Calendar'!$W$1142)=0,"",IF(('Dvd Calendar'!$W$1142&gt;=MIN(DATE(Summary!$C$12,1,1),Summary!$C$11))*('Dvd Calendar'!$W$1142&lt;=MAX(DATE(Summary!$C$12,12,31),Summary!$C$15))*('Dvd Calendar'!$W$1142&gt;Summary!$C$11)=0,"",'Dvd Calendar'!$W$1142*1000000000+ISNUMBER('Dvd Calendar'!$W$1143)*100000000+('Dvd Calendar'!$W$1147='Field Check'!$C$25)*10000000+(N('Dvd Calendar'!$W$1141)&gt;0)*1000000+76*1000+59))</f>
        <v/>
      </c>
      <c r="BJ84" s="41">
        <f>IF(N('Dvd Calendar'!$X$1142)=0,"",IF(('Dvd Calendar'!$X$1142&gt;=MIN(DATE(Summary!$C$12,1,1),Summary!$C$11))*('Dvd Calendar'!$X$1142&lt;=MAX(DATE(Summary!$C$12,12,31),Summary!$C$15))*('Dvd Calendar'!$X$1142&gt;Summary!$C$11)=0,"",'Dvd Calendar'!$X$1142*1000000000+ISNUMBER('Dvd Calendar'!$X$1143)*100000000+('Dvd Calendar'!$X$1147='Field Check'!$C$25)*10000000+(N('Dvd Calendar'!$X$1141)&gt;0)*1000000+76*1000+60))</f>
        <v/>
      </c>
      <c r="BK84" s="41">
        <f>IF(N('Dvd Calendar'!$Y$1142)=0,"",IF(('Dvd Calendar'!$Y$1142&gt;=MIN(DATE(Summary!$C$12,1,1),Summary!$C$11))*('Dvd Calendar'!$Y$1142&lt;=MAX(DATE(Summary!$C$12,12,31),Summary!$C$15))*('Dvd Calendar'!$Y$1142&gt;Summary!$C$11)=0,"",'Dvd Calendar'!$Y$1142*1000000000+ISNUMBER('Dvd Calendar'!$Y$1143)*100000000+('Dvd Calendar'!$Y$1147='Field Check'!$C$25)*10000000+(N('Dvd Calendar'!$Y$1141)&gt;0)*1000000+76*1000+61))</f>
        <v/>
      </c>
      <c r="BL84" s="41">
        <f>IF(N('Dvd Calendar'!$Z$1142)=0,"",IF(('Dvd Calendar'!$Z$1142&gt;=MIN(DATE(Summary!$C$12,1,1),Summary!$C$11))*('Dvd Calendar'!$Z$1142&lt;=MAX(DATE(Summary!$C$12,12,31),Summary!$C$15))*('Dvd Calendar'!$Z$1142&gt;Summary!$C$11)=0,"",'Dvd Calendar'!$Z$1142*1000000000+ISNUMBER('Dvd Calendar'!$Z$1143)*100000000+('Dvd Calendar'!$Z$1147='Field Check'!$C$25)*10000000+(N('Dvd Calendar'!$Z$1141)&gt;0)*1000000+76*1000+62))</f>
        <v/>
      </c>
      <c r="BM84" s="41">
        <f>IF(N('Dvd Calendar'!$AA$1142)=0,"",IF(('Dvd Calendar'!$AA$1142&gt;=MIN(DATE(Summary!$C$12,1,1),Summary!$C$11))*('Dvd Calendar'!$AA$1142&lt;=MAX(DATE(Summary!$C$12,12,31),Summary!$C$15))*('Dvd Calendar'!$AA$1142&gt;Summary!$C$11)=0,"",'Dvd Calendar'!$AA$1142*1000000000+ISNUMBER('Dvd Calendar'!$AA$1143)*100000000+('Dvd Calendar'!$AA$1147='Field Check'!$C$25)*10000000+(N('Dvd Calendar'!$AA$1141)&gt;0)*1000000+76*1000+63))</f>
        <v/>
      </c>
      <c r="BN84" s="41">
        <f>IF(N('Dvd Calendar'!$AB$1142)=0,"",IF(('Dvd Calendar'!$AB$1142&gt;=MIN(DATE(Summary!$C$12,1,1),Summary!$C$11))*('Dvd Calendar'!$AB$1142&lt;=MAX(DATE(Summary!$C$12,12,31),Summary!$C$15))*('Dvd Calendar'!$AB$1142&gt;Summary!$C$11)=0,"",'Dvd Calendar'!$AB$1142*1000000000+ISNUMBER('Dvd Calendar'!$AB$1143)*100000000+('Dvd Calendar'!$AB$1147='Field Check'!$C$25)*10000000+(N('Dvd Calendar'!$AB$1141)&gt;0)*1000000+76*1000+64))</f>
        <v/>
      </c>
      <c r="BO84" s="41">
        <f>IF(N('Dvd Calendar'!$AC$1142)=0,"",IF(('Dvd Calendar'!$AC$1142&gt;=MIN(DATE(Summary!$C$12,1,1),Summary!$C$11))*('Dvd Calendar'!$AC$1142&lt;=MAX(DATE(Summary!$C$12,12,31),Summary!$C$15))*('Dvd Calendar'!$AC$1142&gt;Summary!$C$11)=0,"",'Dvd Calendar'!$AC$1142*1000000000+ISNUMBER('Dvd Calendar'!$AC$1143)*100000000+('Dvd Calendar'!$AC$1147='Field Check'!$C$25)*10000000+(N('Dvd Calendar'!$AC$1141)&gt;0)*1000000+76*1000+65))</f>
        <v/>
      </c>
      <c r="BQ84" s="85">
        <f>IF(C84="","",IF(ISNUMBER('Dvd Calendar'!$E$1136)=FALSE,"",IF((Summary!$C$13="N")*('Dvd Calendar'!$E$1140='Field Check'!$C$25)&gt;0,"",'Dvd Calendar'!$E$1136)))</f>
        <v/>
      </c>
      <c r="BR84" s="85">
        <f>IF(D84="","",IF(ISNUMBER('Dvd Calendar'!$F$1136)=FALSE,"",IF((Summary!$C$13="N")*('Dvd Calendar'!$F$1140='Field Check'!$C$25)&gt;0,"",'Dvd Calendar'!$F$1136)))</f>
        <v/>
      </c>
      <c r="BS84" s="85">
        <f>IF(E84="","",IF(ISNUMBER('Dvd Calendar'!$G$1136)=FALSE,"",IF((Summary!$C$13="N")*('Dvd Calendar'!$G$1140='Field Check'!$C$25)&gt;0,"",'Dvd Calendar'!$G$1136)))</f>
        <v/>
      </c>
      <c r="BT84" s="85">
        <f>IF(F84="","",IF(ISNUMBER('Dvd Calendar'!$H$1136)=FALSE,"",IF((Summary!$C$13="N")*('Dvd Calendar'!$H$1140='Field Check'!$C$25)&gt;0,"",'Dvd Calendar'!$H$1136)))</f>
        <v/>
      </c>
      <c r="BU84" s="85">
        <f>IF(G84="","",IF(ISNUMBER('Dvd Calendar'!$I$1136)=FALSE,"",IF((Summary!$C$13="N")*('Dvd Calendar'!$I$1140='Field Check'!$C$25)&gt;0,"",'Dvd Calendar'!$I$1136)))</f>
        <v/>
      </c>
      <c r="BV84" s="85">
        <f>IF(H84="","",IF(ISNUMBER('Dvd Calendar'!$J$1136)=FALSE,"",IF((Summary!$C$13="N")*('Dvd Calendar'!$J$1140='Field Check'!$C$25)&gt;0,"",'Dvd Calendar'!$J$1136)))</f>
        <v/>
      </c>
      <c r="BW84" s="85">
        <f>IF(I84="","",IF(ISNUMBER('Dvd Calendar'!$K$1136)=FALSE,"",IF((Summary!$C$13="N")*('Dvd Calendar'!$K$1140='Field Check'!$C$25)&gt;0,"",'Dvd Calendar'!$K$1136)))</f>
        <v/>
      </c>
      <c r="BX84" s="85">
        <f>IF(J84="","",IF(ISNUMBER('Dvd Calendar'!$L$1136)=FALSE,"",IF((Summary!$C$13="N")*('Dvd Calendar'!$L$1140='Field Check'!$C$25)&gt;0,"",'Dvd Calendar'!$L$1136)))</f>
        <v/>
      </c>
      <c r="BY84" s="85">
        <f>IF(K84="","",IF(ISNUMBER('Dvd Calendar'!$M$1136)=FALSE,"",IF((Summary!$C$13="N")*('Dvd Calendar'!$M$1140='Field Check'!$C$25)&gt;0,"",'Dvd Calendar'!$M$1136)))</f>
        <v/>
      </c>
      <c r="BZ84" s="85">
        <f>IF(L84="","",IF(ISNUMBER('Dvd Calendar'!$N$1136)=FALSE,"",IF((Summary!$C$13="N")*('Dvd Calendar'!$N$1140='Field Check'!$C$25)&gt;0,"",'Dvd Calendar'!$N$1136)))</f>
        <v/>
      </c>
      <c r="CA84" s="85">
        <f>IF(M84="","",IF(ISNUMBER('Dvd Calendar'!$O$1136)=FALSE,"",IF((Summary!$C$13="N")*('Dvd Calendar'!$O$1140='Field Check'!$C$25)&gt;0,"",'Dvd Calendar'!$O$1136)))</f>
        <v/>
      </c>
      <c r="CB84" s="85">
        <f>IF(N84="","",IF(ISNUMBER('Dvd Calendar'!$P$1136)=FALSE,"",IF((Summary!$C$13="N")*('Dvd Calendar'!$P$1140='Field Check'!$C$25)&gt;0,"",'Dvd Calendar'!$P$1136)))</f>
        <v/>
      </c>
      <c r="CC84" s="85">
        <f>IF(O84="","",IF(ISNUMBER('Dvd Calendar'!$Q$1136)=FALSE,"",IF((Summary!$C$13="N")*('Dvd Calendar'!$Q$1140='Field Check'!$C$25)&gt;0,"",'Dvd Calendar'!$Q$1136)))</f>
        <v/>
      </c>
      <c r="CD84" s="85">
        <f>IF(P84="","",IF(ISNUMBER('Dvd Calendar'!$R$1136)=FALSE,"",IF((Summary!$C$13="N")*('Dvd Calendar'!$R$1140='Field Check'!$C$25)&gt;0,"",'Dvd Calendar'!$R$1136)))</f>
        <v/>
      </c>
      <c r="CE84" s="85">
        <f>IF(Q84="","",IF(ISNUMBER('Dvd Calendar'!$S$1136)=FALSE,"",IF((Summary!$C$13="N")*('Dvd Calendar'!$S$1140='Field Check'!$C$25)&gt;0,"",'Dvd Calendar'!$S$1136)))</f>
        <v/>
      </c>
      <c r="CF84" s="85">
        <f>IF(R84="","",IF(ISNUMBER('Dvd Calendar'!$T$1136)=FALSE,"",IF((Summary!$C$13="N")*('Dvd Calendar'!$T$1140='Field Check'!$C$25)&gt;0,"",'Dvd Calendar'!$T$1136)))</f>
        <v/>
      </c>
      <c r="CG84" s="85">
        <f>IF(S84="","",IF(ISNUMBER('Dvd Calendar'!$U$1136)=FALSE,"",IF((Summary!$C$13="N")*('Dvd Calendar'!$U$1140='Field Check'!$C$25)&gt;0,"",'Dvd Calendar'!$U$1136)))</f>
        <v/>
      </c>
      <c r="CH84" s="85">
        <f>IF(T84="","",IF(ISNUMBER('Dvd Calendar'!$V$1136)=FALSE,"",IF((Summary!$C$13="N")*('Dvd Calendar'!$V$1140='Field Check'!$C$25)&gt;0,"",'Dvd Calendar'!$V$1136)))</f>
        <v/>
      </c>
      <c r="CI84" s="85">
        <f>IF(U84="","",IF(ISNUMBER('Dvd Calendar'!$W$1136)=FALSE,"",IF((Summary!$C$13="N")*('Dvd Calendar'!$W$1140='Field Check'!$C$25)&gt;0,"",'Dvd Calendar'!$W$1136)))</f>
        <v/>
      </c>
      <c r="CJ84" s="85">
        <f>IF(V84="","",IF(ISNUMBER('Dvd Calendar'!$X$1136)=FALSE,"",IF((Summary!$C$13="N")*('Dvd Calendar'!$X$1140='Field Check'!$C$25)&gt;0,"",'Dvd Calendar'!$X$1136)))</f>
        <v/>
      </c>
      <c r="CK84" s="85">
        <f>IF(W84="","",IF(ISNUMBER('Dvd Calendar'!$Y$1136)=FALSE,"",IF((Summary!$C$13="N")*('Dvd Calendar'!$Y$1140='Field Check'!$C$25)&gt;0,"",'Dvd Calendar'!$Y$1136)))</f>
        <v/>
      </c>
      <c r="CL84" s="85">
        <f>IF(X84="","",IF(ISNUMBER('Dvd Calendar'!$Z$1136)=FALSE,"",IF((Summary!$C$13="N")*('Dvd Calendar'!$Z$1140='Field Check'!$C$25)&gt;0,"",'Dvd Calendar'!$Z$1136)))</f>
        <v/>
      </c>
      <c r="CM84" s="85">
        <f>IF(Y84="","",IF(ISNUMBER('Dvd Calendar'!$AA$1136)=FALSE,"",IF((Summary!$C$13="N")*('Dvd Calendar'!$AA$1140='Field Check'!$C$25)&gt;0,"",'Dvd Calendar'!$AA$1136)))</f>
        <v/>
      </c>
      <c r="CN84" s="85">
        <f>IF(Z84="","",IF(ISNUMBER('Dvd Calendar'!$AB$1136)=FALSE,"",IF((Summary!$C$13="N")*('Dvd Calendar'!$AB$1140='Field Check'!$C$25)&gt;0,"",'Dvd Calendar'!$AB$1136)))</f>
        <v/>
      </c>
      <c r="CO84" s="85">
        <f>IF(AA84="","",IF(ISNUMBER('Dvd Calendar'!$AC$1136)=FALSE,"",IF((Summary!$C$13="N")*('Dvd Calendar'!$AC$1140='Field Check'!$C$25)&gt;0,"",'Dvd Calendar'!$AC$1136)))</f>
        <v/>
      </c>
      <c r="CP84" s="85">
        <f>IF(AB84="","",IF(ISNUMBER('Dvd Calendar'!$AD$1136)=FALSE,"",IF((Summary!$C$13="N")*('Dvd Calendar'!$AD$1140='Field Check'!$C$25)&gt;0,"",'Dvd Calendar'!$AD$1136)))</f>
        <v/>
      </c>
      <c r="CQ84" s="85">
        <f>IF(AC84="","",IF(ISNUMBER('Dvd Calendar'!$AE$1136)=FALSE,"",IF((Summary!$C$13="N")*('Dvd Calendar'!$AE$1140='Field Check'!$C$25)&gt;0,"",'Dvd Calendar'!$AE$1136)))</f>
        <v/>
      </c>
      <c r="CR84" s="85">
        <f>IF(AD84="","",IF(ISNUMBER('Dvd Calendar'!$AF$1136)=FALSE,"",IF((Summary!$C$13="N")*('Dvd Calendar'!$AF$1140='Field Check'!$C$25)&gt;0,"",'Dvd Calendar'!$AF$1136)))</f>
        <v/>
      </c>
      <c r="CS84" s="85">
        <f>IF(AE84="","",IF(ISNUMBER('Dvd Calendar'!$AG$1136)=FALSE,"",IF((Summary!$C$13="N")*('Dvd Calendar'!$AG$1140='Field Check'!$C$25)&gt;0,"",'Dvd Calendar'!$AG$1136)))</f>
        <v/>
      </c>
      <c r="CT84" s="85">
        <f>IF(AF84="","",IF(ISNUMBER('Dvd Calendar'!$AH$1136)=FALSE,"",IF((Summary!$C$13="N")*('Dvd Calendar'!$AH$1140='Field Check'!$C$25)&gt;0,"",'Dvd Calendar'!$AH$1136)))</f>
        <v/>
      </c>
      <c r="CU84" s="85">
        <f>IF(AG84="","",IF(ISNUMBER('Dvd Calendar'!$AI$1136)=FALSE,"",IF((Summary!$C$13="N")*('Dvd Calendar'!$AI$1140='Field Check'!$C$25)&gt;0,"",'Dvd Calendar'!$AI$1136)))</f>
        <v/>
      </c>
      <c r="CV84" s="85">
        <f>IF(AH84="","",IF(ISNUMBER('Dvd Calendar'!$AJ$1136)=FALSE,"",IF((Summary!$C$13="N")*('Dvd Calendar'!$AJ$1140='Field Check'!$C$25)&gt;0,"",'Dvd Calendar'!$AJ$1136)))</f>
        <v/>
      </c>
      <c r="CW84" s="85">
        <f>IF(AI84="","",IF(ISNUMBER('Dvd Calendar'!$AK$1136)=FALSE,"",IF((Summary!$C$13="N")*('Dvd Calendar'!$AK$1140='Field Check'!$C$25)&gt;0,"",'Dvd Calendar'!$AK$1136)))</f>
        <v/>
      </c>
      <c r="CX84" s="85">
        <f>IF(AJ84="","",IF(ISNUMBER('Dvd Calendar'!$AL$1136)=FALSE,"",IF((Summary!$C$13="N")*('Dvd Calendar'!$AL$1140='Field Check'!$C$25)&gt;0,"",'Dvd Calendar'!$AL$1136)))</f>
        <v/>
      </c>
      <c r="CY84" s="85">
        <f>IF(AK84="","",IF(ISNUMBER('Dvd Calendar'!$AM$1136)=FALSE,"",IF((Summary!$C$13="N")*('Dvd Calendar'!$AM$1140='Field Check'!$C$25)&gt;0,"",'Dvd Calendar'!$AM$1136)))</f>
        <v/>
      </c>
      <c r="CZ84" s="85">
        <f>IF(AL84="","",IF(ISNUMBER('Dvd Calendar'!$AN$1136)=FALSE,"",IF((Summary!$C$13="N")*('Dvd Calendar'!$AN$1140='Field Check'!$C$25)&gt;0,"",'Dvd Calendar'!$AN$1136)))</f>
        <v/>
      </c>
      <c r="DA84" s="85">
        <f>IF(AM84="","",IF(ISNUMBER('Dvd Calendar'!$AO$1136)=FALSE,"",IF((Summary!$C$13="N")*('Dvd Calendar'!$AO$1140='Field Check'!$C$25)&gt;0,"",'Dvd Calendar'!$AO$1136)))</f>
        <v/>
      </c>
      <c r="DB84" s="85">
        <f>IF(AN84="","",IF(ISNUMBER('Dvd Calendar'!$AP$1136)=FALSE,"",IF((Summary!$C$13="N")*('Dvd Calendar'!$AP$1140='Field Check'!$C$25)&gt;0,"",'Dvd Calendar'!$AP$1136)))</f>
        <v/>
      </c>
      <c r="DC84" s="85">
        <f>IF(AO84="","",IF(ISNUMBER('Dvd Calendar'!$AQ$1136)=FALSE,"",IF((Summary!$C$13="N")*('Dvd Calendar'!$AQ$1140='Field Check'!$C$25)&gt;0,"",'Dvd Calendar'!$AQ$1136)))</f>
        <v/>
      </c>
      <c r="DD84" s="85">
        <f>IF(AP84="","",IF(ISNUMBER('Dvd Calendar'!$AR$1136)=FALSE,"",IF((Summary!$C$13="N")*('Dvd Calendar'!$AR$1140='Field Check'!$C$25)&gt;0,"",'Dvd Calendar'!$AR$1136)))</f>
        <v/>
      </c>
      <c r="DE84" s="85">
        <f>IF(AQ84="","",IF(ISNUMBER('Dvd Calendar'!$E$1143)=FALSE,"",IF((Summary!$C$13="N")*('Dvd Calendar'!$E$1147='Field Check'!$C$25)&gt;0,"",'Dvd Calendar'!$E$1143)))</f>
        <v/>
      </c>
      <c r="DF84" s="85">
        <f>IF(AR84="","",IF(ISNUMBER('Dvd Calendar'!$F$1143)=FALSE,"",IF((Summary!$C$13="N")*('Dvd Calendar'!$F$1147='Field Check'!$C$25)&gt;0,"",'Dvd Calendar'!$F$1143)))</f>
        <v/>
      </c>
      <c r="DG84" s="85">
        <f>IF(AS84="","",IF(ISNUMBER('Dvd Calendar'!$G$1143)=FALSE,"",IF((Summary!$C$13="N")*('Dvd Calendar'!$G$1147='Field Check'!$C$25)&gt;0,"",'Dvd Calendar'!$G$1143)))</f>
        <v/>
      </c>
      <c r="DH84" s="85">
        <f>IF(AT84="","",IF(ISNUMBER('Dvd Calendar'!$H$1143)=FALSE,"",IF((Summary!$C$13="N")*('Dvd Calendar'!$H$1147='Field Check'!$C$25)&gt;0,"",'Dvd Calendar'!$H$1143)))</f>
        <v/>
      </c>
      <c r="DI84" s="85">
        <f>IF(AU84="","",IF(ISNUMBER('Dvd Calendar'!$I$1143)=FALSE,"",IF((Summary!$C$13="N")*('Dvd Calendar'!$I$1147='Field Check'!$C$25)&gt;0,"",'Dvd Calendar'!$I$1143)))</f>
        <v/>
      </c>
      <c r="DJ84" s="85">
        <f>IF(AV84="","",IF(ISNUMBER('Dvd Calendar'!$J$1143)=FALSE,"",IF((Summary!$C$13="N")*('Dvd Calendar'!$J$1147='Field Check'!$C$25)&gt;0,"",'Dvd Calendar'!$J$1143)))</f>
        <v/>
      </c>
      <c r="DK84" s="85">
        <f>IF(AW84="","",IF(ISNUMBER('Dvd Calendar'!$K$1143)=FALSE,"",IF((Summary!$C$13="N")*('Dvd Calendar'!$K$1147='Field Check'!$C$25)&gt;0,"",'Dvd Calendar'!$K$1143)))</f>
        <v/>
      </c>
      <c r="DL84" s="85">
        <f>IF(AX84="","",IF(ISNUMBER('Dvd Calendar'!$L$1143)=FALSE,"",IF((Summary!$C$13="N")*('Dvd Calendar'!$L$1147='Field Check'!$C$25)&gt;0,"",'Dvd Calendar'!$L$1143)))</f>
        <v/>
      </c>
      <c r="DM84" s="85">
        <f>IF(AY84="","",IF(ISNUMBER('Dvd Calendar'!$M$1143)=FALSE,"",IF((Summary!$C$13="N")*('Dvd Calendar'!$M$1147='Field Check'!$C$25)&gt;0,"",'Dvd Calendar'!$M$1143)))</f>
        <v/>
      </c>
      <c r="DN84" s="85">
        <f>IF(AZ84="","",IF(ISNUMBER('Dvd Calendar'!$N$1143)=FALSE,"",IF((Summary!$C$13="N")*('Dvd Calendar'!$N$1147='Field Check'!$C$25)&gt;0,"",'Dvd Calendar'!$N$1143)))</f>
        <v/>
      </c>
      <c r="DO84" s="85">
        <f>IF(BA84="","",IF(ISNUMBER('Dvd Calendar'!$O$1143)=FALSE,"",IF((Summary!$C$13="N")*('Dvd Calendar'!$O$1147='Field Check'!$C$25)&gt;0,"",'Dvd Calendar'!$O$1143)))</f>
        <v/>
      </c>
      <c r="DP84" s="85">
        <f>IF(BB84="","",IF(ISNUMBER('Dvd Calendar'!$P$1143)=FALSE,"",IF((Summary!$C$13="N")*('Dvd Calendar'!$P$1147='Field Check'!$C$25)&gt;0,"",'Dvd Calendar'!$P$1143)))</f>
        <v/>
      </c>
      <c r="DQ84" s="85">
        <f>IF(BC84="","",IF(ISNUMBER('Dvd Calendar'!$Q$1143)=FALSE,"",IF((Summary!$C$13="N")*('Dvd Calendar'!$Q$1147='Field Check'!$C$25)&gt;0,"",'Dvd Calendar'!$Q$1143)))</f>
        <v/>
      </c>
      <c r="DR84" s="85">
        <f>IF(BD84="","",IF(ISNUMBER('Dvd Calendar'!$R$1143)=FALSE,"",IF((Summary!$C$13="N")*('Dvd Calendar'!$R$1147='Field Check'!$C$25)&gt;0,"",'Dvd Calendar'!$R$1143)))</f>
        <v/>
      </c>
      <c r="DS84" s="85">
        <f>IF(BE84="","",IF(ISNUMBER('Dvd Calendar'!$S$1143)=FALSE,"",IF((Summary!$C$13="N")*('Dvd Calendar'!$S$1147='Field Check'!$C$25)&gt;0,"",'Dvd Calendar'!$S$1143)))</f>
        <v/>
      </c>
      <c r="DT84" s="85">
        <f>IF(BF84="","",IF(ISNUMBER('Dvd Calendar'!$T$1143)=FALSE,"",IF((Summary!$C$13="N")*('Dvd Calendar'!$T$1147='Field Check'!$C$25)&gt;0,"",'Dvd Calendar'!$T$1143)))</f>
        <v/>
      </c>
      <c r="DU84" s="85">
        <f>IF(BG84="","",IF(ISNUMBER('Dvd Calendar'!$U$1143)=FALSE,"",IF((Summary!$C$13="N")*('Dvd Calendar'!$U$1147='Field Check'!$C$25)&gt;0,"",'Dvd Calendar'!$U$1143)))</f>
        <v/>
      </c>
      <c r="DV84" s="85">
        <f>IF(BH84="","",IF(ISNUMBER('Dvd Calendar'!$V$1143)=FALSE,"",IF((Summary!$C$13="N")*('Dvd Calendar'!$V$1147='Field Check'!$C$25)&gt;0,"",'Dvd Calendar'!$V$1143)))</f>
        <v/>
      </c>
      <c r="DW84" s="85">
        <f>IF(BI84="","",IF(ISNUMBER('Dvd Calendar'!$W$1143)=FALSE,"",IF((Summary!$C$13="N")*('Dvd Calendar'!$W$1147='Field Check'!$C$25)&gt;0,"",'Dvd Calendar'!$W$1143)))</f>
        <v/>
      </c>
      <c r="DX84" s="85">
        <f>IF(BJ84="","",IF(ISNUMBER('Dvd Calendar'!$X$1143)=FALSE,"",IF((Summary!$C$13="N")*('Dvd Calendar'!$X$1147='Field Check'!$C$25)&gt;0,"",'Dvd Calendar'!$X$1143)))</f>
        <v/>
      </c>
      <c r="DY84" s="85">
        <f>IF(BK84="","",IF(ISNUMBER('Dvd Calendar'!$Y$1143)=FALSE,"",IF((Summary!$C$13="N")*('Dvd Calendar'!$Y$1147='Field Check'!$C$25)&gt;0,"",'Dvd Calendar'!$Y$1143)))</f>
        <v/>
      </c>
      <c r="DZ84" s="85">
        <f>IF(BL84="","",IF(ISNUMBER('Dvd Calendar'!$Z$1143)=FALSE,"",IF((Summary!$C$13="N")*('Dvd Calendar'!$Z$1147='Field Check'!$C$25)&gt;0,"",'Dvd Calendar'!$Z$1143)))</f>
        <v/>
      </c>
      <c r="EA84" s="85">
        <f>IF(BM84="","",IF(ISNUMBER('Dvd Calendar'!$AA$1143)=FALSE,"",IF((Summary!$C$13="N")*('Dvd Calendar'!$AA$1147='Field Check'!$C$25)&gt;0,"",'Dvd Calendar'!$AA$1143)))</f>
        <v/>
      </c>
      <c r="EB84" s="85">
        <f>IF(BN84="","",IF(ISNUMBER('Dvd Calendar'!$AB$1143)=FALSE,"",IF((Summary!$C$13="N")*('Dvd Calendar'!$AB$1147='Field Check'!$C$25)&gt;0,"",'Dvd Calendar'!$AB$1143)))</f>
        <v/>
      </c>
      <c r="EC84" s="85">
        <f>IF(BO84="","",IF(ISNUMBER('Dvd Calendar'!$AC$1143)=FALSE,"",IF((Summary!$C$13="N")*('Dvd Calendar'!$AC$1147='Field Check'!$C$25)&gt;0,"",'Dvd Calendar'!$AC$1143)))</f>
        <v/>
      </c>
      <c r="EE84" s="85">
        <f>IF(BQ84="","",IFERROR(BQ84*HSI!$B$82*HSI!$G$82/HSI!$B$3,""))</f>
        <v/>
      </c>
      <c r="EF84" s="85">
        <f>IF(BR84="","",IFERROR(BR84*HSI!$B$82*HSI!$G$82/HSI!$B$3,""))</f>
        <v/>
      </c>
      <c r="EG84" s="85">
        <f>IF(BS84="","",IFERROR(BS84*HSI!$B$82*HSI!$G$82/HSI!$B$3,""))</f>
        <v/>
      </c>
      <c r="EH84" s="85">
        <f>IF(BT84="","",IFERROR(BT84*HSI!$B$82*HSI!$G$82/HSI!$B$3,""))</f>
        <v/>
      </c>
      <c r="EI84" s="85">
        <f>IF(BU84="","",IFERROR(BU84*HSI!$B$82*HSI!$G$82/HSI!$B$3,""))</f>
        <v/>
      </c>
      <c r="EJ84" s="85">
        <f>IF(BV84="","",IFERROR(BV84*HSI!$B$82*HSI!$G$82/HSI!$B$3,""))</f>
        <v/>
      </c>
      <c r="EK84" s="85">
        <f>IF(BW84="","",IFERROR(BW84*HSI!$B$82*HSI!$G$82/HSI!$B$3,""))</f>
        <v/>
      </c>
      <c r="EL84" s="85">
        <f>IF(BX84="","",IFERROR(BX84*HSI!$B$82*HSI!$G$82/HSI!$B$3,""))</f>
        <v/>
      </c>
      <c r="EM84" s="85">
        <f>IF(BY84="","",IFERROR(BY84*HSI!$B$82*HSI!$G$82/HSI!$B$3,""))</f>
        <v/>
      </c>
      <c r="EN84" s="85">
        <f>IF(BZ84="","",IFERROR(BZ84*HSI!$B$82*HSI!$G$82/HSI!$B$3,""))</f>
        <v/>
      </c>
      <c r="EO84" s="85">
        <f>IF(CA84="","",IFERROR(CA84*HSI!$B$82*HSI!$G$82/HSI!$B$3,""))</f>
        <v/>
      </c>
      <c r="EP84" s="85">
        <f>IF(CB84="","",IFERROR(CB84*HSI!$B$82*HSI!$G$82/HSI!$B$3,""))</f>
        <v/>
      </c>
      <c r="EQ84" s="85">
        <f>IF(CC84="","",IFERROR(CC84*HSI!$B$82*HSI!$G$82/HSI!$B$3,""))</f>
        <v/>
      </c>
      <c r="ER84" s="85">
        <f>IF(CD84="","",IFERROR(CD84*HSI!$B$82*HSI!$G$82/HSI!$B$3,""))</f>
        <v/>
      </c>
      <c r="ES84" s="85">
        <f>IF(CE84="","",IFERROR(CE84*HSI!$B$82*HSI!$G$82/HSI!$B$3,""))</f>
        <v/>
      </c>
      <c r="ET84" s="85">
        <f>IF(CF84="","",IFERROR(CF84*HSI!$B$82*HSI!$G$82/HSI!$B$3,""))</f>
        <v/>
      </c>
      <c r="EU84" s="85">
        <f>IF(CG84="","",IFERROR(CG84*HSI!$B$82*HSI!$G$82/HSI!$B$3,""))</f>
        <v/>
      </c>
      <c r="EV84" s="85">
        <f>IF(CH84="","",IFERROR(CH84*HSI!$B$82*HSI!$G$82/HSI!$B$3,""))</f>
        <v/>
      </c>
      <c r="EW84" s="85">
        <f>IF(CI84="","",IFERROR(CI84*HSI!$B$82*HSI!$G$82/HSI!$B$3,""))</f>
        <v/>
      </c>
      <c r="EX84" s="85">
        <f>IF(CJ84="","",IFERROR(CJ84*HSI!$B$82*HSI!$G$82/HSI!$B$3,""))</f>
        <v/>
      </c>
      <c r="EY84" s="85">
        <f>IF(CK84="","",IFERROR(CK84*HSI!$B$82*HSI!$G$82/HSI!$B$3,""))</f>
        <v/>
      </c>
      <c r="EZ84" s="85">
        <f>IF(CL84="","",IFERROR(CL84*HSI!$B$82*HSI!$G$82/HSI!$B$3,""))</f>
        <v/>
      </c>
      <c r="FA84" s="85">
        <f>IF(CM84="","",IFERROR(CM84*HSI!$B$82*HSI!$G$82/HSI!$B$3,""))</f>
        <v/>
      </c>
      <c r="FB84" s="85">
        <f>IF(CN84="","",IFERROR(CN84*HSI!$B$82*HSI!$G$82/HSI!$B$3,""))</f>
        <v/>
      </c>
      <c r="FC84" s="85">
        <f>IF(CO84="","",IFERROR(CO84*HSI!$B$82*HSI!$G$82/HSI!$B$3,""))</f>
        <v/>
      </c>
      <c r="FD84" s="85">
        <f>IF(CP84="","",IFERROR(CP84*HSI!$B$82*HSI!$G$82/HSI!$B$3,""))</f>
        <v/>
      </c>
      <c r="FE84" s="85">
        <f>IF(CQ84="","",IFERROR(CQ84*HSI!$B$82*HSI!$G$82/HSI!$B$3,""))</f>
        <v/>
      </c>
      <c r="FF84" s="85">
        <f>IF(CR84="","",IFERROR(CR84*HSI!$B$82*HSI!$G$82/HSI!$B$3,""))</f>
        <v/>
      </c>
      <c r="FG84" s="85">
        <f>IF(CS84="","",IFERROR(CS84*HSI!$B$82*HSI!$G$82/HSI!$B$3,""))</f>
        <v/>
      </c>
      <c r="FH84" s="85">
        <f>IF(CT84="","",IFERROR(CT84*HSI!$B$82*HSI!$G$82/HSI!$B$3,""))</f>
        <v/>
      </c>
      <c r="FI84" s="85">
        <f>IF(CU84="","",IFERROR(CU84*HSI!$B$82*HSI!$G$82/HSI!$B$3,""))</f>
        <v/>
      </c>
      <c r="FJ84" s="85">
        <f>IF(CV84="","",IFERROR(CV84*HSI!$B$82*HSI!$G$82/HSI!$B$3,""))</f>
        <v/>
      </c>
      <c r="FK84" s="85">
        <f>IF(CW84="","",IFERROR(CW84*HSI!$B$82*HSI!$G$82/HSI!$B$3,""))</f>
        <v/>
      </c>
      <c r="FL84" s="85">
        <f>IF(CX84="","",IFERROR(CX84*HSI!$B$82*HSI!$G$82/HSI!$B$3,""))</f>
        <v/>
      </c>
      <c r="FM84" s="85">
        <f>IF(CY84="","",IFERROR(CY84*HSI!$B$82*HSI!$G$82/HSI!$B$3,""))</f>
        <v/>
      </c>
      <c r="FN84" s="85">
        <f>IF(CZ84="","",IFERROR(CZ84*HSI!$B$82*HSI!$G$82/HSI!$B$3,""))</f>
        <v/>
      </c>
      <c r="FO84" s="85">
        <f>IF(DA84="","",IFERROR(DA84*HSI!$B$82*HSI!$G$82/HSI!$B$3,""))</f>
        <v/>
      </c>
      <c r="FP84" s="85">
        <f>IF(DB84="","",IFERROR(DB84*HSI!$B$82*HSI!$G$82/HSI!$B$3,""))</f>
        <v/>
      </c>
      <c r="FQ84" s="85">
        <f>IF(DC84="","",IFERROR(DC84*HSI!$B$82*HSI!$G$82/HSI!$B$3,""))</f>
        <v/>
      </c>
      <c r="FR84" s="85">
        <f>IF(DD84="","",IFERROR(DD84*HSI!$B$82*HSI!$G$82/HSI!$B$3,""))</f>
        <v/>
      </c>
      <c r="FS84" s="85">
        <f>IF(DE84="","",IFERROR(DE84*HSI!$B$82*HSI!$G$82/HSI!$B$3,""))</f>
        <v/>
      </c>
      <c r="FT84" s="85">
        <f>IF(DF84="","",IFERROR(DF84*HSI!$B$82*HSI!$G$82/HSI!$B$3,""))</f>
        <v/>
      </c>
      <c r="FU84" s="85">
        <f>IF(DG84="","",IFERROR(DG84*HSI!$B$82*HSI!$G$82/HSI!$B$3,""))</f>
        <v/>
      </c>
      <c r="FV84" s="85">
        <f>IF(DH84="","",IFERROR(DH84*HSI!$B$82*HSI!$G$82/HSI!$B$3,""))</f>
        <v/>
      </c>
      <c r="FW84" s="85">
        <f>IF(DI84="","",IFERROR(DI84*HSI!$B$82*HSI!$G$82/HSI!$B$3,""))</f>
        <v/>
      </c>
      <c r="FX84" s="85">
        <f>IF(DJ84="","",IFERROR(DJ84*HSI!$B$82*HSI!$G$82/HSI!$B$3,""))</f>
        <v/>
      </c>
      <c r="FY84" s="85">
        <f>IF(DK84="","",IFERROR(DK84*HSI!$B$82*HSI!$G$82/HSI!$B$3,""))</f>
        <v/>
      </c>
      <c r="FZ84" s="85">
        <f>IF(DL84="","",IFERROR(DL84*HSI!$B$82*HSI!$G$82/HSI!$B$3,""))</f>
        <v/>
      </c>
      <c r="GA84" s="85">
        <f>IF(DM84="","",IFERROR(DM84*HSI!$B$82*HSI!$G$82/HSI!$B$3,""))</f>
        <v/>
      </c>
      <c r="GB84" s="85">
        <f>IF(DN84="","",IFERROR(DN84*HSI!$B$82*HSI!$G$82/HSI!$B$3,""))</f>
        <v/>
      </c>
      <c r="GC84" s="85">
        <f>IF(DO84="","",IFERROR(DO84*HSI!$B$82*HSI!$G$82/HSI!$B$3,""))</f>
        <v/>
      </c>
      <c r="GD84" s="85">
        <f>IF(DP84="","",IFERROR(DP84*HSI!$B$82*HSI!$G$82/HSI!$B$3,""))</f>
        <v/>
      </c>
      <c r="GE84" s="85">
        <f>IF(DQ84="","",IFERROR(DQ84*HSI!$B$82*HSI!$G$82/HSI!$B$3,""))</f>
        <v/>
      </c>
      <c r="GF84" s="85">
        <f>IF(DR84="","",IFERROR(DR84*HSI!$B$82*HSI!$G$82/HSI!$B$3,""))</f>
        <v/>
      </c>
      <c r="GG84" s="85">
        <f>IF(DS84="","",IFERROR(DS84*HSI!$B$82*HSI!$G$82/HSI!$B$3,""))</f>
        <v/>
      </c>
      <c r="GH84" s="85">
        <f>IF(DT84="","",IFERROR(DT84*HSI!$B$82*HSI!$G$82/HSI!$B$3,""))</f>
        <v/>
      </c>
      <c r="GI84" s="85">
        <f>IF(DU84="","",IFERROR(DU84*HSI!$B$82*HSI!$G$82/HSI!$B$3,""))</f>
        <v/>
      </c>
      <c r="GJ84" s="85">
        <f>IF(DV84="","",IFERROR(DV84*HSI!$B$82*HSI!$G$82/HSI!$B$3,""))</f>
        <v/>
      </c>
      <c r="GK84" s="85">
        <f>IF(DW84="","",IFERROR(DW84*HSI!$B$82*HSI!$G$82/HSI!$B$3,""))</f>
        <v/>
      </c>
      <c r="GL84" s="85">
        <f>IF(DX84="","",IFERROR(DX84*HSI!$B$82*HSI!$G$82/HSI!$B$3,""))</f>
        <v/>
      </c>
      <c r="GM84" s="85">
        <f>IF(DY84="","",IFERROR(DY84*HSI!$B$82*HSI!$G$82/HSI!$B$3,""))</f>
        <v/>
      </c>
      <c r="GN84" s="85">
        <f>IF(DZ84="","",IFERROR(DZ84*HSI!$B$82*HSI!$G$82/HSI!$B$3,""))</f>
        <v/>
      </c>
      <c r="GO84" s="85">
        <f>IF(EA84="","",IFERROR(EA84*HSI!$B$82*HSI!$G$82/HSI!$B$3,""))</f>
        <v/>
      </c>
      <c r="GP84" s="85">
        <f>IF(EB84="","",IFERROR(EB84*HSI!$B$82*HSI!$G$82/HSI!$B$3,""))</f>
        <v/>
      </c>
      <c r="GQ84" s="85">
        <f>IF(EC84="","",IFERROR(EC84*HSI!$B$82*HSI!$G$82/HSI!$B$3,""))</f>
        <v/>
      </c>
    </row>
    <row r="85">
      <c r="B85" s="2">
        <f>IF(HSI!$C$83="","",HSI!$C$83)</f>
        <v/>
      </c>
      <c r="C85" s="41">
        <f>IF(N('Dvd Calendar'!$E$1150)=0,"",IF(('Dvd Calendar'!$E$1150&gt;=MIN(DATE(Summary!$C$12,1,1),Summary!$C$11))*('Dvd Calendar'!$E$1150&lt;=MAX(DATE(Summary!$C$12,12,31),Summary!$C$15))*('Dvd Calendar'!$E$1150&lt;=Summary!$C$11)=0,"",'Dvd Calendar'!$E$1150*1000000000+ISNUMBER('Dvd Calendar'!$E$1151)*100000000+('Dvd Calendar'!$E$1155='Field Check'!$C$25)*10000000+(N('Dvd Calendar'!$E$1149)&gt;0)*1000000+77*1000+1))</f>
        <v/>
      </c>
      <c r="D85" s="41">
        <f>IF(N('Dvd Calendar'!$F$1150)=0,"",IF(('Dvd Calendar'!$F$1150&gt;=MIN(DATE(Summary!$C$12,1,1),Summary!$C$11))*('Dvd Calendar'!$F$1150&lt;=MAX(DATE(Summary!$C$12,12,31),Summary!$C$15))*('Dvd Calendar'!$F$1150&lt;=Summary!$C$11)=0,"",'Dvd Calendar'!$F$1150*1000000000+ISNUMBER('Dvd Calendar'!$F$1151)*100000000+('Dvd Calendar'!$F$1155='Field Check'!$C$25)*10000000+(N('Dvd Calendar'!$F$1149)&gt;0)*1000000+77*1000+2))</f>
        <v/>
      </c>
      <c r="E85" s="41">
        <f>IF(N('Dvd Calendar'!$G$1150)=0,"",IF(('Dvd Calendar'!$G$1150&gt;=MIN(DATE(Summary!$C$12,1,1),Summary!$C$11))*('Dvd Calendar'!$G$1150&lt;=MAX(DATE(Summary!$C$12,12,31),Summary!$C$15))*('Dvd Calendar'!$G$1150&lt;=Summary!$C$11)=0,"",'Dvd Calendar'!$G$1150*1000000000+ISNUMBER('Dvd Calendar'!$G$1151)*100000000+('Dvd Calendar'!$G$1155='Field Check'!$C$25)*10000000+(N('Dvd Calendar'!$G$1149)&gt;0)*1000000+77*1000+3))</f>
        <v/>
      </c>
      <c r="F85" s="41">
        <f>IF(N('Dvd Calendar'!$H$1150)=0,"",IF(('Dvd Calendar'!$H$1150&gt;=MIN(DATE(Summary!$C$12,1,1),Summary!$C$11))*('Dvd Calendar'!$H$1150&lt;=MAX(DATE(Summary!$C$12,12,31),Summary!$C$15))*('Dvd Calendar'!$H$1150&lt;=Summary!$C$11)=0,"",'Dvd Calendar'!$H$1150*1000000000+ISNUMBER('Dvd Calendar'!$H$1151)*100000000+('Dvd Calendar'!$H$1155='Field Check'!$C$25)*10000000+(N('Dvd Calendar'!$H$1149)&gt;0)*1000000+77*1000+4))</f>
        <v/>
      </c>
      <c r="G85" s="41">
        <f>IF(N('Dvd Calendar'!$I$1150)=0,"",IF(('Dvd Calendar'!$I$1150&gt;=MIN(DATE(Summary!$C$12,1,1),Summary!$C$11))*('Dvd Calendar'!$I$1150&lt;=MAX(DATE(Summary!$C$12,12,31),Summary!$C$15))*('Dvd Calendar'!$I$1150&lt;=Summary!$C$11)=0,"",'Dvd Calendar'!$I$1150*1000000000+ISNUMBER('Dvd Calendar'!$I$1151)*100000000+('Dvd Calendar'!$I$1155='Field Check'!$C$25)*10000000+(N('Dvd Calendar'!$I$1149)&gt;0)*1000000+77*1000+5))</f>
        <v/>
      </c>
      <c r="H85" s="41">
        <f>IF(N('Dvd Calendar'!$J$1150)=0,"",IF(('Dvd Calendar'!$J$1150&gt;=MIN(DATE(Summary!$C$12,1,1),Summary!$C$11))*('Dvd Calendar'!$J$1150&lt;=MAX(DATE(Summary!$C$12,12,31),Summary!$C$15))*('Dvd Calendar'!$J$1150&lt;=Summary!$C$11)=0,"",'Dvd Calendar'!$J$1150*1000000000+ISNUMBER('Dvd Calendar'!$J$1151)*100000000+('Dvd Calendar'!$J$1155='Field Check'!$C$25)*10000000+(N('Dvd Calendar'!$J$1149)&gt;0)*1000000+77*1000+6))</f>
        <v/>
      </c>
      <c r="I85" s="41">
        <f>IF(N('Dvd Calendar'!$K$1150)=0,"",IF(('Dvd Calendar'!$K$1150&gt;=MIN(DATE(Summary!$C$12,1,1),Summary!$C$11))*('Dvd Calendar'!$K$1150&lt;=MAX(DATE(Summary!$C$12,12,31),Summary!$C$15))*('Dvd Calendar'!$K$1150&lt;=Summary!$C$11)=0,"",'Dvd Calendar'!$K$1150*1000000000+ISNUMBER('Dvd Calendar'!$K$1151)*100000000+('Dvd Calendar'!$K$1155='Field Check'!$C$25)*10000000+(N('Dvd Calendar'!$K$1149)&gt;0)*1000000+77*1000+7))</f>
        <v/>
      </c>
      <c r="J85" s="41">
        <f>IF(N('Dvd Calendar'!$L$1150)=0,"",IF(('Dvd Calendar'!$L$1150&gt;=MIN(DATE(Summary!$C$12,1,1),Summary!$C$11))*('Dvd Calendar'!$L$1150&lt;=MAX(DATE(Summary!$C$12,12,31),Summary!$C$15))*('Dvd Calendar'!$L$1150&lt;=Summary!$C$11)=0,"",'Dvd Calendar'!$L$1150*1000000000+ISNUMBER('Dvd Calendar'!$L$1151)*100000000+('Dvd Calendar'!$L$1155='Field Check'!$C$25)*10000000+(N('Dvd Calendar'!$L$1149)&gt;0)*1000000+77*1000+8))</f>
        <v/>
      </c>
      <c r="K85" s="41">
        <f>IF(N('Dvd Calendar'!$M$1150)=0,"",IF(('Dvd Calendar'!$M$1150&gt;=MIN(DATE(Summary!$C$12,1,1),Summary!$C$11))*('Dvd Calendar'!$M$1150&lt;=MAX(DATE(Summary!$C$12,12,31),Summary!$C$15))*('Dvd Calendar'!$M$1150&lt;=Summary!$C$11)=0,"",'Dvd Calendar'!$M$1150*1000000000+ISNUMBER('Dvd Calendar'!$M$1151)*100000000+('Dvd Calendar'!$M$1155='Field Check'!$C$25)*10000000+(N('Dvd Calendar'!$M$1149)&gt;0)*1000000+77*1000+9))</f>
        <v/>
      </c>
      <c r="L85" s="41">
        <f>IF(N('Dvd Calendar'!$N$1150)=0,"",IF(('Dvd Calendar'!$N$1150&gt;=MIN(DATE(Summary!$C$12,1,1),Summary!$C$11))*('Dvd Calendar'!$N$1150&lt;=MAX(DATE(Summary!$C$12,12,31),Summary!$C$15))*('Dvd Calendar'!$N$1150&lt;=Summary!$C$11)=0,"",'Dvd Calendar'!$N$1150*1000000000+ISNUMBER('Dvd Calendar'!$N$1151)*100000000+('Dvd Calendar'!$N$1155='Field Check'!$C$25)*10000000+(N('Dvd Calendar'!$N$1149)&gt;0)*1000000+77*1000+10))</f>
        <v/>
      </c>
      <c r="M85" s="41">
        <f>IF(N('Dvd Calendar'!$O$1150)=0,"",IF(('Dvd Calendar'!$O$1150&gt;=MIN(DATE(Summary!$C$12,1,1),Summary!$C$11))*('Dvd Calendar'!$O$1150&lt;=MAX(DATE(Summary!$C$12,12,31),Summary!$C$15))*('Dvd Calendar'!$O$1150&lt;=Summary!$C$11)=0,"",'Dvd Calendar'!$O$1150*1000000000+ISNUMBER('Dvd Calendar'!$O$1151)*100000000+('Dvd Calendar'!$O$1155='Field Check'!$C$25)*10000000+(N('Dvd Calendar'!$O$1149)&gt;0)*1000000+77*1000+11))</f>
        <v/>
      </c>
      <c r="N85" s="41">
        <f>IF(N('Dvd Calendar'!$P$1150)=0,"",IF(('Dvd Calendar'!$P$1150&gt;=MIN(DATE(Summary!$C$12,1,1),Summary!$C$11))*('Dvd Calendar'!$P$1150&lt;=MAX(DATE(Summary!$C$12,12,31),Summary!$C$15))*('Dvd Calendar'!$P$1150&lt;=Summary!$C$11)=0,"",'Dvd Calendar'!$P$1150*1000000000+ISNUMBER('Dvd Calendar'!$P$1151)*100000000+('Dvd Calendar'!$P$1155='Field Check'!$C$25)*10000000+(N('Dvd Calendar'!$P$1149)&gt;0)*1000000+77*1000+12))</f>
        <v/>
      </c>
      <c r="O85" s="41">
        <f>IF(N('Dvd Calendar'!$Q$1150)=0,"",IF(('Dvd Calendar'!$Q$1150&gt;=MIN(DATE(Summary!$C$12,1,1),Summary!$C$11))*('Dvd Calendar'!$Q$1150&lt;=MAX(DATE(Summary!$C$12,12,31),Summary!$C$15))*('Dvd Calendar'!$Q$1150&lt;=Summary!$C$11)=0,"",'Dvd Calendar'!$Q$1150*1000000000+ISNUMBER('Dvd Calendar'!$Q$1151)*100000000+('Dvd Calendar'!$Q$1155='Field Check'!$C$25)*10000000+(N('Dvd Calendar'!$Q$1149)&gt;0)*1000000+77*1000+13))</f>
        <v/>
      </c>
      <c r="P85" s="41">
        <f>IF(N('Dvd Calendar'!$R$1150)=0,"",IF(('Dvd Calendar'!$R$1150&gt;=MIN(DATE(Summary!$C$12,1,1),Summary!$C$11))*('Dvd Calendar'!$R$1150&lt;=MAX(DATE(Summary!$C$12,12,31),Summary!$C$15))*('Dvd Calendar'!$R$1150&lt;=Summary!$C$11)=0,"",'Dvd Calendar'!$R$1150*1000000000+ISNUMBER('Dvd Calendar'!$R$1151)*100000000+('Dvd Calendar'!$R$1155='Field Check'!$C$25)*10000000+(N('Dvd Calendar'!$R$1149)&gt;0)*1000000+77*1000+14))</f>
        <v/>
      </c>
      <c r="Q85" s="41">
        <f>IF(N('Dvd Calendar'!$S$1150)=0,"",IF(('Dvd Calendar'!$S$1150&gt;=MIN(DATE(Summary!$C$12,1,1),Summary!$C$11))*('Dvd Calendar'!$S$1150&lt;=MAX(DATE(Summary!$C$12,12,31),Summary!$C$15))*('Dvd Calendar'!$S$1150&lt;=Summary!$C$11)=0,"",'Dvd Calendar'!$S$1150*1000000000+ISNUMBER('Dvd Calendar'!$S$1151)*100000000+('Dvd Calendar'!$S$1155='Field Check'!$C$25)*10000000+(N('Dvd Calendar'!$S$1149)&gt;0)*1000000+77*1000+15))</f>
        <v/>
      </c>
      <c r="R85" s="41">
        <f>IF(N('Dvd Calendar'!$T$1150)=0,"",IF(('Dvd Calendar'!$T$1150&gt;=MIN(DATE(Summary!$C$12,1,1),Summary!$C$11))*('Dvd Calendar'!$T$1150&lt;=MAX(DATE(Summary!$C$12,12,31),Summary!$C$15))*('Dvd Calendar'!$T$1150&lt;=Summary!$C$11)=0,"",'Dvd Calendar'!$T$1150*1000000000+ISNUMBER('Dvd Calendar'!$T$1151)*100000000+('Dvd Calendar'!$T$1155='Field Check'!$C$25)*10000000+(N('Dvd Calendar'!$T$1149)&gt;0)*1000000+77*1000+16))</f>
        <v/>
      </c>
      <c r="S85" s="41">
        <f>IF(N('Dvd Calendar'!$U$1150)=0,"",IF(('Dvd Calendar'!$U$1150&gt;=MIN(DATE(Summary!$C$12,1,1),Summary!$C$11))*('Dvd Calendar'!$U$1150&lt;=MAX(DATE(Summary!$C$12,12,31),Summary!$C$15))*('Dvd Calendar'!$U$1150&lt;=Summary!$C$11)=0,"",'Dvd Calendar'!$U$1150*1000000000+ISNUMBER('Dvd Calendar'!$U$1151)*100000000+('Dvd Calendar'!$U$1155='Field Check'!$C$25)*10000000+(N('Dvd Calendar'!$U$1149)&gt;0)*1000000+77*1000+17))</f>
        <v/>
      </c>
      <c r="T85" s="41">
        <f>IF(N('Dvd Calendar'!$V$1150)=0,"",IF(('Dvd Calendar'!$V$1150&gt;=MIN(DATE(Summary!$C$12,1,1),Summary!$C$11))*('Dvd Calendar'!$V$1150&lt;=MAX(DATE(Summary!$C$12,12,31),Summary!$C$15))*('Dvd Calendar'!$V$1150&lt;=Summary!$C$11)=0,"",'Dvd Calendar'!$V$1150*1000000000+ISNUMBER('Dvd Calendar'!$V$1151)*100000000+('Dvd Calendar'!$V$1155='Field Check'!$C$25)*10000000+(N('Dvd Calendar'!$V$1149)&gt;0)*1000000+77*1000+18))</f>
        <v/>
      </c>
      <c r="U85" s="41">
        <f>IF(N('Dvd Calendar'!$W$1150)=0,"",IF(('Dvd Calendar'!$W$1150&gt;=MIN(DATE(Summary!$C$12,1,1),Summary!$C$11))*('Dvd Calendar'!$W$1150&lt;=MAX(DATE(Summary!$C$12,12,31),Summary!$C$15))*('Dvd Calendar'!$W$1150&lt;=Summary!$C$11)=0,"",'Dvd Calendar'!$W$1150*1000000000+ISNUMBER('Dvd Calendar'!$W$1151)*100000000+('Dvd Calendar'!$W$1155='Field Check'!$C$25)*10000000+(N('Dvd Calendar'!$W$1149)&gt;0)*1000000+77*1000+19))</f>
        <v/>
      </c>
      <c r="V85" s="41">
        <f>IF(N('Dvd Calendar'!$X$1150)=0,"",IF(('Dvd Calendar'!$X$1150&gt;=MIN(DATE(Summary!$C$12,1,1),Summary!$C$11))*('Dvd Calendar'!$X$1150&lt;=MAX(DATE(Summary!$C$12,12,31),Summary!$C$15))*('Dvd Calendar'!$X$1150&lt;=Summary!$C$11)=0,"",'Dvd Calendar'!$X$1150*1000000000+ISNUMBER('Dvd Calendar'!$X$1151)*100000000+('Dvd Calendar'!$X$1155='Field Check'!$C$25)*10000000+(N('Dvd Calendar'!$X$1149)&gt;0)*1000000+77*1000+20))</f>
        <v/>
      </c>
      <c r="W85" s="41">
        <f>IF(N('Dvd Calendar'!$Y$1150)=0,"",IF(('Dvd Calendar'!$Y$1150&gt;=MIN(DATE(Summary!$C$12,1,1),Summary!$C$11))*('Dvd Calendar'!$Y$1150&lt;=MAX(DATE(Summary!$C$12,12,31),Summary!$C$15))*('Dvd Calendar'!$Y$1150&lt;=Summary!$C$11)=0,"",'Dvd Calendar'!$Y$1150*1000000000+ISNUMBER('Dvd Calendar'!$Y$1151)*100000000+('Dvd Calendar'!$Y$1155='Field Check'!$C$25)*10000000+(N('Dvd Calendar'!$Y$1149)&gt;0)*1000000+77*1000+21))</f>
        <v/>
      </c>
      <c r="X85" s="41">
        <f>IF(N('Dvd Calendar'!$Z$1150)=0,"",IF(('Dvd Calendar'!$Z$1150&gt;=MIN(DATE(Summary!$C$12,1,1),Summary!$C$11))*('Dvd Calendar'!$Z$1150&lt;=MAX(DATE(Summary!$C$12,12,31),Summary!$C$15))*('Dvd Calendar'!$Z$1150&lt;=Summary!$C$11)=0,"",'Dvd Calendar'!$Z$1150*1000000000+ISNUMBER('Dvd Calendar'!$Z$1151)*100000000+('Dvd Calendar'!$Z$1155='Field Check'!$C$25)*10000000+(N('Dvd Calendar'!$Z$1149)&gt;0)*1000000+77*1000+22))</f>
        <v/>
      </c>
      <c r="Y85" s="41">
        <f>IF(N('Dvd Calendar'!$AA$1150)=0,"",IF(('Dvd Calendar'!$AA$1150&gt;=MIN(DATE(Summary!$C$12,1,1),Summary!$C$11))*('Dvd Calendar'!$AA$1150&lt;=MAX(DATE(Summary!$C$12,12,31),Summary!$C$15))*('Dvd Calendar'!$AA$1150&lt;=Summary!$C$11)=0,"",'Dvd Calendar'!$AA$1150*1000000000+ISNUMBER('Dvd Calendar'!$AA$1151)*100000000+('Dvd Calendar'!$AA$1155='Field Check'!$C$25)*10000000+(N('Dvd Calendar'!$AA$1149)&gt;0)*1000000+77*1000+23))</f>
        <v/>
      </c>
      <c r="Z85" s="41">
        <f>IF(N('Dvd Calendar'!$AB$1150)=0,"",IF(('Dvd Calendar'!$AB$1150&gt;=MIN(DATE(Summary!$C$12,1,1),Summary!$C$11))*('Dvd Calendar'!$AB$1150&lt;=MAX(DATE(Summary!$C$12,12,31),Summary!$C$15))*('Dvd Calendar'!$AB$1150&lt;=Summary!$C$11)=0,"",'Dvd Calendar'!$AB$1150*1000000000+ISNUMBER('Dvd Calendar'!$AB$1151)*100000000+('Dvd Calendar'!$AB$1155='Field Check'!$C$25)*10000000+(N('Dvd Calendar'!$AB$1149)&gt;0)*1000000+77*1000+24))</f>
        <v/>
      </c>
      <c r="AA85" s="41">
        <f>IF(N('Dvd Calendar'!$AC$1150)=0,"",IF(('Dvd Calendar'!$AC$1150&gt;=MIN(DATE(Summary!$C$12,1,1),Summary!$C$11))*('Dvd Calendar'!$AC$1150&lt;=MAX(DATE(Summary!$C$12,12,31),Summary!$C$15))*('Dvd Calendar'!$AC$1150&lt;=Summary!$C$11)=0,"",'Dvd Calendar'!$AC$1150*1000000000+ISNUMBER('Dvd Calendar'!$AC$1151)*100000000+('Dvd Calendar'!$AC$1155='Field Check'!$C$25)*10000000+(N('Dvd Calendar'!$AC$1149)&gt;0)*1000000+77*1000+25))</f>
        <v/>
      </c>
      <c r="AB85" s="41">
        <f>IF(N('Dvd Calendar'!$AD$1150)=0,"",IF(('Dvd Calendar'!$AD$1150&gt;=MIN(DATE(Summary!$C$12,1,1),Summary!$C$11))*('Dvd Calendar'!$AD$1150&lt;=MAX(DATE(Summary!$C$12,12,31),Summary!$C$15))*('Dvd Calendar'!$AD$1150&lt;=Summary!$C$11)=0,"",'Dvd Calendar'!$AD$1150*1000000000+ISNUMBER('Dvd Calendar'!$AD$1151)*100000000+('Dvd Calendar'!$AD$1155='Field Check'!$C$25)*10000000+(N('Dvd Calendar'!$AD$1149)&gt;0)*1000000+77*1000+26))</f>
        <v/>
      </c>
      <c r="AC85" s="41">
        <f>IF(N('Dvd Calendar'!$AE$1150)=0,"",IF(('Dvd Calendar'!$AE$1150&gt;=MIN(DATE(Summary!$C$12,1,1),Summary!$C$11))*('Dvd Calendar'!$AE$1150&lt;=MAX(DATE(Summary!$C$12,12,31),Summary!$C$15))*('Dvd Calendar'!$AE$1150&lt;=Summary!$C$11)=0,"",'Dvd Calendar'!$AE$1150*1000000000+ISNUMBER('Dvd Calendar'!$AE$1151)*100000000+('Dvd Calendar'!$AE$1155='Field Check'!$C$25)*10000000+(N('Dvd Calendar'!$AE$1149)&gt;0)*1000000+77*1000+27))</f>
        <v/>
      </c>
      <c r="AD85" s="41">
        <f>IF(N('Dvd Calendar'!$AF$1150)=0,"",IF(('Dvd Calendar'!$AF$1150&gt;=MIN(DATE(Summary!$C$12,1,1),Summary!$C$11))*('Dvd Calendar'!$AF$1150&lt;=MAX(DATE(Summary!$C$12,12,31),Summary!$C$15))*('Dvd Calendar'!$AF$1150&lt;=Summary!$C$11)=0,"",'Dvd Calendar'!$AF$1150*1000000000+ISNUMBER('Dvd Calendar'!$AF$1151)*100000000+('Dvd Calendar'!$AF$1155='Field Check'!$C$25)*10000000+(N('Dvd Calendar'!$AF$1149)&gt;0)*1000000+77*1000+28))</f>
        <v/>
      </c>
      <c r="AE85" s="41">
        <f>IF(N('Dvd Calendar'!$AG$1150)=0,"",IF(('Dvd Calendar'!$AG$1150&gt;=MIN(DATE(Summary!$C$12,1,1),Summary!$C$11))*('Dvd Calendar'!$AG$1150&lt;=MAX(DATE(Summary!$C$12,12,31),Summary!$C$15))*('Dvd Calendar'!$AG$1150&lt;=Summary!$C$11)=0,"",'Dvd Calendar'!$AG$1150*1000000000+ISNUMBER('Dvd Calendar'!$AG$1151)*100000000+('Dvd Calendar'!$AG$1155='Field Check'!$C$25)*10000000+(N('Dvd Calendar'!$AG$1149)&gt;0)*1000000+77*1000+29))</f>
        <v/>
      </c>
      <c r="AF85" s="41">
        <f>IF(N('Dvd Calendar'!$AH$1150)=0,"",IF(('Dvd Calendar'!$AH$1150&gt;=MIN(DATE(Summary!$C$12,1,1),Summary!$C$11))*('Dvd Calendar'!$AH$1150&lt;=MAX(DATE(Summary!$C$12,12,31),Summary!$C$15))*('Dvd Calendar'!$AH$1150&lt;=Summary!$C$11)=0,"",'Dvd Calendar'!$AH$1150*1000000000+ISNUMBER('Dvd Calendar'!$AH$1151)*100000000+('Dvd Calendar'!$AH$1155='Field Check'!$C$25)*10000000+(N('Dvd Calendar'!$AH$1149)&gt;0)*1000000+77*1000+30))</f>
        <v/>
      </c>
      <c r="AG85" s="41">
        <f>IF(N('Dvd Calendar'!$AI$1150)=0,"",IF(('Dvd Calendar'!$AI$1150&gt;=MIN(DATE(Summary!$C$12,1,1),Summary!$C$11))*('Dvd Calendar'!$AI$1150&lt;=MAX(DATE(Summary!$C$12,12,31),Summary!$C$15))*('Dvd Calendar'!$AI$1150&lt;=Summary!$C$11)=0,"",'Dvd Calendar'!$AI$1150*1000000000+ISNUMBER('Dvd Calendar'!$AI$1151)*100000000+('Dvd Calendar'!$AI$1155='Field Check'!$C$25)*10000000+(N('Dvd Calendar'!$AI$1149)&gt;0)*1000000+77*1000+31))</f>
        <v/>
      </c>
      <c r="AH85" s="41">
        <f>IF(N('Dvd Calendar'!$AJ$1150)=0,"",IF(('Dvd Calendar'!$AJ$1150&gt;=MIN(DATE(Summary!$C$12,1,1),Summary!$C$11))*('Dvd Calendar'!$AJ$1150&lt;=MAX(DATE(Summary!$C$12,12,31),Summary!$C$15))*('Dvd Calendar'!$AJ$1150&lt;=Summary!$C$11)=0,"",'Dvd Calendar'!$AJ$1150*1000000000+ISNUMBER('Dvd Calendar'!$AJ$1151)*100000000+('Dvd Calendar'!$AJ$1155='Field Check'!$C$25)*10000000+(N('Dvd Calendar'!$AJ$1149)&gt;0)*1000000+77*1000+32))</f>
        <v/>
      </c>
      <c r="AI85" s="41">
        <f>IF(N('Dvd Calendar'!$AK$1150)=0,"",IF(('Dvd Calendar'!$AK$1150&gt;=MIN(DATE(Summary!$C$12,1,1),Summary!$C$11))*('Dvd Calendar'!$AK$1150&lt;=MAX(DATE(Summary!$C$12,12,31),Summary!$C$15))*('Dvd Calendar'!$AK$1150&lt;=Summary!$C$11)=0,"",'Dvd Calendar'!$AK$1150*1000000000+ISNUMBER('Dvd Calendar'!$AK$1151)*100000000+('Dvd Calendar'!$AK$1155='Field Check'!$C$25)*10000000+(N('Dvd Calendar'!$AK$1149)&gt;0)*1000000+77*1000+33))</f>
        <v/>
      </c>
      <c r="AJ85" s="41">
        <f>IF(N('Dvd Calendar'!$AL$1150)=0,"",IF(('Dvd Calendar'!$AL$1150&gt;=MIN(DATE(Summary!$C$12,1,1),Summary!$C$11))*('Dvd Calendar'!$AL$1150&lt;=MAX(DATE(Summary!$C$12,12,31),Summary!$C$15))*('Dvd Calendar'!$AL$1150&lt;=Summary!$C$11)=0,"",'Dvd Calendar'!$AL$1150*1000000000+ISNUMBER('Dvd Calendar'!$AL$1151)*100000000+('Dvd Calendar'!$AL$1155='Field Check'!$C$25)*10000000+(N('Dvd Calendar'!$AL$1149)&gt;0)*1000000+77*1000+34))</f>
        <v/>
      </c>
      <c r="AK85" s="41">
        <f>IF(N('Dvd Calendar'!$AM$1150)=0,"",IF(('Dvd Calendar'!$AM$1150&gt;=MIN(DATE(Summary!$C$12,1,1),Summary!$C$11))*('Dvd Calendar'!$AM$1150&lt;=MAX(DATE(Summary!$C$12,12,31),Summary!$C$15))*('Dvd Calendar'!$AM$1150&lt;=Summary!$C$11)=0,"",'Dvd Calendar'!$AM$1150*1000000000+ISNUMBER('Dvd Calendar'!$AM$1151)*100000000+('Dvd Calendar'!$AM$1155='Field Check'!$C$25)*10000000+(N('Dvd Calendar'!$AM$1149)&gt;0)*1000000+77*1000+35))</f>
        <v/>
      </c>
      <c r="AL85" s="41">
        <f>IF(N('Dvd Calendar'!$AN$1150)=0,"",IF(('Dvd Calendar'!$AN$1150&gt;=MIN(DATE(Summary!$C$12,1,1),Summary!$C$11))*('Dvd Calendar'!$AN$1150&lt;=MAX(DATE(Summary!$C$12,12,31),Summary!$C$15))*('Dvd Calendar'!$AN$1150&lt;=Summary!$C$11)=0,"",'Dvd Calendar'!$AN$1150*1000000000+ISNUMBER('Dvd Calendar'!$AN$1151)*100000000+('Dvd Calendar'!$AN$1155='Field Check'!$C$25)*10000000+(N('Dvd Calendar'!$AN$1149)&gt;0)*1000000+77*1000+36))</f>
        <v/>
      </c>
      <c r="AM85" s="41">
        <f>IF(N('Dvd Calendar'!$AO$1150)=0,"",IF(('Dvd Calendar'!$AO$1150&gt;=MIN(DATE(Summary!$C$12,1,1),Summary!$C$11))*('Dvd Calendar'!$AO$1150&lt;=MAX(DATE(Summary!$C$12,12,31),Summary!$C$15))*('Dvd Calendar'!$AO$1150&lt;=Summary!$C$11)=0,"",'Dvd Calendar'!$AO$1150*1000000000+ISNUMBER('Dvd Calendar'!$AO$1151)*100000000+('Dvd Calendar'!$AO$1155='Field Check'!$C$25)*10000000+(N('Dvd Calendar'!$AO$1149)&gt;0)*1000000+77*1000+37))</f>
        <v/>
      </c>
      <c r="AN85" s="41">
        <f>IF(N('Dvd Calendar'!$AP$1150)=0,"",IF(('Dvd Calendar'!$AP$1150&gt;=MIN(DATE(Summary!$C$12,1,1),Summary!$C$11))*('Dvd Calendar'!$AP$1150&lt;=MAX(DATE(Summary!$C$12,12,31),Summary!$C$15))*('Dvd Calendar'!$AP$1150&lt;=Summary!$C$11)=0,"",'Dvd Calendar'!$AP$1150*1000000000+ISNUMBER('Dvd Calendar'!$AP$1151)*100000000+('Dvd Calendar'!$AP$1155='Field Check'!$C$25)*10000000+(N('Dvd Calendar'!$AP$1149)&gt;0)*1000000+77*1000+38))</f>
        <v/>
      </c>
      <c r="AO85" s="41">
        <f>IF(N('Dvd Calendar'!$AQ$1150)=0,"",IF(('Dvd Calendar'!$AQ$1150&gt;=MIN(DATE(Summary!$C$12,1,1),Summary!$C$11))*('Dvd Calendar'!$AQ$1150&lt;=MAX(DATE(Summary!$C$12,12,31),Summary!$C$15))*('Dvd Calendar'!$AQ$1150&lt;=Summary!$C$11)=0,"",'Dvd Calendar'!$AQ$1150*1000000000+ISNUMBER('Dvd Calendar'!$AQ$1151)*100000000+('Dvd Calendar'!$AQ$1155='Field Check'!$C$25)*10000000+(N('Dvd Calendar'!$AQ$1149)&gt;0)*1000000+77*1000+39))</f>
        <v/>
      </c>
      <c r="AP85" s="41">
        <f>IF(N('Dvd Calendar'!$AR$1150)=0,"",IF(('Dvd Calendar'!$AR$1150&gt;=MIN(DATE(Summary!$C$12,1,1),Summary!$C$11))*('Dvd Calendar'!$AR$1150&lt;=MAX(DATE(Summary!$C$12,12,31),Summary!$C$15))*('Dvd Calendar'!$AR$1150&lt;=Summary!$C$11)=0,"",'Dvd Calendar'!$AR$1150*1000000000+ISNUMBER('Dvd Calendar'!$AR$1151)*100000000+('Dvd Calendar'!$AR$1155='Field Check'!$C$25)*10000000+(N('Dvd Calendar'!$AR$1149)&gt;0)*1000000+77*1000+40))</f>
        <v/>
      </c>
      <c r="AQ85" s="41">
        <f>IF(N('Dvd Calendar'!$E$1157)=0,"",IF(('Dvd Calendar'!$E$1157&gt;=MIN(DATE(Summary!$C$12,1,1),Summary!$C$11))*('Dvd Calendar'!$E$1157&lt;=MAX(DATE(Summary!$C$12,12,31),Summary!$C$15))*('Dvd Calendar'!$E$1157&gt;Summary!$C$11)=0,"",'Dvd Calendar'!$E$1157*1000000000+ISNUMBER('Dvd Calendar'!$E$1158)*100000000+('Dvd Calendar'!$E$1162='Field Check'!$C$25)*10000000+(N('Dvd Calendar'!$E$1156)&gt;0)*1000000+77*1000+41))</f>
        <v/>
      </c>
      <c r="AR85" s="41">
        <f>IF(N('Dvd Calendar'!$F$1157)=0,"",IF(('Dvd Calendar'!$F$1157&gt;=MIN(DATE(Summary!$C$12,1,1),Summary!$C$11))*('Dvd Calendar'!$F$1157&lt;=MAX(DATE(Summary!$C$12,12,31),Summary!$C$15))*('Dvd Calendar'!$F$1157&gt;Summary!$C$11)=0,"",'Dvd Calendar'!$F$1157*1000000000+ISNUMBER('Dvd Calendar'!$F$1158)*100000000+('Dvd Calendar'!$F$1162='Field Check'!$C$25)*10000000+(N('Dvd Calendar'!$F$1156)&gt;0)*1000000+77*1000+42))</f>
        <v/>
      </c>
      <c r="AS85" s="41">
        <f>IF(N('Dvd Calendar'!$G$1157)=0,"",IF(('Dvd Calendar'!$G$1157&gt;=MIN(DATE(Summary!$C$12,1,1),Summary!$C$11))*('Dvd Calendar'!$G$1157&lt;=MAX(DATE(Summary!$C$12,12,31),Summary!$C$15))*('Dvd Calendar'!$G$1157&gt;Summary!$C$11)=0,"",'Dvd Calendar'!$G$1157*1000000000+ISNUMBER('Dvd Calendar'!$G$1158)*100000000+('Dvd Calendar'!$G$1162='Field Check'!$C$25)*10000000+(N('Dvd Calendar'!$G$1156)&gt;0)*1000000+77*1000+43))</f>
        <v/>
      </c>
      <c r="AT85" s="41">
        <f>IF(N('Dvd Calendar'!$H$1157)=0,"",IF(('Dvd Calendar'!$H$1157&gt;=MIN(DATE(Summary!$C$12,1,1),Summary!$C$11))*('Dvd Calendar'!$H$1157&lt;=MAX(DATE(Summary!$C$12,12,31),Summary!$C$15))*('Dvd Calendar'!$H$1157&gt;Summary!$C$11)=0,"",'Dvd Calendar'!$H$1157*1000000000+ISNUMBER('Dvd Calendar'!$H$1158)*100000000+('Dvd Calendar'!$H$1162='Field Check'!$C$25)*10000000+(N('Dvd Calendar'!$H$1156)&gt;0)*1000000+77*1000+44))</f>
        <v/>
      </c>
      <c r="AU85" s="41">
        <f>IF(N('Dvd Calendar'!$I$1157)=0,"",IF(('Dvd Calendar'!$I$1157&gt;=MIN(DATE(Summary!$C$12,1,1),Summary!$C$11))*('Dvd Calendar'!$I$1157&lt;=MAX(DATE(Summary!$C$12,12,31),Summary!$C$15))*('Dvd Calendar'!$I$1157&gt;Summary!$C$11)=0,"",'Dvd Calendar'!$I$1157*1000000000+ISNUMBER('Dvd Calendar'!$I$1158)*100000000+('Dvd Calendar'!$I$1162='Field Check'!$C$25)*10000000+(N('Dvd Calendar'!$I$1156)&gt;0)*1000000+77*1000+45))</f>
        <v/>
      </c>
      <c r="AV85" s="41">
        <f>IF(N('Dvd Calendar'!$J$1157)=0,"",IF(('Dvd Calendar'!$J$1157&gt;=MIN(DATE(Summary!$C$12,1,1),Summary!$C$11))*('Dvd Calendar'!$J$1157&lt;=MAX(DATE(Summary!$C$12,12,31),Summary!$C$15))*('Dvd Calendar'!$J$1157&gt;Summary!$C$11)=0,"",'Dvd Calendar'!$J$1157*1000000000+ISNUMBER('Dvd Calendar'!$J$1158)*100000000+('Dvd Calendar'!$J$1162='Field Check'!$C$25)*10000000+(N('Dvd Calendar'!$J$1156)&gt;0)*1000000+77*1000+46))</f>
        <v/>
      </c>
      <c r="AW85" s="41">
        <f>IF(N('Dvd Calendar'!$K$1157)=0,"",IF(('Dvd Calendar'!$K$1157&gt;=MIN(DATE(Summary!$C$12,1,1),Summary!$C$11))*('Dvd Calendar'!$K$1157&lt;=MAX(DATE(Summary!$C$12,12,31),Summary!$C$15))*('Dvd Calendar'!$K$1157&gt;Summary!$C$11)=0,"",'Dvd Calendar'!$K$1157*1000000000+ISNUMBER('Dvd Calendar'!$K$1158)*100000000+('Dvd Calendar'!$K$1162='Field Check'!$C$25)*10000000+(N('Dvd Calendar'!$K$1156)&gt;0)*1000000+77*1000+47))</f>
        <v/>
      </c>
      <c r="AX85" s="41">
        <f>IF(N('Dvd Calendar'!$L$1157)=0,"",IF(('Dvd Calendar'!$L$1157&gt;=MIN(DATE(Summary!$C$12,1,1),Summary!$C$11))*('Dvd Calendar'!$L$1157&lt;=MAX(DATE(Summary!$C$12,12,31),Summary!$C$15))*('Dvd Calendar'!$L$1157&gt;Summary!$C$11)=0,"",'Dvd Calendar'!$L$1157*1000000000+ISNUMBER('Dvd Calendar'!$L$1158)*100000000+('Dvd Calendar'!$L$1162='Field Check'!$C$25)*10000000+(N('Dvd Calendar'!$L$1156)&gt;0)*1000000+77*1000+48))</f>
        <v/>
      </c>
      <c r="AY85" s="41">
        <f>IF(N('Dvd Calendar'!$M$1157)=0,"",IF(('Dvd Calendar'!$M$1157&gt;=MIN(DATE(Summary!$C$12,1,1),Summary!$C$11))*('Dvd Calendar'!$M$1157&lt;=MAX(DATE(Summary!$C$12,12,31),Summary!$C$15))*('Dvd Calendar'!$M$1157&gt;Summary!$C$11)=0,"",'Dvd Calendar'!$M$1157*1000000000+ISNUMBER('Dvd Calendar'!$M$1158)*100000000+('Dvd Calendar'!$M$1162='Field Check'!$C$25)*10000000+(N('Dvd Calendar'!$M$1156)&gt;0)*1000000+77*1000+49))</f>
        <v/>
      </c>
      <c r="AZ85" s="41">
        <f>IF(N('Dvd Calendar'!$N$1157)=0,"",IF(('Dvd Calendar'!$N$1157&gt;=MIN(DATE(Summary!$C$12,1,1),Summary!$C$11))*('Dvd Calendar'!$N$1157&lt;=MAX(DATE(Summary!$C$12,12,31),Summary!$C$15))*('Dvd Calendar'!$N$1157&gt;Summary!$C$11)=0,"",'Dvd Calendar'!$N$1157*1000000000+ISNUMBER('Dvd Calendar'!$N$1158)*100000000+('Dvd Calendar'!$N$1162='Field Check'!$C$25)*10000000+(N('Dvd Calendar'!$N$1156)&gt;0)*1000000+77*1000+50))</f>
        <v/>
      </c>
      <c r="BA85" s="41">
        <f>IF(N('Dvd Calendar'!$O$1157)=0,"",IF(('Dvd Calendar'!$O$1157&gt;=MIN(DATE(Summary!$C$12,1,1),Summary!$C$11))*('Dvd Calendar'!$O$1157&lt;=MAX(DATE(Summary!$C$12,12,31),Summary!$C$15))*('Dvd Calendar'!$O$1157&gt;Summary!$C$11)=0,"",'Dvd Calendar'!$O$1157*1000000000+ISNUMBER('Dvd Calendar'!$O$1158)*100000000+('Dvd Calendar'!$O$1162='Field Check'!$C$25)*10000000+(N('Dvd Calendar'!$O$1156)&gt;0)*1000000+77*1000+51))</f>
        <v/>
      </c>
      <c r="BB85" s="41">
        <f>IF(N('Dvd Calendar'!$P$1157)=0,"",IF(('Dvd Calendar'!$P$1157&gt;=MIN(DATE(Summary!$C$12,1,1),Summary!$C$11))*('Dvd Calendar'!$P$1157&lt;=MAX(DATE(Summary!$C$12,12,31),Summary!$C$15))*('Dvd Calendar'!$P$1157&gt;Summary!$C$11)=0,"",'Dvd Calendar'!$P$1157*1000000000+ISNUMBER('Dvd Calendar'!$P$1158)*100000000+('Dvd Calendar'!$P$1162='Field Check'!$C$25)*10000000+(N('Dvd Calendar'!$P$1156)&gt;0)*1000000+77*1000+52))</f>
        <v/>
      </c>
      <c r="BC85" s="41">
        <f>IF(N('Dvd Calendar'!$Q$1157)=0,"",IF(('Dvd Calendar'!$Q$1157&gt;=MIN(DATE(Summary!$C$12,1,1),Summary!$C$11))*('Dvd Calendar'!$Q$1157&lt;=MAX(DATE(Summary!$C$12,12,31),Summary!$C$15))*('Dvd Calendar'!$Q$1157&gt;Summary!$C$11)=0,"",'Dvd Calendar'!$Q$1157*1000000000+ISNUMBER('Dvd Calendar'!$Q$1158)*100000000+('Dvd Calendar'!$Q$1162='Field Check'!$C$25)*10000000+(N('Dvd Calendar'!$Q$1156)&gt;0)*1000000+77*1000+53))</f>
        <v/>
      </c>
      <c r="BD85" s="41">
        <f>IF(N('Dvd Calendar'!$R$1157)=0,"",IF(('Dvd Calendar'!$R$1157&gt;=MIN(DATE(Summary!$C$12,1,1),Summary!$C$11))*('Dvd Calendar'!$R$1157&lt;=MAX(DATE(Summary!$C$12,12,31),Summary!$C$15))*('Dvd Calendar'!$R$1157&gt;Summary!$C$11)=0,"",'Dvd Calendar'!$R$1157*1000000000+ISNUMBER('Dvd Calendar'!$R$1158)*100000000+('Dvd Calendar'!$R$1162='Field Check'!$C$25)*10000000+(N('Dvd Calendar'!$R$1156)&gt;0)*1000000+77*1000+54))</f>
        <v/>
      </c>
      <c r="BE85" s="41">
        <f>IF(N('Dvd Calendar'!$S$1157)=0,"",IF(('Dvd Calendar'!$S$1157&gt;=MIN(DATE(Summary!$C$12,1,1),Summary!$C$11))*('Dvd Calendar'!$S$1157&lt;=MAX(DATE(Summary!$C$12,12,31),Summary!$C$15))*('Dvd Calendar'!$S$1157&gt;Summary!$C$11)=0,"",'Dvd Calendar'!$S$1157*1000000000+ISNUMBER('Dvd Calendar'!$S$1158)*100000000+('Dvd Calendar'!$S$1162='Field Check'!$C$25)*10000000+(N('Dvd Calendar'!$S$1156)&gt;0)*1000000+77*1000+55))</f>
        <v/>
      </c>
      <c r="BF85" s="41">
        <f>IF(N('Dvd Calendar'!$T$1157)=0,"",IF(('Dvd Calendar'!$T$1157&gt;=MIN(DATE(Summary!$C$12,1,1),Summary!$C$11))*('Dvd Calendar'!$T$1157&lt;=MAX(DATE(Summary!$C$12,12,31),Summary!$C$15))*('Dvd Calendar'!$T$1157&gt;Summary!$C$11)=0,"",'Dvd Calendar'!$T$1157*1000000000+ISNUMBER('Dvd Calendar'!$T$1158)*100000000+('Dvd Calendar'!$T$1162='Field Check'!$C$25)*10000000+(N('Dvd Calendar'!$T$1156)&gt;0)*1000000+77*1000+56))</f>
        <v/>
      </c>
      <c r="BG85" s="41">
        <f>IF(N('Dvd Calendar'!$U$1157)=0,"",IF(('Dvd Calendar'!$U$1157&gt;=MIN(DATE(Summary!$C$12,1,1),Summary!$C$11))*('Dvd Calendar'!$U$1157&lt;=MAX(DATE(Summary!$C$12,12,31),Summary!$C$15))*('Dvd Calendar'!$U$1157&gt;Summary!$C$11)=0,"",'Dvd Calendar'!$U$1157*1000000000+ISNUMBER('Dvd Calendar'!$U$1158)*100000000+('Dvd Calendar'!$U$1162='Field Check'!$C$25)*10000000+(N('Dvd Calendar'!$U$1156)&gt;0)*1000000+77*1000+57))</f>
        <v/>
      </c>
      <c r="BH85" s="41">
        <f>IF(N('Dvd Calendar'!$V$1157)=0,"",IF(('Dvd Calendar'!$V$1157&gt;=MIN(DATE(Summary!$C$12,1,1),Summary!$C$11))*('Dvd Calendar'!$V$1157&lt;=MAX(DATE(Summary!$C$12,12,31),Summary!$C$15))*('Dvd Calendar'!$V$1157&gt;Summary!$C$11)=0,"",'Dvd Calendar'!$V$1157*1000000000+ISNUMBER('Dvd Calendar'!$V$1158)*100000000+('Dvd Calendar'!$V$1162='Field Check'!$C$25)*10000000+(N('Dvd Calendar'!$V$1156)&gt;0)*1000000+77*1000+58))</f>
        <v/>
      </c>
      <c r="BI85" s="41">
        <f>IF(N('Dvd Calendar'!$W$1157)=0,"",IF(('Dvd Calendar'!$W$1157&gt;=MIN(DATE(Summary!$C$12,1,1),Summary!$C$11))*('Dvd Calendar'!$W$1157&lt;=MAX(DATE(Summary!$C$12,12,31),Summary!$C$15))*('Dvd Calendar'!$W$1157&gt;Summary!$C$11)=0,"",'Dvd Calendar'!$W$1157*1000000000+ISNUMBER('Dvd Calendar'!$W$1158)*100000000+('Dvd Calendar'!$W$1162='Field Check'!$C$25)*10000000+(N('Dvd Calendar'!$W$1156)&gt;0)*1000000+77*1000+59))</f>
        <v/>
      </c>
      <c r="BJ85" s="41">
        <f>IF(N('Dvd Calendar'!$X$1157)=0,"",IF(('Dvd Calendar'!$X$1157&gt;=MIN(DATE(Summary!$C$12,1,1),Summary!$C$11))*('Dvd Calendar'!$X$1157&lt;=MAX(DATE(Summary!$C$12,12,31),Summary!$C$15))*('Dvd Calendar'!$X$1157&gt;Summary!$C$11)=0,"",'Dvd Calendar'!$X$1157*1000000000+ISNUMBER('Dvd Calendar'!$X$1158)*100000000+('Dvd Calendar'!$X$1162='Field Check'!$C$25)*10000000+(N('Dvd Calendar'!$X$1156)&gt;0)*1000000+77*1000+60))</f>
        <v/>
      </c>
      <c r="BK85" s="41">
        <f>IF(N('Dvd Calendar'!$Y$1157)=0,"",IF(('Dvd Calendar'!$Y$1157&gt;=MIN(DATE(Summary!$C$12,1,1),Summary!$C$11))*('Dvd Calendar'!$Y$1157&lt;=MAX(DATE(Summary!$C$12,12,31),Summary!$C$15))*('Dvd Calendar'!$Y$1157&gt;Summary!$C$11)=0,"",'Dvd Calendar'!$Y$1157*1000000000+ISNUMBER('Dvd Calendar'!$Y$1158)*100000000+('Dvd Calendar'!$Y$1162='Field Check'!$C$25)*10000000+(N('Dvd Calendar'!$Y$1156)&gt;0)*1000000+77*1000+61))</f>
        <v/>
      </c>
      <c r="BL85" s="41">
        <f>IF(N('Dvd Calendar'!$Z$1157)=0,"",IF(('Dvd Calendar'!$Z$1157&gt;=MIN(DATE(Summary!$C$12,1,1),Summary!$C$11))*('Dvd Calendar'!$Z$1157&lt;=MAX(DATE(Summary!$C$12,12,31),Summary!$C$15))*('Dvd Calendar'!$Z$1157&gt;Summary!$C$11)=0,"",'Dvd Calendar'!$Z$1157*1000000000+ISNUMBER('Dvd Calendar'!$Z$1158)*100000000+('Dvd Calendar'!$Z$1162='Field Check'!$C$25)*10000000+(N('Dvd Calendar'!$Z$1156)&gt;0)*1000000+77*1000+62))</f>
        <v/>
      </c>
      <c r="BM85" s="41">
        <f>IF(N('Dvd Calendar'!$AA$1157)=0,"",IF(('Dvd Calendar'!$AA$1157&gt;=MIN(DATE(Summary!$C$12,1,1),Summary!$C$11))*('Dvd Calendar'!$AA$1157&lt;=MAX(DATE(Summary!$C$12,12,31),Summary!$C$15))*('Dvd Calendar'!$AA$1157&gt;Summary!$C$11)=0,"",'Dvd Calendar'!$AA$1157*1000000000+ISNUMBER('Dvd Calendar'!$AA$1158)*100000000+('Dvd Calendar'!$AA$1162='Field Check'!$C$25)*10000000+(N('Dvd Calendar'!$AA$1156)&gt;0)*1000000+77*1000+63))</f>
        <v/>
      </c>
      <c r="BN85" s="41">
        <f>IF(N('Dvd Calendar'!$AB$1157)=0,"",IF(('Dvd Calendar'!$AB$1157&gt;=MIN(DATE(Summary!$C$12,1,1),Summary!$C$11))*('Dvd Calendar'!$AB$1157&lt;=MAX(DATE(Summary!$C$12,12,31),Summary!$C$15))*('Dvd Calendar'!$AB$1157&gt;Summary!$C$11)=0,"",'Dvd Calendar'!$AB$1157*1000000000+ISNUMBER('Dvd Calendar'!$AB$1158)*100000000+('Dvd Calendar'!$AB$1162='Field Check'!$C$25)*10000000+(N('Dvd Calendar'!$AB$1156)&gt;0)*1000000+77*1000+64))</f>
        <v/>
      </c>
      <c r="BO85" s="41">
        <f>IF(N('Dvd Calendar'!$AC$1157)=0,"",IF(('Dvd Calendar'!$AC$1157&gt;=MIN(DATE(Summary!$C$12,1,1),Summary!$C$11))*('Dvd Calendar'!$AC$1157&lt;=MAX(DATE(Summary!$C$12,12,31),Summary!$C$15))*('Dvd Calendar'!$AC$1157&gt;Summary!$C$11)=0,"",'Dvd Calendar'!$AC$1157*1000000000+ISNUMBER('Dvd Calendar'!$AC$1158)*100000000+('Dvd Calendar'!$AC$1162='Field Check'!$C$25)*10000000+(N('Dvd Calendar'!$AC$1156)&gt;0)*1000000+77*1000+65))</f>
        <v/>
      </c>
      <c r="BQ85" s="85">
        <f>IF(C85="","",IF(ISNUMBER('Dvd Calendar'!$E$1151)=FALSE,"",IF((Summary!$C$13="N")*('Dvd Calendar'!$E$1155='Field Check'!$C$25)&gt;0,"",'Dvd Calendar'!$E$1151)))</f>
        <v/>
      </c>
      <c r="BR85" s="85">
        <f>IF(D85="","",IF(ISNUMBER('Dvd Calendar'!$F$1151)=FALSE,"",IF((Summary!$C$13="N")*('Dvd Calendar'!$F$1155='Field Check'!$C$25)&gt;0,"",'Dvd Calendar'!$F$1151)))</f>
        <v/>
      </c>
      <c r="BS85" s="85">
        <f>IF(E85="","",IF(ISNUMBER('Dvd Calendar'!$G$1151)=FALSE,"",IF((Summary!$C$13="N")*('Dvd Calendar'!$G$1155='Field Check'!$C$25)&gt;0,"",'Dvd Calendar'!$G$1151)))</f>
        <v/>
      </c>
      <c r="BT85" s="85">
        <f>IF(F85="","",IF(ISNUMBER('Dvd Calendar'!$H$1151)=FALSE,"",IF((Summary!$C$13="N")*('Dvd Calendar'!$H$1155='Field Check'!$C$25)&gt;0,"",'Dvd Calendar'!$H$1151)))</f>
        <v/>
      </c>
      <c r="BU85" s="85">
        <f>IF(G85="","",IF(ISNUMBER('Dvd Calendar'!$I$1151)=FALSE,"",IF((Summary!$C$13="N")*('Dvd Calendar'!$I$1155='Field Check'!$C$25)&gt;0,"",'Dvd Calendar'!$I$1151)))</f>
        <v/>
      </c>
      <c r="BV85" s="85">
        <f>IF(H85="","",IF(ISNUMBER('Dvd Calendar'!$J$1151)=FALSE,"",IF((Summary!$C$13="N")*('Dvd Calendar'!$J$1155='Field Check'!$C$25)&gt;0,"",'Dvd Calendar'!$J$1151)))</f>
        <v/>
      </c>
      <c r="BW85" s="85">
        <f>IF(I85="","",IF(ISNUMBER('Dvd Calendar'!$K$1151)=FALSE,"",IF((Summary!$C$13="N")*('Dvd Calendar'!$K$1155='Field Check'!$C$25)&gt;0,"",'Dvd Calendar'!$K$1151)))</f>
        <v/>
      </c>
      <c r="BX85" s="85">
        <f>IF(J85="","",IF(ISNUMBER('Dvd Calendar'!$L$1151)=FALSE,"",IF((Summary!$C$13="N")*('Dvd Calendar'!$L$1155='Field Check'!$C$25)&gt;0,"",'Dvd Calendar'!$L$1151)))</f>
        <v/>
      </c>
      <c r="BY85" s="85">
        <f>IF(K85="","",IF(ISNUMBER('Dvd Calendar'!$M$1151)=FALSE,"",IF((Summary!$C$13="N")*('Dvd Calendar'!$M$1155='Field Check'!$C$25)&gt;0,"",'Dvd Calendar'!$M$1151)))</f>
        <v/>
      </c>
      <c r="BZ85" s="85">
        <f>IF(L85="","",IF(ISNUMBER('Dvd Calendar'!$N$1151)=FALSE,"",IF((Summary!$C$13="N")*('Dvd Calendar'!$N$1155='Field Check'!$C$25)&gt;0,"",'Dvd Calendar'!$N$1151)))</f>
        <v/>
      </c>
      <c r="CA85" s="85">
        <f>IF(M85="","",IF(ISNUMBER('Dvd Calendar'!$O$1151)=FALSE,"",IF((Summary!$C$13="N")*('Dvd Calendar'!$O$1155='Field Check'!$C$25)&gt;0,"",'Dvd Calendar'!$O$1151)))</f>
        <v/>
      </c>
      <c r="CB85" s="85">
        <f>IF(N85="","",IF(ISNUMBER('Dvd Calendar'!$P$1151)=FALSE,"",IF((Summary!$C$13="N")*('Dvd Calendar'!$P$1155='Field Check'!$C$25)&gt;0,"",'Dvd Calendar'!$P$1151)))</f>
        <v/>
      </c>
      <c r="CC85" s="85">
        <f>IF(O85="","",IF(ISNUMBER('Dvd Calendar'!$Q$1151)=FALSE,"",IF((Summary!$C$13="N")*('Dvd Calendar'!$Q$1155='Field Check'!$C$25)&gt;0,"",'Dvd Calendar'!$Q$1151)))</f>
        <v/>
      </c>
      <c r="CD85" s="85">
        <f>IF(P85="","",IF(ISNUMBER('Dvd Calendar'!$R$1151)=FALSE,"",IF((Summary!$C$13="N")*('Dvd Calendar'!$R$1155='Field Check'!$C$25)&gt;0,"",'Dvd Calendar'!$R$1151)))</f>
        <v/>
      </c>
      <c r="CE85" s="85">
        <f>IF(Q85="","",IF(ISNUMBER('Dvd Calendar'!$S$1151)=FALSE,"",IF((Summary!$C$13="N")*('Dvd Calendar'!$S$1155='Field Check'!$C$25)&gt;0,"",'Dvd Calendar'!$S$1151)))</f>
        <v/>
      </c>
      <c r="CF85" s="85">
        <f>IF(R85="","",IF(ISNUMBER('Dvd Calendar'!$T$1151)=FALSE,"",IF((Summary!$C$13="N")*('Dvd Calendar'!$T$1155='Field Check'!$C$25)&gt;0,"",'Dvd Calendar'!$T$1151)))</f>
        <v/>
      </c>
      <c r="CG85" s="85">
        <f>IF(S85="","",IF(ISNUMBER('Dvd Calendar'!$U$1151)=FALSE,"",IF((Summary!$C$13="N")*('Dvd Calendar'!$U$1155='Field Check'!$C$25)&gt;0,"",'Dvd Calendar'!$U$1151)))</f>
        <v/>
      </c>
      <c r="CH85" s="85">
        <f>IF(T85="","",IF(ISNUMBER('Dvd Calendar'!$V$1151)=FALSE,"",IF((Summary!$C$13="N")*('Dvd Calendar'!$V$1155='Field Check'!$C$25)&gt;0,"",'Dvd Calendar'!$V$1151)))</f>
        <v/>
      </c>
      <c r="CI85" s="85">
        <f>IF(U85="","",IF(ISNUMBER('Dvd Calendar'!$W$1151)=FALSE,"",IF((Summary!$C$13="N")*('Dvd Calendar'!$W$1155='Field Check'!$C$25)&gt;0,"",'Dvd Calendar'!$W$1151)))</f>
        <v/>
      </c>
      <c r="CJ85" s="85">
        <f>IF(V85="","",IF(ISNUMBER('Dvd Calendar'!$X$1151)=FALSE,"",IF((Summary!$C$13="N")*('Dvd Calendar'!$X$1155='Field Check'!$C$25)&gt;0,"",'Dvd Calendar'!$X$1151)))</f>
        <v/>
      </c>
      <c r="CK85" s="85">
        <f>IF(W85="","",IF(ISNUMBER('Dvd Calendar'!$Y$1151)=FALSE,"",IF((Summary!$C$13="N")*('Dvd Calendar'!$Y$1155='Field Check'!$C$25)&gt;0,"",'Dvd Calendar'!$Y$1151)))</f>
        <v/>
      </c>
      <c r="CL85" s="85">
        <f>IF(X85="","",IF(ISNUMBER('Dvd Calendar'!$Z$1151)=FALSE,"",IF((Summary!$C$13="N")*('Dvd Calendar'!$Z$1155='Field Check'!$C$25)&gt;0,"",'Dvd Calendar'!$Z$1151)))</f>
        <v/>
      </c>
      <c r="CM85" s="85">
        <f>IF(Y85="","",IF(ISNUMBER('Dvd Calendar'!$AA$1151)=FALSE,"",IF((Summary!$C$13="N")*('Dvd Calendar'!$AA$1155='Field Check'!$C$25)&gt;0,"",'Dvd Calendar'!$AA$1151)))</f>
        <v/>
      </c>
      <c r="CN85" s="85">
        <f>IF(Z85="","",IF(ISNUMBER('Dvd Calendar'!$AB$1151)=FALSE,"",IF((Summary!$C$13="N")*('Dvd Calendar'!$AB$1155='Field Check'!$C$25)&gt;0,"",'Dvd Calendar'!$AB$1151)))</f>
        <v/>
      </c>
      <c r="CO85" s="85">
        <f>IF(AA85="","",IF(ISNUMBER('Dvd Calendar'!$AC$1151)=FALSE,"",IF((Summary!$C$13="N")*('Dvd Calendar'!$AC$1155='Field Check'!$C$25)&gt;0,"",'Dvd Calendar'!$AC$1151)))</f>
        <v/>
      </c>
      <c r="CP85" s="85">
        <f>IF(AB85="","",IF(ISNUMBER('Dvd Calendar'!$AD$1151)=FALSE,"",IF((Summary!$C$13="N")*('Dvd Calendar'!$AD$1155='Field Check'!$C$25)&gt;0,"",'Dvd Calendar'!$AD$1151)))</f>
        <v/>
      </c>
      <c r="CQ85" s="85">
        <f>IF(AC85="","",IF(ISNUMBER('Dvd Calendar'!$AE$1151)=FALSE,"",IF((Summary!$C$13="N")*('Dvd Calendar'!$AE$1155='Field Check'!$C$25)&gt;0,"",'Dvd Calendar'!$AE$1151)))</f>
        <v/>
      </c>
      <c r="CR85" s="85">
        <f>IF(AD85="","",IF(ISNUMBER('Dvd Calendar'!$AF$1151)=FALSE,"",IF((Summary!$C$13="N")*('Dvd Calendar'!$AF$1155='Field Check'!$C$25)&gt;0,"",'Dvd Calendar'!$AF$1151)))</f>
        <v/>
      </c>
      <c r="CS85" s="85">
        <f>IF(AE85="","",IF(ISNUMBER('Dvd Calendar'!$AG$1151)=FALSE,"",IF((Summary!$C$13="N")*('Dvd Calendar'!$AG$1155='Field Check'!$C$25)&gt;0,"",'Dvd Calendar'!$AG$1151)))</f>
        <v/>
      </c>
      <c r="CT85" s="85">
        <f>IF(AF85="","",IF(ISNUMBER('Dvd Calendar'!$AH$1151)=FALSE,"",IF((Summary!$C$13="N")*('Dvd Calendar'!$AH$1155='Field Check'!$C$25)&gt;0,"",'Dvd Calendar'!$AH$1151)))</f>
        <v/>
      </c>
      <c r="CU85" s="85">
        <f>IF(AG85="","",IF(ISNUMBER('Dvd Calendar'!$AI$1151)=FALSE,"",IF((Summary!$C$13="N")*('Dvd Calendar'!$AI$1155='Field Check'!$C$25)&gt;0,"",'Dvd Calendar'!$AI$1151)))</f>
        <v/>
      </c>
      <c r="CV85" s="85">
        <f>IF(AH85="","",IF(ISNUMBER('Dvd Calendar'!$AJ$1151)=FALSE,"",IF((Summary!$C$13="N")*('Dvd Calendar'!$AJ$1155='Field Check'!$C$25)&gt;0,"",'Dvd Calendar'!$AJ$1151)))</f>
        <v/>
      </c>
      <c r="CW85" s="85">
        <f>IF(AI85="","",IF(ISNUMBER('Dvd Calendar'!$AK$1151)=FALSE,"",IF((Summary!$C$13="N")*('Dvd Calendar'!$AK$1155='Field Check'!$C$25)&gt;0,"",'Dvd Calendar'!$AK$1151)))</f>
        <v/>
      </c>
      <c r="CX85" s="85">
        <f>IF(AJ85="","",IF(ISNUMBER('Dvd Calendar'!$AL$1151)=FALSE,"",IF((Summary!$C$13="N")*('Dvd Calendar'!$AL$1155='Field Check'!$C$25)&gt;0,"",'Dvd Calendar'!$AL$1151)))</f>
        <v/>
      </c>
      <c r="CY85" s="85">
        <f>IF(AK85="","",IF(ISNUMBER('Dvd Calendar'!$AM$1151)=FALSE,"",IF((Summary!$C$13="N")*('Dvd Calendar'!$AM$1155='Field Check'!$C$25)&gt;0,"",'Dvd Calendar'!$AM$1151)))</f>
        <v/>
      </c>
      <c r="CZ85" s="85">
        <f>IF(AL85="","",IF(ISNUMBER('Dvd Calendar'!$AN$1151)=FALSE,"",IF((Summary!$C$13="N")*('Dvd Calendar'!$AN$1155='Field Check'!$C$25)&gt;0,"",'Dvd Calendar'!$AN$1151)))</f>
        <v/>
      </c>
      <c r="DA85" s="85">
        <f>IF(AM85="","",IF(ISNUMBER('Dvd Calendar'!$AO$1151)=FALSE,"",IF((Summary!$C$13="N")*('Dvd Calendar'!$AO$1155='Field Check'!$C$25)&gt;0,"",'Dvd Calendar'!$AO$1151)))</f>
        <v/>
      </c>
      <c r="DB85" s="85">
        <f>IF(AN85="","",IF(ISNUMBER('Dvd Calendar'!$AP$1151)=FALSE,"",IF((Summary!$C$13="N")*('Dvd Calendar'!$AP$1155='Field Check'!$C$25)&gt;0,"",'Dvd Calendar'!$AP$1151)))</f>
        <v/>
      </c>
      <c r="DC85" s="85">
        <f>IF(AO85="","",IF(ISNUMBER('Dvd Calendar'!$AQ$1151)=FALSE,"",IF((Summary!$C$13="N")*('Dvd Calendar'!$AQ$1155='Field Check'!$C$25)&gt;0,"",'Dvd Calendar'!$AQ$1151)))</f>
        <v/>
      </c>
      <c r="DD85" s="85">
        <f>IF(AP85="","",IF(ISNUMBER('Dvd Calendar'!$AR$1151)=FALSE,"",IF((Summary!$C$13="N")*('Dvd Calendar'!$AR$1155='Field Check'!$C$25)&gt;0,"",'Dvd Calendar'!$AR$1151)))</f>
        <v/>
      </c>
      <c r="DE85" s="85">
        <f>IF(AQ85="","",IF(ISNUMBER('Dvd Calendar'!$E$1158)=FALSE,"",IF((Summary!$C$13="N")*('Dvd Calendar'!$E$1162='Field Check'!$C$25)&gt;0,"",'Dvd Calendar'!$E$1158)))</f>
        <v/>
      </c>
      <c r="DF85" s="85">
        <f>IF(AR85="","",IF(ISNUMBER('Dvd Calendar'!$F$1158)=FALSE,"",IF((Summary!$C$13="N")*('Dvd Calendar'!$F$1162='Field Check'!$C$25)&gt;0,"",'Dvd Calendar'!$F$1158)))</f>
        <v/>
      </c>
      <c r="DG85" s="85">
        <f>IF(AS85="","",IF(ISNUMBER('Dvd Calendar'!$G$1158)=FALSE,"",IF((Summary!$C$13="N")*('Dvd Calendar'!$G$1162='Field Check'!$C$25)&gt;0,"",'Dvd Calendar'!$G$1158)))</f>
        <v/>
      </c>
      <c r="DH85" s="85">
        <f>IF(AT85="","",IF(ISNUMBER('Dvd Calendar'!$H$1158)=FALSE,"",IF((Summary!$C$13="N")*('Dvd Calendar'!$H$1162='Field Check'!$C$25)&gt;0,"",'Dvd Calendar'!$H$1158)))</f>
        <v/>
      </c>
      <c r="DI85" s="85">
        <f>IF(AU85="","",IF(ISNUMBER('Dvd Calendar'!$I$1158)=FALSE,"",IF((Summary!$C$13="N")*('Dvd Calendar'!$I$1162='Field Check'!$C$25)&gt;0,"",'Dvd Calendar'!$I$1158)))</f>
        <v/>
      </c>
      <c r="DJ85" s="85">
        <f>IF(AV85="","",IF(ISNUMBER('Dvd Calendar'!$J$1158)=FALSE,"",IF((Summary!$C$13="N")*('Dvd Calendar'!$J$1162='Field Check'!$C$25)&gt;0,"",'Dvd Calendar'!$J$1158)))</f>
        <v/>
      </c>
      <c r="DK85" s="85">
        <f>IF(AW85="","",IF(ISNUMBER('Dvd Calendar'!$K$1158)=FALSE,"",IF((Summary!$C$13="N")*('Dvd Calendar'!$K$1162='Field Check'!$C$25)&gt;0,"",'Dvd Calendar'!$K$1158)))</f>
        <v/>
      </c>
      <c r="DL85" s="85">
        <f>IF(AX85="","",IF(ISNUMBER('Dvd Calendar'!$L$1158)=FALSE,"",IF((Summary!$C$13="N")*('Dvd Calendar'!$L$1162='Field Check'!$C$25)&gt;0,"",'Dvd Calendar'!$L$1158)))</f>
        <v/>
      </c>
      <c r="DM85" s="85">
        <f>IF(AY85="","",IF(ISNUMBER('Dvd Calendar'!$M$1158)=FALSE,"",IF((Summary!$C$13="N")*('Dvd Calendar'!$M$1162='Field Check'!$C$25)&gt;0,"",'Dvd Calendar'!$M$1158)))</f>
        <v/>
      </c>
      <c r="DN85" s="85">
        <f>IF(AZ85="","",IF(ISNUMBER('Dvd Calendar'!$N$1158)=FALSE,"",IF((Summary!$C$13="N")*('Dvd Calendar'!$N$1162='Field Check'!$C$25)&gt;0,"",'Dvd Calendar'!$N$1158)))</f>
        <v/>
      </c>
      <c r="DO85" s="85">
        <f>IF(BA85="","",IF(ISNUMBER('Dvd Calendar'!$O$1158)=FALSE,"",IF((Summary!$C$13="N")*('Dvd Calendar'!$O$1162='Field Check'!$C$25)&gt;0,"",'Dvd Calendar'!$O$1158)))</f>
        <v/>
      </c>
      <c r="DP85" s="85">
        <f>IF(BB85="","",IF(ISNUMBER('Dvd Calendar'!$P$1158)=FALSE,"",IF((Summary!$C$13="N")*('Dvd Calendar'!$P$1162='Field Check'!$C$25)&gt;0,"",'Dvd Calendar'!$P$1158)))</f>
        <v/>
      </c>
      <c r="DQ85" s="85">
        <f>IF(BC85="","",IF(ISNUMBER('Dvd Calendar'!$Q$1158)=FALSE,"",IF((Summary!$C$13="N")*('Dvd Calendar'!$Q$1162='Field Check'!$C$25)&gt;0,"",'Dvd Calendar'!$Q$1158)))</f>
        <v/>
      </c>
      <c r="DR85" s="85">
        <f>IF(BD85="","",IF(ISNUMBER('Dvd Calendar'!$R$1158)=FALSE,"",IF((Summary!$C$13="N")*('Dvd Calendar'!$R$1162='Field Check'!$C$25)&gt;0,"",'Dvd Calendar'!$R$1158)))</f>
        <v/>
      </c>
      <c r="DS85" s="85">
        <f>IF(BE85="","",IF(ISNUMBER('Dvd Calendar'!$S$1158)=FALSE,"",IF((Summary!$C$13="N")*('Dvd Calendar'!$S$1162='Field Check'!$C$25)&gt;0,"",'Dvd Calendar'!$S$1158)))</f>
        <v/>
      </c>
      <c r="DT85" s="85">
        <f>IF(BF85="","",IF(ISNUMBER('Dvd Calendar'!$T$1158)=FALSE,"",IF((Summary!$C$13="N")*('Dvd Calendar'!$T$1162='Field Check'!$C$25)&gt;0,"",'Dvd Calendar'!$T$1158)))</f>
        <v/>
      </c>
      <c r="DU85" s="85">
        <f>IF(BG85="","",IF(ISNUMBER('Dvd Calendar'!$U$1158)=FALSE,"",IF((Summary!$C$13="N")*('Dvd Calendar'!$U$1162='Field Check'!$C$25)&gt;0,"",'Dvd Calendar'!$U$1158)))</f>
        <v/>
      </c>
      <c r="DV85" s="85">
        <f>IF(BH85="","",IF(ISNUMBER('Dvd Calendar'!$V$1158)=FALSE,"",IF((Summary!$C$13="N")*('Dvd Calendar'!$V$1162='Field Check'!$C$25)&gt;0,"",'Dvd Calendar'!$V$1158)))</f>
        <v/>
      </c>
      <c r="DW85" s="85">
        <f>IF(BI85="","",IF(ISNUMBER('Dvd Calendar'!$W$1158)=FALSE,"",IF((Summary!$C$13="N")*('Dvd Calendar'!$W$1162='Field Check'!$C$25)&gt;0,"",'Dvd Calendar'!$W$1158)))</f>
        <v/>
      </c>
      <c r="DX85" s="85">
        <f>IF(BJ85="","",IF(ISNUMBER('Dvd Calendar'!$X$1158)=FALSE,"",IF((Summary!$C$13="N")*('Dvd Calendar'!$X$1162='Field Check'!$C$25)&gt;0,"",'Dvd Calendar'!$X$1158)))</f>
        <v/>
      </c>
      <c r="DY85" s="85">
        <f>IF(BK85="","",IF(ISNUMBER('Dvd Calendar'!$Y$1158)=FALSE,"",IF((Summary!$C$13="N")*('Dvd Calendar'!$Y$1162='Field Check'!$C$25)&gt;0,"",'Dvd Calendar'!$Y$1158)))</f>
        <v/>
      </c>
      <c r="DZ85" s="85">
        <f>IF(BL85="","",IF(ISNUMBER('Dvd Calendar'!$Z$1158)=FALSE,"",IF((Summary!$C$13="N")*('Dvd Calendar'!$Z$1162='Field Check'!$C$25)&gt;0,"",'Dvd Calendar'!$Z$1158)))</f>
        <v/>
      </c>
      <c r="EA85" s="85">
        <f>IF(BM85="","",IF(ISNUMBER('Dvd Calendar'!$AA$1158)=FALSE,"",IF((Summary!$C$13="N")*('Dvd Calendar'!$AA$1162='Field Check'!$C$25)&gt;0,"",'Dvd Calendar'!$AA$1158)))</f>
        <v/>
      </c>
      <c r="EB85" s="85">
        <f>IF(BN85="","",IF(ISNUMBER('Dvd Calendar'!$AB$1158)=FALSE,"",IF((Summary!$C$13="N")*('Dvd Calendar'!$AB$1162='Field Check'!$C$25)&gt;0,"",'Dvd Calendar'!$AB$1158)))</f>
        <v/>
      </c>
      <c r="EC85" s="85">
        <f>IF(BO85="","",IF(ISNUMBER('Dvd Calendar'!$AC$1158)=FALSE,"",IF((Summary!$C$13="N")*('Dvd Calendar'!$AC$1162='Field Check'!$C$25)&gt;0,"",'Dvd Calendar'!$AC$1158)))</f>
        <v/>
      </c>
      <c r="EE85" s="85">
        <f>IF(BQ85="","",IFERROR(BQ85*HSI!$B$83*HSI!$G$83/HSI!$B$3,""))</f>
        <v/>
      </c>
      <c r="EF85" s="85">
        <f>IF(BR85="","",IFERROR(BR85*HSI!$B$83*HSI!$G$83/HSI!$B$3,""))</f>
        <v/>
      </c>
      <c r="EG85" s="85">
        <f>IF(BS85="","",IFERROR(BS85*HSI!$B$83*HSI!$G$83/HSI!$B$3,""))</f>
        <v/>
      </c>
      <c r="EH85" s="85">
        <f>IF(BT85="","",IFERROR(BT85*HSI!$B$83*HSI!$G$83/HSI!$B$3,""))</f>
        <v/>
      </c>
      <c r="EI85" s="85">
        <f>IF(BU85="","",IFERROR(BU85*HSI!$B$83*HSI!$G$83/HSI!$B$3,""))</f>
        <v/>
      </c>
      <c r="EJ85" s="85">
        <f>IF(BV85="","",IFERROR(BV85*HSI!$B$83*HSI!$G$83/HSI!$B$3,""))</f>
        <v/>
      </c>
      <c r="EK85" s="85">
        <f>IF(BW85="","",IFERROR(BW85*HSI!$B$83*HSI!$G$83/HSI!$B$3,""))</f>
        <v/>
      </c>
      <c r="EL85" s="85">
        <f>IF(BX85="","",IFERROR(BX85*HSI!$B$83*HSI!$G$83/HSI!$B$3,""))</f>
        <v/>
      </c>
      <c r="EM85" s="85">
        <f>IF(BY85="","",IFERROR(BY85*HSI!$B$83*HSI!$G$83/HSI!$B$3,""))</f>
        <v/>
      </c>
      <c r="EN85" s="85">
        <f>IF(BZ85="","",IFERROR(BZ85*HSI!$B$83*HSI!$G$83/HSI!$B$3,""))</f>
        <v/>
      </c>
      <c r="EO85" s="85">
        <f>IF(CA85="","",IFERROR(CA85*HSI!$B$83*HSI!$G$83/HSI!$B$3,""))</f>
        <v/>
      </c>
      <c r="EP85" s="85">
        <f>IF(CB85="","",IFERROR(CB85*HSI!$B$83*HSI!$G$83/HSI!$B$3,""))</f>
        <v/>
      </c>
      <c r="EQ85" s="85">
        <f>IF(CC85="","",IFERROR(CC85*HSI!$B$83*HSI!$G$83/HSI!$B$3,""))</f>
        <v/>
      </c>
      <c r="ER85" s="85">
        <f>IF(CD85="","",IFERROR(CD85*HSI!$B$83*HSI!$G$83/HSI!$B$3,""))</f>
        <v/>
      </c>
      <c r="ES85" s="85">
        <f>IF(CE85="","",IFERROR(CE85*HSI!$B$83*HSI!$G$83/HSI!$B$3,""))</f>
        <v/>
      </c>
      <c r="ET85" s="85">
        <f>IF(CF85="","",IFERROR(CF85*HSI!$B$83*HSI!$G$83/HSI!$B$3,""))</f>
        <v/>
      </c>
      <c r="EU85" s="85">
        <f>IF(CG85="","",IFERROR(CG85*HSI!$B$83*HSI!$G$83/HSI!$B$3,""))</f>
        <v/>
      </c>
      <c r="EV85" s="85">
        <f>IF(CH85="","",IFERROR(CH85*HSI!$B$83*HSI!$G$83/HSI!$B$3,""))</f>
        <v/>
      </c>
      <c r="EW85" s="85">
        <f>IF(CI85="","",IFERROR(CI85*HSI!$B$83*HSI!$G$83/HSI!$B$3,""))</f>
        <v/>
      </c>
      <c r="EX85" s="85">
        <f>IF(CJ85="","",IFERROR(CJ85*HSI!$B$83*HSI!$G$83/HSI!$B$3,""))</f>
        <v/>
      </c>
      <c r="EY85" s="85">
        <f>IF(CK85="","",IFERROR(CK85*HSI!$B$83*HSI!$G$83/HSI!$B$3,""))</f>
        <v/>
      </c>
      <c r="EZ85" s="85">
        <f>IF(CL85="","",IFERROR(CL85*HSI!$B$83*HSI!$G$83/HSI!$B$3,""))</f>
        <v/>
      </c>
      <c r="FA85" s="85">
        <f>IF(CM85="","",IFERROR(CM85*HSI!$B$83*HSI!$G$83/HSI!$B$3,""))</f>
        <v/>
      </c>
      <c r="FB85" s="85">
        <f>IF(CN85="","",IFERROR(CN85*HSI!$B$83*HSI!$G$83/HSI!$B$3,""))</f>
        <v/>
      </c>
      <c r="FC85" s="85">
        <f>IF(CO85="","",IFERROR(CO85*HSI!$B$83*HSI!$G$83/HSI!$B$3,""))</f>
        <v/>
      </c>
      <c r="FD85" s="85">
        <f>IF(CP85="","",IFERROR(CP85*HSI!$B$83*HSI!$G$83/HSI!$B$3,""))</f>
        <v/>
      </c>
      <c r="FE85" s="85">
        <f>IF(CQ85="","",IFERROR(CQ85*HSI!$B$83*HSI!$G$83/HSI!$B$3,""))</f>
        <v/>
      </c>
      <c r="FF85" s="85">
        <f>IF(CR85="","",IFERROR(CR85*HSI!$B$83*HSI!$G$83/HSI!$B$3,""))</f>
        <v/>
      </c>
      <c r="FG85" s="85">
        <f>IF(CS85="","",IFERROR(CS85*HSI!$B$83*HSI!$G$83/HSI!$B$3,""))</f>
        <v/>
      </c>
      <c r="FH85" s="85">
        <f>IF(CT85="","",IFERROR(CT85*HSI!$B$83*HSI!$G$83/HSI!$B$3,""))</f>
        <v/>
      </c>
      <c r="FI85" s="85">
        <f>IF(CU85="","",IFERROR(CU85*HSI!$B$83*HSI!$G$83/HSI!$B$3,""))</f>
        <v/>
      </c>
      <c r="FJ85" s="85">
        <f>IF(CV85="","",IFERROR(CV85*HSI!$B$83*HSI!$G$83/HSI!$B$3,""))</f>
        <v/>
      </c>
      <c r="FK85" s="85">
        <f>IF(CW85="","",IFERROR(CW85*HSI!$B$83*HSI!$G$83/HSI!$B$3,""))</f>
        <v/>
      </c>
      <c r="FL85" s="85">
        <f>IF(CX85="","",IFERROR(CX85*HSI!$B$83*HSI!$G$83/HSI!$B$3,""))</f>
        <v/>
      </c>
      <c r="FM85" s="85">
        <f>IF(CY85="","",IFERROR(CY85*HSI!$B$83*HSI!$G$83/HSI!$B$3,""))</f>
        <v/>
      </c>
      <c r="FN85" s="85">
        <f>IF(CZ85="","",IFERROR(CZ85*HSI!$B$83*HSI!$G$83/HSI!$B$3,""))</f>
        <v/>
      </c>
      <c r="FO85" s="85">
        <f>IF(DA85="","",IFERROR(DA85*HSI!$B$83*HSI!$G$83/HSI!$B$3,""))</f>
        <v/>
      </c>
      <c r="FP85" s="85">
        <f>IF(DB85="","",IFERROR(DB85*HSI!$B$83*HSI!$G$83/HSI!$B$3,""))</f>
        <v/>
      </c>
      <c r="FQ85" s="85">
        <f>IF(DC85="","",IFERROR(DC85*HSI!$B$83*HSI!$G$83/HSI!$B$3,""))</f>
        <v/>
      </c>
      <c r="FR85" s="85">
        <f>IF(DD85="","",IFERROR(DD85*HSI!$B$83*HSI!$G$83/HSI!$B$3,""))</f>
        <v/>
      </c>
      <c r="FS85" s="85">
        <f>IF(DE85="","",IFERROR(DE85*HSI!$B$83*HSI!$G$83/HSI!$B$3,""))</f>
        <v/>
      </c>
      <c r="FT85" s="85">
        <f>IF(DF85="","",IFERROR(DF85*HSI!$B$83*HSI!$G$83/HSI!$B$3,""))</f>
        <v/>
      </c>
      <c r="FU85" s="85">
        <f>IF(DG85="","",IFERROR(DG85*HSI!$B$83*HSI!$G$83/HSI!$B$3,""))</f>
        <v/>
      </c>
      <c r="FV85" s="85">
        <f>IF(DH85="","",IFERROR(DH85*HSI!$B$83*HSI!$G$83/HSI!$B$3,""))</f>
        <v/>
      </c>
      <c r="FW85" s="85">
        <f>IF(DI85="","",IFERROR(DI85*HSI!$B$83*HSI!$G$83/HSI!$B$3,""))</f>
        <v/>
      </c>
      <c r="FX85" s="85">
        <f>IF(DJ85="","",IFERROR(DJ85*HSI!$B$83*HSI!$G$83/HSI!$B$3,""))</f>
        <v/>
      </c>
      <c r="FY85" s="85">
        <f>IF(DK85="","",IFERROR(DK85*HSI!$B$83*HSI!$G$83/HSI!$B$3,""))</f>
        <v/>
      </c>
      <c r="FZ85" s="85">
        <f>IF(DL85="","",IFERROR(DL85*HSI!$B$83*HSI!$G$83/HSI!$B$3,""))</f>
        <v/>
      </c>
      <c r="GA85" s="85">
        <f>IF(DM85="","",IFERROR(DM85*HSI!$B$83*HSI!$G$83/HSI!$B$3,""))</f>
        <v/>
      </c>
      <c r="GB85" s="85">
        <f>IF(DN85="","",IFERROR(DN85*HSI!$B$83*HSI!$G$83/HSI!$B$3,""))</f>
        <v/>
      </c>
      <c r="GC85" s="85">
        <f>IF(DO85="","",IFERROR(DO85*HSI!$B$83*HSI!$G$83/HSI!$B$3,""))</f>
        <v/>
      </c>
      <c r="GD85" s="85">
        <f>IF(DP85="","",IFERROR(DP85*HSI!$B$83*HSI!$G$83/HSI!$B$3,""))</f>
        <v/>
      </c>
      <c r="GE85" s="85">
        <f>IF(DQ85="","",IFERROR(DQ85*HSI!$B$83*HSI!$G$83/HSI!$B$3,""))</f>
        <v/>
      </c>
      <c r="GF85" s="85">
        <f>IF(DR85="","",IFERROR(DR85*HSI!$B$83*HSI!$G$83/HSI!$B$3,""))</f>
        <v/>
      </c>
      <c r="GG85" s="85">
        <f>IF(DS85="","",IFERROR(DS85*HSI!$B$83*HSI!$G$83/HSI!$B$3,""))</f>
        <v/>
      </c>
      <c r="GH85" s="85">
        <f>IF(DT85="","",IFERROR(DT85*HSI!$B$83*HSI!$G$83/HSI!$B$3,""))</f>
        <v/>
      </c>
      <c r="GI85" s="85">
        <f>IF(DU85="","",IFERROR(DU85*HSI!$B$83*HSI!$G$83/HSI!$B$3,""))</f>
        <v/>
      </c>
      <c r="GJ85" s="85">
        <f>IF(DV85="","",IFERROR(DV85*HSI!$B$83*HSI!$G$83/HSI!$B$3,""))</f>
        <v/>
      </c>
      <c r="GK85" s="85">
        <f>IF(DW85="","",IFERROR(DW85*HSI!$B$83*HSI!$G$83/HSI!$B$3,""))</f>
        <v/>
      </c>
      <c r="GL85" s="85">
        <f>IF(DX85="","",IFERROR(DX85*HSI!$B$83*HSI!$G$83/HSI!$B$3,""))</f>
        <v/>
      </c>
      <c r="GM85" s="85">
        <f>IF(DY85="","",IFERROR(DY85*HSI!$B$83*HSI!$G$83/HSI!$B$3,""))</f>
        <v/>
      </c>
      <c r="GN85" s="85">
        <f>IF(DZ85="","",IFERROR(DZ85*HSI!$B$83*HSI!$G$83/HSI!$B$3,""))</f>
        <v/>
      </c>
      <c r="GO85" s="85">
        <f>IF(EA85="","",IFERROR(EA85*HSI!$B$83*HSI!$G$83/HSI!$B$3,""))</f>
        <v/>
      </c>
      <c r="GP85" s="85">
        <f>IF(EB85="","",IFERROR(EB85*HSI!$B$83*HSI!$G$83/HSI!$B$3,""))</f>
        <v/>
      </c>
      <c r="GQ85" s="85">
        <f>IF(EC85="","",IFERROR(EC85*HSI!$B$83*HSI!$G$83/HSI!$B$3,""))</f>
        <v/>
      </c>
    </row>
    <row r="86">
      <c r="B86" s="2">
        <f>IF(HSI!$C$84="","",HSI!$C$84)</f>
        <v/>
      </c>
      <c r="C86" s="41">
        <f>IF(N('Dvd Calendar'!$E$1165)=0,"",IF(('Dvd Calendar'!$E$1165&gt;=MIN(DATE(Summary!$C$12,1,1),Summary!$C$11))*('Dvd Calendar'!$E$1165&lt;=MAX(DATE(Summary!$C$12,12,31),Summary!$C$15))*('Dvd Calendar'!$E$1165&lt;=Summary!$C$11)=0,"",'Dvd Calendar'!$E$1165*1000000000+ISNUMBER('Dvd Calendar'!$E$1166)*100000000+('Dvd Calendar'!$E$1170='Field Check'!$C$25)*10000000+(N('Dvd Calendar'!$E$1164)&gt;0)*1000000+78*1000+1))</f>
        <v/>
      </c>
      <c r="D86" s="41">
        <f>IF(N('Dvd Calendar'!$F$1165)=0,"",IF(('Dvd Calendar'!$F$1165&gt;=MIN(DATE(Summary!$C$12,1,1),Summary!$C$11))*('Dvd Calendar'!$F$1165&lt;=MAX(DATE(Summary!$C$12,12,31),Summary!$C$15))*('Dvd Calendar'!$F$1165&lt;=Summary!$C$11)=0,"",'Dvd Calendar'!$F$1165*1000000000+ISNUMBER('Dvd Calendar'!$F$1166)*100000000+('Dvd Calendar'!$F$1170='Field Check'!$C$25)*10000000+(N('Dvd Calendar'!$F$1164)&gt;0)*1000000+78*1000+2))</f>
        <v/>
      </c>
      <c r="E86" s="41">
        <f>IF(N('Dvd Calendar'!$G$1165)=0,"",IF(('Dvd Calendar'!$G$1165&gt;=MIN(DATE(Summary!$C$12,1,1),Summary!$C$11))*('Dvd Calendar'!$G$1165&lt;=MAX(DATE(Summary!$C$12,12,31),Summary!$C$15))*('Dvd Calendar'!$G$1165&lt;=Summary!$C$11)=0,"",'Dvd Calendar'!$G$1165*1000000000+ISNUMBER('Dvd Calendar'!$G$1166)*100000000+('Dvd Calendar'!$G$1170='Field Check'!$C$25)*10000000+(N('Dvd Calendar'!$G$1164)&gt;0)*1000000+78*1000+3))</f>
        <v/>
      </c>
      <c r="F86" s="41">
        <f>IF(N('Dvd Calendar'!$H$1165)=0,"",IF(('Dvd Calendar'!$H$1165&gt;=MIN(DATE(Summary!$C$12,1,1),Summary!$C$11))*('Dvd Calendar'!$H$1165&lt;=MAX(DATE(Summary!$C$12,12,31),Summary!$C$15))*('Dvd Calendar'!$H$1165&lt;=Summary!$C$11)=0,"",'Dvd Calendar'!$H$1165*1000000000+ISNUMBER('Dvd Calendar'!$H$1166)*100000000+('Dvd Calendar'!$H$1170='Field Check'!$C$25)*10000000+(N('Dvd Calendar'!$H$1164)&gt;0)*1000000+78*1000+4))</f>
        <v/>
      </c>
      <c r="G86" s="41">
        <f>IF(N('Dvd Calendar'!$I$1165)=0,"",IF(('Dvd Calendar'!$I$1165&gt;=MIN(DATE(Summary!$C$12,1,1),Summary!$C$11))*('Dvd Calendar'!$I$1165&lt;=MAX(DATE(Summary!$C$12,12,31),Summary!$C$15))*('Dvd Calendar'!$I$1165&lt;=Summary!$C$11)=0,"",'Dvd Calendar'!$I$1165*1000000000+ISNUMBER('Dvd Calendar'!$I$1166)*100000000+('Dvd Calendar'!$I$1170='Field Check'!$C$25)*10000000+(N('Dvd Calendar'!$I$1164)&gt;0)*1000000+78*1000+5))</f>
        <v/>
      </c>
      <c r="H86" s="41">
        <f>IF(N('Dvd Calendar'!$J$1165)=0,"",IF(('Dvd Calendar'!$J$1165&gt;=MIN(DATE(Summary!$C$12,1,1),Summary!$C$11))*('Dvd Calendar'!$J$1165&lt;=MAX(DATE(Summary!$C$12,12,31),Summary!$C$15))*('Dvd Calendar'!$J$1165&lt;=Summary!$C$11)=0,"",'Dvd Calendar'!$J$1165*1000000000+ISNUMBER('Dvd Calendar'!$J$1166)*100000000+('Dvd Calendar'!$J$1170='Field Check'!$C$25)*10000000+(N('Dvd Calendar'!$J$1164)&gt;0)*1000000+78*1000+6))</f>
        <v/>
      </c>
      <c r="I86" s="41">
        <f>IF(N('Dvd Calendar'!$K$1165)=0,"",IF(('Dvd Calendar'!$K$1165&gt;=MIN(DATE(Summary!$C$12,1,1),Summary!$C$11))*('Dvd Calendar'!$K$1165&lt;=MAX(DATE(Summary!$C$12,12,31),Summary!$C$15))*('Dvd Calendar'!$K$1165&lt;=Summary!$C$11)=0,"",'Dvd Calendar'!$K$1165*1000000000+ISNUMBER('Dvd Calendar'!$K$1166)*100000000+('Dvd Calendar'!$K$1170='Field Check'!$C$25)*10000000+(N('Dvd Calendar'!$K$1164)&gt;0)*1000000+78*1000+7))</f>
        <v/>
      </c>
      <c r="J86" s="41">
        <f>IF(N('Dvd Calendar'!$L$1165)=0,"",IF(('Dvd Calendar'!$L$1165&gt;=MIN(DATE(Summary!$C$12,1,1),Summary!$C$11))*('Dvd Calendar'!$L$1165&lt;=MAX(DATE(Summary!$C$12,12,31),Summary!$C$15))*('Dvd Calendar'!$L$1165&lt;=Summary!$C$11)=0,"",'Dvd Calendar'!$L$1165*1000000000+ISNUMBER('Dvd Calendar'!$L$1166)*100000000+('Dvd Calendar'!$L$1170='Field Check'!$C$25)*10000000+(N('Dvd Calendar'!$L$1164)&gt;0)*1000000+78*1000+8))</f>
        <v/>
      </c>
      <c r="K86" s="41">
        <f>IF(N('Dvd Calendar'!$M$1165)=0,"",IF(('Dvd Calendar'!$M$1165&gt;=MIN(DATE(Summary!$C$12,1,1),Summary!$C$11))*('Dvd Calendar'!$M$1165&lt;=MAX(DATE(Summary!$C$12,12,31),Summary!$C$15))*('Dvd Calendar'!$M$1165&lt;=Summary!$C$11)=0,"",'Dvd Calendar'!$M$1165*1000000000+ISNUMBER('Dvd Calendar'!$M$1166)*100000000+('Dvd Calendar'!$M$1170='Field Check'!$C$25)*10000000+(N('Dvd Calendar'!$M$1164)&gt;0)*1000000+78*1000+9))</f>
        <v/>
      </c>
      <c r="L86" s="41">
        <f>IF(N('Dvd Calendar'!$N$1165)=0,"",IF(('Dvd Calendar'!$N$1165&gt;=MIN(DATE(Summary!$C$12,1,1),Summary!$C$11))*('Dvd Calendar'!$N$1165&lt;=MAX(DATE(Summary!$C$12,12,31),Summary!$C$15))*('Dvd Calendar'!$N$1165&lt;=Summary!$C$11)=0,"",'Dvd Calendar'!$N$1165*1000000000+ISNUMBER('Dvd Calendar'!$N$1166)*100000000+('Dvd Calendar'!$N$1170='Field Check'!$C$25)*10000000+(N('Dvd Calendar'!$N$1164)&gt;0)*1000000+78*1000+10))</f>
        <v/>
      </c>
      <c r="M86" s="41">
        <f>IF(N('Dvd Calendar'!$O$1165)=0,"",IF(('Dvd Calendar'!$O$1165&gt;=MIN(DATE(Summary!$C$12,1,1),Summary!$C$11))*('Dvd Calendar'!$O$1165&lt;=MAX(DATE(Summary!$C$12,12,31),Summary!$C$15))*('Dvd Calendar'!$O$1165&lt;=Summary!$C$11)=0,"",'Dvd Calendar'!$O$1165*1000000000+ISNUMBER('Dvd Calendar'!$O$1166)*100000000+('Dvd Calendar'!$O$1170='Field Check'!$C$25)*10000000+(N('Dvd Calendar'!$O$1164)&gt;0)*1000000+78*1000+11))</f>
        <v/>
      </c>
      <c r="N86" s="41">
        <f>IF(N('Dvd Calendar'!$P$1165)=0,"",IF(('Dvd Calendar'!$P$1165&gt;=MIN(DATE(Summary!$C$12,1,1),Summary!$C$11))*('Dvd Calendar'!$P$1165&lt;=MAX(DATE(Summary!$C$12,12,31),Summary!$C$15))*('Dvd Calendar'!$P$1165&lt;=Summary!$C$11)=0,"",'Dvd Calendar'!$P$1165*1000000000+ISNUMBER('Dvd Calendar'!$P$1166)*100000000+('Dvd Calendar'!$P$1170='Field Check'!$C$25)*10000000+(N('Dvd Calendar'!$P$1164)&gt;0)*1000000+78*1000+12))</f>
        <v/>
      </c>
      <c r="O86" s="41">
        <f>IF(N('Dvd Calendar'!$Q$1165)=0,"",IF(('Dvd Calendar'!$Q$1165&gt;=MIN(DATE(Summary!$C$12,1,1),Summary!$C$11))*('Dvd Calendar'!$Q$1165&lt;=MAX(DATE(Summary!$C$12,12,31),Summary!$C$15))*('Dvd Calendar'!$Q$1165&lt;=Summary!$C$11)=0,"",'Dvd Calendar'!$Q$1165*1000000000+ISNUMBER('Dvd Calendar'!$Q$1166)*100000000+('Dvd Calendar'!$Q$1170='Field Check'!$C$25)*10000000+(N('Dvd Calendar'!$Q$1164)&gt;0)*1000000+78*1000+13))</f>
        <v/>
      </c>
      <c r="P86" s="41">
        <f>IF(N('Dvd Calendar'!$R$1165)=0,"",IF(('Dvd Calendar'!$R$1165&gt;=MIN(DATE(Summary!$C$12,1,1),Summary!$C$11))*('Dvd Calendar'!$R$1165&lt;=MAX(DATE(Summary!$C$12,12,31),Summary!$C$15))*('Dvd Calendar'!$R$1165&lt;=Summary!$C$11)=0,"",'Dvd Calendar'!$R$1165*1000000000+ISNUMBER('Dvd Calendar'!$R$1166)*100000000+('Dvd Calendar'!$R$1170='Field Check'!$C$25)*10000000+(N('Dvd Calendar'!$R$1164)&gt;0)*1000000+78*1000+14))</f>
        <v/>
      </c>
      <c r="Q86" s="41">
        <f>IF(N('Dvd Calendar'!$S$1165)=0,"",IF(('Dvd Calendar'!$S$1165&gt;=MIN(DATE(Summary!$C$12,1,1),Summary!$C$11))*('Dvd Calendar'!$S$1165&lt;=MAX(DATE(Summary!$C$12,12,31),Summary!$C$15))*('Dvd Calendar'!$S$1165&lt;=Summary!$C$11)=0,"",'Dvd Calendar'!$S$1165*1000000000+ISNUMBER('Dvd Calendar'!$S$1166)*100000000+('Dvd Calendar'!$S$1170='Field Check'!$C$25)*10000000+(N('Dvd Calendar'!$S$1164)&gt;0)*1000000+78*1000+15))</f>
        <v/>
      </c>
      <c r="R86" s="41">
        <f>IF(N('Dvd Calendar'!$T$1165)=0,"",IF(('Dvd Calendar'!$T$1165&gt;=MIN(DATE(Summary!$C$12,1,1),Summary!$C$11))*('Dvd Calendar'!$T$1165&lt;=MAX(DATE(Summary!$C$12,12,31),Summary!$C$15))*('Dvd Calendar'!$T$1165&lt;=Summary!$C$11)=0,"",'Dvd Calendar'!$T$1165*1000000000+ISNUMBER('Dvd Calendar'!$T$1166)*100000000+('Dvd Calendar'!$T$1170='Field Check'!$C$25)*10000000+(N('Dvd Calendar'!$T$1164)&gt;0)*1000000+78*1000+16))</f>
        <v/>
      </c>
      <c r="S86" s="41">
        <f>IF(N('Dvd Calendar'!$U$1165)=0,"",IF(('Dvd Calendar'!$U$1165&gt;=MIN(DATE(Summary!$C$12,1,1),Summary!$C$11))*('Dvd Calendar'!$U$1165&lt;=MAX(DATE(Summary!$C$12,12,31),Summary!$C$15))*('Dvd Calendar'!$U$1165&lt;=Summary!$C$11)=0,"",'Dvd Calendar'!$U$1165*1000000000+ISNUMBER('Dvd Calendar'!$U$1166)*100000000+('Dvd Calendar'!$U$1170='Field Check'!$C$25)*10000000+(N('Dvd Calendar'!$U$1164)&gt;0)*1000000+78*1000+17))</f>
        <v/>
      </c>
      <c r="T86" s="41">
        <f>IF(N('Dvd Calendar'!$V$1165)=0,"",IF(('Dvd Calendar'!$V$1165&gt;=MIN(DATE(Summary!$C$12,1,1),Summary!$C$11))*('Dvd Calendar'!$V$1165&lt;=MAX(DATE(Summary!$C$12,12,31),Summary!$C$15))*('Dvd Calendar'!$V$1165&lt;=Summary!$C$11)=0,"",'Dvd Calendar'!$V$1165*1000000000+ISNUMBER('Dvd Calendar'!$V$1166)*100000000+('Dvd Calendar'!$V$1170='Field Check'!$C$25)*10000000+(N('Dvd Calendar'!$V$1164)&gt;0)*1000000+78*1000+18))</f>
        <v/>
      </c>
      <c r="U86" s="41">
        <f>IF(N('Dvd Calendar'!$W$1165)=0,"",IF(('Dvd Calendar'!$W$1165&gt;=MIN(DATE(Summary!$C$12,1,1),Summary!$C$11))*('Dvd Calendar'!$W$1165&lt;=MAX(DATE(Summary!$C$12,12,31),Summary!$C$15))*('Dvd Calendar'!$W$1165&lt;=Summary!$C$11)=0,"",'Dvd Calendar'!$W$1165*1000000000+ISNUMBER('Dvd Calendar'!$W$1166)*100000000+('Dvd Calendar'!$W$1170='Field Check'!$C$25)*10000000+(N('Dvd Calendar'!$W$1164)&gt;0)*1000000+78*1000+19))</f>
        <v/>
      </c>
      <c r="V86" s="41">
        <f>IF(N('Dvd Calendar'!$X$1165)=0,"",IF(('Dvd Calendar'!$X$1165&gt;=MIN(DATE(Summary!$C$12,1,1),Summary!$C$11))*('Dvd Calendar'!$X$1165&lt;=MAX(DATE(Summary!$C$12,12,31),Summary!$C$15))*('Dvd Calendar'!$X$1165&lt;=Summary!$C$11)=0,"",'Dvd Calendar'!$X$1165*1000000000+ISNUMBER('Dvd Calendar'!$X$1166)*100000000+('Dvd Calendar'!$X$1170='Field Check'!$C$25)*10000000+(N('Dvd Calendar'!$X$1164)&gt;0)*1000000+78*1000+20))</f>
        <v/>
      </c>
      <c r="W86" s="41">
        <f>IF(N('Dvd Calendar'!$Y$1165)=0,"",IF(('Dvd Calendar'!$Y$1165&gt;=MIN(DATE(Summary!$C$12,1,1),Summary!$C$11))*('Dvd Calendar'!$Y$1165&lt;=MAX(DATE(Summary!$C$12,12,31),Summary!$C$15))*('Dvd Calendar'!$Y$1165&lt;=Summary!$C$11)=0,"",'Dvd Calendar'!$Y$1165*1000000000+ISNUMBER('Dvd Calendar'!$Y$1166)*100000000+('Dvd Calendar'!$Y$1170='Field Check'!$C$25)*10000000+(N('Dvd Calendar'!$Y$1164)&gt;0)*1000000+78*1000+21))</f>
        <v/>
      </c>
      <c r="X86" s="41">
        <f>IF(N('Dvd Calendar'!$Z$1165)=0,"",IF(('Dvd Calendar'!$Z$1165&gt;=MIN(DATE(Summary!$C$12,1,1),Summary!$C$11))*('Dvd Calendar'!$Z$1165&lt;=MAX(DATE(Summary!$C$12,12,31),Summary!$C$15))*('Dvd Calendar'!$Z$1165&lt;=Summary!$C$11)=0,"",'Dvd Calendar'!$Z$1165*1000000000+ISNUMBER('Dvd Calendar'!$Z$1166)*100000000+('Dvd Calendar'!$Z$1170='Field Check'!$C$25)*10000000+(N('Dvd Calendar'!$Z$1164)&gt;0)*1000000+78*1000+22))</f>
        <v/>
      </c>
      <c r="Y86" s="41">
        <f>IF(N('Dvd Calendar'!$AA$1165)=0,"",IF(('Dvd Calendar'!$AA$1165&gt;=MIN(DATE(Summary!$C$12,1,1),Summary!$C$11))*('Dvd Calendar'!$AA$1165&lt;=MAX(DATE(Summary!$C$12,12,31),Summary!$C$15))*('Dvd Calendar'!$AA$1165&lt;=Summary!$C$11)=0,"",'Dvd Calendar'!$AA$1165*1000000000+ISNUMBER('Dvd Calendar'!$AA$1166)*100000000+('Dvd Calendar'!$AA$1170='Field Check'!$C$25)*10000000+(N('Dvd Calendar'!$AA$1164)&gt;0)*1000000+78*1000+23))</f>
        <v/>
      </c>
      <c r="Z86" s="41">
        <f>IF(N('Dvd Calendar'!$AB$1165)=0,"",IF(('Dvd Calendar'!$AB$1165&gt;=MIN(DATE(Summary!$C$12,1,1),Summary!$C$11))*('Dvd Calendar'!$AB$1165&lt;=MAX(DATE(Summary!$C$12,12,31),Summary!$C$15))*('Dvd Calendar'!$AB$1165&lt;=Summary!$C$11)=0,"",'Dvd Calendar'!$AB$1165*1000000000+ISNUMBER('Dvd Calendar'!$AB$1166)*100000000+('Dvd Calendar'!$AB$1170='Field Check'!$C$25)*10000000+(N('Dvd Calendar'!$AB$1164)&gt;0)*1000000+78*1000+24))</f>
        <v/>
      </c>
      <c r="AA86" s="41">
        <f>IF(N('Dvd Calendar'!$AC$1165)=0,"",IF(('Dvd Calendar'!$AC$1165&gt;=MIN(DATE(Summary!$C$12,1,1),Summary!$C$11))*('Dvd Calendar'!$AC$1165&lt;=MAX(DATE(Summary!$C$12,12,31),Summary!$C$15))*('Dvd Calendar'!$AC$1165&lt;=Summary!$C$11)=0,"",'Dvd Calendar'!$AC$1165*1000000000+ISNUMBER('Dvd Calendar'!$AC$1166)*100000000+('Dvd Calendar'!$AC$1170='Field Check'!$C$25)*10000000+(N('Dvd Calendar'!$AC$1164)&gt;0)*1000000+78*1000+25))</f>
        <v/>
      </c>
      <c r="AB86" s="41">
        <f>IF(N('Dvd Calendar'!$AD$1165)=0,"",IF(('Dvd Calendar'!$AD$1165&gt;=MIN(DATE(Summary!$C$12,1,1),Summary!$C$11))*('Dvd Calendar'!$AD$1165&lt;=MAX(DATE(Summary!$C$12,12,31),Summary!$C$15))*('Dvd Calendar'!$AD$1165&lt;=Summary!$C$11)=0,"",'Dvd Calendar'!$AD$1165*1000000000+ISNUMBER('Dvd Calendar'!$AD$1166)*100000000+('Dvd Calendar'!$AD$1170='Field Check'!$C$25)*10000000+(N('Dvd Calendar'!$AD$1164)&gt;0)*1000000+78*1000+26))</f>
        <v/>
      </c>
      <c r="AC86" s="41">
        <f>IF(N('Dvd Calendar'!$AE$1165)=0,"",IF(('Dvd Calendar'!$AE$1165&gt;=MIN(DATE(Summary!$C$12,1,1),Summary!$C$11))*('Dvd Calendar'!$AE$1165&lt;=MAX(DATE(Summary!$C$12,12,31),Summary!$C$15))*('Dvd Calendar'!$AE$1165&lt;=Summary!$C$11)=0,"",'Dvd Calendar'!$AE$1165*1000000000+ISNUMBER('Dvd Calendar'!$AE$1166)*100000000+('Dvd Calendar'!$AE$1170='Field Check'!$C$25)*10000000+(N('Dvd Calendar'!$AE$1164)&gt;0)*1000000+78*1000+27))</f>
        <v/>
      </c>
      <c r="AD86" s="41">
        <f>IF(N('Dvd Calendar'!$AF$1165)=0,"",IF(('Dvd Calendar'!$AF$1165&gt;=MIN(DATE(Summary!$C$12,1,1),Summary!$C$11))*('Dvd Calendar'!$AF$1165&lt;=MAX(DATE(Summary!$C$12,12,31),Summary!$C$15))*('Dvd Calendar'!$AF$1165&lt;=Summary!$C$11)=0,"",'Dvd Calendar'!$AF$1165*1000000000+ISNUMBER('Dvd Calendar'!$AF$1166)*100000000+('Dvd Calendar'!$AF$1170='Field Check'!$C$25)*10000000+(N('Dvd Calendar'!$AF$1164)&gt;0)*1000000+78*1000+28))</f>
        <v/>
      </c>
      <c r="AE86" s="41">
        <f>IF(N('Dvd Calendar'!$AG$1165)=0,"",IF(('Dvd Calendar'!$AG$1165&gt;=MIN(DATE(Summary!$C$12,1,1),Summary!$C$11))*('Dvd Calendar'!$AG$1165&lt;=MAX(DATE(Summary!$C$12,12,31),Summary!$C$15))*('Dvd Calendar'!$AG$1165&lt;=Summary!$C$11)=0,"",'Dvd Calendar'!$AG$1165*1000000000+ISNUMBER('Dvd Calendar'!$AG$1166)*100000000+('Dvd Calendar'!$AG$1170='Field Check'!$C$25)*10000000+(N('Dvd Calendar'!$AG$1164)&gt;0)*1000000+78*1000+29))</f>
        <v/>
      </c>
      <c r="AF86" s="41">
        <f>IF(N('Dvd Calendar'!$AH$1165)=0,"",IF(('Dvd Calendar'!$AH$1165&gt;=MIN(DATE(Summary!$C$12,1,1),Summary!$C$11))*('Dvd Calendar'!$AH$1165&lt;=MAX(DATE(Summary!$C$12,12,31),Summary!$C$15))*('Dvd Calendar'!$AH$1165&lt;=Summary!$C$11)=0,"",'Dvd Calendar'!$AH$1165*1000000000+ISNUMBER('Dvd Calendar'!$AH$1166)*100000000+('Dvd Calendar'!$AH$1170='Field Check'!$C$25)*10000000+(N('Dvd Calendar'!$AH$1164)&gt;0)*1000000+78*1000+30))</f>
        <v/>
      </c>
      <c r="AG86" s="41">
        <f>IF(N('Dvd Calendar'!$AI$1165)=0,"",IF(('Dvd Calendar'!$AI$1165&gt;=MIN(DATE(Summary!$C$12,1,1),Summary!$C$11))*('Dvd Calendar'!$AI$1165&lt;=MAX(DATE(Summary!$C$12,12,31),Summary!$C$15))*('Dvd Calendar'!$AI$1165&lt;=Summary!$C$11)=0,"",'Dvd Calendar'!$AI$1165*1000000000+ISNUMBER('Dvd Calendar'!$AI$1166)*100000000+('Dvd Calendar'!$AI$1170='Field Check'!$C$25)*10000000+(N('Dvd Calendar'!$AI$1164)&gt;0)*1000000+78*1000+31))</f>
        <v/>
      </c>
      <c r="AH86" s="41">
        <f>IF(N('Dvd Calendar'!$AJ$1165)=0,"",IF(('Dvd Calendar'!$AJ$1165&gt;=MIN(DATE(Summary!$C$12,1,1),Summary!$C$11))*('Dvd Calendar'!$AJ$1165&lt;=MAX(DATE(Summary!$C$12,12,31),Summary!$C$15))*('Dvd Calendar'!$AJ$1165&lt;=Summary!$C$11)=0,"",'Dvd Calendar'!$AJ$1165*1000000000+ISNUMBER('Dvd Calendar'!$AJ$1166)*100000000+('Dvd Calendar'!$AJ$1170='Field Check'!$C$25)*10000000+(N('Dvd Calendar'!$AJ$1164)&gt;0)*1000000+78*1000+32))</f>
        <v/>
      </c>
      <c r="AI86" s="41">
        <f>IF(N('Dvd Calendar'!$AK$1165)=0,"",IF(('Dvd Calendar'!$AK$1165&gt;=MIN(DATE(Summary!$C$12,1,1),Summary!$C$11))*('Dvd Calendar'!$AK$1165&lt;=MAX(DATE(Summary!$C$12,12,31),Summary!$C$15))*('Dvd Calendar'!$AK$1165&lt;=Summary!$C$11)=0,"",'Dvd Calendar'!$AK$1165*1000000000+ISNUMBER('Dvd Calendar'!$AK$1166)*100000000+('Dvd Calendar'!$AK$1170='Field Check'!$C$25)*10000000+(N('Dvd Calendar'!$AK$1164)&gt;0)*1000000+78*1000+33))</f>
        <v/>
      </c>
      <c r="AJ86" s="41">
        <f>IF(N('Dvd Calendar'!$AL$1165)=0,"",IF(('Dvd Calendar'!$AL$1165&gt;=MIN(DATE(Summary!$C$12,1,1),Summary!$C$11))*('Dvd Calendar'!$AL$1165&lt;=MAX(DATE(Summary!$C$12,12,31),Summary!$C$15))*('Dvd Calendar'!$AL$1165&lt;=Summary!$C$11)=0,"",'Dvd Calendar'!$AL$1165*1000000000+ISNUMBER('Dvd Calendar'!$AL$1166)*100000000+('Dvd Calendar'!$AL$1170='Field Check'!$C$25)*10000000+(N('Dvd Calendar'!$AL$1164)&gt;0)*1000000+78*1000+34))</f>
        <v/>
      </c>
      <c r="AK86" s="41">
        <f>IF(N('Dvd Calendar'!$AM$1165)=0,"",IF(('Dvd Calendar'!$AM$1165&gt;=MIN(DATE(Summary!$C$12,1,1),Summary!$C$11))*('Dvd Calendar'!$AM$1165&lt;=MAX(DATE(Summary!$C$12,12,31),Summary!$C$15))*('Dvd Calendar'!$AM$1165&lt;=Summary!$C$11)=0,"",'Dvd Calendar'!$AM$1165*1000000000+ISNUMBER('Dvd Calendar'!$AM$1166)*100000000+('Dvd Calendar'!$AM$1170='Field Check'!$C$25)*10000000+(N('Dvd Calendar'!$AM$1164)&gt;0)*1000000+78*1000+35))</f>
        <v/>
      </c>
      <c r="AL86" s="41">
        <f>IF(N('Dvd Calendar'!$AN$1165)=0,"",IF(('Dvd Calendar'!$AN$1165&gt;=MIN(DATE(Summary!$C$12,1,1),Summary!$C$11))*('Dvd Calendar'!$AN$1165&lt;=MAX(DATE(Summary!$C$12,12,31),Summary!$C$15))*('Dvd Calendar'!$AN$1165&lt;=Summary!$C$11)=0,"",'Dvd Calendar'!$AN$1165*1000000000+ISNUMBER('Dvd Calendar'!$AN$1166)*100000000+('Dvd Calendar'!$AN$1170='Field Check'!$C$25)*10000000+(N('Dvd Calendar'!$AN$1164)&gt;0)*1000000+78*1000+36))</f>
        <v/>
      </c>
      <c r="AM86" s="41">
        <f>IF(N('Dvd Calendar'!$AO$1165)=0,"",IF(('Dvd Calendar'!$AO$1165&gt;=MIN(DATE(Summary!$C$12,1,1),Summary!$C$11))*('Dvd Calendar'!$AO$1165&lt;=MAX(DATE(Summary!$C$12,12,31),Summary!$C$15))*('Dvd Calendar'!$AO$1165&lt;=Summary!$C$11)=0,"",'Dvd Calendar'!$AO$1165*1000000000+ISNUMBER('Dvd Calendar'!$AO$1166)*100000000+('Dvd Calendar'!$AO$1170='Field Check'!$C$25)*10000000+(N('Dvd Calendar'!$AO$1164)&gt;0)*1000000+78*1000+37))</f>
        <v/>
      </c>
      <c r="AN86" s="41">
        <f>IF(N('Dvd Calendar'!$AP$1165)=0,"",IF(('Dvd Calendar'!$AP$1165&gt;=MIN(DATE(Summary!$C$12,1,1),Summary!$C$11))*('Dvd Calendar'!$AP$1165&lt;=MAX(DATE(Summary!$C$12,12,31),Summary!$C$15))*('Dvd Calendar'!$AP$1165&lt;=Summary!$C$11)=0,"",'Dvd Calendar'!$AP$1165*1000000000+ISNUMBER('Dvd Calendar'!$AP$1166)*100000000+('Dvd Calendar'!$AP$1170='Field Check'!$C$25)*10000000+(N('Dvd Calendar'!$AP$1164)&gt;0)*1000000+78*1000+38))</f>
        <v/>
      </c>
      <c r="AO86" s="41">
        <f>IF(N('Dvd Calendar'!$AQ$1165)=0,"",IF(('Dvd Calendar'!$AQ$1165&gt;=MIN(DATE(Summary!$C$12,1,1),Summary!$C$11))*('Dvd Calendar'!$AQ$1165&lt;=MAX(DATE(Summary!$C$12,12,31),Summary!$C$15))*('Dvd Calendar'!$AQ$1165&lt;=Summary!$C$11)=0,"",'Dvd Calendar'!$AQ$1165*1000000000+ISNUMBER('Dvd Calendar'!$AQ$1166)*100000000+('Dvd Calendar'!$AQ$1170='Field Check'!$C$25)*10000000+(N('Dvd Calendar'!$AQ$1164)&gt;0)*1000000+78*1000+39))</f>
        <v/>
      </c>
      <c r="AP86" s="41">
        <f>IF(N('Dvd Calendar'!$AR$1165)=0,"",IF(('Dvd Calendar'!$AR$1165&gt;=MIN(DATE(Summary!$C$12,1,1),Summary!$C$11))*('Dvd Calendar'!$AR$1165&lt;=MAX(DATE(Summary!$C$12,12,31),Summary!$C$15))*('Dvd Calendar'!$AR$1165&lt;=Summary!$C$11)=0,"",'Dvd Calendar'!$AR$1165*1000000000+ISNUMBER('Dvd Calendar'!$AR$1166)*100000000+('Dvd Calendar'!$AR$1170='Field Check'!$C$25)*10000000+(N('Dvd Calendar'!$AR$1164)&gt;0)*1000000+78*1000+40))</f>
        <v/>
      </c>
      <c r="AQ86" s="41">
        <f>IF(N('Dvd Calendar'!$E$1172)=0,"",IF(('Dvd Calendar'!$E$1172&gt;=MIN(DATE(Summary!$C$12,1,1),Summary!$C$11))*('Dvd Calendar'!$E$1172&lt;=MAX(DATE(Summary!$C$12,12,31),Summary!$C$15))*('Dvd Calendar'!$E$1172&gt;Summary!$C$11)=0,"",'Dvd Calendar'!$E$1172*1000000000+ISNUMBER('Dvd Calendar'!$E$1173)*100000000+('Dvd Calendar'!$E$1177='Field Check'!$C$25)*10000000+(N('Dvd Calendar'!$E$1171)&gt;0)*1000000+78*1000+41))</f>
        <v/>
      </c>
      <c r="AR86" s="41">
        <f>IF(N('Dvd Calendar'!$F$1172)=0,"",IF(('Dvd Calendar'!$F$1172&gt;=MIN(DATE(Summary!$C$12,1,1),Summary!$C$11))*('Dvd Calendar'!$F$1172&lt;=MAX(DATE(Summary!$C$12,12,31),Summary!$C$15))*('Dvd Calendar'!$F$1172&gt;Summary!$C$11)=0,"",'Dvd Calendar'!$F$1172*1000000000+ISNUMBER('Dvd Calendar'!$F$1173)*100000000+('Dvd Calendar'!$F$1177='Field Check'!$C$25)*10000000+(N('Dvd Calendar'!$F$1171)&gt;0)*1000000+78*1000+42))</f>
        <v/>
      </c>
      <c r="AS86" s="41">
        <f>IF(N('Dvd Calendar'!$G$1172)=0,"",IF(('Dvd Calendar'!$G$1172&gt;=MIN(DATE(Summary!$C$12,1,1),Summary!$C$11))*('Dvd Calendar'!$G$1172&lt;=MAX(DATE(Summary!$C$12,12,31),Summary!$C$15))*('Dvd Calendar'!$G$1172&gt;Summary!$C$11)=0,"",'Dvd Calendar'!$G$1172*1000000000+ISNUMBER('Dvd Calendar'!$G$1173)*100000000+('Dvd Calendar'!$G$1177='Field Check'!$C$25)*10000000+(N('Dvd Calendar'!$G$1171)&gt;0)*1000000+78*1000+43))</f>
        <v/>
      </c>
      <c r="AT86" s="41">
        <f>IF(N('Dvd Calendar'!$H$1172)=0,"",IF(('Dvd Calendar'!$H$1172&gt;=MIN(DATE(Summary!$C$12,1,1),Summary!$C$11))*('Dvd Calendar'!$H$1172&lt;=MAX(DATE(Summary!$C$12,12,31),Summary!$C$15))*('Dvd Calendar'!$H$1172&gt;Summary!$C$11)=0,"",'Dvd Calendar'!$H$1172*1000000000+ISNUMBER('Dvd Calendar'!$H$1173)*100000000+('Dvd Calendar'!$H$1177='Field Check'!$C$25)*10000000+(N('Dvd Calendar'!$H$1171)&gt;0)*1000000+78*1000+44))</f>
        <v/>
      </c>
      <c r="AU86" s="41">
        <f>IF(N('Dvd Calendar'!$I$1172)=0,"",IF(('Dvd Calendar'!$I$1172&gt;=MIN(DATE(Summary!$C$12,1,1),Summary!$C$11))*('Dvd Calendar'!$I$1172&lt;=MAX(DATE(Summary!$C$12,12,31),Summary!$C$15))*('Dvd Calendar'!$I$1172&gt;Summary!$C$11)=0,"",'Dvd Calendar'!$I$1172*1000000000+ISNUMBER('Dvd Calendar'!$I$1173)*100000000+('Dvd Calendar'!$I$1177='Field Check'!$C$25)*10000000+(N('Dvd Calendar'!$I$1171)&gt;0)*1000000+78*1000+45))</f>
        <v/>
      </c>
      <c r="AV86" s="41">
        <f>IF(N('Dvd Calendar'!$J$1172)=0,"",IF(('Dvd Calendar'!$J$1172&gt;=MIN(DATE(Summary!$C$12,1,1),Summary!$C$11))*('Dvd Calendar'!$J$1172&lt;=MAX(DATE(Summary!$C$12,12,31),Summary!$C$15))*('Dvd Calendar'!$J$1172&gt;Summary!$C$11)=0,"",'Dvd Calendar'!$J$1172*1000000000+ISNUMBER('Dvd Calendar'!$J$1173)*100000000+('Dvd Calendar'!$J$1177='Field Check'!$C$25)*10000000+(N('Dvd Calendar'!$J$1171)&gt;0)*1000000+78*1000+46))</f>
        <v/>
      </c>
      <c r="AW86" s="41">
        <f>IF(N('Dvd Calendar'!$K$1172)=0,"",IF(('Dvd Calendar'!$K$1172&gt;=MIN(DATE(Summary!$C$12,1,1),Summary!$C$11))*('Dvd Calendar'!$K$1172&lt;=MAX(DATE(Summary!$C$12,12,31),Summary!$C$15))*('Dvd Calendar'!$K$1172&gt;Summary!$C$11)=0,"",'Dvd Calendar'!$K$1172*1000000000+ISNUMBER('Dvd Calendar'!$K$1173)*100000000+('Dvd Calendar'!$K$1177='Field Check'!$C$25)*10000000+(N('Dvd Calendar'!$K$1171)&gt;0)*1000000+78*1000+47))</f>
        <v/>
      </c>
      <c r="AX86" s="41">
        <f>IF(N('Dvd Calendar'!$L$1172)=0,"",IF(('Dvd Calendar'!$L$1172&gt;=MIN(DATE(Summary!$C$12,1,1),Summary!$C$11))*('Dvd Calendar'!$L$1172&lt;=MAX(DATE(Summary!$C$12,12,31),Summary!$C$15))*('Dvd Calendar'!$L$1172&gt;Summary!$C$11)=0,"",'Dvd Calendar'!$L$1172*1000000000+ISNUMBER('Dvd Calendar'!$L$1173)*100000000+('Dvd Calendar'!$L$1177='Field Check'!$C$25)*10000000+(N('Dvd Calendar'!$L$1171)&gt;0)*1000000+78*1000+48))</f>
        <v/>
      </c>
      <c r="AY86" s="41">
        <f>IF(N('Dvd Calendar'!$M$1172)=0,"",IF(('Dvd Calendar'!$M$1172&gt;=MIN(DATE(Summary!$C$12,1,1),Summary!$C$11))*('Dvd Calendar'!$M$1172&lt;=MAX(DATE(Summary!$C$12,12,31),Summary!$C$15))*('Dvd Calendar'!$M$1172&gt;Summary!$C$11)=0,"",'Dvd Calendar'!$M$1172*1000000000+ISNUMBER('Dvd Calendar'!$M$1173)*100000000+('Dvd Calendar'!$M$1177='Field Check'!$C$25)*10000000+(N('Dvd Calendar'!$M$1171)&gt;0)*1000000+78*1000+49))</f>
        <v/>
      </c>
      <c r="AZ86" s="41">
        <f>IF(N('Dvd Calendar'!$N$1172)=0,"",IF(('Dvd Calendar'!$N$1172&gt;=MIN(DATE(Summary!$C$12,1,1),Summary!$C$11))*('Dvd Calendar'!$N$1172&lt;=MAX(DATE(Summary!$C$12,12,31),Summary!$C$15))*('Dvd Calendar'!$N$1172&gt;Summary!$C$11)=0,"",'Dvd Calendar'!$N$1172*1000000000+ISNUMBER('Dvd Calendar'!$N$1173)*100000000+('Dvd Calendar'!$N$1177='Field Check'!$C$25)*10000000+(N('Dvd Calendar'!$N$1171)&gt;0)*1000000+78*1000+50))</f>
        <v/>
      </c>
      <c r="BA86" s="41">
        <f>IF(N('Dvd Calendar'!$O$1172)=0,"",IF(('Dvd Calendar'!$O$1172&gt;=MIN(DATE(Summary!$C$12,1,1),Summary!$C$11))*('Dvd Calendar'!$O$1172&lt;=MAX(DATE(Summary!$C$12,12,31),Summary!$C$15))*('Dvd Calendar'!$O$1172&gt;Summary!$C$11)=0,"",'Dvd Calendar'!$O$1172*1000000000+ISNUMBER('Dvd Calendar'!$O$1173)*100000000+('Dvd Calendar'!$O$1177='Field Check'!$C$25)*10000000+(N('Dvd Calendar'!$O$1171)&gt;0)*1000000+78*1000+51))</f>
        <v/>
      </c>
      <c r="BB86" s="41">
        <f>IF(N('Dvd Calendar'!$P$1172)=0,"",IF(('Dvd Calendar'!$P$1172&gt;=MIN(DATE(Summary!$C$12,1,1),Summary!$C$11))*('Dvd Calendar'!$P$1172&lt;=MAX(DATE(Summary!$C$12,12,31),Summary!$C$15))*('Dvd Calendar'!$P$1172&gt;Summary!$C$11)=0,"",'Dvd Calendar'!$P$1172*1000000000+ISNUMBER('Dvd Calendar'!$P$1173)*100000000+('Dvd Calendar'!$P$1177='Field Check'!$C$25)*10000000+(N('Dvd Calendar'!$P$1171)&gt;0)*1000000+78*1000+52))</f>
        <v/>
      </c>
      <c r="BC86" s="41">
        <f>IF(N('Dvd Calendar'!$Q$1172)=0,"",IF(('Dvd Calendar'!$Q$1172&gt;=MIN(DATE(Summary!$C$12,1,1),Summary!$C$11))*('Dvd Calendar'!$Q$1172&lt;=MAX(DATE(Summary!$C$12,12,31),Summary!$C$15))*('Dvd Calendar'!$Q$1172&gt;Summary!$C$11)=0,"",'Dvd Calendar'!$Q$1172*1000000000+ISNUMBER('Dvd Calendar'!$Q$1173)*100000000+('Dvd Calendar'!$Q$1177='Field Check'!$C$25)*10000000+(N('Dvd Calendar'!$Q$1171)&gt;0)*1000000+78*1000+53))</f>
        <v/>
      </c>
      <c r="BD86" s="41">
        <f>IF(N('Dvd Calendar'!$R$1172)=0,"",IF(('Dvd Calendar'!$R$1172&gt;=MIN(DATE(Summary!$C$12,1,1),Summary!$C$11))*('Dvd Calendar'!$R$1172&lt;=MAX(DATE(Summary!$C$12,12,31),Summary!$C$15))*('Dvd Calendar'!$R$1172&gt;Summary!$C$11)=0,"",'Dvd Calendar'!$R$1172*1000000000+ISNUMBER('Dvd Calendar'!$R$1173)*100000000+('Dvd Calendar'!$R$1177='Field Check'!$C$25)*10000000+(N('Dvd Calendar'!$R$1171)&gt;0)*1000000+78*1000+54))</f>
        <v/>
      </c>
      <c r="BE86" s="41">
        <f>IF(N('Dvd Calendar'!$S$1172)=0,"",IF(('Dvd Calendar'!$S$1172&gt;=MIN(DATE(Summary!$C$12,1,1),Summary!$C$11))*('Dvd Calendar'!$S$1172&lt;=MAX(DATE(Summary!$C$12,12,31),Summary!$C$15))*('Dvd Calendar'!$S$1172&gt;Summary!$C$11)=0,"",'Dvd Calendar'!$S$1172*1000000000+ISNUMBER('Dvd Calendar'!$S$1173)*100000000+('Dvd Calendar'!$S$1177='Field Check'!$C$25)*10000000+(N('Dvd Calendar'!$S$1171)&gt;0)*1000000+78*1000+55))</f>
        <v/>
      </c>
      <c r="BF86" s="41">
        <f>IF(N('Dvd Calendar'!$T$1172)=0,"",IF(('Dvd Calendar'!$T$1172&gt;=MIN(DATE(Summary!$C$12,1,1),Summary!$C$11))*('Dvd Calendar'!$T$1172&lt;=MAX(DATE(Summary!$C$12,12,31),Summary!$C$15))*('Dvd Calendar'!$T$1172&gt;Summary!$C$11)=0,"",'Dvd Calendar'!$T$1172*1000000000+ISNUMBER('Dvd Calendar'!$T$1173)*100000000+('Dvd Calendar'!$T$1177='Field Check'!$C$25)*10000000+(N('Dvd Calendar'!$T$1171)&gt;0)*1000000+78*1000+56))</f>
        <v/>
      </c>
      <c r="BG86" s="41">
        <f>IF(N('Dvd Calendar'!$U$1172)=0,"",IF(('Dvd Calendar'!$U$1172&gt;=MIN(DATE(Summary!$C$12,1,1),Summary!$C$11))*('Dvd Calendar'!$U$1172&lt;=MAX(DATE(Summary!$C$12,12,31),Summary!$C$15))*('Dvd Calendar'!$U$1172&gt;Summary!$C$11)=0,"",'Dvd Calendar'!$U$1172*1000000000+ISNUMBER('Dvd Calendar'!$U$1173)*100000000+('Dvd Calendar'!$U$1177='Field Check'!$C$25)*10000000+(N('Dvd Calendar'!$U$1171)&gt;0)*1000000+78*1000+57))</f>
        <v/>
      </c>
      <c r="BH86" s="41">
        <f>IF(N('Dvd Calendar'!$V$1172)=0,"",IF(('Dvd Calendar'!$V$1172&gt;=MIN(DATE(Summary!$C$12,1,1),Summary!$C$11))*('Dvd Calendar'!$V$1172&lt;=MAX(DATE(Summary!$C$12,12,31),Summary!$C$15))*('Dvd Calendar'!$V$1172&gt;Summary!$C$11)=0,"",'Dvd Calendar'!$V$1172*1000000000+ISNUMBER('Dvd Calendar'!$V$1173)*100000000+('Dvd Calendar'!$V$1177='Field Check'!$C$25)*10000000+(N('Dvd Calendar'!$V$1171)&gt;0)*1000000+78*1000+58))</f>
        <v/>
      </c>
      <c r="BI86" s="41">
        <f>IF(N('Dvd Calendar'!$W$1172)=0,"",IF(('Dvd Calendar'!$W$1172&gt;=MIN(DATE(Summary!$C$12,1,1),Summary!$C$11))*('Dvd Calendar'!$W$1172&lt;=MAX(DATE(Summary!$C$12,12,31),Summary!$C$15))*('Dvd Calendar'!$W$1172&gt;Summary!$C$11)=0,"",'Dvd Calendar'!$W$1172*1000000000+ISNUMBER('Dvd Calendar'!$W$1173)*100000000+('Dvd Calendar'!$W$1177='Field Check'!$C$25)*10000000+(N('Dvd Calendar'!$W$1171)&gt;0)*1000000+78*1000+59))</f>
        <v/>
      </c>
      <c r="BJ86" s="41">
        <f>IF(N('Dvd Calendar'!$X$1172)=0,"",IF(('Dvd Calendar'!$X$1172&gt;=MIN(DATE(Summary!$C$12,1,1),Summary!$C$11))*('Dvd Calendar'!$X$1172&lt;=MAX(DATE(Summary!$C$12,12,31),Summary!$C$15))*('Dvd Calendar'!$X$1172&gt;Summary!$C$11)=0,"",'Dvd Calendar'!$X$1172*1000000000+ISNUMBER('Dvd Calendar'!$X$1173)*100000000+('Dvd Calendar'!$X$1177='Field Check'!$C$25)*10000000+(N('Dvd Calendar'!$X$1171)&gt;0)*1000000+78*1000+60))</f>
        <v/>
      </c>
      <c r="BK86" s="41">
        <f>IF(N('Dvd Calendar'!$Y$1172)=0,"",IF(('Dvd Calendar'!$Y$1172&gt;=MIN(DATE(Summary!$C$12,1,1),Summary!$C$11))*('Dvd Calendar'!$Y$1172&lt;=MAX(DATE(Summary!$C$12,12,31),Summary!$C$15))*('Dvd Calendar'!$Y$1172&gt;Summary!$C$11)=0,"",'Dvd Calendar'!$Y$1172*1000000000+ISNUMBER('Dvd Calendar'!$Y$1173)*100000000+('Dvd Calendar'!$Y$1177='Field Check'!$C$25)*10000000+(N('Dvd Calendar'!$Y$1171)&gt;0)*1000000+78*1000+61))</f>
        <v/>
      </c>
      <c r="BL86" s="41">
        <f>IF(N('Dvd Calendar'!$Z$1172)=0,"",IF(('Dvd Calendar'!$Z$1172&gt;=MIN(DATE(Summary!$C$12,1,1),Summary!$C$11))*('Dvd Calendar'!$Z$1172&lt;=MAX(DATE(Summary!$C$12,12,31),Summary!$C$15))*('Dvd Calendar'!$Z$1172&gt;Summary!$C$11)=0,"",'Dvd Calendar'!$Z$1172*1000000000+ISNUMBER('Dvd Calendar'!$Z$1173)*100000000+('Dvd Calendar'!$Z$1177='Field Check'!$C$25)*10000000+(N('Dvd Calendar'!$Z$1171)&gt;0)*1000000+78*1000+62))</f>
        <v/>
      </c>
      <c r="BM86" s="41">
        <f>IF(N('Dvd Calendar'!$AA$1172)=0,"",IF(('Dvd Calendar'!$AA$1172&gt;=MIN(DATE(Summary!$C$12,1,1),Summary!$C$11))*('Dvd Calendar'!$AA$1172&lt;=MAX(DATE(Summary!$C$12,12,31),Summary!$C$15))*('Dvd Calendar'!$AA$1172&gt;Summary!$C$11)=0,"",'Dvd Calendar'!$AA$1172*1000000000+ISNUMBER('Dvd Calendar'!$AA$1173)*100000000+('Dvd Calendar'!$AA$1177='Field Check'!$C$25)*10000000+(N('Dvd Calendar'!$AA$1171)&gt;0)*1000000+78*1000+63))</f>
        <v/>
      </c>
      <c r="BN86" s="41">
        <f>IF(N('Dvd Calendar'!$AB$1172)=0,"",IF(('Dvd Calendar'!$AB$1172&gt;=MIN(DATE(Summary!$C$12,1,1),Summary!$C$11))*('Dvd Calendar'!$AB$1172&lt;=MAX(DATE(Summary!$C$12,12,31),Summary!$C$15))*('Dvd Calendar'!$AB$1172&gt;Summary!$C$11)=0,"",'Dvd Calendar'!$AB$1172*1000000000+ISNUMBER('Dvd Calendar'!$AB$1173)*100000000+('Dvd Calendar'!$AB$1177='Field Check'!$C$25)*10000000+(N('Dvd Calendar'!$AB$1171)&gt;0)*1000000+78*1000+64))</f>
        <v/>
      </c>
      <c r="BO86" s="41">
        <f>IF(N('Dvd Calendar'!$AC$1172)=0,"",IF(('Dvd Calendar'!$AC$1172&gt;=MIN(DATE(Summary!$C$12,1,1),Summary!$C$11))*('Dvd Calendar'!$AC$1172&lt;=MAX(DATE(Summary!$C$12,12,31),Summary!$C$15))*('Dvd Calendar'!$AC$1172&gt;Summary!$C$11)=0,"",'Dvd Calendar'!$AC$1172*1000000000+ISNUMBER('Dvd Calendar'!$AC$1173)*100000000+('Dvd Calendar'!$AC$1177='Field Check'!$C$25)*10000000+(N('Dvd Calendar'!$AC$1171)&gt;0)*1000000+78*1000+65))</f>
        <v/>
      </c>
      <c r="BQ86" s="85">
        <f>IF(C86="","",IF(ISNUMBER('Dvd Calendar'!$E$1166)=FALSE,"",IF((Summary!$C$13="N")*('Dvd Calendar'!$E$1170='Field Check'!$C$25)&gt;0,"",'Dvd Calendar'!$E$1166)))</f>
        <v/>
      </c>
      <c r="BR86" s="85">
        <f>IF(D86="","",IF(ISNUMBER('Dvd Calendar'!$F$1166)=FALSE,"",IF((Summary!$C$13="N")*('Dvd Calendar'!$F$1170='Field Check'!$C$25)&gt;0,"",'Dvd Calendar'!$F$1166)))</f>
        <v/>
      </c>
      <c r="BS86" s="85">
        <f>IF(E86="","",IF(ISNUMBER('Dvd Calendar'!$G$1166)=FALSE,"",IF((Summary!$C$13="N")*('Dvd Calendar'!$G$1170='Field Check'!$C$25)&gt;0,"",'Dvd Calendar'!$G$1166)))</f>
        <v/>
      </c>
      <c r="BT86" s="85">
        <f>IF(F86="","",IF(ISNUMBER('Dvd Calendar'!$H$1166)=FALSE,"",IF((Summary!$C$13="N")*('Dvd Calendar'!$H$1170='Field Check'!$C$25)&gt;0,"",'Dvd Calendar'!$H$1166)))</f>
        <v/>
      </c>
      <c r="BU86" s="85">
        <f>IF(G86="","",IF(ISNUMBER('Dvd Calendar'!$I$1166)=FALSE,"",IF((Summary!$C$13="N")*('Dvd Calendar'!$I$1170='Field Check'!$C$25)&gt;0,"",'Dvd Calendar'!$I$1166)))</f>
        <v/>
      </c>
      <c r="BV86" s="85">
        <f>IF(H86="","",IF(ISNUMBER('Dvd Calendar'!$J$1166)=FALSE,"",IF((Summary!$C$13="N")*('Dvd Calendar'!$J$1170='Field Check'!$C$25)&gt;0,"",'Dvd Calendar'!$J$1166)))</f>
        <v/>
      </c>
      <c r="BW86" s="85">
        <f>IF(I86="","",IF(ISNUMBER('Dvd Calendar'!$K$1166)=FALSE,"",IF((Summary!$C$13="N")*('Dvd Calendar'!$K$1170='Field Check'!$C$25)&gt;0,"",'Dvd Calendar'!$K$1166)))</f>
        <v/>
      </c>
      <c r="BX86" s="85">
        <f>IF(J86="","",IF(ISNUMBER('Dvd Calendar'!$L$1166)=FALSE,"",IF((Summary!$C$13="N")*('Dvd Calendar'!$L$1170='Field Check'!$C$25)&gt;0,"",'Dvd Calendar'!$L$1166)))</f>
        <v/>
      </c>
      <c r="BY86" s="85">
        <f>IF(K86="","",IF(ISNUMBER('Dvd Calendar'!$M$1166)=FALSE,"",IF((Summary!$C$13="N")*('Dvd Calendar'!$M$1170='Field Check'!$C$25)&gt;0,"",'Dvd Calendar'!$M$1166)))</f>
        <v/>
      </c>
      <c r="BZ86" s="85">
        <f>IF(L86="","",IF(ISNUMBER('Dvd Calendar'!$N$1166)=FALSE,"",IF((Summary!$C$13="N")*('Dvd Calendar'!$N$1170='Field Check'!$C$25)&gt;0,"",'Dvd Calendar'!$N$1166)))</f>
        <v/>
      </c>
      <c r="CA86" s="85">
        <f>IF(M86="","",IF(ISNUMBER('Dvd Calendar'!$O$1166)=FALSE,"",IF((Summary!$C$13="N")*('Dvd Calendar'!$O$1170='Field Check'!$C$25)&gt;0,"",'Dvd Calendar'!$O$1166)))</f>
        <v/>
      </c>
      <c r="CB86" s="85">
        <f>IF(N86="","",IF(ISNUMBER('Dvd Calendar'!$P$1166)=FALSE,"",IF((Summary!$C$13="N")*('Dvd Calendar'!$P$1170='Field Check'!$C$25)&gt;0,"",'Dvd Calendar'!$P$1166)))</f>
        <v/>
      </c>
      <c r="CC86" s="85">
        <f>IF(O86="","",IF(ISNUMBER('Dvd Calendar'!$Q$1166)=FALSE,"",IF((Summary!$C$13="N")*('Dvd Calendar'!$Q$1170='Field Check'!$C$25)&gt;0,"",'Dvd Calendar'!$Q$1166)))</f>
        <v/>
      </c>
      <c r="CD86" s="85">
        <f>IF(P86="","",IF(ISNUMBER('Dvd Calendar'!$R$1166)=FALSE,"",IF((Summary!$C$13="N")*('Dvd Calendar'!$R$1170='Field Check'!$C$25)&gt;0,"",'Dvd Calendar'!$R$1166)))</f>
        <v/>
      </c>
      <c r="CE86" s="85">
        <f>IF(Q86="","",IF(ISNUMBER('Dvd Calendar'!$S$1166)=FALSE,"",IF((Summary!$C$13="N")*('Dvd Calendar'!$S$1170='Field Check'!$C$25)&gt;0,"",'Dvd Calendar'!$S$1166)))</f>
        <v/>
      </c>
      <c r="CF86" s="85">
        <f>IF(R86="","",IF(ISNUMBER('Dvd Calendar'!$T$1166)=FALSE,"",IF((Summary!$C$13="N")*('Dvd Calendar'!$T$1170='Field Check'!$C$25)&gt;0,"",'Dvd Calendar'!$T$1166)))</f>
        <v/>
      </c>
      <c r="CG86" s="85">
        <f>IF(S86="","",IF(ISNUMBER('Dvd Calendar'!$U$1166)=FALSE,"",IF((Summary!$C$13="N")*('Dvd Calendar'!$U$1170='Field Check'!$C$25)&gt;0,"",'Dvd Calendar'!$U$1166)))</f>
        <v/>
      </c>
      <c r="CH86" s="85">
        <f>IF(T86="","",IF(ISNUMBER('Dvd Calendar'!$V$1166)=FALSE,"",IF((Summary!$C$13="N")*('Dvd Calendar'!$V$1170='Field Check'!$C$25)&gt;0,"",'Dvd Calendar'!$V$1166)))</f>
        <v/>
      </c>
      <c r="CI86" s="85">
        <f>IF(U86="","",IF(ISNUMBER('Dvd Calendar'!$W$1166)=FALSE,"",IF((Summary!$C$13="N")*('Dvd Calendar'!$W$1170='Field Check'!$C$25)&gt;0,"",'Dvd Calendar'!$W$1166)))</f>
        <v/>
      </c>
      <c r="CJ86" s="85">
        <f>IF(V86="","",IF(ISNUMBER('Dvd Calendar'!$X$1166)=FALSE,"",IF((Summary!$C$13="N")*('Dvd Calendar'!$X$1170='Field Check'!$C$25)&gt;0,"",'Dvd Calendar'!$X$1166)))</f>
        <v/>
      </c>
      <c r="CK86" s="85">
        <f>IF(W86="","",IF(ISNUMBER('Dvd Calendar'!$Y$1166)=FALSE,"",IF((Summary!$C$13="N")*('Dvd Calendar'!$Y$1170='Field Check'!$C$25)&gt;0,"",'Dvd Calendar'!$Y$1166)))</f>
        <v/>
      </c>
      <c r="CL86" s="85">
        <f>IF(X86="","",IF(ISNUMBER('Dvd Calendar'!$Z$1166)=FALSE,"",IF((Summary!$C$13="N")*('Dvd Calendar'!$Z$1170='Field Check'!$C$25)&gt;0,"",'Dvd Calendar'!$Z$1166)))</f>
        <v/>
      </c>
      <c r="CM86" s="85">
        <f>IF(Y86="","",IF(ISNUMBER('Dvd Calendar'!$AA$1166)=FALSE,"",IF((Summary!$C$13="N")*('Dvd Calendar'!$AA$1170='Field Check'!$C$25)&gt;0,"",'Dvd Calendar'!$AA$1166)))</f>
        <v/>
      </c>
      <c r="CN86" s="85">
        <f>IF(Z86="","",IF(ISNUMBER('Dvd Calendar'!$AB$1166)=FALSE,"",IF((Summary!$C$13="N")*('Dvd Calendar'!$AB$1170='Field Check'!$C$25)&gt;0,"",'Dvd Calendar'!$AB$1166)))</f>
        <v/>
      </c>
      <c r="CO86" s="85">
        <f>IF(AA86="","",IF(ISNUMBER('Dvd Calendar'!$AC$1166)=FALSE,"",IF((Summary!$C$13="N")*('Dvd Calendar'!$AC$1170='Field Check'!$C$25)&gt;0,"",'Dvd Calendar'!$AC$1166)))</f>
        <v/>
      </c>
      <c r="CP86" s="85">
        <f>IF(AB86="","",IF(ISNUMBER('Dvd Calendar'!$AD$1166)=FALSE,"",IF((Summary!$C$13="N")*('Dvd Calendar'!$AD$1170='Field Check'!$C$25)&gt;0,"",'Dvd Calendar'!$AD$1166)))</f>
        <v/>
      </c>
      <c r="CQ86" s="85">
        <f>IF(AC86="","",IF(ISNUMBER('Dvd Calendar'!$AE$1166)=FALSE,"",IF((Summary!$C$13="N")*('Dvd Calendar'!$AE$1170='Field Check'!$C$25)&gt;0,"",'Dvd Calendar'!$AE$1166)))</f>
        <v/>
      </c>
      <c r="CR86" s="85">
        <f>IF(AD86="","",IF(ISNUMBER('Dvd Calendar'!$AF$1166)=FALSE,"",IF((Summary!$C$13="N")*('Dvd Calendar'!$AF$1170='Field Check'!$C$25)&gt;0,"",'Dvd Calendar'!$AF$1166)))</f>
        <v/>
      </c>
      <c r="CS86" s="85">
        <f>IF(AE86="","",IF(ISNUMBER('Dvd Calendar'!$AG$1166)=FALSE,"",IF((Summary!$C$13="N")*('Dvd Calendar'!$AG$1170='Field Check'!$C$25)&gt;0,"",'Dvd Calendar'!$AG$1166)))</f>
        <v/>
      </c>
      <c r="CT86" s="85">
        <f>IF(AF86="","",IF(ISNUMBER('Dvd Calendar'!$AH$1166)=FALSE,"",IF((Summary!$C$13="N")*('Dvd Calendar'!$AH$1170='Field Check'!$C$25)&gt;0,"",'Dvd Calendar'!$AH$1166)))</f>
        <v/>
      </c>
      <c r="CU86" s="85">
        <f>IF(AG86="","",IF(ISNUMBER('Dvd Calendar'!$AI$1166)=FALSE,"",IF((Summary!$C$13="N")*('Dvd Calendar'!$AI$1170='Field Check'!$C$25)&gt;0,"",'Dvd Calendar'!$AI$1166)))</f>
        <v/>
      </c>
      <c r="CV86" s="85">
        <f>IF(AH86="","",IF(ISNUMBER('Dvd Calendar'!$AJ$1166)=FALSE,"",IF((Summary!$C$13="N")*('Dvd Calendar'!$AJ$1170='Field Check'!$C$25)&gt;0,"",'Dvd Calendar'!$AJ$1166)))</f>
        <v/>
      </c>
      <c r="CW86" s="85">
        <f>IF(AI86="","",IF(ISNUMBER('Dvd Calendar'!$AK$1166)=FALSE,"",IF((Summary!$C$13="N")*('Dvd Calendar'!$AK$1170='Field Check'!$C$25)&gt;0,"",'Dvd Calendar'!$AK$1166)))</f>
        <v/>
      </c>
      <c r="CX86" s="85">
        <f>IF(AJ86="","",IF(ISNUMBER('Dvd Calendar'!$AL$1166)=FALSE,"",IF((Summary!$C$13="N")*('Dvd Calendar'!$AL$1170='Field Check'!$C$25)&gt;0,"",'Dvd Calendar'!$AL$1166)))</f>
        <v/>
      </c>
      <c r="CY86" s="85">
        <f>IF(AK86="","",IF(ISNUMBER('Dvd Calendar'!$AM$1166)=FALSE,"",IF((Summary!$C$13="N")*('Dvd Calendar'!$AM$1170='Field Check'!$C$25)&gt;0,"",'Dvd Calendar'!$AM$1166)))</f>
        <v/>
      </c>
      <c r="CZ86" s="85">
        <f>IF(AL86="","",IF(ISNUMBER('Dvd Calendar'!$AN$1166)=FALSE,"",IF((Summary!$C$13="N")*('Dvd Calendar'!$AN$1170='Field Check'!$C$25)&gt;0,"",'Dvd Calendar'!$AN$1166)))</f>
        <v/>
      </c>
      <c r="DA86" s="85">
        <f>IF(AM86="","",IF(ISNUMBER('Dvd Calendar'!$AO$1166)=FALSE,"",IF((Summary!$C$13="N")*('Dvd Calendar'!$AO$1170='Field Check'!$C$25)&gt;0,"",'Dvd Calendar'!$AO$1166)))</f>
        <v/>
      </c>
      <c r="DB86" s="85">
        <f>IF(AN86="","",IF(ISNUMBER('Dvd Calendar'!$AP$1166)=FALSE,"",IF((Summary!$C$13="N")*('Dvd Calendar'!$AP$1170='Field Check'!$C$25)&gt;0,"",'Dvd Calendar'!$AP$1166)))</f>
        <v/>
      </c>
      <c r="DC86" s="85">
        <f>IF(AO86="","",IF(ISNUMBER('Dvd Calendar'!$AQ$1166)=FALSE,"",IF((Summary!$C$13="N")*('Dvd Calendar'!$AQ$1170='Field Check'!$C$25)&gt;0,"",'Dvd Calendar'!$AQ$1166)))</f>
        <v/>
      </c>
      <c r="DD86" s="85">
        <f>IF(AP86="","",IF(ISNUMBER('Dvd Calendar'!$AR$1166)=FALSE,"",IF((Summary!$C$13="N")*('Dvd Calendar'!$AR$1170='Field Check'!$C$25)&gt;0,"",'Dvd Calendar'!$AR$1166)))</f>
        <v/>
      </c>
      <c r="DE86" s="85">
        <f>IF(AQ86="","",IF(ISNUMBER('Dvd Calendar'!$E$1173)=FALSE,"",IF((Summary!$C$13="N")*('Dvd Calendar'!$E$1177='Field Check'!$C$25)&gt;0,"",'Dvd Calendar'!$E$1173)))</f>
        <v/>
      </c>
      <c r="DF86" s="85">
        <f>IF(AR86="","",IF(ISNUMBER('Dvd Calendar'!$F$1173)=FALSE,"",IF((Summary!$C$13="N")*('Dvd Calendar'!$F$1177='Field Check'!$C$25)&gt;0,"",'Dvd Calendar'!$F$1173)))</f>
        <v/>
      </c>
      <c r="DG86" s="85">
        <f>IF(AS86="","",IF(ISNUMBER('Dvd Calendar'!$G$1173)=FALSE,"",IF((Summary!$C$13="N")*('Dvd Calendar'!$G$1177='Field Check'!$C$25)&gt;0,"",'Dvd Calendar'!$G$1173)))</f>
        <v/>
      </c>
      <c r="DH86" s="85">
        <f>IF(AT86="","",IF(ISNUMBER('Dvd Calendar'!$H$1173)=FALSE,"",IF((Summary!$C$13="N")*('Dvd Calendar'!$H$1177='Field Check'!$C$25)&gt;0,"",'Dvd Calendar'!$H$1173)))</f>
        <v/>
      </c>
      <c r="DI86" s="85">
        <f>IF(AU86="","",IF(ISNUMBER('Dvd Calendar'!$I$1173)=FALSE,"",IF((Summary!$C$13="N")*('Dvd Calendar'!$I$1177='Field Check'!$C$25)&gt;0,"",'Dvd Calendar'!$I$1173)))</f>
        <v/>
      </c>
      <c r="DJ86" s="85">
        <f>IF(AV86="","",IF(ISNUMBER('Dvd Calendar'!$J$1173)=FALSE,"",IF((Summary!$C$13="N")*('Dvd Calendar'!$J$1177='Field Check'!$C$25)&gt;0,"",'Dvd Calendar'!$J$1173)))</f>
        <v/>
      </c>
      <c r="DK86" s="85">
        <f>IF(AW86="","",IF(ISNUMBER('Dvd Calendar'!$K$1173)=FALSE,"",IF((Summary!$C$13="N")*('Dvd Calendar'!$K$1177='Field Check'!$C$25)&gt;0,"",'Dvd Calendar'!$K$1173)))</f>
        <v/>
      </c>
      <c r="DL86" s="85">
        <f>IF(AX86="","",IF(ISNUMBER('Dvd Calendar'!$L$1173)=FALSE,"",IF((Summary!$C$13="N")*('Dvd Calendar'!$L$1177='Field Check'!$C$25)&gt;0,"",'Dvd Calendar'!$L$1173)))</f>
        <v/>
      </c>
      <c r="DM86" s="85">
        <f>IF(AY86="","",IF(ISNUMBER('Dvd Calendar'!$M$1173)=FALSE,"",IF((Summary!$C$13="N")*('Dvd Calendar'!$M$1177='Field Check'!$C$25)&gt;0,"",'Dvd Calendar'!$M$1173)))</f>
        <v/>
      </c>
      <c r="DN86" s="85">
        <f>IF(AZ86="","",IF(ISNUMBER('Dvd Calendar'!$N$1173)=FALSE,"",IF((Summary!$C$13="N")*('Dvd Calendar'!$N$1177='Field Check'!$C$25)&gt;0,"",'Dvd Calendar'!$N$1173)))</f>
        <v/>
      </c>
      <c r="DO86" s="85">
        <f>IF(BA86="","",IF(ISNUMBER('Dvd Calendar'!$O$1173)=FALSE,"",IF((Summary!$C$13="N")*('Dvd Calendar'!$O$1177='Field Check'!$C$25)&gt;0,"",'Dvd Calendar'!$O$1173)))</f>
        <v/>
      </c>
      <c r="DP86" s="85">
        <f>IF(BB86="","",IF(ISNUMBER('Dvd Calendar'!$P$1173)=FALSE,"",IF((Summary!$C$13="N")*('Dvd Calendar'!$P$1177='Field Check'!$C$25)&gt;0,"",'Dvd Calendar'!$P$1173)))</f>
        <v/>
      </c>
      <c r="DQ86" s="85">
        <f>IF(BC86="","",IF(ISNUMBER('Dvd Calendar'!$Q$1173)=FALSE,"",IF((Summary!$C$13="N")*('Dvd Calendar'!$Q$1177='Field Check'!$C$25)&gt;0,"",'Dvd Calendar'!$Q$1173)))</f>
        <v/>
      </c>
      <c r="DR86" s="85">
        <f>IF(BD86="","",IF(ISNUMBER('Dvd Calendar'!$R$1173)=FALSE,"",IF((Summary!$C$13="N")*('Dvd Calendar'!$R$1177='Field Check'!$C$25)&gt;0,"",'Dvd Calendar'!$R$1173)))</f>
        <v/>
      </c>
      <c r="DS86" s="85">
        <f>IF(BE86="","",IF(ISNUMBER('Dvd Calendar'!$S$1173)=FALSE,"",IF((Summary!$C$13="N")*('Dvd Calendar'!$S$1177='Field Check'!$C$25)&gt;0,"",'Dvd Calendar'!$S$1173)))</f>
        <v/>
      </c>
      <c r="DT86" s="85">
        <f>IF(BF86="","",IF(ISNUMBER('Dvd Calendar'!$T$1173)=FALSE,"",IF((Summary!$C$13="N")*('Dvd Calendar'!$T$1177='Field Check'!$C$25)&gt;0,"",'Dvd Calendar'!$T$1173)))</f>
        <v/>
      </c>
      <c r="DU86" s="85">
        <f>IF(BG86="","",IF(ISNUMBER('Dvd Calendar'!$U$1173)=FALSE,"",IF((Summary!$C$13="N")*('Dvd Calendar'!$U$1177='Field Check'!$C$25)&gt;0,"",'Dvd Calendar'!$U$1173)))</f>
        <v/>
      </c>
      <c r="DV86" s="85">
        <f>IF(BH86="","",IF(ISNUMBER('Dvd Calendar'!$V$1173)=FALSE,"",IF((Summary!$C$13="N")*('Dvd Calendar'!$V$1177='Field Check'!$C$25)&gt;0,"",'Dvd Calendar'!$V$1173)))</f>
        <v/>
      </c>
      <c r="DW86" s="85">
        <f>IF(BI86="","",IF(ISNUMBER('Dvd Calendar'!$W$1173)=FALSE,"",IF((Summary!$C$13="N")*('Dvd Calendar'!$W$1177='Field Check'!$C$25)&gt;0,"",'Dvd Calendar'!$W$1173)))</f>
        <v/>
      </c>
      <c r="DX86" s="85">
        <f>IF(BJ86="","",IF(ISNUMBER('Dvd Calendar'!$X$1173)=FALSE,"",IF((Summary!$C$13="N")*('Dvd Calendar'!$X$1177='Field Check'!$C$25)&gt;0,"",'Dvd Calendar'!$X$1173)))</f>
        <v/>
      </c>
      <c r="DY86" s="85">
        <f>IF(BK86="","",IF(ISNUMBER('Dvd Calendar'!$Y$1173)=FALSE,"",IF((Summary!$C$13="N")*('Dvd Calendar'!$Y$1177='Field Check'!$C$25)&gt;0,"",'Dvd Calendar'!$Y$1173)))</f>
        <v/>
      </c>
      <c r="DZ86" s="85">
        <f>IF(BL86="","",IF(ISNUMBER('Dvd Calendar'!$Z$1173)=FALSE,"",IF((Summary!$C$13="N")*('Dvd Calendar'!$Z$1177='Field Check'!$C$25)&gt;0,"",'Dvd Calendar'!$Z$1173)))</f>
        <v/>
      </c>
      <c r="EA86" s="85">
        <f>IF(BM86="","",IF(ISNUMBER('Dvd Calendar'!$AA$1173)=FALSE,"",IF((Summary!$C$13="N")*('Dvd Calendar'!$AA$1177='Field Check'!$C$25)&gt;0,"",'Dvd Calendar'!$AA$1173)))</f>
        <v/>
      </c>
      <c r="EB86" s="85">
        <f>IF(BN86="","",IF(ISNUMBER('Dvd Calendar'!$AB$1173)=FALSE,"",IF((Summary!$C$13="N")*('Dvd Calendar'!$AB$1177='Field Check'!$C$25)&gt;0,"",'Dvd Calendar'!$AB$1173)))</f>
        <v/>
      </c>
      <c r="EC86" s="85">
        <f>IF(BO86="","",IF(ISNUMBER('Dvd Calendar'!$AC$1173)=FALSE,"",IF((Summary!$C$13="N")*('Dvd Calendar'!$AC$1177='Field Check'!$C$25)&gt;0,"",'Dvd Calendar'!$AC$1173)))</f>
        <v/>
      </c>
      <c r="EE86" s="85">
        <f>IF(BQ86="","",IFERROR(BQ86*HSI!$B$84*HSI!$G$84/HSI!$B$3,""))</f>
        <v/>
      </c>
      <c r="EF86" s="85">
        <f>IF(BR86="","",IFERROR(BR86*HSI!$B$84*HSI!$G$84/HSI!$B$3,""))</f>
        <v/>
      </c>
      <c r="EG86" s="85">
        <f>IF(BS86="","",IFERROR(BS86*HSI!$B$84*HSI!$G$84/HSI!$B$3,""))</f>
        <v/>
      </c>
      <c r="EH86" s="85">
        <f>IF(BT86="","",IFERROR(BT86*HSI!$B$84*HSI!$G$84/HSI!$B$3,""))</f>
        <v/>
      </c>
      <c r="EI86" s="85">
        <f>IF(BU86="","",IFERROR(BU86*HSI!$B$84*HSI!$G$84/HSI!$B$3,""))</f>
        <v/>
      </c>
      <c r="EJ86" s="85">
        <f>IF(BV86="","",IFERROR(BV86*HSI!$B$84*HSI!$G$84/HSI!$B$3,""))</f>
        <v/>
      </c>
      <c r="EK86" s="85">
        <f>IF(BW86="","",IFERROR(BW86*HSI!$B$84*HSI!$G$84/HSI!$B$3,""))</f>
        <v/>
      </c>
      <c r="EL86" s="85">
        <f>IF(BX86="","",IFERROR(BX86*HSI!$B$84*HSI!$G$84/HSI!$B$3,""))</f>
        <v/>
      </c>
      <c r="EM86" s="85">
        <f>IF(BY86="","",IFERROR(BY86*HSI!$B$84*HSI!$G$84/HSI!$B$3,""))</f>
        <v/>
      </c>
      <c r="EN86" s="85">
        <f>IF(BZ86="","",IFERROR(BZ86*HSI!$B$84*HSI!$G$84/HSI!$B$3,""))</f>
        <v/>
      </c>
      <c r="EO86" s="85">
        <f>IF(CA86="","",IFERROR(CA86*HSI!$B$84*HSI!$G$84/HSI!$B$3,""))</f>
        <v/>
      </c>
      <c r="EP86" s="85">
        <f>IF(CB86="","",IFERROR(CB86*HSI!$B$84*HSI!$G$84/HSI!$B$3,""))</f>
        <v/>
      </c>
      <c r="EQ86" s="85">
        <f>IF(CC86="","",IFERROR(CC86*HSI!$B$84*HSI!$G$84/HSI!$B$3,""))</f>
        <v/>
      </c>
      <c r="ER86" s="85">
        <f>IF(CD86="","",IFERROR(CD86*HSI!$B$84*HSI!$G$84/HSI!$B$3,""))</f>
        <v/>
      </c>
      <c r="ES86" s="85">
        <f>IF(CE86="","",IFERROR(CE86*HSI!$B$84*HSI!$G$84/HSI!$B$3,""))</f>
        <v/>
      </c>
      <c r="ET86" s="85">
        <f>IF(CF86="","",IFERROR(CF86*HSI!$B$84*HSI!$G$84/HSI!$B$3,""))</f>
        <v/>
      </c>
      <c r="EU86" s="85">
        <f>IF(CG86="","",IFERROR(CG86*HSI!$B$84*HSI!$G$84/HSI!$B$3,""))</f>
        <v/>
      </c>
      <c r="EV86" s="85">
        <f>IF(CH86="","",IFERROR(CH86*HSI!$B$84*HSI!$G$84/HSI!$B$3,""))</f>
        <v/>
      </c>
      <c r="EW86" s="85">
        <f>IF(CI86="","",IFERROR(CI86*HSI!$B$84*HSI!$G$84/HSI!$B$3,""))</f>
        <v/>
      </c>
      <c r="EX86" s="85">
        <f>IF(CJ86="","",IFERROR(CJ86*HSI!$B$84*HSI!$G$84/HSI!$B$3,""))</f>
        <v/>
      </c>
      <c r="EY86" s="85">
        <f>IF(CK86="","",IFERROR(CK86*HSI!$B$84*HSI!$G$84/HSI!$B$3,""))</f>
        <v/>
      </c>
      <c r="EZ86" s="85">
        <f>IF(CL86="","",IFERROR(CL86*HSI!$B$84*HSI!$G$84/HSI!$B$3,""))</f>
        <v/>
      </c>
      <c r="FA86" s="85">
        <f>IF(CM86="","",IFERROR(CM86*HSI!$B$84*HSI!$G$84/HSI!$B$3,""))</f>
        <v/>
      </c>
      <c r="FB86" s="85">
        <f>IF(CN86="","",IFERROR(CN86*HSI!$B$84*HSI!$G$84/HSI!$B$3,""))</f>
        <v/>
      </c>
      <c r="FC86" s="85">
        <f>IF(CO86="","",IFERROR(CO86*HSI!$B$84*HSI!$G$84/HSI!$B$3,""))</f>
        <v/>
      </c>
      <c r="FD86" s="85">
        <f>IF(CP86="","",IFERROR(CP86*HSI!$B$84*HSI!$G$84/HSI!$B$3,""))</f>
        <v/>
      </c>
      <c r="FE86" s="85">
        <f>IF(CQ86="","",IFERROR(CQ86*HSI!$B$84*HSI!$G$84/HSI!$B$3,""))</f>
        <v/>
      </c>
      <c r="FF86" s="85">
        <f>IF(CR86="","",IFERROR(CR86*HSI!$B$84*HSI!$G$84/HSI!$B$3,""))</f>
        <v/>
      </c>
      <c r="FG86" s="85">
        <f>IF(CS86="","",IFERROR(CS86*HSI!$B$84*HSI!$G$84/HSI!$B$3,""))</f>
        <v/>
      </c>
      <c r="FH86" s="85">
        <f>IF(CT86="","",IFERROR(CT86*HSI!$B$84*HSI!$G$84/HSI!$B$3,""))</f>
        <v/>
      </c>
      <c r="FI86" s="85">
        <f>IF(CU86="","",IFERROR(CU86*HSI!$B$84*HSI!$G$84/HSI!$B$3,""))</f>
        <v/>
      </c>
      <c r="FJ86" s="85">
        <f>IF(CV86="","",IFERROR(CV86*HSI!$B$84*HSI!$G$84/HSI!$B$3,""))</f>
        <v/>
      </c>
      <c r="FK86" s="85">
        <f>IF(CW86="","",IFERROR(CW86*HSI!$B$84*HSI!$G$84/HSI!$B$3,""))</f>
        <v/>
      </c>
      <c r="FL86" s="85">
        <f>IF(CX86="","",IFERROR(CX86*HSI!$B$84*HSI!$G$84/HSI!$B$3,""))</f>
        <v/>
      </c>
      <c r="FM86" s="85">
        <f>IF(CY86="","",IFERROR(CY86*HSI!$B$84*HSI!$G$84/HSI!$B$3,""))</f>
        <v/>
      </c>
      <c r="FN86" s="85">
        <f>IF(CZ86="","",IFERROR(CZ86*HSI!$B$84*HSI!$G$84/HSI!$B$3,""))</f>
        <v/>
      </c>
      <c r="FO86" s="85">
        <f>IF(DA86="","",IFERROR(DA86*HSI!$B$84*HSI!$G$84/HSI!$B$3,""))</f>
        <v/>
      </c>
      <c r="FP86" s="85">
        <f>IF(DB86="","",IFERROR(DB86*HSI!$B$84*HSI!$G$84/HSI!$B$3,""))</f>
        <v/>
      </c>
      <c r="FQ86" s="85">
        <f>IF(DC86="","",IFERROR(DC86*HSI!$B$84*HSI!$G$84/HSI!$B$3,""))</f>
        <v/>
      </c>
      <c r="FR86" s="85">
        <f>IF(DD86="","",IFERROR(DD86*HSI!$B$84*HSI!$G$84/HSI!$B$3,""))</f>
        <v/>
      </c>
      <c r="FS86" s="85">
        <f>IF(DE86="","",IFERROR(DE86*HSI!$B$84*HSI!$G$84/HSI!$B$3,""))</f>
        <v/>
      </c>
      <c r="FT86" s="85">
        <f>IF(DF86="","",IFERROR(DF86*HSI!$B$84*HSI!$G$84/HSI!$B$3,""))</f>
        <v/>
      </c>
      <c r="FU86" s="85">
        <f>IF(DG86="","",IFERROR(DG86*HSI!$B$84*HSI!$G$84/HSI!$B$3,""))</f>
        <v/>
      </c>
      <c r="FV86" s="85">
        <f>IF(DH86="","",IFERROR(DH86*HSI!$B$84*HSI!$G$84/HSI!$B$3,""))</f>
        <v/>
      </c>
      <c r="FW86" s="85">
        <f>IF(DI86="","",IFERROR(DI86*HSI!$B$84*HSI!$G$84/HSI!$B$3,""))</f>
        <v/>
      </c>
      <c r="FX86" s="85">
        <f>IF(DJ86="","",IFERROR(DJ86*HSI!$B$84*HSI!$G$84/HSI!$B$3,""))</f>
        <v/>
      </c>
      <c r="FY86" s="85">
        <f>IF(DK86="","",IFERROR(DK86*HSI!$B$84*HSI!$G$84/HSI!$B$3,""))</f>
        <v/>
      </c>
      <c r="FZ86" s="85">
        <f>IF(DL86="","",IFERROR(DL86*HSI!$B$84*HSI!$G$84/HSI!$B$3,""))</f>
        <v/>
      </c>
      <c r="GA86" s="85">
        <f>IF(DM86="","",IFERROR(DM86*HSI!$B$84*HSI!$G$84/HSI!$B$3,""))</f>
        <v/>
      </c>
      <c r="GB86" s="85">
        <f>IF(DN86="","",IFERROR(DN86*HSI!$B$84*HSI!$G$84/HSI!$B$3,""))</f>
        <v/>
      </c>
      <c r="GC86" s="85">
        <f>IF(DO86="","",IFERROR(DO86*HSI!$B$84*HSI!$G$84/HSI!$B$3,""))</f>
        <v/>
      </c>
      <c r="GD86" s="85">
        <f>IF(DP86="","",IFERROR(DP86*HSI!$B$84*HSI!$G$84/HSI!$B$3,""))</f>
        <v/>
      </c>
      <c r="GE86" s="85">
        <f>IF(DQ86="","",IFERROR(DQ86*HSI!$B$84*HSI!$G$84/HSI!$B$3,""))</f>
        <v/>
      </c>
      <c r="GF86" s="85">
        <f>IF(DR86="","",IFERROR(DR86*HSI!$B$84*HSI!$G$84/HSI!$B$3,""))</f>
        <v/>
      </c>
      <c r="GG86" s="85">
        <f>IF(DS86="","",IFERROR(DS86*HSI!$B$84*HSI!$G$84/HSI!$B$3,""))</f>
        <v/>
      </c>
      <c r="GH86" s="85">
        <f>IF(DT86="","",IFERROR(DT86*HSI!$B$84*HSI!$G$84/HSI!$B$3,""))</f>
        <v/>
      </c>
      <c r="GI86" s="85">
        <f>IF(DU86="","",IFERROR(DU86*HSI!$B$84*HSI!$G$84/HSI!$B$3,""))</f>
        <v/>
      </c>
      <c r="GJ86" s="85">
        <f>IF(DV86="","",IFERROR(DV86*HSI!$B$84*HSI!$G$84/HSI!$B$3,""))</f>
        <v/>
      </c>
      <c r="GK86" s="85">
        <f>IF(DW86="","",IFERROR(DW86*HSI!$B$84*HSI!$G$84/HSI!$B$3,""))</f>
        <v/>
      </c>
      <c r="GL86" s="85">
        <f>IF(DX86="","",IFERROR(DX86*HSI!$B$84*HSI!$G$84/HSI!$B$3,""))</f>
        <v/>
      </c>
      <c r="GM86" s="85">
        <f>IF(DY86="","",IFERROR(DY86*HSI!$B$84*HSI!$G$84/HSI!$B$3,""))</f>
        <v/>
      </c>
      <c r="GN86" s="85">
        <f>IF(DZ86="","",IFERROR(DZ86*HSI!$B$84*HSI!$G$84/HSI!$B$3,""))</f>
        <v/>
      </c>
      <c r="GO86" s="85">
        <f>IF(EA86="","",IFERROR(EA86*HSI!$B$84*HSI!$G$84/HSI!$B$3,""))</f>
        <v/>
      </c>
      <c r="GP86" s="85">
        <f>IF(EB86="","",IFERROR(EB86*HSI!$B$84*HSI!$G$84/HSI!$B$3,""))</f>
        <v/>
      </c>
      <c r="GQ86" s="85">
        <f>IF(EC86="","",IFERROR(EC86*HSI!$B$84*HSI!$G$84/HSI!$B$3,""))</f>
        <v/>
      </c>
    </row>
    <row r="87">
      <c r="B87" s="2">
        <f>IF(HSI!$C$85="","",HSI!$C$85)</f>
        <v/>
      </c>
      <c r="C87" s="41">
        <f>IF(N('Dvd Calendar'!$E$1180)=0,"",IF(('Dvd Calendar'!$E$1180&gt;=MIN(DATE(Summary!$C$12,1,1),Summary!$C$11))*('Dvd Calendar'!$E$1180&lt;=MAX(DATE(Summary!$C$12,12,31),Summary!$C$15))*('Dvd Calendar'!$E$1180&lt;=Summary!$C$11)=0,"",'Dvd Calendar'!$E$1180*1000000000+ISNUMBER('Dvd Calendar'!$E$1181)*100000000+('Dvd Calendar'!$E$1185='Field Check'!$C$25)*10000000+(N('Dvd Calendar'!$E$1179)&gt;0)*1000000+79*1000+1))</f>
        <v/>
      </c>
      <c r="D87" s="41">
        <f>IF(N('Dvd Calendar'!$F$1180)=0,"",IF(('Dvd Calendar'!$F$1180&gt;=MIN(DATE(Summary!$C$12,1,1),Summary!$C$11))*('Dvd Calendar'!$F$1180&lt;=MAX(DATE(Summary!$C$12,12,31),Summary!$C$15))*('Dvd Calendar'!$F$1180&lt;=Summary!$C$11)=0,"",'Dvd Calendar'!$F$1180*1000000000+ISNUMBER('Dvd Calendar'!$F$1181)*100000000+('Dvd Calendar'!$F$1185='Field Check'!$C$25)*10000000+(N('Dvd Calendar'!$F$1179)&gt;0)*1000000+79*1000+2))</f>
        <v/>
      </c>
      <c r="E87" s="41">
        <f>IF(N('Dvd Calendar'!$G$1180)=0,"",IF(('Dvd Calendar'!$G$1180&gt;=MIN(DATE(Summary!$C$12,1,1),Summary!$C$11))*('Dvd Calendar'!$G$1180&lt;=MAX(DATE(Summary!$C$12,12,31),Summary!$C$15))*('Dvd Calendar'!$G$1180&lt;=Summary!$C$11)=0,"",'Dvd Calendar'!$G$1180*1000000000+ISNUMBER('Dvd Calendar'!$G$1181)*100000000+('Dvd Calendar'!$G$1185='Field Check'!$C$25)*10000000+(N('Dvd Calendar'!$G$1179)&gt;0)*1000000+79*1000+3))</f>
        <v/>
      </c>
      <c r="F87" s="41">
        <f>IF(N('Dvd Calendar'!$H$1180)=0,"",IF(('Dvd Calendar'!$H$1180&gt;=MIN(DATE(Summary!$C$12,1,1),Summary!$C$11))*('Dvd Calendar'!$H$1180&lt;=MAX(DATE(Summary!$C$12,12,31),Summary!$C$15))*('Dvd Calendar'!$H$1180&lt;=Summary!$C$11)=0,"",'Dvd Calendar'!$H$1180*1000000000+ISNUMBER('Dvd Calendar'!$H$1181)*100000000+('Dvd Calendar'!$H$1185='Field Check'!$C$25)*10000000+(N('Dvd Calendar'!$H$1179)&gt;0)*1000000+79*1000+4))</f>
        <v/>
      </c>
      <c r="G87" s="41">
        <f>IF(N('Dvd Calendar'!$I$1180)=0,"",IF(('Dvd Calendar'!$I$1180&gt;=MIN(DATE(Summary!$C$12,1,1),Summary!$C$11))*('Dvd Calendar'!$I$1180&lt;=MAX(DATE(Summary!$C$12,12,31),Summary!$C$15))*('Dvd Calendar'!$I$1180&lt;=Summary!$C$11)=0,"",'Dvd Calendar'!$I$1180*1000000000+ISNUMBER('Dvd Calendar'!$I$1181)*100000000+('Dvd Calendar'!$I$1185='Field Check'!$C$25)*10000000+(N('Dvd Calendar'!$I$1179)&gt;0)*1000000+79*1000+5))</f>
        <v/>
      </c>
      <c r="H87" s="41">
        <f>IF(N('Dvd Calendar'!$J$1180)=0,"",IF(('Dvd Calendar'!$J$1180&gt;=MIN(DATE(Summary!$C$12,1,1),Summary!$C$11))*('Dvd Calendar'!$J$1180&lt;=MAX(DATE(Summary!$C$12,12,31),Summary!$C$15))*('Dvd Calendar'!$J$1180&lt;=Summary!$C$11)=0,"",'Dvd Calendar'!$J$1180*1000000000+ISNUMBER('Dvd Calendar'!$J$1181)*100000000+('Dvd Calendar'!$J$1185='Field Check'!$C$25)*10000000+(N('Dvd Calendar'!$J$1179)&gt;0)*1000000+79*1000+6))</f>
        <v/>
      </c>
      <c r="I87" s="41">
        <f>IF(N('Dvd Calendar'!$K$1180)=0,"",IF(('Dvd Calendar'!$K$1180&gt;=MIN(DATE(Summary!$C$12,1,1),Summary!$C$11))*('Dvd Calendar'!$K$1180&lt;=MAX(DATE(Summary!$C$12,12,31),Summary!$C$15))*('Dvd Calendar'!$K$1180&lt;=Summary!$C$11)=0,"",'Dvd Calendar'!$K$1180*1000000000+ISNUMBER('Dvd Calendar'!$K$1181)*100000000+('Dvd Calendar'!$K$1185='Field Check'!$C$25)*10000000+(N('Dvd Calendar'!$K$1179)&gt;0)*1000000+79*1000+7))</f>
        <v/>
      </c>
      <c r="J87" s="41">
        <f>IF(N('Dvd Calendar'!$L$1180)=0,"",IF(('Dvd Calendar'!$L$1180&gt;=MIN(DATE(Summary!$C$12,1,1),Summary!$C$11))*('Dvd Calendar'!$L$1180&lt;=MAX(DATE(Summary!$C$12,12,31),Summary!$C$15))*('Dvd Calendar'!$L$1180&lt;=Summary!$C$11)=0,"",'Dvd Calendar'!$L$1180*1000000000+ISNUMBER('Dvd Calendar'!$L$1181)*100000000+('Dvd Calendar'!$L$1185='Field Check'!$C$25)*10000000+(N('Dvd Calendar'!$L$1179)&gt;0)*1000000+79*1000+8))</f>
        <v/>
      </c>
      <c r="K87" s="41">
        <f>IF(N('Dvd Calendar'!$M$1180)=0,"",IF(('Dvd Calendar'!$M$1180&gt;=MIN(DATE(Summary!$C$12,1,1),Summary!$C$11))*('Dvd Calendar'!$M$1180&lt;=MAX(DATE(Summary!$C$12,12,31),Summary!$C$15))*('Dvd Calendar'!$M$1180&lt;=Summary!$C$11)=0,"",'Dvd Calendar'!$M$1180*1000000000+ISNUMBER('Dvd Calendar'!$M$1181)*100000000+('Dvd Calendar'!$M$1185='Field Check'!$C$25)*10000000+(N('Dvd Calendar'!$M$1179)&gt;0)*1000000+79*1000+9))</f>
        <v/>
      </c>
      <c r="L87" s="41">
        <f>IF(N('Dvd Calendar'!$N$1180)=0,"",IF(('Dvd Calendar'!$N$1180&gt;=MIN(DATE(Summary!$C$12,1,1),Summary!$C$11))*('Dvd Calendar'!$N$1180&lt;=MAX(DATE(Summary!$C$12,12,31),Summary!$C$15))*('Dvd Calendar'!$N$1180&lt;=Summary!$C$11)=0,"",'Dvd Calendar'!$N$1180*1000000000+ISNUMBER('Dvd Calendar'!$N$1181)*100000000+('Dvd Calendar'!$N$1185='Field Check'!$C$25)*10000000+(N('Dvd Calendar'!$N$1179)&gt;0)*1000000+79*1000+10))</f>
        <v/>
      </c>
      <c r="M87" s="41">
        <f>IF(N('Dvd Calendar'!$O$1180)=0,"",IF(('Dvd Calendar'!$O$1180&gt;=MIN(DATE(Summary!$C$12,1,1),Summary!$C$11))*('Dvd Calendar'!$O$1180&lt;=MAX(DATE(Summary!$C$12,12,31),Summary!$C$15))*('Dvd Calendar'!$O$1180&lt;=Summary!$C$11)=0,"",'Dvd Calendar'!$O$1180*1000000000+ISNUMBER('Dvd Calendar'!$O$1181)*100000000+('Dvd Calendar'!$O$1185='Field Check'!$C$25)*10000000+(N('Dvd Calendar'!$O$1179)&gt;0)*1000000+79*1000+11))</f>
        <v/>
      </c>
      <c r="N87" s="41">
        <f>IF(N('Dvd Calendar'!$P$1180)=0,"",IF(('Dvd Calendar'!$P$1180&gt;=MIN(DATE(Summary!$C$12,1,1),Summary!$C$11))*('Dvd Calendar'!$P$1180&lt;=MAX(DATE(Summary!$C$12,12,31),Summary!$C$15))*('Dvd Calendar'!$P$1180&lt;=Summary!$C$11)=0,"",'Dvd Calendar'!$P$1180*1000000000+ISNUMBER('Dvd Calendar'!$P$1181)*100000000+('Dvd Calendar'!$P$1185='Field Check'!$C$25)*10000000+(N('Dvd Calendar'!$P$1179)&gt;0)*1000000+79*1000+12))</f>
        <v/>
      </c>
      <c r="O87" s="41">
        <f>IF(N('Dvd Calendar'!$Q$1180)=0,"",IF(('Dvd Calendar'!$Q$1180&gt;=MIN(DATE(Summary!$C$12,1,1),Summary!$C$11))*('Dvd Calendar'!$Q$1180&lt;=MAX(DATE(Summary!$C$12,12,31),Summary!$C$15))*('Dvd Calendar'!$Q$1180&lt;=Summary!$C$11)=0,"",'Dvd Calendar'!$Q$1180*1000000000+ISNUMBER('Dvd Calendar'!$Q$1181)*100000000+('Dvd Calendar'!$Q$1185='Field Check'!$C$25)*10000000+(N('Dvd Calendar'!$Q$1179)&gt;0)*1000000+79*1000+13))</f>
        <v/>
      </c>
      <c r="P87" s="41">
        <f>IF(N('Dvd Calendar'!$R$1180)=0,"",IF(('Dvd Calendar'!$R$1180&gt;=MIN(DATE(Summary!$C$12,1,1),Summary!$C$11))*('Dvd Calendar'!$R$1180&lt;=MAX(DATE(Summary!$C$12,12,31),Summary!$C$15))*('Dvd Calendar'!$R$1180&lt;=Summary!$C$11)=0,"",'Dvd Calendar'!$R$1180*1000000000+ISNUMBER('Dvd Calendar'!$R$1181)*100000000+('Dvd Calendar'!$R$1185='Field Check'!$C$25)*10000000+(N('Dvd Calendar'!$R$1179)&gt;0)*1000000+79*1000+14))</f>
        <v/>
      </c>
      <c r="Q87" s="41">
        <f>IF(N('Dvd Calendar'!$S$1180)=0,"",IF(('Dvd Calendar'!$S$1180&gt;=MIN(DATE(Summary!$C$12,1,1),Summary!$C$11))*('Dvd Calendar'!$S$1180&lt;=MAX(DATE(Summary!$C$12,12,31),Summary!$C$15))*('Dvd Calendar'!$S$1180&lt;=Summary!$C$11)=0,"",'Dvd Calendar'!$S$1180*1000000000+ISNUMBER('Dvd Calendar'!$S$1181)*100000000+('Dvd Calendar'!$S$1185='Field Check'!$C$25)*10000000+(N('Dvd Calendar'!$S$1179)&gt;0)*1000000+79*1000+15))</f>
        <v/>
      </c>
      <c r="R87" s="41">
        <f>IF(N('Dvd Calendar'!$T$1180)=0,"",IF(('Dvd Calendar'!$T$1180&gt;=MIN(DATE(Summary!$C$12,1,1),Summary!$C$11))*('Dvd Calendar'!$T$1180&lt;=MAX(DATE(Summary!$C$12,12,31),Summary!$C$15))*('Dvd Calendar'!$T$1180&lt;=Summary!$C$11)=0,"",'Dvd Calendar'!$T$1180*1000000000+ISNUMBER('Dvd Calendar'!$T$1181)*100000000+('Dvd Calendar'!$T$1185='Field Check'!$C$25)*10000000+(N('Dvd Calendar'!$T$1179)&gt;0)*1000000+79*1000+16))</f>
        <v/>
      </c>
      <c r="S87" s="41">
        <f>IF(N('Dvd Calendar'!$U$1180)=0,"",IF(('Dvd Calendar'!$U$1180&gt;=MIN(DATE(Summary!$C$12,1,1),Summary!$C$11))*('Dvd Calendar'!$U$1180&lt;=MAX(DATE(Summary!$C$12,12,31),Summary!$C$15))*('Dvd Calendar'!$U$1180&lt;=Summary!$C$11)=0,"",'Dvd Calendar'!$U$1180*1000000000+ISNUMBER('Dvd Calendar'!$U$1181)*100000000+('Dvd Calendar'!$U$1185='Field Check'!$C$25)*10000000+(N('Dvd Calendar'!$U$1179)&gt;0)*1000000+79*1000+17))</f>
        <v/>
      </c>
      <c r="T87" s="41">
        <f>IF(N('Dvd Calendar'!$V$1180)=0,"",IF(('Dvd Calendar'!$V$1180&gt;=MIN(DATE(Summary!$C$12,1,1),Summary!$C$11))*('Dvd Calendar'!$V$1180&lt;=MAX(DATE(Summary!$C$12,12,31),Summary!$C$15))*('Dvd Calendar'!$V$1180&lt;=Summary!$C$11)=0,"",'Dvd Calendar'!$V$1180*1000000000+ISNUMBER('Dvd Calendar'!$V$1181)*100000000+('Dvd Calendar'!$V$1185='Field Check'!$C$25)*10000000+(N('Dvd Calendar'!$V$1179)&gt;0)*1000000+79*1000+18))</f>
        <v/>
      </c>
      <c r="U87" s="41">
        <f>IF(N('Dvd Calendar'!$W$1180)=0,"",IF(('Dvd Calendar'!$W$1180&gt;=MIN(DATE(Summary!$C$12,1,1),Summary!$C$11))*('Dvd Calendar'!$W$1180&lt;=MAX(DATE(Summary!$C$12,12,31),Summary!$C$15))*('Dvd Calendar'!$W$1180&lt;=Summary!$C$11)=0,"",'Dvd Calendar'!$W$1180*1000000000+ISNUMBER('Dvd Calendar'!$W$1181)*100000000+('Dvd Calendar'!$W$1185='Field Check'!$C$25)*10000000+(N('Dvd Calendar'!$W$1179)&gt;0)*1000000+79*1000+19))</f>
        <v/>
      </c>
      <c r="V87" s="41">
        <f>IF(N('Dvd Calendar'!$X$1180)=0,"",IF(('Dvd Calendar'!$X$1180&gt;=MIN(DATE(Summary!$C$12,1,1),Summary!$C$11))*('Dvd Calendar'!$X$1180&lt;=MAX(DATE(Summary!$C$12,12,31),Summary!$C$15))*('Dvd Calendar'!$X$1180&lt;=Summary!$C$11)=0,"",'Dvd Calendar'!$X$1180*1000000000+ISNUMBER('Dvd Calendar'!$X$1181)*100000000+('Dvd Calendar'!$X$1185='Field Check'!$C$25)*10000000+(N('Dvd Calendar'!$X$1179)&gt;0)*1000000+79*1000+20))</f>
        <v/>
      </c>
      <c r="W87" s="41">
        <f>IF(N('Dvd Calendar'!$Y$1180)=0,"",IF(('Dvd Calendar'!$Y$1180&gt;=MIN(DATE(Summary!$C$12,1,1),Summary!$C$11))*('Dvd Calendar'!$Y$1180&lt;=MAX(DATE(Summary!$C$12,12,31),Summary!$C$15))*('Dvd Calendar'!$Y$1180&lt;=Summary!$C$11)=0,"",'Dvd Calendar'!$Y$1180*1000000000+ISNUMBER('Dvd Calendar'!$Y$1181)*100000000+('Dvd Calendar'!$Y$1185='Field Check'!$C$25)*10000000+(N('Dvd Calendar'!$Y$1179)&gt;0)*1000000+79*1000+21))</f>
        <v/>
      </c>
      <c r="X87" s="41">
        <f>IF(N('Dvd Calendar'!$Z$1180)=0,"",IF(('Dvd Calendar'!$Z$1180&gt;=MIN(DATE(Summary!$C$12,1,1),Summary!$C$11))*('Dvd Calendar'!$Z$1180&lt;=MAX(DATE(Summary!$C$12,12,31),Summary!$C$15))*('Dvd Calendar'!$Z$1180&lt;=Summary!$C$11)=0,"",'Dvd Calendar'!$Z$1180*1000000000+ISNUMBER('Dvd Calendar'!$Z$1181)*100000000+('Dvd Calendar'!$Z$1185='Field Check'!$C$25)*10000000+(N('Dvd Calendar'!$Z$1179)&gt;0)*1000000+79*1000+22))</f>
        <v/>
      </c>
      <c r="Y87" s="41">
        <f>IF(N('Dvd Calendar'!$AA$1180)=0,"",IF(('Dvd Calendar'!$AA$1180&gt;=MIN(DATE(Summary!$C$12,1,1),Summary!$C$11))*('Dvd Calendar'!$AA$1180&lt;=MAX(DATE(Summary!$C$12,12,31),Summary!$C$15))*('Dvd Calendar'!$AA$1180&lt;=Summary!$C$11)=0,"",'Dvd Calendar'!$AA$1180*1000000000+ISNUMBER('Dvd Calendar'!$AA$1181)*100000000+('Dvd Calendar'!$AA$1185='Field Check'!$C$25)*10000000+(N('Dvd Calendar'!$AA$1179)&gt;0)*1000000+79*1000+23))</f>
        <v/>
      </c>
      <c r="Z87" s="41">
        <f>IF(N('Dvd Calendar'!$AB$1180)=0,"",IF(('Dvd Calendar'!$AB$1180&gt;=MIN(DATE(Summary!$C$12,1,1),Summary!$C$11))*('Dvd Calendar'!$AB$1180&lt;=MAX(DATE(Summary!$C$12,12,31),Summary!$C$15))*('Dvd Calendar'!$AB$1180&lt;=Summary!$C$11)=0,"",'Dvd Calendar'!$AB$1180*1000000000+ISNUMBER('Dvd Calendar'!$AB$1181)*100000000+('Dvd Calendar'!$AB$1185='Field Check'!$C$25)*10000000+(N('Dvd Calendar'!$AB$1179)&gt;0)*1000000+79*1000+24))</f>
        <v/>
      </c>
      <c r="AA87" s="41">
        <f>IF(N('Dvd Calendar'!$AC$1180)=0,"",IF(('Dvd Calendar'!$AC$1180&gt;=MIN(DATE(Summary!$C$12,1,1),Summary!$C$11))*('Dvd Calendar'!$AC$1180&lt;=MAX(DATE(Summary!$C$12,12,31),Summary!$C$15))*('Dvd Calendar'!$AC$1180&lt;=Summary!$C$11)=0,"",'Dvd Calendar'!$AC$1180*1000000000+ISNUMBER('Dvd Calendar'!$AC$1181)*100000000+('Dvd Calendar'!$AC$1185='Field Check'!$C$25)*10000000+(N('Dvd Calendar'!$AC$1179)&gt;0)*1000000+79*1000+25))</f>
        <v/>
      </c>
      <c r="AB87" s="41">
        <f>IF(N('Dvd Calendar'!$AD$1180)=0,"",IF(('Dvd Calendar'!$AD$1180&gt;=MIN(DATE(Summary!$C$12,1,1),Summary!$C$11))*('Dvd Calendar'!$AD$1180&lt;=MAX(DATE(Summary!$C$12,12,31),Summary!$C$15))*('Dvd Calendar'!$AD$1180&lt;=Summary!$C$11)=0,"",'Dvd Calendar'!$AD$1180*1000000000+ISNUMBER('Dvd Calendar'!$AD$1181)*100000000+('Dvd Calendar'!$AD$1185='Field Check'!$C$25)*10000000+(N('Dvd Calendar'!$AD$1179)&gt;0)*1000000+79*1000+26))</f>
        <v/>
      </c>
      <c r="AC87" s="41">
        <f>IF(N('Dvd Calendar'!$AE$1180)=0,"",IF(('Dvd Calendar'!$AE$1180&gt;=MIN(DATE(Summary!$C$12,1,1),Summary!$C$11))*('Dvd Calendar'!$AE$1180&lt;=MAX(DATE(Summary!$C$12,12,31),Summary!$C$15))*('Dvd Calendar'!$AE$1180&lt;=Summary!$C$11)=0,"",'Dvd Calendar'!$AE$1180*1000000000+ISNUMBER('Dvd Calendar'!$AE$1181)*100000000+('Dvd Calendar'!$AE$1185='Field Check'!$C$25)*10000000+(N('Dvd Calendar'!$AE$1179)&gt;0)*1000000+79*1000+27))</f>
        <v/>
      </c>
      <c r="AD87" s="41">
        <f>IF(N('Dvd Calendar'!$AF$1180)=0,"",IF(('Dvd Calendar'!$AF$1180&gt;=MIN(DATE(Summary!$C$12,1,1),Summary!$C$11))*('Dvd Calendar'!$AF$1180&lt;=MAX(DATE(Summary!$C$12,12,31),Summary!$C$15))*('Dvd Calendar'!$AF$1180&lt;=Summary!$C$11)=0,"",'Dvd Calendar'!$AF$1180*1000000000+ISNUMBER('Dvd Calendar'!$AF$1181)*100000000+('Dvd Calendar'!$AF$1185='Field Check'!$C$25)*10000000+(N('Dvd Calendar'!$AF$1179)&gt;0)*1000000+79*1000+28))</f>
        <v/>
      </c>
      <c r="AE87" s="41">
        <f>IF(N('Dvd Calendar'!$AG$1180)=0,"",IF(('Dvd Calendar'!$AG$1180&gt;=MIN(DATE(Summary!$C$12,1,1),Summary!$C$11))*('Dvd Calendar'!$AG$1180&lt;=MAX(DATE(Summary!$C$12,12,31),Summary!$C$15))*('Dvd Calendar'!$AG$1180&lt;=Summary!$C$11)=0,"",'Dvd Calendar'!$AG$1180*1000000000+ISNUMBER('Dvd Calendar'!$AG$1181)*100000000+('Dvd Calendar'!$AG$1185='Field Check'!$C$25)*10000000+(N('Dvd Calendar'!$AG$1179)&gt;0)*1000000+79*1000+29))</f>
        <v/>
      </c>
      <c r="AF87" s="41">
        <f>IF(N('Dvd Calendar'!$AH$1180)=0,"",IF(('Dvd Calendar'!$AH$1180&gt;=MIN(DATE(Summary!$C$12,1,1),Summary!$C$11))*('Dvd Calendar'!$AH$1180&lt;=MAX(DATE(Summary!$C$12,12,31),Summary!$C$15))*('Dvd Calendar'!$AH$1180&lt;=Summary!$C$11)=0,"",'Dvd Calendar'!$AH$1180*1000000000+ISNUMBER('Dvd Calendar'!$AH$1181)*100000000+('Dvd Calendar'!$AH$1185='Field Check'!$C$25)*10000000+(N('Dvd Calendar'!$AH$1179)&gt;0)*1000000+79*1000+30))</f>
        <v/>
      </c>
      <c r="AG87" s="41">
        <f>IF(N('Dvd Calendar'!$AI$1180)=0,"",IF(('Dvd Calendar'!$AI$1180&gt;=MIN(DATE(Summary!$C$12,1,1),Summary!$C$11))*('Dvd Calendar'!$AI$1180&lt;=MAX(DATE(Summary!$C$12,12,31),Summary!$C$15))*('Dvd Calendar'!$AI$1180&lt;=Summary!$C$11)=0,"",'Dvd Calendar'!$AI$1180*1000000000+ISNUMBER('Dvd Calendar'!$AI$1181)*100000000+('Dvd Calendar'!$AI$1185='Field Check'!$C$25)*10000000+(N('Dvd Calendar'!$AI$1179)&gt;0)*1000000+79*1000+31))</f>
        <v/>
      </c>
      <c r="AH87" s="41">
        <f>IF(N('Dvd Calendar'!$AJ$1180)=0,"",IF(('Dvd Calendar'!$AJ$1180&gt;=MIN(DATE(Summary!$C$12,1,1),Summary!$C$11))*('Dvd Calendar'!$AJ$1180&lt;=MAX(DATE(Summary!$C$12,12,31),Summary!$C$15))*('Dvd Calendar'!$AJ$1180&lt;=Summary!$C$11)=0,"",'Dvd Calendar'!$AJ$1180*1000000000+ISNUMBER('Dvd Calendar'!$AJ$1181)*100000000+('Dvd Calendar'!$AJ$1185='Field Check'!$C$25)*10000000+(N('Dvd Calendar'!$AJ$1179)&gt;0)*1000000+79*1000+32))</f>
        <v/>
      </c>
      <c r="AI87" s="41">
        <f>IF(N('Dvd Calendar'!$AK$1180)=0,"",IF(('Dvd Calendar'!$AK$1180&gt;=MIN(DATE(Summary!$C$12,1,1),Summary!$C$11))*('Dvd Calendar'!$AK$1180&lt;=MAX(DATE(Summary!$C$12,12,31),Summary!$C$15))*('Dvd Calendar'!$AK$1180&lt;=Summary!$C$11)=0,"",'Dvd Calendar'!$AK$1180*1000000000+ISNUMBER('Dvd Calendar'!$AK$1181)*100000000+('Dvd Calendar'!$AK$1185='Field Check'!$C$25)*10000000+(N('Dvd Calendar'!$AK$1179)&gt;0)*1000000+79*1000+33))</f>
        <v/>
      </c>
      <c r="AJ87" s="41">
        <f>IF(N('Dvd Calendar'!$AL$1180)=0,"",IF(('Dvd Calendar'!$AL$1180&gt;=MIN(DATE(Summary!$C$12,1,1),Summary!$C$11))*('Dvd Calendar'!$AL$1180&lt;=MAX(DATE(Summary!$C$12,12,31),Summary!$C$15))*('Dvd Calendar'!$AL$1180&lt;=Summary!$C$11)=0,"",'Dvd Calendar'!$AL$1180*1000000000+ISNUMBER('Dvd Calendar'!$AL$1181)*100000000+('Dvd Calendar'!$AL$1185='Field Check'!$C$25)*10000000+(N('Dvd Calendar'!$AL$1179)&gt;0)*1000000+79*1000+34))</f>
        <v/>
      </c>
      <c r="AK87" s="41">
        <f>IF(N('Dvd Calendar'!$AM$1180)=0,"",IF(('Dvd Calendar'!$AM$1180&gt;=MIN(DATE(Summary!$C$12,1,1),Summary!$C$11))*('Dvd Calendar'!$AM$1180&lt;=MAX(DATE(Summary!$C$12,12,31),Summary!$C$15))*('Dvd Calendar'!$AM$1180&lt;=Summary!$C$11)=0,"",'Dvd Calendar'!$AM$1180*1000000000+ISNUMBER('Dvd Calendar'!$AM$1181)*100000000+('Dvd Calendar'!$AM$1185='Field Check'!$C$25)*10000000+(N('Dvd Calendar'!$AM$1179)&gt;0)*1000000+79*1000+35))</f>
        <v/>
      </c>
      <c r="AL87" s="41">
        <f>IF(N('Dvd Calendar'!$AN$1180)=0,"",IF(('Dvd Calendar'!$AN$1180&gt;=MIN(DATE(Summary!$C$12,1,1),Summary!$C$11))*('Dvd Calendar'!$AN$1180&lt;=MAX(DATE(Summary!$C$12,12,31),Summary!$C$15))*('Dvd Calendar'!$AN$1180&lt;=Summary!$C$11)=0,"",'Dvd Calendar'!$AN$1180*1000000000+ISNUMBER('Dvd Calendar'!$AN$1181)*100000000+('Dvd Calendar'!$AN$1185='Field Check'!$C$25)*10000000+(N('Dvd Calendar'!$AN$1179)&gt;0)*1000000+79*1000+36))</f>
        <v/>
      </c>
      <c r="AM87" s="41">
        <f>IF(N('Dvd Calendar'!$AO$1180)=0,"",IF(('Dvd Calendar'!$AO$1180&gt;=MIN(DATE(Summary!$C$12,1,1),Summary!$C$11))*('Dvd Calendar'!$AO$1180&lt;=MAX(DATE(Summary!$C$12,12,31),Summary!$C$15))*('Dvd Calendar'!$AO$1180&lt;=Summary!$C$11)=0,"",'Dvd Calendar'!$AO$1180*1000000000+ISNUMBER('Dvd Calendar'!$AO$1181)*100000000+('Dvd Calendar'!$AO$1185='Field Check'!$C$25)*10000000+(N('Dvd Calendar'!$AO$1179)&gt;0)*1000000+79*1000+37))</f>
        <v/>
      </c>
      <c r="AN87" s="41">
        <f>IF(N('Dvd Calendar'!$AP$1180)=0,"",IF(('Dvd Calendar'!$AP$1180&gt;=MIN(DATE(Summary!$C$12,1,1),Summary!$C$11))*('Dvd Calendar'!$AP$1180&lt;=MAX(DATE(Summary!$C$12,12,31),Summary!$C$15))*('Dvd Calendar'!$AP$1180&lt;=Summary!$C$11)=0,"",'Dvd Calendar'!$AP$1180*1000000000+ISNUMBER('Dvd Calendar'!$AP$1181)*100000000+('Dvd Calendar'!$AP$1185='Field Check'!$C$25)*10000000+(N('Dvd Calendar'!$AP$1179)&gt;0)*1000000+79*1000+38))</f>
        <v/>
      </c>
      <c r="AO87" s="41">
        <f>IF(N('Dvd Calendar'!$AQ$1180)=0,"",IF(('Dvd Calendar'!$AQ$1180&gt;=MIN(DATE(Summary!$C$12,1,1),Summary!$C$11))*('Dvd Calendar'!$AQ$1180&lt;=MAX(DATE(Summary!$C$12,12,31),Summary!$C$15))*('Dvd Calendar'!$AQ$1180&lt;=Summary!$C$11)=0,"",'Dvd Calendar'!$AQ$1180*1000000000+ISNUMBER('Dvd Calendar'!$AQ$1181)*100000000+('Dvd Calendar'!$AQ$1185='Field Check'!$C$25)*10000000+(N('Dvd Calendar'!$AQ$1179)&gt;0)*1000000+79*1000+39))</f>
        <v/>
      </c>
      <c r="AP87" s="41">
        <f>IF(N('Dvd Calendar'!$AR$1180)=0,"",IF(('Dvd Calendar'!$AR$1180&gt;=MIN(DATE(Summary!$C$12,1,1),Summary!$C$11))*('Dvd Calendar'!$AR$1180&lt;=MAX(DATE(Summary!$C$12,12,31),Summary!$C$15))*('Dvd Calendar'!$AR$1180&lt;=Summary!$C$11)=0,"",'Dvd Calendar'!$AR$1180*1000000000+ISNUMBER('Dvd Calendar'!$AR$1181)*100000000+('Dvd Calendar'!$AR$1185='Field Check'!$C$25)*10000000+(N('Dvd Calendar'!$AR$1179)&gt;0)*1000000+79*1000+40))</f>
        <v/>
      </c>
      <c r="AQ87" s="41">
        <f>IF(N('Dvd Calendar'!$E$1187)=0,"",IF(('Dvd Calendar'!$E$1187&gt;=MIN(DATE(Summary!$C$12,1,1),Summary!$C$11))*('Dvd Calendar'!$E$1187&lt;=MAX(DATE(Summary!$C$12,12,31),Summary!$C$15))*('Dvd Calendar'!$E$1187&gt;Summary!$C$11)=0,"",'Dvd Calendar'!$E$1187*1000000000+ISNUMBER('Dvd Calendar'!$E$1188)*100000000+('Dvd Calendar'!$E$1192='Field Check'!$C$25)*10000000+(N('Dvd Calendar'!$E$1186)&gt;0)*1000000+79*1000+41))</f>
        <v/>
      </c>
      <c r="AR87" s="41">
        <f>IF(N('Dvd Calendar'!$F$1187)=0,"",IF(('Dvd Calendar'!$F$1187&gt;=MIN(DATE(Summary!$C$12,1,1),Summary!$C$11))*('Dvd Calendar'!$F$1187&lt;=MAX(DATE(Summary!$C$12,12,31),Summary!$C$15))*('Dvd Calendar'!$F$1187&gt;Summary!$C$11)=0,"",'Dvd Calendar'!$F$1187*1000000000+ISNUMBER('Dvd Calendar'!$F$1188)*100000000+('Dvd Calendar'!$F$1192='Field Check'!$C$25)*10000000+(N('Dvd Calendar'!$F$1186)&gt;0)*1000000+79*1000+42))</f>
        <v/>
      </c>
      <c r="AS87" s="41">
        <f>IF(N('Dvd Calendar'!$G$1187)=0,"",IF(('Dvd Calendar'!$G$1187&gt;=MIN(DATE(Summary!$C$12,1,1),Summary!$C$11))*('Dvd Calendar'!$G$1187&lt;=MAX(DATE(Summary!$C$12,12,31),Summary!$C$15))*('Dvd Calendar'!$G$1187&gt;Summary!$C$11)=0,"",'Dvd Calendar'!$G$1187*1000000000+ISNUMBER('Dvd Calendar'!$G$1188)*100000000+('Dvd Calendar'!$G$1192='Field Check'!$C$25)*10000000+(N('Dvd Calendar'!$G$1186)&gt;0)*1000000+79*1000+43))</f>
        <v/>
      </c>
      <c r="AT87" s="41">
        <f>IF(N('Dvd Calendar'!$H$1187)=0,"",IF(('Dvd Calendar'!$H$1187&gt;=MIN(DATE(Summary!$C$12,1,1),Summary!$C$11))*('Dvd Calendar'!$H$1187&lt;=MAX(DATE(Summary!$C$12,12,31),Summary!$C$15))*('Dvd Calendar'!$H$1187&gt;Summary!$C$11)=0,"",'Dvd Calendar'!$H$1187*1000000000+ISNUMBER('Dvd Calendar'!$H$1188)*100000000+('Dvd Calendar'!$H$1192='Field Check'!$C$25)*10000000+(N('Dvd Calendar'!$H$1186)&gt;0)*1000000+79*1000+44))</f>
        <v/>
      </c>
      <c r="AU87" s="41">
        <f>IF(N('Dvd Calendar'!$I$1187)=0,"",IF(('Dvd Calendar'!$I$1187&gt;=MIN(DATE(Summary!$C$12,1,1),Summary!$C$11))*('Dvd Calendar'!$I$1187&lt;=MAX(DATE(Summary!$C$12,12,31),Summary!$C$15))*('Dvd Calendar'!$I$1187&gt;Summary!$C$11)=0,"",'Dvd Calendar'!$I$1187*1000000000+ISNUMBER('Dvd Calendar'!$I$1188)*100000000+('Dvd Calendar'!$I$1192='Field Check'!$C$25)*10000000+(N('Dvd Calendar'!$I$1186)&gt;0)*1000000+79*1000+45))</f>
        <v/>
      </c>
      <c r="AV87" s="41">
        <f>IF(N('Dvd Calendar'!$J$1187)=0,"",IF(('Dvd Calendar'!$J$1187&gt;=MIN(DATE(Summary!$C$12,1,1),Summary!$C$11))*('Dvd Calendar'!$J$1187&lt;=MAX(DATE(Summary!$C$12,12,31),Summary!$C$15))*('Dvd Calendar'!$J$1187&gt;Summary!$C$11)=0,"",'Dvd Calendar'!$J$1187*1000000000+ISNUMBER('Dvd Calendar'!$J$1188)*100000000+('Dvd Calendar'!$J$1192='Field Check'!$C$25)*10000000+(N('Dvd Calendar'!$J$1186)&gt;0)*1000000+79*1000+46))</f>
        <v/>
      </c>
      <c r="AW87" s="41">
        <f>IF(N('Dvd Calendar'!$K$1187)=0,"",IF(('Dvd Calendar'!$K$1187&gt;=MIN(DATE(Summary!$C$12,1,1),Summary!$C$11))*('Dvd Calendar'!$K$1187&lt;=MAX(DATE(Summary!$C$12,12,31),Summary!$C$15))*('Dvd Calendar'!$K$1187&gt;Summary!$C$11)=0,"",'Dvd Calendar'!$K$1187*1000000000+ISNUMBER('Dvd Calendar'!$K$1188)*100000000+('Dvd Calendar'!$K$1192='Field Check'!$C$25)*10000000+(N('Dvd Calendar'!$K$1186)&gt;0)*1000000+79*1000+47))</f>
        <v/>
      </c>
      <c r="AX87" s="41">
        <f>IF(N('Dvd Calendar'!$L$1187)=0,"",IF(('Dvd Calendar'!$L$1187&gt;=MIN(DATE(Summary!$C$12,1,1),Summary!$C$11))*('Dvd Calendar'!$L$1187&lt;=MAX(DATE(Summary!$C$12,12,31),Summary!$C$15))*('Dvd Calendar'!$L$1187&gt;Summary!$C$11)=0,"",'Dvd Calendar'!$L$1187*1000000000+ISNUMBER('Dvd Calendar'!$L$1188)*100000000+('Dvd Calendar'!$L$1192='Field Check'!$C$25)*10000000+(N('Dvd Calendar'!$L$1186)&gt;0)*1000000+79*1000+48))</f>
        <v/>
      </c>
      <c r="AY87" s="41">
        <f>IF(N('Dvd Calendar'!$M$1187)=0,"",IF(('Dvd Calendar'!$M$1187&gt;=MIN(DATE(Summary!$C$12,1,1),Summary!$C$11))*('Dvd Calendar'!$M$1187&lt;=MAX(DATE(Summary!$C$12,12,31),Summary!$C$15))*('Dvd Calendar'!$M$1187&gt;Summary!$C$11)=0,"",'Dvd Calendar'!$M$1187*1000000000+ISNUMBER('Dvd Calendar'!$M$1188)*100000000+('Dvd Calendar'!$M$1192='Field Check'!$C$25)*10000000+(N('Dvd Calendar'!$M$1186)&gt;0)*1000000+79*1000+49))</f>
        <v/>
      </c>
      <c r="AZ87" s="41">
        <f>IF(N('Dvd Calendar'!$N$1187)=0,"",IF(('Dvd Calendar'!$N$1187&gt;=MIN(DATE(Summary!$C$12,1,1),Summary!$C$11))*('Dvd Calendar'!$N$1187&lt;=MAX(DATE(Summary!$C$12,12,31),Summary!$C$15))*('Dvd Calendar'!$N$1187&gt;Summary!$C$11)=0,"",'Dvd Calendar'!$N$1187*1000000000+ISNUMBER('Dvd Calendar'!$N$1188)*100000000+('Dvd Calendar'!$N$1192='Field Check'!$C$25)*10000000+(N('Dvd Calendar'!$N$1186)&gt;0)*1000000+79*1000+50))</f>
        <v/>
      </c>
      <c r="BA87" s="41">
        <f>IF(N('Dvd Calendar'!$O$1187)=0,"",IF(('Dvd Calendar'!$O$1187&gt;=MIN(DATE(Summary!$C$12,1,1),Summary!$C$11))*('Dvd Calendar'!$O$1187&lt;=MAX(DATE(Summary!$C$12,12,31),Summary!$C$15))*('Dvd Calendar'!$O$1187&gt;Summary!$C$11)=0,"",'Dvd Calendar'!$O$1187*1000000000+ISNUMBER('Dvd Calendar'!$O$1188)*100000000+('Dvd Calendar'!$O$1192='Field Check'!$C$25)*10000000+(N('Dvd Calendar'!$O$1186)&gt;0)*1000000+79*1000+51))</f>
        <v/>
      </c>
      <c r="BB87" s="41">
        <f>IF(N('Dvd Calendar'!$P$1187)=0,"",IF(('Dvd Calendar'!$P$1187&gt;=MIN(DATE(Summary!$C$12,1,1),Summary!$C$11))*('Dvd Calendar'!$P$1187&lt;=MAX(DATE(Summary!$C$12,12,31),Summary!$C$15))*('Dvd Calendar'!$P$1187&gt;Summary!$C$11)=0,"",'Dvd Calendar'!$P$1187*1000000000+ISNUMBER('Dvd Calendar'!$P$1188)*100000000+('Dvd Calendar'!$P$1192='Field Check'!$C$25)*10000000+(N('Dvd Calendar'!$P$1186)&gt;0)*1000000+79*1000+52))</f>
        <v/>
      </c>
      <c r="BC87" s="41">
        <f>IF(N('Dvd Calendar'!$Q$1187)=0,"",IF(('Dvd Calendar'!$Q$1187&gt;=MIN(DATE(Summary!$C$12,1,1),Summary!$C$11))*('Dvd Calendar'!$Q$1187&lt;=MAX(DATE(Summary!$C$12,12,31),Summary!$C$15))*('Dvd Calendar'!$Q$1187&gt;Summary!$C$11)=0,"",'Dvd Calendar'!$Q$1187*1000000000+ISNUMBER('Dvd Calendar'!$Q$1188)*100000000+('Dvd Calendar'!$Q$1192='Field Check'!$C$25)*10000000+(N('Dvd Calendar'!$Q$1186)&gt;0)*1000000+79*1000+53))</f>
        <v/>
      </c>
      <c r="BD87" s="41">
        <f>IF(N('Dvd Calendar'!$R$1187)=0,"",IF(('Dvd Calendar'!$R$1187&gt;=MIN(DATE(Summary!$C$12,1,1),Summary!$C$11))*('Dvd Calendar'!$R$1187&lt;=MAX(DATE(Summary!$C$12,12,31),Summary!$C$15))*('Dvd Calendar'!$R$1187&gt;Summary!$C$11)=0,"",'Dvd Calendar'!$R$1187*1000000000+ISNUMBER('Dvd Calendar'!$R$1188)*100000000+('Dvd Calendar'!$R$1192='Field Check'!$C$25)*10000000+(N('Dvd Calendar'!$R$1186)&gt;0)*1000000+79*1000+54))</f>
        <v/>
      </c>
      <c r="BE87" s="41">
        <f>IF(N('Dvd Calendar'!$S$1187)=0,"",IF(('Dvd Calendar'!$S$1187&gt;=MIN(DATE(Summary!$C$12,1,1),Summary!$C$11))*('Dvd Calendar'!$S$1187&lt;=MAX(DATE(Summary!$C$12,12,31),Summary!$C$15))*('Dvd Calendar'!$S$1187&gt;Summary!$C$11)=0,"",'Dvd Calendar'!$S$1187*1000000000+ISNUMBER('Dvd Calendar'!$S$1188)*100000000+('Dvd Calendar'!$S$1192='Field Check'!$C$25)*10000000+(N('Dvd Calendar'!$S$1186)&gt;0)*1000000+79*1000+55))</f>
        <v/>
      </c>
      <c r="BF87" s="41">
        <f>IF(N('Dvd Calendar'!$T$1187)=0,"",IF(('Dvd Calendar'!$T$1187&gt;=MIN(DATE(Summary!$C$12,1,1),Summary!$C$11))*('Dvd Calendar'!$T$1187&lt;=MAX(DATE(Summary!$C$12,12,31),Summary!$C$15))*('Dvd Calendar'!$T$1187&gt;Summary!$C$11)=0,"",'Dvd Calendar'!$T$1187*1000000000+ISNUMBER('Dvd Calendar'!$T$1188)*100000000+('Dvd Calendar'!$T$1192='Field Check'!$C$25)*10000000+(N('Dvd Calendar'!$T$1186)&gt;0)*1000000+79*1000+56))</f>
        <v/>
      </c>
      <c r="BG87" s="41">
        <f>IF(N('Dvd Calendar'!$U$1187)=0,"",IF(('Dvd Calendar'!$U$1187&gt;=MIN(DATE(Summary!$C$12,1,1),Summary!$C$11))*('Dvd Calendar'!$U$1187&lt;=MAX(DATE(Summary!$C$12,12,31),Summary!$C$15))*('Dvd Calendar'!$U$1187&gt;Summary!$C$11)=0,"",'Dvd Calendar'!$U$1187*1000000000+ISNUMBER('Dvd Calendar'!$U$1188)*100000000+('Dvd Calendar'!$U$1192='Field Check'!$C$25)*10000000+(N('Dvd Calendar'!$U$1186)&gt;0)*1000000+79*1000+57))</f>
        <v/>
      </c>
      <c r="BH87" s="41">
        <f>IF(N('Dvd Calendar'!$V$1187)=0,"",IF(('Dvd Calendar'!$V$1187&gt;=MIN(DATE(Summary!$C$12,1,1),Summary!$C$11))*('Dvd Calendar'!$V$1187&lt;=MAX(DATE(Summary!$C$12,12,31),Summary!$C$15))*('Dvd Calendar'!$V$1187&gt;Summary!$C$11)=0,"",'Dvd Calendar'!$V$1187*1000000000+ISNUMBER('Dvd Calendar'!$V$1188)*100000000+('Dvd Calendar'!$V$1192='Field Check'!$C$25)*10000000+(N('Dvd Calendar'!$V$1186)&gt;0)*1000000+79*1000+58))</f>
        <v/>
      </c>
      <c r="BI87" s="41">
        <f>IF(N('Dvd Calendar'!$W$1187)=0,"",IF(('Dvd Calendar'!$W$1187&gt;=MIN(DATE(Summary!$C$12,1,1),Summary!$C$11))*('Dvd Calendar'!$W$1187&lt;=MAX(DATE(Summary!$C$12,12,31),Summary!$C$15))*('Dvd Calendar'!$W$1187&gt;Summary!$C$11)=0,"",'Dvd Calendar'!$W$1187*1000000000+ISNUMBER('Dvd Calendar'!$W$1188)*100000000+('Dvd Calendar'!$W$1192='Field Check'!$C$25)*10000000+(N('Dvd Calendar'!$W$1186)&gt;0)*1000000+79*1000+59))</f>
        <v/>
      </c>
      <c r="BJ87" s="41">
        <f>IF(N('Dvd Calendar'!$X$1187)=0,"",IF(('Dvd Calendar'!$X$1187&gt;=MIN(DATE(Summary!$C$12,1,1),Summary!$C$11))*('Dvd Calendar'!$X$1187&lt;=MAX(DATE(Summary!$C$12,12,31),Summary!$C$15))*('Dvd Calendar'!$X$1187&gt;Summary!$C$11)=0,"",'Dvd Calendar'!$X$1187*1000000000+ISNUMBER('Dvd Calendar'!$X$1188)*100000000+('Dvd Calendar'!$X$1192='Field Check'!$C$25)*10000000+(N('Dvd Calendar'!$X$1186)&gt;0)*1000000+79*1000+60))</f>
        <v/>
      </c>
      <c r="BK87" s="41">
        <f>IF(N('Dvd Calendar'!$Y$1187)=0,"",IF(('Dvd Calendar'!$Y$1187&gt;=MIN(DATE(Summary!$C$12,1,1),Summary!$C$11))*('Dvd Calendar'!$Y$1187&lt;=MAX(DATE(Summary!$C$12,12,31),Summary!$C$15))*('Dvd Calendar'!$Y$1187&gt;Summary!$C$11)=0,"",'Dvd Calendar'!$Y$1187*1000000000+ISNUMBER('Dvd Calendar'!$Y$1188)*100000000+('Dvd Calendar'!$Y$1192='Field Check'!$C$25)*10000000+(N('Dvd Calendar'!$Y$1186)&gt;0)*1000000+79*1000+61))</f>
        <v/>
      </c>
      <c r="BL87" s="41">
        <f>IF(N('Dvd Calendar'!$Z$1187)=0,"",IF(('Dvd Calendar'!$Z$1187&gt;=MIN(DATE(Summary!$C$12,1,1),Summary!$C$11))*('Dvd Calendar'!$Z$1187&lt;=MAX(DATE(Summary!$C$12,12,31),Summary!$C$15))*('Dvd Calendar'!$Z$1187&gt;Summary!$C$11)=0,"",'Dvd Calendar'!$Z$1187*1000000000+ISNUMBER('Dvd Calendar'!$Z$1188)*100000000+('Dvd Calendar'!$Z$1192='Field Check'!$C$25)*10000000+(N('Dvd Calendar'!$Z$1186)&gt;0)*1000000+79*1000+62))</f>
        <v/>
      </c>
      <c r="BM87" s="41">
        <f>IF(N('Dvd Calendar'!$AA$1187)=0,"",IF(('Dvd Calendar'!$AA$1187&gt;=MIN(DATE(Summary!$C$12,1,1),Summary!$C$11))*('Dvd Calendar'!$AA$1187&lt;=MAX(DATE(Summary!$C$12,12,31),Summary!$C$15))*('Dvd Calendar'!$AA$1187&gt;Summary!$C$11)=0,"",'Dvd Calendar'!$AA$1187*1000000000+ISNUMBER('Dvd Calendar'!$AA$1188)*100000000+('Dvd Calendar'!$AA$1192='Field Check'!$C$25)*10000000+(N('Dvd Calendar'!$AA$1186)&gt;0)*1000000+79*1000+63))</f>
        <v/>
      </c>
      <c r="BN87" s="41">
        <f>IF(N('Dvd Calendar'!$AB$1187)=0,"",IF(('Dvd Calendar'!$AB$1187&gt;=MIN(DATE(Summary!$C$12,1,1),Summary!$C$11))*('Dvd Calendar'!$AB$1187&lt;=MAX(DATE(Summary!$C$12,12,31),Summary!$C$15))*('Dvd Calendar'!$AB$1187&gt;Summary!$C$11)=0,"",'Dvd Calendar'!$AB$1187*1000000000+ISNUMBER('Dvd Calendar'!$AB$1188)*100000000+('Dvd Calendar'!$AB$1192='Field Check'!$C$25)*10000000+(N('Dvd Calendar'!$AB$1186)&gt;0)*1000000+79*1000+64))</f>
        <v/>
      </c>
      <c r="BO87" s="41">
        <f>IF(N('Dvd Calendar'!$AC$1187)=0,"",IF(('Dvd Calendar'!$AC$1187&gt;=MIN(DATE(Summary!$C$12,1,1),Summary!$C$11))*('Dvd Calendar'!$AC$1187&lt;=MAX(DATE(Summary!$C$12,12,31),Summary!$C$15))*('Dvd Calendar'!$AC$1187&gt;Summary!$C$11)=0,"",'Dvd Calendar'!$AC$1187*1000000000+ISNUMBER('Dvd Calendar'!$AC$1188)*100000000+('Dvd Calendar'!$AC$1192='Field Check'!$C$25)*10000000+(N('Dvd Calendar'!$AC$1186)&gt;0)*1000000+79*1000+65))</f>
        <v/>
      </c>
      <c r="BQ87" s="85">
        <f>IF(C87="","",IF(ISNUMBER('Dvd Calendar'!$E$1181)=FALSE,"",IF((Summary!$C$13="N")*('Dvd Calendar'!$E$1185='Field Check'!$C$25)&gt;0,"",'Dvd Calendar'!$E$1181)))</f>
        <v/>
      </c>
      <c r="BR87" s="85">
        <f>IF(D87="","",IF(ISNUMBER('Dvd Calendar'!$F$1181)=FALSE,"",IF((Summary!$C$13="N")*('Dvd Calendar'!$F$1185='Field Check'!$C$25)&gt;0,"",'Dvd Calendar'!$F$1181)))</f>
        <v/>
      </c>
      <c r="BS87" s="85">
        <f>IF(E87="","",IF(ISNUMBER('Dvd Calendar'!$G$1181)=FALSE,"",IF((Summary!$C$13="N")*('Dvd Calendar'!$G$1185='Field Check'!$C$25)&gt;0,"",'Dvd Calendar'!$G$1181)))</f>
        <v/>
      </c>
      <c r="BT87" s="85">
        <f>IF(F87="","",IF(ISNUMBER('Dvd Calendar'!$H$1181)=FALSE,"",IF((Summary!$C$13="N")*('Dvd Calendar'!$H$1185='Field Check'!$C$25)&gt;0,"",'Dvd Calendar'!$H$1181)))</f>
        <v/>
      </c>
      <c r="BU87" s="85">
        <f>IF(G87="","",IF(ISNUMBER('Dvd Calendar'!$I$1181)=FALSE,"",IF((Summary!$C$13="N")*('Dvd Calendar'!$I$1185='Field Check'!$C$25)&gt;0,"",'Dvd Calendar'!$I$1181)))</f>
        <v/>
      </c>
      <c r="BV87" s="85">
        <f>IF(H87="","",IF(ISNUMBER('Dvd Calendar'!$J$1181)=FALSE,"",IF((Summary!$C$13="N")*('Dvd Calendar'!$J$1185='Field Check'!$C$25)&gt;0,"",'Dvd Calendar'!$J$1181)))</f>
        <v/>
      </c>
      <c r="BW87" s="85">
        <f>IF(I87="","",IF(ISNUMBER('Dvd Calendar'!$K$1181)=FALSE,"",IF((Summary!$C$13="N")*('Dvd Calendar'!$K$1185='Field Check'!$C$25)&gt;0,"",'Dvd Calendar'!$K$1181)))</f>
        <v/>
      </c>
      <c r="BX87" s="85">
        <f>IF(J87="","",IF(ISNUMBER('Dvd Calendar'!$L$1181)=FALSE,"",IF((Summary!$C$13="N")*('Dvd Calendar'!$L$1185='Field Check'!$C$25)&gt;0,"",'Dvd Calendar'!$L$1181)))</f>
        <v/>
      </c>
      <c r="BY87" s="85">
        <f>IF(K87="","",IF(ISNUMBER('Dvd Calendar'!$M$1181)=FALSE,"",IF((Summary!$C$13="N")*('Dvd Calendar'!$M$1185='Field Check'!$C$25)&gt;0,"",'Dvd Calendar'!$M$1181)))</f>
        <v/>
      </c>
      <c r="BZ87" s="85">
        <f>IF(L87="","",IF(ISNUMBER('Dvd Calendar'!$N$1181)=FALSE,"",IF((Summary!$C$13="N")*('Dvd Calendar'!$N$1185='Field Check'!$C$25)&gt;0,"",'Dvd Calendar'!$N$1181)))</f>
        <v/>
      </c>
      <c r="CA87" s="85">
        <f>IF(M87="","",IF(ISNUMBER('Dvd Calendar'!$O$1181)=FALSE,"",IF((Summary!$C$13="N")*('Dvd Calendar'!$O$1185='Field Check'!$C$25)&gt;0,"",'Dvd Calendar'!$O$1181)))</f>
        <v/>
      </c>
      <c r="CB87" s="85">
        <f>IF(N87="","",IF(ISNUMBER('Dvd Calendar'!$P$1181)=FALSE,"",IF((Summary!$C$13="N")*('Dvd Calendar'!$P$1185='Field Check'!$C$25)&gt;0,"",'Dvd Calendar'!$P$1181)))</f>
        <v/>
      </c>
      <c r="CC87" s="85">
        <f>IF(O87="","",IF(ISNUMBER('Dvd Calendar'!$Q$1181)=FALSE,"",IF((Summary!$C$13="N")*('Dvd Calendar'!$Q$1185='Field Check'!$C$25)&gt;0,"",'Dvd Calendar'!$Q$1181)))</f>
        <v/>
      </c>
      <c r="CD87" s="85">
        <f>IF(P87="","",IF(ISNUMBER('Dvd Calendar'!$R$1181)=FALSE,"",IF((Summary!$C$13="N")*('Dvd Calendar'!$R$1185='Field Check'!$C$25)&gt;0,"",'Dvd Calendar'!$R$1181)))</f>
        <v/>
      </c>
      <c r="CE87" s="85">
        <f>IF(Q87="","",IF(ISNUMBER('Dvd Calendar'!$S$1181)=FALSE,"",IF((Summary!$C$13="N")*('Dvd Calendar'!$S$1185='Field Check'!$C$25)&gt;0,"",'Dvd Calendar'!$S$1181)))</f>
        <v/>
      </c>
      <c r="CF87" s="85">
        <f>IF(R87="","",IF(ISNUMBER('Dvd Calendar'!$T$1181)=FALSE,"",IF((Summary!$C$13="N")*('Dvd Calendar'!$T$1185='Field Check'!$C$25)&gt;0,"",'Dvd Calendar'!$T$1181)))</f>
        <v/>
      </c>
      <c r="CG87" s="85">
        <f>IF(S87="","",IF(ISNUMBER('Dvd Calendar'!$U$1181)=FALSE,"",IF((Summary!$C$13="N")*('Dvd Calendar'!$U$1185='Field Check'!$C$25)&gt;0,"",'Dvd Calendar'!$U$1181)))</f>
        <v/>
      </c>
      <c r="CH87" s="85">
        <f>IF(T87="","",IF(ISNUMBER('Dvd Calendar'!$V$1181)=FALSE,"",IF((Summary!$C$13="N")*('Dvd Calendar'!$V$1185='Field Check'!$C$25)&gt;0,"",'Dvd Calendar'!$V$1181)))</f>
        <v/>
      </c>
      <c r="CI87" s="85">
        <f>IF(U87="","",IF(ISNUMBER('Dvd Calendar'!$W$1181)=FALSE,"",IF((Summary!$C$13="N")*('Dvd Calendar'!$W$1185='Field Check'!$C$25)&gt;0,"",'Dvd Calendar'!$W$1181)))</f>
        <v/>
      </c>
      <c r="CJ87" s="85">
        <f>IF(V87="","",IF(ISNUMBER('Dvd Calendar'!$X$1181)=FALSE,"",IF((Summary!$C$13="N")*('Dvd Calendar'!$X$1185='Field Check'!$C$25)&gt;0,"",'Dvd Calendar'!$X$1181)))</f>
        <v/>
      </c>
      <c r="CK87" s="85">
        <f>IF(W87="","",IF(ISNUMBER('Dvd Calendar'!$Y$1181)=FALSE,"",IF((Summary!$C$13="N")*('Dvd Calendar'!$Y$1185='Field Check'!$C$25)&gt;0,"",'Dvd Calendar'!$Y$1181)))</f>
        <v/>
      </c>
      <c r="CL87" s="85">
        <f>IF(X87="","",IF(ISNUMBER('Dvd Calendar'!$Z$1181)=FALSE,"",IF((Summary!$C$13="N")*('Dvd Calendar'!$Z$1185='Field Check'!$C$25)&gt;0,"",'Dvd Calendar'!$Z$1181)))</f>
        <v/>
      </c>
      <c r="CM87" s="85">
        <f>IF(Y87="","",IF(ISNUMBER('Dvd Calendar'!$AA$1181)=FALSE,"",IF((Summary!$C$13="N")*('Dvd Calendar'!$AA$1185='Field Check'!$C$25)&gt;0,"",'Dvd Calendar'!$AA$1181)))</f>
        <v/>
      </c>
      <c r="CN87" s="85">
        <f>IF(Z87="","",IF(ISNUMBER('Dvd Calendar'!$AB$1181)=FALSE,"",IF((Summary!$C$13="N")*('Dvd Calendar'!$AB$1185='Field Check'!$C$25)&gt;0,"",'Dvd Calendar'!$AB$1181)))</f>
        <v/>
      </c>
      <c r="CO87" s="85">
        <f>IF(AA87="","",IF(ISNUMBER('Dvd Calendar'!$AC$1181)=FALSE,"",IF((Summary!$C$13="N")*('Dvd Calendar'!$AC$1185='Field Check'!$C$25)&gt;0,"",'Dvd Calendar'!$AC$1181)))</f>
        <v/>
      </c>
      <c r="CP87" s="85">
        <f>IF(AB87="","",IF(ISNUMBER('Dvd Calendar'!$AD$1181)=FALSE,"",IF((Summary!$C$13="N")*('Dvd Calendar'!$AD$1185='Field Check'!$C$25)&gt;0,"",'Dvd Calendar'!$AD$1181)))</f>
        <v/>
      </c>
      <c r="CQ87" s="85">
        <f>IF(AC87="","",IF(ISNUMBER('Dvd Calendar'!$AE$1181)=FALSE,"",IF((Summary!$C$13="N")*('Dvd Calendar'!$AE$1185='Field Check'!$C$25)&gt;0,"",'Dvd Calendar'!$AE$1181)))</f>
        <v/>
      </c>
      <c r="CR87" s="85">
        <f>IF(AD87="","",IF(ISNUMBER('Dvd Calendar'!$AF$1181)=FALSE,"",IF((Summary!$C$13="N")*('Dvd Calendar'!$AF$1185='Field Check'!$C$25)&gt;0,"",'Dvd Calendar'!$AF$1181)))</f>
        <v/>
      </c>
      <c r="CS87" s="85">
        <f>IF(AE87="","",IF(ISNUMBER('Dvd Calendar'!$AG$1181)=FALSE,"",IF((Summary!$C$13="N")*('Dvd Calendar'!$AG$1185='Field Check'!$C$25)&gt;0,"",'Dvd Calendar'!$AG$1181)))</f>
        <v/>
      </c>
      <c r="CT87" s="85">
        <f>IF(AF87="","",IF(ISNUMBER('Dvd Calendar'!$AH$1181)=FALSE,"",IF((Summary!$C$13="N")*('Dvd Calendar'!$AH$1185='Field Check'!$C$25)&gt;0,"",'Dvd Calendar'!$AH$1181)))</f>
        <v/>
      </c>
      <c r="CU87" s="85">
        <f>IF(AG87="","",IF(ISNUMBER('Dvd Calendar'!$AI$1181)=FALSE,"",IF((Summary!$C$13="N")*('Dvd Calendar'!$AI$1185='Field Check'!$C$25)&gt;0,"",'Dvd Calendar'!$AI$1181)))</f>
        <v/>
      </c>
      <c r="CV87" s="85">
        <f>IF(AH87="","",IF(ISNUMBER('Dvd Calendar'!$AJ$1181)=FALSE,"",IF((Summary!$C$13="N")*('Dvd Calendar'!$AJ$1185='Field Check'!$C$25)&gt;0,"",'Dvd Calendar'!$AJ$1181)))</f>
        <v/>
      </c>
      <c r="CW87" s="85">
        <f>IF(AI87="","",IF(ISNUMBER('Dvd Calendar'!$AK$1181)=FALSE,"",IF((Summary!$C$13="N")*('Dvd Calendar'!$AK$1185='Field Check'!$C$25)&gt;0,"",'Dvd Calendar'!$AK$1181)))</f>
        <v/>
      </c>
      <c r="CX87" s="85">
        <f>IF(AJ87="","",IF(ISNUMBER('Dvd Calendar'!$AL$1181)=FALSE,"",IF((Summary!$C$13="N")*('Dvd Calendar'!$AL$1185='Field Check'!$C$25)&gt;0,"",'Dvd Calendar'!$AL$1181)))</f>
        <v/>
      </c>
      <c r="CY87" s="85">
        <f>IF(AK87="","",IF(ISNUMBER('Dvd Calendar'!$AM$1181)=FALSE,"",IF((Summary!$C$13="N")*('Dvd Calendar'!$AM$1185='Field Check'!$C$25)&gt;0,"",'Dvd Calendar'!$AM$1181)))</f>
        <v/>
      </c>
      <c r="CZ87" s="85">
        <f>IF(AL87="","",IF(ISNUMBER('Dvd Calendar'!$AN$1181)=FALSE,"",IF((Summary!$C$13="N")*('Dvd Calendar'!$AN$1185='Field Check'!$C$25)&gt;0,"",'Dvd Calendar'!$AN$1181)))</f>
        <v/>
      </c>
      <c r="DA87" s="85">
        <f>IF(AM87="","",IF(ISNUMBER('Dvd Calendar'!$AO$1181)=FALSE,"",IF((Summary!$C$13="N")*('Dvd Calendar'!$AO$1185='Field Check'!$C$25)&gt;0,"",'Dvd Calendar'!$AO$1181)))</f>
        <v/>
      </c>
      <c r="DB87" s="85">
        <f>IF(AN87="","",IF(ISNUMBER('Dvd Calendar'!$AP$1181)=FALSE,"",IF((Summary!$C$13="N")*('Dvd Calendar'!$AP$1185='Field Check'!$C$25)&gt;0,"",'Dvd Calendar'!$AP$1181)))</f>
        <v/>
      </c>
      <c r="DC87" s="85">
        <f>IF(AO87="","",IF(ISNUMBER('Dvd Calendar'!$AQ$1181)=FALSE,"",IF((Summary!$C$13="N")*('Dvd Calendar'!$AQ$1185='Field Check'!$C$25)&gt;0,"",'Dvd Calendar'!$AQ$1181)))</f>
        <v/>
      </c>
      <c r="DD87" s="85">
        <f>IF(AP87="","",IF(ISNUMBER('Dvd Calendar'!$AR$1181)=FALSE,"",IF((Summary!$C$13="N")*('Dvd Calendar'!$AR$1185='Field Check'!$C$25)&gt;0,"",'Dvd Calendar'!$AR$1181)))</f>
        <v/>
      </c>
      <c r="DE87" s="85">
        <f>IF(AQ87="","",IF(ISNUMBER('Dvd Calendar'!$E$1188)=FALSE,"",IF((Summary!$C$13="N")*('Dvd Calendar'!$E$1192='Field Check'!$C$25)&gt;0,"",'Dvd Calendar'!$E$1188)))</f>
        <v/>
      </c>
      <c r="DF87" s="85">
        <f>IF(AR87="","",IF(ISNUMBER('Dvd Calendar'!$F$1188)=FALSE,"",IF((Summary!$C$13="N")*('Dvd Calendar'!$F$1192='Field Check'!$C$25)&gt;0,"",'Dvd Calendar'!$F$1188)))</f>
        <v/>
      </c>
      <c r="DG87" s="85">
        <f>IF(AS87="","",IF(ISNUMBER('Dvd Calendar'!$G$1188)=FALSE,"",IF((Summary!$C$13="N")*('Dvd Calendar'!$G$1192='Field Check'!$C$25)&gt;0,"",'Dvd Calendar'!$G$1188)))</f>
        <v/>
      </c>
      <c r="DH87" s="85">
        <f>IF(AT87="","",IF(ISNUMBER('Dvd Calendar'!$H$1188)=FALSE,"",IF((Summary!$C$13="N")*('Dvd Calendar'!$H$1192='Field Check'!$C$25)&gt;0,"",'Dvd Calendar'!$H$1188)))</f>
        <v/>
      </c>
      <c r="DI87" s="85">
        <f>IF(AU87="","",IF(ISNUMBER('Dvd Calendar'!$I$1188)=FALSE,"",IF((Summary!$C$13="N")*('Dvd Calendar'!$I$1192='Field Check'!$C$25)&gt;0,"",'Dvd Calendar'!$I$1188)))</f>
        <v/>
      </c>
      <c r="DJ87" s="85">
        <f>IF(AV87="","",IF(ISNUMBER('Dvd Calendar'!$J$1188)=FALSE,"",IF((Summary!$C$13="N")*('Dvd Calendar'!$J$1192='Field Check'!$C$25)&gt;0,"",'Dvd Calendar'!$J$1188)))</f>
        <v/>
      </c>
      <c r="DK87" s="85">
        <f>IF(AW87="","",IF(ISNUMBER('Dvd Calendar'!$K$1188)=FALSE,"",IF((Summary!$C$13="N")*('Dvd Calendar'!$K$1192='Field Check'!$C$25)&gt;0,"",'Dvd Calendar'!$K$1188)))</f>
        <v/>
      </c>
      <c r="DL87" s="85">
        <f>IF(AX87="","",IF(ISNUMBER('Dvd Calendar'!$L$1188)=FALSE,"",IF((Summary!$C$13="N")*('Dvd Calendar'!$L$1192='Field Check'!$C$25)&gt;0,"",'Dvd Calendar'!$L$1188)))</f>
        <v/>
      </c>
      <c r="DM87" s="85">
        <f>IF(AY87="","",IF(ISNUMBER('Dvd Calendar'!$M$1188)=FALSE,"",IF((Summary!$C$13="N")*('Dvd Calendar'!$M$1192='Field Check'!$C$25)&gt;0,"",'Dvd Calendar'!$M$1188)))</f>
        <v/>
      </c>
      <c r="DN87" s="85">
        <f>IF(AZ87="","",IF(ISNUMBER('Dvd Calendar'!$N$1188)=FALSE,"",IF((Summary!$C$13="N")*('Dvd Calendar'!$N$1192='Field Check'!$C$25)&gt;0,"",'Dvd Calendar'!$N$1188)))</f>
        <v/>
      </c>
      <c r="DO87" s="85">
        <f>IF(BA87="","",IF(ISNUMBER('Dvd Calendar'!$O$1188)=FALSE,"",IF((Summary!$C$13="N")*('Dvd Calendar'!$O$1192='Field Check'!$C$25)&gt;0,"",'Dvd Calendar'!$O$1188)))</f>
        <v/>
      </c>
      <c r="DP87" s="85">
        <f>IF(BB87="","",IF(ISNUMBER('Dvd Calendar'!$P$1188)=FALSE,"",IF((Summary!$C$13="N")*('Dvd Calendar'!$P$1192='Field Check'!$C$25)&gt;0,"",'Dvd Calendar'!$P$1188)))</f>
        <v/>
      </c>
      <c r="DQ87" s="85">
        <f>IF(BC87="","",IF(ISNUMBER('Dvd Calendar'!$Q$1188)=FALSE,"",IF((Summary!$C$13="N")*('Dvd Calendar'!$Q$1192='Field Check'!$C$25)&gt;0,"",'Dvd Calendar'!$Q$1188)))</f>
        <v/>
      </c>
      <c r="DR87" s="85">
        <f>IF(BD87="","",IF(ISNUMBER('Dvd Calendar'!$R$1188)=FALSE,"",IF((Summary!$C$13="N")*('Dvd Calendar'!$R$1192='Field Check'!$C$25)&gt;0,"",'Dvd Calendar'!$R$1188)))</f>
        <v/>
      </c>
      <c r="DS87" s="85">
        <f>IF(BE87="","",IF(ISNUMBER('Dvd Calendar'!$S$1188)=FALSE,"",IF((Summary!$C$13="N")*('Dvd Calendar'!$S$1192='Field Check'!$C$25)&gt;0,"",'Dvd Calendar'!$S$1188)))</f>
        <v/>
      </c>
      <c r="DT87" s="85">
        <f>IF(BF87="","",IF(ISNUMBER('Dvd Calendar'!$T$1188)=FALSE,"",IF((Summary!$C$13="N")*('Dvd Calendar'!$T$1192='Field Check'!$C$25)&gt;0,"",'Dvd Calendar'!$T$1188)))</f>
        <v/>
      </c>
      <c r="DU87" s="85">
        <f>IF(BG87="","",IF(ISNUMBER('Dvd Calendar'!$U$1188)=FALSE,"",IF((Summary!$C$13="N")*('Dvd Calendar'!$U$1192='Field Check'!$C$25)&gt;0,"",'Dvd Calendar'!$U$1188)))</f>
        <v/>
      </c>
      <c r="DV87" s="85">
        <f>IF(BH87="","",IF(ISNUMBER('Dvd Calendar'!$V$1188)=FALSE,"",IF((Summary!$C$13="N")*('Dvd Calendar'!$V$1192='Field Check'!$C$25)&gt;0,"",'Dvd Calendar'!$V$1188)))</f>
        <v/>
      </c>
      <c r="DW87" s="85">
        <f>IF(BI87="","",IF(ISNUMBER('Dvd Calendar'!$W$1188)=FALSE,"",IF((Summary!$C$13="N")*('Dvd Calendar'!$W$1192='Field Check'!$C$25)&gt;0,"",'Dvd Calendar'!$W$1188)))</f>
        <v/>
      </c>
      <c r="DX87" s="85">
        <f>IF(BJ87="","",IF(ISNUMBER('Dvd Calendar'!$X$1188)=FALSE,"",IF((Summary!$C$13="N")*('Dvd Calendar'!$X$1192='Field Check'!$C$25)&gt;0,"",'Dvd Calendar'!$X$1188)))</f>
        <v/>
      </c>
      <c r="DY87" s="85">
        <f>IF(BK87="","",IF(ISNUMBER('Dvd Calendar'!$Y$1188)=FALSE,"",IF((Summary!$C$13="N")*('Dvd Calendar'!$Y$1192='Field Check'!$C$25)&gt;0,"",'Dvd Calendar'!$Y$1188)))</f>
        <v/>
      </c>
      <c r="DZ87" s="85">
        <f>IF(BL87="","",IF(ISNUMBER('Dvd Calendar'!$Z$1188)=FALSE,"",IF((Summary!$C$13="N")*('Dvd Calendar'!$Z$1192='Field Check'!$C$25)&gt;0,"",'Dvd Calendar'!$Z$1188)))</f>
        <v/>
      </c>
      <c r="EA87" s="85">
        <f>IF(BM87="","",IF(ISNUMBER('Dvd Calendar'!$AA$1188)=FALSE,"",IF((Summary!$C$13="N")*('Dvd Calendar'!$AA$1192='Field Check'!$C$25)&gt;0,"",'Dvd Calendar'!$AA$1188)))</f>
        <v/>
      </c>
      <c r="EB87" s="85">
        <f>IF(BN87="","",IF(ISNUMBER('Dvd Calendar'!$AB$1188)=FALSE,"",IF((Summary!$C$13="N")*('Dvd Calendar'!$AB$1192='Field Check'!$C$25)&gt;0,"",'Dvd Calendar'!$AB$1188)))</f>
        <v/>
      </c>
      <c r="EC87" s="85">
        <f>IF(BO87="","",IF(ISNUMBER('Dvd Calendar'!$AC$1188)=FALSE,"",IF((Summary!$C$13="N")*('Dvd Calendar'!$AC$1192='Field Check'!$C$25)&gt;0,"",'Dvd Calendar'!$AC$1188)))</f>
        <v/>
      </c>
      <c r="EE87" s="85">
        <f>IF(BQ87="","",IFERROR(BQ87*HSI!$B$85*HSI!$G$85/HSI!$B$3,""))</f>
        <v/>
      </c>
      <c r="EF87" s="85">
        <f>IF(BR87="","",IFERROR(BR87*HSI!$B$85*HSI!$G$85/HSI!$B$3,""))</f>
        <v/>
      </c>
      <c r="EG87" s="85">
        <f>IF(BS87="","",IFERROR(BS87*HSI!$B$85*HSI!$G$85/HSI!$B$3,""))</f>
        <v/>
      </c>
      <c r="EH87" s="85">
        <f>IF(BT87="","",IFERROR(BT87*HSI!$B$85*HSI!$G$85/HSI!$B$3,""))</f>
        <v/>
      </c>
      <c r="EI87" s="85">
        <f>IF(BU87="","",IFERROR(BU87*HSI!$B$85*HSI!$G$85/HSI!$B$3,""))</f>
        <v/>
      </c>
      <c r="EJ87" s="85">
        <f>IF(BV87="","",IFERROR(BV87*HSI!$B$85*HSI!$G$85/HSI!$B$3,""))</f>
        <v/>
      </c>
      <c r="EK87" s="85">
        <f>IF(BW87="","",IFERROR(BW87*HSI!$B$85*HSI!$G$85/HSI!$B$3,""))</f>
        <v/>
      </c>
      <c r="EL87" s="85">
        <f>IF(BX87="","",IFERROR(BX87*HSI!$B$85*HSI!$G$85/HSI!$B$3,""))</f>
        <v/>
      </c>
      <c r="EM87" s="85">
        <f>IF(BY87="","",IFERROR(BY87*HSI!$B$85*HSI!$G$85/HSI!$B$3,""))</f>
        <v/>
      </c>
      <c r="EN87" s="85">
        <f>IF(BZ87="","",IFERROR(BZ87*HSI!$B$85*HSI!$G$85/HSI!$B$3,""))</f>
        <v/>
      </c>
      <c r="EO87" s="85">
        <f>IF(CA87="","",IFERROR(CA87*HSI!$B$85*HSI!$G$85/HSI!$B$3,""))</f>
        <v/>
      </c>
      <c r="EP87" s="85">
        <f>IF(CB87="","",IFERROR(CB87*HSI!$B$85*HSI!$G$85/HSI!$B$3,""))</f>
        <v/>
      </c>
      <c r="EQ87" s="85">
        <f>IF(CC87="","",IFERROR(CC87*HSI!$B$85*HSI!$G$85/HSI!$B$3,""))</f>
        <v/>
      </c>
      <c r="ER87" s="85">
        <f>IF(CD87="","",IFERROR(CD87*HSI!$B$85*HSI!$G$85/HSI!$B$3,""))</f>
        <v/>
      </c>
      <c r="ES87" s="85">
        <f>IF(CE87="","",IFERROR(CE87*HSI!$B$85*HSI!$G$85/HSI!$B$3,""))</f>
        <v/>
      </c>
      <c r="ET87" s="85">
        <f>IF(CF87="","",IFERROR(CF87*HSI!$B$85*HSI!$G$85/HSI!$B$3,""))</f>
        <v/>
      </c>
      <c r="EU87" s="85">
        <f>IF(CG87="","",IFERROR(CG87*HSI!$B$85*HSI!$G$85/HSI!$B$3,""))</f>
        <v/>
      </c>
      <c r="EV87" s="85">
        <f>IF(CH87="","",IFERROR(CH87*HSI!$B$85*HSI!$G$85/HSI!$B$3,""))</f>
        <v/>
      </c>
      <c r="EW87" s="85">
        <f>IF(CI87="","",IFERROR(CI87*HSI!$B$85*HSI!$G$85/HSI!$B$3,""))</f>
        <v/>
      </c>
      <c r="EX87" s="85">
        <f>IF(CJ87="","",IFERROR(CJ87*HSI!$B$85*HSI!$G$85/HSI!$B$3,""))</f>
        <v/>
      </c>
      <c r="EY87" s="85">
        <f>IF(CK87="","",IFERROR(CK87*HSI!$B$85*HSI!$G$85/HSI!$B$3,""))</f>
        <v/>
      </c>
      <c r="EZ87" s="85">
        <f>IF(CL87="","",IFERROR(CL87*HSI!$B$85*HSI!$G$85/HSI!$B$3,""))</f>
        <v/>
      </c>
      <c r="FA87" s="85">
        <f>IF(CM87="","",IFERROR(CM87*HSI!$B$85*HSI!$G$85/HSI!$B$3,""))</f>
        <v/>
      </c>
      <c r="FB87" s="85">
        <f>IF(CN87="","",IFERROR(CN87*HSI!$B$85*HSI!$G$85/HSI!$B$3,""))</f>
        <v/>
      </c>
      <c r="FC87" s="85">
        <f>IF(CO87="","",IFERROR(CO87*HSI!$B$85*HSI!$G$85/HSI!$B$3,""))</f>
        <v/>
      </c>
      <c r="FD87" s="85">
        <f>IF(CP87="","",IFERROR(CP87*HSI!$B$85*HSI!$G$85/HSI!$B$3,""))</f>
        <v/>
      </c>
      <c r="FE87" s="85">
        <f>IF(CQ87="","",IFERROR(CQ87*HSI!$B$85*HSI!$G$85/HSI!$B$3,""))</f>
        <v/>
      </c>
      <c r="FF87" s="85">
        <f>IF(CR87="","",IFERROR(CR87*HSI!$B$85*HSI!$G$85/HSI!$B$3,""))</f>
        <v/>
      </c>
      <c r="FG87" s="85">
        <f>IF(CS87="","",IFERROR(CS87*HSI!$B$85*HSI!$G$85/HSI!$B$3,""))</f>
        <v/>
      </c>
      <c r="FH87" s="85">
        <f>IF(CT87="","",IFERROR(CT87*HSI!$B$85*HSI!$G$85/HSI!$B$3,""))</f>
        <v/>
      </c>
      <c r="FI87" s="85">
        <f>IF(CU87="","",IFERROR(CU87*HSI!$B$85*HSI!$G$85/HSI!$B$3,""))</f>
        <v/>
      </c>
      <c r="FJ87" s="85">
        <f>IF(CV87="","",IFERROR(CV87*HSI!$B$85*HSI!$G$85/HSI!$B$3,""))</f>
        <v/>
      </c>
      <c r="FK87" s="85">
        <f>IF(CW87="","",IFERROR(CW87*HSI!$B$85*HSI!$G$85/HSI!$B$3,""))</f>
        <v/>
      </c>
      <c r="FL87" s="85">
        <f>IF(CX87="","",IFERROR(CX87*HSI!$B$85*HSI!$G$85/HSI!$B$3,""))</f>
        <v/>
      </c>
      <c r="FM87" s="85">
        <f>IF(CY87="","",IFERROR(CY87*HSI!$B$85*HSI!$G$85/HSI!$B$3,""))</f>
        <v/>
      </c>
      <c r="FN87" s="85">
        <f>IF(CZ87="","",IFERROR(CZ87*HSI!$B$85*HSI!$G$85/HSI!$B$3,""))</f>
        <v/>
      </c>
      <c r="FO87" s="85">
        <f>IF(DA87="","",IFERROR(DA87*HSI!$B$85*HSI!$G$85/HSI!$B$3,""))</f>
        <v/>
      </c>
      <c r="FP87" s="85">
        <f>IF(DB87="","",IFERROR(DB87*HSI!$B$85*HSI!$G$85/HSI!$B$3,""))</f>
        <v/>
      </c>
      <c r="FQ87" s="85">
        <f>IF(DC87="","",IFERROR(DC87*HSI!$B$85*HSI!$G$85/HSI!$B$3,""))</f>
        <v/>
      </c>
      <c r="FR87" s="85">
        <f>IF(DD87="","",IFERROR(DD87*HSI!$B$85*HSI!$G$85/HSI!$B$3,""))</f>
        <v/>
      </c>
      <c r="FS87" s="85">
        <f>IF(DE87="","",IFERROR(DE87*HSI!$B$85*HSI!$G$85/HSI!$B$3,""))</f>
        <v/>
      </c>
      <c r="FT87" s="85">
        <f>IF(DF87="","",IFERROR(DF87*HSI!$B$85*HSI!$G$85/HSI!$B$3,""))</f>
        <v/>
      </c>
      <c r="FU87" s="85">
        <f>IF(DG87="","",IFERROR(DG87*HSI!$B$85*HSI!$G$85/HSI!$B$3,""))</f>
        <v/>
      </c>
      <c r="FV87" s="85">
        <f>IF(DH87="","",IFERROR(DH87*HSI!$B$85*HSI!$G$85/HSI!$B$3,""))</f>
        <v/>
      </c>
      <c r="FW87" s="85">
        <f>IF(DI87="","",IFERROR(DI87*HSI!$B$85*HSI!$G$85/HSI!$B$3,""))</f>
        <v/>
      </c>
      <c r="FX87" s="85">
        <f>IF(DJ87="","",IFERROR(DJ87*HSI!$B$85*HSI!$G$85/HSI!$B$3,""))</f>
        <v/>
      </c>
      <c r="FY87" s="85">
        <f>IF(DK87="","",IFERROR(DK87*HSI!$B$85*HSI!$G$85/HSI!$B$3,""))</f>
        <v/>
      </c>
      <c r="FZ87" s="85">
        <f>IF(DL87="","",IFERROR(DL87*HSI!$B$85*HSI!$G$85/HSI!$B$3,""))</f>
        <v/>
      </c>
      <c r="GA87" s="85">
        <f>IF(DM87="","",IFERROR(DM87*HSI!$B$85*HSI!$G$85/HSI!$B$3,""))</f>
        <v/>
      </c>
      <c r="GB87" s="85">
        <f>IF(DN87="","",IFERROR(DN87*HSI!$B$85*HSI!$G$85/HSI!$B$3,""))</f>
        <v/>
      </c>
      <c r="GC87" s="85">
        <f>IF(DO87="","",IFERROR(DO87*HSI!$B$85*HSI!$G$85/HSI!$B$3,""))</f>
        <v/>
      </c>
      <c r="GD87" s="85">
        <f>IF(DP87="","",IFERROR(DP87*HSI!$B$85*HSI!$G$85/HSI!$B$3,""))</f>
        <v/>
      </c>
      <c r="GE87" s="85">
        <f>IF(DQ87="","",IFERROR(DQ87*HSI!$B$85*HSI!$G$85/HSI!$B$3,""))</f>
        <v/>
      </c>
      <c r="GF87" s="85">
        <f>IF(DR87="","",IFERROR(DR87*HSI!$B$85*HSI!$G$85/HSI!$B$3,""))</f>
        <v/>
      </c>
      <c r="GG87" s="85">
        <f>IF(DS87="","",IFERROR(DS87*HSI!$B$85*HSI!$G$85/HSI!$B$3,""))</f>
        <v/>
      </c>
      <c r="GH87" s="85">
        <f>IF(DT87="","",IFERROR(DT87*HSI!$B$85*HSI!$G$85/HSI!$B$3,""))</f>
        <v/>
      </c>
      <c r="GI87" s="85">
        <f>IF(DU87="","",IFERROR(DU87*HSI!$B$85*HSI!$G$85/HSI!$B$3,""))</f>
        <v/>
      </c>
      <c r="GJ87" s="85">
        <f>IF(DV87="","",IFERROR(DV87*HSI!$B$85*HSI!$G$85/HSI!$B$3,""))</f>
        <v/>
      </c>
      <c r="GK87" s="85">
        <f>IF(DW87="","",IFERROR(DW87*HSI!$B$85*HSI!$G$85/HSI!$B$3,""))</f>
        <v/>
      </c>
      <c r="GL87" s="85">
        <f>IF(DX87="","",IFERROR(DX87*HSI!$B$85*HSI!$G$85/HSI!$B$3,""))</f>
        <v/>
      </c>
      <c r="GM87" s="85">
        <f>IF(DY87="","",IFERROR(DY87*HSI!$B$85*HSI!$G$85/HSI!$B$3,""))</f>
        <v/>
      </c>
      <c r="GN87" s="85">
        <f>IF(DZ87="","",IFERROR(DZ87*HSI!$B$85*HSI!$G$85/HSI!$B$3,""))</f>
        <v/>
      </c>
      <c r="GO87" s="85">
        <f>IF(EA87="","",IFERROR(EA87*HSI!$B$85*HSI!$G$85/HSI!$B$3,""))</f>
        <v/>
      </c>
      <c r="GP87" s="85">
        <f>IF(EB87="","",IFERROR(EB87*HSI!$B$85*HSI!$G$85/HSI!$B$3,""))</f>
        <v/>
      </c>
      <c r="GQ87" s="85">
        <f>IF(EC87="","",IFERROR(EC87*HSI!$B$85*HSI!$G$85/HSI!$B$3,""))</f>
        <v/>
      </c>
    </row>
    <row r="88">
      <c r="B88" s="2">
        <f>IF(HSI!$C$86="","",HSI!$C$86)</f>
        <v/>
      </c>
      <c r="C88" s="41">
        <f>IF(N('Dvd Calendar'!$E$1195)=0,"",IF(('Dvd Calendar'!$E$1195&gt;=MIN(DATE(Summary!$C$12,1,1),Summary!$C$11))*('Dvd Calendar'!$E$1195&lt;=MAX(DATE(Summary!$C$12,12,31),Summary!$C$15))*('Dvd Calendar'!$E$1195&lt;=Summary!$C$11)=0,"",'Dvd Calendar'!$E$1195*1000000000+ISNUMBER('Dvd Calendar'!$E$1196)*100000000+('Dvd Calendar'!$E$1200='Field Check'!$C$25)*10000000+(N('Dvd Calendar'!$E$1194)&gt;0)*1000000+80*1000+1))</f>
        <v/>
      </c>
      <c r="D88" s="41">
        <f>IF(N('Dvd Calendar'!$F$1195)=0,"",IF(('Dvd Calendar'!$F$1195&gt;=MIN(DATE(Summary!$C$12,1,1),Summary!$C$11))*('Dvd Calendar'!$F$1195&lt;=MAX(DATE(Summary!$C$12,12,31),Summary!$C$15))*('Dvd Calendar'!$F$1195&lt;=Summary!$C$11)=0,"",'Dvd Calendar'!$F$1195*1000000000+ISNUMBER('Dvd Calendar'!$F$1196)*100000000+('Dvd Calendar'!$F$1200='Field Check'!$C$25)*10000000+(N('Dvd Calendar'!$F$1194)&gt;0)*1000000+80*1000+2))</f>
        <v/>
      </c>
      <c r="E88" s="41">
        <f>IF(N('Dvd Calendar'!$G$1195)=0,"",IF(('Dvd Calendar'!$G$1195&gt;=MIN(DATE(Summary!$C$12,1,1),Summary!$C$11))*('Dvd Calendar'!$G$1195&lt;=MAX(DATE(Summary!$C$12,12,31),Summary!$C$15))*('Dvd Calendar'!$G$1195&lt;=Summary!$C$11)=0,"",'Dvd Calendar'!$G$1195*1000000000+ISNUMBER('Dvd Calendar'!$G$1196)*100000000+('Dvd Calendar'!$G$1200='Field Check'!$C$25)*10000000+(N('Dvd Calendar'!$G$1194)&gt;0)*1000000+80*1000+3))</f>
        <v/>
      </c>
      <c r="F88" s="41">
        <f>IF(N('Dvd Calendar'!$H$1195)=0,"",IF(('Dvd Calendar'!$H$1195&gt;=MIN(DATE(Summary!$C$12,1,1),Summary!$C$11))*('Dvd Calendar'!$H$1195&lt;=MAX(DATE(Summary!$C$12,12,31),Summary!$C$15))*('Dvd Calendar'!$H$1195&lt;=Summary!$C$11)=0,"",'Dvd Calendar'!$H$1195*1000000000+ISNUMBER('Dvd Calendar'!$H$1196)*100000000+('Dvd Calendar'!$H$1200='Field Check'!$C$25)*10000000+(N('Dvd Calendar'!$H$1194)&gt;0)*1000000+80*1000+4))</f>
        <v/>
      </c>
      <c r="G88" s="41">
        <f>IF(N('Dvd Calendar'!$I$1195)=0,"",IF(('Dvd Calendar'!$I$1195&gt;=MIN(DATE(Summary!$C$12,1,1),Summary!$C$11))*('Dvd Calendar'!$I$1195&lt;=MAX(DATE(Summary!$C$12,12,31),Summary!$C$15))*('Dvd Calendar'!$I$1195&lt;=Summary!$C$11)=0,"",'Dvd Calendar'!$I$1195*1000000000+ISNUMBER('Dvd Calendar'!$I$1196)*100000000+('Dvd Calendar'!$I$1200='Field Check'!$C$25)*10000000+(N('Dvd Calendar'!$I$1194)&gt;0)*1000000+80*1000+5))</f>
        <v/>
      </c>
      <c r="H88" s="41">
        <f>IF(N('Dvd Calendar'!$J$1195)=0,"",IF(('Dvd Calendar'!$J$1195&gt;=MIN(DATE(Summary!$C$12,1,1),Summary!$C$11))*('Dvd Calendar'!$J$1195&lt;=MAX(DATE(Summary!$C$12,12,31),Summary!$C$15))*('Dvd Calendar'!$J$1195&lt;=Summary!$C$11)=0,"",'Dvd Calendar'!$J$1195*1000000000+ISNUMBER('Dvd Calendar'!$J$1196)*100000000+('Dvd Calendar'!$J$1200='Field Check'!$C$25)*10000000+(N('Dvd Calendar'!$J$1194)&gt;0)*1000000+80*1000+6))</f>
        <v/>
      </c>
      <c r="I88" s="41">
        <f>IF(N('Dvd Calendar'!$K$1195)=0,"",IF(('Dvd Calendar'!$K$1195&gt;=MIN(DATE(Summary!$C$12,1,1),Summary!$C$11))*('Dvd Calendar'!$K$1195&lt;=MAX(DATE(Summary!$C$12,12,31),Summary!$C$15))*('Dvd Calendar'!$K$1195&lt;=Summary!$C$11)=0,"",'Dvd Calendar'!$K$1195*1000000000+ISNUMBER('Dvd Calendar'!$K$1196)*100000000+('Dvd Calendar'!$K$1200='Field Check'!$C$25)*10000000+(N('Dvd Calendar'!$K$1194)&gt;0)*1000000+80*1000+7))</f>
        <v/>
      </c>
      <c r="J88" s="41">
        <f>IF(N('Dvd Calendar'!$L$1195)=0,"",IF(('Dvd Calendar'!$L$1195&gt;=MIN(DATE(Summary!$C$12,1,1),Summary!$C$11))*('Dvd Calendar'!$L$1195&lt;=MAX(DATE(Summary!$C$12,12,31),Summary!$C$15))*('Dvd Calendar'!$L$1195&lt;=Summary!$C$11)=0,"",'Dvd Calendar'!$L$1195*1000000000+ISNUMBER('Dvd Calendar'!$L$1196)*100000000+('Dvd Calendar'!$L$1200='Field Check'!$C$25)*10000000+(N('Dvd Calendar'!$L$1194)&gt;0)*1000000+80*1000+8))</f>
        <v/>
      </c>
      <c r="K88" s="41">
        <f>IF(N('Dvd Calendar'!$M$1195)=0,"",IF(('Dvd Calendar'!$M$1195&gt;=MIN(DATE(Summary!$C$12,1,1),Summary!$C$11))*('Dvd Calendar'!$M$1195&lt;=MAX(DATE(Summary!$C$12,12,31),Summary!$C$15))*('Dvd Calendar'!$M$1195&lt;=Summary!$C$11)=0,"",'Dvd Calendar'!$M$1195*1000000000+ISNUMBER('Dvd Calendar'!$M$1196)*100000000+('Dvd Calendar'!$M$1200='Field Check'!$C$25)*10000000+(N('Dvd Calendar'!$M$1194)&gt;0)*1000000+80*1000+9))</f>
        <v/>
      </c>
      <c r="L88" s="41">
        <f>IF(N('Dvd Calendar'!$N$1195)=0,"",IF(('Dvd Calendar'!$N$1195&gt;=MIN(DATE(Summary!$C$12,1,1),Summary!$C$11))*('Dvd Calendar'!$N$1195&lt;=MAX(DATE(Summary!$C$12,12,31),Summary!$C$15))*('Dvd Calendar'!$N$1195&lt;=Summary!$C$11)=0,"",'Dvd Calendar'!$N$1195*1000000000+ISNUMBER('Dvd Calendar'!$N$1196)*100000000+('Dvd Calendar'!$N$1200='Field Check'!$C$25)*10000000+(N('Dvd Calendar'!$N$1194)&gt;0)*1000000+80*1000+10))</f>
        <v/>
      </c>
      <c r="M88" s="41">
        <f>IF(N('Dvd Calendar'!$O$1195)=0,"",IF(('Dvd Calendar'!$O$1195&gt;=MIN(DATE(Summary!$C$12,1,1),Summary!$C$11))*('Dvd Calendar'!$O$1195&lt;=MAX(DATE(Summary!$C$12,12,31),Summary!$C$15))*('Dvd Calendar'!$O$1195&lt;=Summary!$C$11)=0,"",'Dvd Calendar'!$O$1195*1000000000+ISNUMBER('Dvd Calendar'!$O$1196)*100000000+('Dvd Calendar'!$O$1200='Field Check'!$C$25)*10000000+(N('Dvd Calendar'!$O$1194)&gt;0)*1000000+80*1000+11))</f>
        <v/>
      </c>
      <c r="N88" s="41">
        <f>IF(N('Dvd Calendar'!$P$1195)=0,"",IF(('Dvd Calendar'!$P$1195&gt;=MIN(DATE(Summary!$C$12,1,1),Summary!$C$11))*('Dvd Calendar'!$P$1195&lt;=MAX(DATE(Summary!$C$12,12,31),Summary!$C$15))*('Dvd Calendar'!$P$1195&lt;=Summary!$C$11)=0,"",'Dvd Calendar'!$P$1195*1000000000+ISNUMBER('Dvd Calendar'!$P$1196)*100000000+('Dvd Calendar'!$P$1200='Field Check'!$C$25)*10000000+(N('Dvd Calendar'!$P$1194)&gt;0)*1000000+80*1000+12))</f>
        <v/>
      </c>
      <c r="O88" s="41">
        <f>IF(N('Dvd Calendar'!$Q$1195)=0,"",IF(('Dvd Calendar'!$Q$1195&gt;=MIN(DATE(Summary!$C$12,1,1),Summary!$C$11))*('Dvd Calendar'!$Q$1195&lt;=MAX(DATE(Summary!$C$12,12,31),Summary!$C$15))*('Dvd Calendar'!$Q$1195&lt;=Summary!$C$11)=0,"",'Dvd Calendar'!$Q$1195*1000000000+ISNUMBER('Dvd Calendar'!$Q$1196)*100000000+('Dvd Calendar'!$Q$1200='Field Check'!$C$25)*10000000+(N('Dvd Calendar'!$Q$1194)&gt;0)*1000000+80*1000+13))</f>
        <v/>
      </c>
      <c r="P88" s="41">
        <f>IF(N('Dvd Calendar'!$R$1195)=0,"",IF(('Dvd Calendar'!$R$1195&gt;=MIN(DATE(Summary!$C$12,1,1),Summary!$C$11))*('Dvd Calendar'!$R$1195&lt;=MAX(DATE(Summary!$C$12,12,31),Summary!$C$15))*('Dvd Calendar'!$R$1195&lt;=Summary!$C$11)=0,"",'Dvd Calendar'!$R$1195*1000000000+ISNUMBER('Dvd Calendar'!$R$1196)*100000000+('Dvd Calendar'!$R$1200='Field Check'!$C$25)*10000000+(N('Dvd Calendar'!$R$1194)&gt;0)*1000000+80*1000+14))</f>
        <v/>
      </c>
      <c r="Q88" s="41">
        <f>IF(N('Dvd Calendar'!$S$1195)=0,"",IF(('Dvd Calendar'!$S$1195&gt;=MIN(DATE(Summary!$C$12,1,1),Summary!$C$11))*('Dvd Calendar'!$S$1195&lt;=MAX(DATE(Summary!$C$12,12,31),Summary!$C$15))*('Dvd Calendar'!$S$1195&lt;=Summary!$C$11)=0,"",'Dvd Calendar'!$S$1195*1000000000+ISNUMBER('Dvd Calendar'!$S$1196)*100000000+('Dvd Calendar'!$S$1200='Field Check'!$C$25)*10000000+(N('Dvd Calendar'!$S$1194)&gt;0)*1000000+80*1000+15))</f>
        <v/>
      </c>
      <c r="R88" s="41">
        <f>IF(N('Dvd Calendar'!$T$1195)=0,"",IF(('Dvd Calendar'!$T$1195&gt;=MIN(DATE(Summary!$C$12,1,1),Summary!$C$11))*('Dvd Calendar'!$T$1195&lt;=MAX(DATE(Summary!$C$12,12,31),Summary!$C$15))*('Dvd Calendar'!$T$1195&lt;=Summary!$C$11)=0,"",'Dvd Calendar'!$T$1195*1000000000+ISNUMBER('Dvd Calendar'!$T$1196)*100000000+('Dvd Calendar'!$T$1200='Field Check'!$C$25)*10000000+(N('Dvd Calendar'!$T$1194)&gt;0)*1000000+80*1000+16))</f>
        <v/>
      </c>
      <c r="S88" s="41">
        <f>IF(N('Dvd Calendar'!$U$1195)=0,"",IF(('Dvd Calendar'!$U$1195&gt;=MIN(DATE(Summary!$C$12,1,1),Summary!$C$11))*('Dvd Calendar'!$U$1195&lt;=MAX(DATE(Summary!$C$12,12,31),Summary!$C$15))*('Dvd Calendar'!$U$1195&lt;=Summary!$C$11)=0,"",'Dvd Calendar'!$U$1195*1000000000+ISNUMBER('Dvd Calendar'!$U$1196)*100000000+('Dvd Calendar'!$U$1200='Field Check'!$C$25)*10000000+(N('Dvd Calendar'!$U$1194)&gt;0)*1000000+80*1000+17))</f>
        <v/>
      </c>
      <c r="T88" s="41">
        <f>IF(N('Dvd Calendar'!$V$1195)=0,"",IF(('Dvd Calendar'!$V$1195&gt;=MIN(DATE(Summary!$C$12,1,1),Summary!$C$11))*('Dvd Calendar'!$V$1195&lt;=MAX(DATE(Summary!$C$12,12,31),Summary!$C$15))*('Dvd Calendar'!$V$1195&lt;=Summary!$C$11)=0,"",'Dvd Calendar'!$V$1195*1000000000+ISNUMBER('Dvd Calendar'!$V$1196)*100000000+('Dvd Calendar'!$V$1200='Field Check'!$C$25)*10000000+(N('Dvd Calendar'!$V$1194)&gt;0)*1000000+80*1000+18))</f>
        <v/>
      </c>
      <c r="U88" s="41">
        <f>IF(N('Dvd Calendar'!$W$1195)=0,"",IF(('Dvd Calendar'!$W$1195&gt;=MIN(DATE(Summary!$C$12,1,1),Summary!$C$11))*('Dvd Calendar'!$W$1195&lt;=MAX(DATE(Summary!$C$12,12,31),Summary!$C$15))*('Dvd Calendar'!$W$1195&lt;=Summary!$C$11)=0,"",'Dvd Calendar'!$W$1195*1000000000+ISNUMBER('Dvd Calendar'!$W$1196)*100000000+('Dvd Calendar'!$W$1200='Field Check'!$C$25)*10000000+(N('Dvd Calendar'!$W$1194)&gt;0)*1000000+80*1000+19))</f>
        <v/>
      </c>
      <c r="V88" s="41">
        <f>IF(N('Dvd Calendar'!$X$1195)=0,"",IF(('Dvd Calendar'!$X$1195&gt;=MIN(DATE(Summary!$C$12,1,1),Summary!$C$11))*('Dvd Calendar'!$X$1195&lt;=MAX(DATE(Summary!$C$12,12,31),Summary!$C$15))*('Dvd Calendar'!$X$1195&lt;=Summary!$C$11)=0,"",'Dvd Calendar'!$X$1195*1000000000+ISNUMBER('Dvd Calendar'!$X$1196)*100000000+('Dvd Calendar'!$X$1200='Field Check'!$C$25)*10000000+(N('Dvd Calendar'!$X$1194)&gt;0)*1000000+80*1000+20))</f>
        <v/>
      </c>
      <c r="W88" s="41">
        <f>IF(N('Dvd Calendar'!$Y$1195)=0,"",IF(('Dvd Calendar'!$Y$1195&gt;=MIN(DATE(Summary!$C$12,1,1),Summary!$C$11))*('Dvd Calendar'!$Y$1195&lt;=MAX(DATE(Summary!$C$12,12,31),Summary!$C$15))*('Dvd Calendar'!$Y$1195&lt;=Summary!$C$11)=0,"",'Dvd Calendar'!$Y$1195*1000000000+ISNUMBER('Dvd Calendar'!$Y$1196)*100000000+('Dvd Calendar'!$Y$1200='Field Check'!$C$25)*10000000+(N('Dvd Calendar'!$Y$1194)&gt;0)*1000000+80*1000+21))</f>
        <v/>
      </c>
      <c r="X88" s="41">
        <f>IF(N('Dvd Calendar'!$Z$1195)=0,"",IF(('Dvd Calendar'!$Z$1195&gt;=MIN(DATE(Summary!$C$12,1,1),Summary!$C$11))*('Dvd Calendar'!$Z$1195&lt;=MAX(DATE(Summary!$C$12,12,31),Summary!$C$15))*('Dvd Calendar'!$Z$1195&lt;=Summary!$C$11)=0,"",'Dvd Calendar'!$Z$1195*1000000000+ISNUMBER('Dvd Calendar'!$Z$1196)*100000000+('Dvd Calendar'!$Z$1200='Field Check'!$C$25)*10000000+(N('Dvd Calendar'!$Z$1194)&gt;0)*1000000+80*1000+22))</f>
        <v/>
      </c>
      <c r="Y88" s="41">
        <f>IF(N('Dvd Calendar'!$AA$1195)=0,"",IF(('Dvd Calendar'!$AA$1195&gt;=MIN(DATE(Summary!$C$12,1,1),Summary!$C$11))*('Dvd Calendar'!$AA$1195&lt;=MAX(DATE(Summary!$C$12,12,31),Summary!$C$15))*('Dvd Calendar'!$AA$1195&lt;=Summary!$C$11)=0,"",'Dvd Calendar'!$AA$1195*1000000000+ISNUMBER('Dvd Calendar'!$AA$1196)*100000000+('Dvd Calendar'!$AA$1200='Field Check'!$C$25)*10000000+(N('Dvd Calendar'!$AA$1194)&gt;0)*1000000+80*1000+23))</f>
        <v/>
      </c>
      <c r="Z88" s="41">
        <f>IF(N('Dvd Calendar'!$AB$1195)=0,"",IF(('Dvd Calendar'!$AB$1195&gt;=MIN(DATE(Summary!$C$12,1,1),Summary!$C$11))*('Dvd Calendar'!$AB$1195&lt;=MAX(DATE(Summary!$C$12,12,31),Summary!$C$15))*('Dvd Calendar'!$AB$1195&lt;=Summary!$C$11)=0,"",'Dvd Calendar'!$AB$1195*1000000000+ISNUMBER('Dvd Calendar'!$AB$1196)*100000000+('Dvd Calendar'!$AB$1200='Field Check'!$C$25)*10000000+(N('Dvd Calendar'!$AB$1194)&gt;0)*1000000+80*1000+24))</f>
        <v/>
      </c>
      <c r="AA88" s="41">
        <f>IF(N('Dvd Calendar'!$AC$1195)=0,"",IF(('Dvd Calendar'!$AC$1195&gt;=MIN(DATE(Summary!$C$12,1,1),Summary!$C$11))*('Dvd Calendar'!$AC$1195&lt;=MAX(DATE(Summary!$C$12,12,31),Summary!$C$15))*('Dvd Calendar'!$AC$1195&lt;=Summary!$C$11)=0,"",'Dvd Calendar'!$AC$1195*1000000000+ISNUMBER('Dvd Calendar'!$AC$1196)*100000000+('Dvd Calendar'!$AC$1200='Field Check'!$C$25)*10000000+(N('Dvd Calendar'!$AC$1194)&gt;0)*1000000+80*1000+25))</f>
        <v/>
      </c>
      <c r="AB88" s="41">
        <f>IF(N('Dvd Calendar'!$AD$1195)=0,"",IF(('Dvd Calendar'!$AD$1195&gt;=MIN(DATE(Summary!$C$12,1,1),Summary!$C$11))*('Dvd Calendar'!$AD$1195&lt;=MAX(DATE(Summary!$C$12,12,31),Summary!$C$15))*('Dvd Calendar'!$AD$1195&lt;=Summary!$C$11)=0,"",'Dvd Calendar'!$AD$1195*1000000000+ISNUMBER('Dvd Calendar'!$AD$1196)*100000000+('Dvd Calendar'!$AD$1200='Field Check'!$C$25)*10000000+(N('Dvd Calendar'!$AD$1194)&gt;0)*1000000+80*1000+26))</f>
        <v/>
      </c>
      <c r="AC88" s="41">
        <f>IF(N('Dvd Calendar'!$AE$1195)=0,"",IF(('Dvd Calendar'!$AE$1195&gt;=MIN(DATE(Summary!$C$12,1,1),Summary!$C$11))*('Dvd Calendar'!$AE$1195&lt;=MAX(DATE(Summary!$C$12,12,31),Summary!$C$15))*('Dvd Calendar'!$AE$1195&lt;=Summary!$C$11)=0,"",'Dvd Calendar'!$AE$1195*1000000000+ISNUMBER('Dvd Calendar'!$AE$1196)*100000000+('Dvd Calendar'!$AE$1200='Field Check'!$C$25)*10000000+(N('Dvd Calendar'!$AE$1194)&gt;0)*1000000+80*1000+27))</f>
        <v/>
      </c>
      <c r="AD88" s="41">
        <f>IF(N('Dvd Calendar'!$AF$1195)=0,"",IF(('Dvd Calendar'!$AF$1195&gt;=MIN(DATE(Summary!$C$12,1,1),Summary!$C$11))*('Dvd Calendar'!$AF$1195&lt;=MAX(DATE(Summary!$C$12,12,31),Summary!$C$15))*('Dvd Calendar'!$AF$1195&lt;=Summary!$C$11)=0,"",'Dvd Calendar'!$AF$1195*1000000000+ISNUMBER('Dvd Calendar'!$AF$1196)*100000000+('Dvd Calendar'!$AF$1200='Field Check'!$C$25)*10000000+(N('Dvd Calendar'!$AF$1194)&gt;0)*1000000+80*1000+28))</f>
        <v/>
      </c>
      <c r="AE88" s="41">
        <f>IF(N('Dvd Calendar'!$AG$1195)=0,"",IF(('Dvd Calendar'!$AG$1195&gt;=MIN(DATE(Summary!$C$12,1,1),Summary!$C$11))*('Dvd Calendar'!$AG$1195&lt;=MAX(DATE(Summary!$C$12,12,31),Summary!$C$15))*('Dvd Calendar'!$AG$1195&lt;=Summary!$C$11)=0,"",'Dvd Calendar'!$AG$1195*1000000000+ISNUMBER('Dvd Calendar'!$AG$1196)*100000000+('Dvd Calendar'!$AG$1200='Field Check'!$C$25)*10000000+(N('Dvd Calendar'!$AG$1194)&gt;0)*1000000+80*1000+29))</f>
        <v/>
      </c>
      <c r="AF88" s="41">
        <f>IF(N('Dvd Calendar'!$AH$1195)=0,"",IF(('Dvd Calendar'!$AH$1195&gt;=MIN(DATE(Summary!$C$12,1,1),Summary!$C$11))*('Dvd Calendar'!$AH$1195&lt;=MAX(DATE(Summary!$C$12,12,31),Summary!$C$15))*('Dvd Calendar'!$AH$1195&lt;=Summary!$C$11)=0,"",'Dvd Calendar'!$AH$1195*1000000000+ISNUMBER('Dvd Calendar'!$AH$1196)*100000000+('Dvd Calendar'!$AH$1200='Field Check'!$C$25)*10000000+(N('Dvd Calendar'!$AH$1194)&gt;0)*1000000+80*1000+30))</f>
        <v/>
      </c>
      <c r="AG88" s="41">
        <f>IF(N('Dvd Calendar'!$AI$1195)=0,"",IF(('Dvd Calendar'!$AI$1195&gt;=MIN(DATE(Summary!$C$12,1,1),Summary!$C$11))*('Dvd Calendar'!$AI$1195&lt;=MAX(DATE(Summary!$C$12,12,31),Summary!$C$15))*('Dvd Calendar'!$AI$1195&lt;=Summary!$C$11)=0,"",'Dvd Calendar'!$AI$1195*1000000000+ISNUMBER('Dvd Calendar'!$AI$1196)*100000000+('Dvd Calendar'!$AI$1200='Field Check'!$C$25)*10000000+(N('Dvd Calendar'!$AI$1194)&gt;0)*1000000+80*1000+31))</f>
        <v/>
      </c>
      <c r="AH88" s="41">
        <f>IF(N('Dvd Calendar'!$AJ$1195)=0,"",IF(('Dvd Calendar'!$AJ$1195&gt;=MIN(DATE(Summary!$C$12,1,1),Summary!$C$11))*('Dvd Calendar'!$AJ$1195&lt;=MAX(DATE(Summary!$C$12,12,31),Summary!$C$15))*('Dvd Calendar'!$AJ$1195&lt;=Summary!$C$11)=0,"",'Dvd Calendar'!$AJ$1195*1000000000+ISNUMBER('Dvd Calendar'!$AJ$1196)*100000000+('Dvd Calendar'!$AJ$1200='Field Check'!$C$25)*10000000+(N('Dvd Calendar'!$AJ$1194)&gt;0)*1000000+80*1000+32))</f>
        <v/>
      </c>
      <c r="AI88" s="41">
        <f>IF(N('Dvd Calendar'!$AK$1195)=0,"",IF(('Dvd Calendar'!$AK$1195&gt;=MIN(DATE(Summary!$C$12,1,1),Summary!$C$11))*('Dvd Calendar'!$AK$1195&lt;=MAX(DATE(Summary!$C$12,12,31),Summary!$C$15))*('Dvd Calendar'!$AK$1195&lt;=Summary!$C$11)=0,"",'Dvd Calendar'!$AK$1195*1000000000+ISNUMBER('Dvd Calendar'!$AK$1196)*100000000+('Dvd Calendar'!$AK$1200='Field Check'!$C$25)*10000000+(N('Dvd Calendar'!$AK$1194)&gt;0)*1000000+80*1000+33))</f>
        <v/>
      </c>
      <c r="AJ88" s="41">
        <f>IF(N('Dvd Calendar'!$AL$1195)=0,"",IF(('Dvd Calendar'!$AL$1195&gt;=MIN(DATE(Summary!$C$12,1,1),Summary!$C$11))*('Dvd Calendar'!$AL$1195&lt;=MAX(DATE(Summary!$C$12,12,31),Summary!$C$15))*('Dvd Calendar'!$AL$1195&lt;=Summary!$C$11)=0,"",'Dvd Calendar'!$AL$1195*1000000000+ISNUMBER('Dvd Calendar'!$AL$1196)*100000000+('Dvd Calendar'!$AL$1200='Field Check'!$C$25)*10000000+(N('Dvd Calendar'!$AL$1194)&gt;0)*1000000+80*1000+34))</f>
        <v/>
      </c>
      <c r="AK88" s="41">
        <f>IF(N('Dvd Calendar'!$AM$1195)=0,"",IF(('Dvd Calendar'!$AM$1195&gt;=MIN(DATE(Summary!$C$12,1,1),Summary!$C$11))*('Dvd Calendar'!$AM$1195&lt;=MAX(DATE(Summary!$C$12,12,31),Summary!$C$15))*('Dvd Calendar'!$AM$1195&lt;=Summary!$C$11)=0,"",'Dvd Calendar'!$AM$1195*1000000000+ISNUMBER('Dvd Calendar'!$AM$1196)*100000000+('Dvd Calendar'!$AM$1200='Field Check'!$C$25)*10000000+(N('Dvd Calendar'!$AM$1194)&gt;0)*1000000+80*1000+35))</f>
        <v/>
      </c>
      <c r="AL88" s="41">
        <f>IF(N('Dvd Calendar'!$AN$1195)=0,"",IF(('Dvd Calendar'!$AN$1195&gt;=MIN(DATE(Summary!$C$12,1,1),Summary!$C$11))*('Dvd Calendar'!$AN$1195&lt;=MAX(DATE(Summary!$C$12,12,31),Summary!$C$15))*('Dvd Calendar'!$AN$1195&lt;=Summary!$C$11)=0,"",'Dvd Calendar'!$AN$1195*1000000000+ISNUMBER('Dvd Calendar'!$AN$1196)*100000000+('Dvd Calendar'!$AN$1200='Field Check'!$C$25)*10000000+(N('Dvd Calendar'!$AN$1194)&gt;0)*1000000+80*1000+36))</f>
        <v/>
      </c>
      <c r="AM88" s="41">
        <f>IF(N('Dvd Calendar'!$AO$1195)=0,"",IF(('Dvd Calendar'!$AO$1195&gt;=MIN(DATE(Summary!$C$12,1,1),Summary!$C$11))*('Dvd Calendar'!$AO$1195&lt;=MAX(DATE(Summary!$C$12,12,31),Summary!$C$15))*('Dvd Calendar'!$AO$1195&lt;=Summary!$C$11)=0,"",'Dvd Calendar'!$AO$1195*1000000000+ISNUMBER('Dvd Calendar'!$AO$1196)*100000000+('Dvd Calendar'!$AO$1200='Field Check'!$C$25)*10000000+(N('Dvd Calendar'!$AO$1194)&gt;0)*1000000+80*1000+37))</f>
        <v/>
      </c>
      <c r="AN88" s="41">
        <f>IF(N('Dvd Calendar'!$AP$1195)=0,"",IF(('Dvd Calendar'!$AP$1195&gt;=MIN(DATE(Summary!$C$12,1,1),Summary!$C$11))*('Dvd Calendar'!$AP$1195&lt;=MAX(DATE(Summary!$C$12,12,31),Summary!$C$15))*('Dvd Calendar'!$AP$1195&lt;=Summary!$C$11)=0,"",'Dvd Calendar'!$AP$1195*1000000000+ISNUMBER('Dvd Calendar'!$AP$1196)*100000000+('Dvd Calendar'!$AP$1200='Field Check'!$C$25)*10000000+(N('Dvd Calendar'!$AP$1194)&gt;0)*1000000+80*1000+38))</f>
        <v/>
      </c>
      <c r="AO88" s="41">
        <f>IF(N('Dvd Calendar'!$AQ$1195)=0,"",IF(('Dvd Calendar'!$AQ$1195&gt;=MIN(DATE(Summary!$C$12,1,1),Summary!$C$11))*('Dvd Calendar'!$AQ$1195&lt;=MAX(DATE(Summary!$C$12,12,31),Summary!$C$15))*('Dvd Calendar'!$AQ$1195&lt;=Summary!$C$11)=0,"",'Dvd Calendar'!$AQ$1195*1000000000+ISNUMBER('Dvd Calendar'!$AQ$1196)*100000000+('Dvd Calendar'!$AQ$1200='Field Check'!$C$25)*10000000+(N('Dvd Calendar'!$AQ$1194)&gt;0)*1000000+80*1000+39))</f>
        <v/>
      </c>
      <c r="AP88" s="41">
        <f>IF(N('Dvd Calendar'!$AR$1195)=0,"",IF(('Dvd Calendar'!$AR$1195&gt;=MIN(DATE(Summary!$C$12,1,1),Summary!$C$11))*('Dvd Calendar'!$AR$1195&lt;=MAX(DATE(Summary!$C$12,12,31),Summary!$C$15))*('Dvd Calendar'!$AR$1195&lt;=Summary!$C$11)=0,"",'Dvd Calendar'!$AR$1195*1000000000+ISNUMBER('Dvd Calendar'!$AR$1196)*100000000+('Dvd Calendar'!$AR$1200='Field Check'!$C$25)*10000000+(N('Dvd Calendar'!$AR$1194)&gt;0)*1000000+80*1000+40))</f>
        <v/>
      </c>
      <c r="AQ88" s="41">
        <f>IF(N('Dvd Calendar'!$E$1202)=0,"",IF(('Dvd Calendar'!$E$1202&gt;=MIN(DATE(Summary!$C$12,1,1),Summary!$C$11))*('Dvd Calendar'!$E$1202&lt;=MAX(DATE(Summary!$C$12,12,31),Summary!$C$15))*('Dvd Calendar'!$E$1202&gt;Summary!$C$11)=0,"",'Dvd Calendar'!$E$1202*1000000000+ISNUMBER('Dvd Calendar'!$E$1203)*100000000+('Dvd Calendar'!$E$1207='Field Check'!$C$25)*10000000+(N('Dvd Calendar'!$E$1201)&gt;0)*1000000+80*1000+41))</f>
        <v/>
      </c>
      <c r="AR88" s="41">
        <f>IF(N('Dvd Calendar'!$F$1202)=0,"",IF(('Dvd Calendar'!$F$1202&gt;=MIN(DATE(Summary!$C$12,1,1),Summary!$C$11))*('Dvd Calendar'!$F$1202&lt;=MAX(DATE(Summary!$C$12,12,31),Summary!$C$15))*('Dvd Calendar'!$F$1202&gt;Summary!$C$11)=0,"",'Dvd Calendar'!$F$1202*1000000000+ISNUMBER('Dvd Calendar'!$F$1203)*100000000+('Dvd Calendar'!$F$1207='Field Check'!$C$25)*10000000+(N('Dvd Calendar'!$F$1201)&gt;0)*1000000+80*1000+42))</f>
        <v/>
      </c>
      <c r="AS88" s="41">
        <f>IF(N('Dvd Calendar'!$G$1202)=0,"",IF(('Dvd Calendar'!$G$1202&gt;=MIN(DATE(Summary!$C$12,1,1),Summary!$C$11))*('Dvd Calendar'!$G$1202&lt;=MAX(DATE(Summary!$C$12,12,31),Summary!$C$15))*('Dvd Calendar'!$G$1202&gt;Summary!$C$11)=0,"",'Dvd Calendar'!$G$1202*1000000000+ISNUMBER('Dvd Calendar'!$G$1203)*100000000+('Dvd Calendar'!$G$1207='Field Check'!$C$25)*10000000+(N('Dvd Calendar'!$G$1201)&gt;0)*1000000+80*1000+43))</f>
        <v/>
      </c>
      <c r="AT88" s="41">
        <f>IF(N('Dvd Calendar'!$H$1202)=0,"",IF(('Dvd Calendar'!$H$1202&gt;=MIN(DATE(Summary!$C$12,1,1),Summary!$C$11))*('Dvd Calendar'!$H$1202&lt;=MAX(DATE(Summary!$C$12,12,31),Summary!$C$15))*('Dvd Calendar'!$H$1202&gt;Summary!$C$11)=0,"",'Dvd Calendar'!$H$1202*1000000000+ISNUMBER('Dvd Calendar'!$H$1203)*100000000+('Dvd Calendar'!$H$1207='Field Check'!$C$25)*10000000+(N('Dvd Calendar'!$H$1201)&gt;0)*1000000+80*1000+44))</f>
        <v/>
      </c>
      <c r="AU88" s="41">
        <f>IF(N('Dvd Calendar'!$I$1202)=0,"",IF(('Dvd Calendar'!$I$1202&gt;=MIN(DATE(Summary!$C$12,1,1),Summary!$C$11))*('Dvd Calendar'!$I$1202&lt;=MAX(DATE(Summary!$C$12,12,31),Summary!$C$15))*('Dvd Calendar'!$I$1202&gt;Summary!$C$11)=0,"",'Dvd Calendar'!$I$1202*1000000000+ISNUMBER('Dvd Calendar'!$I$1203)*100000000+('Dvd Calendar'!$I$1207='Field Check'!$C$25)*10000000+(N('Dvd Calendar'!$I$1201)&gt;0)*1000000+80*1000+45))</f>
        <v/>
      </c>
      <c r="AV88" s="41">
        <f>IF(N('Dvd Calendar'!$J$1202)=0,"",IF(('Dvd Calendar'!$J$1202&gt;=MIN(DATE(Summary!$C$12,1,1),Summary!$C$11))*('Dvd Calendar'!$J$1202&lt;=MAX(DATE(Summary!$C$12,12,31),Summary!$C$15))*('Dvd Calendar'!$J$1202&gt;Summary!$C$11)=0,"",'Dvd Calendar'!$J$1202*1000000000+ISNUMBER('Dvd Calendar'!$J$1203)*100000000+('Dvd Calendar'!$J$1207='Field Check'!$C$25)*10000000+(N('Dvd Calendar'!$J$1201)&gt;0)*1000000+80*1000+46))</f>
        <v/>
      </c>
      <c r="AW88" s="41">
        <f>IF(N('Dvd Calendar'!$K$1202)=0,"",IF(('Dvd Calendar'!$K$1202&gt;=MIN(DATE(Summary!$C$12,1,1),Summary!$C$11))*('Dvd Calendar'!$K$1202&lt;=MAX(DATE(Summary!$C$12,12,31),Summary!$C$15))*('Dvd Calendar'!$K$1202&gt;Summary!$C$11)=0,"",'Dvd Calendar'!$K$1202*1000000000+ISNUMBER('Dvd Calendar'!$K$1203)*100000000+('Dvd Calendar'!$K$1207='Field Check'!$C$25)*10000000+(N('Dvd Calendar'!$K$1201)&gt;0)*1000000+80*1000+47))</f>
        <v/>
      </c>
      <c r="AX88" s="41">
        <f>IF(N('Dvd Calendar'!$L$1202)=0,"",IF(('Dvd Calendar'!$L$1202&gt;=MIN(DATE(Summary!$C$12,1,1),Summary!$C$11))*('Dvd Calendar'!$L$1202&lt;=MAX(DATE(Summary!$C$12,12,31),Summary!$C$15))*('Dvd Calendar'!$L$1202&gt;Summary!$C$11)=0,"",'Dvd Calendar'!$L$1202*1000000000+ISNUMBER('Dvd Calendar'!$L$1203)*100000000+('Dvd Calendar'!$L$1207='Field Check'!$C$25)*10000000+(N('Dvd Calendar'!$L$1201)&gt;0)*1000000+80*1000+48))</f>
        <v/>
      </c>
      <c r="AY88" s="41">
        <f>IF(N('Dvd Calendar'!$M$1202)=0,"",IF(('Dvd Calendar'!$M$1202&gt;=MIN(DATE(Summary!$C$12,1,1),Summary!$C$11))*('Dvd Calendar'!$M$1202&lt;=MAX(DATE(Summary!$C$12,12,31),Summary!$C$15))*('Dvd Calendar'!$M$1202&gt;Summary!$C$11)=0,"",'Dvd Calendar'!$M$1202*1000000000+ISNUMBER('Dvd Calendar'!$M$1203)*100000000+('Dvd Calendar'!$M$1207='Field Check'!$C$25)*10000000+(N('Dvd Calendar'!$M$1201)&gt;0)*1000000+80*1000+49))</f>
        <v/>
      </c>
      <c r="AZ88" s="41">
        <f>IF(N('Dvd Calendar'!$N$1202)=0,"",IF(('Dvd Calendar'!$N$1202&gt;=MIN(DATE(Summary!$C$12,1,1),Summary!$C$11))*('Dvd Calendar'!$N$1202&lt;=MAX(DATE(Summary!$C$12,12,31),Summary!$C$15))*('Dvd Calendar'!$N$1202&gt;Summary!$C$11)=0,"",'Dvd Calendar'!$N$1202*1000000000+ISNUMBER('Dvd Calendar'!$N$1203)*100000000+('Dvd Calendar'!$N$1207='Field Check'!$C$25)*10000000+(N('Dvd Calendar'!$N$1201)&gt;0)*1000000+80*1000+50))</f>
        <v/>
      </c>
      <c r="BA88" s="41">
        <f>IF(N('Dvd Calendar'!$O$1202)=0,"",IF(('Dvd Calendar'!$O$1202&gt;=MIN(DATE(Summary!$C$12,1,1),Summary!$C$11))*('Dvd Calendar'!$O$1202&lt;=MAX(DATE(Summary!$C$12,12,31),Summary!$C$15))*('Dvd Calendar'!$O$1202&gt;Summary!$C$11)=0,"",'Dvd Calendar'!$O$1202*1000000000+ISNUMBER('Dvd Calendar'!$O$1203)*100000000+('Dvd Calendar'!$O$1207='Field Check'!$C$25)*10000000+(N('Dvd Calendar'!$O$1201)&gt;0)*1000000+80*1000+51))</f>
        <v/>
      </c>
      <c r="BB88" s="41">
        <f>IF(N('Dvd Calendar'!$P$1202)=0,"",IF(('Dvd Calendar'!$P$1202&gt;=MIN(DATE(Summary!$C$12,1,1),Summary!$C$11))*('Dvd Calendar'!$P$1202&lt;=MAX(DATE(Summary!$C$12,12,31),Summary!$C$15))*('Dvd Calendar'!$P$1202&gt;Summary!$C$11)=0,"",'Dvd Calendar'!$P$1202*1000000000+ISNUMBER('Dvd Calendar'!$P$1203)*100000000+('Dvd Calendar'!$P$1207='Field Check'!$C$25)*10000000+(N('Dvd Calendar'!$P$1201)&gt;0)*1000000+80*1000+52))</f>
        <v/>
      </c>
      <c r="BC88" s="41">
        <f>IF(N('Dvd Calendar'!$Q$1202)=0,"",IF(('Dvd Calendar'!$Q$1202&gt;=MIN(DATE(Summary!$C$12,1,1),Summary!$C$11))*('Dvd Calendar'!$Q$1202&lt;=MAX(DATE(Summary!$C$12,12,31),Summary!$C$15))*('Dvd Calendar'!$Q$1202&gt;Summary!$C$11)=0,"",'Dvd Calendar'!$Q$1202*1000000000+ISNUMBER('Dvd Calendar'!$Q$1203)*100000000+('Dvd Calendar'!$Q$1207='Field Check'!$C$25)*10000000+(N('Dvd Calendar'!$Q$1201)&gt;0)*1000000+80*1000+53))</f>
        <v/>
      </c>
      <c r="BD88" s="41">
        <f>IF(N('Dvd Calendar'!$R$1202)=0,"",IF(('Dvd Calendar'!$R$1202&gt;=MIN(DATE(Summary!$C$12,1,1),Summary!$C$11))*('Dvd Calendar'!$R$1202&lt;=MAX(DATE(Summary!$C$12,12,31),Summary!$C$15))*('Dvd Calendar'!$R$1202&gt;Summary!$C$11)=0,"",'Dvd Calendar'!$R$1202*1000000000+ISNUMBER('Dvd Calendar'!$R$1203)*100000000+('Dvd Calendar'!$R$1207='Field Check'!$C$25)*10000000+(N('Dvd Calendar'!$R$1201)&gt;0)*1000000+80*1000+54))</f>
        <v/>
      </c>
      <c r="BE88" s="41">
        <f>IF(N('Dvd Calendar'!$S$1202)=0,"",IF(('Dvd Calendar'!$S$1202&gt;=MIN(DATE(Summary!$C$12,1,1),Summary!$C$11))*('Dvd Calendar'!$S$1202&lt;=MAX(DATE(Summary!$C$12,12,31),Summary!$C$15))*('Dvd Calendar'!$S$1202&gt;Summary!$C$11)=0,"",'Dvd Calendar'!$S$1202*1000000000+ISNUMBER('Dvd Calendar'!$S$1203)*100000000+('Dvd Calendar'!$S$1207='Field Check'!$C$25)*10000000+(N('Dvd Calendar'!$S$1201)&gt;0)*1000000+80*1000+55))</f>
        <v/>
      </c>
      <c r="BF88" s="41">
        <f>IF(N('Dvd Calendar'!$T$1202)=0,"",IF(('Dvd Calendar'!$T$1202&gt;=MIN(DATE(Summary!$C$12,1,1),Summary!$C$11))*('Dvd Calendar'!$T$1202&lt;=MAX(DATE(Summary!$C$12,12,31),Summary!$C$15))*('Dvd Calendar'!$T$1202&gt;Summary!$C$11)=0,"",'Dvd Calendar'!$T$1202*1000000000+ISNUMBER('Dvd Calendar'!$T$1203)*100000000+('Dvd Calendar'!$T$1207='Field Check'!$C$25)*10000000+(N('Dvd Calendar'!$T$1201)&gt;0)*1000000+80*1000+56))</f>
        <v/>
      </c>
      <c r="BG88" s="41">
        <f>IF(N('Dvd Calendar'!$U$1202)=0,"",IF(('Dvd Calendar'!$U$1202&gt;=MIN(DATE(Summary!$C$12,1,1),Summary!$C$11))*('Dvd Calendar'!$U$1202&lt;=MAX(DATE(Summary!$C$12,12,31),Summary!$C$15))*('Dvd Calendar'!$U$1202&gt;Summary!$C$11)=0,"",'Dvd Calendar'!$U$1202*1000000000+ISNUMBER('Dvd Calendar'!$U$1203)*100000000+('Dvd Calendar'!$U$1207='Field Check'!$C$25)*10000000+(N('Dvd Calendar'!$U$1201)&gt;0)*1000000+80*1000+57))</f>
        <v/>
      </c>
      <c r="BH88" s="41">
        <f>IF(N('Dvd Calendar'!$V$1202)=0,"",IF(('Dvd Calendar'!$V$1202&gt;=MIN(DATE(Summary!$C$12,1,1),Summary!$C$11))*('Dvd Calendar'!$V$1202&lt;=MAX(DATE(Summary!$C$12,12,31),Summary!$C$15))*('Dvd Calendar'!$V$1202&gt;Summary!$C$11)=0,"",'Dvd Calendar'!$V$1202*1000000000+ISNUMBER('Dvd Calendar'!$V$1203)*100000000+('Dvd Calendar'!$V$1207='Field Check'!$C$25)*10000000+(N('Dvd Calendar'!$V$1201)&gt;0)*1000000+80*1000+58))</f>
        <v/>
      </c>
      <c r="BI88" s="41">
        <f>IF(N('Dvd Calendar'!$W$1202)=0,"",IF(('Dvd Calendar'!$W$1202&gt;=MIN(DATE(Summary!$C$12,1,1),Summary!$C$11))*('Dvd Calendar'!$W$1202&lt;=MAX(DATE(Summary!$C$12,12,31),Summary!$C$15))*('Dvd Calendar'!$W$1202&gt;Summary!$C$11)=0,"",'Dvd Calendar'!$W$1202*1000000000+ISNUMBER('Dvd Calendar'!$W$1203)*100000000+('Dvd Calendar'!$W$1207='Field Check'!$C$25)*10000000+(N('Dvd Calendar'!$W$1201)&gt;0)*1000000+80*1000+59))</f>
        <v/>
      </c>
      <c r="BJ88" s="41">
        <f>IF(N('Dvd Calendar'!$X$1202)=0,"",IF(('Dvd Calendar'!$X$1202&gt;=MIN(DATE(Summary!$C$12,1,1),Summary!$C$11))*('Dvd Calendar'!$X$1202&lt;=MAX(DATE(Summary!$C$12,12,31),Summary!$C$15))*('Dvd Calendar'!$X$1202&gt;Summary!$C$11)=0,"",'Dvd Calendar'!$X$1202*1000000000+ISNUMBER('Dvd Calendar'!$X$1203)*100000000+('Dvd Calendar'!$X$1207='Field Check'!$C$25)*10000000+(N('Dvd Calendar'!$X$1201)&gt;0)*1000000+80*1000+60))</f>
        <v/>
      </c>
      <c r="BK88" s="41">
        <f>IF(N('Dvd Calendar'!$Y$1202)=0,"",IF(('Dvd Calendar'!$Y$1202&gt;=MIN(DATE(Summary!$C$12,1,1),Summary!$C$11))*('Dvd Calendar'!$Y$1202&lt;=MAX(DATE(Summary!$C$12,12,31),Summary!$C$15))*('Dvd Calendar'!$Y$1202&gt;Summary!$C$11)=0,"",'Dvd Calendar'!$Y$1202*1000000000+ISNUMBER('Dvd Calendar'!$Y$1203)*100000000+('Dvd Calendar'!$Y$1207='Field Check'!$C$25)*10000000+(N('Dvd Calendar'!$Y$1201)&gt;0)*1000000+80*1000+61))</f>
        <v/>
      </c>
      <c r="BL88" s="41">
        <f>IF(N('Dvd Calendar'!$Z$1202)=0,"",IF(('Dvd Calendar'!$Z$1202&gt;=MIN(DATE(Summary!$C$12,1,1),Summary!$C$11))*('Dvd Calendar'!$Z$1202&lt;=MAX(DATE(Summary!$C$12,12,31),Summary!$C$15))*('Dvd Calendar'!$Z$1202&gt;Summary!$C$11)=0,"",'Dvd Calendar'!$Z$1202*1000000000+ISNUMBER('Dvd Calendar'!$Z$1203)*100000000+('Dvd Calendar'!$Z$1207='Field Check'!$C$25)*10000000+(N('Dvd Calendar'!$Z$1201)&gt;0)*1000000+80*1000+62))</f>
        <v/>
      </c>
      <c r="BM88" s="41">
        <f>IF(N('Dvd Calendar'!$AA$1202)=0,"",IF(('Dvd Calendar'!$AA$1202&gt;=MIN(DATE(Summary!$C$12,1,1),Summary!$C$11))*('Dvd Calendar'!$AA$1202&lt;=MAX(DATE(Summary!$C$12,12,31),Summary!$C$15))*('Dvd Calendar'!$AA$1202&gt;Summary!$C$11)=0,"",'Dvd Calendar'!$AA$1202*1000000000+ISNUMBER('Dvd Calendar'!$AA$1203)*100000000+('Dvd Calendar'!$AA$1207='Field Check'!$C$25)*10000000+(N('Dvd Calendar'!$AA$1201)&gt;0)*1000000+80*1000+63))</f>
        <v/>
      </c>
      <c r="BN88" s="41">
        <f>IF(N('Dvd Calendar'!$AB$1202)=0,"",IF(('Dvd Calendar'!$AB$1202&gt;=MIN(DATE(Summary!$C$12,1,1),Summary!$C$11))*('Dvd Calendar'!$AB$1202&lt;=MAX(DATE(Summary!$C$12,12,31),Summary!$C$15))*('Dvd Calendar'!$AB$1202&gt;Summary!$C$11)=0,"",'Dvd Calendar'!$AB$1202*1000000000+ISNUMBER('Dvd Calendar'!$AB$1203)*100000000+('Dvd Calendar'!$AB$1207='Field Check'!$C$25)*10000000+(N('Dvd Calendar'!$AB$1201)&gt;0)*1000000+80*1000+64))</f>
        <v/>
      </c>
      <c r="BO88" s="41">
        <f>IF(N('Dvd Calendar'!$AC$1202)=0,"",IF(('Dvd Calendar'!$AC$1202&gt;=MIN(DATE(Summary!$C$12,1,1),Summary!$C$11))*('Dvd Calendar'!$AC$1202&lt;=MAX(DATE(Summary!$C$12,12,31),Summary!$C$15))*('Dvd Calendar'!$AC$1202&gt;Summary!$C$11)=0,"",'Dvd Calendar'!$AC$1202*1000000000+ISNUMBER('Dvd Calendar'!$AC$1203)*100000000+('Dvd Calendar'!$AC$1207='Field Check'!$C$25)*10000000+(N('Dvd Calendar'!$AC$1201)&gt;0)*1000000+80*1000+65))</f>
        <v/>
      </c>
      <c r="BQ88" s="85">
        <f>IF(C88="","",IF(ISNUMBER('Dvd Calendar'!$E$1196)=FALSE,"",IF((Summary!$C$13="N")*('Dvd Calendar'!$E$1200='Field Check'!$C$25)&gt;0,"",'Dvd Calendar'!$E$1196)))</f>
        <v/>
      </c>
      <c r="BR88" s="85">
        <f>IF(D88="","",IF(ISNUMBER('Dvd Calendar'!$F$1196)=FALSE,"",IF((Summary!$C$13="N")*('Dvd Calendar'!$F$1200='Field Check'!$C$25)&gt;0,"",'Dvd Calendar'!$F$1196)))</f>
        <v/>
      </c>
      <c r="BS88" s="85">
        <f>IF(E88="","",IF(ISNUMBER('Dvd Calendar'!$G$1196)=FALSE,"",IF((Summary!$C$13="N")*('Dvd Calendar'!$G$1200='Field Check'!$C$25)&gt;0,"",'Dvd Calendar'!$G$1196)))</f>
        <v/>
      </c>
      <c r="BT88" s="85">
        <f>IF(F88="","",IF(ISNUMBER('Dvd Calendar'!$H$1196)=FALSE,"",IF((Summary!$C$13="N")*('Dvd Calendar'!$H$1200='Field Check'!$C$25)&gt;0,"",'Dvd Calendar'!$H$1196)))</f>
        <v/>
      </c>
      <c r="BU88" s="85">
        <f>IF(G88="","",IF(ISNUMBER('Dvd Calendar'!$I$1196)=FALSE,"",IF((Summary!$C$13="N")*('Dvd Calendar'!$I$1200='Field Check'!$C$25)&gt;0,"",'Dvd Calendar'!$I$1196)))</f>
        <v/>
      </c>
      <c r="BV88" s="85">
        <f>IF(H88="","",IF(ISNUMBER('Dvd Calendar'!$J$1196)=FALSE,"",IF((Summary!$C$13="N")*('Dvd Calendar'!$J$1200='Field Check'!$C$25)&gt;0,"",'Dvd Calendar'!$J$1196)))</f>
        <v/>
      </c>
      <c r="BW88" s="85">
        <f>IF(I88="","",IF(ISNUMBER('Dvd Calendar'!$K$1196)=FALSE,"",IF((Summary!$C$13="N")*('Dvd Calendar'!$K$1200='Field Check'!$C$25)&gt;0,"",'Dvd Calendar'!$K$1196)))</f>
        <v/>
      </c>
      <c r="BX88" s="85">
        <f>IF(J88="","",IF(ISNUMBER('Dvd Calendar'!$L$1196)=FALSE,"",IF((Summary!$C$13="N")*('Dvd Calendar'!$L$1200='Field Check'!$C$25)&gt;0,"",'Dvd Calendar'!$L$1196)))</f>
        <v/>
      </c>
      <c r="BY88" s="85">
        <f>IF(K88="","",IF(ISNUMBER('Dvd Calendar'!$M$1196)=FALSE,"",IF((Summary!$C$13="N")*('Dvd Calendar'!$M$1200='Field Check'!$C$25)&gt;0,"",'Dvd Calendar'!$M$1196)))</f>
        <v/>
      </c>
      <c r="BZ88" s="85">
        <f>IF(L88="","",IF(ISNUMBER('Dvd Calendar'!$N$1196)=FALSE,"",IF((Summary!$C$13="N")*('Dvd Calendar'!$N$1200='Field Check'!$C$25)&gt;0,"",'Dvd Calendar'!$N$1196)))</f>
        <v/>
      </c>
      <c r="CA88" s="85">
        <f>IF(M88="","",IF(ISNUMBER('Dvd Calendar'!$O$1196)=FALSE,"",IF((Summary!$C$13="N")*('Dvd Calendar'!$O$1200='Field Check'!$C$25)&gt;0,"",'Dvd Calendar'!$O$1196)))</f>
        <v/>
      </c>
      <c r="CB88" s="85">
        <f>IF(N88="","",IF(ISNUMBER('Dvd Calendar'!$P$1196)=FALSE,"",IF((Summary!$C$13="N")*('Dvd Calendar'!$P$1200='Field Check'!$C$25)&gt;0,"",'Dvd Calendar'!$P$1196)))</f>
        <v/>
      </c>
      <c r="CC88" s="85">
        <f>IF(O88="","",IF(ISNUMBER('Dvd Calendar'!$Q$1196)=FALSE,"",IF((Summary!$C$13="N")*('Dvd Calendar'!$Q$1200='Field Check'!$C$25)&gt;0,"",'Dvd Calendar'!$Q$1196)))</f>
        <v/>
      </c>
      <c r="CD88" s="85">
        <f>IF(P88="","",IF(ISNUMBER('Dvd Calendar'!$R$1196)=FALSE,"",IF((Summary!$C$13="N")*('Dvd Calendar'!$R$1200='Field Check'!$C$25)&gt;0,"",'Dvd Calendar'!$R$1196)))</f>
        <v/>
      </c>
      <c r="CE88" s="85">
        <f>IF(Q88="","",IF(ISNUMBER('Dvd Calendar'!$S$1196)=FALSE,"",IF((Summary!$C$13="N")*('Dvd Calendar'!$S$1200='Field Check'!$C$25)&gt;0,"",'Dvd Calendar'!$S$1196)))</f>
        <v/>
      </c>
      <c r="CF88" s="85">
        <f>IF(R88="","",IF(ISNUMBER('Dvd Calendar'!$T$1196)=FALSE,"",IF((Summary!$C$13="N")*('Dvd Calendar'!$T$1200='Field Check'!$C$25)&gt;0,"",'Dvd Calendar'!$T$1196)))</f>
        <v/>
      </c>
      <c r="CG88" s="85">
        <f>IF(S88="","",IF(ISNUMBER('Dvd Calendar'!$U$1196)=FALSE,"",IF((Summary!$C$13="N")*('Dvd Calendar'!$U$1200='Field Check'!$C$25)&gt;0,"",'Dvd Calendar'!$U$1196)))</f>
        <v/>
      </c>
      <c r="CH88" s="85">
        <f>IF(T88="","",IF(ISNUMBER('Dvd Calendar'!$V$1196)=FALSE,"",IF((Summary!$C$13="N")*('Dvd Calendar'!$V$1200='Field Check'!$C$25)&gt;0,"",'Dvd Calendar'!$V$1196)))</f>
        <v/>
      </c>
      <c r="CI88" s="85">
        <f>IF(U88="","",IF(ISNUMBER('Dvd Calendar'!$W$1196)=FALSE,"",IF((Summary!$C$13="N")*('Dvd Calendar'!$W$1200='Field Check'!$C$25)&gt;0,"",'Dvd Calendar'!$W$1196)))</f>
        <v/>
      </c>
      <c r="CJ88" s="85">
        <f>IF(V88="","",IF(ISNUMBER('Dvd Calendar'!$X$1196)=FALSE,"",IF((Summary!$C$13="N")*('Dvd Calendar'!$X$1200='Field Check'!$C$25)&gt;0,"",'Dvd Calendar'!$X$1196)))</f>
        <v/>
      </c>
      <c r="CK88" s="85">
        <f>IF(W88="","",IF(ISNUMBER('Dvd Calendar'!$Y$1196)=FALSE,"",IF((Summary!$C$13="N")*('Dvd Calendar'!$Y$1200='Field Check'!$C$25)&gt;0,"",'Dvd Calendar'!$Y$1196)))</f>
        <v/>
      </c>
      <c r="CL88" s="85">
        <f>IF(X88="","",IF(ISNUMBER('Dvd Calendar'!$Z$1196)=FALSE,"",IF((Summary!$C$13="N")*('Dvd Calendar'!$Z$1200='Field Check'!$C$25)&gt;0,"",'Dvd Calendar'!$Z$1196)))</f>
        <v/>
      </c>
      <c r="CM88" s="85">
        <f>IF(Y88="","",IF(ISNUMBER('Dvd Calendar'!$AA$1196)=FALSE,"",IF((Summary!$C$13="N")*('Dvd Calendar'!$AA$1200='Field Check'!$C$25)&gt;0,"",'Dvd Calendar'!$AA$1196)))</f>
        <v/>
      </c>
      <c r="CN88" s="85">
        <f>IF(Z88="","",IF(ISNUMBER('Dvd Calendar'!$AB$1196)=FALSE,"",IF((Summary!$C$13="N")*('Dvd Calendar'!$AB$1200='Field Check'!$C$25)&gt;0,"",'Dvd Calendar'!$AB$1196)))</f>
        <v/>
      </c>
      <c r="CO88" s="85">
        <f>IF(AA88="","",IF(ISNUMBER('Dvd Calendar'!$AC$1196)=FALSE,"",IF((Summary!$C$13="N")*('Dvd Calendar'!$AC$1200='Field Check'!$C$25)&gt;0,"",'Dvd Calendar'!$AC$1196)))</f>
        <v/>
      </c>
      <c r="CP88" s="85">
        <f>IF(AB88="","",IF(ISNUMBER('Dvd Calendar'!$AD$1196)=FALSE,"",IF((Summary!$C$13="N")*('Dvd Calendar'!$AD$1200='Field Check'!$C$25)&gt;0,"",'Dvd Calendar'!$AD$1196)))</f>
        <v/>
      </c>
      <c r="CQ88" s="85">
        <f>IF(AC88="","",IF(ISNUMBER('Dvd Calendar'!$AE$1196)=FALSE,"",IF((Summary!$C$13="N")*('Dvd Calendar'!$AE$1200='Field Check'!$C$25)&gt;0,"",'Dvd Calendar'!$AE$1196)))</f>
        <v/>
      </c>
      <c r="CR88" s="85">
        <f>IF(AD88="","",IF(ISNUMBER('Dvd Calendar'!$AF$1196)=FALSE,"",IF((Summary!$C$13="N")*('Dvd Calendar'!$AF$1200='Field Check'!$C$25)&gt;0,"",'Dvd Calendar'!$AF$1196)))</f>
        <v/>
      </c>
      <c r="CS88" s="85">
        <f>IF(AE88="","",IF(ISNUMBER('Dvd Calendar'!$AG$1196)=FALSE,"",IF((Summary!$C$13="N")*('Dvd Calendar'!$AG$1200='Field Check'!$C$25)&gt;0,"",'Dvd Calendar'!$AG$1196)))</f>
        <v/>
      </c>
      <c r="CT88" s="85">
        <f>IF(AF88="","",IF(ISNUMBER('Dvd Calendar'!$AH$1196)=FALSE,"",IF((Summary!$C$13="N")*('Dvd Calendar'!$AH$1200='Field Check'!$C$25)&gt;0,"",'Dvd Calendar'!$AH$1196)))</f>
        <v/>
      </c>
      <c r="CU88" s="85">
        <f>IF(AG88="","",IF(ISNUMBER('Dvd Calendar'!$AI$1196)=FALSE,"",IF((Summary!$C$13="N")*('Dvd Calendar'!$AI$1200='Field Check'!$C$25)&gt;0,"",'Dvd Calendar'!$AI$1196)))</f>
        <v/>
      </c>
      <c r="CV88" s="85">
        <f>IF(AH88="","",IF(ISNUMBER('Dvd Calendar'!$AJ$1196)=FALSE,"",IF((Summary!$C$13="N")*('Dvd Calendar'!$AJ$1200='Field Check'!$C$25)&gt;0,"",'Dvd Calendar'!$AJ$1196)))</f>
        <v/>
      </c>
      <c r="CW88" s="85">
        <f>IF(AI88="","",IF(ISNUMBER('Dvd Calendar'!$AK$1196)=FALSE,"",IF((Summary!$C$13="N")*('Dvd Calendar'!$AK$1200='Field Check'!$C$25)&gt;0,"",'Dvd Calendar'!$AK$1196)))</f>
        <v/>
      </c>
      <c r="CX88" s="85">
        <f>IF(AJ88="","",IF(ISNUMBER('Dvd Calendar'!$AL$1196)=FALSE,"",IF((Summary!$C$13="N")*('Dvd Calendar'!$AL$1200='Field Check'!$C$25)&gt;0,"",'Dvd Calendar'!$AL$1196)))</f>
        <v/>
      </c>
      <c r="CY88" s="85">
        <f>IF(AK88="","",IF(ISNUMBER('Dvd Calendar'!$AM$1196)=FALSE,"",IF((Summary!$C$13="N")*('Dvd Calendar'!$AM$1200='Field Check'!$C$25)&gt;0,"",'Dvd Calendar'!$AM$1196)))</f>
        <v/>
      </c>
      <c r="CZ88" s="85">
        <f>IF(AL88="","",IF(ISNUMBER('Dvd Calendar'!$AN$1196)=FALSE,"",IF((Summary!$C$13="N")*('Dvd Calendar'!$AN$1200='Field Check'!$C$25)&gt;0,"",'Dvd Calendar'!$AN$1196)))</f>
        <v/>
      </c>
      <c r="DA88" s="85">
        <f>IF(AM88="","",IF(ISNUMBER('Dvd Calendar'!$AO$1196)=FALSE,"",IF((Summary!$C$13="N")*('Dvd Calendar'!$AO$1200='Field Check'!$C$25)&gt;0,"",'Dvd Calendar'!$AO$1196)))</f>
        <v/>
      </c>
      <c r="DB88" s="85">
        <f>IF(AN88="","",IF(ISNUMBER('Dvd Calendar'!$AP$1196)=FALSE,"",IF((Summary!$C$13="N")*('Dvd Calendar'!$AP$1200='Field Check'!$C$25)&gt;0,"",'Dvd Calendar'!$AP$1196)))</f>
        <v/>
      </c>
      <c r="DC88" s="85">
        <f>IF(AO88="","",IF(ISNUMBER('Dvd Calendar'!$AQ$1196)=FALSE,"",IF((Summary!$C$13="N")*('Dvd Calendar'!$AQ$1200='Field Check'!$C$25)&gt;0,"",'Dvd Calendar'!$AQ$1196)))</f>
        <v/>
      </c>
      <c r="DD88" s="85">
        <f>IF(AP88="","",IF(ISNUMBER('Dvd Calendar'!$AR$1196)=FALSE,"",IF((Summary!$C$13="N")*('Dvd Calendar'!$AR$1200='Field Check'!$C$25)&gt;0,"",'Dvd Calendar'!$AR$1196)))</f>
        <v/>
      </c>
      <c r="DE88" s="85">
        <f>IF(AQ88="","",IF(ISNUMBER('Dvd Calendar'!$E$1203)=FALSE,"",IF((Summary!$C$13="N")*('Dvd Calendar'!$E$1207='Field Check'!$C$25)&gt;0,"",'Dvd Calendar'!$E$1203)))</f>
        <v/>
      </c>
      <c r="DF88" s="85">
        <f>IF(AR88="","",IF(ISNUMBER('Dvd Calendar'!$F$1203)=FALSE,"",IF((Summary!$C$13="N")*('Dvd Calendar'!$F$1207='Field Check'!$C$25)&gt;0,"",'Dvd Calendar'!$F$1203)))</f>
        <v/>
      </c>
      <c r="DG88" s="85">
        <f>IF(AS88="","",IF(ISNUMBER('Dvd Calendar'!$G$1203)=FALSE,"",IF((Summary!$C$13="N")*('Dvd Calendar'!$G$1207='Field Check'!$C$25)&gt;0,"",'Dvd Calendar'!$G$1203)))</f>
        <v/>
      </c>
      <c r="DH88" s="85">
        <f>IF(AT88="","",IF(ISNUMBER('Dvd Calendar'!$H$1203)=FALSE,"",IF((Summary!$C$13="N")*('Dvd Calendar'!$H$1207='Field Check'!$C$25)&gt;0,"",'Dvd Calendar'!$H$1203)))</f>
        <v/>
      </c>
      <c r="DI88" s="85">
        <f>IF(AU88="","",IF(ISNUMBER('Dvd Calendar'!$I$1203)=FALSE,"",IF((Summary!$C$13="N")*('Dvd Calendar'!$I$1207='Field Check'!$C$25)&gt;0,"",'Dvd Calendar'!$I$1203)))</f>
        <v/>
      </c>
      <c r="DJ88" s="85">
        <f>IF(AV88="","",IF(ISNUMBER('Dvd Calendar'!$J$1203)=FALSE,"",IF((Summary!$C$13="N")*('Dvd Calendar'!$J$1207='Field Check'!$C$25)&gt;0,"",'Dvd Calendar'!$J$1203)))</f>
        <v/>
      </c>
      <c r="DK88" s="85">
        <f>IF(AW88="","",IF(ISNUMBER('Dvd Calendar'!$K$1203)=FALSE,"",IF((Summary!$C$13="N")*('Dvd Calendar'!$K$1207='Field Check'!$C$25)&gt;0,"",'Dvd Calendar'!$K$1203)))</f>
        <v/>
      </c>
      <c r="DL88" s="85">
        <f>IF(AX88="","",IF(ISNUMBER('Dvd Calendar'!$L$1203)=FALSE,"",IF((Summary!$C$13="N")*('Dvd Calendar'!$L$1207='Field Check'!$C$25)&gt;0,"",'Dvd Calendar'!$L$1203)))</f>
        <v/>
      </c>
      <c r="DM88" s="85">
        <f>IF(AY88="","",IF(ISNUMBER('Dvd Calendar'!$M$1203)=FALSE,"",IF((Summary!$C$13="N")*('Dvd Calendar'!$M$1207='Field Check'!$C$25)&gt;0,"",'Dvd Calendar'!$M$1203)))</f>
        <v/>
      </c>
      <c r="DN88" s="85">
        <f>IF(AZ88="","",IF(ISNUMBER('Dvd Calendar'!$N$1203)=FALSE,"",IF((Summary!$C$13="N")*('Dvd Calendar'!$N$1207='Field Check'!$C$25)&gt;0,"",'Dvd Calendar'!$N$1203)))</f>
        <v/>
      </c>
      <c r="DO88" s="85">
        <f>IF(BA88="","",IF(ISNUMBER('Dvd Calendar'!$O$1203)=FALSE,"",IF((Summary!$C$13="N")*('Dvd Calendar'!$O$1207='Field Check'!$C$25)&gt;0,"",'Dvd Calendar'!$O$1203)))</f>
        <v/>
      </c>
      <c r="DP88" s="85">
        <f>IF(BB88="","",IF(ISNUMBER('Dvd Calendar'!$P$1203)=FALSE,"",IF((Summary!$C$13="N")*('Dvd Calendar'!$P$1207='Field Check'!$C$25)&gt;0,"",'Dvd Calendar'!$P$1203)))</f>
        <v/>
      </c>
      <c r="DQ88" s="85">
        <f>IF(BC88="","",IF(ISNUMBER('Dvd Calendar'!$Q$1203)=FALSE,"",IF((Summary!$C$13="N")*('Dvd Calendar'!$Q$1207='Field Check'!$C$25)&gt;0,"",'Dvd Calendar'!$Q$1203)))</f>
        <v/>
      </c>
      <c r="DR88" s="85">
        <f>IF(BD88="","",IF(ISNUMBER('Dvd Calendar'!$R$1203)=FALSE,"",IF((Summary!$C$13="N")*('Dvd Calendar'!$R$1207='Field Check'!$C$25)&gt;0,"",'Dvd Calendar'!$R$1203)))</f>
        <v/>
      </c>
      <c r="DS88" s="85">
        <f>IF(BE88="","",IF(ISNUMBER('Dvd Calendar'!$S$1203)=FALSE,"",IF((Summary!$C$13="N")*('Dvd Calendar'!$S$1207='Field Check'!$C$25)&gt;0,"",'Dvd Calendar'!$S$1203)))</f>
        <v/>
      </c>
      <c r="DT88" s="85">
        <f>IF(BF88="","",IF(ISNUMBER('Dvd Calendar'!$T$1203)=FALSE,"",IF((Summary!$C$13="N")*('Dvd Calendar'!$T$1207='Field Check'!$C$25)&gt;0,"",'Dvd Calendar'!$T$1203)))</f>
        <v/>
      </c>
      <c r="DU88" s="85">
        <f>IF(BG88="","",IF(ISNUMBER('Dvd Calendar'!$U$1203)=FALSE,"",IF((Summary!$C$13="N")*('Dvd Calendar'!$U$1207='Field Check'!$C$25)&gt;0,"",'Dvd Calendar'!$U$1203)))</f>
        <v/>
      </c>
      <c r="DV88" s="85">
        <f>IF(BH88="","",IF(ISNUMBER('Dvd Calendar'!$V$1203)=FALSE,"",IF((Summary!$C$13="N")*('Dvd Calendar'!$V$1207='Field Check'!$C$25)&gt;0,"",'Dvd Calendar'!$V$1203)))</f>
        <v/>
      </c>
      <c r="DW88" s="85">
        <f>IF(BI88="","",IF(ISNUMBER('Dvd Calendar'!$W$1203)=FALSE,"",IF((Summary!$C$13="N")*('Dvd Calendar'!$W$1207='Field Check'!$C$25)&gt;0,"",'Dvd Calendar'!$W$1203)))</f>
        <v/>
      </c>
      <c r="DX88" s="85">
        <f>IF(BJ88="","",IF(ISNUMBER('Dvd Calendar'!$X$1203)=FALSE,"",IF((Summary!$C$13="N")*('Dvd Calendar'!$X$1207='Field Check'!$C$25)&gt;0,"",'Dvd Calendar'!$X$1203)))</f>
        <v/>
      </c>
      <c r="DY88" s="85">
        <f>IF(BK88="","",IF(ISNUMBER('Dvd Calendar'!$Y$1203)=FALSE,"",IF((Summary!$C$13="N")*('Dvd Calendar'!$Y$1207='Field Check'!$C$25)&gt;0,"",'Dvd Calendar'!$Y$1203)))</f>
        <v/>
      </c>
      <c r="DZ88" s="85">
        <f>IF(BL88="","",IF(ISNUMBER('Dvd Calendar'!$Z$1203)=FALSE,"",IF((Summary!$C$13="N")*('Dvd Calendar'!$Z$1207='Field Check'!$C$25)&gt;0,"",'Dvd Calendar'!$Z$1203)))</f>
        <v/>
      </c>
      <c r="EA88" s="85">
        <f>IF(BM88="","",IF(ISNUMBER('Dvd Calendar'!$AA$1203)=FALSE,"",IF((Summary!$C$13="N")*('Dvd Calendar'!$AA$1207='Field Check'!$C$25)&gt;0,"",'Dvd Calendar'!$AA$1203)))</f>
        <v/>
      </c>
      <c r="EB88" s="85">
        <f>IF(BN88="","",IF(ISNUMBER('Dvd Calendar'!$AB$1203)=FALSE,"",IF((Summary!$C$13="N")*('Dvd Calendar'!$AB$1207='Field Check'!$C$25)&gt;0,"",'Dvd Calendar'!$AB$1203)))</f>
        <v/>
      </c>
      <c r="EC88" s="85">
        <f>IF(BO88="","",IF(ISNUMBER('Dvd Calendar'!$AC$1203)=FALSE,"",IF((Summary!$C$13="N")*('Dvd Calendar'!$AC$1207='Field Check'!$C$25)&gt;0,"",'Dvd Calendar'!$AC$1203)))</f>
        <v/>
      </c>
      <c r="EE88" s="85">
        <f>IF(BQ88="","",IFERROR(BQ88*HSI!$B$86*HSI!$G$86/HSI!$B$3,""))</f>
        <v/>
      </c>
      <c r="EF88" s="85">
        <f>IF(BR88="","",IFERROR(BR88*HSI!$B$86*HSI!$G$86/HSI!$B$3,""))</f>
        <v/>
      </c>
      <c r="EG88" s="85">
        <f>IF(BS88="","",IFERROR(BS88*HSI!$B$86*HSI!$G$86/HSI!$B$3,""))</f>
        <v/>
      </c>
      <c r="EH88" s="85">
        <f>IF(BT88="","",IFERROR(BT88*HSI!$B$86*HSI!$G$86/HSI!$B$3,""))</f>
        <v/>
      </c>
      <c r="EI88" s="85">
        <f>IF(BU88="","",IFERROR(BU88*HSI!$B$86*HSI!$G$86/HSI!$B$3,""))</f>
        <v/>
      </c>
      <c r="EJ88" s="85">
        <f>IF(BV88="","",IFERROR(BV88*HSI!$B$86*HSI!$G$86/HSI!$B$3,""))</f>
        <v/>
      </c>
      <c r="EK88" s="85">
        <f>IF(BW88="","",IFERROR(BW88*HSI!$B$86*HSI!$G$86/HSI!$B$3,""))</f>
        <v/>
      </c>
      <c r="EL88" s="85">
        <f>IF(BX88="","",IFERROR(BX88*HSI!$B$86*HSI!$G$86/HSI!$B$3,""))</f>
        <v/>
      </c>
      <c r="EM88" s="85">
        <f>IF(BY88="","",IFERROR(BY88*HSI!$B$86*HSI!$G$86/HSI!$B$3,""))</f>
        <v/>
      </c>
      <c r="EN88" s="85">
        <f>IF(BZ88="","",IFERROR(BZ88*HSI!$B$86*HSI!$G$86/HSI!$B$3,""))</f>
        <v/>
      </c>
      <c r="EO88" s="85">
        <f>IF(CA88="","",IFERROR(CA88*HSI!$B$86*HSI!$G$86/HSI!$B$3,""))</f>
        <v/>
      </c>
      <c r="EP88" s="85">
        <f>IF(CB88="","",IFERROR(CB88*HSI!$B$86*HSI!$G$86/HSI!$B$3,""))</f>
        <v/>
      </c>
      <c r="EQ88" s="85">
        <f>IF(CC88="","",IFERROR(CC88*HSI!$B$86*HSI!$G$86/HSI!$B$3,""))</f>
        <v/>
      </c>
      <c r="ER88" s="85">
        <f>IF(CD88="","",IFERROR(CD88*HSI!$B$86*HSI!$G$86/HSI!$B$3,""))</f>
        <v/>
      </c>
      <c r="ES88" s="85">
        <f>IF(CE88="","",IFERROR(CE88*HSI!$B$86*HSI!$G$86/HSI!$B$3,""))</f>
        <v/>
      </c>
      <c r="ET88" s="85">
        <f>IF(CF88="","",IFERROR(CF88*HSI!$B$86*HSI!$G$86/HSI!$B$3,""))</f>
        <v/>
      </c>
      <c r="EU88" s="85">
        <f>IF(CG88="","",IFERROR(CG88*HSI!$B$86*HSI!$G$86/HSI!$B$3,""))</f>
        <v/>
      </c>
      <c r="EV88" s="85">
        <f>IF(CH88="","",IFERROR(CH88*HSI!$B$86*HSI!$G$86/HSI!$B$3,""))</f>
        <v/>
      </c>
      <c r="EW88" s="85">
        <f>IF(CI88="","",IFERROR(CI88*HSI!$B$86*HSI!$G$86/HSI!$B$3,""))</f>
        <v/>
      </c>
      <c r="EX88" s="85">
        <f>IF(CJ88="","",IFERROR(CJ88*HSI!$B$86*HSI!$G$86/HSI!$B$3,""))</f>
        <v/>
      </c>
      <c r="EY88" s="85">
        <f>IF(CK88="","",IFERROR(CK88*HSI!$B$86*HSI!$G$86/HSI!$B$3,""))</f>
        <v/>
      </c>
      <c r="EZ88" s="85">
        <f>IF(CL88="","",IFERROR(CL88*HSI!$B$86*HSI!$G$86/HSI!$B$3,""))</f>
        <v/>
      </c>
      <c r="FA88" s="85">
        <f>IF(CM88="","",IFERROR(CM88*HSI!$B$86*HSI!$G$86/HSI!$B$3,""))</f>
        <v/>
      </c>
      <c r="FB88" s="85">
        <f>IF(CN88="","",IFERROR(CN88*HSI!$B$86*HSI!$G$86/HSI!$B$3,""))</f>
        <v/>
      </c>
      <c r="FC88" s="85">
        <f>IF(CO88="","",IFERROR(CO88*HSI!$B$86*HSI!$G$86/HSI!$B$3,""))</f>
        <v/>
      </c>
      <c r="FD88" s="85">
        <f>IF(CP88="","",IFERROR(CP88*HSI!$B$86*HSI!$G$86/HSI!$B$3,""))</f>
        <v/>
      </c>
      <c r="FE88" s="85">
        <f>IF(CQ88="","",IFERROR(CQ88*HSI!$B$86*HSI!$G$86/HSI!$B$3,""))</f>
        <v/>
      </c>
      <c r="FF88" s="85">
        <f>IF(CR88="","",IFERROR(CR88*HSI!$B$86*HSI!$G$86/HSI!$B$3,""))</f>
        <v/>
      </c>
      <c r="FG88" s="85">
        <f>IF(CS88="","",IFERROR(CS88*HSI!$B$86*HSI!$G$86/HSI!$B$3,""))</f>
        <v/>
      </c>
      <c r="FH88" s="85">
        <f>IF(CT88="","",IFERROR(CT88*HSI!$B$86*HSI!$G$86/HSI!$B$3,""))</f>
        <v/>
      </c>
      <c r="FI88" s="85">
        <f>IF(CU88="","",IFERROR(CU88*HSI!$B$86*HSI!$G$86/HSI!$B$3,""))</f>
        <v/>
      </c>
      <c r="FJ88" s="85">
        <f>IF(CV88="","",IFERROR(CV88*HSI!$B$86*HSI!$G$86/HSI!$B$3,""))</f>
        <v/>
      </c>
      <c r="FK88" s="85">
        <f>IF(CW88="","",IFERROR(CW88*HSI!$B$86*HSI!$G$86/HSI!$B$3,""))</f>
        <v/>
      </c>
      <c r="FL88" s="85">
        <f>IF(CX88="","",IFERROR(CX88*HSI!$B$86*HSI!$G$86/HSI!$B$3,""))</f>
        <v/>
      </c>
      <c r="FM88" s="85">
        <f>IF(CY88="","",IFERROR(CY88*HSI!$B$86*HSI!$G$86/HSI!$B$3,""))</f>
        <v/>
      </c>
      <c r="FN88" s="85">
        <f>IF(CZ88="","",IFERROR(CZ88*HSI!$B$86*HSI!$G$86/HSI!$B$3,""))</f>
        <v/>
      </c>
      <c r="FO88" s="85">
        <f>IF(DA88="","",IFERROR(DA88*HSI!$B$86*HSI!$G$86/HSI!$B$3,""))</f>
        <v/>
      </c>
      <c r="FP88" s="85">
        <f>IF(DB88="","",IFERROR(DB88*HSI!$B$86*HSI!$G$86/HSI!$B$3,""))</f>
        <v/>
      </c>
      <c r="FQ88" s="85">
        <f>IF(DC88="","",IFERROR(DC88*HSI!$B$86*HSI!$G$86/HSI!$B$3,""))</f>
        <v/>
      </c>
      <c r="FR88" s="85">
        <f>IF(DD88="","",IFERROR(DD88*HSI!$B$86*HSI!$G$86/HSI!$B$3,""))</f>
        <v/>
      </c>
      <c r="FS88" s="85">
        <f>IF(DE88="","",IFERROR(DE88*HSI!$B$86*HSI!$G$86/HSI!$B$3,""))</f>
        <v/>
      </c>
      <c r="FT88" s="85">
        <f>IF(DF88="","",IFERROR(DF88*HSI!$B$86*HSI!$G$86/HSI!$B$3,""))</f>
        <v/>
      </c>
      <c r="FU88" s="85">
        <f>IF(DG88="","",IFERROR(DG88*HSI!$B$86*HSI!$G$86/HSI!$B$3,""))</f>
        <v/>
      </c>
      <c r="FV88" s="85">
        <f>IF(DH88="","",IFERROR(DH88*HSI!$B$86*HSI!$G$86/HSI!$B$3,""))</f>
        <v/>
      </c>
      <c r="FW88" s="85">
        <f>IF(DI88="","",IFERROR(DI88*HSI!$B$86*HSI!$G$86/HSI!$B$3,""))</f>
        <v/>
      </c>
      <c r="FX88" s="85">
        <f>IF(DJ88="","",IFERROR(DJ88*HSI!$B$86*HSI!$G$86/HSI!$B$3,""))</f>
        <v/>
      </c>
      <c r="FY88" s="85">
        <f>IF(DK88="","",IFERROR(DK88*HSI!$B$86*HSI!$G$86/HSI!$B$3,""))</f>
        <v/>
      </c>
      <c r="FZ88" s="85">
        <f>IF(DL88="","",IFERROR(DL88*HSI!$B$86*HSI!$G$86/HSI!$B$3,""))</f>
        <v/>
      </c>
      <c r="GA88" s="85">
        <f>IF(DM88="","",IFERROR(DM88*HSI!$B$86*HSI!$G$86/HSI!$B$3,""))</f>
        <v/>
      </c>
      <c r="GB88" s="85">
        <f>IF(DN88="","",IFERROR(DN88*HSI!$B$86*HSI!$G$86/HSI!$B$3,""))</f>
        <v/>
      </c>
      <c r="GC88" s="85">
        <f>IF(DO88="","",IFERROR(DO88*HSI!$B$86*HSI!$G$86/HSI!$B$3,""))</f>
        <v/>
      </c>
      <c r="GD88" s="85">
        <f>IF(DP88="","",IFERROR(DP88*HSI!$B$86*HSI!$G$86/HSI!$B$3,""))</f>
        <v/>
      </c>
      <c r="GE88" s="85">
        <f>IF(DQ88="","",IFERROR(DQ88*HSI!$B$86*HSI!$G$86/HSI!$B$3,""))</f>
        <v/>
      </c>
      <c r="GF88" s="85">
        <f>IF(DR88="","",IFERROR(DR88*HSI!$B$86*HSI!$G$86/HSI!$B$3,""))</f>
        <v/>
      </c>
      <c r="GG88" s="85">
        <f>IF(DS88="","",IFERROR(DS88*HSI!$B$86*HSI!$G$86/HSI!$B$3,""))</f>
        <v/>
      </c>
      <c r="GH88" s="85">
        <f>IF(DT88="","",IFERROR(DT88*HSI!$B$86*HSI!$G$86/HSI!$B$3,""))</f>
        <v/>
      </c>
      <c r="GI88" s="85">
        <f>IF(DU88="","",IFERROR(DU88*HSI!$B$86*HSI!$G$86/HSI!$B$3,""))</f>
        <v/>
      </c>
      <c r="GJ88" s="85">
        <f>IF(DV88="","",IFERROR(DV88*HSI!$B$86*HSI!$G$86/HSI!$B$3,""))</f>
        <v/>
      </c>
      <c r="GK88" s="85">
        <f>IF(DW88="","",IFERROR(DW88*HSI!$B$86*HSI!$G$86/HSI!$B$3,""))</f>
        <v/>
      </c>
      <c r="GL88" s="85">
        <f>IF(DX88="","",IFERROR(DX88*HSI!$B$86*HSI!$G$86/HSI!$B$3,""))</f>
        <v/>
      </c>
      <c r="GM88" s="85">
        <f>IF(DY88="","",IFERROR(DY88*HSI!$B$86*HSI!$G$86/HSI!$B$3,""))</f>
        <v/>
      </c>
      <c r="GN88" s="85">
        <f>IF(DZ88="","",IFERROR(DZ88*HSI!$B$86*HSI!$G$86/HSI!$B$3,""))</f>
        <v/>
      </c>
      <c r="GO88" s="85">
        <f>IF(EA88="","",IFERROR(EA88*HSI!$B$86*HSI!$G$86/HSI!$B$3,""))</f>
        <v/>
      </c>
      <c r="GP88" s="85">
        <f>IF(EB88="","",IFERROR(EB88*HSI!$B$86*HSI!$G$86/HSI!$B$3,""))</f>
        <v/>
      </c>
      <c r="GQ88" s="85">
        <f>IF(EC88="","",IFERROR(EC88*HSI!$B$86*HSI!$G$86/HSI!$B$3,""))</f>
        <v/>
      </c>
    </row>
    <row r="89">
      <c r="B89" s="2">
        <f>IF(HSI!$C$87="","",HSI!$C$87)</f>
        <v/>
      </c>
      <c r="C89" s="41">
        <f>IF(N('Dvd Calendar'!$E$1210)=0,"",IF(('Dvd Calendar'!$E$1210&gt;=MIN(DATE(Summary!$C$12,1,1),Summary!$C$11))*('Dvd Calendar'!$E$1210&lt;=MAX(DATE(Summary!$C$12,12,31),Summary!$C$15))*('Dvd Calendar'!$E$1210&lt;=Summary!$C$11)=0,"",'Dvd Calendar'!$E$1210*1000000000+ISNUMBER('Dvd Calendar'!$E$1211)*100000000+('Dvd Calendar'!$E$1215='Field Check'!$C$25)*10000000+(N('Dvd Calendar'!$E$1209)&gt;0)*1000000+81*1000+1))</f>
        <v/>
      </c>
      <c r="D89" s="41">
        <f>IF(N('Dvd Calendar'!$F$1210)=0,"",IF(('Dvd Calendar'!$F$1210&gt;=MIN(DATE(Summary!$C$12,1,1),Summary!$C$11))*('Dvd Calendar'!$F$1210&lt;=MAX(DATE(Summary!$C$12,12,31),Summary!$C$15))*('Dvd Calendar'!$F$1210&lt;=Summary!$C$11)=0,"",'Dvd Calendar'!$F$1210*1000000000+ISNUMBER('Dvd Calendar'!$F$1211)*100000000+('Dvd Calendar'!$F$1215='Field Check'!$C$25)*10000000+(N('Dvd Calendar'!$F$1209)&gt;0)*1000000+81*1000+2))</f>
        <v/>
      </c>
      <c r="E89" s="41">
        <f>IF(N('Dvd Calendar'!$G$1210)=0,"",IF(('Dvd Calendar'!$G$1210&gt;=MIN(DATE(Summary!$C$12,1,1),Summary!$C$11))*('Dvd Calendar'!$G$1210&lt;=MAX(DATE(Summary!$C$12,12,31),Summary!$C$15))*('Dvd Calendar'!$G$1210&lt;=Summary!$C$11)=0,"",'Dvd Calendar'!$G$1210*1000000000+ISNUMBER('Dvd Calendar'!$G$1211)*100000000+('Dvd Calendar'!$G$1215='Field Check'!$C$25)*10000000+(N('Dvd Calendar'!$G$1209)&gt;0)*1000000+81*1000+3))</f>
        <v/>
      </c>
      <c r="F89" s="41">
        <f>IF(N('Dvd Calendar'!$H$1210)=0,"",IF(('Dvd Calendar'!$H$1210&gt;=MIN(DATE(Summary!$C$12,1,1),Summary!$C$11))*('Dvd Calendar'!$H$1210&lt;=MAX(DATE(Summary!$C$12,12,31),Summary!$C$15))*('Dvd Calendar'!$H$1210&lt;=Summary!$C$11)=0,"",'Dvd Calendar'!$H$1210*1000000000+ISNUMBER('Dvd Calendar'!$H$1211)*100000000+('Dvd Calendar'!$H$1215='Field Check'!$C$25)*10000000+(N('Dvd Calendar'!$H$1209)&gt;0)*1000000+81*1000+4))</f>
        <v/>
      </c>
      <c r="G89" s="41">
        <f>IF(N('Dvd Calendar'!$I$1210)=0,"",IF(('Dvd Calendar'!$I$1210&gt;=MIN(DATE(Summary!$C$12,1,1),Summary!$C$11))*('Dvd Calendar'!$I$1210&lt;=MAX(DATE(Summary!$C$12,12,31),Summary!$C$15))*('Dvd Calendar'!$I$1210&lt;=Summary!$C$11)=0,"",'Dvd Calendar'!$I$1210*1000000000+ISNUMBER('Dvd Calendar'!$I$1211)*100000000+('Dvd Calendar'!$I$1215='Field Check'!$C$25)*10000000+(N('Dvd Calendar'!$I$1209)&gt;0)*1000000+81*1000+5))</f>
        <v/>
      </c>
      <c r="H89" s="41">
        <f>IF(N('Dvd Calendar'!$J$1210)=0,"",IF(('Dvd Calendar'!$J$1210&gt;=MIN(DATE(Summary!$C$12,1,1),Summary!$C$11))*('Dvd Calendar'!$J$1210&lt;=MAX(DATE(Summary!$C$12,12,31),Summary!$C$15))*('Dvd Calendar'!$J$1210&lt;=Summary!$C$11)=0,"",'Dvd Calendar'!$J$1210*1000000000+ISNUMBER('Dvd Calendar'!$J$1211)*100000000+('Dvd Calendar'!$J$1215='Field Check'!$C$25)*10000000+(N('Dvd Calendar'!$J$1209)&gt;0)*1000000+81*1000+6))</f>
        <v/>
      </c>
      <c r="I89" s="41">
        <f>IF(N('Dvd Calendar'!$K$1210)=0,"",IF(('Dvd Calendar'!$K$1210&gt;=MIN(DATE(Summary!$C$12,1,1),Summary!$C$11))*('Dvd Calendar'!$K$1210&lt;=MAX(DATE(Summary!$C$12,12,31),Summary!$C$15))*('Dvd Calendar'!$K$1210&lt;=Summary!$C$11)=0,"",'Dvd Calendar'!$K$1210*1000000000+ISNUMBER('Dvd Calendar'!$K$1211)*100000000+('Dvd Calendar'!$K$1215='Field Check'!$C$25)*10000000+(N('Dvd Calendar'!$K$1209)&gt;0)*1000000+81*1000+7))</f>
        <v/>
      </c>
      <c r="J89" s="41">
        <f>IF(N('Dvd Calendar'!$L$1210)=0,"",IF(('Dvd Calendar'!$L$1210&gt;=MIN(DATE(Summary!$C$12,1,1),Summary!$C$11))*('Dvd Calendar'!$L$1210&lt;=MAX(DATE(Summary!$C$12,12,31),Summary!$C$15))*('Dvd Calendar'!$L$1210&lt;=Summary!$C$11)=0,"",'Dvd Calendar'!$L$1210*1000000000+ISNUMBER('Dvd Calendar'!$L$1211)*100000000+('Dvd Calendar'!$L$1215='Field Check'!$C$25)*10000000+(N('Dvd Calendar'!$L$1209)&gt;0)*1000000+81*1000+8))</f>
        <v/>
      </c>
      <c r="K89" s="41">
        <f>IF(N('Dvd Calendar'!$M$1210)=0,"",IF(('Dvd Calendar'!$M$1210&gt;=MIN(DATE(Summary!$C$12,1,1),Summary!$C$11))*('Dvd Calendar'!$M$1210&lt;=MAX(DATE(Summary!$C$12,12,31),Summary!$C$15))*('Dvd Calendar'!$M$1210&lt;=Summary!$C$11)=0,"",'Dvd Calendar'!$M$1210*1000000000+ISNUMBER('Dvd Calendar'!$M$1211)*100000000+('Dvd Calendar'!$M$1215='Field Check'!$C$25)*10000000+(N('Dvd Calendar'!$M$1209)&gt;0)*1000000+81*1000+9))</f>
        <v/>
      </c>
      <c r="L89" s="41">
        <f>IF(N('Dvd Calendar'!$N$1210)=0,"",IF(('Dvd Calendar'!$N$1210&gt;=MIN(DATE(Summary!$C$12,1,1),Summary!$C$11))*('Dvd Calendar'!$N$1210&lt;=MAX(DATE(Summary!$C$12,12,31),Summary!$C$15))*('Dvd Calendar'!$N$1210&lt;=Summary!$C$11)=0,"",'Dvd Calendar'!$N$1210*1000000000+ISNUMBER('Dvd Calendar'!$N$1211)*100000000+('Dvd Calendar'!$N$1215='Field Check'!$C$25)*10000000+(N('Dvd Calendar'!$N$1209)&gt;0)*1000000+81*1000+10))</f>
        <v/>
      </c>
      <c r="M89" s="41">
        <f>IF(N('Dvd Calendar'!$O$1210)=0,"",IF(('Dvd Calendar'!$O$1210&gt;=MIN(DATE(Summary!$C$12,1,1),Summary!$C$11))*('Dvd Calendar'!$O$1210&lt;=MAX(DATE(Summary!$C$12,12,31),Summary!$C$15))*('Dvd Calendar'!$O$1210&lt;=Summary!$C$11)=0,"",'Dvd Calendar'!$O$1210*1000000000+ISNUMBER('Dvd Calendar'!$O$1211)*100000000+('Dvd Calendar'!$O$1215='Field Check'!$C$25)*10000000+(N('Dvd Calendar'!$O$1209)&gt;0)*1000000+81*1000+11))</f>
        <v/>
      </c>
      <c r="N89" s="41">
        <f>IF(N('Dvd Calendar'!$P$1210)=0,"",IF(('Dvd Calendar'!$P$1210&gt;=MIN(DATE(Summary!$C$12,1,1),Summary!$C$11))*('Dvd Calendar'!$P$1210&lt;=MAX(DATE(Summary!$C$12,12,31),Summary!$C$15))*('Dvd Calendar'!$P$1210&lt;=Summary!$C$11)=0,"",'Dvd Calendar'!$P$1210*1000000000+ISNUMBER('Dvd Calendar'!$P$1211)*100000000+('Dvd Calendar'!$P$1215='Field Check'!$C$25)*10000000+(N('Dvd Calendar'!$P$1209)&gt;0)*1000000+81*1000+12))</f>
        <v/>
      </c>
      <c r="O89" s="41">
        <f>IF(N('Dvd Calendar'!$Q$1210)=0,"",IF(('Dvd Calendar'!$Q$1210&gt;=MIN(DATE(Summary!$C$12,1,1),Summary!$C$11))*('Dvd Calendar'!$Q$1210&lt;=MAX(DATE(Summary!$C$12,12,31),Summary!$C$15))*('Dvd Calendar'!$Q$1210&lt;=Summary!$C$11)=0,"",'Dvd Calendar'!$Q$1210*1000000000+ISNUMBER('Dvd Calendar'!$Q$1211)*100000000+('Dvd Calendar'!$Q$1215='Field Check'!$C$25)*10000000+(N('Dvd Calendar'!$Q$1209)&gt;0)*1000000+81*1000+13))</f>
        <v/>
      </c>
      <c r="P89" s="41">
        <f>IF(N('Dvd Calendar'!$R$1210)=0,"",IF(('Dvd Calendar'!$R$1210&gt;=MIN(DATE(Summary!$C$12,1,1),Summary!$C$11))*('Dvd Calendar'!$R$1210&lt;=MAX(DATE(Summary!$C$12,12,31),Summary!$C$15))*('Dvd Calendar'!$R$1210&lt;=Summary!$C$11)=0,"",'Dvd Calendar'!$R$1210*1000000000+ISNUMBER('Dvd Calendar'!$R$1211)*100000000+('Dvd Calendar'!$R$1215='Field Check'!$C$25)*10000000+(N('Dvd Calendar'!$R$1209)&gt;0)*1000000+81*1000+14))</f>
        <v/>
      </c>
      <c r="Q89" s="41">
        <f>IF(N('Dvd Calendar'!$S$1210)=0,"",IF(('Dvd Calendar'!$S$1210&gt;=MIN(DATE(Summary!$C$12,1,1),Summary!$C$11))*('Dvd Calendar'!$S$1210&lt;=MAX(DATE(Summary!$C$12,12,31),Summary!$C$15))*('Dvd Calendar'!$S$1210&lt;=Summary!$C$11)=0,"",'Dvd Calendar'!$S$1210*1000000000+ISNUMBER('Dvd Calendar'!$S$1211)*100000000+('Dvd Calendar'!$S$1215='Field Check'!$C$25)*10000000+(N('Dvd Calendar'!$S$1209)&gt;0)*1000000+81*1000+15))</f>
        <v/>
      </c>
      <c r="R89" s="41">
        <f>IF(N('Dvd Calendar'!$T$1210)=0,"",IF(('Dvd Calendar'!$T$1210&gt;=MIN(DATE(Summary!$C$12,1,1),Summary!$C$11))*('Dvd Calendar'!$T$1210&lt;=MAX(DATE(Summary!$C$12,12,31),Summary!$C$15))*('Dvd Calendar'!$T$1210&lt;=Summary!$C$11)=0,"",'Dvd Calendar'!$T$1210*1000000000+ISNUMBER('Dvd Calendar'!$T$1211)*100000000+('Dvd Calendar'!$T$1215='Field Check'!$C$25)*10000000+(N('Dvd Calendar'!$T$1209)&gt;0)*1000000+81*1000+16))</f>
        <v/>
      </c>
      <c r="S89" s="41">
        <f>IF(N('Dvd Calendar'!$U$1210)=0,"",IF(('Dvd Calendar'!$U$1210&gt;=MIN(DATE(Summary!$C$12,1,1),Summary!$C$11))*('Dvd Calendar'!$U$1210&lt;=MAX(DATE(Summary!$C$12,12,31),Summary!$C$15))*('Dvd Calendar'!$U$1210&lt;=Summary!$C$11)=0,"",'Dvd Calendar'!$U$1210*1000000000+ISNUMBER('Dvd Calendar'!$U$1211)*100000000+('Dvd Calendar'!$U$1215='Field Check'!$C$25)*10000000+(N('Dvd Calendar'!$U$1209)&gt;0)*1000000+81*1000+17))</f>
        <v/>
      </c>
      <c r="T89" s="41">
        <f>IF(N('Dvd Calendar'!$V$1210)=0,"",IF(('Dvd Calendar'!$V$1210&gt;=MIN(DATE(Summary!$C$12,1,1),Summary!$C$11))*('Dvd Calendar'!$V$1210&lt;=MAX(DATE(Summary!$C$12,12,31),Summary!$C$15))*('Dvd Calendar'!$V$1210&lt;=Summary!$C$11)=0,"",'Dvd Calendar'!$V$1210*1000000000+ISNUMBER('Dvd Calendar'!$V$1211)*100000000+('Dvd Calendar'!$V$1215='Field Check'!$C$25)*10000000+(N('Dvd Calendar'!$V$1209)&gt;0)*1000000+81*1000+18))</f>
        <v/>
      </c>
      <c r="U89" s="41">
        <f>IF(N('Dvd Calendar'!$W$1210)=0,"",IF(('Dvd Calendar'!$W$1210&gt;=MIN(DATE(Summary!$C$12,1,1),Summary!$C$11))*('Dvd Calendar'!$W$1210&lt;=MAX(DATE(Summary!$C$12,12,31),Summary!$C$15))*('Dvd Calendar'!$W$1210&lt;=Summary!$C$11)=0,"",'Dvd Calendar'!$W$1210*1000000000+ISNUMBER('Dvd Calendar'!$W$1211)*100000000+('Dvd Calendar'!$W$1215='Field Check'!$C$25)*10000000+(N('Dvd Calendar'!$W$1209)&gt;0)*1000000+81*1000+19))</f>
        <v/>
      </c>
      <c r="V89" s="41">
        <f>IF(N('Dvd Calendar'!$X$1210)=0,"",IF(('Dvd Calendar'!$X$1210&gt;=MIN(DATE(Summary!$C$12,1,1),Summary!$C$11))*('Dvd Calendar'!$X$1210&lt;=MAX(DATE(Summary!$C$12,12,31),Summary!$C$15))*('Dvd Calendar'!$X$1210&lt;=Summary!$C$11)=0,"",'Dvd Calendar'!$X$1210*1000000000+ISNUMBER('Dvd Calendar'!$X$1211)*100000000+('Dvd Calendar'!$X$1215='Field Check'!$C$25)*10000000+(N('Dvd Calendar'!$X$1209)&gt;0)*1000000+81*1000+20))</f>
        <v/>
      </c>
      <c r="W89" s="41">
        <f>IF(N('Dvd Calendar'!$Y$1210)=0,"",IF(('Dvd Calendar'!$Y$1210&gt;=MIN(DATE(Summary!$C$12,1,1),Summary!$C$11))*('Dvd Calendar'!$Y$1210&lt;=MAX(DATE(Summary!$C$12,12,31),Summary!$C$15))*('Dvd Calendar'!$Y$1210&lt;=Summary!$C$11)=0,"",'Dvd Calendar'!$Y$1210*1000000000+ISNUMBER('Dvd Calendar'!$Y$1211)*100000000+('Dvd Calendar'!$Y$1215='Field Check'!$C$25)*10000000+(N('Dvd Calendar'!$Y$1209)&gt;0)*1000000+81*1000+21))</f>
        <v/>
      </c>
      <c r="X89" s="41">
        <f>IF(N('Dvd Calendar'!$Z$1210)=0,"",IF(('Dvd Calendar'!$Z$1210&gt;=MIN(DATE(Summary!$C$12,1,1),Summary!$C$11))*('Dvd Calendar'!$Z$1210&lt;=MAX(DATE(Summary!$C$12,12,31),Summary!$C$15))*('Dvd Calendar'!$Z$1210&lt;=Summary!$C$11)=0,"",'Dvd Calendar'!$Z$1210*1000000000+ISNUMBER('Dvd Calendar'!$Z$1211)*100000000+('Dvd Calendar'!$Z$1215='Field Check'!$C$25)*10000000+(N('Dvd Calendar'!$Z$1209)&gt;0)*1000000+81*1000+22))</f>
        <v/>
      </c>
      <c r="Y89" s="41">
        <f>IF(N('Dvd Calendar'!$AA$1210)=0,"",IF(('Dvd Calendar'!$AA$1210&gt;=MIN(DATE(Summary!$C$12,1,1),Summary!$C$11))*('Dvd Calendar'!$AA$1210&lt;=MAX(DATE(Summary!$C$12,12,31),Summary!$C$15))*('Dvd Calendar'!$AA$1210&lt;=Summary!$C$11)=0,"",'Dvd Calendar'!$AA$1210*1000000000+ISNUMBER('Dvd Calendar'!$AA$1211)*100000000+('Dvd Calendar'!$AA$1215='Field Check'!$C$25)*10000000+(N('Dvd Calendar'!$AA$1209)&gt;0)*1000000+81*1000+23))</f>
        <v/>
      </c>
      <c r="Z89" s="41">
        <f>IF(N('Dvd Calendar'!$AB$1210)=0,"",IF(('Dvd Calendar'!$AB$1210&gt;=MIN(DATE(Summary!$C$12,1,1),Summary!$C$11))*('Dvd Calendar'!$AB$1210&lt;=MAX(DATE(Summary!$C$12,12,31),Summary!$C$15))*('Dvd Calendar'!$AB$1210&lt;=Summary!$C$11)=0,"",'Dvd Calendar'!$AB$1210*1000000000+ISNUMBER('Dvd Calendar'!$AB$1211)*100000000+('Dvd Calendar'!$AB$1215='Field Check'!$C$25)*10000000+(N('Dvd Calendar'!$AB$1209)&gt;0)*1000000+81*1000+24))</f>
        <v/>
      </c>
      <c r="AA89" s="41">
        <f>IF(N('Dvd Calendar'!$AC$1210)=0,"",IF(('Dvd Calendar'!$AC$1210&gt;=MIN(DATE(Summary!$C$12,1,1),Summary!$C$11))*('Dvd Calendar'!$AC$1210&lt;=MAX(DATE(Summary!$C$12,12,31),Summary!$C$15))*('Dvd Calendar'!$AC$1210&lt;=Summary!$C$11)=0,"",'Dvd Calendar'!$AC$1210*1000000000+ISNUMBER('Dvd Calendar'!$AC$1211)*100000000+('Dvd Calendar'!$AC$1215='Field Check'!$C$25)*10000000+(N('Dvd Calendar'!$AC$1209)&gt;0)*1000000+81*1000+25))</f>
        <v/>
      </c>
      <c r="AB89" s="41">
        <f>IF(N('Dvd Calendar'!$AD$1210)=0,"",IF(('Dvd Calendar'!$AD$1210&gt;=MIN(DATE(Summary!$C$12,1,1),Summary!$C$11))*('Dvd Calendar'!$AD$1210&lt;=MAX(DATE(Summary!$C$12,12,31),Summary!$C$15))*('Dvd Calendar'!$AD$1210&lt;=Summary!$C$11)=0,"",'Dvd Calendar'!$AD$1210*1000000000+ISNUMBER('Dvd Calendar'!$AD$1211)*100000000+('Dvd Calendar'!$AD$1215='Field Check'!$C$25)*10000000+(N('Dvd Calendar'!$AD$1209)&gt;0)*1000000+81*1000+26))</f>
        <v/>
      </c>
      <c r="AC89" s="41">
        <f>IF(N('Dvd Calendar'!$AE$1210)=0,"",IF(('Dvd Calendar'!$AE$1210&gt;=MIN(DATE(Summary!$C$12,1,1),Summary!$C$11))*('Dvd Calendar'!$AE$1210&lt;=MAX(DATE(Summary!$C$12,12,31),Summary!$C$15))*('Dvd Calendar'!$AE$1210&lt;=Summary!$C$11)=0,"",'Dvd Calendar'!$AE$1210*1000000000+ISNUMBER('Dvd Calendar'!$AE$1211)*100000000+('Dvd Calendar'!$AE$1215='Field Check'!$C$25)*10000000+(N('Dvd Calendar'!$AE$1209)&gt;0)*1000000+81*1000+27))</f>
        <v/>
      </c>
      <c r="AD89" s="41">
        <f>IF(N('Dvd Calendar'!$AF$1210)=0,"",IF(('Dvd Calendar'!$AF$1210&gt;=MIN(DATE(Summary!$C$12,1,1),Summary!$C$11))*('Dvd Calendar'!$AF$1210&lt;=MAX(DATE(Summary!$C$12,12,31),Summary!$C$15))*('Dvd Calendar'!$AF$1210&lt;=Summary!$C$11)=0,"",'Dvd Calendar'!$AF$1210*1000000000+ISNUMBER('Dvd Calendar'!$AF$1211)*100000000+('Dvd Calendar'!$AF$1215='Field Check'!$C$25)*10000000+(N('Dvd Calendar'!$AF$1209)&gt;0)*1000000+81*1000+28))</f>
        <v/>
      </c>
      <c r="AE89" s="41">
        <f>IF(N('Dvd Calendar'!$AG$1210)=0,"",IF(('Dvd Calendar'!$AG$1210&gt;=MIN(DATE(Summary!$C$12,1,1),Summary!$C$11))*('Dvd Calendar'!$AG$1210&lt;=MAX(DATE(Summary!$C$12,12,31),Summary!$C$15))*('Dvd Calendar'!$AG$1210&lt;=Summary!$C$11)=0,"",'Dvd Calendar'!$AG$1210*1000000000+ISNUMBER('Dvd Calendar'!$AG$1211)*100000000+('Dvd Calendar'!$AG$1215='Field Check'!$C$25)*10000000+(N('Dvd Calendar'!$AG$1209)&gt;0)*1000000+81*1000+29))</f>
        <v/>
      </c>
      <c r="AF89" s="41">
        <f>IF(N('Dvd Calendar'!$AH$1210)=0,"",IF(('Dvd Calendar'!$AH$1210&gt;=MIN(DATE(Summary!$C$12,1,1),Summary!$C$11))*('Dvd Calendar'!$AH$1210&lt;=MAX(DATE(Summary!$C$12,12,31),Summary!$C$15))*('Dvd Calendar'!$AH$1210&lt;=Summary!$C$11)=0,"",'Dvd Calendar'!$AH$1210*1000000000+ISNUMBER('Dvd Calendar'!$AH$1211)*100000000+('Dvd Calendar'!$AH$1215='Field Check'!$C$25)*10000000+(N('Dvd Calendar'!$AH$1209)&gt;0)*1000000+81*1000+30))</f>
        <v/>
      </c>
      <c r="AG89" s="41">
        <f>IF(N('Dvd Calendar'!$AI$1210)=0,"",IF(('Dvd Calendar'!$AI$1210&gt;=MIN(DATE(Summary!$C$12,1,1),Summary!$C$11))*('Dvd Calendar'!$AI$1210&lt;=MAX(DATE(Summary!$C$12,12,31),Summary!$C$15))*('Dvd Calendar'!$AI$1210&lt;=Summary!$C$11)=0,"",'Dvd Calendar'!$AI$1210*1000000000+ISNUMBER('Dvd Calendar'!$AI$1211)*100000000+('Dvd Calendar'!$AI$1215='Field Check'!$C$25)*10000000+(N('Dvd Calendar'!$AI$1209)&gt;0)*1000000+81*1000+31))</f>
        <v/>
      </c>
      <c r="AH89" s="41">
        <f>IF(N('Dvd Calendar'!$AJ$1210)=0,"",IF(('Dvd Calendar'!$AJ$1210&gt;=MIN(DATE(Summary!$C$12,1,1),Summary!$C$11))*('Dvd Calendar'!$AJ$1210&lt;=MAX(DATE(Summary!$C$12,12,31),Summary!$C$15))*('Dvd Calendar'!$AJ$1210&lt;=Summary!$C$11)=0,"",'Dvd Calendar'!$AJ$1210*1000000000+ISNUMBER('Dvd Calendar'!$AJ$1211)*100000000+('Dvd Calendar'!$AJ$1215='Field Check'!$C$25)*10000000+(N('Dvd Calendar'!$AJ$1209)&gt;0)*1000000+81*1000+32))</f>
        <v/>
      </c>
      <c r="AI89" s="41">
        <f>IF(N('Dvd Calendar'!$AK$1210)=0,"",IF(('Dvd Calendar'!$AK$1210&gt;=MIN(DATE(Summary!$C$12,1,1),Summary!$C$11))*('Dvd Calendar'!$AK$1210&lt;=MAX(DATE(Summary!$C$12,12,31),Summary!$C$15))*('Dvd Calendar'!$AK$1210&lt;=Summary!$C$11)=0,"",'Dvd Calendar'!$AK$1210*1000000000+ISNUMBER('Dvd Calendar'!$AK$1211)*100000000+('Dvd Calendar'!$AK$1215='Field Check'!$C$25)*10000000+(N('Dvd Calendar'!$AK$1209)&gt;0)*1000000+81*1000+33))</f>
        <v/>
      </c>
      <c r="AJ89" s="41">
        <f>IF(N('Dvd Calendar'!$AL$1210)=0,"",IF(('Dvd Calendar'!$AL$1210&gt;=MIN(DATE(Summary!$C$12,1,1),Summary!$C$11))*('Dvd Calendar'!$AL$1210&lt;=MAX(DATE(Summary!$C$12,12,31),Summary!$C$15))*('Dvd Calendar'!$AL$1210&lt;=Summary!$C$11)=0,"",'Dvd Calendar'!$AL$1210*1000000000+ISNUMBER('Dvd Calendar'!$AL$1211)*100000000+('Dvd Calendar'!$AL$1215='Field Check'!$C$25)*10000000+(N('Dvd Calendar'!$AL$1209)&gt;0)*1000000+81*1000+34))</f>
        <v/>
      </c>
      <c r="AK89" s="41">
        <f>IF(N('Dvd Calendar'!$AM$1210)=0,"",IF(('Dvd Calendar'!$AM$1210&gt;=MIN(DATE(Summary!$C$12,1,1),Summary!$C$11))*('Dvd Calendar'!$AM$1210&lt;=MAX(DATE(Summary!$C$12,12,31),Summary!$C$15))*('Dvd Calendar'!$AM$1210&lt;=Summary!$C$11)=0,"",'Dvd Calendar'!$AM$1210*1000000000+ISNUMBER('Dvd Calendar'!$AM$1211)*100000000+('Dvd Calendar'!$AM$1215='Field Check'!$C$25)*10000000+(N('Dvd Calendar'!$AM$1209)&gt;0)*1000000+81*1000+35))</f>
        <v/>
      </c>
      <c r="AL89" s="41">
        <f>IF(N('Dvd Calendar'!$AN$1210)=0,"",IF(('Dvd Calendar'!$AN$1210&gt;=MIN(DATE(Summary!$C$12,1,1),Summary!$C$11))*('Dvd Calendar'!$AN$1210&lt;=MAX(DATE(Summary!$C$12,12,31),Summary!$C$15))*('Dvd Calendar'!$AN$1210&lt;=Summary!$C$11)=0,"",'Dvd Calendar'!$AN$1210*1000000000+ISNUMBER('Dvd Calendar'!$AN$1211)*100000000+('Dvd Calendar'!$AN$1215='Field Check'!$C$25)*10000000+(N('Dvd Calendar'!$AN$1209)&gt;0)*1000000+81*1000+36))</f>
        <v/>
      </c>
      <c r="AM89" s="41">
        <f>IF(N('Dvd Calendar'!$AO$1210)=0,"",IF(('Dvd Calendar'!$AO$1210&gt;=MIN(DATE(Summary!$C$12,1,1),Summary!$C$11))*('Dvd Calendar'!$AO$1210&lt;=MAX(DATE(Summary!$C$12,12,31),Summary!$C$15))*('Dvd Calendar'!$AO$1210&lt;=Summary!$C$11)=0,"",'Dvd Calendar'!$AO$1210*1000000000+ISNUMBER('Dvd Calendar'!$AO$1211)*100000000+('Dvd Calendar'!$AO$1215='Field Check'!$C$25)*10000000+(N('Dvd Calendar'!$AO$1209)&gt;0)*1000000+81*1000+37))</f>
        <v/>
      </c>
      <c r="AN89" s="41">
        <f>IF(N('Dvd Calendar'!$AP$1210)=0,"",IF(('Dvd Calendar'!$AP$1210&gt;=MIN(DATE(Summary!$C$12,1,1),Summary!$C$11))*('Dvd Calendar'!$AP$1210&lt;=MAX(DATE(Summary!$C$12,12,31),Summary!$C$15))*('Dvd Calendar'!$AP$1210&lt;=Summary!$C$11)=0,"",'Dvd Calendar'!$AP$1210*1000000000+ISNUMBER('Dvd Calendar'!$AP$1211)*100000000+('Dvd Calendar'!$AP$1215='Field Check'!$C$25)*10000000+(N('Dvd Calendar'!$AP$1209)&gt;0)*1000000+81*1000+38))</f>
        <v/>
      </c>
      <c r="AO89" s="41">
        <f>IF(N('Dvd Calendar'!$AQ$1210)=0,"",IF(('Dvd Calendar'!$AQ$1210&gt;=MIN(DATE(Summary!$C$12,1,1),Summary!$C$11))*('Dvd Calendar'!$AQ$1210&lt;=MAX(DATE(Summary!$C$12,12,31),Summary!$C$15))*('Dvd Calendar'!$AQ$1210&lt;=Summary!$C$11)=0,"",'Dvd Calendar'!$AQ$1210*1000000000+ISNUMBER('Dvd Calendar'!$AQ$1211)*100000000+('Dvd Calendar'!$AQ$1215='Field Check'!$C$25)*10000000+(N('Dvd Calendar'!$AQ$1209)&gt;0)*1000000+81*1000+39))</f>
        <v/>
      </c>
      <c r="AP89" s="41">
        <f>IF(N('Dvd Calendar'!$AR$1210)=0,"",IF(('Dvd Calendar'!$AR$1210&gt;=MIN(DATE(Summary!$C$12,1,1),Summary!$C$11))*('Dvd Calendar'!$AR$1210&lt;=MAX(DATE(Summary!$C$12,12,31),Summary!$C$15))*('Dvd Calendar'!$AR$1210&lt;=Summary!$C$11)=0,"",'Dvd Calendar'!$AR$1210*1000000000+ISNUMBER('Dvd Calendar'!$AR$1211)*100000000+('Dvd Calendar'!$AR$1215='Field Check'!$C$25)*10000000+(N('Dvd Calendar'!$AR$1209)&gt;0)*1000000+81*1000+40))</f>
        <v/>
      </c>
      <c r="AQ89" s="41">
        <f>IF(N('Dvd Calendar'!$E$1217)=0,"",IF(('Dvd Calendar'!$E$1217&gt;=MIN(DATE(Summary!$C$12,1,1),Summary!$C$11))*('Dvd Calendar'!$E$1217&lt;=MAX(DATE(Summary!$C$12,12,31),Summary!$C$15))*('Dvd Calendar'!$E$1217&gt;Summary!$C$11)=0,"",'Dvd Calendar'!$E$1217*1000000000+ISNUMBER('Dvd Calendar'!$E$1218)*100000000+('Dvd Calendar'!$E$1222='Field Check'!$C$25)*10000000+(N('Dvd Calendar'!$E$1216)&gt;0)*1000000+81*1000+41))</f>
        <v/>
      </c>
      <c r="AR89" s="41">
        <f>IF(N('Dvd Calendar'!$F$1217)=0,"",IF(('Dvd Calendar'!$F$1217&gt;=MIN(DATE(Summary!$C$12,1,1),Summary!$C$11))*('Dvd Calendar'!$F$1217&lt;=MAX(DATE(Summary!$C$12,12,31),Summary!$C$15))*('Dvd Calendar'!$F$1217&gt;Summary!$C$11)=0,"",'Dvd Calendar'!$F$1217*1000000000+ISNUMBER('Dvd Calendar'!$F$1218)*100000000+('Dvd Calendar'!$F$1222='Field Check'!$C$25)*10000000+(N('Dvd Calendar'!$F$1216)&gt;0)*1000000+81*1000+42))</f>
        <v/>
      </c>
      <c r="AS89" s="41">
        <f>IF(N('Dvd Calendar'!$G$1217)=0,"",IF(('Dvd Calendar'!$G$1217&gt;=MIN(DATE(Summary!$C$12,1,1),Summary!$C$11))*('Dvd Calendar'!$G$1217&lt;=MAX(DATE(Summary!$C$12,12,31),Summary!$C$15))*('Dvd Calendar'!$G$1217&gt;Summary!$C$11)=0,"",'Dvd Calendar'!$G$1217*1000000000+ISNUMBER('Dvd Calendar'!$G$1218)*100000000+('Dvd Calendar'!$G$1222='Field Check'!$C$25)*10000000+(N('Dvd Calendar'!$G$1216)&gt;0)*1000000+81*1000+43))</f>
        <v/>
      </c>
      <c r="AT89" s="41">
        <f>IF(N('Dvd Calendar'!$H$1217)=0,"",IF(('Dvd Calendar'!$H$1217&gt;=MIN(DATE(Summary!$C$12,1,1),Summary!$C$11))*('Dvd Calendar'!$H$1217&lt;=MAX(DATE(Summary!$C$12,12,31),Summary!$C$15))*('Dvd Calendar'!$H$1217&gt;Summary!$C$11)=0,"",'Dvd Calendar'!$H$1217*1000000000+ISNUMBER('Dvd Calendar'!$H$1218)*100000000+('Dvd Calendar'!$H$1222='Field Check'!$C$25)*10000000+(N('Dvd Calendar'!$H$1216)&gt;0)*1000000+81*1000+44))</f>
        <v/>
      </c>
      <c r="AU89" s="41">
        <f>IF(N('Dvd Calendar'!$I$1217)=0,"",IF(('Dvd Calendar'!$I$1217&gt;=MIN(DATE(Summary!$C$12,1,1),Summary!$C$11))*('Dvd Calendar'!$I$1217&lt;=MAX(DATE(Summary!$C$12,12,31),Summary!$C$15))*('Dvd Calendar'!$I$1217&gt;Summary!$C$11)=0,"",'Dvd Calendar'!$I$1217*1000000000+ISNUMBER('Dvd Calendar'!$I$1218)*100000000+('Dvd Calendar'!$I$1222='Field Check'!$C$25)*10000000+(N('Dvd Calendar'!$I$1216)&gt;0)*1000000+81*1000+45))</f>
        <v/>
      </c>
      <c r="AV89" s="41">
        <f>IF(N('Dvd Calendar'!$J$1217)=0,"",IF(('Dvd Calendar'!$J$1217&gt;=MIN(DATE(Summary!$C$12,1,1),Summary!$C$11))*('Dvd Calendar'!$J$1217&lt;=MAX(DATE(Summary!$C$12,12,31),Summary!$C$15))*('Dvd Calendar'!$J$1217&gt;Summary!$C$11)=0,"",'Dvd Calendar'!$J$1217*1000000000+ISNUMBER('Dvd Calendar'!$J$1218)*100000000+('Dvd Calendar'!$J$1222='Field Check'!$C$25)*10000000+(N('Dvd Calendar'!$J$1216)&gt;0)*1000000+81*1000+46))</f>
        <v/>
      </c>
      <c r="AW89" s="41">
        <f>IF(N('Dvd Calendar'!$K$1217)=0,"",IF(('Dvd Calendar'!$K$1217&gt;=MIN(DATE(Summary!$C$12,1,1),Summary!$C$11))*('Dvd Calendar'!$K$1217&lt;=MAX(DATE(Summary!$C$12,12,31),Summary!$C$15))*('Dvd Calendar'!$K$1217&gt;Summary!$C$11)=0,"",'Dvd Calendar'!$K$1217*1000000000+ISNUMBER('Dvd Calendar'!$K$1218)*100000000+('Dvd Calendar'!$K$1222='Field Check'!$C$25)*10000000+(N('Dvd Calendar'!$K$1216)&gt;0)*1000000+81*1000+47))</f>
        <v/>
      </c>
      <c r="AX89" s="41">
        <f>IF(N('Dvd Calendar'!$L$1217)=0,"",IF(('Dvd Calendar'!$L$1217&gt;=MIN(DATE(Summary!$C$12,1,1),Summary!$C$11))*('Dvd Calendar'!$L$1217&lt;=MAX(DATE(Summary!$C$12,12,31),Summary!$C$15))*('Dvd Calendar'!$L$1217&gt;Summary!$C$11)=0,"",'Dvd Calendar'!$L$1217*1000000000+ISNUMBER('Dvd Calendar'!$L$1218)*100000000+('Dvd Calendar'!$L$1222='Field Check'!$C$25)*10000000+(N('Dvd Calendar'!$L$1216)&gt;0)*1000000+81*1000+48))</f>
        <v/>
      </c>
      <c r="AY89" s="41">
        <f>IF(N('Dvd Calendar'!$M$1217)=0,"",IF(('Dvd Calendar'!$M$1217&gt;=MIN(DATE(Summary!$C$12,1,1),Summary!$C$11))*('Dvd Calendar'!$M$1217&lt;=MAX(DATE(Summary!$C$12,12,31),Summary!$C$15))*('Dvd Calendar'!$M$1217&gt;Summary!$C$11)=0,"",'Dvd Calendar'!$M$1217*1000000000+ISNUMBER('Dvd Calendar'!$M$1218)*100000000+('Dvd Calendar'!$M$1222='Field Check'!$C$25)*10000000+(N('Dvd Calendar'!$M$1216)&gt;0)*1000000+81*1000+49))</f>
        <v/>
      </c>
      <c r="AZ89" s="41">
        <f>IF(N('Dvd Calendar'!$N$1217)=0,"",IF(('Dvd Calendar'!$N$1217&gt;=MIN(DATE(Summary!$C$12,1,1),Summary!$C$11))*('Dvd Calendar'!$N$1217&lt;=MAX(DATE(Summary!$C$12,12,31),Summary!$C$15))*('Dvd Calendar'!$N$1217&gt;Summary!$C$11)=0,"",'Dvd Calendar'!$N$1217*1000000000+ISNUMBER('Dvd Calendar'!$N$1218)*100000000+('Dvd Calendar'!$N$1222='Field Check'!$C$25)*10000000+(N('Dvd Calendar'!$N$1216)&gt;0)*1000000+81*1000+50))</f>
        <v/>
      </c>
      <c r="BA89" s="41">
        <f>IF(N('Dvd Calendar'!$O$1217)=0,"",IF(('Dvd Calendar'!$O$1217&gt;=MIN(DATE(Summary!$C$12,1,1),Summary!$C$11))*('Dvd Calendar'!$O$1217&lt;=MAX(DATE(Summary!$C$12,12,31),Summary!$C$15))*('Dvd Calendar'!$O$1217&gt;Summary!$C$11)=0,"",'Dvd Calendar'!$O$1217*1000000000+ISNUMBER('Dvd Calendar'!$O$1218)*100000000+('Dvd Calendar'!$O$1222='Field Check'!$C$25)*10000000+(N('Dvd Calendar'!$O$1216)&gt;0)*1000000+81*1000+51))</f>
        <v/>
      </c>
      <c r="BB89" s="41">
        <f>IF(N('Dvd Calendar'!$P$1217)=0,"",IF(('Dvd Calendar'!$P$1217&gt;=MIN(DATE(Summary!$C$12,1,1),Summary!$C$11))*('Dvd Calendar'!$P$1217&lt;=MAX(DATE(Summary!$C$12,12,31),Summary!$C$15))*('Dvd Calendar'!$P$1217&gt;Summary!$C$11)=0,"",'Dvd Calendar'!$P$1217*1000000000+ISNUMBER('Dvd Calendar'!$P$1218)*100000000+('Dvd Calendar'!$P$1222='Field Check'!$C$25)*10000000+(N('Dvd Calendar'!$P$1216)&gt;0)*1000000+81*1000+52))</f>
        <v/>
      </c>
      <c r="BC89" s="41">
        <f>IF(N('Dvd Calendar'!$Q$1217)=0,"",IF(('Dvd Calendar'!$Q$1217&gt;=MIN(DATE(Summary!$C$12,1,1),Summary!$C$11))*('Dvd Calendar'!$Q$1217&lt;=MAX(DATE(Summary!$C$12,12,31),Summary!$C$15))*('Dvd Calendar'!$Q$1217&gt;Summary!$C$11)=0,"",'Dvd Calendar'!$Q$1217*1000000000+ISNUMBER('Dvd Calendar'!$Q$1218)*100000000+('Dvd Calendar'!$Q$1222='Field Check'!$C$25)*10000000+(N('Dvd Calendar'!$Q$1216)&gt;0)*1000000+81*1000+53))</f>
        <v/>
      </c>
      <c r="BD89" s="41">
        <f>IF(N('Dvd Calendar'!$R$1217)=0,"",IF(('Dvd Calendar'!$R$1217&gt;=MIN(DATE(Summary!$C$12,1,1),Summary!$C$11))*('Dvd Calendar'!$R$1217&lt;=MAX(DATE(Summary!$C$12,12,31),Summary!$C$15))*('Dvd Calendar'!$R$1217&gt;Summary!$C$11)=0,"",'Dvd Calendar'!$R$1217*1000000000+ISNUMBER('Dvd Calendar'!$R$1218)*100000000+('Dvd Calendar'!$R$1222='Field Check'!$C$25)*10000000+(N('Dvd Calendar'!$R$1216)&gt;0)*1000000+81*1000+54))</f>
        <v/>
      </c>
      <c r="BE89" s="41">
        <f>IF(N('Dvd Calendar'!$S$1217)=0,"",IF(('Dvd Calendar'!$S$1217&gt;=MIN(DATE(Summary!$C$12,1,1),Summary!$C$11))*('Dvd Calendar'!$S$1217&lt;=MAX(DATE(Summary!$C$12,12,31),Summary!$C$15))*('Dvd Calendar'!$S$1217&gt;Summary!$C$11)=0,"",'Dvd Calendar'!$S$1217*1000000000+ISNUMBER('Dvd Calendar'!$S$1218)*100000000+('Dvd Calendar'!$S$1222='Field Check'!$C$25)*10000000+(N('Dvd Calendar'!$S$1216)&gt;0)*1000000+81*1000+55))</f>
        <v/>
      </c>
      <c r="BF89" s="41">
        <f>IF(N('Dvd Calendar'!$T$1217)=0,"",IF(('Dvd Calendar'!$T$1217&gt;=MIN(DATE(Summary!$C$12,1,1),Summary!$C$11))*('Dvd Calendar'!$T$1217&lt;=MAX(DATE(Summary!$C$12,12,31),Summary!$C$15))*('Dvd Calendar'!$T$1217&gt;Summary!$C$11)=0,"",'Dvd Calendar'!$T$1217*1000000000+ISNUMBER('Dvd Calendar'!$T$1218)*100000000+('Dvd Calendar'!$T$1222='Field Check'!$C$25)*10000000+(N('Dvd Calendar'!$T$1216)&gt;0)*1000000+81*1000+56))</f>
        <v/>
      </c>
      <c r="BG89" s="41">
        <f>IF(N('Dvd Calendar'!$U$1217)=0,"",IF(('Dvd Calendar'!$U$1217&gt;=MIN(DATE(Summary!$C$12,1,1),Summary!$C$11))*('Dvd Calendar'!$U$1217&lt;=MAX(DATE(Summary!$C$12,12,31),Summary!$C$15))*('Dvd Calendar'!$U$1217&gt;Summary!$C$11)=0,"",'Dvd Calendar'!$U$1217*1000000000+ISNUMBER('Dvd Calendar'!$U$1218)*100000000+('Dvd Calendar'!$U$1222='Field Check'!$C$25)*10000000+(N('Dvd Calendar'!$U$1216)&gt;0)*1000000+81*1000+57))</f>
        <v/>
      </c>
      <c r="BH89" s="41">
        <f>IF(N('Dvd Calendar'!$V$1217)=0,"",IF(('Dvd Calendar'!$V$1217&gt;=MIN(DATE(Summary!$C$12,1,1),Summary!$C$11))*('Dvd Calendar'!$V$1217&lt;=MAX(DATE(Summary!$C$12,12,31),Summary!$C$15))*('Dvd Calendar'!$V$1217&gt;Summary!$C$11)=0,"",'Dvd Calendar'!$V$1217*1000000000+ISNUMBER('Dvd Calendar'!$V$1218)*100000000+('Dvd Calendar'!$V$1222='Field Check'!$C$25)*10000000+(N('Dvd Calendar'!$V$1216)&gt;0)*1000000+81*1000+58))</f>
        <v/>
      </c>
      <c r="BI89" s="41">
        <f>IF(N('Dvd Calendar'!$W$1217)=0,"",IF(('Dvd Calendar'!$W$1217&gt;=MIN(DATE(Summary!$C$12,1,1),Summary!$C$11))*('Dvd Calendar'!$W$1217&lt;=MAX(DATE(Summary!$C$12,12,31),Summary!$C$15))*('Dvd Calendar'!$W$1217&gt;Summary!$C$11)=0,"",'Dvd Calendar'!$W$1217*1000000000+ISNUMBER('Dvd Calendar'!$W$1218)*100000000+('Dvd Calendar'!$W$1222='Field Check'!$C$25)*10000000+(N('Dvd Calendar'!$W$1216)&gt;0)*1000000+81*1000+59))</f>
        <v/>
      </c>
      <c r="BJ89" s="41">
        <f>IF(N('Dvd Calendar'!$X$1217)=0,"",IF(('Dvd Calendar'!$X$1217&gt;=MIN(DATE(Summary!$C$12,1,1),Summary!$C$11))*('Dvd Calendar'!$X$1217&lt;=MAX(DATE(Summary!$C$12,12,31),Summary!$C$15))*('Dvd Calendar'!$X$1217&gt;Summary!$C$11)=0,"",'Dvd Calendar'!$X$1217*1000000000+ISNUMBER('Dvd Calendar'!$X$1218)*100000000+('Dvd Calendar'!$X$1222='Field Check'!$C$25)*10000000+(N('Dvd Calendar'!$X$1216)&gt;0)*1000000+81*1000+60))</f>
        <v/>
      </c>
      <c r="BK89" s="41">
        <f>IF(N('Dvd Calendar'!$Y$1217)=0,"",IF(('Dvd Calendar'!$Y$1217&gt;=MIN(DATE(Summary!$C$12,1,1),Summary!$C$11))*('Dvd Calendar'!$Y$1217&lt;=MAX(DATE(Summary!$C$12,12,31),Summary!$C$15))*('Dvd Calendar'!$Y$1217&gt;Summary!$C$11)=0,"",'Dvd Calendar'!$Y$1217*1000000000+ISNUMBER('Dvd Calendar'!$Y$1218)*100000000+('Dvd Calendar'!$Y$1222='Field Check'!$C$25)*10000000+(N('Dvd Calendar'!$Y$1216)&gt;0)*1000000+81*1000+61))</f>
        <v/>
      </c>
      <c r="BL89" s="41">
        <f>IF(N('Dvd Calendar'!$Z$1217)=0,"",IF(('Dvd Calendar'!$Z$1217&gt;=MIN(DATE(Summary!$C$12,1,1),Summary!$C$11))*('Dvd Calendar'!$Z$1217&lt;=MAX(DATE(Summary!$C$12,12,31),Summary!$C$15))*('Dvd Calendar'!$Z$1217&gt;Summary!$C$11)=0,"",'Dvd Calendar'!$Z$1217*1000000000+ISNUMBER('Dvd Calendar'!$Z$1218)*100000000+('Dvd Calendar'!$Z$1222='Field Check'!$C$25)*10000000+(N('Dvd Calendar'!$Z$1216)&gt;0)*1000000+81*1000+62))</f>
        <v/>
      </c>
      <c r="BM89" s="41">
        <f>IF(N('Dvd Calendar'!$AA$1217)=0,"",IF(('Dvd Calendar'!$AA$1217&gt;=MIN(DATE(Summary!$C$12,1,1),Summary!$C$11))*('Dvd Calendar'!$AA$1217&lt;=MAX(DATE(Summary!$C$12,12,31),Summary!$C$15))*('Dvd Calendar'!$AA$1217&gt;Summary!$C$11)=0,"",'Dvd Calendar'!$AA$1217*1000000000+ISNUMBER('Dvd Calendar'!$AA$1218)*100000000+('Dvd Calendar'!$AA$1222='Field Check'!$C$25)*10000000+(N('Dvd Calendar'!$AA$1216)&gt;0)*1000000+81*1000+63))</f>
        <v/>
      </c>
      <c r="BN89" s="41">
        <f>IF(N('Dvd Calendar'!$AB$1217)=0,"",IF(('Dvd Calendar'!$AB$1217&gt;=MIN(DATE(Summary!$C$12,1,1),Summary!$C$11))*('Dvd Calendar'!$AB$1217&lt;=MAX(DATE(Summary!$C$12,12,31),Summary!$C$15))*('Dvd Calendar'!$AB$1217&gt;Summary!$C$11)=0,"",'Dvd Calendar'!$AB$1217*1000000000+ISNUMBER('Dvd Calendar'!$AB$1218)*100000000+('Dvd Calendar'!$AB$1222='Field Check'!$C$25)*10000000+(N('Dvd Calendar'!$AB$1216)&gt;0)*1000000+81*1000+64))</f>
        <v/>
      </c>
      <c r="BO89" s="41">
        <f>IF(N('Dvd Calendar'!$AC$1217)=0,"",IF(('Dvd Calendar'!$AC$1217&gt;=MIN(DATE(Summary!$C$12,1,1),Summary!$C$11))*('Dvd Calendar'!$AC$1217&lt;=MAX(DATE(Summary!$C$12,12,31),Summary!$C$15))*('Dvd Calendar'!$AC$1217&gt;Summary!$C$11)=0,"",'Dvd Calendar'!$AC$1217*1000000000+ISNUMBER('Dvd Calendar'!$AC$1218)*100000000+('Dvd Calendar'!$AC$1222='Field Check'!$C$25)*10000000+(N('Dvd Calendar'!$AC$1216)&gt;0)*1000000+81*1000+65))</f>
        <v/>
      </c>
      <c r="BQ89" s="85">
        <f>IF(C89="","",IF(ISNUMBER('Dvd Calendar'!$E$1211)=FALSE,"",IF((Summary!$C$13="N")*('Dvd Calendar'!$E$1215='Field Check'!$C$25)&gt;0,"",'Dvd Calendar'!$E$1211)))</f>
        <v/>
      </c>
      <c r="BR89" s="85">
        <f>IF(D89="","",IF(ISNUMBER('Dvd Calendar'!$F$1211)=FALSE,"",IF((Summary!$C$13="N")*('Dvd Calendar'!$F$1215='Field Check'!$C$25)&gt;0,"",'Dvd Calendar'!$F$1211)))</f>
        <v/>
      </c>
      <c r="BS89" s="85">
        <f>IF(E89="","",IF(ISNUMBER('Dvd Calendar'!$G$1211)=FALSE,"",IF((Summary!$C$13="N")*('Dvd Calendar'!$G$1215='Field Check'!$C$25)&gt;0,"",'Dvd Calendar'!$G$1211)))</f>
        <v/>
      </c>
      <c r="BT89" s="85">
        <f>IF(F89="","",IF(ISNUMBER('Dvd Calendar'!$H$1211)=FALSE,"",IF((Summary!$C$13="N")*('Dvd Calendar'!$H$1215='Field Check'!$C$25)&gt;0,"",'Dvd Calendar'!$H$1211)))</f>
        <v/>
      </c>
      <c r="BU89" s="85">
        <f>IF(G89="","",IF(ISNUMBER('Dvd Calendar'!$I$1211)=FALSE,"",IF((Summary!$C$13="N")*('Dvd Calendar'!$I$1215='Field Check'!$C$25)&gt;0,"",'Dvd Calendar'!$I$1211)))</f>
        <v/>
      </c>
      <c r="BV89" s="85">
        <f>IF(H89="","",IF(ISNUMBER('Dvd Calendar'!$J$1211)=FALSE,"",IF((Summary!$C$13="N")*('Dvd Calendar'!$J$1215='Field Check'!$C$25)&gt;0,"",'Dvd Calendar'!$J$1211)))</f>
        <v/>
      </c>
      <c r="BW89" s="85">
        <f>IF(I89="","",IF(ISNUMBER('Dvd Calendar'!$K$1211)=FALSE,"",IF((Summary!$C$13="N")*('Dvd Calendar'!$K$1215='Field Check'!$C$25)&gt;0,"",'Dvd Calendar'!$K$1211)))</f>
        <v/>
      </c>
      <c r="BX89" s="85">
        <f>IF(J89="","",IF(ISNUMBER('Dvd Calendar'!$L$1211)=FALSE,"",IF((Summary!$C$13="N")*('Dvd Calendar'!$L$1215='Field Check'!$C$25)&gt;0,"",'Dvd Calendar'!$L$1211)))</f>
        <v/>
      </c>
      <c r="BY89" s="85">
        <f>IF(K89="","",IF(ISNUMBER('Dvd Calendar'!$M$1211)=FALSE,"",IF((Summary!$C$13="N")*('Dvd Calendar'!$M$1215='Field Check'!$C$25)&gt;0,"",'Dvd Calendar'!$M$1211)))</f>
        <v/>
      </c>
      <c r="BZ89" s="85">
        <f>IF(L89="","",IF(ISNUMBER('Dvd Calendar'!$N$1211)=FALSE,"",IF((Summary!$C$13="N")*('Dvd Calendar'!$N$1215='Field Check'!$C$25)&gt;0,"",'Dvd Calendar'!$N$1211)))</f>
        <v/>
      </c>
      <c r="CA89" s="85">
        <f>IF(M89="","",IF(ISNUMBER('Dvd Calendar'!$O$1211)=FALSE,"",IF((Summary!$C$13="N")*('Dvd Calendar'!$O$1215='Field Check'!$C$25)&gt;0,"",'Dvd Calendar'!$O$1211)))</f>
        <v/>
      </c>
      <c r="CB89" s="85">
        <f>IF(N89="","",IF(ISNUMBER('Dvd Calendar'!$P$1211)=FALSE,"",IF((Summary!$C$13="N")*('Dvd Calendar'!$P$1215='Field Check'!$C$25)&gt;0,"",'Dvd Calendar'!$P$1211)))</f>
        <v/>
      </c>
      <c r="CC89" s="85">
        <f>IF(O89="","",IF(ISNUMBER('Dvd Calendar'!$Q$1211)=FALSE,"",IF((Summary!$C$13="N")*('Dvd Calendar'!$Q$1215='Field Check'!$C$25)&gt;0,"",'Dvd Calendar'!$Q$1211)))</f>
        <v/>
      </c>
      <c r="CD89" s="85">
        <f>IF(P89="","",IF(ISNUMBER('Dvd Calendar'!$R$1211)=FALSE,"",IF((Summary!$C$13="N")*('Dvd Calendar'!$R$1215='Field Check'!$C$25)&gt;0,"",'Dvd Calendar'!$R$1211)))</f>
        <v/>
      </c>
      <c r="CE89" s="85">
        <f>IF(Q89="","",IF(ISNUMBER('Dvd Calendar'!$S$1211)=FALSE,"",IF((Summary!$C$13="N")*('Dvd Calendar'!$S$1215='Field Check'!$C$25)&gt;0,"",'Dvd Calendar'!$S$1211)))</f>
        <v/>
      </c>
      <c r="CF89" s="85">
        <f>IF(R89="","",IF(ISNUMBER('Dvd Calendar'!$T$1211)=FALSE,"",IF((Summary!$C$13="N")*('Dvd Calendar'!$T$1215='Field Check'!$C$25)&gt;0,"",'Dvd Calendar'!$T$1211)))</f>
        <v/>
      </c>
      <c r="CG89" s="85">
        <f>IF(S89="","",IF(ISNUMBER('Dvd Calendar'!$U$1211)=FALSE,"",IF((Summary!$C$13="N")*('Dvd Calendar'!$U$1215='Field Check'!$C$25)&gt;0,"",'Dvd Calendar'!$U$1211)))</f>
        <v/>
      </c>
      <c r="CH89" s="85">
        <f>IF(T89="","",IF(ISNUMBER('Dvd Calendar'!$V$1211)=FALSE,"",IF((Summary!$C$13="N")*('Dvd Calendar'!$V$1215='Field Check'!$C$25)&gt;0,"",'Dvd Calendar'!$V$1211)))</f>
        <v/>
      </c>
      <c r="CI89" s="85">
        <f>IF(U89="","",IF(ISNUMBER('Dvd Calendar'!$W$1211)=FALSE,"",IF((Summary!$C$13="N")*('Dvd Calendar'!$W$1215='Field Check'!$C$25)&gt;0,"",'Dvd Calendar'!$W$1211)))</f>
        <v/>
      </c>
      <c r="CJ89" s="85">
        <f>IF(V89="","",IF(ISNUMBER('Dvd Calendar'!$X$1211)=FALSE,"",IF((Summary!$C$13="N")*('Dvd Calendar'!$X$1215='Field Check'!$C$25)&gt;0,"",'Dvd Calendar'!$X$1211)))</f>
        <v/>
      </c>
      <c r="CK89" s="85">
        <f>IF(W89="","",IF(ISNUMBER('Dvd Calendar'!$Y$1211)=FALSE,"",IF((Summary!$C$13="N")*('Dvd Calendar'!$Y$1215='Field Check'!$C$25)&gt;0,"",'Dvd Calendar'!$Y$1211)))</f>
        <v/>
      </c>
      <c r="CL89" s="85">
        <f>IF(X89="","",IF(ISNUMBER('Dvd Calendar'!$Z$1211)=FALSE,"",IF((Summary!$C$13="N")*('Dvd Calendar'!$Z$1215='Field Check'!$C$25)&gt;0,"",'Dvd Calendar'!$Z$1211)))</f>
        <v/>
      </c>
      <c r="CM89" s="85">
        <f>IF(Y89="","",IF(ISNUMBER('Dvd Calendar'!$AA$1211)=FALSE,"",IF((Summary!$C$13="N")*('Dvd Calendar'!$AA$1215='Field Check'!$C$25)&gt;0,"",'Dvd Calendar'!$AA$1211)))</f>
        <v/>
      </c>
      <c r="CN89" s="85">
        <f>IF(Z89="","",IF(ISNUMBER('Dvd Calendar'!$AB$1211)=FALSE,"",IF((Summary!$C$13="N")*('Dvd Calendar'!$AB$1215='Field Check'!$C$25)&gt;0,"",'Dvd Calendar'!$AB$1211)))</f>
        <v/>
      </c>
      <c r="CO89" s="85">
        <f>IF(AA89="","",IF(ISNUMBER('Dvd Calendar'!$AC$1211)=FALSE,"",IF((Summary!$C$13="N")*('Dvd Calendar'!$AC$1215='Field Check'!$C$25)&gt;0,"",'Dvd Calendar'!$AC$1211)))</f>
        <v/>
      </c>
      <c r="CP89" s="85">
        <f>IF(AB89="","",IF(ISNUMBER('Dvd Calendar'!$AD$1211)=FALSE,"",IF((Summary!$C$13="N")*('Dvd Calendar'!$AD$1215='Field Check'!$C$25)&gt;0,"",'Dvd Calendar'!$AD$1211)))</f>
        <v/>
      </c>
      <c r="CQ89" s="85">
        <f>IF(AC89="","",IF(ISNUMBER('Dvd Calendar'!$AE$1211)=FALSE,"",IF((Summary!$C$13="N")*('Dvd Calendar'!$AE$1215='Field Check'!$C$25)&gt;0,"",'Dvd Calendar'!$AE$1211)))</f>
        <v/>
      </c>
      <c r="CR89" s="85">
        <f>IF(AD89="","",IF(ISNUMBER('Dvd Calendar'!$AF$1211)=FALSE,"",IF((Summary!$C$13="N")*('Dvd Calendar'!$AF$1215='Field Check'!$C$25)&gt;0,"",'Dvd Calendar'!$AF$1211)))</f>
        <v/>
      </c>
      <c r="CS89" s="85">
        <f>IF(AE89="","",IF(ISNUMBER('Dvd Calendar'!$AG$1211)=FALSE,"",IF((Summary!$C$13="N")*('Dvd Calendar'!$AG$1215='Field Check'!$C$25)&gt;0,"",'Dvd Calendar'!$AG$1211)))</f>
        <v/>
      </c>
      <c r="CT89" s="85">
        <f>IF(AF89="","",IF(ISNUMBER('Dvd Calendar'!$AH$1211)=FALSE,"",IF((Summary!$C$13="N")*('Dvd Calendar'!$AH$1215='Field Check'!$C$25)&gt;0,"",'Dvd Calendar'!$AH$1211)))</f>
        <v/>
      </c>
      <c r="CU89" s="85">
        <f>IF(AG89="","",IF(ISNUMBER('Dvd Calendar'!$AI$1211)=FALSE,"",IF((Summary!$C$13="N")*('Dvd Calendar'!$AI$1215='Field Check'!$C$25)&gt;0,"",'Dvd Calendar'!$AI$1211)))</f>
        <v/>
      </c>
      <c r="CV89" s="85">
        <f>IF(AH89="","",IF(ISNUMBER('Dvd Calendar'!$AJ$1211)=FALSE,"",IF((Summary!$C$13="N")*('Dvd Calendar'!$AJ$1215='Field Check'!$C$25)&gt;0,"",'Dvd Calendar'!$AJ$1211)))</f>
        <v/>
      </c>
      <c r="CW89" s="85">
        <f>IF(AI89="","",IF(ISNUMBER('Dvd Calendar'!$AK$1211)=FALSE,"",IF((Summary!$C$13="N")*('Dvd Calendar'!$AK$1215='Field Check'!$C$25)&gt;0,"",'Dvd Calendar'!$AK$1211)))</f>
        <v/>
      </c>
      <c r="CX89" s="85">
        <f>IF(AJ89="","",IF(ISNUMBER('Dvd Calendar'!$AL$1211)=FALSE,"",IF((Summary!$C$13="N")*('Dvd Calendar'!$AL$1215='Field Check'!$C$25)&gt;0,"",'Dvd Calendar'!$AL$1211)))</f>
        <v/>
      </c>
      <c r="CY89" s="85">
        <f>IF(AK89="","",IF(ISNUMBER('Dvd Calendar'!$AM$1211)=FALSE,"",IF((Summary!$C$13="N")*('Dvd Calendar'!$AM$1215='Field Check'!$C$25)&gt;0,"",'Dvd Calendar'!$AM$1211)))</f>
        <v/>
      </c>
      <c r="CZ89" s="85">
        <f>IF(AL89="","",IF(ISNUMBER('Dvd Calendar'!$AN$1211)=FALSE,"",IF((Summary!$C$13="N")*('Dvd Calendar'!$AN$1215='Field Check'!$C$25)&gt;0,"",'Dvd Calendar'!$AN$1211)))</f>
        <v/>
      </c>
      <c r="DA89" s="85">
        <f>IF(AM89="","",IF(ISNUMBER('Dvd Calendar'!$AO$1211)=FALSE,"",IF((Summary!$C$13="N")*('Dvd Calendar'!$AO$1215='Field Check'!$C$25)&gt;0,"",'Dvd Calendar'!$AO$1211)))</f>
        <v/>
      </c>
      <c r="DB89" s="85">
        <f>IF(AN89="","",IF(ISNUMBER('Dvd Calendar'!$AP$1211)=FALSE,"",IF((Summary!$C$13="N")*('Dvd Calendar'!$AP$1215='Field Check'!$C$25)&gt;0,"",'Dvd Calendar'!$AP$1211)))</f>
        <v/>
      </c>
      <c r="DC89" s="85">
        <f>IF(AO89="","",IF(ISNUMBER('Dvd Calendar'!$AQ$1211)=FALSE,"",IF((Summary!$C$13="N")*('Dvd Calendar'!$AQ$1215='Field Check'!$C$25)&gt;0,"",'Dvd Calendar'!$AQ$1211)))</f>
        <v/>
      </c>
      <c r="DD89" s="85">
        <f>IF(AP89="","",IF(ISNUMBER('Dvd Calendar'!$AR$1211)=FALSE,"",IF((Summary!$C$13="N")*('Dvd Calendar'!$AR$1215='Field Check'!$C$25)&gt;0,"",'Dvd Calendar'!$AR$1211)))</f>
        <v/>
      </c>
      <c r="DE89" s="85">
        <f>IF(AQ89="","",IF(ISNUMBER('Dvd Calendar'!$E$1218)=FALSE,"",IF((Summary!$C$13="N")*('Dvd Calendar'!$E$1222='Field Check'!$C$25)&gt;0,"",'Dvd Calendar'!$E$1218)))</f>
        <v/>
      </c>
      <c r="DF89" s="85">
        <f>IF(AR89="","",IF(ISNUMBER('Dvd Calendar'!$F$1218)=FALSE,"",IF((Summary!$C$13="N")*('Dvd Calendar'!$F$1222='Field Check'!$C$25)&gt;0,"",'Dvd Calendar'!$F$1218)))</f>
        <v/>
      </c>
      <c r="DG89" s="85">
        <f>IF(AS89="","",IF(ISNUMBER('Dvd Calendar'!$G$1218)=FALSE,"",IF((Summary!$C$13="N")*('Dvd Calendar'!$G$1222='Field Check'!$C$25)&gt;0,"",'Dvd Calendar'!$G$1218)))</f>
        <v/>
      </c>
      <c r="DH89" s="85">
        <f>IF(AT89="","",IF(ISNUMBER('Dvd Calendar'!$H$1218)=FALSE,"",IF((Summary!$C$13="N")*('Dvd Calendar'!$H$1222='Field Check'!$C$25)&gt;0,"",'Dvd Calendar'!$H$1218)))</f>
        <v/>
      </c>
      <c r="DI89" s="85">
        <f>IF(AU89="","",IF(ISNUMBER('Dvd Calendar'!$I$1218)=FALSE,"",IF((Summary!$C$13="N")*('Dvd Calendar'!$I$1222='Field Check'!$C$25)&gt;0,"",'Dvd Calendar'!$I$1218)))</f>
        <v/>
      </c>
      <c r="DJ89" s="85">
        <f>IF(AV89="","",IF(ISNUMBER('Dvd Calendar'!$J$1218)=FALSE,"",IF((Summary!$C$13="N")*('Dvd Calendar'!$J$1222='Field Check'!$C$25)&gt;0,"",'Dvd Calendar'!$J$1218)))</f>
        <v/>
      </c>
      <c r="DK89" s="85">
        <f>IF(AW89="","",IF(ISNUMBER('Dvd Calendar'!$K$1218)=FALSE,"",IF((Summary!$C$13="N")*('Dvd Calendar'!$K$1222='Field Check'!$C$25)&gt;0,"",'Dvd Calendar'!$K$1218)))</f>
        <v/>
      </c>
      <c r="DL89" s="85">
        <f>IF(AX89="","",IF(ISNUMBER('Dvd Calendar'!$L$1218)=FALSE,"",IF((Summary!$C$13="N")*('Dvd Calendar'!$L$1222='Field Check'!$C$25)&gt;0,"",'Dvd Calendar'!$L$1218)))</f>
        <v/>
      </c>
      <c r="DM89" s="85">
        <f>IF(AY89="","",IF(ISNUMBER('Dvd Calendar'!$M$1218)=FALSE,"",IF((Summary!$C$13="N")*('Dvd Calendar'!$M$1222='Field Check'!$C$25)&gt;0,"",'Dvd Calendar'!$M$1218)))</f>
        <v/>
      </c>
      <c r="DN89" s="85">
        <f>IF(AZ89="","",IF(ISNUMBER('Dvd Calendar'!$N$1218)=FALSE,"",IF((Summary!$C$13="N")*('Dvd Calendar'!$N$1222='Field Check'!$C$25)&gt;0,"",'Dvd Calendar'!$N$1218)))</f>
        <v/>
      </c>
      <c r="DO89" s="85">
        <f>IF(BA89="","",IF(ISNUMBER('Dvd Calendar'!$O$1218)=FALSE,"",IF((Summary!$C$13="N")*('Dvd Calendar'!$O$1222='Field Check'!$C$25)&gt;0,"",'Dvd Calendar'!$O$1218)))</f>
        <v/>
      </c>
      <c r="DP89" s="85">
        <f>IF(BB89="","",IF(ISNUMBER('Dvd Calendar'!$P$1218)=FALSE,"",IF((Summary!$C$13="N")*('Dvd Calendar'!$P$1222='Field Check'!$C$25)&gt;0,"",'Dvd Calendar'!$P$1218)))</f>
        <v/>
      </c>
      <c r="DQ89" s="85">
        <f>IF(BC89="","",IF(ISNUMBER('Dvd Calendar'!$Q$1218)=FALSE,"",IF((Summary!$C$13="N")*('Dvd Calendar'!$Q$1222='Field Check'!$C$25)&gt;0,"",'Dvd Calendar'!$Q$1218)))</f>
        <v/>
      </c>
      <c r="DR89" s="85">
        <f>IF(BD89="","",IF(ISNUMBER('Dvd Calendar'!$R$1218)=FALSE,"",IF((Summary!$C$13="N")*('Dvd Calendar'!$R$1222='Field Check'!$C$25)&gt;0,"",'Dvd Calendar'!$R$1218)))</f>
        <v/>
      </c>
      <c r="DS89" s="85">
        <f>IF(BE89="","",IF(ISNUMBER('Dvd Calendar'!$S$1218)=FALSE,"",IF((Summary!$C$13="N")*('Dvd Calendar'!$S$1222='Field Check'!$C$25)&gt;0,"",'Dvd Calendar'!$S$1218)))</f>
        <v/>
      </c>
      <c r="DT89" s="85">
        <f>IF(BF89="","",IF(ISNUMBER('Dvd Calendar'!$T$1218)=FALSE,"",IF((Summary!$C$13="N")*('Dvd Calendar'!$T$1222='Field Check'!$C$25)&gt;0,"",'Dvd Calendar'!$T$1218)))</f>
        <v/>
      </c>
      <c r="DU89" s="85">
        <f>IF(BG89="","",IF(ISNUMBER('Dvd Calendar'!$U$1218)=FALSE,"",IF((Summary!$C$13="N")*('Dvd Calendar'!$U$1222='Field Check'!$C$25)&gt;0,"",'Dvd Calendar'!$U$1218)))</f>
        <v/>
      </c>
      <c r="DV89" s="85">
        <f>IF(BH89="","",IF(ISNUMBER('Dvd Calendar'!$V$1218)=FALSE,"",IF((Summary!$C$13="N")*('Dvd Calendar'!$V$1222='Field Check'!$C$25)&gt;0,"",'Dvd Calendar'!$V$1218)))</f>
        <v/>
      </c>
      <c r="DW89" s="85">
        <f>IF(BI89="","",IF(ISNUMBER('Dvd Calendar'!$W$1218)=FALSE,"",IF((Summary!$C$13="N")*('Dvd Calendar'!$W$1222='Field Check'!$C$25)&gt;0,"",'Dvd Calendar'!$W$1218)))</f>
        <v/>
      </c>
      <c r="DX89" s="85">
        <f>IF(BJ89="","",IF(ISNUMBER('Dvd Calendar'!$X$1218)=FALSE,"",IF((Summary!$C$13="N")*('Dvd Calendar'!$X$1222='Field Check'!$C$25)&gt;0,"",'Dvd Calendar'!$X$1218)))</f>
        <v/>
      </c>
      <c r="DY89" s="85">
        <f>IF(BK89="","",IF(ISNUMBER('Dvd Calendar'!$Y$1218)=FALSE,"",IF((Summary!$C$13="N")*('Dvd Calendar'!$Y$1222='Field Check'!$C$25)&gt;0,"",'Dvd Calendar'!$Y$1218)))</f>
        <v/>
      </c>
      <c r="DZ89" s="85">
        <f>IF(BL89="","",IF(ISNUMBER('Dvd Calendar'!$Z$1218)=FALSE,"",IF((Summary!$C$13="N")*('Dvd Calendar'!$Z$1222='Field Check'!$C$25)&gt;0,"",'Dvd Calendar'!$Z$1218)))</f>
        <v/>
      </c>
      <c r="EA89" s="85">
        <f>IF(BM89="","",IF(ISNUMBER('Dvd Calendar'!$AA$1218)=FALSE,"",IF((Summary!$C$13="N")*('Dvd Calendar'!$AA$1222='Field Check'!$C$25)&gt;0,"",'Dvd Calendar'!$AA$1218)))</f>
        <v/>
      </c>
      <c r="EB89" s="85">
        <f>IF(BN89="","",IF(ISNUMBER('Dvd Calendar'!$AB$1218)=FALSE,"",IF((Summary!$C$13="N")*('Dvd Calendar'!$AB$1222='Field Check'!$C$25)&gt;0,"",'Dvd Calendar'!$AB$1218)))</f>
        <v/>
      </c>
      <c r="EC89" s="85">
        <f>IF(BO89="","",IF(ISNUMBER('Dvd Calendar'!$AC$1218)=FALSE,"",IF((Summary!$C$13="N")*('Dvd Calendar'!$AC$1222='Field Check'!$C$25)&gt;0,"",'Dvd Calendar'!$AC$1218)))</f>
        <v/>
      </c>
      <c r="EE89" s="85">
        <f>IF(BQ89="","",IFERROR(BQ89*HSI!$B$87*HSI!$G$87/HSI!$B$3,""))</f>
        <v/>
      </c>
      <c r="EF89" s="85">
        <f>IF(BR89="","",IFERROR(BR89*HSI!$B$87*HSI!$G$87/HSI!$B$3,""))</f>
        <v/>
      </c>
      <c r="EG89" s="85">
        <f>IF(BS89="","",IFERROR(BS89*HSI!$B$87*HSI!$G$87/HSI!$B$3,""))</f>
        <v/>
      </c>
      <c r="EH89" s="85">
        <f>IF(BT89="","",IFERROR(BT89*HSI!$B$87*HSI!$G$87/HSI!$B$3,""))</f>
        <v/>
      </c>
      <c r="EI89" s="85">
        <f>IF(BU89="","",IFERROR(BU89*HSI!$B$87*HSI!$G$87/HSI!$B$3,""))</f>
        <v/>
      </c>
      <c r="EJ89" s="85">
        <f>IF(BV89="","",IFERROR(BV89*HSI!$B$87*HSI!$G$87/HSI!$B$3,""))</f>
        <v/>
      </c>
      <c r="EK89" s="85">
        <f>IF(BW89="","",IFERROR(BW89*HSI!$B$87*HSI!$G$87/HSI!$B$3,""))</f>
        <v/>
      </c>
      <c r="EL89" s="85">
        <f>IF(BX89="","",IFERROR(BX89*HSI!$B$87*HSI!$G$87/HSI!$B$3,""))</f>
        <v/>
      </c>
      <c r="EM89" s="85">
        <f>IF(BY89="","",IFERROR(BY89*HSI!$B$87*HSI!$G$87/HSI!$B$3,""))</f>
        <v/>
      </c>
      <c r="EN89" s="85">
        <f>IF(BZ89="","",IFERROR(BZ89*HSI!$B$87*HSI!$G$87/HSI!$B$3,""))</f>
        <v/>
      </c>
      <c r="EO89" s="85">
        <f>IF(CA89="","",IFERROR(CA89*HSI!$B$87*HSI!$G$87/HSI!$B$3,""))</f>
        <v/>
      </c>
      <c r="EP89" s="85">
        <f>IF(CB89="","",IFERROR(CB89*HSI!$B$87*HSI!$G$87/HSI!$B$3,""))</f>
        <v/>
      </c>
      <c r="EQ89" s="85">
        <f>IF(CC89="","",IFERROR(CC89*HSI!$B$87*HSI!$G$87/HSI!$B$3,""))</f>
        <v/>
      </c>
      <c r="ER89" s="85">
        <f>IF(CD89="","",IFERROR(CD89*HSI!$B$87*HSI!$G$87/HSI!$B$3,""))</f>
        <v/>
      </c>
      <c r="ES89" s="85">
        <f>IF(CE89="","",IFERROR(CE89*HSI!$B$87*HSI!$G$87/HSI!$B$3,""))</f>
        <v/>
      </c>
      <c r="ET89" s="85">
        <f>IF(CF89="","",IFERROR(CF89*HSI!$B$87*HSI!$G$87/HSI!$B$3,""))</f>
        <v/>
      </c>
      <c r="EU89" s="85">
        <f>IF(CG89="","",IFERROR(CG89*HSI!$B$87*HSI!$G$87/HSI!$B$3,""))</f>
        <v/>
      </c>
      <c r="EV89" s="85">
        <f>IF(CH89="","",IFERROR(CH89*HSI!$B$87*HSI!$G$87/HSI!$B$3,""))</f>
        <v/>
      </c>
      <c r="EW89" s="85">
        <f>IF(CI89="","",IFERROR(CI89*HSI!$B$87*HSI!$G$87/HSI!$B$3,""))</f>
        <v/>
      </c>
      <c r="EX89" s="85">
        <f>IF(CJ89="","",IFERROR(CJ89*HSI!$B$87*HSI!$G$87/HSI!$B$3,""))</f>
        <v/>
      </c>
      <c r="EY89" s="85">
        <f>IF(CK89="","",IFERROR(CK89*HSI!$B$87*HSI!$G$87/HSI!$B$3,""))</f>
        <v/>
      </c>
      <c r="EZ89" s="85">
        <f>IF(CL89="","",IFERROR(CL89*HSI!$B$87*HSI!$G$87/HSI!$B$3,""))</f>
        <v/>
      </c>
      <c r="FA89" s="85">
        <f>IF(CM89="","",IFERROR(CM89*HSI!$B$87*HSI!$G$87/HSI!$B$3,""))</f>
        <v/>
      </c>
      <c r="FB89" s="85">
        <f>IF(CN89="","",IFERROR(CN89*HSI!$B$87*HSI!$G$87/HSI!$B$3,""))</f>
        <v/>
      </c>
      <c r="FC89" s="85">
        <f>IF(CO89="","",IFERROR(CO89*HSI!$B$87*HSI!$G$87/HSI!$B$3,""))</f>
        <v/>
      </c>
      <c r="FD89" s="85">
        <f>IF(CP89="","",IFERROR(CP89*HSI!$B$87*HSI!$G$87/HSI!$B$3,""))</f>
        <v/>
      </c>
      <c r="FE89" s="85">
        <f>IF(CQ89="","",IFERROR(CQ89*HSI!$B$87*HSI!$G$87/HSI!$B$3,""))</f>
        <v/>
      </c>
      <c r="FF89" s="85">
        <f>IF(CR89="","",IFERROR(CR89*HSI!$B$87*HSI!$G$87/HSI!$B$3,""))</f>
        <v/>
      </c>
      <c r="FG89" s="85">
        <f>IF(CS89="","",IFERROR(CS89*HSI!$B$87*HSI!$G$87/HSI!$B$3,""))</f>
        <v/>
      </c>
      <c r="FH89" s="85">
        <f>IF(CT89="","",IFERROR(CT89*HSI!$B$87*HSI!$G$87/HSI!$B$3,""))</f>
        <v/>
      </c>
      <c r="FI89" s="85">
        <f>IF(CU89="","",IFERROR(CU89*HSI!$B$87*HSI!$G$87/HSI!$B$3,""))</f>
        <v/>
      </c>
      <c r="FJ89" s="85">
        <f>IF(CV89="","",IFERROR(CV89*HSI!$B$87*HSI!$G$87/HSI!$B$3,""))</f>
        <v/>
      </c>
      <c r="FK89" s="85">
        <f>IF(CW89="","",IFERROR(CW89*HSI!$B$87*HSI!$G$87/HSI!$B$3,""))</f>
        <v/>
      </c>
      <c r="FL89" s="85">
        <f>IF(CX89="","",IFERROR(CX89*HSI!$B$87*HSI!$G$87/HSI!$B$3,""))</f>
        <v/>
      </c>
      <c r="FM89" s="85">
        <f>IF(CY89="","",IFERROR(CY89*HSI!$B$87*HSI!$G$87/HSI!$B$3,""))</f>
        <v/>
      </c>
      <c r="FN89" s="85">
        <f>IF(CZ89="","",IFERROR(CZ89*HSI!$B$87*HSI!$G$87/HSI!$B$3,""))</f>
        <v/>
      </c>
      <c r="FO89" s="85">
        <f>IF(DA89="","",IFERROR(DA89*HSI!$B$87*HSI!$G$87/HSI!$B$3,""))</f>
        <v/>
      </c>
      <c r="FP89" s="85">
        <f>IF(DB89="","",IFERROR(DB89*HSI!$B$87*HSI!$G$87/HSI!$B$3,""))</f>
        <v/>
      </c>
      <c r="FQ89" s="85">
        <f>IF(DC89="","",IFERROR(DC89*HSI!$B$87*HSI!$G$87/HSI!$B$3,""))</f>
        <v/>
      </c>
      <c r="FR89" s="85">
        <f>IF(DD89="","",IFERROR(DD89*HSI!$B$87*HSI!$G$87/HSI!$B$3,""))</f>
        <v/>
      </c>
      <c r="FS89" s="85">
        <f>IF(DE89="","",IFERROR(DE89*HSI!$B$87*HSI!$G$87/HSI!$B$3,""))</f>
        <v/>
      </c>
      <c r="FT89" s="85">
        <f>IF(DF89="","",IFERROR(DF89*HSI!$B$87*HSI!$G$87/HSI!$B$3,""))</f>
        <v/>
      </c>
      <c r="FU89" s="85">
        <f>IF(DG89="","",IFERROR(DG89*HSI!$B$87*HSI!$G$87/HSI!$B$3,""))</f>
        <v/>
      </c>
      <c r="FV89" s="85">
        <f>IF(DH89="","",IFERROR(DH89*HSI!$B$87*HSI!$G$87/HSI!$B$3,""))</f>
        <v/>
      </c>
      <c r="FW89" s="85">
        <f>IF(DI89="","",IFERROR(DI89*HSI!$B$87*HSI!$G$87/HSI!$B$3,""))</f>
        <v/>
      </c>
      <c r="FX89" s="85">
        <f>IF(DJ89="","",IFERROR(DJ89*HSI!$B$87*HSI!$G$87/HSI!$B$3,""))</f>
        <v/>
      </c>
      <c r="FY89" s="85">
        <f>IF(DK89="","",IFERROR(DK89*HSI!$B$87*HSI!$G$87/HSI!$B$3,""))</f>
        <v/>
      </c>
      <c r="FZ89" s="85">
        <f>IF(DL89="","",IFERROR(DL89*HSI!$B$87*HSI!$G$87/HSI!$B$3,""))</f>
        <v/>
      </c>
      <c r="GA89" s="85">
        <f>IF(DM89="","",IFERROR(DM89*HSI!$B$87*HSI!$G$87/HSI!$B$3,""))</f>
        <v/>
      </c>
      <c r="GB89" s="85">
        <f>IF(DN89="","",IFERROR(DN89*HSI!$B$87*HSI!$G$87/HSI!$B$3,""))</f>
        <v/>
      </c>
      <c r="GC89" s="85">
        <f>IF(DO89="","",IFERROR(DO89*HSI!$B$87*HSI!$G$87/HSI!$B$3,""))</f>
        <v/>
      </c>
      <c r="GD89" s="85">
        <f>IF(DP89="","",IFERROR(DP89*HSI!$B$87*HSI!$G$87/HSI!$B$3,""))</f>
        <v/>
      </c>
      <c r="GE89" s="85">
        <f>IF(DQ89="","",IFERROR(DQ89*HSI!$B$87*HSI!$G$87/HSI!$B$3,""))</f>
        <v/>
      </c>
      <c r="GF89" s="85">
        <f>IF(DR89="","",IFERROR(DR89*HSI!$B$87*HSI!$G$87/HSI!$B$3,""))</f>
        <v/>
      </c>
      <c r="GG89" s="85">
        <f>IF(DS89="","",IFERROR(DS89*HSI!$B$87*HSI!$G$87/HSI!$B$3,""))</f>
        <v/>
      </c>
      <c r="GH89" s="85">
        <f>IF(DT89="","",IFERROR(DT89*HSI!$B$87*HSI!$G$87/HSI!$B$3,""))</f>
        <v/>
      </c>
      <c r="GI89" s="85">
        <f>IF(DU89="","",IFERROR(DU89*HSI!$B$87*HSI!$G$87/HSI!$B$3,""))</f>
        <v/>
      </c>
      <c r="GJ89" s="85">
        <f>IF(DV89="","",IFERROR(DV89*HSI!$B$87*HSI!$G$87/HSI!$B$3,""))</f>
        <v/>
      </c>
      <c r="GK89" s="85">
        <f>IF(DW89="","",IFERROR(DW89*HSI!$B$87*HSI!$G$87/HSI!$B$3,""))</f>
        <v/>
      </c>
      <c r="GL89" s="85">
        <f>IF(DX89="","",IFERROR(DX89*HSI!$B$87*HSI!$G$87/HSI!$B$3,""))</f>
        <v/>
      </c>
      <c r="GM89" s="85">
        <f>IF(DY89="","",IFERROR(DY89*HSI!$B$87*HSI!$G$87/HSI!$B$3,""))</f>
        <v/>
      </c>
      <c r="GN89" s="85">
        <f>IF(DZ89="","",IFERROR(DZ89*HSI!$B$87*HSI!$G$87/HSI!$B$3,""))</f>
        <v/>
      </c>
      <c r="GO89" s="85">
        <f>IF(EA89="","",IFERROR(EA89*HSI!$B$87*HSI!$G$87/HSI!$B$3,""))</f>
        <v/>
      </c>
      <c r="GP89" s="85">
        <f>IF(EB89="","",IFERROR(EB89*HSI!$B$87*HSI!$G$87/HSI!$B$3,""))</f>
        <v/>
      </c>
      <c r="GQ89" s="85">
        <f>IF(EC89="","",IFERROR(EC89*HSI!$B$87*HSI!$G$87/HSI!$B$3,""))</f>
        <v/>
      </c>
    </row>
    <row r="90">
      <c r="B90" s="2">
        <f>IF(HSI!$C$88="","",HSI!$C$88)</f>
        <v/>
      </c>
      <c r="C90" s="41">
        <f>IF(N('Dvd Calendar'!$E$1225)=0,"",IF(('Dvd Calendar'!$E$1225&gt;=MIN(DATE(Summary!$C$12,1,1),Summary!$C$11))*('Dvd Calendar'!$E$1225&lt;=MAX(DATE(Summary!$C$12,12,31),Summary!$C$15))*('Dvd Calendar'!$E$1225&lt;=Summary!$C$11)=0,"",'Dvd Calendar'!$E$1225*1000000000+ISNUMBER('Dvd Calendar'!$E$1226)*100000000+('Dvd Calendar'!$E$1230='Field Check'!$C$25)*10000000+(N('Dvd Calendar'!$E$1224)&gt;0)*1000000+82*1000+1))</f>
        <v/>
      </c>
      <c r="D90" s="41">
        <f>IF(N('Dvd Calendar'!$F$1225)=0,"",IF(('Dvd Calendar'!$F$1225&gt;=MIN(DATE(Summary!$C$12,1,1),Summary!$C$11))*('Dvd Calendar'!$F$1225&lt;=MAX(DATE(Summary!$C$12,12,31),Summary!$C$15))*('Dvd Calendar'!$F$1225&lt;=Summary!$C$11)=0,"",'Dvd Calendar'!$F$1225*1000000000+ISNUMBER('Dvd Calendar'!$F$1226)*100000000+('Dvd Calendar'!$F$1230='Field Check'!$C$25)*10000000+(N('Dvd Calendar'!$F$1224)&gt;0)*1000000+82*1000+2))</f>
        <v/>
      </c>
      <c r="E90" s="41">
        <f>IF(N('Dvd Calendar'!$G$1225)=0,"",IF(('Dvd Calendar'!$G$1225&gt;=MIN(DATE(Summary!$C$12,1,1),Summary!$C$11))*('Dvd Calendar'!$G$1225&lt;=MAX(DATE(Summary!$C$12,12,31),Summary!$C$15))*('Dvd Calendar'!$G$1225&lt;=Summary!$C$11)=0,"",'Dvd Calendar'!$G$1225*1000000000+ISNUMBER('Dvd Calendar'!$G$1226)*100000000+('Dvd Calendar'!$G$1230='Field Check'!$C$25)*10000000+(N('Dvd Calendar'!$G$1224)&gt;0)*1000000+82*1000+3))</f>
        <v/>
      </c>
      <c r="F90" s="41">
        <f>IF(N('Dvd Calendar'!$H$1225)=0,"",IF(('Dvd Calendar'!$H$1225&gt;=MIN(DATE(Summary!$C$12,1,1),Summary!$C$11))*('Dvd Calendar'!$H$1225&lt;=MAX(DATE(Summary!$C$12,12,31),Summary!$C$15))*('Dvd Calendar'!$H$1225&lt;=Summary!$C$11)=0,"",'Dvd Calendar'!$H$1225*1000000000+ISNUMBER('Dvd Calendar'!$H$1226)*100000000+('Dvd Calendar'!$H$1230='Field Check'!$C$25)*10000000+(N('Dvd Calendar'!$H$1224)&gt;0)*1000000+82*1000+4))</f>
        <v/>
      </c>
      <c r="G90" s="41">
        <f>IF(N('Dvd Calendar'!$I$1225)=0,"",IF(('Dvd Calendar'!$I$1225&gt;=MIN(DATE(Summary!$C$12,1,1),Summary!$C$11))*('Dvd Calendar'!$I$1225&lt;=MAX(DATE(Summary!$C$12,12,31),Summary!$C$15))*('Dvd Calendar'!$I$1225&lt;=Summary!$C$11)=0,"",'Dvd Calendar'!$I$1225*1000000000+ISNUMBER('Dvd Calendar'!$I$1226)*100000000+('Dvd Calendar'!$I$1230='Field Check'!$C$25)*10000000+(N('Dvd Calendar'!$I$1224)&gt;0)*1000000+82*1000+5))</f>
        <v/>
      </c>
      <c r="H90" s="41">
        <f>IF(N('Dvd Calendar'!$J$1225)=0,"",IF(('Dvd Calendar'!$J$1225&gt;=MIN(DATE(Summary!$C$12,1,1),Summary!$C$11))*('Dvd Calendar'!$J$1225&lt;=MAX(DATE(Summary!$C$12,12,31),Summary!$C$15))*('Dvd Calendar'!$J$1225&lt;=Summary!$C$11)=0,"",'Dvd Calendar'!$J$1225*1000000000+ISNUMBER('Dvd Calendar'!$J$1226)*100000000+('Dvd Calendar'!$J$1230='Field Check'!$C$25)*10000000+(N('Dvd Calendar'!$J$1224)&gt;0)*1000000+82*1000+6))</f>
        <v/>
      </c>
      <c r="I90" s="41">
        <f>IF(N('Dvd Calendar'!$K$1225)=0,"",IF(('Dvd Calendar'!$K$1225&gt;=MIN(DATE(Summary!$C$12,1,1),Summary!$C$11))*('Dvd Calendar'!$K$1225&lt;=MAX(DATE(Summary!$C$12,12,31),Summary!$C$15))*('Dvd Calendar'!$K$1225&lt;=Summary!$C$11)=0,"",'Dvd Calendar'!$K$1225*1000000000+ISNUMBER('Dvd Calendar'!$K$1226)*100000000+('Dvd Calendar'!$K$1230='Field Check'!$C$25)*10000000+(N('Dvd Calendar'!$K$1224)&gt;0)*1000000+82*1000+7))</f>
        <v/>
      </c>
      <c r="J90" s="41">
        <f>IF(N('Dvd Calendar'!$L$1225)=0,"",IF(('Dvd Calendar'!$L$1225&gt;=MIN(DATE(Summary!$C$12,1,1),Summary!$C$11))*('Dvd Calendar'!$L$1225&lt;=MAX(DATE(Summary!$C$12,12,31),Summary!$C$15))*('Dvd Calendar'!$L$1225&lt;=Summary!$C$11)=0,"",'Dvd Calendar'!$L$1225*1000000000+ISNUMBER('Dvd Calendar'!$L$1226)*100000000+('Dvd Calendar'!$L$1230='Field Check'!$C$25)*10000000+(N('Dvd Calendar'!$L$1224)&gt;0)*1000000+82*1000+8))</f>
        <v/>
      </c>
      <c r="K90" s="41">
        <f>IF(N('Dvd Calendar'!$M$1225)=0,"",IF(('Dvd Calendar'!$M$1225&gt;=MIN(DATE(Summary!$C$12,1,1),Summary!$C$11))*('Dvd Calendar'!$M$1225&lt;=MAX(DATE(Summary!$C$12,12,31),Summary!$C$15))*('Dvd Calendar'!$M$1225&lt;=Summary!$C$11)=0,"",'Dvd Calendar'!$M$1225*1000000000+ISNUMBER('Dvd Calendar'!$M$1226)*100000000+('Dvd Calendar'!$M$1230='Field Check'!$C$25)*10000000+(N('Dvd Calendar'!$M$1224)&gt;0)*1000000+82*1000+9))</f>
        <v/>
      </c>
      <c r="L90" s="41">
        <f>IF(N('Dvd Calendar'!$N$1225)=0,"",IF(('Dvd Calendar'!$N$1225&gt;=MIN(DATE(Summary!$C$12,1,1),Summary!$C$11))*('Dvd Calendar'!$N$1225&lt;=MAX(DATE(Summary!$C$12,12,31),Summary!$C$15))*('Dvd Calendar'!$N$1225&lt;=Summary!$C$11)=0,"",'Dvd Calendar'!$N$1225*1000000000+ISNUMBER('Dvd Calendar'!$N$1226)*100000000+('Dvd Calendar'!$N$1230='Field Check'!$C$25)*10000000+(N('Dvd Calendar'!$N$1224)&gt;0)*1000000+82*1000+10))</f>
        <v/>
      </c>
      <c r="M90" s="41">
        <f>IF(N('Dvd Calendar'!$O$1225)=0,"",IF(('Dvd Calendar'!$O$1225&gt;=MIN(DATE(Summary!$C$12,1,1),Summary!$C$11))*('Dvd Calendar'!$O$1225&lt;=MAX(DATE(Summary!$C$12,12,31),Summary!$C$15))*('Dvd Calendar'!$O$1225&lt;=Summary!$C$11)=0,"",'Dvd Calendar'!$O$1225*1000000000+ISNUMBER('Dvd Calendar'!$O$1226)*100000000+('Dvd Calendar'!$O$1230='Field Check'!$C$25)*10000000+(N('Dvd Calendar'!$O$1224)&gt;0)*1000000+82*1000+11))</f>
        <v/>
      </c>
      <c r="N90" s="41">
        <f>IF(N('Dvd Calendar'!$P$1225)=0,"",IF(('Dvd Calendar'!$P$1225&gt;=MIN(DATE(Summary!$C$12,1,1),Summary!$C$11))*('Dvd Calendar'!$P$1225&lt;=MAX(DATE(Summary!$C$12,12,31),Summary!$C$15))*('Dvd Calendar'!$P$1225&lt;=Summary!$C$11)=0,"",'Dvd Calendar'!$P$1225*1000000000+ISNUMBER('Dvd Calendar'!$P$1226)*100000000+('Dvd Calendar'!$P$1230='Field Check'!$C$25)*10000000+(N('Dvd Calendar'!$P$1224)&gt;0)*1000000+82*1000+12))</f>
        <v/>
      </c>
      <c r="O90" s="41">
        <f>IF(N('Dvd Calendar'!$Q$1225)=0,"",IF(('Dvd Calendar'!$Q$1225&gt;=MIN(DATE(Summary!$C$12,1,1),Summary!$C$11))*('Dvd Calendar'!$Q$1225&lt;=MAX(DATE(Summary!$C$12,12,31),Summary!$C$15))*('Dvd Calendar'!$Q$1225&lt;=Summary!$C$11)=0,"",'Dvd Calendar'!$Q$1225*1000000000+ISNUMBER('Dvd Calendar'!$Q$1226)*100000000+('Dvd Calendar'!$Q$1230='Field Check'!$C$25)*10000000+(N('Dvd Calendar'!$Q$1224)&gt;0)*1000000+82*1000+13))</f>
        <v/>
      </c>
      <c r="P90" s="41">
        <f>IF(N('Dvd Calendar'!$R$1225)=0,"",IF(('Dvd Calendar'!$R$1225&gt;=MIN(DATE(Summary!$C$12,1,1),Summary!$C$11))*('Dvd Calendar'!$R$1225&lt;=MAX(DATE(Summary!$C$12,12,31),Summary!$C$15))*('Dvd Calendar'!$R$1225&lt;=Summary!$C$11)=0,"",'Dvd Calendar'!$R$1225*1000000000+ISNUMBER('Dvd Calendar'!$R$1226)*100000000+('Dvd Calendar'!$R$1230='Field Check'!$C$25)*10000000+(N('Dvd Calendar'!$R$1224)&gt;0)*1000000+82*1000+14))</f>
        <v/>
      </c>
      <c r="Q90" s="41">
        <f>IF(N('Dvd Calendar'!$S$1225)=0,"",IF(('Dvd Calendar'!$S$1225&gt;=MIN(DATE(Summary!$C$12,1,1),Summary!$C$11))*('Dvd Calendar'!$S$1225&lt;=MAX(DATE(Summary!$C$12,12,31),Summary!$C$15))*('Dvd Calendar'!$S$1225&lt;=Summary!$C$11)=0,"",'Dvd Calendar'!$S$1225*1000000000+ISNUMBER('Dvd Calendar'!$S$1226)*100000000+('Dvd Calendar'!$S$1230='Field Check'!$C$25)*10000000+(N('Dvd Calendar'!$S$1224)&gt;0)*1000000+82*1000+15))</f>
        <v/>
      </c>
      <c r="R90" s="41">
        <f>IF(N('Dvd Calendar'!$T$1225)=0,"",IF(('Dvd Calendar'!$T$1225&gt;=MIN(DATE(Summary!$C$12,1,1),Summary!$C$11))*('Dvd Calendar'!$T$1225&lt;=MAX(DATE(Summary!$C$12,12,31),Summary!$C$15))*('Dvd Calendar'!$T$1225&lt;=Summary!$C$11)=0,"",'Dvd Calendar'!$T$1225*1000000000+ISNUMBER('Dvd Calendar'!$T$1226)*100000000+('Dvd Calendar'!$T$1230='Field Check'!$C$25)*10000000+(N('Dvd Calendar'!$T$1224)&gt;0)*1000000+82*1000+16))</f>
        <v/>
      </c>
      <c r="S90" s="41">
        <f>IF(N('Dvd Calendar'!$U$1225)=0,"",IF(('Dvd Calendar'!$U$1225&gt;=MIN(DATE(Summary!$C$12,1,1),Summary!$C$11))*('Dvd Calendar'!$U$1225&lt;=MAX(DATE(Summary!$C$12,12,31),Summary!$C$15))*('Dvd Calendar'!$U$1225&lt;=Summary!$C$11)=0,"",'Dvd Calendar'!$U$1225*1000000000+ISNUMBER('Dvd Calendar'!$U$1226)*100000000+('Dvd Calendar'!$U$1230='Field Check'!$C$25)*10000000+(N('Dvd Calendar'!$U$1224)&gt;0)*1000000+82*1000+17))</f>
        <v/>
      </c>
      <c r="T90" s="41">
        <f>IF(N('Dvd Calendar'!$V$1225)=0,"",IF(('Dvd Calendar'!$V$1225&gt;=MIN(DATE(Summary!$C$12,1,1),Summary!$C$11))*('Dvd Calendar'!$V$1225&lt;=MAX(DATE(Summary!$C$12,12,31),Summary!$C$15))*('Dvd Calendar'!$V$1225&lt;=Summary!$C$11)=0,"",'Dvd Calendar'!$V$1225*1000000000+ISNUMBER('Dvd Calendar'!$V$1226)*100000000+('Dvd Calendar'!$V$1230='Field Check'!$C$25)*10000000+(N('Dvd Calendar'!$V$1224)&gt;0)*1000000+82*1000+18))</f>
        <v/>
      </c>
      <c r="U90" s="41">
        <f>IF(N('Dvd Calendar'!$W$1225)=0,"",IF(('Dvd Calendar'!$W$1225&gt;=MIN(DATE(Summary!$C$12,1,1),Summary!$C$11))*('Dvd Calendar'!$W$1225&lt;=MAX(DATE(Summary!$C$12,12,31),Summary!$C$15))*('Dvd Calendar'!$W$1225&lt;=Summary!$C$11)=0,"",'Dvd Calendar'!$W$1225*1000000000+ISNUMBER('Dvd Calendar'!$W$1226)*100000000+('Dvd Calendar'!$W$1230='Field Check'!$C$25)*10000000+(N('Dvd Calendar'!$W$1224)&gt;0)*1000000+82*1000+19))</f>
        <v/>
      </c>
      <c r="V90" s="41">
        <f>IF(N('Dvd Calendar'!$X$1225)=0,"",IF(('Dvd Calendar'!$X$1225&gt;=MIN(DATE(Summary!$C$12,1,1),Summary!$C$11))*('Dvd Calendar'!$X$1225&lt;=MAX(DATE(Summary!$C$12,12,31),Summary!$C$15))*('Dvd Calendar'!$X$1225&lt;=Summary!$C$11)=0,"",'Dvd Calendar'!$X$1225*1000000000+ISNUMBER('Dvd Calendar'!$X$1226)*100000000+('Dvd Calendar'!$X$1230='Field Check'!$C$25)*10000000+(N('Dvd Calendar'!$X$1224)&gt;0)*1000000+82*1000+20))</f>
        <v/>
      </c>
      <c r="W90" s="41">
        <f>IF(N('Dvd Calendar'!$Y$1225)=0,"",IF(('Dvd Calendar'!$Y$1225&gt;=MIN(DATE(Summary!$C$12,1,1),Summary!$C$11))*('Dvd Calendar'!$Y$1225&lt;=MAX(DATE(Summary!$C$12,12,31),Summary!$C$15))*('Dvd Calendar'!$Y$1225&lt;=Summary!$C$11)=0,"",'Dvd Calendar'!$Y$1225*1000000000+ISNUMBER('Dvd Calendar'!$Y$1226)*100000000+('Dvd Calendar'!$Y$1230='Field Check'!$C$25)*10000000+(N('Dvd Calendar'!$Y$1224)&gt;0)*1000000+82*1000+21))</f>
        <v/>
      </c>
      <c r="X90" s="41">
        <f>IF(N('Dvd Calendar'!$Z$1225)=0,"",IF(('Dvd Calendar'!$Z$1225&gt;=MIN(DATE(Summary!$C$12,1,1),Summary!$C$11))*('Dvd Calendar'!$Z$1225&lt;=MAX(DATE(Summary!$C$12,12,31),Summary!$C$15))*('Dvd Calendar'!$Z$1225&lt;=Summary!$C$11)=0,"",'Dvd Calendar'!$Z$1225*1000000000+ISNUMBER('Dvd Calendar'!$Z$1226)*100000000+('Dvd Calendar'!$Z$1230='Field Check'!$C$25)*10000000+(N('Dvd Calendar'!$Z$1224)&gt;0)*1000000+82*1000+22))</f>
        <v/>
      </c>
      <c r="Y90" s="41">
        <f>IF(N('Dvd Calendar'!$AA$1225)=0,"",IF(('Dvd Calendar'!$AA$1225&gt;=MIN(DATE(Summary!$C$12,1,1),Summary!$C$11))*('Dvd Calendar'!$AA$1225&lt;=MAX(DATE(Summary!$C$12,12,31),Summary!$C$15))*('Dvd Calendar'!$AA$1225&lt;=Summary!$C$11)=0,"",'Dvd Calendar'!$AA$1225*1000000000+ISNUMBER('Dvd Calendar'!$AA$1226)*100000000+('Dvd Calendar'!$AA$1230='Field Check'!$C$25)*10000000+(N('Dvd Calendar'!$AA$1224)&gt;0)*1000000+82*1000+23))</f>
        <v/>
      </c>
      <c r="Z90" s="41">
        <f>IF(N('Dvd Calendar'!$AB$1225)=0,"",IF(('Dvd Calendar'!$AB$1225&gt;=MIN(DATE(Summary!$C$12,1,1),Summary!$C$11))*('Dvd Calendar'!$AB$1225&lt;=MAX(DATE(Summary!$C$12,12,31),Summary!$C$15))*('Dvd Calendar'!$AB$1225&lt;=Summary!$C$11)=0,"",'Dvd Calendar'!$AB$1225*1000000000+ISNUMBER('Dvd Calendar'!$AB$1226)*100000000+('Dvd Calendar'!$AB$1230='Field Check'!$C$25)*10000000+(N('Dvd Calendar'!$AB$1224)&gt;0)*1000000+82*1000+24))</f>
        <v/>
      </c>
      <c r="AA90" s="41">
        <f>IF(N('Dvd Calendar'!$AC$1225)=0,"",IF(('Dvd Calendar'!$AC$1225&gt;=MIN(DATE(Summary!$C$12,1,1),Summary!$C$11))*('Dvd Calendar'!$AC$1225&lt;=MAX(DATE(Summary!$C$12,12,31),Summary!$C$15))*('Dvd Calendar'!$AC$1225&lt;=Summary!$C$11)=0,"",'Dvd Calendar'!$AC$1225*1000000000+ISNUMBER('Dvd Calendar'!$AC$1226)*100000000+('Dvd Calendar'!$AC$1230='Field Check'!$C$25)*10000000+(N('Dvd Calendar'!$AC$1224)&gt;0)*1000000+82*1000+25))</f>
        <v/>
      </c>
      <c r="AB90" s="41">
        <f>IF(N('Dvd Calendar'!$AD$1225)=0,"",IF(('Dvd Calendar'!$AD$1225&gt;=MIN(DATE(Summary!$C$12,1,1),Summary!$C$11))*('Dvd Calendar'!$AD$1225&lt;=MAX(DATE(Summary!$C$12,12,31),Summary!$C$15))*('Dvd Calendar'!$AD$1225&lt;=Summary!$C$11)=0,"",'Dvd Calendar'!$AD$1225*1000000000+ISNUMBER('Dvd Calendar'!$AD$1226)*100000000+('Dvd Calendar'!$AD$1230='Field Check'!$C$25)*10000000+(N('Dvd Calendar'!$AD$1224)&gt;0)*1000000+82*1000+26))</f>
        <v/>
      </c>
      <c r="AC90" s="41">
        <f>IF(N('Dvd Calendar'!$AE$1225)=0,"",IF(('Dvd Calendar'!$AE$1225&gt;=MIN(DATE(Summary!$C$12,1,1),Summary!$C$11))*('Dvd Calendar'!$AE$1225&lt;=MAX(DATE(Summary!$C$12,12,31),Summary!$C$15))*('Dvd Calendar'!$AE$1225&lt;=Summary!$C$11)=0,"",'Dvd Calendar'!$AE$1225*1000000000+ISNUMBER('Dvd Calendar'!$AE$1226)*100000000+('Dvd Calendar'!$AE$1230='Field Check'!$C$25)*10000000+(N('Dvd Calendar'!$AE$1224)&gt;0)*1000000+82*1000+27))</f>
        <v/>
      </c>
      <c r="AD90" s="41">
        <f>IF(N('Dvd Calendar'!$AF$1225)=0,"",IF(('Dvd Calendar'!$AF$1225&gt;=MIN(DATE(Summary!$C$12,1,1),Summary!$C$11))*('Dvd Calendar'!$AF$1225&lt;=MAX(DATE(Summary!$C$12,12,31),Summary!$C$15))*('Dvd Calendar'!$AF$1225&lt;=Summary!$C$11)=0,"",'Dvd Calendar'!$AF$1225*1000000000+ISNUMBER('Dvd Calendar'!$AF$1226)*100000000+('Dvd Calendar'!$AF$1230='Field Check'!$C$25)*10000000+(N('Dvd Calendar'!$AF$1224)&gt;0)*1000000+82*1000+28))</f>
        <v/>
      </c>
      <c r="AE90" s="41">
        <f>IF(N('Dvd Calendar'!$AG$1225)=0,"",IF(('Dvd Calendar'!$AG$1225&gt;=MIN(DATE(Summary!$C$12,1,1),Summary!$C$11))*('Dvd Calendar'!$AG$1225&lt;=MAX(DATE(Summary!$C$12,12,31),Summary!$C$15))*('Dvd Calendar'!$AG$1225&lt;=Summary!$C$11)=0,"",'Dvd Calendar'!$AG$1225*1000000000+ISNUMBER('Dvd Calendar'!$AG$1226)*100000000+('Dvd Calendar'!$AG$1230='Field Check'!$C$25)*10000000+(N('Dvd Calendar'!$AG$1224)&gt;0)*1000000+82*1000+29))</f>
        <v/>
      </c>
      <c r="AF90" s="41">
        <f>IF(N('Dvd Calendar'!$AH$1225)=0,"",IF(('Dvd Calendar'!$AH$1225&gt;=MIN(DATE(Summary!$C$12,1,1),Summary!$C$11))*('Dvd Calendar'!$AH$1225&lt;=MAX(DATE(Summary!$C$12,12,31),Summary!$C$15))*('Dvd Calendar'!$AH$1225&lt;=Summary!$C$11)=0,"",'Dvd Calendar'!$AH$1225*1000000000+ISNUMBER('Dvd Calendar'!$AH$1226)*100000000+('Dvd Calendar'!$AH$1230='Field Check'!$C$25)*10000000+(N('Dvd Calendar'!$AH$1224)&gt;0)*1000000+82*1000+30))</f>
        <v/>
      </c>
      <c r="AG90" s="41">
        <f>IF(N('Dvd Calendar'!$AI$1225)=0,"",IF(('Dvd Calendar'!$AI$1225&gt;=MIN(DATE(Summary!$C$12,1,1),Summary!$C$11))*('Dvd Calendar'!$AI$1225&lt;=MAX(DATE(Summary!$C$12,12,31),Summary!$C$15))*('Dvd Calendar'!$AI$1225&lt;=Summary!$C$11)=0,"",'Dvd Calendar'!$AI$1225*1000000000+ISNUMBER('Dvd Calendar'!$AI$1226)*100000000+('Dvd Calendar'!$AI$1230='Field Check'!$C$25)*10000000+(N('Dvd Calendar'!$AI$1224)&gt;0)*1000000+82*1000+31))</f>
        <v/>
      </c>
      <c r="AH90" s="41">
        <f>IF(N('Dvd Calendar'!$AJ$1225)=0,"",IF(('Dvd Calendar'!$AJ$1225&gt;=MIN(DATE(Summary!$C$12,1,1),Summary!$C$11))*('Dvd Calendar'!$AJ$1225&lt;=MAX(DATE(Summary!$C$12,12,31),Summary!$C$15))*('Dvd Calendar'!$AJ$1225&lt;=Summary!$C$11)=0,"",'Dvd Calendar'!$AJ$1225*1000000000+ISNUMBER('Dvd Calendar'!$AJ$1226)*100000000+('Dvd Calendar'!$AJ$1230='Field Check'!$C$25)*10000000+(N('Dvd Calendar'!$AJ$1224)&gt;0)*1000000+82*1000+32))</f>
        <v/>
      </c>
      <c r="AI90" s="41">
        <f>IF(N('Dvd Calendar'!$AK$1225)=0,"",IF(('Dvd Calendar'!$AK$1225&gt;=MIN(DATE(Summary!$C$12,1,1),Summary!$C$11))*('Dvd Calendar'!$AK$1225&lt;=MAX(DATE(Summary!$C$12,12,31),Summary!$C$15))*('Dvd Calendar'!$AK$1225&lt;=Summary!$C$11)=0,"",'Dvd Calendar'!$AK$1225*1000000000+ISNUMBER('Dvd Calendar'!$AK$1226)*100000000+('Dvd Calendar'!$AK$1230='Field Check'!$C$25)*10000000+(N('Dvd Calendar'!$AK$1224)&gt;0)*1000000+82*1000+33))</f>
        <v/>
      </c>
      <c r="AJ90" s="41">
        <f>IF(N('Dvd Calendar'!$AL$1225)=0,"",IF(('Dvd Calendar'!$AL$1225&gt;=MIN(DATE(Summary!$C$12,1,1),Summary!$C$11))*('Dvd Calendar'!$AL$1225&lt;=MAX(DATE(Summary!$C$12,12,31),Summary!$C$15))*('Dvd Calendar'!$AL$1225&lt;=Summary!$C$11)=0,"",'Dvd Calendar'!$AL$1225*1000000000+ISNUMBER('Dvd Calendar'!$AL$1226)*100000000+('Dvd Calendar'!$AL$1230='Field Check'!$C$25)*10000000+(N('Dvd Calendar'!$AL$1224)&gt;0)*1000000+82*1000+34))</f>
        <v/>
      </c>
      <c r="AK90" s="41">
        <f>IF(N('Dvd Calendar'!$AM$1225)=0,"",IF(('Dvd Calendar'!$AM$1225&gt;=MIN(DATE(Summary!$C$12,1,1),Summary!$C$11))*('Dvd Calendar'!$AM$1225&lt;=MAX(DATE(Summary!$C$12,12,31),Summary!$C$15))*('Dvd Calendar'!$AM$1225&lt;=Summary!$C$11)=0,"",'Dvd Calendar'!$AM$1225*1000000000+ISNUMBER('Dvd Calendar'!$AM$1226)*100000000+('Dvd Calendar'!$AM$1230='Field Check'!$C$25)*10000000+(N('Dvd Calendar'!$AM$1224)&gt;0)*1000000+82*1000+35))</f>
        <v/>
      </c>
      <c r="AL90" s="41">
        <f>IF(N('Dvd Calendar'!$AN$1225)=0,"",IF(('Dvd Calendar'!$AN$1225&gt;=MIN(DATE(Summary!$C$12,1,1),Summary!$C$11))*('Dvd Calendar'!$AN$1225&lt;=MAX(DATE(Summary!$C$12,12,31),Summary!$C$15))*('Dvd Calendar'!$AN$1225&lt;=Summary!$C$11)=0,"",'Dvd Calendar'!$AN$1225*1000000000+ISNUMBER('Dvd Calendar'!$AN$1226)*100000000+('Dvd Calendar'!$AN$1230='Field Check'!$C$25)*10000000+(N('Dvd Calendar'!$AN$1224)&gt;0)*1000000+82*1000+36))</f>
        <v/>
      </c>
      <c r="AM90" s="41">
        <f>IF(N('Dvd Calendar'!$AO$1225)=0,"",IF(('Dvd Calendar'!$AO$1225&gt;=MIN(DATE(Summary!$C$12,1,1),Summary!$C$11))*('Dvd Calendar'!$AO$1225&lt;=MAX(DATE(Summary!$C$12,12,31),Summary!$C$15))*('Dvd Calendar'!$AO$1225&lt;=Summary!$C$11)=0,"",'Dvd Calendar'!$AO$1225*1000000000+ISNUMBER('Dvd Calendar'!$AO$1226)*100000000+('Dvd Calendar'!$AO$1230='Field Check'!$C$25)*10000000+(N('Dvd Calendar'!$AO$1224)&gt;0)*1000000+82*1000+37))</f>
        <v/>
      </c>
      <c r="AN90" s="41">
        <f>IF(N('Dvd Calendar'!$AP$1225)=0,"",IF(('Dvd Calendar'!$AP$1225&gt;=MIN(DATE(Summary!$C$12,1,1),Summary!$C$11))*('Dvd Calendar'!$AP$1225&lt;=MAX(DATE(Summary!$C$12,12,31),Summary!$C$15))*('Dvd Calendar'!$AP$1225&lt;=Summary!$C$11)=0,"",'Dvd Calendar'!$AP$1225*1000000000+ISNUMBER('Dvd Calendar'!$AP$1226)*100000000+('Dvd Calendar'!$AP$1230='Field Check'!$C$25)*10000000+(N('Dvd Calendar'!$AP$1224)&gt;0)*1000000+82*1000+38))</f>
        <v/>
      </c>
      <c r="AO90" s="41">
        <f>IF(N('Dvd Calendar'!$AQ$1225)=0,"",IF(('Dvd Calendar'!$AQ$1225&gt;=MIN(DATE(Summary!$C$12,1,1),Summary!$C$11))*('Dvd Calendar'!$AQ$1225&lt;=MAX(DATE(Summary!$C$12,12,31),Summary!$C$15))*('Dvd Calendar'!$AQ$1225&lt;=Summary!$C$11)=0,"",'Dvd Calendar'!$AQ$1225*1000000000+ISNUMBER('Dvd Calendar'!$AQ$1226)*100000000+('Dvd Calendar'!$AQ$1230='Field Check'!$C$25)*10000000+(N('Dvd Calendar'!$AQ$1224)&gt;0)*1000000+82*1000+39))</f>
        <v/>
      </c>
      <c r="AP90" s="41">
        <f>IF(N('Dvd Calendar'!$AR$1225)=0,"",IF(('Dvd Calendar'!$AR$1225&gt;=MIN(DATE(Summary!$C$12,1,1),Summary!$C$11))*('Dvd Calendar'!$AR$1225&lt;=MAX(DATE(Summary!$C$12,12,31),Summary!$C$15))*('Dvd Calendar'!$AR$1225&lt;=Summary!$C$11)=0,"",'Dvd Calendar'!$AR$1225*1000000000+ISNUMBER('Dvd Calendar'!$AR$1226)*100000000+('Dvd Calendar'!$AR$1230='Field Check'!$C$25)*10000000+(N('Dvd Calendar'!$AR$1224)&gt;0)*1000000+82*1000+40))</f>
        <v/>
      </c>
      <c r="AQ90" s="41">
        <f>IF(N('Dvd Calendar'!$E$1232)=0,"",IF(('Dvd Calendar'!$E$1232&gt;=MIN(DATE(Summary!$C$12,1,1),Summary!$C$11))*('Dvd Calendar'!$E$1232&lt;=MAX(DATE(Summary!$C$12,12,31),Summary!$C$15))*('Dvd Calendar'!$E$1232&gt;Summary!$C$11)=0,"",'Dvd Calendar'!$E$1232*1000000000+ISNUMBER('Dvd Calendar'!$E$1233)*100000000+('Dvd Calendar'!$E$1237='Field Check'!$C$25)*10000000+(N('Dvd Calendar'!$E$1231)&gt;0)*1000000+82*1000+41))</f>
        <v/>
      </c>
      <c r="AR90" s="41">
        <f>IF(N('Dvd Calendar'!$F$1232)=0,"",IF(('Dvd Calendar'!$F$1232&gt;=MIN(DATE(Summary!$C$12,1,1),Summary!$C$11))*('Dvd Calendar'!$F$1232&lt;=MAX(DATE(Summary!$C$12,12,31),Summary!$C$15))*('Dvd Calendar'!$F$1232&gt;Summary!$C$11)=0,"",'Dvd Calendar'!$F$1232*1000000000+ISNUMBER('Dvd Calendar'!$F$1233)*100000000+('Dvd Calendar'!$F$1237='Field Check'!$C$25)*10000000+(N('Dvd Calendar'!$F$1231)&gt;0)*1000000+82*1000+42))</f>
        <v/>
      </c>
      <c r="AS90" s="41">
        <f>IF(N('Dvd Calendar'!$G$1232)=0,"",IF(('Dvd Calendar'!$G$1232&gt;=MIN(DATE(Summary!$C$12,1,1),Summary!$C$11))*('Dvd Calendar'!$G$1232&lt;=MAX(DATE(Summary!$C$12,12,31),Summary!$C$15))*('Dvd Calendar'!$G$1232&gt;Summary!$C$11)=0,"",'Dvd Calendar'!$G$1232*1000000000+ISNUMBER('Dvd Calendar'!$G$1233)*100000000+('Dvd Calendar'!$G$1237='Field Check'!$C$25)*10000000+(N('Dvd Calendar'!$G$1231)&gt;0)*1000000+82*1000+43))</f>
        <v/>
      </c>
      <c r="AT90" s="41">
        <f>IF(N('Dvd Calendar'!$H$1232)=0,"",IF(('Dvd Calendar'!$H$1232&gt;=MIN(DATE(Summary!$C$12,1,1),Summary!$C$11))*('Dvd Calendar'!$H$1232&lt;=MAX(DATE(Summary!$C$12,12,31),Summary!$C$15))*('Dvd Calendar'!$H$1232&gt;Summary!$C$11)=0,"",'Dvd Calendar'!$H$1232*1000000000+ISNUMBER('Dvd Calendar'!$H$1233)*100000000+('Dvd Calendar'!$H$1237='Field Check'!$C$25)*10000000+(N('Dvd Calendar'!$H$1231)&gt;0)*1000000+82*1000+44))</f>
        <v/>
      </c>
      <c r="AU90" s="41">
        <f>IF(N('Dvd Calendar'!$I$1232)=0,"",IF(('Dvd Calendar'!$I$1232&gt;=MIN(DATE(Summary!$C$12,1,1),Summary!$C$11))*('Dvd Calendar'!$I$1232&lt;=MAX(DATE(Summary!$C$12,12,31),Summary!$C$15))*('Dvd Calendar'!$I$1232&gt;Summary!$C$11)=0,"",'Dvd Calendar'!$I$1232*1000000000+ISNUMBER('Dvd Calendar'!$I$1233)*100000000+('Dvd Calendar'!$I$1237='Field Check'!$C$25)*10000000+(N('Dvd Calendar'!$I$1231)&gt;0)*1000000+82*1000+45))</f>
        <v/>
      </c>
      <c r="AV90" s="41">
        <f>IF(N('Dvd Calendar'!$J$1232)=0,"",IF(('Dvd Calendar'!$J$1232&gt;=MIN(DATE(Summary!$C$12,1,1),Summary!$C$11))*('Dvd Calendar'!$J$1232&lt;=MAX(DATE(Summary!$C$12,12,31),Summary!$C$15))*('Dvd Calendar'!$J$1232&gt;Summary!$C$11)=0,"",'Dvd Calendar'!$J$1232*1000000000+ISNUMBER('Dvd Calendar'!$J$1233)*100000000+('Dvd Calendar'!$J$1237='Field Check'!$C$25)*10000000+(N('Dvd Calendar'!$J$1231)&gt;0)*1000000+82*1000+46))</f>
        <v/>
      </c>
      <c r="AW90" s="41">
        <f>IF(N('Dvd Calendar'!$K$1232)=0,"",IF(('Dvd Calendar'!$K$1232&gt;=MIN(DATE(Summary!$C$12,1,1),Summary!$C$11))*('Dvd Calendar'!$K$1232&lt;=MAX(DATE(Summary!$C$12,12,31),Summary!$C$15))*('Dvd Calendar'!$K$1232&gt;Summary!$C$11)=0,"",'Dvd Calendar'!$K$1232*1000000000+ISNUMBER('Dvd Calendar'!$K$1233)*100000000+('Dvd Calendar'!$K$1237='Field Check'!$C$25)*10000000+(N('Dvd Calendar'!$K$1231)&gt;0)*1000000+82*1000+47))</f>
        <v/>
      </c>
      <c r="AX90" s="41">
        <f>IF(N('Dvd Calendar'!$L$1232)=0,"",IF(('Dvd Calendar'!$L$1232&gt;=MIN(DATE(Summary!$C$12,1,1),Summary!$C$11))*('Dvd Calendar'!$L$1232&lt;=MAX(DATE(Summary!$C$12,12,31),Summary!$C$15))*('Dvd Calendar'!$L$1232&gt;Summary!$C$11)=0,"",'Dvd Calendar'!$L$1232*1000000000+ISNUMBER('Dvd Calendar'!$L$1233)*100000000+('Dvd Calendar'!$L$1237='Field Check'!$C$25)*10000000+(N('Dvd Calendar'!$L$1231)&gt;0)*1000000+82*1000+48))</f>
        <v/>
      </c>
      <c r="AY90" s="41">
        <f>IF(N('Dvd Calendar'!$M$1232)=0,"",IF(('Dvd Calendar'!$M$1232&gt;=MIN(DATE(Summary!$C$12,1,1),Summary!$C$11))*('Dvd Calendar'!$M$1232&lt;=MAX(DATE(Summary!$C$12,12,31),Summary!$C$15))*('Dvd Calendar'!$M$1232&gt;Summary!$C$11)=0,"",'Dvd Calendar'!$M$1232*1000000000+ISNUMBER('Dvd Calendar'!$M$1233)*100000000+('Dvd Calendar'!$M$1237='Field Check'!$C$25)*10000000+(N('Dvd Calendar'!$M$1231)&gt;0)*1000000+82*1000+49))</f>
        <v/>
      </c>
      <c r="AZ90" s="41">
        <f>IF(N('Dvd Calendar'!$N$1232)=0,"",IF(('Dvd Calendar'!$N$1232&gt;=MIN(DATE(Summary!$C$12,1,1),Summary!$C$11))*('Dvd Calendar'!$N$1232&lt;=MAX(DATE(Summary!$C$12,12,31),Summary!$C$15))*('Dvd Calendar'!$N$1232&gt;Summary!$C$11)=0,"",'Dvd Calendar'!$N$1232*1000000000+ISNUMBER('Dvd Calendar'!$N$1233)*100000000+('Dvd Calendar'!$N$1237='Field Check'!$C$25)*10000000+(N('Dvd Calendar'!$N$1231)&gt;0)*1000000+82*1000+50))</f>
        <v/>
      </c>
      <c r="BA90" s="41">
        <f>IF(N('Dvd Calendar'!$O$1232)=0,"",IF(('Dvd Calendar'!$O$1232&gt;=MIN(DATE(Summary!$C$12,1,1),Summary!$C$11))*('Dvd Calendar'!$O$1232&lt;=MAX(DATE(Summary!$C$12,12,31),Summary!$C$15))*('Dvd Calendar'!$O$1232&gt;Summary!$C$11)=0,"",'Dvd Calendar'!$O$1232*1000000000+ISNUMBER('Dvd Calendar'!$O$1233)*100000000+('Dvd Calendar'!$O$1237='Field Check'!$C$25)*10000000+(N('Dvd Calendar'!$O$1231)&gt;0)*1000000+82*1000+51))</f>
        <v/>
      </c>
      <c r="BB90" s="41">
        <f>IF(N('Dvd Calendar'!$P$1232)=0,"",IF(('Dvd Calendar'!$P$1232&gt;=MIN(DATE(Summary!$C$12,1,1),Summary!$C$11))*('Dvd Calendar'!$P$1232&lt;=MAX(DATE(Summary!$C$12,12,31),Summary!$C$15))*('Dvd Calendar'!$P$1232&gt;Summary!$C$11)=0,"",'Dvd Calendar'!$P$1232*1000000000+ISNUMBER('Dvd Calendar'!$P$1233)*100000000+('Dvd Calendar'!$P$1237='Field Check'!$C$25)*10000000+(N('Dvd Calendar'!$P$1231)&gt;0)*1000000+82*1000+52))</f>
        <v/>
      </c>
      <c r="BC90" s="41">
        <f>IF(N('Dvd Calendar'!$Q$1232)=0,"",IF(('Dvd Calendar'!$Q$1232&gt;=MIN(DATE(Summary!$C$12,1,1),Summary!$C$11))*('Dvd Calendar'!$Q$1232&lt;=MAX(DATE(Summary!$C$12,12,31),Summary!$C$15))*('Dvd Calendar'!$Q$1232&gt;Summary!$C$11)=0,"",'Dvd Calendar'!$Q$1232*1000000000+ISNUMBER('Dvd Calendar'!$Q$1233)*100000000+('Dvd Calendar'!$Q$1237='Field Check'!$C$25)*10000000+(N('Dvd Calendar'!$Q$1231)&gt;0)*1000000+82*1000+53))</f>
        <v/>
      </c>
      <c r="BD90" s="41">
        <f>IF(N('Dvd Calendar'!$R$1232)=0,"",IF(('Dvd Calendar'!$R$1232&gt;=MIN(DATE(Summary!$C$12,1,1),Summary!$C$11))*('Dvd Calendar'!$R$1232&lt;=MAX(DATE(Summary!$C$12,12,31),Summary!$C$15))*('Dvd Calendar'!$R$1232&gt;Summary!$C$11)=0,"",'Dvd Calendar'!$R$1232*1000000000+ISNUMBER('Dvd Calendar'!$R$1233)*100000000+('Dvd Calendar'!$R$1237='Field Check'!$C$25)*10000000+(N('Dvd Calendar'!$R$1231)&gt;0)*1000000+82*1000+54))</f>
        <v/>
      </c>
      <c r="BE90" s="41">
        <f>IF(N('Dvd Calendar'!$S$1232)=0,"",IF(('Dvd Calendar'!$S$1232&gt;=MIN(DATE(Summary!$C$12,1,1),Summary!$C$11))*('Dvd Calendar'!$S$1232&lt;=MAX(DATE(Summary!$C$12,12,31),Summary!$C$15))*('Dvd Calendar'!$S$1232&gt;Summary!$C$11)=0,"",'Dvd Calendar'!$S$1232*1000000000+ISNUMBER('Dvd Calendar'!$S$1233)*100000000+('Dvd Calendar'!$S$1237='Field Check'!$C$25)*10000000+(N('Dvd Calendar'!$S$1231)&gt;0)*1000000+82*1000+55))</f>
        <v/>
      </c>
      <c r="BF90" s="41">
        <f>IF(N('Dvd Calendar'!$T$1232)=0,"",IF(('Dvd Calendar'!$T$1232&gt;=MIN(DATE(Summary!$C$12,1,1),Summary!$C$11))*('Dvd Calendar'!$T$1232&lt;=MAX(DATE(Summary!$C$12,12,31),Summary!$C$15))*('Dvd Calendar'!$T$1232&gt;Summary!$C$11)=0,"",'Dvd Calendar'!$T$1232*1000000000+ISNUMBER('Dvd Calendar'!$T$1233)*100000000+('Dvd Calendar'!$T$1237='Field Check'!$C$25)*10000000+(N('Dvd Calendar'!$T$1231)&gt;0)*1000000+82*1000+56))</f>
        <v/>
      </c>
      <c r="BG90" s="41">
        <f>IF(N('Dvd Calendar'!$U$1232)=0,"",IF(('Dvd Calendar'!$U$1232&gt;=MIN(DATE(Summary!$C$12,1,1),Summary!$C$11))*('Dvd Calendar'!$U$1232&lt;=MAX(DATE(Summary!$C$12,12,31),Summary!$C$15))*('Dvd Calendar'!$U$1232&gt;Summary!$C$11)=0,"",'Dvd Calendar'!$U$1232*1000000000+ISNUMBER('Dvd Calendar'!$U$1233)*100000000+('Dvd Calendar'!$U$1237='Field Check'!$C$25)*10000000+(N('Dvd Calendar'!$U$1231)&gt;0)*1000000+82*1000+57))</f>
        <v/>
      </c>
      <c r="BH90" s="41">
        <f>IF(N('Dvd Calendar'!$V$1232)=0,"",IF(('Dvd Calendar'!$V$1232&gt;=MIN(DATE(Summary!$C$12,1,1),Summary!$C$11))*('Dvd Calendar'!$V$1232&lt;=MAX(DATE(Summary!$C$12,12,31),Summary!$C$15))*('Dvd Calendar'!$V$1232&gt;Summary!$C$11)=0,"",'Dvd Calendar'!$V$1232*1000000000+ISNUMBER('Dvd Calendar'!$V$1233)*100000000+('Dvd Calendar'!$V$1237='Field Check'!$C$25)*10000000+(N('Dvd Calendar'!$V$1231)&gt;0)*1000000+82*1000+58))</f>
        <v/>
      </c>
      <c r="BI90" s="41">
        <f>IF(N('Dvd Calendar'!$W$1232)=0,"",IF(('Dvd Calendar'!$W$1232&gt;=MIN(DATE(Summary!$C$12,1,1),Summary!$C$11))*('Dvd Calendar'!$W$1232&lt;=MAX(DATE(Summary!$C$12,12,31),Summary!$C$15))*('Dvd Calendar'!$W$1232&gt;Summary!$C$11)=0,"",'Dvd Calendar'!$W$1232*1000000000+ISNUMBER('Dvd Calendar'!$W$1233)*100000000+('Dvd Calendar'!$W$1237='Field Check'!$C$25)*10000000+(N('Dvd Calendar'!$W$1231)&gt;0)*1000000+82*1000+59))</f>
        <v/>
      </c>
      <c r="BJ90" s="41">
        <f>IF(N('Dvd Calendar'!$X$1232)=0,"",IF(('Dvd Calendar'!$X$1232&gt;=MIN(DATE(Summary!$C$12,1,1),Summary!$C$11))*('Dvd Calendar'!$X$1232&lt;=MAX(DATE(Summary!$C$12,12,31),Summary!$C$15))*('Dvd Calendar'!$X$1232&gt;Summary!$C$11)=0,"",'Dvd Calendar'!$X$1232*1000000000+ISNUMBER('Dvd Calendar'!$X$1233)*100000000+('Dvd Calendar'!$X$1237='Field Check'!$C$25)*10000000+(N('Dvd Calendar'!$X$1231)&gt;0)*1000000+82*1000+60))</f>
        <v/>
      </c>
      <c r="BK90" s="41">
        <f>IF(N('Dvd Calendar'!$Y$1232)=0,"",IF(('Dvd Calendar'!$Y$1232&gt;=MIN(DATE(Summary!$C$12,1,1),Summary!$C$11))*('Dvd Calendar'!$Y$1232&lt;=MAX(DATE(Summary!$C$12,12,31),Summary!$C$15))*('Dvd Calendar'!$Y$1232&gt;Summary!$C$11)=0,"",'Dvd Calendar'!$Y$1232*1000000000+ISNUMBER('Dvd Calendar'!$Y$1233)*100000000+('Dvd Calendar'!$Y$1237='Field Check'!$C$25)*10000000+(N('Dvd Calendar'!$Y$1231)&gt;0)*1000000+82*1000+61))</f>
        <v/>
      </c>
      <c r="BL90" s="41">
        <f>IF(N('Dvd Calendar'!$Z$1232)=0,"",IF(('Dvd Calendar'!$Z$1232&gt;=MIN(DATE(Summary!$C$12,1,1),Summary!$C$11))*('Dvd Calendar'!$Z$1232&lt;=MAX(DATE(Summary!$C$12,12,31),Summary!$C$15))*('Dvd Calendar'!$Z$1232&gt;Summary!$C$11)=0,"",'Dvd Calendar'!$Z$1232*1000000000+ISNUMBER('Dvd Calendar'!$Z$1233)*100000000+('Dvd Calendar'!$Z$1237='Field Check'!$C$25)*10000000+(N('Dvd Calendar'!$Z$1231)&gt;0)*1000000+82*1000+62))</f>
        <v/>
      </c>
      <c r="BM90" s="41">
        <f>IF(N('Dvd Calendar'!$AA$1232)=0,"",IF(('Dvd Calendar'!$AA$1232&gt;=MIN(DATE(Summary!$C$12,1,1),Summary!$C$11))*('Dvd Calendar'!$AA$1232&lt;=MAX(DATE(Summary!$C$12,12,31),Summary!$C$15))*('Dvd Calendar'!$AA$1232&gt;Summary!$C$11)=0,"",'Dvd Calendar'!$AA$1232*1000000000+ISNUMBER('Dvd Calendar'!$AA$1233)*100000000+('Dvd Calendar'!$AA$1237='Field Check'!$C$25)*10000000+(N('Dvd Calendar'!$AA$1231)&gt;0)*1000000+82*1000+63))</f>
        <v/>
      </c>
      <c r="BN90" s="41">
        <f>IF(N('Dvd Calendar'!$AB$1232)=0,"",IF(('Dvd Calendar'!$AB$1232&gt;=MIN(DATE(Summary!$C$12,1,1),Summary!$C$11))*('Dvd Calendar'!$AB$1232&lt;=MAX(DATE(Summary!$C$12,12,31),Summary!$C$15))*('Dvd Calendar'!$AB$1232&gt;Summary!$C$11)=0,"",'Dvd Calendar'!$AB$1232*1000000000+ISNUMBER('Dvd Calendar'!$AB$1233)*100000000+('Dvd Calendar'!$AB$1237='Field Check'!$C$25)*10000000+(N('Dvd Calendar'!$AB$1231)&gt;0)*1000000+82*1000+64))</f>
        <v/>
      </c>
      <c r="BO90" s="41">
        <f>IF(N('Dvd Calendar'!$AC$1232)=0,"",IF(('Dvd Calendar'!$AC$1232&gt;=MIN(DATE(Summary!$C$12,1,1),Summary!$C$11))*('Dvd Calendar'!$AC$1232&lt;=MAX(DATE(Summary!$C$12,12,31),Summary!$C$15))*('Dvd Calendar'!$AC$1232&gt;Summary!$C$11)=0,"",'Dvd Calendar'!$AC$1232*1000000000+ISNUMBER('Dvd Calendar'!$AC$1233)*100000000+('Dvd Calendar'!$AC$1237='Field Check'!$C$25)*10000000+(N('Dvd Calendar'!$AC$1231)&gt;0)*1000000+82*1000+65))</f>
        <v/>
      </c>
      <c r="BQ90" s="85">
        <f>IF(C90="","",IF(ISNUMBER('Dvd Calendar'!$E$1226)=FALSE,"",IF((Summary!$C$13="N")*('Dvd Calendar'!$E$1230='Field Check'!$C$25)&gt;0,"",'Dvd Calendar'!$E$1226)))</f>
        <v/>
      </c>
      <c r="BR90" s="85">
        <f>IF(D90="","",IF(ISNUMBER('Dvd Calendar'!$F$1226)=FALSE,"",IF((Summary!$C$13="N")*('Dvd Calendar'!$F$1230='Field Check'!$C$25)&gt;0,"",'Dvd Calendar'!$F$1226)))</f>
        <v/>
      </c>
      <c r="BS90" s="85">
        <f>IF(E90="","",IF(ISNUMBER('Dvd Calendar'!$G$1226)=FALSE,"",IF((Summary!$C$13="N")*('Dvd Calendar'!$G$1230='Field Check'!$C$25)&gt;0,"",'Dvd Calendar'!$G$1226)))</f>
        <v/>
      </c>
      <c r="BT90" s="85">
        <f>IF(F90="","",IF(ISNUMBER('Dvd Calendar'!$H$1226)=FALSE,"",IF((Summary!$C$13="N")*('Dvd Calendar'!$H$1230='Field Check'!$C$25)&gt;0,"",'Dvd Calendar'!$H$1226)))</f>
        <v/>
      </c>
      <c r="BU90" s="85">
        <f>IF(G90="","",IF(ISNUMBER('Dvd Calendar'!$I$1226)=FALSE,"",IF((Summary!$C$13="N")*('Dvd Calendar'!$I$1230='Field Check'!$C$25)&gt;0,"",'Dvd Calendar'!$I$1226)))</f>
        <v/>
      </c>
      <c r="BV90" s="85">
        <f>IF(H90="","",IF(ISNUMBER('Dvd Calendar'!$J$1226)=FALSE,"",IF((Summary!$C$13="N")*('Dvd Calendar'!$J$1230='Field Check'!$C$25)&gt;0,"",'Dvd Calendar'!$J$1226)))</f>
        <v/>
      </c>
      <c r="BW90" s="85">
        <f>IF(I90="","",IF(ISNUMBER('Dvd Calendar'!$K$1226)=FALSE,"",IF((Summary!$C$13="N")*('Dvd Calendar'!$K$1230='Field Check'!$C$25)&gt;0,"",'Dvd Calendar'!$K$1226)))</f>
        <v/>
      </c>
      <c r="BX90" s="85">
        <f>IF(J90="","",IF(ISNUMBER('Dvd Calendar'!$L$1226)=FALSE,"",IF((Summary!$C$13="N")*('Dvd Calendar'!$L$1230='Field Check'!$C$25)&gt;0,"",'Dvd Calendar'!$L$1226)))</f>
        <v/>
      </c>
      <c r="BY90" s="85">
        <f>IF(K90="","",IF(ISNUMBER('Dvd Calendar'!$M$1226)=FALSE,"",IF((Summary!$C$13="N")*('Dvd Calendar'!$M$1230='Field Check'!$C$25)&gt;0,"",'Dvd Calendar'!$M$1226)))</f>
        <v/>
      </c>
      <c r="BZ90" s="85">
        <f>IF(L90="","",IF(ISNUMBER('Dvd Calendar'!$N$1226)=FALSE,"",IF((Summary!$C$13="N")*('Dvd Calendar'!$N$1230='Field Check'!$C$25)&gt;0,"",'Dvd Calendar'!$N$1226)))</f>
        <v/>
      </c>
      <c r="CA90" s="85">
        <f>IF(M90="","",IF(ISNUMBER('Dvd Calendar'!$O$1226)=FALSE,"",IF((Summary!$C$13="N")*('Dvd Calendar'!$O$1230='Field Check'!$C$25)&gt;0,"",'Dvd Calendar'!$O$1226)))</f>
        <v/>
      </c>
      <c r="CB90" s="85">
        <f>IF(N90="","",IF(ISNUMBER('Dvd Calendar'!$P$1226)=FALSE,"",IF((Summary!$C$13="N")*('Dvd Calendar'!$P$1230='Field Check'!$C$25)&gt;0,"",'Dvd Calendar'!$P$1226)))</f>
        <v/>
      </c>
      <c r="CC90" s="85">
        <f>IF(O90="","",IF(ISNUMBER('Dvd Calendar'!$Q$1226)=FALSE,"",IF((Summary!$C$13="N")*('Dvd Calendar'!$Q$1230='Field Check'!$C$25)&gt;0,"",'Dvd Calendar'!$Q$1226)))</f>
        <v/>
      </c>
      <c r="CD90" s="85">
        <f>IF(P90="","",IF(ISNUMBER('Dvd Calendar'!$R$1226)=FALSE,"",IF((Summary!$C$13="N")*('Dvd Calendar'!$R$1230='Field Check'!$C$25)&gt;0,"",'Dvd Calendar'!$R$1226)))</f>
        <v/>
      </c>
      <c r="CE90" s="85">
        <f>IF(Q90="","",IF(ISNUMBER('Dvd Calendar'!$S$1226)=FALSE,"",IF((Summary!$C$13="N")*('Dvd Calendar'!$S$1230='Field Check'!$C$25)&gt;0,"",'Dvd Calendar'!$S$1226)))</f>
        <v/>
      </c>
      <c r="CF90" s="85">
        <f>IF(R90="","",IF(ISNUMBER('Dvd Calendar'!$T$1226)=FALSE,"",IF((Summary!$C$13="N")*('Dvd Calendar'!$T$1230='Field Check'!$C$25)&gt;0,"",'Dvd Calendar'!$T$1226)))</f>
        <v/>
      </c>
      <c r="CG90" s="85">
        <f>IF(S90="","",IF(ISNUMBER('Dvd Calendar'!$U$1226)=FALSE,"",IF((Summary!$C$13="N")*('Dvd Calendar'!$U$1230='Field Check'!$C$25)&gt;0,"",'Dvd Calendar'!$U$1226)))</f>
        <v/>
      </c>
      <c r="CH90" s="85">
        <f>IF(T90="","",IF(ISNUMBER('Dvd Calendar'!$V$1226)=FALSE,"",IF((Summary!$C$13="N")*('Dvd Calendar'!$V$1230='Field Check'!$C$25)&gt;0,"",'Dvd Calendar'!$V$1226)))</f>
        <v/>
      </c>
      <c r="CI90" s="85">
        <f>IF(U90="","",IF(ISNUMBER('Dvd Calendar'!$W$1226)=FALSE,"",IF((Summary!$C$13="N")*('Dvd Calendar'!$W$1230='Field Check'!$C$25)&gt;0,"",'Dvd Calendar'!$W$1226)))</f>
        <v/>
      </c>
      <c r="CJ90" s="85">
        <f>IF(V90="","",IF(ISNUMBER('Dvd Calendar'!$X$1226)=FALSE,"",IF((Summary!$C$13="N")*('Dvd Calendar'!$X$1230='Field Check'!$C$25)&gt;0,"",'Dvd Calendar'!$X$1226)))</f>
        <v/>
      </c>
      <c r="CK90" s="85">
        <f>IF(W90="","",IF(ISNUMBER('Dvd Calendar'!$Y$1226)=FALSE,"",IF((Summary!$C$13="N")*('Dvd Calendar'!$Y$1230='Field Check'!$C$25)&gt;0,"",'Dvd Calendar'!$Y$1226)))</f>
        <v/>
      </c>
      <c r="CL90" s="85">
        <f>IF(X90="","",IF(ISNUMBER('Dvd Calendar'!$Z$1226)=FALSE,"",IF((Summary!$C$13="N")*('Dvd Calendar'!$Z$1230='Field Check'!$C$25)&gt;0,"",'Dvd Calendar'!$Z$1226)))</f>
        <v/>
      </c>
      <c r="CM90" s="85">
        <f>IF(Y90="","",IF(ISNUMBER('Dvd Calendar'!$AA$1226)=FALSE,"",IF((Summary!$C$13="N")*('Dvd Calendar'!$AA$1230='Field Check'!$C$25)&gt;0,"",'Dvd Calendar'!$AA$1226)))</f>
        <v/>
      </c>
      <c r="CN90" s="85">
        <f>IF(Z90="","",IF(ISNUMBER('Dvd Calendar'!$AB$1226)=FALSE,"",IF((Summary!$C$13="N")*('Dvd Calendar'!$AB$1230='Field Check'!$C$25)&gt;0,"",'Dvd Calendar'!$AB$1226)))</f>
        <v/>
      </c>
      <c r="CO90" s="85">
        <f>IF(AA90="","",IF(ISNUMBER('Dvd Calendar'!$AC$1226)=FALSE,"",IF((Summary!$C$13="N")*('Dvd Calendar'!$AC$1230='Field Check'!$C$25)&gt;0,"",'Dvd Calendar'!$AC$1226)))</f>
        <v/>
      </c>
      <c r="CP90" s="85">
        <f>IF(AB90="","",IF(ISNUMBER('Dvd Calendar'!$AD$1226)=FALSE,"",IF((Summary!$C$13="N")*('Dvd Calendar'!$AD$1230='Field Check'!$C$25)&gt;0,"",'Dvd Calendar'!$AD$1226)))</f>
        <v/>
      </c>
      <c r="CQ90" s="85">
        <f>IF(AC90="","",IF(ISNUMBER('Dvd Calendar'!$AE$1226)=FALSE,"",IF((Summary!$C$13="N")*('Dvd Calendar'!$AE$1230='Field Check'!$C$25)&gt;0,"",'Dvd Calendar'!$AE$1226)))</f>
        <v/>
      </c>
      <c r="CR90" s="85">
        <f>IF(AD90="","",IF(ISNUMBER('Dvd Calendar'!$AF$1226)=FALSE,"",IF((Summary!$C$13="N")*('Dvd Calendar'!$AF$1230='Field Check'!$C$25)&gt;0,"",'Dvd Calendar'!$AF$1226)))</f>
        <v/>
      </c>
      <c r="CS90" s="85">
        <f>IF(AE90="","",IF(ISNUMBER('Dvd Calendar'!$AG$1226)=FALSE,"",IF((Summary!$C$13="N")*('Dvd Calendar'!$AG$1230='Field Check'!$C$25)&gt;0,"",'Dvd Calendar'!$AG$1226)))</f>
        <v/>
      </c>
      <c r="CT90" s="85">
        <f>IF(AF90="","",IF(ISNUMBER('Dvd Calendar'!$AH$1226)=FALSE,"",IF((Summary!$C$13="N")*('Dvd Calendar'!$AH$1230='Field Check'!$C$25)&gt;0,"",'Dvd Calendar'!$AH$1226)))</f>
        <v/>
      </c>
      <c r="CU90" s="85">
        <f>IF(AG90="","",IF(ISNUMBER('Dvd Calendar'!$AI$1226)=FALSE,"",IF((Summary!$C$13="N")*('Dvd Calendar'!$AI$1230='Field Check'!$C$25)&gt;0,"",'Dvd Calendar'!$AI$1226)))</f>
        <v/>
      </c>
      <c r="CV90" s="85">
        <f>IF(AH90="","",IF(ISNUMBER('Dvd Calendar'!$AJ$1226)=FALSE,"",IF((Summary!$C$13="N")*('Dvd Calendar'!$AJ$1230='Field Check'!$C$25)&gt;0,"",'Dvd Calendar'!$AJ$1226)))</f>
        <v/>
      </c>
      <c r="CW90" s="85">
        <f>IF(AI90="","",IF(ISNUMBER('Dvd Calendar'!$AK$1226)=FALSE,"",IF((Summary!$C$13="N")*('Dvd Calendar'!$AK$1230='Field Check'!$C$25)&gt;0,"",'Dvd Calendar'!$AK$1226)))</f>
        <v/>
      </c>
      <c r="CX90" s="85">
        <f>IF(AJ90="","",IF(ISNUMBER('Dvd Calendar'!$AL$1226)=FALSE,"",IF((Summary!$C$13="N")*('Dvd Calendar'!$AL$1230='Field Check'!$C$25)&gt;0,"",'Dvd Calendar'!$AL$1226)))</f>
        <v/>
      </c>
      <c r="CY90" s="85">
        <f>IF(AK90="","",IF(ISNUMBER('Dvd Calendar'!$AM$1226)=FALSE,"",IF((Summary!$C$13="N")*('Dvd Calendar'!$AM$1230='Field Check'!$C$25)&gt;0,"",'Dvd Calendar'!$AM$1226)))</f>
        <v/>
      </c>
      <c r="CZ90" s="85">
        <f>IF(AL90="","",IF(ISNUMBER('Dvd Calendar'!$AN$1226)=FALSE,"",IF((Summary!$C$13="N")*('Dvd Calendar'!$AN$1230='Field Check'!$C$25)&gt;0,"",'Dvd Calendar'!$AN$1226)))</f>
        <v/>
      </c>
      <c r="DA90" s="85">
        <f>IF(AM90="","",IF(ISNUMBER('Dvd Calendar'!$AO$1226)=FALSE,"",IF((Summary!$C$13="N")*('Dvd Calendar'!$AO$1230='Field Check'!$C$25)&gt;0,"",'Dvd Calendar'!$AO$1226)))</f>
        <v/>
      </c>
      <c r="DB90" s="85">
        <f>IF(AN90="","",IF(ISNUMBER('Dvd Calendar'!$AP$1226)=FALSE,"",IF((Summary!$C$13="N")*('Dvd Calendar'!$AP$1230='Field Check'!$C$25)&gt;0,"",'Dvd Calendar'!$AP$1226)))</f>
        <v/>
      </c>
      <c r="DC90" s="85">
        <f>IF(AO90="","",IF(ISNUMBER('Dvd Calendar'!$AQ$1226)=FALSE,"",IF((Summary!$C$13="N")*('Dvd Calendar'!$AQ$1230='Field Check'!$C$25)&gt;0,"",'Dvd Calendar'!$AQ$1226)))</f>
        <v/>
      </c>
      <c r="DD90" s="85">
        <f>IF(AP90="","",IF(ISNUMBER('Dvd Calendar'!$AR$1226)=FALSE,"",IF((Summary!$C$13="N")*('Dvd Calendar'!$AR$1230='Field Check'!$C$25)&gt;0,"",'Dvd Calendar'!$AR$1226)))</f>
        <v/>
      </c>
      <c r="DE90" s="85">
        <f>IF(AQ90="","",IF(ISNUMBER('Dvd Calendar'!$E$1233)=FALSE,"",IF((Summary!$C$13="N")*('Dvd Calendar'!$E$1237='Field Check'!$C$25)&gt;0,"",'Dvd Calendar'!$E$1233)))</f>
        <v/>
      </c>
      <c r="DF90" s="85">
        <f>IF(AR90="","",IF(ISNUMBER('Dvd Calendar'!$F$1233)=FALSE,"",IF((Summary!$C$13="N")*('Dvd Calendar'!$F$1237='Field Check'!$C$25)&gt;0,"",'Dvd Calendar'!$F$1233)))</f>
        <v/>
      </c>
      <c r="DG90" s="85">
        <f>IF(AS90="","",IF(ISNUMBER('Dvd Calendar'!$G$1233)=FALSE,"",IF((Summary!$C$13="N")*('Dvd Calendar'!$G$1237='Field Check'!$C$25)&gt;0,"",'Dvd Calendar'!$G$1233)))</f>
        <v/>
      </c>
      <c r="DH90" s="85">
        <f>IF(AT90="","",IF(ISNUMBER('Dvd Calendar'!$H$1233)=FALSE,"",IF((Summary!$C$13="N")*('Dvd Calendar'!$H$1237='Field Check'!$C$25)&gt;0,"",'Dvd Calendar'!$H$1233)))</f>
        <v/>
      </c>
      <c r="DI90" s="85">
        <f>IF(AU90="","",IF(ISNUMBER('Dvd Calendar'!$I$1233)=FALSE,"",IF((Summary!$C$13="N")*('Dvd Calendar'!$I$1237='Field Check'!$C$25)&gt;0,"",'Dvd Calendar'!$I$1233)))</f>
        <v/>
      </c>
      <c r="DJ90" s="85">
        <f>IF(AV90="","",IF(ISNUMBER('Dvd Calendar'!$J$1233)=FALSE,"",IF((Summary!$C$13="N")*('Dvd Calendar'!$J$1237='Field Check'!$C$25)&gt;0,"",'Dvd Calendar'!$J$1233)))</f>
        <v/>
      </c>
      <c r="DK90" s="85">
        <f>IF(AW90="","",IF(ISNUMBER('Dvd Calendar'!$K$1233)=FALSE,"",IF((Summary!$C$13="N")*('Dvd Calendar'!$K$1237='Field Check'!$C$25)&gt;0,"",'Dvd Calendar'!$K$1233)))</f>
        <v/>
      </c>
      <c r="DL90" s="85">
        <f>IF(AX90="","",IF(ISNUMBER('Dvd Calendar'!$L$1233)=FALSE,"",IF((Summary!$C$13="N")*('Dvd Calendar'!$L$1237='Field Check'!$C$25)&gt;0,"",'Dvd Calendar'!$L$1233)))</f>
        <v/>
      </c>
      <c r="DM90" s="85">
        <f>IF(AY90="","",IF(ISNUMBER('Dvd Calendar'!$M$1233)=FALSE,"",IF((Summary!$C$13="N")*('Dvd Calendar'!$M$1237='Field Check'!$C$25)&gt;0,"",'Dvd Calendar'!$M$1233)))</f>
        <v/>
      </c>
      <c r="DN90" s="85">
        <f>IF(AZ90="","",IF(ISNUMBER('Dvd Calendar'!$N$1233)=FALSE,"",IF((Summary!$C$13="N")*('Dvd Calendar'!$N$1237='Field Check'!$C$25)&gt;0,"",'Dvd Calendar'!$N$1233)))</f>
        <v/>
      </c>
      <c r="DO90" s="85">
        <f>IF(BA90="","",IF(ISNUMBER('Dvd Calendar'!$O$1233)=FALSE,"",IF((Summary!$C$13="N")*('Dvd Calendar'!$O$1237='Field Check'!$C$25)&gt;0,"",'Dvd Calendar'!$O$1233)))</f>
        <v/>
      </c>
      <c r="DP90" s="85">
        <f>IF(BB90="","",IF(ISNUMBER('Dvd Calendar'!$P$1233)=FALSE,"",IF((Summary!$C$13="N")*('Dvd Calendar'!$P$1237='Field Check'!$C$25)&gt;0,"",'Dvd Calendar'!$P$1233)))</f>
        <v/>
      </c>
      <c r="DQ90" s="85">
        <f>IF(BC90="","",IF(ISNUMBER('Dvd Calendar'!$Q$1233)=FALSE,"",IF((Summary!$C$13="N")*('Dvd Calendar'!$Q$1237='Field Check'!$C$25)&gt;0,"",'Dvd Calendar'!$Q$1233)))</f>
        <v/>
      </c>
      <c r="DR90" s="85">
        <f>IF(BD90="","",IF(ISNUMBER('Dvd Calendar'!$R$1233)=FALSE,"",IF((Summary!$C$13="N")*('Dvd Calendar'!$R$1237='Field Check'!$C$25)&gt;0,"",'Dvd Calendar'!$R$1233)))</f>
        <v/>
      </c>
      <c r="DS90" s="85">
        <f>IF(BE90="","",IF(ISNUMBER('Dvd Calendar'!$S$1233)=FALSE,"",IF((Summary!$C$13="N")*('Dvd Calendar'!$S$1237='Field Check'!$C$25)&gt;0,"",'Dvd Calendar'!$S$1233)))</f>
        <v/>
      </c>
      <c r="DT90" s="85">
        <f>IF(BF90="","",IF(ISNUMBER('Dvd Calendar'!$T$1233)=FALSE,"",IF((Summary!$C$13="N")*('Dvd Calendar'!$T$1237='Field Check'!$C$25)&gt;0,"",'Dvd Calendar'!$T$1233)))</f>
        <v/>
      </c>
      <c r="DU90" s="85">
        <f>IF(BG90="","",IF(ISNUMBER('Dvd Calendar'!$U$1233)=FALSE,"",IF((Summary!$C$13="N")*('Dvd Calendar'!$U$1237='Field Check'!$C$25)&gt;0,"",'Dvd Calendar'!$U$1233)))</f>
        <v/>
      </c>
      <c r="DV90" s="85">
        <f>IF(BH90="","",IF(ISNUMBER('Dvd Calendar'!$V$1233)=FALSE,"",IF((Summary!$C$13="N")*('Dvd Calendar'!$V$1237='Field Check'!$C$25)&gt;0,"",'Dvd Calendar'!$V$1233)))</f>
        <v/>
      </c>
      <c r="DW90" s="85">
        <f>IF(BI90="","",IF(ISNUMBER('Dvd Calendar'!$W$1233)=FALSE,"",IF((Summary!$C$13="N")*('Dvd Calendar'!$W$1237='Field Check'!$C$25)&gt;0,"",'Dvd Calendar'!$W$1233)))</f>
        <v/>
      </c>
      <c r="DX90" s="85">
        <f>IF(BJ90="","",IF(ISNUMBER('Dvd Calendar'!$X$1233)=FALSE,"",IF((Summary!$C$13="N")*('Dvd Calendar'!$X$1237='Field Check'!$C$25)&gt;0,"",'Dvd Calendar'!$X$1233)))</f>
        <v/>
      </c>
      <c r="DY90" s="85">
        <f>IF(BK90="","",IF(ISNUMBER('Dvd Calendar'!$Y$1233)=FALSE,"",IF((Summary!$C$13="N")*('Dvd Calendar'!$Y$1237='Field Check'!$C$25)&gt;0,"",'Dvd Calendar'!$Y$1233)))</f>
        <v/>
      </c>
      <c r="DZ90" s="85">
        <f>IF(BL90="","",IF(ISNUMBER('Dvd Calendar'!$Z$1233)=FALSE,"",IF((Summary!$C$13="N")*('Dvd Calendar'!$Z$1237='Field Check'!$C$25)&gt;0,"",'Dvd Calendar'!$Z$1233)))</f>
        <v/>
      </c>
      <c r="EA90" s="85">
        <f>IF(BM90="","",IF(ISNUMBER('Dvd Calendar'!$AA$1233)=FALSE,"",IF((Summary!$C$13="N")*('Dvd Calendar'!$AA$1237='Field Check'!$C$25)&gt;0,"",'Dvd Calendar'!$AA$1233)))</f>
        <v/>
      </c>
      <c r="EB90" s="85">
        <f>IF(BN90="","",IF(ISNUMBER('Dvd Calendar'!$AB$1233)=FALSE,"",IF((Summary!$C$13="N")*('Dvd Calendar'!$AB$1237='Field Check'!$C$25)&gt;0,"",'Dvd Calendar'!$AB$1233)))</f>
        <v/>
      </c>
      <c r="EC90" s="85">
        <f>IF(BO90="","",IF(ISNUMBER('Dvd Calendar'!$AC$1233)=FALSE,"",IF((Summary!$C$13="N")*('Dvd Calendar'!$AC$1237='Field Check'!$C$25)&gt;0,"",'Dvd Calendar'!$AC$1233)))</f>
        <v/>
      </c>
      <c r="EE90" s="85">
        <f>IF(BQ90="","",IFERROR(BQ90*HSI!$B$88*HSI!$G$88/HSI!$B$3,""))</f>
        <v/>
      </c>
      <c r="EF90" s="85">
        <f>IF(BR90="","",IFERROR(BR90*HSI!$B$88*HSI!$G$88/HSI!$B$3,""))</f>
        <v/>
      </c>
      <c r="EG90" s="85">
        <f>IF(BS90="","",IFERROR(BS90*HSI!$B$88*HSI!$G$88/HSI!$B$3,""))</f>
        <v/>
      </c>
      <c r="EH90" s="85">
        <f>IF(BT90="","",IFERROR(BT90*HSI!$B$88*HSI!$G$88/HSI!$B$3,""))</f>
        <v/>
      </c>
      <c r="EI90" s="85">
        <f>IF(BU90="","",IFERROR(BU90*HSI!$B$88*HSI!$G$88/HSI!$B$3,""))</f>
        <v/>
      </c>
      <c r="EJ90" s="85">
        <f>IF(BV90="","",IFERROR(BV90*HSI!$B$88*HSI!$G$88/HSI!$B$3,""))</f>
        <v/>
      </c>
      <c r="EK90" s="85">
        <f>IF(BW90="","",IFERROR(BW90*HSI!$B$88*HSI!$G$88/HSI!$B$3,""))</f>
        <v/>
      </c>
      <c r="EL90" s="85">
        <f>IF(BX90="","",IFERROR(BX90*HSI!$B$88*HSI!$G$88/HSI!$B$3,""))</f>
        <v/>
      </c>
      <c r="EM90" s="85">
        <f>IF(BY90="","",IFERROR(BY90*HSI!$B$88*HSI!$G$88/HSI!$B$3,""))</f>
        <v/>
      </c>
      <c r="EN90" s="85">
        <f>IF(BZ90="","",IFERROR(BZ90*HSI!$B$88*HSI!$G$88/HSI!$B$3,""))</f>
        <v/>
      </c>
      <c r="EO90" s="85">
        <f>IF(CA90="","",IFERROR(CA90*HSI!$B$88*HSI!$G$88/HSI!$B$3,""))</f>
        <v/>
      </c>
      <c r="EP90" s="85">
        <f>IF(CB90="","",IFERROR(CB90*HSI!$B$88*HSI!$G$88/HSI!$B$3,""))</f>
        <v/>
      </c>
      <c r="EQ90" s="85">
        <f>IF(CC90="","",IFERROR(CC90*HSI!$B$88*HSI!$G$88/HSI!$B$3,""))</f>
        <v/>
      </c>
      <c r="ER90" s="85">
        <f>IF(CD90="","",IFERROR(CD90*HSI!$B$88*HSI!$G$88/HSI!$B$3,""))</f>
        <v/>
      </c>
      <c r="ES90" s="85">
        <f>IF(CE90="","",IFERROR(CE90*HSI!$B$88*HSI!$G$88/HSI!$B$3,""))</f>
        <v/>
      </c>
      <c r="ET90" s="85">
        <f>IF(CF90="","",IFERROR(CF90*HSI!$B$88*HSI!$G$88/HSI!$B$3,""))</f>
        <v/>
      </c>
      <c r="EU90" s="85">
        <f>IF(CG90="","",IFERROR(CG90*HSI!$B$88*HSI!$G$88/HSI!$B$3,""))</f>
        <v/>
      </c>
      <c r="EV90" s="85">
        <f>IF(CH90="","",IFERROR(CH90*HSI!$B$88*HSI!$G$88/HSI!$B$3,""))</f>
        <v/>
      </c>
      <c r="EW90" s="85">
        <f>IF(CI90="","",IFERROR(CI90*HSI!$B$88*HSI!$G$88/HSI!$B$3,""))</f>
        <v/>
      </c>
      <c r="EX90" s="85">
        <f>IF(CJ90="","",IFERROR(CJ90*HSI!$B$88*HSI!$G$88/HSI!$B$3,""))</f>
        <v/>
      </c>
      <c r="EY90" s="85">
        <f>IF(CK90="","",IFERROR(CK90*HSI!$B$88*HSI!$G$88/HSI!$B$3,""))</f>
        <v/>
      </c>
      <c r="EZ90" s="85">
        <f>IF(CL90="","",IFERROR(CL90*HSI!$B$88*HSI!$G$88/HSI!$B$3,""))</f>
        <v/>
      </c>
      <c r="FA90" s="85">
        <f>IF(CM90="","",IFERROR(CM90*HSI!$B$88*HSI!$G$88/HSI!$B$3,""))</f>
        <v/>
      </c>
      <c r="FB90" s="85">
        <f>IF(CN90="","",IFERROR(CN90*HSI!$B$88*HSI!$G$88/HSI!$B$3,""))</f>
        <v/>
      </c>
      <c r="FC90" s="85">
        <f>IF(CO90="","",IFERROR(CO90*HSI!$B$88*HSI!$G$88/HSI!$B$3,""))</f>
        <v/>
      </c>
      <c r="FD90" s="85">
        <f>IF(CP90="","",IFERROR(CP90*HSI!$B$88*HSI!$G$88/HSI!$B$3,""))</f>
        <v/>
      </c>
      <c r="FE90" s="85">
        <f>IF(CQ90="","",IFERROR(CQ90*HSI!$B$88*HSI!$G$88/HSI!$B$3,""))</f>
        <v/>
      </c>
      <c r="FF90" s="85">
        <f>IF(CR90="","",IFERROR(CR90*HSI!$B$88*HSI!$G$88/HSI!$B$3,""))</f>
        <v/>
      </c>
      <c r="FG90" s="85">
        <f>IF(CS90="","",IFERROR(CS90*HSI!$B$88*HSI!$G$88/HSI!$B$3,""))</f>
        <v/>
      </c>
      <c r="FH90" s="85">
        <f>IF(CT90="","",IFERROR(CT90*HSI!$B$88*HSI!$G$88/HSI!$B$3,""))</f>
        <v/>
      </c>
      <c r="FI90" s="85">
        <f>IF(CU90="","",IFERROR(CU90*HSI!$B$88*HSI!$G$88/HSI!$B$3,""))</f>
        <v/>
      </c>
      <c r="FJ90" s="85">
        <f>IF(CV90="","",IFERROR(CV90*HSI!$B$88*HSI!$G$88/HSI!$B$3,""))</f>
        <v/>
      </c>
      <c r="FK90" s="85">
        <f>IF(CW90="","",IFERROR(CW90*HSI!$B$88*HSI!$G$88/HSI!$B$3,""))</f>
        <v/>
      </c>
      <c r="FL90" s="85">
        <f>IF(CX90="","",IFERROR(CX90*HSI!$B$88*HSI!$G$88/HSI!$B$3,""))</f>
        <v/>
      </c>
      <c r="FM90" s="85">
        <f>IF(CY90="","",IFERROR(CY90*HSI!$B$88*HSI!$G$88/HSI!$B$3,""))</f>
        <v/>
      </c>
      <c r="FN90" s="85">
        <f>IF(CZ90="","",IFERROR(CZ90*HSI!$B$88*HSI!$G$88/HSI!$B$3,""))</f>
        <v/>
      </c>
      <c r="FO90" s="85">
        <f>IF(DA90="","",IFERROR(DA90*HSI!$B$88*HSI!$G$88/HSI!$B$3,""))</f>
        <v/>
      </c>
      <c r="FP90" s="85">
        <f>IF(DB90="","",IFERROR(DB90*HSI!$B$88*HSI!$G$88/HSI!$B$3,""))</f>
        <v/>
      </c>
      <c r="FQ90" s="85">
        <f>IF(DC90="","",IFERROR(DC90*HSI!$B$88*HSI!$G$88/HSI!$B$3,""))</f>
        <v/>
      </c>
      <c r="FR90" s="85">
        <f>IF(DD90="","",IFERROR(DD90*HSI!$B$88*HSI!$G$88/HSI!$B$3,""))</f>
        <v/>
      </c>
      <c r="FS90" s="85">
        <f>IF(DE90="","",IFERROR(DE90*HSI!$B$88*HSI!$G$88/HSI!$B$3,""))</f>
        <v/>
      </c>
      <c r="FT90" s="85">
        <f>IF(DF90="","",IFERROR(DF90*HSI!$B$88*HSI!$G$88/HSI!$B$3,""))</f>
        <v/>
      </c>
      <c r="FU90" s="85">
        <f>IF(DG90="","",IFERROR(DG90*HSI!$B$88*HSI!$G$88/HSI!$B$3,""))</f>
        <v/>
      </c>
      <c r="FV90" s="85">
        <f>IF(DH90="","",IFERROR(DH90*HSI!$B$88*HSI!$G$88/HSI!$B$3,""))</f>
        <v/>
      </c>
      <c r="FW90" s="85">
        <f>IF(DI90="","",IFERROR(DI90*HSI!$B$88*HSI!$G$88/HSI!$B$3,""))</f>
        <v/>
      </c>
      <c r="FX90" s="85">
        <f>IF(DJ90="","",IFERROR(DJ90*HSI!$B$88*HSI!$G$88/HSI!$B$3,""))</f>
        <v/>
      </c>
      <c r="FY90" s="85">
        <f>IF(DK90="","",IFERROR(DK90*HSI!$B$88*HSI!$G$88/HSI!$B$3,""))</f>
        <v/>
      </c>
      <c r="FZ90" s="85">
        <f>IF(DL90="","",IFERROR(DL90*HSI!$B$88*HSI!$G$88/HSI!$B$3,""))</f>
        <v/>
      </c>
      <c r="GA90" s="85">
        <f>IF(DM90="","",IFERROR(DM90*HSI!$B$88*HSI!$G$88/HSI!$B$3,""))</f>
        <v/>
      </c>
      <c r="GB90" s="85">
        <f>IF(DN90="","",IFERROR(DN90*HSI!$B$88*HSI!$G$88/HSI!$B$3,""))</f>
        <v/>
      </c>
      <c r="GC90" s="85">
        <f>IF(DO90="","",IFERROR(DO90*HSI!$B$88*HSI!$G$88/HSI!$B$3,""))</f>
        <v/>
      </c>
      <c r="GD90" s="85">
        <f>IF(DP90="","",IFERROR(DP90*HSI!$B$88*HSI!$G$88/HSI!$B$3,""))</f>
        <v/>
      </c>
      <c r="GE90" s="85">
        <f>IF(DQ90="","",IFERROR(DQ90*HSI!$B$88*HSI!$G$88/HSI!$B$3,""))</f>
        <v/>
      </c>
      <c r="GF90" s="85">
        <f>IF(DR90="","",IFERROR(DR90*HSI!$B$88*HSI!$G$88/HSI!$B$3,""))</f>
        <v/>
      </c>
      <c r="GG90" s="85">
        <f>IF(DS90="","",IFERROR(DS90*HSI!$B$88*HSI!$G$88/HSI!$B$3,""))</f>
        <v/>
      </c>
      <c r="GH90" s="85">
        <f>IF(DT90="","",IFERROR(DT90*HSI!$B$88*HSI!$G$88/HSI!$B$3,""))</f>
        <v/>
      </c>
      <c r="GI90" s="85">
        <f>IF(DU90="","",IFERROR(DU90*HSI!$B$88*HSI!$G$88/HSI!$B$3,""))</f>
        <v/>
      </c>
      <c r="GJ90" s="85">
        <f>IF(DV90="","",IFERROR(DV90*HSI!$B$88*HSI!$G$88/HSI!$B$3,""))</f>
        <v/>
      </c>
      <c r="GK90" s="85">
        <f>IF(DW90="","",IFERROR(DW90*HSI!$B$88*HSI!$G$88/HSI!$B$3,""))</f>
        <v/>
      </c>
      <c r="GL90" s="85">
        <f>IF(DX90="","",IFERROR(DX90*HSI!$B$88*HSI!$G$88/HSI!$B$3,""))</f>
        <v/>
      </c>
      <c r="GM90" s="85">
        <f>IF(DY90="","",IFERROR(DY90*HSI!$B$88*HSI!$G$88/HSI!$B$3,""))</f>
        <v/>
      </c>
      <c r="GN90" s="85">
        <f>IF(DZ90="","",IFERROR(DZ90*HSI!$B$88*HSI!$G$88/HSI!$B$3,""))</f>
        <v/>
      </c>
      <c r="GO90" s="85">
        <f>IF(EA90="","",IFERROR(EA90*HSI!$B$88*HSI!$G$88/HSI!$B$3,""))</f>
        <v/>
      </c>
      <c r="GP90" s="85">
        <f>IF(EB90="","",IFERROR(EB90*HSI!$B$88*HSI!$G$88/HSI!$B$3,""))</f>
        <v/>
      </c>
      <c r="GQ90" s="85">
        <f>IF(EC90="","",IFERROR(EC90*HSI!$B$88*HSI!$G$88/HSI!$B$3,""))</f>
        <v/>
      </c>
    </row>
    <row r="91">
      <c r="B91" s="2">
        <f>IF(HSI!$C$89="","",HSI!$C$89)</f>
        <v/>
      </c>
      <c r="C91" s="41">
        <f>IF(N('Dvd Calendar'!$E$1240)=0,"",IF(('Dvd Calendar'!$E$1240&gt;=MIN(DATE(Summary!$C$12,1,1),Summary!$C$11))*('Dvd Calendar'!$E$1240&lt;=MAX(DATE(Summary!$C$12,12,31),Summary!$C$15))*('Dvd Calendar'!$E$1240&lt;=Summary!$C$11)=0,"",'Dvd Calendar'!$E$1240*1000000000+ISNUMBER('Dvd Calendar'!$E$1241)*100000000+('Dvd Calendar'!$E$1245='Field Check'!$C$25)*10000000+(N('Dvd Calendar'!$E$1239)&gt;0)*1000000+83*1000+1))</f>
        <v/>
      </c>
      <c r="D91" s="41">
        <f>IF(N('Dvd Calendar'!$F$1240)=0,"",IF(('Dvd Calendar'!$F$1240&gt;=MIN(DATE(Summary!$C$12,1,1),Summary!$C$11))*('Dvd Calendar'!$F$1240&lt;=MAX(DATE(Summary!$C$12,12,31),Summary!$C$15))*('Dvd Calendar'!$F$1240&lt;=Summary!$C$11)=0,"",'Dvd Calendar'!$F$1240*1000000000+ISNUMBER('Dvd Calendar'!$F$1241)*100000000+('Dvd Calendar'!$F$1245='Field Check'!$C$25)*10000000+(N('Dvd Calendar'!$F$1239)&gt;0)*1000000+83*1000+2))</f>
        <v/>
      </c>
      <c r="E91" s="41">
        <f>IF(N('Dvd Calendar'!$G$1240)=0,"",IF(('Dvd Calendar'!$G$1240&gt;=MIN(DATE(Summary!$C$12,1,1),Summary!$C$11))*('Dvd Calendar'!$G$1240&lt;=MAX(DATE(Summary!$C$12,12,31),Summary!$C$15))*('Dvd Calendar'!$G$1240&lt;=Summary!$C$11)=0,"",'Dvd Calendar'!$G$1240*1000000000+ISNUMBER('Dvd Calendar'!$G$1241)*100000000+('Dvd Calendar'!$G$1245='Field Check'!$C$25)*10000000+(N('Dvd Calendar'!$G$1239)&gt;0)*1000000+83*1000+3))</f>
        <v/>
      </c>
      <c r="F91" s="41">
        <f>IF(N('Dvd Calendar'!$H$1240)=0,"",IF(('Dvd Calendar'!$H$1240&gt;=MIN(DATE(Summary!$C$12,1,1),Summary!$C$11))*('Dvd Calendar'!$H$1240&lt;=MAX(DATE(Summary!$C$12,12,31),Summary!$C$15))*('Dvd Calendar'!$H$1240&lt;=Summary!$C$11)=0,"",'Dvd Calendar'!$H$1240*1000000000+ISNUMBER('Dvd Calendar'!$H$1241)*100000000+('Dvd Calendar'!$H$1245='Field Check'!$C$25)*10000000+(N('Dvd Calendar'!$H$1239)&gt;0)*1000000+83*1000+4))</f>
        <v/>
      </c>
      <c r="G91" s="41">
        <f>IF(N('Dvd Calendar'!$I$1240)=0,"",IF(('Dvd Calendar'!$I$1240&gt;=MIN(DATE(Summary!$C$12,1,1),Summary!$C$11))*('Dvd Calendar'!$I$1240&lt;=MAX(DATE(Summary!$C$12,12,31),Summary!$C$15))*('Dvd Calendar'!$I$1240&lt;=Summary!$C$11)=0,"",'Dvd Calendar'!$I$1240*1000000000+ISNUMBER('Dvd Calendar'!$I$1241)*100000000+('Dvd Calendar'!$I$1245='Field Check'!$C$25)*10000000+(N('Dvd Calendar'!$I$1239)&gt;0)*1000000+83*1000+5))</f>
        <v/>
      </c>
      <c r="H91" s="41">
        <f>IF(N('Dvd Calendar'!$J$1240)=0,"",IF(('Dvd Calendar'!$J$1240&gt;=MIN(DATE(Summary!$C$12,1,1),Summary!$C$11))*('Dvd Calendar'!$J$1240&lt;=MAX(DATE(Summary!$C$12,12,31),Summary!$C$15))*('Dvd Calendar'!$J$1240&lt;=Summary!$C$11)=0,"",'Dvd Calendar'!$J$1240*1000000000+ISNUMBER('Dvd Calendar'!$J$1241)*100000000+('Dvd Calendar'!$J$1245='Field Check'!$C$25)*10000000+(N('Dvd Calendar'!$J$1239)&gt;0)*1000000+83*1000+6))</f>
        <v/>
      </c>
      <c r="I91" s="41">
        <f>IF(N('Dvd Calendar'!$K$1240)=0,"",IF(('Dvd Calendar'!$K$1240&gt;=MIN(DATE(Summary!$C$12,1,1),Summary!$C$11))*('Dvd Calendar'!$K$1240&lt;=MAX(DATE(Summary!$C$12,12,31),Summary!$C$15))*('Dvd Calendar'!$K$1240&lt;=Summary!$C$11)=0,"",'Dvd Calendar'!$K$1240*1000000000+ISNUMBER('Dvd Calendar'!$K$1241)*100000000+('Dvd Calendar'!$K$1245='Field Check'!$C$25)*10000000+(N('Dvd Calendar'!$K$1239)&gt;0)*1000000+83*1000+7))</f>
        <v/>
      </c>
      <c r="J91" s="41">
        <f>IF(N('Dvd Calendar'!$L$1240)=0,"",IF(('Dvd Calendar'!$L$1240&gt;=MIN(DATE(Summary!$C$12,1,1),Summary!$C$11))*('Dvd Calendar'!$L$1240&lt;=MAX(DATE(Summary!$C$12,12,31),Summary!$C$15))*('Dvd Calendar'!$L$1240&lt;=Summary!$C$11)=0,"",'Dvd Calendar'!$L$1240*1000000000+ISNUMBER('Dvd Calendar'!$L$1241)*100000000+('Dvd Calendar'!$L$1245='Field Check'!$C$25)*10000000+(N('Dvd Calendar'!$L$1239)&gt;0)*1000000+83*1000+8))</f>
        <v/>
      </c>
      <c r="K91" s="41">
        <f>IF(N('Dvd Calendar'!$M$1240)=0,"",IF(('Dvd Calendar'!$M$1240&gt;=MIN(DATE(Summary!$C$12,1,1),Summary!$C$11))*('Dvd Calendar'!$M$1240&lt;=MAX(DATE(Summary!$C$12,12,31),Summary!$C$15))*('Dvd Calendar'!$M$1240&lt;=Summary!$C$11)=0,"",'Dvd Calendar'!$M$1240*1000000000+ISNUMBER('Dvd Calendar'!$M$1241)*100000000+('Dvd Calendar'!$M$1245='Field Check'!$C$25)*10000000+(N('Dvd Calendar'!$M$1239)&gt;0)*1000000+83*1000+9))</f>
        <v/>
      </c>
      <c r="L91" s="41">
        <f>IF(N('Dvd Calendar'!$N$1240)=0,"",IF(('Dvd Calendar'!$N$1240&gt;=MIN(DATE(Summary!$C$12,1,1),Summary!$C$11))*('Dvd Calendar'!$N$1240&lt;=MAX(DATE(Summary!$C$12,12,31),Summary!$C$15))*('Dvd Calendar'!$N$1240&lt;=Summary!$C$11)=0,"",'Dvd Calendar'!$N$1240*1000000000+ISNUMBER('Dvd Calendar'!$N$1241)*100000000+('Dvd Calendar'!$N$1245='Field Check'!$C$25)*10000000+(N('Dvd Calendar'!$N$1239)&gt;0)*1000000+83*1000+10))</f>
        <v/>
      </c>
      <c r="M91" s="41">
        <f>IF(N('Dvd Calendar'!$O$1240)=0,"",IF(('Dvd Calendar'!$O$1240&gt;=MIN(DATE(Summary!$C$12,1,1),Summary!$C$11))*('Dvd Calendar'!$O$1240&lt;=MAX(DATE(Summary!$C$12,12,31),Summary!$C$15))*('Dvd Calendar'!$O$1240&lt;=Summary!$C$11)=0,"",'Dvd Calendar'!$O$1240*1000000000+ISNUMBER('Dvd Calendar'!$O$1241)*100000000+('Dvd Calendar'!$O$1245='Field Check'!$C$25)*10000000+(N('Dvd Calendar'!$O$1239)&gt;0)*1000000+83*1000+11))</f>
        <v/>
      </c>
      <c r="N91" s="41">
        <f>IF(N('Dvd Calendar'!$P$1240)=0,"",IF(('Dvd Calendar'!$P$1240&gt;=MIN(DATE(Summary!$C$12,1,1),Summary!$C$11))*('Dvd Calendar'!$P$1240&lt;=MAX(DATE(Summary!$C$12,12,31),Summary!$C$15))*('Dvd Calendar'!$P$1240&lt;=Summary!$C$11)=0,"",'Dvd Calendar'!$P$1240*1000000000+ISNUMBER('Dvd Calendar'!$P$1241)*100000000+('Dvd Calendar'!$P$1245='Field Check'!$C$25)*10000000+(N('Dvd Calendar'!$P$1239)&gt;0)*1000000+83*1000+12))</f>
        <v/>
      </c>
      <c r="O91" s="41">
        <f>IF(N('Dvd Calendar'!$Q$1240)=0,"",IF(('Dvd Calendar'!$Q$1240&gt;=MIN(DATE(Summary!$C$12,1,1),Summary!$C$11))*('Dvd Calendar'!$Q$1240&lt;=MAX(DATE(Summary!$C$12,12,31),Summary!$C$15))*('Dvd Calendar'!$Q$1240&lt;=Summary!$C$11)=0,"",'Dvd Calendar'!$Q$1240*1000000000+ISNUMBER('Dvd Calendar'!$Q$1241)*100000000+('Dvd Calendar'!$Q$1245='Field Check'!$C$25)*10000000+(N('Dvd Calendar'!$Q$1239)&gt;0)*1000000+83*1000+13))</f>
        <v/>
      </c>
      <c r="P91" s="41">
        <f>IF(N('Dvd Calendar'!$R$1240)=0,"",IF(('Dvd Calendar'!$R$1240&gt;=MIN(DATE(Summary!$C$12,1,1),Summary!$C$11))*('Dvd Calendar'!$R$1240&lt;=MAX(DATE(Summary!$C$12,12,31),Summary!$C$15))*('Dvd Calendar'!$R$1240&lt;=Summary!$C$11)=0,"",'Dvd Calendar'!$R$1240*1000000000+ISNUMBER('Dvd Calendar'!$R$1241)*100000000+('Dvd Calendar'!$R$1245='Field Check'!$C$25)*10000000+(N('Dvd Calendar'!$R$1239)&gt;0)*1000000+83*1000+14))</f>
        <v/>
      </c>
      <c r="Q91" s="41">
        <f>IF(N('Dvd Calendar'!$S$1240)=0,"",IF(('Dvd Calendar'!$S$1240&gt;=MIN(DATE(Summary!$C$12,1,1),Summary!$C$11))*('Dvd Calendar'!$S$1240&lt;=MAX(DATE(Summary!$C$12,12,31),Summary!$C$15))*('Dvd Calendar'!$S$1240&lt;=Summary!$C$11)=0,"",'Dvd Calendar'!$S$1240*1000000000+ISNUMBER('Dvd Calendar'!$S$1241)*100000000+('Dvd Calendar'!$S$1245='Field Check'!$C$25)*10000000+(N('Dvd Calendar'!$S$1239)&gt;0)*1000000+83*1000+15))</f>
        <v/>
      </c>
      <c r="R91" s="41">
        <f>IF(N('Dvd Calendar'!$T$1240)=0,"",IF(('Dvd Calendar'!$T$1240&gt;=MIN(DATE(Summary!$C$12,1,1),Summary!$C$11))*('Dvd Calendar'!$T$1240&lt;=MAX(DATE(Summary!$C$12,12,31),Summary!$C$15))*('Dvd Calendar'!$T$1240&lt;=Summary!$C$11)=0,"",'Dvd Calendar'!$T$1240*1000000000+ISNUMBER('Dvd Calendar'!$T$1241)*100000000+('Dvd Calendar'!$T$1245='Field Check'!$C$25)*10000000+(N('Dvd Calendar'!$T$1239)&gt;0)*1000000+83*1000+16))</f>
        <v/>
      </c>
      <c r="S91" s="41">
        <f>IF(N('Dvd Calendar'!$U$1240)=0,"",IF(('Dvd Calendar'!$U$1240&gt;=MIN(DATE(Summary!$C$12,1,1),Summary!$C$11))*('Dvd Calendar'!$U$1240&lt;=MAX(DATE(Summary!$C$12,12,31),Summary!$C$15))*('Dvd Calendar'!$U$1240&lt;=Summary!$C$11)=0,"",'Dvd Calendar'!$U$1240*1000000000+ISNUMBER('Dvd Calendar'!$U$1241)*100000000+('Dvd Calendar'!$U$1245='Field Check'!$C$25)*10000000+(N('Dvd Calendar'!$U$1239)&gt;0)*1000000+83*1000+17))</f>
        <v/>
      </c>
      <c r="T91" s="41">
        <f>IF(N('Dvd Calendar'!$V$1240)=0,"",IF(('Dvd Calendar'!$V$1240&gt;=MIN(DATE(Summary!$C$12,1,1),Summary!$C$11))*('Dvd Calendar'!$V$1240&lt;=MAX(DATE(Summary!$C$12,12,31),Summary!$C$15))*('Dvd Calendar'!$V$1240&lt;=Summary!$C$11)=0,"",'Dvd Calendar'!$V$1240*1000000000+ISNUMBER('Dvd Calendar'!$V$1241)*100000000+('Dvd Calendar'!$V$1245='Field Check'!$C$25)*10000000+(N('Dvd Calendar'!$V$1239)&gt;0)*1000000+83*1000+18))</f>
        <v/>
      </c>
      <c r="U91" s="41">
        <f>IF(N('Dvd Calendar'!$W$1240)=0,"",IF(('Dvd Calendar'!$W$1240&gt;=MIN(DATE(Summary!$C$12,1,1),Summary!$C$11))*('Dvd Calendar'!$W$1240&lt;=MAX(DATE(Summary!$C$12,12,31),Summary!$C$15))*('Dvd Calendar'!$W$1240&lt;=Summary!$C$11)=0,"",'Dvd Calendar'!$W$1240*1000000000+ISNUMBER('Dvd Calendar'!$W$1241)*100000000+('Dvd Calendar'!$W$1245='Field Check'!$C$25)*10000000+(N('Dvd Calendar'!$W$1239)&gt;0)*1000000+83*1000+19))</f>
        <v/>
      </c>
      <c r="V91" s="41">
        <f>IF(N('Dvd Calendar'!$X$1240)=0,"",IF(('Dvd Calendar'!$X$1240&gt;=MIN(DATE(Summary!$C$12,1,1),Summary!$C$11))*('Dvd Calendar'!$X$1240&lt;=MAX(DATE(Summary!$C$12,12,31),Summary!$C$15))*('Dvd Calendar'!$X$1240&lt;=Summary!$C$11)=0,"",'Dvd Calendar'!$X$1240*1000000000+ISNUMBER('Dvd Calendar'!$X$1241)*100000000+('Dvd Calendar'!$X$1245='Field Check'!$C$25)*10000000+(N('Dvd Calendar'!$X$1239)&gt;0)*1000000+83*1000+20))</f>
        <v/>
      </c>
      <c r="W91" s="41">
        <f>IF(N('Dvd Calendar'!$Y$1240)=0,"",IF(('Dvd Calendar'!$Y$1240&gt;=MIN(DATE(Summary!$C$12,1,1),Summary!$C$11))*('Dvd Calendar'!$Y$1240&lt;=MAX(DATE(Summary!$C$12,12,31),Summary!$C$15))*('Dvd Calendar'!$Y$1240&lt;=Summary!$C$11)=0,"",'Dvd Calendar'!$Y$1240*1000000000+ISNUMBER('Dvd Calendar'!$Y$1241)*100000000+('Dvd Calendar'!$Y$1245='Field Check'!$C$25)*10000000+(N('Dvd Calendar'!$Y$1239)&gt;0)*1000000+83*1000+21))</f>
        <v/>
      </c>
      <c r="X91" s="41">
        <f>IF(N('Dvd Calendar'!$Z$1240)=0,"",IF(('Dvd Calendar'!$Z$1240&gt;=MIN(DATE(Summary!$C$12,1,1),Summary!$C$11))*('Dvd Calendar'!$Z$1240&lt;=MAX(DATE(Summary!$C$12,12,31),Summary!$C$15))*('Dvd Calendar'!$Z$1240&lt;=Summary!$C$11)=0,"",'Dvd Calendar'!$Z$1240*1000000000+ISNUMBER('Dvd Calendar'!$Z$1241)*100000000+('Dvd Calendar'!$Z$1245='Field Check'!$C$25)*10000000+(N('Dvd Calendar'!$Z$1239)&gt;0)*1000000+83*1000+22))</f>
        <v/>
      </c>
      <c r="Y91" s="41">
        <f>IF(N('Dvd Calendar'!$AA$1240)=0,"",IF(('Dvd Calendar'!$AA$1240&gt;=MIN(DATE(Summary!$C$12,1,1),Summary!$C$11))*('Dvd Calendar'!$AA$1240&lt;=MAX(DATE(Summary!$C$12,12,31),Summary!$C$15))*('Dvd Calendar'!$AA$1240&lt;=Summary!$C$11)=0,"",'Dvd Calendar'!$AA$1240*1000000000+ISNUMBER('Dvd Calendar'!$AA$1241)*100000000+('Dvd Calendar'!$AA$1245='Field Check'!$C$25)*10000000+(N('Dvd Calendar'!$AA$1239)&gt;0)*1000000+83*1000+23))</f>
        <v/>
      </c>
      <c r="Z91" s="41">
        <f>IF(N('Dvd Calendar'!$AB$1240)=0,"",IF(('Dvd Calendar'!$AB$1240&gt;=MIN(DATE(Summary!$C$12,1,1),Summary!$C$11))*('Dvd Calendar'!$AB$1240&lt;=MAX(DATE(Summary!$C$12,12,31),Summary!$C$15))*('Dvd Calendar'!$AB$1240&lt;=Summary!$C$11)=0,"",'Dvd Calendar'!$AB$1240*1000000000+ISNUMBER('Dvd Calendar'!$AB$1241)*100000000+('Dvd Calendar'!$AB$1245='Field Check'!$C$25)*10000000+(N('Dvd Calendar'!$AB$1239)&gt;0)*1000000+83*1000+24))</f>
        <v/>
      </c>
      <c r="AA91" s="41">
        <f>IF(N('Dvd Calendar'!$AC$1240)=0,"",IF(('Dvd Calendar'!$AC$1240&gt;=MIN(DATE(Summary!$C$12,1,1),Summary!$C$11))*('Dvd Calendar'!$AC$1240&lt;=MAX(DATE(Summary!$C$12,12,31),Summary!$C$15))*('Dvd Calendar'!$AC$1240&lt;=Summary!$C$11)=0,"",'Dvd Calendar'!$AC$1240*1000000000+ISNUMBER('Dvd Calendar'!$AC$1241)*100000000+('Dvd Calendar'!$AC$1245='Field Check'!$C$25)*10000000+(N('Dvd Calendar'!$AC$1239)&gt;0)*1000000+83*1000+25))</f>
        <v/>
      </c>
      <c r="AB91" s="41">
        <f>IF(N('Dvd Calendar'!$AD$1240)=0,"",IF(('Dvd Calendar'!$AD$1240&gt;=MIN(DATE(Summary!$C$12,1,1),Summary!$C$11))*('Dvd Calendar'!$AD$1240&lt;=MAX(DATE(Summary!$C$12,12,31),Summary!$C$15))*('Dvd Calendar'!$AD$1240&lt;=Summary!$C$11)=0,"",'Dvd Calendar'!$AD$1240*1000000000+ISNUMBER('Dvd Calendar'!$AD$1241)*100000000+('Dvd Calendar'!$AD$1245='Field Check'!$C$25)*10000000+(N('Dvd Calendar'!$AD$1239)&gt;0)*1000000+83*1000+26))</f>
        <v/>
      </c>
      <c r="AC91" s="41">
        <f>IF(N('Dvd Calendar'!$AE$1240)=0,"",IF(('Dvd Calendar'!$AE$1240&gt;=MIN(DATE(Summary!$C$12,1,1),Summary!$C$11))*('Dvd Calendar'!$AE$1240&lt;=MAX(DATE(Summary!$C$12,12,31),Summary!$C$15))*('Dvd Calendar'!$AE$1240&lt;=Summary!$C$11)=0,"",'Dvd Calendar'!$AE$1240*1000000000+ISNUMBER('Dvd Calendar'!$AE$1241)*100000000+('Dvd Calendar'!$AE$1245='Field Check'!$C$25)*10000000+(N('Dvd Calendar'!$AE$1239)&gt;0)*1000000+83*1000+27))</f>
        <v/>
      </c>
      <c r="AD91" s="41">
        <f>IF(N('Dvd Calendar'!$AF$1240)=0,"",IF(('Dvd Calendar'!$AF$1240&gt;=MIN(DATE(Summary!$C$12,1,1),Summary!$C$11))*('Dvd Calendar'!$AF$1240&lt;=MAX(DATE(Summary!$C$12,12,31),Summary!$C$15))*('Dvd Calendar'!$AF$1240&lt;=Summary!$C$11)=0,"",'Dvd Calendar'!$AF$1240*1000000000+ISNUMBER('Dvd Calendar'!$AF$1241)*100000000+('Dvd Calendar'!$AF$1245='Field Check'!$C$25)*10000000+(N('Dvd Calendar'!$AF$1239)&gt;0)*1000000+83*1000+28))</f>
        <v/>
      </c>
      <c r="AE91" s="41">
        <f>IF(N('Dvd Calendar'!$AG$1240)=0,"",IF(('Dvd Calendar'!$AG$1240&gt;=MIN(DATE(Summary!$C$12,1,1),Summary!$C$11))*('Dvd Calendar'!$AG$1240&lt;=MAX(DATE(Summary!$C$12,12,31),Summary!$C$15))*('Dvd Calendar'!$AG$1240&lt;=Summary!$C$11)=0,"",'Dvd Calendar'!$AG$1240*1000000000+ISNUMBER('Dvd Calendar'!$AG$1241)*100000000+('Dvd Calendar'!$AG$1245='Field Check'!$C$25)*10000000+(N('Dvd Calendar'!$AG$1239)&gt;0)*1000000+83*1000+29))</f>
        <v/>
      </c>
      <c r="AF91" s="41">
        <f>IF(N('Dvd Calendar'!$AH$1240)=0,"",IF(('Dvd Calendar'!$AH$1240&gt;=MIN(DATE(Summary!$C$12,1,1),Summary!$C$11))*('Dvd Calendar'!$AH$1240&lt;=MAX(DATE(Summary!$C$12,12,31),Summary!$C$15))*('Dvd Calendar'!$AH$1240&lt;=Summary!$C$11)=0,"",'Dvd Calendar'!$AH$1240*1000000000+ISNUMBER('Dvd Calendar'!$AH$1241)*100000000+('Dvd Calendar'!$AH$1245='Field Check'!$C$25)*10000000+(N('Dvd Calendar'!$AH$1239)&gt;0)*1000000+83*1000+30))</f>
        <v/>
      </c>
      <c r="AG91" s="41">
        <f>IF(N('Dvd Calendar'!$AI$1240)=0,"",IF(('Dvd Calendar'!$AI$1240&gt;=MIN(DATE(Summary!$C$12,1,1),Summary!$C$11))*('Dvd Calendar'!$AI$1240&lt;=MAX(DATE(Summary!$C$12,12,31),Summary!$C$15))*('Dvd Calendar'!$AI$1240&lt;=Summary!$C$11)=0,"",'Dvd Calendar'!$AI$1240*1000000000+ISNUMBER('Dvd Calendar'!$AI$1241)*100000000+('Dvd Calendar'!$AI$1245='Field Check'!$C$25)*10000000+(N('Dvd Calendar'!$AI$1239)&gt;0)*1000000+83*1000+31))</f>
        <v/>
      </c>
      <c r="AH91" s="41">
        <f>IF(N('Dvd Calendar'!$AJ$1240)=0,"",IF(('Dvd Calendar'!$AJ$1240&gt;=MIN(DATE(Summary!$C$12,1,1),Summary!$C$11))*('Dvd Calendar'!$AJ$1240&lt;=MAX(DATE(Summary!$C$12,12,31),Summary!$C$15))*('Dvd Calendar'!$AJ$1240&lt;=Summary!$C$11)=0,"",'Dvd Calendar'!$AJ$1240*1000000000+ISNUMBER('Dvd Calendar'!$AJ$1241)*100000000+('Dvd Calendar'!$AJ$1245='Field Check'!$C$25)*10000000+(N('Dvd Calendar'!$AJ$1239)&gt;0)*1000000+83*1000+32))</f>
        <v/>
      </c>
      <c r="AI91" s="41">
        <f>IF(N('Dvd Calendar'!$AK$1240)=0,"",IF(('Dvd Calendar'!$AK$1240&gt;=MIN(DATE(Summary!$C$12,1,1),Summary!$C$11))*('Dvd Calendar'!$AK$1240&lt;=MAX(DATE(Summary!$C$12,12,31),Summary!$C$15))*('Dvd Calendar'!$AK$1240&lt;=Summary!$C$11)=0,"",'Dvd Calendar'!$AK$1240*1000000000+ISNUMBER('Dvd Calendar'!$AK$1241)*100000000+('Dvd Calendar'!$AK$1245='Field Check'!$C$25)*10000000+(N('Dvd Calendar'!$AK$1239)&gt;0)*1000000+83*1000+33))</f>
        <v/>
      </c>
      <c r="AJ91" s="41">
        <f>IF(N('Dvd Calendar'!$AL$1240)=0,"",IF(('Dvd Calendar'!$AL$1240&gt;=MIN(DATE(Summary!$C$12,1,1),Summary!$C$11))*('Dvd Calendar'!$AL$1240&lt;=MAX(DATE(Summary!$C$12,12,31),Summary!$C$15))*('Dvd Calendar'!$AL$1240&lt;=Summary!$C$11)=0,"",'Dvd Calendar'!$AL$1240*1000000000+ISNUMBER('Dvd Calendar'!$AL$1241)*100000000+('Dvd Calendar'!$AL$1245='Field Check'!$C$25)*10000000+(N('Dvd Calendar'!$AL$1239)&gt;0)*1000000+83*1000+34))</f>
        <v/>
      </c>
      <c r="AK91" s="41">
        <f>IF(N('Dvd Calendar'!$AM$1240)=0,"",IF(('Dvd Calendar'!$AM$1240&gt;=MIN(DATE(Summary!$C$12,1,1),Summary!$C$11))*('Dvd Calendar'!$AM$1240&lt;=MAX(DATE(Summary!$C$12,12,31),Summary!$C$15))*('Dvd Calendar'!$AM$1240&lt;=Summary!$C$11)=0,"",'Dvd Calendar'!$AM$1240*1000000000+ISNUMBER('Dvd Calendar'!$AM$1241)*100000000+('Dvd Calendar'!$AM$1245='Field Check'!$C$25)*10000000+(N('Dvd Calendar'!$AM$1239)&gt;0)*1000000+83*1000+35))</f>
        <v/>
      </c>
      <c r="AL91" s="41">
        <f>IF(N('Dvd Calendar'!$AN$1240)=0,"",IF(('Dvd Calendar'!$AN$1240&gt;=MIN(DATE(Summary!$C$12,1,1),Summary!$C$11))*('Dvd Calendar'!$AN$1240&lt;=MAX(DATE(Summary!$C$12,12,31),Summary!$C$15))*('Dvd Calendar'!$AN$1240&lt;=Summary!$C$11)=0,"",'Dvd Calendar'!$AN$1240*1000000000+ISNUMBER('Dvd Calendar'!$AN$1241)*100000000+('Dvd Calendar'!$AN$1245='Field Check'!$C$25)*10000000+(N('Dvd Calendar'!$AN$1239)&gt;0)*1000000+83*1000+36))</f>
        <v/>
      </c>
      <c r="AM91" s="41">
        <f>IF(N('Dvd Calendar'!$AO$1240)=0,"",IF(('Dvd Calendar'!$AO$1240&gt;=MIN(DATE(Summary!$C$12,1,1),Summary!$C$11))*('Dvd Calendar'!$AO$1240&lt;=MAX(DATE(Summary!$C$12,12,31),Summary!$C$15))*('Dvd Calendar'!$AO$1240&lt;=Summary!$C$11)=0,"",'Dvd Calendar'!$AO$1240*1000000000+ISNUMBER('Dvd Calendar'!$AO$1241)*100000000+('Dvd Calendar'!$AO$1245='Field Check'!$C$25)*10000000+(N('Dvd Calendar'!$AO$1239)&gt;0)*1000000+83*1000+37))</f>
        <v/>
      </c>
      <c r="AN91" s="41">
        <f>IF(N('Dvd Calendar'!$AP$1240)=0,"",IF(('Dvd Calendar'!$AP$1240&gt;=MIN(DATE(Summary!$C$12,1,1),Summary!$C$11))*('Dvd Calendar'!$AP$1240&lt;=MAX(DATE(Summary!$C$12,12,31),Summary!$C$15))*('Dvd Calendar'!$AP$1240&lt;=Summary!$C$11)=0,"",'Dvd Calendar'!$AP$1240*1000000000+ISNUMBER('Dvd Calendar'!$AP$1241)*100000000+('Dvd Calendar'!$AP$1245='Field Check'!$C$25)*10000000+(N('Dvd Calendar'!$AP$1239)&gt;0)*1000000+83*1000+38))</f>
        <v/>
      </c>
      <c r="AO91" s="41">
        <f>IF(N('Dvd Calendar'!$AQ$1240)=0,"",IF(('Dvd Calendar'!$AQ$1240&gt;=MIN(DATE(Summary!$C$12,1,1),Summary!$C$11))*('Dvd Calendar'!$AQ$1240&lt;=MAX(DATE(Summary!$C$12,12,31),Summary!$C$15))*('Dvd Calendar'!$AQ$1240&lt;=Summary!$C$11)=0,"",'Dvd Calendar'!$AQ$1240*1000000000+ISNUMBER('Dvd Calendar'!$AQ$1241)*100000000+('Dvd Calendar'!$AQ$1245='Field Check'!$C$25)*10000000+(N('Dvd Calendar'!$AQ$1239)&gt;0)*1000000+83*1000+39))</f>
        <v/>
      </c>
      <c r="AP91" s="41">
        <f>IF(N('Dvd Calendar'!$AR$1240)=0,"",IF(('Dvd Calendar'!$AR$1240&gt;=MIN(DATE(Summary!$C$12,1,1),Summary!$C$11))*('Dvd Calendar'!$AR$1240&lt;=MAX(DATE(Summary!$C$12,12,31),Summary!$C$15))*('Dvd Calendar'!$AR$1240&lt;=Summary!$C$11)=0,"",'Dvd Calendar'!$AR$1240*1000000000+ISNUMBER('Dvd Calendar'!$AR$1241)*100000000+('Dvd Calendar'!$AR$1245='Field Check'!$C$25)*10000000+(N('Dvd Calendar'!$AR$1239)&gt;0)*1000000+83*1000+40))</f>
        <v/>
      </c>
      <c r="AQ91" s="41">
        <f>IF(N('Dvd Calendar'!$E$1247)=0,"",IF(('Dvd Calendar'!$E$1247&gt;=MIN(DATE(Summary!$C$12,1,1),Summary!$C$11))*('Dvd Calendar'!$E$1247&lt;=MAX(DATE(Summary!$C$12,12,31),Summary!$C$15))*('Dvd Calendar'!$E$1247&gt;Summary!$C$11)=0,"",'Dvd Calendar'!$E$1247*1000000000+ISNUMBER('Dvd Calendar'!$E$1248)*100000000+('Dvd Calendar'!$E$1252='Field Check'!$C$25)*10000000+(N('Dvd Calendar'!$E$1246)&gt;0)*1000000+83*1000+41))</f>
        <v/>
      </c>
      <c r="AR91" s="41">
        <f>IF(N('Dvd Calendar'!$F$1247)=0,"",IF(('Dvd Calendar'!$F$1247&gt;=MIN(DATE(Summary!$C$12,1,1),Summary!$C$11))*('Dvd Calendar'!$F$1247&lt;=MAX(DATE(Summary!$C$12,12,31),Summary!$C$15))*('Dvd Calendar'!$F$1247&gt;Summary!$C$11)=0,"",'Dvd Calendar'!$F$1247*1000000000+ISNUMBER('Dvd Calendar'!$F$1248)*100000000+('Dvd Calendar'!$F$1252='Field Check'!$C$25)*10000000+(N('Dvd Calendar'!$F$1246)&gt;0)*1000000+83*1000+42))</f>
        <v/>
      </c>
      <c r="AS91" s="41">
        <f>IF(N('Dvd Calendar'!$G$1247)=0,"",IF(('Dvd Calendar'!$G$1247&gt;=MIN(DATE(Summary!$C$12,1,1),Summary!$C$11))*('Dvd Calendar'!$G$1247&lt;=MAX(DATE(Summary!$C$12,12,31),Summary!$C$15))*('Dvd Calendar'!$G$1247&gt;Summary!$C$11)=0,"",'Dvd Calendar'!$G$1247*1000000000+ISNUMBER('Dvd Calendar'!$G$1248)*100000000+('Dvd Calendar'!$G$1252='Field Check'!$C$25)*10000000+(N('Dvd Calendar'!$G$1246)&gt;0)*1000000+83*1000+43))</f>
        <v/>
      </c>
      <c r="AT91" s="41">
        <f>IF(N('Dvd Calendar'!$H$1247)=0,"",IF(('Dvd Calendar'!$H$1247&gt;=MIN(DATE(Summary!$C$12,1,1),Summary!$C$11))*('Dvd Calendar'!$H$1247&lt;=MAX(DATE(Summary!$C$12,12,31),Summary!$C$15))*('Dvd Calendar'!$H$1247&gt;Summary!$C$11)=0,"",'Dvd Calendar'!$H$1247*1000000000+ISNUMBER('Dvd Calendar'!$H$1248)*100000000+('Dvd Calendar'!$H$1252='Field Check'!$C$25)*10000000+(N('Dvd Calendar'!$H$1246)&gt;0)*1000000+83*1000+44))</f>
        <v/>
      </c>
      <c r="AU91" s="41">
        <f>IF(N('Dvd Calendar'!$I$1247)=0,"",IF(('Dvd Calendar'!$I$1247&gt;=MIN(DATE(Summary!$C$12,1,1),Summary!$C$11))*('Dvd Calendar'!$I$1247&lt;=MAX(DATE(Summary!$C$12,12,31),Summary!$C$15))*('Dvd Calendar'!$I$1247&gt;Summary!$C$11)=0,"",'Dvd Calendar'!$I$1247*1000000000+ISNUMBER('Dvd Calendar'!$I$1248)*100000000+('Dvd Calendar'!$I$1252='Field Check'!$C$25)*10000000+(N('Dvd Calendar'!$I$1246)&gt;0)*1000000+83*1000+45))</f>
        <v/>
      </c>
      <c r="AV91" s="41">
        <f>IF(N('Dvd Calendar'!$J$1247)=0,"",IF(('Dvd Calendar'!$J$1247&gt;=MIN(DATE(Summary!$C$12,1,1),Summary!$C$11))*('Dvd Calendar'!$J$1247&lt;=MAX(DATE(Summary!$C$12,12,31),Summary!$C$15))*('Dvd Calendar'!$J$1247&gt;Summary!$C$11)=0,"",'Dvd Calendar'!$J$1247*1000000000+ISNUMBER('Dvd Calendar'!$J$1248)*100000000+('Dvd Calendar'!$J$1252='Field Check'!$C$25)*10000000+(N('Dvd Calendar'!$J$1246)&gt;0)*1000000+83*1000+46))</f>
        <v/>
      </c>
      <c r="AW91" s="41">
        <f>IF(N('Dvd Calendar'!$K$1247)=0,"",IF(('Dvd Calendar'!$K$1247&gt;=MIN(DATE(Summary!$C$12,1,1),Summary!$C$11))*('Dvd Calendar'!$K$1247&lt;=MAX(DATE(Summary!$C$12,12,31),Summary!$C$15))*('Dvd Calendar'!$K$1247&gt;Summary!$C$11)=0,"",'Dvd Calendar'!$K$1247*1000000000+ISNUMBER('Dvd Calendar'!$K$1248)*100000000+('Dvd Calendar'!$K$1252='Field Check'!$C$25)*10000000+(N('Dvd Calendar'!$K$1246)&gt;0)*1000000+83*1000+47))</f>
        <v/>
      </c>
      <c r="AX91" s="41">
        <f>IF(N('Dvd Calendar'!$L$1247)=0,"",IF(('Dvd Calendar'!$L$1247&gt;=MIN(DATE(Summary!$C$12,1,1),Summary!$C$11))*('Dvd Calendar'!$L$1247&lt;=MAX(DATE(Summary!$C$12,12,31),Summary!$C$15))*('Dvd Calendar'!$L$1247&gt;Summary!$C$11)=0,"",'Dvd Calendar'!$L$1247*1000000000+ISNUMBER('Dvd Calendar'!$L$1248)*100000000+('Dvd Calendar'!$L$1252='Field Check'!$C$25)*10000000+(N('Dvd Calendar'!$L$1246)&gt;0)*1000000+83*1000+48))</f>
        <v/>
      </c>
      <c r="AY91" s="41">
        <f>IF(N('Dvd Calendar'!$M$1247)=0,"",IF(('Dvd Calendar'!$M$1247&gt;=MIN(DATE(Summary!$C$12,1,1),Summary!$C$11))*('Dvd Calendar'!$M$1247&lt;=MAX(DATE(Summary!$C$12,12,31),Summary!$C$15))*('Dvd Calendar'!$M$1247&gt;Summary!$C$11)=0,"",'Dvd Calendar'!$M$1247*1000000000+ISNUMBER('Dvd Calendar'!$M$1248)*100000000+('Dvd Calendar'!$M$1252='Field Check'!$C$25)*10000000+(N('Dvd Calendar'!$M$1246)&gt;0)*1000000+83*1000+49))</f>
        <v/>
      </c>
      <c r="AZ91" s="41">
        <f>IF(N('Dvd Calendar'!$N$1247)=0,"",IF(('Dvd Calendar'!$N$1247&gt;=MIN(DATE(Summary!$C$12,1,1),Summary!$C$11))*('Dvd Calendar'!$N$1247&lt;=MAX(DATE(Summary!$C$12,12,31),Summary!$C$15))*('Dvd Calendar'!$N$1247&gt;Summary!$C$11)=0,"",'Dvd Calendar'!$N$1247*1000000000+ISNUMBER('Dvd Calendar'!$N$1248)*100000000+('Dvd Calendar'!$N$1252='Field Check'!$C$25)*10000000+(N('Dvd Calendar'!$N$1246)&gt;0)*1000000+83*1000+50))</f>
        <v/>
      </c>
      <c r="BA91" s="41">
        <f>IF(N('Dvd Calendar'!$O$1247)=0,"",IF(('Dvd Calendar'!$O$1247&gt;=MIN(DATE(Summary!$C$12,1,1),Summary!$C$11))*('Dvd Calendar'!$O$1247&lt;=MAX(DATE(Summary!$C$12,12,31),Summary!$C$15))*('Dvd Calendar'!$O$1247&gt;Summary!$C$11)=0,"",'Dvd Calendar'!$O$1247*1000000000+ISNUMBER('Dvd Calendar'!$O$1248)*100000000+('Dvd Calendar'!$O$1252='Field Check'!$C$25)*10000000+(N('Dvd Calendar'!$O$1246)&gt;0)*1000000+83*1000+51))</f>
        <v/>
      </c>
      <c r="BB91" s="41">
        <f>IF(N('Dvd Calendar'!$P$1247)=0,"",IF(('Dvd Calendar'!$P$1247&gt;=MIN(DATE(Summary!$C$12,1,1),Summary!$C$11))*('Dvd Calendar'!$P$1247&lt;=MAX(DATE(Summary!$C$12,12,31),Summary!$C$15))*('Dvd Calendar'!$P$1247&gt;Summary!$C$11)=0,"",'Dvd Calendar'!$P$1247*1000000000+ISNUMBER('Dvd Calendar'!$P$1248)*100000000+('Dvd Calendar'!$P$1252='Field Check'!$C$25)*10000000+(N('Dvd Calendar'!$P$1246)&gt;0)*1000000+83*1000+52))</f>
        <v/>
      </c>
      <c r="BC91" s="41">
        <f>IF(N('Dvd Calendar'!$Q$1247)=0,"",IF(('Dvd Calendar'!$Q$1247&gt;=MIN(DATE(Summary!$C$12,1,1),Summary!$C$11))*('Dvd Calendar'!$Q$1247&lt;=MAX(DATE(Summary!$C$12,12,31),Summary!$C$15))*('Dvd Calendar'!$Q$1247&gt;Summary!$C$11)=0,"",'Dvd Calendar'!$Q$1247*1000000000+ISNUMBER('Dvd Calendar'!$Q$1248)*100000000+('Dvd Calendar'!$Q$1252='Field Check'!$C$25)*10000000+(N('Dvd Calendar'!$Q$1246)&gt;0)*1000000+83*1000+53))</f>
        <v/>
      </c>
      <c r="BD91" s="41">
        <f>IF(N('Dvd Calendar'!$R$1247)=0,"",IF(('Dvd Calendar'!$R$1247&gt;=MIN(DATE(Summary!$C$12,1,1),Summary!$C$11))*('Dvd Calendar'!$R$1247&lt;=MAX(DATE(Summary!$C$12,12,31),Summary!$C$15))*('Dvd Calendar'!$R$1247&gt;Summary!$C$11)=0,"",'Dvd Calendar'!$R$1247*1000000000+ISNUMBER('Dvd Calendar'!$R$1248)*100000000+('Dvd Calendar'!$R$1252='Field Check'!$C$25)*10000000+(N('Dvd Calendar'!$R$1246)&gt;0)*1000000+83*1000+54))</f>
        <v/>
      </c>
      <c r="BE91" s="41">
        <f>IF(N('Dvd Calendar'!$S$1247)=0,"",IF(('Dvd Calendar'!$S$1247&gt;=MIN(DATE(Summary!$C$12,1,1),Summary!$C$11))*('Dvd Calendar'!$S$1247&lt;=MAX(DATE(Summary!$C$12,12,31),Summary!$C$15))*('Dvd Calendar'!$S$1247&gt;Summary!$C$11)=0,"",'Dvd Calendar'!$S$1247*1000000000+ISNUMBER('Dvd Calendar'!$S$1248)*100000000+('Dvd Calendar'!$S$1252='Field Check'!$C$25)*10000000+(N('Dvd Calendar'!$S$1246)&gt;0)*1000000+83*1000+55))</f>
        <v/>
      </c>
      <c r="BF91" s="41">
        <f>IF(N('Dvd Calendar'!$T$1247)=0,"",IF(('Dvd Calendar'!$T$1247&gt;=MIN(DATE(Summary!$C$12,1,1),Summary!$C$11))*('Dvd Calendar'!$T$1247&lt;=MAX(DATE(Summary!$C$12,12,31),Summary!$C$15))*('Dvd Calendar'!$T$1247&gt;Summary!$C$11)=0,"",'Dvd Calendar'!$T$1247*1000000000+ISNUMBER('Dvd Calendar'!$T$1248)*100000000+('Dvd Calendar'!$T$1252='Field Check'!$C$25)*10000000+(N('Dvd Calendar'!$T$1246)&gt;0)*1000000+83*1000+56))</f>
        <v/>
      </c>
      <c r="BG91" s="41">
        <f>IF(N('Dvd Calendar'!$U$1247)=0,"",IF(('Dvd Calendar'!$U$1247&gt;=MIN(DATE(Summary!$C$12,1,1),Summary!$C$11))*('Dvd Calendar'!$U$1247&lt;=MAX(DATE(Summary!$C$12,12,31),Summary!$C$15))*('Dvd Calendar'!$U$1247&gt;Summary!$C$11)=0,"",'Dvd Calendar'!$U$1247*1000000000+ISNUMBER('Dvd Calendar'!$U$1248)*100000000+('Dvd Calendar'!$U$1252='Field Check'!$C$25)*10000000+(N('Dvd Calendar'!$U$1246)&gt;0)*1000000+83*1000+57))</f>
        <v/>
      </c>
      <c r="BH91" s="41">
        <f>IF(N('Dvd Calendar'!$V$1247)=0,"",IF(('Dvd Calendar'!$V$1247&gt;=MIN(DATE(Summary!$C$12,1,1),Summary!$C$11))*('Dvd Calendar'!$V$1247&lt;=MAX(DATE(Summary!$C$12,12,31),Summary!$C$15))*('Dvd Calendar'!$V$1247&gt;Summary!$C$11)=0,"",'Dvd Calendar'!$V$1247*1000000000+ISNUMBER('Dvd Calendar'!$V$1248)*100000000+('Dvd Calendar'!$V$1252='Field Check'!$C$25)*10000000+(N('Dvd Calendar'!$V$1246)&gt;0)*1000000+83*1000+58))</f>
        <v/>
      </c>
      <c r="BI91" s="41">
        <f>IF(N('Dvd Calendar'!$W$1247)=0,"",IF(('Dvd Calendar'!$W$1247&gt;=MIN(DATE(Summary!$C$12,1,1),Summary!$C$11))*('Dvd Calendar'!$W$1247&lt;=MAX(DATE(Summary!$C$12,12,31),Summary!$C$15))*('Dvd Calendar'!$W$1247&gt;Summary!$C$11)=0,"",'Dvd Calendar'!$W$1247*1000000000+ISNUMBER('Dvd Calendar'!$W$1248)*100000000+('Dvd Calendar'!$W$1252='Field Check'!$C$25)*10000000+(N('Dvd Calendar'!$W$1246)&gt;0)*1000000+83*1000+59))</f>
        <v/>
      </c>
      <c r="BJ91" s="41">
        <f>IF(N('Dvd Calendar'!$X$1247)=0,"",IF(('Dvd Calendar'!$X$1247&gt;=MIN(DATE(Summary!$C$12,1,1),Summary!$C$11))*('Dvd Calendar'!$X$1247&lt;=MAX(DATE(Summary!$C$12,12,31),Summary!$C$15))*('Dvd Calendar'!$X$1247&gt;Summary!$C$11)=0,"",'Dvd Calendar'!$X$1247*1000000000+ISNUMBER('Dvd Calendar'!$X$1248)*100000000+('Dvd Calendar'!$X$1252='Field Check'!$C$25)*10000000+(N('Dvd Calendar'!$X$1246)&gt;0)*1000000+83*1000+60))</f>
        <v/>
      </c>
      <c r="BK91" s="41">
        <f>IF(N('Dvd Calendar'!$Y$1247)=0,"",IF(('Dvd Calendar'!$Y$1247&gt;=MIN(DATE(Summary!$C$12,1,1),Summary!$C$11))*('Dvd Calendar'!$Y$1247&lt;=MAX(DATE(Summary!$C$12,12,31),Summary!$C$15))*('Dvd Calendar'!$Y$1247&gt;Summary!$C$11)=0,"",'Dvd Calendar'!$Y$1247*1000000000+ISNUMBER('Dvd Calendar'!$Y$1248)*100000000+('Dvd Calendar'!$Y$1252='Field Check'!$C$25)*10000000+(N('Dvd Calendar'!$Y$1246)&gt;0)*1000000+83*1000+61))</f>
        <v/>
      </c>
      <c r="BL91" s="41">
        <f>IF(N('Dvd Calendar'!$Z$1247)=0,"",IF(('Dvd Calendar'!$Z$1247&gt;=MIN(DATE(Summary!$C$12,1,1),Summary!$C$11))*('Dvd Calendar'!$Z$1247&lt;=MAX(DATE(Summary!$C$12,12,31),Summary!$C$15))*('Dvd Calendar'!$Z$1247&gt;Summary!$C$11)=0,"",'Dvd Calendar'!$Z$1247*1000000000+ISNUMBER('Dvd Calendar'!$Z$1248)*100000000+('Dvd Calendar'!$Z$1252='Field Check'!$C$25)*10000000+(N('Dvd Calendar'!$Z$1246)&gt;0)*1000000+83*1000+62))</f>
        <v/>
      </c>
      <c r="BM91" s="41">
        <f>IF(N('Dvd Calendar'!$AA$1247)=0,"",IF(('Dvd Calendar'!$AA$1247&gt;=MIN(DATE(Summary!$C$12,1,1),Summary!$C$11))*('Dvd Calendar'!$AA$1247&lt;=MAX(DATE(Summary!$C$12,12,31),Summary!$C$15))*('Dvd Calendar'!$AA$1247&gt;Summary!$C$11)=0,"",'Dvd Calendar'!$AA$1247*1000000000+ISNUMBER('Dvd Calendar'!$AA$1248)*100000000+('Dvd Calendar'!$AA$1252='Field Check'!$C$25)*10000000+(N('Dvd Calendar'!$AA$1246)&gt;0)*1000000+83*1000+63))</f>
        <v/>
      </c>
      <c r="BN91" s="41">
        <f>IF(N('Dvd Calendar'!$AB$1247)=0,"",IF(('Dvd Calendar'!$AB$1247&gt;=MIN(DATE(Summary!$C$12,1,1),Summary!$C$11))*('Dvd Calendar'!$AB$1247&lt;=MAX(DATE(Summary!$C$12,12,31),Summary!$C$15))*('Dvd Calendar'!$AB$1247&gt;Summary!$C$11)=0,"",'Dvd Calendar'!$AB$1247*1000000000+ISNUMBER('Dvd Calendar'!$AB$1248)*100000000+('Dvd Calendar'!$AB$1252='Field Check'!$C$25)*10000000+(N('Dvd Calendar'!$AB$1246)&gt;0)*1000000+83*1000+64))</f>
        <v/>
      </c>
      <c r="BO91" s="41">
        <f>IF(N('Dvd Calendar'!$AC$1247)=0,"",IF(('Dvd Calendar'!$AC$1247&gt;=MIN(DATE(Summary!$C$12,1,1),Summary!$C$11))*('Dvd Calendar'!$AC$1247&lt;=MAX(DATE(Summary!$C$12,12,31),Summary!$C$15))*('Dvd Calendar'!$AC$1247&gt;Summary!$C$11)=0,"",'Dvd Calendar'!$AC$1247*1000000000+ISNUMBER('Dvd Calendar'!$AC$1248)*100000000+('Dvd Calendar'!$AC$1252='Field Check'!$C$25)*10000000+(N('Dvd Calendar'!$AC$1246)&gt;0)*1000000+83*1000+65))</f>
        <v/>
      </c>
      <c r="BQ91" s="85">
        <f>IF(C91="","",IF(ISNUMBER('Dvd Calendar'!$E$1241)=FALSE,"",IF((Summary!$C$13="N")*('Dvd Calendar'!$E$1245='Field Check'!$C$25)&gt;0,"",'Dvd Calendar'!$E$1241)))</f>
        <v/>
      </c>
      <c r="BR91" s="85">
        <f>IF(D91="","",IF(ISNUMBER('Dvd Calendar'!$F$1241)=FALSE,"",IF((Summary!$C$13="N")*('Dvd Calendar'!$F$1245='Field Check'!$C$25)&gt;0,"",'Dvd Calendar'!$F$1241)))</f>
        <v/>
      </c>
      <c r="BS91" s="85">
        <f>IF(E91="","",IF(ISNUMBER('Dvd Calendar'!$G$1241)=FALSE,"",IF((Summary!$C$13="N")*('Dvd Calendar'!$G$1245='Field Check'!$C$25)&gt;0,"",'Dvd Calendar'!$G$1241)))</f>
        <v/>
      </c>
      <c r="BT91" s="85">
        <f>IF(F91="","",IF(ISNUMBER('Dvd Calendar'!$H$1241)=FALSE,"",IF((Summary!$C$13="N")*('Dvd Calendar'!$H$1245='Field Check'!$C$25)&gt;0,"",'Dvd Calendar'!$H$1241)))</f>
        <v/>
      </c>
      <c r="BU91" s="85">
        <f>IF(G91="","",IF(ISNUMBER('Dvd Calendar'!$I$1241)=FALSE,"",IF((Summary!$C$13="N")*('Dvd Calendar'!$I$1245='Field Check'!$C$25)&gt;0,"",'Dvd Calendar'!$I$1241)))</f>
        <v/>
      </c>
      <c r="BV91" s="85">
        <f>IF(H91="","",IF(ISNUMBER('Dvd Calendar'!$J$1241)=FALSE,"",IF((Summary!$C$13="N")*('Dvd Calendar'!$J$1245='Field Check'!$C$25)&gt;0,"",'Dvd Calendar'!$J$1241)))</f>
        <v/>
      </c>
      <c r="BW91" s="85">
        <f>IF(I91="","",IF(ISNUMBER('Dvd Calendar'!$K$1241)=FALSE,"",IF((Summary!$C$13="N")*('Dvd Calendar'!$K$1245='Field Check'!$C$25)&gt;0,"",'Dvd Calendar'!$K$1241)))</f>
        <v/>
      </c>
      <c r="BX91" s="85">
        <f>IF(J91="","",IF(ISNUMBER('Dvd Calendar'!$L$1241)=FALSE,"",IF((Summary!$C$13="N")*('Dvd Calendar'!$L$1245='Field Check'!$C$25)&gt;0,"",'Dvd Calendar'!$L$1241)))</f>
        <v/>
      </c>
      <c r="BY91" s="85">
        <f>IF(K91="","",IF(ISNUMBER('Dvd Calendar'!$M$1241)=FALSE,"",IF((Summary!$C$13="N")*('Dvd Calendar'!$M$1245='Field Check'!$C$25)&gt;0,"",'Dvd Calendar'!$M$1241)))</f>
        <v/>
      </c>
      <c r="BZ91" s="85">
        <f>IF(L91="","",IF(ISNUMBER('Dvd Calendar'!$N$1241)=FALSE,"",IF((Summary!$C$13="N")*('Dvd Calendar'!$N$1245='Field Check'!$C$25)&gt;0,"",'Dvd Calendar'!$N$1241)))</f>
        <v/>
      </c>
      <c r="CA91" s="85">
        <f>IF(M91="","",IF(ISNUMBER('Dvd Calendar'!$O$1241)=FALSE,"",IF((Summary!$C$13="N")*('Dvd Calendar'!$O$1245='Field Check'!$C$25)&gt;0,"",'Dvd Calendar'!$O$1241)))</f>
        <v/>
      </c>
      <c r="CB91" s="85">
        <f>IF(N91="","",IF(ISNUMBER('Dvd Calendar'!$P$1241)=FALSE,"",IF((Summary!$C$13="N")*('Dvd Calendar'!$P$1245='Field Check'!$C$25)&gt;0,"",'Dvd Calendar'!$P$1241)))</f>
        <v/>
      </c>
      <c r="CC91" s="85">
        <f>IF(O91="","",IF(ISNUMBER('Dvd Calendar'!$Q$1241)=FALSE,"",IF((Summary!$C$13="N")*('Dvd Calendar'!$Q$1245='Field Check'!$C$25)&gt;0,"",'Dvd Calendar'!$Q$1241)))</f>
        <v/>
      </c>
      <c r="CD91" s="85">
        <f>IF(P91="","",IF(ISNUMBER('Dvd Calendar'!$R$1241)=FALSE,"",IF((Summary!$C$13="N")*('Dvd Calendar'!$R$1245='Field Check'!$C$25)&gt;0,"",'Dvd Calendar'!$R$1241)))</f>
        <v/>
      </c>
      <c r="CE91" s="85">
        <f>IF(Q91="","",IF(ISNUMBER('Dvd Calendar'!$S$1241)=FALSE,"",IF((Summary!$C$13="N")*('Dvd Calendar'!$S$1245='Field Check'!$C$25)&gt;0,"",'Dvd Calendar'!$S$1241)))</f>
        <v/>
      </c>
      <c r="CF91" s="85">
        <f>IF(R91="","",IF(ISNUMBER('Dvd Calendar'!$T$1241)=FALSE,"",IF((Summary!$C$13="N")*('Dvd Calendar'!$T$1245='Field Check'!$C$25)&gt;0,"",'Dvd Calendar'!$T$1241)))</f>
        <v/>
      </c>
      <c r="CG91" s="85">
        <f>IF(S91="","",IF(ISNUMBER('Dvd Calendar'!$U$1241)=FALSE,"",IF((Summary!$C$13="N")*('Dvd Calendar'!$U$1245='Field Check'!$C$25)&gt;0,"",'Dvd Calendar'!$U$1241)))</f>
        <v/>
      </c>
      <c r="CH91" s="85">
        <f>IF(T91="","",IF(ISNUMBER('Dvd Calendar'!$V$1241)=FALSE,"",IF((Summary!$C$13="N")*('Dvd Calendar'!$V$1245='Field Check'!$C$25)&gt;0,"",'Dvd Calendar'!$V$1241)))</f>
        <v/>
      </c>
      <c r="CI91" s="85">
        <f>IF(U91="","",IF(ISNUMBER('Dvd Calendar'!$W$1241)=FALSE,"",IF((Summary!$C$13="N")*('Dvd Calendar'!$W$1245='Field Check'!$C$25)&gt;0,"",'Dvd Calendar'!$W$1241)))</f>
        <v/>
      </c>
      <c r="CJ91" s="85">
        <f>IF(V91="","",IF(ISNUMBER('Dvd Calendar'!$X$1241)=FALSE,"",IF((Summary!$C$13="N")*('Dvd Calendar'!$X$1245='Field Check'!$C$25)&gt;0,"",'Dvd Calendar'!$X$1241)))</f>
        <v/>
      </c>
      <c r="CK91" s="85">
        <f>IF(W91="","",IF(ISNUMBER('Dvd Calendar'!$Y$1241)=FALSE,"",IF((Summary!$C$13="N")*('Dvd Calendar'!$Y$1245='Field Check'!$C$25)&gt;0,"",'Dvd Calendar'!$Y$1241)))</f>
        <v/>
      </c>
      <c r="CL91" s="85">
        <f>IF(X91="","",IF(ISNUMBER('Dvd Calendar'!$Z$1241)=FALSE,"",IF((Summary!$C$13="N")*('Dvd Calendar'!$Z$1245='Field Check'!$C$25)&gt;0,"",'Dvd Calendar'!$Z$1241)))</f>
        <v/>
      </c>
      <c r="CM91" s="85">
        <f>IF(Y91="","",IF(ISNUMBER('Dvd Calendar'!$AA$1241)=FALSE,"",IF((Summary!$C$13="N")*('Dvd Calendar'!$AA$1245='Field Check'!$C$25)&gt;0,"",'Dvd Calendar'!$AA$1241)))</f>
        <v/>
      </c>
      <c r="CN91" s="85">
        <f>IF(Z91="","",IF(ISNUMBER('Dvd Calendar'!$AB$1241)=FALSE,"",IF((Summary!$C$13="N")*('Dvd Calendar'!$AB$1245='Field Check'!$C$25)&gt;0,"",'Dvd Calendar'!$AB$1241)))</f>
        <v/>
      </c>
      <c r="CO91" s="85">
        <f>IF(AA91="","",IF(ISNUMBER('Dvd Calendar'!$AC$1241)=FALSE,"",IF((Summary!$C$13="N")*('Dvd Calendar'!$AC$1245='Field Check'!$C$25)&gt;0,"",'Dvd Calendar'!$AC$1241)))</f>
        <v/>
      </c>
      <c r="CP91" s="85">
        <f>IF(AB91="","",IF(ISNUMBER('Dvd Calendar'!$AD$1241)=FALSE,"",IF((Summary!$C$13="N")*('Dvd Calendar'!$AD$1245='Field Check'!$C$25)&gt;0,"",'Dvd Calendar'!$AD$1241)))</f>
        <v/>
      </c>
      <c r="CQ91" s="85">
        <f>IF(AC91="","",IF(ISNUMBER('Dvd Calendar'!$AE$1241)=FALSE,"",IF((Summary!$C$13="N")*('Dvd Calendar'!$AE$1245='Field Check'!$C$25)&gt;0,"",'Dvd Calendar'!$AE$1241)))</f>
        <v/>
      </c>
      <c r="CR91" s="85">
        <f>IF(AD91="","",IF(ISNUMBER('Dvd Calendar'!$AF$1241)=FALSE,"",IF((Summary!$C$13="N")*('Dvd Calendar'!$AF$1245='Field Check'!$C$25)&gt;0,"",'Dvd Calendar'!$AF$1241)))</f>
        <v/>
      </c>
      <c r="CS91" s="85">
        <f>IF(AE91="","",IF(ISNUMBER('Dvd Calendar'!$AG$1241)=FALSE,"",IF((Summary!$C$13="N")*('Dvd Calendar'!$AG$1245='Field Check'!$C$25)&gt;0,"",'Dvd Calendar'!$AG$1241)))</f>
        <v/>
      </c>
      <c r="CT91" s="85">
        <f>IF(AF91="","",IF(ISNUMBER('Dvd Calendar'!$AH$1241)=FALSE,"",IF((Summary!$C$13="N")*('Dvd Calendar'!$AH$1245='Field Check'!$C$25)&gt;0,"",'Dvd Calendar'!$AH$1241)))</f>
        <v/>
      </c>
      <c r="CU91" s="85">
        <f>IF(AG91="","",IF(ISNUMBER('Dvd Calendar'!$AI$1241)=FALSE,"",IF((Summary!$C$13="N")*('Dvd Calendar'!$AI$1245='Field Check'!$C$25)&gt;0,"",'Dvd Calendar'!$AI$1241)))</f>
        <v/>
      </c>
      <c r="CV91" s="85">
        <f>IF(AH91="","",IF(ISNUMBER('Dvd Calendar'!$AJ$1241)=FALSE,"",IF((Summary!$C$13="N")*('Dvd Calendar'!$AJ$1245='Field Check'!$C$25)&gt;0,"",'Dvd Calendar'!$AJ$1241)))</f>
        <v/>
      </c>
      <c r="CW91" s="85">
        <f>IF(AI91="","",IF(ISNUMBER('Dvd Calendar'!$AK$1241)=FALSE,"",IF((Summary!$C$13="N")*('Dvd Calendar'!$AK$1245='Field Check'!$C$25)&gt;0,"",'Dvd Calendar'!$AK$1241)))</f>
        <v/>
      </c>
      <c r="CX91" s="85">
        <f>IF(AJ91="","",IF(ISNUMBER('Dvd Calendar'!$AL$1241)=FALSE,"",IF((Summary!$C$13="N")*('Dvd Calendar'!$AL$1245='Field Check'!$C$25)&gt;0,"",'Dvd Calendar'!$AL$1241)))</f>
        <v/>
      </c>
      <c r="CY91" s="85">
        <f>IF(AK91="","",IF(ISNUMBER('Dvd Calendar'!$AM$1241)=FALSE,"",IF((Summary!$C$13="N")*('Dvd Calendar'!$AM$1245='Field Check'!$C$25)&gt;0,"",'Dvd Calendar'!$AM$1241)))</f>
        <v/>
      </c>
      <c r="CZ91" s="85">
        <f>IF(AL91="","",IF(ISNUMBER('Dvd Calendar'!$AN$1241)=FALSE,"",IF((Summary!$C$13="N")*('Dvd Calendar'!$AN$1245='Field Check'!$C$25)&gt;0,"",'Dvd Calendar'!$AN$1241)))</f>
        <v/>
      </c>
      <c r="DA91" s="85">
        <f>IF(AM91="","",IF(ISNUMBER('Dvd Calendar'!$AO$1241)=FALSE,"",IF((Summary!$C$13="N")*('Dvd Calendar'!$AO$1245='Field Check'!$C$25)&gt;0,"",'Dvd Calendar'!$AO$1241)))</f>
        <v/>
      </c>
      <c r="DB91" s="85">
        <f>IF(AN91="","",IF(ISNUMBER('Dvd Calendar'!$AP$1241)=FALSE,"",IF((Summary!$C$13="N")*('Dvd Calendar'!$AP$1245='Field Check'!$C$25)&gt;0,"",'Dvd Calendar'!$AP$1241)))</f>
        <v/>
      </c>
      <c r="DC91" s="85">
        <f>IF(AO91="","",IF(ISNUMBER('Dvd Calendar'!$AQ$1241)=FALSE,"",IF((Summary!$C$13="N")*('Dvd Calendar'!$AQ$1245='Field Check'!$C$25)&gt;0,"",'Dvd Calendar'!$AQ$1241)))</f>
        <v/>
      </c>
      <c r="DD91" s="85">
        <f>IF(AP91="","",IF(ISNUMBER('Dvd Calendar'!$AR$1241)=FALSE,"",IF((Summary!$C$13="N")*('Dvd Calendar'!$AR$1245='Field Check'!$C$25)&gt;0,"",'Dvd Calendar'!$AR$1241)))</f>
        <v/>
      </c>
      <c r="DE91" s="85">
        <f>IF(AQ91="","",IF(ISNUMBER('Dvd Calendar'!$E$1248)=FALSE,"",IF((Summary!$C$13="N")*('Dvd Calendar'!$E$1252='Field Check'!$C$25)&gt;0,"",'Dvd Calendar'!$E$1248)))</f>
        <v/>
      </c>
      <c r="DF91" s="85">
        <f>IF(AR91="","",IF(ISNUMBER('Dvd Calendar'!$F$1248)=FALSE,"",IF((Summary!$C$13="N")*('Dvd Calendar'!$F$1252='Field Check'!$C$25)&gt;0,"",'Dvd Calendar'!$F$1248)))</f>
        <v/>
      </c>
      <c r="DG91" s="85">
        <f>IF(AS91="","",IF(ISNUMBER('Dvd Calendar'!$G$1248)=FALSE,"",IF((Summary!$C$13="N")*('Dvd Calendar'!$G$1252='Field Check'!$C$25)&gt;0,"",'Dvd Calendar'!$G$1248)))</f>
        <v/>
      </c>
      <c r="DH91" s="85">
        <f>IF(AT91="","",IF(ISNUMBER('Dvd Calendar'!$H$1248)=FALSE,"",IF((Summary!$C$13="N")*('Dvd Calendar'!$H$1252='Field Check'!$C$25)&gt;0,"",'Dvd Calendar'!$H$1248)))</f>
        <v/>
      </c>
      <c r="DI91" s="85">
        <f>IF(AU91="","",IF(ISNUMBER('Dvd Calendar'!$I$1248)=FALSE,"",IF((Summary!$C$13="N")*('Dvd Calendar'!$I$1252='Field Check'!$C$25)&gt;0,"",'Dvd Calendar'!$I$1248)))</f>
        <v/>
      </c>
      <c r="DJ91" s="85">
        <f>IF(AV91="","",IF(ISNUMBER('Dvd Calendar'!$J$1248)=FALSE,"",IF((Summary!$C$13="N")*('Dvd Calendar'!$J$1252='Field Check'!$C$25)&gt;0,"",'Dvd Calendar'!$J$1248)))</f>
        <v/>
      </c>
      <c r="DK91" s="85">
        <f>IF(AW91="","",IF(ISNUMBER('Dvd Calendar'!$K$1248)=FALSE,"",IF((Summary!$C$13="N")*('Dvd Calendar'!$K$1252='Field Check'!$C$25)&gt;0,"",'Dvd Calendar'!$K$1248)))</f>
        <v/>
      </c>
      <c r="DL91" s="85">
        <f>IF(AX91="","",IF(ISNUMBER('Dvd Calendar'!$L$1248)=FALSE,"",IF((Summary!$C$13="N")*('Dvd Calendar'!$L$1252='Field Check'!$C$25)&gt;0,"",'Dvd Calendar'!$L$1248)))</f>
        <v/>
      </c>
      <c r="DM91" s="85">
        <f>IF(AY91="","",IF(ISNUMBER('Dvd Calendar'!$M$1248)=FALSE,"",IF((Summary!$C$13="N")*('Dvd Calendar'!$M$1252='Field Check'!$C$25)&gt;0,"",'Dvd Calendar'!$M$1248)))</f>
        <v/>
      </c>
      <c r="DN91" s="85">
        <f>IF(AZ91="","",IF(ISNUMBER('Dvd Calendar'!$N$1248)=FALSE,"",IF((Summary!$C$13="N")*('Dvd Calendar'!$N$1252='Field Check'!$C$25)&gt;0,"",'Dvd Calendar'!$N$1248)))</f>
        <v/>
      </c>
      <c r="DO91" s="85">
        <f>IF(BA91="","",IF(ISNUMBER('Dvd Calendar'!$O$1248)=FALSE,"",IF((Summary!$C$13="N")*('Dvd Calendar'!$O$1252='Field Check'!$C$25)&gt;0,"",'Dvd Calendar'!$O$1248)))</f>
        <v/>
      </c>
      <c r="DP91" s="85">
        <f>IF(BB91="","",IF(ISNUMBER('Dvd Calendar'!$P$1248)=FALSE,"",IF((Summary!$C$13="N")*('Dvd Calendar'!$P$1252='Field Check'!$C$25)&gt;0,"",'Dvd Calendar'!$P$1248)))</f>
        <v/>
      </c>
      <c r="DQ91" s="85">
        <f>IF(BC91="","",IF(ISNUMBER('Dvd Calendar'!$Q$1248)=FALSE,"",IF((Summary!$C$13="N")*('Dvd Calendar'!$Q$1252='Field Check'!$C$25)&gt;0,"",'Dvd Calendar'!$Q$1248)))</f>
        <v/>
      </c>
      <c r="DR91" s="85">
        <f>IF(BD91="","",IF(ISNUMBER('Dvd Calendar'!$R$1248)=FALSE,"",IF((Summary!$C$13="N")*('Dvd Calendar'!$R$1252='Field Check'!$C$25)&gt;0,"",'Dvd Calendar'!$R$1248)))</f>
        <v/>
      </c>
      <c r="DS91" s="85">
        <f>IF(BE91="","",IF(ISNUMBER('Dvd Calendar'!$S$1248)=FALSE,"",IF((Summary!$C$13="N")*('Dvd Calendar'!$S$1252='Field Check'!$C$25)&gt;0,"",'Dvd Calendar'!$S$1248)))</f>
        <v/>
      </c>
      <c r="DT91" s="85">
        <f>IF(BF91="","",IF(ISNUMBER('Dvd Calendar'!$T$1248)=FALSE,"",IF((Summary!$C$13="N")*('Dvd Calendar'!$T$1252='Field Check'!$C$25)&gt;0,"",'Dvd Calendar'!$T$1248)))</f>
        <v/>
      </c>
      <c r="DU91" s="85">
        <f>IF(BG91="","",IF(ISNUMBER('Dvd Calendar'!$U$1248)=FALSE,"",IF((Summary!$C$13="N")*('Dvd Calendar'!$U$1252='Field Check'!$C$25)&gt;0,"",'Dvd Calendar'!$U$1248)))</f>
        <v/>
      </c>
      <c r="DV91" s="85">
        <f>IF(BH91="","",IF(ISNUMBER('Dvd Calendar'!$V$1248)=FALSE,"",IF((Summary!$C$13="N")*('Dvd Calendar'!$V$1252='Field Check'!$C$25)&gt;0,"",'Dvd Calendar'!$V$1248)))</f>
        <v/>
      </c>
      <c r="DW91" s="85">
        <f>IF(BI91="","",IF(ISNUMBER('Dvd Calendar'!$W$1248)=FALSE,"",IF((Summary!$C$13="N")*('Dvd Calendar'!$W$1252='Field Check'!$C$25)&gt;0,"",'Dvd Calendar'!$W$1248)))</f>
        <v/>
      </c>
      <c r="DX91" s="85">
        <f>IF(BJ91="","",IF(ISNUMBER('Dvd Calendar'!$X$1248)=FALSE,"",IF((Summary!$C$13="N")*('Dvd Calendar'!$X$1252='Field Check'!$C$25)&gt;0,"",'Dvd Calendar'!$X$1248)))</f>
        <v/>
      </c>
      <c r="DY91" s="85">
        <f>IF(BK91="","",IF(ISNUMBER('Dvd Calendar'!$Y$1248)=FALSE,"",IF((Summary!$C$13="N")*('Dvd Calendar'!$Y$1252='Field Check'!$C$25)&gt;0,"",'Dvd Calendar'!$Y$1248)))</f>
        <v/>
      </c>
      <c r="DZ91" s="85">
        <f>IF(BL91="","",IF(ISNUMBER('Dvd Calendar'!$Z$1248)=FALSE,"",IF((Summary!$C$13="N")*('Dvd Calendar'!$Z$1252='Field Check'!$C$25)&gt;0,"",'Dvd Calendar'!$Z$1248)))</f>
        <v/>
      </c>
      <c r="EA91" s="85">
        <f>IF(BM91="","",IF(ISNUMBER('Dvd Calendar'!$AA$1248)=FALSE,"",IF((Summary!$C$13="N")*('Dvd Calendar'!$AA$1252='Field Check'!$C$25)&gt;0,"",'Dvd Calendar'!$AA$1248)))</f>
        <v/>
      </c>
      <c r="EB91" s="85">
        <f>IF(BN91="","",IF(ISNUMBER('Dvd Calendar'!$AB$1248)=FALSE,"",IF((Summary!$C$13="N")*('Dvd Calendar'!$AB$1252='Field Check'!$C$25)&gt;0,"",'Dvd Calendar'!$AB$1248)))</f>
        <v/>
      </c>
      <c r="EC91" s="85">
        <f>IF(BO91="","",IF(ISNUMBER('Dvd Calendar'!$AC$1248)=FALSE,"",IF((Summary!$C$13="N")*('Dvd Calendar'!$AC$1252='Field Check'!$C$25)&gt;0,"",'Dvd Calendar'!$AC$1248)))</f>
        <v/>
      </c>
      <c r="EE91" s="85">
        <f>IF(BQ91="","",IFERROR(BQ91*HSI!$B$89*HSI!$G$89/HSI!$B$3,""))</f>
        <v/>
      </c>
      <c r="EF91" s="85">
        <f>IF(BR91="","",IFERROR(BR91*HSI!$B$89*HSI!$G$89/HSI!$B$3,""))</f>
        <v/>
      </c>
      <c r="EG91" s="85">
        <f>IF(BS91="","",IFERROR(BS91*HSI!$B$89*HSI!$G$89/HSI!$B$3,""))</f>
        <v/>
      </c>
      <c r="EH91" s="85">
        <f>IF(BT91="","",IFERROR(BT91*HSI!$B$89*HSI!$G$89/HSI!$B$3,""))</f>
        <v/>
      </c>
      <c r="EI91" s="85">
        <f>IF(BU91="","",IFERROR(BU91*HSI!$B$89*HSI!$G$89/HSI!$B$3,""))</f>
        <v/>
      </c>
      <c r="EJ91" s="85">
        <f>IF(BV91="","",IFERROR(BV91*HSI!$B$89*HSI!$G$89/HSI!$B$3,""))</f>
        <v/>
      </c>
      <c r="EK91" s="85">
        <f>IF(BW91="","",IFERROR(BW91*HSI!$B$89*HSI!$G$89/HSI!$B$3,""))</f>
        <v/>
      </c>
      <c r="EL91" s="85">
        <f>IF(BX91="","",IFERROR(BX91*HSI!$B$89*HSI!$G$89/HSI!$B$3,""))</f>
        <v/>
      </c>
      <c r="EM91" s="85">
        <f>IF(BY91="","",IFERROR(BY91*HSI!$B$89*HSI!$G$89/HSI!$B$3,""))</f>
        <v/>
      </c>
      <c r="EN91" s="85">
        <f>IF(BZ91="","",IFERROR(BZ91*HSI!$B$89*HSI!$G$89/HSI!$B$3,""))</f>
        <v/>
      </c>
      <c r="EO91" s="85">
        <f>IF(CA91="","",IFERROR(CA91*HSI!$B$89*HSI!$G$89/HSI!$B$3,""))</f>
        <v/>
      </c>
      <c r="EP91" s="85">
        <f>IF(CB91="","",IFERROR(CB91*HSI!$B$89*HSI!$G$89/HSI!$B$3,""))</f>
        <v/>
      </c>
      <c r="EQ91" s="85">
        <f>IF(CC91="","",IFERROR(CC91*HSI!$B$89*HSI!$G$89/HSI!$B$3,""))</f>
        <v/>
      </c>
      <c r="ER91" s="85">
        <f>IF(CD91="","",IFERROR(CD91*HSI!$B$89*HSI!$G$89/HSI!$B$3,""))</f>
        <v/>
      </c>
      <c r="ES91" s="85">
        <f>IF(CE91="","",IFERROR(CE91*HSI!$B$89*HSI!$G$89/HSI!$B$3,""))</f>
        <v/>
      </c>
      <c r="ET91" s="85">
        <f>IF(CF91="","",IFERROR(CF91*HSI!$B$89*HSI!$G$89/HSI!$B$3,""))</f>
        <v/>
      </c>
      <c r="EU91" s="85">
        <f>IF(CG91="","",IFERROR(CG91*HSI!$B$89*HSI!$G$89/HSI!$B$3,""))</f>
        <v/>
      </c>
      <c r="EV91" s="85">
        <f>IF(CH91="","",IFERROR(CH91*HSI!$B$89*HSI!$G$89/HSI!$B$3,""))</f>
        <v/>
      </c>
      <c r="EW91" s="85">
        <f>IF(CI91="","",IFERROR(CI91*HSI!$B$89*HSI!$G$89/HSI!$B$3,""))</f>
        <v/>
      </c>
      <c r="EX91" s="85">
        <f>IF(CJ91="","",IFERROR(CJ91*HSI!$B$89*HSI!$G$89/HSI!$B$3,""))</f>
        <v/>
      </c>
      <c r="EY91" s="85">
        <f>IF(CK91="","",IFERROR(CK91*HSI!$B$89*HSI!$G$89/HSI!$B$3,""))</f>
        <v/>
      </c>
      <c r="EZ91" s="85">
        <f>IF(CL91="","",IFERROR(CL91*HSI!$B$89*HSI!$G$89/HSI!$B$3,""))</f>
        <v/>
      </c>
      <c r="FA91" s="85">
        <f>IF(CM91="","",IFERROR(CM91*HSI!$B$89*HSI!$G$89/HSI!$B$3,""))</f>
        <v/>
      </c>
      <c r="FB91" s="85">
        <f>IF(CN91="","",IFERROR(CN91*HSI!$B$89*HSI!$G$89/HSI!$B$3,""))</f>
        <v/>
      </c>
      <c r="FC91" s="85">
        <f>IF(CO91="","",IFERROR(CO91*HSI!$B$89*HSI!$G$89/HSI!$B$3,""))</f>
        <v/>
      </c>
      <c r="FD91" s="85">
        <f>IF(CP91="","",IFERROR(CP91*HSI!$B$89*HSI!$G$89/HSI!$B$3,""))</f>
        <v/>
      </c>
      <c r="FE91" s="85">
        <f>IF(CQ91="","",IFERROR(CQ91*HSI!$B$89*HSI!$G$89/HSI!$B$3,""))</f>
        <v/>
      </c>
      <c r="FF91" s="85">
        <f>IF(CR91="","",IFERROR(CR91*HSI!$B$89*HSI!$G$89/HSI!$B$3,""))</f>
        <v/>
      </c>
      <c r="FG91" s="85">
        <f>IF(CS91="","",IFERROR(CS91*HSI!$B$89*HSI!$G$89/HSI!$B$3,""))</f>
        <v/>
      </c>
      <c r="FH91" s="85">
        <f>IF(CT91="","",IFERROR(CT91*HSI!$B$89*HSI!$G$89/HSI!$B$3,""))</f>
        <v/>
      </c>
      <c r="FI91" s="85">
        <f>IF(CU91="","",IFERROR(CU91*HSI!$B$89*HSI!$G$89/HSI!$B$3,""))</f>
        <v/>
      </c>
      <c r="FJ91" s="85">
        <f>IF(CV91="","",IFERROR(CV91*HSI!$B$89*HSI!$G$89/HSI!$B$3,""))</f>
        <v/>
      </c>
      <c r="FK91" s="85">
        <f>IF(CW91="","",IFERROR(CW91*HSI!$B$89*HSI!$G$89/HSI!$B$3,""))</f>
        <v/>
      </c>
      <c r="FL91" s="85">
        <f>IF(CX91="","",IFERROR(CX91*HSI!$B$89*HSI!$G$89/HSI!$B$3,""))</f>
        <v/>
      </c>
      <c r="FM91" s="85">
        <f>IF(CY91="","",IFERROR(CY91*HSI!$B$89*HSI!$G$89/HSI!$B$3,""))</f>
        <v/>
      </c>
      <c r="FN91" s="85">
        <f>IF(CZ91="","",IFERROR(CZ91*HSI!$B$89*HSI!$G$89/HSI!$B$3,""))</f>
        <v/>
      </c>
      <c r="FO91" s="85">
        <f>IF(DA91="","",IFERROR(DA91*HSI!$B$89*HSI!$G$89/HSI!$B$3,""))</f>
        <v/>
      </c>
      <c r="FP91" s="85">
        <f>IF(DB91="","",IFERROR(DB91*HSI!$B$89*HSI!$G$89/HSI!$B$3,""))</f>
        <v/>
      </c>
      <c r="FQ91" s="85">
        <f>IF(DC91="","",IFERROR(DC91*HSI!$B$89*HSI!$G$89/HSI!$B$3,""))</f>
        <v/>
      </c>
      <c r="FR91" s="85">
        <f>IF(DD91="","",IFERROR(DD91*HSI!$B$89*HSI!$G$89/HSI!$B$3,""))</f>
        <v/>
      </c>
      <c r="FS91" s="85">
        <f>IF(DE91="","",IFERROR(DE91*HSI!$B$89*HSI!$G$89/HSI!$B$3,""))</f>
        <v/>
      </c>
      <c r="FT91" s="85">
        <f>IF(DF91="","",IFERROR(DF91*HSI!$B$89*HSI!$G$89/HSI!$B$3,""))</f>
        <v/>
      </c>
      <c r="FU91" s="85">
        <f>IF(DG91="","",IFERROR(DG91*HSI!$B$89*HSI!$G$89/HSI!$B$3,""))</f>
        <v/>
      </c>
      <c r="FV91" s="85">
        <f>IF(DH91="","",IFERROR(DH91*HSI!$B$89*HSI!$G$89/HSI!$B$3,""))</f>
        <v/>
      </c>
      <c r="FW91" s="85">
        <f>IF(DI91="","",IFERROR(DI91*HSI!$B$89*HSI!$G$89/HSI!$B$3,""))</f>
        <v/>
      </c>
      <c r="FX91" s="85">
        <f>IF(DJ91="","",IFERROR(DJ91*HSI!$B$89*HSI!$G$89/HSI!$B$3,""))</f>
        <v/>
      </c>
      <c r="FY91" s="85">
        <f>IF(DK91="","",IFERROR(DK91*HSI!$B$89*HSI!$G$89/HSI!$B$3,""))</f>
        <v/>
      </c>
      <c r="FZ91" s="85">
        <f>IF(DL91="","",IFERROR(DL91*HSI!$B$89*HSI!$G$89/HSI!$B$3,""))</f>
        <v/>
      </c>
      <c r="GA91" s="85">
        <f>IF(DM91="","",IFERROR(DM91*HSI!$B$89*HSI!$G$89/HSI!$B$3,""))</f>
        <v/>
      </c>
      <c r="GB91" s="85">
        <f>IF(DN91="","",IFERROR(DN91*HSI!$B$89*HSI!$G$89/HSI!$B$3,""))</f>
        <v/>
      </c>
      <c r="GC91" s="85">
        <f>IF(DO91="","",IFERROR(DO91*HSI!$B$89*HSI!$G$89/HSI!$B$3,""))</f>
        <v/>
      </c>
      <c r="GD91" s="85">
        <f>IF(DP91="","",IFERROR(DP91*HSI!$B$89*HSI!$G$89/HSI!$B$3,""))</f>
        <v/>
      </c>
      <c r="GE91" s="85">
        <f>IF(DQ91="","",IFERROR(DQ91*HSI!$B$89*HSI!$G$89/HSI!$B$3,""))</f>
        <v/>
      </c>
      <c r="GF91" s="85">
        <f>IF(DR91="","",IFERROR(DR91*HSI!$B$89*HSI!$G$89/HSI!$B$3,""))</f>
        <v/>
      </c>
      <c r="GG91" s="85">
        <f>IF(DS91="","",IFERROR(DS91*HSI!$B$89*HSI!$G$89/HSI!$B$3,""))</f>
        <v/>
      </c>
      <c r="GH91" s="85">
        <f>IF(DT91="","",IFERROR(DT91*HSI!$B$89*HSI!$G$89/HSI!$B$3,""))</f>
        <v/>
      </c>
      <c r="GI91" s="85">
        <f>IF(DU91="","",IFERROR(DU91*HSI!$B$89*HSI!$G$89/HSI!$B$3,""))</f>
        <v/>
      </c>
      <c r="GJ91" s="85">
        <f>IF(DV91="","",IFERROR(DV91*HSI!$B$89*HSI!$G$89/HSI!$B$3,""))</f>
        <v/>
      </c>
      <c r="GK91" s="85">
        <f>IF(DW91="","",IFERROR(DW91*HSI!$B$89*HSI!$G$89/HSI!$B$3,""))</f>
        <v/>
      </c>
      <c r="GL91" s="85">
        <f>IF(DX91="","",IFERROR(DX91*HSI!$B$89*HSI!$G$89/HSI!$B$3,""))</f>
        <v/>
      </c>
      <c r="GM91" s="85">
        <f>IF(DY91="","",IFERROR(DY91*HSI!$B$89*HSI!$G$89/HSI!$B$3,""))</f>
        <v/>
      </c>
      <c r="GN91" s="85">
        <f>IF(DZ91="","",IFERROR(DZ91*HSI!$B$89*HSI!$G$89/HSI!$B$3,""))</f>
        <v/>
      </c>
      <c r="GO91" s="85">
        <f>IF(EA91="","",IFERROR(EA91*HSI!$B$89*HSI!$G$89/HSI!$B$3,""))</f>
        <v/>
      </c>
      <c r="GP91" s="85">
        <f>IF(EB91="","",IFERROR(EB91*HSI!$B$89*HSI!$G$89/HSI!$B$3,""))</f>
        <v/>
      </c>
      <c r="GQ91" s="85">
        <f>IF(EC91="","",IFERROR(EC91*HSI!$B$89*HSI!$G$89/HSI!$B$3,""))</f>
        <v/>
      </c>
    </row>
    <row r="92">
      <c r="B92" s="2">
        <f>IF(HSI!$C$90="","",HSI!$C$90)</f>
        <v/>
      </c>
      <c r="C92" s="41">
        <f>IF(N('Dvd Calendar'!$E$1255)=0,"",IF(('Dvd Calendar'!$E$1255&gt;=MIN(DATE(Summary!$C$12,1,1),Summary!$C$11))*('Dvd Calendar'!$E$1255&lt;=MAX(DATE(Summary!$C$12,12,31),Summary!$C$15))*('Dvd Calendar'!$E$1255&lt;=Summary!$C$11)=0,"",'Dvd Calendar'!$E$1255*1000000000+ISNUMBER('Dvd Calendar'!$E$1256)*100000000+('Dvd Calendar'!$E$1260='Field Check'!$C$25)*10000000+(N('Dvd Calendar'!$E$1254)&gt;0)*1000000+84*1000+1))</f>
        <v/>
      </c>
      <c r="D92" s="41">
        <f>IF(N('Dvd Calendar'!$F$1255)=0,"",IF(('Dvd Calendar'!$F$1255&gt;=MIN(DATE(Summary!$C$12,1,1),Summary!$C$11))*('Dvd Calendar'!$F$1255&lt;=MAX(DATE(Summary!$C$12,12,31),Summary!$C$15))*('Dvd Calendar'!$F$1255&lt;=Summary!$C$11)=0,"",'Dvd Calendar'!$F$1255*1000000000+ISNUMBER('Dvd Calendar'!$F$1256)*100000000+('Dvd Calendar'!$F$1260='Field Check'!$C$25)*10000000+(N('Dvd Calendar'!$F$1254)&gt;0)*1000000+84*1000+2))</f>
        <v/>
      </c>
      <c r="E92" s="41">
        <f>IF(N('Dvd Calendar'!$G$1255)=0,"",IF(('Dvd Calendar'!$G$1255&gt;=MIN(DATE(Summary!$C$12,1,1),Summary!$C$11))*('Dvd Calendar'!$G$1255&lt;=MAX(DATE(Summary!$C$12,12,31),Summary!$C$15))*('Dvd Calendar'!$G$1255&lt;=Summary!$C$11)=0,"",'Dvd Calendar'!$G$1255*1000000000+ISNUMBER('Dvd Calendar'!$G$1256)*100000000+('Dvd Calendar'!$G$1260='Field Check'!$C$25)*10000000+(N('Dvd Calendar'!$G$1254)&gt;0)*1000000+84*1000+3))</f>
        <v/>
      </c>
      <c r="F92" s="41">
        <f>IF(N('Dvd Calendar'!$H$1255)=0,"",IF(('Dvd Calendar'!$H$1255&gt;=MIN(DATE(Summary!$C$12,1,1),Summary!$C$11))*('Dvd Calendar'!$H$1255&lt;=MAX(DATE(Summary!$C$12,12,31),Summary!$C$15))*('Dvd Calendar'!$H$1255&lt;=Summary!$C$11)=0,"",'Dvd Calendar'!$H$1255*1000000000+ISNUMBER('Dvd Calendar'!$H$1256)*100000000+('Dvd Calendar'!$H$1260='Field Check'!$C$25)*10000000+(N('Dvd Calendar'!$H$1254)&gt;0)*1000000+84*1000+4))</f>
        <v/>
      </c>
      <c r="G92" s="41">
        <f>IF(N('Dvd Calendar'!$I$1255)=0,"",IF(('Dvd Calendar'!$I$1255&gt;=MIN(DATE(Summary!$C$12,1,1),Summary!$C$11))*('Dvd Calendar'!$I$1255&lt;=MAX(DATE(Summary!$C$12,12,31),Summary!$C$15))*('Dvd Calendar'!$I$1255&lt;=Summary!$C$11)=0,"",'Dvd Calendar'!$I$1255*1000000000+ISNUMBER('Dvd Calendar'!$I$1256)*100000000+('Dvd Calendar'!$I$1260='Field Check'!$C$25)*10000000+(N('Dvd Calendar'!$I$1254)&gt;0)*1000000+84*1000+5))</f>
        <v/>
      </c>
      <c r="H92" s="41">
        <f>IF(N('Dvd Calendar'!$J$1255)=0,"",IF(('Dvd Calendar'!$J$1255&gt;=MIN(DATE(Summary!$C$12,1,1),Summary!$C$11))*('Dvd Calendar'!$J$1255&lt;=MAX(DATE(Summary!$C$12,12,31),Summary!$C$15))*('Dvd Calendar'!$J$1255&lt;=Summary!$C$11)=0,"",'Dvd Calendar'!$J$1255*1000000000+ISNUMBER('Dvd Calendar'!$J$1256)*100000000+('Dvd Calendar'!$J$1260='Field Check'!$C$25)*10000000+(N('Dvd Calendar'!$J$1254)&gt;0)*1000000+84*1000+6))</f>
        <v/>
      </c>
      <c r="I92" s="41">
        <f>IF(N('Dvd Calendar'!$K$1255)=0,"",IF(('Dvd Calendar'!$K$1255&gt;=MIN(DATE(Summary!$C$12,1,1),Summary!$C$11))*('Dvd Calendar'!$K$1255&lt;=MAX(DATE(Summary!$C$12,12,31),Summary!$C$15))*('Dvd Calendar'!$K$1255&lt;=Summary!$C$11)=0,"",'Dvd Calendar'!$K$1255*1000000000+ISNUMBER('Dvd Calendar'!$K$1256)*100000000+('Dvd Calendar'!$K$1260='Field Check'!$C$25)*10000000+(N('Dvd Calendar'!$K$1254)&gt;0)*1000000+84*1000+7))</f>
        <v/>
      </c>
      <c r="J92" s="41">
        <f>IF(N('Dvd Calendar'!$L$1255)=0,"",IF(('Dvd Calendar'!$L$1255&gt;=MIN(DATE(Summary!$C$12,1,1),Summary!$C$11))*('Dvd Calendar'!$L$1255&lt;=MAX(DATE(Summary!$C$12,12,31),Summary!$C$15))*('Dvd Calendar'!$L$1255&lt;=Summary!$C$11)=0,"",'Dvd Calendar'!$L$1255*1000000000+ISNUMBER('Dvd Calendar'!$L$1256)*100000000+('Dvd Calendar'!$L$1260='Field Check'!$C$25)*10000000+(N('Dvd Calendar'!$L$1254)&gt;0)*1000000+84*1000+8))</f>
        <v/>
      </c>
      <c r="K92" s="41">
        <f>IF(N('Dvd Calendar'!$M$1255)=0,"",IF(('Dvd Calendar'!$M$1255&gt;=MIN(DATE(Summary!$C$12,1,1),Summary!$C$11))*('Dvd Calendar'!$M$1255&lt;=MAX(DATE(Summary!$C$12,12,31),Summary!$C$15))*('Dvd Calendar'!$M$1255&lt;=Summary!$C$11)=0,"",'Dvd Calendar'!$M$1255*1000000000+ISNUMBER('Dvd Calendar'!$M$1256)*100000000+('Dvd Calendar'!$M$1260='Field Check'!$C$25)*10000000+(N('Dvd Calendar'!$M$1254)&gt;0)*1000000+84*1000+9))</f>
        <v/>
      </c>
      <c r="L92" s="41">
        <f>IF(N('Dvd Calendar'!$N$1255)=0,"",IF(('Dvd Calendar'!$N$1255&gt;=MIN(DATE(Summary!$C$12,1,1),Summary!$C$11))*('Dvd Calendar'!$N$1255&lt;=MAX(DATE(Summary!$C$12,12,31),Summary!$C$15))*('Dvd Calendar'!$N$1255&lt;=Summary!$C$11)=0,"",'Dvd Calendar'!$N$1255*1000000000+ISNUMBER('Dvd Calendar'!$N$1256)*100000000+('Dvd Calendar'!$N$1260='Field Check'!$C$25)*10000000+(N('Dvd Calendar'!$N$1254)&gt;0)*1000000+84*1000+10))</f>
        <v/>
      </c>
      <c r="M92" s="41">
        <f>IF(N('Dvd Calendar'!$O$1255)=0,"",IF(('Dvd Calendar'!$O$1255&gt;=MIN(DATE(Summary!$C$12,1,1),Summary!$C$11))*('Dvd Calendar'!$O$1255&lt;=MAX(DATE(Summary!$C$12,12,31),Summary!$C$15))*('Dvd Calendar'!$O$1255&lt;=Summary!$C$11)=0,"",'Dvd Calendar'!$O$1255*1000000000+ISNUMBER('Dvd Calendar'!$O$1256)*100000000+('Dvd Calendar'!$O$1260='Field Check'!$C$25)*10000000+(N('Dvd Calendar'!$O$1254)&gt;0)*1000000+84*1000+11))</f>
        <v/>
      </c>
      <c r="N92" s="41">
        <f>IF(N('Dvd Calendar'!$P$1255)=0,"",IF(('Dvd Calendar'!$P$1255&gt;=MIN(DATE(Summary!$C$12,1,1),Summary!$C$11))*('Dvd Calendar'!$P$1255&lt;=MAX(DATE(Summary!$C$12,12,31),Summary!$C$15))*('Dvd Calendar'!$P$1255&lt;=Summary!$C$11)=0,"",'Dvd Calendar'!$P$1255*1000000000+ISNUMBER('Dvd Calendar'!$P$1256)*100000000+('Dvd Calendar'!$P$1260='Field Check'!$C$25)*10000000+(N('Dvd Calendar'!$P$1254)&gt;0)*1000000+84*1000+12))</f>
        <v/>
      </c>
      <c r="O92" s="41">
        <f>IF(N('Dvd Calendar'!$Q$1255)=0,"",IF(('Dvd Calendar'!$Q$1255&gt;=MIN(DATE(Summary!$C$12,1,1),Summary!$C$11))*('Dvd Calendar'!$Q$1255&lt;=MAX(DATE(Summary!$C$12,12,31),Summary!$C$15))*('Dvd Calendar'!$Q$1255&lt;=Summary!$C$11)=0,"",'Dvd Calendar'!$Q$1255*1000000000+ISNUMBER('Dvd Calendar'!$Q$1256)*100000000+('Dvd Calendar'!$Q$1260='Field Check'!$C$25)*10000000+(N('Dvd Calendar'!$Q$1254)&gt;0)*1000000+84*1000+13))</f>
        <v/>
      </c>
      <c r="P92" s="41">
        <f>IF(N('Dvd Calendar'!$R$1255)=0,"",IF(('Dvd Calendar'!$R$1255&gt;=MIN(DATE(Summary!$C$12,1,1),Summary!$C$11))*('Dvd Calendar'!$R$1255&lt;=MAX(DATE(Summary!$C$12,12,31),Summary!$C$15))*('Dvd Calendar'!$R$1255&lt;=Summary!$C$11)=0,"",'Dvd Calendar'!$R$1255*1000000000+ISNUMBER('Dvd Calendar'!$R$1256)*100000000+('Dvd Calendar'!$R$1260='Field Check'!$C$25)*10000000+(N('Dvd Calendar'!$R$1254)&gt;0)*1000000+84*1000+14))</f>
        <v/>
      </c>
      <c r="Q92" s="41">
        <f>IF(N('Dvd Calendar'!$S$1255)=0,"",IF(('Dvd Calendar'!$S$1255&gt;=MIN(DATE(Summary!$C$12,1,1),Summary!$C$11))*('Dvd Calendar'!$S$1255&lt;=MAX(DATE(Summary!$C$12,12,31),Summary!$C$15))*('Dvd Calendar'!$S$1255&lt;=Summary!$C$11)=0,"",'Dvd Calendar'!$S$1255*1000000000+ISNUMBER('Dvd Calendar'!$S$1256)*100000000+('Dvd Calendar'!$S$1260='Field Check'!$C$25)*10000000+(N('Dvd Calendar'!$S$1254)&gt;0)*1000000+84*1000+15))</f>
        <v/>
      </c>
      <c r="R92" s="41">
        <f>IF(N('Dvd Calendar'!$T$1255)=0,"",IF(('Dvd Calendar'!$T$1255&gt;=MIN(DATE(Summary!$C$12,1,1),Summary!$C$11))*('Dvd Calendar'!$T$1255&lt;=MAX(DATE(Summary!$C$12,12,31),Summary!$C$15))*('Dvd Calendar'!$T$1255&lt;=Summary!$C$11)=0,"",'Dvd Calendar'!$T$1255*1000000000+ISNUMBER('Dvd Calendar'!$T$1256)*100000000+('Dvd Calendar'!$T$1260='Field Check'!$C$25)*10000000+(N('Dvd Calendar'!$T$1254)&gt;0)*1000000+84*1000+16))</f>
        <v/>
      </c>
      <c r="S92" s="41">
        <f>IF(N('Dvd Calendar'!$U$1255)=0,"",IF(('Dvd Calendar'!$U$1255&gt;=MIN(DATE(Summary!$C$12,1,1),Summary!$C$11))*('Dvd Calendar'!$U$1255&lt;=MAX(DATE(Summary!$C$12,12,31),Summary!$C$15))*('Dvd Calendar'!$U$1255&lt;=Summary!$C$11)=0,"",'Dvd Calendar'!$U$1255*1000000000+ISNUMBER('Dvd Calendar'!$U$1256)*100000000+('Dvd Calendar'!$U$1260='Field Check'!$C$25)*10000000+(N('Dvd Calendar'!$U$1254)&gt;0)*1000000+84*1000+17))</f>
        <v/>
      </c>
      <c r="T92" s="41">
        <f>IF(N('Dvd Calendar'!$V$1255)=0,"",IF(('Dvd Calendar'!$V$1255&gt;=MIN(DATE(Summary!$C$12,1,1),Summary!$C$11))*('Dvd Calendar'!$V$1255&lt;=MAX(DATE(Summary!$C$12,12,31),Summary!$C$15))*('Dvd Calendar'!$V$1255&lt;=Summary!$C$11)=0,"",'Dvd Calendar'!$V$1255*1000000000+ISNUMBER('Dvd Calendar'!$V$1256)*100000000+('Dvd Calendar'!$V$1260='Field Check'!$C$25)*10000000+(N('Dvd Calendar'!$V$1254)&gt;0)*1000000+84*1000+18))</f>
        <v/>
      </c>
      <c r="U92" s="41">
        <f>IF(N('Dvd Calendar'!$W$1255)=0,"",IF(('Dvd Calendar'!$W$1255&gt;=MIN(DATE(Summary!$C$12,1,1),Summary!$C$11))*('Dvd Calendar'!$W$1255&lt;=MAX(DATE(Summary!$C$12,12,31),Summary!$C$15))*('Dvd Calendar'!$W$1255&lt;=Summary!$C$11)=0,"",'Dvd Calendar'!$W$1255*1000000000+ISNUMBER('Dvd Calendar'!$W$1256)*100000000+('Dvd Calendar'!$W$1260='Field Check'!$C$25)*10000000+(N('Dvd Calendar'!$W$1254)&gt;0)*1000000+84*1000+19))</f>
        <v/>
      </c>
      <c r="V92" s="41">
        <f>IF(N('Dvd Calendar'!$X$1255)=0,"",IF(('Dvd Calendar'!$X$1255&gt;=MIN(DATE(Summary!$C$12,1,1),Summary!$C$11))*('Dvd Calendar'!$X$1255&lt;=MAX(DATE(Summary!$C$12,12,31),Summary!$C$15))*('Dvd Calendar'!$X$1255&lt;=Summary!$C$11)=0,"",'Dvd Calendar'!$X$1255*1000000000+ISNUMBER('Dvd Calendar'!$X$1256)*100000000+('Dvd Calendar'!$X$1260='Field Check'!$C$25)*10000000+(N('Dvd Calendar'!$X$1254)&gt;0)*1000000+84*1000+20))</f>
        <v/>
      </c>
      <c r="W92" s="41">
        <f>IF(N('Dvd Calendar'!$Y$1255)=0,"",IF(('Dvd Calendar'!$Y$1255&gt;=MIN(DATE(Summary!$C$12,1,1),Summary!$C$11))*('Dvd Calendar'!$Y$1255&lt;=MAX(DATE(Summary!$C$12,12,31),Summary!$C$15))*('Dvd Calendar'!$Y$1255&lt;=Summary!$C$11)=0,"",'Dvd Calendar'!$Y$1255*1000000000+ISNUMBER('Dvd Calendar'!$Y$1256)*100000000+('Dvd Calendar'!$Y$1260='Field Check'!$C$25)*10000000+(N('Dvd Calendar'!$Y$1254)&gt;0)*1000000+84*1000+21))</f>
        <v/>
      </c>
      <c r="X92" s="41">
        <f>IF(N('Dvd Calendar'!$Z$1255)=0,"",IF(('Dvd Calendar'!$Z$1255&gt;=MIN(DATE(Summary!$C$12,1,1),Summary!$C$11))*('Dvd Calendar'!$Z$1255&lt;=MAX(DATE(Summary!$C$12,12,31),Summary!$C$15))*('Dvd Calendar'!$Z$1255&lt;=Summary!$C$11)=0,"",'Dvd Calendar'!$Z$1255*1000000000+ISNUMBER('Dvd Calendar'!$Z$1256)*100000000+('Dvd Calendar'!$Z$1260='Field Check'!$C$25)*10000000+(N('Dvd Calendar'!$Z$1254)&gt;0)*1000000+84*1000+22))</f>
        <v/>
      </c>
      <c r="Y92" s="41">
        <f>IF(N('Dvd Calendar'!$AA$1255)=0,"",IF(('Dvd Calendar'!$AA$1255&gt;=MIN(DATE(Summary!$C$12,1,1),Summary!$C$11))*('Dvd Calendar'!$AA$1255&lt;=MAX(DATE(Summary!$C$12,12,31),Summary!$C$15))*('Dvd Calendar'!$AA$1255&lt;=Summary!$C$11)=0,"",'Dvd Calendar'!$AA$1255*1000000000+ISNUMBER('Dvd Calendar'!$AA$1256)*100000000+('Dvd Calendar'!$AA$1260='Field Check'!$C$25)*10000000+(N('Dvd Calendar'!$AA$1254)&gt;0)*1000000+84*1000+23))</f>
        <v/>
      </c>
      <c r="Z92" s="41">
        <f>IF(N('Dvd Calendar'!$AB$1255)=0,"",IF(('Dvd Calendar'!$AB$1255&gt;=MIN(DATE(Summary!$C$12,1,1),Summary!$C$11))*('Dvd Calendar'!$AB$1255&lt;=MAX(DATE(Summary!$C$12,12,31),Summary!$C$15))*('Dvd Calendar'!$AB$1255&lt;=Summary!$C$11)=0,"",'Dvd Calendar'!$AB$1255*1000000000+ISNUMBER('Dvd Calendar'!$AB$1256)*100000000+('Dvd Calendar'!$AB$1260='Field Check'!$C$25)*10000000+(N('Dvd Calendar'!$AB$1254)&gt;0)*1000000+84*1000+24))</f>
        <v/>
      </c>
      <c r="AA92" s="41">
        <f>IF(N('Dvd Calendar'!$AC$1255)=0,"",IF(('Dvd Calendar'!$AC$1255&gt;=MIN(DATE(Summary!$C$12,1,1),Summary!$C$11))*('Dvd Calendar'!$AC$1255&lt;=MAX(DATE(Summary!$C$12,12,31),Summary!$C$15))*('Dvd Calendar'!$AC$1255&lt;=Summary!$C$11)=0,"",'Dvd Calendar'!$AC$1255*1000000000+ISNUMBER('Dvd Calendar'!$AC$1256)*100000000+('Dvd Calendar'!$AC$1260='Field Check'!$C$25)*10000000+(N('Dvd Calendar'!$AC$1254)&gt;0)*1000000+84*1000+25))</f>
        <v/>
      </c>
      <c r="AB92" s="41">
        <f>IF(N('Dvd Calendar'!$AD$1255)=0,"",IF(('Dvd Calendar'!$AD$1255&gt;=MIN(DATE(Summary!$C$12,1,1),Summary!$C$11))*('Dvd Calendar'!$AD$1255&lt;=MAX(DATE(Summary!$C$12,12,31),Summary!$C$15))*('Dvd Calendar'!$AD$1255&lt;=Summary!$C$11)=0,"",'Dvd Calendar'!$AD$1255*1000000000+ISNUMBER('Dvd Calendar'!$AD$1256)*100000000+('Dvd Calendar'!$AD$1260='Field Check'!$C$25)*10000000+(N('Dvd Calendar'!$AD$1254)&gt;0)*1000000+84*1000+26))</f>
        <v/>
      </c>
      <c r="AC92" s="41">
        <f>IF(N('Dvd Calendar'!$AE$1255)=0,"",IF(('Dvd Calendar'!$AE$1255&gt;=MIN(DATE(Summary!$C$12,1,1),Summary!$C$11))*('Dvd Calendar'!$AE$1255&lt;=MAX(DATE(Summary!$C$12,12,31),Summary!$C$15))*('Dvd Calendar'!$AE$1255&lt;=Summary!$C$11)=0,"",'Dvd Calendar'!$AE$1255*1000000000+ISNUMBER('Dvd Calendar'!$AE$1256)*100000000+('Dvd Calendar'!$AE$1260='Field Check'!$C$25)*10000000+(N('Dvd Calendar'!$AE$1254)&gt;0)*1000000+84*1000+27))</f>
        <v/>
      </c>
      <c r="AD92" s="41">
        <f>IF(N('Dvd Calendar'!$AF$1255)=0,"",IF(('Dvd Calendar'!$AF$1255&gt;=MIN(DATE(Summary!$C$12,1,1),Summary!$C$11))*('Dvd Calendar'!$AF$1255&lt;=MAX(DATE(Summary!$C$12,12,31),Summary!$C$15))*('Dvd Calendar'!$AF$1255&lt;=Summary!$C$11)=0,"",'Dvd Calendar'!$AF$1255*1000000000+ISNUMBER('Dvd Calendar'!$AF$1256)*100000000+('Dvd Calendar'!$AF$1260='Field Check'!$C$25)*10000000+(N('Dvd Calendar'!$AF$1254)&gt;0)*1000000+84*1000+28))</f>
        <v/>
      </c>
      <c r="AE92" s="41">
        <f>IF(N('Dvd Calendar'!$AG$1255)=0,"",IF(('Dvd Calendar'!$AG$1255&gt;=MIN(DATE(Summary!$C$12,1,1),Summary!$C$11))*('Dvd Calendar'!$AG$1255&lt;=MAX(DATE(Summary!$C$12,12,31),Summary!$C$15))*('Dvd Calendar'!$AG$1255&lt;=Summary!$C$11)=0,"",'Dvd Calendar'!$AG$1255*1000000000+ISNUMBER('Dvd Calendar'!$AG$1256)*100000000+('Dvd Calendar'!$AG$1260='Field Check'!$C$25)*10000000+(N('Dvd Calendar'!$AG$1254)&gt;0)*1000000+84*1000+29))</f>
        <v/>
      </c>
      <c r="AF92" s="41">
        <f>IF(N('Dvd Calendar'!$AH$1255)=0,"",IF(('Dvd Calendar'!$AH$1255&gt;=MIN(DATE(Summary!$C$12,1,1),Summary!$C$11))*('Dvd Calendar'!$AH$1255&lt;=MAX(DATE(Summary!$C$12,12,31),Summary!$C$15))*('Dvd Calendar'!$AH$1255&lt;=Summary!$C$11)=0,"",'Dvd Calendar'!$AH$1255*1000000000+ISNUMBER('Dvd Calendar'!$AH$1256)*100000000+('Dvd Calendar'!$AH$1260='Field Check'!$C$25)*10000000+(N('Dvd Calendar'!$AH$1254)&gt;0)*1000000+84*1000+30))</f>
        <v/>
      </c>
      <c r="AG92" s="41">
        <f>IF(N('Dvd Calendar'!$AI$1255)=0,"",IF(('Dvd Calendar'!$AI$1255&gt;=MIN(DATE(Summary!$C$12,1,1),Summary!$C$11))*('Dvd Calendar'!$AI$1255&lt;=MAX(DATE(Summary!$C$12,12,31),Summary!$C$15))*('Dvd Calendar'!$AI$1255&lt;=Summary!$C$11)=0,"",'Dvd Calendar'!$AI$1255*1000000000+ISNUMBER('Dvd Calendar'!$AI$1256)*100000000+('Dvd Calendar'!$AI$1260='Field Check'!$C$25)*10000000+(N('Dvd Calendar'!$AI$1254)&gt;0)*1000000+84*1000+31))</f>
        <v/>
      </c>
      <c r="AH92" s="41">
        <f>IF(N('Dvd Calendar'!$AJ$1255)=0,"",IF(('Dvd Calendar'!$AJ$1255&gt;=MIN(DATE(Summary!$C$12,1,1),Summary!$C$11))*('Dvd Calendar'!$AJ$1255&lt;=MAX(DATE(Summary!$C$12,12,31),Summary!$C$15))*('Dvd Calendar'!$AJ$1255&lt;=Summary!$C$11)=0,"",'Dvd Calendar'!$AJ$1255*1000000000+ISNUMBER('Dvd Calendar'!$AJ$1256)*100000000+('Dvd Calendar'!$AJ$1260='Field Check'!$C$25)*10000000+(N('Dvd Calendar'!$AJ$1254)&gt;0)*1000000+84*1000+32))</f>
        <v/>
      </c>
      <c r="AI92" s="41">
        <f>IF(N('Dvd Calendar'!$AK$1255)=0,"",IF(('Dvd Calendar'!$AK$1255&gt;=MIN(DATE(Summary!$C$12,1,1),Summary!$C$11))*('Dvd Calendar'!$AK$1255&lt;=MAX(DATE(Summary!$C$12,12,31),Summary!$C$15))*('Dvd Calendar'!$AK$1255&lt;=Summary!$C$11)=0,"",'Dvd Calendar'!$AK$1255*1000000000+ISNUMBER('Dvd Calendar'!$AK$1256)*100000000+('Dvd Calendar'!$AK$1260='Field Check'!$C$25)*10000000+(N('Dvd Calendar'!$AK$1254)&gt;0)*1000000+84*1000+33))</f>
        <v/>
      </c>
      <c r="AJ92" s="41">
        <f>IF(N('Dvd Calendar'!$AL$1255)=0,"",IF(('Dvd Calendar'!$AL$1255&gt;=MIN(DATE(Summary!$C$12,1,1),Summary!$C$11))*('Dvd Calendar'!$AL$1255&lt;=MAX(DATE(Summary!$C$12,12,31),Summary!$C$15))*('Dvd Calendar'!$AL$1255&lt;=Summary!$C$11)=0,"",'Dvd Calendar'!$AL$1255*1000000000+ISNUMBER('Dvd Calendar'!$AL$1256)*100000000+('Dvd Calendar'!$AL$1260='Field Check'!$C$25)*10000000+(N('Dvd Calendar'!$AL$1254)&gt;0)*1000000+84*1000+34))</f>
        <v/>
      </c>
      <c r="AK92" s="41">
        <f>IF(N('Dvd Calendar'!$AM$1255)=0,"",IF(('Dvd Calendar'!$AM$1255&gt;=MIN(DATE(Summary!$C$12,1,1),Summary!$C$11))*('Dvd Calendar'!$AM$1255&lt;=MAX(DATE(Summary!$C$12,12,31),Summary!$C$15))*('Dvd Calendar'!$AM$1255&lt;=Summary!$C$11)=0,"",'Dvd Calendar'!$AM$1255*1000000000+ISNUMBER('Dvd Calendar'!$AM$1256)*100000000+('Dvd Calendar'!$AM$1260='Field Check'!$C$25)*10000000+(N('Dvd Calendar'!$AM$1254)&gt;0)*1000000+84*1000+35))</f>
        <v/>
      </c>
      <c r="AL92" s="41">
        <f>IF(N('Dvd Calendar'!$AN$1255)=0,"",IF(('Dvd Calendar'!$AN$1255&gt;=MIN(DATE(Summary!$C$12,1,1),Summary!$C$11))*('Dvd Calendar'!$AN$1255&lt;=MAX(DATE(Summary!$C$12,12,31),Summary!$C$15))*('Dvd Calendar'!$AN$1255&lt;=Summary!$C$11)=0,"",'Dvd Calendar'!$AN$1255*1000000000+ISNUMBER('Dvd Calendar'!$AN$1256)*100000000+('Dvd Calendar'!$AN$1260='Field Check'!$C$25)*10000000+(N('Dvd Calendar'!$AN$1254)&gt;0)*1000000+84*1000+36))</f>
        <v/>
      </c>
      <c r="AM92" s="41">
        <f>IF(N('Dvd Calendar'!$AO$1255)=0,"",IF(('Dvd Calendar'!$AO$1255&gt;=MIN(DATE(Summary!$C$12,1,1),Summary!$C$11))*('Dvd Calendar'!$AO$1255&lt;=MAX(DATE(Summary!$C$12,12,31),Summary!$C$15))*('Dvd Calendar'!$AO$1255&lt;=Summary!$C$11)=0,"",'Dvd Calendar'!$AO$1255*1000000000+ISNUMBER('Dvd Calendar'!$AO$1256)*100000000+('Dvd Calendar'!$AO$1260='Field Check'!$C$25)*10000000+(N('Dvd Calendar'!$AO$1254)&gt;0)*1000000+84*1000+37))</f>
        <v/>
      </c>
      <c r="AN92" s="41">
        <f>IF(N('Dvd Calendar'!$AP$1255)=0,"",IF(('Dvd Calendar'!$AP$1255&gt;=MIN(DATE(Summary!$C$12,1,1),Summary!$C$11))*('Dvd Calendar'!$AP$1255&lt;=MAX(DATE(Summary!$C$12,12,31),Summary!$C$15))*('Dvd Calendar'!$AP$1255&lt;=Summary!$C$11)=0,"",'Dvd Calendar'!$AP$1255*1000000000+ISNUMBER('Dvd Calendar'!$AP$1256)*100000000+('Dvd Calendar'!$AP$1260='Field Check'!$C$25)*10000000+(N('Dvd Calendar'!$AP$1254)&gt;0)*1000000+84*1000+38))</f>
        <v/>
      </c>
      <c r="AO92" s="41">
        <f>IF(N('Dvd Calendar'!$AQ$1255)=0,"",IF(('Dvd Calendar'!$AQ$1255&gt;=MIN(DATE(Summary!$C$12,1,1),Summary!$C$11))*('Dvd Calendar'!$AQ$1255&lt;=MAX(DATE(Summary!$C$12,12,31),Summary!$C$15))*('Dvd Calendar'!$AQ$1255&lt;=Summary!$C$11)=0,"",'Dvd Calendar'!$AQ$1255*1000000000+ISNUMBER('Dvd Calendar'!$AQ$1256)*100000000+('Dvd Calendar'!$AQ$1260='Field Check'!$C$25)*10000000+(N('Dvd Calendar'!$AQ$1254)&gt;0)*1000000+84*1000+39))</f>
        <v/>
      </c>
      <c r="AP92" s="41">
        <f>IF(N('Dvd Calendar'!$AR$1255)=0,"",IF(('Dvd Calendar'!$AR$1255&gt;=MIN(DATE(Summary!$C$12,1,1),Summary!$C$11))*('Dvd Calendar'!$AR$1255&lt;=MAX(DATE(Summary!$C$12,12,31),Summary!$C$15))*('Dvd Calendar'!$AR$1255&lt;=Summary!$C$11)=0,"",'Dvd Calendar'!$AR$1255*1000000000+ISNUMBER('Dvd Calendar'!$AR$1256)*100000000+('Dvd Calendar'!$AR$1260='Field Check'!$C$25)*10000000+(N('Dvd Calendar'!$AR$1254)&gt;0)*1000000+84*1000+40))</f>
        <v/>
      </c>
      <c r="AQ92" s="41">
        <f>IF(N('Dvd Calendar'!$E$1262)=0,"",IF(('Dvd Calendar'!$E$1262&gt;=MIN(DATE(Summary!$C$12,1,1),Summary!$C$11))*('Dvd Calendar'!$E$1262&lt;=MAX(DATE(Summary!$C$12,12,31),Summary!$C$15))*('Dvd Calendar'!$E$1262&gt;Summary!$C$11)=0,"",'Dvd Calendar'!$E$1262*1000000000+ISNUMBER('Dvd Calendar'!$E$1263)*100000000+('Dvd Calendar'!$E$1267='Field Check'!$C$25)*10000000+(N('Dvd Calendar'!$E$1261)&gt;0)*1000000+84*1000+41))</f>
        <v/>
      </c>
      <c r="AR92" s="41">
        <f>IF(N('Dvd Calendar'!$F$1262)=0,"",IF(('Dvd Calendar'!$F$1262&gt;=MIN(DATE(Summary!$C$12,1,1),Summary!$C$11))*('Dvd Calendar'!$F$1262&lt;=MAX(DATE(Summary!$C$12,12,31),Summary!$C$15))*('Dvd Calendar'!$F$1262&gt;Summary!$C$11)=0,"",'Dvd Calendar'!$F$1262*1000000000+ISNUMBER('Dvd Calendar'!$F$1263)*100000000+('Dvd Calendar'!$F$1267='Field Check'!$C$25)*10000000+(N('Dvd Calendar'!$F$1261)&gt;0)*1000000+84*1000+42))</f>
        <v/>
      </c>
      <c r="AS92" s="41">
        <f>IF(N('Dvd Calendar'!$G$1262)=0,"",IF(('Dvd Calendar'!$G$1262&gt;=MIN(DATE(Summary!$C$12,1,1),Summary!$C$11))*('Dvd Calendar'!$G$1262&lt;=MAX(DATE(Summary!$C$12,12,31),Summary!$C$15))*('Dvd Calendar'!$G$1262&gt;Summary!$C$11)=0,"",'Dvd Calendar'!$G$1262*1000000000+ISNUMBER('Dvd Calendar'!$G$1263)*100000000+('Dvd Calendar'!$G$1267='Field Check'!$C$25)*10000000+(N('Dvd Calendar'!$G$1261)&gt;0)*1000000+84*1000+43))</f>
        <v/>
      </c>
      <c r="AT92" s="41">
        <f>IF(N('Dvd Calendar'!$H$1262)=0,"",IF(('Dvd Calendar'!$H$1262&gt;=MIN(DATE(Summary!$C$12,1,1),Summary!$C$11))*('Dvd Calendar'!$H$1262&lt;=MAX(DATE(Summary!$C$12,12,31),Summary!$C$15))*('Dvd Calendar'!$H$1262&gt;Summary!$C$11)=0,"",'Dvd Calendar'!$H$1262*1000000000+ISNUMBER('Dvd Calendar'!$H$1263)*100000000+('Dvd Calendar'!$H$1267='Field Check'!$C$25)*10000000+(N('Dvd Calendar'!$H$1261)&gt;0)*1000000+84*1000+44))</f>
        <v/>
      </c>
      <c r="AU92" s="41">
        <f>IF(N('Dvd Calendar'!$I$1262)=0,"",IF(('Dvd Calendar'!$I$1262&gt;=MIN(DATE(Summary!$C$12,1,1),Summary!$C$11))*('Dvd Calendar'!$I$1262&lt;=MAX(DATE(Summary!$C$12,12,31),Summary!$C$15))*('Dvd Calendar'!$I$1262&gt;Summary!$C$11)=0,"",'Dvd Calendar'!$I$1262*1000000000+ISNUMBER('Dvd Calendar'!$I$1263)*100000000+('Dvd Calendar'!$I$1267='Field Check'!$C$25)*10000000+(N('Dvd Calendar'!$I$1261)&gt;0)*1000000+84*1000+45))</f>
        <v/>
      </c>
      <c r="AV92" s="41">
        <f>IF(N('Dvd Calendar'!$J$1262)=0,"",IF(('Dvd Calendar'!$J$1262&gt;=MIN(DATE(Summary!$C$12,1,1),Summary!$C$11))*('Dvd Calendar'!$J$1262&lt;=MAX(DATE(Summary!$C$12,12,31),Summary!$C$15))*('Dvd Calendar'!$J$1262&gt;Summary!$C$11)=0,"",'Dvd Calendar'!$J$1262*1000000000+ISNUMBER('Dvd Calendar'!$J$1263)*100000000+('Dvd Calendar'!$J$1267='Field Check'!$C$25)*10000000+(N('Dvd Calendar'!$J$1261)&gt;0)*1000000+84*1000+46))</f>
        <v/>
      </c>
      <c r="AW92" s="41">
        <f>IF(N('Dvd Calendar'!$K$1262)=0,"",IF(('Dvd Calendar'!$K$1262&gt;=MIN(DATE(Summary!$C$12,1,1),Summary!$C$11))*('Dvd Calendar'!$K$1262&lt;=MAX(DATE(Summary!$C$12,12,31),Summary!$C$15))*('Dvd Calendar'!$K$1262&gt;Summary!$C$11)=0,"",'Dvd Calendar'!$K$1262*1000000000+ISNUMBER('Dvd Calendar'!$K$1263)*100000000+('Dvd Calendar'!$K$1267='Field Check'!$C$25)*10000000+(N('Dvd Calendar'!$K$1261)&gt;0)*1000000+84*1000+47))</f>
        <v/>
      </c>
      <c r="AX92" s="41">
        <f>IF(N('Dvd Calendar'!$L$1262)=0,"",IF(('Dvd Calendar'!$L$1262&gt;=MIN(DATE(Summary!$C$12,1,1),Summary!$C$11))*('Dvd Calendar'!$L$1262&lt;=MAX(DATE(Summary!$C$12,12,31),Summary!$C$15))*('Dvd Calendar'!$L$1262&gt;Summary!$C$11)=0,"",'Dvd Calendar'!$L$1262*1000000000+ISNUMBER('Dvd Calendar'!$L$1263)*100000000+('Dvd Calendar'!$L$1267='Field Check'!$C$25)*10000000+(N('Dvd Calendar'!$L$1261)&gt;0)*1000000+84*1000+48))</f>
        <v/>
      </c>
      <c r="AY92" s="41">
        <f>IF(N('Dvd Calendar'!$M$1262)=0,"",IF(('Dvd Calendar'!$M$1262&gt;=MIN(DATE(Summary!$C$12,1,1),Summary!$C$11))*('Dvd Calendar'!$M$1262&lt;=MAX(DATE(Summary!$C$12,12,31),Summary!$C$15))*('Dvd Calendar'!$M$1262&gt;Summary!$C$11)=0,"",'Dvd Calendar'!$M$1262*1000000000+ISNUMBER('Dvd Calendar'!$M$1263)*100000000+('Dvd Calendar'!$M$1267='Field Check'!$C$25)*10000000+(N('Dvd Calendar'!$M$1261)&gt;0)*1000000+84*1000+49))</f>
        <v/>
      </c>
      <c r="AZ92" s="41">
        <f>IF(N('Dvd Calendar'!$N$1262)=0,"",IF(('Dvd Calendar'!$N$1262&gt;=MIN(DATE(Summary!$C$12,1,1),Summary!$C$11))*('Dvd Calendar'!$N$1262&lt;=MAX(DATE(Summary!$C$12,12,31),Summary!$C$15))*('Dvd Calendar'!$N$1262&gt;Summary!$C$11)=0,"",'Dvd Calendar'!$N$1262*1000000000+ISNUMBER('Dvd Calendar'!$N$1263)*100000000+('Dvd Calendar'!$N$1267='Field Check'!$C$25)*10000000+(N('Dvd Calendar'!$N$1261)&gt;0)*1000000+84*1000+50))</f>
        <v/>
      </c>
      <c r="BA92" s="41">
        <f>IF(N('Dvd Calendar'!$O$1262)=0,"",IF(('Dvd Calendar'!$O$1262&gt;=MIN(DATE(Summary!$C$12,1,1),Summary!$C$11))*('Dvd Calendar'!$O$1262&lt;=MAX(DATE(Summary!$C$12,12,31),Summary!$C$15))*('Dvd Calendar'!$O$1262&gt;Summary!$C$11)=0,"",'Dvd Calendar'!$O$1262*1000000000+ISNUMBER('Dvd Calendar'!$O$1263)*100000000+('Dvd Calendar'!$O$1267='Field Check'!$C$25)*10000000+(N('Dvd Calendar'!$O$1261)&gt;0)*1000000+84*1000+51))</f>
        <v/>
      </c>
      <c r="BB92" s="41">
        <f>IF(N('Dvd Calendar'!$P$1262)=0,"",IF(('Dvd Calendar'!$P$1262&gt;=MIN(DATE(Summary!$C$12,1,1),Summary!$C$11))*('Dvd Calendar'!$P$1262&lt;=MAX(DATE(Summary!$C$12,12,31),Summary!$C$15))*('Dvd Calendar'!$P$1262&gt;Summary!$C$11)=0,"",'Dvd Calendar'!$P$1262*1000000000+ISNUMBER('Dvd Calendar'!$P$1263)*100000000+('Dvd Calendar'!$P$1267='Field Check'!$C$25)*10000000+(N('Dvd Calendar'!$P$1261)&gt;0)*1000000+84*1000+52))</f>
        <v/>
      </c>
      <c r="BC92" s="41">
        <f>IF(N('Dvd Calendar'!$Q$1262)=0,"",IF(('Dvd Calendar'!$Q$1262&gt;=MIN(DATE(Summary!$C$12,1,1),Summary!$C$11))*('Dvd Calendar'!$Q$1262&lt;=MAX(DATE(Summary!$C$12,12,31),Summary!$C$15))*('Dvd Calendar'!$Q$1262&gt;Summary!$C$11)=0,"",'Dvd Calendar'!$Q$1262*1000000000+ISNUMBER('Dvd Calendar'!$Q$1263)*100000000+('Dvd Calendar'!$Q$1267='Field Check'!$C$25)*10000000+(N('Dvd Calendar'!$Q$1261)&gt;0)*1000000+84*1000+53))</f>
        <v/>
      </c>
      <c r="BD92" s="41">
        <f>IF(N('Dvd Calendar'!$R$1262)=0,"",IF(('Dvd Calendar'!$R$1262&gt;=MIN(DATE(Summary!$C$12,1,1),Summary!$C$11))*('Dvd Calendar'!$R$1262&lt;=MAX(DATE(Summary!$C$12,12,31),Summary!$C$15))*('Dvd Calendar'!$R$1262&gt;Summary!$C$11)=0,"",'Dvd Calendar'!$R$1262*1000000000+ISNUMBER('Dvd Calendar'!$R$1263)*100000000+('Dvd Calendar'!$R$1267='Field Check'!$C$25)*10000000+(N('Dvd Calendar'!$R$1261)&gt;0)*1000000+84*1000+54))</f>
        <v/>
      </c>
      <c r="BE92" s="41">
        <f>IF(N('Dvd Calendar'!$S$1262)=0,"",IF(('Dvd Calendar'!$S$1262&gt;=MIN(DATE(Summary!$C$12,1,1),Summary!$C$11))*('Dvd Calendar'!$S$1262&lt;=MAX(DATE(Summary!$C$12,12,31),Summary!$C$15))*('Dvd Calendar'!$S$1262&gt;Summary!$C$11)=0,"",'Dvd Calendar'!$S$1262*1000000000+ISNUMBER('Dvd Calendar'!$S$1263)*100000000+('Dvd Calendar'!$S$1267='Field Check'!$C$25)*10000000+(N('Dvd Calendar'!$S$1261)&gt;0)*1000000+84*1000+55))</f>
        <v/>
      </c>
      <c r="BF92" s="41">
        <f>IF(N('Dvd Calendar'!$T$1262)=0,"",IF(('Dvd Calendar'!$T$1262&gt;=MIN(DATE(Summary!$C$12,1,1),Summary!$C$11))*('Dvd Calendar'!$T$1262&lt;=MAX(DATE(Summary!$C$12,12,31),Summary!$C$15))*('Dvd Calendar'!$T$1262&gt;Summary!$C$11)=0,"",'Dvd Calendar'!$T$1262*1000000000+ISNUMBER('Dvd Calendar'!$T$1263)*100000000+('Dvd Calendar'!$T$1267='Field Check'!$C$25)*10000000+(N('Dvd Calendar'!$T$1261)&gt;0)*1000000+84*1000+56))</f>
        <v/>
      </c>
      <c r="BG92" s="41">
        <f>IF(N('Dvd Calendar'!$U$1262)=0,"",IF(('Dvd Calendar'!$U$1262&gt;=MIN(DATE(Summary!$C$12,1,1),Summary!$C$11))*('Dvd Calendar'!$U$1262&lt;=MAX(DATE(Summary!$C$12,12,31),Summary!$C$15))*('Dvd Calendar'!$U$1262&gt;Summary!$C$11)=0,"",'Dvd Calendar'!$U$1262*1000000000+ISNUMBER('Dvd Calendar'!$U$1263)*100000000+('Dvd Calendar'!$U$1267='Field Check'!$C$25)*10000000+(N('Dvd Calendar'!$U$1261)&gt;0)*1000000+84*1000+57))</f>
        <v/>
      </c>
      <c r="BH92" s="41">
        <f>IF(N('Dvd Calendar'!$V$1262)=0,"",IF(('Dvd Calendar'!$V$1262&gt;=MIN(DATE(Summary!$C$12,1,1),Summary!$C$11))*('Dvd Calendar'!$V$1262&lt;=MAX(DATE(Summary!$C$12,12,31),Summary!$C$15))*('Dvd Calendar'!$V$1262&gt;Summary!$C$11)=0,"",'Dvd Calendar'!$V$1262*1000000000+ISNUMBER('Dvd Calendar'!$V$1263)*100000000+('Dvd Calendar'!$V$1267='Field Check'!$C$25)*10000000+(N('Dvd Calendar'!$V$1261)&gt;0)*1000000+84*1000+58))</f>
        <v/>
      </c>
      <c r="BI92" s="41">
        <f>IF(N('Dvd Calendar'!$W$1262)=0,"",IF(('Dvd Calendar'!$W$1262&gt;=MIN(DATE(Summary!$C$12,1,1),Summary!$C$11))*('Dvd Calendar'!$W$1262&lt;=MAX(DATE(Summary!$C$12,12,31),Summary!$C$15))*('Dvd Calendar'!$W$1262&gt;Summary!$C$11)=0,"",'Dvd Calendar'!$W$1262*1000000000+ISNUMBER('Dvd Calendar'!$W$1263)*100000000+('Dvd Calendar'!$W$1267='Field Check'!$C$25)*10000000+(N('Dvd Calendar'!$W$1261)&gt;0)*1000000+84*1000+59))</f>
        <v/>
      </c>
      <c r="BJ92" s="41">
        <f>IF(N('Dvd Calendar'!$X$1262)=0,"",IF(('Dvd Calendar'!$X$1262&gt;=MIN(DATE(Summary!$C$12,1,1),Summary!$C$11))*('Dvd Calendar'!$X$1262&lt;=MAX(DATE(Summary!$C$12,12,31),Summary!$C$15))*('Dvd Calendar'!$X$1262&gt;Summary!$C$11)=0,"",'Dvd Calendar'!$X$1262*1000000000+ISNUMBER('Dvd Calendar'!$X$1263)*100000000+('Dvd Calendar'!$X$1267='Field Check'!$C$25)*10000000+(N('Dvd Calendar'!$X$1261)&gt;0)*1000000+84*1000+60))</f>
        <v/>
      </c>
      <c r="BK92" s="41">
        <f>IF(N('Dvd Calendar'!$Y$1262)=0,"",IF(('Dvd Calendar'!$Y$1262&gt;=MIN(DATE(Summary!$C$12,1,1),Summary!$C$11))*('Dvd Calendar'!$Y$1262&lt;=MAX(DATE(Summary!$C$12,12,31),Summary!$C$15))*('Dvd Calendar'!$Y$1262&gt;Summary!$C$11)=0,"",'Dvd Calendar'!$Y$1262*1000000000+ISNUMBER('Dvd Calendar'!$Y$1263)*100000000+('Dvd Calendar'!$Y$1267='Field Check'!$C$25)*10000000+(N('Dvd Calendar'!$Y$1261)&gt;0)*1000000+84*1000+61))</f>
        <v/>
      </c>
      <c r="BL92" s="41">
        <f>IF(N('Dvd Calendar'!$Z$1262)=0,"",IF(('Dvd Calendar'!$Z$1262&gt;=MIN(DATE(Summary!$C$12,1,1),Summary!$C$11))*('Dvd Calendar'!$Z$1262&lt;=MAX(DATE(Summary!$C$12,12,31),Summary!$C$15))*('Dvd Calendar'!$Z$1262&gt;Summary!$C$11)=0,"",'Dvd Calendar'!$Z$1262*1000000000+ISNUMBER('Dvd Calendar'!$Z$1263)*100000000+('Dvd Calendar'!$Z$1267='Field Check'!$C$25)*10000000+(N('Dvd Calendar'!$Z$1261)&gt;0)*1000000+84*1000+62))</f>
        <v/>
      </c>
      <c r="BM92" s="41">
        <f>IF(N('Dvd Calendar'!$AA$1262)=0,"",IF(('Dvd Calendar'!$AA$1262&gt;=MIN(DATE(Summary!$C$12,1,1),Summary!$C$11))*('Dvd Calendar'!$AA$1262&lt;=MAX(DATE(Summary!$C$12,12,31),Summary!$C$15))*('Dvd Calendar'!$AA$1262&gt;Summary!$C$11)=0,"",'Dvd Calendar'!$AA$1262*1000000000+ISNUMBER('Dvd Calendar'!$AA$1263)*100000000+('Dvd Calendar'!$AA$1267='Field Check'!$C$25)*10000000+(N('Dvd Calendar'!$AA$1261)&gt;0)*1000000+84*1000+63))</f>
        <v/>
      </c>
      <c r="BN92" s="41">
        <f>IF(N('Dvd Calendar'!$AB$1262)=0,"",IF(('Dvd Calendar'!$AB$1262&gt;=MIN(DATE(Summary!$C$12,1,1),Summary!$C$11))*('Dvd Calendar'!$AB$1262&lt;=MAX(DATE(Summary!$C$12,12,31),Summary!$C$15))*('Dvd Calendar'!$AB$1262&gt;Summary!$C$11)=0,"",'Dvd Calendar'!$AB$1262*1000000000+ISNUMBER('Dvd Calendar'!$AB$1263)*100000000+('Dvd Calendar'!$AB$1267='Field Check'!$C$25)*10000000+(N('Dvd Calendar'!$AB$1261)&gt;0)*1000000+84*1000+64))</f>
        <v/>
      </c>
      <c r="BO92" s="41">
        <f>IF(N('Dvd Calendar'!$AC$1262)=0,"",IF(('Dvd Calendar'!$AC$1262&gt;=MIN(DATE(Summary!$C$12,1,1),Summary!$C$11))*('Dvd Calendar'!$AC$1262&lt;=MAX(DATE(Summary!$C$12,12,31),Summary!$C$15))*('Dvd Calendar'!$AC$1262&gt;Summary!$C$11)=0,"",'Dvd Calendar'!$AC$1262*1000000000+ISNUMBER('Dvd Calendar'!$AC$1263)*100000000+('Dvd Calendar'!$AC$1267='Field Check'!$C$25)*10000000+(N('Dvd Calendar'!$AC$1261)&gt;0)*1000000+84*1000+65))</f>
        <v/>
      </c>
      <c r="BQ92" s="85">
        <f>IF(C92="","",IF(ISNUMBER('Dvd Calendar'!$E$1256)=FALSE,"",IF((Summary!$C$13="N")*('Dvd Calendar'!$E$1260='Field Check'!$C$25)&gt;0,"",'Dvd Calendar'!$E$1256)))</f>
        <v/>
      </c>
      <c r="BR92" s="85">
        <f>IF(D92="","",IF(ISNUMBER('Dvd Calendar'!$F$1256)=FALSE,"",IF((Summary!$C$13="N")*('Dvd Calendar'!$F$1260='Field Check'!$C$25)&gt;0,"",'Dvd Calendar'!$F$1256)))</f>
        <v/>
      </c>
      <c r="BS92" s="85">
        <f>IF(E92="","",IF(ISNUMBER('Dvd Calendar'!$G$1256)=FALSE,"",IF((Summary!$C$13="N")*('Dvd Calendar'!$G$1260='Field Check'!$C$25)&gt;0,"",'Dvd Calendar'!$G$1256)))</f>
        <v/>
      </c>
      <c r="BT92" s="85">
        <f>IF(F92="","",IF(ISNUMBER('Dvd Calendar'!$H$1256)=FALSE,"",IF((Summary!$C$13="N")*('Dvd Calendar'!$H$1260='Field Check'!$C$25)&gt;0,"",'Dvd Calendar'!$H$1256)))</f>
        <v/>
      </c>
      <c r="BU92" s="85">
        <f>IF(G92="","",IF(ISNUMBER('Dvd Calendar'!$I$1256)=FALSE,"",IF((Summary!$C$13="N")*('Dvd Calendar'!$I$1260='Field Check'!$C$25)&gt;0,"",'Dvd Calendar'!$I$1256)))</f>
        <v/>
      </c>
      <c r="BV92" s="85">
        <f>IF(H92="","",IF(ISNUMBER('Dvd Calendar'!$J$1256)=FALSE,"",IF((Summary!$C$13="N")*('Dvd Calendar'!$J$1260='Field Check'!$C$25)&gt;0,"",'Dvd Calendar'!$J$1256)))</f>
        <v/>
      </c>
      <c r="BW92" s="85">
        <f>IF(I92="","",IF(ISNUMBER('Dvd Calendar'!$K$1256)=FALSE,"",IF((Summary!$C$13="N")*('Dvd Calendar'!$K$1260='Field Check'!$C$25)&gt;0,"",'Dvd Calendar'!$K$1256)))</f>
        <v/>
      </c>
      <c r="BX92" s="85">
        <f>IF(J92="","",IF(ISNUMBER('Dvd Calendar'!$L$1256)=FALSE,"",IF((Summary!$C$13="N")*('Dvd Calendar'!$L$1260='Field Check'!$C$25)&gt;0,"",'Dvd Calendar'!$L$1256)))</f>
        <v/>
      </c>
      <c r="BY92" s="85">
        <f>IF(K92="","",IF(ISNUMBER('Dvd Calendar'!$M$1256)=FALSE,"",IF((Summary!$C$13="N")*('Dvd Calendar'!$M$1260='Field Check'!$C$25)&gt;0,"",'Dvd Calendar'!$M$1256)))</f>
        <v/>
      </c>
      <c r="BZ92" s="85">
        <f>IF(L92="","",IF(ISNUMBER('Dvd Calendar'!$N$1256)=FALSE,"",IF((Summary!$C$13="N")*('Dvd Calendar'!$N$1260='Field Check'!$C$25)&gt;0,"",'Dvd Calendar'!$N$1256)))</f>
        <v/>
      </c>
      <c r="CA92" s="85">
        <f>IF(M92="","",IF(ISNUMBER('Dvd Calendar'!$O$1256)=FALSE,"",IF((Summary!$C$13="N")*('Dvd Calendar'!$O$1260='Field Check'!$C$25)&gt;0,"",'Dvd Calendar'!$O$1256)))</f>
        <v/>
      </c>
      <c r="CB92" s="85">
        <f>IF(N92="","",IF(ISNUMBER('Dvd Calendar'!$P$1256)=FALSE,"",IF((Summary!$C$13="N")*('Dvd Calendar'!$P$1260='Field Check'!$C$25)&gt;0,"",'Dvd Calendar'!$P$1256)))</f>
        <v/>
      </c>
      <c r="CC92" s="85">
        <f>IF(O92="","",IF(ISNUMBER('Dvd Calendar'!$Q$1256)=FALSE,"",IF((Summary!$C$13="N")*('Dvd Calendar'!$Q$1260='Field Check'!$C$25)&gt;0,"",'Dvd Calendar'!$Q$1256)))</f>
        <v/>
      </c>
      <c r="CD92" s="85">
        <f>IF(P92="","",IF(ISNUMBER('Dvd Calendar'!$R$1256)=FALSE,"",IF((Summary!$C$13="N")*('Dvd Calendar'!$R$1260='Field Check'!$C$25)&gt;0,"",'Dvd Calendar'!$R$1256)))</f>
        <v/>
      </c>
      <c r="CE92" s="85">
        <f>IF(Q92="","",IF(ISNUMBER('Dvd Calendar'!$S$1256)=FALSE,"",IF((Summary!$C$13="N")*('Dvd Calendar'!$S$1260='Field Check'!$C$25)&gt;0,"",'Dvd Calendar'!$S$1256)))</f>
        <v/>
      </c>
      <c r="CF92" s="85">
        <f>IF(R92="","",IF(ISNUMBER('Dvd Calendar'!$T$1256)=FALSE,"",IF((Summary!$C$13="N")*('Dvd Calendar'!$T$1260='Field Check'!$C$25)&gt;0,"",'Dvd Calendar'!$T$1256)))</f>
        <v/>
      </c>
      <c r="CG92" s="85">
        <f>IF(S92="","",IF(ISNUMBER('Dvd Calendar'!$U$1256)=FALSE,"",IF((Summary!$C$13="N")*('Dvd Calendar'!$U$1260='Field Check'!$C$25)&gt;0,"",'Dvd Calendar'!$U$1256)))</f>
        <v/>
      </c>
      <c r="CH92" s="85">
        <f>IF(T92="","",IF(ISNUMBER('Dvd Calendar'!$V$1256)=FALSE,"",IF((Summary!$C$13="N")*('Dvd Calendar'!$V$1260='Field Check'!$C$25)&gt;0,"",'Dvd Calendar'!$V$1256)))</f>
        <v/>
      </c>
      <c r="CI92" s="85">
        <f>IF(U92="","",IF(ISNUMBER('Dvd Calendar'!$W$1256)=FALSE,"",IF((Summary!$C$13="N")*('Dvd Calendar'!$W$1260='Field Check'!$C$25)&gt;0,"",'Dvd Calendar'!$W$1256)))</f>
        <v/>
      </c>
      <c r="CJ92" s="85">
        <f>IF(V92="","",IF(ISNUMBER('Dvd Calendar'!$X$1256)=FALSE,"",IF((Summary!$C$13="N")*('Dvd Calendar'!$X$1260='Field Check'!$C$25)&gt;0,"",'Dvd Calendar'!$X$1256)))</f>
        <v/>
      </c>
      <c r="CK92" s="85">
        <f>IF(W92="","",IF(ISNUMBER('Dvd Calendar'!$Y$1256)=FALSE,"",IF((Summary!$C$13="N")*('Dvd Calendar'!$Y$1260='Field Check'!$C$25)&gt;0,"",'Dvd Calendar'!$Y$1256)))</f>
        <v/>
      </c>
      <c r="CL92" s="85">
        <f>IF(X92="","",IF(ISNUMBER('Dvd Calendar'!$Z$1256)=FALSE,"",IF((Summary!$C$13="N")*('Dvd Calendar'!$Z$1260='Field Check'!$C$25)&gt;0,"",'Dvd Calendar'!$Z$1256)))</f>
        <v/>
      </c>
      <c r="CM92" s="85">
        <f>IF(Y92="","",IF(ISNUMBER('Dvd Calendar'!$AA$1256)=FALSE,"",IF((Summary!$C$13="N")*('Dvd Calendar'!$AA$1260='Field Check'!$C$25)&gt;0,"",'Dvd Calendar'!$AA$1256)))</f>
        <v/>
      </c>
      <c r="CN92" s="85">
        <f>IF(Z92="","",IF(ISNUMBER('Dvd Calendar'!$AB$1256)=FALSE,"",IF((Summary!$C$13="N")*('Dvd Calendar'!$AB$1260='Field Check'!$C$25)&gt;0,"",'Dvd Calendar'!$AB$1256)))</f>
        <v/>
      </c>
      <c r="CO92" s="85">
        <f>IF(AA92="","",IF(ISNUMBER('Dvd Calendar'!$AC$1256)=FALSE,"",IF((Summary!$C$13="N")*('Dvd Calendar'!$AC$1260='Field Check'!$C$25)&gt;0,"",'Dvd Calendar'!$AC$1256)))</f>
        <v/>
      </c>
      <c r="CP92" s="85">
        <f>IF(AB92="","",IF(ISNUMBER('Dvd Calendar'!$AD$1256)=FALSE,"",IF((Summary!$C$13="N")*('Dvd Calendar'!$AD$1260='Field Check'!$C$25)&gt;0,"",'Dvd Calendar'!$AD$1256)))</f>
        <v/>
      </c>
      <c r="CQ92" s="85">
        <f>IF(AC92="","",IF(ISNUMBER('Dvd Calendar'!$AE$1256)=FALSE,"",IF((Summary!$C$13="N")*('Dvd Calendar'!$AE$1260='Field Check'!$C$25)&gt;0,"",'Dvd Calendar'!$AE$1256)))</f>
        <v/>
      </c>
      <c r="CR92" s="85">
        <f>IF(AD92="","",IF(ISNUMBER('Dvd Calendar'!$AF$1256)=FALSE,"",IF((Summary!$C$13="N")*('Dvd Calendar'!$AF$1260='Field Check'!$C$25)&gt;0,"",'Dvd Calendar'!$AF$1256)))</f>
        <v/>
      </c>
      <c r="CS92" s="85">
        <f>IF(AE92="","",IF(ISNUMBER('Dvd Calendar'!$AG$1256)=FALSE,"",IF((Summary!$C$13="N")*('Dvd Calendar'!$AG$1260='Field Check'!$C$25)&gt;0,"",'Dvd Calendar'!$AG$1256)))</f>
        <v/>
      </c>
      <c r="CT92" s="85">
        <f>IF(AF92="","",IF(ISNUMBER('Dvd Calendar'!$AH$1256)=FALSE,"",IF((Summary!$C$13="N")*('Dvd Calendar'!$AH$1260='Field Check'!$C$25)&gt;0,"",'Dvd Calendar'!$AH$1256)))</f>
        <v/>
      </c>
      <c r="CU92" s="85">
        <f>IF(AG92="","",IF(ISNUMBER('Dvd Calendar'!$AI$1256)=FALSE,"",IF((Summary!$C$13="N")*('Dvd Calendar'!$AI$1260='Field Check'!$C$25)&gt;0,"",'Dvd Calendar'!$AI$1256)))</f>
        <v/>
      </c>
      <c r="CV92" s="85">
        <f>IF(AH92="","",IF(ISNUMBER('Dvd Calendar'!$AJ$1256)=FALSE,"",IF((Summary!$C$13="N")*('Dvd Calendar'!$AJ$1260='Field Check'!$C$25)&gt;0,"",'Dvd Calendar'!$AJ$1256)))</f>
        <v/>
      </c>
      <c r="CW92" s="85">
        <f>IF(AI92="","",IF(ISNUMBER('Dvd Calendar'!$AK$1256)=FALSE,"",IF((Summary!$C$13="N")*('Dvd Calendar'!$AK$1260='Field Check'!$C$25)&gt;0,"",'Dvd Calendar'!$AK$1256)))</f>
        <v/>
      </c>
      <c r="CX92" s="85">
        <f>IF(AJ92="","",IF(ISNUMBER('Dvd Calendar'!$AL$1256)=FALSE,"",IF((Summary!$C$13="N")*('Dvd Calendar'!$AL$1260='Field Check'!$C$25)&gt;0,"",'Dvd Calendar'!$AL$1256)))</f>
        <v/>
      </c>
      <c r="CY92" s="85">
        <f>IF(AK92="","",IF(ISNUMBER('Dvd Calendar'!$AM$1256)=FALSE,"",IF((Summary!$C$13="N")*('Dvd Calendar'!$AM$1260='Field Check'!$C$25)&gt;0,"",'Dvd Calendar'!$AM$1256)))</f>
        <v/>
      </c>
      <c r="CZ92" s="85">
        <f>IF(AL92="","",IF(ISNUMBER('Dvd Calendar'!$AN$1256)=FALSE,"",IF((Summary!$C$13="N")*('Dvd Calendar'!$AN$1260='Field Check'!$C$25)&gt;0,"",'Dvd Calendar'!$AN$1256)))</f>
        <v/>
      </c>
      <c r="DA92" s="85">
        <f>IF(AM92="","",IF(ISNUMBER('Dvd Calendar'!$AO$1256)=FALSE,"",IF((Summary!$C$13="N")*('Dvd Calendar'!$AO$1260='Field Check'!$C$25)&gt;0,"",'Dvd Calendar'!$AO$1256)))</f>
        <v/>
      </c>
      <c r="DB92" s="85">
        <f>IF(AN92="","",IF(ISNUMBER('Dvd Calendar'!$AP$1256)=FALSE,"",IF((Summary!$C$13="N")*('Dvd Calendar'!$AP$1260='Field Check'!$C$25)&gt;0,"",'Dvd Calendar'!$AP$1256)))</f>
        <v/>
      </c>
      <c r="DC92" s="85">
        <f>IF(AO92="","",IF(ISNUMBER('Dvd Calendar'!$AQ$1256)=FALSE,"",IF((Summary!$C$13="N")*('Dvd Calendar'!$AQ$1260='Field Check'!$C$25)&gt;0,"",'Dvd Calendar'!$AQ$1256)))</f>
        <v/>
      </c>
      <c r="DD92" s="85">
        <f>IF(AP92="","",IF(ISNUMBER('Dvd Calendar'!$AR$1256)=FALSE,"",IF((Summary!$C$13="N")*('Dvd Calendar'!$AR$1260='Field Check'!$C$25)&gt;0,"",'Dvd Calendar'!$AR$1256)))</f>
        <v/>
      </c>
      <c r="DE92" s="85">
        <f>IF(AQ92="","",IF(ISNUMBER('Dvd Calendar'!$E$1263)=FALSE,"",IF((Summary!$C$13="N")*('Dvd Calendar'!$E$1267='Field Check'!$C$25)&gt;0,"",'Dvd Calendar'!$E$1263)))</f>
        <v/>
      </c>
      <c r="DF92" s="85">
        <f>IF(AR92="","",IF(ISNUMBER('Dvd Calendar'!$F$1263)=FALSE,"",IF((Summary!$C$13="N")*('Dvd Calendar'!$F$1267='Field Check'!$C$25)&gt;0,"",'Dvd Calendar'!$F$1263)))</f>
        <v/>
      </c>
      <c r="DG92" s="85">
        <f>IF(AS92="","",IF(ISNUMBER('Dvd Calendar'!$G$1263)=FALSE,"",IF((Summary!$C$13="N")*('Dvd Calendar'!$G$1267='Field Check'!$C$25)&gt;0,"",'Dvd Calendar'!$G$1263)))</f>
        <v/>
      </c>
      <c r="DH92" s="85">
        <f>IF(AT92="","",IF(ISNUMBER('Dvd Calendar'!$H$1263)=FALSE,"",IF((Summary!$C$13="N")*('Dvd Calendar'!$H$1267='Field Check'!$C$25)&gt;0,"",'Dvd Calendar'!$H$1263)))</f>
        <v/>
      </c>
      <c r="DI92" s="85">
        <f>IF(AU92="","",IF(ISNUMBER('Dvd Calendar'!$I$1263)=FALSE,"",IF((Summary!$C$13="N")*('Dvd Calendar'!$I$1267='Field Check'!$C$25)&gt;0,"",'Dvd Calendar'!$I$1263)))</f>
        <v/>
      </c>
      <c r="DJ92" s="85">
        <f>IF(AV92="","",IF(ISNUMBER('Dvd Calendar'!$J$1263)=FALSE,"",IF((Summary!$C$13="N")*('Dvd Calendar'!$J$1267='Field Check'!$C$25)&gt;0,"",'Dvd Calendar'!$J$1263)))</f>
        <v/>
      </c>
      <c r="DK92" s="85">
        <f>IF(AW92="","",IF(ISNUMBER('Dvd Calendar'!$K$1263)=FALSE,"",IF((Summary!$C$13="N")*('Dvd Calendar'!$K$1267='Field Check'!$C$25)&gt;0,"",'Dvd Calendar'!$K$1263)))</f>
        <v/>
      </c>
      <c r="DL92" s="85">
        <f>IF(AX92="","",IF(ISNUMBER('Dvd Calendar'!$L$1263)=FALSE,"",IF((Summary!$C$13="N")*('Dvd Calendar'!$L$1267='Field Check'!$C$25)&gt;0,"",'Dvd Calendar'!$L$1263)))</f>
        <v/>
      </c>
      <c r="DM92" s="85">
        <f>IF(AY92="","",IF(ISNUMBER('Dvd Calendar'!$M$1263)=FALSE,"",IF((Summary!$C$13="N")*('Dvd Calendar'!$M$1267='Field Check'!$C$25)&gt;0,"",'Dvd Calendar'!$M$1263)))</f>
        <v/>
      </c>
      <c r="DN92" s="85">
        <f>IF(AZ92="","",IF(ISNUMBER('Dvd Calendar'!$N$1263)=FALSE,"",IF((Summary!$C$13="N")*('Dvd Calendar'!$N$1267='Field Check'!$C$25)&gt;0,"",'Dvd Calendar'!$N$1263)))</f>
        <v/>
      </c>
      <c r="DO92" s="85">
        <f>IF(BA92="","",IF(ISNUMBER('Dvd Calendar'!$O$1263)=FALSE,"",IF((Summary!$C$13="N")*('Dvd Calendar'!$O$1267='Field Check'!$C$25)&gt;0,"",'Dvd Calendar'!$O$1263)))</f>
        <v/>
      </c>
      <c r="DP92" s="85">
        <f>IF(BB92="","",IF(ISNUMBER('Dvd Calendar'!$P$1263)=FALSE,"",IF((Summary!$C$13="N")*('Dvd Calendar'!$P$1267='Field Check'!$C$25)&gt;0,"",'Dvd Calendar'!$P$1263)))</f>
        <v/>
      </c>
      <c r="DQ92" s="85">
        <f>IF(BC92="","",IF(ISNUMBER('Dvd Calendar'!$Q$1263)=FALSE,"",IF((Summary!$C$13="N")*('Dvd Calendar'!$Q$1267='Field Check'!$C$25)&gt;0,"",'Dvd Calendar'!$Q$1263)))</f>
        <v/>
      </c>
      <c r="DR92" s="85">
        <f>IF(BD92="","",IF(ISNUMBER('Dvd Calendar'!$R$1263)=FALSE,"",IF((Summary!$C$13="N")*('Dvd Calendar'!$R$1267='Field Check'!$C$25)&gt;0,"",'Dvd Calendar'!$R$1263)))</f>
        <v/>
      </c>
      <c r="DS92" s="85">
        <f>IF(BE92="","",IF(ISNUMBER('Dvd Calendar'!$S$1263)=FALSE,"",IF((Summary!$C$13="N")*('Dvd Calendar'!$S$1267='Field Check'!$C$25)&gt;0,"",'Dvd Calendar'!$S$1263)))</f>
        <v/>
      </c>
      <c r="DT92" s="85">
        <f>IF(BF92="","",IF(ISNUMBER('Dvd Calendar'!$T$1263)=FALSE,"",IF((Summary!$C$13="N")*('Dvd Calendar'!$T$1267='Field Check'!$C$25)&gt;0,"",'Dvd Calendar'!$T$1263)))</f>
        <v/>
      </c>
      <c r="DU92" s="85">
        <f>IF(BG92="","",IF(ISNUMBER('Dvd Calendar'!$U$1263)=FALSE,"",IF((Summary!$C$13="N")*('Dvd Calendar'!$U$1267='Field Check'!$C$25)&gt;0,"",'Dvd Calendar'!$U$1263)))</f>
        <v/>
      </c>
      <c r="DV92" s="85">
        <f>IF(BH92="","",IF(ISNUMBER('Dvd Calendar'!$V$1263)=FALSE,"",IF((Summary!$C$13="N")*('Dvd Calendar'!$V$1267='Field Check'!$C$25)&gt;0,"",'Dvd Calendar'!$V$1263)))</f>
        <v/>
      </c>
      <c r="DW92" s="85">
        <f>IF(BI92="","",IF(ISNUMBER('Dvd Calendar'!$W$1263)=FALSE,"",IF((Summary!$C$13="N")*('Dvd Calendar'!$W$1267='Field Check'!$C$25)&gt;0,"",'Dvd Calendar'!$W$1263)))</f>
        <v/>
      </c>
      <c r="DX92" s="85">
        <f>IF(BJ92="","",IF(ISNUMBER('Dvd Calendar'!$X$1263)=FALSE,"",IF((Summary!$C$13="N")*('Dvd Calendar'!$X$1267='Field Check'!$C$25)&gt;0,"",'Dvd Calendar'!$X$1263)))</f>
        <v/>
      </c>
      <c r="DY92" s="85">
        <f>IF(BK92="","",IF(ISNUMBER('Dvd Calendar'!$Y$1263)=FALSE,"",IF((Summary!$C$13="N")*('Dvd Calendar'!$Y$1267='Field Check'!$C$25)&gt;0,"",'Dvd Calendar'!$Y$1263)))</f>
        <v/>
      </c>
      <c r="DZ92" s="85">
        <f>IF(BL92="","",IF(ISNUMBER('Dvd Calendar'!$Z$1263)=FALSE,"",IF((Summary!$C$13="N")*('Dvd Calendar'!$Z$1267='Field Check'!$C$25)&gt;0,"",'Dvd Calendar'!$Z$1263)))</f>
        <v/>
      </c>
      <c r="EA92" s="85">
        <f>IF(BM92="","",IF(ISNUMBER('Dvd Calendar'!$AA$1263)=FALSE,"",IF((Summary!$C$13="N")*('Dvd Calendar'!$AA$1267='Field Check'!$C$25)&gt;0,"",'Dvd Calendar'!$AA$1263)))</f>
        <v/>
      </c>
      <c r="EB92" s="85">
        <f>IF(BN92="","",IF(ISNUMBER('Dvd Calendar'!$AB$1263)=FALSE,"",IF((Summary!$C$13="N")*('Dvd Calendar'!$AB$1267='Field Check'!$C$25)&gt;0,"",'Dvd Calendar'!$AB$1263)))</f>
        <v/>
      </c>
      <c r="EC92" s="85">
        <f>IF(BO92="","",IF(ISNUMBER('Dvd Calendar'!$AC$1263)=FALSE,"",IF((Summary!$C$13="N")*('Dvd Calendar'!$AC$1267='Field Check'!$C$25)&gt;0,"",'Dvd Calendar'!$AC$1263)))</f>
        <v/>
      </c>
      <c r="EE92" s="85">
        <f>IF(BQ92="","",IFERROR(BQ92*HSI!$B$90*HSI!$G$90/HSI!$B$3,""))</f>
        <v/>
      </c>
      <c r="EF92" s="85">
        <f>IF(BR92="","",IFERROR(BR92*HSI!$B$90*HSI!$G$90/HSI!$B$3,""))</f>
        <v/>
      </c>
      <c r="EG92" s="85">
        <f>IF(BS92="","",IFERROR(BS92*HSI!$B$90*HSI!$G$90/HSI!$B$3,""))</f>
        <v/>
      </c>
      <c r="EH92" s="85">
        <f>IF(BT92="","",IFERROR(BT92*HSI!$B$90*HSI!$G$90/HSI!$B$3,""))</f>
        <v/>
      </c>
      <c r="EI92" s="85">
        <f>IF(BU92="","",IFERROR(BU92*HSI!$B$90*HSI!$G$90/HSI!$B$3,""))</f>
        <v/>
      </c>
      <c r="EJ92" s="85">
        <f>IF(BV92="","",IFERROR(BV92*HSI!$B$90*HSI!$G$90/HSI!$B$3,""))</f>
        <v/>
      </c>
      <c r="EK92" s="85">
        <f>IF(BW92="","",IFERROR(BW92*HSI!$B$90*HSI!$G$90/HSI!$B$3,""))</f>
        <v/>
      </c>
      <c r="EL92" s="85">
        <f>IF(BX92="","",IFERROR(BX92*HSI!$B$90*HSI!$G$90/HSI!$B$3,""))</f>
        <v/>
      </c>
      <c r="EM92" s="85">
        <f>IF(BY92="","",IFERROR(BY92*HSI!$B$90*HSI!$G$90/HSI!$B$3,""))</f>
        <v/>
      </c>
      <c r="EN92" s="85">
        <f>IF(BZ92="","",IFERROR(BZ92*HSI!$B$90*HSI!$G$90/HSI!$B$3,""))</f>
        <v/>
      </c>
      <c r="EO92" s="85">
        <f>IF(CA92="","",IFERROR(CA92*HSI!$B$90*HSI!$G$90/HSI!$B$3,""))</f>
        <v/>
      </c>
      <c r="EP92" s="85">
        <f>IF(CB92="","",IFERROR(CB92*HSI!$B$90*HSI!$G$90/HSI!$B$3,""))</f>
        <v/>
      </c>
      <c r="EQ92" s="85">
        <f>IF(CC92="","",IFERROR(CC92*HSI!$B$90*HSI!$G$90/HSI!$B$3,""))</f>
        <v/>
      </c>
      <c r="ER92" s="85">
        <f>IF(CD92="","",IFERROR(CD92*HSI!$B$90*HSI!$G$90/HSI!$B$3,""))</f>
        <v/>
      </c>
      <c r="ES92" s="85">
        <f>IF(CE92="","",IFERROR(CE92*HSI!$B$90*HSI!$G$90/HSI!$B$3,""))</f>
        <v/>
      </c>
      <c r="ET92" s="85">
        <f>IF(CF92="","",IFERROR(CF92*HSI!$B$90*HSI!$G$90/HSI!$B$3,""))</f>
        <v/>
      </c>
      <c r="EU92" s="85">
        <f>IF(CG92="","",IFERROR(CG92*HSI!$B$90*HSI!$G$90/HSI!$B$3,""))</f>
        <v/>
      </c>
      <c r="EV92" s="85">
        <f>IF(CH92="","",IFERROR(CH92*HSI!$B$90*HSI!$G$90/HSI!$B$3,""))</f>
        <v/>
      </c>
      <c r="EW92" s="85">
        <f>IF(CI92="","",IFERROR(CI92*HSI!$B$90*HSI!$G$90/HSI!$B$3,""))</f>
        <v/>
      </c>
      <c r="EX92" s="85">
        <f>IF(CJ92="","",IFERROR(CJ92*HSI!$B$90*HSI!$G$90/HSI!$B$3,""))</f>
        <v/>
      </c>
      <c r="EY92" s="85">
        <f>IF(CK92="","",IFERROR(CK92*HSI!$B$90*HSI!$G$90/HSI!$B$3,""))</f>
        <v/>
      </c>
      <c r="EZ92" s="85">
        <f>IF(CL92="","",IFERROR(CL92*HSI!$B$90*HSI!$G$90/HSI!$B$3,""))</f>
        <v/>
      </c>
      <c r="FA92" s="85">
        <f>IF(CM92="","",IFERROR(CM92*HSI!$B$90*HSI!$G$90/HSI!$B$3,""))</f>
        <v/>
      </c>
      <c r="FB92" s="85">
        <f>IF(CN92="","",IFERROR(CN92*HSI!$B$90*HSI!$G$90/HSI!$B$3,""))</f>
        <v/>
      </c>
      <c r="FC92" s="85">
        <f>IF(CO92="","",IFERROR(CO92*HSI!$B$90*HSI!$G$90/HSI!$B$3,""))</f>
        <v/>
      </c>
      <c r="FD92" s="85">
        <f>IF(CP92="","",IFERROR(CP92*HSI!$B$90*HSI!$G$90/HSI!$B$3,""))</f>
        <v/>
      </c>
      <c r="FE92" s="85">
        <f>IF(CQ92="","",IFERROR(CQ92*HSI!$B$90*HSI!$G$90/HSI!$B$3,""))</f>
        <v/>
      </c>
      <c r="FF92" s="85">
        <f>IF(CR92="","",IFERROR(CR92*HSI!$B$90*HSI!$G$90/HSI!$B$3,""))</f>
        <v/>
      </c>
      <c r="FG92" s="85">
        <f>IF(CS92="","",IFERROR(CS92*HSI!$B$90*HSI!$G$90/HSI!$B$3,""))</f>
        <v/>
      </c>
      <c r="FH92" s="85">
        <f>IF(CT92="","",IFERROR(CT92*HSI!$B$90*HSI!$G$90/HSI!$B$3,""))</f>
        <v/>
      </c>
      <c r="FI92" s="85">
        <f>IF(CU92="","",IFERROR(CU92*HSI!$B$90*HSI!$G$90/HSI!$B$3,""))</f>
        <v/>
      </c>
      <c r="FJ92" s="85">
        <f>IF(CV92="","",IFERROR(CV92*HSI!$B$90*HSI!$G$90/HSI!$B$3,""))</f>
        <v/>
      </c>
      <c r="FK92" s="85">
        <f>IF(CW92="","",IFERROR(CW92*HSI!$B$90*HSI!$G$90/HSI!$B$3,""))</f>
        <v/>
      </c>
      <c r="FL92" s="85">
        <f>IF(CX92="","",IFERROR(CX92*HSI!$B$90*HSI!$G$90/HSI!$B$3,""))</f>
        <v/>
      </c>
      <c r="FM92" s="85">
        <f>IF(CY92="","",IFERROR(CY92*HSI!$B$90*HSI!$G$90/HSI!$B$3,""))</f>
        <v/>
      </c>
      <c r="FN92" s="85">
        <f>IF(CZ92="","",IFERROR(CZ92*HSI!$B$90*HSI!$G$90/HSI!$B$3,""))</f>
        <v/>
      </c>
      <c r="FO92" s="85">
        <f>IF(DA92="","",IFERROR(DA92*HSI!$B$90*HSI!$G$90/HSI!$B$3,""))</f>
        <v/>
      </c>
      <c r="FP92" s="85">
        <f>IF(DB92="","",IFERROR(DB92*HSI!$B$90*HSI!$G$90/HSI!$B$3,""))</f>
        <v/>
      </c>
      <c r="FQ92" s="85">
        <f>IF(DC92="","",IFERROR(DC92*HSI!$B$90*HSI!$G$90/HSI!$B$3,""))</f>
        <v/>
      </c>
      <c r="FR92" s="85">
        <f>IF(DD92="","",IFERROR(DD92*HSI!$B$90*HSI!$G$90/HSI!$B$3,""))</f>
        <v/>
      </c>
      <c r="FS92" s="85">
        <f>IF(DE92="","",IFERROR(DE92*HSI!$B$90*HSI!$G$90/HSI!$B$3,""))</f>
        <v/>
      </c>
      <c r="FT92" s="85">
        <f>IF(DF92="","",IFERROR(DF92*HSI!$B$90*HSI!$G$90/HSI!$B$3,""))</f>
        <v/>
      </c>
      <c r="FU92" s="85">
        <f>IF(DG92="","",IFERROR(DG92*HSI!$B$90*HSI!$G$90/HSI!$B$3,""))</f>
        <v/>
      </c>
      <c r="FV92" s="85">
        <f>IF(DH92="","",IFERROR(DH92*HSI!$B$90*HSI!$G$90/HSI!$B$3,""))</f>
        <v/>
      </c>
      <c r="FW92" s="85">
        <f>IF(DI92="","",IFERROR(DI92*HSI!$B$90*HSI!$G$90/HSI!$B$3,""))</f>
        <v/>
      </c>
      <c r="FX92" s="85">
        <f>IF(DJ92="","",IFERROR(DJ92*HSI!$B$90*HSI!$G$90/HSI!$B$3,""))</f>
        <v/>
      </c>
      <c r="FY92" s="85">
        <f>IF(DK92="","",IFERROR(DK92*HSI!$B$90*HSI!$G$90/HSI!$B$3,""))</f>
        <v/>
      </c>
      <c r="FZ92" s="85">
        <f>IF(DL92="","",IFERROR(DL92*HSI!$B$90*HSI!$G$90/HSI!$B$3,""))</f>
        <v/>
      </c>
      <c r="GA92" s="85">
        <f>IF(DM92="","",IFERROR(DM92*HSI!$B$90*HSI!$G$90/HSI!$B$3,""))</f>
        <v/>
      </c>
      <c r="GB92" s="85">
        <f>IF(DN92="","",IFERROR(DN92*HSI!$B$90*HSI!$G$90/HSI!$B$3,""))</f>
        <v/>
      </c>
      <c r="GC92" s="85">
        <f>IF(DO92="","",IFERROR(DO92*HSI!$B$90*HSI!$G$90/HSI!$B$3,""))</f>
        <v/>
      </c>
      <c r="GD92" s="85">
        <f>IF(DP92="","",IFERROR(DP92*HSI!$B$90*HSI!$G$90/HSI!$B$3,""))</f>
        <v/>
      </c>
      <c r="GE92" s="85">
        <f>IF(DQ92="","",IFERROR(DQ92*HSI!$B$90*HSI!$G$90/HSI!$B$3,""))</f>
        <v/>
      </c>
      <c r="GF92" s="85">
        <f>IF(DR92="","",IFERROR(DR92*HSI!$B$90*HSI!$G$90/HSI!$B$3,""))</f>
        <v/>
      </c>
      <c r="GG92" s="85">
        <f>IF(DS92="","",IFERROR(DS92*HSI!$B$90*HSI!$G$90/HSI!$B$3,""))</f>
        <v/>
      </c>
      <c r="GH92" s="85">
        <f>IF(DT92="","",IFERROR(DT92*HSI!$B$90*HSI!$G$90/HSI!$B$3,""))</f>
        <v/>
      </c>
      <c r="GI92" s="85">
        <f>IF(DU92="","",IFERROR(DU92*HSI!$B$90*HSI!$G$90/HSI!$B$3,""))</f>
        <v/>
      </c>
      <c r="GJ92" s="85">
        <f>IF(DV92="","",IFERROR(DV92*HSI!$B$90*HSI!$G$90/HSI!$B$3,""))</f>
        <v/>
      </c>
      <c r="GK92" s="85">
        <f>IF(DW92="","",IFERROR(DW92*HSI!$B$90*HSI!$G$90/HSI!$B$3,""))</f>
        <v/>
      </c>
      <c r="GL92" s="85">
        <f>IF(DX92="","",IFERROR(DX92*HSI!$B$90*HSI!$G$90/HSI!$B$3,""))</f>
        <v/>
      </c>
      <c r="GM92" s="85">
        <f>IF(DY92="","",IFERROR(DY92*HSI!$B$90*HSI!$G$90/HSI!$B$3,""))</f>
        <v/>
      </c>
      <c r="GN92" s="85">
        <f>IF(DZ92="","",IFERROR(DZ92*HSI!$B$90*HSI!$G$90/HSI!$B$3,""))</f>
        <v/>
      </c>
      <c r="GO92" s="85">
        <f>IF(EA92="","",IFERROR(EA92*HSI!$B$90*HSI!$G$90/HSI!$B$3,""))</f>
        <v/>
      </c>
      <c r="GP92" s="85">
        <f>IF(EB92="","",IFERROR(EB92*HSI!$B$90*HSI!$G$90/HSI!$B$3,""))</f>
        <v/>
      </c>
      <c r="GQ92" s="85">
        <f>IF(EC92="","",IFERROR(EC92*HSI!$B$90*HSI!$G$90/HSI!$B$3,""))</f>
        <v/>
      </c>
    </row>
    <row r="93">
      <c r="B93" s="2">
        <f>IF(HSI!$C$91="","",HSI!$C$91)</f>
        <v/>
      </c>
      <c r="C93" s="41">
        <f>IF(N('Dvd Calendar'!$E$1270)=0,"",IF(('Dvd Calendar'!$E$1270&gt;=MIN(DATE(Summary!$C$12,1,1),Summary!$C$11))*('Dvd Calendar'!$E$1270&lt;=MAX(DATE(Summary!$C$12,12,31),Summary!$C$15))*('Dvd Calendar'!$E$1270&lt;=Summary!$C$11)=0,"",'Dvd Calendar'!$E$1270*1000000000+ISNUMBER('Dvd Calendar'!$E$1271)*100000000+('Dvd Calendar'!$E$1275='Field Check'!$C$25)*10000000+(N('Dvd Calendar'!$E$1269)&gt;0)*1000000+85*1000+1))</f>
        <v/>
      </c>
      <c r="D93" s="41">
        <f>IF(N('Dvd Calendar'!$F$1270)=0,"",IF(('Dvd Calendar'!$F$1270&gt;=MIN(DATE(Summary!$C$12,1,1),Summary!$C$11))*('Dvd Calendar'!$F$1270&lt;=MAX(DATE(Summary!$C$12,12,31),Summary!$C$15))*('Dvd Calendar'!$F$1270&lt;=Summary!$C$11)=0,"",'Dvd Calendar'!$F$1270*1000000000+ISNUMBER('Dvd Calendar'!$F$1271)*100000000+('Dvd Calendar'!$F$1275='Field Check'!$C$25)*10000000+(N('Dvd Calendar'!$F$1269)&gt;0)*1000000+85*1000+2))</f>
        <v/>
      </c>
      <c r="E93" s="41">
        <f>IF(N('Dvd Calendar'!$G$1270)=0,"",IF(('Dvd Calendar'!$G$1270&gt;=MIN(DATE(Summary!$C$12,1,1),Summary!$C$11))*('Dvd Calendar'!$G$1270&lt;=MAX(DATE(Summary!$C$12,12,31),Summary!$C$15))*('Dvd Calendar'!$G$1270&lt;=Summary!$C$11)=0,"",'Dvd Calendar'!$G$1270*1000000000+ISNUMBER('Dvd Calendar'!$G$1271)*100000000+('Dvd Calendar'!$G$1275='Field Check'!$C$25)*10000000+(N('Dvd Calendar'!$G$1269)&gt;0)*1000000+85*1000+3))</f>
        <v/>
      </c>
      <c r="F93" s="41">
        <f>IF(N('Dvd Calendar'!$H$1270)=0,"",IF(('Dvd Calendar'!$H$1270&gt;=MIN(DATE(Summary!$C$12,1,1),Summary!$C$11))*('Dvd Calendar'!$H$1270&lt;=MAX(DATE(Summary!$C$12,12,31),Summary!$C$15))*('Dvd Calendar'!$H$1270&lt;=Summary!$C$11)=0,"",'Dvd Calendar'!$H$1270*1000000000+ISNUMBER('Dvd Calendar'!$H$1271)*100000000+('Dvd Calendar'!$H$1275='Field Check'!$C$25)*10000000+(N('Dvd Calendar'!$H$1269)&gt;0)*1000000+85*1000+4))</f>
        <v/>
      </c>
      <c r="G93" s="41">
        <f>IF(N('Dvd Calendar'!$I$1270)=0,"",IF(('Dvd Calendar'!$I$1270&gt;=MIN(DATE(Summary!$C$12,1,1),Summary!$C$11))*('Dvd Calendar'!$I$1270&lt;=MAX(DATE(Summary!$C$12,12,31),Summary!$C$15))*('Dvd Calendar'!$I$1270&lt;=Summary!$C$11)=0,"",'Dvd Calendar'!$I$1270*1000000000+ISNUMBER('Dvd Calendar'!$I$1271)*100000000+('Dvd Calendar'!$I$1275='Field Check'!$C$25)*10000000+(N('Dvd Calendar'!$I$1269)&gt;0)*1000000+85*1000+5))</f>
        <v/>
      </c>
      <c r="H93" s="41">
        <f>IF(N('Dvd Calendar'!$J$1270)=0,"",IF(('Dvd Calendar'!$J$1270&gt;=MIN(DATE(Summary!$C$12,1,1),Summary!$C$11))*('Dvd Calendar'!$J$1270&lt;=MAX(DATE(Summary!$C$12,12,31),Summary!$C$15))*('Dvd Calendar'!$J$1270&lt;=Summary!$C$11)=0,"",'Dvd Calendar'!$J$1270*1000000000+ISNUMBER('Dvd Calendar'!$J$1271)*100000000+('Dvd Calendar'!$J$1275='Field Check'!$C$25)*10000000+(N('Dvd Calendar'!$J$1269)&gt;0)*1000000+85*1000+6))</f>
        <v/>
      </c>
      <c r="I93" s="41">
        <f>IF(N('Dvd Calendar'!$K$1270)=0,"",IF(('Dvd Calendar'!$K$1270&gt;=MIN(DATE(Summary!$C$12,1,1),Summary!$C$11))*('Dvd Calendar'!$K$1270&lt;=MAX(DATE(Summary!$C$12,12,31),Summary!$C$15))*('Dvd Calendar'!$K$1270&lt;=Summary!$C$11)=0,"",'Dvd Calendar'!$K$1270*1000000000+ISNUMBER('Dvd Calendar'!$K$1271)*100000000+('Dvd Calendar'!$K$1275='Field Check'!$C$25)*10000000+(N('Dvd Calendar'!$K$1269)&gt;0)*1000000+85*1000+7))</f>
        <v/>
      </c>
      <c r="J93" s="41">
        <f>IF(N('Dvd Calendar'!$L$1270)=0,"",IF(('Dvd Calendar'!$L$1270&gt;=MIN(DATE(Summary!$C$12,1,1),Summary!$C$11))*('Dvd Calendar'!$L$1270&lt;=MAX(DATE(Summary!$C$12,12,31),Summary!$C$15))*('Dvd Calendar'!$L$1270&lt;=Summary!$C$11)=0,"",'Dvd Calendar'!$L$1270*1000000000+ISNUMBER('Dvd Calendar'!$L$1271)*100000000+('Dvd Calendar'!$L$1275='Field Check'!$C$25)*10000000+(N('Dvd Calendar'!$L$1269)&gt;0)*1000000+85*1000+8))</f>
        <v/>
      </c>
      <c r="K93" s="41">
        <f>IF(N('Dvd Calendar'!$M$1270)=0,"",IF(('Dvd Calendar'!$M$1270&gt;=MIN(DATE(Summary!$C$12,1,1),Summary!$C$11))*('Dvd Calendar'!$M$1270&lt;=MAX(DATE(Summary!$C$12,12,31),Summary!$C$15))*('Dvd Calendar'!$M$1270&lt;=Summary!$C$11)=0,"",'Dvd Calendar'!$M$1270*1000000000+ISNUMBER('Dvd Calendar'!$M$1271)*100000000+('Dvd Calendar'!$M$1275='Field Check'!$C$25)*10000000+(N('Dvd Calendar'!$M$1269)&gt;0)*1000000+85*1000+9))</f>
        <v/>
      </c>
      <c r="L93" s="41">
        <f>IF(N('Dvd Calendar'!$N$1270)=0,"",IF(('Dvd Calendar'!$N$1270&gt;=MIN(DATE(Summary!$C$12,1,1),Summary!$C$11))*('Dvd Calendar'!$N$1270&lt;=MAX(DATE(Summary!$C$12,12,31),Summary!$C$15))*('Dvd Calendar'!$N$1270&lt;=Summary!$C$11)=0,"",'Dvd Calendar'!$N$1270*1000000000+ISNUMBER('Dvd Calendar'!$N$1271)*100000000+('Dvd Calendar'!$N$1275='Field Check'!$C$25)*10000000+(N('Dvd Calendar'!$N$1269)&gt;0)*1000000+85*1000+10))</f>
        <v/>
      </c>
      <c r="M93" s="41">
        <f>IF(N('Dvd Calendar'!$O$1270)=0,"",IF(('Dvd Calendar'!$O$1270&gt;=MIN(DATE(Summary!$C$12,1,1),Summary!$C$11))*('Dvd Calendar'!$O$1270&lt;=MAX(DATE(Summary!$C$12,12,31),Summary!$C$15))*('Dvd Calendar'!$O$1270&lt;=Summary!$C$11)=0,"",'Dvd Calendar'!$O$1270*1000000000+ISNUMBER('Dvd Calendar'!$O$1271)*100000000+('Dvd Calendar'!$O$1275='Field Check'!$C$25)*10000000+(N('Dvd Calendar'!$O$1269)&gt;0)*1000000+85*1000+11))</f>
        <v/>
      </c>
      <c r="N93" s="41">
        <f>IF(N('Dvd Calendar'!$P$1270)=0,"",IF(('Dvd Calendar'!$P$1270&gt;=MIN(DATE(Summary!$C$12,1,1),Summary!$C$11))*('Dvd Calendar'!$P$1270&lt;=MAX(DATE(Summary!$C$12,12,31),Summary!$C$15))*('Dvd Calendar'!$P$1270&lt;=Summary!$C$11)=0,"",'Dvd Calendar'!$P$1270*1000000000+ISNUMBER('Dvd Calendar'!$P$1271)*100000000+('Dvd Calendar'!$P$1275='Field Check'!$C$25)*10000000+(N('Dvd Calendar'!$P$1269)&gt;0)*1000000+85*1000+12))</f>
        <v/>
      </c>
      <c r="O93" s="41">
        <f>IF(N('Dvd Calendar'!$Q$1270)=0,"",IF(('Dvd Calendar'!$Q$1270&gt;=MIN(DATE(Summary!$C$12,1,1),Summary!$C$11))*('Dvd Calendar'!$Q$1270&lt;=MAX(DATE(Summary!$C$12,12,31),Summary!$C$15))*('Dvd Calendar'!$Q$1270&lt;=Summary!$C$11)=0,"",'Dvd Calendar'!$Q$1270*1000000000+ISNUMBER('Dvd Calendar'!$Q$1271)*100000000+('Dvd Calendar'!$Q$1275='Field Check'!$C$25)*10000000+(N('Dvd Calendar'!$Q$1269)&gt;0)*1000000+85*1000+13))</f>
        <v/>
      </c>
      <c r="P93" s="41">
        <f>IF(N('Dvd Calendar'!$R$1270)=0,"",IF(('Dvd Calendar'!$R$1270&gt;=MIN(DATE(Summary!$C$12,1,1),Summary!$C$11))*('Dvd Calendar'!$R$1270&lt;=MAX(DATE(Summary!$C$12,12,31),Summary!$C$15))*('Dvd Calendar'!$R$1270&lt;=Summary!$C$11)=0,"",'Dvd Calendar'!$R$1270*1000000000+ISNUMBER('Dvd Calendar'!$R$1271)*100000000+('Dvd Calendar'!$R$1275='Field Check'!$C$25)*10000000+(N('Dvd Calendar'!$R$1269)&gt;0)*1000000+85*1000+14))</f>
        <v/>
      </c>
      <c r="Q93" s="41">
        <f>IF(N('Dvd Calendar'!$S$1270)=0,"",IF(('Dvd Calendar'!$S$1270&gt;=MIN(DATE(Summary!$C$12,1,1),Summary!$C$11))*('Dvd Calendar'!$S$1270&lt;=MAX(DATE(Summary!$C$12,12,31),Summary!$C$15))*('Dvd Calendar'!$S$1270&lt;=Summary!$C$11)=0,"",'Dvd Calendar'!$S$1270*1000000000+ISNUMBER('Dvd Calendar'!$S$1271)*100000000+('Dvd Calendar'!$S$1275='Field Check'!$C$25)*10000000+(N('Dvd Calendar'!$S$1269)&gt;0)*1000000+85*1000+15))</f>
        <v/>
      </c>
      <c r="R93" s="41">
        <f>IF(N('Dvd Calendar'!$T$1270)=0,"",IF(('Dvd Calendar'!$T$1270&gt;=MIN(DATE(Summary!$C$12,1,1),Summary!$C$11))*('Dvd Calendar'!$T$1270&lt;=MAX(DATE(Summary!$C$12,12,31),Summary!$C$15))*('Dvd Calendar'!$T$1270&lt;=Summary!$C$11)=0,"",'Dvd Calendar'!$T$1270*1000000000+ISNUMBER('Dvd Calendar'!$T$1271)*100000000+('Dvd Calendar'!$T$1275='Field Check'!$C$25)*10000000+(N('Dvd Calendar'!$T$1269)&gt;0)*1000000+85*1000+16))</f>
        <v/>
      </c>
      <c r="S93" s="41">
        <f>IF(N('Dvd Calendar'!$U$1270)=0,"",IF(('Dvd Calendar'!$U$1270&gt;=MIN(DATE(Summary!$C$12,1,1),Summary!$C$11))*('Dvd Calendar'!$U$1270&lt;=MAX(DATE(Summary!$C$12,12,31),Summary!$C$15))*('Dvd Calendar'!$U$1270&lt;=Summary!$C$11)=0,"",'Dvd Calendar'!$U$1270*1000000000+ISNUMBER('Dvd Calendar'!$U$1271)*100000000+('Dvd Calendar'!$U$1275='Field Check'!$C$25)*10000000+(N('Dvd Calendar'!$U$1269)&gt;0)*1000000+85*1000+17))</f>
        <v/>
      </c>
      <c r="T93" s="41">
        <f>IF(N('Dvd Calendar'!$V$1270)=0,"",IF(('Dvd Calendar'!$V$1270&gt;=MIN(DATE(Summary!$C$12,1,1),Summary!$C$11))*('Dvd Calendar'!$V$1270&lt;=MAX(DATE(Summary!$C$12,12,31),Summary!$C$15))*('Dvd Calendar'!$V$1270&lt;=Summary!$C$11)=0,"",'Dvd Calendar'!$V$1270*1000000000+ISNUMBER('Dvd Calendar'!$V$1271)*100000000+('Dvd Calendar'!$V$1275='Field Check'!$C$25)*10000000+(N('Dvd Calendar'!$V$1269)&gt;0)*1000000+85*1000+18))</f>
        <v/>
      </c>
      <c r="U93" s="41">
        <f>IF(N('Dvd Calendar'!$W$1270)=0,"",IF(('Dvd Calendar'!$W$1270&gt;=MIN(DATE(Summary!$C$12,1,1),Summary!$C$11))*('Dvd Calendar'!$W$1270&lt;=MAX(DATE(Summary!$C$12,12,31),Summary!$C$15))*('Dvd Calendar'!$W$1270&lt;=Summary!$C$11)=0,"",'Dvd Calendar'!$W$1270*1000000000+ISNUMBER('Dvd Calendar'!$W$1271)*100000000+('Dvd Calendar'!$W$1275='Field Check'!$C$25)*10000000+(N('Dvd Calendar'!$W$1269)&gt;0)*1000000+85*1000+19))</f>
        <v/>
      </c>
      <c r="V93" s="41">
        <f>IF(N('Dvd Calendar'!$X$1270)=0,"",IF(('Dvd Calendar'!$X$1270&gt;=MIN(DATE(Summary!$C$12,1,1),Summary!$C$11))*('Dvd Calendar'!$X$1270&lt;=MAX(DATE(Summary!$C$12,12,31),Summary!$C$15))*('Dvd Calendar'!$X$1270&lt;=Summary!$C$11)=0,"",'Dvd Calendar'!$X$1270*1000000000+ISNUMBER('Dvd Calendar'!$X$1271)*100000000+('Dvd Calendar'!$X$1275='Field Check'!$C$25)*10000000+(N('Dvd Calendar'!$X$1269)&gt;0)*1000000+85*1000+20))</f>
        <v/>
      </c>
      <c r="W93" s="41">
        <f>IF(N('Dvd Calendar'!$Y$1270)=0,"",IF(('Dvd Calendar'!$Y$1270&gt;=MIN(DATE(Summary!$C$12,1,1),Summary!$C$11))*('Dvd Calendar'!$Y$1270&lt;=MAX(DATE(Summary!$C$12,12,31),Summary!$C$15))*('Dvd Calendar'!$Y$1270&lt;=Summary!$C$11)=0,"",'Dvd Calendar'!$Y$1270*1000000000+ISNUMBER('Dvd Calendar'!$Y$1271)*100000000+('Dvd Calendar'!$Y$1275='Field Check'!$C$25)*10000000+(N('Dvd Calendar'!$Y$1269)&gt;0)*1000000+85*1000+21))</f>
        <v/>
      </c>
      <c r="X93" s="41">
        <f>IF(N('Dvd Calendar'!$Z$1270)=0,"",IF(('Dvd Calendar'!$Z$1270&gt;=MIN(DATE(Summary!$C$12,1,1),Summary!$C$11))*('Dvd Calendar'!$Z$1270&lt;=MAX(DATE(Summary!$C$12,12,31),Summary!$C$15))*('Dvd Calendar'!$Z$1270&lt;=Summary!$C$11)=0,"",'Dvd Calendar'!$Z$1270*1000000000+ISNUMBER('Dvd Calendar'!$Z$1271)*100000000+('Dvd Calendar'!$Z$1275='Field Check'!$C$25)*10000000+(N('Dvd Calendar'!$Z$1269)&gt;0)*1000000+85*1000+22))</f>
        <v/>
      </c>
      <c r="Y93" s="41">
        <f>IF(N('Dvd Calendar'!$AA$1270)=0,"",IF(('Dvd Calendar'!$AA$1270&gt;=MIN(DATE(Summary!$C$12,1,1),Summary!$C$11))*('Dvd Calendar'!$AA$1270&lt;=MAX(DATE(Summary!$C$12,12,31),Summary!$C$15))*('Dvd Calendar'!$AA$1270&lt;=Summary!$C$11)=0,"",'Dvd Calendar'!$AA$1270*1000000000+ISNUMBER('Dvd Calendar'!$AA$1271)*100000000+('Dvd Calendar'!$AA$1275='Field Check'!$C$25)*10000000+(N('Dvd Calendar'!$AA$1269)&gt;0)*1000000+85*1000+23))</f>
        <v/>
      </c>
      <c r="Z93" s="41">
        <f>IF(N('Dvd Calendar'!$AB$1270)=0,"",IF(('Dvd Calendar'!$AB$1270&gt;=MIN(DATE(Summary!$C$12,1,1),Summary!$C$11))*('Dvd Calendar'!$AB$1270&lt;=MAX(DATE(Summary!$C$12,12,31),Summary!$C$15))*('Dvd Calendar'!$AB$1270&lt;=Summary!$C$11)=0,"",'Dvd Calendar'!$AB$1270*1000000000+ISNUMBER('Dvd Calendar'!$AB$1271)*100000000+('Dvd Calendar'!$AB$1275='Field Check'!$C$25)*10000000+(N('Dvd Calendar'!$AB$1269)&gt;0)*1000000+85*1000+24))</f>
        <v/>
      </c>
      <c r="AA93" s="41">
        <f>IF(N('Dvd Calendar'!$AC$1270)=0,"",IF(('Dvd Calendar'!$AC$1270&gt;=MIN(DATE(Summary!$C$12,1,1),Summary!$C$11))*('Dvd Calendar'!$AC$1270&lt;=MAX(DATE(Summary!$C$12,12,31),Summary!$C$15))*('Dvd Calendar'!$AC$1270&lt;=Summary!$C$11)=0,"",'Dvd Calendar'!$AC$1270*1000000000+ISNUMBER('Dvd Calendar'!$AC$1271)*100000000+('Dvd Calendar'!$AC$1275='Field Check'!$C$25)*10000000+(N('Dvd Calendar'!$AC$1269)&gt;0)*1000000+85*1000+25))</f>
        <v/>
      </c>
      <c r="AB93" s="41">
        <f>IF(N('Dvd Calendar'!$AD$1270)=0,"",IF(('Dvd Calendar'!$AD$1270&gt;=MIN(DATE(Summary!$C$12,1,1),Summary!$C$11))*('Dvd Calendar'!$AD$1270&lt;=MAX(DATE(Summary!$C$12,12,31),Summary!$C$15))*('Dvd Calendar'!$AD$1270&lt;=Summary!$C$11)=0,"",'Dvd Calendar'!$AD$1270*1000000000+ISNUMBER('Dvd Calendar'!$AD$1271)*100000000+('Dvd Calendar'!$AD$1275='Field Check'!$C$25)*10000000+(N('Dvd Calendar'!$AD$1269)&gt;0)*1000000+85*1000+26))</f>
        <v/>
      </c>
      <c r="AC93" s="41">
        <f>IF(N('Dvd Calendar'!$AE$1270)=0,"",IF(('Dvd Calendar'!$AE$1270&gt;=MIN(DATE(Summary!$C$12,1,1),Summary!$C$11))*('Dvd Calendar'!$AE$1270&lt;=MAX(DATE(Summary!$C$12,12,31),Summary!$C$15))*('Dvd Calendar'!$AE$1270&lt;=Summary!$C$11)=0,"",'Dvd Calendar'!$AE$1270*1000000000+ISNUMBER('Dvd Calendar'!$AE$1271)*100000000+('Dvd Calendar'!$AE$1275='Field Check'!$C$25)*10000000+(N('Dvd Calendar'!$AE$1269)&gt;0)*1000000+85*1000+27))</f>
        <v/>
      </c>
      <c r="AD93" s="41">
        <f>IF(N('Dvd Calendar'!$AF$1270)=0,"",IF(('Dvd Calendar'!$AF$1270&gt;=MIN(DATE(Summary!$C$12,1,1),Summary!$C$11))*('Dvd Calendar'!$AF$1270&lt;=MAX(DATE(Summary!$C$12,12,31),Summary!$C$15))*('Dvd Calendar'!$AF$1270&lt;=Summary!$C$11)=0,"",'Dvd Calendar'!$AF$1270*1000000000+ISNUMBER('Dvd Calendar'!$AF$1271)*100000000+('Dvd Calendar'!$AF$1275='Field Check'!$C$25)*10000000+(N('Dvd Calendar'!$AF$1269)&gt;0)*1000000+85*1000+28))</f>
        <v/>
      </c>
      <c r="AE93" s="41">
        <f>IF(N('Dvd Calendar'!$AG$1270)=0,"",IF(('Dvd Calendar'!$AG$1270&gt;=MIN(DATE(Summary!$C$12,1,1),Summary!$C$11))*('Dvd Calendar'!$AG$1270&lt;=MAX(DATE(Summary!$C$12,12,31),Summary!$C$15))*('Dvd Calendar'!$AG$1270&lt;=Summary!$C$11)=0,"",'Dvd Calendar'!$AG$1270*1000000000+ISNUMBER('Dvd Calendar'!$AG$1271)*100000000+('Dvd Calendar'!$AG$1275='Field Check'!$C$25)*10000000+(N('Dvd Calendar'!$AG$1269)&gt;0)*1000000+85*1000+29))</f>
        <v/>
      </c>
      <c r="AF93" s="41">
        <f>IF(N('Dvd Calendar'!$AH$1270)=0,"",IF(('Dvd Calendar'!$AH$1270&gt;=MIN(DATE(Summary!$C$12,1,1),Summary!$C$11))*('Dvd Calendar'!$AH$1270&lt;=MAX(DATE(Summary!$C$12,12,31),Summary!$C$15))*('Dvd Calendar'!$AH$1270&lt;=Summary!$C$11)=0,"",'Dvd Calendar'!$AH$1270*1000000000+ISNUMBER('Dvd Calendar'!$AH$1271)*100000000+('Dvd Calendar'!$AH$1275='Field Check'!$C$25)*10000000+(N('Dvd Calendar'!$AH$1269)&gt;0)*1000000+85*1000+30))</f>
        <v/>
      </c>
      <c r="AG93" s="41">
        <f>IF(N('Dvd Calendar'!$AI$1270)=0,"",IF(('Dvd Calendar'!$AI$1270&gt;=MIN(DATE(Summary!$C$12,1,1),Summary!$C$11))*('Dvd Calendar'!$AI$1270&lt;=MAX(DATE(Summary!$C$12,12,31),Summary!$C$15))*('Dvd Calendar'!$AI$1270&lt;=Summary!$C$11)=0,"",'Dvd Calendar'!$AI$1270*1000000000+ISNUMBER('Dvd Calendar'!$AI$1271)*100000000+('Dvd Calendar'!$AI$1275='Field Check'!$C$25)*10000000+(N('Dvd Calendar'!$AI$1269)&gt;0)*1000000+85*1000+31))</f>
        <v/>
      </c>
      <c r="AH93" s="41">
        <f>IF(N('Dvd Calendar'!$AJ$1270)=0,"",IF(('Dvd Calendar'!$AJ$1270&gt;=MIN(DATE(Summary!$C$12,1,1),Summary!$C$11))*('Dvd Calendar'!$AJ$1270&lt;=MAX(DATE(Summary!$C$12,12,31),Summary!$C$15))*('Dvd Calendar'!$AJ$1270&lt;=Summary!$C$11)=0,"",'Dvd Calendar'!$AJ$1270*1000000000+ISNUMBER('Dvd Calendar'!$AJ$1271)*100000000+('Dvd Calendar'!$AJ$1275='Field Check'!$C$25)*10000000+(N('Dvd Calendar'!$AJ$1269)&gt;0)*1000000+85*1000+32))</f>
        <v/>
      </c>
      <c r="AI93" s="41">
        <f>IF(N('Dvd Calendar'!$AK$1270)=0,"",IF(('Dvd Calendar'!$AK$1270&gt;=MIN(DATE(Summary!$C$12,1,1),Summary!$C$11))*('Dvd Calendar'!$AK$1270&lt;=MAX(DATE(Summary!$C$12,12,31),Summary!$C$15))*('Dvd Calendar'!$AK$1270&lt;=Summary!$C$11)=0,"",'Dvd Calendar'!$AK$1270*1000000000+ISNUMBER('Dvd Calendar'!$AK$1271)*100000000+('Dvd Calendar'!$AK$1275='Field Check'!$C$25)*10000000+(N('Dvd Calendar'!$AK$1269)&gt;0)*1000000+85*1000+33))</f>
        <v/>
      </c>
      <c r="AJ93" s="41">
        <f>IF(N('Dvd Calendar'!$AL$1270)=0,"",IF(('Dvd Calendar'!$AL$1270&gt;=MIN(DATE(Summary!$C$12,1,1),Summary!$C$11))*('Dvd Calendar'!$AL$1270&lt;=MAX(DATE(Summary!$C$12,12,31),Summary!$C$15))*('Dvd Calendar'!$AL$1270&lt;=Summary!$C$11)=0,"",'Dvd Calendar'!$AL$1270*1000000000+ISNUMBER('Dvd Calendar'!$AL$1271)*100000000+('Dvd Calendar'!$AL$1275='Field Check'!$C$25)*10000000+(N('Dvd Calendar'!$AL$1269)&gt;0)*1000000+85*1000+34))</f>
        <v/>
      </c>
      <c r="AK93" s="41">
        <f>IF(N('Dvd Calendar'!$AM$1270)=0,"",IF(('Dvd Calendar'!$AM$1270&gt;=MIN(DATE(Summary!$C$12,1,1),Summary!$C$11))*('Dvd Calendar'!$AM$1270&lt;=MAX(DATE(Summary!$C$12,12,31),Summary!$C$15))*('Dvd Calendar'!$AM$1270&lt;=Summary!$C$11)=0,"",'Dvd Calendar'!$AM$1270*1000000000+ISNUMBER('Dvd Calendar'!$AM$1271)*100000000+('Dvd Calendar'!$AM$1275='Field Check'!$C$25)*10000000+(N('Dvd Calendar'!$AM$1269)&gt;0)*1000000+85*1000+35))</f>
        <v/>
      </c>
      <c r="AL93" s="41">
        <f>IF(N('Dvd Calendar'!$AN$1270)=0,"",IF(('Dvd Calendar'!$AN$1270&gt;=MIN(DATE(Summary!$C$12,1,1),Summary!$C$11))*('Dvd Calendar'!$AN$1270&lt;=MAX(DATE(Summary!$C$12,12,31),Summary!$C$15))*('Dvd Calendar'!$AN$1270&lt;=Summary!$C$11)=0,"",'Dvd Calendar'!$AN$1270*1000000000+ISNUMBER('Dvd Calendar'!$AN$1271)*100000000+('Dvd Calendar'!$AN$1275='Field Check'!$C$25)*10000000+(N('Dvd Calendar'!$AN$1269)&gt;0)*1000000+85*1000+36))</f>
        <v/>
      </c>
      <c r="AM93" s="41">
        <f>IF(N('Dvd Calendar'!$AO$1270)=0,"",IF(('Dvd Calendar'!$AO$1270&gt;=MIN(DATE(Summary!$C$12,1,1),Summary!$C$11))*('Dvd Calendar'!$AO$1270&lt;=MAX(DATE(Summary!$C$12,12,31),Summary!$C$15))*('Dvd Calendar'!$AO$1270&lt;=Summary!$C$11)=0,"",'Dvd Calendar'!$AO$1270*1000000000+ISNUMBER('Dvd Calendar'!$AO$1271)*100000000+('Dvd Calendar'!$AO$1275='Field Check'!$C$25)*10000000+(N('Dvd Calendar'!$AO$1269)&gt;0)*1000000+85*1000+37))</f>
        <v/>
      </c>
      <c r="AN93" s="41">
        <f>IF(N('Dvd Calendar'!$AP$1270)=0,"",IF(('Dvd Calendar'!$AP$1270&gt;=MIN(DATE(Summary!$C$12,1,1),Summary!$C$11))*('Dvd Calendar'!$AP$1270&lt;=MAX(DATE(Summary!$C$12,12,31),Summary!$C$15))*('Dvd Calendar'!$AP$1270&lt;=Summary!$C$11)=0,"",'Dvd Calendar'!$AP$1270*1000000000+ISNUMBER('Dvd Calendar'!$AP$1271)*100000000+('Dvd Calendar'!$AP$1275='Field Check'!$C$25)*10000000+(N('Dvd Calendar'!$AP$1269)&gt;0)*1000000+85*1000+38))</f>
        <v/>
      </c>
      <c r="AO93" s="41">
        <f>IF(N('Dvd Calendar'!$AQ$1270)=0,"",IF(('Dvd Calendar'!$AQ$1270&gt;=MIN(DATE(Summary!$C$12,1,1),Summary!$C$11))*('Dvd Calendar'!$AQ$1270&lt;=MAX(DATE(Summary!$C$12,12,31),Summary!$C$15))*('Dvd Calendar'!$AQ$1270&lt;=Summary!$C$11)=0,"",'Dvd Calendar'!$AQ$1270*1000000000+ISNUMBER('Dvd Calendar'!$AQ$1271)*100000000+('Dvd Calendar'!$AQ$1275='Field Check'!$C$25)*10000000+(N('Dvd Calendar'!$AQ$1269)&gt;0)*1000000+85*1000+39))</f>
        <v/>
      </c>
      <c r="AP93" s="41">
        <f>IF(N('Dvd Calendar'!$AR$1270)=0,"",IF(('Dvd Calendar'!$AR$1270&gt;=MIN(DATE(Summary!$C$12,1,1),Summary!$C$11))*('Dvd Calendar'!$AR$1270&lt;=MAX(DATE(Summary!$C$12,12,31),Summary!$C$15))*('Dvd Calendar'!$AR$1270&lt;=Summary!$C$11)=0,"",'Dvd Calendar'!$AR$1270*1000000000+ISNUMBER('Dvd Calendar'!$AR$1271)*100000000+('Dvd Calendar'!$AR$1275='Field Check'!$C$25)*10000000+(N('Dvd Calendar'!$AR$1269)&gt;0)*1000000+85*1000+40))</f>
        <v/>
      </c>
      <c r="AQ93" s="41">
        <f>IF(N('Dvd Calendar'!$E$1277)=0,"",IF(('Dvd Calendar'!$E$1277&gt;=MIN(DATE(Summary!$C$12,1,1),Summary!$C$11))*('Dvd Calendar'!$E$1277&lt;=MAX(DATE(Summary!$C$12,12,31),Summary!$C$15))*('Dvd Calendar'!$E$1277&gt;Summary!$C$11)=0,"",'Dvd Calendar'!$E$1277*1000000000+ISNUMBER('Dvd Calendar'!$E$1278)*100000000+('Dvd Calendar'!$E$1282='Field Check'!$C$25)*10000000+(N('Dvd Calendar'!$E$1276)&gt;0)*1000000+85*1000+41))</f>
        <v/>
      </c>
      <c r="AR93" s="41">
        <f>IF(N('Dvd Calendar'!$F$1277)=0,"",IF(('Dvd Calendar'!$F$1277&gt;=MIN(DATE(Summary!$C$12,1,1),Summary!$C$11))*('Dvd Calendar'!$F$1277&lt;=MAX(DATE(Summary!$C$12,12,31),Summary!$C$15))*('Dvd Calendar'!$F$1277&gt;Summary!$C$11)=0,"",'Dvd Calendar'!$F$1277*1000000000+ISNUMBER('Dvd Calendar'!$F$1278)*100000000+('Dvd Calendar'!$F$1282='Field Check'!$C$25)*10000000+(N('Dvd Calendar'!$F$1276)&gt;0)*1000000+85*1000+42))</f>
        <v/>
      </c>
      <c r="AS93" s="41">
        <f>IF(N('Dvd Calendar'!$G$1277)=0,"",IF(('Dvd Calendar'!$G$1277&gt;=MIN(DATE(Summary!$C$12,1,1),Summary!$C$11))*('Dvd Calendar'!$G$1277&lt;=MAX(DATE(Summary!$C$12,12,31),Summary!$C$15))*('Dvd Calendar'!$G$1277&gt;Summary!$C$11)=0,"",'Dvd Calendar'!$G$1277*1000000000+ISNUMBER('Dvd Calendar'!$G$1278)*100000000+('Dvd Calendar'!$G$1282='Field Check'!$C$25)*10000000+(N('Dvd Calendar'!$G$1276)&gt;0)*1000000+85*1000+43))</f>
        <v/>
      </c>
      <c r="AT93" s="41">
        <f>IF(N('Dvd Calendar'!$H$1277)=0,"",IF(('Dvd Calendar'!$H$1277&gt;=MIN(DATE(Summary!$C$12,1,1),Summary!$C$11))*('Dvd Calendar'!$H$1277&lt;=MAX(DATE(Summary!$C$12,12,31),Summary!$C$15))*('Dvd Calendar'!$H$1277&gt;Summary!$C$11)=0,"",'Dvd Calendar'!$H$1277*1000000000+ISNUMBER('Dvd Calendar'!$H$1278)*100000000+('Dvd Calendar'!$H$1282='Field Check'!$C$25)*10000000+(N('Dvd Calendar'!$H$1276)&gt;0)*1000000+85*1000+44))</f>
        <v/>
      </c>
      <c r="AU93" s="41">
        <f>IF(N('Dvd Calendar'!$I$1277)=0,"",IF(('Dvd Calendar'!$I$1277&gt;=MIN(DATE(Summary!$C$12,1,1),Summary!$C$11))*('Dvd Calendar'!$I$1277&lt;=MAX(DATE(Summary!$C$12,12,31),Summary!$C$15))*('Dvd Calendar'!$I$1277&gt;Summary!$C$11)=0,"",'Dvd Calendar'!$I$1277*1000000000+ISNUMBER('Dvd Calendar'!$I$1278)*100000000+('Dvd Calendar'!$I$1282='Field Check'!$C$25)*10000000+(N('Dvd Calendar'!$I$1276)&gt;0)*1000000+85*1000+45))</f>
        <v/>
      </c>
      <c r="AV93" s="41">
        <f>IF(N('Dvd Calendar'!$J$1277)=0,"",IF(('Dvd Calendar'!$J$1277&gt;=MIN(DATE(Summary!$C$12,1,1),Summary!$C$11))*('Dvd Calendar'!$J$1277&lt;=MAX(DATE(Summary!$C$12,12,31),Summary!$C$15))*('Dvd Calendar'!$J$1277&gt;Summary!$C$11)=0,"",'Dvd Calendar'!$J$1277*1000000000+ISNUMBER('Dvd Calendar'!$J$1278)*100000000+('Dvd Calendar'!$J$1282='Field Check'!$C$25)*10000000+(N('Dvd Calendar'!$J$1276)&gt;0)*1000000+85*1000+46))</f>
        <v/>
      </c>
      <c r="AW93" s="41">
        <f>IF(N('Dvd Calendar'!$K$1277)=0,"",IF(('Dvd Calendar'!$K$1277&gt;=MIN(DATE(Summary!$C$12,1,1),Summary!$C$11))*('Dvd Calendar'!$K$1277&lt;=MAX(DATE(Summary!$C$12,12,31),Summary!$C$15))*('Dvd Calendar'!$K$1277&gt;Summary!$C$11)=0,"",'Dvd Calendar'!$K$1277*1000000000+ISNUMBER('Dvd Calendar'!$K$1278)*100000000+('Dvd Calendar'!$K$1282='Field Check'!$C$25)*10000000+(N('Dvd Calendar'!$K$1276)&gt;0)*1000000+85*1000+47))</f>
        <v/>
      </c>
      <c r="AX93" s="41">
        <f>IF(N('Dvd Calendar'!$L$1277)=0,"",IF(('Dvd Calendar'!$L$1277&gt;=MIN(DATE(Summary!$C$12,1,1),Summary!$C$11))*('Dvd Calendar'!$L$1277&lt;=MAX(DATE(Summary!$C$12,12,31),Summary!$C$15))*('Dvd Calendar'!$L$1277&gt;Summary!$C$11)=0,"",'Dvd Calendar'!$L$1277*1000000000+ISNUMBER('Dvd Calendar'!$L$1278)*100000000+('Dvd Calendar'!$L$1282='Field Check'!$C$25)*10000000+(N('Dvd Calendar'!$L$1276)&gt;0)*1000000+85*1000+48))</f>
        <v/>
      </c>
      <c r="AY93" s="41">
        <f>IF(N('Dvd Calendar'!$M$1277)=0,"",IF(('Dvd Calendar'!$M$1277&gt;=MIN(DATE(Summary!$C$12,1,1),Summary!$C$11))*('Dvd Calendar'!$M$1277&lt;=MAX(DATE(Summary!$C$12,12,31),Summary!$C$15))*('Dvd Calendar'!$M$1277&gt;Summary!$C$11)=0,"",'Dvd Calendar'!$M$1277*1000000000+ISNUMBER('Dvd Calendar'!$M$1278)*100000000+('Dvd Calendar'!$M$1282='Field Check'!$C$25)*10000000+(N('Dvd Calendar'!$M$1276)&gt;0)*1000000+85*1000+49))</f>
        <v/>
      </c>
      <c r="AZ93" s="41">
        <f>IF(N('Dvd Calendar'!$N$1277)=0,"",IF(('Dvd Calendar'!$N$1277&gt;=MIN(DATE(Summary!$C$12,1,1),Summary!$C$11))*('Dvd Calendar'!$N$1277&lt;=MAX(DATE(Summary!$C$12,12,31),Summary!$C$15))*('Dvd Calendar'!$N$1277&gt;Summary!$C$11)=0,"",'Dvd Calendar'!$N$1277*1000000000+ISNUMBER('Dvd Calendar'!$N$1278)*100000000+('Dvd Calendar'!$N$1282='Field Check'!$C$25)*10000000+(N('Dvd Calendar'!$N$1276)&gt;0)*1000000+85*1000+50))</f>
        <v/>
      </c>
      <c r="BA93" s="41">
        <f>IF(N('Dvd Calendar'!$O$1277)=0,"",IF(('Dvd Calendar'!$O$1277&gt;=MIN(DATE(Summary!$C$12,1,1),Summary!$C$11))*('Dvd Calendar'!$O$1277&lt;=MAX(DATE(Summary!$C$12,12,31),Summary!$C$15))*('Dvd Calendar'!$O$1277&gt;Summary!$C$11)=0,"",'Dvd Calendar'!$O$1277*1000000000+ISNUMBER('Dvd Calendar'!$O$1278)*100000000+('Dvd Calendar'!$O$1282='Field Check'!$C$25)*10000000+(N('Dvd Calendar'!$O$1276)&gt;0)*1000000+85*1000+51))</f>
        <v/>
      </c>
      <c r="BB93" s="41">
        <f>IF(N('Dvd Calendar'!$P$1277)=0,"",IF(('Dvd Calendar'!$P$1277&gt;=MIN(DATE(Summary!$C$12,1,1),Summary!$C$11))*('Dvd Calendar'!$P$1277&lt;=MAX(DATE(Summary!$C$12,12,31),Summary!$C$15))*('Dvd Calendar'!$P$1277&gt;Summary!$C$11)=0,"",'Dvd Calendar'!$P$1277*1000000000+ISNUMBER('Dvd Calendar'!$P$1278)*100000000+('Dvd Calendar'!$P$1282='Field Check'!$C$25)*10000000+(N('Dvd Calendar'!$P$1276)&gt;0)*1000000+85*1000+52))</f>
        <v/>
      </c>
      <c r="BC93" s="41">
        <f>IF(N('Dvd Calendar'!$Q$1277)=0,"",IF(('Dvd Calendar'!$Q$1277&gt;=MIN(DATE(Summary!$C$12,1,1),Summary!$C$11))*('Dvd Calendar'!$Q$1277&lt;=MAX(DATE(Summary!$C$12,12,31),Summary!$C$15))*('Dvd Calendar'!$Q$1277&gt;Summary!$C$11)=0,"",'Dvd Calendar'!$Q$1277*1000000000+ISNUMBER('Dvd Calendar'!$Q$1278)*100000000+('Dvd Calendar'!$Q$1282='Field Check'!$C$25)*10000000+(N('Dvd Calendar'!$Q$1276)&gt;0)*1000000+85*1000+53))</f>
        <v/>
      </c>
      <c r="BD93" s="41">
        <f>IF(N('Dvd Calendar'!$R$1277)=0,"",IF(('Dvd Calendar'!$R$1277&gt;=MIN(DATE(Summary!$C$12,1,1),Summary!$C$11))*('Dvd Calendar'!$R$1277&lt;=MAX(DATE(Summary!$C$12,12,31),Summary!$C$15))*('Dvd Calendar'!$R$1277&gt;Summary!$C$11)=0,"",'Dvd Calendar'!$R$1277*1000000000+ISNUMBER('Dvd Calendar'!$R$1278)*100000000+('Dvd Calendar'!$R$1282='Field Check'!$C$25)*10000000+(N('Dvd Calendar'!$R$1276)&gt;0)*1000000+85*1000+54))</f>
        <v/>
      </c>
      <c r="BE93" s="41">
        <f>IF(N('Dvd Calendar'!$S$1277)=0,"",IF(('Dvd Calendar'!$S$1277&gt;=MIN(DATE(Summary!$C$12,1,1),Summary!$C$11))*('Dvd Calendar'!$S$1277&lt;=MAX(DATE(Summary!$C$12,12,31),Summary!$C$15))*('Dvd Calendar'!$S$1277&gt;Summary!$C$11)=0,"",'Dvd Calendar'!$S$1277*1000000000+ISNUMBER('Dvd Calendar'!$S$1278)*100000000+('Dvd Calendar'!$S$1282='Field Check'!$C$25)*10000000+(N('Dvd Calendar'!$S$1276)&gt;0)*1000000+85*1000+55))</f>
        <v/>
      </c>
      <c r="BF93" s="41">
        <f>IF(N('Dvd Calendar'!$T$1277)=0,"",IF(('Dvd Calendar'!$T$1277&gt;=MIN(DATE(Summary!$C$12,1,1),Summary!$C$11))*('Dvd Calendar'!$T$1277&lt;=MAX(DATE(Summary!$C$12,12,31),Summary!$C$15))*('Dvd Calendar'!$T$1277&gt;Summary!$C$11)=0,"",'Dvd Calendar'!$T$1277*1000000000+ISNUMBER('Dvd Calendar'!$T$1278)*100000000+('Dvd Calendar'!$T$1282='Field Check'!$C$25)*10000000+(N('Dvd Calendar'!$T$1276)&gt;0)*1000000+85*1000+56))</f>
        <v/>
      </c>
      <c r="BG93" s="41">
        <f>IF(N('Dvd Calendar'!$U$1277)=0,"",IF(('Dvd Calendar'!$U$1277&gt;=MIN(DATE(Summary!$C$12,1,1),Summary!$C$11))*('Dvd Calendar'!$U$1277&lt;=MAX(DATE(Summary!$C$12,12,31),Summary!$C$15))*('Dvd Calendar'!$U$1277&gt;Summary!$C$11)=0,"",'Dvd Calendar'!$U$1277*1000000000+ISNUMBER('Dvd Calendar'!$U$1278)*100000000+('Dvd Calendar'!$U$1282='Field Check'!$C$25)*10000000+(N('Dvd Calendar'!$U$1276)&gt;0)*1000000+85*1000+57))</f>
        <v/>
      </c>
      <c r="BH93" s="41">
        <f>IF(N('Dvd Calendar'!$V$1277)=0,"",IF(('Dvd Calendar'!$V$1277&gt;=MIN(DATE(Summary!$C$12,1,1),Summary!$C$11))*('Dvd Calendar'!$V$1277&lt;=MAX(DATE(Summary!$C$12,12,31),Summary!$C$15))*('Dvd Calendar'!$V$1277&gt;Summary!$C$11)=0,"",'Dvd Calendar'!$V$1277*1000000000+ISNUMBER('Dvd Calendar'!$V$1278)*100000000+('Dvd Calendar'!$V$1282='Field Check'!$C$25)*10000000+(N('Dvd Calendar'!$V$1276)&gt;0)*1000000+85*1000+58))</f>
        <v/>
      </c>
      <c r="BI93" s="41">
        <f>IF(N('Dvd Calendar'!$W$1277)=0,"",IF(('Dvd Calendar'!$W$1277&gt;=MIN(DATE(Summary!$C$12,1,1),Summary!$C$11))*('Dvd Calendar'!$W$1277&lt;=MAX(DATE(Summary!$C$12,12,31),Summary!$C$15))*('Dvd Calendar'!$W$1277&gt;Summary!$C$11)=0,"",'Dvd Calendar'!$W$1277*1000000000+ISNUMBER('Dvd Calendar'!$W$1278)*100000000+('Dvd Calendar'!$W$1282='Field Check'!$C$25)*10000000+(N('Dvd Calendar'!$W$1276)&gt;0)*1000000+85*1000+59))</f>
        <v/>
      </c>
      <c r="BJ93" s="41">
        <f>IF(N('Dvd Calendar'!$X$1277)=0,"",IF(('Dvd Calendar'!$X$1277&gt;=MIN(DATE(Summary!$C$12,1,1),Summary!$C$11))*('Dvd Calendar'!$X$1277&lt;=MAX(DATE(Summary!$C$12,12,31),Summary!$C$15))*('Dvd Calendar'!$X$1277&gt;Summary!$C$11)=0,"",'Dvd Calendar'!$X$1277*1000000000+ISNUMBER('Dvd Calendar'!$X$1278)*100000000+('Dvd Calendar'!$X$1282='Field Check'!$C$25)*10000000+(N('Dvd Calendar'!$X$1276)&gt;0)*1000000+85*1000+60))</f>
        <v/>
      </c>
      <c r="BK93" s="41">
        <f>IF(N('Dvd Calendar'!$Y$1277)=0,"",IF(('Dvd Calendar'!$Y$1277&gt;=MIN(DATE(Summary!$C$12,1,1),Summary!$C$11))*('Dvd Calendar'!$Y$1277&lt;=MAX(DATE(Summary!$C$12,12,31),Summary!$C$15))*('Dvd Calendar'!$Y$1277&gt;Summary!$C$11)=0,"",'Dvd Calendar'!$Y$1277*1000000000+ISNUMBER('Dvd Calendar'!$Y$1278)*100000000+('Dvd Calendar'!$Y$1282='Field Check'!$C$25)*10000000+(N('Dvd Calendar'!$Y$1276)&gt;0)*1000000+85*1000+61))</f>
        <v/>
      </c>
      <c r="BL93" s="41">
        <f>IF(N('Dvd Calendar'!$Z$1277)=0,"",IF(('Dvd Calendar'!$Z$1277&gt;=MIN(DATE(Summary!$C$12,1,1),Summary!$C$11))*('Dvd Calendar'!$Z$1277&lt;=MAX(DATE(Summary!$C$12,12,31),Summary!$C$15))*('Dvd Calendar'!$Z$1277&gt;Summary!$C$11)=0,"",'Dvd Calendar'!$Z$1277*1000000000+ISNUMBER('Dvd Calendar'!$Z$1278)*100000000+('Dvd Calendar'!$Z$1282='Field Check'!$C$25)*10000000+(N('Dvd Calendar'!$Z$1276)&gt;0)*1000000+85*1000+62))</f>
        <v/>
      </c>
      <c r="BM93" s="41">
        <f>IF(N('Dvd Calendar'!$AA$1277)=0,"",IF(('Dvd Calendar'!$AA$1277&gt;=MIN(DATE(Summary!$C$12,1,1),Summary!$C$11))*('Dvd Calendar'!$AA$1277&lt;=MAX(DATE(Summary!$C$12,12,31),Summary!$C$15))*('Dvd Calendar'!$AA$1277&gt;Summary!$C$11)=0,"",'Dvd Calendar'!$AA$1277*1000000000+ISNUMBER('Dvd Calendar'!$AA$1278)*100000000+('Dvd Calendar'!$AA$1282='Field Check'!$C$25)*10000000+(N('Dvd Calendar'!$AA$1276)&gt;0)*1000000+85*1000+63))</f>
        <v/>
      </c>
      <c r="BN93" s="41">
        <f>IF(N('Dvd Calendar'!$AB$1277)=0,"",IF(('Dvd Calendar'!$AB$1277&gt;=MIN(DATE(Summary!$C$12,1,1),Summary!$C$11))*('Dvd Calendar'!$AB$1277&lt;=MAX(DATE(Summary!$C$12,12,31),Summary!$C$15))*('Dvd Calendar'!$AB$1277&gt;Summary!$C$11)=0,"",'Dvd Calendar'!$AB$1277*1000000000+ISNUMBER('Dvd Calendar'!$AB$1278)*100000000+('Dvd Calendar'!$AB$1282='Field Check'!$C$25)*10000000+(N('Dvd Calendar'!$AB$1276)&gt;0)*1000000+85*1000+64))</f>
        <v/>
      </c>
      <c r="BO93" s="41">
        <f>IF(N('Dvd Calendar'!$AC$1277)=0,"",IF(('Dvd Calendar'!$AC$1277&gt;=MIN(DATE(Summary!$C$12,1,1),Summary!$C$11))*('Dvd Calendar'!$AC$1277&lt;=MAX(DATE(Summary!$C$12,12,31),Summary!$C$15))*('Dvd Calendar'!$AC$1277&gt;Summary!$C$11)=0,"",'Dvd Calendar'!$AC$1277*1000000000+ISNUMBER('Dvd Calendar'!$AC$1278)*100000000+('Dvd Calendar'!$AC$1282='Field Check'!$C$25)*10000000+(N('Dvd Calendar'!$AC$1276)&gt;0)*1000000+85*1000+65))</f>
        <v/>
      </c>
      <c r="BQ93" s="85">
        <f>IF(C93="","",IF(ISNUMBER('Dvd Calendar'!$E$1271)=FALSE,"",IF((Summary!$C$13="N")*('Dvd Calendar'!$E$1275='Field Check'!$C$25)&gt;0,"",'Dvd Calendar'!$E$1271)))</f>
        <v/>
      </c>
      <c r="BR93" s="85">
        <f>IF(D93="","",IF(ISNUMBER('Dvd Calendar'!$F$1271)=FALSE,"",IF((Summary!$C$13="N")*('Dvd Calendar'!$F$1275='Field Check'!$C$25)&gt;0,"",'Dvd Calendar'!$F$1271)))</f>
        <v/>
      </c>
      <c r="BS93" s="85">
        <f>IF(E93="","",IF(ISNUMBER('Dvd Calendar'!$G$1271)=FALSE,"",IF((Summary!$C$13="N")*('Dvd Calendar'!$G$1275='Field Check'!$C$25)&gt;0,"",'Dvd Calendar'!$G$1271)))</f>
        <v/>
      </c>
      <c r="BT93" s="85">
        <f>IF(F93="","",IF(ISNUMBER('Dvd Calendar'!$H$1271)=FALSE,"",IF((Summary!$C$13="N")*('Dvd Calendar'!$H$1275='Field Check'!$C$25)&gt;0,"",'Dvd Calendar'!$H$1271)))</f>
        <v/>
      </c>
      <c r="BU93" s="85">
        <f>IF(G93="","",IF(ISNUMBER('Dvd Calendar'!$I$1271)=FALSE,"",IF((Summary!$C$13="N")*('Dvd Calendar'!$I$1275='Field Check'!$C$25)&gt;0,"",'Dvd Calendar'!$I$1271)))</f>
        <v/>
      </c>
      <c r="BV93" s="85">
        <f>IF(H93="","",IF(ISNUMBER('Dvd Calendar'!$J$1271)=FALSE,"",IF((Summary!$C$13="N")*('Dvd Calendar'!$J$1275='Field Check'!$C$25)&gt;0,"",'Dvd Calendar'!$J$1271)))</f>
        <v/>
      </c>
      <c r="BW93" s="85">
        <f>IF(I93="","",IF(ISNUMBER('Dvd Calendar'!$K$1271)=FALSE,"",IF((Summary!$C$13="N")*('Dvd Calendar'!$K$1275='Field Check'!$C$25)&gt;0,"",'Dvd Calendar'!$K$1271)))</f>
        <v/>
      </c>
      <c r="BX93" s="85">
        <f>IF(J93="","",IF(ISNUMBER('Dvd Calendar'!$L$1271)=FALSE,"",IF((Summary!$C$13="N")*('Dvd Calendar'!$L$1275='Field Check'!$C$25)&gt;0,"",'Dvd Calendar'!$L$1271)))</f>
        <v/>
      </c>
      <c r="BY93" s="85">
        <f>IF(K93="","",IF(ISNUMBER('Dvd Calendar'!$M$1271)=FALSE,"",IF((Summary!$C$13="N")*('Dvd Calendar'!$M$1275='Field Check'!$C$25)&gt;0,"",'Dvd Calendar'!$M$1271)))</f>
        <v/>
      </c>
      <c r="BZ93" s="85">
        <f>IF(L93="","",IF(ISNUMBER('Dvd Calendar'!$N$1271)=FALSE,"",IF((Summary!$C$13="N")*('Dvd Calendar'!$N$1275='Field Check'!$C$25)&gt;0,"",'Dvd Calendar'!$N$1271)))</f>
        <v/>
      </c>
      <c r="CA93" s="85">
        <f>IF(M93="","",IF(ISNUMBER('Dvd Calendar'!$O$1271)=FALSE,"",IF((Summary!$C$13="N")*('Dvd Calendar'!$O$1275='Field Check'!$C$25)&gt;0,"",'Dvd Calendar'!$O$1271)))</f>
        <v/>
      </c>
      <c r="CB93" s="85">
        <f>IF(N93="","",IF(ISNUMBER('Dvd Calendar'!$P$1271)=FALSE,"",IF((Summary!$C$13="N")*('Dvd Calendar'!$P$1275='Field Check'!$C$25)&gt;0,"",'Dvd Calendar'!$P$1271)))</f>
        <v/>
      </c>
      <c r="CC93" s="85">
        <f>IF(O93="","",IF(ISNUMBER('Dvd Calendar'!$Q$1271)=FALSE,"",IF((Summary!$C$13="N")*('Dvd Calendar'!$Q$1275='Field Check'!$C$25)&gt;0,"",'Dvd Calendar'!$Q$1271)))</f>
        <v/>
      </c>
      <c r="CD93" s="85">
        <f>IF(P93="","",IF(ISNUMBER('Dvd Calendar'!$R$1271)=FALSE,"",IF((Summary!$C$13="N")*('Dvd Calendar'!$R$1275='Field Check'!$C$25)&gt;0,"",'Dvd Calendar'!$R$1271)))</f>
        <v/>
      </c>
      <c r="CE93" s="85">
        <f>IF(Q93="","",IF(ISNUMBER('Dvd Calendar'!$S$1271)=FALSE,"",IF((Summary!$C$13="N")*('Dvd Calendar'!$S$1275='Field Check'!$C$25)&gt;0,"",'Dvd Calendar'!$S$1271)))</f>
        <v/>
      </c>
      <c r="CF93" s="85">
        <f>IF(R93="","",IF(ISNUMBER('Dvd Calendar'!$T$1271)=FALSE,"",IF((Summary!$C$13="N")*('Dvd Calendar'!$T$1275='Field Check'!$C$25)&gt;0,"",'Dvd Calendar'!$T$1271)))</f>
        <v/>
      </c>
      <c r="CG93" s="85">
        <f>IF(S93="","",IF(ISNUMBER('Dvd Calendar'!$U$1271)=FALSE,"",IF((Summary!$C$13="N")*('Dvd Calendar'!$U$1275='Field Check'!$C$25)&gt;0,"",'Dvd Calendar'!$U$1271)))</f>
        <v/>
      </c>
      <c r="CH93" s="85">
        <f>IF(T93="","",IF(ISNUMBER('Dvd Calendar'!$V$1271)=FALSE,"",IF((Summary!$C$13="N")*('Dvd Calendar'!$V$1275='Field Check'!$C$25)&gt;0,"",'Dvd Calendar'!$V$1271)))</f>
        <v/>
      </c>
      <c r="CI93" s="85">
        <f>IF(U93="","",IF(ISNUMBER('Dvd Calendar'!$W$1271)=FALSE,"",IF((Summary!$C$13="N")*('Dvd Calendar'!$W$1275='Field Check'!$C$25)&gt;0,"",'Dvd Calendar'!$W$1271)))</f>
        <v/>
      </c>
      <c r="CJ93" s="85">
        <f>IF(V93="","",IF(ISNUMBER('Dvd Calendar'!$X$1271)=FALSE,"",IF((Summary!$C$13="N")*('Dvd Calendar'!$X$1275='Field Check'!$C$25)&gt;0,"",'Dvd Calendar'!$X$1271)))</f>
        <v/>
      </c>
      <c r="CK93" s="85">
        <f>IF(W93="","",IF(ISNUMBER('Dvd Calendar'!$Y$1271)=FALSE,"",IF((Summary!$C$13="N")*('Dvd Calendar'!$Y$1275='Field Check'!$C$25)&gt;0,"",'Dvd Calendar'!$Y$1271)))</f>
        <v/>
      </c>
      <c r="CL93" s="85">
        <f>IF(X93="","",IF(ISNUMBER('Dvd Calendar'!$Z$1271)=FALSE,"",IF((Summary!$C$13="N")*('Dvd Calendar'!$Z$1275='Field Check'!$C$25)&gt;0,"",'Dvd Calendar'!$Z$1271)))</f>
        <v/>
      </c>
      <c r="CM93" s="85">
        <f>IF(Y93="","",IF(ISNUMBER('Dvd Calendar'!$AA$1271)=FALSE,"",IF((Summary!$C$13="N")*('Dvd Calendar'!$AA$1275='Field Check'!$C$25)&gt;0,"",'Dvd Calendar'!$AA$1271)))</f>
        <v/>
      </c>
      <c r="CN93" s="85">
        <f>IF(Z93="","",IF(ISNUMBER('Dvd Calendar'!$AB$1271)=FALSE,"",IF((Summary!$C$13="N")*('Dvd Calendar'!$AB$1275='Field Check'!$C$25)&gt;0,"",'Dvd Calendar'!$AB$1271)))</f>
        <v/>
      </c>
      <c r="CO93" s="85">
        <f>IF(AA93="","",IF(ISNUMBER('Dvd Calendar'!$AC$1271)=FALSE,"",IF((Summary!$C$13="N")*('Dvd Calendar'!$AC$1275='Field Check'!$C$25)&gt;0,"",'Dvd Calendar'!$AC$1271)))</f>
        <v/>
      </c>
      <c r="CP93" s="85">
        <f>IF(AB93="","",IF(ISNUMBER('Dvd Calendar'!$AD$1271)=FALSE,"",IF((Summary!$C$13="N")*('Dvd Calendar'!$AD$1275='Field Check'!$C$25)&gt;0,"",'Dvd Calendar'!$AD$1271)))</f>
        <v/>
      </c>
      <c r="CQ93" s="85">
        <f>IF(AC93="","",IF(ISNUMBER('Dvd Calendar'!$AE$1271)=FALSE,"",IF((Summary!$C$13="N")*('Dvd Calendar'!$AE$1275='Field Check'!$C$25)&gt;0,"",'Dvd Calendar'!$AE$1271)))</f>
        <v/>
      </c>
      <c r="CR93" s="85">
        <f>IF(AD93="","",IF(ISNUMBER('Dvd Calendar'!$AF$1271)=FALSE,"",IF((Summary!$C$13="N")*('Dvd Calendar'!$AF$1275='Field Check'!$C$25)&gt;0,"",'Dvd Calendar'!$AF$1271)))</f>
        <v/>
      </c>
      <c r="CS93" s="85">
        <f>IF(AE93="","",IF(ISNUMBER('Dvd Calendar'!$AG$1271)=FALSE,"",IF((Summary!$C$13="N")*('Dvd Calendar'!$AG$1275='Field Check'!$C$25)&gt;0,"",'Dvd Calendar'!$AG$1271)))</f>
        <v/>
      </c>
      <c r="CT93" s="85">
        <f>IF(AF93="","",IF(ISNUMBER('Dvd Calendar'!$AH$1271)=FALSE,"",IF((Summary!$C$13="N")*('Dvd Calendar'!$AH$1275='Field Check'!$C$25)&gt;0,"",'Dvd Calendar'!$AH$1271)))</f>
        <v/>
      </c>
      <c r="CU93" s="85">
        <f>IF(AG93="","",IF(ISNUMBER('Dvd Calendar'!$AI$1271)=FALSE,"",IF((Summary!$C$13="N")*('Dvd Calendar'!$AI$1275='Field Check'!$C$25)&gt;0,"",'Dvd Calendar'!$AI$1271)))</f>
        <v/>
      </c>
      <c r="CV93" s="85">
        <f>IF(AH93="","",IF(ISNUMBER('Dvd Calendar'!$AJ$1271)=FALSE,"",IF((Summary!$C$13="N")*('Dvd Calendar'!$AJ$1275='Field Check'!$C$25)&gt;0,"",'Dvd Calendar'!$AJ$1271)))</f>
        <v/>
      </c>
      <c r="CW93" s="85">
        <f>IF(AI93="","",IF(ISNUMBER('Dvd Calendar'!$AK$1271)=FALSE,"",IF((Summary!$C$13="N")*('Dvd Calendar'!$AK$1275='Field Check'!$C$25)&gt;0,"",'Dvd Calendar'!$AK$1271)))</f>
        <v/>
      </c>
      <c r="CX93" s="85">
        <f>IF(AJ93="","",IF(ISNUMBER('Dvd Calendar'!$AL$1271)=FALSE,"",IF((Summary!$C$13="N")*('Dvd Calendar'!$AL$1275='Field Check'!$C$25)&gt;0,"",'Dvd Calendar'!$AL$1271)))</f>
        <v/>
      </c>
      <c r="CY93" s="85">
        <f>IF(AK93="","",IF(ISNUMBER('Dvd Calendar'!$AM$1271)=FALSE,"",IF((Summary!$C$13="N")*('Dvd Calendar'!$AM$1275='Field Check'!$C$25)&gt;0,"",'Dvd Calendar'!$AM$1271)))</f>
        <v/>
      </c>
      <c r="CZ93" s="85">
        <f>IF(AL93="","",IF(ISNUMBER('Dvd Calendar'!$AN$1271)=FALSE,"",IF((Summary!$C$13="N")*('Dvd Calendar'!$AN$1275='Field Check'!$C$25)&gt;0,"",'Dvd Calendar'!$AN$1271)))</f>
        <v/>
      </c>
      <c r="DA93" s="85">
        <f>IF(AM93="","",IF(ISNUMBER('Dvd Calendar'!$AO$1271)=FALSE,"",IF((Summary!$C$13="N")*('Dvd Calendar'!$AO$1275='Field Check'!$C$25)&gt;0,"",'Dvd Calendar'!$AO$1271)))</f>
        <v/>
      </c>
      <c r="DB93" s="85">
        <f>IF(AN93="","",IF(ISNUMBER('Dvd Calendar'!$AP$1271)=FALSE,"",IF((Summary!$C$13="N")*('Dvd Calendar'!$AP$1275='Field Check'!$C$25)&gt;0,"",'Dvd Calendar'!$AP$1271)))</f>
        <v/>
      </c>
      <c r="DC93" s="85">
        <f>IF(AO93="","",IF(ISNUMBER('Dvd Calendar'!$AQ$1271)=FALSE,"",IF((Summary!$C$13="N")*('Dvd Calendar'!$AQ$1275='Field Check'!$C$25)&gt;0,"",'Dvd Calendar'!$AQ$1271)))</f>
        <v/>
      </c>
      <c r="DD93" s="85">
        <f>IF(AP93="","",IF(ISNUMBER('Dvd Calendar'!$AR$1271)=FALSE,"",IF((Summary!$C$13="N")*('Dvd Calendar'!$AR$1275='Field Check'!$C$25)&gt;0,"",'Dvd Calendar'!$AR$1271)))</f>
        <v/>
      </c>
      <c r="DE93" s="85">
        <f>IF(AQ93="","",IF(ISNUMBER('Dvd Calendar'!$E$1278)=FALSE,"",IF((Summary!$C$13="N")*('Dvd Calendar'!$E$1282='Field Check'!$C$25)&gt;0,"",'Dvd Calendar'!$E$1278)))</f>
        <v/>
      </c>
      <c r="DF93" s="85">
        <f>IF(AR93="","",IF(ISNUMBER('Dvd Calendar'!$F$1278)=FALSE,"",IF((Summary!$C$13="N")*('Dvd Calendar'!$F$1282='Field Check'!$C$25)&gt;0,"",'Dvd Calendar'!$F$1278)))</f>
        <v/>
      </c>
      <c r="DG93" s="85">
        <f>IF(AS93="","",IF(ISNUMBER('Dvd Calendar'!$G$1278)=FALSE,"",IF((Summary!$C$13="N")*('Dvd Calendar'!$G$1282='Field Check'!$C$25)&gt;0,"",'Dvd Calendar'!$G$1278)))</f>
        <v/>
      </c>
      <c r="DH93" s="85">
        <f>IF(AT93="","",IF(ISNUMBER('Dvd Calendar'!$H$1278)=FALSE,"",IF((Summary!$C$13="N")*('Dvd Calendar'!$H$1282='Field Check'!$C$25)&gt;0,"",'Dvd Calendar'!$H$1278)))</f>
        <v/>
      </c>
      <c r="DI93" s="85">
        <f>IF(AU93="","",IF(ISNUMBER('Dvd Calendar'!$I$1278)=FALSE,"",IF((Summary!$C$13="N")*('Dvd Calendar'!$I$1282='Field Check'!$C$25)&gt;0,"",'Dvd Calendar'!$I$1278)))</f>
        <v/>
      </c>
      <c r="DJ93" s="85">
        <f>IF(AV93="","",IF(ISNUMBER('Dvd Calendar'!$J$1278)=FALSE,"",IF((Summary!$C$13="N")*('Dvd Calendar'!$J$1282='Field Check'!$C$25)&gt;0,"",'Dvd Calendar'!$J$1278)))</f>
        <v/>
      </c>
      <c r="DK93" s="85">
        <f>IF(AW93="","",IF(ISNUMBER('Dvd Calendar'!$K$1278)=FALSE,"",IF((Summary!$C$13="N")*('Dvd Calendar'!$K$1282='Field Check'!$C$25)&gt;0,"",'Dvd Calendar'!$K$1278)))</f>
        <v/>
      </c>
      <c r="DL93" s="85">
        <f>IF(AX93="","",IF(ISNUMBER('Dvd Calendar'!$L$1278)=FALSE,"",IF((Summary!$C$13="N")*('Dvd Calendar'!$L$1282='Field Check'!$C$25)&gt;0,"",'Dvd Calendar'!$L$1278)))</f>
        <v/>
      </c>
      <c r="DM93" s="85">
        <f>IF(AY93="","",IF(ISNUMBER('Dvd Calendar'!$M$1278)=FALSE,"",IF((Summary!$C$13="N")*('Dvd Calendar'!$M$1282='Field Check'!$C$25)&gt;0,"",'Dvd Calendar'!$M$1278)))</f>
        <v/>
      </c>
      <c r="DN93" s="85">
        <f>IF(AZ93="","",IF(ISNUMBER('Dvd Calendar'!$N$1278)=FALSE,"",IF((Summary!$C$13="N")*('Dvd Calendar'!$N$1282='Field Check'!$C$25)&gt;0,"",'Dvd Calendar'!$N$1278)))</f>
        <v/>
      </c>
      <c r="DO93" s="85">
        <f>IF(BA93="","",IF(ISNUMBER('Dvd Calendar'!$O$1278)=FALSE,"",IF((Summary!$C$13="N")*('Dvd Calendar'!$O$1282='Field Check'!$C$25)&gt;0,"",'Dvd Calendar'!$O$1278)))</f>
        <v/>
      </c>
      <c r="DP93" s="85">
        <f>IF(BB93="","",IF(ISNUMBER('Dvd Calendar'!$P$1278)=FALSE,"",IF((Summary!$C$13="N")*('Dvd Calendar'!$P$1282='Field Check'!$C$25)&gt;0,"",'Dvd Calendar'!$P$1278)))</f>
        <v/>
      </c>
      <c r="DQ93" s="85">
        <f>IF(BC93="","",IF(ISNUMBER('Dvd Calendar'!$Q$1278)=FALSE,"",IF((Summary!$C$13="N")*('Dvd Calendar'!$Q$1282='Field Check'!$C$25)&gt;0,"",'Dvd Calendar'!$Q$1278)))</f>
        <v/>
      </c>
      <c r="DR93" s="85">
        <f>IF(BD93="","",IF(ISNUMBER('Dvd Calendar'!$R$1278)=FALSE,"",IF((Summary!$C$13="N")*('Dvd Calendar'!$R$1282='Field Check'!$C$25)&gt;0,"",'Dvd Calendar'!$R$1278)))</f>
        <v/>
      </c>
      <c r="DS93" s="85">
        <f>IF(BE93="","",IF(ISNUMBER('Dvd Calendar'!$S$1278)=FALSE,"",IF((Summary!$C$13="N")*('Dvd Calendar'!$S$1282='Field Check'!$C$25)&gt;0,"",'Dvd Calendar'!$S$1278)))</f>
        <v/>
      </c>
      <c r="DT93" s="85">
        <f>IF(BF93="","",IF(ISNUMBER('Dvd Calendar'!$T$1278)=FALSE,"",IF((Summary!$C$13="N")*('Dvd Calendar'!$T$1282='Field Check'!$C$25)&gt;0,"",'Dvd Calendar'!$T$1278)))</f>
        <v/>
      </c>
      <c r="DU93" s="85">
        <f>IF(BG93="","",IF(ISNUMBER('Dvd Calendar'!$U$1278)=FALSE,"",IF((Summary!$C$13="N")*('Dvd Calendar'!$U$1282='Field Check'!$C$25)&gt;0,"",'Dvd Calendar'!$U$1278)))</f>
        <v/>
      </c>
      <c r="DV93" s="85">
        <f>IF(BH93="","",IF(ISNUMBER('Dvd Calendar'!$V$1278)=FALSE,"",IF((Summary!$C$13="N")*('Dvd Calendar'!$V$1282='Field Check'!$C$25)&gt;0,"",'Dvd Calendar'!$V$1278)))</f>
        <v/>
      </c>
      <c r="DW93" s="85">
        <f>IF(BI93="","",IF(ISNUMBER('Dvd Calendar'!$W$1278)=FALSE,"",IF((Summary!$C$13="N")*('Dvd Calendar'!$W$1282='Field Check'!$C$25)&gt;0,"",'Dvd Calendar'!$W$1278)))</f>
        <v/>
      </c>
      <c r="DX93" s="85">
        <f>IF(BJ93="","",IF(ISNUMBER('Dvd Calendar'!$X$1278)=FALSE,"",IF((Summary!$C$13="N")*('Dvd Calendar'!$X$1282='Field Check'!$C$25)&gt;0,"",'Dvd Calendar'!$X$1278)))</f>
        <v/>
      </c>
      <c r="DY93" s="85">
        <f>IF(BK93="","",IF(ISNUMBER('Dvd Calendar'!$Y$1278)=FALSE,"",IF((Summary!$C$13="N")*('Dvd Calendar'!$Y$1282='Field Check'!$C$25)&gt;0,"",'Dvd Calendar'!$Y$1278)))</f>
        <v/>
      </c>
      <c r="DZ93" s="85">
        <f>IF(BL93="","",IF(ISNUMBER('Dvd Calendar'!$Z$1278)=FALSE,"",IF((Summary!$C$13="N")*('Dvd Calendar'!$Z$1282='Field Check'!$C$25)&gt;0,"",'Dvd Calendar'!$Z$1278)))</f>
        <v/>
      </c>
      <c r="EA93" s="85">
        <f>IF(BM93="","",IF(ISNUMBER('Dvd Calendar'!$AA$1278)=FALSE,"",IF((Summary!$C$13="N")*('Dvd Calendar'!$AA$1282='Field Check'!$C$25)&gt;0,"",'Dvd Calendar'!$AA$1278)))</f>
        <v/>
      </c>
      <c r="EB93" s="85">
        <f>IF(BN93="","",IF(ISNUMBER('Dvd Calendar'!$AB$1278)=FALSE,"",IF((Summary!$C$13="N")*('Dvd Calendar'!$AB$1282='Field Check'!$C$25)&gt;0,"",'Dvd Calendar'!$AB$1278)))</f>
        <v/>
      </c>
      <c r="EC93" s="85">
        <f>IF(BO93="","",IF(ISNUMBER('Dvd Calendar'!$AC$1278)=FALSE,"",IF((Summary!$C$13="N")*('Dvd Calendar'!$AC$1282='Field Check'!$C$25)&gt;0,"",'Dvd Calendar'!$AC$1278)))</f>
        <v/>
      </c>
      <c r="EE93" s="85">
        <f>IF(BQ93="","",IFERROR(BQ93*HSI!$B$91*HSI!$G$91/HSI!$B$3,""))</f>
        <v/>
      </c>
      <c r="EF93" s="85">
        <f>IF(BR93="","",IFERROR(BR93*HSI!$B$91*HSI!$G$91/HSI!$B$3,""))</f>
        <v/>
      </c>
      <c r="EG93" s="85">
        <f>IF(BS93="","",IFERROR(BS93*HSI!$B$91*HSI!$G$91/HSI!$B$3,""))</f>
        <v/>
      </c>
      <c r="EH93" s="85">
        <f>IF(BT93="","",IFERROR(BT93*HSI!$B$91*HSI!$G$91/HSI!$B$3,""))</f>
        <v/>
      </c>
      <c r="EI93" s="85">
        <f>IF(BU93="","",IFERROR(BU93*HSI!$B$91*HSI!$G$91/HSI!$B$3,""))</f>
        <v/>
      </c>
      <c r="EJ93" s="85">
        <f>IF(BV93="","",IFERROR(BV93*HSI!$B$91*HSI!$G$91/HSI!$B$3,""))</f>
        <v/>
      </c>
      <c r="EK93" s="85">
        <f>IF(BW93="","",IFERROR(BW93*HSI!$B$91*HSI!$G$91/HSI!$B$3,""))</f>
        <v/>
      </c>
      <c r="EL93" s="85">
        <f>IF(BX93="","",IFERROR(BX93*HSI!$B$91*HSI!$G$91/HSI!$B$3,""))</f>
        <v/>
      </c>
      <c r="EM93" s="85">
        <f>IF(BY93="","",IFERROR(BY93*HSI!$B$91*HSI!$G$91/HSI!$B$3,""))</f>
        <v/>
      </c>
      <c r="EN93" s="85">
        <f>IF(BZ93="","",IFERROR(BZ93*HSI!$B$91*HSI!$G$91/HSI!$B$3,""))</f>
        <v/>
      </c>
      <c r="EO93" s="85">
        <f>IF(CA93="","",IFERROR(CA93*HSI!$B$91*HSI!$G$91/HSI!$B$3,""))</f>
        <v/>
      </c>
      <c r="EP93" s="85">
        <f>IF(CB93="","",IFERROR(CB93*HSI!$B$91*HSI!$G$91/HSI!$B$3,""))</f>
        <v/>
      </c>
      <c r="EQ93" s="85">
        <f>IF(CC93="","",IFERROR(CC93*HSI!$B$91*HSI!$G$91/HSI!$B$3,""))</f>
        <v/>
      </c>
      <c r="ER93" s="85">
        <f>IF(CD93="","",IFERROR(CD93*HSI!$B$91*HSI!$G$91/HSI!$B$3,""))</f>
        <v/>
      </c>
      <c r="ES93" s="85">
        <f>IF(CE93="","",IFERROR(CE93*HSI!$B$91*HSI!$G$91/HSI!$B$3,""))</f>
        <v/>
      </c>
      <c r="ET93" s="85">
        <f>IF(CF93="","",IFERROR(CF93*HSI!$B$91*HSI!$G$91/HSI!$B$3,""))</f>
        <v/>
      </c>
      <c r="EU93" s="85">
        <f>IF(CG93="","",IFERROR(CG93*HSI!$B$91*HSI!$G$91/HSI!$B$3,""))</f>
        <v/>
      </c>
      <c r="EV93" s="85">
        <f>IF(CH93="","",IFERROR(CH93*HSI!$B$91*HSI!$G$91/HSI!$B$3,""))</f>
        <v/>
      </c>
      <c r="EW93" s="85">
        <f>IF(CI93="","",IFERROR(CI93*HSI!$B$91*HSI!$G$91/HSI!$B$3,""))</f>
        <v/>
      </c>
      <c r="EX93" s="85">
        <f>IF(CJ93="","",IFERROR(CJ93*HSI!$B$91*HSI!$G$91/HSI!$B$3,""))</f>
        <v/>
      </c>
      <c r="EY93" s="85">
        <f>IF(CK93="","",IFERROR(CK93*HSI!$B$91*HSI!$G$91/HSI!$B$3,""))</f>
        <v/>
      </c>
      <c r="EZ93" s="85">
        <f>IF(CL93="","",IFERROR(CL93*HSI!$B$91*HSI!$G$91/HSI!$B$3,""))</f>
        <v/>
      </c>
      <c r="FA93" s="85">
        <f>IF(CM93="","",IFERROR(CM93*HSI!$B$91*HSI!$G$91/HSI!$B$3,""))</f>
        <v/>
      </c>
      <c r="FB93" s="85">
        <f>IF(CN93="","",IFERROR(CN93*HSI!$B$91*HSI!$G$91/HSI!$B$3,""))</f>
        <v/>
      </c>
      <c r="FC93" s="85">
        <f>IF(CO93="","",IFERROR(CO93*HSI!$B$91*HSI!$G$91/HSI!$B$3,""))</f>
        <v/>
      </c>
      <c r="FD93" s="85">
        <f>IF(CP93="","",IFERROR(CP93*HSI!$B$91*HSI!$G$91/HSI!$B$3,""))</f>
        <v/>
      </c>
      <c r="FE93" s="85">
        <f>IF(CQ93="","",IFERROR(CQ93*HSI!$B$91*HSI!$G$91/HSI!$B$3,""))</f>
        <v/>
      </c>
      <c r="FF93" s="85">
        <f>IF(CR93="","",IFERROR(CR93*HSI!$B$91*HSI!$G$91/HSI!$B$3,""))</f>
        <v/>
      </c>
      <c r="FG93" s="85">
        <f>IF(CS93="","",IFERROR(CS93*HSI!$B$91*HSI!$G$91/HSI!$B$3,""))</f>
        <v/>
      </c>
      <c r="FH93" s="85">
        <f>IF(CT93="","",IFERROR(CT93*HSI!$B$91*HSI!$G$91/HSI!$B$3,""))</f>
        <v/>
      </c>
      <c r="FI93" s="85">
        <f>IF(CU93="","",IFERROR(CU93*HSI!$B$91*HSI!$G$91/HSI!$B$3,""))</f>
        <v/>
      </c>
      <c r="FJ93" s="85">
        <f>IF(CV93="","",IFERROR(CV93*HSI!$B$91*HSI!$G$91/HSI!$B$3,""))</f>
        <v/>
      </c>
      <c r="FK93" s="85">
        <f>IF(CW93="","",IFERROR(CW93*HSI!$B$91*HSI!$G$91/HSI!$B$3,""))</f>
        <v/>
      </c>
      <c r="FL93" s="85">
        <f>IF(CX93="","",IFERROR(CX93*HSI!$B$91*HSI!$G$91/HSI!$B$3,""))</f>
        <v/>
      </c>
      <c r="FM93" s="85">
        <f>IF(CY93="","",IFERROR(CY93*HSI!$B$91*HSI!$G$91/HSI!$B$3,""))</f>
        <v/>
      </c>
      <c r="FN93" s="85">
        <f>IF(CZ93="","",IFERROR(CZ93*HSI!$B$91*HSI!$G$91/HSI!$B$3,""))</f>
        <v/>
      </c>
      <c r="FO93" s="85">
        <f>IF(DA93="","",IFERROR(DA93*HSI!$B$91*HSI!$G$91/HSI!$B$3,""))</f>
        <v/>
      </c>
      <c r="FP93" s="85">
        <f>IF(DB93="","",IFERROR(DB93*HSI!$B$91*HSI!$G$91/HSI!$B$3,""))</f>
        <v/>
      </c>
      <c r="FQ93" s="85">
        <f>IF(DC93="","",IFERROR(DC93*HSI!$B$91*HSI!$G$91/HSI!$B$3,""))</f>
        <v/>
      </c>
      <c r="FR93" s="85">
        <f>IF(DD93="","",IFERROR(DD93*HSI!$B$91*HSI!$G$91/HSI!$B$3,""))</f>
        <v/>
      </c>
      <c r="FS93" s="85">
        <f>IF(DE93="","",IFERROR(DE93*HSI!$B$91*HSI!$G$91/HSI!$B$3,""))</f>
        <v/>
      </c>
      <c r="FT93" s="85">
        <f>IF(DF93="","",IFERROR(DF93*HSI!$B$91*HSI!$G$91/HSI!$B$3,""))</f>
        <v/>
      </c>
      <c r="FU93" s="85">
        <f>IF(DG93="","",IFERROR(DG93*HSI!$B$91*HSI!$G$91/HSI!$B$3,""))</f>
        <v/>
      </c>
      <c r="FV93" s="85">
        <f>IF(DH93="","",IFERROR(DH93*HSI!$B$91*HSI!$G$91/HSI!$B$3,""))</f>
        <v/>
      </c>
      <c r="FW93" s="85">
        <f>IF(DI93="","",IFERROR(DI93*HSI!$B$91*HSI!$G$91/HSI!$B$3,""))</f>
        <v/>
      </c>
      <c r="FX93" s="85">
        <f>IF(DJ93="","",IFERROR(DJ93*HSI!$B$91*HSI!$G$91/HSI!$B$3,""))</f>
        <v/>
      </c>
      <c r="FY93" s="85">
        <f>IF(DK93="","",IFERROR(DK93*HSI!$B$91*HSI!$G$91/HSI!$B$3,""))</f>
        <v/>
      </c>
      <c r="FZ93" s="85">
        <f>IF(DL93="","",IFERROR(DL93*HSI!$B$91*HSI!$G$91/HSI!$B$3,""))</f>
        <v/>
      </c>
      <c r="GA93" s="85">
        <f>IF(DM93="","",IFERROR(DM93*HSI!$B$91*HSI!$G$91/HSI!$B$3,""))</f>
        <v/>
      </c>
      <c r="GB93" s="85">
        <f>IF(DN93="","",IFERROR(DN93*HSI!$B$91*HSI!$G$91/HSI!$B$3,""))</f>
        <v/>
      </c>
      <c r="GC93" s="85">
        <f>IF(DO93="","",IFERROR(DO93*HSI!$B$91*HSI!$G$91/HSI!$B$3,""))</f>
        <v/>
      </c>
      <c r="GD93" s="85">
        <f>IF(DP93="","",IFERROR(DP93*HSI!$B$91*HSI!$G$91/HSI!$B$3,""))</f>
        <v/>
      </c>
      <c r="GE93" s="85">
        <f>IF(DQ93="","",IFERROR(DQ93*HSI!$B$91*HSI!$G$91/HSI!$B$3,""))</f>
        <v/>
      </c>
      <c r="GF93" s="85">
        <f>IF(DR93="","",IFERROR(DR93*HSI!$B$91*HSI!$G$91/HSI!$B$3,""))</f>
        <v/>
      </c>
      <c r="GG93" s="85">
        <f>IF(DS93="","",IFERROR(DS93*HSI!$B$91*HSI!$G$91/HSI!$B$3,""))</f>
        <v/>
      </c>
      <c r="GH93" s="85">
        <f>IF(DT93="","",IFERROR(DT93*HSI!$B$91*HSI!$G$91/HSI!$B$3,""))</f>
        <v/>
      </c>
      <c r="GI93" s="85">
        <f>IF(DU93="","",IFERROR(DU93*HSI!$B$91*HSI!$G$91/HSI!$B$3,""))</f>
        <v/>
      </c>
      <c r="GJ93" s="85">
        <f>IF(DV93="","",IFERROR(DV93*HSI!$B$91*HSI!$G$91/HSI!$B$3,""))</f>
        <v/>
      </c>
      <c r="GK93" s="85">
        <f>IF(DW93="","",IFERROR(DW93*HSI!$B$91*HSI!$G$91/HSI!$B$3,""))</f>
        <v/>
      </c>
      <c r="GL93" s="85">
        <f>IF(DX93="","",IFERROR(DX93*HSI!$B$91*HSI!$G$91/HSI!$B$3,""))</f>
        <v/>
      </c>
      <c r="GM93" s="85">
        <f>IF(DY93="","",IFERROR(DY93*HSI!$B$91*HSI!$G$91/HSI!$B$3,""))</f>
        <v/>
      </c>
      <c r="GN93" s="85">
        <f>IF(DZ93="","",IFERROR(DZ93*HSI!$B$91*HSI!$G$91/HSI!$B$3,""))</f>
        <v/>
      </c>
      <c r="GO93" s="85">
        <f>IF(EA93="","",IFERROR(EA93*HSI!$B$91*HSI!$G$91/HSI!$B$3,""))</f>
        <v/>
      </c>
      <c r="GP93" s="85">
        <f>IF(EB93="","",IFERROR(EB93*HSI!$B$91*HSI!$G$91/HSI!$B$3,""))</f>
        <v/>
      </c>
      <c r="GQ93" s="85">
        <f>IF(EC93="","",IFERROR(EC93*HSI!$B$91*HSI!$G$91/HSI!$B$3,""))</f>
        <v/>
      </c>
    </row>
    <row r="94">
      <c r="B94" s="2">
        <f>IF(HSI!$C$92="","",HSI!$C$92)</f>
        <v/>
      </c>
      <c r="C94" s="41">
        <f>IF(N('Dvd Calendar'!$E$1285)=0,"",IF(('Dvd Calendar'!$E$1285&gt;=MIN(DATE(Summary!$C$12,1,1),Summary!$C$11))*('Dvd Calendar'!$E$1285&lt;=MAX(DATE(Summary!$C$12,12,31),Summary!$C$15))*('Dvd Calendar'!$E$1285&lt;=Summary!$C$11)=0,"",'Dvd Calendar'!$E$1285*1000000000+ISNUMBER('Dvd Calendar'!$E$1286)*100000000+('Dvd Calendar'!$E$1290='Field Check'!$C$25)*10000000+(N('Dvd Calendar'!$E$1284)&gt;0)*1000000+86*1000+1))</f>
        <v/>
      </c>
      <c r="D94" s="41">
        <f>IF(N('Dvd Calendar'!$F$1285)=0,"",IF(('Dvd Calendar'!$F$1285&gt;=MIN(DATE(Summary!$C$12,1,1),Summary!$C$11))*('Dvd Calendar'!$F$1285&lt;=MAX(DATE(Summary!$C$12,12,31),Summary!$C$15))*('Dvd Calendar'!$F$1285&lt;=Summary!$C$11)=0,"",'Dvd Calendar'!$F$1285*1000000000+ISNUMBER('Dvd Calendar'!$F$1286)*100000000+('Dvd Calendar'!$F$1290='Field Check'!$C$25)*10000000+(N('Dvd Calendar'!$F$1284)&gt;0)*1000000+86*1000+2))</f>
        <v/>
      </c>
      <c r="E94" s="41">
        <f>IF(N('Dvd Calendar'!$G$1285)=0,"",IF(('Dvd Calendar'!$G$1285&gt;=MIN(DATE(Summary!$C$12,1,1),Summary!$C$11))*('Dvd Calendar'!$G$1285&lt;=MAX(DATE(Summary!$C$12,12,31),Summary!$C$15))*('Dvd Calendar'!$G$1285&lt;=Summary!$C$11)=0,"",'Dvd Calendar'!$G$1285*1000000000+ISNUMBER('Dvd Calendar'!$G$1286)*100000000+('Dvd Calendar'!$G$1290='Field Check'!$C$25)*10000000+(N('Dvd Calendar'!$G$1284)&gt;0)*1000000+86*1000+3))</f>
        <v/>
      </c>
      <c r="F94" s="41">
        <f>IF(N('Dvd Calendar'!$H$1285)=0,"",IF(('Dvd Calendar'!$H$1285&gt;=MIN(DATE(Summary!$C$12,1,1),Summary!$C$11))*('Dvd Calendar'!$H$1285&lt;=MAX(DATE(Summary!$C$12,12,31),Summary!$C$15))*('Dvd Calendar'!$H$1285&lt;=Summary!$C$11)=0,"",'Dvd Calendar'!$H$1285*1000000000+ISNUMBER('Dvd Calendar'!$H$1286)*100000000+('Dvd Calendar'!$H$1290='Field Check'!$C$25)*10000000+(N('Dvd Calendar'!$H$1284)&gt;0)*1000000+86*1000+4))</f>
        <v/>
      </c>
      <c r="G94" s="41">
        <f>IF(N('Dvd Calendar'!$I$1285)=0,"",IF(('Dvd Calendar'!$I$1285&gt;=MIN(DATE(Summary!$C$12,1,1),Summary!$C$11))*('Dvd Calendar'!$I$1285&lt;=MAX(DATE(Summary!$C$12,12,31),Summary!$C$15))*('Dvd Calendar'!$I$1285&lt;=Summary!$C$11)=0,"",'Dvd Calendar'!$I$1285*1000000000+ISNUMBER('Dvd Calendar'!$I$1286)*100000000+('Dvd Calendar'!$I$1290='Field Check'!$C$25)*10000000+(N('Dvd Calendar'!$I$1284)&gt;0)*1000000+86*1000+5))</f>
        <v/>
      </c>
      <c r="H94" s="41">
        <f>IF(N('Dvd Calendar'!$J$1285)=0,"",IF(('Dvd Calendar'!$J$1285&gt;=MIN(DATE(Summary!$C$12,1,1),Summary!$C$11))*('Dvd Calendar'!$J$1285&lt;=MAX(DATE(Summary!$C$12,12,31),Summary!$C$15))*('Dvd Calendar'!$J$1285&lt;=Summary!$C$11)=0,"",'Dvd Calendar'!$J$1285*1000000000+ISNUMBER('Dvd Calendar'!$J$1286)*100000000+('Dvd Calendar'!$J$1290='Field Check'!$C$25)*10000000+(N('Dvd Calendar'!$J$1284)&gt;0)*1000000+86*1000+6))</f>
        <v/>
      </c>
      <c r="I94" s="41">
        <f>IF(N('Dvd Calendar'!$K$1285)=0,"",IF(('Dvd Calendar'!$K$1285&gt;=MIN(DATE(Summary!$C$12,1,1),Summary!$C$11))*('Dvd Calendar'!$K$1285&lt;=MAX(DATE(Summary!$C$12,12,31),Summary!$C$15))*('Dvd Calendar'!$K$1285&lt;=Summary!$C$11)=0,"",'Dvd Calendar'!$K$1285*1000000000+ISNUMBER('Dvd Calendar'!$K$1286)*100000000+('Dvd Calendar'!$K$1290='Field Check'!$C$25)*10000000+(N('Dvd Calendar'!$K$1284)&gt;0)*1000000+86*1000+7))</f>
        <v/>
      </c>
      <c r="J94" s="41">
        <f>IF(N('Dvd Calendar'!$L$1285)=0,"",IF(('Dvd Calendar'!$L$1285&gt;=MIN(DATE(Summary!$C$12,1,1),Summary!$C$11))*('Dvd Calendar'!$L$1285&lt;=MAX(DATE(Summary!$C$12,12,31),Summary!$C$15))*('Dvd Calendar'!$L$1285&lt;=Summary!$C$11)=0,"",'Dvd Calendar'!$L$1285*1000000000+ISNUMBER('Dvd Calendar'!$L$1286)*100000000+('Dvd Calendar'!$L$1290='Field Check'!$C$25)*10000000+(N('Dvd Calendar'!$L$1284)&gt;0)*1000000+86*1000+8))</f>
        <v/>
      </c>
      <c r="K94" s="41">
        <f>IF(N('Dvd Calendar'!$M$1285)=0,"",IF(('Dvd Calendar'!$M$1285&gt;=MIN(DATE(Summary!$C$12,1,1),Summary!$C$11))*('Dvd Calendar'!$M$1285&lt;=MAX(DATE(Summary!$C$12,12,31),Summary!$C$15))*('Dvd Calendar'!$M$1285&lt;=Summary!$C$11)=0,"",'Dvd Calendar'!$M$1285*1000000000+ISNUMBER('Dvd Calendar'!$M$1286)*100000000+('Dvd Calendar'!$M$1290='Field Check'!$C$25)*10000000+(N('Dvd Calendar'!$M$1284)&gt;0)*1000000+86*1000+9))</f>
        <v/>
      </c>
      <c r="L94" s="41">
        <f>IF(N('Dvd Calendar'!$N$1285)=0,"",IF(('Dvd Calendar'!$N$1285&gt;=MIN(DATE(Summary!$C$12,1,1),Summary!$C$11))*('Dvd Calendar'!$N$1285&lt;=MAX(DATE(Summary!$C$12,12,31),Summary!$C$15))*('Dvd Calendar'!$N$1285&lt;=Summary!$C$11)=0,"",'Dvd Calendar'!$N$1285*1000000000+ISNUMBER('Dvd Calendar'!$N$1286)*100000000+('Dvd Calendar'!$N$1290='Field Check'!$C$25)*10000000+(N('Dvd Calendar'!$N$1284)&gt;0)*1000000+86*1000+10))</f>
        <v/>
      </c>
      <c r="M94" s="41">
        <f>IF(N('Dvd Calendar'!$O$1285)=0,"",IF(('Dvd Calendar'!$O$1285&gt;=MIN(DATE(Summary!$C$12,1,1),Summary!$C$11))*('Dvd Calendar'!$O$1285&lt;=MAX(DATE(Summary!$C$12,12,31),Summary!$C$15))*('Dvd Calendar'!$O$1285&lt;=Summary!$C$11)=0,"",'Dvd Calendar'!$O$1285*1000000000+ISNUMBER('Dvd Calendar'!$O$1286)*100000000+('Dvd Calendar'!$O$1290='Field Check'!$C$25)*10000000+(N('Dvd Calendar'!$O$1284)&gt;0)*1000000+86*1000+11))</f>
        <v/>
      </c>
      <c r="N94" s="41">
        <f>IF(N('Dvd Calendar'!$P$1285)=0,"",IF(('Dvd Calendar'!$P$1285&gt;=MIN(DATE(Summary!$C$12,1,1),Summary!$C$11))*('Dvd Calendar'!$P$1285&lt;=MAX(DATE(Summary!$C$12,12,31),Summary!$C$15))*('Dvd Calendar'!$P$1285&lt;=Summary!$C$11)=0,"",'Dvd Calendar'!$P$1285*1000000000+ISNUMBER('Dvd Calendar'!$P$1286)*100000000+('Dvd Calendar'!$P$1290='Field Check'!$C$25)*10000000+(N('Dvd Calendar'!$P$1284)&gt;0)*1000000+86*1000+12))</f>
        <v/>
      </c>
      <c r="O94" s="41">
        <f>IF(N('Dvd Calendar'!$Q$1285)=0,"",IF(('Dvd Calendar'!$Q$1285&gt;=MIN(DATE(Summary!$C$12,1,1),Summary!$C$11))*('Dvd Calendar'!$Q$1285&lt;=MAX(DATE(Summary!$C$12,12,31),Summary!$C$15))*('Dvd Calendar'!$Q$1285&lt;=Summary!$C$11)=0,"",'Dvd Calendar'!$Q$1285*1000000000+ISNUMBER('Dvd Calendar'!$Q$1286)*100000000+('Dvd Calendar'!$Q$1290='Field Check'!$C$25)*10000000+(N('Dvd Calendar'!$Q$1284)&gt;0)*1000000+86*1000+13))</f>
        <v/>
      </c>
      <c r="P94" s="41">
        <f>IF(N('Dvd Calendar'!$R$1285)=0,"",IF(('Dvd Calendar'!$R$1285&gt;=MIN(DATE(Summary!$C$12,1,1),Summary!$C$11))*('Dvd Calendar'!$R$1285&lt;=MAX(DATE(Summary!$C$12,12,31),Summary!$C$15))*('Dvd Calendar'!$R$1285&lt;=Summary!$C$11)=0,"",'Dvd Calendar'!$R$1285*1000000000+ISNUMBER('Dvd Calendar'!$R$1286)*100000000+('Dvd Calendar'!$R$1290='Field Check'!$C$25)*10000000+(N('Dvd Calendar'!$R$1284)&gt;0)*1000000+86*1000+14))</f>
        <v/>
      </c>
      <c r="Q94" s="41">
        <f>IF(N('Dvd Calendar'!$S$1285)=0,"",IF(('Dvd Calendar'!$S$1285&gt;=MIN(DATE(Summary!$C$12,1,1),Summary!$C$11))*('Dvd Calendar'!$S$1285&lt;=MAX(DATE(Summary!$C$12,12,31),Summary!$C$15))*('Dvd Calendar'!$S$1285&lt;=Summary!$C$11)=0,"",'Dvd Calendar'!$S$1285*1000000000+ISNUMBER('Dvd Calendar'!$S$1286)*100000000+('Dvd Calendar'!$S$1290='Field Check'!$C$25)*10000000+(N('Dvd Calendar'!$S$1284)&gt;0)*1000000+86*1000+15))</f>
        <v/>
      </c>
      <c r="R94" s="41">
        <f>IF(N('Dvd Calendar'!$T$1285)=0,"",IF(('Dvd Calendar'!$T$1285&gt;=MIN(DATE(Summary!$C$12,1,1),Summary!$C$11))*('Dvd Calendar'!$T$1285&lt;=MAX(DATE(Summary!$C$12,12,31),Summary!$C$15))*('Dvd Calendar'!$T$1285&lt;=Summary!$C$11)=0,"",'Dvd Calendar'!$T$1285*1000000000+ISNUMBER('Dvd Calendar'!$T$1286)*100000000+('Dvd Calendar'!$T$1290='Field Check'!$C$25)*10000000+(N('Dvd Calendar'!$T$1284)&gt;0)*1000000+86*1000+16))</f>
        <v/>
      </c>
      <c r="S94" s="41">
        <f>IF(N('Dvd Calendar'!$U$1285)=0,"",IF(('Dvd Calendar'!$U$1285&gt;=MIN(DATE(Summary!$C$12,1,1),Summary!$C$11))*('Dvd Calendar'!$U$1285&lt;=MAX(DATE(Summary!$C$12,12,31),Summary!$C$15))*('Dvd Calendar'!$U$1285&lt;=Summary!$C$11)=0,"",'Dvd Calendar'!$U$1285*1000000000+ISNUMBER('Dvd Calendar'!$U$1286)*100000000+('Dvd Calendar'!$U$1290='Field Check'!$C$25)*10000000+(N('Dvd Calendar'!$U$1284)&gt;0)*1000000+86*1000+17))</f>
        <v/>
      </c>
      <c r="T94" s="41">
        <f>IF(N('Dvd Calendar'!$V$1285)=0,"",IF(('Dvd Calendar'!$V$1285&gt;=MIN(DATE(Summary!$C$12,1,1),Summary!$C$11))*('Dvd Calendar'!$V$1285&lt;=MAX(DATE(Summary!$C$12,12,31),Summary!$C$15))*('Dvd Calendar'!$V$1285&lt;=Summary!$C$11)=0,"",'Dvd Calendar'!$V$1285*1000000000+ISNUMBER('Dvd Calendar'!$V$1286)*100000000+('Dvd Calendar'!$V$1290='Field Check'!$C$25)*10000000+(N('Dvd Calendar'!$V$1284)&gt;0)*1000000+86*1000+18))</f>
        <v/>
      </c>
      <c r="U94" s="41">
        <f>IF(N('Dvd Calendar'!$W$1285)=0,"",IF(('Dvd Calendar'!$W$1285&gt;=MIN(DATE(Summary!$C$12,1,1),Summary!$C$11))*('Dvd Calendar'!$W$1285&lt;=MAX(DATE(Summary!$C$12,12,31),Summary!$C$15))*('Dvd Calendar'!$W$1285&lt;=Summary!$C$11)=0,"",'Dvd Calendar'!$W$1285*1000000000+ISNUMBER('Dvd Calendar'!$W$1286)*100000000+('Dvd Calendar'!$W$1290='Field Check'!$C$25)*10000000+(N('Dvd Calendar'!$W$1284)&gt;0)*1000000+86*1000+19))</f>
        <v/>
      </c>
      <c r="V94" s="41">
        <f>IF(N('Dvd Calendar'!$X$1285)=0,"",IF(('Dvd Calendar'!$X$1285&gt;=MIN(DATE(Summary!$C$12,1,1),Summary!$C$11))*('Dvd Calendar'!$X$1285&lt;=MAX(DATE(Summary!$C$12,12,31),Summary!$C$15))*('Dvd Calendar'!$X$1285&lt;=Summary!$C$11)=0,"",'Dvd Calendar'!$X$1285*1000000000+ISNUMBER('Dvd Calendar'!$X$1286)*100000000+('Dvd Calendar'!$X$1290='Field Check'!$C$25)*10000000+(N('Dvd Calendar'!$X$1284)&gt;0)*1000000+86*1000+20))</f>
        <v/>
      </c>
      <c r="W94" s="41">
        <f>IF(N('Dvd Calendar'!$Y$1285)=0,"",IF(('Dvd Calendar'!$Y$1285&gt;=MIN(DATE(Summary!$C$12,1,1),Summary!$C$11))*('Dvd Calendar'!$Y$1285&lt;=MAX(DATE(Summary!$C$12,12,31),Summary!$C$15))*('Dvd Calendar'!$Y$1285&lt;=Summary!$C$11)=0,"",'Dvd Calendar'!$Y$1285*1000000000+ISNUMBER('Dvd Calendar'!$Y$1286)*100000000+('Dvd Calendar'!$Y$1290='Field Check'!$C$25)*10000000+(N('Dvd Calendar'!$Y$1284)&gt;0)*1000000+86*1000+21))</f>
        <v/>
      </c>
      <c r="X94" s="41">
        <f>IF(N('Dvd Calendar'!$Z$1285)=0,"",IF(('Dvd Calendar'!$Z$1285&gt;=MIN(DATE(Summary!$C$12,1,1),Summary!$C$11))*('Dvd Calendar'!$Z$1285&lt;=MAX(DATE(Summary!$C$12,12,31),Summary!$C$15))*('Dvd Calendar'!$Z$1285&lt;=Summary!$C$11)=0,"",'Dvd Calendar'!$Z$1285*1000000000+ISNUMBER('Dvd Calendar'!$Z$1286)*100000000+('Dvd Calendar'!$Z$1290='Field Check'!$C$25)*10000000+(N('Dvd Calendar'!$Z$1284)&gt;0)*1000000+86*1000+22))</f>
        <v/>
      </c>
      <c r="Y94" s="41">
        <f>IF(N('Dvd Calendar'!$AA$1285)=0,"",IF(('Dvd Calendar'!$AA$1285&gt;=MIN(DATE(Summary!$C$12,1,1),Summary!$C$11))*('Dvd Calendar'!$AA$1285&lt;=MAX(DATE(Summary!$C$12,12,31),Summary!$C$15))*('Dvd Calendar'!$AA$1285&lt;=Summary!$C$11)=0,"",'Dvd Calendar'!$AA$1285*1000000000+ISNUMBER('Dvd Calendar'!$AA$1286)*100000000+('Dvd Calendar'!$AA$1290='Field Check'!$C$25)*10000000+(N('Dvd Calendar'!$AA$1284)&gt;0)*1000000+86*1000+23))</f>
        <v/>
      </c>
      <c r="Z94" s="41">
        <f>IF(N('Dvd Calendar'!$AB$1285)=0,"",IF(('Dvd Calendar'!$AB$1285&gt;=MIN(DATE(Summary!$C$12,1,1),Summary!$C$11))*('Dvd Calendar'!$AB$1285&lt;=MAX(DATE(Summary!$C$12,12,31),Summary!$C$15))*('Dvd Calendar'!$AB$1285&lt;=Summary!$C$11)=0,"",'Dvd Calendar'!$AB$1285*1000000000+ISNUMBER('Dvd Calendar'!$AB$1286)*100000000+('Dvd Calendar'!$AB$1290='Field Check'!$C$25)*10000000+(N('Dvd Calendar'!$AB$1284)&gt;0)*1000000+86*1000+24))</f>
        <v/>
      </c>
      <c r="AA94" s="41">
        <f>IF(N('Dvd Calendar'!$AC$1285)=0,"",IF(('Dvd Calendar'!$AC$1285&gt;=MIN(DATE(Summary!$C$12,1,1),Summary!$C$11))*('Dvd Calendar'!$AC$1285&lt;=MAX(DATE(Summary!$C$12,12,31),Summary!$C$15))*('Dvd Calendar'!$AC$1285&lt;=Summary!$C$11)=0,"",'Dvd Calendar'!$AC$1285*1000000000+ISNUMBER('Dvd Calendar'!$AC$1286)*100000000+('Dvd Calendar'!$AC$1290='Field Check'!$C$25)*10000000+(N('Dvd Calendar'!$AC$1284)&gt;0)*1000000+86*1000+25))</f>
        <v/>
      </c>
      <c r="AB94" s="41">
        <f>IF(N('Dvd Calendar'!$AD$1285)=0,"",IF(('Dvd Calendar'!$AD$1285&gt;=MIN(DATE(Summary!$C$12,1,1),Summary!$C$11))*('Dvd Calendar'!$AD$1285&lt;=MAX(DATE(Summary!$C$12,12,31),Summary!$C$15))*('Dvd Calendar'!$AD$1285&lt;=Summary!$C$11)=0,"",'Dvd Calendar'!$AD$1285*1000000000+ISNUMBER('Dvd Calendar'!$AD$1286)*100000000+('Dvd Calendar'!$AD$1290='Field Check'!$C$25)*10000000+(N('Dvd Calendar'!$AD$1284)&gt;0)*1000000+86*1000+26))</f>
        <v/>
      </c>
      <c r="AC94" s="41">
        <f>IF(N('Dvd Calendar'!$AE$1285)=0,"",IF(('Dvd Calendar'!$AE$1285&gt;=MIN(DATE(Summary!$C$12,1,1),Summary!$C$11))*('Dvd Calendar'!$AE$1285&lt;=MAX(DATE(Summary!$C$12,12,31),Summary!$C$15))*('Dvd Calendar'!$AE$1285&lt;=Summary!$C$11)=0,"",'Dvd Calendar'!$AE$1285*1000000000+ISNUMBER('Dvd Calendar'!$AE$1286)*100000000+('Dvd Calendar'!$AE$1290='Field Check'!$C$25)*10000000+(N('Dvd Calendar'!$AE$1284)&gt;0)*1000000+86*1000+27))</f>
        <v/>
      </c>
      <c r="AD94" s="41">
        <f>IF(N('Dvd Calendar'!$AF$1285)=0,"",IF(('Dvd Calendar'!$AF$1285&gt;=MIN(DATE(Summary!$C$12,1,1),Summary!$C$11))*('Dvd Calendar'!$AF$1285&lt;=MAX(DATE(Summary!$C$12,12,31),Summary!$C$15))*('Dvd Calendar'!$AF$1285&lt;=Summary!$C$11)=0,"",'Dvd Calendar'!$AF$1285*1000000000+ISNUMBER('Dvd Calendar'!$AF$1286)*100000000+('Dvd Calendar'!$AF$1290='Field Check'!$C$25)*10000000+(N('Dvd Calendar'!$AF$1284)&gt;0)*1000000+86*1000+28))</f>
        <v/>
      </c>
      <c r="AE94" s="41">
        <f>IF(N('Dvd Calendar'!$AG$1285)=0,"",IF(('Dvd Calendar'!$AG$1285&gt;=MIN(DATE(Summary!$C$12,1,1),Summary!$C$11))*('Dvd Calendar'!$AG$1285&lt;=MAX(DATE(Summary!$C$12,12,31),Summary!$C$15))*('Dvd Calendar'!$AG$1285&lt;=Summary!$C$11)=0,"",'Dvd Calendar'!$AG$1285*1000000000+ISNUMBER('Dvd Calendar'!$AG$1286)*100000000+('Dvd Calendar'!$AG$1290='Field Check'!$C$25)*10000000+(N('Dvd Calendar'!$AG$1284)&gt;0)*1000000+86*1000+29))</f>
        <v/>
      </c>
      <c r="AF94" s="41">
        <f>IF(N('Dvd Calendar'!$AH$1285)=0,"",IF(('Dvd Calendar'!$AH$1285&gt;=MIN(DATE(Summary!$C$12,1,1),Summary!$C$11))*('Dvd Calendar'!$AH$1285&lt;=MAX(DATE(Summary!$C$12,12,31),Summary!$C$15))*('Dvd Calendar'!$AH$1285&lt;=Summary!$C$11)=0,"",'Dvd Calendar'!$AH$1285*1000000000+ISNUMBER('Dvd Calendar'!$AH$1286)*100000000+('Dvd Calendar'!$AH$1290='Field Check'!$C$25)*10000000+(N('Dvd Calendar'!$AH$1284)&gt;0)*1000000+86*1000+30))</f>
        <v/>
      </c>
      <c r="AG94" s="41">
        <f>IF(N('Dvd Calendar'!$AI$1285)=0,"",IF(('Dvd Calendar'!$AI$1285&gt;=MIN(DATE(Summary!$C$12,1,1),Summary!$C$11))*('Dvd Calendar'!$AI$1285&lt;=MAX(DATE(Summary!$C$12,12,31),Summary!$C$15))*('Dvd Calendar'!$AI$1285&lt;=Summary!$C$11)=0,"",'Dvd Calendar'!$AI$1285*1000000000+ISNUMBER('Dvd Calendar'!$AI$1286)*100000000+('Dvd Calendar'!$AI$1290='Field Check'!$C$25)*10000000+(N('Dvd Calendar'!$AI$1284)&gt;0)*1000000+86*1000+31))</f>
        <v/>
      </c>
      <c r="AH94" s="41">
        <f>IF(N('Dvd Calendar'!$AJ$1285)=0,"",IF(('Dvd Calendar'!$AJ$1285&gt;=MIN(DATE(Summary!$C$12,1,1),Summary!$C$11))*('Dvd Calendar'!$AJ$1285&lt;=MAX(DATE(Summary!$C$12,12,31),Summary!$C$15))*('Dvd Calendar'!$AJ$1285&lt;=Summary!$C$11)=0,"",'Dvd Calendar'!$AJ$1285*1000000000+ISNUMBER('Dvd Calendar'!$AJ$1286)*100000000+('Dvd Calendar'!$AJ$1290='Field Check'!$C$25)*10000000+(N('Dvd Calendar'!$AJ$1284)&gt;0)*1000000+86*1000+32))</f>
        <v/>
      </c>
      <c r="AI94" s="41">
        <f>IF(N('Dvd Calendar'!$AK$1285)=0,"",IF(('Dvd Calendar'!$AK$1285&gt;=MIN(DATE(Summary!$C$12,1,1),Summary!$C$11))*('Dvd Calendar'!$AK$1285&lt;=MAX(DATE(Summary!$C$12,12,31),Summary!$C$15))*('Dvd Calendar'!$AK$1285&lt;=Summary!$C$11)=0,"",'Dvd Calendar'!$AK$1285*1000000000+ISNUMBER('Dvd Calendar'!$AK$1286)*100000000+('Dvd Calendar'!$AK$1290='Field Check'!$C$25)*10000000+(N('Dvd Calendar'!$AK$1284)&gt;0)*1000000+86*1000+33))</f>
        <v/>
      </c>
      <c r="AJ94" s="41">
        <f>IF(N('Dvd Calendar'!$AL$1285)=0,"",IF(('Dvd Calendar'!$AL$1285&gt;=MIN(DATE(Summary!$C$12,1,1),Summary!$C$11))*('Dvd Calendar'!$AL$1285&lt;=MAX(DATE(Summary!$C$12,12,31),Summary!$C$15))*('Dvd Calendar'!$AL$1285&lt;=Summary!$C$11)=0,"",'Dvd Calendar'!$AL$1285*1000000000+ISNUMBER('Dvd Calendar'!$AL$1286)*100000000+('Dvd Calendar'!$AL$1290='Field Check'!$C$25)*10000000+(N('Dvd Calendar'!$AL$1284)&gt;0)*1000000+86*1000+34))</f>
        <v/>
      </c>
      <c r="AK94" s="41">
        <f>IF(N('Dvd Calendar'!$AM$1285)=0,"",IF(('Dvd Calendar'!$AM$1285&gt;=MIN(DATE(Summary!$C$12,1,1),Summary!$C$11))*('Dvd Calendar'!$AM$1285&lt;=MAX(DATE(Summary!$C$12,12,31),Summary!$C$15))*('Dvd Calendar'!$AM$1285&lt;=Summary!$C$11)=0,"",'Dvd Calendar'!$AM$1285*1000000000+ISNUMBER('Dvd Calendar'!$AM$1286)*100000000+('Dvd Calendar'!$AM$1290='Field Check'!$C$25)*10000000+(N('Dvd Calendar'!$AM$1284)&gt;0)*1000000+86*1000+35))</f>
        <v/>
      </c>
      <c r="AL94" s="41">
        <f>IF(N('Dvd Calendar'!$AN$1285)=0,"",IF(('Dvd Calendar'!$AN$1285&gt;=MIN(DATE(Summary!$C$12,1,1),Summary!$C$11))*('Dvd Calendar'!$AN$1285&lt;=MAX(DATE(Summary!$C$12,12,31),Summary!$C$15))*('Dvd Calendar'!$AN$1285&lt;=Summary!$C$11)=0,"",'Dvd Calendar'!$AN$1285*1000000000+ISNUMBER('Dvd Calendar'!$AN$1286)*100000000+('Dvd Calendar'!$AN$1290='Field Check'!$C$25)*10000000+(N('Dvd Calendar'!$AN$1284)&gt;0)*1000000+86*1000+36))</f>
        <v/>
      </c>
      <c r="AM94" s="41">
        <f>IF(N('Dvd Calendar'!$AO$1285)=0,"",IF(('Dvd Calendar'!$AO$1285&gt;=MIN(DATE(Summary!$C$12,1,1),Summary!$C$11))*('Dvd Calendar'!$AO$1285&lt;=MAX(DATE(Summary!$C$12,12,31),Summary!$C$15))*('Dvd Calendar'!$AO$1285&lt;=Summary!$C$11)=0,"",'Dvd Calendar'!$AO$1285*1000000000+ISNUMBER('Dvd Calendar'!$AO$1286)*100000000+('Dvd Calendar'!$AO$1290='Field Check'!$C$25)*10000000+(N('Dvd Calendar'!$AO$1284)&gt;0)*1000000+86*1000+37))</f>
        <v/>
      </c>
      <c r="AN94" s="41">
        <f>IF(N('Dvd Calendar'!$AP$1285)=0,"",IF(('Dvd Calendar'!$AP$1285&gt;=MIN(DATE(Summary!$C$12,1,1),Summary!$C$11))*('Dvd Calendar'!$AP$1285&lt;=MAX(DATE(Summary!$C$12,12,31),Summary!$C$15))*('Dvd Calendar'!$AP$1285&lt;=Summary!$C$11)=0,"",'Dvd Calendar'!$AP$1285*1000000000+ISNUMBER('Dvd Calendar'!$AP$1286)*100000000+('Dvd Calendar'!$AP$1290='Field Check'!$C$25)*10000000+(N('Dvd Calendar'!$AP$1284)&gt;0)*1000000+86*1000+38))</f>
        <v/>
      </c>
      <c r="AO94" s="41">
        <f>IF(N('Dvd Calendar'!$AQ$1285)=0,"",IF(('Dvd Calendar'!$AQ$1285&gt;=MIN(DATE(Summary!$C$12,1,1),Summary!$C$11))*('Dvd Calendar'!$AQ$1285&lt;=MAX(DATE(Summary!$C$12,12,31),Summary!$C$15))*('Dvd Calendar'!$AQ$1285&lt;=Summary!$C$11)=0,"",'Dvd Calendar'!$AQ$1285*1000000000+ISNUMBER('Dvd Calendar'!$AQ$1286)*100000000+('Dvd Calendar'!$AQ$1290='Field Check'!$C$25)*10000000+(N('Dvd Calendar'!$AQ$1284)&gt;0)*1000000+86*1000+39))</f>
        <v/>
      </c>
      <c r="AP94" s="41">
        <f>IF(N('Dvd Calendar'!$AR$1285)=0,"",IF(('Dvd Calendar'!$AR$1285&gt;=MIN(DATE(Summary!$C$12,1,1),Summary!$C$11))*('Dvd Calendar'!$AR$1285&lt;=MAX(DATE(Summary!$C$12,12,31),Summary!$C$15))*('Dvd Calendar'!$AR$1285&lt;=Summary!$C$11)=0,"",'Dvd Calendar'!$AR$1285*1000000000+ISNUMBER('Dvd Calendar'!$AR$1286)*100000000+('Dvd Calendar'!$AR$1290='Field Check'!$C$25)*10000000+(N('Dvd Calendar'!$AR$1284)&gt;0)*1000000+86*1000+40))</f>
        <v/>
      </c>
      <c r="AQ94" s="41">
        <f>IF(N('Dvd Calendar'!$E$1292)=0,"",IF(('Dvd Calendar'!$E$1292&gt;=MIN(DATE(Summary!$C$12,1,1),Summary!$C$11))*('Dvd Calendar'!$E$1292&lt;=MAX(DATE(Summary!$C$12,12,31),Summary!$C$15))*('Dvd Calendar'!$E$1292&gt;Summary!$C$11)=0,"",'Dvd Calendar'!$E$1292*1000000000+ISNUMBER('Dvd Calendar'!$E$1293)*100000000+('Dvd Calendar'!$E$1297='Field Check'!$C$25)*10000000+(N('Dvd Calendar'!$E$1291)&gt;0)*1000000+86*1000+41))</f>
        <v/>
      </c>
      <c r="AR94" s="41">
        <f>IF(N('Dvd Calendar'!$F$1292)=0,"",IF(('Dvd Calendar'!$F$1292&gt;=MIN(DATE(Summary!$C$12,1,1),Summary!$C$11))*('Dvd Calendar'!$F$1292&lt;=MAX(DATE(Summary!$C$12,12,31),Summary!$C$15))*('Dvd Calendar'!$F$1292&gt;Summary!$C$11)=0,"",'Dvd Calendar'!$F$1292*1000000000+ISNUMBER('Dvd Calendar'!$F$1293)*100000000+('Dvd Calendar'!$F$1297='Field Check'!$C$25)*10000000+(N('Dvd Calendar'!$F$1291)&gt;0)*1000000+86*1000+42))</f>
        <v/>
      </c>
      <c r="AS94" s="41">
        <f>IF(N('Dvd Calendar'!$G$1292)=0,"",IF(('Dvd Calendar'!$G$1292&gt;=MIN(DATE(Summary!$C$12,1,1),Summary!$C$11))*('Dvd Calendar'!$G$1292&lt;=MAX(DATE(Summary!$C$12,12,31),Summary!$C$15))*('Dvd Calendar'!$G$1292&gt;Summary!$C$11)=0,"",'Dvd Calendar'!$G$1292*1000000000+ISNUMBER('Dvd Calendar'!$G$1293)*100000000+('Dvd Calendar'!$G$1297='Field Check'!$C$25)*10000000+(N('Dvd Calendar'!$G$1291)&gt;0)*1000000+86*1000+43))</f>
        <v/>
      </c>
      <c r="AT94" s="41">
        <f>IF(N('Dvd Calendar'!$H$1292)=0,"",IF(('Dvd Calendar'!$H$1292&gt;=MIN(DATE(Summary!$C$12,1,1),Summary!$C$11))*('Dvd Calendar'!$H$1292&lt;=MAX(DATE(Summary!$C$12,12,31),Summary!$C$15))*('Dvd Calendar'!$H$1292&gt;Summary!$C$11)=0,"",'Dvd Calendar'!$H$1292*1000000000+ISNUMBER('Dvd Calendar'!$H$1293)*100000000+('Dvd Calendar'!$H$1297='Field Check'!$C$25)*10000000+(N('Dvd Calendar'!$H$1291)&gt;0)*1000000+86*1000+44))</f>
        <v/>
      </c>
      <c r="AU94" s="41">
        <f>IF(N('Dvd Calendar'!$I$1292)=0,"",IF(('Dvd Calendar'!$I$1292&gt;=MIN(DATE(Summary!$C$12,1,1),Summary!$C$11))*('Dvd Calendar'!$I$1292&lt;=MAX(DATE(Summary!$C$12,12,31),Summary!$C$15))*('Dvd Calendar'!$I$1292&gt;Summary!$C$11)=0,"",'Dvd Calendar'!$I$1292*1000000000+ISNUMBER('Dvd Calendar'!$I$1293)*100000000+('Dvd Calendar'!$I$1297='Field Check'!$C$25)*10000000+(N('Dvd Calendar'!$I$1291)&gt;0)*1000000+86*1000+45))</f>
        <v/>
      </c>
      <c r="AV94" s="41">
        <f>IF(N('Dvd Calendar'!$J$1292)=0,"",IF(('Dvd Calendar'!$J$1292&gt;=MIN(DATE(Summary!$C$12,1,1),Summary!$C$11))*('Dvd Calendar'!$J$1292&lt;=MAX(DATE(Summary!$C$12,12,31),Summary!$C$15))*('Dvd Calendar'!$J$1292&gt;Summary!$C$11)=0,"",'Dvd Calendar'!$J$1292*1000000000+ISNUMBER('Dvd Calendar'!$J$1293)*100000000+('Dvd Calendar'!$J$1297='Field Check'!$C$25)*10000000+(N('Dvd Calendar'!$J$1291)&gt;0)*1000000+86*1000+46))</f>
        <v/>
      </c>
      <c r="AW94" s="41">
        <f>IF(N('Dvd Calendar'!$K$1292)=0,"",IF(('Dvd Calendar'!$K$1292&gt;=MIN(DATE(Summary!$C$12,1,1),Summary!$C$11))*('Dvd Calendar'!$K$1292&lt;=MAX(DATE(Summary!$C$12,12,31),Summary!$C$15))*('Dvd Calendar'!$K$1292&gt;Summary!$C$11)=0,"",'Dvd Calendar'!$K$1292*1000000000+ISNUMBER('Dvd Calendar'!$K$1293)*100000000+('Dvd Calendar'!$K$1297='Field Check'!$C$25)*10000000+(N('Dvd Calendar'!$K$1291)&gt;0)*1000000+86*1000+47))</f>
        <v/>
      </c>
      <c r="AX94" s="41">
        <f>IF(N('Dvd Calendar'!$L$1292)=0,"",IF(('Dvd Calendar'!$L$1292&gt;=MIN(DATE(Summary!$C$12,1,1),Summary!$C$11))*('Dvd Calendar'!$L$1292&lt;=MAX(DATE(Summary!$C$12,12,31),Summary!$C$15))*('Dvd Calendar'!$L$1292&gt;Summary!$C$11)=0,"",'Dvd Calendar'!$L$1292*1000000000+ISNUMBER('Dvd Calendar'!$L$1293)*100000000+('Dvd Calendar'!$L$1297='Field Check'!$C$25)*10000000+(N('Dvd Calendar'!$L$1291)&gt;0)*1000000+86*1000+48))</f>
        <v/>
      </c>
      <c r="AY94" s="41">
        <f>IF(N('Dvd Calendar'!$M$1292)=0,"",IF(('Dvd Calendar'!$M$1292&gt;=MIN(DATE(Summary!$C$12,1,1),Summary!$C$11))*('Dvd Calendar'!$M$1292&lt;=MAX(DATE(Summary!$C$12,12,31),Summary!$C$15))*('Dvd Calendar'!$M$1292&gt;Summary!$C$11)=0,"",'Dvd Calendar'!$M$1292*1000000000+ISNUMBER('Dvd Calendar'!$M$1293)*100000000+('Dvd Calendar'!$M$1297='Field Check'!$C$25)*10000000+(N('Dvd Calendar'!$M$1291)&gt;0)*1000000+86*1000+49))</f>
        <v/>
      </c>
      <c r="AZ94" s="41">
        <f>IF(N('Dvd Calendar'!$N$1292)=0,"",IF(('Dvd Calendar'!$N$1292&gt;=MIN(DATE(Summary!$C$12,1,1),Summary!$C$11))*('Dvd Calendar'!$N$1292&lt;=MAX(DATE(Summary!$C$12,12,31),Summary!$C$15))*('Dvd Calendar'!$N$1292&gt;Summary!$C$11)=0,"",'Dvd Calendar'!$N$1292*1000000000+ISNUMBER('Dvd Calendar'!$N$1293)*100000000+('Dvd Calendar'!$N$1297='Field Check'!$C$25)*10000000+(N('Dvd Calendar'!$N$1291)&gt;0)*1000000+86*1000+50))</f>
        <v/>
      </c>
      <c r="BA94" s="41">
        <f>IF(N('Dvd Calendar'!$O$1292)=0,"",IF(('Dvd Calendar'!$O$1292&gt;=MIN(DATE(Summary!$C$12,1,1),Summary!$C$11))*('Dvd Calendar'!$O$1292&lt;=MAX(DATE(Summary!$C$12,12,31),Summary!$C$15))*('Dvd Calendar'!$O$1292&gt;Summary!$C$11)=0,"",'Dvd Calendar'!$O$1292*1000000000+ISNUMBER('Dvd Calendar'!$O$1293)*100000000+('Dvd Calendar'!$O$1297='Field Check'!$C$25)*10000000+(N('Dvd Calendar'!$O$1291)&gt;0)*1000000+86*1000+51))</f>
        <v/>
      </c>
      <c r="BB94" s="41">
        <f>IF(N('Dvd Calendar'!$P$1292)=0,"",IF(('Dvd Calendar'!$P$1292&gt;=MIN(DATE(Summary!$C$12,1,1),Summary!$C$11))*('Dvd Calendar'!$P$1292&lt;=MAX(DATE(Summary!$C$12,12,31),Summary!$C$15))*('Dvd Calendar'!$P$1292&gt;Summary!$C$11)=0,"",'Dvd Calendar'!$P$1292*1000000000+ISNUMBER('Dvd Calendar'!$P$1293)*100000000+('Dvd Calendar'!$P$1297='Field Check'!$C$25)*10000000+(N('Dvd Calendar'!$P$1291)&gt;0)*1000000+86*1000+52))</f>
        <v/>
      </c>
      <c r="BC94" s="41">
        <f>IF(N('Dvd Calendar'!$Q$1292)=0,"",IF(('Dvd Calendar'!$Q$1292&gt;=MIN(DATE(Summary!$C$12,1,1),Summary!$C$11))*('Dvd Calendar'!$Q$1292&lt;=MAX(DATE(Summary!$C$12,12,31),Summary!$C$15))*('Dvd Calendar'!$Q$1292&gt;Summary!$C$11)=0,"",'Dvd Calendar'!$Q$1292*1000000000+ISNUMBER('Dvd Calendar'!$Q$1293)*100000000+('Dvd Calendar'!$Q$1297='Field Check'!$C$25)*10000000+(N('Dvd Calendar'!$Q$1291)&gt;0)*1000000+86*1000+53))</f>
        <v/>
      </c>
      <c r="BD94" s="41">
        <f>IF(N('Dvd Calendar'!$R$1292)=0,"",IF(('Dvd Calendar'!$R$1292&gt;=MIN(DATE(Summary!$C$12,1,1),Summary!$C$11))*('Dvd Calendar'!$R$1292&lt;=MAX(DATE(Summary!$C$12,12,31),Summary!$C$15))*('Dvd Calendar'!$R$1292&gt;Summary!$C$11)=0,"",'Dvd Calendar'!$R$1292*1000000000+ISNUMBER('Dvd Calendar'!$R$1293)*100000000+('Dvd Calendar'!$R$1297='Field Check'!$C$25)*10000000+(N('Dvd Calendar'!$R$1291)&gt;0)*1000000+86*1000+54))</f>
        <v/>
      </c>
      <c r="BE94" s="41">
        <f>IF(N('Dvd Calendar'!$S$1292)=0,"",IF(('Dvd Calendar'!$S$1292&gt;=MIN(DATE(Summary!$C$12,1,1),Summary!$C$11))*('Dvd Calendar'!$S$1292&lt;=MAX(DATE(Summary!$C$12,12,31),Summary!$C$15))*('Dvd Calendar'!$S$1292&gt;Summary!$C$11)=0,"",'Dvd Calendar'!$S$1292*1000000000+ISNUMBER('Dvd Calendar'!$S$1293)*100000000+('Dvd Calendar'!$S$1297='Field Check'!$C$25)*10000000+(N('Dvd Calendar'!$S$1291)&gt;0)*1000000+86*1000+55))</f>
        <v/>
      </c>
      <c r="BF94" s="41">
        <f>IF(N('Dvd Calendar'!$T$1292)=0,"",IF(('Dvd Calendar'!$T$1292&gt;=MIN(DATE(Summary!$C$12,1,1),Summary!$C$11))*('Dvd Calendar'!$T$1292&lt;=MAX(DATE(Summary!$C$12,12,31),Summary!$C$15))*('Dvd Calendar'!$T$1292&gt;Summary!$C$11)=0,"",'Dvd Calendar'!$T$1292*1000000000+ISNUMBER('Dvd Calendar'!$T$1293)*100000000+('Dvd Calendar'!$T$1297='Field Check'!$C$25)*10000000+(N('Dvd Calendar'!$T$1291)&gt;0)*1000000+86*1000+56))</f>
        <v/>
      </c>
      <c r="BG94" s="41">
        <f>IF(N('Dvd Calendar'!$U$1292)=0,"",IF(('Dvd Calendar'!$U$1292&gt;=MIN(DATE(Summary!$C$12,1,1),Summary!$C$11))*('Dvd Calendar'!$U$1292&lt;=MAX(DATE(Summary!$C$12,12,31),Summary!$C$15))*('Dvd Calendar'!$U$1292&gt;Summary!$C$11)=0,"",'Dvd Calendar'!$U$1292*1000000000+ISNUMBER('Dvd Calendar'!$U$1293)*100000000+('Dvd Calendar'!$U$1297='Field Check'!$C$25)*10000000+(N('Dvd Calendar'!$U$1291)&gt;0)*1000000+86*1000+57))</f>
        <v/>
      </c>
      <c r="BH94" s="41">
        <f>IF(N('Dvd Calendar'!$V$1292)=0,"",IF(('Dvd Calendar'!$V$1292&gt;=MIN(DATE(Summary!$C$12,1,1),Summary!$C$11))*('Dvd Calendar'!$V$1292&lt;=MAX(DATE(Summary!$C$12,12,31),Summary!$C$15))*('Dvd Calendar'!$V$1292&gt;Summary!$C$11)=0,"",'Dvd Calendar'!$V$1292*1000000000+ISNUMBER('Dvd Calendar'!$V$1293)*100000000+('Dvd Calendar'!$V$1297='Field Check'!$C$25)*10000000+(N('Dvd Calendar'!$V$1291)&gt;0)*1000000+86*1000+58))</f>
        <v/>
      </c>
      <c r="BI94" s="41">
        <f>IF(N('Dvd Calendar'!$W$1292)=0,"",IF(('Dvd Calendar'!$W$1292&gt;=MIN(DATE(Summary!$C$12,1,1),Summary!$C$11))*('Dvd Calendar'!$W$1292&lt;=MAX(DATE(Summary!$C$12,12,31),Summary!$C$15))*('Dvd Calendar'!$W$1292&gt;Summary!$C$11)=0,"",'Dvd Calendar'!$W$1292*1000000000+ISNUMBER('Dvd Calendar'!$W$1293)*100000000+('Dvd Calendar'!$W$1297='Field Check'!$C$25)*10000000+(N('Dvd Calendar'!$W$1291)&gt;0)*1000000+86*1000+59))</f>
        <v/>
      </c>
      <c r="BJ94" s="41">
        <f>IF(N('Dvd Calendar'!$X$1292)=0,"",IF(('Dvd Calendar'!$X$1292&gt;=MIN(DATE(Summary!$C$12,1,1),Summary!$C$11))*('Dvd Calendar'!$X$1292&lt;=MAX(DATE(Summary!$C$12,12,31),Summary!$C$15))*('Dvd Calendar'!$X$1292&gt;Summary!$C$11)=0,"",'Dvd Calendar'!$X$1292*1000000000+ISNUMBER('Dvd Calendar'!$X$1293)*100000000+('Dvd Calendar'!$X$1297='Field Check'!$C$25)*10000000+(N('Dvd Calendar'!$X$1291)&gt;0)*1000000+86*1000+60))</f>
        <v/>
      </c>
      <c r="BK94" s="41">
        <f>IF(N('Dvd Calendar'!$Y$1292)=0,"",IF(('Dvd Calendar'!$Y$1292&gt;=MIN(DATE(Summary!$C$12,1,1),Summary!$C$11))*('Dvd Calendar'!$Y$1292&lt;=MAX(DATE(Summary!$C$12,12,31),Summary!$C$15))*('Dvd Calendar'!$Y$1292&gt;Summary!$C$11)=0,"",'Dvd Calendar'!$Y$1292*1000000000+ISNUMBER('Dvd Calendar'!$Y$1293)*100000000+('Dvd Calendar'!$Y$1297='Field Check'!$C$25)*10000000+(N('Dvd Calendar'!$Y$1291)&gt;0)*1000000+86*1000+61))</f>
        <v/>
      </c>
      <c r="BL94" s="41">
        <f>IF(N('Dvd Calendar'!$Z$1292)=0,"",IF(('Dvd Calendar'!$Z$1292&gt;=MIN(DATE(Summary!$C$12,1,1),Summary!$C$11))*('Dvd Calendar'!$Z$1292&lt;=MAX(DATE(Summary!$C$12,12,31),Summary!$C$15))*('Dvd Calendar'!$Z$1292&gt;Summary!$C$11)=0,"",'Dvd Calendar'!$Z$1292*1000000000+ISNUMBER('Dvd Calendar'!$Z$1293)*100000000+('Dvd Calendar'!$Z$1297='Field Check'!$C$25)*10000000+(N('Dvd Calendar'!$Z$1291)&gt;0)*1000000+86*1000+62))</f>
        <v/>
      </c>
      <c r="BM94" s="41">
        <f>IF(N('Dvd Calendar'!$AA$1292)=0,"",IF(('Dvd Calendar'!$AA$1292&gt;=MIN(DATE(Summary!$C$12,1,1),Summary!$C$11))*('Dvd Calendar'!$AA$1292&lt;=MAX(DATE(Summary!$C$12,12,31),Summary!$C$15))*('Dvd Calendar'!$AA$1292&gt;Summary!$C$11)=0,"",'Dvd Calendar'!$AA$1292*1000000000+ISNUMBER('Dvd Calendar'!$AA$1293)*100000000+('Dvd Calendar'!$AA$1297='Field Check'!$C$25)*10000000+(N('Dvd Calendar'!$AA$1291)&gt;0)*1000000+86*1000+63))</f>
        <v/>
      </c>
      <c r="BN94" s="41">
        <f>IF(N('Dvd Calendar'!$AB$1292)=0,"",IF(('Dvd Calendar'!$AB$1292&gt;=MIN(DATE(Summary!$C$12,1,1),Summary!$C$11))*('Dvd Calendar'!$AB$1292&lt;=MAX(DATE(Summary!$C$12,12,31),Summary!$C$15))*('Dvd Calendar'!$AB$1292&gt;Summary!$C$11)=0,"",'Dvd Calendar'!$AB$1292*1000000000+ISNUMBER('Dvd Calendar'!$AB$1293)*100000000+('Dvd Calendar'!$AB$1297='Field Check'!$C$25)*10000000+(N('Dvd Calendar'!$AB$1291)&gt;0)*1000000+86*1000+64))</f>
        <v/>
      </c>
      <c r="BO94" s="41">
        <f>IF(N('Dvd Calendar'!$AC$1292)=0,"",IF(('Dvd Calendar'!$AC$1292&gt;=MIN(DATE(Summary!$C$12,1,1),Summary!$C$11))*('Dvd Calendar'!$AC$1292&lt;=MAX(DATE(Summary!$C$12,12,31),Summary!$C$15))*('Dvd Calendar'!$AC$1292&gt;Summary!$C$11)=0,"",'Dvd Calendar'!$AC$1292*1000000000+ISNUMBER('Dvd Calendar'!$AC$1293)*100000000+('Dvd Calendar'!$AC$1297='Field Check'!$C$25)*10000000+(N('Dvd Calendar'!$AC$1291)&gt;0)*1000000+86*1000+65))</f>
        <v/>
      </c>
      <c r="BQ94" s="85">
        <f>IF(C94="","",IF(ISNUMBER('Dvd Calendar'!$E$1286)=FALSE,"",IF((Summary!$C$13="N")*('Dvd Calendar'!$E$1290='Field Check'!$C$25)&gt;0,"",'Dvd Calendar'!$E$1286)))</f>
        <v/>
      </c>
      <c r="BR94" s="85">
        <f>IF(D94="","",IF(ISNUMBER('Dvd Calendar'!$F$1286)=FALSE,"",IF((Summary!$C$13="N")*('Dvd Calendar'!$F$1290='Field Check'!$C$25)&gt;0,"",'Dvd Calendar'!$F$1286)))</f>
        <v/>
      </c>
      <c r="BS94" s="85">
        <f>IF(E94="","",IF(ISNUMBER('Dvd Calendar'!$G$1286)=FALSE,"",IF((Summary!$C$13="N")*('Dvd Calendar'!$G$1290='Field Check'!$C$25)&gt;0,"",'Dvd Calendar'!$G$1286)))</f>
        <v/>
      </c>
      <c r="BT94" s="85">
        <f>IF(F94="","",IF(ISNUMBER('Dvd Calendar'!$H$1286)=FALSE,"",IF((Summary!$C$13="N")*('Dvd Calendar'!$H$1290='Field Check'!$C$25)&gt;0,"",'Dvd Calendar'!$H$1286)))</f>
        <v/>
      </c>
      <c r="BU94" s="85">
        <f>IF(G94="","",IF(ISNUMBER('Dvd Calendar'!$I$1286)=FALSE,"",IF((Summary!$C$13="N")*('Dvd Calendar'!$I$1290='Field Check'!$C$25)&gt;0,"",'Dvd Calendar'!$I$1286)))</f>
        <v/>
      </c>
      <c r="BV94" s="85">
        <f>IF(H94="","",IF(ISNUMBER('Dvd Calendar'!$J$1286)=FALSE,"",IF((Summary!$C$13="N")*('Dvd Calendar'!$J$1290='Field Check'!$C$25)&gt;0,"",'Dvd Calendar'!$J$1286)))</f>
        <v/>
      </c>
      <c r="BW94" s="85">
        <f>IF(I94="","",IF(ISNUMBER('Dvd Calendar'!$K$1286)=FALSE,"",IF((Summary!$C$13="N")*('Dvd Calendar'!$K$1290='Field Check'!$C$25)&gt;0,"",'Dvd Calendar'!$K$1286)))</f>
        <v/>
      </c>
      <c r="BX94" s="85">
        <f>IF(J94="","",IF(ISNUMBER('Dvd Calendar'!$L$1286)=FALSE,"",IF((Summary!$C$13="N")*('Dvd Calendar'!$L$1290='Field Check'!$C$25)&gt;0,"",'Dvd Calendar'!$L$1286)))</f>
        <v/>
      </c>
      <c r="BY94" s="85">
        <f>IF(K94="","",IF(ISNUMBER('Dvd Calendar'!$M$1286)=FALSE,"",IF((Summary!$C$13="N")*('Dvd Calendar'!$M$1290='Field Check'!$C$25)&gt;0,"",'Dvd Calendar'!$M$1286)))</f>
        <v/>
      </c>
      <c r="BZ94" s="85">
        <f>IF(L94="","",IF(ISNUMBER('Dvd Calendar'!$N$1286)=FALSE,"",IF((Summary!$C$13="N")*('Dvd Calendar'!$N$1290='Field Check'!$C$25)&gt;0,"",'Dvd Calendar'!$N$1286)))</f>
        <v/>
      </c>
      <c r="CA94" s="85">
        <f>IF(M94="","",IF(ISNUMBER('Dvd Calendar'!$O$1286)=FALSE,"",IF((Summary!$C$13="N")*('Dvd Calendar'!$O$1290='Field Check'!$C$25)&gt;0,"",'Dvd Calendar'!$O$1286)))</f>
        <v/>
      </c>
      <c r="CB94" s="85">
        <f>IF(N94="","",IF(ISNUMBER('Dvd Calendar'!$P$1286)=FALSE,"",IF((Summary!$C$13="N")*('Dvd Calendar'!$P$1290='Field Check'!$C$25)&gt;0,"",'Dvd Calendar'!$P$1286)))</f>
        <v/>
      </c>
      <c r="CC94" s="85">
        <f>IF(O94="","",IF(ISNUMBER('Dvd Calendar'!$Q$1286)=FALSE,"",IF((Summary!$C$13="N")*('Dvd Calendar'!$Q$1290='Field Check'!$C$25)&gt;0,"",'Dvd Calendar'!$Q$1286)))</f>
        <v/>
      </c>
      <c r="CD94" s="85">
        <f>IF(P94="","",IF(ISNUMBER('Dvd Calendar'!$R$1286)=FALSE,"",IF((Summary!$C$13="N")*('Dvd Calendar'!$R$1290='Field Check'!$C$25)&gt;0,"",'Dvd Calendar'!$R$1286)))</f>
        <v/>
      </c>
      <c r="CE94" s="85">
        <f>IF(Q94="","",IF(ISNUMBER('Dvd Calendar'!$S$1286)=FALSE,"",IF((Summary!$C$13="N")*('Dvd Calendar'!$S$1290='Field Check'!$C$25)&gt;0,"",'Dvd Calendar'!$S$1286)))</f>
        <v/>
      </c>
      <c r="CF94" s="85">
        <f>IF(R94="","",IF(ISNUMBER('Dvd Calendar'!$T$1286)=FALSE,"",IF((Summary!$C$13="N")*('Dvd Calendar'!$T$1290='Field Check'!$C$25)&gt;0,"",'Dvd Calendar'!$T$1286)))</f>
        <v/>
      </c>
      <c r="CG94" s="85">
        <f>IF(S94="","",IF(ISNUMBER('Dvd Calendar'!$U$1286)=FALSE,"",IF((Summary!$C$13="N")*('Dvd Calendar'!$U$1290='Field Check'!$C$25)&gt;0,"",'Dvd Calendar'!$U$1286)))</f>
        <v/>
      </c>
      <c r="CH94" s="85">
        <f>IF(T94="","",IF(ISNUMBER('Dvd Calendar'!$V$1286)=FALSE,"",IF((Summary!$C$13="N")*('Dvd Calendar'!$V$1290='Field Check'!$C$25)&gt;0,"",'Dvd Calendar'!$V$1286)))</f>
        <v/>
      </c>
      <c r="CI94" s="85">
        <f>IF(U94="","",IF(ISNUMBER('Dvd Calendar'!$W$1286)=FALSE,"",IF((Summary!$C$13="N")*('Dvd Calendar'!$W$1290='Field Check'!$C$25)&gt;0,"",'Dvd Calendar'!$W$1286)))</f>
        <v/>
      </c>
      <c r="CJ94" s="85">
        <f>IF(V94="","",IF(ISNUMBER('Dvd Calendar'!$X$1286)=FALSE,"",IF((Summary!$C$13="N")*('Dvd Calendar'!$X$1290='Field Check'!$C$25)&gt;0,"",'Dvd Calendar'!$X$1286)))</f>
        <v/>
      </c>
      <c r="CK94" s="85">
        <f>IF(W94="","",IF(ISNUMBER('Dvd Calendar'!$Y$1286)=FALSE,"",IF((Summary!$C$13="N")*('Dvd Calendar'!$Y$1290='Field Check'!$C$25)&gt;0,"",'Dvd Calendar'!$Y$1286)))</f>
        <v/>
      </c>
      <c r="CL94" s="85">
        <f>IF(X94="","",IF(ISNUMBER('Dvd Calendar'!$Z$1286)=FALSE,"",IF((Summary!$C$13="N")*('Dvd Calendar'!$Z$1290='Field Check'!$C$25)&gt;0,"",'Dvd Calendar'!$Z$1286)))</f>
        <v/>
      </c>
      <c r="CM94" s="85">
        <f>IF(Y94="","",IF(ISNUMBER('Dvd Calendar'!$AA$1286)=FALSE,"",IF((Summary!$C$13="N")*('Dvd Calendar'!$AA$1290='Field Check'!$C$25)&gt;0,"",'Dvd Calendar'!$AA$1286)))</f>
        <v/>
      </c>
      <c r="CN94" s="85">
        <f>IF(Z94="","",IF(ISNUMBER('Dvd Calendar'!$AB$1286)=FALSE,"",IF((Summary!$C$13="N")*('Dvd Calendar'!$AB$1290='Field Check'!$C$25)&gt;0,"",'Dvd Calendar'!$AB$1286)))</f>
        <v/>
      </c>
      <c r="CO94" s="85">
        <f>IF(AA94="","",IF(ISNUMBER('Dvd Calendar'!$AC$1286)=FALSE,"",IF((Summary!$C$13="N")*('Dvd Calendar'!$AC$1290='Field Check'!$C$25)&gt;0,"",'Dvd Calendar'!$AC$1286)))</f>
        <v/>
      </c>
      <c r="CP94" s="85">
        <f>IF(AB94="","",IF(ISNUMBER('Dvd Calendar'!$AD$1286)=FALSE,"",IF((Summary!$C$13="N")*('Dvd Calendar'!$AD$1290='Field Check'!$C$25)&gt;0,"",'Dvd Calendar'!$AD$1286)))</f>
        <v/>
      </c>
      <c r="CQ94" s="85">
        <f>IF(AC94="","",IF(ISNUMBER('Dvd Calendar'!$AE$1286)=FALSE,"",IF((Summary!$C$13="N")*('Dvd Calendar'!$AE$1290='Field Check'!$C$25)&gt;0,"",'Dvd Calendar'!$AE$1286)))</f>
        <v/>
      </c>
      <c r="CR94" s="85">
        <f>IF(AD94="","",IF(ISNUMBER('Dvd Calendar'!$AF$1286)=FALSE,"",IF((Summary!$C$13="N")*('Dvd Calendar'!$AF$1290='Field Check'!$C$25)&gt;0,"",'Dvd Calendar'!$AF$1286)))</f>
        <v/>
      </c>
      <c r="CS94" s="85">
        <f>IF(AE94="","",IF(ISNUMBER('Dvd Calendar'!$AG$1286)=FALSE,"",IF((Summary!$C$13="N")*('Dvd Calendar'!$AG$1290='Field Check'!$C$25)&gt;0,"",'Dvd Calendar'!$AG$1286)))</f>
        <v/>
      </c>
      <c r="CT94" s="85">
        <f>IF(AF94="","",IF(ISNUMBER('Dvd Calendar'!$AH$1286)=FALSE,"",IF((Summary!$C$13="N")*('Dvd Calendar'!$AH$1290='Field Check'!$C$25)&gt;0,"",'Dvd Calendar'!$AH$1286)))</f>
        <v/>
      </c>
      <c r="CU94" s="85">
        <f>IF(AG94="","",IF(ISNUMBER('Dvd Calendar'!$AI$1286)=FALSE,"",IF((Summary!$C$13="N")*('Dvd Calendar'!$AI$1290='Field Check'!$C$25)&gt;0,"",'Dvd Calendar'!$AI$1286)))</f>
        <v/>
      </c>
      <c r="CV94" s="85">
        <f>IF(AH94="","",IF(ISNUMBER('Dvd Calendar'!$AJ$1286)=FALSE,"",IF((Summary!$C$13="N")*('Dvd Calendar'!$AJ$1290='Field Check'!$C$25)&gt;0,"",'Dvd Calendar'!$AJ$1286)))</f>
        <v/>
      </c>
      <c r="CW94" s="85">
        <f>IF(AI94="","",IF(ISNUMBER('Dvd Calendar'!$AK$1286)=FALSE,"",IF((Summary!$C$13="N")*('Dvd Calendar'!$AK$1290='Field Check'!$C$25)&gt;0,"",'Dvd Calendar'!$AK$1286)))</f>
        <v/>
      </c>
      <c r="CX94" s="85">
        <f>IF(AJ94="","",IF(ISNUMBER('Dvd Calendar'!$AL$1286)=FALSE,"",IF((Summary!$C$13="N")*('Dvd Calendar'!$AL$1290='Field Check'!$C$25)&gt;0,"",'Dvd Calendar'!$AL$1286)))</f>
        <v/>
      </c>
      <c r="CY94" s="85">
        <f>IF(AK94="","",IF(ISNUMBER('Dvd Calendar'!$AM$1286)=FALSE,"",IF((Summary!$C$13="N")*('Dvd Calendar'!$AM$1290='Field Check'!$C$25)&gt;0,"",'Dvd Calendar'!$AM$1286)))</f>
        <v/>
      </c>
      <c r="CZ94" s="85">
        <f>IF(AL94="","",IF(ISNUMBER('Dvd Calendar'!$AN$1286)=FALSE,"",IF((Summary!$C$13="N")*('Dvd Calendar'!$AN$1290='Field Check'!$C$25)&gt;0,"",'Dvd Calendar'!$AN$1286)))</f>
        <v/>
      </c>
      <c r="DA94" s="85">
        <f>IF(AM94="","",IF(ISNUMBER('Dvd Calendar'!$AO$1286)=FALSE,"",IF((Summary!$C$13="N")*('Dvd Calendar'!$AO$1290='Field Check'!$C$25)&gt;0,"",'Dvd Calendar'!$AO$1286)))</f>
        <v/>
      </c>
      <c r="DB94" s="85">
        <f>IF(AN94="","",IF(ISNUMBER('Dvd Calendar'!$AP$1286)=FALSE,"",IF((Summary!$C$13="N")*('Dvd Calendar'!$AP$1290='Field Check'!$C$25)&gt;0,"",'Dvd Calendar'!$AP$1286)))</f>
        <v/>
      </c>
      <c r="DC94" s="85">
        <f>IF(AO94="","",IF(ISNUMBER('Dvd Calendar'!$AQ$1286)=FALSE,"",IF((Summary!$C$13="N")*('Dvd Calendar'!$AQ$1290='Field Check'!$C$25)&gt;0,"",'Dvd Calendar'!$AQ$1286)))</f>
        <v/>
      </c>
      <c r="DD94" s="85">
        <f>IF(AP94="","",IF(ISNUMBER('Dvd Calendar'!$AR$1286)=FALSE,"",IF((Summary!$C$13="N")*('Dvd Calendar'!$AR$1290='Field Check'!$C$25)&gt;0,"",'Dvd Calendar'!$AR$1286)))</f>
        <v/>
      </c>
      <c r="DE94" s="85">
        <f>IF(AQ94="","",IF(ISNUMBER('Dvd Calendar'!$E$1293)=FALSE,"",IF((Summary!$C$13="N")*('Dvd Calendar'!$E$1297='Field Check'!$C$25)&gt;0,"",'Dvd Calendar'!$E$1293)))</f>
        <v/>
      </c>
      <c r="DF94" s="85">
        <f>IF(AR94="","",IF(ISNUMBER('Dvd Calendar'!$F$1293)=FALSE,"",IF((Summary!$C$13="N")*('Dvd Calendar'!$F$1297='Field Check'!$C$25)&gt;0,"",'Dvd Calendar'!$F$1293)))</f>
        <v/>
      </c>
      <c r="DG94" s="85">
        <f>IF(AS94="","",IF(ISNUMBER('Dvd Calendar'!$G$1293)=FALSE,"",IF((Summary!$C$13="N")*('Dvd Calendar'!$G$1297='Field Check'!$C$25)&gt;0,"",'Dvd Calendar'!$G$1293)))</f>
        <v/>
      </c>
      <c r="DH94" s="85">
        <f>IF(AT94="","",IF(ISNUMBER('Dvd Calendar'!$H$1293)=FALSE,"",IF((Summary!$C$13="N")*('Dvd Calendar'!$H$1297='Field Check'!$C$25)&gt;0,"",'Dvd Calendar'!$H$1293)))</f>
        <v/>
      </c>
      <c r="DI94" s="85">
        <f>IF(AU94="","",IF(ISNUMBER('Dvd Calendar'!$I$1293)=FALSE,"",IF((Summary!$C$13="N")*('Dvd Calendar'!$I$1297='Field Check'!$C$25)&gt;0,"",'Dvd Calendar'!$I$1293)))</f>
        <v/>
      </c>
      <c r="DJ94" s="85">
        <f>IF(AV94="","",IF(ISNUMBER('Dvd Calendar'!$J$1293)=FALSE,"",IF((Summary!$C$13="N")*('Dvd Calendar'!$J$1297='Field Check'!$C$25)&gt;0,"",'Dvd Calendar'!$J$1293)))</f>
        <v/>
      </c>
      <c r="DK94" s="85">
        <f>IF(AW94="","",IF(ISNUMBER('Dvd Calendar'!$K$1293)=FALSE,"",IF((Summary!$C$13="N")*('Dvd Calendar'!$K$1297='Field Check'!$C$25)&gt;0,"",'Dvd Calendar'!$K$1293)))</f>
        <v/>
      </c>
      <c r="DL94" s="85">
        <f>IF(AX94="","",IF(ISNUMBER('Dvd Calendar'!$L$1293)=FALSE,"",IF((Summary!$C$13="N")*('Dvd Calendar'!$L$1297='Field Check'!$C$25)&gt;0,"",'Dvd Calendar'!$L$1293)))</f>
        <v/>
      </c>
      <c r="DM94" s="85">
        <f>IF(AY94="","",IF(ISNUMBER('Dvd Calendar'!$M$1293)=FALSE,"",IF((Summary!$C$13="N")*('Dvd Calendar'!$M$1297='Field Check'!$C$25)&gt;0,"",'Dvd Calendar'!$M$1293)))</f>
        <v/>
      </c>
      <c r="DN94" s="85">
        <f>IF(AZ94="","",IF(ISNUMBER('Dvd Calendar'!$N$1293)=FALSE,"",IF((Summary!$C$13="N")*('Dvd Calendar'!$N$1297='Field Check'!$C$25)&gt;0,"",'Dvd Calendar'!$N$1293)))</f>
        <v/>
      </c>
      <c r="DO94" s="85">
        <f>IF(BA94="","",IF(ISNUMBER('Dvd Calendar'!$O$1293)=FALSE,"",IF((Summary!$C$13="N")*('Dvd Calendar'!$O$1297='Field Check'!$C$25)&gt;0,"",'Dvd Calendar'!$O$1293)))</f>
        <v/>
      </c>
      <c r="DP94" s="85">
        <f>IF(BB94="","",IF(ISNUMBER('Dvd Calendar'!$P$1293)=FALSE,"",IF((Summary!$C$13="N")*('Dvd Calendar'!$P$1297='Field Check'!$C$25)&gt;0,"",'Dvd Calendar'!$P$1293)))</f>
        <v/>
      </c>
      <c r="DQ94" s="85">
        <f>IF(BC94="","",IF(ISNUMBER('Dvd Calendar'!$Q$1293)=FALSE,"",IF((Summary!$C$13="N")*('Dvd Calendar'!$Q$1297='Field Check'!$C$25)&gt;0,"",'Dvd Calendar'!$Q$1293)))</f>
        <v/>
      </c>
      <c r="DR94" s="85">
        <f>IF(BD94="","",IF(ISNUMBER('Dvd Calendar'!$R$1293)=FALSE,"",IF((Summary!$C$13="N")*('Dvd Calendar'!$R$1297='Field Check'!$C$25)&gt;0,"",'Dvd Calendar'!$R$1293)))</f>
        <v/>
      </c>
      <c r="DS94" s="85">
        <f>IF(BE94="","",IF(ISNUMBER('Dvd Calendar'!$S$1293)=FALSE,"",IF((Summary!$C$13="N")*('Dvd Calendar'!$S$1297='Field Check'!$C$25)&gt;0,"",'Dvd Calendar'!$S$1293)))</f>
        <v/>
      </c>
      <c r="DT94" s="85">
        <f>IF(BF94="","",IF(ISNUMBER('Dvd Calendar'!$T$1293)=FALSE,"",IF((Summary!$C$13="N")*('Dvd Calendar'!$T$1297='Field Check'!$C$25)&gt;0,"",'Dvd Calendar'!$T$1293)))</f>
        <v/>
      </c>
      <c r="DU94" s="85">
        <f>IF(BG94="","",IF(ISNUMBER('Dvd Calendar'!$U$1293)=FALSE,"",IF((Summary!$C$13="N")*('Dvd Calendar'!$U$1297='Field Check'!$C$25)&gt;0,"",'Dvd Calendar'!$U$1293)))</f>
        <v/>
      </c>
      <c r="DV94" s="85">
        <f>IF(BH94="","",IF(ISNUMBER('Dvd Calendar'!$V$1293)=FALSE,"",IF((Summary!$C$13="N")*('Dvd Calendar'!$V$1297='Field Check'!$C$25)&gt;0,"",'Dvd Calendar'!$V$1293)))</f>
        <v/>
      </c>
      <c r="DW94" s="85">
        <f>IF(BI94="","",IF(ISNUMBER('Dvd Calendar'!$W$1293)=FALSE,"",IF((Summary!$C$13="N")*('Dvd Calendar'!$W$1297='Field Check'!$C$25)&gt;0,"",'Dvd Calendar'!$W$1293)))</f>
        <v/>
      </c>
      <c r="DX94" s="85">
        <f>IF(BJ94="","",IF(ISNUMBER('Dvd Calendar'!$X$1293)=FALSE,"",IF((Summary!$C$13="N")*('Dvd Calendar'!$X$1297='Field Check'!$C$25)&gt;0,"",'Dvd Calendar'!$X$1293)))</f>
        <v/>
      </c>
      <c r="DY94" s="85">
        <f>IF(BK94="","",IF(ISNUMBER('Dvd Calendar'!$Y$1293)=FALSE,"",IF((Summary!$C$13="N")*('Dvd Calendar'!$Y$1297='Field Check'!$C$25)&gt;0,"",'Dvd Calendar'!$Y$1293)))</f>
        <v/>
      </c>
      <c r="DZ94" s="85">
        <f>IF(BL94="","",IF(ISNUMBER('Dvd Calendar'!$Z$1293)=FALSE,"",IF((Summary!$C$13="N")*('Dvd Calendar'!$Z$1297='Field Check'!$C$25)&gt;0,"",'Dvd Calendar'!$Z$1293)))</f>
        <v/>
      </c>
      <c r="EA94" s="85">
        <f>IF(BM94="","",IF(ISNUMBER('Dvd Calendar'!$AA$1293)=FALSE,"",IF((Summary!$C$13="N")*('Dvd Calendar'!$AA$1297='Field Check'!$C$25)&gt;0,"",'Dvd Calendar'!$AA$1293)))</f>
        <v/>
      </c>
      <c r="EB94" s="85">
        <f>IF(BN94="","",IF(ISNUMBER('Dvd Calendar'!$AB$1293)=FALSE,"",IF((Summary!$C$13="N")*('Dvd Calendar'!$AB$1297='Field Check'!$C$25)&gt;0,"",'Dvd Calendar'!$AB$1293)))</f>
        <v/>
      </c>
      <c r="EC94" s="85">
        <f>IF(BO94="","",IF(ISNUMBER('Dvd Calendar'!$AC$1293)=FALSE,"",IF((Summary!$C$13="N")*('Dvd Calendar'!$AC$1297='Field Check'!$C$25)&gt;0,"",'Dvd Calendar'!$AC$1293)))</f>
        <v/>
      </c>
      <c r="EE94" s="85">
        <f>IF(BQ94="","",IFERROR(BQ94*HSI!$B$92*HSI!$G$92/HSI!$B$3,""))</f>
        <v/>
      </c>
      <c r="EF94" s="85">
        <f>IF(BR94="","",IFERROR(BR94*HSI!$B$92*HSI!$G$92/HSI!$B$3,""))</f>
        <v/>
      </c>
      <c r="EG94" s="85">
        <f>IF(BS94="","",IFERROR(BS94*HSI!$B$92*HSI!$G$92/HSI!$B$3,""))</f>
        <v/>
      </c>
      <c r="EH94" s="85">
        <f>IF(BT94="","",IFERROR(BT94*HSI!$B$92*HSI!$G$92/HSI!$B$3,""))</f>
        <v/>
      </c>
      <c r="EI94" s="85">
        <f>IF(BU94="","",IFERROR(BU94*HSI!$B$92*HSI!$G$92/HSI!$B$3,""))</f>
        <v/>
      </c>
      <c r="EJ94" s="85">
        <f>IF(BV94="","",IFERROR(BV94*HSI!$B$92*HSI!$G$92/HSI!$B$3,""))</f>
        <v/>
      </c>
      <c r="EK94" s="85">
        <f>IF(BW94="","",IFERROR(BW94*HSI!$B$92*HSI!$G$92/HSI!$B$3,""))</f>
        <v/>
      </c>
      <c r="EL94" s="85">
        <f>IF(BX94="","",IFERROR(BX94*HSI!$B$92*HSI!$G$92/HSI!$B$3,""))</f>
        <v/>
      </c>
      <c r="EM94" s="85">
        <f>IF(BY94="","",IFERROR(BY94*HSI!$B$92*HSI!$G$92/HSI!$B$3,""))</f>
        <v/>
      </c>
      <c r="EN94" s="85">
        <f>IF(BZ94="","",IFERROR(BZ94*HSI!$B$92*HSI!$G$92/HSI!$B$3,""))</f>
        <v/>
      </c>
      <c r="EO94" s="85">
        <f>IF(CA94="","",IFERROR(CA94*HSI!$B$92*HSI!$G$92/HSI!$B$3,""))</f>
        <v/>
      </c>
      <c r="EP94" s="85">
        <f>IF(CB94="","",IFERROR(CB94*HSI!$B$92*HSI!$G$92/HSI!$B$3,""))</f>
        <v/>
      </c>
      <c r="EQ94" s="85">
        <f>IF(CC94="","",IFERROR(CC94*HSI!$B$92*HSI!$G$92/HSI!$B$3,""))</f>
        <v/>
      </c>
      <c r="ER94" s="85">
        <f>IF(CD94="","",IFERROR(CD94*HSI!$B$92*HSI!$G$92/HSI!$B$3,""))</f>
        <v/>
      </c>
      <c r="ES94" s="85">
        <f>IF(CE94="","",IFERROR(CE94*HSI!$B$92*HSI!$G$92/HSI!$B$3,""))</f>
        <v/>
      </c>
      <c r="ET94" s="85">
        <f>IF(CF94="","",IFERROR(CF94*HSI!$B$92*HSI!$G$92/HSI!$B$3,""))</f>
        <v/>
      </c>
      <c r="EU94" s="85">
        <f>IF(CG94="","",IFERROR(CG94*HSI!$B$92*HSI!$G$92/HSI!$B$3,""))</f>
        <v/>
      </c>
      <c r="EV94" s="85">
        <f>IF(CH94="","",IFERROR(CH94*HSI!$B$92*HSI!$G$92/HSI!$B$3,""))</f>
        <v/>
      </c>
      <c r="EW94" s="85">
        <f>IF(CI94="","",IFERROR(CI94*HSI!$B$92*HSI!$G$92/HSI!$B$3,""))</f>
        <v/>
      </c>
      <c r="EX94" s="85">
        <f>IF(CJ94="","",IFERROR(CJ94*HSI!$B$92*HSI!$G$92/HSI!$B$3,""))</f>
        <v/>
      </c>
      <c r="EY94" s="85">
        <f>IF(CK94="","",IFERROR(CK94*HSI!$B$92*HSI!$G$92/HSI!$B$3,""))</f>
        <v/>
      </c>
      <c r="EZ94" s="85">
        <f>IF(CL94="","",IFERROR(CL94*HSI!$B$92*HSI!$G$92/HSI!$B$3,""))</f>
        <v/>
      </c>
      <c r="FA94" s="85">
        <f>IF(CM94="","",IFERROR(CM94*HSI!$B$92*HSI!$G$92/HSI!$B$3,""))</f>
        <v/>
      </c>
      <c r="FB94" s="85">
        <f>IF(CN94="","",IFERROR(CN94*HSI!$B$92*HSI!$G$92/HSI!$B$3,""))</f>
        <v/>
      </c>
      <c r="FC94" s="85">
        <f>IF(CO94="","",IFERROR(CO94*HSI!$B$92*HSI!$G$92/HSI!$B$3,""))</f>
        <v/>
      </c>
      <c r="FD94" s="85">
        <f>IF(CP94="","",IFERROR(CP94*HSI!$B$92*HSI!$G$92/HSI!$B$3,""))</f>
        <v/>
      </c>
      <c r="FE94" s="85">
        <f>IF(CQ94="","",IFERROR(CQ94*HSI!$B$92*HSI!$G$92/HSI!$B$3,""))</f>
        <v/>
      </c>
      <c r="FF94" s="85">
        <f>IF(CR94="","",IFERROR(CR94*HSI!$B$92*HSI!$G$92/HSI!$B$3,""))</f>
        <v/>
      </c>
      <c r="FG94" s="85">
        <f>IF(CS94="","",IFERROR(CS94*HSI!$B$92*HSI!$G$92/HSI!$B$3,""))</f>
        <v/>
      </c>
      <c r="FH94" s="85">
        <f>IF(CT94="","",IFERROR(CT94*HSI!$B$92*HSI!$G$92/HSI!$B$3,""))</f>
        <v/>
      </c>
      <c r="FI94" s="85">
        <f>IF(CU94="","",IFERROR(CU94*HSI!$B$92*HSI!$G$92/HSI!$B$3,""))</f>
        <v/>
      </c>
      <c r="FJ94" s="85">
        <f>IF(CV94="","",IFERROR(CV94*HSI!$B$92*HSI!$G$92/HSI!$B$3,""))</f>
        <v/>
      </c>
      <c r="FK94" s="85">
        <f>IF(CW94="","",IFERROR(CW94*HSI!$B$92*HSI!$G$92/HSI!$B$3,""))</f>
        <v/>
      </c>
      <c r="FL94" s="85">
        <f>IF(CX94="","",IFERROR(CX94*HSI!$B$92*HSI!$G$92/HSI!$B$3,""))</f>
        <v/>
      </c>
      <c r="FM94" s="85">
        <f>IF(CY94="","",IFERROR(CY94*HSI!$B$92*HSI!$G$92/HSI!$B$3,""))</f>
        <v/>
      </c>
      <c r="FN94" s="85">
        <f>IF(CZ94="","",IFERROR(CZ94*HSI!$B$92*HSI!$G$92/HSI!$B$3,""))</f>
        <v/>
      </c>
      <c r="FO94" s="85">
        <f>IF(DA94="","",IFERROR(DA94*HSI!$B$92*HSI!$G$92/HSI!$B$3,""))</f>
        <v/>
      </c>
      <c r="FP94" s="85">
        <f>IF(DB94="","",IFERROR(DB94*HSI!$B$92*HSI!$G$92/HSI!$B$3,""))</f>
        <v/>
      </c>
      <c r="FQ94" s="85">
        <f>IF(DC94="","",IFERROR(DC94*HSI!$B$92*HSI!$G$92/HSI!$B$3,""))</f>
        <v/>
      </c>
      <c r="FR94" s="85">
        <f>IF(DD94="","",IFERROR(DD94*HSI!$B$92*HSI!$G$92/HSI!$B$3,""))</f>
        <v/>
      </c>
      <c r="FS94" s="85">
        <f>IF(DE94="","",IFERROR(DE94*HSI!$B$92*HSI!$G$92/HSI!$B$3,""))</f>
        <v/>
      </c>
      <c r="FT94" s="85">
        <f>IF(DF94="","",IFERROR(DF94*HSI!$B$92*HSI!$G$92/HSI!$B$3,""))</f>
        <v/>
      </c>
      <c r="FU94" s="85">
        <f>IF(DG94="","",IFERROR(DG94*HSI!$B$92*HSI!$G$92/HSI!$B$3,""))</f>
        <v/>
      </c>
      <c r="FV94" s="85">
        <f>IF(DH94="","",IFERROR(DH94*HSI!$B$92*HSI!$G$92/HSI!$B$3,""))</f>
        <v/>
      </c>
      <c r="FW94" s="85">
        <f>IF(DI94="","",IFERROR(DI94*HSI!$B$92*HSI!$G$92/HSI!$B$3,""))</f>
        <v/>
      </c>
      <c r="FX94" s="85">
        <f>IF(DJ94="","",IFERROR(DJ94*HSI!$B$92*HSI!$G$92/HSI!$B$3,""))</f>
        <v/>
      </c>
      <c r="FY94" s="85">
        <f>IF(DK94="","",IFERROR(DK94*HSI!$B$92*HSI!$G$92/HSI!$B$3,""))</f>
        <v/>
      </c>
      <c r="FZ94" s="85">
        <f>IF(DL94="","",IFERROR(DL94*HSI!$B$92*HSI!$G$92/HSI!$B$3,""))</f>
        <v/>
      </c>
      <c r="GA94" s="85">
        <f>IF(DM94="","",IFERROR(DM94*HSI!$B$92*HSI!$G$92/HSI!$B$3,""))</f>
        <v/>
      </c>
      <c r="GB94" s="85">
        <f>IF(DN94="","",IFERROR(DN94*HSI!$B$92*HSI!$G$92/HSI!$B$3,""))</f>
        <v/>
      </c>
      <c r="GC94" s="85">
        <f>IF(DO94="","",IFERROR(DO94*HSI!$B$92*HSI!$G$92/HSI!$B$3,""))</f>
        <v/>
      </c>
      <c r="GD94" s="85">
        <f>IF(DP94="","",IFERROR(DP94*HSI!$B$92*HSI!$G$92/HSI!$B$3,""))</f>
        <v/>
      </c>
      <c r="GE94" s="85">
        <f>IF(DQ94="","",IFERROR(DQ94*HSI!$B$92*HSI!$G$92/HSI!$B$3,""))</f>
        <v/>
      </c>
      <c r="GF94" s="85">
        <f>IF(DR94="","",IFERROR(DR94*HSI!$B$92*HSI!$G$92/HSI!$B$3,""))</f>
        <v/>
      </c>
      <c r="GG94" s="85">
        <f>IF(DS94="","",IFERROR(DS94*HSI!$B$92*HSI!$G$92/HSI!$B$3,""))</f>
        <v/>
      </c>
      <c r="GH94" s="85">
        <f>IF(DT94="","",IFERROR(DT94*HSI!$B$92*HSI!$G$92/HSI!$B$3,""))</f>
        <v/>
      </c>
      <c r="GI94" s="85">
        <f>IF(DU94="","",IFERROR(DU94*HSI!$B$92*HSI!$G$92/HSI!$B$3,""))</f>
        <v/>
      </c>
      <c r="GJ94" s="85">
        <f>IF(DV94="","",IFERROR(DV94*HSI!$B$92*HSI!$G$92/HSI!$B$3,""))</f>
        <v/>
      </c>
      <c r="GK94" s="85">
        <f>IF(DW94="","",IFERROR(DW94*HSI!$B$92*HSI!$G$92/HSI!$B$3,""))</f>
        <v/>
      </c>
      <c r="GL94" s="85">
        <f>IF(DX94="","",IFERROR(DX94*HSI!$B$92*HSI!$G$92/HSI!$B$3,""))</f>
        <v/>
      </c>
      <c r="GM94" s="85">
        <f>IF(DY94="","",IFERROR(DY94*HSI!$B$92*HSI!$G$92/HSI!$B$3,""))</f>
        <v/>
      </c>
      <c r="GN94" s="85">
        <f>IF(DZ94="","",IFERROR(DZ94*HSI!$B$92*HSI!$G$92/HSI!$B$3,""))</f>
        <v/>
      </c>
      <c r="GO94" s="85">
        <f>IF(EA94="","",IFERROR(EA94*HSI!$B$92*HSI!$G$92/HSI!$B$3,""))</f>
        <v/>
      </c>
      <c r="GP94" s="85">
        <f>IF(EB94="","",IFERROR(EB94*HSI!$B$92*HSI!$G$92/HSI!$B$3,""))</f>
        <v/>
      </c>
      <c r="GQ94" s="85">
        <f>IF(EC94="","",IFERROR(EC94*HSI!$B$92*HSI!$G$92/HSI!$B$3,""))</f>
        <v/>
      </c>
    </row>
    <row r="95">
      <c r="B95" s="2">
        <f>IF(HSI!$C$93="","",HSI!$C$93)</f>
        <v/>
      </c>
      <c r="C95" s="41">
        <f>IF(N('Dvd Calendar'!$E$1300)=0,"",IF(('Dvd Calendar'!$E$1300&gt;=MIN(DATE(Summary!$C$12,1,1),Summary!$C$11))*('Dvd Calendar'!$E$1300&lt;=MAX(DATE(Summary!$C$12,12,31),Summary!$C$15))*('Dvd Calendar'!$E$1300&lt;=Summary!$C$11)=0,"",'Dvd Calendar'!$E$1300*1000000000+ISNUMBER('Dvd Calendar'!$E$1301)*100000000+('Dvd Calendar'!$E$1305='Field Check'!$C$25)*10000000+(N('Dvd Calendar'!$E$1299)&gt;0)*1000000+87*1000+1))</f>
        <v/>
      </c>
      <c r="D95" s="41">
        <f>IF(N('Dvd Calendar'!$F$1300)=0,"",IF(('Dvd Calendar'!$F$1300&gt;=MIN(DATE(Summary!$C$12,1,1),Summary!$C$11))*('Dvd Calendar'!$F$1300&lt;=MAX(DATE(Summary!$C$12,12,31),Summary!$C$15))*('Dvd Calendar'!$F$1300&lt;=Summary!$C$11)=0,"",'Dvd Calendar'!$F$1300*1000000000+ISNUMBER('Dvd Calendar'!$F$1301)*100000000+('Dvd Calendar'!$F$1305='Field Check'!$C$25)*10000000+(N('Dvd Calendar'!$F$1299)&gt;0)*1000000+87*1000+2))</f>
        <v/>
      </c>
      <c r="E95" s="41">
        <f>IF(N('Dvd Calendar'!$G$1300)=0,"",IF(('Dvd Calendar'!$G$1300&gt;=MIN(DATE(Summary!$C$12,1,1),Summary!$C$11))*('Dvd Calendar'!$G$1300&lt;=MAX(DATE(Summary!$C$12,12,31),Summary!$C$15))*('Dvd Calendar'!$G$1300&lt;=Summary!$C$11)=0,"",'Dvd Calendar'!$G$1300*1000000000+ISNUMBER('Dvd Calendar'!$G$1301)*100000000+('Dvd Calendar'!$G$1305='Field Check'!$C$25)*10000000+(N('Dvd Calendar'!$G$1299)&gt;0)*1000000+87*1000+3))</f>
        <v/>
      </c>
      <c r="F95" s="41">
        <f>IF(N('Dvd Calendar'!$H$1300)=0,"",IF(('Dvd Calendar'!$H$1300&gt;=MIN(DATE(Summary!$C$12,1,1),Summary!$C$11))*('Dvd Calendar'!$H$1300&lt;=MAX(DATE(Summary!$C$12,12,31),Summary!$C$15))*('Dvd Calendar'!$H$1300&lt;=Summary!$C$11)=0,"",'Dvd Calendar'!$H$1300*1000000000+ISNUMBER('Dvd Calendar'!$H$1301)*100000000+('Dvd Calendar'!$H$1305='Field Check'!$C$25)*10000000+(N('Dvd Calendar'!$H$1299)&gt;0)*1000000+87*1000+4))</f>
        <v/>
      </c>
      <c r="G95" s="41">
        <f>IF(N('Dvd Calendar'!$I$1300)=0,"",IF(('Dvd Calendar'!$I$1300&gt;=MIN(DATE(Summary!$C$12,1,1),Summary!$C$11))*('Dvd Calendar'!$I$1300&lt;=MAX(DATE(Summary!$C$12,12,31),Summary!$C$15))*('Dvd Calendar'!$I$1300&lt;=Summary!$C$11)=0,"",'Dvd Calendar'!$I$1300*1000000000+ISNUMBER('Dvd Calendar'!$I$1301)*100000000+('Dvd Calendar'!$I$1305='Field Check'!$C$25)*10000000+(N('Dvd Calendar'!$I$1299)&gt;0)*1000000+87*1000+5))</f>
        <v/>
      </c>
      <c r="H95" s="41">
        <f>IF(N('Dvd Calendar'!$J$1300)=0,"",IF(('Dvd Calendar'!$J$1300&gt;=MIN(DATE(Summary!$C$12,1,1),Summary!$C$11))*('Dvd Calendar'!$J$1300&lt;=MAX(DATE(Summary!$C$12,12,31),Summary!$C$15))*('Dvd Calendar'!$J$1300&lt;=Summary!$C$11)=0,"",'Dvd Calendar'!$J$1300*1000000000+ISNUMBER('Dvd Calendar'!$J$1301)*100000000+('Dvd Calendar'!$J$1305='Field Check'!$C$25)*10000000+(N('Dvd Calendar'!$J$1299)&gt;0)*1000000+87*1000+6))</f>
        <v/>
      </c>
      <c r="I95" s="41">
        <f>IF(N('Dvd Calendar'!$K$1300)=0,"",IF(('Dvd Calendar'!$K$1300&gt;=MIN(DATE(Summary!$C$12,1,1),Summary!$C$11))*('Dvd Calendar'!$K$1300&lt;=MAX(DATE(Summary!$C$12,12,31),Summary!$C$15))*('Dvd Calendar'!$K$1300&lt;=Summary!$C$11)=0,"",'Dvd Calendar'!$K$1300*1000000000+ISNUMBER('Dvd Calendar'!$K$1301)*100000000+('Dvd Calendar'!$K$1305='Field Check'!$C$25)*10000000+(N('Dvd Calendar'!$K$1299)&gt;0)*1000000+87*1000+7))</f>
        <v/>
      </c>
      <c r="J95" s="41">
        <f>IF(N('Dvd Calendar'!$L$1300)=0,"",IF(('Dvd Calendar'!$L$1300&gt;=MIN(DATE(Summary!$C$12,1,1),Summary!$C$11))*('Dvd Calendar'!$L$1300&lt;=MAX(DATE(Summary!$C$12,12,31),Summary!$C$15))*('Dvd Calendar'!$L$1300&lt;=Summary!$C$11)=0,"",'Dvd Calendar'!$L$1300*1000000000+ISNUMBER('Dvd Calendar'!$L$1301)*100000000+('Dvd Calendar'!$L$1305='Field Check'!$C$25)*10000000+(N('Dvd Calendar'!$L$1299)&gt;0)*1000000+87*1000+8))</f>
        <v/>
      </c>
      <c r="K95" s="41">
        <f>IF(N('Dvd Calendar'!$M$1300)=0,"",IF(('Dvd Calendar'!$M$1300&gt;=MIN(DATE(Summary!$C$12,1,1),Summary!$C$11))*('Dvd Calendar'!$M$1300&lt;=MAX(DATE(Summary!$C$12,12,31),Summary!$C$15))*('Dvd Calendar'!$M$1300&lt;=Summary!$C$11)=0,"",'Dvd Calendar'!$M$1300*1000000000+ISNUMBER('Dvd Calendar'!$M$1301)*100000000+('Dvd Calendar'!$M$1305='Field Check'!$C$25)*10000000+(N('Dvd Calendar'!$M$1299)&gt;0)*1000000+87*1000+9))</f>
        <v/>
      </c>
      <c r="L95" s="41">
        <f>IF(N('Dvd Calendar'!$N$1300)=0,"",IF(('Dvd Calendar'!$N$1300&gt;=MIN(DATE(Summary!$C$12,1,1),Summary!$C$11))*('Dvd Calendar'!$N$1300&lt;=MAX(DATE(Summary!$C$12,12,31),Summary!$C$15))*('Dvd Calendar'!$N$1300&lt;=Summary!$C$11)=0,"",'Dvd Calendar'!$N$1300*1000000000+ISNUMBER('Dvd Calendar'!$N$1301)*100000000+('Dvd Calendar'!$N$1305='Field Check'!$C$25)*10000000+(N('Dvd Calendar'!$N$1299)&gt;0)*1000000+87*1000+10))</f>
        <v/>
      </c>
      <c r="M95" s="41">
        <f>IF(N('Dvd Calendar'!$O$1300)=0,"",IF(('Dvd Calendar'!$O$1300&gt;=MIN(DATE(Summary!$C$12,1,1),Summary!$C$11))*('Dvd Calendar'!$O$1300&lt;=MAX(DATE(Summary!$C$12,12,31),Summary!$C$15))*('Dvd Calendar'!$O$1300&lt;=Summary!$C$11)=0,"",'Dvd Calendar'!$O$1300*1000000000+ISNUMBER('Dvd Calendar'!$O$1301)*100000000+('Dvd Calendar'!$O$1305='Field Check'!$C$25)*10000000+(N('Dvd Calendar'!$O$1299)&gt;0)*1000000+87*1000+11))</f>
        <v/>
      </c>
      <c r="N95" s="41">
        <f>IF(N('Dvd Calendar'!$P$1300)=0,"",IF(('Dvd Calendar'!$P$1300&gt;=MIN(DATE(Summary!$C$12,1,1),Summary!$C$11))*('Dvd Calendar'!$P$1300&lt;=MAX(DATE(Summary!$C$12,12,31),Summary!$C$15))*('Dvd Calendar'!$P$1300&lt;=Summary!$C$11)=0,"",'Dvd Calendar'!$P$1300*1000000000+ISNUMBER('Dvd Calendar'!$P$1301)*100000000+('Dvd Calendar'!$P$1305='Field Check'!$C$25)*10000000+(N('Dvd Calendar'!$P$1299)&gt;0)*1000000+87*1000+12))</f>
        <v/>
      </c>
      <c r="O95" s="41">
        <f>IF(N('Dvd Calendar'!$Q$1300)=0,"",IF(('Dvd Calendar'!$Q$1300&gt;=MIN(DATE(Summary!$C$12,1,1),Summary!$C$11))*('Dvd Calendar'!$Q$1300&lt;=MAX(DATE(Summary!$C$12,12,31),Summary!$C$15))*('Dvd Calendar'!$Q$1300&lt;=Summary!$C$11)=0,"",'Dvd Calendar'!$Q$1300*1000000000+ISNUMBER('Dvd Calendar'!$Q$1301)*100000000+('Dvd Calendar'!$Q$1305='Field Check'!$C$25)*10000000+(N('Dvd Calendar'!$Q$1299)&gt;0)*1000000+87*1000+13))</f>
        <v/>
      </c>
      <c r="P95" s="41">
        <f>IF(N('Dvd Calendar'!$R$1300)=0,"",IF(('Dvd Calendar'!$R$1300&gt;=MIN(DATE(Summary!$C$12,1,1),Summary!$C$11))*('Dvd Calendar'!$R$1300&lt;=MAX(DATE(Summary!$C$12,12,31),Summary!$C$15))*('Dvd Calendar'!$R$1300&lt;=Summary!$C$11)=0,"",'Dvd Calendar'!$R$1300*1000000000+ISNUMBER('Dvd Calendar'!$R$1301)*100000000+('Dvd Calendar'!$R$1305='Field Check'!$C$25)*10000000+(N('Dvd Calendar'!$R$1299)&gt;0)*1000000+87*1000+14))</f>
        <v/>
      </c>
      <c r="Q95" s="41">
        <f>IF(N('Dvd Calendar'!$S$1300)=0,"",IF(('Dvd Calendar'!$S$1300&gt;=MIN(DATE(Summary!$C$12,1,1),Summary!$C$11))*('Dvd Calendar'!$S$1300&lt;=MAX(DATE(Summary!$C$12,12,31),Summary!$C$15))*('Dvd Calendar'!$S$1300&lt;=Summary!$C$11)=0,"",'Dvd Calendar'!$S$1300*1000000000+ISNUMBER('Dvd Calendar'!$S$1301)*100000000+('Dvd Calendar'!$S$1305='Field Check'!$C$25)*10000000+(N('Dvd Calendar'!$S$1299)&gt;0)*1000000+87*1000+15))</f>
        <v/>
      </c>
      <c r="R95" s="41">
        <f>IF(N('Dvd Calendar'!$T$1300)=0,"",IF(('Dvd Calendar'!$T$1300&gt;=MIN(DATE(Summary!$C$12,1,1),Summary!$C$11))*('Dvd Calendar'!$T$1300&lt;=MAX(DATE(Summary!$C$12,12,31),Summary!$C$15))*('Dvd Calendar'!$T$1300&lt;=Summary!$C$11)=0,"",'Dvd Calendar'!$T$1300*1000000000+ISNUMBER('Dvd Calendar'!$T$1301)*100000000+('Dvd Calendar'!$T$1305='Field Check'!$C$25)*10000000+(N('Dvd Calendar'!$T$1299)&gt;0)*1000000+87*1000+16))</f>
        <v/>
      </c>
      <c r="S95" s="41">
        <f>IF(N('Dvd Calendar'!$U$1300)=0,"",IF(('Dvd Calendar'!$U$1300&gt;=MIN(DATE(Summary!$C$12,1,1),Summary!$C$11))*('Dvd Calendar'!$U$1300&lt;=MAX(DATE(Summary!$C$12,12,31),Summary!$C$15))*('Dvd Calendar'!$U$1300&lt;=Summary!$C$11)=0,"",'Dvd Calendar'!$U$1300*1000000000+ISNUMBER('Dvd Calendar'!$U$1301)*100000000+('Dvd Calendar'!$U$1305='Field Check'!$C$25)*10000000+(N('Dvd Calendar'!$U$1299)&gt;0)*1000000+87*1000+17))</f>
        <v/>
      </c>
      <c r="T95" s="41">
        <f>IF(N('Dvd Calendar'!$V$1300)=0,"",IF(('Dvd Calendar'!$V$1300&gt;=MIN(DATE(Summary!$C$12,1,1),Summary!$C$11))*('Dvd Calendar'!$V$1300&lt;=MAX(DATE(Summary!$C$12,12,31),Summary!$C$15))*('Dvd Calendar'!$V$1300&lt;=Summary!$C$11)=0,"",'Dvd Calendar'!$V$1300*1000000000+ISNUMBER('Dvd Calendar'!$V$1301)*100000000+('Dvd Calendar'!$V$1305='Field Check'!$C$25)*10000000+(N('Dvd Calendar'!$V$1299)&gt;0)*1000000+87*1000+18))</f>
        <v/>
      </c>
      <c r="U95" s="41">
        <f>IF(N('Dvd Calendar'!$W$1300)=0,"",IF(('Dvd Calendar'!$W$1300&gt;=MIN(DATE(Summary!$C$12,1,1),Summary!$C$11))*('Dvd Calendar'!$W$1300&lt;=MAX(DATE(Summary!$C$12,12,31),Summary!$C$15))*('Dvd Calendar'!$W$1300&lt;=Summary!$C$11)=0,"",'Dvd Calendar'!$W$1300*1000000000+ISNUMBER('Dvd Calendar'!$W$1301)*100000000+('Dvd Calendar'!$W$1305='Field Check'!$C$25)*10000000+(N('Dvd Calendar'!$W$1299)&gt;0)*1000000+87*1000+19))</f>
        <v/>
      </c>
      <c r="V95" s="41">
        <f>IF(N('Dvd Calendar'!$X$1300)=0,"",IF(('Dvd Calendar'!$X$1300&gt;=MIN(DATE(Summary!$C$12,1,1),Summary!$C$11))*('Dvd Calendar'!$X$1300&lt;=MAX(DATE(Summary!$C$12,12,31),Summary!$C$15))*('Dvd Calendar'!$X$1300&lt;=Summary!$C$11)=0,"",'Dvd Calendar'!$X$1300*1000000000+ISNUMBER('Dvd Calendar'!$X$1301)*100000000+('Dvd Calendar'!$X$1305='Field Check'!$C$25)*10000000+(N('Dvd Calendar'!$X$1299)&gt;0)*1000000+87*1000+20))</f>
        <v/>
      </c>
      <c r="W95" s="41">
        <f>IF(N('Dvd Calendar'!$Y$1300)=0,"",IF(('Dvd Calendar'!$Y$1300&gt;=MIN(DATE(Summary!$C$12,1,1),Summary!$C$11))*('Dvd Calendar'!$Y$1300&lt;=MAX(DATE(Summary!$C$12,12,31),Summary!$C$15))*('Dvd Calendar'!$Y$1300&lt;=Summary!$C$11)=0,"",'Dvd Calendar'!$Y$1300*1000000000+ISNUMBER('Dvd Calendar'!$Y$1301)*100000000+('Dvd Calendar'!$Y$1305='Field Check'!$C$25)*10000000+(N('Dvd Calendar'!$Y$1299)&gt;0)*1000000+87*1000+21))</f>
        <v/>
      </c>
      <c r="X95" s="41">
        <f>IF(N('Dvd Calendar'!$Z$1300)=0,"",IF(('Dvd Calendar'!$Z$1300&gt;=MIN(DATE(Summary!$C$12,1,1),Summary!$C$11))*('Dvd Calendar'!$Z$1300&lt;=MAX(DATE(Summary!$C$12,12,31),Summary!$C$15))*('Dvd Calendar'!$Z$1300&lt;=Summary!$C$11)=0,"",'Dvd Calendar'!$Z$1300*1000000000+ISNUMBER('Dvd Calendar'!$Z$1301)*100000000+('Dvd Calendar'!$Z$1305='Field Check'!$C$25)*10000000+(N('Dvd Calendar'!$Z$1299)&gt;0)*1000000+87*1000+22))</f>
        <v/>
      </c>
      <c r="Y95" s="41">
        <f>IF(N('Dvd Calendar'!$AA$1300)=0,"",IF(('Dvd Calendar'!$AA$1300&gt;=MIN(DATE(Summary!$C$12,1,1),Summary!$C$11))*('Dvd Calendar'!$AA$1300&lt;=MAX(DATE(Summary!$C$12,12,31),Summary!$C$15))*('Dvd Calendar'!$AA$1300&lt;=Summary!$C$11)=0,"",'Dvd Calendar'!$AA$1300*1000000000+ISNUMBER('Dvd Calendar'!$AA$1301)*100000000+('Dvd Calendar'!$AA$1305='Field Check'!$C$25)*10000000+(N('Dvd Calendar'!$AA$1299)&gt;0)*1000000+87*1000+23))</f>
        <v/>
      </c>
      <c r="Z95" s="41">
        <f>IF(N('Dvd Calendar'!$AB$1300)=0,"",IF(('Dvd Calendar'!$AB$1300&gt;=MIN(DATE(Summary!$C$12,1,1),Summary!$C$11))*('Dvd Calendar'!$AB$1300&lt;=MAX(DATE(Summary!$C$12,12,31),Summary!$C$15))*('Dvd Calendar'!$AB$1300&lt;=Summary!$C$11)=0,"",'Dvd Calendar'!$AB$1300*1000000000+ISNUMBER('Dvd Calendar'!$AB$1301)*100000000+('Dvd Calendar'!$AB$1305='Field Check'!$C$25)*10000000+(N('Dvd Calendar'!$AB$1299)&gt;0)*1000000+87*1000+24))</f>
        <v/>
      </c>
      <c r="AA95" s="41">
        <f>IF(N('Dvd Calendar'!$AC$1300)=0,"",IF(('Dvd Calendar'!$AC$1300&gt;=MIN(DATE(Summary!$C$12,1,1),Summary!$C$11))*('Dvd Calendar'!$AC$1300&lt;=MAX(DATE(Summary!$C$12,12,31),Summary!$C$15))*('Dvd Calendar'!$AC$1300&lt;=Summary!$C$11)=0,"",'Dvd Calendar'!$AC$1300*1000000000+ISNUMBER('Dvd Calendar'!$AC$1301)*100000000+('Dvd Calendar'!$AC$1305='Field Check'!$C$25)*10000000+(N('Dvd Calendar'!$AC$1299)&gt;0)*1000000+87*1000+25))</f>
        <v/>
      </c>
      <c r="AB95" s="41">
        <f>IF(N('Dvd Calendar'!$AD$1300)=0,"",IF(('Dvd Calendar'!$AD$1300&gt;=MIN(DATE(Summary!$C$12,1,1),Summary!$C$11))*('Dvd Calendar'!$AD$1300&lt;=MAX(DATE(Summary!$C$12,12,31),Summary!$C$15))*('Dvd Calendar'!$AD$1300&lt;=Summary!$C$11)=0,"",'Dvd Calendar'!$AD$1300*1000000000+ISNUMBER('Dvd Calendar'!$AD$1301)*100000000+('Dvd Calendar'!$AD$1305='Field Check'!$C$25)*10000000+(N('Dvd Calendar'!$AD$1299)&gt;0)*1000000+87*1000+26))</f>
        <v/>
      </c>
      <c r="AC95" s="41">
        <f>IF(N('Dvd Calendar'!$AE$1300)=0,"",IF(('Dvd Calendar'!$AE$1300&gt;=MIN(DATE(Summary!$C$12,1,1),Summary!$C$11))*('Dvd Calendar'!$AE$1300&lt;=MAX(DATE(Summary!$C$12,12,31),Summary!$C$15))*('Dvd Calendar'!$AE$1300&lt;=Summary!$C$11)=0,"",'Dvd Calendar'!$AE$1300*1000000000+ISNUMBER('Dvd Calendar'!$AE$1301)*100000000+('Dvd Calendar'!$AE$1305='Field Check'!$C$25)*10000000+(N('Dvd Calendar'!$AE$1299)&gt;0)*1000000+87*1000+27))</f>
        <v/>
      </c>
      <c r="AD95" s="41">
        <f>IF(N('Dvd Calendar'!$AF$1300)=0,"",IF(('Dvd Calendar'!$AF$1300&gt;=MIN(DATE(Summary!$C$12,1,1),Summary!$C$11))*('Dvd Calendar'!$AF$1300&lt;=MAX(DATE(Summary!$C$12,12,31),Summary!$C$15))*('Dvd Calendar'!$AF$1300&lt;=Summary!$C$11)=0,"",'Dvd Calendar'!$AF$1300*1000000000+ISNUMBER('Dvd Calendar'!$AF$1301)*100000000+('Dvd Calendar'!$AF$1305='Field Check'!$C$25)*10000000+(N('Dvd Calendar'!$AF$1299)&gt;0)*1000000+87*1000+28))</f>
        <v/>
      </c>
      <c r="AE95" s="41">
        <f>IF(N('Dvd Calendar'!$AG$1300)=0,"",IF(('Dvd Calendar'!$AG$1300&gt;=MIN(DATE(Summary!$C$12,1,1),Summary!$C$11))*('Dvd Calendar'!$AG$1300&lt;=MAX(DATE(Summary!$C$12,12,31),Summary!$C$15))*('Dvd Calendar'!$AG$1300&lt;=Summary!$C$11)=0,"",'Dvd Calendar'!$AG$1300*1000000000+ISNUMBER('Dvd Calendar'!$AG$1301)*100000000+('Dvd Calendar'!$AG$1305='Field Check'!$C$25)*10000000+(N('Dvd Calendar'!$AG$1299)&gt;0)*1000000+87*1000+29))</f>
        <v/>
      </c>
      <c r="AF95" s="41">
        <f>IF(N('Dvd Calendar'!$AH$1300)=0,"",IF(('Dvd Calendar'!$AH$1300&gt;=MIN(DATE(Summary!$C$12,1,1),Summary!$C$11))*('Dvd Calendar'!$AH$1300&lt;=MAX(DATE(Summary!$C$12,12,31),Summary!$C$15))*('Dvd Calendar'!$AH$1300&lt;=Summary!$C$11)=0,"",'Dvd Calendar'!$AH$1300*1000000000+ISNUMBER('Dvd Calendar'!$AH$1301)*100000000+('Dvd Calendar'!$AH$1305='Field Check'!$C$25)*10000000+(N('Dvd Calendar'!$AH$1299)&gt;0)*1000000+87*1000+30))</f>
        <v/>
      </c>
      <c r="AG95" s="41">
        <f>IF(N('Dvd Calendar'!$AI$1300)=0,"",IF(('Dvd Calendar'!$AI$1300&gt;=MIN(DATE(Summary!$C$12,1,1),Summary!$C$11))*('Dvd Calendar'!$AI$1300&lt;=MAX(DATE(Summary!$C$12,12,31),Summary!$C$15))*('Dvd Calendar'!$AI$1300&lt;=Summary!$C$11)=0,"",'Dvd Calendar'!$AI$1300*1000000000+ISNUMBER('Dvd Calendar'!$AI$1301)*100000000+('Dvd Calendar'!$AI$1305='Field Check'!$C$25)*10000000+(N('Dvd Calendar'!$AI$1299)&gt;0)*1000000+87*1000+31))</f>
        <v/>
      </c>
      <c r="AH95" s="41">
        <f>IF(N('Dvd Calendar'!$AJ$1300)=0,"",IF(('Dvd Calendar'!$AJ$1300&gt;=MIN(DATE(Summary!$C$12,1,1),Summary!$C$11))*('Dvd Calendar'!$AJ$1300&lt;=MAX(DATE(Summary!$C$12,12,31),Summary!$C$15))*('Dvd Calendar'!$AJ$1300&lt;=Summary!$C$11)=0,"",'Dvd Calendar'!$AJ$1300*1000000000+ISNUMBER('Dvd Calendar'!$AJ$1301)*100000000+('Dvd Calendar'!$AJ$1305='Field Check'!$C$25)*10000000+(N('Dvd Calendar'!$AJ$1299)&gt;0)*1000000+87*1000+32))</f>
        <v/>
      </c>
      <c r="AI95" s="41">
        <f>IF(N('Dvd Calendar'!$AK$1300)=0,"",IF(('Dvd Calendar'!$AK$1300&gt;=MIN(DATE(Summary!$C$12,1,1),Summary!$C$11))*('Dvd Calendar'!$AK$1300&lt;=MAX(DATE(Summary!$C$12,12,31),Summary!$C$15))*('Dvd Calendar'!$AK$1300&lt;=Summary!$C$11)=0,"",'Dvd Calendar'!$AK$1300*1000000000+ISNUMBER('Dvd Calendar'!$AK$1301)*100000000+('Dvd Calendar'!$AK$1305='Field Check'!$C$25)*10000000+(N('Dvd Calendar'!$AK$1299)&gt;0)*1000000+87*1000+33))</f>
        <v/>
      </c>
      <c r="AJ95" s="41">
        <f>IF(N('Dvd Calendar'!$AL$1300)=0,"",IF(('Dvd Calendar'!$AL$1300&gt;=MIN(DATE(Summary!$C$12,1,1),Summary!$C$11))*('Dvd Calendar'!$AL$1300&lt;=MAX(DATE(Summary!$C$12,12,31),Summary!$C$15))*('Dvd Calendar'!$AL$1300&lt;=Summary!$C$11)=0,"",'Dvd Calendar'!$AL$1300*1000000000+ISNUMBER('Dvd Calendar'!$AL$1301)*100000000+('Dvd Calendar'!$AL$1305='Field Check'!$C$25)*10000000+(N('Dvd Calendar'!$AL$1299)&gt;0)*1000000+87*1000+34))</f>
        <v/>
      </c>
      <c r="AK95" s="41">
        <f>IF(N('Dvd Calendar'!$AM$1300)=0,"",IF(('Dvd Calendar'!$AM$1300&gt;=MIN(DATE(Summary!$C$12,1,1),Summary!$C$11))*('Dvd Calendar'!$AM$1300&lt;=MAX(DATE(Summary!$C$12,12,31),Summary!$C$15))*('Dvd Calendar'!$AM$1300&lt;=Summary!$C$11)=0,"",'Dvd Calendar'!$AM$1300*1000000000+ISNUMBER('Dvd Calendar'!$AM$1301)*100000000+('Dvd Calendar'!$AM$1305='Field Check'!$C$25)*10000000+(N('Dvd Calendar'!$AM$1299)&gt;0)*1000000+87*1000+35))</f>
        <v/>
      </c>
      <c r="AL95" s="41">
        <f>IF(N('Dvd Calendar'!$AN$1300)=0,"",IF(('Dvd Calendar'!$AN$1300&gt;=MIN(DATE(Summary!$C$12,1,1),Summary!$C$11))*('Dvd Calendar'!$AN$1300&lt;=MAX(DATE(Summary!$C$12,12,31),Summary!$C$15))*('Dvd Calendar'!$AN$1300&lt;=Summary!$C$11)=0,"",'Dvd Calendar'!$AN$1300*1000000000+ISNUMBER('Dvd Calendar'!$AN$1301)*100000000+('Dvd Calendar'!$AN$1305='Field Check'!$C$25)*10000000+(N('Dvd Calendar'!$AN$1299)&gt;0)*1000000+87*1000+36))</f>
        <v/>
      </c>
      <c r="AM95" s="41">
        <f>IF(N('Dvd Calendar'!$AO$1300)=0,"",IF(('Dvd Calendar'!$AO$1300&gt;=MIN(DATE(Summary!$C$12,1,1),Summary!$C$11))*('Dvd Calendar'!$AO$1300&lt;=MAX(DATE(Summary!$C$12,12,31),Summary!$C$15))*('Dvd Calendar'!$AO$1300&lt;=Summary!$C$11)=0,"",'Dvd Calendar'!$AO$1300*1000000000+ISNUMBER('Dvd Calendar'!$AO$1301)*100000000+('Dvd Calendar'!$AO$1305='Field Check'!$C$25)*10000000+(N('Dvd Calendar'!$AO$1299)&gt;0)*1000000+87*1000+37))</f>
        <v/>
      </c>
      <c r="AN95" s="41">
        <f>IF(N('Dvd Calendar'!$AP$1300)=0,"",IF(('Dvd Calendar'!$AP$1300&gt;=MIN(DATE(Summary!$C$12,1,1),Summary!$C$11))*('Dvd Calendar'!$AP$1300&lt;=MAX(DATE(Summary!$C$12,12,31),Summary!$C$15))*('Dvd Calendar'!$AP$1300&lt;=Summary!$C$11)=0,"",'Dvd Calendar'!$AP$1300*1000000000+ISNUMBER('Dvd Calendar'!$AP$1301)*100000000+('Dvd Calendar'!$AP$1305='Field Check'!$C$25)*10000000+(N('Dvd Calendar'!$AP$1299)&gt;0)*1000000+87*1000+38))</f>
        <v/>
      </c>
      <c r="AO95" s="41">
        <f>IF(N('Dvd Calendar'!$AQ$1300)=0,"",IF(('Dvd Calendar'!$AQ$1300&gt;=MIN(DATE(Summary!$C$12,1,1),Summary!$C$11))*('Dvd Calendar'!$AQ$1300&lt;=MAX(DATE(Summary!$C$12,12,31),Summary!$C$15))*('Dvd Calendar'!$AQ$1300&lt;=Summary!$C$11)=0,"",'Dvd Calendar'!$AQ$1300*1000000000+ISNUMBER('Dvd Calendar'!$AQ$1301)*100000000+('Dvd Calendar'!$AQ$1305='Field Check'!$C$25)*10000000+(N('Dvd Calendar'!$AQ$1299)&gt;0)*1000000+87*1000+39))</f>
        <v/>
      </c>
      <c r="AP95" s="41">
        <f>IF(N('Dvd Calendar'!$AR$1300)=0,"",IF(('Dvd Calendar'!$AR$1300&gt;=MIN(DATE(Summary!$C$12,1,1),Summary!$C$11))*('Dvd Calendar'!$AR$1300&lt;=MAX(DATE(Summary!$C$12,12,31),Summary!$C$15))*('Dvd Calendar'!$AR$1300&lt;=Summary!$C$11)=0,"",'Dvd Calendar'!$AR$1300*1000000000+ISNUMBER('Dvd Calendar'!$AR$1301)*100000000+('Dvd Calendar'!$AR$1305='Field Check'!$C$25)*10000000+(N('Dvd Calendar'!$AR$1299)&gt;0)*1000000+87*1000+40))</f>
        <v/>
      </c>
      <c r="AQ95" s="41">
        <f>IF(N('Dvd Calendar'!$E$1307)=0,"",IF(('Dvd Calendar'!$E$1307&gt;=MIN(DATE(Summary!$C$12,1,1),Summary!$C$11))*('Dvd Calendar'!$E$1307&lt;=MAX(DATE(Summary!$C$12,12,31),Summary!$C$15))*('Dvd Calendar'!$E$1307&gt;Summary!$C$11)=0,"",'Dvd Calendar'!$E$1307*1000000000+ISNUMBER('Dvd Calendar'!$E$1308)*100000000+('Dvd Calendar'!$E$1312='Field Check'!$C$25)*10000000+(N('Dvd Calendar'!$E$1306)&gt;0)*1000000+87*1000+41))</f>
        <v/>
      </c>
      <c r="AR95" s="41">
        <f>IF(N('Dvd Calendar'!$F$1307)=0,"",IF(('Dvd Calendar'!$F$1307&gt;=MIN(DATE(Summary!$C$12,1,1),Summary!$C$11))*('Dvd Calendar'!$F$1307&lt;=MAX(DATE(Summary!$C$12,12,31),Summary!$C$15))*('Dvd Calendar'!$F$1307&gt;Summary!$C$11)=0,"",'Dvd Calendar'!$F$1307*1000000000+ISNUMBER('Dvd Calendar'!$F$1308)*100000000+('Dvd Calendar'!$F$1312='Field Check'!$C$25)*10000000+(N('Dvd Calendar'!$F$1306)&gt;0)*1000000+87*1000+42))</f>
        <v/>
      </c>
      <c r="AS95" s="41">
        <f>IF(N('Dvd Calendar'!$G$1307)=0,"",IF(('Dvd Calendar'!$G$1307&gt;=MIN(DATE(Summary!$C$12,1,1),Summary!$C$11))*('Dvd Calendar'!$G$1307&lt;=MAX(DATE(Summary!$C$12,12,31),Summary!$C$15))*('Dvd Calendar'!$G$1307&gt;Summary!$C$11)=0,"",'Dvd Calendar'!$G$1307*1000000000+ISNUMBER('Dvd Calendar'!$G$1308)*100000000+('Dvd Calendar'!$G$1312='Field Check'!$C$25)*10000000+(N('Dvd Calendar'!$G$1306)&gt;0)*1000000+87*1000+43))</f>
        <v/>
      </c>
      <c r="AT95" s="41">
        <f>IF(N('Dvd Calendar'!$H$1307)=0,"",IF(('Dvd Calendar'!$H$1307&gt;=MIN(DATE(Summary!$C$12,1,1),Summary!$C$11))*('Dvd Calendar'!$H$1307&lt;=MAX(DATE(Summary!$C$12,12,31),Summary!$C$15))*('Dvd Calendar'!$H$1307&gt;Summary!$C$11)=0,"",'Dvd Calendar'!$H$1307*1000000000+ISNUMBER('Dvd Calendar'!$H$1308)*100000000+('Dvd Calendar'!$H$1312='Field Check'!$C$25)*10000000+(N('Dvd Calendar'!$H$1306)&gt;0)*1000000+87*1000+44))</f>
        <v/>
      </c>
      <c r="AU95" s="41">
        <f>IF(N('Dvd Calendar'!$I$1307)=0,"",IF(('Dvd Calendar'!$I$1307&gt;=MIN(DATE(Summary!$C$12,1,1),Summary!$C$11))*('Dvd Calendar'!$I$1307&lt;=MAX(DATE(Summary!$C$12,12,31),Summary!$C$15))*('Dvd Calendar'!$I$1307&gt;Summary!$C$11)=0,"",'Dvd Calendar'!$I$1307*1000000000+ISNUMBER('Dvd Calendar'!$I$1308)*100000000+('Dvd Calendar'!$I$1312='Field Check'!$C$25)*10000000+(N('Dvd Calendar'!$I$1306)&gt;0)*1000000+87*1000+45))</f>
        <v/>
      </c>
      <c r="AV95" s="41">
        <f>IF(N('Dvd Calendar'!$J$1307)=0,"",IF(('Dvd Calendar'!$J$1307&gt;=MIN(DATE(Summary!$C$12,1,1),Summary!$C$11))*('Dvd Calendar'!$J$1307&lt;=MAX(DATE(Summary!$C$12,12,31),Summary!$C$15))*('Dvd Calendar'!$J$1307&gt;Summary!$C$11)=0,"",'Dvd Calendar'!$J$1307*1000000000+ISNUMBER('Dvd Calendar'!$J$1308)*100000000+('Dvd Calendar'!$J$1312='Field Check'!$C$25)*10000000+(N('Dvd Calendar'!$J$1306)&gt;0)*1000000+87*1000+46))</f>
        <v/>
      </c>
      <c r="AW95" s="41">
        <f>IF(N('Dvd Calendar'!$K$1307)=0,"",IF(('Dvd Calendar'!$K$1307&gt;=MIN(DATE(Summary!$C$12,1,1),Summary!$C$11))*('Dvd Calendar'!$K$1307&lt;=MAX(DATE(Summary!$C$12,12,31),Summary!$C$15))*('Dvd Calendar'!$K$1307&gt;Summary!$C$11)=0,"",'Dvd Calendar'!$K$1307*1000000000+ISNUMBER('Dvd Calendar'!$K$1308)*100000000+('Dvd Calendar'!$K$1312='Field Check'!$C$25)*10000000+(N('Dvd Calendar'!$K$1306)&gt;0)*1000000+87*1000+47))</f>
        <v/>
      </c>
      <c r="AX95" s="41">
        <f>IF(N('Dvd Calendar'!$L$1307)=0,"",IF(('Dvd Calendar'!$L$1307&gt;=MIN(DATE(Summary!$C$12,1,1),Summary!$C$11))*('Dvd Calendar'!$L$1307&lt;=MAX(DATE(Summary!$C$12,12,31),Summary!$C$15))*('Dvd Calendar'!$L$1307&gt;Summary!$C$11)=0,"",'Dvd Calendar'!$L$1307*1000000000+ISNUMBER('Dvd Calendar'!$L$1308)*100000000+('Dvd Calendar'!$L$1312='Field Check'!$C$25)*10000000+(N('Dvd Calendar'!$L$1306)&gt;0)*1000000+87*1000+48))</f>
        <v/>
      </c>
      <c r="AY95" s="41">
        <f>IF(N('Dvd Calendar'!$M$1307)=0,"",IF(('Dvd Calendar'!$M$1307&gt;=MIN(DATE(Summary!$C$12,1,1),Summary!$C$11))*('Dvd Calendar'!$M$1307&lt;=MAX(DATE(Summary!$C$12,12,31),Summary!$C$15))*('Dvd Calendar'!$M$1307&gt;Summary!$C$11)=0,"",'Dvd Calendar'!$M$1307*1000000000+ISNUMBER('Dvd Calendar'!$M$1308)*100000000+('Dvd Calendar'!$M$1312='Field Check'!$C$25)*10000000+(N('Dvd Calendar'!$M$1306)&gt;0)*1000000+87*1000+49))</f>
        <v/>
      </c>
      <c r="AZ95" s="41">
        <f>IF(N('Dvd Calendar'!$N$1307)=0,"",IF(('Dvd Calendar'!$N$1307&gt;=MIN(DATE(Summary!$C$12,1,1),Summary!$C$11))*('Dvd Calendar'!$N$1307&lt;=MAX(DATE(Summary!$C$12,12,31),Summary!$C$15))*('Dvd Calendar'!$N$1307&gt;Summary!$C$11)=0,"",'Dvd Calendar'!$N$1307*1000000000+ISNUMBER('Dvd Calendar'!$N$1308)*100000000+('Dvd Calendar'!$N$1312='Field Check'!$C$25)*10000000+(N('Dvd Calendar'!$N$1306)&gt;0)*1000000+87*1000+50))</f>
        <v/>
      </c>
      <c r="BA95" s="41">
        <f>IF(N('Dvd Calendar'!$O$1307)=0,"",IF(('Dvd Calendar'!$O$1307&gt;=MIN(DATE(Summary!$C$12,1,1),Summary!$C$11))*('Dvd Calendar'!$O$1307&lt;=MAX(DATE(Summary!$C$12,12,31),Summary!$C$15))*('Dvd Calendar'!$O$1307&gt;Summary!$C$11)=0,"",'Dvd Calendar'!$O$1307*1000000000+ISNUMBER('Dvd Calendar'!$O$1308)*100000000+('Dvd Calendar'!$O$1312='Field Check'!$C$25)*10000000+(N('Dvd Calendar'!$O$1306)&gt;0)*1000000+87*1000+51))</f>
        <v/>
      </c>
      <c r="BB95" s="41">
        <f>IF(N('Dvd Calendar'!$P$1307)=0,"",IF(('Dvd Calendar'!$P$1307&gt;=MIN(DATE(Summary!$C$12,1,1),Summary!$C$11))*('Dvd Calendar'!$P$1307&lt;=MAX(DATE(Summary!$C$12,12,31),Summary!$C$15))*('Dvd Calendar'!$P$1307&gt;Summary!$C$11)=0,"",'Dvd Calendar'!$P$1307*1000000000+ISNUMBER('Dvd Calendar'!$P$1308)*100000000+('Dvd Calendar'!$P$1312='Field Check'!$C$25)*10000000+(N('Dvd Calendar'!$P$1306)&gt;0)*1000000+87*1000+52))</f>
        <v/>
      </c>
      <c r="BC95" s="41">
        <f>IF(N('Dvd Calendar'!$Q$1307)=0,"",IF(('Dvd Calendar'!$Q$1307&gt;=MIN(DATE(Summary!$C$12,1,1),Summary!$C$11))*('Dvd Calendar'!$Q$1307&lt;=MAX(DATE(Summary!$C$12,12,31),Summary!$C$15))*('Dvd Calendar'!$Q$1307&gt;Summary!$C$11)=0,"",'Dvd Calendar'!$Q$1307*1000000000+ISNUMBER('Dvd Calendar'!$Q$1308)*100000000+('Dvd Calendar'!$Q$1312='Field Check'!$C$25)*10000000+(N('Dvd Calendar'!$Q$1306)&gt;0)*1000000+87*1000+53))</f>
        <v/>
      </c>
      <c r="BD95" s="41">
        <f>IF(N('Dvd Calendar'!$R$1307)=0,"",IF(('Dvd Calendar'!$R$1307&gt;=MIN(DATE(Summary!$C$12,1,1),Summary!$C$11))*('Dvd Calendar'!$R$1307&lt;=MAX(DATE(Summary!$C$12,12,31),Summary!$C$15))*('Dvd Calendar'!$R$1307&gt;Summary!$C$11)=0,"",'Dvd Calendar'!$R$1307*1000000000+ISNUMBER('Dvd Calendar'!$R$1308)*100000000+('Dvd Calendar'!$R$1312='Field Check'!$C$25)*10000000+(N('Dvd Calendar'!$R$1306)&gt;0)*1000000+87*1000+54))</f>
        <v/>
      </c>
      <c r="BE95" s="41">
        <f>IF(N('Dvd Calendar'!$S$1307)=0,"",IF(('Dvd Calendar'!$S$1307&gt;=MIN(DATE(Summary!$C$12,1,1),Summary!$C$11))*('Dvd Calendar'!$S$1307&lt;=MAX(DATE(Summary!$C$12,12,31),Summary!$C$15))*('Dvd Calendar'!$S$1307&gt;Summary!$C$11)=0,"",'Dvd Calendar'!$S$1307*1000000000+ISNUMBER('Dvd Calendar'!$S$1308)*100000000+('Dvd Calendar'!$S$1312='Field Check'!$C$25)*10000000+(N('Dvd Calendar'!$S$1306)&gt;0)*1000000+87*1000+55))</f>
        <v/>
      </c>
      <c r="BF95" s="41">
        <f>IF(N('Dvd Calendar'!$T$1307)=0,"",IF(('Dvd Calendar'!$T$1307&gt;=MIN(DATE(Summary!$C$12,1,1),Summary!$C$11))*('Dvd Calendar'!$T$1307&lt;=MAX(DATE(Summary!$C$12,12,31),Summary!$C$15))*('Dvd Calendar'!$T$1307&gt;Summary!$C$11)=0,"",'Dvd Calendar'!$T$1307*1000000000+ISNUMBER('Dvd Calendar'!$T$1308)*100000000+('Dvd Calendar'!$T$1312='Field Check'!$C$25)*10000000+(N('Dvd Calendar'!$T$1306)&gt;0)*1000000+87*1000+56))</f>
        <v/>
      </c>
      <c r="BG95" s="41">
        <f>IF(N('Dvd Calendar'!$U$1307)=0,"",IF(('Dvd Calendar'!$U$1307&gt;=MIN(DATE(Summary!$C$12,1,1),Summary!$C$11))*('Dvd Calendar'!$U$1307&lt;=MAX(DATE(Summary!$C$12,12,31),Summary!$C$15))*('Dvd Calendar'!$U$1307&gt;Summary!$C$11)=0,"",'Dvd Calendar'!$U$1307*1000000000+ISNUMBER('Dvd Calendar'!$U$1308)*100000000+('Dvd Calendar'!$U$1312='Field Check'!$C$25)*10000000+(N('Dvd Calendar'!$U$1306)&gt;0)*1000000+87*1000+57))</f>
        <v/>
      </c>
      <c r="BH95" s="41">
        <f>IF(N('Dvd Calendar'!$V$1307)=0,"",IF(('Dvd Calendar'!$V$1307&gt;=MIN(DATE(Summary!$C$12,1,1),Summary!$C$11))*('Dvd Calendar'!$V$1307&lt;=MAX(DATE(Summary!$C$12,12,31),Summary!$C$15))*('Dvd Calendar'!$V$1307&gt;Summary!$C$11)=0,"",'Dvd Calendar'!$V$1307*1000000000+ISNUMBER('Dvd Calendar'!$V$1308)*100000000+('Dvd Calendar'!$V$1312='Field Check'!$C$25)*10000000+(N('Dvd Calendar'!$V$1306)&gt;0)*1000000+87*1000+58))</f>
        <v/>
      </c>
      <c r="BI95" s="41">
        <f>IF(N('Dvd Calendar'!$W$1307)=0,"",IF(('Dvd Calendar'!$W$1307&gt;=MIN(DATE(Summary!$C$12,1,1),Summary!$C$11))*('Dvd Calendar'!$W$1307&lt;=MAX(DATE(Summary!$C$12,12,31),Summary!$C$15))*('Dvd Calendar'!$W$1307&gt;Summary!$C$11)=0,"",'Dvd Calendar'!$W$1307*1000000000+ISNUMBER('Dvd Calendar'!$W$1308)*100000000+('Dvd Calendar'!$W$1312='Field Check'!$C$25)*10000000+(N('Dvd Calendar'!$W$1306)&gt;0)*1000000+87*1000+59))</f>
        <v/>
      </c>
      <c r="BJ95" s="41">
        <f>IF(N('Dvd Calendar'!$X$1307)=0,"",IF(('Dvd Calendar'!$X$1307&gt;=MIN(DATE(Summary!$C$12,1,1),Summary!$C$11))*('Dvd Calendar'!$X$1307&lt;=MAX(DATE(Summary!$C$12,12,31),Summary!$C$15))*('Dvd Calendar'!$X$1307&gt;Summary!$C$11)=0,"",'Dvd Calendar'!$X$1307*1000000000+ISNUMBER('Dvd Calendar'!$X$1308)*100000000+('Dvd Calendar'!$X$1312='Field Check'!$C$25)*10000000+(N('Dvd Calendar'!$X$1306)&gt;0)*1000000+87*1000+60))</f>
        <v/>
      </c>
      <c r="BK95" s="41">
        <f>IF(N('Dvd Calendar'!$Y$1307)=0,"",IF(('Dvd Calendar'!$Y$1307&gt;=MIN(DATE(Summary!$C$12,1,1),Summary!$C$11))*('Dvd Calendar'!$Y$1307&lt;=MAX(DATE(Summary!$C$12,12,31),Summary!$C$15))*('Dvd Calendar'!$Y$1307&gt;Summary!$C$11)=0,"",'Dvd Calendar'!$Y$1307*1000000000+ISNUMBER('Dvd Calendar'!$Y$1308)*100000000+('Dvd Calendar'!$Y$1312='Field Check'!$C$25)*10000000+(N('Dvd Calendar'!$Y$1306)&gt;0)*1000000+87*1000+61))</f>
        <v/>
      </c>
      <c r="BL95" s="41">
        <f>IF(N('Dvd Calendar'!$Z$1307)=0,"",IF(('Dvd Calendar'!$Z$1307&gt;=MIN(DATE(Summary!$C$12,1,1),Summary!$C$11))*('Dvd Calendar'!$Z$1307&lt;=MAX(DATE(Summary!$C$12,12,31),Summary!$C$15))*('Dvd Calendar'!$Z$1307&gt;Summary!$C$11)=0,"",'Dvd Calendar'!$Z$1307*1000000000+ISNUMBER('Dvd Calendar'!$Z$1308)*100000000+('Dvd Calendar'!$Z$1312='Field Check'!$C$25)*10000000+(N('Dvd Calendar'!$Z$1306)&gt;0)*1000000+87*1000+62))</f>
        <v/>
      </c>
      <c r="BM95" s="41">
        <f>IF(N('Dvd Calendar'!$AA$1307)=0,"",IF(('Dvd Calendar'!$AA$1307&gt;=MIN(DATE(Summary!$C$12,1,1),Summary!$C$11))*('Dvd Calendar'!$AA$1307&lt;=MAX(DATE(Summary!$C$12,12,31),Summary!$C$15))*('Dvd Calendar'!$AA$1307&gt;Summary!$C$11)=0,"",'Dvd Calendar'!$AA$1307*1000000000+ISNUMBER('Dvd Calendar'!$AA$1308)*100000000+('Dvd Calendar'!$AA$1312='Field Check'!$C$25)*10000000+(N('Dvd Calendar'!$AA$1306)&gt;0)*1000000+87*1000+63))</f>
        <v/>
      </c>
      <c r="BN95" s="41">
        <f>IF(N('Dvd Calendar'!$AB$1307)=0,"",IF(('Dvd Calendar'!$AB$1307&gt;=MIN(DATE(Summary!$C$12,1,1),Summary!$C$11))*('Dvd Calendar'!$AB$1307&lt;=MAX(DATE(Summary!$C$12,12,31),Summary!$C$15))*('Dvd Calendar'!$AB$1307&gt;Summary!$C$11)=0,"",'Dvd Calendar'!$AB$1307*1000000000+ISNUMBER('Dvd Calendar'!$AB$1308)*100000000+('Dvd Calendar'!$AB$1312='Field Check'!$C$25)*10000000+(N('Dvd Calendar'!$AB$1306)&gt;0)*1000000+87*1000+64))</f>
        <v/>
      </c>
      <c r="BO95" s="41">
        <f>IF(N('Dvd Calendar'!$AC$1307)=0,"",IF(('Dvd Calendar'!$AC$1307&gt;=MIN(DATE(Summary!$C$12,1,1),Summary!$C$11))*('Dvd Calendar'!$AC$1307&lt;=MAX(DATE(Summary!$C$12,12,31),Summary!$C$15))*('Dvd Calendar'!$AC$1307&gt;Summary!$C$11)=0,"",'Dvd Calendar'!$AC$1307*1000000000+ISNUMBER('Dvd Calendar'!$AC$1308)*100000000+('Dvd Calendar'!$AC$1312='Field Check'!$C$25)*10000000+(N('Dvd Calendar'!$AC$1306)&gt;0)*1000000+87*1000+65))</f>
        <v/>
      </c>
      <c r="BQ95" s="85">
        <f>IF(C95="","",IF(ISNUMBER('Dvd Calendar'!$E$1301)=FALSE,"",IF((Summary!$C$13="N")*('Dvd Calendar'!$E$1305='Field Check'!$C$25)&gt;0,"",'Dvd Calendar'!$E$1301)))</f>
        <v/>
      </c>
      <c r="BR95" s="85">
        <f>IF(D95="","",IF(ISNUMBER('Dvd Calendar'!$F$1301)=FALSE,"",IF((Summary!$C$13="N")*('Dvd Calendar'!$F$1305='Field Check'!$C$25)&gt;0,"",'Dvd Calendar'!$F$1301)))</f>
        <v/>
      </c>
      <c r="BS95" s="85">
        <f>IF(E95="","",IF(ISNUMBER('Dvd Calendar'!$G$1301)=FALSE,"",IF((Summary!$C$13="N")*('Dvd Calendar'!$G$1305='Field Check'!$C$25)&gt;0,"",'Dvd Calendar'!$G$1301)))</f>
        <v/>
      </c>
      <c r="BT95" s="85">
        <f>IF(F95="","",IF(ISNUMBER('Dvd Calendar'!$H$1301)=FALSE,"",IF((Summary!$C$13="N")*('Dvd Calendar'!$H$1305='Field Check'!$C$25)&gt;0,"",'Dvd Calendar'!$H$1301)))</f>
        <v/>
      </c>
      <c r="BU95" s="85">
        <f>IF(G95="","",IF(ISNUMBER('Dvd Calendar'!$I$1301)=FALSE,"",IF((Summary!$C$13="N")*('Dvd Calendar'!$I$1305='Field Check'!$C$25)&gt;0,"",'Dvd Calendar'!$I$1301)))</f>
        <v/>
      </c>
      <c r="BV95" s="85">
        <f>IF(H95="","",IF(ISNUMBER('Dvd Calendar'!$J$1301)=FALSE,"",IF((Summary!$C$13="N")*('Dvd Calendar'!$J$1305='Field Check'!$C$25)&gt;0,"",'Dvd Calendar'!$J$1301)))</f>
        <v/>
      </c>
      <c r="BW95" s="85">
        <f>IF(I95="","",IF(ISNUMBER('Dvd Calendar'!$K$1301)=FALSE,"",IF((Summary!$C$13="N")*('Dvd Calendar'!$K$1305='Field Check'!$C$25)&gt;0,"",'Dvd Calendar'!$K$1301)))</f>
        <v/>
      </c>
      <c r="BX95" s="85">
        <f>IF(J95="","",IF(ISNUMBER('Dvd Calendar'!$L$1301)=FALSE,"",IF((Summary!$C$13="N")*('Dvd Calendar'!$L$1305='Field Check'!$C$25)&gt;0,"",'Dvd Calendar'!$L$1301)))</f>
        <v/>
      </c>
      <c r="BY95" s="85">
        <f>IF(K95="","",IF(ISNUMBER('Dvd Calendar'!$M$1301)=FALSE,"",IF((Summary!$C$13="N")*('Dvd Calendar'!$M$1305='Field Check'!$C$25)&gt;0,"",'Dvd Calendar'!$M$1301)))</f>
        <v/>
      </c>
      <c r="BZ95" s="85">
        <f>IF(L95="","",IF(ISNUMBER('Dvd Calendar'!$N$1301)=FALSE,"",IF((Summary!$C$13="N")*('Dvd Calendar'!$N$1305='Field Check'!$C$25)&gt;0,"",'Dvd Calendar'!$N$1301)))</f>
        <v/>
      </c>
      <c r="CA95" s="85">
        <f>IF(M95="","",IF(ISNUMBER('Dvd Calendar'!$O$1301)=FALSE,"",IF((Summary!$C$13="N")*('Dvd Calendar'!$O$1305='Field Check'!$C$25)&gt;0,"",'Dvd Calendar'!$O$1301)))</f>
        <v/>
      </c>
      <c r="CB95" s="85">
        <f>IF(N95="","",IF(ISNUMBER('Dvd Calendar'!$P$1301)=FALSE,"",IF((Summary!$C$13="N")*('Dvd Calendar'!$P$1305='Field Check'!$C$25)&gt;0,"",'Dvd Calendar'!$P$1301)))</f>
        <v/>
      </c>
      <c r="CC95" s="85">
        <f>IF(O95="","",IF(ISNUMBER('Dvd Calendar'!$Q$1301)=FALSE,"",IF((Summary!$C$13="N")*('Dvd Calendar'!$Q$1305='Field Check'!$C$25)&gt;0,"",'Dvd Calendar'!$Q$1301)))</f>
        <v/>
      </c>
      <c r="CD95" s="85">
        <f>IF(P95="","",IF(ISNUMBER('Dvd Calendar'!$R$1301)=FALSE,"",IF((Summary!$C$13="N")*('Dvd Calendar'!$R$1305='Field Check'!$C$25)&gt;0,"",'Dvd Calendar'!$R$1301)))</f>
        <v/>
      </c>
      <c r="CE95" s="85">
        <f>IF(Q95="","",IF(ISNUMBER('Dvd Calendar'!$S$1301)=FALSE,"",IF((Summary!$C$13="N")*('Dvd Calendar'!$S$1305='Field Check'!$C$25)&gt;0,"",'Dvd Calendar'!$S$1301)))</f>
        <v/>
      </c>
      <c r="CF95" s="85">
        <f>IF(R95="","",IF(ISNUMBER('Dvd Calendar'!$T$1301)=FALSE,"",IF((Summary!$C$13="N")*('Dvd Calendar'!$T$1305='Field Check'!$C$25)&gt;0,"",'Dvd Calendar'!$T$1301)))</f>
        <v/>
      </c>
      <c r="CG95" s="85">
        <f>IF(S95="","",IF(ISNUMBER('Dvd Calendar'!$U$1301)=FALSE,"",IF((Summary!$C$13="N")*('Dvd Calendar'!$U$1305='Field Check'!$C$25)&gt;0,"",'Dvd Calendar'!$U$1301)))</f>
        <v/>
      </c>
      <c r="CH95" s="85">
        <f>IF(T95="","",IF(ISNUMBER('Dvd Calendar'!$V$1301)=FALSE,"",IF((Summary!$C$13="N")*('Dvd Calendar'!$V$1305='Field Check'!$C$25)&gt;0,"",'Dvd Calendar'!$V$1301)))</f>
        <v/>
      </c>
      <c r="CI95" s="85">
        <f>IF(U95="","",IF(ISNUMBER('Dvd Calendar'!$W$1301)=FALSE,"",IF((Summary!$C$13="N")*('Dvd Calendar'!$W$1305='Field Check'!$C$25)&gt;0,"",'Dvd Calendar'!$W$1301)))</f>
        <v/>
      </c>
      <c r="CJ95" s="85">
        <f>IF(V95="","",IF(ISNUMBER('Dvd Calendar'!$X$1301)=FALSE,"",IF((Summary!$C$13="N")*('Dvd Calendar'!$X$1305='Field Check'!$C$25)&gt;0,"",'Dvd Calendar'!$X$1301)))</f>
        <v/>
      </c>
      <c r="CK95" s="85">
        <f>IF(W95="","",IF(ISNUMBER('Dvd Calendar'!$Y$1301)=FALSE,"",IF((Summary!$C$13="N")*('Dvd Calendar'!$Y$1305='Field Check'!$C$25)&gt;0,"",'Dvd Calendar'!$Y$1301)))</f>
        <v/>
      </c>
      <c r="CL95" s="85">
        <f>IF(X95="","",IF(ISNUMBER('Dvd Calendar'!$Z$1301)=FALSE,"",IF((Summary!$C$13="N")*('Dvd Calendar'!$Z$1305='Field Check'!$C$25)&gt;0,"",'Dvd Calendar'!$Z$1301)))</f>
        <v/>
      </c>
      <c r="CM95" s="85">
        <f>IF(Y95="","",IF(ISNUMBER('Dvd Calendar'!$AA$1301)=FALSE,"",IF((Summary!$C$13="N")*('Dvd Calendar'!$AA$1305='Field Check'!$C$25)&gt;0,"",'Dvd Calendar'!$AA$1301)))</f>
        <v/>
      </c>
      <c r="CN95" s="85">
        <f>IF(Z95="","",IF(ISNUMBER('Dvd Calendar'!$AB$1301)=FALSE,"",IF((Summary!$C$13="N")*('Dvd Calendar'!$AB$1305='Field Check'!$C$25)&gt;0,"",'Dvd Calendar'!$AB$1301)))</f>
        <v/>
      </c>
      <c r="CO95" s="85">
        <f>IF(AA95="","",IF(ISNUMBER('Dvd Calendar'!$AC$1301)=FALSE,"",IF((Summary!$C$13="N")*('Dvd Calendar'!$AC$1305='Field Check'!$C$25)&gt;0,"",'Dvd Calendar'!$AC$1301)))</f>
        <v/>
      </c>
      <c r="CP95" s="85">
        <f>IF(AB95="","",IF(ISNUMBER('Dvd Calendar'!$AD$1301)=FALSE,"",IF((Summary!$C$13="N")*('Dvd Calendar'!$AD$1305='Field Check'!$C$25)&gt;0,"",'Dvd Calendar'!$AD$1301)))</f>
        <v/>
      </c>
      <c r="CQ95" s="85">
        <f>IF(AC95="","",IF(ISNUMBER('Dvd Calendar'!$AE$1301)=FALSE,"",IF((Summary!$C$13="N")*('Dvd Calendar'!$AE$1305='Field Check'!$C$25)&gt;0,"",'Dvd Calendar'!$AE$1301)))</f>
        <v/>
      </c>
      <c r="CR95" s="85">
        <f>IF(AD95="","",IF(ISNUMBER('Dvd Calendar'!$AF$1301)=FALSE,"",IF((Summary!$C$13="N")*('Dvd Calendar'!$AF$1305='Field Check'!$C$25)&gt;0,"",'Dvd Calendar'!$AF$1301)))</f>
        <v/>
      </c>
      <c r="CS95" s="85">
        <f>IF(AE95="","",IF(ISNUMBER('Dvd Calendar'!$AG$1301)=FALSE,"",IF((Summary!$C$13="N")*('Dvd Calendar'!$AG$1305='Field Check'!$C$25)&gt;0,"",'Dvd Calendar'!$AG$1301)))</f>
        <v/>
      </c>
      <c r="CT95" s="85">
        <f>IF(AF95="","",IF(ISNUMBER('Dvd Calendar'!$AH$1301)=FALSE,"",IF((Summary!$C$13="N")*('Dvd Calendar'!$AH$1305='Field Check'!$C$25)&gt;0,"",'Dvd Calendar'!$AH$1301)))</f>
        <v/>
      </c>
      <c r="CU95" s="85">
        <f>IF(AG95="","",IF(ISNUMBER('Dvd Calendar'!$AI$1301)=FALSE,"",IF((Summary!$C$13="N")*('Dvd Calendar'!$AI$1305='Field Check'!$C$25)&gt;0,"",'Dvd Calendar'!$AI$1301)))</f>
        <v/>
      </c>
      <c r="CV95" s="85">
        <f>IF(AH95="","",IF(ISNUMBER('Dvd Calendar'!$AJ$1301)=FALSE,"",IF((Summary!$C$13="N")*('Dvd Calendar'!$AJ$1305='Field Check'!$C$25)&gt;0,"",'Dvd Calendar'!$AJ$1301)))</f>
        <v/>
      </c>
      <c r="CW95" s="85">
        <f>IF(AI95="","",IF(ISNUMBER('Dvd Calendar'!$AK$1301)=FALSE,"",IF((Summary!$C$13="N")*('Dvd Calendar'!$AK$1305='Field Check'!$C$25)&gt;0,"",'Dvd Calendar'!$AK$1301)))</f>
        <v/>
      </c>
      <c r="CX95" s="85">
        <f>IF(AJ95="","",IF(ISNUMBER('Dvd Calendar'!$AL$1301)=FALSE,"",IF((Summary!$C$13="N")*('Dvd Calendar'!$AL$1305='Field Check'!$C$25)&gt;0,"",'Dvd Calendar'!$AL$1301)))</f>
        <v/>
      </c>
      <c r="CY95" s="85">
        <f>IF(AK95="","",IF(ISNUMBER('Dvd Calendar'!$AM$1301)=FALSE,"",IF((Summary!$C$13="N")*('Dvd Calendar'!$AM$1305='Field Check'!$C$25)&gt;0,"",'Dvd Calendar'!$AM$1301)))</f>
        <v/>
      </c>
      <c r="CZ95" s="85">
        <f>IF(AL95="","",IF(ISNUMBER('Dvd Calendar'!$AN$1301)=FALSE,"",IF((Summary!$C$13="N")*('Dvd Calendar'!$AN$1305='Field Check'!$C$25)&gt;0,"",'Dvd Calendar'!$AN$1301)))</f>
        <v/>
      </c>
      <c r="DA95" s="85">
        <f>IF(AM95="","",IF(ISNUMBER('Dvd Calendar'!$AO$1301)=FALSE,"",IF((Summary!$C$13="N")*('Dvd Calendar'!$AO$1305='Field Check'!$C$25)&gt;0,"",'Dvd Calendar'!$AO$1301)))</f>
        <v/>
      </c>
      <c r="DB95" s="85">
        <f>IF(AN95="","",IF(ISNUMBER('Dvd Calendar'!$AP$1301)=FALSE,"",IF((Summary!$C$13="N")*('Dvd Calendar'!$AP$1305='Field Check'!$C$25)&gt;0,"",'Dvd Calendar'!$AP$1301)))</f>
        <v/>
      </c>
      <c r="DC95" s="85">
        <f>IF(AO95="","",IF(ISNUMBER('Dvd Calendar'!$AQ$1301)=FALSE,"",IF((Summary!$C$13="N")*('Dvd Calendar'!$AQ$1305='Field Check'!$C$25)&gt;0,"",'Dvd Calendar'!$AQ$1301)))</f>
        <v/>
      </c>
      <c r="DD95" s="85">
        <f>IF(AP95="","",IF(ISNUMBER('Dvd Calendar'!$AR$1301)=FALSE,"",IF((Summary!$C$13="N")*('Dvd Calendar'!$AR$1305='Field Check'!$C$25)&gt;0,"",'Dvd Calendar'!$AR$1301)))</f>
        <v/>
      </c>
      <c r="DE95" s="85">
        <f>IF(AQ95="","",IF(ISNUMBER('Dvd Calendar'!$E$1308)=FALSE,"",IF((Summary!$C$13="N")*('Dvd Calendar'!$E$1312='Field Check'!$C$25)&gt;0,"",'Dvd Calendar'!$E$1308)))</f>
        <v/>
      </c>
      <c r="DF95" s="85">
        <f>IF(AR95="","",IF(ISNUMBER('Dvd Calendar'!$F$1308)=FALSE,"",IF((Summary!$C$13="N")*('Dvd Calendar'!$F$1312='Field Check'!$C$25)&gt;0,"",'Dvd Calendar'!$F$1308)))</f>
        <v/>
      </c>
      <c r="DG95" s="85">
        <f>IF(AS95="","",IF(ISNUMBER('Dvd Calendar'!$G$1308)=FALSE,"",IF((Summary!$C$13="N")*('Dvd Calendar'!$G$1312='Field Check'!$C$25)&gt;0,"",'Dvd Calendar'!$G$1308)))</f>
        <v/>
      </c>
      <c r="DH95" s="85">
        <f>IF(AT95="","",IF(ISNUMBER('Dvd Calendar'!$H$1308)=FALSE,"",IF((Summary!$C$13="N")*('Dvd Calendar'!$H$1312='Field Check'!$C$25)&gt;0,"",'Dvd Calendar'!$H$1308)))</f>
        <v/>
      </c>
      <c r="DI95" s="85">
        <f>IF(AU95="","",IF(ISNUMBER('Dvd Calendar'!$I$1308)=FALSE,"",IF((Summary!$C$13="N")*('Dvd Calendar'!$I$1312='Field Check'!$C$25)&gt;0,"",'Dvd Calendar'!$I$1308)))</f>
        <v/>
      </c>
      <c r="DJ95" s="85">
        <f>IF(AV95="","",IF(ISNUMBER('Dvd Calendar'!$J$1308)=FALSE,"",IF((Summary!$C$13="N")*('Dvd Calendar'!$J$1312='Field Check'!$C$25)&gt;0,"",'Dvd Calendar'!$J$1308)))</f>
        <v/>
      </c>
      <c r="DK95" s="85">
        <f>IF(AW95="","",IF(ISNUMBER('Dvd Calendar'!$K$1308)=FALSE,"",IF((Summary!$C$13="N")*('Dvd Calendar'!$K$1312='Field Check'!$C$25)&gt;0,"",'Dvd Calendar'!$K$1308)))</f>
        <v/>
      </c>
      <c r="DL95" s="85">
        <f>IF(AX95="","",IF(ISNUMBER('Dvd Calendar'!$L$1308)=FALSE,"",IF((Summary!$C$13="N")*('Dvd Calendar'!$L$1312='Field Check'!$C$25)&gt;0,"",'Dvd Calendar'!$L$1308)))</f>
        <v/>
      </c>
      <c r="DM95" s="85">
        <f>IF(AY95="","",IF(ISNUMBER('Dvd Calendar'!$M$1308)=FALSE,"",IF((Summary!$C$13="N")*('Dvd Calendar'!$M$1312='Field Check'!$C$25)&gt;0,"",'Dvd Calendar'!$M$1308)))</f>
        <v/>
      </c>
      <c r="DN95" s="85">
        <f>IF(AZ95="","",IF(ISNUMBER('Dvd Calendar'!$N$1308)=FALSE,"",IF((Summary!$C$13="N")*('Dvd Calendar'!$N$1312='Field Check'!$C$25)&gt;0,"",'Dvd Calendar'!$N$1308)))</f>
        <v/>
      </c>
      <c r="DO95" s="85">
        <f>IF(BA95="","",IF(ISNUMBER('Dvd Calendar'!$O$1308)=FALSE,"",IF((Summary!$C$13="N")*('Dvd Calendar'!$O$1312='Field Check'!$C$25)&gt;0,"",'Dvd Calendar'!$O$1308)))</f>
        <v/>
      </c>
      <c r="DP95" s="85">
        <f>IF(BB95="","",IF(ISNUMBER('Dvd Calendar'!$P$1308)=FALSE,"",IF((Summary!$C$13="N")*('Dvd Calendar'!$P$1312='Field Check'!$C$25)&gt;0,"",'Dvd Calendar'!$P$1308)))</f>
        <v/>
      </c>
      <c r="DQ95" s="85">
        <f>IF(BC95="","",IF(ISNUMBER('Dvd Calendar'!$Q$1308)=FALSE,"",IF((Summary!$C$13="N")*('Dvd Calendar'!$Q$1312='Field Check'!$C$25)&gt;0,"",'Dvd Calendar'!$Q$1308)))</f>
        <v/>
      </c>
      <c r="DR95" s="85">
        <f>IF(BD95="","",IF(ISNUMBER('Dvd Calendar'!$R$1308)=FALSE,"",IF((Summary!$C$13="N")*('Dvd Calendar'!$R$1312='Field Check'!$C$25)&gt;0,"",'Dvd Calendar'!$R$1308)))</f>
        <v/>
      </c>
      <c r="DS95" s="85">
        <f>IF(BE95="","",IF(ISNUMBER('Dvd Calendar'!$S$1308)=FALSE,"",IF((Summary!$C$13="N")*('Dvd Calendar'!$S$1312='Field Check'!$C$25)&gt;0,"",'Dvd Calendar'!$S$1308)))</f>
        <v/>
      </c>
      <c r="DT95" s="85">
        <f>IF(BF95="","",IF(ISNUMBER('Dvd Calendar'!$T$1308)=FALSE,"",IF((Summary!$C$13="N")*('Dvd Calendar'!$T$1312='Field Check'!$C$25)&gt;0,"",'Dvd Calendar'!$T$1308)))</f>
        <v/>
      </c>
      <c r="DU95" s="85">
        <f>IF(BG95="","",IF(ISNUMBER('Dvd Calendar'!$U$1308)=FALSE,"",IF((Summary!$C$13="N")*('Dvd Calendar'!$U$1312='Field Check'!$C$25)&gt;0,"",'Dvd Calendar'!$U$1308)))</f>
        <v/>
      </c>
      <c r="DV95" s="85">
        <f>IF(BH95="","",IF(ISNUMBER('Dvd Calendar'!$V$1308)=FALSE,"",IF((Summary!$C$13="N")*('Dvd Calendar'!$V$1312='Field Check'!$C$25)&gt;0,"",'Dvd Calendar'!$V$1308)))</f>
        <v/>
      </c>
      <c r="DW95" s="85">
        <f>IF(BI95="","",IF(ISNUMBER('Dvd Calendar'!$W$1308)=FALSE,"",IF((Summary!$C$13="N")*('Dvd Calendar'!$W$1312='Field Check'!$C$25)&gt;0,"",'Dvd Calendar'!$W$1308)))</f>
        <v/>
      </c>
      <c r="DX95" s="85">
        <f>IF(BJ95="","",IF(ISNUMBER('Dvd Calendar'!$X$1308)=FALSE,"",IF((Summary!$C$13="N")*('Dvd Calendar'!$X$1312='Field Check'!$C$25)&gt;0,"",'Dvd Calendar'!$X$1308)))</f>
        <v/>
      </c>
      <c r="DY95" s="85">
        <f>IF(BK95="","",IF(ISNUMBER('Dvd Calendar'!$Y$1308)=FALSE,"",IF((Summary!$C$13="N")*('Dvd Calendar'!$Y$1312='Field Check'!$C$25)&gt;0,"",'Dvd Calendar'!$Y$1308)))</f>
        <v/>
      </c>
      <c r="DZ95" s="85">
        <f>IF(BL95="","",IF(ISNUMBER('Dvd Calendar'!$Z$1308)=FALSE,"",IF((Summary!$C$13="N")*('Dvd Calendar'!$Z$1312='Field Check'!$C$25)&gt;0,"",'Dvd Calendar'!$Z$1308)))</f>
        <v/>
      </c>
      <c r="EA95" s="85">
        <f>IF(BM95="","",IF(ISNUMBER('Dvd Calendar'!$AA$1308)=FALSE,"",IF((Summary!$C$13="N")*('Dvd Calendar'!$AA$1312='Field Check'!$C$25)&gt;0,"",'Dvd Calendar'!$AA$1308)))</f>
        <v/>
      </c>
      <c r="EB95" s="85">
        <f>IF(BN95="","",IF(ISNUMBER('Dvd Calendar'!$AB$1308)=FALSE,"",IF((Summary!$C$13="N")*('Dvd Calendar'!$AB$1312='Field Check'!$C$25)&gt;0,"",'Dvd Calendar'!$AB$1308)))</f>
        <v/>
      </c>
      <c r="EC95" s="85">
        <f>IF(BO95="","",IF(ISNUMBER('Dvd Calendar'!$AC$1308)=FALSE,"",IF((Summary!$C$13="N")*('Dvd Calendar'!$AC$1312='Field Check'!$C$25)&gt;0,"",'Dvd Calendar'!$AC$1308)))</f>
        <v/>
      </c>
      <c r="EE95" s="85">
        <f>IF(BQ95="","",IFERROR(BQ95*HSI!$B$93*HSI!$G$93/HSI!$B$3,""))</f>
        <v/>
      </c>
      <c r="EF95" s="85">
        <f>IF(BR95="","",IFERROR(BR95*HSI!$B$93*HSI!$G$93/HSI!$B$3,""))</f>
        <v/>
      </c>
      <c r="EG95" s="85">
        <f>IF(BS95="","",IFERROR(BS95*HSI!$B$93*HSI!$G$93/HSI!$B$3,""))</f>
        <v/>
      </c>
      <c r="EH95" s="85">
        <f>IF(BT95="","",IFERROR(BT95*HSI!$B$93*HSI!$G$93/HSI!$B$3,""))</f>
        <v/>
      </c>
      <c r="EI95" s="85">
        <f>IF(BU95="","",IFERROR(BU95*HSI!$B$93*HSI!$G$93/HSI!$B$3,""))</f>
        <v/>
      </c>
      <c r="EJ95" s="85">
        <f>IF(BV95="","",IFERROR(BV95*HSI!$B$93*HSI!$G$93/HSI!$B$3,""))</f>
        <v/>
      </c>
      <c r="EK95" s="85">
        <f>IF(BW95="","",IFERROR(BW95*HSI!$B$93*HSI!$G$93/HSI!$B$3,""))</f>
        <v/>
      </c>
      <c r="EL95" s="85">
        <f>IF(BX95="","",IFERROR(BX95*HSI!$B$93*HSI!$G$93/HSI!$B$3,""))</f>
        <v/>
      </c>
      <c r="EM95" s="85">
        <f>IF(BY95="","",IFERROR(BY95*HSI!$B$93*HSI!$G$93/HSI!$B$3,""))</f>
        <v/>
      </c>
      <c r="EN95" s="85">
        <f>IF(BZ95="","",IFERROR(BZ95*HSI!$B$93*HSI!$G$93/HSI!$B$3,""))</f>
        <v/>
      </c>
      <c r="EO95" s="85">
        <f>IF(CA95="","",IFERROR(CA95*HSI!$B$93*HSI!$G$93/HSI!$B$3,""))</f>
        <v/>
      </c>
      <c r="EP95" s="85">
        <f>IF(CB95="","",IFERROR(CB95*HSI!$B$93*HSI!$G$93/HSI!$B$3,""))</f>
        <v/>
      </c>
      <c r="EQ95" s="85">
        <f>IF(CC95="","",IFERROR(CC95*HSI!$B$93*HSI!$G$93/HSI!$B$3,""))</f>
        <v/>
      </c>
      <c r="ER95" s="85">
        <f>IF(CD95="","",IFERROR(CD95*HSI!$B$93*HSI!$G$93/HSI!$B$3,""))</f>
        <v/>
      </c>
      <c r="ES95" s="85">
        <f>IF(CE95="","",IFERROR(CE95*HSI!$B$93*HSI!$G$93/HSI!$B$3,""))</f>
        <v/>
      </c>
      <c r="ET95" s="85">
        <f>IF(CF95="","",IFERROR(CF95*HSI!$B$93*HSI!$G$93/HSI!$B$3,""))</f>
        <v/>
      </c>
      <c r="EU95" s="85">
        <f>IF(CG95="","",IFERROR(CG95*HSI!$B$93*HSI!$G$93/HSI!$B$3,""))</f>
        <v/>
      </c>
      <c r="EV95" s="85">
        <f>IF(CH95="","",IFERROR(CH95*HSI!$B$93*HSI!$G$93/HSI!$B$3,""))</f>
        <v/>
      </c>
      <c r="EW95" s="85">
        <f>IF(CI95="","",IFERROR(CI95*HSI!$B$93*HSI!$G$93/HSI!$B$3,""))</f>
        <v/>
      </c>
      <c r="EX95" s="85">
        <f>IF(CJ95="","",IFERROR(CJ95*HSI!$B$93*HSI!$G$93/HSI!$B$3,""))</f>
        <v/>
      </c>
      <c r="EY95" s="85">
        <f>IF(CK95="","",IFERROR(CK95*HSI!$B$93*HSI!$G$93/HSI!$B$3,""))</f>
        <v/>
      </c>
      <c r="EZ95" s="85">
        <f>IF(CL95="","",IFERROR(CL95*HSI!$B$93*HSI!$G$93/HSI!$B$3,""))</f>
        <v/>
      </c>
      <c r="FA95" s="85">
        <f>IF(CM95="","",IFERROR(CM95*HSI!$B$93*HSI!$G$93/HSI!$B$3,""))</f>
        <v/>
      </c>
      <c r="FB95" s="85">
        <f>IF(CN95="","",IFERROR(CN95*HSI!$B$93*HSI!$G$93/HSI!$B$3,""))</f>
        <v/>
      </c>
      <c r="FC95" s="85">
        <f>IF(CO95="","",IFERROR(CO95*HSI!$B$93*HSI!$G$93/HSI!$B$3,""))</f>
        <v/>
      </c>
      <c r="FD95" s="85">
        <f>IF(CP95="","",IFERROR(CP95*HSI!$B$93*HSI!$G$93/HSI!$B$3,""))</f>
        <v/>
      </c>
      <c r="FE95" s="85">
        <f>IF(CQ95="","",IFERROR(CQ95*HSI!$B$93*HSI!$G$93/HSI!$B$3,""))</f>
        <v/>
      </c>
      <c r="FF95" s="85">
        <f>IF(CR95="","",IFERROR(CR95*HSI!$B$93*HSI!$G$93/HSI!$B$3,""))</f>
        <v/>
      </c>
      <c r="FG95" s="85">
        <f>IF(CS95="","",IFERROR(CS95*HSI!$B$93*HSI!$G$93/HSI!$B$3,""))</f>
        <v/>
      </c>
      <c r="FH95" s="85">
        <f>IF(CT95="","",IFERROR(CT95*HSI!$B$93*HSI!$G$93/HSI!$B$3,""))</f>
        <v/>
      </c>
      <c r="FI95" s="85">
        <f>IF(CU95="","",IFERROR(CU95*HSI!$B$93*HSI!$G$93/HSI!$B$3,""))</f>
        <v/>
      </c>
      <c r="FJ95" s="85">
        <f>IF(CV95="","",IFERROR(CV95*HSI!$B$93*HSI!$G$93/HSI!$B$3,""))</f>
        <v/>
      </c>
      <c r="FK95" s="85">
        <f>IF(CW95="","",IFERROR(CW95*HSI!$B$93*HSI!$G$93/HSI!$B$3,""))</f>
        <v/>
      </c>
      <c r="FL95" s="85">
        <f>IF(CX95="","",IFERROR(CX95*HSI!$B$93*HSI!$G$93/HSI!$B$3,""))</f>
        <v/>
      </c>
      <c r="FM95" s="85">
        <f>IF(CY95="","",IFERROR(CY95*HSI!$B$93*HSI!$G$93/HSI!$B$3,""))</f>
        <v/>
      </c>
      <c r="FN95" s="85">
        <f>IF(CZ95="","",IFERROR(CZ95*HSI!$B$93*HSI!$G$93/HSI!$B$3,""))</f>
        <v/>
      </c>
      <c r="FO95" s="85">
        <f>IF(DA95="","",IFERROR(DA95*HSI!$B$93*HSI!$G$93/HSI!$B$3,""))</f>
        <v/>
      </c>
      <c r="FP95" s="85">
        <f>IF(DB95="","",IFERROR(DB95*HSI!$B$93*HSI!$G$93/HSI!$B$3,""))</f>
        <v/>
      </c>
      <c r="FQ95" s="85">
        <f>IF(DC95="","",IFERROR(DC95*HSI!$B$93*HSI!$G$93/HSI!$B$3,""))</f>
        <v/>
      </c>
      <c r="FR95" s="85">
        <f>IF(DD95="","",IFERROR(DD95*HSI!$B$93*HSI!$G$93/HSI!$B$3,""))</f>
        <v/>
      </c>
      <c r="FS95" s="85">
        <f>IF(DE95="","",IFERROR(DE95*HSI!$B$93*HSI!$G$93/HSI!$B$3,""))</f>
        <v/>
      </c>
      <c r="FT95" s="85">
        <f>IF(DF95="","",IFERROR(DF95*HSI!$B$93*HSI!$G$93/HSI!$B$3,""))</f>
        <v/>
      </c>
      <c r="FU95" s="85">
        <f>IF(DG95="","",IFERROR(DG95*HSI!$B$93*HSI!$G$93/HSI!$B$3,""))</f>
        <v/>
      </c>
      <c r="FV95" s="85">
        <f>IF(DH95="","",IFERROR(DH95*HSI!$B$93*HSI!$G$93/HSI!$B$3,""))</f>
        <v/>
      </c>
      <c r="FW95" s="85">
        <f>IF(DI95="","",IFERROR(DI95*HSI!$B$93*HSI!$G$93/HSI!$B$3,""))</f>
        <v/>
      </c>
      <c r="FX95" s="85">
        <f>IF(DJ95="","",IFERROR(DJ95*HSI!$B$93*HSI!$G$93/HSI!$B$3,""))</f>
        <v/>
      </c>
      <c r="FY95" s="85">
        <f>IF(DK95="","",IFERROR(DK95*HSI!$B$93*HSI!$G$93/HSI!$B$3,""))</f>
        <v/>
      </c>
      <c r="FZ95" s="85">
        <f>IF(DL95="","",IFERROR(DL95*HSI!$B$93*HSI!$G$93/HSI!$B$3,""))</f>
        <v/>
      </c>
      <c r="GA95" s="85">
        <f>IF(DM95="","",IFERROR(DM95*HSI!$B$93*HSI!$G$93/HSI!$B$3,""))</f>
        <v/>
      </c>
      <c r="GB95" s="85">
        <f>IF(DN95="","",IFERROR(DN95*HSI!$B$93*HSI!$G$93/HSI!$B$3,""))</f>
        <v/>
      </c>
      <c r="GC95" s="85">
        <f>IF(DO95="","",IFERROR(DO95*HSI!$B$93*HSI!$G$93/HSI!$B$3,""))</f>
        <v/>
      </c>
      <c r="GD95" s="85">
        <f>IF(DP95="","",IFERROR(DP95*HSI!$B$93*HSI!$G$93/HSI!$B$3,""))</f>
        <v/>
      </c>
      <c r="GE95" s="85">
        <f>IF(DQ95="","",IFERROR(DQ95*HSI!$B$93*HSI!$G$93/HSI!$B$3,""))</f>
        <v/>
      </c>
      <c r="GF95" s="85">
        <f>IF(DR95="","",IFERROR(DR95*HSI!$B$93*HSI!$G$93/HSI!$B$3,""))</f>
        <v/>
      </c>
      <c r="GG95" s="85">
        <f>IF(DS95="","",IFERROR(DS95*HSI!$B$93*HSI!$G$93/HSI!$B$3,""))</f>
        <v/>
      </c>
      <c r="GH95" s="85">
        <f>IF(DT95="","",IFERROR(DT95*HSI!$B$93*HSI!$G$93/HSI!$B$3,""))</f>
        <v/>
      </c>
      <c r="GI95" s="85">
        <f>IF(DU95="","",IFERROR(DU95*HSI!$B$93*HSI!$G$93/HSI!$B$3,""))</f>
        <v/>
      </c>
      <c r="GJ95" s="85">
        <f>IF(DV95="","",IFERROR(DV95*HSI!$B$93*HSI!$G$93/HSI!$B$3,""))</f>
        <v/>
      </c>
      <c r="GK95" s="85">
        <f>IF(DW95="","",IFERROR(DW95*HSI!$B$93*HSI!$G$93/HSI!$B$3,""))</f>
        <v/>
      </c>
      <c r="GL95" s="85">
        <f>IF(DX95="","",IFERROR(DX95*HSI!$B$93*HSI!$G$93/HSI!$B$3,""))</f>
        <v/>
      </c>
      <c r="GM95" s="85">
        <f>IF(DY95="","",IFERROR(DY95*HSI!$B$93*HSI!$G$93/HSI!$B$3,""))</f>
        <v/>
      </c>
      <c r="GN95" s="85">
        <f>IF(DZ95="","",IFERROR(DZ95*HSI!$B$93*HSI!$G$93/HSI!$B$3,""))</f>
        <v/>
      </c>
      <c r="GO95" s="85">
        <f>IF(EA95="","",IFERROR(EA95*HSI!$B$93*HSI!$G$93/HSI!$B$3,""))</f>
        <v/>
      </c>
      <c r="GP95" s="85">
        <f>IF(EB95="","",IFERROR(EB95*HSI!$B$93*HSI!$G$93/HSI!$B$3,""))</f>
        <v/>
      </c>
      <c r="GQ95" s="85">
        <f>IF(EC95="","",IFERROR(EC95*HSI!$B$93*HSI!$G$93/HSI!$B$3,""))</f>
        <v/>
      </c>
    </row>
    <row r="96">
      <c r="B96" s="2">
        <f>IF(HSI!$C$94="","",HSI!$C$94)</f>
        <v/>
      </c>
      <c r="C96" s="41">
        <f>IF(N('Dvd Calendar'!$E$1315)=0,"",IF(('Dvd Calendar'!$E$1315&gt;=MIN(DATE(Summary!$C$12,1,1),Summary!$C$11))*('Dvd Calendar'!$E$1315&lt;=MAX(DATE(Summary!$C$12,12,31),Summary!$C$15))*('Dvd Calendar'!$E$1315&lt;=Summary!$C$11)=0,"",'Dvd Calendar'!$E$1315*1000000000+ISNUMBER('Dvd Calendar'!$E$1316)*100000000+('Dvd Calendar'!$E$1320='Field Check'!$C$25)*10000000+(N('Dvd Calendar'!$E$1314)&gt;0)*1000000+88*1000+1))</f>
        <v/>
      </c>
      <c r="D96" s="41">
        <f>IF(N('Dvd Calendar'!$F$1315)=0,"",IF(('Dvd Calendar'!$F$1315&gt;=MIN(DATE(Summary!$C$12,1,1),Summary!$C$11))*('Dvd Calendar'!$F$1315&lt;=MAX(DATE(Summary!$C$12,12,31),Summary!$C$15))*('Dvd Calendar'!$F$1315&lt;=Summary!$C$11)=0,"",'Dvd Calendar'!$F$1315*1000000000+ISNUMBER('Dvd Calendar'!$F$1316)*100000000+('Dvd Calendar'!$F$1320='Field Check'!$C$25)*10000000+(N('Dvd Calendar'!$F$1314)&gt;0)*1000000+88*1000+2))</f>
        <v/>
      </c>
      <c r="E96" s="41">
        <f>IF(N('Dvd Calendar'!$G$1315)=0,"",IF(('Dvd Calendar'!$G$1315&gt;=MIN(DATE(Summary!$C$12,1,1),Summary!$C$11))*('Dvd Calendar'!$G$1315&lt;=MAX(DATE(Summary!$C$12,12,31),Summary!$C$15))*('Dvd Calendar'!$G$1315&lt;=Summary!$C$11)=0,"",'Dvd Calendar'!$G$1315*1000000000+ISNUMBER('Dvd Calendar'!$G$1316)*100000000+('Dvd Calendar'!$G$1320='Field Check'!$C$25)*10000000+(N('Dvd Calendar'!$G$1314)&gt;0)*1000000+88*1000+3))</f>
        <v/>
      </c>
      <c r="F96" s="41">
        <f>IF(N('Dvd Calendar'!$H$1315)=0,"",IF(('Dvd Calendar'!$H$1315&gt;=MIN(DATE(Summary!$C$12,1,1),Summary!$C$11))*('Dvd Calendar'!$H$1315&lt;=MAX(DATE(Summary!$C$12,12,31),Summary!$C$15))*('Dvd Calendar'!$H$1315&lt;=Summary!$C$11)=0,"",'Dvd Calendar'!$H$1315*1000000000+ISNUMBER('Dvd Calendar'!$H$1316)*100000000+('Dvd Calendar'!$H$1320='Field Check'!$C$25)*10000000+(N('Dvd Calendar'!$H$1314)&gt;0)*1000000+88*1000+4))</f>
        <v/>
      </c>
      <c r="G96" s="41">
        <f>IF(N('Dvd Calendar'!$I$1315)=0,"",IF(('Dvd Calendar'!$I$1315&gt;=MIN(DATE(Summary!$C$12,1,1),Summary!$C$11))*('Dvd Calendar'!$I$1315&lt;=MAX(DATE(Summary!$C$12,12,31),Summary!$C$15))*('Dvd Calendar'!$I$1315&lt;=Summary!$C$11)=0,"",'Dvd Calendar'!$I$1315*1000000000+ISNUMBER('Dvd Calendar'!$I$1316)*100000000+('Dvd Calendar'!$I$1320='Field Check'!$C$25)*10000000+(N('Dvd Calendar'!$I$1314)&gt;0)*1000000+88*1000+5))</f>
        <v/>
      </c>
      <c r="H96" s="41">
        <f>IF(N('Dvd Calendar'!$J$1315)=0,"",IF(('Dvd Calendar'!$J$1315&gt;=MIN(DATE(Summary!$C$12,1,1),Summary!$C$11))*('Dvd Calendar'!$J$1315&lt;=MAX(DATE(Summary!$C$12,12,31),Summary!$C$15))*('Dvd Calendar'!$J$1315&lt;=Summary!$C$11)=0,"",'Dvd Calendar'!$J$1315*1000000000+ISNUMBER('Dvd Calendar'!$J$1316)*100000000+('Dvd Calendar'!$J$1320='Field Check'!$C$25)*10000000+(N('Dvd Calendar'!$J$1314)&gt;0)*1000000+88*1000+6))</f>
        <v/>
      </c>
      <c r="I96" s="41">
        <f>IF(N('Dvd Calendar'!$K$1315)=0,"",IF(('Dvd Calendar'!$K$1315&gt;=MIN(DATE(Summary!$C$12,1,1),Summary!$C$11))*('Dvd Calendar'!$K$1315&lt;=MAX(DATE(Summary!$C$12,12,31),Summary!$C$15))*('Dvd Calendar'!$K$1315&lt;=Summary!$C$11)=0,"",'Dvd Calendar'!$K$1315*1000000000+ISNUMBER('Dvd Calendar'!$K$1316)*100000000+('Dvd Calendar'!$K$1320='Field Check'!$C$25)*10000000+(N('Dvd Calendar'!$K$1314)&gt;0)*1000000+88*1000+7))</f>
        <v/>
      </c>
      <c r="J96" s="41">
        <f>IF(N('Dvd Calendar'!$L$1315)=0,"",IF(('Dvd Calendar'!$L$1315&gt;=MIN(DATE(Summary!$C$12,1,1),Summary!$C$11))*('Dvd Calendar'!$L$1315&lt;=MAX(DATE(Summary!$C$12,12,31),Summary!$C$15))*('Dvd Calendar'!$L$1315&lt;=Summary!$C$11)=0,"",'Dvd Calendar'!$L$1315*1000000000+ISNUMBER('Dvd Calendar'!$L$1316)*100000000+('Dvd Calendar'!$L$1320='Field Check'!$C$25)*10000000+(N('Dvd Calendar'!$L$1314)&gt;0)*1000000+88*1000+8))</f>
        <v/>
      </c>
      <c r="K96" s="41">
        <f>IF(N('Dvd Calendar'!$M$1315)=0,"",IF(('Dvd Calendar'!$M$1315&gt;=MIN(DATE(Summary!$C$12,1,1),Summary!$C$11))*('Dvd Calendar'!$M$1315&lt;=MAX(DATE(Summary!$C$12,12,31),Summary!$C$15))*('Dvd Calendar'!$M$1315&lt;=Summary!$C$11)=0,"",'Dvd Calendar'!$M$1315*1000000000+ISNUMBER('Dvd Calendar'!$M$1316)*100000000+('Dvd Calendar'!$M$1320='Field Check'!$C$25)*10000000+(N('Dvd Calendar'!$M$1314)&gt;0)*1000000+88*1000+9))</f>
        <v/>
      </c>
      <c r="L96" s="41">
        <f>IF(N('Dvd Calendar'!$N$1315)=0,"",IF(('Dvd Calendar'!$N$1315&gt;=MIN(DATE(Summary!$C$12,1,1),Summary!$C$11))*('Dvd Calendar'!$N$1315&lt;=MAX(DATE(Summary!$C$12,12,31),Summary!$C$15))*('Dvd Calendar'!$N$1315&lt;=Summary!$C$11)=0,"",'Dvd Calendar'!$N$1315*1000000000+ISNUMBER('Dvd Calendar'!$N$1316)*100000000+('Dvd Calendar'!$N$1320='Field Check'!$C$25)*10000000+(N('Dvd Calendar'!$N$1314)&gt;0)*1000000+88*1000+10))</f>
        <v/>
      </c>
      <c r="M96" s="41">
        <f>IF(N('Dvd Calendar'!$O$1315)=0,"",IF(('Dvd Calendar'!$O$1315&gt;=MIN(DATE(Summary!$C$12,1,1),Summary!$C$11))*('Dvd Calendar'!$O$1315&lt;=MAX(DATE(Summary!$C$12,12,31),Summary!$C$15))*('Dvd Calendar'!$O$1315&lt;=Summary!$C$11)=0,"",'Dvd Calendar'!$O$1315*1000000000+ISNUMBER('Dvd Calendar'!$O$1316)*100000000+('Dvd Calendar'!$O$1320='Field Check'!$C$25)*10000000+(N('Dvd Calendar'!$O$1314)&gt;0)*1000000+88*1000+11))</f>
        <v/>
      </c>
      <c r="N96" s="41">
        <f>IF(N('Dvd Calendar'!$P$1315)=0,"",IF(('Dvd Calendar'!$P$1315&gt;=MIN(DATE(Summary!$C$12,1,1),Summary!$C$11))*('Dvd Calendar'!$P$1315&lt;=MAX(DATE(Summary!$C$12,12,31),Summary!$C$15))*('Dvd Calendar'!$P$1315&lt;=Summary!$C$11)=0,"",'Dvd Calendar'!$P$1315*1000000000+ISNUMBER('Dvd Calendar'!$P$1316)*100000000+('Dvd Calendar'!$P$1320='Field Check'!$C$25)*10000000+(N('Dvd Calendar'!$P$1314)&gt;0)*1000000+88*1000+12))</f>
        <v/>
      </c>
      <c r="O96" s="41">
        <f>IF(N('Dvd Calendar'!$Q$1315)=0,"",IF(('Dvd Calendar'!$Q$1315&gt;=MIN(DATE(Summary!$C$12,1,1),Summary!$C$11))*('Dvd Calendar'!$Q$1315&lt;=MAX(DATE(Summary!$C$12,12,31),Summary!$C$15))*('Dvd Calendar'!$Q$1315&lt;=Summary!$C$11)=0,"",'Dvd Calendar'!$Q$1315*1000000000+ISNUMBER('Dvd Calendar'!$Q$1316)*100000000+('Dvd Calendar'!$Q$1320='Field Check'!$C$25)*10000000+(N('Dvd Calendar'!$Q$1314)&gt;0)*1000000+88*1000+13))</f>
        <v/>
      </c>
      <c r="P96" s="41">
        <f>IF(N('Dvd Calendar'!$R$1315)=0,"",IF(('Dvd Calendar'!$R$1315&gt;=MIN(DATE(Summary!$C$12,1,1),Summary!$C$11))*('Dvd Calendar'!$R$1315&lt;=MAX(DATE(Summary!$C$12,12,31),Summary!$C$15))*('Dvd Calendar'!$R$1315&lt;=Summary!$C$11)=0,"",'Dvd Calendar'!$R$1315*1000000000+ISNUMBER('Dvd Calendar'!$R$1316)*100000000+('Dvd Calendar'!$R$1320='Field Check'!$C$25)*10000000+(N('Dvd Calendar'!$R$1314)&gt;0)*1000000+88*1000+14))</f>
        <v/>
      </c>
      <c r="Q96" s="41">
        <f>IF(N('Dvd Calendar'!$S$1315)=0,"",IF(('Dvd Calendar'!$S$1315&gt;=MIN(DATE(Summary!$C$12,1,1),Summary!$C$11))*('Dvd Calendar'!$S$1315&lt;=MAX(DATE(Summary!$C$12,12,31),Summary!$C$15))*('Dvd Calendar'!$S$1315&lt;=Summary!$C$11)=0,"",'Dvd Calendar'!$S$1315*1000000000+ISNUMBER('Dvd Calendar'!$S$1316)*100000000+('Dvd Calendar'!$S$1320='Field Check'!$C$25)*10000000+(N('Dvd Calendar'!$S$1314)&gt;0)*1000000+88*1000+15))</f>
        <v/>
      </c>
      <c r="R96" s="41">
        <f>IF(N('Dvd Calendar'!$T$1315)=0,"",IF(('Dvd Calendar'!$T$1315&gt;=MIN(DATE(Summary!$C$12,1,1),Summary!$C$11))*('Dvd Calendar'!$T$1315&lt;=MAX(DATE(Summary!$C$12,12,31),Summary!$C$15))*('Dvd Calendar'!$T$1315&lt;=Summary!$C$11)=0,"",'Dvd Calendar'!$T$1315*1000000000+ISNUMBER('Dvd Calendar'!$T$1316)*100000000+('Dvd Calendar'!$T$1320='Field Check'!$C$25)*10000000+(N('Dvd Calendar'!$T$1314)&gt;0)*1000000+88*1000+16))</f>
        <v/>
      </c>
      <c r="S96" s="41">
        <f>IF(N('Dvd Calendar'!$U$1315)=0,"",IF(('Dvd Calendar'!$U$1315&gt;=MIN(DATE(Summary!$C$12,1,1),Summary!$C$11))*('Dvd Calendar'!$U$1315&lt;=MAX(DATE(Summary!$C$12,12,31),Summary!$C$15))*('Dvd Calendar'!$U$1315&lt;=Summary!$C$11)=0,"",'Dvd Calendar'!$U$1315*1000000000+ISNUMBER('Dvd Calendar'!$U$1316)*100000000+('Dvd Calendar'!$U$1320='Field Check'!$C$25)*10000000+(N('Dvd Calendar'!$U$1314)&gt;0)*1000000+88*1000+17))</f>
        <v/>
      </c>
      <c r="T96" s="41">
        <f>IF(N('Dvd Calendar'!$V$1315)=0,"",IF(('Dvd Calendar'!$V$1315&gt;=MIN(DATE(Summary!$C$12,1,1),Summary!$C$11))*('Dvd Calendar'!$V$1315&lt;=MAX(DATE(Summary!$C$12,12,31),Summary!$C$15))*('Dvd Calendar'!$V$1315&lt;=Summary!$C$11)=0,"",'Dvd Calendar'!$V$1315*1000000000+ISNUMBER('Dvd Calendar'!$V$1316)*100000000+('Dvd Calendar'!$V$1320='Field Check'!$C$25)*10000000+(N('Dvd Calendar'!$V$1314)&gt;0)*1000000+88*1000+18))</f>
        <v/>
      </c>
      <c r="U96" s="41">
        <f>IF(N('Dvd Calendar'!$W$1315)=0,"",IF(('Dvd Calendar'!$W$1315&gt;=MIN(DATE(Summary!$C$12,1,1),Summary!$C$11))*('Dvd Calendar'!$W$1315&lt;=MAX(DATE(Summary!$C$12,12,31),Summary!$C$15))*('Dvd Calendar'!$W$1315&lt;=Summary!$C$11)=0,"",'Dvd Calendar'!$W$1315*1000000000+ISNUMBER('Dvd Calendar'!$W$1316)*100000000+('Dvd Calendar'!$W$1320='Field Check'!$C$25)*10000000+(N('Dvd Calendar'!$W$1314)&gt;0)*1000000+88*1000+19))</f>
        <v/>
      </c>
      <c r="V96" s="41">
        <f>IF(N('Dvd Calendar'!$X$1315)=0,"",IF(('Dvd Calendar'!$X$1315&gt;=MIN(DATE(Summary!$C$12,1,1),Summary!$C$11))*('Dvd Calendar'!$X$1315&lt;=MAX(DATE(Summary!$C$12,12,31),Summary!$C$15))*('Dvd Calendar'!$X$1315&lt;=Summary!$C$11)=0,"",'Dvd Calendar'!$X$1315*1000000000+ISNUMBER('Dvd Calendar'!$X$1316)*100000000+('Dvd Calendar'!$X$1320='Field Check'!$C$25)*10000000+(N('Dvd Calendar'!$X$1314)&gt;0)*1000000+88*1000+20))</f>
        <v/>
      </c>
      <c r="W96" s="41">
        <f>IF(N('Dvd Calendar'!$Y$1315)=0,"",IF(('Dvd Calendar'!$Y$1315&gt;=MIN(DATE(Summary!$C$12,1,1),Summary!$C$11))*('Dvd Calendar'!$Y$1315&lt;=MAX(DATE(Summary!$C$12,12,31),Summary!$C$15))*('Dvd Calendar'!$Y$1315&lt;=Summary!$C$11)=0,"",'Dvd Calendar'!$Y$1315*1000000000+ISNUMBER('Dvd Calendar'!$Y$1316)*100000000+('Dvd Calendar'!$Y$1320='Field Check'!$C$25)*10000000+(N('Dvd Calendar'!$Y$1314)&gt;0)*1000000+88*1000+21))</f>
        <v/>
      </c>
      <c r="X96" s="41">
        <f>IF(N('Dvd Calendar'!$Z$1315)=0,"",IF(('Dvd Calendar'!$Z$1315&gt;=MIN(DATE(Summary!$C$12,1,1),Summary!$C$11))*('Dvd Calendar'!$Z$1315&lt;=MAX(DATE(Summary!$C$12,12,31),Summary!$C$15))*('Dvd Calendar'!$Z$1315&lt;=Summary!$C$11)=0,"",'Dvd Calendar'!$Z$1315*1000000000+ISNUMBER('Dvd Calendar'!$Z$1316)*100000000+('Dvd Calendar'!$Z$1320='Field Check'!$C$25)*10000000+(N('Dvd Calendar'!$Z$1314)&gt;0)*1000000+88*1000+22))</f>
        <v/>
      </c>
      <c r="Y96" s="41">
        <f>IF(N('Dvd Calendar'!$AA$1315)=0,"",IF(('Dvd Calendar'!$AA$1315&gt;=MIN(DATE(Summary!$C$12,1,1),Summary!$C$11))*('Dvd Calendar'!$AA$1315&lt;=MAX(DATE(Summary!$C$12,12,31),Summary!$C$15))*('Dvd Calendar'!$AA$1315&lt;=Summary!$C$11)=0,"",'Dvd Calendar'!$AA$1315*1000000000+ISNUMBER('Dvd Calendar'!$AA$1316)*100000000+('Dvd Calendar'!$AA$1320='Field Check'!$C$25)*10000000+(N('Dvd Calendar'!$AA$1314)&gt;0)*1000000+88*1000+23))</f>
        <v/>
      </c>
      <c r="Z96" s="41">
        <f>IF(N('Dvd Calendar'!$AB$1315)=0,"",IF(('Dvd Calendar'!$AB$1315&gt;=MIN(DATE(Summary!$C$12,1,1),Summary!$C$11))*('Dvd Calendar'!$AB$1315&lt;=MAX(DATE(Summary!$C$12,12,31),Summary!$C$15))*('Dvd Calendar'!$AB$1315&lt;=Summary!$C$11)=0,"",'Dvd Calendar'!$AB$1315*1000000000+ISNUMBER('Dvd Calendar'!$AB$1316)*100000000+('Dvd Calendar'!$AB$1320='Field Check'!$C$25)*10000000+(N('Dvd Calendar'!$AB$1314)&gt;0)*1000000+88*1000+24))</f>
        <v/>
      </c>
      <c r="AA96" s="41">
        <f>IF(N('Dvd Calendar'!$AC$1315)=0,"",IF(('Dvd Calendar'!$AC$1315&gt;=MIN(DATE(Summary!$C$12,1,1),Summary!$C$11))*('Dvd Calendar'!$AC$1315&lt;=MAX(DATE(Summary!$C$12,12,31),Summary!$C$15))*('Dvd Calendar'!$AC$1315&lt;=Summary!$C$11)=0,"",'Dvd Calendar'!$AC$1315*1000000000+ISNUMBER('Dvd Calendar'!$AC$1316)*100000000+('Dvd Calendar'!$AC$1320='Field Check'!$C$25)*10000000+(N('Dvd Calendar'!$AC$1314)&gt;0)*1000000+88*1000+25))</f>
        <v/>
      </c>
      <c r="AB96" s="41">
        <f>IF(N('Dvd Calendar'!$AD$1315)=0,"",IF(('Dvd Calendar'!$AD$1315&gt;=MIN(DATE(Summary!$C$12,1,1),Summary!$C$11))*('Dvd Calendar'!$AD$1315&lt;=MAX(DATE(Summary!$C$12,12,31),Summary!$C$15))*('Dvd Calendar'!$AD$1315&lt;=Summary!$C$11)=0,"",'Dvd Calendar'!$AD$1315*1000000000+ISNUMBER('Dvd Calendar'!$AD$1316)*100000000+('Dvd Calendar'!$AD$1320='Field Check'!$C$25)*10000000+(N('Dvd Calendar'!$AD$1314)&gt;0)*1000000+88*1000+26))</f>
        <v/>
      </c>
      <c r="AC96" s="41">
        <f>IF(N('Dvd Calendar'!$AE$1315)=0,"",IF(('Dvd Calendar'!$AE$1315&gt;=MIN(DATE(Summary!$C$12,1,1),Summary!$C$11))*('Dvd Calendar'!$AE$1315&lt;=MAX(DATE(Summary!$C$12,12,31),Summary!$C$15))*('Dvd Calendar'!$AE$1315&lt;=Summary!$C$11)=0,"",'Dvd Calendar'!$AE$1315*1000000000+ISNUMBER('Dvd Calendar'!$AE$1316)*100000000+('Dvd Calendar'!$AE$1320='Field Check'!$C$25)*10000000+(N('Dvd Calendar'!$AE$1314)&gt;0)*1000000+88*1000+27))</f>
        <v/>
      </c>
      <c r="AD96" s="41">
        <f>IF(N('Dvd Calendar'!$AF$1315)=0,"",IF(('Dvd Calendar'!$AF$1315&gt;=MIN(DATE(Summary!$C$12,1,1),Summary!$C$11))*('Dvd Calendar'!$AF$1315&lt;=MAX(DATE(Summary!$C$12,12,31),Summary!$C$15))*('Dvd Calendar'!$AF$1315&lt;=Summary!$C$11)=0,"",'Dvd Calendar'!$AF$1315*1000000000+ISNUMBER('Dvd Calendar'!$AF$1316)*100000000+('Dvd Calendar'!$AF$1320='Field Check'!$C$25)*10000000+(N('Dvd Calendar'!$AF$1314)&gt;0)*1000000+88*1000+28))</f>
        <v/>
      </c>
      <c r="AE96" s="41">
        <f>IF(N('Dvd Calendar'!$AG$1315)=0,"",IF(('Dvd Calendar'!$AG$1315&gt;=MIN(DATE(Summary!$C$12,1,1),Summary!$C$11))*('Dvd Calendar'!$AG$1315&lt;=MAX(DATE(Summary!$C$12,12,31),Summary!$C$15))*('Dvd Calendar'!$AG$1315&lt;=Summary!$C$11)=0,"",'Dvd Calendar'!$AG$1315*1000000000+ISNUMBER('Dvd Calendar'!$AG$1316)*100000000+('Dvd Calendar'!$AG$1320='Field Check'!$C$25)*10000000+(N('Dvd Calendar'!$AG$1314)&gt;0)*1000000+88*1000+29))</f>
        <v/>
      </c>
      <c r="AF96" s="41">
        <f>IF(N('Dvd Calendar'!$AH$1315)=0,"",IF(('Dvd Calendar'!$AH$1315&gt;=MIN(DATE(Summary!$C$12,1,1),Summary!$C$11))*('Dvd Calendar'!$AH$1315&lt;=MAX(DATE(Summary!$C$12,12,31),Summary!$C$15))*('Dvd Calendar'!$AH$1315&lt;=Summary!$C$11)=0,"",'Dvd Calendar'!$AH$1315*1000000000+ISNUMBER('Dvd Calendar'!$AH$1316)*100000000+('Dvd Calendar'!$AH$1320='Field Check'!$C$25)*10000000+(N('Dvd Calendar'!$AH$1314)&gt;0)*1000000+88*1000+30))</f>
        <v/>
      </c>
      <c r="AG96" s="41">
        <f>IF(N('Dvd Calendar'!$AI$1315)=0,"",IF(('Dvd Calendar'!$AI$1315&gt;=MIN(DATE(Summary!$C$12,1,1),Summary!$C$11))*('Dvd Calendar'!$AI$1315&lt;=MAX(DATE(Summary!$C$12,12,31),Summary!$C$15))*('Dvd Calendar'!$AI$1315&lt;=Summary!$C$11)=0,"",'Dvd Calendar'!$AI$1315*1000000000+ISNUMBER('Dvd Calendar'!$AI$1316)*100000000+('Dvd Calendar'!$AI$1320='Field Check'!$C$25)*10000000+(N('Dvd Calendar'!$AI$1314)&gt;0)*1000000+88*1000+31))</f>
        <v/>
      </c>
      <c r="AH96" s="41">
        <f>IF(N('Dvd Calendar'!$AJ$1315)=0,"",IF(('Dvd Calendar'!$AJ$1315&gt;=MIN(DATE(Summary!$C$12,1,1),Summary!$C$11))*('Dvd Calendar'!$AJ$1315&lt;=MAX(DATE(Summary!$C$12,12,31),Summary!$C$15))*('Dvd Calendar'!$AJ$1315&lt;=Summary!$C$11)=0,"",'Dvd Calendar'!$AJ$1315*1000000000+ISNUMBER('Dvd Calendar'!$AJ$1316)*100000000+('Dvd Calendar'!$AJ$1320='Field Check'!$C$25)*10000000+(N('Dvd Calendar'!$AJ$1314)&gt;0)*1000000+88*1000+32))</f>
        <v/>
      </c>
      <c r="AI96" s="41">
        <f>IF(N('Dvd Calendar'!$AK$1315)=0,"",IF(('Dvd Calendar'!$AK$1315&gt;=MIN(DATE(Summary!$C$12,1,1),Summary!$C$11))*('Dvd Calendar'!$AK$1315&lt;=MAX(DATE(Summary!$C$12,12,31),Summary!$C$15))*('Dvd Calendar'!$AK$1315&lt;=Summary!$C$11)=0,"",'Dvd Calendar'!$AK$1315*1000000000+ISNUMBER('Dvd Calendar'!$AK$1316)*100000000+('Dvd Calendar'!$AK$1320='Field Check'!$C$25)*10000000+(N('Dvd Calendar'!$AK$1314)&gt;0)*1000000+88*1000+33))</f>
        <v/>
      </c>
      <c r="AJ96" s="41">
        <f>IF(N('Dvd Calendar'!$AL$1315)=0,"",IF(('Dvd Calendar'!$AL$1315&gt;=MIN(DATE(Summary!$C$12,1,1),Summary!$C$11))*('Dvd Calendar'!$AL$1315&lt;=MAX(DATE(Summary!$C$12,12,31),Summary!$C$15))*('Dvd Calendar'!$AL$1315&lt;=Summary!$C$11)=0,"",'Dvd Calendar'!$AL$1315*1000000000+ISNUMBER('Dvd Calendar'!$AL$1316)*100000000+('Dvd Calendar'!$AL$1320='Field Check'!$C$25)*10000000+(N('Dvd Calendar'!$AL$1314)&gt;0)*1000000+88*1000+34))</f>
        <v/>
      </c>
      <c r="AK96" s="41">
        <f>IF(N('Dvd Calendar'!$AM$1315)=0,"",IF(('Dvd Calendar'!$AM$1315&gt;=MIN(DATE(Summary!$C$12,1,1),Summary!$C$11))*('Dvd Calendar'!$AM$1315&lt;=MAX(DATE(Summary!$C$12,12,31),Summary!$C$15))*('Dvd Calendar'!$AM$1315&lt;=Summary!$C$11)=0,"",'Dvd Calendar'!$AM$1315*1000000000+ISNUMBER('Dvd Calendar'!$AM$1316)*100000000+('Dvd Calendar'!$AM$1320='Field Check'!$C$25)*10000000+(N('Dvd Calendar'!$AM$1314)&gt;0)*1000000+88*1000+35))</f>
        <v/>
      </c>
      <c r="AL96" s="41">
        <f>IF(N('Dvd Calendar'!$AN$1315)=0,"",IF(('Dvd Calendar'!$AN$1315&gt;=MIN(DATE(Summary!$C$12,1,1),Summary!$C$11))*('Dvd Calendar'!$AN$1315&lt;=MAX(DATE(Summary!$C$12,12,31),Summary!$C$15))*('Dvd Calendar'!$AN$1315&lt;=Summary!$C$11)=0,"",'Dvd Calendar'!$AN$1315*1000000000+ISNUMBER('Dvd Calendar'!$AN$1316)*100000000+('Dvd Calendar'!$AN$1320='Field Check'!$C$25)*10000000+(N('Dvd Calendar'!$AN$1314)&gt;0)*1000000+88*1000+36))</f>
        <v/>
      </c>
      <c r="AM96" s="41">
        <f>IF(N('Dvd Calendar'!$AO$1315)=0,"",IF(('Dvd Calendar'!$AO$1315&gt;=MIN(DATE(Summary!$C$12,1,1),Summary!$C$11))*('Dvd Calendar'!$AO$1315&lt;=MAX(DATE(Summary!$C$12,12,31),Summary!$C$15))*('Dvd Calendar'!$AO$1315&lt;=Summary!$C$11)=0,"",'Dvd Calendar'!$AO$1315*1000000000+ISNUMBER('Dvd Calendar'!$AO$1316)*100000000+('Dvd Calendar'!$AO$1320='Field Check'!$C$25)*10000000+(N('Dvd Calendar'!$AO$1314)&gt;0)*1000000+88*1000+37))</f>
        <v/>
      </c>
      <c r="AN96" s="41">
        <f>IF(N('Dvd Calendar'!$AP$1315)=0,"",IF(('Dvd Calendar'!$AP$1315&gt;=MIN(DATE(Summary!$C$12,1,1),Summary!$C$11))*('Dvd Calendar'!$AP$1315&lt;=MAX(DATE(Summary!$C$12,12,31),Summary!$C$15))*('Dvd Calendar'!$AP$1315&lt;=Summary!$C$11)=0,"",'Dvd Calendar'!$AP$1315*1000000000+ISNUMBER('Dvd Calendar'!$AP$1316)*100000000+('Dvd Calendar'!$AP$1320='Field Check'!$C$25)*10000000+(N('Dvd Calendar'!$AP$1314)&gt;0)*1000000+88*1000+38))</f>
        <v/>
      </c>
      <c r="AO96" s="41">
        <f>IF(N('Dvd Calendar'!$AQ$1315)=0,"",IF(('Dvd Calendar'!$AQ$1315&gt;=MIN(DATE(Summary!$C$12,1,1),Summary!$C$11))*('Dvd Calendar'!$AQ$1315&lt;=MAX(DATE(Summary!$C$12,12,31),Summary!$C$15))*('Dvd Calendar'!$AQ$1315&lt;=Summary!$C$11)=0,"",'Dvd Calendar'!$AQ$1315*1000000000+ISNUMBER('Dvd Calendar'!$AQ$1316)*100000000+('Dvd Calendar'!$AQ$1320='Field Check'!$C$25)*10000000+(N('Dvd Calendar'!$AQ$1314)&gt;0)*1000000+88*1000+39))</f>
        <v/>
      </c>
      <c r="AP96" s="41">
        <f>IF(N('Dvd Calendar'!$AR$1315)=0,"",IF(('Dvd Calendar'!$AR$1315&gt;=MIN(DATE(Summary!$C$12,1,1),Summary!$C$11))*('Dvd Calendar'!$AR$1315&lt;=MAX(DATE(Summary!$C$12,12,31),Summary!$C$15))*('Dvd Calendar'!$AR$1315&lt;=Summary!$C$11)=0,"",'Dvd Calendar'!$AR$1315*1000000000+ISNUMBER('Dvd Calendar'!$AR$1316)*100000000+('Dvd Calendar'!$AR$1320='Field Check'!$C$25)*10000000+(N('Dvd Calendar'!$AR$1314)&gt;0)*1000000+88*1000+40))</f>
        <v/>
      </c>
      <c r="AQ96" s="41">
        <f>IF(N('Dvd Calendar'!$E$1322)=0,"",IF(('Dvd Calendar'!$E$1322&gt;=MIN(DATE(Summary!$C$12,1,1),Summary!$C$11))*('Dvd Calendar'!$E$1322&lt;=MAX(DATE(Summary!$C$12,12,31),Summary!$C$15))*('Dvd Calendar'!$E$1322&gt;Summary!$C$11)=0,"",'Dvd Calendar'!$E$1322*1000000000+ISNUMBER('Dvd Calendar'!$E$1323)*100000000+('Dvd Calendar'!$E$1327='Field Check'!$C$25)*10000000+(N('Dvd Calendar'!$E$1321)&gt;0)*1000000+88*1000+41))</f>
        <v/>
      </c>
      <c r="AR96" s="41">
        <f>IF(N('Dvd Calendar'!$F$1322)=0,"",IF(('Dvd Calendar'!$F$1322&gt;=MIN(DATE(Summary!$C$12,1,1),Summary!$C$11))*('Dvd Calendar'!$F$1322&lt;=MAX(DATE(Summary!$C$12,12,31),Summary!$C$15))*('Dvd Calendar'!$F$1322&gt;Summary!$C$11)=0,"",'Dvd Calendar'!$F$1322*1000000000+ISNUMBER('Dvd Calendar'!$F$1323)*100000000+('Dvd Calendar'!$F$1327='Field Check'!$C$25)*10000000+(N('Dvd Calendar'!$F$1321)&gt;0)*1000000+88*1000+42))</f>
        <v/>
      </c>
      <c r="AS96" s="41">
        <f>IF(N('Dvd Calendar'!$G$1322)=0,"",IF(('Dvd Calendar'!$G$1322&gt;=MIN(DATE(Summary!$C$12,1,1),Summary!$C$11))*('Dvd Calendar'!$G$1322&lt;=MAX(DATE(Summary!$C$12,12,31),Summary!$C$15))*('Dvd Calendar'!$G$1322&gt;Summary!$C$11)=0,"",'Dvd Calendar'!$G$1322*1000000000+ISNUMBER('Dvd Calendar'!$G$1323)*100000000+('Dvd Calendar'!$G$1327='Field Check'!$C$25)*10000000+(N('Dvd Calendar'!$G$1321)&gt;0)*1000000+88*1000+43))</f>
        <v/>
      </c>
      <c r="AT96" s="41">
        <f>IF(N('Dvd Calendar'!$H$1322)=0,"",IF(('Dvd Calendar'!$H$1322&gt;=MIN(DATE(Summary!$C$12,1,1),Summary!$C$11))*('Dvd Calendar'!$H$1322&lt;=MAX(DATE(Summary!$C$12,12,31),Summary!$C$15))*('Dvd Calendar'!$H$1322&gt;Summary!$C$11)=0,"",'Dvd Calendar'!$H$1322*1000000000+ISNUMBER('Dvd Calendar'!$H$1323)*100000000+('Dvd Calendar'!$H$1327='Field Check'!$C$25)*10000000+(N('Dvd Calendar'!$H$1321)&gt;0)*1000000+88*1000+44))</f>
        <v/>
      </c>
      <c r="AU96" s="41">
        <f>IF(N('Dvd Calendar'!$I$1322)=0,"",IF(('Dvd Calendar'!$I$1322&gt;=MIN(DATE(Summary!$C$12,1,1),Summary!$C$11))*('Dvd Calendar'!$I$1322&lt;=MAX(DATE(Summary!$C$12,12,31),Summary!$C$15))*('Dvd Calendar'!$I$1322&gt;Summary!$C$11)=0,"",'Dvd Calendar'!$I$1322*1000000000+ISNUMBER('Dvd Calendar'!$I$1323)*100000000+('Dvd Calendar'!$I$1327='Field Check'!$C$25)*10000000+(N('Dvd Calendar'!$I$1321)&gt;0)*1000000+88*1000+45))</f>
        <v/>
      </c>
      <c r="AV96" s="41">
        <f>IF(N('Dvd Calendar'!$J$1322)=0,"",IF(('Dvd Calendar'!$J$1322&gt;=MIN(DATE(Summary!$C$12,1,1),Summary!$C$11))*('Dvd Calendar'!$J$1322&lt;=MAX(DATE(Summary!$C$12,12,31),Summary!$C$15))*('Dvd Calendar'!$J$1322&gt;Summary!$C$11)=0,"",'Dvd Calendar'!$J$1322*1000000000+ISNUMBER('Dvd Calendar'!$J$1323)*100000000+('Dvd Calendar'!$J$1327='Field Check'!$C$25)*10000000+(N('Dvd Calendar'!$J$1321)&gt;0)*1000000+88*1000+46))</f>
        <v/>
      </c>
      <c r="AW96" s="41">
        <f>IF(N('Dvd Calendar'!$K$1322)=0,"",IF(('Dvd Calendar'!$K$1322&gt;=MIN(DATE(Summary!$C$12,1,1),Summary!$C$11))*('Dvd Calendar'!$K$1322&lt;=MAX(DATE(Summary!$C$12,12,31),Summary!$C$15))*('Dvd Calendar'!$K$1322&gt;Summary!$C$11)=0,"",'Dvd Calendar'!$K$1322*1000000000+ISNUMBER('Dvd Calendar'!$K$1323)*100000000+('Dvd Calendar'!$K$1327='Field Check'!$C$25)*10000000+(N('Dvd Calendar'!$K$1321)&gt;0)*1000000+88*1000+47))</f>
        <v/>
      </c>
      <c r="AX96" s="41">
        <f>IF(N('Dvd Calendar'!$L$1322)=0,"",IF(('Dvd Calendar'!$L$1322&gt;=MIN(DATE(Summary!$C$12,1,1),Summary!$C$11))*('Dvd Calendar'!$L$1322&lt;=MAX(DATE(Summary!$C$12,12,31),Summary!$C$15))*('Dvd Calendar'!$L$1322&gt;Summary!$C$11)=0,"",'Dvd Calendar'!$L$1322*1000000000+ISNUMBER('Dvd Calendar'!$L$1323)*100000000+('Dvd Calendar'!$L$1327='Field Check'!$C$25)*10000000+(N('Dvd Calendar'!$L$1321)&gt;0)*1000000+88*1000+48))</f>
        <v/>
      </c>
      <c r="AY96" s="41">
        <f>IF(N('Dvd Calendar'!$M$1322)=0,"",IF(('Dvd Calendar'!$M$1322&gt;=MIN(DATE(Summary!$C$12,1,1),Summary!$C$11))*('Dvd Calendar'!$M$1322&lt;=MAX(DATE(Summary!$C$12,12,31),Summary!$C$15))*('Dvd Calendar'!$M$1322&gt;Summary!$C$11)=0,"",'Dvd Calendar'!$M$1322*1000000000+ISNUMBER('Dvd Calendar'!$M$1323)*100000000+('Dvd Calendar'!$M$1327='Field Check'!$C$25)*10000000+(N('Dvd Calendar'!$M$1321)&gt;0)*1000000+88*1000+49))</f>
        <v/>
      </c>
      <c r="AZ96" s="41">
        <f>IF(N('Dvd Calendar'!$N$1322)=0,"",IF(('Dvd Calendar'!$N$1322&gt;=MIN(DATE(Summary!$C$12,1,1),Summary!$C$11))*('Dvd Calendar'!$N$1322&lt;=MAX(DATE(Summary!$C$12,12,31),Summary!$C$15))*('Dvd Calendar'!$N$1322&gt;Summary!$C$11)=0,"",'Dvd Calendar'!$N$1322*1000000000+ISNUMBER('Dvd Calendar'!$N$1323)*100000000+('Dvd Calendar'!$N$1327='Field Check'!$C$25)*10000000+(N('Dvd Calendar'!$N$1321)&gt;0)*1000000+88*1000+50))</f>
        <v/>
      </c>
      <c r="BA96" s="41">
        <f>IF(N('Dvd Calendar'!$O$1322)=0,"",IF(('Dvd Calendar'!$O$1322&gt;=MIN(DATE(Summary!$C$12,1,1),Summary!$C$11))*('Dvd Calendar'!$O$1322&lt;=MAX(DATE(Summary!$C$12,12,31),Summary!$C$15))*('Dvd Calendar'!$O$1322&gt;Summary!$C$11)=0,"",'Dvd Calendar'!$O$1322*1000000000+ISNUMBER('Dvd Calendar'!$O$1323)*100000000+('Dvd Calendar'!$O$1327='Field Check'!$C$25)*10000000+(N('Dvd Calendar'!$O$1321)&gt;0)*1000000+88*1000+51))</f>
        <v/>
      </c>
      <c r="BB96" s="41">
        <f>IF(N('Dvd Calendar'!$P$1322)=0,"",IF(('Dvd Calendar'!$P$1322&gt;=MIN(DATE(Summary!$C$12,1,1),Summary!$C$11))*('Dvd Calendar'!$P$1322&lt;=MAX(DATE(Summary!$C$12,12,31),Summary!$C$15))*('Dvd Calendar'!$P$1322&gt;Summary!$C$11)=0,"",'Dvd Calendar'!$P$1322*1000000000+ISNUMBER('Dvd Calendar'!$P$1323)*100000000+('Dvd Calendar'!$P$1327='Field Check'!$C$25)*10000000+(N('Dvd Calendar'!$P$1321)&gt;0)*1000000+88*1000+52))</f>
        <v/>
      </c>
      <c r="BC96" s="41">
        <f>IF(N('Dvd Calendar'!$Q$1322)=0,"",IF(('Dvd Calendar'!$Q$1322&gt;=MIN(DATE(Summary!$C$12,1,1),Summary!$C$11))*('Dvd Calendar'!$Q$1322&lt;=MAX(DATE(Summary!$C$12,12,31),Summary!$C$15))*('Dvd Calendar'!$Q$1322&gt;Summary!$C$11)=0,"",'Dvd Calendar'!$Q$1322*1000000000+ISNUMBER('Dvd Calendar'!$Q$1323)*100000000+('Dvd Calendar'!$Q$1327='Field Check'!$C$25)*10000000+(N('Dvd Calendar'!$Q$1321)&gt;0)*1000000+88*1000+53))</f>
        <v/>
      </c>
      <c r="BD96" s="41">
        <f>IF(N('Dvd Calendar'!$R$1322)=0,"",IF(('Dvd Calendar'!$R$1322&gt;=MIN(DATE(Summary!$C$12,1,1),Summary!$C$11))*('Dvd Calendar'!$R$1322&lt;=MAX(DATE(Summary!$C$12,12,31),Summary!$C$15))*('Dvd Calendar'!$R$1322&gt;Summary!$C$11)=0,"",'Dvd Calendar'!$R$1322*1000000000+ISNUMBER('Dvd Calendar'!$R$1323)*100000000+('Dvd Calendar'!$R$1327='Field Check'!$C$25)*10000000+(N('Dvd Calendar'!$R$1321)&gt;0)*1000000+88*1000+54))</f>
        <v/>
      </c>
      <c r="BE96" s="41">
        <f>IF(N('Dvd Calendar'!$S$1322)=0,"",IF(('Dvd Calendar'!$S$1322&gt;=MIN(DATE(Summary!$C$12,1,1),Summary!$C$11))*('Dvd Calendar'!$S$1322&lt;=MAX(DATE(Summary!$C$12,12,31),Summary!$C$15))*('Dvd Calendar'!$S$1322&gt;Summary!$C$11)=0,"",'Dvd Calendar'!$S$1322*1000000000+ISNUMBER('Dvd Calendar'!$S$1323)*100000000+('Dvd Calendar'!$S$1327='Field Check'!$C$25)*10000000+(N('Dvd Calendar'!$S$1321)&gt;0)*1000000+88*1000+55))</f>
        <v/>
      </c>
      <c r="BF96" s="41">
        <f>IF(N('Dvd Calendar'!$T$1322)=0,"",IF(('Dvd Calendar'!$T$1322&gt;=MIN(DATE(Summary!$C$12,1,1),Summary!$C$11))*('Dvd Calendar'!$T$1322&lt;=MAX(DATE(Summary!$C$12,12,31),Summary!$C$15))*('Dvd Calendar'!$T$1322&gt;Summary!$C$11)=0,"",'Dvd Calendar'!$T$1322*1000000000+ISNUMBER('Dvd Calendar'!$T$1323)*100000000+('Dvd Calendar'!$T$1327='Field Check'!$C$25)*10000000+(N('Dvd Calendar'!$T$1321)&gt;0)*1000000+88*1000+56))</f>
        <v/>
      </c>
      <c r="BG96" s="41">
        <f>IF(N('Dvd Calendar'!$U$1322)=0,"",IF(('Dvd Calendar'!$U$1322&gt;=MIN(DATE(Summary!$C$12,1,1),Summary!$C$11))*('Dvd Calendar'!$U$1322&lt;=MAX(DATE(Summary!$C$12,12,31),Summary!$C$15))*('Dvd Calendar'!$U$1322&gt;Summary!$C$11)=0,"",'Dvd Calendar'!$U$1322*1000000000+ISNUMBER('Dvd Calendar'!$U$1323)*100000000+('Dvd Calendar'!$U$1327='Field Check'!$C$25)*10000000+(N('Dvd Calendar'!$U$1321)&gt;0)*1000000+88*1000+57))</f>
        <v/>
      </c>
      <c r="BH96" s="41">
        <f>IF(N('Dvd Calendar'!$V$1322)=0,"",IF(('Dvd Calendar'!$V$1322&gt;=MIN(DATE(Summary!$C$12,1,1),Summary!$C$11))*('Dvd Calendar'!$V$1322&lt;=MAX(DATE(Summary!$C$12,12,31),Summary!$C$15))*('Dvd Calendar'!$V$1322&gt;Summary!$C$11)=0,"",'Dvd Calendar'!$V$1322*1000000000+ISNUMBER('Dvd Calendar'!$V$1323)*100000000+('Dvd Calendar'!$V$1327='Field Check'!$C$25)*10000000+(N('Dvd Calendar'!$V$1321)&gt;0)*1000000+88*1000+58))</f>
        <v/>
      </c>
      <c r="BI96" s="41">
        <f>IF(N('Dvd Calendar'!$W$1322)=0,"",IF(('Dvd Calendar'!$W$1322&gt;=MIN(DATE(Summary!$C$12,1,1),Summary!$C$11))*('Dvd Calendar'!$W$1322&lt;=MAX(DATE(Summary!$C$12,12,31),Summary!$C$15))*('Dvd Calendar'!$W$1322&gt;Summary!$C$11)=0,"",'Dvd Calendar'!$W$1322*1000000000+ISNUMBER('Dvd Calendar'!$W$1323)*100000000+('Dvd Calendar'!$W$1327='Field Check'!$C$25)*10000000+(N('Dvd Calendar'!$W$1321)&gt;0)*1000000+88*1000+59))</f>
        <v/>
      </c>
      <c r="BJ96" s="41">
        <f>IF(N('Dvd Calendar'!$X$1322)=0,"",IF(('Dvd Calendar'!$X$1322&gt;=MIN(DATE(Summary!$C$12,1,1),Summary!$C$11))*('Dvd Calendar'!$X$1322&lt;=MAX(DATE(Summary!$C$12,12,31),Summary!$C$15))*('Dvd Calendar'!$X$1322&gt;Summary!$C$11)=0,"",'Dvd Calendar'!$X$1322*1000000000+ISNUMBER('Dvd Calendar'!$X$1323)*100000000+('Dvd Calendar'!$X$1327='Field Check'!$C$25)*10000000+(N('Dvd Calendar'!$X$1321)&gt;0)*1000000+88*1000+60))</f>
        <v/>
      </c>
      <c r="BK96" s="41">
        <f>IF(N('Dvd Calendar'!$Y$1322)=0,"",IF(('Dvd Calendar'!$Y$1322&gt;=MIN(DATE(Summary!$C$12,1,1),Summary!$C$11))*('Dvd Calendar'!$Y$1322&lt;=MAX(DATE(Summary!$C$12,12,31),Summary!$C$15))*('Dvd Calendar'!$Y$1322&gt;Summary!$C$11)=0,"",'Dvd Calendar'!$Y$1322*1000000000+ISNUMBER('Dvd Calendar'!$Y$1323)*100000000+('Dvd Calendar'!$Y$1327='Field Check'!$C$25)*10000000+(N('Dvd Calendar'!$Y$1321)&gt;0)*1000000+88*1000+61))</f>
        <v/>
      </c>
      <c r="BL96" s="41">
        <f>IF(N('Dvd Calendar'!$Z$1322)=0,"",IF(('Dvd Calendar'!$Z$1322&gt;=MIN(DATE(Summary!$C$12,1,1),Summary!$C$11))*('Dvd Calendar'!$Z$1322&lt;=MAX(DATE(Summary!$C$12,12,31),Summary!$C$15))*('Dvd Calendar'!$Z$1322&gt;Summary!$C$11)=0,"",'Dvd Calendar'!$Z$1322*1000000000+ISNUMBER('Dvd Calendar'!$Z$1323)*100000000+('Dvd Calendar'!$Z$1327='Field Check'!$C$25)*10000000+(N('Dvd Calendar'!$Z$1321)&gt;0)*1000000+88*1000+62))</f>
        <v/>
      </c>
      <c r="BM96" s="41">
        <f>IF(N('Dvd Calendar'!$AA$1322)=0,"",IF(('Dvd Calendar'!$AA$1322&gt;=MIN(DATE(Summary!$C$12,1,1),Summary!$C$11))*('Dvd Calendar'!$AA$1322&lt;=MAX(DATE(Summary!$C$12,12,31),Summary!$C$15))*('Dvd Calendar'!$AA$1322&gt;Summary!$C$11)=0,"",'Dvd Calendar'!$AA$1322*1000000000+ISNUMBER('Dvd Calendar'!$AA$1323)*100000000+('Dvd Calendar'!$AA$1327='Field Check'!$C$25)*10000000+(N('Dvd Calendar'!$AA$1321)&gt;0)*1000000+88*1000+63))</f>
        <v/>
      </c>
      <c r="BN96" s="41">
        <f>IF(N('Dvd Calendar'!$AB$1322)=0,"",IF(('Dvd Calendar'!$AB$1322&gt;=MIN(DATE(Summary!$C$12,1,1),Summary!$C$11))*('Dvd Calendar'!$AB$1322&lt;=MAX(DATE(Summary!$C$12,12,31),Summary!$C$15))*('Dvd Calendar'!$AB$1322&gt;Summary!$C$11)=0,"",'Dvd Calendar'!$AB$1322*1000000000+ISNUMBER('Dvd Calendar'!$AB$1323)*100000000+('Dvd Calendar'!$AB$1327='Field Check'!$C$25)*10000000+(N('Dvd Calendar'!$AB$1321)&gt;0)*1000000+88*1000+64))</f>
        <v/>
      </c>
      <c r="BO96" s="41">
        <f>IF(N('Dvd Calendar'!$AC$1322)=0,"",IF(('Dvd Calendar'!$AC$1322&gt;=MIN(DATE(Summary!$C$12,1,1),Summary!$C$11))*('Dvd Calendar'!$AC$1322&lt;=MAX(DATE(Summary!$C$12,12,31),Summary!$C$15))*('Dvd Calendar'!$AC$1322&gt;Summary!$C$11)=0,"",'Dvd Calendar'!$AC$1322*1000000000+ISNUMBER('Dvd Calendar'!$AC$1323)*100000000+('Dvd Calendar'!$AC$1327='Field Check'!$C$25)*10000000+(N('Dvd Calendar'!$AC$1321)&gt;0)*1000000+88*1000+65))</f>
        <v/>
      </c>
      <c r="BQ96" s="85">
        <f>IF(C96="","",IF(ISNUMBER('Dvd Calendar'!$E$1316)=FALSE,"",IF((Summary!$C$13="N")*('Dvd Calendar'!$E$1320='Field Check'!$C$25)&gt;0,"",'Dvd Calendar'!$E$1316)))</f>
        <v/>
      </c>
      <c r="BR96" s="85">
        <f>IF(D96="","",IF(ISNUMBER('Dvd Calendar'!$F$1316)=FALSE,"",IF((Summary!$C$13="N")*('Dvd Calendar'!$F$1320='Field Check'!$C$25)&gt;0,"",'Dvd Calendar'!$F$1316)))</f>
        <v/>
      </c>
      <c r="BS96" s="85">
        <f>IF(E96="","",IF(ISNUMBER('Dvd Calendar'!$G$1316)=FALSE,"",IF((Summary!$C$13="N")*('Dvd Calendar'!$G$1320='Field Check'!$C$25)&gt;0,"",'Dvd Calendar'!$G$1316)))</f>
        <v/>
      </c>
      <c r="BT96" s="85">
        <f>IF(F96="","",IF(ISNUMBER('Dvd Calendar'!$H$1316)=FALSE,"",IF((Summary!$C$13="N")*('Dvd Calendar'!$H$1320='Field Check'!$C$25)&gt;0,"",'Dvd Calendar'!$H$1316)))</f>
        <v/>
      </c>
      <c r="BU96" s="85">
        <f>IF(G96="","",IF(ISNUMBER('Dvd Calendar'!$I$1316)=FALSE,"",IF((Summary!$C$13="N")*('Dvd Calendar'!$I$1320='Field Check'!$C$25)&gt;0,"",'Dvd Calendar'!$I$1316)))</f>
        <v/>
      </c>
      <c r="BV96" s="85">
        <f>IF(H96="","",IF(ISNUMBER('Dvd Calendar'!$J$1316)=FALSE,"",IF((Summary!$C$13="N")*('Dvd Calendar'!$J$1320='Field Check'!$C$25)&gt;0,"",'Dvd Calendar'!$J$1316)))</f>
        <v/>
      </c>
      <c r="BW96" s="85">
        <f>IF(I96="","",IF(ISNUMBER('Dvd Calendar'!$K$1316)=FALSE,"",IF((Summary!$C$13="N")*('Dvd Calendar'!$K$1320='Field Check'!$C$25)&gt;0,"",'Dvd Calendar'!$K$1316)))</f>
        <v/>
      </c>
      <c r="BX96" s="85">
        <f>IF(J96="","",IF(ISNUMBER('Dvd Calendar'!$L$1316)=FALSE,"",IF((Summary!$C$13="N")*('Dvd Calendar'!$L$1320='Field Check'!$C$25)&gt;0,"",'Dvd Calendar'!$L$1316)))</f>
        <v/>
      </c>
      <c r="BY96" s="85">
        <f>IF(K96="","",IF(ISNUMBER('Dvd Calendar'!$M$1316)=FALSE,"",IF((Summary!$C$13="N")*('Dvd Calendar'!$M$1320='Field Check'!$C$25)&gt;0,"",'Dvd Calendar'!$M$1316)))</f>
        <v/>
      </c>
      <c r="BZ96" s="85">
        <f>IF(L96="","",IF(ISNUMBER('Dvd Calendar'!$N$1316)=FALSE,"",IF((Summary!$C$13="N")*('Dvd Calendar'!$N$1320='Field Check'!$C$25)&gt;0,"",'Dvd Calendar'!$N$1316)))</f>
        <v/>
      </c>
      <c r="CA96" s="85">
        <f>IF(M96="","",IF(ISNUMBER('Dvd Calendar'!$O$1316)=FALSE,"",IF((Summary!$C$13="N")*('Dvd Calendar'!$O$1320='Field Check'!$C$25)&gt;0,"",'Dvd Calendar'!$O$1316)))</f>
        <v/>
      </c>
      <c r="CB96" s="85">
        <f>IF(N96="","",IF(ISNUMBER('Dvd Calendar'!$P$1316)=FALSE,"",IF((Summary!$C$13="N")*('Dvd Calendar'!$P$1320='Field Check'!$C$25)&gt;0,"",'Dvd Calendar'!$P$1316)))</f>
        <v/>
      </c>
      <c r="CC96" s="85">
        <f>IF(O96="","",IF(ISNUMBER('Dvd Calendar'!$Q$1316)=FALSE,"",IF((Summary!$C$13="N")*('Dvd Calendar'!$Q$1320='Field Check'!$C$25)&gt;0,"",'Dvd Calendar'!$Q$1316)))</f>
        <v/>
      </c>
      <c r="CD96" s="85">
        <f>IF(P96="","",IF(ISNUMBER('Dvd Calendar'!$R$1316)=FALSE,"",IF((Summary!$C$13="N")*('Dvd Calendar'!$R$1320='Field Check'!$C$25)&gt;0,"",'Dvd Calendar'!$R$1316)))</f>
        <v/>
      </c>
      <c r="CE96" s="85">
        <f>IF(Q96="","",IF(ISNUMBER('Dvd Calendar'!$S$1316)=FALSE,"",IF((Summary!$C$13="N")*('Dvd Calendar'!$S$1320='Field Check'!$C$25)&gt;0,"",'Dvd Calendar'!$S$1316)))</f>
        <v/>
      </c>
      <c r="CF96" s="85">
        <f>IF(R96="","",IF(ISNUMBER('Dvd Calendar'!$T$1316)=FALSE,"",IF((Summary!$C$13="N")*('Dvd Calendar'!$T$1320='Field Check'!$C$25)&gt;0,"",'Dvd Calendar'!$T$1316)))</f>
        <v/>
      </c>
      <c r="CG96" s="85">
        <f>IF(S96="","",IF(ISNUMBER('Dvd Calendar'!$U$1316)=FALSE,"",IF((Summary!$C$13="N")*('Dvd Calendar'!$U$1320='Field Check'!$C$25)&gt;0,"",'Dvd Calendar'!$U$1316)))</f>
        <v/>
      </c>
      <c r="CH96" s="85">
        <f>IF(T96="","",IF(ISNUMBER('Dvd Calendar'!$V$1316)=FALSE,"",IF((Summary!$C$13="N")*('Dvd Calendar'!$V$1320='Field Check'!$C$25)&gt;0,"",'Dvd Calendar'!$V$1316)))</f>
        <v/>
      </c>
      <c r="CI96" s="85">
        <f>IF(U96="","",IF(ISNUMBER('Dvd Calendar'!$W$1316)=FALSE,"",IF((Summary!$C$13="N")*('Dvd Calendar'!$W$1320='Field Check'!$C$25)&gt;0,"",'Dvd Calendar'!$W$1316)))</f>
        <v/>
      </c>
      <c r="CJ96" s="85">
        <f>IF(V96="","",IF(ISNUMBER('Dvd Calendar'!$X$1316)=FALSE,"",IF((Summary!$C$13="N")*('Dvd Calendar'!$X$1320='Field Check'!$C$25)&gt;0,"",'Dvd Calendar'!$X$1316)))</f>
        <v/>
      </c>
      <c r="CK96" s="85">
        <f>IF(W96="","",IF(ISNUMBER('Dvd Calendar'!$Y$1316)=FALSE,"",IF((Summary!$C$13="N")*('Dvd Calendar'!$Y$1320='Field Check'!$C$25)&gt;0,"",'Dvd Calendar'!$Y$1316)))</f>
        <v/>
      </c>
      <c r="CL96" s="85">
        <f>IF(X96="","",IF(ISNUMBER('Dvd Calendar'!$Z$1316)=FALSE,"",IF((Summary!$C$13="N")*('Dvd Calendar'!$Z$1320='Field Check'!$C$25)&gt;0,"",'Dvd Calendar'!$Z$1316)))</f>
        <v/>
      </c>
      <c r="CM96" s="85">
        <f>IF(Y96="","",IF(ISNUMBER('Dvd Calendar'!$AA$1316)=FALSE,"",IF((Summary!$C$13="N")*('Dvd Calendar'!$AA$1320='Field Check'!$C$25)&gt;0,"",'Dvd Calendar'!$AA$1316)))</f>
        <v/>
      </c>
      <c r="CN96" s="85">
        <f>IF(Z96="","",IF(ISNUMBER('Dvd Calendar'!$AB$1316)=FALSE,"",IF((Summary!$C$13="N")*('Dvd Calendar'!$AB$1320='Field Check'!$C$25)&gt;0,"",'Dvd Calendar'!$AB$1316)))</f>
        <v/>
      </c>
      <c r="CO96" s="85">
        <f>IF(AA96="","",IF(ISNUMBER('Dvd Calendar'!$AC$1316)=FALSE,"",IF((Summary!$C$13="N")*('Dvd Calendar'!$AC$1320='Field Check'!$C$25)&gt;0,"",'Dvd Calendar'!$AC$1316)))</f>
        <v/>
      </c>
      <c r="CP96" s="85">
        <f>IF(AB96="","",IF(ISNUMBER('Dvd Calendar'!$AD$1316)=FALSE,"",IF((Summary!$C$13="N")*('Dvd Calendar'!$AD$1320='Field Check'!$C$25)&gt;0,"",'Dvd Calendar'!$AD$1316)))</f>
        <v/>
      </c>
      <c r="CQ96" s="85">
        <f>IF(AC96="","",IF(ISNUMBER('Dvd Calendar'!$AE$1316)=FALSE,"",IF((Summary!$C$13="N")*('Dvd Calendar'!$AE$1320='Field Check'!$C$25)&gt;0,"",'Dvd Calendar'!$AE$1316)))</f>
        <v/>
      </c>
      <c r="CR96" s="85">
        <f>IF(AD96="","",IF(ISNUMBER('Dvd Calendar'!$AF$1316)=FALSE,"",IF((Summary!$C$13="N")*('Dvd Calendar'!$AF$1320='Field Check'!$C$25)&gt;0,"",'Dvd Calendar'!$AF$1316)))</f>
        <v/>
      </c>
      <c r="CS96" s="85">
        <f>IF(AE96="","",IF(ISNUMBER('Dvd Calendar'!$AG$1316)=FALSE,"",IF((Summary!$C$13="N")*('Dvd Calendar'!$AG$1320='Field Check'!$C$25)&gt;0,"",'Dvd Calendar'!$AG$1316)))</f>
        <v/>
      </c>
      <c r="CT96" s="85">
        <f>IF(AF96="","",IF(ISNUMBER('Dvd Calendar'!$AH$1316)=FALSE,"",IF((Summary!$C$13="N")*('Dvd Calendar'!$AH$1320='Field Check'!$C$25)&gt;0,"",'Dvd Calendar'!$AH$1316)))</f>
        <v/>
      </c>
      <c r="CU96" s="85">
        <f>IF(AG96="","",IF(ISNUMBER('Dvd Calendar'!$AI$1316)=FALSE,"",IF((Summary!$C$13="N")*('Dvd Calendar'!$AI$1320='Field Check'!$C$25)&gt;0,"",'Dvd Calendar'!$AI$1316)))</f>
        <v/>
      </c>
      <c r="CV96" s="85">
        <f>IF(AH96="","",IF(ISNUMBER('Dvd Calendar'!$AJ$1316)=FALSE,"",IF((Summary!$C$13="N")*('Dvd Calendar'!$AJ$1320='Field Check'!$C$25)&gt;0,"",'Dvd Calendar'!$AJ$1316)))</f>
        <v/>
      </c>
      <c r="CW96" s="85">
        <f>IF(AI96="","",IF(ISNUMBER('Dvd Calendar'!$AK$1316)=FALSE,"",IF((Summary!$C$13="N")*('Dvd Calendar'!$AK$1320='Field Check'!$C$25)&gt;0,"",'Dvd Calendar'!$AK$1316)))</f>
        <v/>
      </c>
      <c r="CX96" s="85">
        <f>IF(AJ96="","",IF(ISNUMBER('Dvd Calendar'!$AL$1316)=FALSE,"",IF((Summary!$C$13="N")*('Dvd Calendar'!$AL$1320='Field Check'!$C$25)&gt;0,"",'Dvd Calendar'!$AL$1316)))</f>
        <v/>
      </c>
      <c r="CY96" s="85">
        <f>IF(AK96="","",IF(ISNUMBER('Dvd Calendar'!$AM$1316)=FALSE,"",IF((Summary!$C$13="N")*('Dvd Calendar'!$AM$1320='Field Check'!$C$25)&gt;0,"",'Dvd Calendar'!$AM$1316)))</f>
        <v/>
      </c>
      <c r="CZ96" s="85">
        <f>IF(AL96="","",IF(ISNUMBER('Dvd Calendar'!$AN$1316)=FALSE,"",IF((Summary!$C$13="N")*('Dvd Calendar'!$AN$1320='Field Check'!$C$25)&gt;0,"",'Dvd Calendar'!$AN$1316)))</f>
        <v/>
      </c>
      <c r="DA96" s="85">
        <f>IF(AM96="","",IF(ISNUMBER('Dvd Calendar'!$AO$1316)=FALSE,"",IF((Summary!$C$13="N")*('Dvd Calendar'!$AO$1320='Field Check'!$C$25)&gt;0,"",'Dvd Calendar'!$AO$1316)))</f>
        <v/>
      </c>
      <c r="DB96" s="85">
        <f>IF(AN96="","",IF(ISNUMBER('Dvd Calendar'!$AP$1316)=FALSE,"",IF((Summary!$C$13="N")*('Dvd Calendar'!$AP$1320='Field Check'!$C$25)&gt;0,"",'Dvd Calendar'!$AP$1316)))</f>
        <v/>
      </c>
      <c r="DC96" s="85">
        <f>IF(AO96="","",IF(ISNUMBER('Dvd Calendar'!$AQ$1316)=FALSE,"",IF((Summary!$C$13="N")*('Dvd Calendar'!$AQ$1320='Field Check'!$C$25)&gt;0,"",'Dvd Calendar'!$AQ$1316)))</f>
        <v/>
      </c>
      <c r="DD96" s="85">
        <f>IF(AP96="","",IF(ISNUMBER('Dvd Calendar'!$AR$1316)=FALSE,"",IF((Summary!$C$13="N")*('Dvd Calendar'!$AR$1320='Field Check'!$C$25)&gt;0,"",'Dvd Calendar'!$AR$1316)))</f>
        <v/>
      </c>
      <c r="DE96" s="85">
        <f>IF(AQ96="","",IF(ISNUMBER('Dvd Calendar'!$E$1323)=FALSE,"",IF((Summary!$C$13="N")*('Dvd Calendar'!$E$1327='Field Check'!$C$25)&gt;0,"",'Dvd Calendar'!$E$1323)))</f>
        <v/>
      </c>
      <c r="DF96" s="85">
        <f>IF(AR96="","",IF(ISNUMBER('Dvd Calendar'!$F$1323)=FALSE,"",IF((Summary!$C$13="N")*('Dvd Calendar'!$F$1327='Field Check'!$C$25)&gt;0,"",'Dvd Calendar'!$F$1323)))</f>
        <v/>
      </c>
      <c r="DG96" s="85">
        <f>IF(AS96="","",IF(ISNUMBER('Dvd Calendar'!$G$1323)=FALSE,"",IF((Summary!$C$13="N")*('Dvd Calendar'!$G$1327='Field Check'!$C$25)&gt;0,"",'Dvd Calendar'!$G$1323)))</f>
        <v/>
      </c>
      <c r="DH96" s="85">
        <f>IF(AT96="","",IF(ISNUMBER('Dvd Calendar'!$H$1323)=FALSE,"",IF((Summary!$C$13="N")*('Dvd Calendar'!$H$1327='Field Check'!$C$25)&gt;0,"",'Dvd Calendar'!$H$1323)))</f>
        <v/>
      </c>
      <c r="DI96" s="85">
        <f>IF(AU96="","",IF(ISNUMBER('Dvd Calendar'!$I$1323)=FALSE,"",IF((Summary!$C$13="N")*('Dvd Calendar'!$I$1327='Field Check'!$C$25)&gt;0,"",'Dvd Calendar'!$I$1323)))</f>
        <v/>
      </c>
      <c r="DJ96" s="85">
        <f>IF(AV96="","",IF(ISNUMBER('Dvd Calendar'!$J$1323)=FALSE,"",IF((Summary!$C$13="N")*('Dvd Calendar'!$J$1327='Field Check'!$C$25)&gt;0,"",'Dvd Calendar'!$J$1323)))</f>
        <v/>
      </c>
      <c r="DK96" s="85">
        <f>IF(AW96="","",IF(ISNUMBER('Dvd Calendar'!$K$1323)=FALSE,"",IF((Summary!$C$13="N")*('Dvd Calendar'!$K$1327='Field Check'!$C$25)&gt;0,"",'Dvd Calendar'!$K$1323)))</f>
        <v/>
      </c>
      <c r="DL96" s="85">
        <f>IF(AX96="","",IF(ISNUMBER('Dvd Calendar'!$L$1323)=FALSE,"",IF((Summary!$C$13="N")*('Dvd Calendar'!$L$1327='Field Check'!$C$25)&gt;0,"",'Dvd Calendar'!$L$1323)))</f>
        <v/>
      </c>
      <c r="DM96" s="85">
        <f>IF(AY96="","",IF(ISNUMBER('Dvd Calendar'!$M$1323)=FALSE,"",IF((Summary!$C$13="N")*('Dvd Calendar'!$M$1327='Field Check'!$C$25)&gt;0,"",'Dvd Calendar'!$M$1323)))</f>
        <v/>
      </c>
      <c r="DN96" s="85">
        <f>IF(AZ96="","",IF(ISNUMBER('Dvd Calendar'!$N$1323)=FALSE,"",IF((Summary!$C$13="N")*('Dvd Calendar'!$N$1327='Field Check'!$C$25)&gt;0,"",'Dvd Calendar'!$N$1323)))</f>
        <v/>
      </c>
      <c r="DO96" s="85">
        <f>IF(BA96="","",IF(ISNUMBER('Dvd Calendar'!$O$1323)=FALSE,"",IF((Summary!$C$13="N")*('Dvd Calendar'!$O$1327='Field Check'!$C$25)&gt;0,"",'Dvd Calendar'!$O$1323)))</f>
        <v/>
      </c>
      <c r="DP96" s="85">
        <f>IF(BB96="","",IF(ISNUMBER('Dvd Calendar'!$P$1323)=FALSE,"",IF((Summary!$C$13="N")*('Dvd Calendar'!$P$1327='Field Check'!$C$25)&gt;0,"",'Dvd Calendar'!$P$1323)))</f>
        <v/>
      </c>
      <c r="DQ96" s="85">
        <f>IF(BC96="","",IF(ISNUMBER('Dvd Calendar'!$Q$1323)=FALSE,"",IF((Summary!$C$13="N")*('Dvd Calendar'!$Q$1327='Field Check'!$C$25)&gt;0,"",'Dvd Calendar'!$Q$1323)))</f>
        <v/>
      </c>
      <c r="DR96" s="85">
        <f>IF(BD96="","",IF(ISNUMBER('Dvd Calendar'!$R$1323)=FALSE,"",IF((Summary!$C$13="N")*('Dvd Calendar'!$R$1327='Field Check'!$C$25)&gt;0,"",'Dvd Calendar'!$R$1323)))</f>
        <v/>
      </c>
      <c r="DS96" s="85">
        <f>IF(BE96="","",IF(ISNUMBER('Dvd Calendar'!$S$1323)=FALSE,"",IF((Summary!$C$13="N")*('Dvd Calendar'!$S$1327='Field Check'!$C$25)&gt;0,"",'Dvd Calendar'!$S$1323)))</f>
        <v/>
      </c>
      <c r="DT96" s="85">
        <f>IF(BF96="","",IF(ISNUMBER('Dvd Calendar'!$T$1323)=FALSE,"",IF((Summary!$C$13="N")*('Dvd Calendar'!$T$1327='Field Check'!$C$25)&gt;0,"",'Dvd Calendar'!$T$1323)))</f>
        <v/>
      </c>
      <c r="DU96" s="85">
        <f>IF(BG96="","",IF(ISNUMBER('Dvd Calendar'!$U$1323)=FALSE,"",IF((Summary!$C$13="N")*('Dvd Calendar'!$U$1327='Field Check'!$C$25)&gt;0,"",'Dvd Calendar'!$U$1323)))</f>
        <v/>
      </c>
      <c r="DV96" s="85">
        <f>IF(BH96="","",IF(ISNUMBER('Dvd Calendar'!$V$1323)=FALSE,"",IF((Summary!$C$13="N")*('Dvd Calendar'!$V$1327='Field Check'!$C$25)&gt;0,"",'Dvd Calendar'!$V$1323)))</f>
        <v/>
      </c>
      <c r="DW96" s="85">
        <f>IF(BI96="","",IF(ISNUMBER('Dvd Calendar'!$W$1323)=FALSE,"",IF((Summary!$C$13="N")*('Dvd Calendar'!$W$1327='Field Check'!$C$25)&gt;0,"",'Dvd Calendar'!$W$1323)))</f>
        <v/>
      </c>
      <c r="DX96" s="85">
        <f>IF(BJ96="","",IF(ISNUMBER('Dvd Calendar'!$X$1323)=FALSE,"",IF((Summary!$C$13="N")*('Dvd Calendar'!$X$1327='Field Check'!$C$25)&gt;0,"",'Dvd Calendar'!$X$1323)))</f>
        <v/>
      </c>
      <c r="DY96" s="85">
        <f>IF(BK96="","",IF(ISNUMBER('Dvd Calendar'!$Y$1323)=FALSE,"",IF((Summary!$C$13="N")*('Dvd Calendar'!$Y$1327='Field Check'!$C$25)&gt;0,"",'Dvd Calendar'!$Y$1323)))</f>
        <v/>
      </c>
      <c r="DZ96" s="85">
        <f>IF(BL96="","",IF(ISNUMBER('Dvd Calendar'!$Z$1323)=FALSE,"",IF((Summary!$C$13="N")*('Dvd Calendar'!$Z$1327='Field Check'!$C$25)&gt;0,"",'Dvd Calendar'!$Z$1323)))</f>
        <v/>
      </c>
      <c r="EA96" s="85">
        <f>IF(BM96="","",IF(ISNUMBER('Dvd Calendar'!$AA$1323)=FALSE,"",IF((Summary!$C$13="N")*('Dvd Calendar'!$AA$1327='Field Check'!$C$25)&gt;0,"",'Dvd Calendar'!$AA$1323)))</f>
        <v/>
      </c>
      <c r="EB96" s="85">
        <f>IF(BN96="","",IF(ISNUMBER('Dvd Calendar'!$AB$1323)=FALSE,"",IF((Summary!$C$13="N")*('Dvd Calendar'!$AB$1327='Field Check'!$C$25)&gt;0,"",'Dvd Calendar'!$AB$1323)))</f>
        <v/>
      </c>
      <c r="EC96" s="85">
        <f>IF(BO96="","",IF(ISNUMBER('Dvd Calendar'!$AC$1323)=FALSE,"",IF((Summary!$C$13="N")*('Dvd Calendar'!$AC$1327='Field Check'!$C$25)&gt;0,"",'Dvd Calendar'!$AC$1323)))</f>
        <v/>
      </c>
      <c r="EE96" s="85">
        <f>IF(BQ96="","",IFERROR(BQ96*HSI!$B$94*HSI!$G$94/HSI!$B$3,""))</f>
        <v/>
      </c>
      <c r="EF96" s="85">
        <f>IF(BR96="","",IFERROR(BR96*HSI!$B$94*HSI!$G$94/HSI!$B$3,""))</f>
        <v/>
      </c>
      <c r="EG96" s="85">
        <f>IF(BS96="","",IFERROR(BS96*HSI!$B$94*HSI!$G$94/HSI!$B$3,""))</f>
        <v/>
      </c>
      <c r="EH96" s="85">
        <f>IF(BT96="","",IFERROR(BT96*HSI!$B$94*HSI!$G$94/HSI!$B$3,""))</f>
        <v/>
      </c>
      <c r="EI96" s="85">
        <f>IF(BU96="","",IFERROR(BU96*HSI!$B$94*HSI!$G$94/HSI!$B$3,""))</f>
        <v/>
      </c>
      <c r="EJ96" s="85">
        <f>IF(BV96="","",IFERROR(BV96*HSI!$B$94*HSI!$G$94/HSI!$B$3,""))</f>
        <v/>
      </c>
      <c r="EK96" s="85">
        <f>IF(BW96="","",IFERROR(BW96*HSI!$B$94*HSI!$G$94/HSI!$B$3,""))</f>
        <v/>
      </c>
      <c r="EL96" s="85">
        <f>IF(BX96="","",IFERROR(BX96*HSI!$B$94*HSI!$G$94/HSI!$B$3,""))</f>
        <v/>
      </c>
      <c r="EM96" s="85">
        <f>IF(BY96="","",IFERROR(BY96*HSI!$B$94*HSI!$G$94/HSI!$B$3,""))</f>
        <v/>
      </c>
      <c r="EN96" s="85">
        <f>IF(BZ96="","",IFERROR(BZ96*HSI!$B$94*HSI!$G$94/HSI!$B$3,""))</f>
        <v/>
      </c>
      <c r="EO96" s="85">
        <f>IF(CA96="","",IFERROR(CA96*HSI!$B$94*HSI!$G$94/HSI!$B$3,""))</f>
        <v/>
      </c>
      <c r="EP96" s="85">
        <f>IF(CB96="","",IFERROR(CB96*HSI!$B$94*HSI!$G$94/HSI!$B$3,""))</f>
        <v/>
      </c>
      <c r="EQ96" s="85">
        <f>IF(CC96="","",IFERROR(CC96*HSI!$B$94*HSI!$G$94/HSI!$B$3,""))</f>
        <v/>
      </c>
      <c r="ER96" s="85">
        <f>IF(CD96="","",IFERROR(CD96*HSI!$B$94*HSI!$G$94/HSI!$B$3,""))</f>
        <v/>
      </c>
      <c r="ES96" s="85">
        <f>IF(CE96="","",IFERROR(CE96*HSI!$B$94*HSI!$G$94/HSI!$B$3,""))</f>
        <v/>
      </c>
      <c r="ET96" s="85">
        <f>IF(CF96="","",IFERROR(CF96*HSI!$B$94*HSI!$G$94/HSI!$B$3,""))</f>
        <v/>
      </c>
      <c r="EU96" s="85">
        <f>IF(CG96="","",IFERROR(CG96*HSI!$B$94*HSI!$G$94/HSI!$B$3,""))</f>
        <v/>
      </c>
      <c r="EV96" s="85">
        <f>IF(CH96="","",IFERROR(CH96*HSI!$B$94*HSI!$G$94/HSI!$B$3,""))</f>
        <v/>
      </c>
      <c r="EW96" s="85">
        <f>IF(CI96="","",IFERROR(CI96*HSI!$B$94*HSI!$G$94/HSI!$B$3,""))</f>
        <v/>
      </c>
      <c r="EX96" s="85">
        <f>IF(CJ96="","",IFERROR(CJ96*HSI!$B$94*HSI!$G$94/HSI!$B$3,""))</f>
        <v/>
      </c>
      <c r="EY96" s="85">
        <f>IF(CK96="","",IFERROR(CK96*HSI!$B$94*HSI!$G$94/HSI!$B$3,""))</f>
        <v/>
      </c>
      <c r="EZ96" s="85">
        <f>IF(CL96="","",IFERROR(CL96*HSI!$B$94*HSI!$G$94/HSI!$B$3,""))</f>
        <v/>
      </c>
      <c r="FA96" s="85">
        <f>IF(CM96="","",IFERROR(CM96*HSI!$B$94*HSI!$G$94/HSI!$B$3,""))</f>
        <v/>
      </c>
      <c r="FB96" s="85">
        <f>IF(CN96="","",IFERROR(CN96*HSI!$B$94*HSI!$G$94/HSI!$B$3,""))</f>
        <v/>
      </c>
      <c r="FC96" s="85">
        <f>IF(CO96="","",IFERROR(CO96*HSI!$B$94*HSI!$G$94/HSI!$B$3,""))</f>
        <v/>
      </c>
      <c r="FD96" s="85">
        <f>IF(CP96="","",IFERROR(CP96*HSI!$B$94*HSI!$G$94/HSI!$B$3,""))</f>
        <v/>
      </c>
      <c r="FE96" s="85">
        <f>IF(CQ96="","",IFERROR(CQ96*HSI!$B$94*HSI!$G$94/HSI!$B$3,""))</f>
        <v/>
      </c>
      <c r="FF96" s="85">
        <f>IF(CR96="","",IFERROR(CR96*HSI!$B$94*HSI!$G$94/HSI!$B$3,""))</f>
        <v/>
      </c>
      <c r="FG96" s="85">
        <f>IF(CS96="","",IFERROR(CS96*HSI!$B$94*HSI!$G$94/HSI!$B$3,""))</f>
        <v/>
      </c>
      <c r="FH96" s="85">
        <f>IF(CT96="","",IFERROR(CT96*HSI!$B$94*HSI!$G$94/HSI!$B$3,""))</f>
        <v/>
      </c>
      <c r="FI96" s="85">
        <f>IF(CU96="","",IFERROR(CU96*HSI!$B$94*HSI!$G$94/HSI!$B$3,""))</f>
        <v/>
      </c>
      <c r="FJ96" s="85">
        <f>IF(CV96="","",IFERROR(CV96*HSI!$B$94*HSI!$G$94/HSI!$B$3,""))</f>
        <v/>
      </c>
      <c r="FK96" s="85">
        <f>IF(CW96="","",IFERROR(CW96*HSI!$B$94*HSI!$G$94/HSI!$B$3,""))</f>
        <v/>
      </c>
      <c r="FL96" s="85">
        <f>IF(CX96="","",IFERROR(CX96*HSI!$B$94*HSI!$G$94/HSI!$B$3,""))</f>
        <v/>
      </c>
      <c r="FM96" s="85">
        <f>IF(CY96="","",IFERROR(CY96*HSI!$B$94*HSI!$G$94/HSI!$B$3,""))</f>
        <v/>
      </c>
      <c r="FN96" s="85">
        <f>IF(CZ96="","",IFERROR(CZ96*HSI!$B$94*HSI!$G$94/HSI!$B$3,""))</f>
        <v/>
      </c>
      <c r="FO96" s="85">
        <f>IF(DA96="","",IFERROR(DA96*HSI!$B$94*HSI!$G$94/HSI!$B$3,""))</f>
        <v/>
      </c>
      <c r="FP96" s="85">
        <f>IF(DB96="","",IFERROR(DB96*HSI!$B$94*HSI!$G$94/HSI!$B$3,""))</f>
        <v/>
      </c>
      <c r="FQ96" s="85">
        <f>IF(DC96="","",IFERROR(DC96*HSI!$B$94*HSI!$G$94/HSI!$B$3,""))</f>
        <v/>
      </c>
      <c r="FR96" s="85">
        <f>IF(DD96="","",IFERROR(DD96*HSI!$B$94*HSI!$G$94/HSI!$B$3,""))</f>
        <v/>
      </c>
      <c r="FS96" s="85">
        <f>IF(DE96="","",IFERROR(DE96*HSI!$B$94*HSI!$G$94/HSI!$B$3,""))</f>
        <v/>
      </c>
      <c r="FT96" s="85">
        <f>IF(DF96="","",IFERROR(DF96*HSI!$B$94*HSI!$G$94/HSI!$B$3,""))</f>
        <v/>
      </c>
      <c r="FU96" s="85">
        <f>IF(DG96="","",IFERROR(DG96*HSI!$B$94*HSI!$G$94/HSI!$B$3,""))</f>
        <v/>
      </c>
      <c r="FV96" s="85">
        <f>IF(DH96="","",IFERROR(DH96*HSI!$B$94*HSI!$G$94/HSI!$B$3,""))</f>
        <v/>
      </c>
      <c r="FW96" s="85">
        <f>IF(DI96="","",IFERROR(DI96*HSI!$B$94*HSI!$G$94/HSI!$B$3,""))</f>
        <v/>
      </c>
      <c r="FX96" s="85">
        <f>IF(DJ96="","",IFERROR(DJ96*HSI!$B$94*HSI!$G$94/HSI!$B$3,""))</f>
        <v/>
      </c>
      <c r="FY96" s="85">
        <f>IF(DK96="","",IFERROR(DK96*HSI!$B$94*HSI!$G$94/HSI!$B$3,""))</f>
        <v/>
      </c>
      <c r="FZ96" s="85">
        <f>IF(DL96="","",IFERROR(DL96*HSI!$B$94*HSI!$G$94/HSI!$B$3,""))</f>
        <v/>
      </c>
      <c r="GA96" s="85">
        <f>IF(DM96="","",IFERROR(DM96*HSI!$B$94*HSI!$G$94/HSI!$B$3,""))</f>
        <v/>
      </c>
      <c r="GB96" s="85">
        <f>IF(DN96="","",IFERROR(DN96*HSI!$B$94*HSI!$G$94/HSI!$B$3,""))</f>
        <v/>
      </c>
      <c r="GC96" s="85">
        <f>IF(DO96="","",IFERROR(DO96*HSI!$B$94*HSI!$G$94/HSI!$B$3,""))</f>
        <v/>
      </c>
      <c r="GD96" s="85">
        <f>IF(DP96="","",IFERROR(DP96*HSI!$B$94*HSI!$G$94/HSI!$B$3,""))</f>
        <v/>
      </c>
      <c r="GE96" s="85">
        <f>IF(DQ96="","",IFERROR(DQ96*HSI!$B$94*HSI!$G$94/HSI!$B$3,""))</f>
        <v/>
      </c>
      <c r="GF96" s="85">
        <f>IF(DR96="","",IFERROR(DR96*HSI!$B$94*HSI!$G$94/HSI!$B$3,""))</f>
        <v/>
      </c>
      <c r="GG96" s="85">
        <f>IF(DS96="","",IFERROR(DS96*HSI!$B$94*HSI!$G$94/HSI!$B$3,""))</f>
        <v/>
      </c>
      <c r="GH96" s="85">
        <f>IF(DT96="","",IFERROR(DT96*HSI!$B$94*HSI!$G$94/HSI!$B$3,""))</f>
        <v/>
      </c>
      <c r="GI96" s="85">
        <f>IF(DU96="","",IFERROR(DU96*HSI!$B$94*HSI!$G$94/HSI!$B$3,""))</f>
        <v/>
      </c>
      <c r="GJ96" s="85">
        <f>IF(DV96="","",IFERROR(DV96*HSI!$B$94*HSI!$G$94/HSI!$B$3,""))</f>
        <v/>
      </c>
      <c r="GK96" s="85">
        <f>IF(DW96="","",IFERROR(DW96*HSI!$B$94*HSI!$G$94/HSI!$B$3,""))</f>
        <v/>
      </c>
      <c r="GL96" s="85">
        <f>IF(DX96="","",IFERROR(DX96*HSI!$B$94*HSI!$G$94/HSI!$B$3,""))</f>
        <v/>
      </c>
      <c r="GM96" s="85">
        <f>IF(DY96="","",IFERROR(DY96*HSI!$B$94*HSI!$G$94/HSI!$B$3,""))</f>
        <v/>
      </c>
      <c r="GN96" s="85">
        <f>IF(DZ96="","",IFERROR(DZ96*HSI!$B$94*HSI!$G$94/HSI!$B$3,""))</f>
        <v/>
      </c>
      <c r="GO96" s="85">
        <f>IF(EA96="","",IFERROR(EA96*HSI!$B$94*HSI!$G$94/HSI!$B$3,""))</f>
        <v/>
      </c>
      <c r="GP96" s="85">
        <f>IF(EB96="","",IFERROR(EB96*HSI!$B$94*HSI!$G$94/HSI!$B$3,""))</f>
        <v/>
      </c>
      <c r="GQ96" s="85">
        <f>IF(EC96="","",IFERROR(EC96*HSI!$B$94*HSI!$G$94/HSI!$B$3,""))</f>
        <v/>
      </c>
    </row>
    <row r="97">
      <c r="B97" s="2">
        <f>IF(HSI!$C$95="","",HSI!$C$95)</f>
        <v/>
      </c>
      <c r="C97" s="41">
        <f>IF(N('Dvd Calendar'!$E$1330)=0,"",IF(('Dvd Calendar'!$E$1330&gt;=MIN(DATE(Summary!$C$12,1,1),Summary!$C$11))*('Dvd Calendar'!$E$1330&lt;=MAX(DATE(Summary!$C$12,12,31),Summary!$C$15))*('Dvd Calendar'!$E$1330&lt;=Summary!$C$11)=0,"",'Dvd Calendar'!$E$1330*1000000000+ISNUMBER('Dvd Calendar'!$E$1331)*100000000+('Dvd Calendar'!$E$1335='Field Check'!$C$25)*10000000+(N('Dvd Calendar'!$E$1329)&gt;0)*1000000+89*1000+1))</f>
        <v/>
      </c>
      <c r="D97" s="41">
        <f>IF(N('Dvd Calendar'!$F$1330)=0,"",IF(('Dvd Calendar'!$F$1330&gt;=MIN(DATE(Summary!$C$12,1,1),Summary!$C$11))*('Dvd Calendar'!$F$1330&lt;=MAX(DATE(Summary!$C$12,12,31),Summary!$C$15))*('Dvd Calendar'!$F$1330&lt;=Summary!$C$11)=0,"",'Dvd Calendar'!$F$1330*1000000000+ISNUMBER('Dvd Calendar'!$F$1331)*100000000+('Dvd Calendar'!$F$1335='Field Check'!$C$25)*10000000+(N('Dvd Calendar'!$F$1329)&gt;0)*1000000+89*1000+2))</f>
        <v/>
      </c>
      <c r="E97" s="41">
        <f>IF(N('Dvd Calendar'!$G$1330)=0,"",IF(('Dvd Calendar'!$G$1330&gt;=MIN(DATE(Summary!$C$12,1,1),Summary!$C$11))*('Dvd Calendar'!$G$1330&lt;=MAX(DATE(Summary!$C$12,12,31),Summary!$C$15))*('Dvd Calendar'!$G$1330&lt;=Summary!$C$11)=0,"",'Dvd Calendar'!$G$1330*1000000000+ISNUMBER('Dvd Calendar'!$G$1331)*100000000+('Dvd Calendar'!$G$1335='Field Check'!$C$25)*10000000+(N('Dvd Calendar'!$G$1329)&gt;0)*1000000+89*1000+3))</f>
        <v/>
      </c>
      <c r="F97" s="41">
        <f>IF(N('Dvd Calendar'!$H$1330)=0,"",IF(('Dvd Calendar'!$H$1330&gt;=MIN(DATE(Summary!$C$12,1,1),Summary!$C$11))*('Dvd Calendar'!$H$1330&lt;=MAX(DATE(Summary!$C$12,12,31),Summary!$C$15))*('Dvd Calendar'!$H$1330&lt;=Summary!$C$11)=0,"",'Dvd Calendar'!$H$1330*1000000000+ISNUMBER('Dvd Calendar'!$H$1331)*100000000+('Dvd Calendar'!$H$1335='Field Check'!$C$25)*10000000+(N('Dvd Calendar'!$H$1329)&gt;0)*1000000+89*1000+4))</f>
        <v/>
      </c>
      <c r="G97" s="41">
        <f>IF(N('Dvd Calendar'!$I$1330)=0,"",IF(('Dvd Calendar'!$I$1330&gt;=MIN(DATE(Summary!$C$12,1,1),Summary!$C$11))*('Dvd Calendar'!$I$1330&lt;=MAX(DATE(Summary!$C$12,12,31),Summary!$C$15))*('Dvd Calendar'!$I$1330&lt;=Summary!$C$11)=0,"",'Dvd Calendar'!$I$1330*1000000000+ISNUMBER('Dvd Calendar'!$I$1331)*100000000+('Dvd Calendar'!$I$1335='Field Check'!$C$25)*10000000+(N('Dvd Calendar'!$I$1329)&gt;0)*1000000+89*1000+5))</f>
        <v/>
      </c>
      <c r="H97" s="41">
        <f>IF(N('Dvd Calendar'!$J$1330)=0,"",IF(('Dvd Calendar'!$J$1330&gt;=MIN(DATE(Summary!$C$12,1,1),Summary!$C$11))*('Dvd Calendar'!$J$1330&lt;=MAX(DATE(Summary!$C$12,12,31),Summary!$C$15))*('Dvd Calendar'!$J$1330&lt;=Summary!$C$11)=0,"",'Dvd Calendar'!$J$1330*1000000000+ISNUMBER('Dvd Calendar'!$J$1331)*100000000+('Dvd Calendar'!$J$1335='Field Check'!$C$25)*10000000+(N('Dvd Calendar'!$J$1329)&gt;0)*1000000+89*1000+6))</f>
        <v/>
      </c>
      <c r="I97" s="41">
        <f>IF(N('Dvd Calendar'!$K$1330)=0,"",IF(('Dvd Calendar'!$K$1330&gt;=MIN(DATE(Summary!$C$12,1,1),Summary!$C$11))*('Dvd Calendar'!$K$1330&lt;=MAX(DATE(Summary!$C$12,12,31),Summary!$C$15))*('Dvd Calendar'!$K$1330&lt;=Summary!$C$11)=0,"",'Dvd Calendar'!$K$1330*1000000000+ISNUMBER('Dvd Calendar'!$K$1331)*100000000+('Dvd Calendar'!$K$1335='Field Check'!$C$25)*10000000+(N('Dvd Calendar'!$K$1329)&gt;0)*1000000+89*1000+7))</f>
        <v/>
      </c>
      <c r="J97" s="41">
        <f>IF(N('Dvd Calendar'!$L$1330)=0,"",IF(('Dvd Calendar'!$L$1330&gt;=MIN(DATE(Summary!$C$12,1,1),Summary!$C$11))*('Dvd Calendar'!$L$1330&lt;=MAX(DATE(Summary!$C$12,12,31),Summary!$C$15))*('Dvd Calendar'!$L$1330&lt;=Summary!$C$11)=0,"",'Dvd Calendar'!$L$1330*1000000000+ISNUMBER('Dvd Calendar'!$L$1331)*100000000+('Dvd Calendar'!$L$1335='Field Check'!$C$25)*10000000+(N('Dvd Calendar'!$L$1329)&gt;0)*1000000+89*1000+8))</f>
        <v/>
      </c>
      <c r="K97" s="41">
        <f>IF(N('Dvd Calendar'!$M$1330)=0,"",IF(('Dvd Calendar'!$M$1330&gt;=MIN(DATE(Summary!$C$12,1,1),Summary!$C$11))*('Dvd Calendar'!$M$1330&lt;=MAX(DATE(Summary!$C$12,12,31),Summary!$C$15))*('Dvd Calendar'!$M$1330&lt;=Summary!$C$11)=0,"",'Dvd Calendar'!$M$1330*1000000000+ISNUMBER('Dvd Calendar'!$M$1331)*100000000+('Dvd Calendar'!$M$1335='Field Check'!$C$25)*10000000+(N('Dvd Calendar'!$M$1329)&gt;0)*1000000+89*1000+9))</f>
        <v/>
      </c>
      <c r="L97" s="41">
        <f>IF(N('Dvd Calendar'!$N$1330)=0,"",IF(('Dvd Calendar'!$N$1330&gt;=MIN(DATE(Summary!$C$12,1,1),Summary!$C$11))*('Dvd Calendar'!$N$1330&lt;=MAX(DATE(Summary!$C$12,12,31),Summary!$C$15))*('Dvd Calendar'!$N$1330&lt;=Summary!$C$11)=0,"",'Dvd Calendar'!$N$1330*1000000000+ISNUMBER('Dvd Calendar'!$N$1331)*100000000+('Dvd Calendar'!$N$1335='Field Check'!$C$25)*10000000+(N('Dvd Calendar'!$N$1329)&gt;0)*1000000+89*1000+10))</f>
        <v/>
      </c>
      <c r="M97" s="41">
        <f>IF(N('Dvd Calendar'!$O$1330)=0,"",IF(('Dvd Calendar'!$O$1330&gt;=MIN(DATE(Summary!$C$12,1,1),Summary!$C$11))*('Dvd Calendar'!$O$1330&lt;=MAX(DATE(Summary!$C$12,12,31),Summary!$C$15))*('Dvd Calendar'!$O$1330&lt;=Summary!$C$11)=0,"",'Dvd Calendar'!$O$1330*1000000000+ISNUMBER('Dvd Calendar'!$O$1331)*100000000+('Dvd Calendar'!$O$1335='Field Check'!$C$25)*10000000+(N('Dvd Calendar'!$O$1329)&gt;0)*1000000+89*1000+11))</f>
        <v/>
      </c>
      <c r="N97" s="41">
        <f>IF(N('Dvd Calendar'!$P$1330)=0,"",IF(('Dvd Calendar'!$P$1330&gt;=MIN(DATE(Summary!$C$12,1,1),Summary!$C$11))*('Dvd Calendar'!$P$1330&lt;=MAX(DATE(Summary!$C$12,12,31),Summary!$C$15))*('Dvd Calendar'!$P$1330&lt;=Summary!$C$11)=0,"",'Dvd Calendar'!$P$1330*1000000000+ISNUMBER('Dvd Calendar'!$P$1331)*100000000+('Dvd Calendar'!$P$1335='Field Check'!$C$25)*10000000+(N('Dvd Calendar'!$P$1329)&gt;0)*1000000+89*1000+12))</f>
        <v/>
      </c>
      <c r="O97" s="41">
        <f>IF(N('Dvd Calendar'!$Q$1330)=0,"",IF(('Dvd Calendar'!$Q$1330&gt;=MIN(DATE(Summary!$C$12,1,1),Summary!$C$11))*('Dvd Calendar'!$Q$1330&lt;=MAX(DATE(Summary!$C$12,12,31),Summary!$C$15))*('Dvd Calendar'!$Q$1330&lt;=Summary!$C$11)=0,"",'Dvd Calendar'!$Q$1330*1000000000+ISNUMBER('Dvd Calendar'!$Q$1331)*100000000+('Dvd Calendar'!$Q$1335='Field Check'!$C$25)*10000000+(N('Dvd Calendar'!$Q$1329)&gt;0)*1000000+89*1000+13))</f>
        <v/>
      </c>
      <c r="P97" s="41">
        <f>IF(N('Dvd Calendar'!$R$1330)=0,"",IF(('Dvd Calendar'!$R$1330&gt;=MIN(DATE(Summary!$C$12,1,1),Summary!$C$11))*('Dvd Calendar'!$R$1330&lt;=MAX(DATE(Summary!$C$12,12,31),Summary!$C$15))*('Dvd Calendar'!$R$1330&lt;=Summary!$C$11)=0,"",'Dvd Calendar'!$R$1330*1000000000+ISNUMBER('Dvd Calendar'!$R$1331)*100000000+('Dvd Calendar'!$R$1335='Field Check'!$C$25)*10000000+(N('Dvd Calendar'!$R$1329)&gt;0)*1000000+89*1000+14))</f>
        <v/>
      </c>
      <c r="Q97" s="41">
        <f>IF(N('Dvd Calendar'!$S$1330)=0,"",IF(('Dvd Calendar'!$S$1330&gt;=MIN(DATE(Summary!$C$12,1,1),Summary!$C$11))*('Dvd Calendar'!$S$1330&lt;=MAX(DATE(Summary!$C$12,12,31),Summary!$C$15))*('Dvd Calendar'!$S$1330&lt;=Summary!$C$11)=0,"",'Dvd Calendar'!$S$1330*1000000000+ISNUMBER('Dvd Calendar'!$S$1331)*100000000+('Dvd Calendar'!$S$1335='Field Check'!$C$25)*10000000+(N('Dvd Calendar'!$S$1329)&gt;0)*1000000+89*1000+15))</f>
        <v/>
      </c>
      <c r="R97" s="41">
        <f>IF(N('Dvd Calendar'!$T$1330)=0,"",IF(('Dvd Calendar'!$T$1330&gt;=MIN(DATE(Summary!$C$12,1,1),Summary!$C$11))*('Dvd Calendar'!$T$1330&lt;=MAX(DATE(Summary!$C$12,12,31),Summary!$C$15))*('Dvd Calendar'!$T$1330&lt;=Summary!$C$11)=0,"",'Dvd Calendar'!$T$1330*1000000000+ISNUMBER('Dvd Calendar'!$T$1331)*100000000+('Dvd Calendar'!$T$1335='Field Check'!$C$25)*10000000+(N('Dvd Calendar'!$T$1329)&gt;0)*1000000+89*1000+16))</f>
        <v/>
      </c>
      <c r="S97" s="41">
        <f>IF(N('Dvd Calendar'!$U$1330)=0,"",IF(('Dvd Calendar'!$U$1330&gt;=MIN(DATE(Summary!$C$12,1,1),Summary!$C$11))*('Dvd Calendar'!$U$1330&lt;=MAX(DATE(Summary!$C$12,12,31),Summary!$C$15))*('Dvd Calendar'!$U$1330&lt;=Summary!$C$11)=0,"",'Dvd Calendar'!$U$1330*1000000000+ISNUMBER('Dvd Calendar'!$U$1331)*100000000+('Dvd Calendar'!$U$1335='Field Check'!$C$25)*10000000+(N('Dvd Calendar'!$U$1329)&gt;0)*1000000+89*1000+17))</f>
        <v/>
      </c>
      <c r="T97" s="41">
        <f>IF(N('Dvd Calendar'!$V$1330)=0,"",IF(('Dvd Calendar'!$V$1330&gt;=MIN(DATE(Summary!$C$12,1,1),Summary!$C$11))*('Dvd Calendar'!$V$1330&lt;=MAX(DATE(Summary!$C$12,12,31),Summary!$C$15))*('Dvd Calendar'!$V$1330&lt;=Summary!$C$11)=0,"",'Dvd Calendar'!$V$1330*1000000000+ISNUMBER('Dvd Calendar'!$V$1331)*100000000+('Dvd Calendar'!$V$1335='Field Check'!$C$25)*10000000+(N('Dvd Calendar'!$V$1329)&gt;0)*1000000+89*1000+18))</f>
        <v/>
      </c>
      <c r="U97" s="41">
        <f>IF(N('Dvd Calendar'!$W$1330)=0,"",IF(('Dvd Calendar'!$W$1330&gt;=MIN(DATE(Summary!$C$12,1,1),Summary!$C$11))*('Dvd Calendar'!$W$1330&lt;=MAX(DATE(Summary!$C$12,12,31),Summary!$C$15))*('Dvd Calendar'!$W$1330&lt;=Summary!$C$11)=0,"",'Dvd Calendar'!$W$1330*1000000000+ISNUMBER('Dvd Calendar'!$W$1331)*100000000+('Dvd Calendar'!$W$1335='Field Check'!$C$25)*10000000+(N('Dvd Calendar'!$W$1329)&gt;0)*1000000+89*1000+19))</f>
        <v/>
      </c>
      <c r="V97" s="41">
        <f>IF(N('Dvd Calendar'!$X$1330)=0,"",IF(('Dvd Calendar'!$X$1330&gt;=MIN(DATE(Summary!$C$12,1,1),Summary!$C$11))*('Dvd Calendar'!$X$1330&lt;=MAX(DATE(Summary!$C$12,12,31),Summary!$C$15))*('Dvd Calendar'!$X$1330&lt;=Summary!$C$11)=0,"",'Dvd Calendar'!$X$1330*1000000000+ISNUMBER('Dvd Calendar'!$X$1331)*100000000+('Dvd Calendar'!$X$1335='Field Check'!$C$25)*10000000+(N('Dvd Calendar'!$X$1329)&gt;0)*1000000+89*1000+20))</f>
        <v/>
      </c>
      <c r="W97" s="41">
        <f>IF(N('Dvd Calendar'!$Y$1330)=0,"",IF(('Dvd Calendar'!$Y$1330&gt;=MIN(DATE(Summary!$C$12,1,1),Summary!$C$11))*('Dvd Calendar'!$Y$1330&lt;=MAX(DATE(Summary!$C$12,12,31),Summary!$C$15))*('Dvd Calendar'!$Y$1330&lt;=Summary!$C$11)=0,"",'Dvd Calendar'!$Y$1330*1000000000+ISNUMBER('Dvd Calendar'!$Y$1331)*100000000+('Dvd Calendar'!$Y$1335='Field Check'!$C$25)*10000000+(N('Dvd Calendar'!$Y$1329)&gt;0)*1000000+89*1000+21))</f>
        <v/>
      </c>
      <c r="X97" s="41">
        <f>IF(N('Dvd Calendar'!$Z$1330)=0,"",IF(('Dvd Calendar'!$Z$1330&gt;=MIN(DATE(Summary!$C$12,1,1),Summary!$C$11))*('Dvd Calendar'!$Z$1330&lt;=MAX(DATE(Summary!$C$12,12,31),Summary!$C$15))*('Dvd Calendar'!$Z$1330&lt;=Summary!$C$11)=0,"",'Dvd Calendar'!$Z$1330*1000000000+ISNUMBER('Dvd Calendar'!$Z$1331)*100000000+('Dvd Calendar'!$Z$1335='Field Check'!$C$25)*10000000+(N('Dvd Calendar'!$Z$1329)&gt;0)*1000000+89*1000+22))</f>
        <v/>
      </c>
      <c r="Y97" s="41">
        <f>IF(N('Dvd Calendar'!$AA$1330)=0,"",IF(('Dvd Calendar'!$AA$1330&gt;=MIN(DATE(Summary!$C$12,1,1),Summary!$C$11))*('Dvd Calendar'!$AA$1330&lt;=MAX(DATE(Summary!$C$12,12,31),Summary!$C$15))*('Dvd Calendar'!$AA$1330&lt;=Summary!$C$11)=0,"",'Dvd Calendar'!$AA$1330*1000000000+ISNUMBER('Dvd Calendar'!$AA$1331)*100000000+('Dvd Calendar'!$AA$1335='Field Check'!$C$25)*10000000+(N('Dvd Calendar'!$AA$1329)&gt;0)*1000000+89*1000+23))</f>
        <v/>
      </c>
      <c r="Z97" s="41">
        <f>IF(N('Dvd Calendar'!$AB$1330)=0,"",IF(('Dvd Calendar'!$AB$1330&gt;=MIN(DATE(Summary!$C$12,1,1),Summary!$C$11))*('Dvd Calendar'!$AB$1330&lt;=MAX(DATE(Summary!$C$12,12,31),Summary!$C$15))*('Dvd Calendar'!$AB$1330&lt;=Summary!$C$11)=0,"",'Dvd Calendar'!$AB$1330*1000000000+ISNUMBER('Dvd Calendar'!$AB$1331)*100000000+('Dvd Calendar'!$AB$1335='Field Check'!$C$25)*10000000+(N('Dvd Calendar'!$AB$1329)&gt;0)*1000000+89*1000+24))</f>
        <v/>
      </c>
      <c r="AA97" s="41">
        <f>IF(N('Dvd Calendar'!$AC$1330)=0,"",IF(('Dvd Calendar'!$AC$1330&gt;=MIN(DATE(Summary!$C$12,1,1),Summary!$C$11))*('Dvd Calendar'!$AC$1330&lt;=MAX(DATE(Summary!$C$12,12,31),Summary!$C$15))*('Dvd Calendar'!$AC$1330&lt;=Summary!$C$11)=0,"",'Dvd Calendar'!$AC$1330*1000000000+ISNUMBER('Dvd Calendar'!$AC$1331)*100000000+('Dvd Calendar'!$AC$1335='Field Check'!$C$25)*10000000+(N('Dvd Calendar'!$AC$1329)&gt;0)*1000000+89*1000+25))</f>
        <v/>
      </c>
      <c r="AB97" s="41">
        <f>IF(N('Dvd Calendar'!$AD$1330)=0,"",IF(('Dvd Calendar'!$AD$1330&gt;=MIN(DATE(Summary!$C$12,1,1),Summary!$C$11))*('Dvd Calendar'!$AD$1330&lt;=MAX(DATE(Summary!$C$12,12,31),Summary!$C$15))*('Dvd Calendar'!$AD$1330&lt;=Summary!$C$11)=0,"",'Dvd Calendar'!$AD$1330*1000000000+ISNUMBER('Dvd Calendar'!$AD$1331)*100000000+('Dvd Calendar'!$AD$1335='Field Check'!$C$25)*10000000+(N('Dvd Calendar'!$AD$1329)&gt;0)*1000000+89*1000+26))</f>
        <v/>
      </c>
      <c r="AC97" s="41">
        <f>IF(N('Dvd Calendar'!$AE$1330)=0,"",IF(('Dvd Calendar'!$AE$1330&gt;=MIN(DATE(Summary!$C$12,1,1),Summary!$C$11))*('Dvd Calendar'!$AE$1330&lt;=MAX(DATE(Summary!$C$12,12,31),Summary!$C$15))*('Dvd Calendar'!$AE$1330&lt;=Summary!$C$11)=0,"",'Dvd Calendar'!$AE$1330*1000000000+ISNUMBER('Dvd Calendar'!$AE$1331)*100000000+('Dvd Calendar'!$AE$1335='Field Check'!$C$25)*10000000+(N('Dvd Calendar'!$AE$1329)&gt;0)*1000000+89*1000+27))</f>
        <v/>
      </c>
      <c r="AD97" s="41">
        <f>IF(N('Dvd Calendar'!$AF$1330)=0,"",IF(('Dvd Calendar'!$AF$1330&gt;=MIN(DATE(Summary!$C$12,1,1),Summary!$C$11))*('Dvd Calendar'!$AF$1330&lt;=MAX(DATE(Summary!$C$12,12,31),Summary!$C$15))*('Dvd Calendar'!$AF$1330&lt;=Summary!$C$11)=0,"",'Dvd Calendar'!$AF$1330*1000000000+ISNUMBER('Dvd Calendar'!$AF$1331)*100000000+('Dvd Calendar'!$AF$1335='Field Check'!$C$25)*10000000+(N('Dvd Calendar'!$AF$1329)&gt;0)*1000000+89*1000+28))</f>
        <v/>
      </c>
      <c r="AE97" s="41">
        <f>IF(N('Dvd Calendar'!$AG$1330)=0,"",IF(('Dvd Calendar'!$AG$1330&gt;=MIN(DATE(Summary!$C$12,1,1),Summary!$C$11))*('Dvd Calendar'!$AG$1330&lt;=MAX(DATE(Summary!$C$12,12,31),Summary!$C$15))*('Dvd Calendar'!$AG$1330&lt;=Summary!$C$11)=0,"",'Dvd Calendar'!$AG$1330*1000000000+ISNUMBER('Dvd Calendar'!$AG$1331)*100000000+('Dvd Calendar'!$AG$1335='Field Check'!$C$25)*10000000+(N('Dvd Calendar'!$AG$1329)&gt;0)*1000000+89*1000+29))</f>
        <v/>
      </c>
      <c r="AF97" s="41">
        <f>IF(N('Dvd Calendar'!$AH$1330)=0,"",IF(('Dvd Calendar'!$AH$1330&gt;=MIN(DATE(Summary!$C$12,1,1),Summary!$C$11))*('Dvd Calendar'!$AH$1330&lt;=MAX(DATE(Summary!$C$12,12,31),Summary!$C$15))*('Dvd Calendar'!$AH$1330&lt;=Summary!$C$11)=0,"",'Dvd Calendar'!$AH$1330*1000000000+ISNUMBER('Dvd Calendar'!$AH$1331)*100000000+('Dvd Calendar'!$AH$1335='Field Check'!$C$25)*10000000+(N('Dvd Calendar'!$AH$1329)&gt;0)*1000000+89*1000+30))</f>
        <v/>
      </c>
      <c r="AG97" s="41">
        <f>IF(N('Dvd Calendar'!$AI$1330)=0,"",IF(('Dvd Calendar'!$AI$1330&gt;=MIN(DATE(Summary!$C$12,1,1),Summary!$C$11))*('Dvd Calendar'!$AI$1330&lt;=MAX(DATE(Summary!$C$12,12,31),Summary!$C$15))*('Dvd Calendar'!$AI$1330&lt;=Summary!$C$11)=0,"",'Dvd Calendar'!$AI$1330*1000000000+ISNUMBER('Dvd Calendar'!$AI$1331)*100000000+('Dvd Calendar'!$AI$1335='Field Check'!$C$25)*10000000+(N('Dvd Calendar'!$AI$1329)&gt;0)*1000000+89*1000+31))</f>
        <v/>
      </c>
      <c r="AH97" s="41">
        <f>IF(N('Dvd Calendar'!$AJ$1330)=0,"",IF(('Dvd Calendar'!$AJ$1330&gt;=MIN(DATE(Summary!$C$12,1,1),Summary!$C$11))*('Dvd Calendar'!$AJ$1330&lt;=MAX(DATE(Summary!$C$12,12,31),Summary!$C$15))*('Dvd Calendar'!$AJ$1330&lt;=Summary!$C$11)=0,"",'Dvd Calendar'!$AJ$1330*1000000000+ISNUMBER('Dvd Calendar'!$AJ$1331)*100000000+('Dvd Calendar'!$AJ$1335='Field Check'!$C$25)*10000000+(N('Dvd Calendar'!$AJ$1329)&gt;0)*1000000+89*1000+32))</f>
        <v/>
      </c>
      <c r="AI97" s="41">
        <f>IF(N('Dvd Calendar'!$AK$1330)=0,"",IF(('Dvd Calendar'!$AK$1330&gt;=MIN(DATE(Summary!$C$12,1,1),Summary!$C$11))*('Dvd Calendar'!$AK$1330&lt;=MAX(DATE(Summary!$C$12,12,31),Summary!$C$15))*('Dvd Calendar'!$AK$1330&lt;=Summary!$C$11)=0,"",'Dvd Calendar'!$AK$1330*1000000000+ISNUMBER('Dvd Calendar'!$AK$1331)*100000000+('Dvd Calendar'!$AK$1335='Field Check'!$C$25)*10000000+(N('Dvd Calendar'!$AK$1329)&gt;0)*1000000+89*1000+33))</f>
        <v/>
      </c>
      <c r="AJ97" s="41">
        <f>IF(N('Dvd Calendar'!$AL$1330)=0,"",IF(('Dvd Calendar'!$AL$1330&gt;=MIN(DATE(Summary!$C$12,1,1),Summary!$C$11))*('Dvd Calendar'!$AL$1330&lt;=MAX(DATE(Summary!$C$12,12,31),Summary!$C$15))*('Dvd Calendar'!$AL$1330&lt;=Summary!$C$11)=0,"",'Dvd Calendar'!$AL$1330*1000000000+ISNUMBER('Dvd Calendar'!$AL$1331)*100000000+('Dvd Calendar'!$AL$1335='Field Check'!$C$25)*10000000+(N('Dvd Calendar'!$AL$1329)&gt;0)*1000000+89*1000+34))</f>
        <v/>
      </c>
      <c r="AK97" s="41">
        <f>IF(N('Dvd Calendar'!$AM$1330)=0,"",IF(('Dvd Calendar'!$AM$1330&gt;=MIN(DATE(Summary!$C$12,1,1),Summary!$C$11))*('Dvd Calendar'!$AM$1330&lt;=MAX(DATE(Summary!$C$12,12,31),Summary!$C$15))*('Dvd Calendar'!$AM$1330&lt;=Summary!$C$11)=0,"",'Dvd Calendar'!$AM$1330*1000000000+ISNUMBER('Dvd Calendar'!$AM$1331)*100000000+('Dvd Calendar'!$AM$1335='Field Check'!$C$25)*10000000+(N('Dvd Calendar'!$AM$1329)&gt;0)*1000000+89*1000+35))</f>
        <v/>
      </c>
      <c r="AL97" s="41">
        <f>IF(N('Dvd Calendar'!$AN$1330)=0,"",IF(('Dvd Calendar'!$AN$1330&gt;=MIN(DATE(Summary!$C$12,1,1),Summary!$C$11))*('Dvd Calendar'!$AN$1330&lt;=MAX(DATE(Summary!$C$12,12,31),Summary!$C$15))*('Dvd Calendar'!$AN$1330&lt;=Summary!$C$11)=0,"",'Dvd Calendar'!$AN$1330*1000000000+ISNUMBER('Dvd Calendar'!$AN$1331)*100000000+('Dvd Calendar'!$AN$1335='Field Check'!$C$25)*10000000+(N('Dvd Calendar'!$AN$1329)&gt;0)*1000000+89*1000+36))</f>
        <v/>
      </c>
      <c r="AM97" s="41">
        <f>IF(N('Dvd Calendar'!$AO$1330)=0,"",IF(('Dvd Calendar'!$AO$1330&gt;=MIN(DATE(Summary!$C$12,1,1),Summary!$C$11))*('Dvd Calendar'!$AO$1330&lt;=MAX(DATE(Summary!$C$12,12,31),Summary!$C$15))*('Dvd Calendar'!$AO$1330&lt;=Summary!$C$11)=0,"",'Dvd Calendar'!$AO$1330*1000000000+ISNUMBER('Dvd Calendar'!$AO$1331)*100000000+('Dvd Calendar'!$AO$1335='Field Check'!$C$25)*10000000+(N('Dvd Calendar'!$AO$1329)&gt;0)*1000000+89*1000+37))</f>
        <v/>
      </c>
      <c r="AN97" s="41">
        <f>IF(N('Dvd Calendar'!$AP$1330)=0,"",IF(('Dvd Calendar'!$AP$1330&gt;=MIN(DATE(Summary!$C$12,1,1),Summary!$C$11))*('Dvd Calendar'!$AP$1330&lt;=MAX(DATE(Summary!$C$12,12,31),Summary!$C$15))*('Dvd Calendar'!$AP$1330&lt;=Summary!$C$11)=0,"",'Dvd Calendar'!$AP$1330*1000000000+ISNUMBER('Dvd Calendar'!$AP$1331)*100000000+('Dvd Calendar'!$AP$1335='Field Check'!$C$25)*10000000+(N('Dvd Calendar'!$AP$1329)&gt;0)*1000000+89*1000+38))</f>
        <v/>
      </c>
      <c r="AO97" s="41">
        <f>IF(N('Dvd Calendar'!$AQ$1330)=0,"",IF(('Dvd Calendar'!$AQ$1330&gt;=MIN(DATE(Summary!$C$12,1,1),Summary!$C$11))*('Dvd Calendar'!$AQ$1330&lt;=MAX(DATE(Summary!$C$12,12,31),Summary!$C$15))*('Dvd Calendar'!$AQ$1330&lt;=Summary!$C$11)=0,"",'Dvd Calendar'!$AQ$1330*1000000000+ISNUMBER('Dvd Calendar'!$AQ$1331)*100000000+('Dvd Calendar'!$AQ$1335='Field Check'!$C$25)*10000000+(N('Dvd Calendar'!$AQ$1329)&gt;0)*1000000+89*1000+39))</f>
        <v/>
      </c>
      <c r="AP97" s="41">
        <f>IF(N('Dvd Calendar'!$AR$1330)=0,"",IF(('Dvd Calendar'!$AR$1330&gt;=MIN(DATE(Summary!$C$12,1,1),Summary!$C$11))*('Dvd Calendar'!$AR$1330&lt;=MAX(DATE(Summary!$C$12,12,31),Summary!$C$15))*('Dvd Calendar'!$AR$1330&lt;=Summary!$C$11)=0,"",'Dvd Calendar'!$AR$1330*1000000000+ISNUMBER('Dvd Calendar'!$AR$1331)*100000000+('Dvd Calendar'!$AR$1335='Field Check'!$C$25)*10000000+(N('Dvd Calendar'!$AR$1329)&gt;0)*1000000+89*1000+40))</f>
        <v/>
      </c>
      <c r="AQ97" s="41">
        <f>IF(N('Dvd Calendar'!$E$1337)=0,"",IF(('Dvd Calendar'!$E$1337&gt;=MIN(DATE(Summary!$C$12,1,1),Summary!$C$11))*('Dvd Calendar'!$E$1337&lt;=MAX(DATE(Summary!$C$12,12,31),Summary!$C$15))*('Dvd Calendar'!$E$1337&gt;Summary!$C$11)=0,"",'Dvd Calendar'!$E$1337*1000000000+ISNUMBER('Dvd Calendar'!$E$1338)*100000000+('Dvd Calendar'!$E$1342='Field Check'!$C$25)*10000000+(N('Dvd Calendar'!$E$1336)&gt;0)*1000000+89*1000+41))</f>
        <v/>
      </c>
      <c r="AR97" s="41">
        <f>IF(N('Dvd Calendar'!$F$1337)=0,"",IF(('Dvd Calendar'!$F$1337&gt;=MIN(DATE(Summary!$C$12,1,1),Summary!$C$11))*('Dvd Calendar'!$F$1337&lt;=MAX(DATE(Summary!$C$12,12,31),Summary!$C$15))*('Dvd Calendar'!$F$1337&gt;Summary!$C$11)=0,"",'Dvd Calendar'!$F$1337*1000000000+ISNUMBER('Dvd Calendar'!$F$1338)*100000000+('Dvd Calendar'!$F$1342='Field Check'!$C$25)*10000000+(N('Dvd Calendar'!$F$1336)&gt;0)*1000000+89*1000+42))</f>
        <v/>
      </c>
      <c r="AS97" s="41">
        <f>IF(N('Dvd Calendar'!$G$1337)=0,"",IF(('Dvd Calendar'!$G$1337&gt;=MIN(DATE(Summary!$C$12,1,1),Summary!$C$11))*('Dvd Calendar'!$G$1337&lt;=MAX(DATE(Summary!$C$12,12,31),Summary!$C$15))*('Dvd Calendar'!$G$1337&gt;Summary!$C$11)=0,"",'Dvd Calendar'!$G$1337*1000000000+ISNUMBER('Dvd Calendar'!$G$1338)*100000000+('Dvd Calendar'!$G$1342='Field Check'!$C$25)*10000000+(N('Dvd Calendar'!$G$1336)&gt;0)*1000000+89*1000+43))</f>
        <v/>
      </c>
      <c r="AT97" s="41">
        <f>IF(N('Dvd Calendar'!$H$1337)=0,"",IF(('Dvd Calendar'!$H$1337&gt;=MIN(DATE(Summary!$C$12,1,1),Summary!$C$11))*('Dvd Calendar'!$H$1337&lt;=MAX(DATE(Summary!$C$12,12,31),Summary!$C$15))*('Dvd Calendar'!$H$1337&gt;Summary!$C$11)=0,"",'Dvd Calendar'!$H$1337*1000000000+ISNUMBER('Dvd Calendar'!$H$1338)*100000000+('Dvd Calendar'!$H$1342='Field Check'!$C$25)*10000000+(N('Dvd Calendar'!$H$1336)&gt;0)*1000000+89*1000+44))</f>
        <v/>
      </c>
      <c r="AU97" s="41">
        <f>IF(N('Dvd Calendar'!$I$1337)=0,"",IF(('Dvd Calendar'!$I$1337&gt;=MIN(DATE(Summary!$C$12,1,1),Summary!$C$11))*('Dvd Calendar'!$I$1337&lt;=MAX(DATE(Summary!$C$12,12,31),Summary!$C$15))*('Dvd Calendar'!$I$1337&gt;Summary!$C$11)=0,"",'Dvd Calendar'!$I$1337*1000000000+ISNUMBER('Dvd Calendar'!$I$1338)*100000000+('Dvd Calendar'!$I$1342='Field Check'!$C$25)*10000000+(N('Dvd Calendar'!$I$1336)&gt;0)*1000000+89*1000+45))</f>
        <v/>
      </c>
      <c r="AV97" s="41">
        <f>IF(N('Dvd Calendar'!$J$1337)=0,"",IF(('Dvd Calendar'!$J$1337&gt;=MIN(DATE(Summary!$C$12,1,1),Summary!$C$11))*('Dvd Calendar'!$J$1337&lt;=MAX(DATE(Summary!$C$12,12,31),Summary!$C$15))*('Dvd Calendar'!$J$1337&gt;Summary!$C$11)=0,"",'Dvd Calendar'!$J$1337*1000000000+ISNUMBER('Dvd Calendar'!$J$1338)*100000000+('Dvd Calendar'!$J$1342='Field Check'!$C$25)*10000000+(N('Dvd Calendar'!$J$1336)&gt;0)*1000000+89*1000+46))</f>
        <v/>
      </c>
      <c r="AW97" s="41">
        <f>IF(N('Dvd Calendar'!$K$1337)=0,"",IF(('Dvd Calendar'!$K$1337&gt;=MIN(DATE(Summary!$C$12,1,1),Summary!$C$11))*('Dvd Calendar'!$K$1337&lt;=MAX(DATE(Summary!$C$12,12,31),Summary!$C$15))*('Dvd Calendar'!$K$1337&gt;Summary!$C$11)=0,"",'Dvd Calendar'!$K$1337*1000000000+ISNUMBER('Dvd Calendar'!$K$1338)*100000000+('Dvd Calendar'!$K$1342='Field Check'!$C$25)*10000000+(N('Dvd Calendar'!$K$1336)&gt;0)*1000000+89*1000+47))</f>
        <v/>
      </c>
      <c r="AX97" s="41">
        <f>IF(N('Dvd Calendar'!$L$1337)=0,"",IF(('Dvd Calendar'!$L$1337&gt;=MIN(DATE(Summary!$C$12,1,1),Summary!$C$11))*('Dvd Calendar'!$L$1337&lt;=MAX(DATE(Summary!$C$12,12,31),Summary!$C$15))*('Dvd Calendar'!$L$1337&gt;Summary!$C$11)=0,"",'Dvd Calendar'!$L$1337*1000000000+ISNUMBER('Dvd Calendar'!$L$1338)*100000000+('Dvd Calendar'!$L$1342='Field Check'!$C$25)*10000000+(N('Dvd Calendar'!$L$1336)&gt;0)*1000000+89*1000+48))</f>
        <v/>
      </c>
      <c r="AY97" s="41">
        <f>IF(N('Dvd Calendar'!$M$1337)=0,"",IF(('Dvd Calendar'!$M$1337&gt;=MIN(DATE(Summary!$C$12,1,1),Summary!$C$11))*('Dvd Calendar'!$M$1337&lt;=MAX(DATE(Summary!$C$12,12,31),Summary!$C$15))*('Dvd Calendar'!$M$1337&gt;Summary!$C$11)=0,"",'Dvd Calendar'!$M$1337*1000000000+ISNUMBER('Dvd Calendar'!$M$1338)*100000000+('Dvd Calendar'!$M$1342='Field Check'!$C$25)*10000000+(N('Dvd Calendar'!$M$1336)&gt;0)*1000000+89*1000+49))</f>
        <v/>
      </c>
      <c r="AZ97" s="41">
        <f>IF(N('Dvd Calendar'!$N$1337)=0,"",IF(('Dvd Calendar'!$N$1337&gt;=MIN(DATE(Summary!$C$12,1,1),Summary!$C$11))*('Dvd Calendar'!$N$1337&lt;=MAX(DATE(Summary!$C$12,12,31),Summary!$C$15))*('Dvd Calendar'!$N$1337&gt;Summary!$C$11)=0,"",'Dvd Calendar'!$N$1337*1000000000+ISNUMBER('Dvd Calendar'!$N$1338)*100000000+('Dvd Calendar'!$N$1342='Field Check'!$C$25)*10000000+(N('Dvd Calendar'!$N$1336)&gt;0)*1000000+89*1000+50))</f>
        <v/>
      </c>
      <c r="BA97" s="41">
        <f>IF(N('Dvd Calendar'!$O$1337)=0,"",IF(('Dvd Calendar'!$O$1337&gt;=MIN(DATE(Summary!$C$12,1,1),Summary!$C$11))*('Dvd Calendar'!$O$1337&lt;=MAX(DATE(Summary!$C$12,12,31),Summary!$C$15))*('Dvd Calendar'!$O$1337&gt;Summary!$C$11)=0,"",'Dvd Calendar'!$O$1337*1000000000+ISNUMBER('Dvd Calendar'!$O$1338)*100000000+('Dvd Calendar'!$O$1342='Field Check'!$C$25)*10000000+(N('Dvd Calendar'!$O$1336)&gt;0)*1000000+89*1000+51))</f>
        <v/>
      </c>
      <c r="BB97" s="41">
        <f>IF(N('Dvd Calendar'!$P$1337)=0,"",IF(('Dvd Calendar'!$P$1337&gt;=MIN(DATE(Summary!$C$12,1,1),Summary!$C$11))*('Dvd Calendar'!$P$1337&lt;=MAX(DATE(Summary!$C$12,12,31),Summary!$C$15))*('Dvd Calendar'!$P$1337&gt;Summary!$C$11)=0,"",'Dvd Calendar'!$P$1337*1000000000+ISNUMBER('Dvd Calendar'!$P$1338)*100000000+('Dvd Calendar'!$P$1342='Field Check'!$C$25)*10000000+(N('Dvd Calendar'!$P$1336)&gt;0)*1000000+89*1000+52))</f>
        <v/>
      </c>
      <c r="BC97" s="41">
        <f>IF(N('Dvd Calendar'!$Q$1337)=0,"",IF(('Dvd Calendar'!$Q$1337&gt;=MIN(DATE(Summary!$C$12,1,1),Summary!$C$11))*('Dvd Calendar'!$Q$1337&lt;=MAX(DATE(Summary!$C$12,12,31),Summary!$C$15))*('Dvd Calendar'!$Q$1337&gt;Summary!$C$11)=0,"",'Dvd Calendar'!$Q$1337*1000000000+ISNUMBER('Dvd Calendar'!$Q$1338)*100000000+('Dvd Calendar'!$Q$1342='Field Check'!$C$25)*10000000+(N('Dvd Calendar'!$Q$1336)&gt;0)*1000000+89*1000+53))</f>
        <v/>
      </c>
      <c r="BD97" s="41">
        <f>IF(N('Dvd Calendar'!$R$1337)=0,"",IF(('Dvd Calendar'!$R$1337&gt;=MIN(DATE(Summary!$C$12,1,1),Summary!$C$11))*('Dvd Calendar'!$R$1337&lt;=MAX(DATE(Summary!$C$12,12,31),Summary!$C$15))*('Dvd Calendar'!$R$1337&gt;Summary!$C$11)=0,"",'Dvd Calendar'!$R$1337*1000000000+ISNUMBER('Dvd Calendar'!$R$1338)*100000000+('Dvd Calendar'!$R$1342='Field Check'!$C$25)*10000000+(N('Dvd Calendar'!$R$1336)&gt;0)*1000000+89*1000+54))</f>
        <v/>
      </c>
      <c r="BE97" s="41">
        <f>IF(N('Dvd Calendar'!$S$1337)=0,"",IF(('Dvd Calendar'!$S$1337&gt;=MIN(DATE(Summary!$C$12,1,1),Summary!$C$11))*('Dvd Calendar'!$S$1337&lt;=MAX(DATE(Summary!$C$12,12,31),Summary!$C$15))*('Dvd Calendar'!$S$1337&gt;Summary!$C$11)=0,"",'Dvd Calendar'!$S$1337*1000000000+ISNUMBER('Dvd Calendar'!$S$1338)*100000000+('Dvd Calendar'!$S$1342='Field Check'!$C$25)*10000000+(N('Dvd Calendar'!$S$1336)&gt;0)*1000000+89*1000+55))</f>
        <v/>
      </c>
      <c r="BF97" s="41">
        <f>IF(N('Dvd Calendar'!$T$1337)=0,"",IF(('Dvd Calendar'!$T$1337&gt;=MIN(DATE(Summary!$C$12,1,1),Summary!$C$11))*('Dvd Calendar'!$T$1337&lt;=MAX(DATE(Summary!$C$12,12,31),Summary!$C$15))*('Dvd Calendar'!$T$1337&gt;Summary!$C$11)=0,"",'Dvd Calendar'!$T$1337*1000000000+ISNUMBER('Dvd Calendar'!$T$1338)*100000000+('Dvd Calendar'!$T$1342='Field Check'!$C$25)*10000000+(N('Dvd Calendar'!$T$1336)&gt;0)*1000000+89*1000+56))</f>
        <v/>
      </c>
      <c r="BG97" s="41">
        <f>IF(N('Dvd Calendar'!$U$1337)=0,"",IF(('Dvd Calendar'!$U$1337&gt;=MIN(DATE(Summary!$C$12,1,1),Summary!$C$11))*('Dvd Calendar'!$U$1337&lt;=MAX(DATE(Summary!$C$12,12,31),Summary!$C$15))*('Dvd Calendar'!$U$1337&gt;Summary!$C$11)=0,"",'Dvd Calendar'!$U$1337*1000000000+ISNUMBER('Dvd Calendar'!$U$1338)*100000000+('Dvd Calendar'!$U$1342='Field Check'!$C$25)*10000000+(N('Dvd Calendar'!$U$1336)&gt;0)*1000000+89*1000+57))</f>
        <v/>
      </c>
      <c r="BH97" s="41">
        <f>IF(N('Dvd Calendar'!$V$1337)=0,"",IF(('Dvd Calendar'!$V$1337&gt;=MIN(DATE(Summary!$C$12,1,1),Summary!$C$11))*('Dvd Calendar'!$V$1337&lt;=MAX(DATE(Summary!$C$12,12,31),Summary!$C$15))*('Dvd Calendar'!$V$1337&gt;Summary!$C$11)=0,"",'Dvd Calendar'!$V$1337*1000000000+ISNUMBER('Dvd Calendar'!$V$1338)*100000000+('Dvd Calendar'!$V$1342='Field Check'!$C$25)*10000000+(N('Dvd Calendar'!$V$1336)&gt;0)*1000000+89*1000+58))</f>
        <v/>
      </c>
      <c r="BI97" s="41">
        <f>IF(N('Dvd Calendar'!$W$1337)=0,"",IF(('Dvd Calendar'!$W$1337&gt;=MIN(DATE(Summary!$C$12,1,1),Summary!$C$11))*('Dvd Calendar'!$W$1337&lt;=MAX(DATE(Summary!$C$12,12,31),Summary!$C$15))*('Dvd Calendar'!$W$1337&gt;Summary!$C$11)=0,"",'Dvd Calendar'!$W$1337*1000000000+ISNUMBER('Dvd Calendar'!$W$1338)*100000000+('Dvd Calendar'!$W$1342='Field Check'!$C$25)*10000000+(N('Dvd Calendar'!$W$1336)&gt;0)*1000000+89*1000+59))</f>
        <v/>
      </c>
      <c r="BJ97" s="41">
        <f>IF(N('Dvd Calendar'!$X$1337)=0,"",IF(('Dvd Calendar'!$X$1337&gt;=MIN(DATE(Summary!$C$12,1,1),Summary!$C$11))*('Dvd Calendar'!$X$1337&lt;=MAX(DATE(Summary!$C$12,12,31),Summary!$C$15))*('Dvd Calendar'!$X$1337&gt;Summary!$C$11)=0,"",'Dvd Calendar'!$X$1337*1000000000+ISNUMBER('Dvd Calendar'!$X$1338)*100000000+('Dvd Calendar'!$X$1342='Field Check'!$C$25)*10000000+(N('Dvd Calendar'!$X$1336)&gt;0)*1000000+89*1000+60))</f>
        <v/>
      </c>
      <c r="BK97" s="41">
        <f>IF(N('Dvd Calendar'!$Y$1337)=0,"",IF(('Dvd Calendar'!$Y$1337&gt;=MIN(DATE(Summary!$C$12,1,1),Summary!$C$11))*('Dvd Calendar'!$Y$1337&lt;=MAX(DATE(Summary!$C$12,12,31),Summary!$C$15))*('Dvd Calendar'!$Y$1337&gt;Summary!$C$11)=0,"",'Dvd Calendar'!$Y$1337*1000000000+ISNUMBER('Dvd Calendar'!$Y$1338)*100000000+('Dvd Calendar'!$Y$1342='Field Check'!$C$25)*10000000+(N('Dvd Calendar'!$Y$1336)&gt;0)*1000000+89*1000+61))</f>
        <v/>
      </c>
      <c r="BL97" s="41">
        <f>IF(N('Dvd Calendar'!$Z$1337)=0,"",IF(('Dvd Calendar'!$Z$1337&gt;=MIN(DATE(Summary!$C$12,1,1),Summary!$C$11))*('Dvd Calendar'!$Z$1337&lt;=MAX(DATE(Summary!$C$12,12,31),Summary!$C$15))*('Dvd Calendar'!$Z$1337&gt;Summary!$C$11)=0,"",'Dvd Calendar'!$Z$1337*1000000000+ISNUMBER('Dvd Calendar'!$Z$1338)*100000000+('Dvd Calendar'!$Z$1342='Field Check'!$C$25)*10000000+(N('Dvd Calendar'!$Z$1336)&gt;0)*1000000+89*1000+62))</f>
        <v/>
      </c>
      <c r="BM97" s="41">
        <f>IF(N('Dvd Calendar'!$AA$1337)=0,"",IF(('Dvd Calendar'!$AA$1337&gt;=MIN(DATE(Summary!$C$12,1,1),Summary!$C$11))*('Dvd Calendar'!$AA$1337&lt;=MAX(DATE(Summary!$C$12,12,31),Summary!$C$15))*('Dvd Calendar'!$AA$1337&gt;Summary!$C$11)=0,"",'Dvd Calendar'!$AA$1337*1000000000+ISNUMBER('Dvd Calendar'!$AA$1338)*100000000+('Dvd Calendar'!$AA$1342='Field Check'!$C$25)*10000000+(N('Dvd Calendar'!$AA$1336)&gt;0)*1000000+89*1000+63))</f>
        <v/>
      </c>
      <c r="BN97" s="41">
        <f>IF(N('Dvd Calendar'!$AB$1337)=0,"",IF(('Dvd Calendar'!$AB$1337&gt;=MIN(DATE(Summary!$C$12,1,1),Summary!$C$11))*('Dvd Calendar'!$AB$1337&lt;=MAX(DATE(Summary!$C$12,12,31),Summary!$C$15))*('Dvd Calendar'!$AB$1337&gt;Summary!$C$11)=0,"",'Dvd Calendar'!$AB$1337*1000000000+ISNUMBER('Dvd Calendar'!$AB$1338)*100000000+('Dvd Calendar'!$AB$1342='Field Check'!$C$25)*10000000+(N('Dvd Calendar'!$AB$1336)&gt;0)*1000000+89*1000+64))</f>
        <v/>
      </c>
      <c r="BO97" s="41">
        <f>IF(N('Dvd Calendar'!$AC$1337)=0,"",IF(('Dvd Calendar'!$AC$1337&gt;=MIN(DATE(Summary!$C$12,1,1),Summary!$C$11))*('Dvd Calendar'!$AC$1337&lt;=MAX(DATE(Summary!$C$12,12,31),Summary!$C$15))*('Dvd Calendar'!$AC$1337&gt;Summary!$C$11)=0,"",'Dvd Calendar'!$AC$1337*1000000000+ISNUMBER('Dvd Calendar'!$AC$1338)*100000000+('Dvd Calendar'!$AC$1342='Field Check'!$C$25)*10000000+(N('Dvd Calendar'!$AC$1336)&gt;0)*1000000+89*1000+65))</f>
        <v/>
      </c>
      <c r="BQ97" s="85">
        <f>IF(C97="","",IF(ISNUMBER('Dvd Calendar'!$E$1331)=FALSE,"",IF((Summary!$C$13="N")*('Dvd Calendar'!$E$1335='Field Check'!$C$25)&gt;0,"",'Dvd Calendar'!$E$1331)))</f>
        <v/>
      </c>
      <c r="BR97" s="85">
        <f>IF(D97="","",IF(ISNUMBER('Dvd Calendar'!$F$1331)=FALSE,"",IF((Summary!$C$13="N")*('Dvd Calendar'!$F$1335='Field Check'!$C$25)&gt;0,"",'Dvd Calendar'!$F$1331)))</f>
        <v/>
      </c>
      <c r="BS97" s="85">
        <f>IF(E97="","",IF(ISNUMBER('Dvd Calendar'!$G$1331)=FALSE,"",IF((Summary!$C$13="N")*('Dvd Calendar'!$G$1335='Field Check'!$C$25)&gt;0,"",'Dvd Calendar'!$G$1331)))</f>
        <v/>
      </c>
      <c r="BT97" s="85">
        <f>IF(F97="","",IF(ISNUMBER('Dvd Calendar'!$H$1331)=FALSE,"",IF((Summary!$C$13="N")*('Dvd Calendar'!$H$1335='Field Check'!$C$25)&gt;0,"",'Dvd Calendar'!$H$1331)))</f>
        <v/>
      </c>
      <c r="BU97" s="85">
        <f>IF(G97="","",IF(ISNUMBER('Dvd Calendar'!$I$1331)=FALSE,"",IF((Summary!$C$13="N")*('Dvd Calendar'!$I$1335='Field Check'!$C$25)&gt;0,"",'Dvd Calendar'!$I$1331)))</f>
        <v/>
      </c>
      <c r="BV97" s="85">
        <f>IF(H97="","",IF(ISNUMBER('Dvd Calendar'!$J$1331)=FALSE,"",IF((Summary!$C$13="N")*('Dvd Calendar'!$J$1335='Field Check'!$C$25)&gt;0,"",'Dvd Calendar'!$J$1331)))</f>
        <v/>
      </c>
      <c r="BW97" s="85">
        <f>IF(I97="","",IF(ISNUMBER('Dvd Calendar'!$K$1331)=FALSE,"",IF((Summary!$C$13="N")*('Dvd Calendar'!$K$1335='Field Check'!$C$25)&gt;0,"",'Dvd Calendar'!$K$1331)))</f>
        <v/>
      </c>
      <c r="BX97" s="85">
        <f>IF(J97="","",IF(ISNUMBER('Dvd Calendar'!$L$1331)=FALSE,"",IF((Summary!$C$13="N")*('Dvd Calendar'!$L$1335='Field Check'!$C$25)&gt;0,"",'Dvd Calendar'!$L$1331)))</f>
        <v/>
      </c>
      <c r="BY97" s="85">
        <f>IF(K97="","",IF(ISNUMBER('Dvd Calendar'!$M$1331)=FALSE,"",IF((Summary!$C$13="N")*('Dvd Calendar'!$M$1335='Field Check'!$C$25)&gt;0,"",'Dvd Calendar'!$M$1331)))</f>
        <v/>
      </c>
      <c r="BZ97" s="85">
        <f>IF(L97="","",IF(ISNUMBER('Dvd Calendar'!$N$1331)=FALSE,"",IF((Summary!$C$13="N")*('Dvd Calendar'!$N$1335='Field Check'!$C$25)&gt;0,"",'Dvd Calendar'!$N$1331)))</f>
        <v/>
      </c>
      <c r="CA97" s="85">
        <f>IF(M97="","",IF(ISNUMBER('Dvd Calendar'!$O$1331)=FALSE,"",IF((Summary!$C$13="N")*('Dvd Calendar'!$O$1335='Field Check'!$C$25)&gt;0,"",'Dvd Calendar'!$O$1331)))</f>
        <v/>
      </c>
      <c r="CB97" s="85">
        <f>IF(N97="","",IF(ISNUMBER('Dvd Calendar'!$P$1331)=FALSE,"",IF((Summary!$C$13="N")*('Dvd Calendar'!$P$1335='Field Check'!$C$25)&gt;0,"",'Dvd Calendar'!$P$1331)))</f>
        <v/>
      </c>
      <c r="CC97" s="85">
        <f>IF(O97="","",IF(ISNUMBER('Dvd Calendar'!$Q$1331)=FALSE,"",IF((Summary!$C$13="N")*('Dvd Calendar'!$Q$1335='Field Check'!$C$25)&gt;0,"",'Dvd Calendar'!$Q$1331)))</f>
        <v/>
      </c>
      <c r="CD97" s="85">
        <f>IF(P97="","",IF(ISNUMBER('Dvd Calendar'!$R$1331)=FALSE,"",IF((Summary!$C$13="N")*('Dvd Calendar'!$R$1335='Field Check'!$C$25)&gt;0,"",'Dvd Calendar'!$R$1331)))</f>
        <v/>
      </c>
      <c r="CE97" s="85">
        <f>IF(Q97="","",IF(ISNUMBER('Dvd Calendar'!$S$1331)=FALSE,"",IF((Summary!$C$13="N")*('Dvd Calendar'!$S$1335='Field Check'!$C$25)&gt;0,"",'Dvd Calendar'!$S$1331)))</f>
        <v/>
      </c>
      <c r="CF97" s="85">
        <f>IF(R97="","",IF(ISNUMBER('Dvd Calendar'!$T$1331)=FALSE,"",IF((Summary!$C$13="N")*('Dvd Calendar'!$T$1335='Field Check'!$C$25)&gt;0,"",'Dvd Calendar'!$T$1331)))</f>
        <v/>
      </c>
      <c r="CG97" s="85">
        <f>IF(S97="","",IF(ISNUMBER('Dvd Calendar'!$U$1331)=FALSE,"",IF((Summary!$C$13="N")*('Dvd Calendar'!$U$1335='Field Check'!$C$25)&gt;0,"",'Dvd Calendar'!$U$1331)))</f>
        <v/>
      </c>
      <c r="CH97" s="85">
        <f>IF(T97="","",IF(ISNUMBER('Dvd Calendar'!$V$1331)=FALSE,"",IF((Summary!$C$13="N")*('Dvd Calendar'!$V$1335='Field Check'!$C$25)&gt;0,"",'Dvd Calendar'!$V$1331)))</f>
        <v/>
      </c>
      <c r="CI97" s="85">
        <f>IF(U97="","",IF(ISNUMBER('Dvd Calendar'!$W$1331)=FALSE,"",IF((Summary!$C$13="N")*('Dvd Calendar'!$W$1335='Field Check'!$C$25)&gt;0,"",'Dvd Calendar'!$W$1331)))</f>
        <v/>
      </c>
      <c r="CJ97" s="85">
        <f>IF(V97="","",IF(ISNUMBER('Dvd Calendar'!$X$1331)=FALSE,"",IF((Summary!$C$13="N")*('Dvd Calendar'!$X$1335='Field Check'!$C$25)&gt;0,"",'Dvd Calendar'!$X$1331)))</f>
        <v/>
      </c>
      <c r="CK97" s="85">
        <f>IF(W97="","",IF(ISNUMBER('Dvd Calendar'!$Y$1331)=FALSE,"",IF((Summary!$C$13="N")*('Dvd Calendar'!$Y$1335='Field Check'!$C$25)&gt;0,"",'Dvd Calendar'!$Y$1331)))</f>
        <v/>
      </c>
      <c r="CL97" s="85">
        <f>IF(X97="","",IF(ISNUMBER('Dvd Calendar'!$Z$1331)=FALSE,"",IF((Summary!$C$13="N")*('Dvd Calendar'!$Z$1335='Field Check'!$C$25)&gt;0,"",'Dvd Calendar'!$Z$1331)))</f>
        <v/>
      </c>
      <c r="CM97" s="85">
        <f>IF(Y97="","",IF(ISNUMBER('Dvd Calendar'!$AA$1331)=FALSE,"",IF((Summary!$C$13="N")*('Dvd Calendar'!$AA$1335='Field Check'!$C$25)&gt;0,"",'Dvd Calendar'!$AA$1331)))</f>
        <v/>
      </c>
      <c r="CN97" s="85">
        <f>IF(Z97="","",IF(ISNUMBER('Dvd Calendar'!$AB$1331)=FALSE,"",IF((Summary!$C$13="N")*('Dvd Calendar'!$AB$1335='Field Check'!$C$25)&gt;0,"",'Dvd Calendar'!$AB$1331)))</f>
        <v/>
      </c>
      <c r="CO97" s="85">
        <f>IF(AA97="","",IF(ISNUMBER('Dvd Calendar'!$AC$1331)=FALSE,"",IF((Summary!$C$13="N")*('Dvd Calendar'!$AC$1335='Field Check'!$C$25)&gt;0,"",'Dvd Calendar'!$AC$1331)))</f>
        <v/>
      </c>
      <c r="CP97" s="85">
        <f>IF(AB97="","",IF(ISNUMBER('Dvd Calendar'!$AD$1331)=FALSE,"",IF((Summary!$C$13="N")*('Dvd Calendar'!$AD$1335='Field Check'!$C$25)&gt;0,"",'Dvd Calendar'!$AD$1331)))</f>
        <v/>
      </c>
      <c r="CQ97" s="85">
        <f>IF(AC97="","",IF(ISNUMBER('Dvd Calendar'!$AE$1331)=FALSE,"",IF((Summary!$C$13="N")*('Dvd Calendar'!$AE$1335='Field Check'!$C$25)&gt;0,"",'Dvd Calendar'!$AE$1331)))</f>
        <v/>
      </c>
      <c r="CR97" s="85">
        <f>IF(AD97="","",IF(ISNUMBER('Dvd Calendar'!$AF$1331)=FALSE,"",IF((Summary!$C$13="N")*('Dvd Calendar'!$AF$1335='Field Check'!$C$25)&gt;0,"",'Dvd Calendar'!$AF$1331)))</f>
        <v/>
      </c>
      <c r="CS97" s="85">
        <f>IF(AE97="","",IF(ISNUMBER('Dvd Calendar'!$AG$1331)=FALSE,"",IF((Summary!$C$13="N")*('Dvd Calendar'!$AG$1335='Field Check'!$C$25)&gt;0,"",'Dvd Calendar'!$AG$1331)))</f>
        <v/>
      </c>
      <c r="CT97" s="85">
        <f>IF(AF97="","",IF(ISNUMBER('Dvd Calendar'!$AH$1331)=FALSE,"",IF((Summary!$C$13="N")*('Dvd Calendar'!$AH$1335='Field Check'!$C$25)&gt;0,"",'Dvd Calendar'!$AH$1331)))</f>
        <v/>
      </c>
      <c r="CU97" s="85">
        <f>IF(AG97="","",IF(ISNUMBER('Dvd Calendar'!$AI$1331)=FALSE,"",IF((Summary!$C$13="N")*('Dvd Calendar'!$AI$1335='Field Check'!$C$25)&gt;0,"",'Dvd Calendar'!$AI$1331)))</f>
        <v/>
      </c>
      <c r="CV97" s="85">
        <f>IF(AH97="","",IF(ISNUMBER('Dvd Calendar'!$AJ$1331)=FALSE,"",IF((Summary!$C$13="N")*('Dvd Calendar'!$AJ$1335='Field Check'!$C$25)&gt;0,"",'Dvd Calendar'!$AJ$1331)))</f>
        <v/>
      </c>
      <c r="CW97" s="85">
        <f>IF(AI97="","",IF(ISNUMBER('Dvd Calendar'!$AK$1331)=FALSE,"",IF((Summary!$C$13="N")*('Dvd Calendar'!$AK$1335='Field Check'!$C$25)&gt;0,"",'Dvd Calendar'!$AK$1331)))</f>
        <v/>
      </c>
      <c r="CX97" s="85">
        <f>IF(AJ97="","",IF(ISNUMBER('Dvd Calendar'!$AL$1331)=FALSE,"",IF((Summary!$C$13="N")*('Dvd Calendar'!$AL$1335='Field Check'!$C$25)&gt;0,"",'Dvd Calendar'!$AL$1331)))</f>
        <v/>
      </c>
      <c r="CY97" s="85">
        <f>IF(AK97="","",IF(ISNUMBER('Dvd Calendar'!$AM$1331)=FALSE,"",IF((Summary!$C$13="N")*('Dvd Calendar'!$AM$1335='Field Check'!$C$25)&gt;0,"",'Dvd Calendar'!$AM$1331)))</f>
        <v/>
      </c>
      <c r="CZ97" s="85">
        <f>IF(AL97="","",IF(ISNUMBER('Dvd Calendar'!$AN$1331)=FALSE,"",IF((Summary!$C$13="N")*('Dvd Calendar'!$AN$1335='Field Check'!$C$25)&gt;0,"",'Dvd Calendar'!$AN$1331)))</f>
        <v/>
      </c>
      <c r="DA97" s="85">
        <f>IF(AM97="","",IF(ISNUMBER('Dvd Calendar'!$AO$1331)=FALSE,"",IF((Summary!$C$13="N")*('Dvd Calendar'!$AO$1335='Field Check'!$C$25)&gt;0,"",'Dvd Calendar'!$AO$1331)))</f>
        <v/>
      </c>
      <c r="DB97" s="85">
        <f>IF(AN97="","",IF(ISNUMBER('Dvd Calendar'!$AP$1331)=FALSE,"",IF((Summary!$C$13="N")*('Dvd Calendar'!$AP$1335='Field Check'!$C$25)&gt;0,"",'Dvd Calendar'!$AP$1331)))</f>
        <v/>
      </c>
      <c r="DC97" s="85">
        <f>IF(AO97="","",IF(ISNUMBER('Dvd Calendar'!$AQ$1331)=FALSE,"",IF((Summary!$C$13="N")*('Dvd Calendar'!$AQ$1335='Field Check'!$C$25)&gt;0,"",'Dvd Calendar'!$AQ$1331)))</f>
        <v/>
      </c>
      <c r="DD97" s="85">
        <f>IF(AP97="","",IF(ISNUMBER('Dvd Calendar'!$AR$1331)=FALSE,"",IF((Summary!$C$13="N")*('Dvd Calendar'!$AR$1335='Field Check'!$C$25)&gt;0,"",'Dvd Calendar'!$AR$1331)))</f>
        <v/>
      </c>
      <c r="DE97" s="85">
        <f>IF(AQ97="","",IF(ISNUMBER('Dvd Calendar'!$E$1338)=FALSE,"",IF((Summary!$C$13="N")*('Dvd Calendar'!$E$1342='Field Check'!$C$25)&gt;0,"",'Dvd Calendar'!$E$1338)))</f>
        <v/>
      </c>
      <c r="DF97" s="85">
        <f>IF(AR97="","",IF(ISNUMBER('Dvd Calendar'!$F$1338)=FALSE,"",IF((Summary!$C$13="N")*('Dvd Calendar'!$F$1342='Field Check'!$C$25)&gt;0,"",'Dvd Calendar'!$F$1338)))</f>
        <v/>
      </c>
      <c r="DG97" s="85">
        <f>IF(AS97="","",IF(ISNUMBER('Dvd Calendar'!$G$1338)=FALSE,"",IF((Summary!$C$13="N")*('Dvd Calendar'!$G$1342='Field Check'!$C$25)&gt;0,"",'Dvd Calendar'!$G$1338)))</f>
        <v/>
      </c>
      <c r="DH97" s="85">
        <f>IF(AT97="","",IF(ISNUMBER('Dvd Calendar'!$H$1338)=FALSE,"",IF((Summary!$C$13="N")*('Dvd Calendar'!$H$1342='Field Check'!$C$25)&gt;0,"",'Dvd Calendar'!$H$1338)))</f>
        <v/>
      </c>
      <c r="DI97" s="85">
        <f>IF(AU97="","",IF(ISNUMBER('Dvd Calendar'!$I$1338)=FALSE,"",IF((Summary!$C$13="N")*('Dvd Calendar'!$I$1342='Field Check'!$C$25)&gt;0,"",'Dvd Calendar'!$I$1338)))</f>
        <v/>
      </c>
      <c r="DJ97" s="85">
        <f>IF(AV97="","",IF(ISNUMBER('Dvd Calendar'!$J$1338)=FALSE,"",IF((Summary!$C$13="N")*('Dvd Calendar'!$J$1342='Field Check'!$C$25)&gt;0,"",'Dvd Calendar'!$J$1338)))</f>
        <v/>
      </c>
      <c r="DK97" s="85">
        <f>IF(AW97="","",IF(ISNUMBER('Dvd Calendar'!$K$1338)=FALSE,"",IF((Summary!$C$13="N")*('Dvd Calendar'!$K$1342='Field Check'!$C$25)&gt;0,"",'Dvd Calendar'!$K$1338)))</f>
        <v/>
      </c>
      <c r="DL97" s="85">
        <f>IF(AX97="","",IF(ISNUMBER('Dvd Calendar'!$L$1338)=FALSE,"",IF((Summary!$C$13="N")*('Dvd Calendar'!$L$1342='Field Check'!$C$25)&gt;0,"",'Dvd Calendar'!$L$1338)))</f>
        <v/>
      </c>
      <c r="DM97" s="85">
        <f>IF(AY97="","",IF(ISNUMBER('Dvd Calendar'!$M$1338)=FALSE,"",IF((Summary!$C$13="N")*('Dvd Calendar'!$M$1342='Field Check'!$C$25)&gt;0,"",'Dvd Calendar'!$M$1338)))</f>
        <v/>
      </c>
      <c r="DN97" s="85">
        <f>IF(AZ97="","",IF(ISNUMBER('Dvd Calendar'!$N$1338)=FALSE,"",IF((Summary!$C$13="N")*('Dvd Calendar'!$N$1342='Field Check'!$C$25)&gt;0,"",'Dvd Calendar'!$N$1338)))</f>
        <v/>
      </c>
      <c r="DO97" s="85">
        <f>IF(BA97="","",IF(ISNUMBER('Dvd Calendar'!$O$1338)=FALSE,"",IF((Summary!$C$13="N")*('Dvd Calendar'!$O$1342='Field Check'!$C$25)&gt;0,"",'Dvd Calendar'!$O$1338)))</f>
        <v/>
      </c>
      <c r="DP97" s="85">
        <f>IF(BB97="","",IF(ISNUMBER('Dvd Calendar'!$P$1338)=FALSE,"",IF((Summary!$C$13="N")*('Dvd Calendar'!$P$1342='Field Check'!$C$25)&gt;0,"",'Dvd Calendar'!$P$1338)))</f>
        <v/>
      </c>
      <c r="DQ97" s="85">
        <f>IF(BC97="","",IF(ISNUMBER('Dvd Calendar'!$Q$1338)=FALSE,"",IF((Summary!$C$13="N")*('Dvd Calendar'!$Q$1342='Field Check'!$C$25)&gt;0,"",'Dvd Calendar'!$Q$1338)))</f>
        <v/>
      </c>
      <c r="DR97" s="85">
        <f>IF(BD97="","",IF(ISNUMBER('Dvd Calendar'!$R$1338)=FALSE,"",IF((Summary!$C$13="N")*('Dvd Calendar'!$R$1342='Field Check'!$C$25)&gt;0,"",'Dvd Calendar'!$R$1338)))</f>
        <v/>
      </c>
      <c r="DS97" s="85">
        <f>IF(BE97="","",IF(ISNUMBER('Dvd Calendar'!$S$1338)=FALSE,"",IF((Summary!$C$13="N")*('Dvd Calendar'!$S$1342='Field Check'!$C$25)&gt;0,"",'Dvd Calendar'!$S$1338)))</f>
        <v/>
      </c>
      <c r="DT97" s="85">
        <f>IF(BF97="","",IF(ISNUMBER('Dvd Calendar'!$T$1338)=FALSE,"",IF((Summary!$C$13="N")*('Dvd Calendar'!$T$1342='Field Check'!$C$25)&gt;0,"",'Dvd Calendar'!$T$1338)))</f>
        <v/>
      </c>
      <c r="DU97" s="85">
        <f>IF(BG97="","",IF(ISNUMBER('Dvd Calendar'!$U$1338)=FALSE,"",IF((Summary!$C$13="N")*('Dvd Calendar'!$U$1342='Field Check'!$C$25)&gt;0,"",'Dvd Calendar'!$U$1338)))</f>
        <v/>
      </c>
      <c r="DV97" s="85">
        <f>IF(BH97="","",IF(ISNUMBER('Dvd Calendar'!$V$1338)=FALSE,"",IF((Summary!$C$13="N")*('Dvd Calendar'!$V$1342='Field Check'!$C$25)&gt;0,"",'Dvd Calendar'!$V$1338)))</f>
        <v/>
      </c>
      <c r="DW97" s="85">
        <f>IF(BI97="","",IF(ISNUMBER('Dvd Calendar'!$W$1338)=FALSE,"",IF((Summary!$C$13="N")*('Dvd Calendar'!$W$1342='Field Check'!$C$25)&gt;0,"",'Dvd Calendar'!$W$1338)))</f>
        <v/>
      </c>
      <c r="DX97" s="85">
        <f>IF(BJ97="","",IF(ISNUMBER('Dvd Calendar'!$X$1338)=FALSE,"",IF((Summary!$C$13="N")*('Dvd Calendar'!$X$1342='Field Check'!$C$25)&gt;0,"",'Dvd Calendar'!$X$1338)))</f>
        <v/>
      </c>
      <c r="DY97" s="85">
        <f>IF(BK97="","",IF(ISNUMBER('Dvd Calendar'!$Y$1338)=FALSE,"",IF((Summary!$C$13="N")*('Dvd Calendar'!$Y$1342='Field Check'!$C$25)&gt;0,"",'Dvd Calendar'!$Y$1338)))</f>
        <v/>
      </c>
      <c r="DZ97" s="85">
        <f>IF(BL97="","",IF(ISNUMBER('Dvd Calendar'!$Z$1338)=FALSE,"",IF((Summary!$C$13="N")*('Dvd Calendar'!$Z$1342='Field Check'!$C$25)&gt;0,"",'Dvd Calendar'!$Z$1338)))</f>
        <v/>
      </c>
      <c r="EA97" s="85">
        <f>IF(BM97="","",IF(ISNUMBER('Dvd Calendar'!$AA$1338)=FALSE,"",IF((Summary!$C$13="N")*('Dvd Calendar'!$AA$1342='Field Check'!$C$25)&gt;0,"",'Dvd Calendar'!$AA$1338)))</f>
        <v/>
      </c>
      <c r="EB97" s="85">
        <f>IF(BN97="","",IF(ISNUMBER('Dvd Calendar'!$AB$1338)=FALSE,"",IF((Summary!$C$13="N")*('Dvd Calendar'!$AB$1342='Field Check'!$C$25)&gt;0,"",'Dvd Calendar'!$AB$1338)))</f>
        <v/>
      </c>
      <c r="EC97" s="85">
        <f>IF(BO97="","",IF(ISNUMBER('Dvd Calendar'!$AC$1338)=FALSE,"",IF((Summary!$C$13="N")*('Dvd Calendar'!$AC$1342='Field Check'!$C$25)&gt;0,"",'Dvd Calendar'!$AC$1338)))</f>
        <v/>
      </c>
      <c r="EE97" s="85">
        <f>IF(BQ97="","",IFERROR(BQ97*HSI!$B$95*HSI!$G$95/HSI!$B$3,""))</f>
        <v/>
      </c>
      <c r="EF97" s="85">
        <f>IF(BR97="","",IFERROR(BR97*HSI!$B$95*HSI!$G$95/HSI!$B$3,""))</f>
        <v/>
      </c>
      <c r="EG97" s="85">
        <f>IF(BS97="","",IFERROR(BS97*HSI!$B$95*HSI!$G$95/HSI!$B$3,""))</f>
        <v/>
      </c>
      <c r="EH97" s="85">
        <f>IF(BT97="","",IFERROR(BT97*HSI!$B$95*HSI!$G$95/HSI!$B$3,""))</f>
        <v/>
      </c>
      <c r="EI97" s="85">
        <f>IF(BU97="","",IFERROR(BU97*HSI!$B$95*HSI!$G$95/HSI!$B$3,""))</f>
        <v/>
      </c>
      <c r="EJ97" s="85">
        <f>IF(BV97="","",IFERROR(BV97*HSI!$B$95*HSI!$G$95/HSI!$B$3,""))</f>
        <v/>
      </c>
      <c r="EK97" s="85">
        <f>IF(BW97="","",IFERROR(BW97*HSI!$B$95*HSI!$G$95/HSI!$B$3,""))</f>
        <v/>
      </c>
      <c r="EL97" s="85">
        <f>IF(BX97="","",IFERROR(BX97*HSI!$B$95*HSI!$G$95/HSI!$B$3,""))</f>
        <v/>
      </c>
      <c r="EM97" s="85">
        <f>IF(BY97="","",IFERROR(BY97*HSI!$B$95*HSI!$G$95/HSI!$B$3,""))</f>
        <v/>
      </c>
      <c r="EN97" s="85">
        <f>IF(BZ97="","",IFERROR(BZ97*HSI!$B$95*HSI!$G$95/HSI!$B$3,""))</f>
        <v/>
      </c>
      <c r="EO97" s="85">
        <f>IF(CA97="","",IFERROR(CA97*HSI!$B$95*HSI!$G$95/HSI!$B$3,""))</f>
        <v/>
      </c>
      <c r="EP97" s="85">
        <f>IF(CB97="","",IFERROR(CB97*HSI!$B$95*HSI!$G$95/HSI!$B$3,""))</f>
        <v/>
      </c>
      <c r="EQ97" s="85">
        <f>IF(CC97="","",IFERROR(CC97*HSI!$B$95*HSI!$G$95/HSI!$B$3,""))</f>
        <v/>
      </c>
      <c r="ER97" s="85">
        <f>IF(CD97="","",IFERROR(CD97*HSI!$B$95*HSI!$G$95/HSI!$B$3,""))</f>
        <v/>
      </c>
      <c r="ES97" s="85">
        <f>IF(CE97="","",IFERROR(CE97*HSI!$B$95*HSI!$G$95/HSI!$B$3,""))</f>
        <v/>
      </c>
      <c r="ET97" s="85">
        <f>IF(CF97="","",IFERROR(CF97*HSI!$B$95*HSI!$G$95/HSI!$B$3,""))</f>
        <v/>
      </c>
      <c r="EU97" s="85">
        <f>IF(CG97="","",IFERROR(CG97*HSI!$B$95*HSI!$G$95/HSI!$B$3,""))</f>
        <v/>
      </c>
      <c r="EV97" s="85">
        <f>IF(CH97="","",IFERROR(CH97*HSI!$B$95*HSI!$G$95/HSI!$B$3,""))</f>
        <v/>
      </c>
      <c r="EW97" s="85">
        <f>IF(CI97="","",IFERROR(CI97*HSI!$B$95*HSI!$G$95/HSI!$B$3,""))</f>
        <v/>
      </c>
      <c r="EX97" s="85">
        <f>IF(CJ97="","",IFERROR(CJ97*HSI!$B$95*HSI!$G$95/HSI!$B$3,""))</f>
        <v/>
      </c>
      <c r="EY97" s="85">
        <f>IF(CK97="","",IFERROR(CK97*HSI!$B$95*HSI!$G$95/HSI!$B$3,""))</f>
        <v/>
      </c>
      <c r="EZ97" s="85">
        <f>IF(CL97="","",IFERROR(CL97*HSI!$B$95*HSI!$G$95/HSI!$B$3,""))</f>
        <v/>
      </c>
      <c r="FA97" s="85">
        <f>IF(CM97="","",IFERROR(CM97*HSI!$B$95*HSI!$G$95/HSI!$B$3,""))</f>
        <v/>
      </c>
      <c r="FB97" s="85">
        <f>IF(CN97="","",IFERROR(CN97*HSI!$B$95*HSI!$G$95/HSI!$B$3,""))</f>
        <v/>
      </c>
      <c r="FC97" s="85">
        <f>IF(CO97="","",IFERROR(CO97*HSI!$B$95*HSI!$G$95/HSI!$B$3,""))</f>
        <v/>
      </c>
      <c r="FD97" s="85">
        <f>IF(CP97="","",IFERROR(CP97*HSI!$B$95*HSI!$G$95/HSI!$B$3,""))</f>
        <v/>
      </c>
      <c r="FE97" s="85">
        <f>IF(CQ97="","",IFERROR(CQ97*HSI!$B$95*HSI!$G$95/HSI!$B$3,""))</f>
        <v/>
      </c>
      <c r="FF97" s="85">
        <f>IF(CR97="","",IFERROR(CR97*HSI!$B$95*HSI!$G$95/HSI!$B$3,""))</f>
        <v/>
      </c>
      <c r="FG97" s="85">
        <f>IF(CS97="","",IFERROR(CS97*HSI!$B$95*HSI!$G$95/HSI!$B$3,""))</f>
        <v/>
      </c>
      <c r="FH97" s="85">
        <f>IF(CT97="","",IFERROR(CT97*HSI!$B$95*HSI!$G$95/HSI!$B$3,""))</f>
        <v/>
      </c>
      <c r="FI97" s="85">
        <f>IF(CU97="","",IFERROR(CU97*HSI!$B$95*HSI!$G$95/HSI!$B$3,""))</f>
        <v/>
      </c>
      <c r="FJ97" s="85">
        <f>IF(CV97="","",IFERROR(CV97*HSI!$B$95*HSI!$G$95/HSI!$B$3,""))</f>
        <v/>
      </c>
      <c r="FK97" s="85">
        <f>IF(CW97="","",IFERROR(CW97*HSI!$B$95*HSI!$G$95/HSI!$B$3,""))</f>
        <v/>
      </c>
      <c r="FL97" s="85">
        <f>IF(CX97="","",IFERROR(CX97*HSI!$B$95*HSI!$G$95/HSI!$B$3,""))</f>
        <v/>
      </c>
      <c r="FM97" s="85">
        <f>IF(CY97="","",IFERROR(CY97*HSI!$B$95*HSI!$G$95/HSI!$B$3,""))</f>
        <v/>
      </c>
      <c r="FN97" s="85">
        <f>IF(CZ97="","",IFERROR(CZ97*HSI!$B$95*HSI!$G$95/HSI!$B$3,""))</f>
        <v/>
      </c>
      <c r="FO97" s="85">
        <f>IF(DA97="","",IFERROR(DA97*HSI!$B$95*HSI!$G$95/HSI!$B$3,""))</f>
        <v/>
      </c>
      <c r="FP97" s="85">
        <f>IF(DB97="","",IFERROR(DB97*HSI!$B$95*HSI!$G$95/HSI!$B$3,""))</f>
        <v/>
      </c>
      <c r="FQ97" s="85">
        <f>IF(DC97="","",IFERROR(DC97*HSI!$B$95*HSI!$G$95/HSI!$B$3,""))</f>
        <v/>
      </c>
      <c r="FR97" s="85">
        <f>IF(DD97="","",IFERROR(DD97*HSI!$B$95*HSI!$G$95/HSI!$B$3,""))</f>
        <v/>
      </c>
      <c r="FS97" s="85">
        <f>IF(DE97="","",IFERROR(DE97*HSI!$B$95*HSI!$G$95/HSI!$B$3,""))</f>
        <v/>
      </c>
      <c r="FT97" s="85">
        <f>IF(DF97="","",IFERROR(DF97*HSI!$B$95*HSI!$G$95/HSI!$B$3,""))</f>
        <v/>
      </c>
      <c r="FU97" s="85">
        <f>IF(DG97="","",IFERROR(DG97*HSI!$B$95*HSI!$G$95/HSI!$B$3,""))</f>
        <v/>
      </c>
      <c r="FV97" s="85">
        <f>IF(DH97="","",IFERROR(DH97*HSI!$B$95*HSI!$G$95/HSI!$B$3,""))</f>
        <v/>
      </c>
      <c r="FW97" s="85">
        <f>IF(DI97="","",IFERROR(DI97*HSI!$B$95*HSI!$G$95/HSI!$B$3,""))</f>
        <v/>
      </c>
      <c r="FX97" s="85">
        <f>IF(DJ97="","",IFERROR(DJ97*HSI!$B$95*HSI!$G$95/HSI!$B$3,""))</f>
        <v/>
      </c>
      <c r="FY97" s="85">
        <f>IF(DK97="","",IFERROR(DK97*HSI!$B$95*HSI!$G$95/HSI!$B$3,""))</f>
        <v/>
      </c>
      <c r="FZ97" s="85">
        <f>IF(DL97="","",IFERROR(DL97*HSI!$B$95*HSI!$G$95/HSI!$B$3,""))</f>
        <v/>
      </c>
      <c r="GA97" s="85">
        <f>IF(DM97="","",IFERROR(DM97*HSI!$B$95*HSI!$G$95/HSI!$B$3,""))</f>
        <v/>
      </c>
      <c r="GB97" s="85">
        <f>IF(DN97="","",IFERROR(DN97*HSI!$B$95*HSI!$G$95/HSI!$B$3,""))</f>
        <v/>
      </c>
      <c r="GC97" s="85">
        <f>IF(DO97="","",IFERROR(DO97*HSI!$B$95*HSI!$G$95/HSI!$B$3,""))</f>
        <v/>
      </c>
      <c r="GD97" s="85">
        <f>IF(DP97="","",IFERROR(DP97*HSI!$B$95*HSI!$G$95/HSI!$B$3,""))</f>
        <v/>
      </c>
      <c r="GE97" s="85">
        <f>IF(DQ97="","",IFERROR(DQ97*HSI!$B$95*HSI!$G$95/HSI!$B$3,""))</f>
        <v/>
      </c>
      <c r="GF97" s="85">
        <f>IF(DR97="","",IFERROR(DR97*HSI!$B$95*HSI!$G$95/HSI!$B$3,""))</f>
        <v/>
      </c>
      <c r="GG97" s="85">
        <f>IF(DS97="","",IFERROR(DS97*HSI!$B$95*HSI!$G$95/HSI!$B$3,""))</f>
        <v/>
      </c>
      <c r="GH97" s="85">
        <f>IF(DT97="","",IFERROR(DT97*HSI!$B$95*HSI!$G$95/HSI!$B$3,""))</f>
        <v/>
      </c>
      <c r="GI97" s="85">
        <f>IF(DU97="","",IFERROR(DU97*HSI!$B$95*HSI!$G$95/HSI!$B$3,""))</f>
        <v/>
      </c>
      <c r="GJ97" s="85">
        <f>IF(DV97="","",IFERROR(DV97*HSI!$B$95*HSI!$G$95/HSI!$B$3,""))</f>
        <v/>
      </c>
      <c r="GK97" s="85">
        <f>IF(DW97="","",IFERROR(DW97*HSI!$B$95*HSI!$G$95/HSI!$B$3,""))</f>
        <v/>
      </c>
      <c r="GL97" s="85">
        <f>IF(DX97="","",IFERROR(DX97*HSI!$B$95*HSI!$G$95/HSI!$B$3,""))</f>
        <v/>
      </c>
      <c r="GM97" s="85">
        <f>IF(DY97="","",IFERROR(DY97*HSI!$B$95*HSI!$G$95/HSI!$B$3,""))</f>
        <v/>
      </c>
      <c r="GN97" s="85">
        <f>IF(DZ97="","",IFERROR(DZ97*HSI!$B$95*HSI!$G$95/HSI!$B$3,""))</f>
        <v/>
      </c>
      <c r="GO97" s="85">
        <f>IF(EA97="","",IFERROR(EA97*HSI!$B$95*HSI!$G$95/HSI!$B$3,""))</f>
        <v/>
      </c>
      <c r="GP97" s="85">
        <f>IF(EB97="","",IFERROR(EB97*HSI!$B$95*HSI!$G$95/HSI!$B$3,""))</f>
        <v/>
      </c>
      <c r="GQ97" s="85">
        <f>IF(EC97="","",IFERROR(EC97*HSI!$B$95*HSI!$G$95/HSI!$B$3,""))</f>
        <v/>
      </c>
    </row>
    <row r="98">
      <c r="B98" s="2">
        <f>IF(HSI!$C$96="","",HSI!$C$96)</f>
        <v/>
      </c>
      <c r="C98" s="41">
        <f>IF(N('Dvd Calendar'!$E$1345)=0,"",IF(('Dvd Calendar'!$E$1345&gt;=MIN(DATE(Summary!$C$12,1,1),Summary!$C$11))*('Dvd Calendar'!$E$1345&lt;=MAX(DATE(Summary!$C$12,12,31),Summary!$C$15))*('Dvd Calendar'!$E$1345&lt;=Summary!$C$11)=0,"",'Dvd Calendar'!$E$1345*1000000000+ISNUMBER('Dvd Calendar'!$E$1346)*100000000+('Dvd Calendar'!$E$1350='Field Check'!$C$25)*10000000+(N('Dvd Calendar'!$E$1344)&gt;0)*1000000+90*1000+1))</f>
        <v/>
      </c>
      <c r="D98" s="41">
        <f>IF(N('Dvd Calendar'!$F$1345)=0,"",IF(('Dvd Calendar'!$F$1345&gt;=MIN(DATE(Summary!$C$12,1,1),Summary!$C$11))*('Dvd Calendar'!$F$1345&lt;=MAX(DATE(Summary!$C$12,12,31),Summary!$C$15))*('Dvd Calendar'!$F$1345&lt;=Summary!$C$11)=0,"",'Dvd Calendar'!$F$1345*1000000000+ISNUMBER('Dvd Calendar'!$F$1346)*100000000+('Dvd Calendar'!$F$1350='Field Check'!$C$25)*10000000+(N('Dvd Calendar'!$F$1344)&gt;0)*1000000+90*1000+2))</f>
        <v/>
      </c>
      <c r="E98" s="41">
        <f>IF(N('Dvd Calendar'!$G$1345)=0,"",IF(('Dvd Calendar'!$G$1345&gt;=MIN(DATE(Summary!$C$12,1,1),Summary!$C$11))*('Dvd Calendar'!$G$1345&lt;=MAX(DATE(Summary!$C$12,12,31),Summary!$C$15))*('Dvd Calendar'!$G$1345&lt;=Summary!$C$11)=0,"",'Dvd Calendar'!$G$1345*1000000000+ISNUMBER('Dvd Calendar'!$G$1346)*100000000+('Dvd Calendar'!$G$1350='Field Check'!$C$25)*10000000+(N('Dvd Calendar'!$G$1344)&gt;0)*1000000+90*1000+3))</f>
        <v/>
      </c>
      <c r="F98" s="41">
        <f>IF(N('Dvd Calendar'!$H$1345)=0,"",IF(('Dvd Calendar'!$H$1345&gt;=MIN(DATE(Summary!$C$12,1,1),Summary!$C$11))*('Dvd Calendar'!$H$1345&lt;=MAX(DATE(Summary!$C$12,12,31),Summary!$C$15))*('Dvd Calendar'!$H$1345&lt;=Summary!$C$11)=0,"",'Dvd Calendar'!$H$1345*1000000000+ISNUMBER('Dvd Calendar'!$H$1346)*100000000+('Dvd Calendar'!$H$1350='Field Check'!$C$25)*10000000+(N('Dvd Calendar'!$H$1344)&gt;0)*1000000+90*1000+4))</f>
        <v/>
      </c>
      <c r="G98" s="41">
        <f>IF(N('Dvd Calendar'!$I$1345)=0,"",IF(('Dvd Calendar'!$I$1345&gt;=MIN(DATE(Summary!$C$12,1,1),Summary!$C$11))*('Dvd Calendar'!$I$1345&lt;=MAX(DATE(Summary!$C$12,12,31),Summary!$C$15))*('Dvd Calendar'!$I$1345&lt;=Summary!$C$11)=0,"",'Dvd Calendar'!$I$1345*1000000000+ISNUMBER('Dvd Calendar'!$I$1346)*100000000+('Dvd Calendar'!$I$1350='Field Check'!$C$25)*10000000+(N('Dvd Calendar'!$I$1344)&gt;0)*1000000+90*1000+5))</f>
        <v/>
      </c>
      <c r="H98" s="41">
        <f>IF(N('Dvd Calendar'!$J$1345)=0,"",IF(('Dvd Calendar'!$J$1345&gt;=MIN(DATE(Summary!$C$12,1,1),Summary!$C$11))*('Dvd Calendar'!$J$1345&lt;=MAX(DATE(Summary!$C$12,12,31),Summary!$C$15))*('Dvd Calendar'!$J$1345&lt;=Summary!$C$11)=0,"",'Dvd Calendar'!$J$1345*1000000000+ISNUMBER('Dvd Calendar'!$J$1346)*100000000+('Dvd Calendar'!$J$1350='Field Check'!$C$25)*10000000+(N('Dvd Calendar'!$J$1344)&gt;0)*1000000+90*1000+6))</f>
        <v/>
      </c>
      <c r="I98" s="41">
        <f>IF(N('Dvd Calendar'!$K$1345)=0,"",IF(('Dvd Calendar'!$K$1345&gt;=MIN(DATE(Summary!$C$12,1,1),Summary!$C$11))*('Dvd Calendar'!$K$1345&lt;=MAX(DATE(Summary!$C$12,12,31),Summary!$C$15))*('Dvd Calendar'!$K$1345&lt;=Summary!$C$11)=0,"",'Dvd Calendar'!$K$1345*1000000000+ISNUMBER('Dvd Calendar'!$K$1346)*100000000+('Dvd Calendar'!$K$1350='Field Check'!$C$25)*10000000+(N('Dvd Calendar'!$K$1344)&gt;0)*1000000+90*1000+7))</f>
        <v/>
      </c>
      <c r="J98" s="41">
        <f>IF(N('Dvd Calendar'!$L$1345)=0,"",IF(('Dvd Calendar'!$L$1345&gt;=MIN(DATE(Summary!$C$12,1,1),Summary!$C$11))*('Dvd Calendar'!$L$1345&lt;=MAX(DATE(Summary!$C$12,12,31),Summary!$C$15))*('Dvd Calendar'!$L$1345&lt;=Summary!$C$11)=0,"",'Dvd Calendar'!$L$1345*1000000000+ISNUMBER('Dvd Calendar'!$L$1346)*100000000+('Dvd Calendar'!$L$1350='Field Check'!$C$25)*10000000+(N('Dvd Calendar'!$L$1344)&gt;0)*1000000+90*1000+8))</f>
        <v/>
      </c>
      <c r="K98" s="41">
        <f>IF(N('Dvd Calendar'!$M$1345)=0,"",IF(('Dvd Calendar'!$M$1345&gt;=MIN(DATE(Summary!$C$12,1,1),Summary!$C$11))*('Dvd Calendar'!$M$1345&lt;=MAX(DATE(Summary!$C$12,12,31),Summary!$C$15))*('Dvd Calendar'!$M$1345&lt;=Summary!$C$11)=0,"",'Dvd Calendar'!$M$1345*1000000000+ISNUMBER('Dvd Calendar'!$M$1346)*100000000+('Dvd Calendar'!$M$1350='Field Check'!$C$25)*10000000+(N('Dvd Calendar'!$M$1344)&gt;0)*1000000+90*1000+9))</f>
        <v/>
      </c>
      <c r="L98" s="41">
        <f>IF(N('Dvd Calendar'!$N$1345)=0,"",IF(('Dvd Calendar'!$N$1345&gt;=MIN(DATE(Summary!$C$12,1,1),Summary!$C$11))*('Dvd Calendar'!$N$1345&lt;=MAX(DATE(Summary!$C$12,12,31),Summary!$C$15))*('Dvd Calendar'!$N$1345&lt;=Summary!$C$11)=0,"",'Dvd Calendar'!$N$1345*1000000000+ISNUMBER('Dvd Calendar'!$N$1346)*100000000+('Dvd Calendar'!$N$1350='Field Check'!$C$25)*10000000+(N('Dvd Calendar'!$N$1344)&gt;0)*1000000+90*1000+10))</f>
        <v/>
      </c>
      <c r="M98" s="41">
        <f>IF(N('Dvd Calendar'!$O$1345)=0,"",IF(('Dvd Calendar'!$O$1345&gt;=MIN(DATE(Summary!$C$12,1,1),Summary!$C$11))*('Dvd Calendar'!$O$1345&lt;=MAX(DATE(Summary!$C$12,12,31),Summary!$C$15))*('Dvd Calendar'!$O$1345&lt;=Summary!$C$11)=0,"",'Dvd Calendar'!$O$1345*1000000000+ISNUMBER('Dvd Calendar'!$O$1346)*100000000+('Dvd Calendar'!$O$1350='Field Check'!$C$25)*10000000+(N('Dvd Calendar'!$O$1344)&gt;0)*1000000+90*1000+11))</f>
        <v/>
      </c>
      <c r="N98" s="41">
        <f>IF(N('Dvd Calendar'!$P$1345)=0,"",IF(('Dvd Calendar'!$P$1345&gt;=MIN(DATE(Summary!$C$12,1,1),Summary!$C$11))*('Dvd Calendar'!$P$1345&lt;=MAX(DATE(Summary!$C$12,12,31),Summary!$C$15))*('Dvd Calendar'!$P$1345&lt;=Summary!$C$11)=0,"",'Dvd Calendar'!$P$1345*1000000000+ISNUMBER('Dvd Calendar'!$P$1346)*100000000+('Dvd Calendar'!$P$1350='Field Check'!$C$25)*10000000+(N('Dvd Calendar'!$P$1344)&gt;0)*1000000+90*1000+12))</f>
        <v/>
      </c>
      <c r="O98" s="41">
        <f>IF(N('Dvd Calendar'!$Q$1345)=0,"",IF(('Dvd Calendar'!$Q$1345&gt;=MIN(DATE(Summary!$C$12,1,1),Summary!$C$11))*('Dvd Calendar'!$Q$1345&lt;=MAX(DATE(Summary!$C$12,12,31),Summary!$C$15))*('Dvd Calendar'!$Q$1345&lt;=Summary!$C$11)=0,"",'Dvd Calendar'!$Q$1345*1000000000+ISNUMBER('Dvd Calendar'!$Q$1346)*100000000+('Dvd Calendar'!$Q$1350='Field Check'!$C$25)*10000000+(N('Dvd Calendar'!$Q$1344)&gt;0)*1000000+90*1000+13))</f>
        <v/>
      </c>
      <c r="P98" s="41">
        <f>IF(N('Dvd Calendar'!$R$1345)=0,"",IF(('Dvd Calendar'!$R$1345&gt;=MIN(DATE(Summary!$C$12,1,1),Summary!$C$11))*('Dvd Calendar'!$R$1345&lt;=MAX(DATE(Summary!$C$12,12,31),Summary!$C$15))*('Dvd Calendar'!$R$1345&lt;=Summary!$C$11)=0,"",'Dvd Calendar'!$R$1345*1000000000+ISNUMBER('Dvd Calendar'!$R$1346)*100000000+('Dvd Calendar'!$R$1350='Field Check'!$C$25)*10000000+(N('Dvd Calendar'!$R$1344)&gt;0)*1000000+90*1000+14))</f>
        <v/>
      </c>
      <c r="Q98" s="41">
        <f>IF(N('Dvd Calendar'!$S$1345)=0,"",IF(('Dvd Calendar'!$S$1345&gt;=MIN(DATE(Summary!$C$12,1,1),Summary!$C$11))*('Dvd Calendar'!$S$1345&lt;=MAX(DATE(Summary!$C$12,12,31),Summary!$C$15))*('Dvd Calendar'!$S$1345&lt;=Summary!$C$11)=0,"",'Dvd Calendar'!$S$1345*1000000000+ISNUMBER('Dvd Calendar'!$S$1346)*100000000+('Dvd Calendar'!$S$1350='Field Check'!$C$25)*10000000+(N('Dvd Calendar'!$S$1344)&gt;0)*1000000+90*1000+15))</f>
        <v/>
      </c>
      <c r="R98" s="41">
        <f>IF(N('Dvd Calendar'!$T$1345)=0,"",IF(('Dvd Calendar'!$T$1345&gt;=MIN(DATE(Summary!$C$12,1,1),Summary!$C$11))*('Dvd Calendar'!$T$1345&lt;=MAX(DATE(Summary!$C$12,12,31),Summary!$C$15))*('Dvd Calendar'!$T$1345&lt;=Summary!$C$11)=0,"",'Dvd Calendar'!$T$1345*1000000000+ISNUMBER('Dvd Calendar'!$T$1346)*100000000+('Dvd Calendar'!$T$1350='Field Check'!$C$25)*10000000+(N('Dvd Calendar'!$T$1344)&gt;0)*1000000+90*1000+16))</f>
        <v/>
      </c>
      <c r="S98" s="41">
        <f>IF(N('Dvd Calendar'!$U$1345)=0,"",IF(('Dvd Calendar'!$U$1345&gt;=MIN(DATE(Summary!$C$12,1,1),Summary!$C$11))*('Dvd Calendar'!$U$1345&lt;=MAX(DATE(Summary!$C$12,12,31),Summary!$C$15))*('Dvd Calendar'!$U$1345&lt;=Summary!$C$11)=0,"",'Dvd Calendar'!$U$1345*1000000000+ISNUMBER('Dvd Calendar'!$U$1346)*100000000+('Dvd Calendar'!$U$1350='Field Check'!$C$25)*10000000+(N('Dvd Calendar'!$U$1344)&gt;0)*1000000+90*1000+17))</f>
        <v/>
      </c>
      <c r="T98" s="41">
        <f>IF(N('Dvd Calendar'!$V$1345)=0,"",IF(('Dvd Calendar'!$V$1345&gt;=MIN(DATE(Summary!$C$12,1,1),Summary!$C$11))*('Dvd Calendar'!$V$1345&lt;=MAX(DATE(Summary!$C$12,12,31),Summary!$C$15))*('Dvd Calendar'!$V$1345&lt;=Summary!$C$11)=0,"",'Dvd Calendar'!$V$1345*1000000000+ISNUMBER('Dvd Calendar'!$V$1346)*100000000+('Dvd Calendar'!$V$1350='Field Check'!$C$25)*10000000+(N('Dvd Calendar'!$V$1344)&gt;0)*1000000+90*1000+18))</f>
        <v/>
      </c>
      <c r="U98" s="41">
        <f>IF(N('Dvd Calendar'!$W$1345)=0,"",IF(('Dvd Calendar'!$W$1345&gt;=MIN(DATE(Summary!$C$12,1,1),Summary!$C$11))*('Dvd Calendar'!$W$1345&lt;=MAX(DATE(Summary!$C$12,12,31),Summary!$C$15))*('Dvd Calendar'!$W$1345&lt;=Summary!$C$11)=0,"",'Dvd Calendar'!$W$1345*1000000000+ISNUMBER('Dvd Calendar'!$W$1346)*100000000+('Dvd Calendar'!$W$1350='Field Check'!$C$25)*10000000+(N('Dvd Calendar'!$W$1344)&gt;0)*1000000+90*1000+19))</f>
        <v/>
      </c>
      <c r="V98" s="41">
        <f>IF(N('Dvd Calendar'!$X$1345)=0,"",IF(('Dvd Calendar'!$X$1345&gt;=MIN(DATE(Summary!$C$12,1,1),Summary!$C$11))*('Dvd Calendar'!$X$1345&lt;=MAX(DATE(Summary!$C$12,12,31),Summary!$C$15))*('Dvd Calendar'!$X$1345&lt;=Summary!$C$11)=0,"",'Dvd Calendar'!$X$1345*1000000000+ISNUMBER('Dvd Calendar'!$X$1346)*100000000+('Dvd Calendar'!$X$1350='Field Check'!$C$25)*10000000+(N('Dvd Calendar'!$X$1344)&gt;0)*1000000+90*1000+20))</f>
        <v/>
      </c>
      <c r="W98" s="41">
        <f>IF(N('Dvd Calendar'!$Y$1345)=0,"",IF(('Dvd Calendar'!$Y$1345&gt;=MIN(DATE(Summary!$C$12,1,1),Summary!$C$11))*('Dvd Calendar'!$Y$1345&lt;=MAX(DATE(Summary!$C$12,12,31),Summary!$C$15))*('Dvd Calendar'!$Y$1345&lt;=Summary!$C$11)=0,"",'Dvd Calendar'!$Y$1345*1000000000+ISNUMBER('Dvd Calendar'!$Y$1346)*100000000+('Dvd Calendar'!$Y$1350='Field Check'!$C$25)*10000000+(N('Dvd Calendar'!$Y$1344)&gt;0)*1000000+90*1000+21))</f>
        <v/>
      </c>
      <c r="X98" s="41">
        <f>IF(N('Dvd Calendar'!$Z$1345)=0,"",IF(('Dvd Calendar'!$Z$1345&gt;=MIN(DATE(Summary!$C$12,1,1),Summary!$C$11))*('Dvd Calendar'!$Z$1345&lt;=MAX(DATE(Summary!$C$12,12,31),Summary!$C$15))*('Dvd Calendar'!$Z$1345&lt;=Summary!$C$11)=0,"",'Dvd Calendar'!$Z$1345*1000000000+ISNUMBER('Dvd Calendar'!$Z$1346)*100000000+('Dvd Calendar'!$Z$1350='Field Check'!$C$25)*10000000+(N('Dvd Calendar'!$Z$1344)&gt;0)*1000000+90*1000+22))</f>
        <v/>
      </c>
      <c r="Y98" s="41">
        <f>IF(N('Dvd Calendar'!$AA$1345)=0,"",IF(('Dvd Calendar'!$AA$1345&gt;=MIN(DATE(Summary!$C$12,1,1),Summary!$C$11))*('Dvd Calendar'!$AA$1345&lt;=MAX(DATE(Summary!$C$12,12,31),Summary!$C$15))*('Dvd Calendar'!$AA$1345&lt;=Summary!$C$11)=0,"",'Dvd Calendar'!$AA$1345*1000000000+ISNUMBER('Dvd Calendar'!$AA$1346)*100000000+('Dvd Calendar'!$AA$1350='Field Check'!$C$25)*10000000+(N('Dvd Calendar'!$AA$1344)&gt;0)*1000000+90*1000+23))</f>
        <v/>
      </c>
      <c r="Z98" s="41">
        <f>IF(N('Dvd Calendar'!$AB$1345)=0,"",IF(('Dvd Calendar'!$AB$1345&gt;=MIN(DATE(Summary!$C$12,1,1),Summary!$C$11))*('Dvd Calendar'!$AB$1345&lt;=MAX(DATE(Summary!$C$12,12,31),Summary!$C$15))*('Dvd Calendar'!$AB$1345&lt;=Summary!$C$11)=0,"",'Dvd Calendar'!$AB$1345*1000000000+ISNUMBER('Dvd Calendar'!$AB$1346)*100000000+('Dvd Calendar'!$AB$1350='Field Check'!$C$25)*10000000+(N('Dvd Calendar'!$AB$1344)&gt;0)*1000000+90*1000+24))</f>
        <v/>
      </c>
      <c r="AA98" s="41">
        <f>IF(N('Dvd Calendar'!$AC$1345)=0,"",IF(('Dvd Calendar'!$AC$1345&gt;=MIN(DATE(Summary!$C$12,1,1),Summary!$C$11))*('Dvd Calendar'!$AC$1345&lt;=MAX(DATE(Summary!$C$12,12,31),Summary!$C$15))*('Dvd Calendar'!$AC$1345&lt;=Summary!$C$11)=0,"",'Dvd Calendar'!$AC$1345*1000000000+ISNUMBER('Dvd Calendar'!$AC$1346)*100000000+('Dvd Calendar'!$AC$1350='Field Check'!$C$25)*10000000+(N('Dvd Calendar'!$AC$1344)&gt;0)*1000000+90*1000+25))</f>
        <v/>
      </c>
      <c r="AB98" s="41">
        <f>IF(N('Dvd Calendar'!$AD$1345)=0,"",IF(('Dvd Calendar'!$AD$1345&gt;=MIN(DATE(Summary!$C$12,1,1),Summary!$C$11))*('Dvd Calendar'!$AD$1345&lt;=MAX(DATE(Summary!$C$12,12,31),Summary!$C$15))*('Dvd Calendar'!$AD$1345&lt;=Summary!$C$11)=0,"",'Dvd Calendar'!$AD$1345*1000000000+ISNUMBER('Dvd Calendar'!$AD$1346)*100000000+('Dvd Calendar'!$AD$1350='Field Check'!$C$25)*10000000+(N('Dvd Calendar'!$AD$1344)&gt;0)*1000000+90*1000+26))</f>
        <v/>
      </c>
      <c r="AC98" s="41">
        <f>IF(N('Dvd Calendar'!$AE$1345)=0,"",IF(('Dvd Calendar'!$AE$1345&gt;=MIN(DATE(Summary!$C$12,1,1),Summary!$C$11))*('Dvd Calendar'!$AE$1345&lt;=MAX(DATE(Summary!$C$12,12,31),Summary!$C$15))*('Dvd Calendar'!$AE$1345&lt;=Summary!$C$11)=0,"",'Dvd Calendar'!$AE$1345*1000000000+ISNUMBER('Dvd Calendar'!$AE$1346)*100000000+('Dvd Calendar'!$AE$1350='Field Check'!$C$25)*10000000+(N('Dvd Calendar'!$AE$1344)&gt;0)*1000000+90*1000+27))</f>
        <v/>
      </c>
      <c r="AD98" s="41">
        <f>IF(N('Dvd Calendar'!$AF$1345)=0,"",IF(('Dvd Calendar'!$AF$1345&gt;=MIN(DATE(Summary!$C$12,1,1),Summary!$C$11))*('Dvd Calendar'!$AF$1345&lt;=MAX(DATE(Summary!$C$12,12,31),Summary!$C$15))*('Dvd Calendar'!$AF$1345&lt;=Summary!$C$11)=0,"",'Dvd Calendar'!$AF$1345*1000000000+ISNUMBER('Dvd Calendar'!$AF$1346)*100000000+('Dvd Calendar'!$AF$1350='Field Check'!$C$25)*10000000+(N('Dvd Calendar'!$AF$1344)&gt;0)*1000000+90*1000+28))</f>
        <v/>
      </c>
      <c r="AE98" s="41">
        <f>IF(N('Dvd Calendar'!$AG$1345)=0,"",IF(('Dvd Calendar'!$AG$1345&gt;=MIN(DATE(Summary!$C$12,1,1),Summary!$C$11))*('Dvd Calendar'!$AG$1345&lt;=MAX(DATE(Summary!$C$12,12,31),Summary!$C$15))*('Dvd Calendar'!$AG$1345&lt;=Summary!$C$11)=0,"",'Dvd Calendar'!$AG$1345*1000000000+ISNUMBER('Dvd Calendar'!$AG$1346)*100000000+('Dvd Calendar'!$AG$1350='Field Check'!$C$25)*10000000+(N('Dvd Calendar'!$AG$1344)&gt;0)*1000000+90*1000+29))</f>
        <v/>
      </c>
      <c r="AF98" s="41">
        <f>IF(N('Dvd Calendar'!$AH$1345)=0,"",IF(('Dvd Calendar'!$AH$1345&gt;=MIN(DATE(Summary!$C$12,1,1),Summary!$C$11))*('Dvd Calendar'!$AH$1345&lt;=MAX(DATE(Summary!$C$12,12,31),Summary!$C$15))*('Dvd Calendar'!$AH$1345&lt;=Summary!$C$11)=0,"",'Dvd Calendar'!$AH$1345*1000000000+ISNUMBER('Dvd Calendar'!$AH$1346)*100000000+('Dvd Calendar'!$AH$1350='Field Check'!$C$25)*10000000+(N('Dvd Calendar'!$AH$1344)&gt;0)*1000000+90*1000+30))</f>
        <v/>
      </c>
      <c r="AG98" s="41">
        <f>IF(N('Dvd Calendar'!$AI$1345)=0,"",IF(('Dvd Calendar'!$AI$1345&gt;=MIN(DATE(Summary!$C$12,1,1),Summary!$C$11))*('Dvd Calendar'!$AI$1345&lt;=MAX(DATE(Summary!$C$12,12,31),Summary!$C$15))*('Dvd Calendar'!$AI$1345&lt;=Summary!$C$11)=0,"",'Dvd Calendar'!$AI$1345*1000000000+ISNUMBER('Dvd Calendar'!$AI$1346)*100000000+('Dvd Calendar'!$AI$1350='Field Check'!$C$25)*10000000+(N('Dvd Calendar'!$AI$1344)&gt;0)*1000000+90*1000+31))</f>
        <v/>
      </c>
      <c r="AH98" s="41">
        <f>IF(N('Dvd Calendar'!$AJ$1345)=0,"",IF(('Dvd Calendar'!$AJ$1345&gt;=MIN(DATE(Summary!$C$12,1,1),Summary!$C$11))*('Dvd Calendar'!$AJ$1345&lt;=MAX(DATE(Summary!$C$12,12,31),Summary!$C$15))*('Dvd Calendar'!$AJ$1345&lt;=Summary!$C$11)=0,"",'Dvd Calendar'!$AJ$1345*1000000000+ISNUMBER('Dvd Calendar'!$AJ$1346)*100000000+('Dvd Calendar'!$AJ$1350='Field Check'!$C$25)*10000000+(N('Dvd Calendar'!$AJ$1344)&gt;0)*1000000+90*1000+32))</f>
        <v/>
      </c>
      <c r="AI98" s="41">
        <f>IF(N('Dvd Calendar'!$AK$1345)=0,"",IF(('Dvd Calendar'!$AK$1345&gt;=MIN(DATE(Summary!$C$12,1,1),Summary!$C$11))*('Dvd Calendar'!$AK$1345&lt;=MAX(DATE(Summary!$C$12,12,31),Summary!$C$15))*('Dvd Calendar'!$AK$1345&lt;=Summary!$C$11)=0,"",'Dvd Calendar'!$AK$1345*1000000000+ISNUMBER('Dvd Calendar'!$AK$1346)*100000000+('Dvd Calendar'!$AK$1350='Field Check'!$C$25)*10000000+(N('Dvd Calendar'!$AK$1344)&gt;0)*1000000+90*1000+33))</f>
        <v/>
      </c>
      <c r="AJ98" s="41">
        <f>IF(N('Dvd Calendar'!$AL$1345)=0,"",IF(('Dvd Calendar'!$AL$1345&gt;=MIN(DATE(Summary!$C$12,1,1),Summary!$C$11))*('Dvd Calendar'!$AL$1345&lt;=MAX(DATE(Summary!$C$12,12,31),Summary!$C$15))*('Dvd Calendar'!$AL$1345&lt;=Summary!$C$11)=0,"",'Dvd Calendar'!$AL$1345*1000000000+ISNUMBER('Dvd Calendar'!$AL$1346)*100000000+('Dvd Calendar'!$AL$1350='Field Check'!$C$25)*10000000+(N('Dvd Calendar'!$AL$1344)&gt;0)*1000000+90*1000+34))</f>
        <v/>
      </c>
      <c r="AK98" s="41">
        <f>IF(N('Dvd Calendar'!$AM$1345)=0,"",IF(('Dvd Calendar'!$AM$1345&gt;=MIN(DATE(Summary!$C$12,1,1),Summary!$C$11))*('Dvd Calendar'!$AM$1345&lt;=MAX(DATE(Summary!$C$12,12,31),Summary!$C$15))*('Dvd Calendar'!$AM$1345&lt;=Summary!$C$11)=0,"",'Dvd Calendar'!$AM$1345*1000000000+ISNUMBER('Dvd Calendar'!$AM$1346)*100000000+('Dvd Calendar'!$AM$1350='Field Check'!$C$25)*10000000+(N('Dvd Calendar'!$AM$1344)&gt;0)*1000000+90*1000+35))</f>
        <v/>
      </c>
      <c r="AL98" s="41">
        <f>IF(N('Dvd Calendar'!$AN$1345)=0,"",IF(('Dvd Calendar'!$AN$1345&gt;=MIN(DATE(Summary!$C$12,1,1),Summary!$C$11))*('Dvd Calendar'!$AN$1345&lt;=MAX(DATE(Summary!$C$12,12,31),Summary!$C$15))*('Dvd Calendar'!$AN$1345&lt;=Summary!$C$11)=0,"",'Dvd Calendar'!$AN$1345*1000000000+ISNUMBER('Dvd Calendar'!$AN$1346)*100000000+('Dvd Calendar'!$AN$1350='Field Check'!$C$25)*10000000+(N('Dvd Calendar'!$AN$1344)&gt;0)*1000000+90*1000+36))</f>
        <v/>
      </c>
      <c r="AM98" s="41">
        <f>IF(N('Dvd Calendar'!$AO$1345)=0,"",IF(('Dvd Calendar'!$AO$1345&gt;=MIN(DATE(Summary!$C$12,1,1),Summary!$C$11))*('Dvd Calendar'!$AO$1345&lt;=MAX(DATE(Summary!$C$12,12,31),Summary!$C$15))*('Dvd Calendar'!$AO$1345&lt;=Summary!$C$11)=0,"",'Dvd Calendar'!$AO$1345*1000000000+ISNUMBER('Dvd Calendar'!$AO$1346)*100000000+('Dvd Calendar'!$AO$1350='Field Check'!$C$25)*10000000+(N('Dvd Calendar'!$AO$1344)&gt;0)*1000000+90*1000+37))</f>
        <v/>
      </c>
      <c r="AN98" s="41">
        <f>IF(N('Dvd Calendar'!$AP$1345)=0,"",IF(('Dvd Calendar'!$AP$1345&gt;=MIN(DATE(Summary!$C$12,1,1),Summary!$C$11))*('Dvd Calendar'!$AP$1345&lt;=MAX(DATE(Summary!$C$12,12,31),Summary!$C$15))*('Dvd Calendar'!$AP$1345&lt;=Summary!$C$11)=0,"",'Dvd Calendar'!$AP$1345*1000000000+ISNUMBER('Dvd Calendar'!$AP$1346)*100000000+('Dvd Calendar'!$AP$1350='Field Check'!$C$25)*10000000+(N('Dvd Calendar'!$AP$1344)&gt;0)*1000000+90*1000+38))</f>
        <v/>
      </c>
      <c r="AO98" s="41">
        <f>IF(N('Dvd Calendar'!$AQ$1345)=0,"",IF(('Dvd Calendar'!$AQ$1345&gt;=MIN(DATE(Summary!$C$12,1,1),Summary!$C$11))*('Dvd Calendar'!$AQ$1345&lt;=MAX(DATE(Summary!$C$12,12,31),Summary!$C$15))*('Dvd Calendar'!$AQ$1345&lt;=Summary!$C$11)=0,"",'Dvd Calendar'!$AQ$1345*1000000000+ISNUMBER('Dvd Calendar'!$AQ$1346)*100000000+('Dvd Calendar'!$AQ$1350='Field Check'!$C$25)*10000000+(N('Dvd Calendar'!$AQ$1344)&gt;0)*1000000+90*1000+39))</f>
        <v/>
      </c>
      <c r="AP98" s="41">
        <f>IF(N('Dvd Calendar'!$AR$1345)=0,"",IF(('Dvd Calendar'!$AR$1345&gt;=MIN(DATE(Summary!$C$12,1,1),Summary!$C$11))*('Dvd Calendar'!$AR$1345&lt;=MAX(DATE(Summary!$C$12,12,31),Summary!$C$15))*('Dvd Calendar'!$AR$1345&lt;=Summary!$C$11)=0,"",'Dvd Calendar'!$AR$1345*1000000000+ISNUMBER('Dvd Calendar'!$AR$1346)*100000000+('Dvd Calendar'!$AR$1350='Field Check'!$C$25)*10000000+(N('Dvd Calendar'!$AR$1344)&gt;0)*1000000+90*1000+40))</f>
        <v/>
      </c>
      <c r="AQ98" s="41">
        <f>IF(N('Dvd Calendar'!$E$1352)=0,"",IF(('Dvd Calendar'!$E$1352&gt;=MIN(DATE(Summary!$C$12,1,1),Summary!$C$11))*('Dvd Calendar'!$E$1352&lt;=MAX(DATE(Summary!$C$12,12,31),Summary!$C$15))*('Dvd Calendar'!$E$1352&gt;Summary!$C$11)=0,"",'Dvd Calendar'!$E$1352*1000000000+ISNUMBER('Dvd Calendar'!$E$1353)*100000000+('Dvd Calendar'!$E$1357='Field Check'!$C$25)*10000000+(N('Dvd Calendar'!$E$1351)&gt;0)*1000000+90*1000+41))</f>
        <v/>
      </c>
      <c r="AR98" s="41">
        <f>IF(N('Dvd Calendar'!$F$1352)=0,"",IF(('Dvd Calendar'!$F$1352&gt;=MIN(DATE(Summary!$C$12,1,1),Summary!$C$11))*('Dvd Calendar'!$F$1352&lt;=MAX(DATE(Summary!$C$12,12,31),Summary!$C$15))*('Dvd Calendar'!$F$1352&gt;Summary!$C$11)=0,"",'Dvd Calendar'!$F$1352*1000000000+ISNUMBER('Dvd Calendar'!$F$1353)*100000000+('Dvd Calendar'!$F$1357='Field Check'!$C$25)*10000000+(N('Dvd Calendar'!$F$1351)&gt;0)*1000000+90*1000+42))</f>
        <v/>
      </c>
      <c r="AS98" s="41">
        <f>IF(N('Dvd Calendar'!$G$1352)=0,"",IF(('Dvd Calendar'!$G$1352&gt;=MIN(DATE(Summary!$C$12,1,1),Summary!$C$11))*('Dvd Calendar'!$G$1352&lt;=MAX(DATE(Summary!$C$12,12,31),Summary!$C$15))*('Dvd Calendar'!$G$1352&gt;Summary!$C$11)=0,"",'Dvd Calendar'!$G$1352*1000000000+ISNUMBER('Dvd Calendar'!$G$1353)*100000000+('Dvd Calendar'!$G$1357='Field Check'!$C$25)*10000000+(N('Dvd Calendar'!$G$1351)&gt;0)*1000000+90*1000+43))</f>
        <v/>
      </c>
      <c r="AT98" s="41">
        <f>IF(N('Dvd Calendar'!$H$1352)=0,"",IF(('Dvd Calendar'!$H$1352&gt;=MIN(DATE(Summary!$C$12,1,1),Summary!$C$11))*('Dvd Calendar'!$H$1352&lt;=MAX(DATE(Summary!$C$12,12,31),Summary!$C$15))*('Dvd Calendar'!$H$1352&gt;Summary!$C$11)=0,"",'Dvd Calendar'!$H$1352*1000000000+ISNUMBER('Dvd Calendar'!$H$1353)*100000000+('Dvd Calendar'!$H$1357='Field Check'!$C$25)*10000000+(N('Dvd Calendar'!$H$1351)&gt;0)*1000000+90*1000+44))</f>
        <v/>
      </c>
      <c r="AU98" s="41">
        <f>IF(N('Dvd Calendar'!$I$1352)=0,"",IF(('Dvd Calendar'!$I$1352&gt;=MIN(DATE(Summary!$C$12,1,1),Summary!$C$11))*('Dvd Calendar'!$I$1352&lt;=MAX(DATE(Summary!$C$12,12,31),Summary!$C$15))*('Dvd Calendar'!$I$1352&gt;Summary!$C$11)=0,"",'Dvd Calendar'!$I$1352*1000000000+ISNUMBER('Dvd Calendar'!$I$1353)*100000000+('Dvd Calendar'!$I$1357='Field Check'!$C$25)*10000000+(N('Dvd Calendar'!$I$1351)&gt;0)*1000000+90*1000+45))</f>
        <v/>
      </c>
      <c r="AV98" s="41">
        <f>IF(N('Dvd Calendar'!$J$1352)=0,"",IF(('Dvd Calendar'!$J$1352&gt;=MIN(DATE(Summary!$C$12,1,1),Summary!$C$11))*('Dvd Calendar'!$J$1352&lt;=MAX(DATE(Summary!$C$12,12,31),Summary!$C$15))*('Dvd Calendar'!$J$1352&gt;Summary!$C$11)=0,"",'Dvd Calendar'!$J$1352*1000000000+ISNUMBER('Dvd Calendar'!$J$1353)*100000000+('Dvd Calendar'!$J$1357='Field Check'!$C$25)*10000000+(N('Dvd Calendar'!$J$1351)&gt;0)*1000000+90*1000+46))</f>
        <v/>
      </c>
      <c r="AW98" s="41">
        <f>IF(N('Dvd Calendar'!$K$1352)=0,"",IF(('Dvd Calendar'!$K$1352&gt;=MIN(DATE(Summary!$C$12,1,1),Summary!$C$11))*('Dvd Calendar'!$K$1352&lt;=MAX(DATE(Summary!$C$12,12,31),Summary!$C$15))*('Dvd Calendar'!$K$1352&gt;Summary!$C$11)=0,"",'Dvd Calendar'!$K$1352*1000000000+ISNUMBER('Dvd Calendar'!$K$1353)*100000000+('Dvd Calendar'!$K$1357='Field Check'!$C$25)*10000000+(N('Dvd Calendar'!$K$1351)&gt;0)*1000000+90*1000+47))</f>
        <v/>
      </c>
      <c r="AX98" s="41">
        <f>IF(N('Dvd Calendar'!$L$1352)=0,"",IF(('Dvd Calendar'!$L$1352&gt;=MIN(DATE(Summary!$C$12,1,1),Summary!$C$11))*('Dvd Calendar'!$L$1352&lt;=MAX(DATE(Summary!$C$12,12,31),Summary!$C$15))*('Dvd Calendar'!$L$1352&gt;Summary!$C$11)=0,"",'Dvd Calendar'!$L$1352*1000000000+ISNUMBER('Dvd Calendar'!$L$1353)*100000000+('Dvd Calendar'!$L$1357='Field Check'!$C$25)*10000000+(N('Dvd Calendar'!$L$1351)&gt;0)*1000000+90*1000+48))</f>
        <v/>
      </c>
      <c r="AY98" s="41">
        <f>IF(N('Dvd Calendar'!$M$1352)=0,"",IF(('Dvd Calendar'!$M$1352&gt;=MIN(DATE(Summary!$C$12,1,1),Summary!$C$11))*('Dvd Calendar'!$M$1352&lt;=MAX(DATE(Summary!$C$12,12,31),Summary!$C$15))*('Dvd Calendar'!$M$1352&gt;Summary!$C$11)=0,"",'Dvd Calendar'!$M$1352*1000000000+ISNUMBER('Dvd Calendar'!$M$1353)*100000000+('Dvd Calendar'!$M$1357='Field Check'!$C$25)*10000000+(N('Dvd Calendar'!$M$1351)&gt;0)*1000000+90*1000+49))</f>
        <v/>
      </c>
      <c r="AZ98" s="41">
        <f>IF(N('Dvd Calendar'!$N$1352)=0,"",IF(('Dvd Calendar'!$N$1352&gt;=MIN(DATE(Summary!$C$12,1,1),Summary!$C$11))*('Dvd Calendar'!$N$1352&lt;=MAX(DATE(Summary!$C$12,12,31),Summary!$C$15))*('Dvd Calendar'!$N$1352&gt;Summary!$C$11)=0,"",'Dvd Calendar'!$N$1352*1000000000+ISNUMBER('Dvd Calendar'!$N$1353)*100000000+('Dvd Calendar'!$N$1357='Field Check'!$C$25)*10000000+(N('Dvd Calendar'!$N$1351)&gt;0)*1000000+90*1000+50))</f>
        <v/>
      </c>
      <c r="BA98" s="41">
        <f>IF(N('Dvd Calendar'!$O$1352)=0,"",IF(('Dvd Calendar'!$O$1352&gt;=MIN(DATE(Summary!$C$12,1,1),Summary!$C$11))*('Dvd Calendar'!$O$1352&lt;=MAX(DATE(Summary!$C$12,12,31),Summary!$C$15))*('Dvd Calendar'!$O$1352&gt;Summary!$C$11)=0,"",'Dvd Calendar'!$O$1352*1000000000+ISNUMBER('Dvd Calendar'!$O$1353)*100000000+('Dvd Calendar'!$O$1357='Field Check'!$C$25)*10000000+(N('Dvd Calendar'!$O$1351)&gt;0)*1000000+90*1000+51))</f>
        <v/>
      </c>
      <c r="BB98" s="41">
        <f>IF(N('Dvd Calendar'!$P$1352)=0,"",IF(('Dvd Calendar'!$P$1352&gt;=MIN(DATE(Summary!$C$12,1,1),Summary!$C$11))*('Dvd Calendar'!$P$1352&lt;=MAX(DATE(Summary!$C$12,12,31),Summary!$C$15))*('Dvd Calendar'!$P$1352&gt;Summary!$C$11)=0,"",'Dvd Calendar'!$P$1352*1000000000+ISNUMBER('Dvd Calendar'!$P$1353)*100000000+('Dvd Calendar'!$P$1357='Field Check'!$C$25)*10000000+(N('Dvd Calendar'!$P$1351)&gt;0)*1000000+90*1000+52))</f>
        <v/>
      </c>
      <c r="BC98" s="41">
        <f>IF(N('Dvd Calendar'!$Q$1352)=0,"",IF(('Dvd Calendar'!$Q$1352&gt;=MIN(DATE(Summary!$C$12,1,1),Summary!$C$11))*('Dvd Calendar'!$Q$1352&lt;=MAX(DATE(Summary!$C$12,12,31),Summary!$C$15))*('Dvd Calendar'!$Q$1352&gt;Summary!$C$11)=0,"",'Dvd Calendar'!$Q$1352*1000000000+ISNUMBER('Dvd Calendar'!$Q$1353)*100000000+('Dvd Calendar'!$Q$1357='Field Check'!$C$25)*10000000+(N('Dvd Calendar'!$Q$1351)&gt;0)*1000000+90*1000+53))</f>
        <v/>
      </c>
      <c r="BD98" s="41">
        <f>IF(N('Dvd Calendar'!$R$1352)=0,"",IF(('Dvd Calendar'!$R$1352&gt;=MIN(DATE(Summary!$C$12,1,1),Summary!$C$11))*('Dvd Calendar'!$R$1352&lt;=MAX(DATE(Summary!$C$12,12,31),Summary!$C$15))*('Dvd Calendar'!$R$1352&gt;Summary!$C$11)=0,"",'Dvd Calendar'!$R$1352*1000000000+ISNUMBER('Dvd Calendar'!$R$1353)*100000000+('Dvd Calendar'!$R$1357='Field Check'!$C$25)*10000000+(N('Dvd Calendar'!$R$1351)&gt;0)*1000000+90*1000+54))</f>
        <v/>
      </c>
      <c r="BE98" s="41">
        <f>IF(N('Dvd Calendar'!$S$1352)=0,"",IF(('Dvd Calendar'!$S$1352&gt;=MIN(DATE(Summary!$C$12,1,1),Summary!$C$11))*('Dvd Calendar'!$S$1352&lt;=MAX(DATE(Summary!$C$12,12,31),Summary!$C$15))*('Dvd Calendar'!$S$1352&gt;Summary!$C$11)=0,"",'Dvd Calendar'!$S$1352*1000000000+ISNUMBER('Dvd Calendar'!$S$1353)*100000000+('Dvd Calendar'!$S$1357='Field Check'!$C$25)*10000000+(N('Dvd Calendar'!$S$1351)&gt;0)*1000000+90*1000+55))</f>
        <v/>
      </c>
      <c r="BF98" s="41">
        <f>IF(N('Dvd Calendar'!$T$1352)=0,"",IF(('Dvd Calendar'!$T$1352&gt;=MIN(DATE(Summary!$C$12,1,1),Summary!$C$11))*('Dvd Calendar'!$T$1352&lt;=MAX(DATE(Summary!$C$12,12,31),Summary!$C$15))*('Dvd Calendar'!$T$1352&gt;Summary!$C$11)=0,"",'Dvd Calendar'!$T$1352*1000000000+ISNUMBER('Dvd Calendar'!$T$1353)*100000000+('Dvd Calendar'!$T$1357='Field Check'!$C$25)*10000000+(N('Dvd Calendar'!$T$1351)&gt;0)*1000000+90*1000+56))</f>
        <v/>
      </c>
      <c r="BG98" s="41">
        <f>IF(N('Dvd Calendar'!$U$1352)=0,"",IF(('Dvd Calendar'!$U$1352&gt;=MIN(DATE(Summary!$C$12,1,1),Summary!$C$11))*('Dvd Calendar'!$U$1352&lt;=MAX(DATE(Summary!$C$12,12,31),Summary!$C$15))*('Dvd Calendar'!$U$1352&gt;Summary!$C$11)=0,"",'Dvd Calendar'!$U$1352*1000000000+ISNUMBER('Dvd Calendar'!$U$1353)*100000000+('Dvd Calendar'!$U$1357='Field Check'!$C$25)*10000000+(N('Dvd Calendar'!$U$1351)&gt;0)*1000000+90*1000+57))</f>
        <v/>
      </c>
      <c r="BH98" s="41">
        <f>IF(N('Dvd Calendar'!$V$1352)=0,"",IF(('Dvd Calendar'!$V$1352&gt;=MIN(DATE(Summary!$C$12,1,1),Summary!$C$11))*('Dvd Calendar'!$V$1352&lt;=MAX(DATE(Summary!$C$12,12,31),Summary!$C$15))*('Dvd Calendar'!$V$1352&gt;Summary!$C$11)=0,"",'Dvd Calendar'!$V$1352*1000000000+ISNUMBER('Dvd Calendar'!$V$1353)*100000000+('Dvd Calendar'!$V$1357='Field Check'!$C$25)*10000000+(N('Dvd Calendar'!$V$1351)&gt;0)*1000000+90*1000+58))</f>
        <v/>
      </c>
      <c r="BI98" s="41">
        <f>IF(N('Dvd Calendar'!$W$1352)=0,"",IF(('Dvd Calendar'!$W$1352&gt;=MIN(DATE(Summary!$C$12,1,1),Summary!$C$11))*('Dvd Calendar'!$W$1352&lt;=MAX(DATE(Summary!$C$12,12,31),Summary!$C$15))*('Dvd Calendar'!$W$1352&gt;Summary!$C$11)=0,"",'Dvd Calendar'!$W$1352*1000000000+ISNUMBER('Dvd Calendar'!$W$1353)*100000000+('Dvd Calendar'!$W$1357='Field Check'!$C$25)*10000000+(N('Dvd Calendar'!$W$1351)&gt;0)*1000000+90*1000+59))</f>
        <v/>
      </c>
      <c r="BJ98" s="41">
        <f>IF(N('Dvd Calendar'!$X$1352)=0,"",IF(('Dvd Calendar'!$X$1352&gt;=MIN(DATE(Summary!$C$12,1,1),Summary!$C$11))*('Dvd Calendar'!$X$1352&lt;=MAX(DATE(Summary!$C$12,12,31),Summary!$C$15))*('Dvd Calendar'!$X$1352&gt;Summary!$C$11)=0,"",'Dvd Calendar'!$X$1352*1000000000+ISNUMBER('Dvd Calendar'!$X$1353)*100000000+('Dvd Calendar'!$X$1357='Field Check'!$C$25)*10000000+(N('Dvd Calendar'!$X$1351)&gt;0)*1000000+90*1000+60))</f>
        <v/>
      </c>
      <c r="BK98" s="41">
        <f>IF(N('Dvd Calendar'!$Y$1352)=0,"",IF(('Dvd Calendar'!$Y$1352&gt;=MIN(DATE(Summary!$C$12,1,1),Summary!$C$11))*('Dvd Calendar'!$Y$1352&lt;=MAX(DATE(Summary!$C$12,12,31),Summary!$C$15))*('Dvd Calendar'!$Y$1352&gt;Summary!$C$11)=0,"",'Dvd Calendar'!$Y$1352*1000000000+ISNUMBER('Dvd Calendar'!$Y$1353)*100000000+('Dvd Calendar'!$Y$1357='Field Check'!$C$25)*10000000+(N('Dvd Calendar'!$Y$1351)&gt;0)*1000000+90*1000+61))</f>
        <v/>
      </c>
      <c r="BL98" s="41">
        <f>IF(N('Dvd Calendar'!$Z$1352)=0,"",IF(('Dvd Calendar'!$Z$1352&gt;=MIN(DATE(Summary!$C$12,1,1),Summary!$C$11))*('Dvd Calendar'!$Z$1352&lt;=MAX(DATE(Summary!$C$12,12,31),Summary!$C$15))*('Dvd Calendar'!$Z$1352&gt;Summary!$C$11)=0,"",'Dvd Calendar'!$Z$1352*1000000000+ISNUMBER('Dvd Calendar'!$Z$1353)*100000000+('Dvd Calendar'!$Z$1357='Field Check'!$C$25)*10000000+(N('Dvd Calendar'!$Z$1351)&gt;0)*1000000+90*1000+62))</f>
        <v/>
      </c>
      <c r="BM98" s="41">
        <f>IF(N('Dvd Calendar'!$AA$1352)=0,"",IF(('Dvd Calendar'!$AA$1352&gt;=MIN(DATE(Summary!$C$12,1,1),Summary!$C$11))*('Dvd Calendar'!$AA$1352&lt;=MAX(DATE(Summary!$C$12,12,31),Summary!$C$15))*('Dvd Calendar'!$AA$1352&gt;Summary!$C$11)=0,"",'Dvd Calendar'!$AA$1352*1000000000+ISNUMBER('Dvd Calendar'!$AA$1353)*100000000+('Dvd Calendar'!$AA$1357='Field Check'!$C$25)*10000000+(N('Dvd Calendar'!$AA$1351)&gt;0)*1000000+90*1000+63))</f>
        <v/>
      </c>
      <c r="BN98" s="41">
        <f>IF(N('Dvd Calendar'!$AB$1352)=0,"",IF(('Dvd Calendar'!$AB$1352&gt;=MIN(DATE(Summary!$C$12,1,1),Summary!$C$11))*('Dvd Calendar'!$AB$1352&lt;=MAX(DATE(Summary!$C$12,12,31),Summary!$C$15))*('Dvd Calendar'!$AB$1352&gt;Summary!$C$11)=0,"",'Dvd Calendar'!$AB$1352*1000000000+ISNUMBER('Dvd Calendar'!$AB$1353)*100000000+('Dvd Calendar'!$AB$1357='Field Check'!$C$25)*10000000+(N('Dvd Calendar'!$AB$1351)&gt;0)*1000000+90*1000+64))</f>
        <v/>
      </c>
      <c r="BO98" s="41">
        <f>IF(N('Dvd Calendar'!$AC$1352)=0,"",IF(('Dvd Calendar'!$AC$1352&gt;=MIN(DATE(Summary!$C$12,1,1),Summary!$C$11))*('Dvd Calendar'!$AC$1352&lt;=MAX(DATE(Summary!$C$12,12,31),Summary!$C$15))*('Dvd Calendar'!$AC$1352&gt;Summary!$C$11)=0,"",'Dvd Calendar'!$AC$1352*1000000000+ISNUMBER('Dvd Calendar'!$AC$1353)*100000000+('Dvd Calendar'!$AC$1357='Field Check'!$C$25)*10000000+(N('Dvd Calendar'!$AC$1351)&gt;0)*1000000+90*1000+65))</f>
        <v/>
      </c>
      <c r="BQ98" s="85">
        <f>IF(C98="","",IF(ISNUMBER('Dvd Calendar'!$E$1346)=FALSE,"",IF((Summary!$C$13="N")*('Dvd Calendar'!$E$1350='Field Check'!$C$25)&gt;0,"",'Dvd Calendar'!$E$1346)))</f>
        <v/>
      </c>
      <c r="BR98" s="85">
        <f>IF(D98="","",IF(ISNUMBER('Dvd Calendar'!$F$1346)=FALSE,"",IF((Summary!$C$13="N")*('Dvd Calendar'!$F$1350='Field Check'!$C$25)&gt;0,"",'Dvd Calendar'!$F$1346)))</f>
        <v/>
      </c>
      <c r="BS98" s="85">
        <f>IF(E98="","",IF(ISNUMBER('Dvd Calendar'!$G$1346)=FALSE,"",IF((Summary!$C$13="N")*('Dvd Calendar'!$G$1350='Field Check'!$C$25)&gt;0,"",'Dvd Calendar'!$G$1346)))</f>
        <v/>
      </c>
      <c r="BT98" s="85">
        <f>IF(F98="","",IF(ISNUMBER('Dvd Calendar'!$H$1346)=FALSE,"",IF((Summary!$C$13="N")*('Dvd Calendar'!$H$1350='Field Check'!$C$25)&gt;0,"",'Dvd Calendar'!$H$1346)))</f>
        <v/>
      </c>
      <c r="BU98" s="85">
        <f>IF(G98="","",IF(ISNUMBER('Dvd Calendar'!$I$1346)=FALSE,"",IF((Summary!$C$13="N")*('Dvd Calendar'!$I$1350='Field Check'!$C$25)&gt;0,"",'Dvd Calendar'!$I$1346)))</f>
        <v/>
      </c>
      <c r="BV98" s="85">
        <f>IF(H98="","",IF(ISNUMBER('Dvd Calendar'!$J$1346)=FALSE,"",IF((Summary!$C$13="N")*('Dvd Calendar'!$J$1350='Field Check'!$C$25)&gt;0,"",'Dvd Calendar'!$J$1346)))</f>
        <v/>
      </c>
      <c r="BW98" s="85">
        <f>IF(I98="","",IF(ISNUMBER('Dvd Calendar'!$K$1346)=FALSE,"",IF((Summary!$C$13="N")*('Dvd Calendar'!$K$1350='Field Check'!$C$25)&gt;0,"",'Dvd Calendar'!$K$1346)))</f>
        <v/>
      </c>
      <c r="BX98" s="85">
        <f>IF(J98="","",IF(ISNUMBER('Dvd Calendar'!$L$1346)=FALSE,"",IF((Summary!$C$13="N")*('Dvd Calendar'!$L$1350='Field Check'!$C$25)&gt;0,"",'Dvd Calendar'!$L$1346)))</f>
        <v/>
      </c>
      <c r="BY98" s="85">
        <f>IF(K98="","",IF(ISNUMBER('Dvd Calendar'!$M$1346)=FALSE,"",IF((Summary!$C$13="N")*('Dvd Calendar'!$M$1350='Field Check'!$C$25)&gt;0,"",'Dvd Calendar'!$M$1346)))</f>
        <v/>
      </c>
      <c r="BZ98" s="85">
        <f>IF(L98="","",IF(ISNUMBER('Dvd Calendar'!$N$1346)=FALSE,"",IF((Summary!$C$13="N")*('Dvd Calendar'!$N$1350='Field Check'!$C$25)&gt;0,"",'Dvd Calendar'!$N$1346)))</f>
        <v/>
      </c>
      <c r="CA98" s="85">
        <f>IF(M98="","",IF(ISNUMBER('Dvd Calendar'!$O$1346)=FALSE,"",IF((Summary!$C$13="N")*('Dvd Calendar'!$O$1350='Field Check'!$C$25)&gt;0,"",'Dvd Calendar'!$O$1346)))</f>
        <v/>
      </c>
      <c r="CB98" s="85">
        <f>IF(N98="","",IF(ISNUMBER('Dvd Calendar'!$P$1346)=FALSE,"",IF((Summary!$C$13="N")*('Dvd Calendar'!$P$1350='Field Check'!$C$25)&gt;0,"",'Dvd Calendar'!$P$1346)))</f>
        <v/>
      </c>
      <c r="CC98" s="85">
        <f>IF(O98="","",IF(ISNUMBER('Dvd Calendar'!$Q$1346)=FALSE,"",IF((Summary!$C$13="N")*('Dvd Calendar'!$Q$1350='Field Check'!$C$25)&gt;0,"",'Dvd Calendar'!$Q$1346)))</f>
        <v/>
      </c>
      <c r="CD98" s="85">
        <f>IF(P98="","",IF(ISNUMBER('Dvd Calendar'!$R$1346)=FALSE,"",IF((Summary!$C$13="N")*('Dvd Calendar'!$R$1350='Field Check'!$C$25)&gt;0,"",'Dvd Calendar'!$R$1346)))</f>
        <v/>
      </c>
      <c r="CE98" s="85">
        <f>IF(Q98="","",IF(ISNUMBER('Dvd Calendar'!$S$1346)=FALSE,"",IF((Summary!$C$13="N")*('Dvd Calendar'!$S$1350='Field Check'!$C$25)&gt;0,"",'Dvd Calendar'!$S$1346)))</f>
        <v/>
      </c>
      <c r="CF98" s="85">
        <f>IF(R98="","",IF(ISNUMBER('Dvd Calendar'!$T$1346)=FALSE,"",IF((Summary!$C$13="N")*('Dvd Calendar'!$T$1350='Field Check'!$C$25)&gt;0,"",'Dvd Calendar'!$T$1346)))</f>
        <v/>
      </c>
      <c r="CG98" s="85">
        <f>IF(S98="","",IF(ISNUMBER('Dvd Calendar'!$U$1346)=FALSE,"",IF((Summary!$C$13="N")*('Dvd Calendar'!$U$1350='Field Check'!$C$25)&gt;0,"",'Dvd Calendar'!$U$1346)))</f>
        <v/>
      </c>
      <c r="CH98" s="85">
        <f>IF(T98="","",IF(ISNUMBER('Dvd Calendar'!$V$1346)=FALSE,"",IF((Summary!$C$13="N")*('Dvd Calendar'!$V$1350='Field Check'!$C$25)&gt;0,"",'Dvd Calendar'!$V$1346)))</f>
        <v/>
      </c>
      <c r="CI98" s="85">
        <f>IF(U98="","",IF(ISNUMBER('Dvd Calendar'!$W$1346)=FALSE,"",IF((Summary!$C$13="N")*('Dvd Calendar'!$W$1350='Field Check'!$C$25)&gt;0,"",'Dvd Calendar'!$W$1346)))</f>
        <v/>
      </c>
      <c r="CJ98" s="85">
        <f>IF(V98="","",IF(ISNUMBER('Dvd Calendar'!$X$1346)=FALSE,"",IF((Summary!$C$13="N")*('Dvd Calendar'!$X$1350='Field Check'!$C$25)&gt;0,"",'Dvd Calendar'!$X$1346)))</f>
        <v/>
      </c>
      <c r="CK98" s="85">
        <f>IF(W98="","",IF(ISNUMBER('Dvd Calendar'!$Y$1346)=FALSE,"",IF((Summary!$C$13="N")*('Dvd Calendar'!$Y$1350='Field Check'!$C$25)&gt;0,"",'Dvd Calendar'!$Y$1346)))</f>
        <v/>
      </c>
      <c r="CL98" s="85">
        <f>IF(X98="","",IF(ISNUMBER('Dvd Calendar'!$Z$1346)=FALSE,"",IF((Summary!$C$13="N")*('Dvd Calendar'!$Z$1350='Field Check'!$C$25)&gt;0,"",'Dvd Calendar'!$Z$1346)))</f>
        <v/>
      </c>
      <c r="CM98" s="85">
        <f>IF(Y98="","",IF(ISNUMBER('Dvd Calendar'!$AA$1346)=FALSE,"",IF((Summary!$C$13="N")*('Dvd Calendar'!$AA$1350='Field Check'!$C$25)&gt;0,"",'Dvd Calendar'!$AA$1346)))</f>
        <v/>
      </c>
      <c r="CN98" s="85">
        <f>IF(Z98="","",IF(ISNUMBER('Dvd Calendar'!$AB$1346)=FALSE,"",IF((Summary!$C$13="N")*('Dvd Calendar'!$AB$1350='Field Check'!$C$25)&gt;0,"",'Dvd Calendar'!$AB$1346)))</f>
        <v/>
      </c>
      <c r="CO98" s="85">
        <f>IF(AA98="","",IF(ISNUMBER('Dvd Calendar'!$AC$1346)=FALSE,"",IF((Summary!$C$13="N")*('Dvd Calendar'!$AC$1350='Field Check'!$C$25)&gt;0,"",'Dvd Calendar'!$AC$1346)))</f>
        <v/>
      </c>
      <c r="CP98" s="85">
        <f>IF(AB98="","",IF(ISNUMBER('Dvd Calendar'!$AD$1346)=FALSE,"",IF((Summary!$C$13="N")*('Dvd Calendar'!$AD$1350='Field Check'!$C$25)&gt;0,"",'Dvd Calendar'!$AD$1346)))</f>
        <v/>
      </c>
      <c r="CQ98" s="85">
        <f>IF(AC98="","",IF(ISNUMBER('Dvd Calendar'!$AE$1346)=FALSE,"",IF((Summary!$C$13="N")*('Dvd Calendar'!$AE$1350='Field Check'!$C$25)&gt;0,"",'Dvd Calendar'!$AE$1346)))</f>
        <v/>
      </c>
      <c r="CR98" s="85">
        <f>IF(AD98="","",IF(ISNUMBER('Dvd Calendar'!$AF$1346)=FALSE,"",IF((Summary!$C$13="N")*('Dvd Calendar'!$AF$1350='Field Check'!$C$25)&gt;0,"",'Dvd Calendar'!$AF$1346)))</f>
        <v/>
      </c>
      <c r="CS98" s="85">
        <f>IF(AE98="","",IF(ISNUMBER('Dvd Calendar'!$AG$1346)=FALSE,"",IF((Summary!$C$13="N")*('Dvd Calendar'!$AG$1350='Field Check'!$C$25)&gt;0,"",'Dvd Calendar'!$AG$1346)))</f>
        <v/>
      </c>
      <c r="CT98" s="85">
        <f>IF(AF98="","",IF(ISNUMBER('Dvd Calendar'!$AH$1346)=FALSE,"",IF((Summary!$C$13="N")*('Dvd Calendar'!$AH$1350='Field Check'!$C$25)&gt;0,"",'Dvd Calendar'!$AH$1346)))</f>
        <v/>
      </c>
      <c r="CU98" s="85">
        <f>IF(AG98="","",IF(ISNUMBER('Dvd Calendar'!$AI$1346)=FALSE,"",IF((Summary!$C$13="N")*('Dvd Calendar'!$AI$1350='Field Check'!$C$25)&gt;0,"",'Dvd Calendar'!$AI$1346)))</f>
        <v/>
      </c>
      <c r="CV98" s="85">
        <f>IF(AH98="","",IF(ISNUMBER('Dvd Calendar'!$AJ$1346)=FALSE,"",IF((Summary!$C$13="N")*('Dvd Calendar'!$AJ$1350='Field Check'!$C$25)&gt;0,"",'Dvd Calendar'!$AJ$1346)))</f>
        <v/>
      </c>
      <c r="CW98" s="85">
        <f>IF(AI98="","",IF(ISNUMBER('Dvd Calendar'!$AK$1346)=FALSE,"",IF((Summary!$C$13="N")*('Dvd Calendar'!$AK$1350='Field Check'!$C$25)&gt;0,"",'Dvd Calendar'!$AK$1346)))</f>
        <v/>
      </c>
      <c r="CX98" s="85">
        <f>IF(AJ98="","",IF(ISNUMBER('Dvd Calendar'!$AL$1346)=FALSE,"",IF((Summary!$C$13="N")*('Dvd Calendar'!$AL$1350='Field Check'!$C$25)&gt;0,"",'Dvd Calendar'!$AL$1346)))</f>
        <v/>
      </c>
      <c r="CY98" s="85">
        <f>IF(AK98="","",IF(ISNUMBER('Dvd Calendar'!$AM$1346)=FALSE,"",IF((Summary!$C$13="N")*('Dvd Calendar'!$AM$1350='Field Check'!$C$25)&gt;0,"",'Dvd Calendar'!$AM$1346)))</f>
        <v/>
      </c>
      <c r="CZ98" s="85">
        <f>IF(AL98="","",IF(ISNUMBER('Dvd Calendar'!$AN$1346)=FALSE,"",IF((Summary!$C$13="N")*('Dvd Calendar'!$AN$1350='Field Check'!$C$25)&gt;0,"",'Dvd Calendar'!$AN$1346)))</f>
        <v/>
      </c>
      <c r="DA98" s="85">
        <f>IF(AM98="","",IF(ISNUMBER('Dvd Calendar'!$AO$1346)=FALSE,"",IF((Summary!$C$13="N")*('Dvd Calendar'!$AO$1350='Field Check'!$C$25)&gt;0,"",'Dvd Calendar'!$AO$1346)))</f>
        <v/>
      </c>
      <c r="DB98" s="85">
        <f>IF(AN98="","",IF(ISNUMBER('Dvd Calendar'!$AP$1346)=FALSE,"",IF((Summary!$C$13="N")*('Dvd Calendar'!$AP$1350='Field Check'!$C$25)&gt;0,"",'Dvd Calendar'!$AP$1346)))</f>
        <v/>
      </c>
      <c r="DC98" s="85">
        <f>IF(AO98="","",IF(ISNUMBER('Dvd Calendar'!$AQ$1346)=FALSE,"",IF((Summary!$C$13="N")*('Dvd Calendar'!$AQ$1350='Field Check'!$C$25)&gt;0,"",'Dvd Calendar'!$AQ$1346)))</f>
        <v/>
      </c>
      <c r="DD98" s="85">
        <f>IF(AP98="","",IF(ISNUMBER('Dvd Calendar'!$AR$1346)=FALSE,"",IF((Summary!$C$13="N")*('Dvd Calendar'!$AR$1350='Field Check'!$C$25)&gt;0,"",'Dvd Calendar'!$AR$1346)))</f>
        <v/>
      </c>
      <c r="DE98" s="85">
        <f>IF(AQ98="","",IF(ISNUMBER('Dvd Calendar'!$E$1353)=FALSE,"",IF((Summary!$C$13="N")*('Dvd Calendar'!$E$1357='Field Check'!$C$25)&gt;0,"",'Dvd Calendar'!$E$1353)))</f>
        <v/>
      </c>
      <c r="DF98" s="85">
        <f>IF(AR98="","",IF(ISNUMBER('Dvd Calendar'!$F$1353)=FALSE,"",IF((Summary!$C$13="N")*('Dvd Calendar'!$F$1357='Field Check'!$C$25)&gt;0,"",'Dvd Calendar'!$F$1353)))</f>
        <v/>
      </c>
      <c r="DG98" s="85">
        <f>IF(AS98="","",IF(ISNUMBER('Dvd Calendar'!$G$1353)=FALSE,"",IF((Summary!$C$13="N")*('Dvd Calendar'!$G$1357='Field Check'!$C$25)&gt;0,"",'Dvd Calendar'!$G$1353)))</f>
        <v/>
      </c>
      <c r="DH98" s="85">
        <f>IF(AT98="","",IF(ISNUMBER('Dvd Calendar'!$H$1353)=FALSE,"",IF((Summary!$C$13="N")*('Dvd Calendar'!$H$1357='Field Check'!$C$25)&gt;0,"",'Dvd Calendar'!$H$1353)))</f>
        <v/>
      </c>
      <c r="DI98" s="85">
        <f>IF(AU98="","",IF(ISNUMBER('Dvd Calendar'!$I$1353)=FALSE,"",IF((Summary!$C$13="N")*('Dvd Calendar'!$I$1357='Field Check'!$C$25)&gt;0,"",'Dvd Calendar'!$I$1353)))</f>
        <v/>
      </c>
      <c r="DJ98" s="85">
        <f>IF(AV98="","",IF(ISNUMBER('Dvd Calendar'!$J$1353)=FALSE,"",IF((Summary!$C$13="N")*('Dvd Calendar'!$J$1357='Field Check'!$C$25)&gt;0,"",'Dvd Calendar'!$J$1353)))</f>
        <v/>
      </c>
      <c r="DK98" s="85">
        <f>IF(AW98="","",IF(ISNUMBER('Dvd Calendar'!$K$1353)=FALSE,"",IF((Summary!$C$13="N")*('Dvd Calendar'!$K$1357='Field Check'!$C$25)&gt;0,"",'Dvd Calendar'!$K$1353)))</f>
        <v/>
      </c>
      <c r="DL98" s="85">
        <f>IF(AX98="","",IF(ISNUMBER('Dvd Calendar'!$L$1353)=FALSE,"",IF((Summary!$C$13="N")*('Dvd Calendar'!$L$1357='Field Check'!$C$25)&gt;0,"",'Dvd Calendar'!$L$1353)))</f>
        <v/>
      </c>
      <c r="DM98" s="85">
        <f>IF(AY98="","",IF(ISNUMBER('Dvd Calendar'!$M$1353)=FALSE,"",IF((Summary!$C$13="N")*('Dvd Calendar'!$M$1357='Field Check'!$C$25)&gt;0,"",'Dvd Calendar'!$M$1353)))</f>
        <v/>
      </c>
      <c r="DN98" s="85">
        <f>IF(AZ98="","",IF(ISNUMBER('Dvd Calendar'!$N$1353)=FALSE,"",IF((Summary!$C$13="N")*('Dvd Calendar'!$N$1357='Field Check'!$C$25)&gt;0,"",'Dvd Calendar'!$N$1353)))</f>
        <v/>
      </c>
      <c r="DO98" s="85">
        <f>IF(BA98="","",IF(ISNUMBER('Dvd Calendar'!$O$1353)=FALSE,"",IF((Summary!$C$13="N")*('Dvd Calendar'!$O$1357='Field Check'!$C$25)&gt;0,"",'Dvd Calendar'!$O$1353)))</f>
        <v/>
      </c>
      <c r="DP98" s="85">
        <f>IF(BB98="","",IF(ISNUMBER('Dvd Calendar'!$P$1353)=FALSE,"",IF((Summary!$C$13="N")*('Dvd Calendar'!$P$1357='Field Check'!$C$25)&gt;0,"",'Dvd Calendar'!$P$1353)))</f>
        <v/>
      </c>
      <c r="DQ98" s="85">
        <f>IF(BC98="","",IF(ISNUMBER('Dvd Calendar'!$Q$1353)=FALSE,"",IF((Summary!$C$13="N")*('Dvd Calendar'!$Q$1357='Field Check'!$C$25)&gt;0,"",'Dvd Calendar'!$Q$1353)))</f>
        <v/>
      </c>
      <c r="DR98" s="85">
        <f>IF(BD98="","",IF(ISNUMBER('Dvd Calendar'!$R$1353)=FALSE,"",IF((Summary!$C$13="N")*('Dvd Calendar'!$R$1357='Field Check'!$C$25)&gt;0,"",'Dvd Calendar'!$R$1353)))</f>
        <v/>
      </c>
      <c r="DS98" s="85">
        <f>IF(BE98="","",IF(ISNUMBER('Dvd Calendar'!$S$1353)=FALSE,"",IF((Summary!$C$13="N")*('Dvd Calendar'!$S$1357='Field Check'!$C$25)&gt;0,"",'Dvd Calendar'!$S$1353)))</f>
        <v/>
      </c>
      <c r="DT98" s="85">
        <f>IF(BF98="","",IF(ISNUMBER('Dvd Calendar'!$T$1353)=FALSE,"",IF((Summary!$C$13="N")*('Dvd Calendar'!$T$1357='Field Check'!$C$25)&gt;0,"",'Dvd Calendar'!$T$1353)))</f>
        <v/>
      </c>
      <c r="DU98" s="85">
        <f>IF(BG98="","",IF(ISNUMBER('Dvd Calendar'!$U$1353)=FALSE,"",IF((Summary!$C$13="N")*('Dvd Calendar'!$U$1357='Field Check'!$C$25)&gt;0,"",'Dvd Calendar'!$U$1353)))</f>
        <v/>
      </c>
      <c r="DV98" s="85">
        <f>IF(BH98="","",IF(ISNUMBER('Dvd Calendar'!$V$1353)=FALSE,"",IF((Summary!$C$13="N")*('Dvd Calendar'!$V$1357='Field Check'!$C$25)&gt;0,"",'Dvd Calendar'!$V$1353)))</f>
        <v/>
      </c>
      <c r="DW98" s="85">
        <f>IF(BI98="","",IF(ISNUMBER('Dvd Calendar'!$W$1353)=FALSE,"",IF((Summary!$C$13="N")*('Dvd Calendar'!$W$1357='Field Check'!$C$25)&gt;0,"",'Dvd Calendar'!$W$1353)))</f>
        <v/>
      </c>
      <c r="DX98" s="85">
        <f>IF(BJ98="","",IF(ISNUMBER('Dvd Calendar'!$X$1353)=FALSE,"",IF((Summary!$C$13="N")*('Dvd Calendar'!$X$1357='Field Check'!$C$25)&gt;0,"",'Dvd Calendar'!$X$1353)))</f>
        <v/>
      </c>
      <c r="DY98" s="85">
        <f>IF(BK98="","",IF(ISNUMBER('Dvd Calendar'!$Y$1353)=FALSE,"",IF((Summary!$C$13="N")*('Dvd Calendar'!$Y$1357='Field Check'!$C$25)&gt;0,"",'Dvd Calendar'!$Y$1353)))</f>
        <v/>
      </c>
      <c r="DZ98" s="85">
        <f>IF(BL98="","",IF(ISNUMBER('Dvd Calendar'!$Z$1353)=FALSE,"",IF((Summary!$C$13="N")*('Dvd Calendar'!$Z$1357='Field Check'!$C$25)&gt;0,"",'Dvd Calendar'!$Z$1353)))</f>
        <v/>
      </c>
      <c r="EA98" s="85">
        <f>IF(BM98="","",IF(ISNUMBER('Dvd Calendar'!$AA$1353)=FALSE,"",IF((Summary!$C$13="N")*('Dvd Calendar'!$AA$1357='Field Check'!$C$25)&gt;0,"",'Dvd Calendar'!$AA$1353)))</f>
        <v/>
      </c>
      <c r="EB98" s="85">
        <f>IF(BN98="","",IF(ISNUMBER('Dvd Calendar'!$AB$1353)=FALSE,"",IF((Summary!$C$13="N")*('Dvd Calendar'!$AB$1357='Field Check'!$C$25)&gt;0,"",'Dvd Calendar'!$AB$1353)))</f>
        <v/>
      </c>
      <c r="EC98" s="85">
        <f>IF(BO98="","",IF(ISNUMBER('Dvd Calendar'!$AC$1353)=FALSE,"",IF((Summary!$C$13="N")*('Dvd Calendar'!$AC$1357='Field Check'!$C$25)&gt;0,"",'Dvd Calendar'!$AC$1353)))</f>
        <v/>
      </c>
      <c r="EE98" s="85">
        <f>IF(BQ98="","",IFERROR(BQ98*HSI!$B$96*HSI!$G$96/HSI!$B$3,""))</f>
        <v/>
      </c>
      <c r="EF98" s="85">
        <f>IF(BR98="","",IFERROR(BR98*HSI!$B$96*HSI!$G$96/HSI!$B$3,""))</f>
        <v/>
      </c>
      <c r="EG98" s="85">
        <f>IF(BS98="","",IFERROR(BS98*HSI!$B$96*HSI!$G$96/HSI!$B$3,""))</f>
        <v/>
      </c>
      <c r="EH98" s="85">
        <f>IF(BT98="","",IFERROR(BT98*HSI!$B$96*HSI!$G$96/HSI!$B$3,""))</f>
        <v/>
      </c>
      <c r="EI98" s="85">
        <f>IF(BU98="","",IFERROR(BU98*HSI!$B$96*HSI!$G$96/HSI!$B$3,""))</f>
        <v/>
      </c>
      <c r="EJ98" s="85">
        <f>IF(BV98="","",IFERROR(BV98*HSI!$B$96*HSI!$G$96/HSI!$B$3,""))</f>
        <v/>
      </c>
      <c r="EK98" s="85">
        <f>IF(BW98="","",IFERROR(BW98*HSI!$B$96*HSI!$G$96/HSI!$B$3,""))</f>
        <v/>
      </c>
      <c r="EL98" s="85">
        <f>IF(BX98="","",IFERROR(BX98*HSI!$B$96*HSI!$G$96/HSI!$B$3,""))</f>
        <v/>
      </c>
      <c r="EM98" s="85">
        <f>IF(BY98="","",IFERROR(BY98*HSI!$B$96*HSI!$G$96/HSI!$B$3,""))</f>
        <v/>
      </c>
      <c r="EN98" s="85">
        <f>IF(BZ98="","",IFERROR(BZ98*HSI!$B$96*HSI!$G$96/HSI!$B$3,""))</f>
        <v/>
      </c>
      <c r="EO98" s="85">
        <f>IF(CA98="","",IFERROR(CA98*HSI!$B$96*HSI!$G$96/HSI!$B$3,""))</f>
        <v/>
      </c>
      <c r="EP98" s="85">
        <f>IF(CB98="","",IFERROR(CB98*HSI!$B$96*HSI!$G$96/HSI!$B$3,""))</f>
        <v/>
      </c>
      <c r="EQ98" s="85">
        <f>IF(CC98="","",IFERROR(CC98*HSI!$B$96*HSI!$G$96/HSI!$B$3,""))</f>
        <v/>
      </c>
      <c r="ER98" s="85">
        <f>IF(CD98="","",IFERROR(CD98*HSI!$B$96*HSI!$G$96/HSI!$B$3,""))</f>
        <v/>
      </c>
      <c r="ES98" s="85">
        <f>IF(CE98="","",IFERROR(CE98*HSI!$B$96*HSI!$G$96/HSI!$B$3,""))</f>
        <v/>
      </c>
      <c r="ET98" s="85">
        <f>IF(CF98="","",IFERROR(CF98*HSI!$B$96*HSI!$G$96/HSI!$B$3,""))</f>
        <v/>
      </c>
      <c r="EU98" s="85">
        <f>IF(CG98="","",IFERROR(CG98*HSI!$B$96*HSI!$G$96/HSI!$B$3,""))</f>
        <v/>
      </c>
      <c r="EV98" s="85">
        <f>IF(CH98="","",IFERROR(CH98*HSI!$B$96*HSI!$G$96/HSI!$B$3,""))</f>
        <v/>
      </c>
      <c r="EW98" s="85">
        <f>IF(CI98="","",IFERROR(CI98*HSI!$B$96*HSI!$G$96/HSI!$B$3,""))</f>
        <v/>
      </c>
      <c r="EX98" s="85">
        <f>IF(CJ98="","",IFERROR(CJ98*HSI!$B$96*HSI!$G$96/HSI!$B$3,""))</f>
        <v/>
      </c>
      <c r="EY98" s="85">
        <f>IF(CK98="","",IFERROR(CK98*HSI!$B$96*HSI!$G$96/HSI!$B$3,""))</f>
        <v/>
      </c>
      <c r="EZ98" s="85">
        <f>IF(CL98="","",IFERROR(CL98*HSI!$B$96*HSI!$G$96/HSI!$B$3,""))</f>
        <v/>
      </c>
      <c r="FA98" s="85">
        <f>IF(CM98="","",IFERROR(CM98*HSI!$B$96*HSI!$G$96/HSI!$B$3,""))</f>
        <v/>
      </c>
      <c r="FB98" s="85">
        <f>IF(CN98="","",IFERROR(CN98*HSI!$B$96*HSI!$G$96/HSI!$B$3,""))</f>
        <v/>
      </c>
      <c r="FC98" s="85">
        <f>IF(CO98="","",IFERROR(CO98*HSI!$B$96*HSI!$G$96/HSI!$B$3,""))</f>
        <v/>
      </c>
      <c r="FD98" s="85">
        <f>IF(CP98="","",IFERROR(CP98*HSI!$B$96*HSI!$G$96/HSI!$B$3,""))</f>
        <v/>
      </c>
      <c r="FE98" s="85">
        <f>IF(CQ98="","",IFERROR(CQ98*HSI!$B$96*HSI!$G$96/HSI!$B$3,""))</f>
        <v/>
      </c>
      <c r="FF98" s="85">
        <f>IF(CR98="","",IFERROR(CR98*HSI!$B$96*HSI!$G$96/HSI!$B$3,""))</f>
        <v/>
      </c>
      <c r="FG98" s="85">
        <f>IF(CS98="","",IFERROR(CS98*HSI!$B$96*HSI!$G$96/HSI!$B$3,""))</f>
        <v/>
      </c>
      <c r="FH98" s="85">
        <f>IF(CT98="","",IFERROR(CT98*HSI!$B$96*HSI!$G$96/HSI!$B$3,""))</f>
        <v/>
      </c>
      <c r="FI98" s="85">
        <f>IF(CU98="","",IFERROR(CU98*HSI!$B$96*HSI!$G$96/HSI!$B$3,""))</f>
        <v/>
      </c>
      <c r="FJ98" s="85">
        <f>IF(CV98="","",IFERROR(CV98*HSI!$B$96*HSI!$G$96/HSI!$B$3,""))</f>
        <v/>
      </c>
      <c r="FK98" s="85">
        <f>IF(CW98="","",IFERROR(CW98*HSI!$B$96*HSI!$G$96/HSI!$B$3,""))</f>
        <v/>
      </c>
      <c r="FL98" s="85">
        <f>IF(CX98="","",IFERROR(CX98*HSI!$B$96*HSI!$G$96/HSI!$B$3,""))</f>
        <v/>
      </c>
      <c r="FM98" s="85">
        <f>IF(CY98="","",IFERROR(CY98*HSI!$B$96*HSI!$G$96/HSI!$B$3,""))</f>
        <v/>
      </c>
      <c r="FN98" s="85">
        <f>IF(CZ98="","",IFERROR(CZ98*HSI!$B$96*HSI!$G$96/HSI!$B$3,""))</f>
        <v/>
      </c>
      <c r="FO98" s="85">
        <f>IF(DA98="","",IFERROR(DA98*HSI!$B$96*HSI!$G$96/HSI!$B$3,""))</f>
        <v/>
      </c>
      <c r="FP98" s="85">
        <f>IF(DB98="","",IFERROR(DB98*HSI!$B$96*HSI!$G$96/HSI!$B$3,""))</f>
        <v/>
      </c>
      <c r="FQ98" s="85">
        <f>IF(DC98="","",IFERROR(DC98*HSI!$B$96*HSI!$G$96/HSI!$B$3,""))</f>
        <v/>
      </c>
      <c r="FR98" s="85">
        <f>IF(DD98="","",IFERROR(DD98*HSI!$B$96*HSI!$G$96/HSI!$B$3,""))</f>
        <v/>
      </c>
      <c r="FS98" s="85">
        <f>IF(DE98="","",IFERROR(DE98*HSI!$B$96*HSI!$G$96/HSI!$B$3,""))</f>
        <v/>
      </c>
      <c r="FT98" s="85">
        <f>IF(DF98="","",IFERROR(DF98*HSI!$B$96*HSI!$G$96/HSI!$B$3,""))</f>
        <v/>
      </c>
      <c r="FU98" s="85">
        <f>IF(DG98="","",IFERROR(DG98*HSI!$B$96*HSI!$G$96/HSI!$B$3,""))</f>
        <v/>
      </c>
      <c r="FV98" s="85">
        <f>IF(DH98="","",IFERROR(DH98*HSI!$B$96*HSI!$G$96/HSI!$B$3,""))</f>
        <v/>
      </c>
      <c r="FW98" s="85">
        <f>IF(DI98="","",IFERROR(DI98*HSI!$B$96*HSI!$G$96/HSI!$B$3,""))</f>
        <v/>
      </c>
      <c r="FX98" s="85">
        <f>IF(DJ98="","",IFERROR(DJ98*HSI!$B$96*HSI!$G$96/HSI!$B$3,""))</f>
        <v/>
      </c>
      <c r="FY98" s="85">
        <f>IF(DK98="","",IFERROR(DK98*HSI!$B$96*HSI!$G$96/HSI!$B$3,""))</f>
        <v/>
      </c>
      <c r="FZ98" s="85">
        <f>IF(DL98="","",IFERROR(DL98*HSI!$B$96*HSI!$G$96/HSI!$B$3,""))</f>
        <v/>
      </c>
      <c r="GA98" s="85">
        <f>IF(DM98="","",IFERROR(DM98*HSI!$B$96*HSI!$G$96/HSI!$B$3,""))</f>
        <v/>
      </c>
      <c r="GB98" s="85">
        <f>IF(DN98="","",IFERROR(DN98*HSI!$B$96*HSI!$G$96/HSI!$B$3,""))</f>
        <v/>
      </c>
      <c r="GC98" s="85">
        <f>IF(DO98="","",IFERROR(DO98*HSI!$B$96*HSI!$G$96/HSI!$B$3,""))</f>
        <v/>
      </c>
      <c r="GD98" s="85">
        <f>IF(DP98="","",IFERROR(DP98*HSI!$B$96*HSI!$G$96/HSI!$B$3,""))</f>
        <v/>
      </c>
      <c r="GE98" s="85">
        <f>IF(DQ98="","",IFERROR(DQ98*HSI!$B$96*HSI!$G$96/HSI!$B$3,""))</f>
        <v/>
      </c>
      <c r="GF98" s="85">
        <f>IF(DR98="","",IFERROR(DR98*HSI!$B$96*HSI!$G$96/HSI!$B$3,""))</f>
        <v/>
      </c>
      <c r="GG98" s="85">
        <f>IF(DS98="","",IFERROR(DS98*HSI!$B$96*HSI!$G$96/HSI!$B$3,""))</f>
        <v/>
      </c>
      <c r="GH98" s="85">
        <f>IF(DT98="","",IFERROR(DT98*HSI!$B$96*HSI!$G$96/HSI!$B$3,""))</f>
        <v/>
      </c>
      <c r="GI98" s="85">
        <f>IF(DU98="","",IFERROR(DU98*HSI!$B$96*HSI!$G$96/HSI!$B$3,""))</f>
        <v/>
      </c>
      <c r="GJ98" s="85">
        <f>IF(DV98="","",IFERROR(DV98*HSI!$B$96*HSI!$G$96/HSI!$B$3,""))</f>
        <v/>
      </c>
      <c r="GK98" s="85">
        <f>IF(DW98="","",IFERROR(DW98*HSI!$B$96*HSI!$G$96/HSI!$B$3,""))</f>
        <v/>
      </c>
      <c r="GL98" s="85">
        <f>IF(DX98="","",IFERROR(DX98*HSI!$B$96*HSI!$G$96/HSI!$B$3,""))</f>
        <v/>
      </c>
      <c r="GM98" s="85">
        <f>IF(DY98="","",IFERROR(DY98*HSI!$B$96*HSI!$G$96/HSI!$B$3,""))</f>
        <v/>
      </c>
      <c r="GN98" s="85">
        <f>IF(DZ98="","",IFERROR(DZ98*HSI!$B$96*HSI!$G$96/HSI!$B$3,""))</f>
        <v/>
      </c>
      <c r="GO98" s="85">
        <f>IF(EA98="","",IFERROR(EA98*HSI!$B$96*HSI!$G$96/HSI!$B$3,""))</f>
        <v/>
      </c>
      <c r="GP98" s="85">
        <f>IF(EB98="","",IFERROR(EB98*HSI!$B$96*HSI!$G$96/HSI!$B$3,""))</f>
        <v/>
      </c>
      <c r="GQ98" s="85">
        <f>IF(EC98="","",IFERROR(EC98*HSI!$B$96*HSI!$G$96/HSI!$B$3,""))</f>
        <v/>
      </c>
    </row>
    <row r="99">
      <c r="B99" s="2">
        <f>IF(HSI!$C$97="","",HSI!$C$97)</f>
        <v/>
      </c>
      <c r="C99" s="41">
        <f>IF(N('Dvd Calendar'!$E$1360)=0,"",IF(('Dvd Calendar'!$E$1360&gt;=MIN(DATE(Summary!$C$12,1,1),Summary!$C$11))*('Dvd Calendar'!$E$1360&lt;=MAX(DATE(Summary!$C$12,12,31),Summary!$C$15))*('Dvd Calendar'!$E$1360&lt;=Summary!$C$11)=0,"",'Dvd Calendar'!$E$1360*1000000000+ISNUMBER('Dvd Calendar'!$E$1361)*100000000+('Dvd Calendar'!$E$1365='Field Check'!$C$25)*10000000+(N('Dvd Calendar'!$E$1359)&gt;0)*1000000+91*1000+1))</f>
        <v/>
      </c>
      <c r="D99" s="41">
        <f>IF(N('Dvd Calendar'!$F$1360)=0,"",IF(('Dvd Calendar'!$F$1360&gt;=MIN(DATE(Summary!$C$12,1,1),Summary!$C$11))*('Dvd Calendar'!$F$1360&lt;=MAX(DATE(Summary!$C$12,12,31),Summary!$C$15))*('Dvd Calendar'!$F$1360&lt;=Summary!$C$11)=0,"",'Dvd Calendar'!$F$1360*1000000000+ISNUMBER('Dvd Calendar'!$F$1361)*100000000+('Dvd Calendar'!$F$1365='Field Check'!$C$25)*10000000+(N('Dvd Calendar'!$F$1359)&gt;0)*1000000+91*1000+2))</f>
        <v/>
      </c>
      <c r="E99" s="41">
        <f>IF(N('Dvd Calendar'!$G$1360)=0,"",IF(('Dvd Calendar'!$G$1360&gt;=MIN(DATE(Summary!$C$12,1,1),Summary!$C$11))*('Dvd Calendar'!$G$1360&lt;=MAX(DATE(Summary!$C$12,12,31),Summary!$C$15))*('Dvd Calendar'!$G$1360&lt;=Summary!$C$11)=0,"",'Dvd Calendar'!$G$1360*1000000000+ISNUMBER('Dvd Calendar'!$G$1361)*100000000+('Dvd Calendar'!$G$1365='Field Check'!$C$25)*10000000+(N('Dvd Calendar'!$G$1359)&gt;0)*1000000+91*1000+3))</f>
        <v/>
      </c>
      <c r="F99" s="41">
        <f>IF(N('Dvd Calendar'!$H$1360)=0,"",IF(('Dvd Calendar'!$H$1360&gt;=MIN(DATE(Summary!$C$12,1,1),Summary!$C$11))*('Dvd Calendar'!$H$1360&lt;=MAX(DATE(Summary!$C$12,12,31),Summary!$C$15))*('Dvd Calendar'!$H$1360&lt;=Summary!$C$11)=0,"",'Dvd Calendar'!$H$1360*1000000000+ISNUMBER('Dvd Calendar'!$H$1361)*100000000+('Dvd Calendar'!$H$1365='Field Check'!$C$25)*10000000+(N('Dvd Calendar'!$H$1359)&gt;0)*1000000+91*1000+4))</f>
        <v/>
      </c>
      <c r="G99" s="41">
        <f>IF(N('Dvd Calendar'!$I$1360)=0,"",IF(('Dvd Calendar'!$I$1360&gt;=MIN(DATE(Summary!$C$12,1,1),Summary!$C$11))*('Dvd Calendar'!$I$1360&lt;=MAX(DATE(Summary!$C$12,12,31),Summary!$C$15))*('Dvd Calendar'!$I$1360&lt;=Summary!$C$11)=0,"",'Dvd Calendar'!$I$1360*1000000000+ISNUMBER('Dvd Calendar'!$I$1361)*100000000+('Dvd Calendar'!$I$1365='Field Check'!$C$25)*10000000+(N('Dvd Calendar'!$I$1359)&gt;0)*1000000+91*1000+5))</f>
        <v/>
      </c>
      <c r="H99" s="41">
        <f>IF(N('Dvd Calendar'!$J$1360)=0,"",IF(('Dvd Calendar'!$J$1360&gt;=MIN(DATE(Summary!$C$12,1,1),Summary!$C$11))*('Dvd Calendar'!$J$1360&lt;=MAX(DATE(Summary!$C$12,12,31),Summary!$C$15))*('Dvd Calendar'!$J$1360&lt;=Summary!$C$11)=0,"",'Dvd Calendar'!$J$1360*1000000000+ISNUMBER('Dvd Calendar'!$J$1361)*100000000+('Dvd Calendar'!$J$1365='Field Check'!$C$25)*10000000+(N('Dvd Calendar'!$J$1359)&gt;0)*1000000+91*1000+6))</f>
        <v/>
      </c>
      <c r="I99" s="41">
        <f>IF(N('Dvd Calendar'!$K$1360)=0,"",IF(('Dvd Calendar'!$K$1360&gt;=MIN(DATE(Summary!$C$12,1,1),Summary!$C$11))*('Dvd Calendar'!$K$1360&lt;=MAX(DATE(Summary!$C$12,12,31),Summary!$C$15))*('Dvd Calendar'!$K$1360&lt;=Summary!$C$11)=0,"",'Dvd Calendar'!$K$1360*1000000000+ISNUMBER('Dvd Calendar'!$K$1361)*100000000+('Dvd Calendar'!$K$1365='Field Check'!$C$25)*10000000+(N('Dvd Calendar'!$K$1359)&gt;0)*1000000+91*1000+7))</f>
        <v/>
      </c>
      <c r="J99" s="41">
        <f>IF(N('Dvd Calendar'!$L$1360)=0,"",IF(('Dvd Calendar'!$L$1360&gt;=MIN(DATE(Summary!$C$12,1,1),Summary!$C$11))*('Dvd Calendar'!$L$1360&lt;=MAX(DATE(Summary!$C$12,12,31),Summary!$C$15))*('Dvd Calendar'!$L$1360&lt;=Summary!$C$11)=0,"",'Dvd Calendar'!$L$1360*1000000000+ISNUMBER('Dvd Calendar'!$L$1361)*100000000+('Dvd Calendar'!$L$1365='Field Check'!$C$25)*10000000+(N('Dvd Calendar'!$L$1359)&gt;0)*1000000+91*1000+8))</f>
        <v/>
      </c>
      <c r="K99" s="41">
        <f>IF(N('Dvd Calendar'!$M$1360)=0,"",IF(('Dvd Calendar'!$M$1360&gt;=MIN(DATE(Summary!$C$12,1,1),Summary!$C$11))*('Dvd Calendar'!$M$1360&lt;=MAX(DATE(Summary!$C$12,12,31),Summary!$C$15))*('Dvd Calendar'!$M$1360&lt;=Summary!$C$11)=0,"",'Dvd Calendar'!$M$1360*1000000000+ISNUMBER('Dvd Calendar'!$M$1361)*100000000+('Dvd Calendar'!$M$1365='Field Check'!$C$25)*10000000+(N('Dvd Calendar'!$M$1359)&gt;0)*1000000+91*1000+9))</f>
        <v/>
      </c>
      <c r="L99" s="41">
        <f>IF(N('Dvd Calendar'!$N$1360)=0,"",IF(('Dvd Calendar'!$N$1360&gt;=MIN(DATE(Summary!$C$12,1,1),Summary!$C$11))*('Dvd Calendar'!$N$1360&lt;=MAX(DATE(Summary!$C$12,12,31),Summary!$C$15))*('Dvd Calendar'!$N$1360&lt;=Summary!$C$11)=0,"",'Dvd Calendar'!$N$1360*1000000000+ISNUMBER('Dvd Calendar'!$N$1361)*100000000+('Dvd Calendar'!$N$1365='Field Check'!$C$25)*10000000+(N('Dvd Calendar'!$N$1359)&gt;0)*1000000+91*1000+10))</f>
        <v/>
      </c>
      <c r="M99" s="41">
        <f>IF(N('Dvd Calendar'!$O$1360)=0,"",IF(('Dvd Calendar'!$O$1360&gt;=MIN(DATE(Summary!$C$12,1,1),Summary!$C$11))*('Dvd Calendar'!$O$1360&lt;=MAX(DATE(Summary!$C$12,12,31),Summary!$C$15))*('Dvd Calendar'!$O$1360&lt;=Summary!$C$11)=0,"",'Dvd Calendar'!$O$1360*1000000000+ISNUMBER('Dvd Calendar'!$O$1361)*100000000+('Dvd Calendar'!$O$1365='Field Check'!$C$25)*10000000+(N('Dvd Calendar'!$O$1359)&gt;0)*1000000+91*1000+11))</f>
        <v/>
      </c>
      <c r="N99" s="41">
        <f>IF(N('Dvd Calendar'!$P$1360)=0,"",IF(('Dvd Calendar'!$P$1360&gt;=MIN(DATE(Summary!$C$12,1,1),Summary!$C$11))*('Dvd Calendar'!$P$1360&lt;=MAX(DATE(Summary!$C$12,12,31),Summary!$C$15))*('Dvd Calendar'!$P$1360&lt;=Summary!$C$11)=0,"",'Dvd Calendar'!$P$1360*1000000000+ISNUMBER('Dvd Calendar'!$P$1361)*100000000+('Dvd Calendar'!$P$1365='Field Check'!$C$25)*10000000+(N('Dvd Calendar'!$P$1359)&gt;0)*1000000+91*1000+12))</f>
        <v/>
      </c>
      <c r="O99" s="41">
        <f>IF(N('Dvd Calendar'!$Q$1360)=0,"",IF(('Dvd Calendar'!$Q$1360&gt;=MIN(DATE(Summary!$C$12,1,1),Summary!$C$11))*('Dvd Calendar'!$Q$1360&lt;=MAX(DATE(Summary!$C$12,12,31),Summary!$C$15))*('Dvd Calendar'!$Q$1360&lt;=Summary!$C$11)=0,"",'Dvd Calendar'!$Q$1360*1000000000+ISNUMBER('Dvd Calendar'!$Q$1361)*100000000+('Dvd Calendar'!$Q$1365='Field Check'!$C$25)*10000000+(N('Dvd Calendar'!$Q$1359)&gt;0)*1000000+91*1000+13))</f>
        <v/>
      </c>
      <c r="P99" s="41">
        <f>IF(N('Dvd Calendar'!$R$1360)=0,"",IF(('Dvd Calendar'!$R$1360&gt;=MIN(DATE(Summary!$C$12,1,1),Summary!$C$11))*('Dvd Calendar'!$R$1360&lt;=MAX(DATE(Summary!$C$12,12,31),Summary!$C$15))*('Dvd Calendar'!$R$1360&lt;=Summary!$C$11)=0,"",'Dvd Calendar'!$R$1360*1000000000+ISNUMBER('Dvd Calendar'!$R$1361)*100000000+('Dvd Calendar'!$R$1365='Field Check'!$C$25)*10000000+(N('Dvd Calendar'!$R$1359)&gt;0)*1000000+91*1000+14))</f>
        <v/>
      </c>
      <c r="Q99" s="41">
        <f>IF(N('Dvd Calendar'!$S$1360)=0,"",IF(('Dvd Calendar'!$S$1360&gt;=MIN(DATE(Summary!$C$12,1,1),Summary!$C$11))*('Dvd Calendar'!$S$1360&lt;=MAX(DATE(Summary!$C$12,12,31),Summary!$C$15))*('Dvd Calendar'!$S$1360&lt;=Summary!$C$11)=0,"",'Dvd Calendar'!$S$1360*1000000000+ISNUMBER('Dvd Calendar'!$S$1361)*100000000+('Dvd Calendar'!$S$1365='Field Check'!$C$25)*10000000+(N('Dvd Calendar'!$S$1359)&gt;0)*1000000+91*1000+15))</f>
        <v/>
      </c>
      <c r="R99" s="41">
        <f>IF(N('Dvd Calendar'!$T$1360)=0,"",IF(('Dvd Calendar'!$T$1360&gt;=MIN(DATE(Summary!$C$12,1,1),Summary!$C$11))*('Dvd Calendar'!$T$1360&lt;=MAX(DATE(Summary!$C$12,12,31),Summary!$C$15))*('Dvd Calendar'!$T$1360&lt;=Summary!$C$11)=0,"",'Dvd Calendar'!$T$1360*1000000000+ISNUMBER('Dvd Calendar'!$T$1361)*100000000+('Dvd Calendar'!$T$1365='Field Check'!$C$25)*10000000+(N('Dvd Calendar'!$T$1359)&gt;0)*1000000+91*1000+16))</f>
        <v/>
      </c>
      <c r="S99" s="41">
        <f>IF(N('Dvd Calendar'!$U$1360)=0,"",IF(('Dvd Calendar'!$U$1360&gt;=MIN(DATE(Summary!$C$12,1,1),Summary!$C$11))*('Dvd Calendar'!$U$1360&lt;=MAX(DATE(Summary!$C$12,12,31),Summary!$C$15))*('Dvd Calendar'!$U$1360&lt;=Summary!$C$11)=0,"",'Dvd Calendar'!$U$1360*1000000000+ISNUMBER('Dvd Calendar'!$U$1361)*100000000+('Dvd Calendar'!$U$1365='Field Check'!$C$25)*10000000+(N('Dvd Calendar'!$U$1359)&gt;0)*1000000+91*1000+17))</f>
        <v/>
      </c>
      <c r="T99" s="41">
        <f>IF(N('Dvd Calendar'!$V$1360)=0,"",IF(('Dvd Calendar'!$V$1360&gt;=MIN(DATE(Summary!$C$12,1,1),Summary!$C$11))*('Dvd Calendar'!$V$1360&lt;=MAX(DATE(Summary!$C$12,12,31),Summary!$C$15))*('Dvd Calendar'!$V$1360&lt;=Summary!$C$11)=0,"",'Dvd Calendar'!$V$1360*1000000000+ISNUMBER('Dvd Calendar'!$V$1361)*100000000+('Dvd Calendar'!$V$1365='Field Check'!$C$25)*10000000+(N('Dvd Calendar'!$V$1359)&gt;0)*1000000+91*1000+18))</f>
        <v/>
      </c>
      <c r="U99" s="41">
        <f>IF(N('Dvd Calendar'!$W$1360)=0,"",IF(('Dvd Calendar'!$W$1360&gt;=MIN(DATE(Summary!$C$12,1,1),Summary!$C$11))*('Dvd Calendar'!$W$1360&lt;=MAX(DATE(Summary!$C$12,12,31),Summary!$C$15))*('Dvd Calendar'!$W$1360&lt;=Summary!$C$11)=0,"",'Dvd Calendar'!$W$1360*1000000000+ISNUMBER('Dvd Calendar'!$W$1361)*100000000+('Dvd Calendar'!$W$1365='Field Check'!$C$25)*10000000+(N('Dvd Calendar'!$W$1359)&gt;0)*1000000+91*1000+19))</f>
        <v/>
      </c>
      <c r="V99" s="41">
        <f>IF(N('Dvd Calendar'!$X$1360)=0,"",IF(('Dvd Calendar'!$X$1360&gt;=MIN(DATE(Summary!$C$12,1,1),Summary!$C$11))*('Dvd Calendar'!$X$1360&lt;=MAX(DATE(Summary!$C$12,12,31),Summary!$C$15))*('Dvd Calendar'!$X$1360&lt;=Summary!$C$11)=0,"",'Dvd Calendar'!$X$1360*1000000000+ISNUMBER('Dvd Calendar'!$X$1361)*100000000+('Dvd Calendar'!$X$1365='Field Check'!$C$25)*10000000+(N('Dvd Calendar'!$X$1359)&gt;0)*1000000+91*1000+20))</f>
        <v/>
      </c>
      <c r="W99" s="41">
        <f>IF(N('Dvd Calendar'!$Y$1360)=0,"",IF(('Dvd Calendar'!$Y$1360&gt;=MIN(DATE(Summary!$C$12,1,1),Summary!$C$11))*('Dvd Calendar'!$Y$1360&lt;=MAX(DATE(Summary!$C$12,12,31),Summary!$C$15))*('Dvd Calendar'!$Y$1360&lt;=Summary!$C$11)=0,"",'Dvd Calendar'!$Y$1360*1000000000+ISNUMBER('Dvd Calendar'!$Y$1361)*100000000+('Dvd Calendar'!$Y$1365='Field Check'!$C$25)*10000000+(N('Dvd Calendar'!$Y$1359)&gt;0)*1000000+91*1000+21))</f>
        <v/>
      </c>
      <c r="X99" s="41">
        <f>IF(N('Dvd Calendar'!$Z$1360)=0,"",IF(('Dvd Calendar'!$Z$1360&gt;=MIN(DATE(Summary!$C$12,1,1),Summary!$C$11))*('Dvd Calendar'!$Z$1360&lt;=MAX(DATE(Summary!$C$12,12,31),Summary!$C$15))*('Dvd Calendar'!$Z$1360&lt;=Summary!$C$11)=0,"",'Dvd Calendar'!$Z$1360*1000000000+ISNUMBER('Dvd Calendar'!$Z$1361)*100000000+('Dvd Calendar'!$Z$1365='Field Check'!$C$25)*10000000+(N('Dvd Calendar'!$Z$1359)&gt;0)*1000000+91*1000+22))</f>
        <v/>
      </c>
      <c r="Y99" s="41">
        <f>IF(N('Dvd Calendar'!$AA$1360)=0,"",IF(('Dvd Calendar'!$AA$1360&gt;=MIN(DATE(Summary!$C$12,1,1),Summary!$C$11))*('Dvd Calendar'!$AA$1360&lt;=MAX(DATE(Summary!$C$12,12,31),Summary!$C$15))*('Dvd Calendar'!$AA$1360&lt;=Summary!$C$11)=0,"",'Dvd Calendar'!$AA$1360*1000000000+ISNUMBER('Dvd Calendar'!$AA$1361)*100000000+('Dvd Calendar'!$AA$1365='Field Check'!$C$25)*10000000+(N('Dvd Calendar'!$AA$1359)&gt;0)*1000000+91*1000+23))</f>
        <v/>
      </c>
      <c r="Z99" s="41">
        <f>IF(N('Dvd Calendar'!$AB$1360)=0,"",IF(('Dvd Calendar'!$AB$1360&gt;=MIN(DATE(Summary!$C$12,1,1),Summary!$C$11))*('Dvd Calendar'!$AB$1360&lt;=MAX(DATE(Summary!$C$12,12,31),Summary!$C$15))*('Dvd Calendar'!$AB$1360&lt;=Summary!$C$11)=0,"",'Dvd Calendar'!$AB$1360*1000000000+ISNUMBER('Dvd Calendar'!$AB$1361)*100000000+('Dvd Calendar'!$AB$1365='Field Check'!$C$25)*10000000+(N('Dvd Calendar'!$AB$1359)&gt;0)*1000000+91*1000+24))</f>
        <v/>
      </c>
      <c r="AA99" s="41">
        <f>IF(N('Dvd Calendar'!$AC$1360)=0,"",IF(('Dvd Calendar'!$AC$1360&gt;=MIN(DATE(Summary!$C$12,1,1),Summary!$C$11))*('Dvd Calendar'!$AC$1360&lt;=MAX(DATE(Summary!$C$12,12,31),Summary!$C$15))*('Dvd Calendar'!$AC$1360&lt;=Summary!$C$11)=0,"",'Dvd Calendar'!$AC$1360*1000000000+ISNUMBER('Dvd Calendar'!$AC$1361)*100000000+('Dvd Calendar'!$AC$1365='Field Check'!$C$25)*10000000+(N('Dvd Calendar'!$AC$1359)&gt;0)*1000000+91*1000+25))</f>
        <v/>
      </c>
      <c r="AB99" s="41">
        <f>IF(N('Dvd Calendar'!$AD$1360)=0,"",IF(('Dvd Calendar'!$AD$1360&gt;=MIN(DATE(Summary!$C$12,1,1),Summary!$C$11))*('Dvd Calendar'!$AD$1360&lt;=MAX(DATE(Summary!$C$12,12,31),Summary!$C$15))*('Dvd Calendar'!$AD$1360&lt;=Summary!$C$11)=0,"",'Dvd Calendar'!$AD$1360*1000000000+ISNUMBER('Dvd Calendar'!$AD$1361)*100000000+('Dvd Calendar'!$AD$1365='Field Check'!$C$25)*10000000+(N('Dvd Calendar'!$AD$1359)&gt;0)*1000000+91*1000+26))</f>
        <v/>
      </c>
      <c r="AC99" s="41">
        <f>IF(N('Dvd Calendar'!$AE$1360)=0,"",IF(('Dvd Calendar'!$AE$1360&gt;=MIN(DATE(Summary!$C$12,1,1),Summary!$C$11))*('Dvd Calendar'!$AE$1360&lt;=MAX(DATE(Summary!$C$12,12,31),Summary!$C$15))*('Dvd Calendar'!$AE$1360&lt;=Summary!$C$11)=0,"",'Dvd Calendar'!$AE$1360*1000000000+ISNUMBER('Dvd Calendar'!$AE$1361)*100000000+('Dvd Calendar'!$AE$1365='Field Check'!$C$25)*10000000+(N('Dvd Calendar'!$AE$1359)&gt;0)*1000000+91*1000+27))</f>
        <v/>
      </c>
      <c r="AD99" s="41">
        <f>IF(N('Dvd Calendar'!$AF$1360)=0,"",IF(('Dvd Calendar'!$AF$1360&gt;=MIN(DATE(Summary!$C$12,1,1),Summary!$C$11))*('Dvd Calendar'!$AF$1360&lt;=MAX(DATE(Summary!$C$12,12,31),Summary!$C$15))*('Dvd Calendar'!$AF$1360&lt;=Summary!$C$11)=0,"",'Dvd Calendar'!$AF$1360*1000000000+ISNUMBER('Dvd Calendar'!$AF$1361)*100000000+('Dvd Calendar'!$AF$1365='Field Check'!$C$25)*10000000+(N('Dvd Calendar'!$AF$1359)&gt;0)*1000000+91*1000+28))</f>
        <v/>
      </c>
      <c r="AE99" s="41">
        <f>IF(N('Dvd Calendar'!$AG$1360)=0,"",IF(('Dvd Calendar'!$AG$1360&gt;=MIN(DATE(Summary!$C$12,1,1),Summary!$C$11))*('Dvd Calendar'!$AG$1360&lt;=MAX(DATE(Summary!$C$12,12,31),Summary!$C$15))*('Dvd Calendar'!$AG$1360&lt;=Summary!$C$11)=0,"",'Dvd Calendar'!$AG$1360*1000000000+ISNUMBER('Dvd Calendar'!$AG$1361)*100000000+('Dvd Calendar'!$AG$1365='Field Check'!$C$25)*10000000+(N('Dvd Calendar'!$AG$1359)&gt;0)*1000000+91*1000+29))</f>
        <v/>
      </c>
      <c r="AF99" s="41">
        <f>IF(N('Dvd Calendar'!$AH$1360)=0,"",IF(('Dvd Calendar'!$AH$1360&gt;=MIN(DATE(Summary!$C$12,1,1),Summary!$C$11))*('Dvd Calendar'!$AH$1360&lt;=MAX(DATE(Summary!$C$12,12,31),Summary!$C$15))*('Dvd Calendar'!$AH$1360&lt;=Summary!$C$11)=0,"",'Dvd Calendar'!$AH$1360*1000000000+ISNUMBER('Dvd Calendar'!$AH$1361)*100000000+('Dvd Calendar'!$AH$1365='Field Check'!$C$25)*10000000+(N('Dvd Calendar'!$AH$1359)&gt;0)*1000000+91*1000+30))</f>
        <v/>
      </c>
      <c r="AG99" s="41">
        <f>IF(N('Dvd Calendar'!$AI$1360)=0,"",IF(('Dvd Calendar'!$AI$1360&gt;=MIN(DATE(Summary!$C$12,1,1),Summary!$C$11))*('Dvd Calendar'!$AI$1360&lt;=MAX(DATE(Summary!$C$12,12,31),Summary!$C$15))*('Dvd Calendar'!$AI$1360&lt;=Summary!$C$11)=0,"",'Dvd Calendar'!$AI$1360*1000000000+ISNUMBER('Dvd Calendar'!$AI$1361)*100000000+('Dvd Calendar'!$AI$1365='Field Check'!$C$25)*10000000+(N('Dvd Calendar'!$AI$1359)&gt;0)*1000000+91*1000+31))</f>
        <v/>
      </c>
      <c r="AH99" s="41">
        <f>IF(N('Dvd Calendar'!$AJ$1360)=0,"",IF(('Dvd Calendar'!$AJ$1360&gt;=MIN(DATE(Summary!$C$12,1,1),Summary!$C$11))*('Dvd Calendar'!$AJ$1360&lt;=MAX(DATE(Summary!$C$12,12,31),Summary!$C$15))*('Dvd Calendar'!$AJ$1360&lt;=Summary!$C$11)=0,"",'Dvd Calendar'!$AJ$1360*1000000000+ISNUMBER('Dvd Calendar'!$AJ$1361)*100000000+('Dvd Calendar'!$AJ$1365='Field Check'!$C$25)*10000000+(N('Dvd Calendar'!$AJ$1359)&gt;0)*1000000+91*1000+32))</f>
        <v/>
      </c>
      <c r="AI99" s="41">
        <f>IF(N('Dvd Calendar'!$AK$1360)=0,"",IF(('Dvd Calendar'!$AK$1360&gt;=MIN(DATE(Summary!$C$12,1,1),Summary!$C$11))*('Dvd Calendar'!$AK$1360&lt;=MAX(DATE(Summary!$C$12,12,31),Summary!$C$15))*('Dvd Calendar'!$AK$1360&lt;=Summary!$C$11)=0,"",'Dvd Calendar'!$AK$1360*1000000000+ISNUMBER('Dvd Calendar'!$AK$1361)*100000000+('Dvd Calendar'!$AK$1365='Field Check'!$C$25)*10000000+(N('Dvd Calendar'!$AK$1359)&gt;0)*1000000+91*1000+33))</f>
        <v/>
      </c>
      <c r="AJ99" s="41">
        <f>IF(N('Dvd Calendar'!$AL$1360)=0,"",IF(('Dvd Calendar'!$AL$1360&gt;=MIN(DATE(Summary!$C$12,1,1),Summary!$C$11))*('Dvd Calendar'!$AL$1360&lt;=MAX(DATE(Summary!$C$12,12,31),Summary!$C$15))*('Dvd Calendar'!$AL$1360&lt;=Summary!$C$11)=0,"",'Dvd Calendar'!$AL$1360*1000000000+ISNUMBER('Dvd Calendar'!$AL$1361)*100000000+('Dvd Calendar'!$AL$1365='Field Check'!$C$25)*10000000+(N('Dvd Calendar'!$AL$1359)&gt;0)*1000000+91*1000+34))</f>
        <v/>
      </c>
      <c r="AK99" s="41">
        <f>IF(N('Dvd Calendar'!$AM$1360)=0,"",IF(('Dvd Calendar'!$AM$1360&gt;=MIN(DATE(Summary!$C$12,1,1),Summary!$C$11))*('Dvd Calendar'!$AM$1360&lt;=MAX(DATE(Summary!$C$12,12,31),Summary!$C$15))*('Dvd Calendar'!$AM$1360&lt;=Summary!$C$11)=0,"",'Dvd Calendar'!$AM$1360*1000000000+ISNUMBER('Dvd Calendar'!$AM$1361)*100000000+('Dvd Calendar'!$AM$1365='Field Check'!$C$25)*10000000+(N('Dvd Calendar'!$AM$1359)&gt;0)*1000000+91*1000+35))</f>
        <v/>
      </c>
      <c r="AL99" s="41">
        <f>IF(N('Dvd Calendar'!$AN$1360)=0,"",IF(('Dvd Calendar'!$AN$1360&gt;=MIN(DATE(Summary!$C$12,1,1),Summary!$C$11))*('Dvd Calendar'!$AN$1360&lt;=MAX(DATE(Summary!$C$12,12,31),Summary!$C$15))*('Dvd Calendar'!$AN$1360&lt;=Summary!$C$11)=0,"",'Dvd Calendar'!$AN$1360*1000000000+ISNUMBER('Dvd Calendar'!$AN$1361)*100000000+('Dvd Calendar'!$AN$1365='Field Check'!$C$25)*10000000+(N('Dvd Calendar'!$AN$1359)&gt;0)*1000000+91*1000+36))</f>
        <v/>
      </c>
      <c r="AM99" s="41">
        <f>IF(N('Dvd Calendar'!$AO$1360)=0,"",IF(('Dvd Calendar'!$AO$1360&gt;=MIN(DATE(Summary!$C$12,1,1),Summary!$C$11))*('Dvd Calendar'!$AO$1360&lt;=MAX(DATE(Summary!$C$12,12,31),Summary!$C$15))*('Dvd Calendar'!$AO$1360&lt;=Summary!$C$11)=0,"",'Dvd Calendar'!$AO$1360*1000000000+ISNUMBER('Dvd Calendar'!$AO$1361)*100000000+('Dvd Calendar'!$AO$1365='Field Check'!$C$25)*10000000+(N('Dvd Calendar'!$AO$1359)&gt;0)*1000000+91*1000+37))</f>
        <v/>
      </c>
      <c r="AN99" s="41">
        <f>IF(N('Dvd Calendar'!$AP$1360)=0,"",IF(('Dvd Calendar'!$AP$1360&gt;=MIN(DATE(Summary!$C$12,1,1),Summary!$C$11))*('Dvd Calendar'!$AP$1360&lt;=MAX(DATE(Summary!$C$12,12,31),Summary!$C$15))*('Dvd Calendar'!$AP$1360&lt;=Summary!$C$11)=0,"",'Dvd Calendar'!$AP$1360*1000000000+ISNUMBER('Dvd Calendar'!$AP$1361)*100000000+('Dvd Calendar'!$AP$1365='Field Check'!$C$25)*10000000+(N('Dvd Calendar'!$AP$1359)&gt;0)*1000000+91*1000+38))</f>
        <v/>
      </c>
      <c r="AO99" s="41">
        <f>IF(N('Dvd Calendar'!$AQ$1360)=0,"",IF(('Dvd Calendar'!$AQ$1360&gt;=MIN(DATE(Summary!$C$12,1,1),Summary!$C$11))*('Dvd Calendar'!$AQ$1360&lt;=MAX(DATE(Summary!$C$12,12,31),Summary!$C$15))*('Dvd Calendar'!$AQ$1360&lt;=Summary!$C$11)=0,"",'Dvd Calendar'!$AQ$1360*1000000000+ISNUMBER('Dvd Calendar'!$AQ$1361)*100000000+('Dvd Calendar'!$AQ$1365='Field Check'!$C$25)*10000000+(N('Dvd Calendar'!$AQ$1359)&gt;0)*1000000+91*1000+39))</f>
        <v/>
      </c>
      <c r="AP99" s="41">
        <f>IF(N('Dvd Calendar'!$AR$1360)=0,"",IF(('Dvd Calendar'!$AR$1360&gt;=MIN(DATE(Summary!$C$12,1,1),Summary!$C$11))*('Dvd Calendar'!$AR$1360&lt;=MAX(DATE(Summary!$C$12,12,31),Summary!$C$15))*('Dvd Calendar'!$AR$1360&lt;=Summary!$C$11)=0,"",'Dvd Calendar'!$AR$1360*1000000000+ISNUMBER('Dvd Calendar'!$AR$1361)*100000000+('Dvd Calendar'!$AR$1365='Field Check'!$C$25)*10000000+(N('Dvd Calendar'!$AR$1359)&gt;0)*1000000+91*1000+40))</f>
        <v/>
      </c>
      <c r="AQ99" s="41">
        <f>IF(N('Dvd Calendar'!$E$1367)=0,"",IF(('Dvd Calendar'!$E$1367&gt;=MIN(DATE(Summary!$C$12,1,1),Summary!$C$11))*('Dvd Calendar'!$E$1367&lt;=MAX(DATE(Summary!$C$12,12,31),Summary!$C$15))*('Dvd Calendar'!$E$1367&gt;Summary!$C$11)=0,"",'Dvd Calendar'!$E$1367*1000000000+ISNUMBER('Dvd Calendar'!$E$1368)*100000000+('Dvd Calendar'!$E$1372='Field Check'!$C$25)*10000000+(N('Dvd Calendar'!$E$1366)&gt;0)*1000000+91*1000+41))</f>
        <v/>
      </c>
      <c r="AR99" s="41">
        <f>IF(N('Dvd Calendar'!$F$1367)=0,"",IF(('Dvd Calendar'!$F$1367&gt;=MIN(DATE(Summary!$C$12,1,1),Summary!$C$11))*('Dvd Calendar'!$F$1367&lt;=MAX(DATE(Summary!$C$12,12,31),Summary!$C$15))*('Dvd Calendar'!$F$1367&gt;Summary!$C$11)=0,"",'Dvd Calendar'!$F$1367*1000000000+ISNUMBER('Dvd Calendar'!$F$1368)*100000000+('Dvd Calendar'!$F$1372='Field Check'!$C$25)*10000000+(N('Dvd Calendar'!$F$1366)&gt;0)*1000000+91*1000+42))</f>
        <v/>
      </c>
      <c r="AS99" s="41">
        <f>IF(N('Dvd Calendar'!$G$1367)=0,"",IF(('Dvd Calendar'!$G$1367&gt;=MIN(DATE(Summary!$C$12,1,1),Summary!$C$11))*('Dvd Calendar'!$G$1367&lt;=MAX(DATE(Summary!$C$12,12,31),Summary!$C$15))*('Dvd Calendar'!$G$1367&gt;Summary!$C$11)=0,"",'Dvd Calendar'!$G$1367*1000000000+ISNUMBER('Dvd Calendar'!$G$1368)*100000000+('Dvd Calendar'!$G$1372='Field Check'!$C$25)*10000000+(N('Dvd Calendar'!$G$1366)&gt;0)*1000000+91*1000+43))</f>
        <v/>
      </c>
      <c r="AT99" s="41">
        <f>IF(N('Dvd Calendar'!$H$1367)=0,"",IF(('Dvd Calendar'!$H$1367&gt;=MIN(DATE(Summary!$C$12,1,1),Summary!$C$11))*('Dvd Calendar'!$H$1367&lt;=MAX(DATE(Summary!$C$12,12,31),Summary!$C$15))*('Dvd Calendar'!$H$1367&gt;Summary!$C$11)=0,"",'Dvd Calendar'!$H$1367*1000000000+ISNUMBER('Dvd Calendar'!$H$1368)*100000000+('Dvd Calendar'!$H$1372='Field Check'!$C$25)*10000000+(N('Dvd Calendar'!$H$1366)&gt;0)*1000000+91*1000+44))</f>
        <v/>
      </c>
      <c r="AU99" s="41">
        <f>IF(N('Dvd Calendar'!$I$1367)=0,"",IF(('Dvd Calendar'!$I$1367&gt;=MIN(DATE(Summary!$C$12,1,1),Summary!$C$11))*('Dvd Calendar'!$I$1367&lt;=MAX(DATE(Summary!$C$12,12,31),Summary!$C$15))*('Dvd Calendar'!$I$1367&gt;Summary!$C$11)=0,"",'Dvd Calendar'!$I$1367*1000000000+ISNUMBER('Dvd Calendar'!$I$1368)*100000000+('Dvd Calendar'!$I$1372='Field Check'!$C$25)*10000000+(N('Dvd Calendar'!$I$1366)&gt;0)*1000000+91*1000+45))</f>
        <v/>
      </c>
      <c r="AV99" s="41">
        <f>IF(N('Dvd Calendar'!$J$1367)=0,"",IF(('Dvd Calendar'!$J$1367&gt;=MIN(DATE(Summary!$C$12,1,1),Summary!$C$11))*('Dvd Calendar'!$J$1367&lt;=MAX(DATE(Summary!$C$12,12,31),Summary!$C$15))*('Dvd Calendar'!$J$1367&gt;Summary!$C$11)=0,"",'Dvd Calendar'!$J$1367*1000000000+ISNUMBER('Dvd Calendar'!$J$1368)*100000000+('Dvd Calendar'!$J$1372='Field Check'!$C$25)*10000000+(N('Dvd Calendar'!$J$1366)&gt;0)*1000000+91*1000+46))</f>
        <v/>
      </c>
      <c r="AW99" s="41">
        <f>IF(N('Dvd Calendar'!$K$1367)=0,"",IF(('Dvd Calendar'!$K$1367&gt;=MIN(DATE(Summary!$C$12,1,1),Summary!$C$11))*('Dvd Calendar'!$K$1367&lt;=MAX(DATE(Summary!$C$12,12,31),Summary!$C$15))*('Dvd Calendar'!$K$1367&gt;Summary!$C$11)=0,"",'Dvd Calendar'!$K$1367*1000000000+ISNUMBER('Dvd Calendar'!$K$1368)*100000000+('Dvd Calendar'!$K$1372='Field Check'!$C$25)*10000000+(N('Dvd Calendar'!$K$1366)&gt;0)*1000000+91*1000+47))</f>
        <v/>
      </c>
      <c r="AX99" s="41">
        <f>IF(N('Dvd Calendar'!$L$1367)=0,"",IF(('Dvd Calendar'!$L$1367&gt;=MIN(DATE(Summary!$C$12,1,1),Summary!$C$11))*('Dvd Calendar'!$L$1367&lt;=MAX(DATE(Summary!$C$12,12,31),Summary!$C$15))*('Dvd Calendar'!$L$1367&gt;Summary!$C$11)=0,"",'Dvd Calendar'!$L$1367*1000000000+ISNUMBER('Dvd Calendar'!$L$1368)*100000000+('Dvd Calendar'!$L$1372='Field Check'!$C$25)*10000000+(N('Dvd Calendar'!$L$1366)&gt;0)*1000000+91*1000+48))</f>
        <v/>
      </c>
      <c r="AY99" s="41">
        <f>IF(N('Dvd Calendar'!$M$1367)=0,"",IF(('Dvd Calendar'!$M$1367&gt;=MIN(DATE(Summary!$C$12,1,1),Summary!$C$11))*('Dvd Calendar'!$M$1367&lt;=MAX(DATE(Summary!$C$12,12,31),Summary!$C$15))*('Dvd Calendar'!$M$1367&gt;Summary!$C$11)=0,"",'Dvd Calendar'!$M$1367*1000000000+ISNUMBER('Dvd Calendar'!$M$1368)*100000000+('Dvd Calendar'!$M$1372='Field Check'!$C$25)*10000000+(N('Dvd Calendar'!$M$1366)&gt;0)*1000000+91*1000+49))</f>
        <v/>
      </c>
      <c r="AZ99" s="41">
        <f>IF(N('Dvd Calendar'!$N$1367)=0,"",IF(('Dvd Calendar'!$N$1367&gt;=MIN(DATE(Summary!$C$12,1,1),Summary!$C$11))*('Dvd Calendar'!$N$1367&lt;=MAX(DATE(Summary!$C$12,12,31),Summary!$C$15))*('Dvd Calendar'!$N$1367&gt;Summary!$C$11)=0,"",'Dvd Calendar'!$N$1367*1000000000+ISNUMBER('Dvd Calendar'!$N$1368)*100000000+('Dvd Calendar'!$N$1372='Field Check'!$C$25)*10000000+(N('Dvd Calendar'!$N$1366)&gt;0)*1000000+91*1000+50))</f>
        <v/>
      </c>
      <c r="BA99" s="41">
        <f>IF(N('Dvd Calendar'!$O$1367)=0,"",IF(('Dvd Calendar'!$O$1367&gt;=MIN(DATE(Summary!$C$12,1,1),Summary!$C$11))*('Dvd Calendar'!$O$1367&lt;=MAX(DATE(Summary!$C$12,12,31),Summary!$C$15))*('Dvd Calendar'!$O$1367&gt;Summary!$C$11)=0,"",'Dvd Calendar'!$O$1367*1000000000+ISNUMBER('Dvd Calendar'!$O$1368)*100000000+('Dvd Calendar'!$O$1372='Field Check'!$C$25)*10000000+(N('Dvd Calendar'!$O$1366)&gt;0)*1000000+91*1000+51))</f>
        <v/>
      </c>
      <c r="BB99" s="41">
        <f>IF(N('Dvd Calendar'!$P$1367)=0,"",IF(('Dvd Calendar'!$P$1367&gt;=MIN(DATE(Summary!$C$12,1,1),Summary!$C$11))*('Dvd Calendar'!$P$1367&lt;=MAX(DATE(Summary!$C$12,12,31),Summary!$C$15))*('Dvd Calendar'!$P$1367&gt;Summary!$C$11)=0,"",'Dvd Calendar'!$P$1367*1000000000+ISNUMBER('Dvd Calendar'!$P$1368)*100000000+('Dvd Calendar'!$P$1372='Field Check'!$C$25)*10000000+(N('Dvd Calendar'!$P$1366)&gt;0)*1000000+91*1000+52))</f>
        <v/>
      </c>
      <c r="BC99" s="41">
        <f>IF(N('Dvd Calendar'!$Q$1367)=0,"",IF(('Dvd Calendar'!$Q$1367&gt;=MIN(DATE(Summary!$C$12,1,1),Summary!$C$11))*('Dvd Calendar'!$Q$1367&lt;=MAX(DATE(Summary!$C$12,12,31),Summary!$C$15))*('Dvd Calendar'!$Q$1367&gt;Summary!$C$11)=0,"",'Dvd Calendar'!$Q$1367*1000000000+ISNUMBER('Dvd Calendar'!$Q$1368)*100000000+('Dvd Calendar'!$Q$1372='Field Check'!$C$25)*10000000+(N('Dvd Calendar'!$Q$1366)&gt;0)*1000000+91*1000+53))</f>
        <v/>
      </c>
      <c r="BD99" s="41">
        <f>IF(N('Dvd Calendar'!$R$1367)=0,"",IF(('Dvd Calendar'!$R$1367&gt;=MIN(DATE(Summary!$C$12,1,1),Summary!$C$11))*('Dvd Calendar'!$R$1367&lt;=MAX(DATE(Summary!$C$12,12,31),Summary!$C$15))*('Dvd Calendar'!$R$1367&gt;Summary!$C$11)=0,"",'Dvd Calendar'!$R$1367*1000000000+ISNUMBER('Dvd Calendar'!$R$1368)*100000000+('Dvd Calendar'!$R$1372='Field Check'!$C$25)*10000000+(N('Dvd Calendar'!$R$1366)&gt;0)*1000000+91*1000+54))</f>
        <v/>
      </c>
      <c r="BE99" s="41">
        <f>IF(N('Dvd Calendar'!$S$1367)=0,"",IF(('Dvd Calendar'!$S$1367&gt;=MIN(DATE(Summary!$C$12,1,1),Summary!$C$11))*('Dvd Calendar'!$S$1367&lt;=MAX(DATE(Summary!$C$12,12,31),Summary!$C$15))*('Dvd Calendar'!$S$1367&gt;Summary!$C$11)=0,"",'Dvd Calendar'!$S$1367*1000000000+ISNUMBER('Dvd Calendar'!$S$1368)*100000000+('Dvd Calendar'!$S$1372='Field Check'!$C$25)*10000000+(N('Dvd Calendar'!$S$1366)&gt;0)*1000000+91*1000+55))</f>
        <v/>
      </c>
      <c r="BF99" s="41">
        <f>IF(N('Dvd Calendar'!$T$1367)=0,"",IF(('Dvd Calendar'!$T$1367&gt;=MIN(DATE(Summary!$C$12,1,1),Summary!$C$11))*('Dvd Calendar'!$T$1367&lt;=MAX(DATE(Summary!$C$12,12,31),Summary!$C$15))*('Dvd Calendar'!$T$1367&gt;Summary!$C$11)=0,"",'Dvd Calendar'!$T$1367*1000000000+ISNUMBER('Dvd Calendar'!$T$1368)*100000000+('Dvd Calendar'!$T$1372='Field Check'!$C$25)*10000000+(N('Dvd Calendar'!$T$1366)&gt;0)*1000000+91*1000+56))</f>
        <v/>
      </c>
      <c r="BG99" s="41">
        <f>IF(N('Dvd Calendar'!$U$1367)=0,"",IF(('Dvd Calendar'!$U$1367&gt;=MIN(DATE(Summary!$C$12,1,1),Summary!$C$11))*('Dvd Calendar'!$U$1367&lt;=MAX(DATE(Summary!$C$12,12,31),Summary!$C$15))*('Dvd Calendar'!$U$1367&gt;Summary!$C$11)=0,"",'Dvd Calendar'!$U$1367*1000000000+ISNUMBER('Dvd Calendar'!$U$1368)*100000000+('Dvd Calendar'!$U$1372='Field Check'!$C$25)*10000000+(N('Dvd Calendar'!$U$1366)&gt;0)*1000000+91*1000+57))</f>
        <v/>
      </c>
      <c r="BH99" s="41">
        <f>IF(N('Dvd Calendar'!$V$1367)=0,"",IF(('Dvd Calendar'!$V$1367&gt;=MIN(DATE(Summary!$C$12,1,1),Summary!$C$11))*('Dvd Calendar'!$V$1367&lt;=MAX(DATE(Summary!$C$12,12,31),Summary!$C$15))*('Dvd Calendar'!$V$1367&gt;Summary!$C$11)=0,"",'Dvd Calendar'!$V$1367*1000000000+ISNUMBER('Dvd Calendar'!$V$1368)*100000000+('Dvd Calendar'!$V$1372='Field Check'!$C$25)*10000000+(N('Dvd Calendar'!$V$1366)&gt;0)*1000000+91*1000+58))</f>
        <v/>
      </c>
      <c r="BI99" s="41">
        <f>IF(N('Dvd Calendar'!$W$1367)=0,"",IF(('Dvd Calendar'!$W$1367&gt;=MIN(DATE(Summary!$C$12,1,1),Summary!$C$11))*('Dvd Calendar'!$W$1367&lt;=MAX(DATE(Summary!$C$12,12,31),Summary!$C$15))*('Dvd Calendar'!$W$1367&gt;Summary!$C$11)=0,"",'Dvd Calendar'!$W$1367*1000000000+ISNUMBER('Dvd Calendar'!$W$1368)*100000000+('Dvd Calendar'!$W$1372='Field Check'!$C$25)*10000000+(N('Dvd Calendar'!$W$1366)&gt;0)*1000000+91*1000+59))</f>
        <v/>
      </c>
      <c r="BJ99" s="41">
        <f>IF(N('Dvd Calendar'!$X$1367)=0,"",IF(('Dvd Calendar'!$X$1367&gt;=MIN(DATE(Summary!$C$12,1,1),Summary!$C$11))*('Dvd Calendar'!$X$1367&lt;=MAX(DATE(Summary!$C$12,12,31),Summary!$C$15))*('Dvd Calendar'!$X$1367&gt;Summary!$C$11)=0,"",'Dvd Calendar'!$X$1367*1000000000+ISNUMBER('Dvd Calendar'!$X$1368)*100000000+('Dvd Calendar'!$X$1372='Field Check'!$C$25)*10000000+(N('Dvd Calendar'!$X$1366)&gt;0)*1000000+91*1000+60))</f>
        <v/>
      </c>
      <c r="BK99" s="41">
        <f>IF(N('Dvd Calendar'!$Y$1367)=0,"",IF(('Dvd Calendar'!$Y$1367&gt;=MIN(DATE(Summary!$C$12,1,1),Summary!$C$11))*('Dvd Calendar'!$Y$1367&lt;=MAX(DATE(Summary!$C$12,12,31),Summary!$C$15))*('Dvd Calendar'!$Y$1367&gt;Summary!$C$11)=0,"",'Dvd Calendar'!$Y$1367*1000000000+ISNUMBER('Dvd Calendar'!$Y$1368)*100000000+('Dvd Calendar'!$Y$1372='Field Check'!$C$25)*10000000+(N('Dvd Calendar'!$Y$1366)&gt;0)*1000000+91*1000+61))</f>
        <v/>
      </c>
      <c r="BL99" s="41">
        <f>IF(N('Dvd Calendar'!$Z$1367)=0,"",IF(('Dvd Calendar'!$Z$1367&gt;=MIN(DATE(Summary!$C$12,1,1),Summary!$C$11))*('Dvd Calendar'!$Z$1367&lt;=MAX(DATE(Summary!$C$12,12,31),Summary!$C$15))*('Dvd Calendar'!$Z$1367&gt;Summary!$C$11)=0,"",'Dvd Calendar'!$Z$1367*1000000000+ISNUMBER('Dvd Calendar'!$Z$1368)*100000000+('Dvd Calendar'!$Z$1372='Field Check'!$C$25)*10000000+(N('Dvd Calendar'!$Z$1366)&gt;0)*1000000+91*1000+62))</f>
        <v/>
      </c>
      <c r="BM99" s="41">
        <f>IF(N('Dvd Calendar'!$AA$1367)=0,"",IF(('Dvd Calendar'!$AA$1367&gt;=MIN(DATE(Summary!$C$12,1,1),Summary!$C$11))*('Dvd Calendar'!$AA$1367&lt;=MAX(DATE(Summary!$C$12,12,31),Summary!$C$15))*('Dvd Calendar'!$AA$1367&gt;Summary!$C$11)=0,"",'Dvd Calendar'!$AA$1367*1000000000+ISNUMBER('Dvd Calendar'!$AA$1368)*100000000+('Dvd Calendar'!$AA$1372='Field Check'!$C$25)*10000000+(N('Dvd Calendar'!$AA$1366)&gt;0)*1000000+91*1000+63))</f>
        <v/>
      </c>
      <c r="BN99" s="41">
        <f>IF(N('Dvd Calendar'!$AB$1367)=0,"",IF(('Dvd Calendar'!$AB$1367&gt;=MIN(DATE(Summary!$C$12,1,1),Summary!$C$11))*('Dvd Calendar'!$AB$1367&lt;=MAX(DATE(Summary!$C$12,12,31),Summary!$C$15))*('Dvd Calendar'!$AB$1367&gt;Summary!$C$11)=0,"",'Dvd Calendar'!$AB$1367*1000000000+ISNUMBER('Dvd Calendar'!$AB$1368)*100000000+('Dvd Calendar'!$AB$1372='Field Check'!$C$25)*10000000+(N('Dvd Calendar'!$AB$1366)&gt;0)*1000000+91*1000+64))</f>
        <v/>
      </c>
      <c r="BO99" s="41">
        <f>IF(N('Dvd Calendar'!$AC$1367)=0,"",IF(('Dvd Calendar'!$AC$1367&gt;=MIN(DATE(Summary!$C$12,1,1),Summary!$C$11))*('Dvd Calendar'!$AC$1367&lt;=MAX(DATE(Summary!$C$12,12,31),Summary!$C$15))*('Dvd Calendar'!$AC$1367&gt;Summary!$C$11)=0,"",'Dvd Calendar'!$AC$1367*1000000000+ISNUMBER('Dvd Calendar'!$AC$1368)*100000000+('Dvd Calendar'!$AC$1372='Field Check'!$C$25)*10000000+(N('Dvd Calendar'!$AC$1366)&gt;0)*1000000+91*1000+65))</f>
        <v/>
      </c>
      <c r="BQ99" s="85">
        <f>IF(C99="","",IF(ISNUMBER('Dvd Calendar'!$E$1361)=FALSE,"",IF((Summary!$C$13="N")*('Dvd Calendar'!$E$1365='Field Check'!$C$25)&gt;0,"",'Dvd Calendar'!$E$1361)))</f>
        <v/>
      </c>
      <c r="BR99" s="85">
        <f>IF(D99="","",IF(ISNUMBER('Dvd Calendar'!$F$1361)=FALSE,"",IF((Summary!$C$13="N")*('Dvd Calendar'!$F$1365='Field Check'!$C$25)&gt;0,"",'Dvd Calendar'!$F$1361)))</f>
        <v/>
      </c>
      <c r="BS99" s="85">
        <f>IF(E99="","",IF(ISNUMBER('Dvd Calendar'!$G$1361)=FALSE,"",IF((Summary!$C$13="N")*('Dvd Calendar'!$G$1365='Field Check'!$C$25)&gt;0,"",'Dvd Calendar'!$G$1361)))</f>
        <v/>
      </c>
      <c r="BT99" s="85">
        <f>IF(F99="","",IF(ISNUMBER('Dvd Calendar'!$H$1361)=FALSE,"",IF((Summary!$C$13="N")*('Dvd Calendar'!$H$1365='Field Check'!$C$25)&gt;0,"",'Dvd Calendar'!$H$1361)))</f>
        <v/>
      </c>
      <c r="BU99" s="85">
        <f>IF(G99="","",IF(ISNUMBER('Dvd Calendar'!$I$1361)=FALSE,"",IF((Summary!$C$13="N")*('Dvd Calendar'!$I$1365='Field Check'!$C$25)&gt;0,"",'Dvd Calendar'!$I$1361)))</f>
        <v/>
      </c>
      <c r="BV99" s="85">
        <f>IF(H99="","",IF(ISNUMBER('Dvd Calendar'!$J$1361)=FALSE,"",IF((Summary!$C$13="N")*('Dvd Calendar'!$J$1365='Field Check'!$C$25)&gt;0,"",'Dvd Calendar'!$J$1361)))</f>
        <v/>
      </c>
      <c r="BW99" s="85">
        <f>IF(I99="","",IF(ISNUMBER('Dvd Calendar'!$K$1361)=FALSE,"",IF((Summary!$C$13="N")*('Dvd Calendar'!$K$1365='Field Check'!$C$25)&gt;0,"",'Dvd Calendar'!$K$1361)))</f>
        <v/>
      </c>
      <c r="BX99" s="85">
        <f>IF(J99="","",IF(ISNUMBER('Dvd Calendar'!$L$1361)=FALSE,"",IF((Summary!$C$13="N")*('Dvd Calendar'!$L$1365='Field Check'!$C$25)&gt;0,"",'Dvd Calendar'!$L$1361)))</f>
        <v/>
      </c>
      <c r="BY99" s="85">
        <f>IF(K99="","",IF(ISNUMBER('Dvd Calendar'!$M$1361)=FALSE,"",IF((Summary!$C$13="N")*('Dvd Calendar'!$M$1365='Field Check'!$C$25)&gt;0,"",'Dvd Calendar'!$M$1361)))</f>
        <v/>
      </c>
      <c r="BZ99" s="85">
        <f>IF(L99="","",IF(ISNUMBER('Dvd Calendar'!$N$1361)=FALSE,"",IF((Summary!$C$13="N")*('Dvd Calendar'!$N$1365='Field Check'!$C$25)&gt;0,"",'Dvd Calendar'!$N$1361)))</f>
        <v/>
      </c>
      <c r="CA99" s="85">
        <f>IF(M99="","",IF(ISNUMBER('Dvd Calendar'!$O$1361)=FALSE,"",IF((Summary!$C$13="N")*('Dvd Calendar'!$O$1365='Field Check'!$C$25)&gt;0,"",'Dvd Calendar'!$O$1361)))</f>
        <v/>
      </c>
      <c r="CB99" s="85">
        <f>IF(N99="","",IF(ISNUMBER('Dvd Calendar'!$P$1361)=FALSE,"",IF((Summary!$C$13="N")*('Dvd Calendar'!$P$1365='Field Check'!$C$25)&gt;0,"",'Dvd Calendar'!$P$1361)))</f>
        <v/>
      </c>
      <c r="CC99" s="85">
        <f>IF(O99="","",IF(ISNUMBER('Dvd Calendar'!$Q$1361)=FALSE,"",IF((Summary!$C$13="N")*('Dvd Calendar'!$Q$1365='Field Check'!$C$25)&gt;0,"",'Dvd Calendar'!$Q$1361)))</f>
        <v/>
      </c>
      <c r="CD99" s="85">
        <f>IF(P99="","",IF(ISNUMBER('Dvd Calendar'!$R$1361)=FALSE,"",IF((Summary!$C$13="N")*('Dvd Calendar'!$R$1365='Field Check'!$C$25)&gt;0,"",'Dvd Calendar'!$R$1361)))</f>
        <v/>
      </c>
      <c r="CE99" s="85">
        <f>IF(Q99="","",IF(ISNUMBER('Dvd Calendar'!$S$1361)=FALSE,"",IF((Summary!$C$13="N")*('Dvd Calendar'!$S$1365='Field Check'!$C$25)&gt;0,"",'Dvd Calendar'!$S$1361)))</f>
        <v/>
      </c>
      <c r="CF99" s="85">
        <f>IF(R99="","",IF(ISNUMBER('Dvd Calendar'!$T$1361)=FALSE,"",IF((Summary!$C$13="N")*('Dvd Calendar'!$T$1365='Field Check'!$C$25)&gt;0,"",'Dvd Calendar'!$T$1361)))</f>
        <v/>
      </c>
      <c r="CG99" s="85">
        <f>IF(S99="","",IF(ISNUMBER('Dvd Calendar'!$U$1361)=FALSE,"",IF((Summary!$C$13="N")*('Dvd Calendar'!$U$1365='Field Check'!$C$25)&gt;0,"",'Dvd Calendar'!$U$1361)))</f>
        <v/>
      </c>
      <c r="CH99" s="85">
        <f>IF(T99="","",IF(ISNUMBER('Dvd Calendar'!$V$1361)=FALSE,"",IF((Summary!$C$13="N")*('Dvd Calendar'!$V$1365='Field Check'!$C$25)&gt;0,"",'Dvd Calendar'!$V$1361)))</f>
        <v/>
      </c>
      <c r="CI99" s="85">
        <f>IF(U99="","",IF(ISNUMBER('Dvd Calendar'!$W$1361)=FALSE,"",IF((Summary!$C$13="N")*('Dvd Calendar'!$W$1365='Field Check'!$C$25)&gt;0,"",'Dvd Calendar'!$W$1361)))</f>
        <v/>
      </c>
      <c r="CJ99" s="85">
        <f>IF(V99="","",IF(ISNUMBER('Dvd Calendar'!$X$1361)=FALSE,"",IF((Summary!$C$13="N")*('Dvd Calendar'!$X$1365='Field Check'!$C$25)&gt;0,"",'Dvd Calendar'!$X$1361)))</f>
        <v/>
      </c>
      <c r="CK99" s="85">
        <f>IF(W99="","",IF(ISNUMBER('Dvd Calendar'!$Y$1361)=FALSE,"",IF((Summary!$C$13="N")*('Dvd Calendar'!$Y$1365='Field Check'!$C$25)&gt;0,"",'Dvd Calendar'!$Y$1361)))</f>
        <v/>
      </c>
      <c r="CL99" s="85">
        <f>IF(X99="","",IF(ISNUMBER('Dvd Calendar'!$Z$1361)=FALSE,"",IF((Summary!$C$13="N")*('Dvd Calendar'!$Z$1365='Field Check'!$C$25)&gt;0,"",'Dvd Calendar'!$Z$1361)))</f>
        <v/>
      </c>
      <c r="CM99" s="85">
        <f>IF(Y99="","",IF(ISNUMBER('Dvd Calendar'!$AA$1361)=FALSE,"",IF((Summary!$C$13="N")*('Dvd Calendar'!$AA$1365='Field Check'!$C$25)&gt;0,"",'Dvd Calendar'!$AA$1361)))</f>
        <v/>
      </c>
      <c r="CN99" s="85">
        <f>IF(Z99="","",IF(ISNUMBER('Dvd Calendar'!$AB$1361)=FALSE,"",IF((Summary!$C$13="N")*('Dvd Calendar'!$AB$1365='Field Check'!$C$25)&gt;0,"",'Dvd Calendar'!$AB$1361)))</f>
        <v/>
      </c>
      <c r="CO99" s="85">
        <f>IF(AA99="","",IF(ISNUMBER('Dvd Calendar'!$AC$1361)=FALSE,"",IF((Summary!$C$13="N")*('Dvd Calendar'!$AC$1365='Field Check'!$C$25)&gt;0,"",'Dvd Calendar'!$AC$1361)))</f>
        <v/>
      </c>
      <c r="CP99" s="85">
        <f>IF(AB99="","",IF(ISNUMBER('Dvd Calendar'!$AD$1361)=FALSE,"",IF((Summary!$C$13="N")*('Dvd Calendar'!$AD$1365='Field Check'!$C$25)&gt;0,"",'Dvd Calendar'!$AD$1361)))</f>
        <v/>
      </c>
      <c r="CQ99" s="85">
        <f>IF(AC99="","",IF(ISNUMBER('Dvd Calendar'!$AE$1361)=FALSE,"",IF((Summary!$C$13="N")*('Dvd Calendar'!$AE$1365='Field Check'!$C$25)&gt;0,"",'Dvd Calendar'!$AE$1361)))</f>
        <v/>
      </c>
      <c r="CR99" s="85">
        <f>IF(AD99="","",IF(ISNUMBER('Dvd Calendar'!$AF$1361)=FALSE,"",IF((Summary!$C$13="N")*('Dvd Calendar'!$AF$1365='Field Check'!$C$25)&gt;0,"",'Dvd Calendar'!$AF$1361)))</f>
        <v/>
      </c>
      <c r="CS99" s="85">
        <f>IF(AE99="","",IF(ISNUMBER('Dvd Calendar'!$AG$1361)=FALSE,"",IF((Summary!$C$13="N")*('Dvd Calendar'!$AG$1365='Field Check'!$C$25)&gt;0,"",'Dvd Calendar'!$AG$1361)))</f>
        <v/>
      </c>
      <c r="CT99" s="85">
        <f>IF(AF99="","",IF(ISNUMBER('Dvd Calendar'!$AH$1361)=FALSE,"",IF((Summary!$C$13="N")*('Dvd Calendar'!$AH$1365='Field Check'!$C$25)&gt;0,"",'Dvd Calendar'!$AH$1361)))</f>
        <v/>
      </c>
      <c r="CU99" s="85">
        <f>IF(AG99="","",IF(ISNUMBER('Dvd Calendar'!$AI$1361)=FALSE,"",IF((Summary!$C$13="N")*('Dvd Calendar'!$AI$1365='Field Check'!$C$25)&gt;0,"",'Dvd Calendar'!$AI$1361)))</f>
        <v/>
      </c>
      <c r="CV99" s="85">
        <f>IF(AH99="","",IF(ISNUMBER('Dvd Calendar'!$AJ$1361)=FALSE,"",IF((Summary!$C$13="N")*('Dvd Calendar'!$AJ$1365='Field Check'!$C$25)&gt;0,"",'Dvd Calendar'!$AJ$1361)))</f>
        <v/>
      </c>
      <c r="CW99" s="85">
        <f>IF(AI99="","",IF(ISNUMBER('Dvd Calendar'!$AK$1361)=FALSE,"",IF((Summary!$C$13="N")*('Dvd Calendar'!$AK$1365='Field Check'!$C$25)&gt;0,"",'Dvd Calendar'!$AK$1361)))</f>
        <v/>
      </c>
      <c r="CX99" s="85">
        <f>IF(AJ99="","",IF(ISNUMBER('Dvd Calendar'!$AL$1361)=FALSE,"",IF((Summary!$C$13="N")*('Dvd Calendar'!$AL$1365='Field Check'!$C$25)&gt;0,"",'Dvd Calendar'!$AL$1361)))</f>
        <v/>
      </c>
      <c r="CY99" s="85">
        <f>IF(AK99="","",IF(ISNUMBER('Dvd Calendar'!$AM$1361)=FALSE,"",IF((Summary!$C$13="N")*('Dvd Calendar'!$AM$1365='Field Check'!$C$25)&gt;0,"",'Dvd Calendar'!$AM$1361)))</f>
        <v/>
      </c>
      <c r="CZ99" s="85">
        <f>IF(AL99="","",IF(ISNUMBER('Dvd Calendar'!$AN$1361)=FALSE,"",IF((Summary!$C$13="N")*('Dvd Calendar'!$AN$1365='Field Check'!$C$25)&gt;0,"",'Dvd Calendar'!$AN$1361)))</f>
        <v/>
      </c>
      <c r="DA99" s="85">
        <f>IF(AM99="","",IF(ISNUMBER('Dvd Calendar'!$AO$1361)=FALSE,"",IF((Summary!$C$13="N")*('Dvd Calendar'!$AO$1365='Field Check'!$C$25)&gt;0,"",'Dvd Calendar'!$AO$1361)))</f>
        <v/>
      </c>
      <c r="DB99" s="85">
        <f>IF(AN99="","",IF(ISNUMBER('Dvd Calendar'!$AP$1361)=FALSE,"",IF((Summary!$C$13="N")*('Dvd Calendar'!$AP$1365='Field Check'!$C$25)&gt;0,"",'Dvd Calendar'!$AP$1361)))</f>
        <v/>
      </c>
      <c r="DC99" s="85">
        <f>IF(AO99="","",IF(ISNUMBER('Dvd Calendar'!$AQ$1361)=FALSE,"",IF((Summary!$C$13="N")*('Dvd Calendar'!$AQ$1365='Field Check'!$C$25)&gt;0,"",'Dvd Calendar'!$AQ$1361)))</f>
        <v/>
      </c>
      <c r="DD99" s="85">
        <f>IF(AP99="","",IF(ISNUMBER('Dvd Calendar'!$AR$1361)=FALSE,"",IF((Summary!$C$13="N")*('Dvd Calendar'!$AR$1365='Field Check'!$C$25)&gt;0,"",'Dvd Calendar'!$AR$1361)))</f>
        <v/>
      </c>
      <c r="DE99" s="85">
        <f>IF(AQ99="","",IF(ISNUMBER('Dvd Calendar'!$E$1368)=FALSE,"",IF((Summary!$C$13="N")*('Dvd Calendar'!$E$1372='Field Check'!$C$25)&gt;0,"",'Dvd Calendar'!$E$1368)))</f>
        <v/>
      </c>
      <c r="DF99" s="85">
        <f>IF(AR99="","",IF(ISNUMBER('Dvd Calendar'!$F$1368)=FALSE,"",IF((Summary!$C$13="N")*('Dvd Calendar'!$F$1372='Field Check'!$C$25)&gt;0,"",'Dvd Calendar'!$F$1368)))</f>
        <v/>
      </c>
      <c r="DG99" s="85">
        <f>IF(AS99="","",IF(ISNUMBER('Dvd Calendar'!$G$1368)=FALSE,"",IF((Summary!$C$13="N")*('Dvd Calendar'!$G$1372='Field Check'!$C$25)&gt;0,"",'Dvd Calendar'!$G$1368)))</f>
        <v/>
      </c>
      <c r="DH99" s="85">
        <f>IF(AT99="","",IF(ISNUMBER('Dvd Calendar'!$H$1368)=FALSE,"",IF((Summary!$C$13="N")*('Dvd Calendar'!$H$1372='Field Check'!$C$25)&gt;0,"",'Dvd Calendar'!$H$1368)))</f>
        <v/>
      </c>
      <c r="DI99" s="85">
        <f>IF(AU99="","",IF(ISNUMBER('Dvd Calendar'!$I$1368)=FALSE,"",IF((Summary!$C$13="N")*('Dvd Calendar'!$I$1372='Field Check'!$C$25)&gt;0,"",'Dvd Calendar'!$I$1368)))</f>
        <v/>
      </c>
      <c r="DJ99" s="85">
        <f>IF(AV99="","",IF(ISNUMBER('Dvd Calendar'!$J$1368)=FALSE,"",IF((Summary!$C$13="N")*('Dvd Calendar'!$J$1372='Field Check'!$C$25)&gt;0,"",'Dvd Calendar'!$J$1368)))</f>
        <v/>
      </c>
      <c r="DK99" s="85">
        <f>IF(AW99="","",IF(ISNUMBER('Dvd Calendar'!$K$1368)=FALSE,"",IF((Summary!$C$13="N")*('Dvd Calendar'!$K$1372='Field Check'!$C$25)&gt;0,"",'Dvd Calendar'!$K$1368)))</f>
        <v/>
      </c>
      <c r="DL99" s="85">
        <f>IF(AX99="","",IF(ISNUMBER('Dvd Calendar'!$L$1368)=FALSE,"",IF((Summary!$C$13="N")*('Dvd Calendar'!$L$1372='Field Check'!$C$25)&gt;0,"",'Dvd Calendar'!$L$1368)))</f>
        <v/>
      </c>
      <c r="DM99" s="85">
        <f>IF(AY99="","",IF(ISNUMBER('Dvd Calendar'!$M$1368)=FALSE,"",IF((Summary!$C$13="N")*('Dvd Calendar'!$M$1372='Field Check'!$C$25)&gt;0,"",'Dvd Calendar'!$M$1368)))</f>
        <v/>
      </c>
      <c r="DN99" s="85">
        <f>IF(AZ99="","",IF(ISNUMBER('Dvd Calendar'!$N$1368)=FALSE,"",IF((Summary!$C$13="N")*('Dvd Calendar'!$N$1372='Field Check'!$C$25)&gt;0,"",'Dvd Calendar'!$N$1368)))</f>
        <v/>
      </c>
      <c r="DO99" s="85">
        <f>IF(BA99="","",IF(ISNUMBER('Dvd Calendar'!$O$1368)=FALSE,"",IF((Summary!$C$13="N")*('Dvd Calendar'!$O$1372='Field Check'!$C$25)&gt;0,"",'Dvd Calendar'!$O$1368)))</f>
        <v/>
      </c>
      <c r="DP99" s="85">
        <f>IF(BB99="","",IF(ISNUMBER('Dvd Calendar'!$P$1368)=FALSE,"",IF((Summary!$C$13="N")*('Dvd Calendar'!$P$1372='Field Check'!$C$25)&gt;0,"",'Dvd Calendar'!$P$1368)))</f>
        <v/>
      </c>
      <c r="DQ99" s="85">
        <f>IF(BC99="","",IF(ISNUMBER('Dvd Calendar'!$Q$1368)=FALSE,"",IF((Summary!$C$13="N")*('Dvd Calendar'!$Q$1372='Field Check'!$C$25)&gt;0,"",'Dvd Calendar'!$Q$1368)))</f>
        <v/>
      </c>
      <c r="DR99" s="85">
        <f>IF(BD99="","",IF(ISNUMBER('Dvd Calendar'!$R$1368)=FALSE,"",IF((Summary!$C$13="N")*('Dvd Calendar'!$R$1372='Field Check'!$C$25)&gt;0,"",'Dvd Calendar'!$R$1368)))</f>
        <v/>
      </c>
      <c r="DS99" s="85">
        <f>IF(BE99="","",IF(ISNUMBER('Dvd Calendar'!$S$1368)=FALSE,"",IF((Summary!$C$13="N")*('Dvd Calendar'!$S$1372='Field Check'!$C$25)&gt;0,"",'Dvd Calendar'!$S$1368)))</f>
        <v/>
      </c>
      <c r="DT99" s="85">
        <f>IF(BF99="","",IF(ISNUMBER('Dvd Calendar'!$T$1368)=FALSE,"",IF((Summary!$C$13="N")*('Dvd Calendar'!$T$1372='Field Check'!$C$25)&gt;0,"",'Dvd Calendar'!$T$1368)))</f>
        <v/>
      </c>
      <c r="DU99" s="85">
        <f>IF(BG99="","",IF(ISNUMBER('Dvd Calendar'!$U$1368)=FALSE,"",IF((Summary!$C$13="N")*('Dvd Calendar'!$U$1372='Field Check'!$C$25)&gt;0,"",'Dvd Calendar'!$U$1368)))</f>
        <v/>
      </c>
      <c r="DV99" s="85">
        <f>IF(BH99="","",IF(ISNUMBER('Dvd Calendar'!$V$1368)=FALSE,"",IF((Summary!$C$13="N")*('Dvd Calendar'!$V$1372='Field Check'!$C$25)&gt;0,"",'Dvd Calendar'!$V$1368)))</f>
        <v/>
      </c>
      <c r="DW99" s="85">
        <f>IF(BI99="","",IF(ISNUMBER('Dvd Calendar'!$W$1368)=FALSE,"",IF((Summary!$C$13="N")*('Dvd Calendar'!$W$1372='Field Check'!$C$25)&gt;0,"",'Dvd Calendar'!$W$1368)))</f>
        <v/>
      </c>
      <c r="DX99" s="85">
        <f>IF(BJ99="","",IF(ISNUMBER('Dvd Calendar'!$X$1368)=FALSE,"",IF((Summary!$C$13="N")*('Dvd Calendar'!$X$1372='Field Check'!$C$25)&gt;0,"",'Dvd Calendar'!$X$1368)))</f>
        <v/>
      </c>
      <c r="DY99" s="85">
        <f>IF(BK99="","",IF(ISNUMBER('Dvd Calendar'!$Y$1368)=FALSE,"",IF((Summary!$C$13="N")*('Dvd Calendar'!$Y$1372='Field Check'!$C$25)&gt;0,"",'Dvd Calendar'!$Y$1368)))</f>
        <v/>
      </c>
      <c r="DZ99" s="85">
        <f>IF(BL99="","",IF(ISNUMBER('Dvd Calendar'!$Z$1368)=FALSE,"",IF((Summary!$C$13="N")*('Dvd Calendar'!$Z$1372='Field Check'!$C$25)&gt;0,"",'Dvd Calendar'!$Z$1368)))</f>
        <v/>
      </c>
      <c r="EA99" s="85">
        <f>IF(BM99="","",IF(ISNUMBER('Dvd Calendar'!$AA$1368)=FALSE,"",IF((Summary!$C$13="N")*('Dvd Calendar'!$AA$1372='Field Check'!$C$25)&gt;0,"",'Dvd Calendar'!$AA$1368)))</f>
        <v/>
      </c>
      <c r="EB99" s="85">
        <f>IF(BN99="","",IF(ISNUMBER('Dvd Calendar'!$AB$1368)=FALSE,"",IF((Summary!$C$13="N")*('Dvd Calendar'!$AB$1372='Field Check'!$C$25)&gt;0,"",'Dvd Calendar'!$AB$1368)))</f>
        <v/>
      </c>
      <c r="EC99" s="85">
        <f>IF(BO99="","",IF(ISNUMBER('Dvd Calendar'!$AC$1368)=FALSE,"",IF((Summary!$C$13="N")*('Dvd Calendar'!$AC$1372='Field Check'!$C$25)&gt;0,"",'Dvd Calendar'!$AC$1368)))</f>
        <v/>
      </c>
      <c r="EE99" s="85">
        <f>IF(BQ99="","",IFERROR(BQ99*HSI!$B$97*HSI!$G$97/HSI!$B$3,""))</f>
        <v/>
      </c>
      <c r="EF99" s="85">
        <f>IF(BR99="","",IFERROR(BR99*HSI!$B$97*HSI!$G$97/HSI!$B$3,""))</f>
        <v/>
      </c>
      <c r="EG99" s="85">
        <f>IF(BS99="","",IFERROR(BS99*HSI!$B$97*HSI!$G$97/HSI!$B$3,""))</f>
        <v/>
      </c>
      <c r="EH99" s="85">
        <f>IF(BT99="","",IFERROR(BT99*HSI!$B$97*HSI!$G$97/HSI!$B$3,""))</f>
        <v/>
      </c>
      <c r="EI99" s="85">
        <f>IF(BU99="","",IFERROR(BU99*HSI!$B$97*HSI!$G$97/HSI!$B$3,""))</f>
        <v/>
      </c>
      <c r="EJ99" s="85">
        <f>IF(BV99="","",IFERROR(BV99*HSI!$B$97*HSI!$G$97/HSI!$B$3,""))</f>
        <v/>
      </c>
      <c r="EK99" s="85">
        <f>IF(BW99="","",IFERROR(BW99*HSI!$B$97*HSI!$G$97/HSI!$B$3,""))</f>
        <v/>
      </c>
      <c r="EL99" s="85">
        <f>IF(BX99="","",IFERROR(BX99*HSI!$B$97*HSI!$G$97/HSI!$B$3,""))</f>
        <v/>
      </c>
      <c r="EM99" s="85">
        <f>IF(BY99="","",IFERROR(BY99*HSI!$B$97*HSI!$G$97/HSI!$B$3,""))</f>
        <v/>
      </c>
      <c r="EN99" s="85">
        <f>IF(BZ99="","",IFERROR(BZ99*HSI!$B$97*HSI!$G$97/HSI!$B$3,""))</f>
        <v/>
      </c>
      <c r="EO99" s="85">
        <f>IF(CA99="","",IFERROR(CA99*HSI!$B$97*HSI!$G$97/HSI!$B$3,""))</f>
        <v/>
      </c>
      <c r="EP99" s="85">
        <f>IF(CB99="","",IFERROR(CB99*HSI!$B$97*HSI!$G$97/HSI!$B$3,""))</f>
        <v/>
      </c>
      <c r="EQ99" s="85">
        <f>IF(CC99="","",IFERROR(CC99*HSI!$B$97*HSI!$G$97/HSI!$B$3,""))</f>
        <v/>
      </c>
      <c r="ER99" s="85">
        <f>IF(CD99="","",IFERROR(CD99*HSI!$B$97*HSI!$G$97/HSI!$B$3,""))</f>
        <v/>
      </c>
      <c r="ES99" s="85">
        <f>IF(CE99="","",IFERROR(CE99*HSI!$B$97*HSI!$G$97/HSI!$B$3,""))</f>
        <v/>
      </c>
      <c r="ET99" s="85">
        <f>IF(CF99="","",IFERROR(CF99*HSI!$B$97*HSI!$G$97/HSI!$B$3,""))</f>
        <v/>
      </c>
      <c r="EU99" s="85">
        <f>IF(CG99="","",IFERROR(CG99*HSI!$B$97*HSI!$G$97/HSI!$B$3,""))</f>
        <v/>
      </c>
      <c r="EV99" s="85">
        <f>IF(CH99="","",IFERROR(CH99*HSI!$B$97*HSI!$G$97/HSI!$B$3,""))</f>
        <v/>
      </c>
      <c r="EW99" s="85">
        <f>IF(CI99="","",IFERROR(CI99*HSI!$B$97*HSI!$G$97/HSI!$B$3,""))</f>
        <v/>
      </c>
      <c r="EX99" s="85">
        <f>IF(CJ99="","",IFERROR(CJ99*HSI!$B$97*HSI!$G$97/HSI!$B$3,""))</f>
        <v/>
      </c>
      <c r="EY99" s="85">
        <f>IF(CK99="","",IFERROR(CK99*HSI!$B$97*HSI!$G$97/HSI!$B$3,""))</f>
        <v/>
      </c>
      <c r="EZ99" s="85">
        <f>IF(CL99="","",IFERROR(CL99*HSI!$B$97*HSI!$G$97/HSI!$B$3,""))</f>
        <v/>
      </c>
      <c r="FA99" s="85">
        <f>IF(CM99="","",IFERROR(CM99*HSI!$B$97*HSI!$G$97/HSI!$B$3,""))</f>
        <v/>
      </c>
      <c r="FB99" s="85">
        <f>IF(CN99="","",IFERROR(CN99*HSI!$B$97*HSI!$G$97/HSI!$B$3,""))</f>
        <v/>
      </c>
      <c r="FC99" s="85">
        <f>IF(CO99="","",IFERROR(CO99*HSI!$B$97*HSI!$G$97/HSI!$B$3,""))</f>
        <v/>
      </c>
      <c r="FD99" s="85">
        <f>IF(CP99="","",IFERROR(CP99*HSI!$B$97*HSI!$G$97/HSI!$B$3,""))</f>
        <v/>
      </c>
      <c r="FE99" s="85">
        <f>IF(CQ99="","",IFERROR(CQ99*HSI!$B$97*HSI!$G$97/HSI!$B$3,""))</f>
        <v/>
      </c>
      <c r="FF99" s="85">
        <f>IF(CR99="","",IFERROR(CR99*HSI!$B$97*HSI!$G$97/HSI!$B$3,""))</f>
        <v/>
      </c>
      <c r="FG99" s="85">
        <f>IF(CS99="","",IFERROR(CS99*HSI!$B$97*HSI!$G$97/HSI!$B$3,""))</f>
        <v/>
      </c>
      <c r="FH99" s="85">
        <f>IF(CT99="","",IFERROR(CT99*HSI!$B$97*HSI!$G$97/HSI!$B$3,""))</f>
        <v/>
      </c>
      <c r="FI99" s="85">
        <f>IF(CU99="","",IFERROR(CU99*HSI!$B$97*HSI!$G$97/HSI!$B$3,""))</f>
        <v/>
      </c>
      <c r="FJ99" s="85">
        <f>IF(CV99="","",IFERROR(CV99*HSI!$B$97*HSI!$G$97/HSI!$B$3,""))</f>
        <v/>
      </c>
      <c r="FK99" s="85">
        <f>IF(CW99="","",IFERROR(CW99*HSI!$B$97*HSI!$G$97/HSI!$B$3,""))</f>
        <v/>
      </c>
      <c r="FL99" s="85">
        <f>IF(CX99="","",IFERROR(CX99*HSI!$B$97*HSI!$G$97/HSI!$B$3,""))</f>
        <v/>
      </c>
      <c r="FM99" s="85">
        <f>IF(CY99="","",IFERROR(CY99*HSI!$B$97*HSI!$G$97/HSI!$B$3,""))</f>
        <v/>
      </c>
      <c r="FN99" s="85">
        <f>IF(CZ99="","",IFERROR(CZ99*HSI!$B$97*HSI!$G$97/HSI!$B$3,""))</f>
        <v/>
      </c>
      <c r="FO99" s="85">
        <f>IF(DA99="","",IFERROR(DA99*HSI!$B$97*HSI!$G$97/HSI!$B$3,""))</f>
        <v/>
      </c>
      <c r="FP99" s="85">
        <f>IF(DB99="","",IFERROR(DB99*HSI!$B$97*HSI!$G$97/HSI!$B$3,""))</f>
        <v/>
      </c>
      <c r="FQ99" s="85">
        <f>IF(DC99="","",IFERROR(DC99*HSI!$B$97*HSI!$G$97/HSI!$B$3,""))</f>
        <v/>
      </c>
      <c r="FR99" s="85">
        <f>IF(DD99="","",IFERROR(DD99*HSI!$B$97*HSI!$G$97/HSI!$B$3,""))</f>
        <v/>
      </c>
      <c r="FS99" s="85">
        <f>IF(DE99="","",IFERROR(DE99*HSI!$B$97*HSI!$G$97/HSI!$B$3,""))</f>
        <v/>
      </c>
      <c r="FT99" s="85">
        <f>IF(DF99="","",IFERROR(DF99*HSI!$B$97*HSI!$G$97/HSI!$B$3,""))</f>
        <v/>
      </c>
      <c r="FU99" s="85">
        <f>IF(DG99="","",IFERROR(DG99*HSI!$B$97*HSI!$G$97/HSI!$B$3,""))</f>
        <v/>
      </c>
      <c r="FV99" s="85">
        <f>IF(DH99="","",IFERROR(DH99*HSI!$B$97*HSI!$G$97/HSI!$B$3,""))</f>
        <v/>
      </c>
      <c r="FW99" s="85">
        <f>IF(DI99="","",IFERROR(DI99*HSI!$B$97*HSI!$G$97/HSI!$B$3,""))</f>
        <v/>
      </c>
      <c r="FX99" s="85">
        <f>IF(DJ99="","",IFERROR(DJ99*HSI!$B$97*HSI!$G$97/HSI!$B$3,""))</f>
        <v/>
      </c>
      <c r="FY99" s="85">
        <f>IF(DK99="","",IFERROR(DK99*HSI!$B$97*HSI!$G$97/HSI!$B$3,""))</f>
        <v/>
      </c>
      <c r="FZ99" s="85">
        <f>IF(DL99="","",IFERROR(DL99*HSI!$B$97*HSI!$G$97/HSI!$B$3,""))</f>
        <v/>
      </c>
      <c r="GA99" s="85">
        <f>IF(DM99="","",IFERROR(DM99*HSI!$B$97*HSI!$G$97/HSI!$B$3,""))</f>
        <v/>
      </c>
      <c r="GB99" s="85">
        <f>IF(DN99="","",IFERROR(DN99*HSI!$B$97*HSI!$G$97/HSI!$B$3,""))</f>
        <v/>
      </c>
      <c r="GC99" s="85">
        <f>IF(DO99="","",IFERROR(DO99*HSI!$B$97*HSI!$G$97/HSI!$B$3,""))</f>
        <v/>
      </c>
      <c r="GD99" s="85">
        <f>IF(DP99="","",IFERROR(DP99*HSI!$B$97*HSI!$G$97/HSI!$B$3,""))</f>
        <v/>
      </c>
      <c r="GE99" s="85">
        <f>IF(DQ99="","",IFERROR(DQ99*HSI!$B$97*HSI!$G$97/HSI!$B$3,""))</f>
        <v/>
      </c>
      <c r="GF99" s="85">
        <f>IF(DR99="","",IFERROR(DR99*HSI!$B$97*HSI!$G$97/HSI!$B$3,""))</f>
        <v/>
      </c>
      <c r="GG99" s="85">
        <f>IF(DS99="","",IFERROR(DS99*HSI!$B$97*HSI!$G$97/HSI!$B$3,""))</f>
        <v/>
      </c>
      <c r="GH99" s="85">
        <f>IF(DT99="","",IFERROR(DT99*HSI!$B$97*HSI!$G$97/HSI!$B$3,""))</f>
        <v/>
      </c>
      <c r="GI99" s="85">
        <f>IF(DU99="","",IFERROR(DU99*HSI!$B$97*HSI!$G$97/HSI!$B$3,""))</f>
        <v/>
      </c>
      <c r="GJ99" s="85">
        <f>IF(DV99="","",IFERROR(DV99*HSI!$B$97*HSI!$G$97/HSI!$B$3,""))</f>
        <v/>
      </c>
      <c r="GK99" s="85">
        <f>IF(DW99="","",IFERROR(DW99*HSI!$B$97*HSI!$G$97/HSI!$B$3,""))</f>
        <v/>
      </c>
      <c r="GL99" s="85">
        <f>IF(DX99="","",IFERROR(DX99*HSI!$B$97*HSI!$G$97/HSI!$B$3,""))</f>
        <v/>
      </c>
      <c r="GM99" s="85">
        <f>IF(DY99="","",IFERROR(DY99*HSI!$B$97*HSI!$G$97/HSI!$B$3,""))</f>
        <v/>
      </c>
      <c r="GN99" s="85">
        <f>IF(DZ99="","",IFERROR(DZ99*HSI!$B$97*HSI!$G$97/HSI!$B$3,""))</f>
        <v/>
      </c>
      <c r="GO99" s="85">
        <f>IF(EA99="","",IFERROR(EA99*HSI!$B$97*HSI!$G$97/HSI!$B$3,""))</f>
        <v/>
      </c>
      <c r="GP99" s="85">
        <f>IF(EB99="","",IFERROR(EB99*HSI!$B$97*HSI!$G$97/HSI!$B$3,""))</f>
        <v/>
      </c>
      <c r="GQ99" s="85">
        <f>IF(EC99="","",IFERROR(EC99*HSI!$B$97*HSI!$G$97/HSI!$B$3,""))</f>
        <v/>
      </c>
    </row>
    <row r="100">
      <c r="B100" s="2">
        <f>IF(HSI!$C$98="","",HSI!$C$98)</f>
        <v/>
      </c>
      <c r="C100" s="41">
        <f>IF(N('Dvd Calendar'!$E$1375)=0,"",IF(('Dvd Calendar'!$E$1375&gt;=MIN(DATE(Summary!$C$12,1,1),Summary!$C$11))*('Dvd Calendar'!$E$1375&lt;=MAX(DATE(Summary!$C$12,12,31),Summary!$C$15))*('Dvd Calendar'!$E$1375&lt;=Summary!$C$11)=0,"",'Dvd Calendar'!$E$1375*1000000000+ISNUMBER('Dvd Calendar'!$E$1376)*100000000+('Dvd Calendar'!$E$1380='Field Check'!$C$25)*10000000+(N('Dvd Calendar'!$E$1374)&gt;0)*1000000+92*1000+1))</f>
        <v/>
      </c>
      <c r="D100" s="41">
        <f>IF(N('Dvd Calendar'!$F$1375)=0,"",IF(('Dvd Calendar'!$F$1375&gt;=MIN(DATE(Summary!$C$12,1,1),Summary!$C$11))*('Dvd Calendar'!$F$1375&lt;=MAX(DATE(Summary!$C$12,12,31),Summary!$C$15))*('Dvd Calendar'!$F$1375&lt;=Summary!$C$11)=0,"",'Dvd Calendar'!$F$1375*1000000000+ISNUMBER('Dvd Calendar'!$F$1376)*100000000+('Dvd Calendar'!$F$1380='Field Check'!$C$25)*10000000+(N('Dvd Calendar'!$F$1374)&gt;0)*1000000+92*1000+2))</f>
        <v/>
      </c>
      <c r="E100" s="41">
        <f>IF(N('Dvd Calendar'!$G$1375)=0,"",IF(('Dvd Calendar'!$G$1375&gt;=MIN(DATE(Summary!$C$12,1,1),Summary!$C$11))*('Dvd Calendar'!$G$1375&lt;=MAX(DATE(Summary!$C$12,12,31),Summary!$C$15))*('Dvd Calendar'!$G$1375&lt;=Summary!$C$11)=0,"",'Dvd Calendar'!$G$1375*1000000000+ISNUMBER('Dvd Calendar'!$G$1376)*100000000+('Dvd Calendar'!$G$1380='Field Check'!$C$25)*10000000+(N('Dvd Calendar'!$G$1374)&gt;0)*1000000+92*1000+3))</f>
        <v/>
      </c>
      <c r="F100" s="41">
        <f>IF(N('Dvd Calendar'!$H$1375)=0,"",IF(('Dvd Calendar'!$H$1375&gt;=MIN(DATE(Summary!$C$12,1,1),Summary!$C$11))*('Dvd Calendar'!$H$1375&lt;=MAX(DATE(Summary!$C$12,12,31),Summary!$C$15))*('Dvd Calendar'!$H$1375&lt;=Summary!$C$11)=0,"",'Dvd Calendar'!$H$1375*1000000000+ISNUMBER('Dvd Calendar'!$H$1376)*100000000+('Dvd Calendar'!$H$1380='Field Check'!$C$25)*10000000+(N('Dvd Calendar'!$H$1374)&gt;0)*1000000+92*1000+4))</f>
        <v/>
      </c>
      <c r="G100" s="41">
        <f>IF(N('Dvd Calendar'!$I$1375)=0,"",IF(('Dvd Calendar'!$I$1375&gt;=MIN(DATE(Summary!$C$12,1,1),Summary!$C$11))*('Dvd Calendar'!$I$1375&lt;=MAX(DATE(Summary!$C$12,12,31),Summary!$C$15))*('Dvd Calendar'!$I$1375&lt;=Summary!$C$11)=0,"",'Dvd Calendar'!$I$1375*1000000000+ISNUMBER('Dvd Calendar'!$I$1376)*100000000+('Dvd Calendar'!$I$1380='Field Check'!$C$25)*10000000+(N('Dvd Calendar'!$I$1374)&gt;0)*1000000+92*1000+5))</f>
        <v/>
      </c>
      <c r="H100" s="41">
        <f>IF(N('Dvd Calendar'!$J$1375)=0,"",IF(('Dvd Calendar'!$J$1375&gt;=MIN(DATE(Summary!$C$12,1,1),Summary!$C$11))*('Dvd Calendar'!$J$1375&lt;=MAX(DATE(Summary!$C$12,12,31),Summary!$C$15))*('Dvd Calendar'!$J$1375&lt;=Summary!$C$11)=0,"",'Dvd Calendar'!$J$1375*1000000000+ISNUMBER('Dvd Calendar'!$J$1376)*100000000+('Dvd Calendar'!$J$1380='Field Check'!$C$25)*10000000+(N('Dvd Calendar'!$J$1374)&gt;0)*1000000+92*1000+6))</f>
        <v/>
      </c>
      <c r="I100" s="41">
        <f>IF(N('Dvd Calendar'!$K$1375)=0,"",IF(('Dvd Calendar'!$K$1375&gt;=MIN(DATE(Summary!$C$12,1,1),Summary!$C$11))*('Dvd Calendar'!$K$1375&lt;=MAX(DATE(Summary!$C$12,12,31),Summary!$C$15))*('Dvd Calendar'!$K$1375&lt;=Summary!$C$11)=0,"",'Dvd Calendar'!$K$1375*1000000000+ISNUMBER('Dvd Calendar'!$K$1376)*100000000+('Dvd Calendar'!$K$1380='Field Check'!$C$25)*10000000+(N('Dvd Calendar'!$K$1374)&gt;0)*1000000+92*1000+7))</f>
        <v/>
      </c>
      <c r="J100" s="41">
        <f>IF(N('Dvd Calendar'!$L$1375)=0,"",IF(('Dvd Calendar'!$L$1375&gt;=MIN(DATE(Summary!$C$12,1,1),Summary!$C$11))*('Dvd Calendar'!$L$1375&lt;=MAX(DATE(Summary!$C$12,12,31),Summary!$C$15))*('Dvd Calendar'!$L$1375&lt;=Summary!$C$11)=0,"",'Dvd Calendar'!$L$1375*1000000000+ISNUMBER('Dvd Calendar'!$L$1376)*100000000+('Dvd Calendar'!$L$1380='Field Check'!$C$25)*10000000+(N('Dvd Calendar'!$L$1374)&gt;0)*1000000+92*1000+8))</f>
        <v/>
      </c>
      <c r="K100" s="41">
        <f>IF(N('Dvd Calendar'!$M$1375)=0,"",IF(('Dvd Calendar'!$M$1375&gt;=MIN(DATE(Summary!$C$12,1,1),Summary!$C$11))*('Dvd Calendar'!$M$1375&lt;=MAX(DATE(Summary!$C$12,12,31),Summary!$C$15))*('Dvd Calendar'!$M$1375&lt;=Summary!$C$11)=0,"",'Dvd Calendar'!$M$1375*1000000000+ISNUMBER('Dvd Calendar'!$M$1376)*100000000+('Dvd Calendar'!$M$1380='Field Check'!$C$25)*10000000+(N('Dvd Calendar'!$M$1374)&gt;0)*1000000+92*1000+9))</f>
        <v/>
      </c>
      <c r="L100" s="41">
        <f>IF(N('Dvd Calendar'!$N$1375)=0,"",IF(('Dvd Calendar'!$N$1375&gt;=MIN(DATE(Summary!$C$12,1,1),Summary!$C$11))*('Dvd Calendar'!$N$1375&lt;=MAX(DATE(Summary!$C$12,12,31),Summary!$C$15))*('Dvd Calendar'!$N$1375&lt;=Summary!$C$11)=0,"",'Dvd Calendar'!$N$1375*1000000000+ISNUMBER('Dvd Calendar'!$N$1376)*100000000+('Dvd Calendar'!$N$1380='Field Check'!$C$25)*10000000+(N('Dvd Calendar'!$N$1374)&gt;0)*1000000+92*1000+10))</f>
        <v/>
      </c>
      <c r="M100" s="41">
        <f>IF(N('Dvd Calendar'!$O$1375)=0,"",IF(('Dvd Calendar'!$O$1375&gt;=MIN(DATE(Summary!$C$12,1,1),Summary!$C$11))*('Dvd Calendar'!$O$1375&lt;=MAX(DATE(Summary!$C$12,12,31),Summary!$C$15))*('Dvd Calendar'!$O$1375&lt;=Summary!$C$11)=0,"",'Dvd Calendar'!$O$1375*1000000000+ISNUMBER('Dvd Calendar'!$O$1376)*100000000+('Dvd Calendar'!$O$1380='Field Check'!$C$25)*10000000+(N('Dvd Calendar'!$O$1374)&gt;0)*1000000+92*1000+11))</f>
        <v/>
      </c>
      <c r="N100" s="41">
        <f>IF(N('Dvd Calendar'!$P$1375)=0,"",IF(('Dvd Calendar'!$P$1375&gt;=MIN(DATE(Summary!$C$12,1,1),Summary!$C$11))*('Dvd Calendar'!$P$1375&lt;=MAX(DATE(Summary!$C$12,12,31),Summary!$C$15))*('Dvd Calendar'!$P$1375&lt;=Summary!$C$11)=0,"",'Dvd Calendar'!$P$1375*1000000000+ISNUMBER('Dvd Calendar'!$P$1376)*100000000+('Dvd Calendar'!$P$1380='Field Check'!$C$25)*10000000+(N('Dvd Calendar'!$P$1374)&gt;0)*1000000+92*1000+12))</f>
        <v/>
      </c>
      <c r="O100" s="41">
        <f>IF(N('Dvd Calendar'!$Q$1375)=0,"",IF(('Dvd Calendar'!$Q$1375&gt;=MIN(DATE(Summary!$C$12,1,1),Summary!$C$11))*('Dvd Calendar'!$Q$1375&lt;=MAX(DATE(Summary!$C$12,12,31),Summary!$C$15))*('Dvd Calendar'!$Q$1375&lt;=Summary!$C$11)=0,"",'Dvd Calendar'!$Q$1375*1000000000+ISNUMBER('Dvd Calendar'!$Q$1376)*100000000+('Dvd Calendar'!$Q$1380='Field Check'!$C$25)*10000000+(N('Dvd Calendar'!$Q$1374)&gt;0)*1000000+92*1000+13))</f>
        <v/>
      </c>
      <c r="P100" s="41">
        <f>IF(N('Dvd Calendar'!$R$1375)=0,"",IF(('Dvd Calendar'!$R$1375&gt;=MIN(DATE(Summary!$C$12,1,1),Summary!$C$11))*('Dvd Calendar'!$R$1375&lt;=MAX(DATE(Summary!$C$12,12,31),Summary!$C$15))*('Dvd Calendar'!$R$1375&lt;=Summary!$C$11)=0,"",'Dvd Calendar'!$R$1375*1000000000+ISNUMBER('Dvd Calendar'!$R$1376)*100000000+('Dvd Calendar'!$R$1380='Field Check'!$C$25)*10000000+(N('Dvd Calendar'!$R$1374)&gt;0)*1000000+92*1000+14))</f>
        <v/>
      </c>
      <c r="Q100" s="41">
        <f>IF(N('Dvd Calendar'!$S$1375)=0,"",IF(('Dvd Calendar'!$S$1375&gt;=MIN(DATE(Summary!$C$12,1,1),Summary!$C$11))*('Dvd Calendar'!$S$1375&lt;=MAX(DATE(Summary!$C$12,12,31),Summary!$C$15))*('Dvd Calendar'!$S$1375&lt;=Summary!$C$11)=0,"",'Dvd Calendar'!$S$1375*1000000000+ISNUMBER('Dvd Calendar'!$S$1376)*100000000+('Dvd Calendar'!$S$1380='Field Check'!$C$25)*10000000+(N('Dvd Calendar'!$S$1374)&gt;0)*1000000+92*1000+15))</f>
        <v/>
      </c>
      <c r="R100" s="41">
        <f>IF(N('Dvd Calendar'!$T$1375)=0,"",IF(('Dvd Calendar'!$T$1375&gt;=MIN(DATE(Summary!$C$12,1,1),Summary!$C$11))*('Dvd Calendar'!$T$1375&lt;=MAX(DATE(Summary!$C$12,12,31),Summary!$C$15))*('Dvd Calendar'!$T$1375&lt;=Summary!$C$11)=0,"",'Dvd Calendar'!$T$1375*1000000000+ISNUMBER('Dvd Calendar'!$T$1376)*100000000+('Dvd Calendar'!$T$1380='Field Check'!$C$25)*10000000+(N('Dvd Calendar'!$T$1374)&gt;0)*1000000+92*1000+16))</f>
        <v/>
      </c>
      <c r="S100" s="41">
        <f>IF(N('Dvd Calendar'!$U$1375)=0,"",IF(('Dvd Calendar'!$U$1375&gt;=MIN(DATE(Summary!$C$12,1,1),Summary!$C$11))*('Dvd Calendar'!$U$1375&lt;=MAX(DATE(Summary!$C$12,12,31),Summary!$C$15))*('Dvd Calendar'!$U$1375&lt;=Summary!$C$11)=0,"",'Dvd Calendar'!$U$1375*1000000000+ISNUMBER('Dvd Calendar'!$U$1376)*100000000+('Dvd Calendar'!$U$1380='Field Check'!$C$25)*10000000+(N('Dvd Calendar'!$U$1374)&gt;0)*1000000+92*1000+17))</f>
        <v/>
      </c>
      <c r="T100" s="41">
        <f>IF(N('Dvd Calendar'!$V$1375)=0,"",IF(('Dvd Calendar'!$V$1375&gt;=MIN(DATE(Summary!$C$12,1,1),Summary!$C$11))*('Dvd Calendar'!$V$1375&lt;=MAX(DATE(Summary!$C$12,12,31),Summary!$C$15))*('Dvd Calendar'!$V$1375&lt;=Summary!$C$11)=0,"",'Dvd Calendar'!$V$1375*1000000000+ISNUMBER('Dvd Calendar'!$V$1376)*100000000+('Dvd Calendar'!$V$1380='Field Check'!$C$25)*10000000+(N('Dvd Calendar'!$V$1374)&gt;0)*1000000+92*1000+18))</f>
        <v/>
      </c>
      <c r="U100" s="41">
        <f>IF(N('Dvd Calendar'!$W$1375)=0,"",IF(('Dvd Calendar'!$W$1375&gt;=MIN(DATE(Summary!$C$12,1,1),Summary!$C$11))*('Dvd Calendar'!$W$1375&lt;=MAX(DATE(Summary!$C$12,12,31),Summary!$C$15))*('Dvd Calendar'!$W$1375&lt;=Summary!$C$11)=0,"",'Dvd Calendar'!$W$1375*1000000000+ISNUMBER('Dvd Calendar'!$W$1376)*100000000+('Dvd Calendar'!$W$1380='Field Check'!$C$25)*10000000+(N('Dvd Calendar'!$W$1374)&gt;0)*1000000+92*1000+19))</f>
        <v/>
      </c>
      <c r="V100" s="41">
        <f>IF(N('Dvd Calendar'!$X$1375)=0,"",IF(('Dvd Calendar'!$X$1375&gt;=MIN(DATE(Summary!$C$12,1,1),Summary!$C$11))*('Dvd Calendar'!$X$1375&lt;=MAX(DATE(Summary!$C$12,12,31),Summary!$C$15))*('Dvd Calendar'!$X$1375&lt;=Summary!$C$11)=0,"",'Dvd Calendar'!$X$1375*1000000000+ISNUMBER('Dvd Calendar'!$X$1376)*100000000+('Dvd Calendar'!$X$1380='Field Check'!$C$25)*10000000+(N('Dvd Calendar'!$X$1374)&gt;0)*1000000+92*1000+20))</f>
        <v/>
      </c>
      <c r="W100" s="41">
        <f>IF(N('Dvd Calendar'!$Y$1375)=0,"",IF(('Dvd Calendar'!$Y$1375&gt;=MIN(DATE(Summary!$C$12,1,1),Summary!$C$11))*('Dvd Calendar'!$Y$1375&lt;=MAX(DATE(Summary!$C$12,12,31),Summary!$C$15))*('Dvd Calendar'!$Y$1375&lt;=Summary!$C$11)=0,"",'Dvd Calendar'!$Y$1375*1000000000+ISNUMBER('Dvd Calendar'!$Y$1376)*100000000+('Dvd Calendar'!$Y$1380='Field Check'!$C$25)*10000000+(N('Dvd Calendar'!$Y$1374)&gt;0)*1000000+92*1000+21))</f>
        <v/>
      </c>
      <c r="X100" s="41">
        <f>IF(N('Dvd Calendar'!$Z$1375)=0,"",IF(('Dvd Calendar'!$Z$1375&gt;=MIN(DATE(Summary!$C$12,1,1),Summary!$C$11))*('Dvd Calendar'!$Z$1375&lt;=MAX(DATE(Summary!$C$12,12,31),Summary!$C$15))*('Dvd Calendar'!$Z$1375&lt;=Summary!$C$11)=0,"",'Dvd Calendar'!$Z$1375*1000000000+ISNUMBER('Dvd Calendar'!$Z$1376)*100000000+('Dvd Calendar'!$Z$1380='Field Check'!$C$25)*10000000+(N('Dvd Calendar'!$Z$1374)&gt;0)*1000000+92*1000+22))</f>
        <v/>
      </c>
      <c r="Y100" s="41">
        <f>IF(N('Dvd Calendar'!$AA$1375)=0,"",IF(('Dvd Calendar'!$AA$1375&gt;=MIN(DATE(Summary!$C$12,1,1),Summary!$C$11))*('Dvd Calendar'!$AA$1375&lt;=MAX(DATE(Summary!$C$12,12,31),Summary!$C$15))*('Dvd Calendar'!$AA$1375&lt;=Summary!$C$11)=0,"",'Dvd Calendar'!$AA$1375*1000000000+ISNUMBER('Dvd Calendar'!$AA$1376)*100000000+('Dvd Calendar'!$AA$1380='Field Check'!$C$25)*10000000+(N('Dvd Calendar'!$AA$1374)&gt;0)*1000000+92*1000+23))</f>
        <v/>
      </c>
      <c r="Z100" s="41">
        <f>IF(N('Dvd Calendar'!$AB$1375)=0,"",IF(('Dvd Calendar'!$AB$1375&gt;=MIN(DATE(Summary!$C$12,1,1),Summary!$C$11))*('Dvd Calendar'!$AB$1375&lt;=MAX(DATE(Summary!$C$12,12,31),Summary!$C$15))*('Dvd Calendar'!$AB$1375&lt;=Summary!$C$11)=0,"",'Dvd Calendar'!$AB$1375*1000000000+ISNUMBER('Dvd Calendar'!$AB$1376)*100000000+('Dvd Calendar'!$AB$1380='Field Check'!$C$25)*10000000+(N('Dvd Calendar'!$AB$1374)&gt;0)*1000000+92*1000+24))</f>
        <v/>
      </c>
      <c r="AA100" s="41">
        <f>IF(N('Dvd Calendar'!$AC$1375)=0,"",IF(('Dvd Calendar'!$AC$1375&gt;=MIN(DATE(Summary!$C$12,1,1),Summary!$C$11))*('Dvd Calendar'!$AC$1375&lt;=MAX(DATE(Summary!$C$12,12,31),Summary!$C$15))*('Dvd Calendar'!$AC$1375&lt;=Summary!$C$11)=0,"",'Dvd Calendar'!$AC$1375*1000000000+ISNUMBER('Dvd Calendar'!$AC$1376)*100000000+('Dvd Calendar'!$AC$1380='Field Check'!$C$25)*10000000+(N('Dvd Calendar'!$AC$1374)&gt;0)*1000000+92*1000+25))</f>
        <v/>
      </c>
      <c r="AB100" s="41">
        <f>IF(N('Dvd Calendar'!$AD$1375)=0,"",IF(('Dvd Calendar'!$AD$1375&gt;=MIN(DATE(Summary!$C$12,1,1),Summary!$C$11))*('Dvd Calendar'!$AD$1375&lt;=MAX(DATE(Summary!$C$12,12,31),Summary!$C$15))*('Dvd Calendar'!$AD$1375&lt;=Summary!$C$11)=0,"",'Dvd Calendar'!$AD$1375*1000000000+ISNUMBER('Dvd Calendar'!$AD$1376)*100000000+('Dvd Calendar'!$AD$1380='Field Check'!$C$25)*10000000+(N('Dvd Calendar'!$AD$1374)&gt;0)*1000000+92*1000+26))</f>
        <v/>
      </c>
      <c r="AC100" s="41">
        <f>IF(N('Dvd Calendar'!$AE$1375)=0,"",IF(('Dvd Calendar'!$AE$1375&gt;=MIN(DATE(Summary!$C$12,1,1),Summary!$C$11))*('Dvd Calendar'!$AE$1375&lt;=MAX(DATE(Summary!$C$12,12,31),Summary!$C$15))*('Dvd Calendar'!$AE$1375&lt;=Summary!$C$11)=0,"",'Dvd Calendar'!$AE$1375*1000000000+ISNUMBER('Dvd Calendar'!$AE$1376)*100000000+('Dvd Calendar'!$AE$1380='Field Check'!$C$25)*10000000+(N('Dvd Calendar'!$AE$1374)&gt;0)*1000000+92*1000+27))</f>
        <v/>
      </c>
      <c r="AD100" s="41">
        <f>IF(N('Dvd Calendar'!$AF$1375)=0,"",IF(('Dvd Calendar'!$AF$1375&gt;=MIN(DATE(Summary!$C$12,1,1),Summary!$C$11))*('Dvd Calendar'!$AF$1375&lt;=MAX(DATE(Summary!$C$12,12,31),Summary!$C$15))*('Dvd Calendar'!$AF$1375&lt;=Summary!$C$11)=0,"",'Dvd Calendar'!$AF$1375*1000000000+ISNUMBER('Dvd Calendar'!$AF$1376)*100000000+('Dvd Calendar'!$AF$1380='Field Check'!$C$25)*10000000+(N('Dvd Calendar'!$AF$1374)&gt;0)*1000000+92*1000+28))</f>
        <v/>
      </c>
      <c r="AE100" s="41">
        <f>IF(N('Dvd Calendar'!$AG$1375)=0,"",IF(('Dvd Calendar'!$AG$1375&gt;=MIN(DATE(Summary!$C$12,1,1),Summary!$C$11))*('Dvd Calendar'!$AG$1375&lt;=MAX(DATE(Summary!$C$12,12,31),Summary!$C$15))*('Dvd Calendar'!$AG$1375&lt;=Summary!$C$11)=0,"",'Dvd Calendar'!$AG$1375*1000000000+ISNUMBER('Dvd Calendar'!$AG$1376)*100000000+('Dvd Calendar'!$AG$1380='Field Check'!$C$25)*10000000+(N('Dvd Calendar'!$AG$1374)&gt;0)*1000000+92*1000+29))</f>
        <v/>
      </c>
      <c r="AF100" s="41">
        <f>IF(N('Dvd Calendar'!$AH$1375)=0,"",IF(('Dvd Calendar'!$AH$1375&gt;=MIN(DATE(Summary!$C$12,1,1),Summary!$C$11))*('Dvd Calendar'!$AH$1375&lt;=MAX(DATE(Summary!$C$12,12,31),Summary!$C$15))*('Dvd Calendar'!$AH$1375&lt;=Summary!$C$11)=0,"",'Dvd Calendar'!$AH$1375*1000000000+ISNUMBER('Dvd Calendar'!$AH$1376)*100000000+('Dvd Calendar'!$AH$1380='Field Check'!$C$25)*10000000+(N('Dvd Calendar'!$AH$1374)&gt;0)*1000000+92*1000+30))</f>
        <v/>
      </c>
      <c r="AG100" s="41">
        <f>IF(N('Dvd Calendar'!$AI$1375)=0,"",IF(('Dvd Calendar'!$AI$1375&gt;=MIN(DATE(Summary!$C$12,1,1),Summary!$C$11))*('Dvd Calendar'!$AI$1375&lt;=MAX(DATE(Summary!$C$12,12,31),Summary!$C$15))*('Dvd Calendar'!$AI$1375&lt;=Summary!$C$11)=0,"",'Dvd Calendar'!$AI$1375*1000000000+ISNUMBER('Dvd Calendar'!$AI$1376)*100000000+('Dvd Calendar'!$AI$1380='Field Check'!$C$25)*10000000+(N('Dvd Calendar'!$AI$1374)&gt;0)*1000000+92*1000+31))</f>
        <v/>
      </c>
      <c r="AH100" s="41">
        <f>IF(N('Dvd Calendar'!$AJ$1375)=0,"",IF(('Dvd Calendar'!$AJ$1375&gt;=MIN(DATE(Summary!$C$12,1,1),Summary!$C$11))*('Dvd Calendar'!$AJ$1375&lt;=MAX(DATE(Summary!$C$12,12,31),Summary!$C$15))*('Dvd Calendar'!$AJ$1375&lt;=Summary!$C$11)=0,"",'Dvd Calendar'!$AJ$1375*1000000000+ISNUMBER('Dvd Calendar'!$AJ$1376)*100000000+('Dvd Calendar'!$AJ$1380='Field Check'!$C$25)*10000000+(N('Dvd Calendar'!$AJ$1374)&gt;0)*1000000+92*1000+32))</f>
        <v/>
      </c>
      <c r="AI100" s="41">
        <f>IF(N('Dvd Calendar'!$AK$1375)=0,"",IF(('Dvd Calendar'!$AK$1375&gt;=MIN(DATE(Summary!$C$12,1,1),Summary!$C$11))*('Dvd Calendar'!$AK$1375&lt;=MAX(DATE(Summary!$C$12,12,31),Summary!$C$15))*('Dvd Calendar'!$AK$1375&lt;=Summary!$C$11)=0,"",'Dvd Calendar'!$AK$1375*1000000000+ISNUMBER('Dvd Calendar'!$AK$1376)*100000000+('Dvd Calendar'!$AK$1380='Field Check'!$C$25)*10000000+(N('Dvd Calendar'!$AK$1374)&gt;0)*1000000+92*1000+33))</f>
        <v/>
      </c>
      <c r="AJ100" s="41">
        <f>IF(N('Dvd Calendar'!$AL$1375)=0,"",IF(('Dvd Calendar'!$AL$1375&gt;=MIN(DATE(Summary!$C$12,1,1),Summary!$C$11))*('Dvd Calendar'!$AL$1375&lt;=MAX(DATE(Summary!$C$12,12,31),Summary!$C$15))*('Dvd Calendar'!$AL$1375&lt;=Summary!$C$11)=0,"",'Dvd Calendar'!$AL$1375*1000000000+ISNUMBER('Dvd Calendar'!$AL$1376)*100000000+('Dvd Calendar'!$AL$1380='Field Check'!$C$25)*10000000+(N('Dvd Calendar'!$AL$1374)&gt;0)*1000000+92*1000+34))</f>
        <v/>
      </c>
      <c r="AK100" s="41">
        <f>IF(N('Dvd Calendar'!$AM$1375)=0,"",IF(('Dvd Calendar'!$AM$1375&gt;=MIN(DATE(Summary!$C$12,1,1),Summary!$C$11))*('Dvd Calendar'!$AM$1375&lt;=MAX(DATE(Summary!$C$12,12,31),Summary!$C$15))*('Dvd Calendar'!$AM$1375&lt;=Summary!$C$11)=0,"",'Dvd Calendar'!$AM$1375*1000000000+ISNUMBER('Dvd Calendar'!$AM$1376)*100000000+('Dvd Calendar'!$AM$1380='Field Check'!$C$25)*10000000+(N('Dvd Calendar'!$AM$1374)&gt;0)*1000000+92*1000+35))</f>
        <v/>
      </c>
      <c r="AL100" s="41">
        <f>IF(N('Dvd Calendar'!$AN$1375)=0,"",IF(('Dvd Calendar'!$AN$1375&gt;=MIN(DATE(Summary!$C$12,1,1),Summary!$C$11))*('Dvd Calendar'!$AN$1375&lt;=MAX(DATE(Summary!$C$12,12,31),Summary!$C$15))*('Dvd Calendar'!$AN$1375&lt;=Summary!$C$11)=0,"",'Dvd Calendar'!$AN$1375*1000000000+ISNUMBER('Dvd Calendar'!$AN$1376)*100000000+('Dvd Calendar'!$AN$1380='Field Check'!$C$25)*10000000+(N('Dvd Calendar'!$AN$1374)&gt;0)*1000000+92*1000+36))</f>
        <v/>
      </c>
      <c r="AM100" s="41">
        <f>IF(N('Dvd Calendar'!$AO$1375)=0,"",IF(('Dvd Calendar'!$AO$1375&gt;=MIN(DATE(Summary!$C$12,1,1),Summary!$C$11))*('Dvd Calendar'!$AO$1375&lt;=MAX(DATE(Summary!$C$12,12,31),Summary!$C$15))*('Dvd Calendar'!$AO$1375&lt;=Summary!$C$11)=0,"",'Dvd Calendar'!$AO$1375*1000000000+ISNUMBER('Dvd Calendar'!$AO$1376)*100000000+('Dvd Calendar'!$AO$1380='Field Check'!$C$25)*10000000+(N('Dvd Calendar'!$AO$1374)&gt;0)*1000000+92*1000+37))</f>
        <v/>
      </c>
      <c r="AN100" s="41">
        <f>IF(N('Dvd Calendar'!$AP$1375)=0,"",IF(('Dvd Calendar'!$AP$1375&gt;=MIN(DATE(Summary!$C$12,1,1),Summary!$C$11))*('Dvd Calendar'!$AP$1375&lt;=MAX(DATE(Summary!$C$12,12,31),Summary!$C$15))*('Dvd Calendar'!$AP$1375&lt;=Summary!$C$11)=0,"",'Dvd Calendar'!$AP$1375*1000000000+ISNUMBER('Dvd Calendar'!$AP$1376)*100000000+('Dvd Calendar'!$AP$1380='Field Check'!$C$25)*10000000+(N('Dvd Calendar'!$AP$1374)&gt;0)*1000000+92*1000+38))</f>
        <v/>
      </c>
      <c r="AO100" s="41">
        <f>IF(N('Dvd Calendar'!$AQ$1375)=0,"",IF(('Dvd Calendar'!$AQ$1375&gt;=MIN(DATE(Summary!$C$12,1,1),Summary!$C$11))*('Dvd Calendar'!$AQ$1375&lt;=MAX(DATE(Summary!$C$12,12,31),Summary!$C$15))*('Dvd Calendar'!$AQ$1375&lt;=Summary!$C$11)=0,"",'Dvd Calendar'!$AQ$1375*1000000000+ISNUMBER('Dvd Calendar'!$AQ$1376)*100000000+('Dvd Calendar'!$AQ$1380='Field Check'!$C$25)*10000000+(N('Dvd Calendar'!$AQ$1374)&gt;0)*1000000+92*1000+39))</f>
        <v/>
      </c>
      <c r="AP100" s="41">
        <f>IF(N('Dvd Calendar'!$AR$1375)=0,"",IF(('Dvd Calendar'!$AR$1375&gt;=MIN(DATE(Summary!$C$12,1,1),Summary!$C$11))*('Dvd Calendar'!$AR$1375&lt;=MAX(DATE(Summary!$C$12,12,31),Summary!$C$15))*('Dvd Calendar'!$AR$1375&lt;=Summary!$C$11)=0,"",'Dvd Calendar'!$AR$1375*1000000000+ISNUMBER('Dvd Calendar'!$AR$1376)*100000000+('Dvd Calendar'!$AR$1380='Field Check'!$C$25)*10000000+(N('Dvd Calendar'!$AR$1374)&gt;0)*1000000+92*1000+40))</f>
        <v/>
      </c>
      <c r="AQ100" s="41">
        <f>IF(N('Dvd Calendar'!$E$1382)=0,"",IF(('Dvd Calendar'!$E$1382&gt;=MIN(DATE(Summary!$C$12,1,1),Summary!$C$11))*('Dvd Calendar'!$E$1382&lt;=MAX(DATE(Summary!$C$12,12,31),Summary!$C$15))*('Dvd Calendar'!$E$1382&gt;Summary!$C$11)=0,"",'Dvd Calendar'!$E$1382*1000000000+ISNUMBER('Dvd Calendar'!$E$1383)*100000000+('Dvd Calendar'!$E$1387='Field Check'!$C$25)*10000000+(N('Dvd Calendar'!$E$1381)&gt;0)*1000000+92*1000+41))</f>
        <v/>
      </c>
      <c r="AR100" s="41">
        <f>IF(N('Dvd Calendar'!$F$1382)=0,"",IF(('Dvd Calendar'!$F$1382&gt;=MIN(DATE(Summary!$C$12,1,1),Summary!$C$11))*('Dvd Calendar'!$F$1382&lt;=MAX(DATE(Summary!$C$12,12,31),Summary!$C$15))*('Dvd Calendar'!$F$1382&gt;Summary!$C$11)=0,"",'Dvd Calendar'!$F$1382*1000000000+ISNUMBER('Dvd Calendar'!$F$1383)*100000000+('Dvd Calendar'!$F$1387='Field Check'!$C$25)*10000000+(N('Dvd Calendar'!$F$1381)&gt;0)*1000000+92*1000+42))</f>
        <v/>
      </c>
      <c r="AS100" s="41">
        <f>IF(N('Dvd Calendar'!$G$1382)=0,"",IF(('Dvd Calendar'!$G$1382&gt;=MIN(DATE(Summary!$C$12,1,1),Summary!$C$11))*('Dvd Calendar'!$G$1382&lt;=MAX(DATE(Summary!$C$12,12,31),Summary!$C$15))*('Dvd Calendar'!$G$1382&gt;Summary!$C$11)=0,"",'Dvd Calendar'!$G$1382*1000000000+ISNUMBER('Dvd Calendar'!$G$1383)*100000000+('Dvd Calendar'!$G$1387='Field Check'!$C$25)*10000000+(N('Dvd Calendar'!$G$1381)&gt;0)*1000000+92*1000+43))</f>
        <v/>
      </c>
      <c r="AT100" s="41">
        <f>IF(N('Dvd Calendar'!$H$1382)=0,"",IF(('Dvd Calendar'!$H$1382&gt;=MIN(DATE(Summary!$C$12,1,1),Summary!$C$11))*('Dvd Calendar'!$H$1382&lt;=MAX(DATE(Summary!$C$12,12,31),Summary!$C$15))*('Dvd Calendar'!$H$1382&gt;Summary!$C$11)=0,"",'Dvd Calendar'!$H$1382*1000000000+ISNUMBER('Dvd Calendar'!$H$1383)*100000000+('Dvd Calendar'!$H$1387='Field Check'!$C$25)*10000000+(N('Dvd Calendar'!$H$1381)&gt;0)*1000000+92*1000+44))</f>
        <v/>
      </c>
      <c r="AU100" s="41">
        <f>IF(N('Dvd Calendar'!$I$1382)=0,"",IF(('Dvd Calendar'!$I$1382&gt;=MIN(DATE(Summary!$C$12,1,1),Summary!$C$11))*('Dvd Calendar'!$I$1382&lt;=MAX(DATE(Summary!$C$12,12,31),Summary!$C$15))*('Dvd Calendar'!$I$1382&gt;Summary!$C$11)=0,"",'Dvd Calendar'!$I$1382*1000000000+ISNUMBER('Dvd Calendar'!$I$1383)*100000000+('Dvd Calendar'!$I$1387='Field Check'!$C$25)*10000000+(N('Dvd Calendar'!$I$1381)&gt;0)*1000000+92*1000+45))</f>
        <v/>
      </c>
      <c r="AV100" s="41">
        <f>IF(N('Dvd Calendar'!$J$1382)=0,"",IF(('Dvd Calendar'!$J$1382&gt;=MIN(DATE(Summary!$C$12,1,1),Summary!$C$11))*('Dvd Calendar'!$J$1382&lt;=MAX(DATE(Summary!$C$12,12,31),Summary!$C$15))*('Dvd Calendar'!$J$1382&gt;Summary!$C$11)=0,"",'Dvd Calendar'!$J$1382*1000000000+ISNUMBER('Dvd Calendar'!$J$1383)*100000000+('Dvd Calendar'!$J$1387='Field Check'!$C$25)*10000000+(N('Dvd Calendar'!$J$1381)&gt;0)*1000000+92*1000+46))</f>
        <v/>
      </c>
      <c r="AW100" s="41">
        <f>IF(N('Dvd Calendar'!$K$1382)=0,"",IF(('Dvd Calendar'!$K$1382&gt;=MIN(DATE(Summary!$C$12,1,1),Summary!$C$11))*('Dvd Calendar'!$K$1382&lt;=MAX(DATE(Summary!$C$12,12,31),Summary!$C$15))*('Dvd Calendar'!$K$1382&gt;Summary!$C$11)=0,"",'Dvd Calendar'!$K$1382*1000000000+ISNUMBER('Dvd Calendar'!$K$1383)*100000000+('Dvd Calendar'!$K$1387='Field Check'!$C$25)*10000000+(N('Dvd Calendar'!$K$1381)&gt;0)*1000000+92*1000+47))</f>
        <v/>
      </c>
      <c r="AX100" s="41">
        <f>IF(N('Dvd Calendar'!$L$1382)=0,"",IF(('Dvd Calendar'!$L$1382&gt;=MIN(DATE(Summary!$C$12,1,1),Summary!$C$11))*('Dvd Calendar'!$L$1382&lt;=MAX(DATE(Summary!$C$12,12,31),Summary!$C$15))*('Dvd Calendar'!$L$1382&gt;Summary!$C$11)=0,"",'Dvd Calendar'!$L$1382*1000000000+ISNUMBER('Dvd Calendar'!$L$1383)*100000000+('Dvd Calendar'!$L$1387='Field Check'!$C$25)*10000000+(N('Dvd Calendar'!$L$1381)&gt;0)*1000000+92*1000+48))</f>
        <v/>
      </c>
      <c r="AY100" s="41">
        <f>IF(N('Dvd Calendar'!$M$1382)=0,"",IF(('Dvd Calendar'!$M$1382&gt;=MIN(DATE(Summary!$C$12,1,1),Summary!$C$11))*('Dvd Calendar'!$M$1382&lt;=MAX(DATE(Summary!$C$12,12,31),Summary!$C$15))*('Dvd Calendar'!$M$1382&gt;Summary!$C$11)=0,"",'Dvd Calendar'!$M$1382*1000000000+ISNUMBER('Dvd Calendar'!$M$1383)*100000000+('Dvd Calendar'!$M$1387='Field Check'!$C$25)*10000000+(N('Dvd Calendar'!$M$1381)&gt;0)*1000000+92*1000+49))</f>
        <v/>
      </c>
      <c r="AZ100" s="41">
        <f>IF(N('Dvd Calendar'!$N$1382)=0,"",IF(('Dvd Calendar'!$N$1382&gt;=MIN(DATE(Summary!$C$12,1,1),Summary!$C$11))*('Dvd Calendar'!$N$1382&lt;=MAX(DATE(Summary!$C$12,12,31),Summary!$C$15))*('Dvd Calendar'!$N$1382&gt;Summary!$C$11)=0,"",'Dvd Calendar'!$N$1382*1000000000+ISNUMBER('Dvd Calendar'!$N$1383)*100000000+('Dvd Calendar'!$N$1387='Field Check'!$C$25)*10000000+(N('Dvd Calendar'!$N$1381)&gt;0)*1000000+92*1000+50))</f>
        <v/>
      </c>
      <c r="BA100" s="41">
        <f>IF(N('Dvd Calendar'!$O$1382)=0,"",IF(('Dvd Calendar'!$O$1382&gt;=MIN(DATE(Summary!$C$12,1,1),Summary!$C$11))*('Dvd Calendar'!$O$1382&lt;=MAX(DATE(Summary!$C$12,12,31),Summary!$C$15))*('Dvd Calendar'!$O$1382&gt;Summary!$C$11)=0,"",'Dvd Calendar'!$O$1382*1000000000+ISNUMBER('Dvd Calendar'!$O$1383)*100000000+('Dvd Calendar'!$O$1387='Field Check'!$C$25)*10000000+(N('Dvd Calendar'!$O$1381)&gt;0)*1000000+92*1000+51))</f>
        <v/>
      </c>
      <c r="BB100" s="41">
        <f>IF(N('Dvd Calendar'!$P$1382)=0,"",IF(('Dvd Calendar'!$P$1382&gt;=MIN(DATE(Summary!$C$12,1,1),Summary!$C$11))*('Dvd Calendar'!$P$1382&lt;=MAX(DATE(Summary!$C$12,12,31),Summary!$C$15))*('Dvd Calendar'!$P$1382&gt;Summary!$C$11)=0,"",'Dvd Calendar'!$P$1382*1000000000+ISNUMBER('Dvd Calendar'!$P$1383)*100000000+('Dvd Calendar'!$P$1387='Field Check'!$C$25)*10000000+(N('Dvd Calendar'!$P$1381)&gt;0)*1000000+92*1000+52))</f>
        <v/>
      </c>
      <c r="BC100" s="41">
        <f>IF(N('Dvd Calendar'!$Q$1382)=0,"",IF(('Dvd Calendar'!$Q$1382&gt;=MIN(DATE(Summary!$C$12,1,1),Summary!$C$11))*('Dvd Calendar'!$Q$1382&lt;=MAX(DATE(Summary!$C$12,12,31),Summary!$C$15))*('Dvd Calendar'!$Q$1382&gt;Summary!$C$11)=0,"",'Dvd Calendar'!$Q$1382*1000000000+ISNUMBER('Dvd Calendar'!$Q$1383)*100000000+('Dvd Calendar'!$Q$1387='Field Check'!$C$25)*10000000+(N('Dvd Calendar'!$Q$1381)&gt;0)*1000000+92*1000+53))</f>
        <v/>
      </c>
      <c r="BD100" s="41">
        <f>IF(N('Dvd Calendar'!$R$1382)=0,"",IF(('Dvd Calendar'!$R$1382&gt;=MIN(DATE(Summary!$C$12,1,1),Summary!$C$11))*('Dvd Calendar'!$R$1382&lt;=MAX(DATE(Summary!$C$12,12,31),Summary!$C$15))*('Dvd Calendar'!$R$1382&gt;Summary!$C$11)=0,"",'Dvd Calendar'!$R$1382*1000000000+ISNUMBER('Dvd Calendar'!$R$1383)*100000000+('Dvd Calendar'!$R$1387='Field Check'!$C$25)*10000000+(N('Dvd Calendar'!$R$1381)&gt;0)*1000000+92*1000+54))</f>
        <v/>
      </c>
      <c r="BE100" s="41">
        <f>IF(N('Dvd Calendar'!$S$1382)=0,"",IF(('Dvd Calendar'!$S$1382&gt;=MIN(DATE(Summary!$C$12,1,1),Summary!$C$11))*('Dvd Calendar'!$S$1382&lt;=MAX(DATE(Summary!$C$12,12,31),Summary!$C$15))*('Dvd Calendar'!$S$1382&gt;Summary!$C$11)=0,"",'Dvd Calendar'!$S$1382*1000000000+ISNUMBER('Dvd Calendar'!$S$1383)*100000000+('Dvd Calendar'!$S$1387='Field Check'!$C$25)*10000000+(N('Dvd Calendar'!$S$1381)&gt;0)*1000000+92*1000+55))</f>
        <v/>
      </c>
      <c r="BF100" s="41">
        <f>IF(N('Dvd Calendar'!$T$1382)=0,"",IF(('Dvd Calendar'!$T$1382&gt;=MIN(DATE(Summary!$C$12,1,1),Summary!$C$11))*('Dvd Calendar'!$T$1382&lt;=MAX(DATE(Summary!$C$12,12,31),Summary!$C$15))*('Dvd Calendar'!$T$1382&gt;Summary!$C$11)=0,"",'Dvd Calendar'!$T$1382*1000000000+ISNUMBER('Dvd Calendar'!$T$1383)*100000000+('Dvd Calendar'!$T$1387='Field Check'!$C$25)*10000000+(N('Dvd Calendar'!$T$1381)&gt;0)*1000000+92*1000+56))</f>
        <v/>
      </c>
      <c r="BG100" s="41">
        <f>IF(N('Dvd Calendar'!$U$1382)=0,"",IF(('Dvd Calendar'!$U$1382&gt;=MIN(DATE(Summary!$C$12,1,1),Summary!$C$11))*('Dvd Calendar'!$U$1382&lt;=MAX(DATE(Summary!$C$12,12,31),Summary!$C$15))*('Dvd Calendar'!$U$1382&gt;Summary!$C$11)=0,"",'Dvd Calendar'!$U$1382*1000000000+ISNUMBER('Dvd Calendar'!$U$1383)*100000000+('Dvd Calendar'!$U$1387='Field Check'!$C$25)*10000000+(N('Dvd Calendar'!$U$1381)&gt;0)*1000000+92*1000+57))</f>
        <v/>
      </c>
      <c r="BH100" s="41">
        <f>IF(N('Dvd Calendar'!$V$1382)=0,"",IF(('Dvd Calendar'!$V$1382&gt;=MIN(DATE(Summary!$C$12,1,1),Summary!$C$11))*('Dvd Calendar'!$V$1382&lt;=MAX(DATE(Summary!$C$12,12,31),Summary!$C$15))*('Dvd Calendar'!$V$1382&gt;Summary!$C$11)=0,"",'Dvd Calendar'!$V$1382*1000000000+ISNUMBER('Dvd Calendar'!$V$1383)*100000000+('Dvd Calendar'!$V$1387='Field Check'!$C$25)*10000000+(N('Dvd Calendar'!$V$1381)&gt;0)*1000000+92*1000+58))</f>
        <v/>
      </c>
      <c r="BI100" s="41">
        <f>IF(N('Dvd Calendar'!$W$1382)=0,"",IF(('Dvd Calendar'!$W$1382&gt;=MIN(DATE(Summary!$C$12,1,1),Summary!$C$11))*('Dvd Calendar'!$W$1382&lt;=MAX(DATE(Summary!$C$12,12,31),Summary!$C$15))*('Dvd Calendar'!$W$1382&gt;Summary!$C$11)=0,"",'Dvd Calendar'!$W$1382*1000000000+ISNUMBER('Dvd Calendar'!$W$1383)*100000000+('Dvd Calendar'!$W$1387='Field Check'!$C$25)*10000000+(N('Dvd Calendar'!$W$1381)&gt;0)*1000000+92*1000+59))</f>
        <v/>
      </c>
      <c r="BJ100" s="41">
        <f>IF(N('Dvd Calendar'!$X$1382)=0,"",IF(('Dvd Calendar'!$X$1382&gt;=MIN(DATE(Summary!$C$12,1,1),Summary!$C$11))*('Dvd Calendar'!$X$1382&lt;=MAX(DATE(Summary!$C$12,12,31),Summary!$C$15))*('Dvd Calendar'!$X$1382&gt;Summary!$C$11)=0,"",'Dvd Calendar'!$X$1382*1000000000+ISNUMBER('Dvd Calendar'!$X$1383)*100000000+('Dvd Calendar'!$X$1387='Field Check'!$C$25)*10000000+(N('Dvd Calendar'!$X$1381)&gt;0)*1000000+92*1000+60))</f>
        <v/>
      </c>
      <c r="BK100" s="41">
        <f>IF(N('Dvd Calendar'!$Y$1382)=0,"",IF(('Dvd Calendar'!$Y$1382&gt;=MIN(DATE(Summary!$C$12,1,1),Summary!$C$11))*('Dvd Calendar'!$Y$1382&lt;=MAX(DATE(Summary!$C$12,12,31),Summary!$C$15))*('Dvd Calendar'!$Y$1382&gt;Summary!$C$11)=0,"",'Dvd Calendar'!$Y$1382*1000000000+ISNUMBER('Dvd Calendar'!$Y$1383)*100000000+('Dvd Calendar'!$Y$1387='Field Check'!$C$25)*10000000+(N('Dvd Calendar'!$Y$1381)&gt;0)*1000000+92*1000+61))</f>
        <v/>
      </c>
      <c r="BL100" s="41">
        <f>IF(N('Dvd Calendar'!$Z$1382)=0,"",IF(('Dvd Calendar'!$Z$1382&gt;=MIN(DATE(Summary!$C$12,1,1),Summary!$C$11))*('Dvd Calendar'!$Z$1382&lt;=MAX(DATE(Summary!$C$12,12,31),Summary!$C$15))*('Dvd Calendar'!$Z$1382&gt;Summary!$C$11)=0,"",'Dvd Calendar'!$Z$1382*1000000000+ISNUMBER('Dvd Calendar'!$Z$1383)*100000000+('Dvd Calendar'!$Z$1387='Field Check'!$C$25)*10000000+(N('Dvd Calendar'!$Z$1381)&gt;0)*1000000+92*1000+62))</f>
        <v/>
      </c>
      <c r="BM100" s="41">
        <f>IF(N('Dvd Calendar'!$AA$1382)=0,"",IF(('Dvd Calendar'!$AA$1382&gt;=MIN(DATE(Summary!$C$12,1,1),Summary!$C$11))*('Dvd Calendar'!$AA$1382&lt;=MAX(DATE(Summary!$C$12,12,31),Summary!$C$15))*('Dvd Calendar'!$AA$1382&gt;Summary!$C$11)=0,"",'Dvd Calendar'!$AA$1382*1000000000+ISNUMBER('Dvd Calendar'!$AA$1383)*100000000+('Dvd Calendar'!$AA$1387='Field Check'!$C$25)*10000000+(N('Dvd Calendar'!$AA$1381)&gt;0)*1000000+92*1000+63))</f>
        <v/>
      </c>
      <c r="BN100" s="41">
        <f>IF(N('Dvd Calendar'!$AB$1382)=0,"",IF(('Dvd Calendar'!$AB$1382&gt;=MIN(DATE(Summary!$C$12,1,1),Summary!$C$11))*('Dvd Calendar'!$AB$1382&lt;=MAX(DATE(Summary!$C$12,12,31),Summary!$C$15))*('Dvd Calendar'!$AB$1382&gt;Summary!$C$11)=0,"",'Dvd Calendar'!$AB$1382*1000000000+ISNUMBER('Dvd Calendar'!$AB$1383)*100000000+('Dvd Calendar'!$AB$1387='Field Check'!$C$25)*10000000+(N('Dvd Calendar'!$AB$1381)&gt;0)*1000000+92*1000+64))</f>
        <v/>
      </c>
      <c r="BO100" s="41">
        <f>IF(N('Dvd Calendar'!$AC$1382)=0,"",IF(('Dvd Calendar'!$AC$1382&gt;=MIN(DATE(Summary!$C$12,1,1),Summary!$C$11))*('Dvd Calendar'!$AC$1382&lt;=MAX(DATE(Summary!$C$12,12,31),Summary!$C$15))*('Dvd Calendar'!$AC$1382&gt;Summary!$C$11)=0,"",'Dvd Calendar'!$AC$1382*1000000000+ISNUMBER('Dvd Calendar'!$AC$1383)*100000000+('Dvd Calendar'!$AC$1387='Field Check'!$C$25)*10000000+(N('Dvd Calendar'!$AC$1381)&gt;0)*1000000+92*1000+65))</f>
        <v/>
      </c>
      <c r="BQ100" s="85">
        <f>IF(C100="","",IF(ISNUMBER('Dvd Calendar'!$E$1376)=FALSE,"",IF((Summary!$C$13="N")*('Dvd Calendar'!$E$1380='Field Check'!$C$25)&gt;0,"",'Dvd Calendar'!$E$1376)))</f>
        <v/>
      </c>
      <c r="BR100" s="85">
        <f>IF(D100="","",IF(ISNUMBER('Dvd Calendar'!$F$1376)=FALSE,"",IF((Summary!$C$13="N")*('Dvd Calendar'!$F$1380='Field Check'!$C$25)&gt;0,"",'Dvd Calendar'!$F$1376)))</f>
        <v/>
      </c>
      <c r="BS100" s="85">
        <f>IF(E100="","",IF(ISNUMBER('Dvd Calendar'!$G$1376)=FALSE,"",IF((Summary!$C$13="N")*('Dvd Calendar'!$G$1380='Field Check'!$C$25)&gt;0,"",'Dvd Calendar'!$G$1376)))</f>
        <v/>
      </c>
      <c r="BT100" s="85">
        <f>IF(F100="","",IF(ISNUMBER('Dvd Calendar'!$H$1376)=FALSE,"",IF((Summary!$C$13="N")*('Dvd Calendar'!$H$1380='Field Check'!$C$25)&gt;0,"",'Dvd Calendar'!$H$1376)))</f>
        <v/>
      </c>
      <c r="BU100" s="85">
        <f>IF(G100="","",IF(ISNUMBER('Dvd Calendar'!$I$1376)=FALSE,"",IF((Summary!$C$13="N")*('Dvd Calendar'!$I$1380='Field Check'!$C$25)&gt;0,"",'Dvd Calendar'!$I$1376)))</f>
        <v/>
      </c>
      <c r="BV100" s="85">
        <f>IF(H100="","",IF(ISNUMBER('Dvd Calendar'!$J$1376)=FALSE,"",IF((Summary!$C$13="N")*('Dvd Calendar'!$J$1380='Field Check'!$C$25)&gt;0,"",'Dvd Calendar'!$J$1376)))</f>
        <v/>
      </c>
      <c r="BW100" s="85">
        <f>IF(I100="","",IF(ISNUMBER('Dvd Calendar'!$K$1376)=FALSE,"",IF((Summary!$C$13="N")*('Dvd Calendar'!$K$1380='Field Check'!$C$25)&gt;0,"",'Dvd Calendar'!$K$1376)))</f>
        <v/>
      </c>
      <c r="BX100" s="85">
        <f>IF(J100="","",IF(ISNUMBER('Dvd Calendar'!$L$1376)=FALSE,"",IF((Summary!$C$13="N")*('Dvd Calendar'!$L$1380='Field Check'!$C$25)&gt;0,"",'Dvd Calendar'!$L$1376)))</f>
        <v/>
      </c>
      <c r="BY100" s="85">
        <f>IF(K100="","",IF(ISNUMBER('Dvd Calendar'!$M$1376)=FALSE,"",IF((Summary!$C$13="N")*('Dvd Calendar'!$M$1380='Field Check'!$C$25)&gt;0,"",'Dvd Calendar'!$M$1376)))</f>
        <v/>
      </c>
      <c r="BZ100" s="85">
        <f>IF(L100="","",IF(ISNUMBER('Dvd Calendar'!$N$1376)=FALSE,"",IF((Summary!$C$13="N")*('Dvd Calendar'!$N$1380='Field Check'!$C$25)&gt;0,"",'Dvd Calendar'!$N$1376)))</f>
        <v/>
      </c>
      <c r="CA100" s="85">
        <f>IF(M100="","",IF(ISNUMBER('Dvd Calendar'!$O$1376)=FALSE,"",IF((Summary!$C$13="N")*('Dvd Calendar'!$O$1380='Field Check'!$C$25)&gt;0,"",'Dvd Calendar'!$O$1376)))</f>
        <v/>
      </c>
      <c r="CB100" s="85">
        <f>IF(N100="","",IF(ISNUMBER('Dvd Calendar'!$P$1376)=FALSE,"",IF((Summary!$C$13="N")*('Dvd Calendar'!$P$1380='Field Check'!$C$25)&gt;0,"",'Dvd Calendar'!$P$1376)))</f>
        <v/>
      </c>
      <c r="CC100" s="85">
        <f>IF(O100="","",IF(ISNUMBER('Dvd Calendar'!$Q$1376)=FALSE,"",IF((Summary!$C$13="N")*('Dvd Calendar'!$Q$1380='Field Check'!$C$25)&gt;0,"",'Dvd Calendar'!$Q$1376)))</f>
        <v/>
      </c>
      <c r="CD100" s="85">
        <f>IF(P100="","",IF(ISNUMBER('Dvd Calendar'!$R$1376)=FALSE,"",IF((Summary!$C$13="N")*('Dvd Calendar'!$R$1380='Field Check'!$C$25)&gt;0,"",'Dvd Calendar'!$R$1376)))</f>
        <v/>
      </c>
      <c r="CE100" s="85">
        <f>IF(Q100="","",IF(ISNUMBER('Dvd Calendar'!$S$1376)=FALSE,"",IF((Summary!$C$13="N")*('Dvd Calendar'!$S$1380='Field Check'!$C$25)&gt;0,"",'Dvd Calendar'!$S$1376)))</f>
        <v/>
      </c>
      <c r="CF100" s="85">
        <f>IF(R100="","",IF(ISNUMBER('Dvd Calendar'!$T$1376)=FALSE,"",IF((Summary!$C$13="N")*('Dvd Calendar'!$T$1380='Field Check'!$C$25)&gt;0,"",'Dvd Calendar'!$T$1376)))</f>
        <v/>
      </c>
      <c r="CG100" s="85">
        <f>IF(S100="","",IF(ISNUMBER('Dvd Calendar'!$U$1376)=FALSE,"",IF((Summary!$C$13="N")*('Dvd Calendar'!$U$1380='Field Check'!$C$25)&gt;0,"",'Dvd Calendar'!$U$1376)))</f>
        <v/>
      </c>
      <c r="CH100" s="85">
        <f>IF(T100="","",IF(ISNUMBER('Dvd Calendar'!$V$1376)=FALSE,"",IF((Summary!$C$13="N")*('Dvd Calendar'!$V$1380='Field Check'!$C$25)&gt;0,"",'Dvd Calendar'!$V$1376)))</f>
        <v/>
      </c>
      <c r="CI100" s="85">
        <f>IF(U100="","",IF(ISNUMBER('Dvd Calendar'!$W$1376)=FALSE,"",IF((Summary!$C$13="N")*('Dvd Calendar'!$W$1380='Field Check'!$C$25)&gt;0,"",'Dvd Calendar'!$W$1376)))</f>
        <v/>
      </c>
      <c r="CJ100" s="85">
        <f>IF(V100="","",IF(ISNUMBER('Dvd Calendar'!$X$1376)=FALSE,"",IF((Summary!$C$13="N")*('Dvd Calendar'!$X$1380='Field Check'!$C$25)&gt;0,"",'Dvd Calendar'!$X$1376)))</f>
        <v/>
      </c>
      <c r="CK100" s="85">
        <f>IF(W100="","",IF(ISNUMBER('Dvd Calendar'!$Y$1376)=FALSE,"",IF((Summary!$C$13="N")*('Dvd Calendar'!$Y$1380='Field Check'!$C$25)&gt;0,"",'Dvd Calendar'!$Y$1376)))</f>
        <v/>
      </c>
      <c r="CL100" s="85">
        <f>IF(X100="","",IF(ISNUMBER('Dvd Calendar'!$Z$1376)=FALSE,"",IF((Summary!$C$13="N")*('Dvd Calendar'!$Z$1380='Field Check'!$C$25)&gt;0,"",'Dvd Calendar'!$Z$1376)))</f>
        <v/>
      </c>
      <c r="CM100" s="85">
        <f>IF(Y100="","",IF(ISNUMBER('Dvd Calendar'!$AA$1376)=FALSE,"",IF((Summary!$C$13="N")*('Dvd Calendar'!$AA$1380='Field Check'!$C$25)&gt;0,"",'Dvd Calendar'!$AA$1376)))</f>
        <v/>
      </c>
      <c r="CN100" s="85">
        <f>IF(Z100="","",IF(ISNUMBER('Dvd Calendar'!$AB$1376)=FALSE,"",IF((Summary!$C$13="N")*('Dvd Calendar'!$AB$1380='Field Check'!$C$25)&gt;0,"",'Dvd Calendar'!$AB$1376)))</f>
        <v/>
      </c>
      <c r="CO100" s="85">
        <f>IF(AA100="","",IF(ISNUMBER('Dvd Calendar'!$AC$1376)=FALSE,"",IF((Summary!$C$13="N")*('Dvd Calendar'!$AC$1380='Field Check'!$C$25)&gt;0,"",'Dvd Calendar'!$AC$1376)))</f>
        <v/>
      </c>
      <c r="CP100" s="85">
        <f>IF(AB100="","",IF(ISNUMBER('Dvd Calendar'!$AD$1376)=FALSE,"",IF((Summary!$C$13="N")*('Dvd Calendar'!$AD$1380='Field Check'!$C$25)&gt;0,"",'Dvd Calendar'!$AD$1376)))</f>
        <v/>
      </c>
      <c r="CQ100" s="85">
        <f>IF(AC100="","",IF(ISNUMBER('Dvd Calendar'!$AE$1376)=FALSE,"",IF((Summary!$C$13="N")*('Dvd Calendar'!$AE$1380='Field Check'!$C$25)&gt;0,"",'Dvd Calendar'!$AE$1376)))</f>
        <v/>
      </c>
      <c r="CR100" s="85">
        <f>IF(AD100="","",IF(ISNUMBER('Dvd Calendar'!$AF$1376)=FALSE,"",IF((Summary!$C$13="N")*('Dvd Calendar'!$AF$1380='Field Check'!$C$25)&gt;0,"",'Dvd Calendar'!$AF$1376)))</f>
        <v/>
      </c>
      <c r="CS100" s="85">
        <f>IF(AE100="","",IF(ISNUMBER('Dvd Calendar'!$AG$1376)=FALSE,"",IF((Summary!$C$13="N")*('Dvd Calendar'!$AG$1380='Field Check'!$C$25)&gt;0,"",'Dvd Calendar'!$AG$1376)))</f>
        <v/>
      </c>
      <c r="CT100" s="85">
        <f>IF(AF100="","",IF(ISNUMBER('Dvd Calendar'!$AH$1376)=FALSE,"",IF((Summary!$C$13="N")*('Dvd Calendar'!$AH$1380='Field Check'!$C$25)&gt;0,"",'Dvd Calendar'!$AH$1376)))</f>
        <v/>
      </c>
      <c r="CU100" s="85">
        <f>IF(AG100="","",IF(ISNUMBER('Dvd Calendar'!$AI$1376)=FALSE,"",IF((Summary!$C$13="N")*('Dvd Calendar'!$AI$1380='Field Check'!$C$25)&gt;0,"",'Dvd Calendar'!$AI$1376)))</f>
        <v/>
      </c>
      <c r="CV100" s="85">
        <f>IF(AH100="","",IF(ISNUMBER('Dvd Calendar'!$AJ$1376)=FALSE,"",IF((Summary!$C$13="N")*('Dvd Calendar'!$AJ$1380='Field Check'!$C$25)&gt;0,"",'Dvd Calendar'!$AJ$1376)))</f>
        <v/>
      </c>
      <c r="CW100" s="85">
        <f>IF(AI100="","",IF(ISNUMBER('Dvd Calendar'!$AK$1376)=FALSE,"",IF((Summary!$C$13="N")*('Dvd Calendar'!$AK$1380='Field Check'!$C$25)&gt;0,"",'Dvd Calendar'!$AK$1376)))</f>
        <v/>
      </c>
      <c r="CX100" s="85">
        <f>IF(AJ100="","",IF(ISNUMBER('Dvd Calendar'!$AL$1376)=FALSE,"",IF((Summary!$C$13="N")*('Dvd Calendar'!$AL$1380='Field Check'!$C$25)&gt;0,"",'Dvd Calendar'!$AL$1376)))</f>
        <v/>
      </c>
      <c r="CY100" s="85">
        <f>IF(AK100="","",IF(ISNUMBER('Dvd Calendar'!$AM$1376)=FALSE,"",IF((Summary!$C$13="N")*('Dvd Calendar'!$AM$1380='Field Check'!$C$25)&gt;0,"",'Dvd Calendar'!$AM$1376)))</f>
        <v/>
      </c>
      <c r="CZ100" s="85">
        <f>IF(AL100="","",IF(ISNUMBER('Dvd Calendar'!$AN$1376)=FALSE,"",IF((Summary!$C$13="N")*('Dvd Calendar'!$AN$1380='Field Check'!$C$25)&gt;0,"",'Dvd Calendar'!$AN$1376)))</f>
        <v/>
      </c>
      <c r="DA100" s="85">
        <f>IF(AM100="","",IF(ISNUMBER('Dvd Calendar'!$AO$1376)=FALSE,"",IF((Summary!$C$13="N")*('Dvd Calendar'!$AO$1380='Field Check'!$C$25)&gt;0,"",'Dvd Calendar'!$AO$1376)))</f>
        <v/>
      </c>
      <c r="DB100" s="85">
        <f>IF(AN100="","",IF(ISNUMBER('Dvd Calendar'!$AP$1376)=FALSE,"",IF((Summary!$C$13="N")*('Dvd Calendar'!$AP$1380='Field Check'!$C$25)&gt;0,"",'Dvd Calendar'!$AP$1376)))</f>
        <v/>
      </c>
      <c r="DC100" s="85">
        <f>IF(AO100="","",IF(ISNUMBER('Dvd Calendar'!$AQ$1376)=FALSE,"",IF((Summary!$C$13="N")*('Dvd Calendar'!$AQ$1380='Field Check'!$C$25)&gt;0,"",'Dvd Calendar'!$AQ$1376)))</f>
        <v/>
      </c>
      <c r="DD100" s="85">
        <f>IF(AP100="","",IF(ISNUMBER('Dvd Calendar'!$AR$1376)=FALSE,"",IF((Summary!$C$13="N")*('Dvd Calendar'!$AR$1380='Field Check'!$C$25)&gt;0,"",'Dvd Calendar'!$AR$1376)))</f>
        <v/>
      </c>
      <c r="DE100" s="85">
        <f>IF(AQ100="","",IF(ISNUMBER('Dvd Calendar'!$E$1383)=FALSE,"",IF((Summary!$C$13="N")*('Dvd Calendar'!$E$1387='Field Check'!$C$25)&gt;0,"",'Dvd Calendar'!$E$1383)))</f>
        <v/>
      </c>
      <c r="DF100" s="85">
        <f>IF(AR100="","",IF(ISNUMBER('Dvd Calendar'!$F$1383)=FALSE,"",IF((Summary!$C$13="N")*('Dvd Calendar'!$F$1387='Field Check'!$C$25)&gt;0,"",'Dvd Calendar'!$F$1383)))</f>
        <v/>
      </c>
      <c r="DG100" s="85">
        <f>IF(AS100="","",IF(ISNUMBER('Dvd Calendar'!$G$1383)=FALSE,"",IF((Summary!$C$13="N")*('Dvd Calendar'!$G$1387='Field Check'!$C$25)&gt;0,"",'Dvd Calendar'!$G$1383)))</f>
        <v/>
      </c>
      <c r="DH100" s="85">
        <f>IF(AT100="","",IF(ISNUMBER('Dvd Calendar'!$H$1383)=FALSE,"",IF((Summary!$C$13="N")*('Dvd Calendar'!$H$1387='Field Check'!$C$25)&gt;0,"",'Dvd Calendar'!$H$1383)))</f>
        <v/>
      </c>
      <c r="DI100" s="85">
        <f>IF(AU100="","",IF(ISNUMBER('Dvd Calendar'!$I$1383)=FALSE,"",IF((Summary!$C$13="N")*('Dvd Calendar'!$I$1387='Field Check'!$C$25)&gt;0,"",'Dvd Calendar'!$I$1383)))</f>
        <v/>
      </c>
      <c r="DJ100" s="85">
        <f>IF(AV100="","",IF(ISNUMBER('Dvd Calendar'!$J$1383)=FALSE,"",IF((Summary!$C$13="N")*('Dvd Calendar'!$J$1387='Field Check'!$C$25)&gt;0,"",'Dvd Calendar'!$J$1383)))</f>
        <v/>
      </c>
      <c r="DK100" s="85">
        <f>IF(AW100="","",IF(ISNUMBER('Dvd Calendar'!$K$1383)=FALSE,"",IF((Summary!$C$13="N")*('Dvd Calendar'!$K$1387='Field Check'!$C$25)&gt;0,"",'Dvd Calendar'!$K$1383)))</f>
        <v/>
      </c>
      <c r="DL100" s="85">
        <f>IF(AX100="","",IF(ISNUMBER('Dvd Calendar'!$L$1383)=FALSE,"",IF((Summary!$C$13="N")*('Dvd Calendar'!$L$1387='Field Check'!$C$25)&gt;0,"",'Dvd Calendar'!$L$1383)))</f>
        <v/>
      </c>
      <c r="DM100" s="85">
        <f>IF(AY100="","",IF(ISNUMBER('Dvd Calendar'!$M$1383)=FALSE,"",IF((Summary!$C$13="N")*('Dvd Calendar'!$M$1387='Field Check'!$C$25)&gt;0,"",'Dvd Calendar'!$M$1383)))</f>
        <v/>
      </c>
      <c r="DN100" s="85">
        <f>IF(AZ100="","",IF(ISNUMBER('Dvd Calendar'!$N$1383)=FALSE,"",IF((Summary!$C$13="N")*('Dvd Calendar'!$N$1387='Field Check'!$C$25)&gt;0,"",'Dvd Calendar'!$N$1383)))</f>
        <v/>
      </c>
      <c r="DO100" s="85">
        <f>IF(BA100="","",IF(ISNUMBER('Dvd Calendar'!$O$1383)=FALSE,"",IF((Summary!$C$13="N")*('Dvd Calendar'!$O$1387='Field Check'!$C$25)&gt;0,"",'Dvd Calendar'!$O$1383)))</f>
        <v/>
      </c>
      <c r="DP100" s="85">
        <f>IF(BB100="","",IF(ISNUMBER('Dvd Calendar'!$P$1383)=FALSE,"",IF((Summary!$C$13="N")*('Dvd Calendar'!$P$1387='Field Check'!$C$25)&gt;0,"",'Dvd Calendar'!$P$1383)))</f>
        <v/>
      </c>
      <c r="DQ100" s="85">
        <f>IF(BC100="","",IF(ISNUMBER('Dvd Calendar'!$Q$1383)=FALSE,"",IF((Summary!$C$13="N")*('Dvd Calendar'!$Q$1387='Field Check'!$C$25)&gt;0,"",'Dvd Calendar'!$Q$1383)))</f>
        <v/>
      </c>
      <c r="DR100" s="85">
        <f>IF(BD100="","",IF(ISNUMBER('Dvd Calendar'!$R$1383)=FALSE,"",IF((Summary!$C$13="N")*('Dvd Calendar'!$R$1387='Field Check'!$C$25)&gt;0,"",'Dvd Calendar'!$R$1383)))</f>
        <v/>
      </c>
      <c r="DS100" s="85">
        <f>IF(BE100="","",IF(ISNUMBER('Dvd Calendar'!$S$1383)=FALSE,"",IF((Summary!$C$13="N")*('Dvd Calendar'!$S$1387='Field Check'!$C$25)&gt;0,"",'Dvd Calendar'!$S$1383)))</f>
        <v/>
      </c>
      <c r="DT100" s="85">
        <f>IF(BF100="","",IF(ISNUMBER('Dvd Calendar'!$T$1383)=FALSE,"",IF((Summary!$C$13="N")*('Dvd Calendar'!$T$1387='Field Check'!$C$25)&gt;0,"",'Dvd Calendar'!$T$1383)))</f>
        <v/>
      </c>
      <c r="DU100" s="85">
        <f>IF(BG100="","",IF(ISNUMBER('Dvd Calendar'!$U$1383)=FALSE,"",IF((Summary!$C$13="N")*('Dvd Calendar'!$U$1387='Field Check'!$C$25)&gt;0,"",'Dvd Calendar'!$U$1383)))</f>
        <v/>
      </c>
      <c r="DV100" s="85">
        <f>IF(BH100="","",IF(ISNUMBER('Dvd Calendar'!$V$1383)=FALSE,"",IF((Summary!$C$13="N")*('Dvd Calendar'!$V$1387='Field Check'!$C$25)&gt;0,"",'Dvd Calendar'!$V$1383)))</f>
        <v/>
      </c>
      <c r="DW100" s="85">
        <f>IF(BI100="","",IF(ISNUMBER('Dvd Calendar'!$W$1383)=FALSE,"",IF((Summary!$C$13="N")*('Dvd Calendar'!$W$1387='Field Check'!$C$25)&gt;0,"",'Dvd Calendar'!$W$1383)))</f>
        <v/>
      </c>
      <c r="DX100" s="85">
        <f>IF(BJ100="","",IF(ISNUMBER('Dvd Calendar'!$X$1383)=FALSE,"",IF((Summary!$C$13="N")*('Dvd Calendar'!$X$1387='Field Check'!$C$25)&gt;0,"",'Dvd Calendar'!$X$1383)))</f>
        <v/>
      </c>
      <c r="DY100" s="85">
        <f>IF(BK100="","",IF(ISNUMBER('Dvd Calendar'!$Y$1383)=FALSE,"",IF((Summary!$C$13="N")*('Dvd Calendar'!$Y$1387='Field Check'!$C$25)&gt;0,"",'Dvd Calendar'!$Y$1383)))</f>
        <v/>
      </c>
      <c r="DZ100" s="85">
        <f>IF(BL100="","",IF(ISNUMBER('Dvd Calendar'!$Z$1383)=FALSE,"",IF((Summary!$C$13="N")*('Dvd Calendar'!$Z$1387='Field Check'!$C$25)&gt;0,"",'Dvd Calendar'!$Z$1383)))</f>
        <v/>
      </c>
      <c r="EA100" s="85">
        <f>IF(BM100="","",IF(ISNUMBER('Dvd Calendar'!$AA$1383)=FALSE,"",IF((Summary!$C$13="N")*('Dvd Calendar'!$AA$1387='Field Check'!$C$25)&gt;0,"",'Dvd Calendar'!$AA$1383)))</f>
        <v/>
      </c>
      <c r="EB100" s="85">
        <f>IF(BN100="","",IF(ISNUMBER('Dvd Calendar'!$AB$1383)=FALSE,"",IF((Summary!$C$13="N")*('Dvd Calendar'!$AB$1387='Field Check'!$C$25)&gt;0,"",'Dvd Calendar'!$AB$1383)))</f>
        <v/>
      </c>
      <c r="EC100" s="85">
        <f>IF(BO100="","",IF(ISNUMBER('Dvd Calendar'!$AC$1383)=FALSE,"",IF((Summary!$C$13="N")*('Dvd Calendar'!$AC$1387='Field Check'!$C$25)&gt;0,"",'Dvd Calendar'!$AC$1383)))</f>
        <v/>
      </c>
      <c r="EE100" s="85">
        <f>IF(BQ100="","",IFERROR(BQ100*HSI!$B$98*HSI!$G$98/HSI!$B$3,""))</f>
        <v/>
      </c>
      <c r="EF100" s="85">
        <f>IF(BR100="","",IFERROR(BR100*HSI!$B$98*HSI!$G$98/HSI!$B$3,""))</f>
        <v/>
      </c>
      <c r="EG100" s="85">
        <f>IF(BS100="","",IFERROR(BS100*HSI!$B$98*HSI!$G$98/HSI!$B$3,""))</f>
        <v/>
      </c>
      <c r="EH100" s="85">
        <f>IF(BT100="","",IFERROR(BT100*HSI!$B$98*HSI!$G$98/HSI!$B$3,""))</f>
        <v/>
      </c>
      <c r="EI100" s="85">
        <f>IF(BU100="","",IFERROR(BU100*HSI!$B$98*HSI!$G$98/HSI!$B$3,""))</f>
        <v/>
      </c>
      <c r="EJ100" s="85">
        <f>IF(BV100="","",IFERROR(BV100*HSI!$B$98*HSI!$G$98/HSI!$B$3,""))</f>
        <v/>
      </c>
      <c r="EK100" s="85">
        <f>IF(BW100="","",IFERROR(BW100*HSI!$B$98*HSI!$G$98/HSI!$B$3,""))</f>
        <v/>
      </c>
      <c r="EL100" s="85">
        <f>IF(BX100="","",IFERROR(BX100*HSI!$B$98*HSI!$G$98/HSI!$B$3,""))</f>
        <v/>
      </c>
      <c r="EM100" s="85">
        <f>IF(BY100="","",IFERROR(BY100*HSI!$B$98*HSI!$G$98/HSI!$B$3,""))</f>
        <v/>
      </c>
      <c r="EN100" s="85">
        <f>IF(BZ100="","",IFERROR(BZ100*HSI!$B$98*HSI!$G$98/HSI!$B$3,""))</f>
        <v/>
      </c>
      <c r="EO100" s="85">
        <f>IF(CA100="","",IFERROR(CA100*HSI!$B$98*HSI!$G$98/HSI!$B$3,""))</f>
        <v/>
      </c>
      <c r="EP100" s="85">
        <f>IF(CB100="","",IFERROR(CB100*HSI!$B$98*HSI!$G$98/HSI!$B$3,""))</f>
        <v/>
      </c>
      <c r="EQ100" s="85">
        <f>IF(CC100="","",IFERROR(CC100*HSI!$B$98*HSI!$G$98/HSI!$B$3,""))</f>
        <v/>
      </c>
      <c r="ER100" s="85">
        <f>IF(CD100="","",IFERROR(CD100*HSI!$B$98*HSI!$G$98/HSI!$B$3,""))</f>
        <v/>
      </c>
      <c r="ES100" s="85">
        <f>IF(CE100="","",IFERROR(CE100*HSI!$B$98*HSI!$G$98/HSI!$B$3,""))</f>
        <v/>
      </c>
      <c r="ET100" s="85">
        <f>IF(CF100="","",IFERROR(CF100*HSI!$B$98*HSI!$G$98/HSI!$B$3,""))</f>
        <v/>
      </c>
      <c r="EU100" s="85">
        <f>IF(CG100="","",IFERROR(CG100*HSI!$B$98*HSI!$G$98/HSI!$B$3,""))</f>
        <v/>
      </c>
      <c r="EV100" s="85">
        <f>IF(CH100="","",IFERROR(CH100*HSI!$B$98*HSI!$G$98/HSI!$B$3,""))</f>
        <v/>
      </c>
      <c r="EW100" s="85">
        <f>IF(CI100="","",IFERROR(CI100*HSI!$B$98*HSI!$G$98/HSI!$B$3,""))</f>
        <v/>
      </c>
      <c r="EX100" s="85">
        <f>IF(CJ100="","",IFERROR(CJ100*HSI!$B$98*HSI!$G$98/HSI!$B$3,""))</f>
        <v/>
      </c>
      <c r="EY100" s="85">
        <f>IF(CK100="","",IFERROR(CK100*HSI!$B$98*HSI!$G$98/HSI!$B$3,""))</f>
        <v/>
      </c>
      <c r="EZ100" s="85">
        <f>IF(CL100="","",IFERROR(CL100*HSI!$B$98*HSI!$G$98/HSI!$B$3,""))</f>
        <v/>
      </c>
      <c r="FA100" s="85">
        <f>IF(CM100="","",IFERROR(CM100*HSI!$B$98*HSI!$G$98/HSI!$B$3,""))</f>
        <v/>
      </c>
      <c r="FB100" s="85">
        <f>IF(CN100="","",IFERROR(CN100*HSI!$B$98*HSI!$G$98/HSI!$B$3,""))</f>
        <v/>
      </c>
      <c r="FC100" s="85">
        <f>IF(CO100="","",IFERROR(CO100*HSI!$B$98*HSI!$G$98/HSI!$B$3,""))</f>
        <v/>
      </c>
      <c r="FD100" s="85">
        <f>IF(CP100="","",IFERROR(CP100*HSI!$B$98*HSI!$G$98/HSI!$B$3,""))</f>
        <v/>
      </c>
      <c r="FE100" s="85">
        <f>IF(CQ100="","",IFERROR(CQ100*HSI!$B$98*HSI!$G$98/HSI!$B$3,""))</f>
        <v/>
      </c>
      <c r="FF100" s="85">
        <f>IF(CR100="","",IFERROR(CR100*HSI!$B$98*HSI!$G$98/HSI!$B$3,""))</f>
        <v/>
      </c>
      <c r="FG100" s="85">
        <f>IF(CS100="","",IFERROR(CS100*HSI!$B$98*HSI!$G$98/HSI!$B$3,""))</f>
        <v/>
      </c>
      <c r="FH100" s="85">
        <f>IF(CT100="","",IFERROR(CT100*HSI!$B$98*HSI!$G$98/HSI!$B$3,""))</f>
        <v/>
      </c>
      <c r="FI100" s="85">
        <f>IF(CU100="","",IFERROR(CU100*HSI!$B$98*HSI!$G$98/HSI!$B$3,""))</f>
        <v/>
      </c>
      <c r="FJ100" s="85">
        <f>IF(CV100="","",IFERROR(CV100*HSI!$B$98*HSI!$G$98/HSI!$B$3,""))</f>
        <v/>
      </c>
      <c r="FK100" s="85">
        <f>IF(CW100="","",IFERROR(CW100*HSI!$B$98*HSI!$G$98/HSI!$B$3,""))</f>
        <v/>
      </c>
      <c r="FL100" s="85">
        <f>IF(CX100="","",IFERROR(CX100*HSI!$B$98*HSI!$G$98/HSI!$B$3,""))</f>
        <v/>
      </c>
      <c r="FM100" s="85">
        <f>IF(CY100="","",IFERROR(CY100*HSI!$B$98*HSI!$G$98/HSI!$B$3,""))</f>
        <v/>
      </c>
      <c r="FN100" s="85">
        <f>IF(CZ100="","",IFERROR(CZ100*HSI!$B$98*HSI!$G$98/HSI!$B$3,""))</f>
        <v/>
      </c>
      <c r="FO100" s="85">
        <f>IF(DA100="","",IFERROR(DA100*HSI!$B$98*HSI!$G$98/HSI!$B$3,""))</f>
        <v/>
      </c>
      <c r="FP100" s="85">
        <f>IF(DB100="","",IFERROR(DB100*HSI!$B$98*HSI!$G$98/HSI!$B$3,""))</f>
        <v/>
      </c>
      <c r="FQ100" s="85">
        <f>IF(DC100="","",IFERROR(DC100*HSI!$B$98*HSI!$G$98/HSI!$B$3,""))</f>
        <v/>
      </c>
      <c r="FR100" s="85">
        <f>IF(DD100="","",IFERROR(DD100*HSI!$B$98*HSI!$G$98/HSI!$B$3,""))</f>
        <v/>
      </c>
      <c r="FS100" s="85">
        <f>IF(DE100="","",IFERROR(DE100*HSI!$B$98*HSI!$G$98/HSI!$B$3,""))</f>
        <v/>
      </c>
      <c r="FT100" s="85">
        <f>IF(DF100="","",IFERROR(DF100*HSI!$B$98*HSI!$G$98/HSI!$B$3,""))</f>
        <v/>
      </c>
      <c r="FU100" s="85">
        <f>IF(DG100="","",IFERROR(DG100*HSI!$B$98*HSI!$G$98/HSI!$B$3,""))</f>
        <v/>
      </c>
      <c r="FV100" s="85">
        <f>IF(DH100="","",IFERROR(DH100*HSI!$B$98*HSI!$G$98/HSI!$B$3,""))</f>
        <v/>
      </c>
      <c r="FW100" s="85">
        <f>IF(DI100="","",IFERROR(DI100*HSI!$B$98*HSI!$G$98/HSI!$B$3,""))</f>
        <v/>
      </c>
      <c r="FX100" s="85">
        <f>IF(DJ100="","",IFERROR(DJ100*HSI!$B$98*HSI!$G$98/HSI!$B$3,""))</f>
        <v/>
      </c>
      <c r="FY100" s="85">
        <f>IF(DK100="","",IFERROR(DK100*HSI!$B$98*HSI!$G$98/HSI!$B$3,""))</f>
        <v/>
      </c>
      <c r="FZ100" s="85">
        <f>IF(DL100="","",IFERROR(DL100*HSI!$B$98*HSI!$G$98/HSI!$B$3,""))</f>
        <v/>
      </c>
      <c r="GA100" s="85">
        <f>IF(DM100="","",IFERROR(DM100*HSI!$B$98*HSI!$G$98/HSI!$B$3,""))</f>
        <v/>
      </c>
      <c r="GB100" s="85">
        <f>IF(DN100="","",IFERROR(DN100*HSI!$B$98*HSI!$G$98/HSI!$B$3,""))</f>
        <v/>
      </c>
      <c r="GC100" s="85">
        <f>IF(DO100="","",IFERROR(DO100*HSI!$B$98*HSI!$G$98/HSI!$B$3,""))</f>
        <v/>
      </c>
      <c r="GD100" s="85">
        <f>IF(DP100="","",IFERROR(DP100*HSI!$B$98*HSI!$G$98/HSI!$B$3,""))</f>
        <v/>
      </c>
      <c r="GE100" s="85">
        <f>IF(DQ100="","",IFERROR(DQ100*HSI!$B$98*HSI!$G$98/HSI!$B$3,""))</f>
        <v/>
      </c>
      <c r="GF100" s="85">
        <f>IF(DR100="","",IFERROR(DR100*HSI!$B$98*HSI!$G$98/HSI!$B$3,""))</f>
        <v/>
      </c>
      <c r="GG100" s="85">
        <f>IF(DS100="","",IFERROR(DS100*HSI!$B$98*HSI!$G$98/HSI!$B$3,""))</f>
        <v/>
      </c>
      <c r="GH100" s="85">
        <f>IF(DT100="","",IFERROR(DT100*HSI!$B$98*HSI!$G$98/HSI!$B$3,""))</f>
        <v/>
      </c>
      <c r="GI100" s="85">
        <f>IF(DU100="","",IFERROR(DU100*HSI!$B$98*HSI!$G$98/HSI!$B$3,""))</f>
        <v/>
      </c>
      <c r="GJ100" s="85">
        <f>IF(DV100="","",IFERROR(DV100*HSI!$B$98*HSI!$G$98/HSI!$B$3,""))</f>
        <v/>
      </c>
      <c r="GK100" s="85">
        <f>IF(DW100="","",IFERROR(DW100*HSI!$B$98*HSI!$G$98/HSI!$B$3,""))</f>
        <v/>
      </c>
      <c r="GL100" s="85">
        <f>IF(DX100="","",IFERROR(DX100*HSI!$B$98*HSI!$G$98/HSI!$B$3,""))</f>
        <v/>
      </c>
      <c r="GM100" s="85">
        <f>IF(DY100="","",IFERROR(DY100*HSI!$B$98*HSI!$G$98/HSI!$B$3,""))</f>
        <v/>
      </c>
      <c r="GN100" s="85">
        <f>IF(DZ100="","",IFERROR(DZ100*HSI!$B$98*HSI!$G$98/HSI!$B$3,""))</f>
        <v/>
      </c>
      <c r="GO100" s="85">
        <f>IF(EA100="","",IFERROR(EA100*HSI!$B$98*HSI!$G$98/HSI!$B$3,""))</f>
        <v/>
      </c>
      <c r="GP100" s="85">
        <f>IF(EB100="","",IFERROR(EB100*HSI!$B$98*HSI!$G$98/HSI!$B$3,""))</f>
        <v/>
      </c>
      <c r="GQ100" s="85">
        <f>IF(EC100="","",IFERROR(EC100*HSI!$B$98*HSI!$G$98/HSI!$B$3,""))</f>
        <v/>
      </c>
    </row>
    <row r="101">
      <c r="B101" s="2">
        <f>IF(HSI!$C$99="","",HSI!$C$99)</f>
        <v/>
      </c>
      <c r="C101" s="41">
        <f>IF(N('Dvd Calendar'!$E$1390)=0,"",IF(('Dvd Calendar'!$E$1390&gt;=MIN(DATE(Summary!$C$12,1,1),Summary!$C$11))*('Dvd Calendar'!$E$1390&lt;=MAX(DATE(Summary!$C$12,12,31),Summary!$C$15))*('Dvd Calendar'!$E$1390&lt;=Summary!$C$11)=0,"",'Dvd Calendar'!$E$1390*1000000000+ISNUMBER('Dvd Calendar'!$E$1391)*100000000+('Dvd Calendar'!$E$1395='Field Check'!$C$25)*10000000+(N('Dvd Calendar'!$E$1389)&gt;0)*1000000+93*1000+1))</f>
        <v/>
      </c>
      <c r="D101" s="41">
        <f>IF(N('Dvd Calendar'!$F$1390)=0,"",IF(('Dvd Calendar'!$F$1390&gt;=MIN(DATE(Summary!$C$12,1,1),Summary!$C$11))*('Dvd Calendar'!$F$1390&lt;=MAX(DATE(Summary!$C$12,12,31),Summary!$C$15))*('Dvd Calendar'!$F$1390&lt;=Summary!$C$11)=0,"",'Dvd Calendar'!$F$1390*1000000000+ISNUMBER('Dvd Calendar'!$F$1391)*100000000+('Dvd Calendar'!$F$1395='Field Check'!$C$25)*10000000+(N('Dvd Calendar'!$F$1389)&gt;0)*1000000+93*1000+2))</f>
        <v/>
      </c>
      <c r="E101" s="41">
        <f>IF(N('Dvd Calendar'!$G$1390)=0,"",IF(('Dvd Calendar'!$G$1390&gt;=MIN(DATE(Summary!$C$12,1,1),Summary!$C$11))*('Dvd Calendar'!$G$1390&lt;=MAX(DATE(Summary!$C$12,12,31),Summary!$C$15))*('Dvd Calendar'!$G$1390&lt;=Summary!$C$11)=0,"",'Dvd Calendar'!$G$1390*1000000000+ISNUMBER('Dvd Calendar'!$G$1391)*100000000+('Dvd Calendar'!$G$1395='Field Check'!$C$25)*10000000+(N('Dvd Calendar'!$G$1389)&gt;0)*1000000+93*1000+3))</f>
        <v/>
      </c>
      <c r="F101" s="41">
        <f>IF(N('Dvd Calendar'!$H$1390)=0,"",IF(('Dvd Calendar'!$H$1390&gt;=MIN(DATE(Summary!$C$12,1,1),Summary!$C$11))*('Dvd Calendar'!$H$1390&lt;=MAX(DATE(Summary!$C$12,12,31),Summary!$C$15))*('Dvd Calendar'!$H$1390&lt;=Summary!$C$11)=0,"",'Dvd Calendar'!$H$1390*1000000000+ISNUMBER('Dvd Calendar'!$H$1391)*100000000+('Dvd Calendar'!$H$1395='Field Check'!$C$25)*10000000+(N('Dvd Calendar'!$H$1389)&gt;0)*1000000+93*1000+4))</f>
        <v/>
      </c>
      <c r="G101" s="41">
        <f>IF(N('Dvd Calendar'!$I$1390)=0,"",IF(('Dvd Calendar'!$I$1390&gt;=MIN(DATE(Summary!$C$12,1,1),Summary!$C$11))*('Dvd Calendar'!$I$1390&lt;=MAX(DATE(Summary!$C$12,12,31),Summary!$C$15))*('Dvd Calendar'!$I$1390&lt;=Summary!$C$11)=0,"",'Dvd Calendar'!$I$1390*1000000000+ISNUMBER('Dvd Calendar'!$I$1391)*100000000+('Dvd Calendar'!$I$1395='Field Check'!$C$25)*10000000+(N('Dvd Calendar'!$I$1389)&gt;0)*1000000+93*1000+5))</f>
        <v/>
      </c>
      <c r="H101" s="41">
        <f>IF(N('Dvd Calendar'!$J$1390)=0,"",IF(('Dvd Calendar'!$J$1390&gt;=MIN(DATE(Summary!$C$12,1,1),Summary!$C$11))*('Dvd Calendar'!$J$1390&lt;=MAX(DATE(Summary!$C$12,12,31),Summary!$C$15))*('Dvd Calendar'!$J$1390&lt;=Summary!$C$11)=0,"",'Dvd Calendar'!$J$1390*1000000000+ISNUMBER('Dvd Calendar'!$J$1391)*100000000+('Dvd Calendar'!$J$1395='Field Check'!$C$25)*10000000+(N('Dvd Calendar'!$J$1389)&gt;0)*1000000+93*1000+6))</f>
        <v/>
      </c>
      <c r="I101" s="41">
        <f>IF(N('Dvd Calendar'!$K$1390)=0,"",IF(('Dvd Calendar'!$K$1390&gt;=MIN(DATE(Summary!$C$12,1,1),Summary!$C$11))*('Dvd Calendar'!$K$1390&lt;=MAX(DATE(Summary!$C$12,12,31),Summary!$C$15))*('Dvd Calendar'!$K$1390&lt;=Summary!$C$11)=0,"",'Dvd Calendar'!$K$1390*1000000000+ISNUMBER('Dvd Calendar'!$K$1391)*100000000+('Dvd Calendar'!$K$1395='Field Check'!$C$25)*10000000+(N('Dvd Calendar'!$K$1389)&gt;0)*1000000+93*1000+7))</f>
        <v/>
      </c>
      <c r="J101" s="41">
        <f>IF(N('Dvd Calendar'!$L$1390)=0,"",IF(('Dvd Calendar'!$L$1390&gt;=MIN(DATE(Summary!$C$12,1,1),Summary!$C$11))*('Dvd Calendar'!$L$1390&lt;=MAX(DATE(Summary!$C$12,12,31),Summary!$C$15))*('Dvd Calendar'!$L$1390&lt;=Summary!$C$11)=0,"",'Dvd Calendar'!$L$1390*1000000000+ISNUMBER('Dvd Calendar'!$L$1391)*100000000+('Dvd Calendar'!$L$1395='Field Check'!$C$25)*10000000+(N('Dvd Calendar'!$L$1389)&gt;0)*1000000+93*1000+8))</f>
        <v/>
      </c>
      <c r="K101" s="41">
        <f>IF(N('Dvd Calendar'!$M$1390)=0,"",IF(('Dvd Calendar'!$M$1390&gt;=MIN(DATE(Summary!$C$12,1,1),Summary!$C$11))*('Dvd Calendar'!$M$1390&lt;=MAX(DATE(Summary!$C$12,12,31),Summary!$C$15))*('Dvd Calendar'!$M$1390&lt;=Summary!$C$11)=0,"",'Dvd Calendar'!$M$1390*1000000000+ISNUMBER('Dvd Calendar'!$M$1391)*100000000+('Dvd Calendar'!$M$1395='Field Check'!$C$25)*10000000+(N('Dvd Calendar'!$M$1389)&gt;0)*1000000+93*1000+9))</f>
        <v/>
      </c>
      <c r="L101" s="41">
        <f>IF(N('Dvd Calendar'!$N$1390)=0,"",IF(('Dvd Calendar'!$N$1390&gt;=MIN(DATE(Summary!$C$12,1,1),Summary!$C$11))*('Dvd Calendar'!$N$1390&lt;=MAX(DATE(Summary!$C$12,12,31),Summary!$C$15))*('Dvd Calendar'!$N$1390&lt;=Summary!$C$11)=0,"",'Dvd Calendar'!$N$1390*1000000000+ISNUMBER('Dvd Calendar'!$N$1391)*100000000+('Dvd Calendar'!$N$1395='Field Check'!$C$25)*10000000+(N('Dvd Calendar'!$N$1389)&gt;0)*1000000+93*1000+10))</f>
        <v/>
      </c>
      <c r="M101" s="41">
        <f>IF(N('Dvd Calendar'!$O$1390)=0,"",IF(('Dvd Calendar'!$O$1390&gt;=MIN(DATE(Summary!$C$12,1,1),Summary!$C$11))*('Dvd Calendar'!$O$1390&lt;=MAX(DATE(Summary!$C$12,12,31),Summary!$C$15))*('Dvd Calendar'!$O$1390&lt;=Summary!$C$11)=0,"",'Dvd Calendar'!$O$1390*1000000000+ISNUMBER('Dvd Calendar'!$O$1391)*100000000+('Dvd Calendar'!$O$1395='Field Check'!$C$25)*10000000+(N('Dvd Calendar'!$O$1389)&gt;0)*1000000+93*1000+11))</f>
        <v/>
      </c>
      <c r="N101" s="41">
        <f>IF(N('Dvd Calendar'!$P$1390)=0,"",IF(('Dvd Calendar'!$P$1390&gt;=MIN(DATE(Summary!$C$12,1,1),Summary!$C$11))*('Dvd Calendar'!$P$1390&lt;=MAX(DATE(Summary!$C$12,12,31),Summary!$C$15))*('Dvd Calendar'!$P$1390&lt;=Summary!$C$11)=0,"",'Dvd Calendar'!$P$1390*1000000000+ISNUMBER('Dvd Calendar'!$P$1391)*100000000+('Dvd Calendar'!$P$1395='Field Check'!$C$25)*10000000+(N('Dvd Calendar'!$P$1389)&gt;0)*1000000+93*1000+12))</f>
        <v/>
      </c>
      <c r="O101" s="41">
        <f>IF(N('Dvd Calendar'!$Q$1390)=0,"",IF(('Dvd Calendar'!$Q$1390&gt;=MIN(DATE(Summary!$C$12,1,1),Summary!$C$11))*('Dvd Calendar'!$Q$1390&lt;=MAX(DATE(Summary!$C$12,12,31),Summary!$C$15))*('Dvd Calendar'!$Q$1390&lt;=Summary!$C$11)=0,"",'Dvd Calendar'!$Q$1390*1000000000+ISNUMBER('Dvd Calendar'!$Q$1391)*100000000+('Dvd Calendar'!$Q$1395='Field Check'!$C$25)*10000000+(N('Dvd Calendar'!$Q$1389)&gt;0)*1000000+93*1000+13))</f>
        <v/>
      </c>
      <c r="P101" s="41">
        <f>IF(N('Dvd Calendar'!$R$1390)=0,"",IF(('Dvd Calendar'!$R$1390&gt;=MIN(DATE(Summary!$C$12,1,1),Summary!$C$11))*('Dvd Calendar'!$R$1390&lt;=MAX(DATE(Summary!$C$12,12,31),Summary!$C$15))*('Dvd Calendar'!$R$1390&lt;=Summary!$C$11)=0,"",'Dvd Calendar'!$R$1390*1000000000+ISNUMBER('Dvd Calendar'!$R$1391)*100000000+('Dvd Calendar'!$R$1395='Field Check'!$C$25)*10000000+(N('Dvd Calendar'!$R$1389)&gt;0)*1000000+93*1000+14))</f>
        <v/>
      </c>
      <c r="Q101" s="41">
        <f>IF(N('Dvd Calendar'!$S$1390)=0,"",IF(('Dvd Calendar'!$S$1390&gt;=MIN(DATE(Summary!$C$12,1,1),Summary!$C$11))*('Dvd Calendar'!$S$1390&lt;=MAX(DATE(Summary!$C$12,12,31),Summary!$C$15))*('Dvd Calendar'!$S$1390&lt;=Summary!$C$11)=0,"",'Dvd Calendar'!$S$1390*1000000000+ISNUMBER('Dvd Calendar'!$S$1391)*100000000+('Dvd Calendar'!$S$1395='Field Check'!$C$25)*10000000+(N('Dvd Calendar'!$S$1389)&gt;0)*1000000+93*1000+15))</f>
        <v/>
      </c>
      <c r="R101" s="41">
        <f>IF(N('Dvd Calendar'!$T$1390)=0,"",IF(('Dvd Calendar'!$T$1390&gt;=MIN(DATE(Summary!$C$12,1,1),Summary!$C$11))*('Dvd Calendar'!$T$1390&lt;=MAX(DATE(Summary!$C$12,12,31),Summary!$C$15))*('Dvd Calendar'!$T$1390&lt;=Summary!$C$11)=0,"",'Dvd Calendar'!$T$1390*1000000000+ISNUMBER('Dvd Calendar'!$T$1391)*100000000+('Dvd Calendar'!$T$1395='Field Check'!$C$25)*10000000+(N('Dvd Calendar'!$T$1389)&gt;0)*1000000+93*1000+16))</f>
        <v/>
      </c>
      <c r="S101" s="41">
        <f>IF(N('Dvd Calendar'!$U$1390)=0,"",IF(('Dvd Calendar'!$U$1390&gt;=MIN(DATE(Summary!$C$12,1,1),Summary!$C$11))*('Dvd Calendar'!$U$1390&lt;=MAX(DATE(Summary!$C$12,12,31),Summary!$C$15))*('Dvd Calendar'!$U$1390&lt;=Summary!$C$11)=0,"",'Dvd Calendar'!$U$1390*1000000000+ISNUMBER('Dvd Calendar'!$U$1391)*100000000+('Dvd Calendar'!$U$1395='Field Check'!$C$25)*10000000+(N('Dvd Calendar'!$U$1389)&gt;0)*1000000+93*1000+17))</f>
        <v/>
      </c>
      <c r="T101" s="41">
        <f>IF(N('Dvd Calendar'!$V$1390)=0,"",IF(('Dvd Calendar'!$V$1390&gt;=MIN(DATE(Summary!$C$12,1,1),Summary!$C$11))*('Dvd Calendar'!$V$1390&lt;=MAX(DATE(Summary!$C$12,12,31),Summary!$C$15))*('Dvd Calendar'!$V$1390&lt;=Summary!$C$11)=0,"",'Dvd Calendar'!$V$1390*1000000000+ISNUMBER('Dvd Calendar'!$V$1391)*100000000+('Dvd Calendar'!$V$1395='Field Check'!$C$25)*10000000+(N('Dvd Calendar'!$V$1389)&gt;0)*1000000+93*1000+18))</f>
        <v/>
      </c>
      <c r="U101" s="41">
        <f>IF(N('Dvd Calendar'!$W$1390)=0,"",IF(('Dvd Calendar'!$W$1390&gt;=MIN(DATE(Summary!$C$12,1,1),Summary!$C$11))*('Dvd Calendar'!$W$1390&lt;=MAX(DATE(Summary!$C$12,12,31),Summary!$C$15))*('Dvd Calendar'!$W$1390&lt;=Summary!$C$11)=0,"",'Dvd Calendar'!$W$1390*1000000000+ISNUMBER('Dvd Calendar'!$W$1391)*100000000+('Dvd Calendar'!$W$1395='Field Check'!$C$25)*10000000+(N('Dvd Calendar'!$W$1389)&gt;0)*1000000+93*1000+19))</f>
        <v/>
      </c>
      <c r="V101" s="41">
        <f>IF(N('Dvd Calendar'!$X$1390)=0,"",IF(('Dvd Calendar'!$X$1390&gt;=MIN(DATE(Summary!$C$12,1,1),Summary!$C$11))*('Dvd Calendar'!$X$1390&lt;=MAX(DATE(Summary!$C$12,12,31),Summary!$C$15))*('Dvd Calendar'!$X$1390&lt;=Summary!$C$11)=0,"",'Dvd Calendar'!$X$1390*1000000000+ISNUMBER('Dvd Calendar'!$X$1391)*100000000+('Dvd Calendar'!$X$1395='Field Check'!$C$25)*10000000+(N('Dvd Calendar'!$X$1389)&gt;0)*1000000+93*1000+20))</f>
        <v/>
      </c>
      <c r="W101" s="41">
        <f>IF(N('Dvd Calendar'!$Y$1390)=0,"",IF(('Dvd Calendar'!$Y$1390&gt;=MIN(DATE(Summary!$C$12,1,1),Summary!$C$11))*('Dvd Calendar'!$Y$1390&lt;=MAX(DATE(Summary!$C$12,12,31),Summary!$C$15))*('Dvd Calendar'!$Y$1390&lt;=Summary!$C$11)=0,"",'Dvd Calendar'!$Y$1390*1000000000+ISNUMBER('Dvd Calendar'!$Y$1391)*100000000+('Dvd Calendar'!$Y$1395='Field Check'!$C$25)*10000000+(N('Dvd Calendar'!$Y$1389)&gt;0)*1000000+93*1000+21))</f>
        <v/>
      </c>
      <c r="X101" s="41">
        <f>IF(N('Dvd Calendar'!$Z$1390)=0,"",IF(('Dvd Calendar'!$Z$1390&gt;=MIN(DATE(Summary!$C$12,1,1),Summary!$C$11))*('Dvd Calendar'!$Z$1390&lt;=MAX(DATE(Summary!$C$12,12,31),Summary!$C$15))*('Dvd Calendar'!$Z$1390&lt;=Summary!$C$11)=0,"",'Dvd Calendar'!$Z$1390*1000000000+ISNUMBER('Dvd Calendar'!$Z$1391)*100000000+('Dvd Calendar'!$Z$1395='Field Check'!$C$25)*10000000+(N('Dvd Calendar'!$Z$1389)&gt;0)*1000000+93*1000+22))</f>
        <v/>
      </c>
      <c r="Y101" s="41">
        <f>IF(N('Dvd Calendar'!$AA$1390)=0,"",IF(('Dvd Calendar'!$AA$1390&gt;=MIN(DATE(Summary!$C$12,1,1),Summary!$C$11))*('Dvd Calendar'!$AA$1390&lt;=MAX(DATE(Summary!$C$12,12,31),Summary!$C$15))*('Dvd Calendar'!$AA$1390&lt;=Summary!$C$11)=0,"",'Dvd Calendar'!$AA$1390*1000000000+ISNUMBER('Dvd Calendar'!$AA$1391)*100000000+('Dvd Calendar'!$AA$1395='Field Check'!$C$25)*10000000+(N('Dvd Calendar'!$AA$1389)&gt;0)*1000000+93*1000+23))</f>
        <v/>
      </c>
      <c r="Z101" s="41">
        <f>IF(N('Dvd Calendar'!$AB$1390)=0,"",IF(('Dvd Calendar'!$AB$1390&gt;=MIN(DATE(Summary!$C$12,1,1),Summary!$C$11))*('Dvd Calendar'!$AB$1390&lt;=MAX(DATE(Summary!$C$12,12,31),Summary!$C$15))*('Dvd Calendar'!$AB$1390&lt;=Summary!$C$11)=0,"",'Dvd Calendar'!$AB$1390*1000000000+ISNUMBER('Dvd Calendar'!$AB$1391)*100000000+('Dvd Calendar'!$AB$1395='Field Check'!$C$25)*10000000+(N('Dvd Calendar'!$AB$1389)&gt;0)*1000000+93*1000+24))</f>
        <v/>
      </c>
      <c r="AA101" s="41">
        <f>IF(N('Dvd Calendar'!$AC$1390)=0,"",IF(('Dvd Calendar'!$AC$1390&gt;=MIN(DATE(Summary!$C$12,1,1),Summary!$C$11))*('Dvd Calendar'!$AC$1390&lt;=MAX(DATE(Summary!$C$12,12,31),Summary!$C$15))*('Dvd Calendar'!$AC$1390&lt;=Summary!$C$11)=0,"",'Dvd Calendar'!$AC$1390*1000000000+ISNUMBER('Dvd Calendar'!$AC$1391)*100000000+('Dvd Calendar'!$AC$1395='Field Check'!$C$25)*10000000+(N('Dvd Calendar'!$AC$1389)&gt;0)*1000000+93*1000+25))</f>
        <v/>
      </c>
      <c r="AB101" s="41">
        <f>IF(N('Dvd Calendar'!$AD$1390)=0,"",IF(('Dvd Calendar'!$AD$1390&gt;=MIN(DATE(Summary!$C$12,1,1),Summary!$C$11))*('Dvd Calendar'!$AD$1390&lt;=MAX(DATE(Summary!$C$12,12,31),Summary!$C$15))*('Dvd Calendar'!$AD$1390&lt;=Summary!$C$11)=0,"",'Dvd Calendar'!$AD$1390*1000000000+ISNUMBER('Dvd Calendar'!$AD$1391)*100000000+('Dvd Calendar'!$AD$1395='Field Check'!$C$25)*10000000+(N('Dvd Calendar'!$AD$1389)&gt;0)*1000000+93*1000+26))</f>
        <v/>
      </c>
      <c r="AC101" s="41">
        <f>IF(N('Dvd Calendar'!$AE$1390)=0,"",IF(('Dvd Calendar'!$AE$1390&gt;=MIN(DATE(Summary!$C$12,1,1),Summary!$C$11))*('Dvd Calendar'!$AE$1390&lt;=MAX(DATE(Summary!$C$12,12,31),Summary!$C$15))*('Dvd Calendar'!$AE$1390&lt;=Summary!$C$11)=0,"",'Dvd Calendar'!$AE$1390*1000000000+ISNUMBER('Dvd Calendar'!$AE$1391)*100000000+('Dvd Calendar'!$AE$1395='Field Check'!$C$25)*10000000+(N('Dvd Calendar'!$AE$1389)&gt;0)*1000000+93*1000+27))</f>
        <v/>
      </c>
      <c r="AD101" s="41">
        <f>IF(N('Dvd Calendar'!$AF$1390)=0,"",IF(('Dvd Calendar'!$AF$1390&gt;=MIN(DATE(Summary!$C$12,1,1),Summary!$C$11))*('Dvd Calendar'!$AF$1390&lt;=MAX(DATE(Summary!$C$12,12,31),Summary!$C$15))*('Dvd Calendar'!$AF$1390&lt;=Summary!$C$11)=0,"",'Dvd Calendar'!$AF$1390*1000000000+ISNUMBER('Dvd Calendar'!$AF$1391)*100000000+('Dvd Calendar'!$AF$1395='Field Check'!$C$25)*10000000+(N('Dvd Calendar'!$AF$1389)&gt;0)*1000000+93*1000+28))</f>
        <v/>
      </c>
      <c r="AE101" s="41">
        <f>IF(N('Dvd Calendar'!$AG$1390)=0,"",IF(('Dvd Calendar'!$AG$1390&gt;=MIN(DATE(Summary!$C$12,1,1),Summary!$C$11))*('Dvd Calendar'!$AG$1390&lt;=MAX(DATE(Summary!$C$12,12,31),Summary!$C$15))*('Dvd Calendar'!$AG$1390&lt;=Summary!$C$11)=0,"",'Dvd Calendar'!$AG$1390*1000000000+ISNUMBER('Dvd Calendar'!$AG$1391)*100000000+('Dvd Calendar'!$AG$1395='Field Check'!$C$25)*10000000+(N('Dvd Calendar'!$AG$1389)&gt;0)*1000000+93*1000+29))</f>
        <v/>
      </c>
      <c r="AF101" s="41">
        <f>IF(N('Dvd Calendar'!$AH$1390)=0,"",IF(('Dvd Calendar'!$AH$1390&gt;=MIN(DATE(Summary!$C$12,1,1),Summary!$C$11))*('Dvd Calendar'!$AH$1390&lt;=MAX(DATE(Summary!$C$12,12,31),Summary!$C$15))*('Dvd Calendar'!$AH$1390&lt;=Summary!$C$11)=0,"",'Dvd Calendar'!$AH$1390*1000000000+ISNUMBER('Dvd Calendar'!$AH$1391)*100000000+('Dvd Calendar'!$AH$1395='Field Check'!$C$25)*10000000+(N('Dvd Calendar'!$AH$1389)&gt;0)*1000000+93*1000+30))</f>
        <v/>
      </c>
      <c r="AG101" s="41">
        <f>IF(N('Dvd Calendar'!$AI$1390)=0,"",IF(('Dvd Calendar'!$AI$1390&gt;=MIN(DATE(Summary!$C$12,1,1),Summary!$C$11))*('Dvd Calendar'!$AI$1390&lt;=MAX(DATE(Summary!$C$12,12,31),Summary!$C$15))*('Dvd Calendar'!$AI$1390&lt;=Summary!$C$11)=0,"",'Dvd Calendar'!$AI$1390*1000000000+ISNUMBER('Dvd Calendar'!$AI$1391)*100000000+('Dvd Calendar'!$AI$1395='Field Check'!$C$25)*10000000+(N('Dvd Calendar'!$AI$1389)&gt;0)*1000000+93*1000+31))</f>
        <v/>
      </c>
      <c r="AH101" s="41">
        <f>IF(N('Dvd Calendar'!$AJ$1390)=0,"",IF(('Dvd Calendar'!$AJ$1390&gt;=MIN(DATE(Summary!$C$12,1,1),Summary!$C$11))*('Dvd Calendar'!$AJ$1390&lt;=MAX(DATE(Summary!$C$12,12,31),Summary!$C$15))*('Dvd Calendar'!$AJ$1390&lt;=Summary!$C$11)=0,"",'Dvd Calendar'!$AJ$1390*1000000000+ISNUMBER('Dvd Calendar'!$AJ$1391)*100000000+('Dvd Calendar'!$AJ$1395='Field Check'!$C$25)*10000000+(N('Dvd Calendar'!$AJ$1389)&gt;0)*1000000+93*1000+32))</f>
        <v/>
      </c>
      <c r="AI101" s="41">
        <f>IF(N('Dvd Calendar'!$AK$1390)=0,"",IF(('Dvd Calendar'!$AK$1390&gt;=MIN(DATE(Summary!$C$12,1,1),Summary!$C$11))*('Dvd Calendar'!$AK$1390&lt;=MAX(DATE(Summary!$C$12,12,31),Summary!$C$15))*('Dvd Calendar'!$AK$1390&lt;=Summary!$C$11)=0,"",'Dvd Calendar'!$AK$1390*1000000000+ISNUMBER('Dvd Calendar'!$AK$1391)*100000000+('Dvd Calendar'!$AK$1395='Field Check'!$C$25)*10000000+(N('Dvd Calendar'!$AK$1389)&gt;0)*1000000+93*1000+33))</f>
        <v/>
      </c>
      <c r="AJ101" s="41">
        <f>IF(N('Dvd Calendar'!$AL$1390)=0,"",IF(('Dvd Calendar'!$AL$1390&gt;=MIN(DATE(Summary!$C$12,1,1),Summary!$C$11))*('Dvd Calendar'!$AL$1390&lt;=MAX(DATE(Summary!$C$12,12,31),Summary!$C$15))*('Dvd Calendar'!$AL$1390&lt;=Summary!$C$11)=0,"",'Dvd Calendar'!$AL$1390*1000000000+ISNUMBER('Dvd Calendar'!$AL$1391)*100000000+('Dvd Calendar'!$AL$1395='Field Check'!$C$25)*10000000+(N('Dvd Calendar'!$AL$1389)&gt;0)*1000000+93*1000+34))</f>
        <v/>
      </c>
      <c r="AK101" s="41">
        <f>IF(N('Dvd Calendar'!$AM$1390)=0,"",IF(('Dvd Calendar'!$AM$1390&gt;=MIN(DATE(Summary!$C$12,1,1),Summary!$C$11))*('Dvd Calendar'!$AM$1390&lt;=MAX(DATE(Summary!$C$12,12,31),Summary!$C$15))*('Dvd Calendar'!$AM$1390&lt;=Summary!$C$11)=0,"",'Dvd Calendar'!$AM$1390*1000000000+ISNUMBER('Dvd Calendar'!$AM$1391)*100000000+('Dvd Calendar'!$AM$1395='Field Check'!$C$25)*10000000+(N('Dvd Calendar'!$AM$1389)&gt;0)*1000000+93*1000+35))</f>
        <v/>
      </c>
      <c r="AL101" s="41">
        <f>IF(N('Dvd Calendar'!$AN$1390)=0,"",IF(('Dvd Calendar'!$AN$1390&gt;=MIN(DATE(Summary!$C$12,1,1),Summary!$C$11))*('Dvd Calendar'!$AN$1390&lt;=MAX(DATE(Summary!$C$12,12,31),Summary!$C$15))*('Dvd Calendar'!$AN$1390&lt;=Summary!$C$11)=0,"",'Dvd Calendar'!$AN$1390*1000000000+ISNUMBER('Dvd Calendar'!$AN$1391)*100000000+('Dvd Calendar'!$AN$1395='Field Check'!$C$25)*10000000+(N('Dvd Calendar'!$AN$1389)&gt;0)*1000000+93*1000+36))</f>
        <v/>
      </c>
      <c r="AM101" s="41">
        <f>IF(N('Dvd Calendar'!$AO$1390)=0,"",IF(('Dvd Calendar'!$AO$1390&gt;=MIN(DATE(Summary!$C$12,1,1),Summary!$C$11))*('Dvd Calendar'!$AO$1390&lt;=MAX(DATE(Summary!$C$12,12,31),Summary!$C$15))*('Dvd Calendar'!$AO$1390&lt;=Summary!$C$11)=0,"",'Dvd Calendar'!$AO$1390*1000000000+ISNUMBER('Dvd Calendar'!$AO$1391)*100000000+('Dvd Calendar'!$AO$1395='Field Check'!$C$25)*10000000+(N('Dvd Calendar'!$AO$1389)&gt;0)*1000000+93*1000+37))</f>
        <v/>
      </c>
      <c r="AN101" s="41">
        <f>IF(N('Dvd Calendar'!$AP$1390)=0,"",IF(('Dvd Calendar'!$AP$1390&gt;=MIN(DATE(Summary!$C$12,1,1),Summary!$C$11))*('Dvd Calendar'!$AP$1390&lt;=MAX(DATE(Summary!$C$12,12,31),Summary!$C$15))*('Dvd Calendar'!$AP$1390&lt;=Summary!$C$11)=0,"",'Dvd Calendar'!$AP$1390*1000000000+ISNUMBER('Dvd Calendar'!$AP$1391)*100000000+('Dvd Calendar'!$AP$1395='Field Check'!$C$25)*10000000+(N('Dvd Calendar'!$AP$1389)&gt;0)*1000000+93*1000+38))</f>
        <v/>
      </c>
      <c r="AO101" s="41">
        <f>IF(N('Dvd Calendar'!$AQ$1390)=0,"",IF(('Dvd Calendar'!$AQ$1390&gt;=MIN(DATE(Summary!$C$12,1,1),Summary!$C$11))*('Dvd Calendar'!$AQ$1390&lt;=MAX(DATE(Summary!$C$12,12,31),Summary!$C$15))*('Dvd Calendar'!$AQ$1390&lt;=Summary!$C$11)=0,"",'Dvd Calendar'!$AQ$1390*1000000000+ISNUMBER('Dvd Calendar'!$AQ$1391)*100000000+('Dvd Calendar'!$AQ$1395='Field Check'!$C$25)*10000000+(N('Dvd Calendar'!$AQ$1389)&gt;0)*1000000+93*1000+39))</f>
        <v/>
      </c>
      <c r="AP101" s="41">
        <f>IF(N('Dvd Calendar'!$AR$1390)=0,"",IF(('Dvd Calendar'!$AR$1390&gt;=MIN(DATE(Summary!$C$12,1,1),Summary!$C$11))*('Dvd Calendar'!$AR$1390&lt;=MAX(DATE(Summary!$C$12,12,31),Summary!$C$15))*('Dvd Calendar'!$AR$1390&lt;=Summary!$C$11)=0,"",'Dvd Calendar'!$AR$1390*1000000000+ISNUMBER('Dvd Calendar'!$AR$1391)*100000000+('Dvd Calendar'!$AR$1395='Field Check'!$C$25)*10000000+(N('Dvd Calendar'!$AR$1389)&gt;0)*1000000+93*1000+40))</f>
        <v/>
      </c>
      <c r="AQ101" s="41">
        <f>IF(N('Dvd Calendar'!$E$1397)=0,"",IF(('Dvd Calendar'!$E$1397&gt;=MIN(DATE(Summary!$C$12,1,1),Summary!$C$11))*('Dvd Calendar'!$E$1397&lt;=MAX(DATE(Summary!$C$12,12,31),Summary!$C$15))*('Dvd Calendar'!$E$1397&gt;Summary!$C$11)=0,"",'Dvd Calendar'!$E$1397*1000000000+ISNUMBER('Dvd Calendar'!$E$1398)*100000000+('Dvd Calendar'!$E$1402='Field Check'!$C$25)*10000000+(N('Dvd Calendar'!$E$1396)&gt;0)*1000000+93*1000+41))</f>
        <v/>
      </c>
      <c r="AR101" s="41">
        <f>IF(N('Dvd Calendar'!$F$1397)=0,"",IF(('Dvd Calendar'!$F$1397&gt;=MIN(DATE(Summary!$C$12,1,1),Summary!$C$11))*('Dvd Calendar'!$F$1397&lt;=MAX(DATE(Summary!$C$12,12,31),Summary!$C$15))*('Dvd Calendar'!$F$1397&gt;Summary!$C$11)=0,"",'Dvd Calendar'!$F$1397*1000000000+ISNUMBER('Dvd Calendar'!$F$1398)*100000000+('Dvd Calendar'!$F$1402='Field Check'!$C$25)*10000000+(N('Dvd Calendar'!$F$1396)&gt;0)*1000000+93*1000+42))</f>
        <v/>
      </c>
      <c r="AS101" s="41">
        <f>IF(N('Dvd Calendar'!$G$1397)=0,"",IF(('Dvd Calendar'!$G$1397&gt;=MIN(DATE(Summary!$C$12,1,1),Summary!$C$11))*('Dvd Calendar'!$G$1397&lt;=MAX(DATE(Summary!$C$12,12,31),Summary!$C$15))*('Dvd Calendar'!$G$1397&gt;Summary!$C$11)=0,"",'Dvd Calendar'!$G$1397*1000000000+ISNUMBER('Dvd Calendar'!$G$1398)*100000000+('Dvd Calendar'!$G$1402='Field Check'!$C$25)*10000000+(N('Dvd Calendar'!$G$1396)&gt;0)*1000000+93*1000+43))</f>
        <v/>
      </c>
      <c r="AT101" s="41">
        <f>IF(N('Dvd Calendar'!$H$1397)=0,"",IF(('Dvd Calendar'!$H$1397&gt;=MIN(DATE(Summary!$C$12,1,1),Summary!$C$11))*('Dvd Calendar'!$H$1397&lt;=MAX(DATE(Summary!$C$12,12,31),Summary!$C$15))*('Dvd Calendar'!$H$1397&gt;Summary!$C$11)=0,"",'Dvd Calendar'!$H$1397*1000000000+ISNUMBER('Dvd Calendar'!$H$1398)*100000000+('Dvd Calendar'!$H$1402='Field Check'!$C$25)*10000000+(N('Dvd Calendar'!$H$1396)&gt;0)*1000000+93*1000+44))</f>
        <v/>
      </c>
      <c r="AU101" s="41">
        <f>IF(N('Dvd Calendar'!$I$1397)=0,"",IF(('Dvd Calendar'!$I$1397&gt;=MIN(DATE(Summary!$C$12,1,1),Summary!$C$11))*('Dvd Calendar'!$I$1397&lt;=MAX(DATE(Summary!$C$12,12,31),Summary!$C$15))*('Dvd Calendar'!$I$1397&gt;Summary!$C$11)=0,"",'Dvd Calendar'!$I$1397*1000000000+ISNUMBER('Dvd Calendar'!$I$1398)*100000000+('Dvd Calendar'!$I$1402='Field Check'!$C$25)*10000000+(N('Dvd Calendar'!$I$1396)&gt;0)*1000000+93*1000+45))</f>
        <v/>
      </c>
      <c r="AV101" s="41">
        <f>IF(N('Dvd Calendar'!$J$1397)=0,"",IF(('Dvd Calendar'!$J$1397&gt;=MIN(DATE(Summary!$C$12,1,1),Summary!$C$11))*('Dvd Calendar'!$J$1397&lt;=MAX(DATE(Summary!$C$12,12,31),Summary!$C$15))*('Dvd Calendar'!$J$1397&gt;Summary!$C$11)=0,"",'Dvd Calendar'!$J$1397*1000000000+ISNUMBER('Dvd Calendar'!$J$1398)*100000000+('Dvd Calendar'!$J$1402='Field Check'!$C$25)*10000000+(N('Dvd Calendar'!$J$1396)&gt;0)*1000000+93*1000+46))</f>
        <v/>
      </c>
      <c r="AW101" s="41">
        <f>IF(N('Dvd Calendar'!$K$1397)=0,"",IF(('Dvd Calendar'!$K$1397&gt;=MIN(DATE(Summary!$C$12,1,1),Summary!$C$11))*('Dvd Calendar'!$K$1397&lt;=MAX(DATE(Summary!$C$12,12,31),Summary!$C$15))*('Dvd Calendar'!$K$1397&gt;Summary!$C$11)=0,"",'Dvd Calendar'!$K$1397*1000000000+ISNUMBER('Dvd Calendar'!$K$1398)*100000000+('Dvd Calendar'!$K$1402='Field Check'!$C$25)*10000000+(N('Dvd Calendar'!$K$1396)&gt;0)*1000000+93*1000+47))</f>
        <v/>
      </c>
      <c r="AX101" s="41">
        <f>IF(N('Dvd Calendar'!$L$1397)=0,"",IF(('Dvd Calendar'!$L$1397&gt;=MIN(DATE(Summary!$C$12,1,1),Summary!$C$11))*('Dvd Calendar'!$L$1397&lt;=MAX(DATE(Summary!$C$12,12,31),Summary!$C$15))*('Dvd Calendar'!$L$1397&gt;Summary!$C$11)=0,"",'Dvd Calendar'!$L$1397*1000000000+ISNUMBER('Dvd Calendar'!$L$1398)*100000000+('Dvd Calendar'!$L$1402='Field Check'!$C$25)*10000000+(N('Dvd Calendar'!$L$1396)&gt;0)*1000000+93*1000+48))</f>
        <v/>
      </c>
      <c r="AY101" s="41">
        <f>IF(N('Dvd Calendar'!$M$1397)=0,"",IF(('Dvd Calendar'!$M$1397&gt;=MIN(DATE(Summary!$C$12,1,1),Summary!$C$11))*('Dvd Calendar'!$M$1397&lt;=MAX(DATE(Summary!$C$12,12,31),Summary!$C$15))*('Dvd Calendar'!$M$1397&gt;Summary!$C$11)=0,"",'Dvd Calendar'!$M$1397*1000000000+ISNUMBER('Dvd Calendar'!$M$1398)*100000000+('Dvd Calendar'!$M$1402='Field Check'!$C$25)*10000000+(N('Dvd Calendar'!$M$1396)&gt;0)*1000000+93*1000+49))</f>
        <v/>
      </c>
      <c r="AZ101" s="41">
        <f>IF(N('Dvd Calendar'!$N$1397)=0,"",IF(('Dvd Calendar'!$N$1397&gt;=MIN(DATE(Summary!$C$12,1,1),Summary!$C$11))*('Dvd Calendar'!$N$1397&lt;=MAX(DATE(Summary!$C$12,12,31),Summary!$C$15))*('Dvd Calendar'!$N$1397&gt;Summary!$C$11)=0,"",'Dvd Calendar'!$N$1397*1000000000+ISNUMBER('Dvd Calendar'!$N$1398)*100000000+('Dvd Calendar'!$N$1402='Field Check'!$C$25)*10000000+(N('Dvd Calendar'!$N$1396)&gt;0)*1000000+93*1000+50))</f>
        <v/>
      </c>
      <c r="BA101" s="41">
        <f>IF(N('Dvd Calendar'!$O$1397)=0,"",IF(('Dvd Calendar'!$O$1397&gt;=MIN(DATE(Summary!$C$12,1,1),Summary!$C$11))*('Dvd Calendar'!$O$1397&lt;=MAX(DATE(Summary!$C$12,12,31),Summary!$C$15))*('Dvd Calendar'!$O$1397&gt;Summary!$C$11)=0,"",'Dvd Calendar'!$O$1397*1000000000+ISNUMBER('Dvd Calendar'!$O$1398)*100000000+('Dvd Calendar'!$O$1402='Field Check'!$C$25)*10000000+(N('Dvd Calendar'!$O$1396)&gt;0)*1000000+93*1000+51))</f>
        <v/>
      </c>
      <c r="BB101" s="41">
        <f>IF(N('Dvd Calendar'!$P$1397)=0,"",IF(('Dvd Calendar'!$P$1397&gt;=MIN(DATE(Summary!$C$12,1,1),Summary!$C$11))*('Dvd Calendar'!$P$1397&lt;=MAX(DATE(Summary!$C$12,12,31),Summary!$C$15))*('Dvd Calendar'!$P$1397&gt;Summary!$C$11)=0,"",'Dvd Calendar'!$P$1397*1000000000+ISNUMBER('Dvd Calendar'!$P$1398)*100000000+('Dvd Calendar'!$P$1402='Field Check'!$C$25)*10000000+(N('Dvd Calendar'!$P$1396)&gt;0)*1000000+93*1000+52))</f>
        <v/>
      </c>
      <c r="BC101" s="41">
        <f>IF(N('Dvd Calendar'!$Q$1397)=0,"",IF(('Dvd Calendar'!$Q$1397&gt;=MIN(DATE(Summary!$C$12,1,1),Summary!$C$11))*('Dvd Calendar'!$Q$1397&lt;=MAX(DATE(Summary!$C$12,12,31),Summary!$C$15))*('Dvd Calendar'!$Q$1397&gt;Summary!$C$11)=0,"",'Dvd Calendar'!$Q$1397*1000000000+ISNUMBER('Dvd Calendar'!$Q$1398)*100000000+('Dvd Calendar'!$Q$1402='Field Check'!$C$25)*10000000+(N('Dvd Calendar'!$Q$1396)&gt;0)*1000000+93*1000+53))</f>
        <v/>
      </c>
      <c r="BD101" s="41">
        <f>IF(N('Dvd Calendar'!$R$1397)=0,"",IF(('Dvd Calendar'!$R$1397&gt;=MIN(DATE(Summary!$C$12,1,1),Summary!$C$11))*('Dvd Calendar'!$R$1397&lt;=MAX(DATE(Summary!$C$12,12,31),Summary!$C$15))*('Dvd Calendar'!$R$1397&gt;Summary!$C$11)=0,"",'Dvd Calendar'!$R$1397*1000000000+ISNUMBER('Dvd Calendar'!$R$1398)*100000000+('Dvd Calendar'!$R$1402='Field Check'!$C$25)*10000000+(N('Dvd Calendar'!$R$1396)&gt;0)*1000000+93*1000+54))</f>
        <v/>
      </c>
      <c r="BE101" s="41">
        <f>IF(N('Dvd Calendar'!$S$1397)=0,"",IF(('Dvd Calendar'!$S$1397&gt;=MIN(DATE(Summary!$C$12,1,1),Summary!$C$11))*('Dvd Calendar'!$S$1397&lt;=MAX(DATE(Summary!$C$12,12,31),Summary!$C$15))*('Dvd Calendar'!$S$1397&gt;Summary!$C$11)=0,"",'Dvd Calendar'!$S$1397*1000000000+ISNUMBER('Dvd Calendar'!$S$1398)*100000000+('Dvd Calendar'!$S$1402='Field Check'!$C$25)*10000000+(N('Dvd Calendar'!$S$1396)&gt;0)*1000000+93*1000+55))</f>
        <v/>
      </c>
      <c r="BF101" s="41">
        <f>IF(N('Dvd Calendar'!$T$1397)=0,"",IF(('Dvd Calendar'!$T$1397&gt;=MIN(DATE(Summary!$C$12,1,1),Summary!$C$11))*('Dvd Calendar'!$T$1397&lt;=MAX(DATE(Summary!$C$12,12,31),Summary!$C$15))*('Dvd Calendar'!$T$1397&gt;Summary!$C$11)=0,"",'Dvd Calendar'!$T$1397*1000000000+ISNUMBER('Dvd Calendar'!$T$1398)*100000000+('Dvd Calendar'!$T$1402='Field Check'!$C$25)*10000000+(N('Dvd Calendar'!$T$1396)&gt;0)*1000000+93*1000+56))</f>
        <v/>
      </c>
      <c r="BG101" s="41">
        <f>IF(N('Dvd Calendar'!$U$1397)=0,"",IF(('Dvd Calendar'!$U$1397&gt;=MIN(DATE(Summary!$C$12,1,1),Summary!$C$11))*('Dvd Calendar'!$U$1397&lt;=MAX(DATE(Summary!$C$12,12,31),Summary!$C$15))*('Dvd Calendar'!$U$1397&gt;Summary!$C$11)=0,"",'Dvd Calendar'!$U$1397*1000000000+ISNUMBER('Dvd Calendar'!$U$1398)*100000000+('Dvd Calendar'!$U$1402='Field Check'!$C$25)*10000000+(N('Dvd Calendar'!$U$1396)&gt;0)*1000000+93*1000+57))</f>
        <v/>
      </c>
      <c r="BH101" s="41">
        <f>IF(N('Dvd Calendar'!$V$1397)=0,"",IF(('Dvd Calendar'!$V$1397&gt;=MIN(DATE(Summary!$C$12,1,1),Summary!$C$11))*('Dvd Calendar'!$V$1397&lt;=MAX(DATE(Summary!$C$12,12,31),Summary!$C$15))*('Dvd Calendar'!$V$1397&gt;Summary!$C$11)=0,"",'Dvd Calendar'!$V$1397*1000000000+ISNUMBER('Dvd Calendar'!$V$1398)*100000000+('Dvd Calendar'!$V$1402='Field Check'!$C$25)*10000000+(N('Dvd Calendar'!$V$1396)&gt;0)*1000000+93*1000+58))</f>
        <v/>
      </c>
      <c r="BI101" s="41">
        <f>IF(N('Dvd Calendar'!$W$1397)=0,"",IF(('Dvd Calendar'!$W$1397&gt;=MIN(DATE(Summary!$C$12,1,1),Summary!$C$11))*('Dvd Calendar'!$W$1397&lt;=MAX(DATE(Summary!$C$12,12,31),Summary!$C$15))*('Dvd Calendar'!$W$1397&gt;Summary!$C$11)=0,"",'Dvd Calendar'!$W$1397*1000000000+ISNUMBER('Dvd Calendar'!$W$1398)*100000000+('Dvd Calendar'!$W$1402='Field Check'!$C$25)*10000000+(N('Dvd Calendar'!$W$1396)&gt;0)*1000000+93*1000+59))</f>
        <v/>
      </c>
      <c r="BJ101" s="41">
        <f>IF(N('Dvd Calendar'!$X$1397)=0,"",IF(('Dvd Calendar'!$X$1397&gt;=MIN(DATE(Summary!$C$12,1,1),Summary!$C$11))*('Dvd Calendar'!$X$1397&lt;=MAX(DATE(Summary!$C$12,12,31),Summary!$C$15))*('Dvd Calendar'!$X$1397&gt;Summary!$C$11)=0,"",'Dvd Calendar'!$X$1397*1000000000+ISNUMBER('Dvd Calendar'!$X$1398)*100000000+('Dvd Calendar'!$X$1402='Field Check'!$C$25)*10000000+(N('Dvd Calendar'!$X$1396)&gt;0)*1000000+93*1000+60))</f>
        <v/>
      </c>
      <c r="BK101" s="41">
        <f>IF(N('Dvd Calendar'!$Y$1397)=0,"",IF(('Dvd Calendar'!$Y$1397&gt;=MIN(DATE(Summary!$C$12,1,1),Summary!$C$11))*('Dvd Calendar'!$Y$1397&lt;=MAX(DATE(Summary!$C$12,12,31),Summary!$C$15))*('Dvd Calendar'!$Y$1397&gt;Summary!$C$11)=0,"",'Dvd Calendar'!$Y$1397*1000000000+ISNUMBER('Dvd Calendar'!$Y$1398)*100000000+('Dvd Calendar'!$Y$1402='Field Check'!$C$25)*10000000+(N('Dvd Calendar'!$Y$1396)&gt;0)*1000000+93*1000+61))</f>
        <v/>
      </c>
      <c r="BL101" s="41">
        <f>IF(N('Dvd Calendar'!$Z$1397)=0,"",IF(('Dvd Calendar'!$Z$1397&gt;=MIN(DATE(Summary!$C$12,1,1),Summary!$C$11))*('Dvd Calendar'!$Z$1397&lt;=MAX(DATE(Summary!$C$12,12,31),Summary!$C$15))*('Dvd Calendar'!$Z$1397&gt;Summary!$C$11)=0,"",'Dvd Calendar'!$Z$1397*1000000000+ISNUMBER('Dvd Calendar'!$Z$1398)*100000000+('Dvd Calendar'!$Z$1402='Field Check'!$C$25)*10000000+(N('Dvd Calendar'!$Z$1396)&gt;0)*1000000+93*1000+62))</f>
        <v/>
      </c>
      <c r="BM101" s="41">
        <f>IF(N('Dvd Calendar'!$AA$1397)=0,"",IF(('Dvd Calendar'!$AA$1397&gt;=MIN(DATE(Summary!$C$12,1,1),Summary!$C$11))*('Dvd Calendar'!$AA$1397&lt;=MAX(DATE(Summary!$C$12,12,31),Summary!$C$15))*('Dvd Calendar'!$AA$1397&gt;Summary!$C$11)=0,"",'Dvd Calendar'!$AA$1397*1000000000+ISNUMBER('Dvd Calendar'!$AA$1398)*100000000+('Dvd Calendar'!$AA$1402='Field Check'!$C$25)*10000000+(N('Dvd Calendar'!$AA$1396)&gt;0)*1000000+93*1000+63))</f>
        <v/>
      </c>
      <c r="BN101" s="41">
        <f>IF(N('Dvd Calendar'!$AB$1397)=0,"",IF(('Dvd Calendar'!$AB$1397&gt;=MIN(DATE(Summary!$C$12,1,1),Summary!$C$11))*('Dvd Calendar'!$AB$1397&lt;=MAX(DATE(Summary!$C$12,12,31),Summary!$C$15))*('Dvd Calendar'!$AB$1397&gt;Summary!$C$11)=0,"",'Dvd Calendar'!$AB$1397*1000000000+ISNUMBER('Dvd Calendar'!$AB$1398)*100000000+('Dvd Calendar'!$AB$1402='Field Check'!$C$25)*10000000+(N('Dvd Calendar'!$AB$1396)&gt;0)*1000000+93*1000+64))</f>
        <v/>
      </c>
      <c r="BO101" s="41">
        <f>IF(N('Dvd Calendar'!$AC$1397)=0,"",IF(('Dvd Calendar'!$AC$1397&gt;=MIN(DATE(Summary!$C$12,1,1),Summary!$C$11))*('Dvd Calendar'!$AC$1397&lt;=MAX(DATE(Summary!$C$12,12,31),Summary!$C$15))*('Dvd Calendar'!$AC$1397&gt;Summary!$C$11)=0,"",'Dvd Calendar'!$AC$1397*1000000000+ISNUMBER('Dvd Calendar'!$AC$1398)*100000000+('Dvd Calendar'!$AC$1402='Field Check'!$C$25)*10000000+(N('Dvd Calendar'!$AC$1396)&gt;0)*1000000+93*1000+65))</f>
        <v/>
      </c>
      <c r="BQ101" s="85">
        <f>IF(C101="","",IF(ISNUMBER('Dvd Calendar'!$E$1391)=FALSE,"",IF((Summary!$C$13="N")*('Dvd Calendar'!$E$1395='Field Check'!$C$25)&gt;0,"",'Dvd Calendar'!$E$1391)))</f>
        <v/>
      </c>
      <c r="BR101" s="85">
        <f>IF(D101="","",IF(ISNUMBER('Dvd Calendar'!$F$1391)=FALSE,"",IF((Summary!$C$13="N")*('Dvd Calendar'!$F$1395='Field Check'!$C$25)&gt;0,"",'Dvd Calendar'!$F$1391)))</f>
        <v/>
      </c>
      <c r="BS101" s="85">
        <f>IF(E101="","",IF(ISNUMBER('Dvd Calendar'!$G$1391)=FALSE,"",IF((Summary!$C$13="N")*('Dvd Calendar'!$G$1395='Field Check'!$C$25)&gt;0,"",'Dvd Calendar'!$G$1391)))</f>
        <v/>
      </c>
      <c r="BT101" s="85">
        <f>IF(F101="","",IF(ISNUMBER('Dvd Calendar'!$H$1391)=FALSE,"",IF((Summary!$C$13="N")*('Dvd Calendar'!$H$1395='Field Check'!$C$25)&gt;0,"",'Dvd Calendar'!$H$1391)))</f>
        <v/>
      </c>
      <c r="BU101" s="85">
        <f>IF(G101="","",IF(ISNUMBER('Dvd Calendar'!$I$1391)=FALSE,"",IF((Summary!$C$13="N")*('Dvd Calendar'!$I$1395='Field Check'!$C$25)&gt;0,"",'Dvd Calendar'!$I$1391)))</f>
        <v/>
      </c>
      <c r="BV101" s="85">
        <f>IF(H101="","",IF(ISNUMBER('Dvd Calendar'!$J$1391)=FALSE,"",IF((Summary!$C$13="N")*('Dvd Calendar'!$J$1395='Field Check'!$C$25)&gt;0,"",'Dvd Calendar'!$J$1391)))</f>
        <v/>
      </c>
      <c r="BW101" s="85">
        <f>IF(I101="","",IF(ISNUMBER('Dvd Calendar'!$K$1391)=FALSE,"",IF((Summary!$C$13="N")*('Dvd Calendar'!$K$1395='Field Check'!$C$25)&gt;0,"",'Dvd Calendar'!$K$1391)))</f>
        <v/>
      </c>
      <c r="BX101" s="85">
        <f>IF(J101="","",IF(ISNUMBER('Dvd Calendar'!$L$1391)=FALSE,"",IF((Summary!$C$13="N")*('Dvd Calendar'!$L$1395='Field Check'!$C$25)&gt;0,"",'Dvd Calendar'!$L$1391)))</f>
        <v/>
      </c>
      <c r="BY101" s="85">
        <f>IF(K101="","",IF(ISNUMBER('Dvd Calendar'!$M$1391)=FALSE,"",IF((Summary!$C$13="N")*('Dvd Calendar'!$M$1395='Field Check'!$C$25)&gt;0,"",'Dvd Calendar'!$M$1391)))</f>
        <v/>
      </c>
      <c r="BZ101" s="85">
        <f>IF(L101="","",IF(ISNUMBER('Dvd Calendar'!$N$1391)=FALSE,"",IF((Summary!$C$13="N")*('Dvd Calendar'!$N$1395='Field Check'!$C$25)&gt;0,"",'Dvd Calendar'!$N$1391)))</f>
        <v/>
      </c>
      <c r="CA101" s="85">
        <f>IF(M101="","",IF(ISNUMBER('Dvd Calendar'!$O$1391)=FALSE,"",IF((Summary!$C$13="N")*('Dvd Calendar'!$O$1395='Field Check'!$C$25)&gt;0,"",'Dvd Calendar'!$O$1391)))</f>
        <v/>
      </c>
      <c r="CB101" s="85">
        <f>IF(N101="","",IF(ISNUMBER('Dvd Calendar'!$P$1391)=FALSE,"",IF((Summary!$C$13="N")*('Dvd Calendar'!$P$1395='Field Check'!$C$25)&gt;0,"",'Dvd Calendar'!$P$1391)))</f>
        <v/>
      </c>
      <c r="CC101" s="85">
        <f>IF(O101="","",IF(ISNUMBER('Dvd Calendar'!$Q$1391)=FALSE,"",IF((Summary!$C$13="N")*('Dvd Calendar'!$Q$1395='Field Check'!$C$25)&gt;0,"",'Dvd Calendar'!$Q$1391)))</f>
        <v/>
      </c>
      <c r="CD101" s="85">
        <f>IF(P101="","",IF(ISNUMBER('Dvd Calendar'!$R$1391)=FALSE,"",IF((Summary!$C$13="N")*('Dvd Calendar'!$R$1395='Field Check'!$C$25)&gt;0,"",'Dvd Calendar'!$R$1391)))</f>
        <v/>
      </c>
      <c r="CE101" s="85">
        <f>IF(Q101="","",IF(ISNUMBER('Dvd Calendar'!$S$1391)=FALSE,"",IF((Summary!$C$13="N")*('Dvd Calendar'!$S$1395='Field Check'!$C$25)&gt;0,"",'Dvd Calendar'!$S$1391)))</f>
        <v/>
      </c>
      <c r="CF101" s="85">
        <f>IF(R101="","",IF(ISNUMBER('Dvd Calendar'!$T$1391)=FALSE,"",IF((Summary!$C$13="N")*('Dvd Calendar'!$T$1395='Field Check'!$C$25)&gt;0,"",'Dvd Calendar'!$T$1391)))</f>
        <v/>
      </c>
      <c r="CG101" s="85">
        <f>IF(S101="","",IF(ISNUMBER('Dvd Calendar'!$U$1391)=FALSE,"",IF((Summary!$C$13="N")*('Dvd Calendar'!$U$1395='Field Check'!$C$25)&gt;0,"",'Dvd Calendar'!$U$1391)))</f>
        <v/>
      </c>
      <c r="CH101" s="85">
        <f>IF(T101="","",IF(ISNUMBER('Dvd Calendar'!$V$1391)=FALSE,"",IF((Summary!$C$13="N")*('Dvd Calendar'!$V$1395='Field Check'!$C$25)&gt;0,"",'Dvd Calendar'!$V$1391)))</f>
        <v/>
      </c>
      <c r="CI101" s="85">
        <f>IF(U101="","",IF(ISNUMBER('Dvd Calendar'!$W$1391)=FALSE,"",IF((Summary!$C$13="N")*('Dvd Calendar'!$W$1395='Field Check'!$C$25)&gt;0,"",'Dvd Calendar'!$W$1391)))</f>
        <v/>
      </c>
      <c r="CJ101" s="85">
        <f>IF(V101="","",IF(ISNUMBER('Dvd Calendar'!$X$1391)=FALSE,"",IF((Summary!$C$13="N")*('Dvd Calendar'!$X$1395='Field Check'!$C$25)&gt;0,"",'Dvd Calendar'!$X$1391)))</f>
        <v/>
      </c>
      <c r="CK101" s="85">
        <f>IF(W101="","",IF(ISNUMBER('Dvd Calendar'!$Y$1391)=FALSE,"",IF((Summary!$C$13="N")*('Dvd Calendar'!$Y$1395='Field Check'!$C$25)&gt;0,"",'Dvd Calendar'!$Y$1391)))</f>
        <v/>
      </c>
      <c r="CL101" s="85">
        <f>IF(X101="","",IF(ISNUMBER('Dvd Calendar'!$Z$1391)=FALSE,"",IF((Summary!$C$13="N")*('Dvd Calendar'!$Z$1395='Field Check'!$C$25)&gt;0,"",'Dvd Calendar'!$Z$1391)))</f>
        <v/>
      </c>
      <c r="CM101" s="85">
        <f>IF(Y101="","",IF(ISNUMBER('Dvd Calendar'!$AA$1391)=FALSE,"",IF((Summary!$C$13="N")*('Dvd Calendar'!$AA$1395='Field Check'!$C$25)&gt;0,"",'Dvd Calendar'!$AA$1391)))</f>
        <v/>
      </c>
      <c r="CN101" s="85">
        <f>IF(Z101="","",IF(ISNUMBER('Dvd Calendar'!$AB$1391)=FALSE,"",IF((Summary!$C$13="N")*('Dvd Calendar'!$AB$1395='Field Check'!$C$25)&gt;0,"",'Dvd Calendar'!$AB$1391)))</f>
        <v/>
      </c>
      <c r="CO101" s="85">
        <f>IF(AA101="","",IF(ISNUMBER('Dvd Calendar'!$AC$1391)=FALSE,"",IF((Summary!$C$13="N")*('Dvd Calendar'!$AC$1395='Field Check'!$C$25)&gt;0,"",'Dvd Calendar'!$AC$1391)))</f>
        <v/>
      </c>
      <c r="CP101" s="85">
        <f>IF(AB101="","",IF(ISNUMBER('Dvd Calendar'!$AD$1391)=FALSE,"",IF((Summary!$C$13="N")*('Dvd Calendar'!$AD$1395='Field Check'!$C$25)&gt;0,"",'Dvd Calendar'!$AD$1391)))</f>
        <v/>
      </c>
      <c r="CQ101" s="85">
        <f>IF(AC101="","",IF(ISNUMBER('Dvd Calendar'!$AE$1391)=FALSE,"",IF((Summary!$C$13="N")*('Dvd Calendar'!$AE$1395='Field Check'!$C$25)&gt;0,"",'Dvd Calendar'!$AE$1391)))</f>
        <v/>
      </c>
      <c r="CR101" s="85">
        <f>IF(AD101="","",IF(ISNUMBER('Dvd Calendar'!$AF$1391)=FALSE,"",IF((Summary!$C$13="N")*('Dvd Calendar'!$AF$1395='Field Check'!$C$25)&gt;0,"",'Dvd Calendar'!$AF$1391)))</f>
        <v/>
      </c>
      <c r="CS101" s="85">
        <f>IF(AE101="","",IF(ISNUMBER('Dvd Calendar'!$AG$1391)=FALSE,"",IF((Summary!$C$13="N")*('Dvd Calendar'!$AG$1395='Field Check'!$C$25)&gt;0,"",'Dvd Calendar'!$AG$1391)))</f>
        <v/>
      </c>
      <c r="CT101" s="85">
        <f>IF(AF101="","",IF(ISNUMBER('Dvd Calendar'!$AH$1391)=FALSE,"",IF((Summary!$C$13="N")*('Dvd Calendar'!$AH$1395='Field Check'!$C$25)&gt;0,"",'Dvd Calendar'!$AH$1391)))</f>
        <v/>
      </c>
      <c r="CU101" s="85">
        <f>IF(AG101="","",IF(ISNUMBER('Dvd Calendar'!$AI$1391)=FALSE,"",IF((Summary!$C$13="N")*('Dvd Calendar'!$AI$1395='Field Check'!$C$25)&gt;0,"",'Dvd Calendar'!$AI$1391)))</f>
        <v/>
      </c>
      <c r="CV101" s="85">
        <f>IF(AH101="","",IF(ISNUMBER('Dvd Calendar'!$AJ$1391)=FALSE,"",IF((Summary!$C$13="N")*('Dvd Calendar'!$AJ$1395='Field Check'!$C$25)&gt;0,"",'Dvd Calendar'!$AJ$1391)))</f>
        <v/>
      </c>
      <c r="CW101" s="85">
        <f>IF(AI101="","",IF(ISNUMBER('Dvd Calendar'!$AK$1391)=FALSE,"",IF((Summary!$C$13="N")*('Dvd Calendar'!$AK$1395='Field Check'!$C$25)&gt;0,"",'Dvd Calendar'!$AK$1391)))</f>
        <v/>
      </c>
      <c r="CX101" s="85">
        <f>IF(AJ101="","",IF(ISNUMBER('Dvd Calendar'!$AL$1391)=FALSE,"",IF((Summary!$C$13="N")*('Dvd Calendar'!$AL$1395='Field Check'!$C$25)&gt;0,"",'Dvd Calendar'!$AL$1391)))</f>
        <v/>
      </c>
      <c r="CY101" s="85">
        <f>IF(AK101="","",IF(ISNUMBER('Dvd Calendar'!$AM$1391)=FALSE,"",IF((Summary!$C$13="N")*('Dvd Calendar'!$AM$1395='Field Check'!$C$25)&gt;0,"",'Dvd Calendar'!$AM$1391)))</f>
        <v/>
      </c>
      <c r="CZ101" s="85">
        <f>IF(AL101="","",IF(ISNUMBER('Dvd Calendar'!$AN$1391)=FALSE,"",IF((Summary!$C$13="N")*('Dvd Calendar'!$AN$1395='Field Check'!$C$25)&gt;0,"",'Dvd Calendar'!$AN$1391)))</f>
        <v/>
      </c>
      <c r="DA101" s="85">
        <f>IF(AM101="","",IF(ISNUMBER('Dvd Calendar'!$AO$1391)=FALSE,"",IF((Summary!$C$13="N")*('Dvd Calendar'!$AO$1395='Field Check'!$C$25)&gt;0,"",'Dvd Calendar'!$AO$1391)))</f>
        <v/>
      </c>
      <c r="DB101" s="85">
        <f>IF(AN101="","",IF(ISNUMBER('Dvd Calendar'!$AP$1391)=FALSE,"",IF((Summary!$C$13="N")*('Dvd Calendar'!$AP$1395='Field Check'!$C$25)&gt;0,"",'Dvd Calendar'!$AP$1391)))</f>
        <v/>
      </c>
      <c r="DC101" s="85">
        <f>IF(AO101="","",IF(ISNUMBER('Dvd Calendar'!$AQ$1391)=FALSE,"",IF((Summary!$C$13="N")*('Dvd Calendar'!$AQ$1395='Field Check'!$C$25)&gt;0,"",'Dvd Calendar'!$AQ$1391)))</f>
        <v/>
      </c>
      <c r="DD101" s="85">
        <f>IF(AP101="","",IF(ISNUMBER('Dvd Calendar'!$AR$1391)=FALSE,"",IF((Summary!$C$13="N")*('Dvd Calendar'!$AR$1395='Field Check'!$C$25)&gt;0,"",'Dvd Calendar'!$AR$1391)))</f>
        <v/>
      </c>
      <c r="DE101" s="85">
        <f>IF(AQ101="","",IF(ISNUMBER('Dvd Calendar'!$E$1398)=FALSE,"",IF((Summary!$C$13="N")*('Dvd Calendar'!$E$1402='Field Check'!$C$25)&gt;0,"",'Dvd Calendar'!$E$1398)))</f>
        <v/>
      </c>
      <c r="DF101" s="85">
        <f>IF(AR101="","",IF(ISNUMBER('Dvd Calendar'!$F$1398)=FALSE,"",IF((Summary!$C$13="N")*('Dvd Calendar'!$F$1402='Field Check'!$C$25)&gt;0,"",'Dvd Calendar'!$F$1398)))</f>
        <v/>
      </c>
      <c r="DG101" s="85">
        <f>IF(AS101="","",IF(ISNUMBER('Dvd Calendar'!$G$1398)=FALSE,"",IF((Summary!$C$13="N")*('Dvd Calendar'!$G$1402='Field Check'!$C$25)&gt;0,"",'Dvd Calendar'!$G$1398)))</f>
        <v/>
      </c>
      <c r="DH101" s="85">
        <f>IF(AT101="","",IF(ISNUMBER('Dvd Calendar'!$H$1398)=FALSE,"",IF((Summary!$C$13="N")*('Dvd Calendar'!$H$1402='Field Check'!$C$25)&gt;0,"",'Dvd Calendar'!$H$1398)))</f>
        <v/>
      </c>
      <c r="DI101" s="85">
        <f>IF(AU101="","",IF(ISNUMBER('Dvd Calendar'!$I$1398)=FALSE,"",IF((Summary!$C$13="N")*('Dvd Calendar'!$I$1402='Field Check'!$C$25)&gt;0,"",'Dvd Calendar'!$I$1398)))</f>
        <v/>
      </c>
      <c r="DJ101" s="85">
        <f>IF(AV101="","",IF(ISNUMBER('Dvd Calendar'!$J$1398)=FALSE,"",IF((Summary!$C$13="N")*('Dvd Calendar'!$J$1402='Field Check'!$C$25)&gt;0,"",'Dvd Calendar'!$J$1398)))</f>
        <v/>
      </c>
      <c r="DK101" s="85">
        <f>IF(AW101="","",IF(ISNUMBER('Dvd Calendar'!$K$1398)=FALSE,"",IF((Summary!$C$13="N")*('Dvd Calendar'!$K$1402='Field Check'!$C$25)&gt;0,"",'Dvd Calendar'!$K$1398)))</f>
        <v/>
      </c>
      <c r="DL101" s="85">
        <f>IF(AX101="","",IF(ISNUMBER('Dvd Calendar'!$L$1398)=FALSE,"",IF((Summary!$C$13="N")*('Dvd Calendar'!$L$1402='Field Check'!$C$25)&gt;0,"",'Dvd Calendar'!$L$1398)))</f>
        <v/>
      </c>
      <c r="DM101" s="85">
        <f>IF(AY101="","",IF(ISNUMBER('Dvd Calendar'!$M$1398)=FALSE,"",IF((Summary!$C$13="N")*('Dvd Calendar'!$M$1402='Field Check'!$C$25)&gt;0,"",'Dvd Calendar'!$M$1398)))</f>
        <v/>
      </c>
      <c r="DN101" s="85">
        <f>IF(AZ101="","",IF(ISNUMBER('Dvd Calendar'!$N$1398)=FALSE,"",IF((Summary!$C$13="N")*('Dvd Calendar'!$N$1402='Field Check'!$C$25)&gt;0,"",'Dvd Calendar'!$N$1398)))</f>
        <v/>
      </c>
      <c r="DO101" s="85">
        <f>IF(BA101="","",IF(ISNUMBER('Dvd Calendar'!$O$1398)=FALSE,"",IF((Summary!$C$13="N")*('Dvd Calendar'!$O$1402='Field Check'!$C$25)&gt;0,"",'Dvd Calendar'!$O$1398)))</f>
        <v/>
      </c>
      <c r="DP101" s="85">
        <f>IF(BB101="","",IF(ISNUMBER('Dvd Calendar'!$P$1398)=FALSE,"",IF((Summary!$C$13="N")*('Dvd Calendar'!$P$1402='Field Check'!$C$25)&gt;0,"",'Dvd Calendar'!$P$1398)))</f>
        <v/>
      </c>
      <c r="DQ101" s="85">
        <f>IF(BC101="","",IF(ISNUMBER('Dvd Calendar'!$Q$1398)=FALSE,"",IF((Summary!$C$13="N")*('Dvd Calendar'!$Q$1402='Field Check'!$C$25)&gt;0,"",'Dvd Calendar'!$Q$1398)))</f>
        <v/>
      </c>
      <c r="DR101" s="85">
        <f>IF(BD101="","",IF(ISNUMBER('Dvd Calendar'!$R$1398)=FALSE,"",IF((Summary!$C$13="N")*('Dvd Calendar'!$R$1402='Field Check'!$C$25)&gt;0,"",'Dvd Calendar'!$R$1398)))</f>
        <v/>
      </c>
      <c r="DS101" s="85">
        <f>IF(BE101="","",IF(ISNUMBER('Dvd Calendar'!$S$1398)=FALSE,"",IF((Summary!$C$13="N")*('Dvd Calendar'!$S$1402='Field Check'!$C$25)&gt;0,"",'Dvd Calendar'!$S$1398)))</f>
        <v/>
      </c>
      <c r="DT101" s="85">
        <f>IF(BF101="","",IF(ISNUMBER('Dvd Calendar'!$T$1398)=FALSE,"",IF((Summary!$C$13="N")*('Dvd Calendar'!$T$1402='Field Check'!$C$25)&gt;0,"",'Dvd Calendar'!$T$1398)))</f>
        <v/>
      </c>
      <c r="DU101" s="85">
        <f>IF(BG101="","",IF(ISNUMBER('Dvd Calendar'!$U$1398)=FALSE,"",IF((Summary!$C$13="N")*('Dvd Calendar'!$U$1402='Field Check'!$C$25)&gt;0,"",'Dvd Calendar'!$U$1398)))</f>
        <v/>
      </c>
      <c r="DV101" s="85">
        <f>IF(BH101="","",IF(ISNUMBER('Dvd Calendar'!$V$1398)=FALSE,"",IF((Summary!$C$13="N")*('Dvd Calendar'!$V$1402='Field Check'!$C$25)&gt;0,"",'Dvd Calendar'!$V$1398)))</f>
        <v/>
      </c>
      <c r="DW101" s="85">
        <f>IF(BI101="","",IF(ISNUMBER('Dvd Calendar'!$W$1398)=FALSE,"",IF((Summary!$C$13="N")*('Dvd Calendar'!$W$1402='Field Check'!$C$25)&gt;0,"",'Dvd Calendar'!$W$1398)))</f>
        <v/>
      </c>
      <c r="DX101" s="85">
        <f>IF(BJ101="","",IF(ISNUMBER('Dvd Calendar'!$X$1398)=FALSE,"",IF((Summary!$C$13="N")*('Dvd Calendar'!$X$1402='Field Check'!$C$25)&gt;0,"",'Dvd Calendar'!$X$1398)))</f>
        <v/>
      </c>
      <c r="DY101" s="85">
        <f>IF(BK101="","",IF(ISNUMBER('Dvd Calendar'!$Y$1398)=FALSE,"",IF((Summary!$C$13="N")*('Dvd Calendar'!$Y$1402='Field Check'!$C$25)&gt;0,"",'Dvd Calendar'!$Y$1398)))</f>
        <v/>
      </c>
      <c r="DZ101" s="85">
        <f>IF(BL101="","",IF(ISNUMBER('Dvd Calendar'!$Z$1398)=FALSE,"",IF((Summary!$C$13="N")*('Dvd Calendar'!$Z$1402='Field Check'!$C$25)&gt;0,"",'Dvd Calendar'!$Z$1398)))</f>
        <v/>
      </c>
      <c r="EA101" s="85">
        <f>IF(BM101="","",IF(ISNUMBER('Dvd Calendar'!$AA$1398)=FALSE,"",IF((Summary!$C$13="N")*('Dvd Calendar'!$AA$1402='Field Check'!$C$25)&gt;0,"",'Dvd Calendar'!$AA$1398)))</f>
        <v/>
      </c>
      <c r="EB101" s="85">
        <f>IF(BN101="","",IF(ISNUMBER('Dvd Calendar'!$AB$1398)=FALSE,"",IF((Summary!$C$13="N")*('Dvd Calendar'!$AB$1402='Field Check'!$C$25)&gt;0,"",'Dvd Calendar'!$AB$1398)))</f>
        <v/>
      </c>
      <c r="EC101" s="85">
        <f>IF(BO101="","",IF(ISNUMBER('Dvd Calendar'!$AC$1398)=FALSE,"",IF((Summary!$C$13="N")*('Dvd Calendar'!$AC$1402='Field Check'!$C$25)&gt;0,"",'Dvd Calendar'!$AC$1398)))</f>
        <v/>
      </c>
      <c r="EE101" s="85">
        <f>IF(BQ101="","",IFERROR(BQ101*HSI!$B$99*HSI!$G$99/HSI!$B$3,""))</f>
        <v/>
      </c>
      <c r="EF101" s="85">
        <f>IF(BR101="","",IFERROR(BR101*HSI!$B$99*HSI!$G$99/HSI!$B$3,""))</f>
        <v/>
      </c>
      <c r="EG101" s="85">
        <f>IF(BS101="","",IFERROR(BS101*HSI!$B$99*HSI!$G$99/HSI!$B$3,""))</f>
        <v/>
      </c>
      <c r="EH101" s="85">
        <f>IF(BT101="","",IFERROR(BT101*HSI!$B$99*HSI!$G$99/HSI!$B$3,""))</f>
        <v/>
      </c>
      <c r="EI101" s="85">
        <f>IF(BU101="","",IFERROR(BU101*HSI!$B$99*HSI!$G$99/HSI!$B$3,""))</f>
        <v/>
      </c>
      <c r="EJ101" s="85">
        <f>IF(BV101="","",IFERROR(BV101*HSI!$B$99*HSI!$G$99/HSI!$B$3,""))</f>
        <v/>
      </c>
      <c r="EK101" s="85">
        <f>IF(BW101="","",IFERROR(BW101*HSI!$B$99*HSI!$G$99/HSI!$B$3,""))</f>
        <v/>
      </c>
      <c r="EL101" s="85">
        <f>IF(BX101="","",IFERROR(BX101*HSI!$B$99*HSI!$G$99/HSI!$B$3,""))</f>
        <v/>
      </c>
      <c r="EM101" s="85">
        <f>IF(BY101="","",IFERROR(BY101*HSI!$B$99*HSI!$G$99/HSI!$B$3,""))</f>
        <v/>
      </c>
      <c r="EN101" s="85">
        <f>IF(BZ101="","",IFERROR(BZ101*HSI!$B$99*HSI!$G$99/HSI!$B$3,""))</f>
        <v/>
      </c>
      <c r="EO101" s="85">
        <f>IF(CA101="","",IFERROR(CA101*HSI!$B$99*HSI!$G$99/HSI!$B$3,""))</f>
        <v/>
      </c>
      <c r="EP101" s="85">
        <f>IF(CB101="","",IFERROR(CB101*HSI!$B$99*HSI!$G$99/HSI!$B$3,""))</f>
        <v/>
      </c>
      <c r="EQ101" s="85">
        <f>IF(CC101="","",IFERROR(CC101*HSI!$B$99*HSI!$G$99/HSI!$B$3,""))</f>
        <v/>
      </c>
      <c r="ER101" s="85">
        <f>IF(CD101="","",IFERROR(CD101*HSI!$B$99*HSI!$G$99/HSI!$B$3,""))</f>
        <v/>
      </c>
      <c r="ES101" s="85">
        <f>IF(CE101="","",IFERROR(CE101*HSI!$B$99*HSI!$G$99/HSI!$B$3,""))</f>
        <v/>
      </c>
      <c r="ET101" s="85">
        <f>IF(CF101="","",IFERROR(CF101*HSI!$B$99*HSI!$G$99/HSI!$B$3,""))</f>
        <v/>
      </c>
      <c r="EU101" s="85">
        <f>IF(CG101="","",IFERROR(CG101*HSI!$B$99*HSI!$G$99/HSI!$B$3,""))</f>
        <v/>
      </c>
      <c r="EV101" s="85">
        <f>IF(CH101="","",IFERROR(CH101*HSI!$B$99*HSI!$G$99/HSI!$B$3,""))</f>
        <v/>
      </c>
      <c r="EW101" s="85">
        <f>IF(CI101="","",IFERROR(CI101*HSI!$B$99*HSI!$G$99/HSI!$B$3,""))</f>
        <v/>
      </c>
      <c r="EX101" s="85">
        <f>IF(CJ101="","",IFERROR(CJ101*HSI!$B$99*HSI!$G$99/HSI!$B$3,""))</f>
        <v/>
      </c>
      <c r="EY101" s="85">
        <f>IF(CK101="","",IFERROR(CK101*HSI!$B$99*HSI!$G$99/HSI!$B$3,""))</f>
        <v/>
      </c>
      <c r="EZ101" s="85">
        <f>IF(CL101="","",IFERROR(CL101*HSI!$B$99*HSI!$G$99/HSI!$B$3,""))</f>
        <v/>
      </c>
      <c r="FA101" s="85">
        <f>IF(CM101="","",IFERROR(CM101*HSI!$B$99*HSI!$G$99/HSI!$B$3,""))</f>
        <v/>
      </c>
      <c r="FB101" s="85">
        <f>IF(CN101="","",IFERROR(CN101*HSI!$B$99*HSI!$G$99/HSI!$B$3,""))</f>
        <v/>
      </c>
      <c r="FC101" s="85">
        <f>IF(CO101="","",IFERROR(CO101*HSI!$B$99*HSI!$G$99/HSI!$B$3,""))</f>
        <v/>
      </c>
      <c r="FD101" s="85">
        <f>IF(CP101="","",IFERROR(CP101*HSI!$B$99*HSI!$G$99/HSI!$B$3,""))</f>
        <v/>
      </c>
      <c r="FE101" s="85">
        <f>IF(CQ101="","",IFERROR(CQ101*HSI!$B$99*HSI!$G$99/HSI!$B$3,""))</f>
        <v/>
      </c>
      <c r="FF101" s="85">
        <f>IF(CR101="","",IFERROR(CR101*HSI!$B$99*HSI!$G$99/HSI!$B$3,""))</f>
        <v/>
      </c>
      <c r="FG101" s="85">
        <f>IF(CS101="","",IFERROR(CS101*HSI!$B$99*HSI!$G$99/HSI!$B$3,""))</f>
        <v/>
      </c>
      <c r="FH101" s="85">
        <f>IF(CT101="","",IFERROR(CT101*HSI!$B$99*HSI!$G$99/HSI!$B$3,""))</f>
        <v/>
      </c>
      <c r="FI101" s="85">
        <f>IF(CU101="","",IFERROR(CU101*HSI!$B$99*HSI!$G$99/HSI!$B$3,""))</f>
        <v/>
      </c>
      <c r="FJ101" s="85">
        <f>IF(CV101="","",IFERROR(CV101*HSI!$B$99*HSI!$G$99/HSI!$B$3,""))</f>
        <v/>
      </c>
      <c r="FK101" s="85">
        <f>IF(CW101="","",IFERROR(CW101*HSI!$B$99*HSI!$G$99/HSI!$B$3,""))</f>
        <v/>
      </c>
      <c r="FL101" s="85">
        <f>IF(CX101="","",IFERROR(CX101*HSI!$B$99*HSI!$G$99/HSI!$B$3,""))</f>
        <v/>
      </c>
      <c r="FM101" s="85">
        <f>IF(CY101="","",IFERROR(CY101*HSI!$B$99*HSI!$G$99/HSI!$B$3,""))</f>
        <v/>
      </c>
      <c r="FN101" s="85">
        <f>IF(CZ101="","",IFERROR(CZ101*HSI!$B$99*HSI!$G$99/HSI!$B$3,""))</f>
        <v/>
      </c>
      <c r="FO101" s="85">
        <f>IF(DA101="","",IFERROR(DA101*HSI!$B$99*HSI!$G$99/HSI!$B$3,""))</f>
        <v/>
      </c>
      <c r="FP101" s="85">
        <f>IF(DB101="","",IFERROR(DB101*HSI!$B$99*HSI!$G$99/HSI!$B$3,""))</f>
        <v/>
      </c>
      <c r="FQ101" s="85">
        <f>IF(DC101="","",IFERROR(DC101*HSI!$B$99*HSI!$G$99/HSI!$B$3,""))</f>
        <v/>
      </c>
      <c r="FR101" s="85">
        <f>IF(DD101="","",IFERROR(DD101*HSI!$B$99*HSI!$G$99/HSI!$B$3,""))</f>
        <v/>
      </c>
      <c r="FS101" s="85">
        <f>IF(DE101="","",IFERROR(DE101*HSI!$B$99*HSI!$G$99/HSI!$B$3,""))</f>
        <v/>
      </c>
      <c r="FT101" s="85">
        <f>IF(DF101="","",IFERROR(DF101*HSI!$B$99*HSI!$G$99/HSI!$B$3,""))</f>
        <v/>
      </c>
      <c r="FU101" s="85">
        <f>IF(DG101="","",IFERROR(DG101*HSI!$B$99*HSI!$G$99/HSI!$B$3,""))</f>
        <v/>
      </c>
      <c r="FV101" s="85">
        <f>IF(DH101="","",IFERROR(DH101*HSI!$B$99*HSI!$G$99/HSI!$B$3,""))</f>
        <v/>
      </c>
      <c r="FW101" s="85">
        <f>IF(DI101="","",IFERROR(DI101*HSI!$B$99*HSI!$G$99/HSI!$B$3,""))</f>
        <v/>
      </c>
      <c r="FX101" s="85">
        <f>IF(DJ101="","",IFERROR(DJ101*HSI!$B$99*HSI!$G$99/HSI!$B$3,""))</f>
        <v/>
      </c>
      <c r="FY101" s="85">
        <f>IF(DK101="","",IFERROR(DK101*HSI!$B$99*HSI!$G$99/HSI!$B$3,""))</f>
        <v/>
      </c>
      <c r="FZ101" s="85">
        <f>IF(DL101="","",IFERROR(DL101*HSI!$B$99*HSI!$G$99/HSI!$B$3,""))</f>
        <v/>
      </c>
      <c r="GA101" s="85">
        <f>IF(DM101="","",IFERROR(DM101*HSI!$B$99*HSI!$G$99/HSI!$B$3,""))</f>
        <v/>
      </c>
      <c r="GB101" s="85">
        <f>IF(DN101="","",IFERROR(DN101*HSI!$B$99*HSI!$G$99/HSI!$B$3,""))</f>
        <v/>
      </c>
      <c r="GC101" s="85">
        <f>IF(DO101="","",IFERROR(DO101*HSI!$B$99*HSI!$G$99/HSI!$B$3,""))</f>
        <v/>
      </c>
      <c r="GD101" s="85">
        <f>IF(DP101="","",IFERROR(DP101*HSI!$B$99*HSI!$G$99/HSI!$B$3,""))</f>
        <v/>
      </c>
      <c r="GE101" s="85">
        <f>IF(DQ101="","",IFERROR(DQ101*HSI!$B$99*HSI!$G$99/HSI!$B$3,""))</f>
        <v/>
      </c>
      <c r="GF101" s="85">
        <f>IF(DR101="","",IFERROR(DR101*HSI!$B$99*HSI!$G$99/HSI!$B$3,""))</f>
        <v/>
      </c>
      <c r="GG101" s="85">
        <f>IF(DS101="","",IFERROR(DS101*HSI!$B$99*HSI!$G$99/HSI!$B$3,""))</f>
        <v/>
      </c>
      <c r="GH101" s="85">
        <f>IF(DT101="","",IFERROR(DT101*HSI!$B$99*HSI!$G$99/HSI!$B$3,""))</f>
        <v/>
      </c>
      <c r="GI101" s="85">
        <f>IF(DU101="","",IFERROR(DU101*HSI!$B$99*HSI!$G$99/HSI!$B$3,""))</f>
        <v/>
      </c>
      <c r="GJ101" s="85">
        <f>IF(DV101="","",IFERROR(DV101*HSI!$B$99*HSI!$G$99/HSI!$B$3,""))</f>
        <v/>
      </c>
      <c r="GK101" s="85">
        <f>IF(DW101="","",IFERROR(DW101*HSI!$B$99*HSI!$G$99/HSI!$B$3,""))</f>
        <v/>
      </c>
      <c r="GL101" s="85">
        <f>IF(DX101="","",IFERROR(DX101*HSI!$B$99*HSI!$G$99/HSI!$B$3,""))</f>
        <v/>
      </c>
      <c r="GM101" s="85">
        <f>IF(DY101="","",IFERROR(DY101*HSI!$B$99*HSI!$G$99/HSI!$B$3,""))</f>
        <v/>
      </c>
      <c r="GN101" s="85">
        <f>IF(DZ101="","",IFERROR(DZ101*HSI!$B$99*HSI!$G$99/HSI!$B$3,""))</f>
        <v/>
      </c>
      <c r="GO101" s="85">
        <f>IF(EA101="","",IFERROR(EA101*HSI!$B$99*HSI!$G$99/HSI!$B$3,""))</f>
        <v/>
      </c>
      <c r="GP101" s="85">
        <f>IF(EB101="","",IFERROR(EB101*HSI!$B$99*HSI!$G$99/HSI!$B$3,""))</f>
        <v/>
      </c>
      <c r="GQ101" s="85">
        <f>IF(EC101="","",IFERROR(EC101*HSI!$B$99*HSI!$G$99/HSI!$B$3,""))</f>
        <v/>
      </c>
    </row>
    <row r="102">
      <c r="B102" s="2">
        <f>IF(HSI!$C$100="","",HSI!$C$100)</f>
        <v/>
      </c>
      <c r="C102" s="41">
        <f>IF(N('Dvd Calendar'!$E$1405)=0,"",IF(('Dvd Calendar'!$E$1405&gt;=MIN(DATE(Summary!$C$12,1,1),Summary!$C$11))*('Dvd Calendar'!$E$1405&lt;=MAX(DATE(Summary!$C$12,12,31),Summary!$C$15))*('Dvd Calendar'!$E$1405&lt;=Summary!$C$11)=0,"",'Dvd Calendar'!$E$1405*1000000000+ISNUMBER('Dvd Calendar'!$E$1406)*100000000+('Dvd Calendar'!$E$1410='Field Check'!$C$25)*10000000+(N('Dvd Calendar'!$E$1404)&gt;0)*1000000+94*1000+1))</f>
        <v/>
      </c>
      <c r="D102" s="41">
        <f>IF(N('Dvd Calendar'!$F$1405)=0,"",IF(('Dvd Calendar'!$F$1405&gt;=MIN(DATE(Summary!$C$12,1,1),Summary!$C$11))*('Dvd Calendar'!$F$1405&lt;=MAX(DATE(Summary!$C$12,12,31),Summary!$C$15))*('Dvd Calendar'!$F$1405&lt;=Summary!$C$11)=0,"",'Dvd Calendar'!$F$1405*1000000000+ISNUMBER('Dvd Calendar'!$F$1406)*100000000+('Dvd Calendar'!$F$1410='Field Check'!$C$25)*10000000+(N('Dvd Calendar'!$F$1404)&gt;0)*1000000+94*1000+2))</f>
        <v/>
      </c>
      <c r="E102" s="41">
        <f>IF(N('Dvd Calendar'!$G$1405)=0,"",IF(('Dvd Calendar'!$G$1405&gt;=MIN(DATE(Summary!$C$12,1,1),Summary!$C$11))*('Dvd Calendar'!$G$1405&lt;=MAX(DATE(Summary!$C$12,12,31),Summary!$C$15))*('Dvd Calendar'!$G$1405&lt;=Summary!$C$11)=0,"",'Dvd Calendar'!$G$1405*1000000000+ISNUMBER('Dvd Calendar'!$G$1406)*100000000+('Dvd Calendar'!$G$1410='Field Check'!$C$25)*10000000+(N('Dvd Calendar'!$G$1404)&gt;0)*1000000+94*1000+3))</f>
        <v/>
      </c>
      <c r="F102" s="41">
        <f>IF(N('Dvd Calendar'!$H$1405)=0,"",IF(('Dvd Calendar'!$H$1405&gt;=MIN(DATE(Summary!$C$12,1,1),Summary!$C$11))*('Dvd Calendar'!$H$1405&lt;=MAX(DATE(Summary!$C$12,12,31),Summary!$C$15))*('Dvd Calendar'!$H$1405&lt;=Summary!$C$11)=0,"",'Dvd Calendar'!$H$1405*1000000000+ISNUMBER('Dvd Calendar'!$H$1406)*100000000+('Dvd Calendar'!$H$1410='Field Check'!$C$25)*10000000+(N('Dvd Calendar'!$H$1404)&gt;0)*1000000+94*1000+4))</f>
        <v/>
      </c>
      <c r="G102" s="41">
        <f>IF(N('Dvd Calendar'!$I$1405)=0,"",IF(('Dvd Calendar'!$I$1405&gt;=MIN(DATE(Summary!$C$12,1,1),Summary!$C$11))*('Dvd Calendar'!$I$1405&lt;=MAX(DATE(Summary!$C$12,12,31),Summary!$C$15))*('Dvd Calendar'!$I$1405&lt;=Summary!$C$11)=0,"",'Dvd Calendar'!$I$1405*1000000000+ISNUMBER('Dvd Calendar'!$I$1406)*100000000+('Dvd Calendar'!$I$1410='Field Check'!$C$25)*10000000+(N('Dvd Calendar'!$I$1404)&gt;0)*1000000+94*1000+5))</f>
        <v/>
      </c>
      <c r="H102" s="41">
        <f>IF(N('Dvd Calendar'!$J$1405)=0,"",IF(('Dvd Calendar'!$J$1405&gt;=MIN(DATE(Summary!$C$12,1,1),Summary!$C$11))*('Dvd Calendar'!$J$1405&lt;=MAX(DATE(Summary!$C$12,12,31),Summary!$C$15))*('Dvd Calendar'!$J$1405&lt;=Summary!$C$11)=0,"",'Dvd Calendar'!$J$1405*1000000000+ISNUMBER('Dvd Calendar'!$J$1406)*100000000+('Dvd Calendar'!$J$1410='Field Check'!$C$25)*10000000+(N('Dvd Calendar'!$J$1404)&gt;0)*1000000+94*1000+6))</f>
        <v/>
      </c>
      <c r="I102" s="41">
        <f>IF(N('Dvd Calendar'!$K$1405)=0,"",IF(('Dvd Calendar'!$K$1405&gt;=MIN(DATE(Summary!$C$12,1,1),Summary!$C$11))*('Dvd Calendar'!$K$1405&lt;=MAX(DATE(Summary!$C$12,12,31),Summary!$C$15))*('Dvd Calendar'!$K$1405&lt;=Summary!$C$11)=0,"",'Dvd Calendar'!$K$1405*1000000000+ISNUMBER('Dvd Calendar'!$K$1406)*100000000+('Dvd Calendar'!$K$1410='Field Check'!$C$25)*10000000+(N('Dvd Calendar'!$K$1404)&gt;0)*1000000+94*1000+7))</f>
        <v/>
      </c>
      <c r="J102" s="41">
        <f>IF(N('Dvd Calendar'!$L$1405)=0,"",IF(('Dvd Calendar'!$L$1405&gt;=MIN(DATE(Summary!$C$12,1,1),Summary!$C$11))*('Dvd Calendar'!$L$1405&lt;=MAX(DATE(Summary!$C$12,12,31),Summary!$C$15))*('Dvd Calendar'!$L$1405&lt;=Summary!$C$11)=0,"",'Dvd Calendar'!$L$1405*1000000000+ISNUMBER('Dvd Calendar'!$L$1406)*100000000+('Dvd Calendar'!$L$1410='Field Check'!$C$25)*10000000+(N('Dvd Calendar'!$L$1404)&gt;0)*1000000+94*1000+8))</f>
        <v/>
      </c>
      <c r="K102" s="41">
        <f>IF(N('Dvd Calendar'!$M$1405)=0,"",IF(('Dvd Calendar'!$M$1405&gt;=MIN(DATE(Summary!$C$12,1,1),Summary!$C$11))*('Dvd Calendar'!$M$1405&lt;=MAX(DATE(Summary!$C$12,12,31),Summary!$C$15))*('Dvd Calendar'!$M$1405&lt;=Summary!$C$11)=0,"",'Dvd Calendar'!$M$1405*1000000000+ISNUMBER('Dvd Calendar'!$M$1406)*100000000+('Dvd Calendar'!$M$1410='Field Check'!$C$25)*10000000+(N('Dvd Calendar'!$M$1404)&gt;0)*1000000+94*1000+9))</f>
        <v/>
      </c>
      <c r="L102" s="41">
        <f>IF(N('Dvd Calendar'!$N$1405)=0,"",IF(('Dvd Calendar'!$N$1405&gt;=MIN(DATE(Summary!$C$12,1,1),Summary!$C$11))*('Dvd Calendar'!$N$1405&lt;=MAX(DATE(Summary!$C$12,12,31),Summary!$C$15))*('Dvd Calendar'!$N$1405&lt;=Summary!$C$11)=0,"",'Dvd Calendar'!$N$1405*1000000000+ISNUMBER('Dvd Calendar'!$N$1406)*100000000+('Dvd Calendar'!$N$1410='Field Check'!$C$25)*10000000+(N('Dvd Calendar'!$N$1404)&gt;0)*1000000+94*1000+10))</f>
        <v/>
      </c>
      <c r="M102" s="41">
        <f>IF(N('Dvd Calendar'!$O$1405)=0,"",IF(('Dvd Calendar'!$O$1405&gt;=MIN(DATE(Summary!$C$12,1,1),Summary!$C$11))*('Dvd Calendar'!$O$1405&lt;=MAX(DATE(Summary!$C$12,12,31),Summary!$C$15))*('Dvd Calendar'!$O$1405&lt;=Summary!$C$11)=0,"",'Dvd Calendar'!$O$1405*1000000000+ISNUMBER('Dvd Calendar'!$O$1406)*100000000+('Dvd Calendar'!$O$1410='Field Check'!$C$25)*10000000+(N('Dvd Calendar'!$O$1404)&gt;0)*1000000+94*1000+11))</f>
        <v/>
      </c>
      <c r="N102" s="41">
        <f>IF(N('Dvd Calendar'!$P$1405)=0,"",IF(('Dvd Calendar'!$P$1405&gt;=MIN(DATE(Summary!$C$12,1,1),Summary!$C$11))*('Dvd Calendar'!$P$1405&lt;=MAX(DATE(Summary!$C$12,12,31),Summary!$C$15))*('Dvd Calendar'!$P$1405&lt;=Summary!$C$11)=0,"",'Dvd Calendar'!$P$1405*1000000000+ISNUMBER('Dvd Calendar'!$P$1406)*100000000+('Dvd Calendar'!$P$1410='Field Check'!$C$25)*10000000+(N('Dvd Calendar'!$P$1404)&gt;0)*1000000+94*1000+12))</f>
        <v/>
      </c>
      <c r="O102" s="41">
        <f>IF(N('Dvd Calendar'!$Q$1405)=0,"",IF(('Dvd Calendar'!$Q$1405&gt;=MIN(DATE(Summary!$C$12,1,1),Summary!$C$11))*('Dvd Calendar'!$Q$1405&lt;=MAX(DATE(Summary!$C$12,12,31),Summary!$C$15))*('Dvd Calendar'!$Q$1405&lt;=Summary!$C$11)=0,"",'Dvd Calendar'!$Q$1405*1000000000+ISNUMBER('Dvd Calendar'!$Q$1406)*100000000+('Dvd Calendar'!$Q$1410='Field Check'!$C$25)*10000000+(N('Dvd Calendar'!$Q$1404)&gt;0)*1000000+94*1000+13))</f>
        <v/>
      </c>
      <c r="P102" s="41">
        <f>IF(N('Dvd Calendar'!$R$1405)=0,"",IF(('Dvd Calendar'!$R$1405&gt;=MIN(DATE(Summary!$C$12,1,1),Summary!$C$11))*('Dvd Calendar'!$R$1405&lt;=MAX(DATE(Summary!$C$12,12,31),Summary!$C$15))*('Dvd Calendar'!$R$1405&lt;=Summary!$C$11)=0,"",'Dvd Calendar'!$R$1405*1000000000+ISNUMBER('Dvd Calendar'!$R$1406)*100000000+('Dvd Calendar'!$R$1410='Field Check'!$C$25)*10000000+(N('Dvd Calendar'!$R$1404)&gt;0)*1000000+94*1000+14))</f>
        <v/>
      </c>
      <c r="Q102" s="41">
        <f>IF(N('Dvd Calendar'!$S$1405)=0,"",IF(('Dvd Calendar'!$S$1405&gt;=MIN(DATE(Summary!$C$12,1,1),Summary!$C$11))*('Dvd Calendar'!$S$1405&lt;=MAX(DATE(Summary!$C$12,12,31),Summary!$C$15))*('Dvd Calendar'!$S$1405&lt;=Summary!$C$11)=0,"",'Dvd Calendar'!$S$1405*1000000000+ISNUMBER('Dvd Calendar'!$S$1406)*100000000+('Dvd Calendar'!$S$1410='Field Check'!$C$25)*10000000+(N('Dvd Calendar'!$S$1404)&gt;0)*1000000+94*1000+15))</f>
        <v/>
      </c>
      <c r="R102" s="41">
        <f>IF(N('Dvd Calendar'!$T$1405)=0,"",IF(('Dvd Calendar'!$T$1405&gt;=MIN(DATE(Summary!$C$12,1,1),Summary!$C$11))*('Dvd Calendar'!$T$1405&lt;=MAX(DATE(Summary!$C$12,12,31),Summary!$C$15))*('Dvd Calendar'!$T$1405&lt;=Summary!$C$11)=0,"",'Dvd Calendar'!$T$1405*1000000000+ISNUMBER('Dvd Calendar'!$T$1406)*100000000+('Dvd Calendar'!$T$1410='Field Check'!$C$25)*10000000+(N('Dvd Calendar'!$T$1404)&gt;0)*1000000+94*1000+16))</f>
        <v/>
      </c>
      <c r="S102" s="41">
        <f>IF(N('Dvd Calendar'!$U$1405)=0,"",IF(('Dvd Calendar'!$U$1405&gt;=MIN(DATE(Summary!$C$12,1,1),Summary!$C$11))*('Dvd Calendar'!$U$1405&lt;=MAX(DATE(Summary!$C$12,12,31),Summary!$C$15))*('Dvd Calendar'!$U$1405&lt;=Summary!$C$11)=0,"",'Dvd Calendar'!$U$1405*1000000000+ISNUMBER('Dvd Calendar'!$U$1406)*100000000+('Dvd Calendar'!$U$1410='Field Check'!$C$25)*10000000+(N('Dvd Calendar'!$U$1404)&gt;0)*1000000+94*1000+17))</f>
        <v/>
      </c>
      <c r="T102" s="41">
        <f>IF(N('Dvd Calendar'!$V$1405)=0,"",IF(('Dvd Calendar'!$V$1405&gt;=MIN(DATE(Summary!$C$12,1,1),Summary!$C$11))*('Dvd Calendar'!$V$1405&lt;=MAX(DATE(Summary!$C$12,12,31),Summary!$C$15))*('Dvd Calendar'!$V$1405&lt;=Summary!$C$11)=0,"",'Dvd Calendar'!$V$1405*1000000000+ISNUMBER('Dvd Calendar'!$V$1406)*100000000+('Dvd Calendar'!$V$1410='Field Check'!$C$25)*10000000+(N('Dvd Calendar'!$V$1404)&gt;0)*1000000+94*1000+18))</f>
        <v/>
      </c>
      <c r="U102" s="41">
        <f>IF(N('Dvd Calendar'!$W$1405)=0,"",IF(('Dvd Calendar'!$W$1405&gt;=MIN(DATE(Summary!$C$12,1,1),Summary!$C$11))*('Dvd Calendar'!$W$1405&lt;=MAX(DATE(Summary!$C$12,12,31),Summary!$C$15))*('Dvd Calendar'!$W$1405&lt;=Summary!$C$11)=0,"",'Dvd Calendar'!$W$1405*1000000000+ISNUMBER('Dvd Calendar'!$W$1406)*100000000+('Dvd Calendar'!$W$1410='Field Check'!$C$25)*10000000+(N('Dvd Calendar'!$W$1404)&gt;0)*1000000+94*1000+19))</f>
        <v/>
      </c>
      <c r="V102" s="41">
        <f>IF(N('Dvd Calendar'!$X$1405)=0,"",IF(('Dvd Calendar'!$X$1405&gt;=MIN(DATE(Summary!$C$12,1,1),Summary!$C$11))*('Dvd Calendar'!$X$1405&lt;=MAX(DATE(Summary!$C$12,12,31),Summary!$C$15))*('Dvd Calendar'!$X$1405&lt;=Summary!$C$11)=0,"",'Dvd Calendar'!$X$1405*1000000000+ISNUMBER('Dvd Calendar'!$X$1406)*100000000+('Dvd Calendar'!$X$1410='Field Check'!$C$25)*10000000+(N('Dvd Calendar'!$X$1404)&gt;0)*1000000+94*1000+20))</f>
        <v/>
      </c>
      <c r="W102" s="41">
        <f>IF(N('Dvd Calendar'!$Y$1405)=0,"",IF(('Dvd Calendar'!$Y$1405&gt;=MIN(DATE(Summary!$C$12,1,1),Summary!$C$11))*('Dvd Calendar'!$Y$1405&lt;=MAX(DATE(Summary!$C$12,12,31),Summary!$C$15))*('Dvd Calendar'!$Y$1405&lt;=Summary!$C$11)=0,"",'Dvd Calendar'!$Y$1405*1000000000+ISNUMBER('Dvd Calendar'!$Y$1406)*100000000+('Dvd Calendar'!$Y$1410='Field Check'!$C$25)*10000000+(N('Dvd Calendar'!$Y$1404)&gt;0)*1000000+94*1000+21))</f>
        <v/>
      </c>
      <c r="X102" s="41">
        <f>IF(N('Dvd Calendar'!$Z$1405)=0,"",IF(('Dvd Calendar'!$Z$1405&gt;=MIN(DATE(Summary!$C$12,1,1),Summary!$C$11))*('Dvd Calendar'!$Z$1405&lt;=MAX(DATE(Summary!$C$12,12,31),Summary!$C$15))*('Dvd Calendar'!$Z$1405&lt;=Summary!$C$11)=0,"",'Dvd Calendar'!$Z$1405*1000000000+ISNUMBER('Dvd Calendar'!$Z$1406)*100000000+('Dvd Calendar'!$Z$1410='Field Check'!$C$25)*10000000+(N('Dvd Calendar'!$Z$1404)&gt;0)*1000000+94*1000+22))</f>
        <v/>
      </c>
      <c r="Y102" s="41">
        <f>IF(N('Dvd Calendar'!$AA$1405)=0,"",IF(('Dvd Calendar'!$AA$1405&gt;=MIN(DATE(Summary!$C$12,1,1),Summary!$C$11))*('Dvd Calendar'!$AA$1405&lt;=MAX(DATE(Summary!$C$12,12,31),Summary!$C$15))*('Dvd Calendar'!$AA$1405&lt;=Summary!$C$11)=0,"",'Dvd Calendar'!$AA$1405*1000000000+ISNUMBER('Dvd Calendar'!$AA$1406)*100000000+('Dvd Calendar'!$AA$1410='Field Check'!$C$25)*10000000+(N('Dvd Calendar'!$AA$1404)&gt;0)*1000000+94*1000+23))</f>
        <v/>
      </c>
      <c r="Z102" s="41">
        <f>IF(N('Dvd Calendar'!$AB$1405)=0,"",IF(('Dvd Calendar'!$AB$1405&gt;=MIN(DATE(Summary!$C$12,1,1),Summary!$C$11))*('Dvd Calendar'!$AB$1405&lt;=MAX(DATE(Summary!$C$12,12,31),Summary!$C$15))*('Dvd Calendar'!$AB$1405&lt;=Summary!$C$11)=0,"",'Dvd Calendar'!$AB$1405*1000000000+ISNUMBER('Dvd Calendar'!$AB$1406)*100000000+('Dvd Calendar'!$AB$1410='Field Check'!$C$25)*10000000+(N('Dvd Calendar'!$AB$1404)&gt;0)*1000000+94*1000+24))</f>
        <v/>
      </c>
      <c r="AA102" s="41">
        <f>IF(N('Dvd Calendar'!$AC$1405)=0,"",IF(('Dvd Calendar'!$AC$1405&gt;=MIN(DATE(Summary!$C$12,1,1),Summary!$C$11))*('Dvd Calendar'!$AC$1405&lt;=MAX(DATE(Summary!$C$12,12,31),Summary!$C$15))*('Dvd Calendar'!$AC$1405&lt;=Summary!$C$11)=0,"",'Dvd Calendar'!$AC$1405*1000000000+ISNUMBER('Dvd Calendar'!$AC$1406)*100000000+('Dvd Calendar'!$AC$1410='Field Check'!$C$25)*10000000+(N('Dvd Calendar'!$AC$1404)&gt;0)*1000000+94*1000+25))</f>
        <v/>
      </c>
      <c r="AB102" s="41">
        <f>IF(N('Dvd Calendar'!$AD$1405)=0,"",IF(('Dvd Calendar'!$AD$1405&gt;=MIN(DATE(Summary!$C$12,1,1),Summary!$C$11))*('Dvd Calendar'!$AD$1405&lt;=MAX(DATE(Summary!$C$12,12,31),Summary!$C$15))*('Dvd Calendar'!$AD$1405&lt;=Summary!$C$11)=0,"",'Dvd Calendar'!$AD$1405*1000000000+ISNUMBER('Dvd Calendar'!$AD$1406)*100000000+('Dvd Calendar'!$AD$1410='Field Check'!$C$25)*10000000+(N('Dvd Calendar'!$AD$1404)&gt;0)*1000000+94*1000+26))</f>
        <v/>
      </c>
      <c r="AC102" s="41">
        <f>IF(N('Dvd Calendar'!$AE$1405)=0,"",IF(('Dvd Calendar'!$AE$1405&gt;=MIN(DATE(Summary!$C$12,1,1),Summary!$C$11))*('Dvd Calendar'!$AE$1405&lt;=MAX(DATE(Summary!$C$12,12,31),Summary!$C$15))*('Dvd Calendar'!$AE$1405&lt;=Summary!$C$11)=0,"",'Dvd Calendar'!$AE$1405*1000000000+ISNUMBER('Dvd Calendar'!$AE$1406)*100000000+('Dvd Calendar'!$AE$1410='Field Check'!$C$25)*10000000+(N('Dvd Calendar'!$AE$1404)&gt;0)*1000000+94*1000+27))</f>
        <v/>
      </c>
      <c r="AD102" s="41">
        <f>IF(N('Dvd Calendar'!$AF$1405)=0,"",IF(('Dvd Calendar'!$AF$1405&gt;=MIN(DATE(Summary!$C$12,1,1),Summary!$C$11))*('Dvd Calendar'!$AF$1405&lt;=MAX(DATE(Summary!$C$12,12,31),Summary!$C$15))*('Dvd Calendar'!$AF$1405&lt;=Summary!$C$11)=0,"",'Dvd Calendar'!$AF$1405*1000000000+ISNUMBER('Dvd Calendar'!$AF$1406)*100000000+('Dvd Calendar'!$AF$1410='Field Check'!$C$25)*10000000+(N('Dvd Calendar'!$AF$1404)&gt;0)*1000000+94*1000+28))</f>
        <v/>
      </c>
      <c r="AE102" s="41">
        <f>IF(N('Dvd Calendar'!$AG$1405)=0,"",IF(('Dvd Calendar'!$AG$1405&gt;=MIN(DATE(Summary!$C$12,1,1),Summary!$C$11))*('Dvd Calendar'!$AG$1405&lt;=MAX(DATE(Summary!$C$12,12,31),Summary!$C$15))*('Dvd Calendar'!$AG$1405&lt;=Summary!$C$11)=0,"",'Dvd Calendar'!$AG$1405*1000000000+ISNUMBER('Dvd Calendar'!$AG$1406)*100000000+('Dvd Calendar'!$AG$1410='Field Check'!$C$25)*10000000+(N('Dvd Calendar'!$AG$1404)&gt;0)*1000000+94*1000+29))</f>
        <v/>
      </c>
      <c r="AF102" s="41">
        <f>IF(N('Dvd Calendar'!$AH$1405)=0,"",IF(('Dvd Calendar'!$AH$1405&gt;=MIN(DATE(Summary!$C$12,1,1),Summary!$C$11))*('Dvd Calendar'!$AH$1405&lt;=MAX(DATE(Summary!$C$12,12,31),Summary!$C$15))*('Dvd Calendar'!$AH$1405&lt;=Summary!$C$11)=0,"",'Dvd Calendar'!$AH$1405*1000000000+ISNUMBER('Dvd Calendar'!$AH$1406)*100000000+('Dvd Calendar'!$AH$1410='Field Check'!$C$25)*10000000+(N('Dvd Calendar'!$AH$1404)&gt;0)*1000000+94*1000+30))</f>
        <v/>
      </c>
      <c r="AG102" s="41">
        <f>IF(N('Dvd Calendar'!$AI$1405)=0,"",IF(('Dvd Calendar'!$AI$1405&gt;=MIN(DATE(Summary!$C$12,1,1),Summary!$C$11))*('Dvd Calendar'!$AI$1405&lt;=MAX(DATE(Summary!$C$12,12,31),Summary!$C$15))*('Dvd Calendar'!$AI$1405&lt;=Summary!$C$11)=0,"",'Dvd Calendar'!$AI$1405*1000000000+ISNUMBER('Dvd Calendar'!$AI$1406)*100000000+('Dvd Calendar'!$AI$1410='Field Check'!$C$25)*10000000+(N('Dvd Calendar'!$AI$1404)&gt;0)*1000000+94*1000+31))</f>
        <v/>
      </c>
      <c r="AH102" s="41">
        <f>IF(N('Dvd Calendar'!$AJ$1405)=0,"",IF(('Dvd Calendar'!$AJ$1405&gt;=MIN(DATE(Summary!$C$12,1,1),Summary!$C$11))*('Dvd Calendar'!$AJ$1405&lt;=MAX(DATE(Summary!$C$12,12,31),Summary!$C$15))*('Dvd Calendar'!$AJ$1405&lt;=Summary!$C$11)=0,"",'Dvd Calendar'!$AJ$1405*1000000000+ISNUMBER('Dvd Calendar'!$AJ$1406)*100000000+('Dvd Calendar'!$AJ$1410='Field Check'!$C$25)*10000000+(N('Dvd Calendar'!$AJ$1404)&gt;0)*1000000+94*1000+32))</f>
        <v/>
      </c>
      <c r="AI102" s="41">
        <f>IF(N('Dvd Calendar'!$AK$1405)=0,"",IF(('Dvd Calendar'!$AK$1405&gt;=MIN(DATE(Summary!$C$12,1,1),Summary!$C$11))*('Dvd Calendar'!$AK$1405&lt;=MAX(DATE(Summary!$C$12,12,31),Summary!$C$15))*('Dvd Calendar'!$AK$1405&lt;=Summary!$C$11)=0,"",'Dvd Calendar'!$AK$1405*1000000000+ISNUMBER('Dvd Calendar'!$AK$1406)*100000000+('Dvd Calendar'!$AK$1410='Field Check'!$C$25)*10000000+(N('Dvd Calendar'!$AK$1404)&gt;0)*1000000+94*1000+33))</f>
        <v/>
      </c>
      <c r="AJ102" s="41">
        <f>IF(N('Dvd Calendar'!$AL$1405)=0,"",IF(('Dvd Calendar'!$AL$1405&gt;=MIN(DATE(Summary!$C$12,1,1),Summary!$C$11))*('Dvd Calendar'!$AL$1405&lt;=MAX(DATE(Summary!$C$12,12,31),Summary!$C$15))*('Dvd Calendar'!$AL$1405&lt;=Summary!$C$11)=0,"",'Dvd Calendar'!$AL$1405*1000000000+ISNUMBER('Dvd Calendar'!$AL$1406)*100000000+('Dvd Calendar'!$AL$1410='Field Check'!$C$25)*10000000+(N('Dvd Calendar'!$AL$1404)&gt;0)*1000000+94*1000+34))</f>
        <v/>
      </c>
      <c r="AK102" s="41">
        <f>IF(N('Dvd Calendar'!$AM$1405)=0,"",IF(('Dvd Calendar'!$AM$1405&gt;=MIN(DATE(Summary!$C$12,1,1),Summary!$C$11))*('Dvd Calendar'!$AM$1405&lt;=MAX(DATE(Summary!$C$12,12,31),Summary!$C$15))*('Dvd Calendar'!$AM$1405&lt;=Summary!$C$11)=0,"",'Dvd Calendar'!$AM$1405*1000000000+ISNUMBER('Dvd Calendar'!$AM$1406)*100000000+('Dvd Calendar'!$AM$1410='Field Check'!$C$25)*10000000+(N('Dvd Calendar'!$AM$1404)&gt;0)*1000000+94*1000+35))</f>
        <v/>
      </c>
      <c r="AL102" s="41">
        <f>IF(N('Dvd Calendar'!$AN$1405)=0,"",IF(('Dvd Calendar'!$AN$1405&gt;=MIN(DATE(Summary!$C$12,1,1),Summary!$C$11))*('Dvd Calendar'!$AN$1405&lt;=MAX(DATE(Summary!$C$12,12,31),Summary!$C$15))*('Dvd Calendar'!$AN$1405&lt;=Summary!$C$11)=0,"",'Dvd Calendar'!$AN$1405*1000000000+ISNUMBER('Dvd Calendar'!$AN$1406)*100000000+('Dvd Calendar'!$AN$1410='Field Check'!$C$25)*10000000+(N('Dvd Calendar'!$AN$1404)&gt;0)*1000000+94*1000+36))</f>
        <v/>
      </c>
      <c r="AM102" s="41">
        <f>IF(N('Dvd Calendar'!$AO$1405)=0,"",IF(('Dvd Calendar'!$AO$1405&gt;=MIN(DATE(Summary!$C$12,1,1),Summary!$C$11))*('Dvd Calendar'!$AO$1405&lt;=MAX(DATE(Summary!$C$12,12,31),Summary!$C$15))*('Dvd Calendar'!$AO$1405&lt;=Summary!$C$11)=0,"",'Dvd Calendar'!$AO$1405*1000000000+ISNUMBER('Dvd Calendar'!$AO$1406)*100000000+('Dvd Calendar'!$AO$1410='Field Check'!$C$25)*10000000+(N('Dvd Calendar'!$AO$1404)&gt;0)*1000000+94*1000+37))</f>
        <v/>
      </c>
      <c r="AN102" s="41">
        <f>IF(N('Dvd Calendar'!$AP$1405)=0,"",IF(('Dvd Calendar'!$AP$1405&gt;=MIN(DATE(Summary!$C$12,1,1),Summary!$C$11))*('Dvd Calendar'!$AP$1405&lt;=MAX(DATE(Summary!$C$12,12,31),Summary!$C$15))*('Dvd Calendar'!$AP$1405&lt;=Summary!$C$11)=0,"",'Dvd Calendar'!$AP$1405*1000000000+ISNUMBER('Dvd Calendar'!$AP$1406)*100000000+('Dvd Calendar'!$AP$1410='Field Check'!$C$25)*10000000+(N('Dvd Calendar'!$AP$1404)&gt;0)*1000000+94*1000+38))</f>
        <v/>
      </c>
      <c r="AO102" s="41">
        <f>IF(N('Dvd Calendar'!$AQ$1405)=0,"",IF(('Dvd Calendar'!$AQ$1405&gt;=MIN(DATE(Summary!$C$12,1,1),Summary!$C$11))*('Dvd Calendar'!$AQ$1405&lt;=MAX(DATE(Summary!$C$12,12,31),Summary!$C$15))*('Dvd Calendar'!$AQ$1405&lt;=Summary!$C$11)=0,"",'Dvd Calendar'!$AQ$1405*1000000000+ISNUMBER('Dvd Calendar'!$AQ$1406)*100000000+('Dvd Calendar'!$AQ$1410='Field Check'!$C$25)*10000000+(N('Dvd Calendar'!$AQ$1404)&gt;0)*1000000+94*1000+39))</f>
        <v/>
      </c>
      <c r="AP102" s="41">
        <f>IF(N('Dvd Calendar'!$AR$1405)=0,"",IF(('Dvd Calendar'!$AR$1405&gt;=MIN(DATE(Summary!$C$12,1,1),Summary!$C$11))*('Dvd Calendar'!$AR$1405&lt;=MAX(DATE(Summary!$C$12,12,31),Summary!$C$15))*('Dvd Calendar'!$AR$1405&lt;=Summary!$C$11)=0,"",'Dvd Calendar'!$AR$1405*1000000000+ISNUMBER('Dvd Calendar'!$AR$1406)*100000000+('Dvd Calendar'!$AR$1410='Field Check'!$C$25)*10000000+(N('Dvd Calendar'!$AR$1404)&gt;0)*1000000+94*1000+40))</f>
        <v/>
      </c>
      <c r="AQ102" s="41">
        <f>IF(N('Dvd Calendar'!$E$1412)=0,"",IF(('Dvd Calendar'!$E$1412&gt;=MIN(DATE(Summary!$C$12,1,1),Summary!$C$11))*('Dvd Calendar'!$E$1412&lt;=MAX(DATE(Summary!$C$12,12,31),Summary!$C$15))*('Dvd Calendar'!$E$1412&gt;Summary!$C$11)=0,"",'Dvd Calendar'!$E$1412*1000000000+ISNUMBER('Dvd Calendar'!$E$1413)*100000000+('Dvd Calendar'!$E$1417='Field Check'!$C$25)*10000000+(N('Dvd Calendar'!$E$1411)&gt;0)*1000000+94*1000+41))</f>
        <v/>
      </c>
      <c r="AR102" s="41">
        <f>IF(N('Dvd Calendar'!$F$1412)=0,"",IF(('Dvd Calendar'!$F$1412&gt;=MIN(DATE(Summary!$C$12,1,1),Summary!$C$11))*('Dvd Calendar'!$F$1412&lt;=MAX(DATE(Summary!$C$12,12,31),Summary!$C$15))*('Dvd Calendar'!$F$1412&gt;Summary!$C$11)=0,"",'Dvd Calendar'!$F$1412*1000000000+ISNUMBER('Dvd Calendar'!$F$1413)*100000000+('Dvd Calendar'!$F$1417='Field Check'!$C$25)*10000000+(N('Dvd Calendar'!$F$1411)&gt;0)*1000000+94*1000+42))</f>
        <v/>
      </c>
      <c r="AS102" s="41">
        <f>IF(N('Dvd Calendar'!$G$1412)=0,"",IF(('Dvd Calendar'!$G$1412&gt;=MIN(DATE(Summary!$C$12,1,1),Summary!$C$11))*('Dvd Calendar'!$G$1412&lt;=MAX(DATE(Summary!$C$12,12,31),Summary!$C$15))*('Dvd Calendar'!$G$1412&gt;Summary!$C$11)=0,"",'Dvd Calendar'!$G$1412*1000000000+ISNUMBER('Dvd Calendar'!$G$1413)*100000000+('Dvd Calendar'!$G$1417='Field Check'!$C$25)*10000000+(N('Dvd Calendar'!$G$1411)&gt;0)*1000000+94*1000+43))</f>
        <v/>
      </c>
      <c r="AT102" s="41">
        <f>IF(N('Dvd Calendar'!$H$1412)=0,"",IF(('Dvd Calendar'!$H$1412&gt;=MIN(DATE(Summary!$C$12,1,1),Summary!$C$11))*('Dvd Calendar'!$H$1412&lt;=MAX(DATE(Summary!$C$12,12,31),Summary!$C$15))*('Dvd Calendar'!$H$1412&gt;Summary!$C$11)=0,"",'Dvd Calendar'!$H$1412*1000000000+ISNUMBER('Dvd Calendar'!$H$1413)*100000000+('Dvd Calendar'!$H$1417='Field Check'!$C$25)*10000000+(N('Dvd Calendar'!$H$1411)&gt;0)*1000000+94*1000+44))</f>
        <v/>
      </c>
      <c r="AU102" s="41">
        <f>IF(N('Dvd Calendar'!$I$1412)=0,"",IF(('Dvd Calendar'!$I$1412&gt;=MIN(DATE(Summary!$C$12,1,1),Summary!$C$11))*('Dvd Calendar'!$I$1412&lt;=MAX(DATE(Summary!$C$12,12,31),Summary!$C$15))*('Dvd Calendar'!$I$1412&gt;Summary!$C$11)=0,"",'Dvd Calendar'!$I$1412*1000000000+ISNUMBER('Dvd Calendar'!$I$1413)*100000000+('Dvd Calendar'!$I$1417='Field Check'!$C$25)*10000000+(N('Dvd Calendar'!$I$1411)&gt;0)*1000000+94*1000+45))</f>
        <v/>
      </c>
      <c r="AV102" s="41">
        <f>IF(N('Dvd Calendar'!$J$1412)=0,"",IF(('Dvd Calendar'!$J$1412&gt;=MIN(DATE(Summary!$C$12,1,1),Summary!$C$11))*('Dvd Calendar'!$J$1412&lt;=MAX(DATE(Summary!$C$12,12,31),Summary!$C$15))*('Dvd Calendar'!$J$1412&gt;Summary!$C$11)=0,"",'Dvd Calendar'!$J$1412*1000000000+ISNUMBER('Dvd Calendar'!$J$1413)*100000000+('Dvd Calendar'!$J$1417='Field Check'!$C$25)*10000000+(N('Dvd Calendar'!$J$1411)&gt;0)*1000000+94*1000+46))</f>
        <v/>
      </c>
      <c r="AW102" s="41">
        <f>IF(N('Dvd Calendar'!$K$1412)=0,"",IF(('Dvd Calendar'!$K$1412&gt;=MIN(DATE(Summary!$C$12,1,1),Summary!$C$11))*('Dvd Calendar'!$K$1412&lt;=MAX(DATE(Summary!$C$12,12,31),Summary!$C$15))*('Dvd Calendar'!$K$1412&gt;Summary!$C$11)=0,"",'Dvd Calendar'!$K$1412*1000000000+ISNUMBER('Dvd Calendar'!$K$1413)*100000000+('Dvd Calendar'!$K$1417='Field Check'!$C$25)*10000000+(N('Dvd Calendar'!$K$1411)&gt;0)*1000000+94*1000+47))</f>
        <v/>
      </c>
      <c r="AX102" s="41">
        <f>IF(N('Dvd Calendar'!$L$1412)=0,"",IF(('Dvd Calendar'!$L$1412&gt;=MIN(DATE(Summary!$C$12,1,1),Summary!$C$11))*('Dvd Calendar'!$L$1412&lt;=MAX(DATE(Summary!$C$12,12,31),Summary!$C$15))*('Dvd Calendar'!$L$1412&gt;Summary!$C$11)=0,"",'Dvd Calendar'!$L$1412*1000000000+ISNUMBER('Dvd Calendar'!$L$1413)*100000000+('Dvd Calendar'!$L$1417='Field Check'!$C$25)*10000000+(N('Dvd Calendar'!$L$1411)&gt;0)*1000000+94*1000+48))</f>
        <v/>
      </c>
      <c r="AY102" s="41">
        <f>IF(N('Dvd Calendar'!$M$1412)=0,"",IF(('Dvd Calendar'!$M$1412&gt;=MIN(DATE(Summary!$C$12,1,1),Summary!$C$11))*('Dvd Calendar'!$M$1412&lt;=MAX(DATE(Summary!$C$12,12,31),Summary!$C$15))*('Dvd Calendar'!$M$1412&gt;Summary!$C$11)=0,"",'Dvd Calendar'!$M$1412*1000000000+ISNUMBER('Dvd Calendar'!$M$1413)*100000000+('Dvd Calendar'!$M$1417='Field Check'!$C$25)*10000000+(N('Dvd Calendar'!$M$1411)&gt;0)*1000000+94*1000+49))</f>
        <v/>
      </c>
      <c r="AZ102" s="41">
        <f>IF(N('Dvd Calendar'!$N$1412)=0,"",IF(('Dvd Calendar'!$N$1412&gt;=MIN(DATE(Summary!$C$12,1,1),Summary!$C$11))*('Dvd Calendar'!$N$1412&lt;=MAX(DATE(Summary!$C$12,12,31),Summary!$C$15))*('Dvd Calendar'!$N$1412&gt;Summary!$C$11)=0,"",'Dvd Calendar'!$N$1412*1000000000+ISNUMBER('Dvd Calendar'!$N$1413)*100000000+('Dvd Calendar'!$N$1417='Field Check'!$C$25)*10000000+(N('Dvd Calendar'!$N$1411)&gt;0)*1000000+94*1000+50))</f>
        <v/>
      </c>
      <c r="BA102" s="41">
        <f>IF(N('Dvd Calendar'!$O$1412)=0,"",IF(('Dvd Calendar'!$O$1412&gt;=MIN(DATE(Summary!$C$12,1,1),Summary!$C$11))*('Dvd Calendar'!$O$1412&lt;=MAX(DATE(Summary!$C$12,12,31),Summary!$C$15))*('Dvd Calendar'!$O$1412&gt;Summary!$C$11)=0,"",'Dvd Calendar'!$O$1412*1000000000+ISNUMBER('Dvd Calendar'!$O$1413)*100000000+('Dvd Calendar'!$O$1417='Field Check'!$C$25)*10000000+(N('Dvd Calendar'!$O$1411)&gt;0)*1000000+94*1000+51))</f>
        <v/>
      </c>
      <c r="BB102" s="41">
        <f>IF(N('Dvd Calendar'!$P$1412)=0,"",IF(('Dvd Calendar'!$P$1412&gt;=MIN(DATE(Summary!$C$12,1,1),Summary!$C$11))*('Dvd Calendar'!$P$1412&lt;=MAX(DATE(Summary!$C$12,12,31),Summary!$C$15))*('Dvd Calendar'!$P$1412&gt;Summary!$C$11)=0,"",'Dvd Calendar'!$P$1412*1000000000+ISNUMBER('Dvd Calendar'!$P$1413)*100000000+('Dvd Calendar'!$P$1417='Field Check'!$C$25)*10000000+(N('Dvd Calendar'!$P$1411)&gt;0)*1000000+94*1000+52))</f>
        <v/>
      </c>
      <c r="BC102" s="41">
        <f>IF(N('Dvd Calendar'!$Q$1412)=0,"",IF(('Dvd Calendar'!$Q$1412&gt;=MIN(DATE(Summary!$C$12,1,1),Summary!$C$11))*('Dvd Calendar'!$Q$1412&lt;=MAX(DATE(Summary!$C$12,12,31),Summary!$C$15))*('Dvd Calendar'!$Q$1412&gt;Summary!$C$11)=0,"",'Dvd Calendar'!$Q$1412*1000000000+ISNUMBER('Dvd Calendar'!$Q$1413)*100000000+('Dvd Calendar'!$Q$1417='Field Check'!$C$25)*10000000+(N('Dvd Calendar'!$Q$1411)&gt;0)*1000000+94*1000+53))</f>
        <v/>
      </c>
      <c r="BD102" s="41">
        <f>IF(N('Dvd Calendar'!$R$1412)=0,"",IF(('Dvd Calendar'!$R$1412&gt;=MIN(DATE(Summary!$C$12,1,1),Summary!$C$11))*('Dvd Calendar'!$R$1412&lt;=MAX(DATE(Summary!$C$12,12,31),Summary!$C$15))*('Dvd Calendar'!$R$1412&gt;Summary!$C$11)=0,"",'Dvd Calendar'!$R$1412*1000000000+ISNUMBER('Dvd Calendar'!$R$1413)*100000000+('Dvd Calendar'!$R$1417='Field Check'!$C$25)*10000000+(N('Dvd Calendar'!$R$1411)&gt;0)*1000000+94*1000+54))</f>
        <v/>
      </c>
      <c r="BE102" s="41">
        <f>IF(N('Dvd Calendar'!$S$1412)=0,"",IF(('Dvd Calendar'!$S$1412&gt;=MIN(DATE(Summary!$C$12,1,1),Summary!$C$11))*('Dvd Calendar'!$S$1412&lt;=MAX(DATE(Summary!$C$12,12,31),Summary!$C$15))*('Dvd Calendar'!$S$1412&gt;Summary!$C$11)=0,"",'Dvd Calendar'!$S$1412*1000000000+ISNUMBER('Dvd Calendar'!$S$1413)*100000000+('Dvd Calendar'!$S$1417='Field Check'!$C$25)*10000000+(N('Dvd Calendar'!$S$1411)&gt;0)*1000000+94*1000+55))</f>
        <v/>
      </c>
      <c r="BF102" s="41">
        <f>IF(N('Dvd Calendar'!$T$1412)=0,"",IF(('Dvd Calendar'!$T$1412&gt;=MIN(DATE(Summary!$C$12,1,1),Summary!$C$11))*('Dvd Calendar'!$T$1412&lt;=MAX(DATE(Summary!$C$12,12,31),Summary!$C$15))*('Dvd Calendar'!$T$1412&gt;Summary!$C$11)=0,"",'Dvd Calendar'!$T$1412*1000000000+ISNUMBER('Dvd Calendar'!$T$1413)*100000000+('Dvd Calendar'!$T$1417='Field Check'!$C$25)*10000000+(N('Dvd Calendar'!$T$1411)&gt;0)*1000000+94*1000+56))</f>
        <v/>
      </c>
      <c r="BG102" s="41">
        <f>IF(N('Dvd Calendar'!$U$1412)=0,"",IF(('Dvd Calendar'!$U$1412&gt;=MIN(DATE(Summary!$C$12,1,1),Summary!$C$11))*('Dvd Calendar'!$U$1412&lt;=MAX(DATE(Summary!$C$12,12,31),Summary!$C$15))*('Dvd Calendar'!$U$1412&gt;Summary!$C$11)=0,"",'Dvd Calendar'!$U$1412*1000000000+ISNUMBER('Dvd Calendar'!$U$1413)*100000000+('Dvd Calendar'!$U$1417='Field Check'!$C$25)*10000000+(N('Dvd Calendar'!$U$1411)&gt;0)*1000000+94*1000+57))</f>
        <v/>
      </c>
      <c r="BH102" s="41">
        <f>IF(N('Dvd Calendar'!$V$1412)=0,"",IF(('Dvd Calendar'!$V$1412&gt;=MIN(DATE(Summary!$C$12,1,1),Summary!$C$11))*('Dvd Calendar'!$V$1412&lt;=MAX(DATE(Summary!$C$12,12,31),Summary!$C$15))*('Dvd Calendar'!$V$1412&gt;Summary!$C$11)=0,"",'Dvd Calendar'!$V$1412*1000000000+ISNUMBER('Dvd Calendar'!$V$1413)*100000000+('Dvd Calendar'!$V$1417='Field Check'!$C$25)*10000000+(N('Dvd Calendar'!$V$1411)&gt;0)*1000000+94*1000+58))</f>
        <v/>
      </c>
      <c r="BI102" s="41">
        <f>IF(N('Dvd Calendar'!$W$1412)=0,"",IF(('Dvd Calendar'!$W$1412&gt;=MIN(DATE(Summary!$C$12,1,1),Summary!$C$11))*('Dvd Calendar'!$W$1412&lt;=MAX(DATE(Summary!$C$12,12,31),Summary!$C$15))*('Dvd Calendar'!$W$1412&gt;Summary!$C$11)=0,"",'Dvd Calendar'!$W$1412*1000000000+ISNUMBER('Dvd Calendar'!$W$1413)*100000000+('Dvd Calendar'!$W$1417='Field Check'!$C$25)*10000000+(N('Dvd Calendar'!$W$1411)&gt;0)*1000000+94*1000+59))</f>
        <v/>
      </c>
      <c r="BJ102" s="41">
        <f>IF(N('Dvd Calendar'!$X$1412)=0,"",IF(('Dvd Calendar'!$X$1412&gt;=MIN(DATE(Summary!$C$12,1,1),Summary!$C$11))*('Dvd Calendar'!$X$1412&lt;=MAX(DATE(Summary!$C$12,12,31),Summary!$C$15))*('Dvd Calendar'!$X$1412&gt;Summary!$C$11)=0,"",'Dvd Calendar'!$X$1412*1000000000+ISNUMBER('Dvd Calendar'!$X$1413)*100000000+('Dvd Calendar'!$X$1417='Field Check'!$C$25)*10000000+(N('Dvd Calendar'!$X$1411)&gt;0)*1000000+94*1000+60))</f>
        <v/>
      </c>
      <c r="BK102" s="41">
        <f>IF(N('Dvd Calendar'!$Y$1412)=0,"",IF(('Dvd Calendar'!$Y$1412&gt;=MIN(DATE(Summary!$C$12,1,1),Summary!$C$11))*('Dvd Calendar'!$Y$1412&lt;=MAX(DATE(Summary!$C$12,12,31),Summary!$C$15))*('Dvd Calendar'!$Y$1412&gt;Summary!$C$11)=0,"",'Dvd Calendar'!$Y$1412*1000000000+ISNUMBER('Dvd Calendar'!$Y$1413)*100000000+('Dvd Calendar'!$Y$1417='Field Check'!$C$25)*10000000+(N('Dvd Calendar'!$Y$1411)&gt;0)*1000000+94*1000+61))</f>
        <v/>
      </c>
      <c r="BL102" s="41">
        <f>IF(N('Dvd Calendar'!$Z$1412)=0,"",IF(('Dvd Calendar'!$Z$1412&gt;=MIN(DATE(Summary!$C$12,1,1),Summary!$C$11))*('Dvd Calendar'!$Z$1412&lt;=MAX(DATE(Summary!$C$12,12,31),Summary!$C$15))*('Dvd Calendar'!$Z$1412&gt;Summary!$C$11)=0,"",'Dvd Calendar'!$Z$1412*1000000000+ISNUMBER('Dvd Calendar'!$Z$1413)*100000000+('Dvd Calendar'!$Z$1417='Field Check'!$C$25)*10000000+(N('Dvd Calendar'!$Z$1411)&gt;0)*1000000+94*1000+62))</f>
        <v/>
      </c>
      <c r="BM102" s="41">
        <f>IF(N('Dvd Calendar'!$AA$1412)=0,"",IF(('Dvd Calendar'!$AA$1412&gt;=MIN(DATE(Summary!$C$12,1,1),Summary!$C$11))*('Dvd Calendar'!$AA$1412&lt;=MAX(DATE(Summary!$C$12,12,31),Summary!$C$15))*('Dvd Calendar'!$AA$1412&gt;Summary!$C$11)=0,"",'Dvd Calendar'!$AA$1412*1000000000+ISNUMBER('Dvd Calendar'!$AA$1413)*100000000+('Dvd Calendar'!$AA$1417='Field Check'!$C$25)*10000000+(N('Dvd Calendar'!$AA$1411)&gt;0)*1000000+94*1000+63))</f>
        <v/>
      </c>
      <c r="BN102" s="41">
        <f>IF(N('Dvd Calendar'!$AB$1412)=0,"",IF(('Dvd Calendar'!$AB$1412&gt;=MIN(DATE(Summary!$C$12,1,1),Summary!$C$11))*('Dvd Calendar'!$AB$1412&lt;=MAX(DATE(Summary!$C$12,12,31),Summary!$C$15))*('Dvd Calendar'!$AB$1412&gt;Summary!$C$11)=0,"",'Dvd Calendar'!$AB$1412*1000000000+ISNUMBER('Dvd Calendar'!$AB$1413)*100000000+('Dvd Calendar'!$AB$1417='Field Check'!$C$25)*10000000+(N('Dvd Calendar'!$AB$1411)&gt;0)*1000000+94*1000+64))</f>
        <v/>
      </c>
      <c r="BO102" s="41">
        <f>IF(N('Dvd Calendar'!$AC$1412)=0,"",IF(('Dvd Calendar'!$AC$1412&gt;=MIN(DATE(Summary!$C$12,1,1),Summary!$C$11))*('Dvd Calendar'!$AC$1412&lt;=MAX(DATE(Summary!$C$12,12,31),Summary!$C$15))*('Dvd Calendar'!$AC$1412&gt;Summary!$C$11)=0,"",'Dvd Calendar'!$AC$1412*1000000000+ISNUMBER('Dvd Calendar'!$AC$1413)*100000000+('Dvd Calendar'!$AC$1417='Field Check'!$C$25)*10000000+(N('Dvd Calendar'!$AC$1411)&gt;0)*1000000+94*1000+65))</f>
        <v/>
      </c>
      <c r="BQ102" s="85">
        <f>IF(C102="","",IF(ISNUMBER('Dvd Calendar'!$E$1406)=FALSE,"",IF((Summary!$C$13="N")*('Dvd Calendar'!$E$1410='Field Check'!$C$25)&gt;0,"",'Dvd Calendar'!$E$1406)))</f>
        <v/>
      </c>
      <c r="BR102" s="85">
        <f>IF(D102="","",IF(ISNUMBER('Dvd Calendar'!$F$1406)=FALSE,"",IF((Summary!$C$13="N")*('Dvd Calendar'!$F$1410='Field Check'!$C$25)&gt;0,"",'Dvd Calendar'!$F$1406)))</f>
        <v/>
      </c>
      <c r="BS102" s="85">
        <f>IF(E102="","",IF(ISNUMBER('Dvd Calendar'!$G$1406)=FALSE,"",IF((Summary!$C$13="N")*('Dvd Calendar'!$G$1410='Field Check'!$C$25)&gt;0,"",'Dvd Calendar'!$G$1406)))</f>
        <v/>
      </c>
      <c r="BT102" s="85">
        <f>IF(F102="","",IF(ISNUMBER('Dvd Calendar'!$H$1406)=FALSE,"",IF((Summary!$C$13="N")*('Dvd Calendar'!$H$1410='Field Check'!$C$25)&gt;0,"",'Dvd Calendar'!$H$1406)))</f>
        <v/>
      </c>
      <c r="BU102" s="85">
        <f>IF(G102="","",IF(ISNUMBER('Dvd Calendar'!$I$1406)=FALSE,"",IF((Summary!$C$13="N")*('Dvd Calendar'!$I$1410='Field Check'!$C$25)&gt;0,"",'Dvd Calendar'!$I$1406)))</f>
        <v/>
      </c>
      <c r="BV102" s="85">
        <f>IF(H102="","",IF(ISNUMBER('Dvd Calendar'!$J$1406)=FALSE,"",IF((Summary!$C$13="N")*('Dvd Calendar'!$J$1410='Field Check'!$C$25)&gt;0,"",'Dvd Calendar'!$J$1406)))</f>
        <v/>
      </c>
      <c r="BW102" s="85">
        <f>IF(I102="","",IF(ISNUMBER('Dvd Calendar'!$K$1406)=FALSE,"",IF((Summary!$C$13="N")*('Dvd Calendar'!$K$1410='Field Check'!$C$25)&gt;0,"",'Dvd Calendar'!$K$1406)))</f>
        <v/>
      </c>
      <c r="BX102" s="85">
        <f>IF(J102="","",IF(ISNUMBER('Dvd Calendar'!$L$1406)=FALSE,"",IF((Summary!$C$13="N")*('Dvd Calendar'!$L$1410='Field Check'!$C$25)&gt;0,"",'Dvd Calendar'!$L$1406)))</f>
        <v/>
      </c>
      <c r="BY102" s="85">
        <f>IF(K102="","",IF(ISNUMBER('Dvd Calendar'!$M$1406)=FALSE,"",IF((Summary!$C$13="N")*('Dvd Calendar'!$M$1410='Field Check'!$C$25)&gt;0,"",'Dvd Calendar'!$M$1406)))</f>
        <v/>
      </c>
      <c r="BZ102" s="85">
        <f>IF(L102="","",IF(ISNUMBER('Dvd Calendar'!$N$1406)=FALSE,"",IF((Summary!$C$13="N")*('Dvd Calendar'!$N$1410='Field Check'!$C$25)&gt;0,"",'Dvd Calendar'!$N$1406)))</f>
        <v/>
      </c>
      <c r="CA102" s="85">
        <f>IF(M102="","",IF(ISNUMBER('Dvd Calendar'!$O$1406)=FALSE,"",IF((Summary!$C$13="N")*('Dvd Calendar'!$O$1410='Field Check'!$C$25)&gt;0,"",'Dvd Calendar'!$O$1406)))</f>
        <v/>
      </c>
      <c r="CB102" s="85">
        <f>IF(N102="","",IF(ISNUMBER('Dvd Calendar'!$P$1406)=FALSE,"",IF((Summary!$C$13="N")*('Dvd Calendar'!$P$1410='Field Check'!$C$25)&gt;0,"",'Dvd Calendar'!$P$1406)))</f>
        <v/>
      </c>
      <c r="CC102" s="85">
        <f>IF(O102="","",IF(ISNUMBER('Dvd Calendar'!$Q$1406)=FALSE,"",IF((Summary!$C$13="N")*('Dvd Calendar'!$Q$1410='Field Check'!$C$25)&gt;0,"",'Dvd Calendar'!$Q$1406)))</f>
        <v/>
      </c>
      <c r="CD102" s="85">
        <f>IF(P102="","",IF(ISNUMBER('Dvd Calendar'!$R$1406)=FALSE,"",IF((Summary!$C$13="N")*('Dvd Calendar'!$R$1410='Field Check'!$C$25)&gt;0,"",'Dvd Calendar'!$R$1406)))</f>
        <v/>
      </c>
      <c r="CE102" s="85">
        <f>IF(Q102="","",IF(ISNUMBER('Dvd Calendar'!$S$1406)=FALSE,"",IF((Summary!$C$13="N")*('Dvd Calendar'!$S$1410='Field Check'!$C$25)&gt;0,"",'Dvd Calendar'!$S$1406)))</f>
        <v/>
      </c>
      <c r="CF102" s="85">
        <f>IF(R102="","",IF(ISNUMBER('Dvd Calendar'!$T$1406)=FALSE,"",IF((Summary!$C$13="N")*('Dvd Calendar'!$T$1410='Field Check'!$C$25)&gt;0,"",'Dvd Calendar'!$T$1406)))</f>
        <v/>
      </c>
      <c r="CG102" s="85">
        <f>IF(S102="","",IF(ISNUMBER('Dvd Calendar'!$U$1406)=FALSE,"",IF((Summary!$C$13="N")*('Dvd Calendar'!$U$1410='Field Check'!$C$25)&gt;0,"",'Dvd Calendar'!$U$1406)))</f>
        <v/>
      </c>
      <c r="CH102" s="85">
        <f>IF(T102="","",IF(ISNUMBER('Dvd Calendar'!$V$1406)=FALSE,"",IF((Summary!$C$13="N")*('Dvd Calendar'!$V$1410='Field Check'!$C$25)&gt;0,"",'Dvd Calendar'!$V$1406)))</f>
        <v/>
      </c>
      <c r="CI102" s="85">
        <f>IF(U102="","",IF(ISNUMBER('Dvd Calendar'!$W$1406)=FALSE,"",IF((Summary!$C$13="N")*('Dvd Calendar'!$W$1410='Field Check'!$C$25)&gt;0,"",'Dvd Calendar'!$W$1406)))</f>
        <v/>
      </c>
      <c r="CJ102" s="85">
        <f>IF(V102="","",IF(ISNUMBER('Dvd Calendar'!$X$1406)=FALSE,"",IF((Summary!$C$13="N")*('Dvd Calendar'!$X$1410='Field Check'!$C$25)&gt;0,"",'Dvd Calendar'!$X$1406)))</f>
        <v/>
      </c>
      <c r="CK102" s="85">
        <f>IF(W102="","",IF(ISNUMBER('Dvd Calendar'!$Y$1406)=FALSE,"",IF((Summary!$C$13="N")*('Dvd Calendar'!$Y$1410='Field Check'!$C$25)&gt;0,"",'Dvd Calendar'!$Y$1406)))</f>
        <v/>
      </c>
      <c r="CL102" s="85">
        <f>IF(X102="","",IF(ISNUMBER('Dvd Calendar'!$Z$1406)=FALSE,"",IF((Summary!$C$13="N")*('Dvd Calendar'!$Z$1410='Field Check'!$C$25)&gt;0,"",'Dvd Calendar'!$Z$1406)))</f>
        <v/>
      </c>
      <c r="CM102" s="85">
        <f>IF(Y102="","",IF(ISNUMBER('Dvd Calendar'!$AA$1406)=FALSE,"",IF((Summary!$C$13="N")*('Dvd Calendar'!$AA$1410='Field Check'!$C$25)&gt;0,"",'Dvd Calendar'!$AA$1406)))</f>
        <v/>
      </c>
      <c r="CN102" s="85">
        <f>IF(Z102="","",IF(ISNUMBER('Dvd Calendar'!$AB$1406)=FALSE,"",IF((Summary!$C$13="N")*('Dvd Calendar'!$AB$1410='Field Check'!$C$25)&gt;0,"",'Dvd Calendar'!$AB$1406)))</f>
        <v/>
      </c>
      <c r="CO102" s="85">
        <f>IF(AA102="","",IF(ISNUMBER('Dvd Calendar'!$AC$1406)=FALSE,"",IF((Summary!$C$13="N")*('Dvd Calendar'!$AC$1410='Field Check'!$C$25)&gt;0,"",'Dvd Calendar'!$AC$1406)))</f>
        <v/>
      </c>
      <c r="CP102" s="85">
        <f>IF(AB102="","",IF(ISNUMBER('Dvd Calendar'!$AD$1406)=FALSE,"",IF((Summary!$C$13="N")*('Dvd Calendar'!$AD$1410='Field Check'!$C$25)&gt;0,"",'Dvd Calendar'!$AD$1406)))</f>
        <v/>
      </c>
      <c r="CQ102" s="85">
        <f>IF(AC102="","",IF(ISNUMBER('Dvd Calendar'!$AE$1406)=FALSE,"",IF((Summary!$C$13="N")*('Dvd Calendar'!$AE$1410='Field Check'!$C$25)&gt;0,"",'Dvd Calendar'!$AE$1406)))</f>
        <v/>
      </c>
      <c r="CR102" s="85">
        <f>IF(AD102="","",IF(ISNUMBER('Dvd Calendar'!$AF$1406)=FALSE,"",IF((Summary!$C$13="N")*('Dvd Calendar'!$AF$1410='Field Check'!$C$25)&gt;0,"",'Dvd Calendar'!$AF$1406)))</f>
        <v/>
      </c>
      <c r="CS102" s="85">
        <f>IF(AE102="","",IF(ISNUMBER('Dvd Calendar'!$AG$1406)=FALSE,"",IF((Summary!$C$13="N")*('Dvd Calendar'!$AG$1410='Field Check'!$C$25)&gt;0,"",'Dvd Calendar'!$AG$1406)))</f>
        <v/>
      </c>
      <c r="CT102" s="85">
        <f>IF(AF102="","",IF(ISNUMBER('Dvd Calendar'!$AH$1406)=FALSE,"",IF((Summary!$C$13="N")*('Dvd Calendar'!$AH$1410='Field Check'!$C$25)&gt;0,"",'Dvd Calendar'!$AH$1406)))</f>
        <v/>
      </c>
      <c r="CU102" s="85">
        <f>IF(AG102="","",IF(ISNUMBER('Dvd Calendar'!$AI$1406)=FALSE,"",IF((Summary!$C$13="N")*('Dvd Calendar'!$AI$1410='Field Check'!$C$25)&gt;0,"",'Dvd Calendar'!$AI$1406)))</f>
        <v/>
      </c>
      <c r="CV102" s="85">
        <f>IF(AH102="","",IF(ISNUMBER('Dvd Calendar'!$AJ$1406)=FALSE,"",IF((Summary!$C$13="N")*('Dvd Calendar'!$AJ$1410='Field Check'!$C$25)&gt;0,"",'Dvd Calendar'!$AJ$1406)))</f>
        <v/>
      </c>
      <c r="CW102" s="85">
        <f>IF(AI102="","",IF(ISNUMBER('Dvd Calendar'!$AK$1406)=FALSE,"",IF((Summary!$C$13="N")*('Dvd Calendar'!$AK$1410='Field Check'!$C$25)&gt;0,"",'Dvd Calendar'!$AK$1406)))</f>
        <v/>
      </c>
      <c r="CX102" s="85">
        <f>IF(AJ102="","",IF(ISNUMBER('Dvd Calendar'!$AL$1406)=FALSE,"",IF((Summary!$C$13="N")*('Dvd Calendar'!$AL$1410='Field Check'!$C$25)&gt;0,"",'Dvd Calendar'!$AL$1406)))</f>
        <v/>
      </c>
      <c r="CY102" s="85">
        <f>IF(AK102="","",IF(ISNUMBER('Dvd Calendar'!$AM$1406)=FALSE,"",IF((Summary!$C$13="N")*('Dvd Calendar'!$AM$1410='Field Check'!$C$25)&gt;0,"",'Dvd Calendar'!$AM$1406)))</f>
        <v/>
      </c>
      <c r="CZ102" s="85">
        <f>IF(AL102="","",IF(ISNUMBER('Dvd Calendar'!$AN$1406)=FALSE,"",IF((Summary!$C$13="N")*('Dvd Calendar'!$AN$1410='Field Check'!$C$25)&gt;0,"",'Dvd Calendar'!$AN$1406)))</f>
        <v/>
      </c>
      <c r="DA102" s="85">
        <f>IF(AM102="","",IF(ISNUMBER('Dvd Calendar'!$AO$1406)=FALSE,"",IF((Summary!$C$13="N")*('Dvd Calendar'!$AO$1410='Field Check'!$C$25)&gt;0,"",'Dvd Calendar'!$AO$1406)))</f>
        <v/>
      </c>
      <c r="DB102" s="85">
        <f>IF(AN102="","",IF(ISNUMBER('Dvd Calendar'!$AP$1406)=FALSE,"",IF((Summary!$C$13="N")*('Dvd Calendar'!$AP$1410='Field Check'!$C$25)&gt;0,"",'Dvd Calendar'!$AP$1406)))</f>
        <v/>
      </c>
      <c r="DC102" s="85">
        <f>IF(AO102="","",IF(ISNUMBER('Dvd Calendar'!$AQ$1406)=FALSE,"",IF((Summary!$C$13="N")*('Dvd Calendar'!$AQ$1410='Field Check'!$C$25)&gt;0,"",'Dvd Calendar'!$AQ$1406)))</f>
        <v/>
      </c>
      <c r="DD102" s="85">
        <f>IF(AP102="","",IF(ISNUMBER('Dvd Calendar'!$AR$1406)=FALSE,"",IF((Summary!$C$13="N")*('Dvd Calendar'!$AR$1410='Field Check'!$C$25)&gt;0,"",'Dvd Calendar'!$AR$1406)))</f>
        <v/>
      </c>
      <c r="DE102" s="85">
        <f>IF(AQ102="","",IF(ISNUMBER('Dvd Calendar'!$E$1413)=FALSE,"",IF((Summary!$C$13="N")*('Dvd Calendar'!$E$1417='Field Check'!$C$25)&gt;0,"",'Dvd Calendar'!$E$1413)))</f>
        <v/>
      </c>
      <c r="DF102" s="85">
        <f>IF(AR102="","",IF(ISNUMBER('Dvd Calendar'!$F$1413)=FALSE,"",IF((Summary!$C$13="N")*('Dvd Calendar'!$F$1417='Field Check'!$C$25)&gt;0,"",'Dvd Calendar'!$F$1413)))</f>
        <v/>
      </c>
      <c r="DG102" s="85">
        <f>IF(AS102="","",IF(ISNUMBER('Dvd Calendar'!$G$1413)=FALSE,"",IF((Summary!$C$13="N")*('Dvd Calendar'!$G$1417='Field Check'!$C$25)&gt;0,"",'Dvd Calendar'!$G$1413)))</f>
        <v/>
      </c>
      <c r="DH102" s="85">
        <f>IF(AT102="","",IF(ISNUMBER('Dvd Calendar'!$H$1413)=FALSE,"",IF((Summary!$C$13="N")*('Dvd Calendar'!$H$1417='Field Check'!$C$25)&gt;0,"",'Dvd Calendar'!$H$1413)))</f>
        <v/>
      </c>
      <c r="DI102" s="85">
        <f>IF(AU102="","",IF(ISNUMBER('Dvd Calendar'!$I$1413)=FALSE,"",IF((Summary!$C$13="N")*('Dvd Calendar'!$I$1417='Field Check'!$C$25)&gt;0,"",'Dvd Calendar'!$I$1413)))</f>
        <v/>
      </c>
      <c r="DJ102" s="85">
        <f>IF(AV102="","",IF(ISNUMBER('Dvd Calendar'!$J$1413)=FALSE,"",IF((Summary!$C$13="N")*('Dvd Calendar'!$J$1417='Field Check'!$C$25)&gt;0,"",'Dvd Calendar'!$J$1413)))</f>
        <v/>
      </c>
      <c r="DK102" s="85">
        <f>IF(AW102="","",IF(ISNUMBER('Dvd Calendar'!$K$1413)=FALSE,"",IF((Summary!$C$13="N")*('Dvd Calendar'!$K$1417='Field Check'!$C$25)&gt;0,"",'Dvd Calendar'!$K$1413)))</f>
        <v/>
      </c>
      <c r="DL102" s="85">
        <f>IF(AX102="","",IF(ISNUMBER('Dvd Calendar'!$L$1413)=FALSE,"",IF((Summary!$C$13="N")*('Dvd Calendar'!$L$1417='Field Check'!$C$25)&gt;0,"",'Dvd Calendar'!$L$1413)))</f>
        <v/>
      </c>
      <c r="DM102" s="85">
        <f>IF(AY102="","",IF(ISNUMBER('Dvd Calendar'!$M$1413)=FALSE,"",IF((Summary!$C$13="N")*('Dvd Calendar'!$M$1417='Field Check'!$C$25)&gt;0,"",'Dvd Calendar'!$M$1413)))</f>
        <v/>
      </c>
      <c r="DN102" s="85">
        <f>IF(AZ102="","",IF(ISNUMBER('Dvd Calendar'!$N$1413)=FALSE,"",IF((Summary!$C$13="N")*('Dvd Calendar'!$N$1417='Field Check'!$C$25)&gt;0,"",'Dvd Calendar'!$N$1413)))</f>
        <v/>
      </c>
      <c r="DO102" s="85">
        <f>IF(BA102="","",IF(ISNUMBER('Dvd Calendar'!$O$1413)=FALSE,"",IF((Summary!$C$13="N")*('Dvd Calendar'!$O$1417='Field Check'!$C$25)&gt;0,"",'Dvd Calendar'!$O$1413)))</f>
        <v/>
      </c>
      <c r="DP102" s="85">
        <f>IF(BB102="","",IF(ISNUMBER('Dvd Calendar'!$P$1413)=FALSE,"",IF((Summary!$C$13="N")*('Dvd Calendar'!$P$1417='Field Check'!$C$25)&gt;0,"",'Dvd Calendar'!$P$1413)))</f>
        <v/>
      </c>
      <c r="DQ102" s="85">
        <f>IF(BC102="","",IF(ISNUMBER('Dvd Calendar'!$Q$1413)=FALSE,"",IF((Summary!$C$13="N")*('Dvd Calendar'!$Q$1417='Field Check'!$C$25)&gt;0,"",'Dvd Calendar'!$Q$1413)))</f>
        <v/>
      </c>
      <c r="DR102" s="85">
        <f>IF(BD102="","",IF(ISNUMBER('Dvd Calendar'!$R$1413)=FALSE,"",IF((Summary!$C$13="N")*('Dvd Calendar'!$R$1417='Field Check'!$C$25)&gt;0,"",'Dvd Calendar'!$R$1413)))</f>
        <v/>
      </c>
      <c r="DS102" s="85">
        <f>IF(BE102="","",IF(ISNUMBER('Dvd Calendar'!$S$1413)=FALSE,"",IF((Summary!$C$13="N")*('Dvd Calendar'!$S$1417='Field Check'!$C$25)&gt;0,"",'Dvd Calendar'!$S$1413)))</f>
        <v/>
      </c>
      <c r="DT102" s="85">
        <f>IF(BF102="","",IF(ISNUMBER('Dvd Calendar'!$T$1413)=FALSE,"",IF((Summary!$C$13="N")*('Dvd Calendar'!$T$1417='Field Check'!$C$25)&gt;0,"",'Dvd Calendar'!$T$1413)))</f>
        <v/>
      </c>
      <c r="DU102" s="85">
        <f>IF(BG102="","",IF(ISNUMBER('Dvd Calendar'!$U$1413)=FALSE,"",IF((Summary!$C$13="N")*('Dvd Calendar'!$U$1417='Field Check'!$C$25)&gt;0,"",'Dvd Calendar'!$U$1413)))</f>
        <v/>
      </c>
      <c r="DV102" s="85">
        <f>IF(BH102="","",IF(ISNUMBER('Dvd Calendar'!$V$1413)=FALSE,"",IF((Summary!$C$13="N")*('Dvd Calendar'!$V$1417='Field Check'!$C$25)&gt;0,"",'Dvd Calendar'!$V$1413)))</f>
        <v/>
      </c>
      <c r="DW102" s="85">
        <f>IF(BI102="","",IF(ISNUMBER('Dvd Calendar'!$W$1413)=FALSE,"",IF((Summary!$C$13="N")*('Dvd Calendar'!$W$1417='Field Check'!$C$25)&gt;0,"",'Dvd Calendar'!$W$1413)))</f>
        <v/>
      </c>
      <c r="DX102" s="85">
        <f>IF(BJ102="","",IF(ISNUMBER('Dvd Calendar'!$X$1413)=FALSE,"",IF((Summary!$C$13="N")*('Dvd Calendar'!$X$1417='Field Check'!$C$25)&gt;0,"",'Dvd Calendar'!$X$1413)))</f>
        <v/>
      </c>
      <c r="DY102" s="85">
        <f>IF(BK102="","",IF(ISNUMBER('Dvd Calendar'!$Y$1413)=FALSE,"",IF((Summary!$C$13="N")*('Dvd Calendar'!$Y$1417='Field Check'!$C$25)&gt;0,"",'Dvd Calendar'!$Y$1413)))</f>
        <v/>
      </c>
      <c r="DZ102" s="85">
        <f>IF(BL102="","",IF(ISNUMBER('Dvd Calendar'!$Z$1413)=FALSE,"",IF((Summary!$C$13="N")*('Dvd Calendar'!$Z$1417='Field Check'!$C$25)&gt;0,"",'Dvd Calendar'!$Z$1413)))</f>
        <v/>
      </c>
      <c r="EA102" s="85">
        <f>IF(BM102="","",IF(ISNUMBER('Dvd Calendar'!$AA$1413)=FALSE,"",IF((Summary!$C$13="N")*('Dvd Calendar'!$AA$1417='Field Check'!$C$25)&gt;0,"",'Dvd Calendar'!$AA$1413)))</f>
        <v/>
      </c>
      <c r="EB102" s="85">
        <f>IF(BN102="","",IF(ISNUMBER('Dvd Calendar'!$AB$1413)=FALSE,"",IF((Summary!$C$13="N")*('Dvd Calendar'!$AB$1417='Field Check'!$C$25)&gt;0,"",'Dvd Calendar'!$AB$1413)))</f>
        <v/>
      </c>
      <c r="EC102" s="85">
        <f>IF(BO102="","",IF(ISNUMBER('Dvd Calendar'!$AC$1413)=FALSE,"",IF((Summary!$C$13="N")*('Dvd Calendar'!$AC$1417='Field Check'!$C$25)&gt;0,"",'Dvd Calendar'!$AC$1413)))</f>
        <v/>
      </c>
      <c r="EE102" s="85">
        <f>IF(BQ102="","",IFERROR(BQ102*HSI!$B$100*HSI!$G$100/HSI!$B$3,""))</f>
        <v/>
      </c>
      <c r="EF102" s="85">
        <f>IF(BR102="","",IFERROR(BR102*HSI!$B$100*HSI!$G$100/HSI!$B$3,""))</f>
        <v/>
      </c>
      <c r="EG102" s="85">
        <f>IF(BS102="","",IFERROR(BS102*HSI!$B$100*HSI!$G$100/HSI!$B$3,""))</f>
        <v/>
      </c>
      <c r="EH102" s="85">
        <f>IF(BT102="","",IFERROR(BT102*HSI!$B$100*HSI!$G$100/HSI!$B$3,""))</f>
        <v/>
      </c>
      <c r="EI102" s="85">
        <f>IF(BU102="","",IFERROR(BU102*HSI!$B$100*HSI!$G$100/HSI!$B$3,""))</f>
        <v/>
      </c>
      <c r="EJ102" s="85">
        <f>IF(BV102="","",IFERROR(BV102*HSI!$B$100*HSI!$G$100/HSI!$B$3,""))</f>
        <v/>
      </c>
      <c r="EK102" s="85">
        <f>IF(BW102="","",IFERROR(BW102*HSI!$B$100*HSI!$G$100/HSI!$B$3,""))</f>
        <v/>
      </c>
      <c r="EL102" s="85">
        <f>IF(BX102="","",IFERROR(BX102*HSI!$B$100*HSI!$G$100/HSI!$B$3,""))</f>
        <v/>
      </c>
      <c r="EM102" s="85">
        <f>IF(BY102="","",IFERROR(BY102*HSI!$B$100*HSI!$G$100/HSI!$B$3,""))</f>
        <v/>
      </c>
      <c r="EN102" s="85">
        <f>IF(BZ102="","",IFERROR(BZ102*HSI!$B$100*HSI!$G$100/HSI!$B$3,""))</f>
        <v/>
      </c>
      <c r="EO102" s="85">
        <f>IF(CA102="","",IFERROR(CA102*HSI!$B$100*HSI!$G$100/HSI!$B$3,""))</f>
        <v/>
      </c>
      <c r="EP102" s="85">
        <f>IF(CB102="","",IFERROR(CB102*HSI!$B$100*HSI!$G$100/HSI!$B$3,""))</f>
        <v/>
      </c>
      <c r="EQ102" s="85">
        <f>IF(CC102="","",IFERROR(CC102*HSI!$B$100*HSI!$G$100/HSI!$B$3,""))</f>
        <v/>
      </c>
      <c r="ER102" s="85">
        <f>IF(CD102="","",IFERROR(CD102*HSI!$B$100*HSI!$G$100/HSI!$B$3,""))</f>
        <v/>
      </c>
      <c r="ES102" s="85">
        <f>IF(CE102="","",IFERROR(CE102*HSI!$B$100*HSI!$G$100/HSI!$B$3,""))</f>
        <v/>
      </c>
      <c r="ET102" s="85">
        <f>IF(CF102="","",IFERROR(CF102*HSI!$B$100*HSI!$G$100/HSI!$B$3,""))</f>
        <v/>
      </c>
      <c r="EU102" s="85">
        <f>IF(CG102="","",IFERROR(CG102*HSI!$B$100*HSI!$G$100/HSI!$B$3,""))</f>
        <v/>
      </c>
      <c r="EV102" s="85">
        <f>IF(CH102="","",IFERROR(CH102*HSI!$B$100*HSI!$G$100/HSI!$B$3,""))</f>
        <v/>
      </c>
      <c r="EW102" s="85">
        <f>IF(CI102="","",IFERROR(CI102*HSI!$B$100*HSI!$G$100/HSI!$B$3,""))</f>
        <v/>
      </c>
      <c r="EX102" s="85">
        <f>IF(CJ102="","",IFERROR(CJ102*HSI!$B$100*HSI!$G$100/HSI!$B$3,""))</f>
        <v/>
      </c>
      <c r="EY102" s="85">
        <f>IF(CK102="","",IFERROR(CK102*HSI!$B$100*HSI!$G$100/HSI!$B$3,""))</f>
        <v/>
      </c>
      <c r="EZ102" s="85">
        <f>IF(CL102="","",IFERROR(CL102*HSI!$B$100*HSI!$G$100/HSI!$B$3,""))</f>
        <v/>
      </c>
      <c r="FA102" s="85">
        <f>IF(CM102="","",IFERROR(CM102*HSI!$B$100*HSI!$G$100/HSI!$B$3,""))</f>
        <v/>
      </c>
      <c r="FB102" s="85">
        <f>IF(CN102="","",IFERROR(CN102*HSI!$B$100*HSI!$G$100/HSI!$B$3,""))</f>
        <v/>
      </c>
      <c r="FC102" s="85">
        <f>IF(CO102="","",IFERROR(CO102*HSI!$B$100*HSI!$G$100/HSI!$B$3,""))</f>
        <v/>
      </c>
      <c r="FD102" s="85">
        <f>IF(CP102="","",IFERROR(CP102*HSI!$B$100*HSI!$G$100/HSI!$B$3,""))</f>
        <v/>
      </c>
      <c r="FE102" s="85">
        <f>IF(CQ102="","",IFERROR(CQ102*HSI!$B$100*HSI!$G$100/HSI!$B$3,""))</f>
        <v/>
      </c>
      <c r="FF102" s="85">
        <f>IF(CR102="","",IFERROR(CR102*HSI!$B$100*HSI!$G$100/HSI!$B$3,""))</f>
        <v/>
      </c>
      <c r="FG102" s="85">
        <f>IF(CS102="","",IFERROR(CS102*HSI!$B$100*HSI!$G$100/HSI!$B$3,""))</f>
        <v/>
      </c>
      <c r="FH102" s="85">
        <f>IF(CT102="","",IFERROR(CT102*HSI!$B$100*HSI!$G$100/HSI!$B$3,""))</f>
        <v/>
      </c>
      <c r="FI102" s="85">
        <f>IF(CU102="","",IFERROR(CU102*HSI!$B$100*HSI!$G$100/HSI!$B$3,""))</f>
        <v/>
      </c>
      <c r="FJ102" s="85">
        <f>IF(CV102="","",IFERROR(CV102*HSI!$B$100*HSI!$G$100/HSI!$B$3,""))</f>
        <v/>
      </c>
      <c r="FK102" s="85">
        <f>IF(CW102="","",IFERROR(CW102*HSI!$B$100*HSI!$G$100/HSI!$B$3,""))</f>
        <v/>
      </c>
      <c r="FL102" s="85">
        <f>IF(CX102="","",IFERROR(CX102*HSI!$B$100*HSI!$G$100/HSI!$B$3,""))</f>
        <v/>
      </c>
      <c r="FM102" s="85">
        <f>IF(CY102="","",IFERROR(CY102*HSI!$B$100*HSI!$G$100/HSI!$B$3,""))</f>
        <v/>
      </c>
      <c r="FN102" s="85">
        <f>IF(CZ102="","",IFERROR(CZ102*HSI!$B$100*HSI!$G$100/HSI!$B$3,""))</f>
        <v/>
      </c>
      <c r="FO102" s="85">
        <f>IF(DA102="","",IFERROR(DA102*HSI!$B$100*HSI!$G$100/HSI!$B$3,""))</f>
        <v/>
      </c>
      <c r="FP102" s="85">
        <f>IF(DB102="","",IFERROR(DB102*HSI!$B$100*HSI!$G$100/HSI!$B$3,""))</f>
        <v/>
      </c>
      <c r="FQ102" s="85">
        <f>IF(DC102="","",IFERROR(DC102*HSI!$B$100*HSI!$G$100/HSI!$B$3,""))</f>
        <v/>
      </c>
      <c r="FR102" s="85">
        <f>IF(DD102="","",IFERROR(DD102*HSI!$B$100*HSI!$G$100/HSI!$B$3,""))</f>
        <v/>
      </c>
      <c r="FS102" s="85">
        <f>IF(DE102="","",IFERROR(DE102*HSI!$B$100*HSI!$G$100/HSI!$B$3,""))</f>
        <v/>
      </c>
      <c r="FT102" s="85">
        <f>IF(DF102="","",IFERROR(DF102*HSI!$B$100*HSI!$G$100/HSI!$B$3,""))</f>
        <v/>
      </c>
      <c r="FU102" s="85">
        <f>IF(DG102="","",IFERROR(DG102*HSI!$B$100*HSI!$G$100/HSI!$B$3,""))</f>
        <v/>
      </c>
      <c r="FV102" s="85">
        <f>IF(DH102="","",IFERROR(DH102*HSI!$B$100*HSI!$G$100/HSI!$B$3,""))</f>
        <v/>
      </c>
      <c r="FW102" s="85">
        <f>IF(DI102="","",IFERROR(DI102*HSI!$B$100*HSI!$G$100/HSI!$B$3,""))</f>
        <v/>
      </c>
      <c r="FX102" s="85">
        <f>IF(DJ102="","",IFERROR(DJ102*HSI!$B$100*HSI!$G$100/HSI!$B$3,""))</f>
        <v/>
      </c>
      <c r="FY102" s="85">
        <f>IF(DK102="","",IFERROR(DK102*HSI!$B$100*HSI!$G$100/HSI!$B$3,""))</f>
        <v/>
      </c>
      <c r="FZ102" s="85">
        <f>IF(DL102="","",IFERROR(DL102*HSI!$B$100*HSI!$G$100/HSI!$B$3,""))</f>
        <v/>
      </c>
      <c r="GA102" s="85">
        <f>IF(DM102="","",IFERROR(DM102*HSI!$B$100*HSI!$G$100/HSI!$B$3,""))</f>
        <v/>
      </c>
      <c r="GB102" s="85">
        <f>IF(DN102="","",IFERROR(DN102*HSI!$B$100*HSI!$G$100/HSI!$B$3,""))</f>
        <v/>
      </c>
      <c r="GC102" s="85">
        <f>IF(DO102="","",IFERROR(DO102*HSI!$B$100*HSI!$G$100/HSI!$B$3,""))</f>
        <v/>
      </c>
      <c r="GD102" s="85">
        <f>IF(DP102="","",IFERROR(DP102*HSI!$B$100*HSI!$G$100/HSI!$B$3,""))</f>
        <v/>
      </c>
      <c r="GE102" s="85">
        <f>IF(DQ102="","",IFERROR(DQ102*HSI!$B$100*HSI!$G$100/HSI!$B$3,""))</f>
        <v/>
      </c>
      <c r="GF102" s="85">
        <f>IF(DR102="","",IFERROR(DR102*HSI!$B$100*HSI!$G$100/HSI!$B$3,""))</f>
        <v/>
      </c>
      <c r="GG102" s="85">
        <f>IF(DS102="","",IFERROR(DS102*HSI!$B$100*HSI!$G$100/HSI!$B$3,""))</f>
        <v/>
      </c>
      <c r="GH102" s="85">
        <f>IF(DT102="","",IFERROR(DT102*HSI!$B$100*HSI!$G$100/HSI!$B$3,""))</f>
        <v/>
      </c>
      <c r="GI102" s="85">
        <f>IF(DU102="","",IFERROR(DU102*HSI!$B$100*HSI!$G$100/HSI!$B$3,""))</f>
        <v/>
      </c>
      <c r="GJ102" s="85">
        <f>IF(DV102="","",IFERROR(DV102*HSI!$B$100*HSI!$G$100/HSI!$B$3,""))</f>
        <v/>
      </c>
      <c r="GK102" s="85">
        <f>IF(DW102="","",IFERROR(DW102*HSI!$B$100*HSI!$G$100/HSI!$B$3,""))</f>
        <v/>
      </c>
      <c r="GL102" s="85">
        <f>IF(DX102="","",IFERROR(DX102*HSI!$B$100*HSI!$G$100/HSI!$B$3,""))</f>
        <v/>
      </c>
      <c r="GM102" s="85">
        <f>IF(DY102="","",IFERROR(DY102*HSI!$B$100*HSI!$G$100/HSI!$B$3,""))</f>
        <v/>
      </c>
      <c r="GN102" s="85">
        <f>IF(DZ102="","",IFERROR(DZ102*HSI!$B$100*HSI!$G$100/HSI!$B$3,""))</f>
        <v/>
      </c>
      <c r="GO102" s="85">
        <f>IF(EA102="","",IFERROR(EA102*HSI!$B$100*HSI!$G$100/HSI!$B$3,""))</f>
        <v/>
      </c>
      <c r="GP102" s="85">
        <f>IF(EB102="","",IFERROR(EB102*HSI!$B$100*HSI!$G$100/HSI!$B$3,""))</f>
        <v/>
      </c>
      <c r="GQ102" s="85">
        <f>IF(EC102="","",IFERROR(EC102*HSI!$B$100*HSI!$G$100/HSI!$B$3,""))</f>
        <v/>
      </c>
    </row>
    <row r="103">
      <c r="B103" s="2">
        <f>IF(HSI!$C$101="","",HSI!$C$101)</f>
        <v/>
      </c>
      <c r="C103" s="41">
        <f>IF(N('Dvd Calendar'!$E$1420)=0,"",IF(('Dvd Calendar'!$E$1420&gt;=MIN(DATE(Summary!$C$12,1,1),Summary!$C$11))*('Dvd Calendar'!$E$1420&lt;=MAX(DATE(Summary!$C$12,12,31),Summary!$C$15))*('Dvd Calendar'!$E$1420&lt;=Summary!$C$11)=0,"",'Dvd Calendar'!$E$1420*1000000000+ISNUMBER('Dvd Calendar'!$E$1421)*100000000+('Dvd Calendar'!$E$1425='Field Check'!$C$25)*10000000+(N('Dvd Calendar'!$E$1419)&gt;0)*1000000+95*1000+1))</f>
        <v/>
      </c>
      <c r="D103" s="41">
        <f>IF(N('Dvd Calendar'!$F$1420)=0,"",IF(('Dvd Calendar'!$F$1420&gt;=MIN(DATE(Summary!$C$12,1,1),Summary!$C$11))*('Dvd Calendar'!$F$1420&lt;=MAX(DATE(Summary!$C$12,12,31),Summary!$C$15))*('Dvd Calendar'!$F$1420&lt;=Summary!$C$11)=0,"",'Dvd Calendar'!$F$1420*1000000000+ISNUMBER('Dvd Calendar'!$F$1421)*100000000+('Dvd Calendar'!$F$1425='Field Check'!$C$25)*10000000+(N('Dvd Calendar'!$F$1419)&gt;0)*1000000+95*1000+2))</f>
        <v/>
      </c>
      <c r="E103" s="41">
        <f>IF(N('Dvd Calendar'!$G$1420)=0,"",IF(('Dvd Calendar'!$G$1420&gt;=MIN(DATE(Summary!$C$12,1,1),Summary!$C$11))*('Dvd Calendar'!$G$1420&lt;=MAX(DATE(Summary!$C$12,12,31),Summary!$C$15))*('Dvd Calendar'!$G$1420&lt;=Summary!$C$11)=0,"",'Dvd Calendar'!$G$1420*1000000000+ISNUMBER('Dvd Calendar'!$G$1421)*100000000+('Dvd Calendar'!$G$1425='Field Check'!$C$25)*10000000+(N('Dvd Calendar'!$G$1419)&gt;0)*1000000+95*1000+3))</f>
        <v/>
      </c>
      <c r="F103" s="41">
        <f>IF(N('Dvd Calendar'!$H$1420)=0,"",IF(('Dvd Calendar'!$H$1420&gt;=MIN(DATE(Summary!$C$12,1,1),Summary!$C$11))*('Dvd Calendar'!$H$1420&lt;=MAX(DATE(Summary!$C$12,12,31),Summary!$C$15))*('Dvd Calendar'!$H$1420&lt;=Summary!$C$11)=0,"",'Dvd Calendar'!$H$1420*1000000000+ISNUMBER('Dvd Calendar'!$H$1421)*100000000+('Dvd Calendar'!$H$1425='Field Check'!$C$25)*10000000+(N('Dvd Calendar'!$H$1419)&gt;0)*1000000+95*1000+4))</f>
        <v/>
      </c>
      <c r="G103" s="41">
        <f>IF(N('Dvd Calendar'!$I$1420)=0,"",IF(('Dvd Calendar'!$I$1420&gt;=MIN(DATE(Summary!$C$12,1,1),Summary!$C$11))*('Dvd Calendar'!$I$1420&lt;=MAX(DATE(Summary!$C$12,12,31),Summary!$C$15))*('Dvd Calendar'!$I$1420&lt;=Summary!$C$11)=0,"",'Dvd Calendar'!$I$1420*1000000000+ISNUMBER('Dvd Calendar'!$I$1421)*100000000+('Dvd Calendar'!$I$1425='Field Check'!$C$25)*10000000+(N('Dvd Calendar'!$I$1419)&gt;0)*1000000+95*1000+5))</f>
        <v/>
      </c>
      <c r="H103" s="41">
        <f>IF(N('Dvd Calendar'!$J$1420)=0,"",IF(('Dvd Calendar'!$J$1420&gt;=MIN(DATE(Summary!$C$12,1,1),Summary!$C$11))*('Dvd Calendar'!$J$1420&lt;=MAX(DATE(Summary!$C$12,12,31),Summary!$C$15))*('Dvd Calendar'!$J$1420&lt;=Summary!$C$11)=0,"",'Dvd Calendar'!$J$1420*1000000000+ISNUMBER('Dvd Calendar'!$J$1421)*100000000+('Dvd Calendar'!$J$1425='Field Check'!$C$25)*10000000+(N('Dvd Calendar'!$J$1419)&gt;0)*1000000+95*1000+6))</f>
        <v/>
      </c>
      <c r="I103" s="41">
        <f>IF(N('Dvd Calendar'!$K$1420)=0,"",IF(('Dvd Calendar'!$K$1420&gt;=MIN(DATE(Summary!$C$12,1,1),Summary!$C$11))*('Dvd Calendar'!$K$1420&lt;=MAX(DATE(Summary!$C$12,12,31),Summary!$C$15))*('Dvd Calendar'!$K$1420&lt;=Summary!$C$11)=0,"",'Dvd Calendar'!$K$1420*1000000000+ISNUMBER('Dvd Calendar'!$K$1421)*100000000+('Dvd Calendar'!$K$1425='Field Check'!$C$25)*10000000+(N('Dvd Calendar'!$K$1419)&gt;0)*1000000+95*1000+7))</f>
        <v/>
      </c>
      <c r="J103" s="41">
        <f>IF(N('Dvd Calendar'!$L$1420)=0,"",IF(('Dvd Calendar'!$L$1420&gt;=MIN(DATE(Summary!$C$12,1,1),Summary!$C$11))*('Dvd Calendar'!$L$1420&lt;=MAX(DATE(Summary!$C$12,12,31),Summary!$C$15))*('Dvd Calendar'!$L$1420&lt;=Summary!$C$11)=0,"",'Dvd Calendar'!$L$1420*1000000000+ISNUMBER('Dvd Calendar'!$L$1421)*100000000+('Dvd Calendar'!$L$1425='Field Check'!$C$25)*10000000+(N('Dvd Calendar'!$L$1419)&gt;0)*1000000+95*1000+8))</f>
        <v/>
      </c>
      <c r="K103" s="41">
        <f>IF(N('Dvd Calendar'!$M$1420)=0,"",IF(('Dvd Calendar'!$M$1420&gt;=MIN(DATE(Summary!$C$12,1,1),Summary!$C$11))*('Dvd Calendar'!$M$1420&lt;=MAX(DATE(Summary!$C$12,12,31),Summary!$C$15))*('Dvd Calendar'!$M$1420&lt;=Summary!$C$11)=0,"",'Dvd Calendar'!$M$1420*1000000000+ISNUMBER('Dvd Calendar'!$M$1421)*100000000+('Dvd Calendar'!$M$1425='Field Check'!$C$25)*10000000+(N('Dvd Calendar'!$M$1419)&gt;0)*1000000+95*1000+9))</f>
        <v/>
      </c>
      <c r="L103" s="41">
        <f>IF(N('Dvd Calendar'!$N$1420)=0,"",IF(('Dvd Calendar'!$N$1420&gt;=MIN(DATE(Summary!$C$12,1,1),Summary!$C$11))*('Dvd Calendar'!$N$1420&lt;=MAX(DATE(Summary!$C$12,12,31),Summary!$C$15))*('Dvd Calendar'!$N$1420&lt;=Summary!$C$11)=0,"",'Dvd Calendar'!$N$1420*1000000000+ISNUMBER('Dvd Calendar'!$N$1421)*100000000+('Dvd Calendar'!$N$1425='Field Check'!$C$25)*10000000+(N('Dvd Calendar'!$N$1419)&gt;0)*1000000+95*1000+10))</f>
        <v/>
      </c>
      <c r="M103" s="41">
        <f>IF(N('Dvd Calendar'!$O$1420)=0,"",IF(('Dvd Calendar'!$O$1420&gt;=MIN(DATE(Summary!$C$12,1,1),Summary!$C$11))*('Dvd Calendar'!$O$1420&lt;=MAX(DATE(Summary!$C$12,12,31),Summary!$C$15))*('Dvd Calendar'!$O$1420&lt;=Summary!$C$11)=0,"",'Dvd Calendar'!$O$1420*1000000000+ISNUMBER('Dvd Calendar'!$O$1421)*100000000+('Dvd Calendar'!$O$1425='Field Check'!$C$25)*10000000+(N('Dvd Calendar'!$O$1419)&gt;0)*1000000+95*1000+11))</f>
        <v/>
      </c>
      <c r="N103" s="41">
        <f>IF(N('Dvd Calendar'!$P$1420)=0,"",IF(('Dvd Calendar'!$P$1420&gt;=MIN(DATE(Summary!$C$12,1,1),Summary!$C$11))*('Dvd Calendar'!$P$1420&lt;=MAX(DATE(Summary!$C$12,12,31),Summary!$C$15))*('Dvd Calendar'!$P$1420&lt;=Summary!$C$11)=0,"",'Dvd Calendar'!$P$1420*1000000000+ISNUMBER('Dvd Calendar'!$P$1421)*100000000+('Dvd Calendar'!$P$1425='Field Check'!$C$25)*10000000+(N('Dvd Calendar'!$P$1419)&gt;0)*1000000+95*1000+12))</f>
        <v/>
      </c>
      <c r="O103" s="41">
        <f>IF(N('Dvd Calendar'!$Q$1420)=0,"",IF(('Dvd Calendar'!$Q$1420&gt;=MIN(DATE(Summary!$C$12,1,1),Summary!$C$11))*('Dvd Calendar'!$Q$1420&lt;=MAX(DATE(Summary!$C$12,12,31),Summary!$C$15))*('Dvd Calendar'!$Q$1420&lt;=Summary!$C$11)=0,"",'Dvd Calendar'!$Q$1420*1000000000+ISNUMBER('Dvd Calendar'!$Q$1421)*100000000+('Dvd Calendar'!$Q$1425='Field Check'!$C$25)*10000000+(N('Dvd Calendar'!$Q$1419)&gt;0)*1000000+95*1000+13))</f>
        <v/>
      </c>
      <c r="P103" s="41">
        <f>IF(N('Dvd Calendar'!$R$1420)=0,"",IF(('Dvd Calendar'!$R$1420&gt;=MIN(DATE(Summary!$C$12,1,1),Summary!$C$11))*('Dvd Calendar'!$R$1420&lt;=MAX(DATE(Summary!$C$12,12,31),Summary!$C$15))*('Dvd Calendar'!$R$1420&lt;=Summary!$C$11)=0,"",'Dvd Calendar'!$R$1420*1000000000+ISNUMBER('Dvd Calendar'!$R$1421)*100000000+('Dvd Calendar'!$R$1425='Field Check'!$C$25)*10000000+(N('Dvd Calendar'!$R$1419)&gt;0)*1000000+95*1000+14))</f>
        <v/>
      </c>
      <c r="Q103" s="41">
        <f>IF(N('Dvd Calendar'!$S$1420)=0,"",IF(('Dvd Calendar'!$S$1420&gt;=MIN(DATE(Summary!$C$12,1,1),Summary!$C$11))*('Dvd Calendar'!$S$1420&lt;=MAX(DATE(Summary!$C$12,12,31),Summary!$C$15))*('Dvd Calendar'!$S$1420&lt;=Summary!$C$11)=0,"",'Dvd Calendar'!$S$1420*1000000000+ISNUMBER('Dvd Calendar'!$S$1421)*100000000+('Dvd Calendar'!$S$1425='Field Check'!$C$25)*10000000+(N('Dvd Calendar'!$S$1419)&gt;0)*1000000+95*1000+15))</f>
        <v/>
      </c>
      <c r="R103" s="41">
        <f>IF(N('Dvd Calendar'!$T$1420)=0,"",IF(('Dvd Calendar'!$T$1420&gt;=MIN(DATE(Summary!$C$12,1,1),Summary!$C$11))*('Dvd Calendar'!$T$1420&lt;=MAX(DATE(Summary!$C$12,12,31),Summary!$C$15))*('Dvd Calendar'!$T$1420&lt;=Summary!$C$11)=0,"",'Dvd Calendar'!$T$1420*1000000000+ISNUMBER('Dvd Calendar'!$T$1421)*100000000+('Dvd Calendar'!$T$1425='Field Check'!$C$25)*10000000+(N('Dvd Calendar'!$T$1419)&gt;0)*1000000+95*1000+16))</f>
        <v/>
      </c>
      <c r="S103" s="41">
        <f>IF(N('Dvd Calendar'!$U$1420)=0,"",IF(('Dvd Calendar'!$U$1420&gt;=MIN(DATE(Summary!$C$12,1,1),Summary!$C$11))*('Dvd Calendar'!$U$1420&lt;=MAX(DATE(Summary!$C$12,12,31),Summary!$C$15))*('Dvd Calendar'!$U$1420&lt;=Summary!$C$11)=0,"",'Dvd Calendar'!$U$1420*1000000000+ISNUMBER('Dvd Calendar'!$U$1421)*100000000+('Dvd Calendar'!$U$1425='Field Check'!$C$25)*10000000+(N('Dvd Calendar'!$U$1419)&gt;0)*1000000+95*1000+17))</f>
        <v/>
      </c>
      <c r="T103" s="41">
        <f>IF(N('Dvd Calendar'!$V$1420)=0,"",IF(('Dvd Calendar'!$V$1420&gt;=MIN(DATE(Summary!$C$12,1,1),Summary!$C$11))*('Dvd Calendar'!$V$1420&lt;=MAX(DATE(Summary!$C$12,12,31),Summary!$C$15))*('Dvd Calendar'!$V$1420&lt;=Summary!$C$11)=0,"",'Dvd Calendar'!$V$1420*1000000000+ISNUMBER('Dvd Calendar'!$V$1421)*100000000+('Dvd Calendar'!$V$1425='Field Check'!$C$25)*10000000+(N('Dvd Calendar'!$V$1419)&gt;0)*1000000+95*1000+18))</f>
        <v/>
      </c>
      <c r="U103" s="41">
        <f>IF(N('Dvd Calendar'!$W$1420)=0,"",IF(('Dvd Calendar'!$W$1420&gt;=MIN(DATE(Summary!$C$12,1,1),Summary!$C$11))*('Dvd Calendar'!$W$1420&lt;=MAX(DATE(Summary!$C$12,12,31),Summary!$C$15))*('Dvd Calendar'!$W$1420&lt;=Summary!$C$11)=0,"",'Dvd Calendar'!$W$1420*1000000000+ISNUMBER('Dvd Calendar'!$W$1421)*100000000+('Dvd Calendar'!$W$1425='Field Check'!$C$25)*10000000+(N('Dvd Calendar'!$W$1419)&gt;0)*1000000+95*1000+19))</f>
        <v/>
      </c>
      <c r="V103" s="41">
        <f>IF(N('Dvd Calendar'!$X$1420)=0,"",IF(('Dvd Calendar'!$X$1420&gt;=MIN(DATE(Summary!$C$12,1,1),Summary!$C$11))*('Dvd Calendar'!$X$1420&lt;=MAX(DATE(Summary!$C$12,12,31),Summary!$C$15))*('Dvd Calendar'!$X$1420&lt;=Summary!$C$11)=0,"",'Dvd Calendar'!$X$1420*1000000000+ISNUMBER('Dvd Calendar'!$X$1421)*100000000+('Dvd Calendar'!$X$1425='Field Check'!$C$25)*10000000+(N('Dvd Calendar'!$X$1419)&gt;0)*1000000+95*1000+20))</f>
        <v/>
      </c>
      <c r="W103" s="41">
        <f>IF(N('Dvd Calendar'!$Y$1420)=0,"",IF(('Dvd Calendar'!$Y$1420&gt;=MIN(DATE(Summary!$C$12,1,1),Summary!$C$11))*('Dvd Calendar'!$Y$1420&lt;=MAX(DATE(Summary!$C$12,12,31),Summary!$C$15))*('Dvd Calendar'!$Y$1420&lt;=Summary!$C$11)=0,"",'Dvd Calendar'!$Y$1420*1000000000+ISNUMBER('Dvd Calendar'!$Y$1421)*100000000+('Dvd Calendar'!$Y$1425='Field Check'!$C$25)*10000000+(N('Dvd Calendar'!$Y$1419)&gt;0)*1000000+95*1000+21))</f>
        <v/>
      </c>
      <c r="X103" s="41">
        <f>IF(N('Dvd Calendar'!$Z$1420)=0,"",IF(('Dvd Calendar'!$Z$1420&gt;=MIN(DATE(Summary!$C$12,1,1),Summary!$C$11))*('Dvd Calendar'!$Z$1420&lt;=MAX(DATE(Summary!$C$12,12,31),Summary!$C$15))*('Dvd Calendar'!$Z$1420&lt;=Summary!$C$11)=0,"",'Dvd Calendar'!$Z$1420*1000000000+ISNUMBER('Dvd Calendar'!$Z$1421)*100000000+('Dvd Calendar'!$Z$1425='Field Check'!$C$25)*10000000+(N('Dvd Calendar'!$Z$1419)&gt;0)*1000000+95*1000+22))</f>
        <v/>
      </c>
      <c r="Y103" s="41">
        <f>IF(N('Dvd Calendar'!$AA$1420)=0,"",IF(('Dvd Calendar'!$AA$1420&gt;=MIN(DATE(Summary!$C$12,1,1),Summary!$C$11))*('Dvd Calendar'!$AA$1420&lt;=MAX(DATE(Summary!$C$12,12,31),Summary!$C$15))*('Dvd Calendar'!$AA$1420&lt;=Summary!$C$11)=0,"",'Dvd Calendar'!$AA$1420*1000000000+ISNUMBER('Dvd Calendar'!$AA$1421)*100000000+('Dvd Calendar'!$AA$1425='Field Check'!$C$25)*10000000+(N('Dvd Calendar'!$AA$1419)&gt;0)*1000000+95*1000+23))</f>
        <v/>
      </c>
      <c r="Z103" s="41">
        <f>IF(N('Dvd Calendar'!$AB$1420)=0,"",IF(('Dvd Calendar'!$AB$1420&gt;=MIN(DATE(Summary!$C$12,1,1),Summary!$C$11))*('Dvd Calendar'!$AB$1420&lt;=MAX(DATE(Summary!$C$12,12,31),Summary!$C$15))*('Dvd Calendar'!$AB$1420&lt;=Summary!$C$11)=0,"",'Dvd Calendar'!$AB$1420*1000000000+ISNUMBER('Dvd Calendar'!$AB$1421)*100000000+('Dvd Calendar'!$AB$1425='Field Check'!$C$25)*10000000+(N('Dvd Calendar'!$AB$1419)&gt;0)*1000000+95*1000+24))</f>
        <v/>
      </c>
      <c r="AA103" s="41">
        <f>IF(N('Dvd Calendar'!$AC$1420)=0,"",IF(('Dvd Calendar'!$AC$1420&gt;=MIN(DATE(Summary!$C$12,1,1),Summary!$C$11))*('Dvd Calendar'!$AC$1420&lt;=MAX(DATE(Summary!$C$12,12,31),Summary!$C$15))*('Dvd Calendar'!$AC$1420&lt;=Summary!$C$11)=0,"",'Dvd Calendar'!$AC$1420*1000000000+ISNUMBER('Dvd Calendar'!$AC$1421)*100000000+('Dvd Calendar'!$AC$1425='Field Check'!$C$25)*10000000+(N('Dvd Calendar'!$AC$1419)&gt;0)*1000000+95*1000+25))</f>
        <v/>
      </c>
      <c r="AB103" s="41">
        <f>IF(N('Dvd Calendar'!$AD$1420)=0,"",IF(('Dvd Calendar'!$AD$1420&gt;=MIN(DATE(Summary!$C$12,1,1),Summary!$C$11))*('Dvd Calendar'!$AD$1420&lt;=MAX(DATE(Summary!$C$12,12,31),Summary!$C$15))*('Dvd Calendar'!$AD$1420&lt;=Summary!$C$11)=0,"",'Dvd Calendar'!$AD$1420*1000000000+ISNUMBER('Dvd Calendar'!$AD$1421)*100000000+('Dvd Calendar'!$AD$1425='Field Check'!$C$25)*10000000+(N('Dvd Calendar'!$AD$1419)&gt;0)*1000000+95*1000+26))</f>
        <v/>
      </c>
      <c r="AC103" s="41">
        <f>IF(N('Dvd Calendar'!$AE$1420)=0,"",IF(('Dvd Calendar'!$AE$1420&gt;=MIN(DATE(Summary!$C$12,1,1),Summary!$C$11))*('Dvd Calendar'!$AE$1420&lt;=MAX(DATE(Summary!$C$12,12,31),Summary!$C$15))*('Dvd Calendar'!$AE$1420&lt;=Summary!$C$11)=0,"",'Dvd Calendar'!$AE$1420*1000000000+ISNUMBER('Dvd Calendar'!$AE$1421)*100000000+('Dvd Calendar'!$AE$1425='Field Check'!$C$25)*10000000+(N('Dvd Calendar'!$AE$1419)&gt;0)*1000000+95*1000+27))</f>
        <v/>
      </c>
      <c r="AD103" s="41">
        <f>IF(N('Dvd Calendar'!$AF$1420)=0,"",IF(('Dvd Calendar'!$AF$1420&gt;=MIN(DATE(Summary!$C$12,1,1),Summary!$C$11))*('Dvd Calendar'!$AF$1420&lt;=MAX(DATE(Summary!$C$12,12,31),Summary!$C$15))*('Dvd Calendar'!$AF$1420&lt;=Summary!$C$11)=0,"",'Dvd Calendar'!$AF$1420*1000000000+ISNUMBER('Dvd Calendar'!$AF$1421)*100000000+('Dvd Calendar'!$AF$1425='Field Check'!$C$25)*10000000+(N('Dvd Calendar'!$AF$1419)&gt;0)*1000000+95*1000+28))</f>
        <v/>
      </c>
      <c r="AE103" s="41">
        <f>IF(N('Dvd Calendar'!$AG$1420)=0,"",IF(('Dvd Calendar'!$AG$1420&gt;=MIN(DATE(Summary!$C$12,1,1),Summary!$C$11))*('Dvd Calendar'!$AG$1420&lt;=MAX(DATE(Summary!$C$12,12,31),Summary!$C$15))*('Dvd Calendar'!$AG$1420&lt;=Summary!$C$11)=0,"",'Dvd Calendar'!$AG$1420*1000000000+ISNUMBER('Dvd Calendar'!$AG$1421)*100000000+('Dvd Calendar'!$AG$1425='Field Check'!$C$25)*10000000+(N('Dvd Calendar'!$AG$1419)&gt;0)*1000000+95*1000+29))</f>
        <v/>
      </c>
      <c r="AF103" s="41">
        <f>IF(N('Dvd Calendar'!$AH$1420)=0,"",IF(('Dvd Calendar'!$AH$1420&gt;=MIN(DATE(Summary!$C$12,1,1),Summary!$C$11))*('Dvd Calendar'!$AH$1420&lt;=MAX(DATE(Summary!$C$12,12,31),Summary!$C$15))*('Dvd Calendar'!$AH$1420&lt;=Summary!$C$11)=0,"",'Dvd Calendar'!$AH$1420*1000000000+ISNUMBER('Dvd Calendar'!$AH$1421)*100000000+('Dvd Calendar'!$AH$1425='Field Check'!$C$25)*10000000+(N('Dvd Calendar'!$AH$1419)&gt;0)*1000000+95*1000+30))</f>
        <v/>
      </c>
      <c r="AG103" s="41">
        <f>IF(N('Dvd Calendar'!$AI$1420)=0,"",IF(('Dvd Calendar'!$AI$1420&gt;=MIN(DATE(Summary!$C$12,1,1),Summary!$C$11))*('Dvd Calendar'!$AI$1420&lt;=MAX(DATE(Summary!$C$12,12,31),Summary!$C$15))*('Dvd Calendar'!$AI$1420&lt;=Summary!$C$11)=0,"",'Dvd Calendar'!$AI$1420*1000000000+ISNUMBER('Dvd Calendar'!$AI$1421)*100000000+('Dvd Calendar'!$AI$1425='Field Check'!$C$25)*10000000+(N('Dvd Calendar'!$AI$1419)&gt;0)*1000000+95*1000+31))</f>
        <v/>
      </c>
      <c r="AH103" s="41">
        <f>IF(N('Dvd Calendar'!$AJ$1420)=0,"",IF(('Dvd Calendar'!$AJ$1420&gt;=MIN(DATE(Summary!$C$12,1,1),Summary!$C$11))*('Dvd Calendar'!$AJ$1420&lt;=MAX(DATE(Summary!$C$12,12,31),Summary!$C$15))*('Dvd Calendar'!$AJ$1420&lt;=Summary!$C$11)=0,"",'Dvd Calendar'!$AJ$1420*1000000000+ISNUMBER('Dvd Calendar'!$AJ$1421)*100000000+('Dvd Calendar'!$AJ$1425='Field Check'!$C$25)*10000000+(N('Dvd Calendar'!$AJ$1419)&gt;0)*1000000+95*1000+32))</f>
        <v/>
      </c>
      <c r="AI103" s="41">
        <f>IF(N('Dvd Calendar'!$AK$1420)=0,"",IF(('Dvd Calendar'!$AK$1420&gt;=MIN(DATE(Summary!$C$12,1,1),Summary!$C$11))*('Dvd Calendar'!$AK$1420&lt;=MAX(DATE(Summary!$C$12,12,31),Summary!$C$15))*('Dvd Calendar'!$AK$1420&lt;=Summary!$C$11)=0,"",'Dvd Calendar'!$AK$1420*1000000000+ISNUMBER('Dvd Calendar'!$AK$1421)*100000000+('Dvd Calendar'!$AK$1425='Field Check'!$C$25)*10000000+(N('Dvd Calendar'!$AK$1419)&gt;0)*1000000+95*1000+33))</f>
        <v/>
      </c>
      <c r="AJ103" s="41">
        <f>IF(N('Dvd Calendar'!$AL$1420)=0,"",IF(('Dvd Calendar'!$AL$1420&gt;=MIN(DATE(Summary!$C$12,1,1),Summary!$C$11))*('Dvd Calendar'!$AL$1420&lt;=MAX(DATE(Summary!$C$12,12,31),Summary!$C$15))*('Dvd Calendar'!$AL$1420&lt;=Summary!$C$11)=0,"",'Dvd Calendar'!$AL$1420*1000000000+ISNUMBER('Dvd Calendar'!$AL$1421)*100000000+('Dvd Calendar'!$AL$1425='Field Check'!$C$25)*10000000+(N('Dvd Calendar'!$AL$1419)&gt;0)*1000000+95*1000+34))</f>
        <v/>
      </c>
      <c r="AK103" s="41">
        <f>IF(N('Dvd Calendar'!$AM$1420)=0,"",IF(('Dvd Calendar'!$AM$1420&gt;=MIN(DATE(Summary!$C$12,1,1),Summary!$C$11))*('Dvd Calendar'!$AM$1420&lt;=MAX(DATE(Summary!$C$12,12,31),Summary!$C$15))*('Dvd Calendar'!$AM$1420&lt;=Summary!$C$11)=0,"",'Dvd Calendar'!$AM$1420*1000000000+ISNUMBER('Dvd Calendar'!$AM$1421)*100000000+('Dvd Calendar'!$AM$1425='Field Check'!$C$25)*10000000+(N('Dvd Calendar'!$AM$1419)&gt;0)*1000000+95*1000+35))</f>
        <v/>
      </c>
      <c r="AL103" s="41">
        <f>IF(N('Dvd Calendar'!$AN$1420)=0,"",IF(('Dvd Calendar'!$AN$1420&gt;=MIN(DATE(Summary!$C$12,1,1),Summary!$C$11))*('Dvd Calendar'!$AN$1420&lt;=MAX(DATE(Summary!$C$12,12,31),Summary!$C$15))*('Dvd Calendar'!$AN$1420&lt;=Summary!$C$11)=0,"",'Dvd Calendar'!$AN$1420*1000000000+ISNUMBER('Dvd Calendar'!$AN$1421)*100000000+('Dvd Calendar'!$AN$1425='Field Check'!$C$25)*10000000+(N('Dvd Calendar'!$AN$1419)&gt;0)*1000000+95*1000+36))</f>
        <v/>
      </c>
      <c r="AM103" s="41">
        <f>IF(N('Dvd Calendar'!$AO$1420)=0,"",IF(('Dvd Calendar'!$AO$1420&gt;=MIN(DATE(Summary!$C$12,1,1),Summary!$C$11))*('Dvd Calendar'!$AO$1420&lt;=MAX(DATE(Summary!$C$12,12,31),Summary!$C$15))*('Dvd Calendar'!$AO$1420&lt;=Summary!$C$11)=0,"",'Dvd Calendar'!$AO$1420*1000000000+ISNUMBER('Dvd Calendar'!$AO$1421)*100000000+('Dvd Calendar'!$AO$1425='Field Check'!$C$25)*10000000+(N('Dvd Calendar'!$AO$1419)&gt;0)*1000000+95*1000+37))</f>
        <v/>
      </c>
      <c r="AN103" s="41">
        <f>IF(N('Dvd Calendar'!$AP$1420)=0,"",IF(('Dvd Calendar'!$AP$1420&gt;=MIN(DATE(Summary!$C$12,1,1),Summary!$C$11))*('Dvd Calendar'!$AP$1420&lt;=MAX(DATE(Summary!$C$12,12,31),Summary!$C$15))*('Dvd Calendar'!$AP$1420&lt;=Summary!$C$11)=0,"",'Dvd Calendar'!$AP$1420*1000000000+ISNUMBER('Dvd Calendar'!$AP$1421)*100000000+('Dvd Calendar'!$AP$1425='Field Check'!$C$25)*10000000+(N('Dvd Calendar'!$AP$1419)&gt;0)*1000000+95*1000+38))</f>
        <v/>
      </c>
      <c r="AO103" s="41">
        <f>IF(N('Dvd Calendar'!$AQ$1420)=0,"",IF(('Dvd Calendar'!$AQ$1420&gt;=MIN(DATE(Summary!$C$12,1,1),Summary!$C$11))*('Dvd Calendar'!$AQ$1420&lt;=MAX(DATE(Summary!$C$12,12,31),Summary!$C$15))*('Dvd Calendar'!$AQ$1420&lt;=Summary!$C$11)=0,"",'Dvd Calendar'!$AQ$1420*1000000000+ISNUMBER('Dvd Calendar'!$AQ$1421)*100000000+('Dvd Calendar'!$AQ$1425='Field Check'!$C$25)*10000000+(N('Dvd Calendar'!$AQ$1419)&gt;0)*1000000+95*1000+39))</f>
        <v/>
      </c>
      <c r="AP103" s="41">
        <f>IF(N('Dvd Calendar'!$AR$1420)=0,"",IF(('Dvd Calendar'!$AR$1420&gt;=MIN(DATE(Summary!$C$12,1,1),Summary!$C$11))*('Dvd Calendar'!$AR$1420&lt;=MAX(DATE(Summary!$C$12,12,31),Summary!$C$15))*('Dvd Calendar'!$AR$1420&lt;=Summary!$C$11)=0,"",'Dvd Calendar'!$AR$1420*1000000000+ISNUMBER('Dvd Calendar'!$AR$1421)*100000000+('Dvd Calendar'!$AR$1425='Field Check'!$C$25)*10000000+(N('Dvd Calendar'!$AR$1419)&gt;0)*1000000+95*1000+40))</f>
        <v/>
      </c>
      <c r="AQ103" s="41">
        <f>IF(N('Dvd Calendar'!$E$1427)=0,"",IF(('Dvd Calendar'!$E$1427&gt;=MIN(DATE(Summary!$C$12,1,1),Summary!$C$11))*('Dvd Calendar'!$E$1427&lt;=MAX(DATE(Summary!$C$12,12,31),Summary!$C$15))*('Dvd Calendar'!$E$1427&gt;Summary!$C$11)=0,"",'Dvd Calendar'!$E$1427*1000000000+ISNUMBER('Dvd Calendar'!$E$1428)*100000000+('Dvd Calendar'!$E$1432='Field Check'!$C$25)*10000000+(N('Dvd Calendar'!$E$1426)&gt;0)*1000000+95*1000+41))</f>
        <v/>
      </c>
      <c r="AR103" s="41">
        <f>IF(N('Dvd Calendar'!$F$1427)=0,"",IF(('Dvd Calendar'!$F$1427&gt;=MIN(DATE(Summary!$C$12,1,1),Summary!$C$11))*('Dvd Calendar'!$F$1427&lt;=MAX(DATE(Summary!$C$12,12,31),Summary!$C$15))*('Dvd Calendar'!$F$1427&gt;Summary!$C$11)=0,"",'Dvd Calendar'!$F$1427*1000000000+ISNUMBER('Dvd Calendar'!$F$1428)*100000000+('Dvd Calendar'!$F$1432='Field Check'!$C$25)*10000000+(N('Dvd Calendar'!$F$1426)&gt;0)*1000000+95*1000+42))</f>
        <v/>
      </c>
      <c r="AS103" s="41">
        <f>IF(N('Dvd Calendar'!$G$1427)=0,"",IF(('Dvd Calendar'!$G$1427&gt;=MIN(DATE(Summary!$C$12,1,1),Summary!$C$11))*('Dvd Calendar'!$G$1427&lt;=MAX(DATE(Summary!$C$12,12,31),Summary!$C$15))*('Dvd Calendar'!$G$1427&gt;Summary!$C$11)=0,"",'Dvd Calendar'!$G$1427*1000000000+ISNUMBER('Dvd Calendar'!$G$1428)*100000000+('Dvd Calendar'!$G$1432='Field Check'!$C$25)*10000000+(N('Dvd Calendar'!$G$1426)&gt;0)*1000000+95*1000+43))</f>
        <v/>
      </c>
      <c r="AT103" s="41">
        <f>IF(N('Dvd Calendar'!$H$1427)=0,"",IF(('Dvd Calendar'!$H$1427&gt;=MIN(DATE(Summary!$C$12,1,1),Summary!$C$11))*('Dvd Calendar'!$H$1427&lt;=MAX(DATE(Summary!$C$12,12,31),Summary!$C$15))*('Dvd Calendar'!$H$1427&gt;Summary!$C$11)=0,"",'Dvd Calendar'!$H$1427*1000000000+ISNUMBER('Dvd Calendar'!$H$1428)*100000000+('Dvd Calendar'!$H$1432='Field Check'!$C$25)*10000000+(N('Dvd Calendar'!$H$1426)&gt;0)*1000000+95*1000+44))</f>
        <v/>
      </c>
      <c r="AU103" s="41">
        <f>IF(N('Dvd Calendar'!$I$1427)=0,"",IF(('Dvd Calendar'!$I$1427&gt;=MIN(DATE(Summary!$C$12,1,1),Summary!$C$11))*('Dvd Calendar'!$I$1427&lt;=MAX(DATE(Summary!$C$12,12,31),Summary!$C$15))*('Dvd Calendar'!$I$1427&gt;Summary!$C$11)=0,"",'Dvd Calendar'!$I$1427*1000000000+ISNUMBER('Dvd Calendar'!$I$1428)*100000000+('Dvd Calendar'!$I$1432='Field Check'!$C$25)*10000000+(N('Dvd Calendar'!$I$1426)&gt;0)*1000000+95*1000+45))</f>
        <v/>
      </c>
      <c r="AV103" s="41">
        <f>IF(N('Dvd Calendar'!$J$1427)=0,"",IF(('Dvd Calendar'!$J$1427&gt;=MIN(DATE(Summary!$C$12,1,1),Summary!$C$11))*('Dvd Calendar'!$J$1427&lt;=MAX(DATE(Summary!$C$12,12,31),Summary!$C$15))*('Dvd Calendar'!$J$1427&gt;Summary!$C$11)=0,"",'Dvd Calendar'!$J$1427*1000000000+ISNUMBER('Dvd Calendar'!$J$1428)*100000000+('Dvd Calendar'!$J$1432='Field Check'!$C$25)*10000000+(N('Dvd Calendar'!$J$1426)&gt;0)*1000000+95*1000+46))</f>
        <v/>
      </c>
      <c r="AW103" s="41">
        <f>IF(N('Dvd Calendar'!$K$1427)=0,"",IF(('Dvd Calendar'!$K$1427&gt;=MIN(DATE(Summary!$C$12,1,1),Summary!$C$11))*('Dvd Calendar'!$K$1427&lt;=MAX(DATE(Summary!$C$12,12,31),Summary!$C$15))*('Dvd Calendar'!$K$1427&gt;Summary!$C$11)=0,"",'Dvd Calendar'!$K$1427*1000000000+ISNUMBER('Dvd Calendar'!$K$1428)*100000000+('Dvd Calendar'!$K$1432='Field Check'!$C$25)*10000000+(N('Dvd Calendar'!$K$1426)&gt;0)*1000000+95*1000+47))</f>
        <v/>
      </c>
      <c r="AX103" s="41">
        <f>IF(N('Dvd Calendar'!$L$1427)=0,"",IF(('Dvd Calendar'!$L$1427&gt;=MIN(DATE(Summary!$C$12,1,1),Summary!$C$11))*('Dvd Calendar'!$L$1427&lt;=MAX(DATE(Summary!$C$12,12,31),Summary!$C$15))*('Dvd Calendar'!$L$1427&gt;Summary!$C$11)=0,"",'Dvd Calendar'!$L$1427*1000000000+ISNUMBER('Dvd Calendar'!$L$1428)*100000000+('Dvd Calendar'!$L$1432='Field Check'!$C$25)*10000000+(N('Dvd Calendar'!$L$1426)&gt;0)*1000000+95*1000+48))</f>
        <v/>
      </c>
      <c r="AY103" s="41">
        <f>IF(N('Dvd Calendar'!$M$1427)=0,"",IF(('Dvd Calendar'!$M$1427&gt;=MIN(DATE(Summary!$C$12,1,1),Summary!$C$11))*('Dvd Calendar'!$M$1427&lt;=MAX(DATE(Summary!$C$12,12,31),Summary!$C$15))*('Dvd Calendar'!$M$1427&gt;Summary!$C$11)=0,"",'Dvd Calendar'!$M$1427*1000000000+ISNUMBER('Dvd Calendar'!$M$1428)*100000000+('Dvd Calendar'!$M$1432='Field Check'!$C$25)*10000000+(N('Dvd Calendar'!$M$1426)&gt;0)*1000000+95*1000+49))</f>
        <v/>
      </c>
      <c r="AZ103" s="41">
        <f>IF(N('Dvd Calendar'!$N$1427)=0,"",IF(('Dvd Calendar'!$N$1427&gt;=MIN(DATE(Summary!$C$12,1,1),Summary!$C$11))*('Dvd Calendar'!$N$1427&lt;=MAX(DATE(Summary!$C$12,12,31),Summary!$C$15))*('Dvd Calendar'!$N$1427&gt;Summary!$C$11)=0,"",'Dvd Calendar'!$N$1427*1000000000+ISNUMBER('Dvd Calendar'!$N$1428)*100000000+('Dvd Calendar'!$N$1432='Field Check'!$C$25)*10000000+(N('Dvd Calendar'!$N$1426)&gt;0)*1000000+95*1000+50))</f>
        <v/>
      </c>
      <c r="BA103" s="41">
        <f>IF(N('Dvd Calendar'!$O$1427)=0,"",IF(('Dvd Calendar'!$O$1427&gt;=MIN(DATE(Summary!$C$12,1,1),Summary!$C$11))*('Dvd Calendar'!$O$1427&lt;=MAX(DATE(Summary!$C$12,12,31),Summary!$C$15))*('Dvd Calendar'!$O$1427&gt;Summary!$C$11)=0,"",'Dvd Calendar'!$O$1427*1000000000+ISNUMBER('Dvd Calendar'!$O$1428)*100000000+('Dvd Calendar'!$O$1432='Field Check'!$C$25)*10000000+(N('Dvd Calendar'!$O$1426)&gt;0)*1000000+95*1000+51))</f>
        <v/>
      </c>
      <c r="BB103" s="41">
        <f>IF(N('Dvd Calendar'!$P$1427)=0,"",IF(('Dvd Calendar'!$P$1427&gt;=MIN(DATE(Summary!$C$12,1,1),Summary!$C$11))*('Dvd Calendar'!$P$1427&lt;=MAX(DATE(Summary!$C$12,12,31),Summary!$C$15))*('Dvd Calendar'!$P$1427&gt;Summary!$C$11)=0,"",'Dvd Calendar'!$P$1427*1000000000+ISNUMBER('Dvd Calendar'!$P$1428)*100000000+('Dvd Calendar'!$P$1432='Field Check'!$C$25)*10000000+(N('Dvd Calendar'!$P$1426)&gt;0)*1000000+95*1000+52))</f>
        <v/>
      </c>
      <c r="BC103" s="41">
        <f>IF(N('Dvd Calendar'!$Q$1427)=0,"",IF(('Dvd Calendar'!$Q$1427&gt;=MIN(DATE(Summary!$C$12,1,1),Summary!$C$11))*('Dvd Calendar'!$Q$1427&lt;=MAX(DATE(Summary!$C$12,12,31),Summary!$C$15))*('Dvd Calendar'!$Q$1427&gt;Summary!$C$11)=0,"",'Dvd Calendar'!$Q$1427*1000000000+ISNUMBER('Dvd Calendar'!$Q$1428)*100000000+('Dvd Calendar'!$Q$1432='Field Check'!$C$25)*10000000+(N('Dvd Calendar'!$Q$1426)&gt;0)*1000000+95*1000+53))</f>
        <v/>
      </c>
      <c r="BD103" s="41">
        <f>IF(N('Dvd Calendar'!$R$1427)=0,"",IF(('Dvd Calendar'!$R$1427&gt;=MIN(DATE(Summary!$C$12,1,1),Summary!$C$11))*('Dvd Calendar'!$R$1427&lt;=MAX(DATE(Summary!$C$12,12,31),Summary!$C$15))*('Dvd Calendar'!$R$1427&gt;Summary!$C$11)=0,"",'Dvd Calendar'!$R$1427*1000000000+ISNUMBER('Dvd Calendar'!$R$1428)*100000000+('Dvd Calendar'!$R$1432='Field Check'!$C$25)*10000000+(N('Dvd Calendar'!$R$1426)&gt;0)*1000000+95*1000+54))</f>
        <v/>
      </c>
      <c r="BE103" s="41">
        <f>IF(N('Dvd Calendar'!$S$1427)=0,"",IF(('Dvd Calendar'!$S$1427&gt;=MIN(DATE(Summary!$C$12,1,1),Summary!$C$11))*('Dvd Calendar'!$S$1427&lt;=MAX(DATE(Summary!$C$12,12,31),Summary!$C$15))*('Dvd Calendar'!$S$1427&gt;Summary!$C$11)=0,"",'Dvd Calendar'!$S$1427*1000000000+ISNUMBER('Dvd Calendar'!$S$1428)*100000000+('Dvd Calendar'!$S$1432='Field Check'!$C$25)*10000000+(N('Dvd Calendar'!$S$1426)&gt;0)*1000000+95*1000+55))</f>
        <v/>
      </c>
      <c r="BF103" s="41">
        <f>IF(N('Dvd Calendar'!$T$1427)=0,"",IF(('Dvd Calendar'!$T$1427&gt;=MIN(DATE(Summary!$C$12,1,1),Summary!$C$11))*('Dvd Calendar'!$T$1427&lt;=MAX(DATE(Summary!$C$12,12,31),Summary!$C$15))*('Dvd Calendar'!$T$1427&gt;Summary!$C$11)=0,"",'Dvd Calendar'!$T$1427*1000000000+ISNUMBER('Dvd Calendar'!$T$1428)*100000000+('Dvd Calendar'!$T$1432='Field Check'!$C$25)*10000000+(N('Dvd Calendar'!$T$1426)&gt;0)*1000000+95*1000+56))</f>
        <v/>
      </c>
      <c r="BG103" s="41">
        <f>IF(N('Dvd Calendar'!$U$1427)=0,"",IF(('Dvd Calendar'!$U$1427&gt;=MIN(DATE(Summary!$C$12,1,1),Summary!$C$11))*('Dvd Calendar'!$U$1427&lt;=MAX(DATE(Summary!$C$12,12,31),Summary!$C$15))*('Dvd Calendar'!$U$1427&gt;Summary!$C$11)=0,"",'Dvd Calendar'!$U$1427*1000000000+ISNUMBER('Dvd Calendar'!$U$1428)*100000000+('Dvd Calendar'!$U$1432='Field Check'!$C$25)*10000000+(N('Dvd Calendar'!$U$1426)&gt;0)*1000000+95*1000+57))</f>
        <v/>
      </c>
      <c r="BH103" s="41">
        <f>IF(N('Dvd Calendar'!$V$1427)=0,"",IF(('Dvd Calendar'!$V$1427&gt;=MIN(DATE(Summary!$C$12,1,1),Summary!$C$11))*('Dvd Calendar'!$V$1427&lt;=MAX(DATE(Summary!$C$12,12,31),Summary!$C$15))*('Dvd Calendar'!$V$1427&gt;Summary!$C$11)=0,"",'Dvd Calendar'!$V$1427*1000000000+ISNUMBER('Dvd Calendar'!$V$1428)*100000000+('Dvd Calendar'!$V$1432='Field Check'!$C$25)*10000000+(N('Dvd Calendar'!$V$1426)&gt;0)*1000000+95*1000+58))</f>
        <v/>
      </c>
      <c r="BI103" s="41">
        <f>IF(N('Dvd Calendar'!$W$1427)=0,"",IF(('Dvd Calendar'!$W$1427&gt;=MIN(DATE(Summary!$C$12,1,1),Summary!$C$11))*('Dvd Calendar'!$W$1427&lt;=MAX(DATE(Summary!$C$12,12,31),Summary!$C$15))*('Dvd Calendar'!$W$1427&gt;Summary!$C$11)=0,"",'Dvd Calendar'!$W$1427*1000000000+ISNUMBER('Dvd Calendar'!$W$1428)*100000000+('Dvd Calendar'!$W$1432='Field Check'!$C$25)*10000000+(N('Dvd Calendar'!$W$1426)&gt;0)*1000000+95*1000+59))</f>
        <v/>
      </c>
      <c r="BJ103" s="41">
        <f>IF(N('Dvd Calendar'!$X$1427)=0,"",IF(('Dvd Calendar'!$X$1427&gt;=MIN(DATE(Summary!$C$12,1,1),Summary!$C$11))*('Dvd Calendar'!$X$1427&lt;=MAX(DATE(Summary!$C$12,12,31),Summary!$C$15))*('Dvd Calendar'!$X$1427&gt;Summary!$C$11)=0,"",'Dvd Calendar'!$X$1427*1000000000+ISNUMBER('Dvd Calendar'!$X$1428)*100000000+('Dvd Calendar'!$X$1432='Field Check'!$C$25)*10000000+(N('Dvd Calendar'!$X$1426)&gt;0)*1000000+95*1000+60))</f>
        <v/>
      </c>
      <c r="BK103" s="41">
        <f>IF(N('Dvd Calendar'!$Y$1427)=0,"",IF(('Dvd Calendar'!$Y$1427&gt;=MIN(DATE(Summary!$C$12,1,1),Summary!$C$11))*('Dvd Calendar'!$Y$1427&lt;=MAX(DATE(Summary!$C$12,12,31),Summary!$C$15))*('Dvd Calendar'!$Y$1427&gt;Summary!$C$11)=0,"",'Dvd Calendar'!$Y$1427*1000000000+ISNUMBER('Dvd Calendar'!$Y$1428)*100000000+('Dvd Calendar'!$Y$1432='Field Check'!$C$25)*10000000+(N('Dvd Calendar'!$Y$1426)&gt;0)*1000000+95*1000+61))</f>
        <v/>
      </c>
      <c r="BL103" s="41">
        <f>IF(N('Dvd Calendar'!$Z$1427)=0,"",IF(('Dvd Calendar'!$Z$1427&gt;=MIN(DATE(Summary!$C$12,1,1),Summary!$C$11))*('Dvd Calendar'!$Z$1427&lt;=MAX(DATE(Summary!$C$12,12,31),Summary!$C$15))*('Dvd Calendar'!$Z$1427&gt;Summary!$C$11)=0,"",'Dvd Calendar'!$Z$1427*1000000000+ISNUMBER('Dvd Calendar'!$Z$1428)*100000000+('Dvd Calendar'!$Z$1432='Field Check'!$C$25)*10000000+(N('Dvd Calendar'!$Z$1426)&gt;0)*1000000+95*1000+62))</f>
        <v/>
      </c>
      <c r="BM103" s="41">
        <f>IF(N('Dvd Calendar'!$AA$1427)=0,"",IF(('Dvd Calendar'!$AA$1427&gt;=MIN(DATE(Summary!$C$12,1,1),Summary!$C$11))*('Dvd Calendar'!$AA$1427&lt;=MAX(DATE(Summary!$C$12,12,31),Summary!$C$15))*('Dvd Calendar'!$AA$1427&gt;Summary!$C$11)=0,"",'Dvd Calendar'!$AA$1427*1000000000+ISNUMBER('Dvd Calendar'!$AA$1428)*100000000+('Dvd Calendar'!$AA$1432='Field Check'!$C$25)*10000000+(N('Dvd Calendar'!$AA$1426)&gt;0)*1000000+95*1000+63))</f>
        <v/>
      </c>
      <c r="BN103" s="41">
        <f>IF(N('Dvd Calendar'!$AB$1427)=0,"",IF(('Dvd Calendar'!$AB$1427&gt;=MIN(DATE(Summary!$C$12,1,1),Summary!$C$11))*('Dvd Calendar'!$AB$1427&lt;=MAX(DATE(Summary!$C$12,12,31),Summary!$C$15))*('Dvd Calendar'!$AB$1427&gt;Summary!$C$11)=0,"",'Dvd Calendar'!$AB$1427*1000000000+ISNUMBER('Dvd Calendar'!$AB$1428)*100000000+('Dvd Calendar'!$AB$1432='Field Check'!$C$25)*10000000+(N('Dvd Calendar'!$AB$1426)&gt;0)*1000000+95*1000+64))</f>
        <v/>
      </c>
      <c r="BO103" s="41">
        <f>IF(N('Dvd Calendar'!$AC$1427)=0,"",IF(('Dvd Calendar'!$AC$1427&gt;=MIN(DATE(Summary!$C$12,1,1),Summary!$C$11))*('Dvd Calendar'!$AC$1427&lt;=MAX(DATE(Summary!$C$12,12,31),Summary!$C$15))*('Dvd Calendar'!$AC$1427&gt;Summary!$C$11)=0,"",'Dvd Calendar'!$AC$1427*1000000000+ISNUMBER('Dvd Calendar'!$AC$1428)*100000000+('Dvd Calendar'!$AC$1432='Field Check'!$C$25)*10000000+(N('Dvd Calendar'!$AC$1426)&gt;0)*1000000+95*1000+65))</f>
        <v/>
      </c>
      <c r="BQ103" s="85">
        <f>IF(C103="","",IF(ISNUMBER('Dvd Calendar'!$E$1421)=FALSE,"",IF((Summary!$C$13="N")*('Dvd Calendar'!$E$1425='Field Check'!$C$25)&gt;0,"",'Dvd Calendar'!$E$1421)))</f>
        <v/>
      </c>
      <c r="BR103" s="85">
        <f>IF(D103="","",IF(ISNUMBER('Dvd Calendar'!$F$1421)=FALSE,"",IF((Summary!$C$13="N")*('Dvd Calendar'!$F$1425='Field Check'!$C$25)&gt;0,"",'Dvd Calendar'!$F$1421)))</f>
        <v/>
      </c>
      <c r="BS103" s="85">
        <f>IF(E103="","",IF(ISNUMBER('Dvd Calendar'!$G$1421)=FALSE,"",IF((Summary!$C$13="N")*('Dvd Calendar'!$G$1425='Field Check'!$C$25)&gt;0,"",'Dvd Calendar'!$G$1421)))</f>
        <v/>
      </c>
      <c r="BT103" s="85">
        <f>IF(F103="","",IF(ISNUMBER('Dvd Calendar'!$H$1421)=FALSE,"",IF((Summary!$C$13="N")*('Dvd Calendar'!$H$1425='Field Check'!$C$25)&gt;0,"",'Dvd Calendar'!$H$1421)))</f>
        <v/>
      </c>
      <c r="BU103" s="85">
        <f>IF(G103="","",IF(ISNUMBER('Dvd Calendar'!$I$1421)=FALSE,"",IF((Summary!$C$13="N")*('Dvd Calendar'!$I$1425='Field Check'!$C$25)&gt;0,"",'Dvd Calendar'!$I$1421)))</f>
        <v/>
      </c>
      <c r="BV103" s="85">
        <f>IF(H103="","",IF(ISNUMBER('Dvd Calendar'!$J$1421)=FALSE,"",IF((Summary!$C$13="N")*('Dvd Calendar'!$J$1425='Field Check'!$C$25)&gt;0,"",'Dvd Calendar'!$J$1421)))</f>
        <v/>
      </c>
      <c r="BW103" s="85">
        <f>IF(I103="","",IF(ISNUMBER('Dvd Calendar'!$K$1421)=FALSE,"",IF((Summary!$C$13="N")*('Dvd Calendar'!$K$1425='Field Check'!$C$25)&gt;0,"",'Dvd Calendar'!$K$1421)))</f>
        <v/>
      </c>
      <c r="BX103" s="85">
        <f>IF(J103="","",IF(ISNUMBER('Dvd Calendar'!$L$1421)=FALSE,"",IF((Summary!$C$13="N")*('Dvd Calendar'!$L$1425='Field Check'!$C$25)&gt;0,"",'Dvd Calendar'!$L$1421)))</f>
        <v/>
      </c>
      <c r="BY103" s="85">
        <f>IF(K103="","",IF(ISNUMBER('Dvd Calendar'!$M$1421)=FALSE,"",IF((Summary!$C$13="N")*('Dvd Calendar'!$M$1425='Field Check'!$C$25)&gt;0,"",'Dvd Calendar'!$M$1421)))</f>
        <v/>
      </c>
      <c r="BZ103" s="85">
        <f>IF(L103="","",IF(ISNUMBER('Dvd Calendar'!$N$1421)=FALSE,"",IF((Summary!$C$13="N")*('Dvd Calendar'!$N$1425='Field Check'!$C$25)&gt;0,"",'Dvd Calendar'!$N$1421)))</f>
        <v/>
      </c>
      <c r="CA103" s="85">
        <f>IF(M103="","",IF(ISNUMBER('Dvd Calendar'!$O$1421)=FALSE,"",IF((Summary!$C$13="N")*('Dvd Calendar'!$O$1425='Field Check'!$C$25)&gt;0,"",'Dvd Calendar'!$O$1421)))</f>
        <v/>
      </c>
      <c r="CB103" s="85">
        <f>IF(N103="","",IF(ISNUMBER('Dvd Calendar'!$P$1421)=FALSE,"",IF((Summary!$C$13="N")*('Dvd Calendar'!$P$1425='Field Check'!$C$25)&gt;0,"",'Dvd Calendar'!$P$1421)))</f>
        <v/>
      </c>
      <c r="CC103" s="85">
        <f>IF(O103="","",IF(ISNUMBER('Dvd Calendar'!$Q$1421)=FALSE,"",IF((Summary!$C$13="N")*('Dvd Calendar'!$Q$1425='Field Check'!$C$25)&gt;0,"",'Dvd Calendar'!$Q$1421)))</f>
        <v/>
      </c>
      <c r="CD103" s="85">
        <f>IF(P103="","",IF(ISNUMBER('Dvd Calendar'!$R$1421)=FALSE,"",IF((Summary!$C$13="N")*('Dvd Calendar'!$R$1425='Field Check'!$C$25)&gt;0,"",'Dvd Calendar'!$R$1421)))</f>
        <v/>
      </c>
      <c r="CE103" s="85">
        <f>IF(Q103="","",IF(ISNUMBER('Dvd Calendar'!$S$1421)=FALSE,"",IF((Summary!$C$13="N")*('Dvd Calendar'!$S$1425='Field Check'!$C$25)&gt;0,"",'Dvd Calendar'!$S$1421)))</f>
        <v/>
      </c>
      <c r="CF103" s="85">
        <f>IF(R103="","",IF(ISNUMBER('Dvd Calendar'!$T$1421)=FALSE,"",IF((Summary!$C$13="N")*('Dvd Calendar'!$T$1425='Field Check'!$C$25)&gt;0,"",'Dvd Calendar'!$T$1421)))</f>
        <v/>
      </c>
      <c r="CG103" s="85">
        <f>IF(S103="","",IF(ISNUMBER('Dvd Calendar'!$U$1421)=FALSE,"",IF((Summary!$C$13="N")*('Dvd Calendar'!$U$1425='Field Check'!$C$25)&gt;0,"",'Dvd Calendar'!$U$1421)))</f>
        <v/>
      </c>
      <c r="CH103" s="85">
        <f>IF(T103="","",IF(ISNUMBER('Dvd Calendar'!$V$1421)=FALSE,"",IF((Summary!$C$13="N")*('Dvd Calendar'!$V$1425='Field Check'!$C$25)&gt;0,"",'Dvd Calendar'!$V$1421)))</f>
        <v/>
      </c>
      <c r="CI103" s="85">
        <f>IF(U103="","",IF(ISNUMBER('Dvd Calendar'!$W$1421)=FALSE,"",IF((Summary!$C$13="N")*('Dvd Calendar'!$W$1425='Field Check'!$C$25)&gt;0,"",'Dvd Calendar'!$W$1421)))</f>
        <v/>
      </c>
      <c r="CJ103" s="85">
        <f>IF(V103="","",IF(ISNUMBER('Dvd Calendar'!$X$1421)=FALSE,"",IF((Summary!$C$13="N")*('Dvd Calendar'!$X$1425='Field Check'!$C$25)&gt;0,"",'Dvd Calendar'!$X$1421)))</f>
        <v/>
      </c>
      <c r="CK103" s="85">
        <f>IF(W103="","",IF(ISNUMBER('Dvd Calendar'!$Y$1421)=FALSE,"",IF((Summary!$C$13="N")*('Dvd Calendar'!$Y$1425='Field Check'!$C$25)&gt;0,"",'Dvd Calendar'!$Y$1421)))</f>
        <v/>
      </c>
      <c r="CL103" s="85">
        <f>IF(X103="","",IF(ISNUMBER('Dvd Calendar'!$Z$1421)=FALSE,"",IF((Summary!$C$13="N")*('Dvd Calendar'!$Z$1425='Field Check'!$C$25)&gt;0,"",'Dvd Calendar'!$Z$1421)))</f>
        <v/>
      </c>
      <c r="CM103" s="85">
        <f>IF(Y103="","",IF(ISNUMBER('Dvd Calendar'!$AA$1421)=FALSE,"",IF((Summary!$C$13="N")*('Dvd Calendar'!$AA$1425='Field Check'!$C$25)&gt;0,"",'Dvd Calendar'!$AA$1421)))</f>
        <v/>
      </c>
      <c r="CN103" s="85">
        <f>IF(Z103="","",IF(ISNUMBER('Dvd Calendar'!$AB$1421)=FALSE,"",IF((Summary!$C$13="N")*('Dvd Calendar'!$AB$1425='Field Check'!$C$25)&gt;0,"",'Dvd Calendar'!$AB$1421)))</f>
        <v/>
      </c>
      <c r="CO103" s="85">
        <f>IF(AA103="","",IF(ISNUMBER('Dvd Calendar'!$AC$1421)=FALSE,"",IF((Summary!$C$13="N")*('Dvd Calendar'!$AC$1425='Field Check'!$C$25)&gt;0,"",'Dvd Calendar'!$AC$1421)))</f>
        <v/>
      </c>
      <c r="CP103" s="85">
        <f>IF(AB103="","",IF(ISNUMBER('Dvd Calendar'!$AD$1421)=FALSE,"",IF((Summary!$C$13="N")*('Dvd Calendar'!$AD$1425='Field Check'!$C$25)&gt;0,"",'Dvd Calendar'!$AD$1421)))</f>
        <v/>
      </c>
      <c r="CQ103" s="85">
        <f>IF(AC103="","",IF(ISNUMBER('Dvd Calendar'!$AE$1421)=FALSE,"",IF((Summary!$C$13="N")*('Dvd Calendar'!$AE$1425='Field Check'!$C$25)&gt;0,"",'Dvd Calendar'!$AE$1421)))</f>
        <v/>
      </c>
      <c r="CR103" s="85">
        <f>IF(AD103="","",IF(ISNUMBER('Dvd Calendar'!$AF$1421)=FALSE,"",IF((Summary!$C$13="N")*('Dvd Calendar'!$AF$1425='Field Check'!$C$25)&gt;0,"",'Dvd Calendar'!$AF$1421)))</f>
        <v/>
      </c>
      <c r="CS103" s="85">
        <f>IF(AE103="","",IF(ISNUMBER('Dvd Calendar'!$AG$1421)=FALSE,"",IF((Summary!$C$13="N")*('Dvd Calendar'!$AG$1425='Field Check'!$C$25)&gt;0,"",'Dvd Calendar'!$AG$1421)))</f>
        <v/>
      </c>
      <c r="CT103" s="85">
        <f>IF(AF103="","",IF(ISNUMBER('Dvd Calendar'!$AH$1421)=FALSE,"",IF((Summary!$C$13="N")*('Dvd Calendar'!$AH$1425='Field Check'!$C$25)&gt;0,"",'Dvd Calendar'!$AH$1421)))</f>
        <v/>
      </c>
      <c r="CU103" s="85">
        <f>IF(AG103="","",IF(ISNUMBER('Dvd Calendar'!$AI$1421)=FALSE,"",IF((Summary!$C$13="N")*('Dvd Calendar'!$AI$1425='Field Check'!$C$25)&gt;0,"",'Dvd Calendar'!$AI$1421)))</f>
        <v/>
      </c>
      <c r="CV103" s="85">
        <f>IF(AH103="","",IF(ISNUMBER('Dvd Calendar'!$AJ$1421)=FALSE,"",IF((Summary!$C$13="N")*('Dvd Calendar'!$AJ$1425='Field Check'!$C$25)&gt;0,"",'Dvd Calendar'!$AJ$1421)))</f>
        <v/>
      </c>
      <c r="CW103" s="85">
        <f>IF(AI103="","",IF(ISNUMBER('Dvd Calendar'!$AK$1421)=FALSE,"",IF((Summary!$C$13="N")*('Dvd Calendar'!$AK$1425='Field Check'!$C$25)&gt;0,"",'Dvd Calendar'!$AK$1421)))</f>
        <v/>
      </c>
      <c r="CX103" s="85">
        <f>IF(AJ103="","",IF(ISNUMBER('Dvd Calendar'!$AL$1421)=FALSE,"",IF((Summary!$C$13="N")*('Dvd Calendar'!$AL$1425='Field Check'!$C$25)&gt;0,"",'Dvd Calendar'!$AL$1421)))</f>
        <v/>
      </c>
      <c r="CY103" s="85">
        <f>IF(AK103="","",IF(ISNUMBER('Dvd Calendar'!$AM$1421)=FALSE,"",IF((Summary!$C$13="N")*('Dvd Calendar'!$AM$1425='Field Check'!$C$25)&gt;0,"",'Dvd Calendar'!$AM$1421)))</f>
        <v/>
      </c>
      <c r="CZ103" s="85">
        <f>IF(AL103="","",IF(ISNUMBER('Dvd Calendar'!$AN$1421)=FALSE,"",IF((Summary!$C$13="N")*('Dvd Calendar'!$AN$1425='Field Check'!$C$25)&gt;0,"",'Dvd Calendar'!$AN$1421)))</f>
        <v/>
      </c>
      <c r="DA103" s="85">
        <f>IF(AM103="","",IF(ISNUMBER('Dvd Calendar'!$AO$1421)=FALSE,"",IF((Summary!$C$13="N")*('Dvd Calendar'!$AO$1425='Field Check'!$C$25)&gt;0,"",'Dvd Calendar'!$AO$1421)))</f>
        <v/>
      </c>
      <c r="DB103" s="85">
        <f>IF(AN103="","",IF(ISNUMBER('Dvd Calendar'!$AP$1421)=FALSE,"",IF((Summary!$C$13="N")*('Dvd Calendar'!$AP$1425='Field Check'!$C$25)&gt;0,"",'Dvd Calendar'!$AP$1421)))</f>
        <v/>
      </c>
      <c r="DC103" s="85">
        <f>IF(AO103="","",IF(ISNUMBER('Dvd Calendar'!$AQ$1421)=FALSE,"",IF((Summary!$C$13="N")*('Dvd Calendar'!$AQ$1425='Field Check'!$C$25)&gt;0,"",'Dvd Calendar'!$AQ$1421)))</f>
        <v/>
      </c>
      <c r="DD103" s="85">
        <f>IF(AP103="","",IF(ISNUMBER('Dvd Calendar'!$AR$1421)=FALSE,"",IF((Summary!$C$13="N")*('Dvd Calendar'!$AR$1425='Field Check'!$C$25)&gt;0,"",'Dvd Calendar'!$AR$1421)))</f>
        <v/>
      </c>
      <c r="DE103" s="85">
        <f>IF(AQ103="","",IF(ISNUMBER('Dvd Calendar'!$E$1428)=FALSE,"",IF((Summary!$C$13="N")*('Dvd Calendar'!$E$1432='Field Check'!$C$25)&gt;0,"",'Dvd Calendar'!$E$1428)))</f>
        <v/>
      </c>
      <c r="DF103" s="85">
        <f>IF(AR103="","",IF(ISNUMBER('Dvd Calendar'!$F$1428)=FALSE,"",IF((Summary!$C$13="N")*('Dvd Calendar'!$F$1432='Field Check'!$C$25)&gt;0,"",'Dvd Calendar'!$F$1428)))</f>
        <v/>
      </c>
      <c r="DG103" s="85">
        <f>IF(AS103="","",IF(ISNUMBER('Dvd Calendar'!$G$1428)=FALSE,"",IF((Summary!$C$13="N")*('Dvd Calendar'!$G$1432='Field Check'!$C$25)&gt;0,"",'Dvd Calendar'!$G$1428)))</f>
        <v/>
      </c>
      <c r="DH103" s="85">
        <f>IF(AT103="","",IF(ISNUMBER('Dvd Calendar'!$H$1428)=FALSE,"",IF((Summary!$C$13="N")*('Dvd Calendar'!$H$1432='Field Check'!$C$25)&gt;0,"",'Dvd Calendar'!$H$1428)))</f>
        <v/>
      </c>
      <c r="DI103" s="85">
        <f>IF(AU103="","",IF(ISNUMBER('Dvd Calendar'!$I$1428)=FALSE,"",IF((Summary!$C$13="N")*('Dvd Calendar'!$I$1432='Field Check'!$C$25)&gt;0,"",'Dvd Calendar'!$I$1428)))</f>
        <v/>
      </c>
      <c r="DJ103" s="85">
        <f>IF(AV103="","",IF(ISNUMBER('Dvd Calendar'!$J$1428)=FALSE,"",IF((Summary!$C$13="N")*('Dvd Calendar'!$J$1432='Field Check'!$C$25)&gt;0,"",'Dvd Calendar'!$J$1428)))</f>
        <v/>
      </c>
      <c r="DK103" s="85">
        <f>IF(AW103="","",IF(ISNUMBER('Dvd Calendar'!$K$1428)=FALSE,"",IF((Summary!$C$13="N")*('Dvd Calendar'!$K$1432='Field Check'!$C$25)&gt;0,"",'Dvd Calendar'!$K$1428)))</f>
        <v/>
      </c>
      <c r="DL103" s="85">
        <f>IF(AX103="","",IF(ISNUMBER('Dvd Calendar'!$L$1428)=FALSE,"",IF((Summary!$C$13="N")*('Dvd Calendar'!$L$1432='Field Check'!$C$25)&gt;0,"",'Dvd Calendar'!$L$1428)))</f>
        <v/>
      </c>
      <c r="DM103" s="85">
        <f>IF(AY103="","",IF(ISNUMBER('Dvd Calendar'!$M$1428)=FALSE,"",IF((Summary!$C$13="N")*('Dvd Calendar'!$M$1432='Field Check'!$C$25)&gt;0,"",'Dvd Calendar'!$M$1428)))</f>
        <v/>
      </c>
      <c r="DN103" s="85">
        <f>IF(AZ103="","",IF(ISNUMBER('Dvd Calendar'!$N$1428)=FALSE,"",IF((Summary!$C$13="N")*('Dvd Calendar'!$N$1432='Field Check'!$C$25)&gt;0,"",'Dvd Calendar'!$N$1428)))</f>
        <v/>
      </c>
      <c r="DO103" s="85">
        <f>IF(BA103="","",IF(ISNUMBER('Dvd Calendar'!$O$1428)=FALSE,"",IF((Summary!$C$13="N")*('Dvd Calendar'!$O$1432='Field Check'!$C$25)&gt;0,"",'Dvd Calendar'!$O$1428)))</f>
        <v/>
      </c>
      <c r="DP103" s="85">
        <f>IF(BB103="","",IF(ISNUMBER('Dvd Calendar'!$P$1428)=FALSE,"",IF((Summary!$C$13="N")*('Dvd Calendar'!$P$1432='Field Check'!$C$25)&gt;0,"",'Dvd Calendar'!$P$1428)))</f>
        <v/>
      </c>
      <c r="DQ103" s="85">
        <f>IF(BC103="","",IF(ISNUMBER('Dvd Calendar'!$Q$1428)=FALSE,"",IF((Summary!$C$13="N")*('Dvd Calendar'!$Q$1432='Field Check'!$C$25)&gt;0,"",'Dvd Calendar'!$Q$1428)))</f>
        <v/>
      </c>
      <c r="DR103" s="85">
        <f>IF(BD103="","",IF(ISNUMBER('Dvd Calendar'!$R$1428)=FALSE,"",IF((Summary!$C$13="N")*('Dvd Calendar'!$R$1432='Field Check'!$C$25)&gt;0,"",'Dvd Calendar'!$R$1428)))</f>
        <v/>
      </c>
      <c r="DS103" s="85">
        <f>IF(BE103="","",IF(ISNUMBER('Dvd Calendar'!$S$1428)=FALSE,"",IF((Summary!$C$13="N")*('Dvd Calendar'!$S$1432='Field Check'!$C$25)&gt;0,"",'Dvd Calendar'!$S$1428)))</f>
        <v/>
      </c>
      <c r="DT103" s="85">
        <f>IF(BF103="","",IF(ISNUMBER('Dvd Calendar'!$T$1428)=FALSE,"",IF((Summary!$C$13="N")*('Dvd Calendar'!$T$1432='Field Check'!$C$25)&gt;0,"",'Dvd Calendar'!$T$1428)))</f>
        <v/>
      </c>
      <c r="DU103" s="85">
        <f>IF(BG103="","",IF(ISNUMBER('Dvd Calendar'!$U$1428)=FALSE,"",IF((Summary!$C$13="N")*('Dvd Calendar'!$U$1432='Field Check'!$C$25)&gt;0,"",'Dvd Calendar'!$U$1428)))</f>
        <v/>
      </c>
      <c r="DV103" s="85">
        <f>IF(BH103="","",IF(ISNUMBER('Dvd Calendar'!$V$1428)=FALSE,"",IF((Summary!$C$13="N")*('Dvd Calendar'!$V$1432='Field Check'!$C$25)&gt;0,"",'Dvd Calendar'!$V$1428)))</f>
        <v/>
      </c>
      <c r="DW103" s="85">
        <f>IF(BI103="","",IF(ISNUMBER('Dvd Calendar'!$W$1428)=FALSE,"",IF((Summary!$C$13="N")*('Dvd Calendar'!$W$1432='Field Check'!$C$25)&gt;0,"",'Dvd Calendar'!$W$1428)))</f>
        <v/>
      </c>
      <c r="DX103" s="85">
        <f>IF(BJ103="","",IF(ISNUMBER('Dvd Calendar'!$X$1428)=FALSE,"",IF((Summary!$C$13="N")*('Dvd Calendar'!$X$1432='Field Check'!$C$25)&gt;0,"",'Dvd Calendar'!$X$1428)))</f>
        <v/>
      </c>
      <c r="DY103" s="85">
        <f>IF(BK103="","",IF(ISNUMBER('Dvd Calendar'!$Y$1428)=FALSE,"",IF((Summary!$C$13="N")*('Dvd Calendar'!$Y$1432='Field Check'!$C$25)&gt;0,"",'Dvd Calendar'!$Y$1428)))</f>
        <v/>
      </c>
      <c r="DZ103" s="85">
        <f>IF(BL103="","",IF(ISNUMBER('Dvd Calendar'!$Z$1428)=FALSE,"",IF((Summary!$C$13="N")*('Dvd Calendar'!$Z$1432='Field Check'!$C$25)&gt;0,"",'Dvd Calendar'!$Z$1428)))</f>
        <v/>
      </c>
      <c r="EA103" s="85">
        <f>IF(BM103="","",IF(ISNUMBER('Dvd Calendar'!$AA$1428)=FALSE,"",IF((Summary!$C$13="N")*('Dvd Calendar'!$AA$1432='Field Check'!$C$25)&gt;0,"",'Dvd Calendar'!$AA$1428)))</f>
        <v/>
      </c>
      <c r="EB103" s="85">
        <f>IF(BN103="","",IF(ISNUMBER('Dvd Calendar'!$AB$1428)=FALSE,"",IF((Summary!$C$13="N")*('Dvd Calendar'!$AB$1432='Field Check'!$C$25)&gt;0,"",'Dvd Calendar'!$AB$1428)))</f>
        <v/>
      </c>
      <c r="EC103" s="85">
        <f>IF(BO103="","",IF(ISNUMBER('Dvd Calendar'!$AC$1428)=FALSE,"",IF((Summary!$C$13="N")*('Dvd Calendar'!$AC$1432='Field Check'!$C$25)&gt;0,"",'Dvd Calendar'!$AC$1428)))</f>
        <v/>
      </c>
      <c r="EE103" s="85">
        <f>IF(BQ103="","",IFERROR(BQ103*HSI!$B$101*HSI!$G$101/HSI!$B$3,""))</f>
        <v/>
      </c>
      <c r="EF103" s="85">
        <f>IF(BR103="","",IFERROR(BR103*HSI!$B$101*HSI!$G$101/HSI!$B$3,""))</f>
        <v/>
      </c>
      <c r="EG103" s="85">
        <f>IF(BS103="","",IFERROR(BS103*HSI!$B$101*HSI!$G$101/HSI!$B$3,""))</f>
        <v/>
      </c>
      <c r="EH103" s="85">
        <f>IF(BT103="","",IFERROR(BT103*HSI!$B$101*HSI!$G$101/HSI!$B$3,""))</f>
        <v/>
      </c>
      <c r="EI103" s="85">
        <f>IF(BU103="","",IFERROR(BU103*HSI!$B$101*HSI!$G$101/HSI!$B$3,""))</f>
        <v/>
      </c>
      <c r="EJ103" s="85">
        <f>IF(BV103="","",IFERROR(BV103*HSI!$B$101*HSI!$G$101/HSI!$B$3,""))</f>
        <v/>
      </c>
      <c r="EK103" s="85">
        <f>IF(BW103="","",IFERROR(BW103*HSI!$B$101*HSI!$G$101/HSI!$B$3,""))</f>
        <v/>
      </c>
      <c r="EL103" s="85">
        <f>IF(BX103="","",IFERROR(BX103*HSI!$B$101*HSI!$G$101/HSI!$B$3,""))</f>
        <v/>
      </c>
      <c r="EM103" s="85">
        <f>IF(BY103="","",IFERROR(BY103*HSI!$B$101*HSI!$G$101/HSI!$B$3,""))</f>
        <v/>
      </c>
      <c r="EN103" s="85">
        <f>IF(BZ103="","",IFERROR(BZ103*HSI!$B$101*HSI!$G$101/HSI!$B$3,""))</f>
        <v/>
      </c>
      <c r="EO103" s="85">
        <f>IF(CA103="","",IFERROR(CA103*HSI!$B$101*HSI!$G$101/HSI!$B$3,""))</f>
        <v/>
      </c>
      <c r="EP103" s="85">
        <f>IF(CB103="","",IFERROR(CB103*HSI!$B$101*HSI!$G$101/HSI!$B$3,""))</f>
        <v/>
      </c>
      <c r="EQ103" s="85">
        <f>IF(CC103="","",IFERROR(CC103*HSI!$B$101*HSI!$G$101/HSI!$B$3,""))</f>
        <v/>
      </c>
      <c r="ER103" s="85">
        <f>IF(CD103="","",IFERROR(CD103*HSI!$B$101*HSI!$G$101/HSI!$B$3,""))</f>
        <v/>
      </c>
      <c r="ES103" s="85">
        <f>IF(CE103="","",IFERROR(CE103*HSI!$B$101*HSI!$G$101/HSI!$B$3,""))</f>
        <v/>
      </c>
      <c r="ET103" s="85">
        <f>IF(CF103="","",IFERROR(CF103*HSI!$B$101*HSI!$G$101/HSI!$B$3,""))</f>
        <v/>
      </c>
      <c r="EU103" s="85">
        <f>IF(CG103="","",IFERROR(CG103*HSI!$B$101*HSI!$G$101/HSI!$B$3,""))</f>
        <v/>
      </c>
      <c r="EV103" s="85">
        <f>IF(CH103="","",IFERROR(CH103*HSI!$B$101*HSI!$G$101/HSI!$B$3,""))</f>
        <v/>
      </c>
      <c r="EW103" s="85">
        <f>IF(CI103="","",IFERROR(CI103*HSI!$B$101*HSI!$G$101/HSI!$B$3,""))</f>
        <v/>
      </c>
      <c r="EX103" s="85">
        <f>IF(CJ103="","",IFERROR(CJ103*HSI!$B$101*HSI!$G$101/HSI!$B$3,""))</f>
        <v/>
      </c>
      <c r="EY103" s="85">
        <f>IF(CK103="","",IFERROR(CK103*HSI!$B$101*HSI!$G$101/HSI!$B$3,""))</f>
        <v/>
      </c>
      <c r="EZ103" s="85">
        <f>IF(CL103="","",IFERROR(CL103*HSI!$B$101*HSI!$G$101/HSI!$B$3,""))</f>
        <v/>
      </c>
      <c r="FA103" s="85">
        <f>IF(CM103="","",IFERROR(CM103*HSI!$B$101*HSI!$G$101/HSI!$B$3,""))</f>
        <v/>
      </c>
      <c r="FB103" s="85">
        <f>IF(CN103="","",IFERROR(CN103*HSI!$B$101*HSI!$G$101/HSI!$B$3,""))</f>
        <v/>
      </c>
      <c r="FC103" s="85">
        <f>IF(CO103="","",IFERROR(CO103*HSI!$B$101*HSI!$G$101/HSI!$B$3,""))</f>
        <v/>
      </c>
      <c r="FD103" s="85">
        <f>IF(CP103="","",IFERROR(CP103*HSI!$B$101*HSI!$G$101/HSI!$B$3,""))</f>
        <v/>
      </c>
      <c r="FE103" s="85">
        <f>IF(CQ103="","",IFERROR(CQ103*HSI!$B$101*HSI!$G$101/HSI!$B$3,""))</f>
        <v/>
      </c>
      <c r="FF103" s="85">
        <f>IF(CR103="","",IFERROR(CR103*HSI!$B$101*HSI!$G$101/HSI!$B$3,""))</f>
        <v/>
      </c>
      <c r="FG103" s="85">
        <f>IF(CS103="","",IFERROR(CS103*HSI!$B$101*HSI!$G$101/HSI!$B$3,""))</f>
        <v/>
      </c>
      <c r="FH103" s="85">
        <f>IF(CT103="","",IFERROR(CT103*HSI!$B$101*HSI!$G$101/HSI!$B$3,""))</f>
        <v/>
      </c>
      <c r="FI103" s="85">
        <f>IF(CU103="","",IFERROR(CU103*HSI!$B$101*HSI!$G$101/HSI!$B$3,""))</f>
        <v/>
      </c>
      <c r="FJ103" s="85">
        <f>IF(CV103="","",IFERROR(CV103*HSI!$B$101*HSI!$G$101/HSI!$B$3,""))</f>
        <v/>
      </c>
      <c r="FK103" s="85">
        <f>IF(CW103="","",IFERROR(CW103*HSI!$B$101*HSI!$G$101/HSI!$B$3,""))</f>
        <v/>
      </c>
      <c r="FL103" s="85">
        <f>IF(CX103="","",IFERROR(CX103*HSI!$B$101*HSI!$G$101/HSI!$B$3,""))</f>
        <v/>
      </c>
      <c r="FM103" s="85">
        <f>IF(CY103="","",IFERROR(CY103*HSI!$B$101*HSI!$G$101/HSI!$B$3,""))</f>
        <v/>
      </c>
      <c r="FN103" s="85">
        <f>IF(CZ103="","",IFERROR(CZ103*HSI!$B$101*HSI!$G$101/HSI!$B$3,""))</f>
        <v/>
      </c>
      <c r="FO103" s="85">
        <f>IF(DA103="","",IFERROR(DA103*HSI!$B$101*HSI!$G$101/HSI!$B$3,""))</f>
        <v/>
      </c>
      <c r="FP103" s="85">
        <f>IF(DB103="","",IFERROR(DB103*HSI!$B$101*HSI!$G$101/HSI!$B$3,""))</f>
        <v/>
      </c>
      <c r="FQ103" s="85">
        <f>IF(DC103="","",IFERROR(DC103*HSI!$B$101*HSI!$G$101/HSI!$B$3,""))</f>
        <v/>
      </c>
      <c r="FR103" s="85">
        <f>IF(DD103="","",IFERROR(DD103*HSI!$B$101*HSI!$G$101/HSI!$B$3,""))</f>
        <v/>
      </c>
      <c r="FS103" s="85">
        <f>IF(DE103="","",IFERROR(DE103*HSI!$B$101*HSI!$G$101/HSI!$B$3,""))</f>
        <v/>
      </c>
      <c r="FT103" s="85">
        <f>IF(DF103="","",IFERROR(DF103*HSI!$B$101*HSI!$G$101/HSI!$B$3,""))</f>
        <v/>
      </c>
      <c r="FU103" s="85">
        <f>IF(DG103="","",IFERROR(DG103*HSI!$B$101*HSI!$G$101/HSI!$B$3,""))</f>
        <v/>
      </c>
      <c r="FV103" s="85">
        <f>IF(DH103="","",IFERROR(DH103*HSI!$B$101*HSI!$G$101/HSI!$B$3,""))</f>
        <v/>
      </c>
      <c r="FW103" s="85">
        <f>IF(DI103="","",IFERROR(DI103*HSI!$B$101*HSI!$G$101/HSI!$B$3,""))</f>
        <v/>
      </c>
      <c r="FX103" s="85">
        <f>IF(DJ103="","",IFERROR(DJ103*HSI!$B$101*HSI!$G$101/HSI!$B$3,""))</f>
        <v/>
      </c>
      <c r="FY103" s="85">
        <f>IF(DK103="","",IFERROR(DK103*HSI!$B$101*HSI!$G$101/HSI!$B$3,""))</f>
        <v/>
      </c>
      <c r="FZ103" s="85">
        <f>IF(DL103="","",IFERROR(DL103*HSI!$B$101*HSI!$G$101/HSI!$B$3,""))</f>
        <v/>
      </c>
      <c r="GA103" s="85">
        <f>IF(DM103="","",IFERROR(DM103*HSI!$B$101*HSI!$G$101/HSI!$B$3,""))</f>
        <v/>
      </c>
      <c r="GB103" s="85">
        <f>IF(DN103="","",IFERROR(DN103*HSI!$B$101*HSI!$G$101/HSI!$B$3,""))</f>
        <v/>
      </c>
      <c r="GC103" s="85">
        <f>IF(DO103="","",IFERROR(DO103*HSI!$B$101*HSI!$G$101/HSI!$B$3,""))</f>
        <v/>
      </c>
      <c r="GD103" s="85">
        <f>IF(DP103="","",IFERROR(DP103*HSI!$B$101*HSI!$G$101/HSI!$B$3,""))</f>
        <v/>
      </c>
      <c r="GE103" s="85">
        <f>IF(DQ103="","",IFERROR(DQ103*HSI!$B$101*HSI!$G$101/HSI!$B$3,""))</f>
        <v/>
      </c>
      <c r="GF103" s="85">
        <f>IF(DR103="","",IFERROR(DR103*HSI!$B$101*HSI!$G$101/HSI!$B$3,""))</f>
        <v/>
      </c>
      <c r="GG103" s="85">
        <f>IF(DS103="","",IFERROR(DS103*HSI!$B$101*HSI!$G$101/HSI!$B$3,""))</f>
        <v/>
      </c>
      <c r="GH103" s="85">
        <f>IF(DT103="","",IFERROR(DT103*HSI!$B$101*HSI!$G$101/HSI!$B$3,""))</f>
        <v/>
      </c>
      <c r="GI103" s="85">
        <f>IF(DU103="","",IFERROR(DU103*HSI!$B$101*HSI!$G$101/HSI!$B$3,""))</f>
        <v/>
      </c>
      <c r="GJ103" s="85">
        <f>IF(DV103="","",IFERROR(DV103*HSI!$B$101*HSI!$G$101/HSI!$B$3,""))</f>
        <v/>
      </c>
      <c r="GK103" s="85">
        <f>IF(DW103="","",IFERROR(DW103*HSI!$B$101*HSI!$G$101/HSI!$B$3,""))</f>
        <v/>
      </c>
      <c r="GL103" s="85">
        <f>IF(DX103="","",IFERROR(DX103*HSI!$B$101*HSI!$G$101/HSI!$B$3,""))</f>
        <v/>
      </c>
      <c r="GM103" s="85">
        <f>IF(DY103="","",IFERROR(DY103*HSI!$B$101*HSI!$G$101/HSI!$B$3,""))</f>
        <v/>
      </c>
      <c r="GN103" s="85">
        <f>IF(DZ103="","",IFERROR(DZ103*HSI!$B$101*HSI!$G$101/HSI!$B$3,""))</f>
        <v/>
      </c>
      <c r="GO103" s="85">
        <f>IF(EA103="","",IFERROR(EA103*HSI!$B$101*HSI!$G$101/HSI!$B$3,""))</f>
        <v/>
      </c>
      <c r="GP103" s="85">
        <f>IF(EB103="","",IFERROR(EB103*HSI!$B$101*HSI!$G$101/HSI!$B$3,""))</f>
        <v/>
      </c>
      <c r="GQ103" s="85">
        <f>IF(EC103="","",IFERROR(EC103*HSI!$B$101*HSI!$G$101/HSI!$B$3,""))</f>
        <v/>
      </c>
    </row>
    <row r="104">
      <c r="B104" s="2">
        <f>IF(HSI!$C$102="","",HSI!$C$102)</f>
        <v/>
      </c>
      <c r="C104" s="41">
        <f>IF(N('Dvd Calendar'!$E$1435)=0,"",IF(('Dvd Calendar'!$E$1435&gt;=MIN(DATE(Summary!$C$12,1,1),Summary!$C$11))*('Dvd Calendar'!$E$1435&lt;=MAX(DATE(Summary!$C$12,12,31),Summary!$C$15))*('Dvd Calendar'!$E$1435&lt;=Summary!$C$11)=0,"",'Dvd Calendar'!$E$1435*1000000000+ISNUMBER('Dvd Calendar'!$E$1436)*100000000+('Dvd Calendar'!$E$1440='Field Check'!$C$25)*10000000+(N('Dvd Calendar'!$E$1434)&gt;0)*1000000+96*1000+1))</f>
        <v/>
      </c>
      <c r="D104" s="41">
        <f>IF(N('Dvd Calendar'!$F$1435)=0,"",IF(('Dvd Calendar'!$F$1435&gt;=MIN(DATE(Summary!$C$12,1,1),Summary!$C$11))*('Dvd Calendar'!$F$1435&lt;=MAX(DATE(Summary!$C$12,12,31),Summary!$C$15))*('Dvd Calendar'!$F$1435&lt;=Summary!$C$11)=0,"",'Dvd Calendar'!$F$1435*1000000000+ISNUMBER('Dvd Calendar'!$F$1436)*100000000+('Dvd Calendar'!$F$1440='Field Check'!$C$25)*10000000+(N('Dvd Calendar'!$F$1434)&gt;0)*1000000+96*1000+2))</f>
        <v/>
      </c>
      <c r="E104" s="41">
        <f>IF(N('Dvd Calendar'!$G$1435)=0,"",IF(('Dvd Calendar'!$G$1435&gt;=MIN(DATE(Summary!$C$12,1,1),Summary!$C$11))*('Dvd Calendar'!$G$1435&lt;=MAX(DATE(Summary!$C$12,12,31),Summary!$C$15))*('Dvd Calendar'!$G$1435&lt;=Summary!$C$11)=0,"",'Dvd Calendar'!$G$1435*1000000000+ISNUMBER('Dvd Calendar'!$G$1436)*100000000+('Dvd Calendar'!$G$1440='Field Check'!$C$25)*10000000+(N('Dvd Calendar'!$G$1434)&gt;0)*1000000+96*1000+3))</f>
        <v/>
      </c>
      <c r="F104" s="41">
        <f>IF(N('Dvd Calendar'!$H$1435)=0,"",IF(('Dvd Calendar'!$H$1435&gt;=MIN(DATE(Summary!$C$12,1,1),Summary!$C$11))*('Dvd Calendar'!$H$1435&lt;=MAX(DATE(Summary!$C$12,12,31),Summary!$C$15))*('Dvd Calendar'!$H$1435&lt;=Summary!$C$11)=0,"",'Dvd Calendar'!$H$1435*1000000000+ISNUMBER('Dvd Calendar'!$H$1436)*100000000+('Dvd Calendar'!$H$1440='Field Check'!$C$25)*10000000+(N('Dvd Calendar'!$H$1434)&gt;0)*1000000+96*1000+4))</f>
        <v/>
      </c>
      <c r="G104" s="41">
        <f>IF(N('Dvd Calendar'!$I$1435)=0,"",IF(('Dvd Calendar'!$I$1435&gt;=MIN(DATE(Summary!$C$12,1,1),Summary!$C$11))*('Dvd Calendar'!$I$1435&lt;=MAX(DATE(Summary!$C$12,12,31),Summary!$C$15))*('Dvd Calendar'!$I$1435&lt;=Summary!$C$11)=0,"",'Dvd Calendar'!$I$1435*1000000000+ISNUMBER('Dvd Calendar'!$I$1436)*100000000+('Dvd Calendar'!$I$1440='Field Check'!$C$25)*10000000+(N('Dvd Calendar'!$I$1434)&gt;0)*1000000+96*1000+5))</f>
        <v/>
      </c>
      <c r="H104" s="41">
        <f>IF(N('Dvd Calendar'!$J$1435)=0,"",IF(('Dvd Calendar'!$J$1435&gt;=MIN(DATE(Summary!$C$12,1,1),Summary!$C$11))*('Dvd Calendar'!$J$1435&lt;=MAX(DATE(Summary!$C$12,12,31),Summary!$C$15))*('Dvd Calendar'!$J$1435&lt;=Summary!$C$11)=0,"",'Dvd Calendar'!$J$1435*1000000000+ISNUMBER('Dvd Calendar'!$J$1436)*100000000+('Dvd Calendar'!$J$1440='Field Check'!$C$25)*10000000+(N('Dvd Calendar'!$J$1434)&gt;0)*1000000+96*1000+6))</f>
        <v/>
      </c>
      <c r="I104" s="41">
        <f>IF(N('Dvd Calendar'!$K$1435)=0,"",IF(('Dvd Calendar'!$K$1435&gt;=MIN(DATE(Summary!$C$12,1,1),Summary!$C$11))*('Dvd Calendar'!$K$1435&lt;=MAX(DATE(Summary!$C$12,12,31),Summary!$C$15))*('Dvd Calendar'!$K$1435&lt;=Summary!$C$11)=0,"",'Dvd Calendar'!$K$1435*1000000000+ISNUMBER('Dvd Calendar'!$K$1436)*100000000+('Dvd Calendar'!$K$1440='Field Check'!$C$25)*10000000+(N('Dvd Calendar'!$K$1434)&gt;0)*1000000+96*1000+7))</f>
        <v/>
      </c>
      <c r="J104" s="41">
        <f>IF(N('Dvd Calendar'!$L$1435)=0,"",IF(('Dvd Calendar'!$L$1435&gt;=MIN(DATE(Summary!$C$12,1,1),Summary!$C$11))*('Dvd Calendar'!$L$1435&lt;=MAX(DATE(Summary!$C$12,12,31),Summary!$C$15))*('Dvd Calendar'!$L$1435&lt;=Summary!$C$11)=0,"",'Dvd Calendar'!$L$1435*1000000000+ISNUMBER('Dvd Calendar'!$L$1436)*100000000+('Dvd Calendar'!$L$1440='Field Check'!$C$25)*10000000+(N('Dvd Calendar'!$L$1434)&gt;0)*1000000+96*1000+8))</f>
        <v/>
      </c>
      <c r="K104" s="41">
        <f>IF(N('Dvd Calendar'!$M$1435)=0,"",IF(('Dvd Calendar'!$M$1435&gt;=MIN(DATE(Summary!$C$12,1,1),Summary!$C$11))*('Dvd Calendar'!$M$1435&lt;=MAX(DATE(Summary!$C$12,12,31),Summary!$C$15))*('Dvd Calendar'!$M$1435&lt;=Summary!$C$11)=0,"",'Dvd Calendar'!$M$1435*1000000000+ISNUMBER('Dvd Calendar'!$M$1436)*100000000+('Dvd Calendar'!$M$1440='Field Check'!$C$25)*10000000+(N('Dvd Calendar'!$M$1434)&gt;0)*1000000+96*1000+9))</f>
        <v/>
      </c>
      <c r="L104" s="41">
        <f>IF(N('Dvd Calendar'!$N$1435)=0,"",IF(('Dvd Calendar'!$N$1435&gt;=MIN(DATE(Summary!$C$12,1,1),Summary!$C$11))*('Dvd Calendar'!$N$1435&lt;=MAX(DATE(Summary!$C$12,12,31),Summary!$C$15))*('Dvd Calendar'!$N$1435&lt;=Summary!$C$11)=0,"",'Dvd Calendar'!$N$1435*1000000000+ISNUMBER('Dvd Calendar'!$N$1436)*100000000+('Dvd Calendar'!$N$1440='Field Check'!$C$25)*10000000+(N('Dvd Calendar'!$N$1434)&gt;0)*1000000+96*1000+10))</f>
        <v/>
      </c>
      <c r="M104" s="41">
        <f>IF(N('Dvd Calendar'!$O$1435)=0,"",IF(('Dvd Calendar'!$O$1435&gt;=MIN(DATE(Summary!$C$12,1,1),Summary!$C$11))*('Dvd Calendar'!$O$1435&lt;=MAX(DATE(Summary!$C$12,12,31),Summary!$C$15))*('Dvd Calendar'!$O$1435&lt;=Summary!$C$11)=0,"",'Dvd Calendar'!$O$1435*1000000000+ISNUMBER('Dvd Calendar'!$O$1436)*100000000+('Dvd Calendar'!$O$1440='Field Check'!$C$25)*10000000+(N('Dvd Calendar'!$O$1434)&gt;0)*1000000+96*1000+11))</f>
        <v/>
      </c>
      <c r="N104" s="41">
        <f>IF(N('Dvd Calendar'!$P$1435)=0,"",IF(('Dvd Calendar'!$P$1435&gt;=MIN(DATE(Summary!$C$12,1,1),Summary!$C$11))*('Dvd Calendar'!$P$1435&lt;=MAX(DATE(Summary!$C$12,12,31),Summary!$C$15))*('Dvd Calendar'!$P$1435&lt;=Summary!$C$11)=0,"",'Dvd Calendar'!$P$1435*1000000000+ISNUMBER('Dvd Calendar'!$P$1436)*100000000+('Dvd Calendar'!$P$1440='Field Check'!$C$25)*10000000+(N('Dvd Calendar'!$P$1434)&gt;0)*1000000+96*1000+12))</f>
        <v/>
      </c>
      <c r="O104" s="41">
        <f>IF(N('Dvd Calendar'!$Q$1435)=0,"",IF(('Dvd Calendar'!$Q$1435&gt;=MIN(DATE(Summary!$C$12,1,1),Summary!$C$11))*('Dvd Calendar'!$Q$1435&lt;=MAX(DATE(Summary!$C$12,12,31),Summary!$C$15))*('Dvd Calendar'!$Q$1435&lt;=Summary!$C$11)=0,"",'Dvd Calendar'!$Q$1435*1000000000+ISNUMBER('Dvd Calendar'!$Q$1436)*100000000+('Dvd Calendar'!$Q$1440='Field Check'!$C$25)*10000000+(N('Dvd Calendar'!$Q$1434)&gt;0)*1000000+96*1000+13))</f>
        <v/>
      </c>
      <c r="P104" s="41">
        <f>IF(N('Dvd Calendar'!$R$1435)=0,"",IF(('Dvd Calendar'!$R$1435&gt;=MIN(DATE(Summary!$C$12,1,1),Summary!$C$11))*('Dvd Calendar'!$R$1435&lt;=MAX(DATE(Summary!$C$12,12,31),Summary!$C$15))*('Dvd Calendar'!$R$1435&lt;=Summary!$C$11)=0,"",'Dvd Calendar'!$R$1435*1000000000+ISNUMBER('Dvd Calendar'!$R$1436)*100000000+('Dvd Calendar'!$R$1440='Field Check'!$C$25)*10000000+(N('Dvd Calendar'!$R$1434)&gt;0)*1000000+96*1000+14))</f>
        <v/>
      </c>
      <c r="Q104" s="41">
        <f>IF(N('Dvd Calendar'!$S$1435)=0,"",IF(('Dvd Calendar'!$S$1435&gt;=MIN(DATE(Summary!$C$12,1,1),Summary!$C$11))*('Dvd Calendar'!$S$1435&lt;=MAX(DATE(Summary!$C$12,12,31),Summary!$C$15))*('Dvd Calendar'!$S$1435&lt;=Summary!$C$11)=0,"",'Dvd Calendar'!$S$1435*1000000000+ISNUMBER('Dvd Calendar'!$S$1436)*100000000+('Dvd Calendar'!$S$1440='Field Check'!$C$25)*10000000+(N('Dvd Calendar'!$S$1434)&gt;0)*1000000+96*1000+15))</f>
        <v/>
      </c>
      <c r="R104" s="41">
        <f>IF(N('Dvd Calendar'!$T$1435)=0,"",IF(('Dvd Calendar'!$T$1435&gt;=MIN(DATE(Summary!$C$12,1,1),Summary!$C$11))*('Dvd Calendar'!$T$1435&lt;=MAX(DATE(Summary!$C$12,12,31),Summary!$C$15))*('Dvd Calendar'!$T$1435&lt;=Summary!$C$11)=0,"",'Dvd Calendar'!$T$1435*1000000000+ISNUMBER('Dvd Calendar'!$T$1436)*100000000+('Dvd Calendar'!$T$1440='Field Check'!$C$25)*10000000+(N('Dvd Calendar'!$T$1434)&gt;0)*1000000+96*1000+16))</f>
        <v/>
      </c>
      <c r="S104" s="41">
        <f>IF(N('Dvd Calendar'!$U$1435)=0,"",IF(('Dvd Calendar'!$U$1435&gt;=MIN(DATE(Summary!$C$12,1,1),Summary!$C$11))*('Dvd Calendar'!$U$1435&lt;=MAX(DATE(Summary!$C$12,12,31),Summary!$C$15))*('Dvd Calendar'!$U$1435&lt;=Summary!$C$11)=0,"",'Dvd Calendar'!$U$1435*1000000000+ISNUMBER('Dvd Calendar'!$U$1436)*100000000+('Dvd Calendar'!$U$1440='Field Check'!$C$25)*10000000+(N('Dvd Calendar'!$U$1434)&gt;0)*1000000+96*1000+17))</f>
        <v/>
      </c>
      <c r="T104" s="41">
        <f>IF(N('Dvd Calendar'!$V$1435)=0,"",IF(('Dvd Calendar'!$V$1435&gt;=MIN(DATE(Summary!$C$12,1,1),Summary!$C$11))*('Dvd Calendar'!$V$1435&lt;=MAX(DATE(Summary!$C$12,12,31),Summary!$C$15))*('Dvd Calendar'!$V$1435&lt;=Summary!$C$11)=0,"",'Dvd Calendar'!$V$1435*1000000000+ISNUMBER('Dvd Calendar'!$V$1436)*100000000+('Dvd Calendar'!$V$1440='Field Check'!$C$25)*10000000+(N('Dvd Calendar'!$V$1434)&gt;0)*1000000+96*1000+18))</f>
        <v/>
      </c>
      <c r="U104" s="41">
        <f>IF(N('Dvd Calendar'!$W$1435)=0,"",IF(('Dvd Calendar'!$W$1435&gt;=MIN(DATE(Summary!$C$12,1,1),Summary!$C$11))*('Dvd Calendar'!$W$1435&lt;=MAX(DATE(Summary!$C$12,12,31),Summary!$C$15))*('Dvd Calendar'!$W$1435&lt;=Summary!$C$11)=0,"",'Dvd Calendar'!$W$1435*1000000000+ISNUMBER('Dvd Calendar'!$W$1436)*100000000+('Dvd Calendar'!$W$1440='Field Check'!$C$25)*10000000+(N('Dvd Calendar'!$W$1434)&gt;0)*1000000+96*1000+19))</f>
        <v/>
      </c>
      <c r="V104" s="41">
        <f>IF(N('Dvd Calendar'!$X$1435)=0,"",IF(('Dvd Calendar'!$X$1435&gt;=MIN(DATE(Summary!$C$12,1,1),Summary!$C$11))*('Dvd Calendar'!$X$1435&lt;=MAX(DATE(Summary!$C$12,12,31),Summary!$C$15))*('Dvd Calendar'!$X$1435&lt;=Summary!$C$11)=0,"",'Dvd Calendar'!$X$1435*1000000000+ISNUMBER('Dvd Calendar'!$X$1436)*100000000+('Dvd Calendar'!$X$1440='Field Check'!$C$25)*10000000+(N('Dvd Calendar'!$X$1434)&gt;0)*1000000+96*1000+20))</f>
        <v/>
      </c>
      <c r="W104" s="41">
        <f>IF(N('Dvd Calendar'!$Y$1435)=0,"",IF(('Dvd Calendar'!$Y$1435&gt;=MIN(DATE(Summary!$C$12,1,1),Summary!$C$11))*('Dvd Calendar'!$Y$1435&lt;=MAX(DATE(Summary!$C$12,12,31),Summary!$C$15))*('Dvd Calendar'!$Y$1435&lt;=Summary!$C$11)=0,"",'Dvd Calendar'!$Y$1435*1000000000+ISNUMBER('Dvd Calendar'!$Y$1436)*100000000+('Dvd Calendar'!$Y$1440='Field Check'!$C$25)*10000000+(N('Dvd Calendar'!$Y$1434)&gt;0)*1000000+96*1000+21))</f>
        <v/>
      </c>
      <c r="X104" s="41">
        <f>IF(N('Dvd Calendar'!$Z$1435)=0,"",IF(('Dvd Calendar'!$Z$1435&gt;=MIN(DATE(Summary!$C$12,1,1),Summary!$C$11))*('Dvd Calendar'!$Z$1435&lt;=MAX(DATE(Summary!$C$12,12,31),Summary!$C$15))*('Dvd Calendar'!$Z$1435&lt;=Summary!$C$11)=0,"",'Dvd Calendar'!$Z$1435*1000000000+ISNUMBER('Dvd Calendar'!$Z$1436)*100000000+('Dvd Calendar'!$Z$1440='Field Check'!$C$25)*10000000+(N('Dvd Calendar'!$Z$1434)&gt;0)*1000000+96*1000+22))</f>
        <v/>
      </c>
      <c r="Y104" s="41">
        <f>IF(N('Dvd Calendar'!$AA$1435)=0,"",IF(('Dvd Calendar'!$AA$1435&gt;=MIN(DATE(Summary!$C$12,1,1),Summary!$C$11))*('Dvd Calendar'!$AA$1435&lt;=MAX(DATE(Summary!$C$12,12,31),Summary!$C$15))*('Dvd Calendar'!$AA$1435&lt;=Summary!$C$11)=0,"",'Dvd Calendar'!$AA$1435*1000000000+ISNUMBER('Dvd Calendar'!$AA$1436)*100000000+('Dvd Calendar'!$AA$1440='Field Check'!$C$25)*10000000+(N('Dvd Calendar'!$AA$1434)&gt;0)*1000000+96*1000+23))</f>
        <v/>
      </c>
      <c r="Z104" s="41">
        <f>IF(N('Dvd Calendar'!$AB$1435)=0,"",IF(('Dvd Calendar'!$AB$1435&gt;=MIN(DATE(Summary!$C$12,1,1),Summary!$C$11))*('Dvd Calendar'!$AB$1435&lt;=MAX(DATE(Summary!$C$12,12,31),Summary!$C$15))*('Dvd Calendar'!$AB$1435&lt;=Summary!$C$11)=0,"",'Dvd Calendar'!$AB$1435*1000000000+ISNUMBER('Dvd Calendar'!$AB$1436)*100000000+('Dvd Calendar'!$AB$1440='Field Check'!$C$25)*10000000+(N('Dvd Calendar'!$AB$1434)&gt;0)*1000000+96*1000+24))</f>
        <v/>
      </c>
      <c r="AA104" s="41">
        <f>IF(N('Dvd Calendar'!$AC$1435)=0,"",IF(('Dvd Calendar'!$AC$1435&gt;=MIN(DATE(Summary!$C$12,1,1),Summary!$C$11))*('Dvd Calendar'!$AC$1435&lt;=MAX(DATE(Summary!$C$12,12,31),Summary!$C$15))*('Dvd Calendar'!$AC$1435&lt;=Summary!$C$11)=0,"",'Dvd Calendar'!$AC$1435*1000000000+ISNUMBER('Dvd Calendar'!$AC$1436)*100000000+('Dvd Calendar'!$AC$1440='Field Check'!$C$25)*10000000+(N('Dvd Calendar'!$AC$1434)&gt;0)*1000000+96*1000+25))</f>
        <v/>
      </c>
      <c r="AB104" s="41">
        <f>IF(N('Dvd Calendar'!$AD$1435)=0,"",IF(('Dvd Calendar'!$AD$1435&gt;=MIN(DATE(Summary!$C$12,1,1),Summary!$C$11))*('Dvd Calendar'!$AD$1435&lt;=MAX(DATE(Summary!$C$12,12,31),Summary!$C$15))*('Dvd Calendar'!$AD$1435&lt;=Summary!$C$11)=0,"",'Dvd Calendar'!$AD$1435*1000000000+ISNUMBER('Dvd Calendar'!$AD$1436)*100000000+('Dvd Calendar'!$AD$1440='Field Check'!$C$25)*10000000+(N('Dvd Calendar'!$AD$1434)&gt;0)*1000000+96*1000+26))</f>
        <v/>
      </c>
      <c r="AC104" s="41">
        <f>IF(N('Dvd Calendar'!$AE$1435)=0,"",IF(('Dvd Calendar'!$AE$1435&gt;=MIN(DATE(Summary!$C$12,1,1),Summary!$C$11))*('Dvd Calendar'!$AE$1435&lt;=MAX(DATE(Summary!$C$12,12,31),Summary!$C$15))*('Dvd Calendar'!$AE$1435&lt;=Summary!$C$11)=0,"",'Dvd Calendar'!$AE$1435*1000000000+ISNUMBER('Dvd Calendar'!$AE$1436)*100000000+('Dvd Calendar'!$AE$1440='Field Check'!$C$25)*10000000+(N('Dvd Calendar'!$AE$1434)&gt;0)*1000000+96*1000+27))</f>
        <v/>
      </c>
      <c r="AD104" s="41">
        <f>IF(N('Dvd Calendar'!$AF$1435)=0,"",IF(('Dvd Calendar'!$AF$1435&gt;=MIN(DATE(Summary!$C$12,1,1),Summary!$C$11))*('Dvd Calendar'!$AF$1435&lt;=MAX(DATE(Summary!$C$12,12,31),Summary!$C$15))*('Dvd Calendar'!$AF$1435&lt;=Summary!$C$11)=0,"",'Dvd Calendar'!$AF$1435*1000000000+ISNUMBER('Dvd Calendar'!$AF$1436)*100000000+('Dvd Calendar'!$AF$1440='Field Check'!$C$25)*10000000+(N('Dvd Calendar'!$AF$1434)&gt;0)*1000000+96*1000+28))</f>
        <v/>
      </c>
      <c r="AE104" s="41">
        <f>IF(N('Dvd Calendar'!$AG$1435)=0,"",IF(('Dvd Calendar'!$AG$1435&gt;=MIN(DATE(Summary!$C$12,1,1),Summary!$C$11))*('Dvd Calendar'!$AG$1435&lt;=MAX(DATE(Summary!$C$12,12,31),Summary!$C$15))*('Dvd Calendar'!$AG$1435&lt;=Summary!$C$11)=0,"",'Dvd Calendar'!$AG$1435*1000000000+ISNUMBER('Dvd Calendar'!$AG$1436)*100000000+('Dvd Calendar'!$AG$1440='Field Check'!$C$25)*10000000+(N('Dvd Calendar'!$AG$1434)&gt;0)*1000000+96*1000+29))</f>
        <v/>
      </c>
      <c r="AF104" s="41">
        <f>IF(N('Dvd Calendar'!$AH$1435)=0,"",IF(('Dvd Calendar'!$AH$1435&gt;=MIN(DATE(Summary!$C$12,1,1),Summary!$C$11))*('Dvd Calendar'!$AH$1435&lt;=MAX(DATE(Summary!$C$12,12,31),Summary!$C$15))*('Dvd Calendar'!$AH$1435&lt;=Summary!$C$11)=0,"",'Dvd Calendar'!$AH$1435*1000000000+ISNUMBER('Dvd Calendar'!$AH$1436)*100000000+('Dvd Calendar'!$AH$1440='Field Check'!$C$25)*10000000+(N('Dvd Calendar'!$AH$1434)&gt;0)*1000000+96*1000+30))</f>
        <v/>
      </c>
      <c r="AG104" s="41">
        <f>IF(N('Dvd Calendar'!$AI$1435)=0,"",IF(('Dvd Calendar'!$AI$1435&gt;=MIN(DATE(Summary!$C$12,1,1),Summary!$C$11))*('Dvd Calendar'!$AI$1435&lt;=MAX(DATE(Summary!$C$12,12,31),Summary!$C$15))*('Dvd Calendar'!$AI$1435&lt;=Summary!$C$11)=0,"",'Dvd Calendar'!$AI$1435*1000000000+ISNUMBER('Dvd Calendar'!$AI$1436)*100000000+('Dvd Calendar'!$AI$1440='Field Check'!$C$25)*10000000+(N('Dvd Calendar'!$AI$1434)&gt;0)*1000000+96*1000+31))</f>
        <v/>
      </c>
      <c r="AH104" s="41">
        <f>IF(N('Dvd Calendar'!$AJ$1435)=0,"",IF(('Dvd Calendar'!$AJ$1435&gt;=MIN(DATE(Summary!$C$12,1,1),Summary!$C$11))*('Dvd Calendar'!$AJ$1435&lt;=MAX(DATE(Summary!$C$12,12,31),Summary!$C$15))*('Dvd Calendar'!$AJ$1435&lt;=Summary!$C$11)=0,"",'Dvd Calendar'!$AJ$1435*1000000000+ISNUMBER('Dvd Calendar'!$AJ$1436)*100000000+('Dvd Calendar'!$AJ$1440='Field Check'!$C$25)*10000000+(N('Dvd Calendar'!$AJ$1434)&gt;0)*1000000+96*1000+32))</f>
        <v/>
      </c>
      <c r="AI104" s="41">
        <f>IF(N('Dvd Calendar'!$AK$1435)=0,"",IF(('Dvd Calendar'!$AK$1435&gt;=MIN(DATE(Summary!$C$12,1,1),Summary!$C$11))*('Dvd Calendar'!$AK$1435&lt;=MAX(DATE(Summary!$C$12,12,31),Summary!$C$15))*('Dvd Calendar'!$AK$1435&lt;=Summary!$C$11)=0,"",'Dvd Calendar'!$AK$1435*1000000000+ISNUMBER('Dvd Calendar'!$AK$1436)*100000000+('Dvd Calendar'!$AK$1440='Field Check'!$C$25)*10000000+(N('Dvd Calendar'!$AK$1434)&gt;0)*1000000+96*1000+33))</f>
        <v/>
      </c>
      <c r="AJ104" s="41">
        <f>IF(N('Dvd Calendar'!$AL$1435)=0,"",IF(('Dvd Calendar'!$AL$1435&gt;=MIN(DATE(Summary!$C$12,1,1),Summary!$C$11))*('Dvd Calendar'!$AL$1435&lt;=MAX(DATE(Summary!$C$12,12,31),Summary!$C$15))*('Dvd Calendar'!$AL$1435&lt;=Summary!$C$11)=0,"",'Dvd Calendar'!$AL$1435*1000000000+ISNUMBER('Dvd Calendar'!$AL$1436)*100000000+('Dvd Calendar'!$AL$1440='Field Check'!$C$25)*10000000+(N('Dvd Calendar'!$AL$1434)&gt;0)*1000000+96*1000+34))</f>
        <v/>
      </c>
      <c r="AK104" s="41">
        <f>IF(N('Dvd Calendar'!$AM$1435)=0,"",IF(('Dvd Calendar'!$AM$1435&gt;=MIN(DATE(Summary!$C$12,1,1),Summary!$C$11))*('Dvd Calendar'!$AM$1435&lt;=MAX(DATE(Summary!$C$12,12,31),Summary!$C$15))*('Dvd Calendar'!$AM$1435&lt;=Summary!$C$11)=0,"",'Dvd Calendar'!$AM$1435*1000000000+ISNUMBER('Dvd Calendar'!$AM$1436)*100000000+('Dvd Calendar'!$AM$1440='Field Check'!$C$25)*10000000+(N('Dvd Calendar'!$AM$1434)&gt;0)*1000000+96*1000+35))</f>
        <v/>
      </c>
      <c r="AL104" s="41">
        <f>IF(N('Dvd Calendar'!$AN$1435)=0,"",IF(('Dvd Calendar'!$AN$1435&gt;=MIN(DATE(Summary!$C$12,1,1),Summary!$C$11))*('Dvd Calendar'!$AN$1435&lt;=MAX(DATE(Summary!$C$12,12,31),Summary!$C$15))*('Dvd Calendar'!$AN$1435&lt;=Summary!$C$11)=0,"",'Dvd Calendar'!$AN$1435*1000000000+ISNUMBER('Dvd Calendar'!$AN$1436)*100000000+('Dvd Calendar'!$AN$1440='Field Check'!$C$25)*10000000+(N('Dvd Calendar'!$AN$1434)&gt;0)*1000000+96*1000+36))</f>
        <v/>
      </c>
      <c r="AM104" s="41">
        <f>IF(N('Dvd Calendar'!$AO$1435)=0,"",IF(('Dvd Calendar'!$AO$1435&gt;=MIN(DATE(Summary!$C$12,1,1),Summary!$C$11))*('Dvd Calendar'!$AO$1435&lt;=MAX(DATE(Summary!$C$12,12,31),Summary!$C$15))*('Dvd Calendar'!$AO$1435&lt;=Summary!$C$11)=0,"",'Dvd Calendar'!$AO$1435*1000000000+ISNUMBER('Dvd Calendar'!$AO$1436)*100000000+('Dvd Calendar'!$AO$1440='Field Check'!$C$25)*10000000+(N('Dvd Calendar'!$AO$1434)&gt;0)*1000000+96*1000+37))</f>
        <v/>
      </c>
      <c r="AN104" s="41">
        <f>IF(N('Dvd Calendar'!$AP$1435)=0,"",IF(('Dvd Calendar'!$AP$1435&gt;=MIN(DATE(Summary!$C$12,1,1),Summary!$C$11))*('Dvd Calendar'!$AP$1435&lt;=MAX(DATE(Summary!$C$12,12,31),Summary!$C$15))*('Dvd Calendar'!$AP$1435&lt;=Summary!$C$11)=0,"",'Dvd Calendar'!$AP$1435*1000000000+ISNUMBER('Dvd Calendar'!$AP$1436)*100000000+('Dvd Calendar'!$AP$1440='Field Check'!$C$25)*10000000+(N('Dvd Calendar'!$AP$1434)&gt;0)*1000000+96*1000+38))</f>
        <v/>
      </c>
      <c r="AO104" s="41">
        <f>IF(N('Dvd Calendar'!$AQ$1435)=0,"",IF(('Dvd Calendar'!$AQ$1435&gt;=MIN(DATE(Summary!$C$12,1,1),Summary!$C$11))*('Dvd Calendar'!$AQ$1435&lt;=MAX(DATE(Summary!$C$12,12,31),Summary!$C$15))*('Dvd Calendar'!$AQ$1435&lt;=Summary!$C$11)=0,"",'Dvd Calendar'!$AQ$1435*1000000000+ISNUMBER('Dvd Calendar'!$AQ$1436)*100000000+('Dvd Calendar'!$AQ$1440='Field Check'!$C$25)*10000000+(N('Dvd Calendar'!$AQ$1434)&gt;0)*1000000+96*1000+39))</f>
        <v/>
      </c>
      <c r="AP104" s="41">
        <f>IF(N('Dvd Calendar'!$AR$1435)=0,"",IF(('Dvd Calendar'!$AR$1435&gt;=MIN(DATE(Summary!$C$12,1,1),Summary!$C$11))*('Dvd Calendar'!$AR$1435&lt;=MAX(DATE(Summary!$C$12,12,31),Summary!$C$15))*('Dvd Calendar'!$AR$1435&lt;=Summary!$C$11)=0,"",'Dvd Calendar'!$AR$1435*1000000000+ISNUMBER('Dvd Calendar'!$AR$1436)*100000000+('Dvd Calendar'!$AR$1440='Field Check'!$C$25)*10000000+(N('Dvd Calendar'!$AR$1434)&gt;0)*1000000+96*1000+40))</f>
        <v/>
      </c>
      <c r="AQ104" s="41">
        <f>IF(N('Dvd Calendar'!$E$1442)=0,"",IF(('Dvd Calendar'!$E$1442&gt;=MIN(DATE(Summary!$C$12,1,1),Summary!$C$11))*('Dvd Calendar'!$E$1442&lt;=MAX(DATE(Summary!$C$12,12,31),Summary!$C$15))*('Dvd Calendar'!$E$1442&gt;Summary!$C$11)=0,"",'Dvd Calendar'!$E$1442*1000000000+ISNUMBER('Dvd Calendar'!$E$1443)*100000000+('Dvd Calendar'!$E$1447='Field Check'!$C$25)*10000000+(N('Dvd Calendar'!$E$1441)&gt;0)*1000000+96*1000+41))</f>
        <v/>
      </c>
      <c r="AR104" s="41">
        <f>IF(N('Dvd Calendar'!$F$1442)=0,"",IF(('Dvd Calendar'!$F$1442&gt;=MIN(DATE(Summary!$C$12,1,1),Summary!$C$11))*('Dvd Calendar'!$F$1442&lt;=MAX(DATE(Summary!$C$12,12,31),Summary!$C$15))*('Dvd Calendar'!$F$1442&gt;Summary!$C$11)=0,"",'Dvd Calendar'!$F$1442*1000000000+ISNUMBER('Dvd Calendar'!$F$1443)*100000000+('Dvd Calendar'!$F$1447='Field Check'!$C$25)*10000000+(N('Dvd Calendar'!$F$1441)&gt;0)*1000000+96*1000+42))</f>
        <v/>
      </c>
      <c r="AS104" s="41">
        <f>IF(N('Dvd Calendar'!$G$1442)=0,"",IF(('Dvd Calendar'!$G$1442&gt;=MIN(DATE(Summary!$C$12,1,1),Summary!$C$11))*('Dvd Calendar'!$G$1442&lt;=MAX(DATE(Summary!$C$12,12,31),Summary!$C$15))*('Dvd Calendar'!$G$1442&gt;Summary!$C$11)=0,"",'Dvd Calendar'!$G$1442*1000000000+ISNUMBER('Dvd Calendar'!$G$1443)*100000000+('Dvd Calendar'!$G$1447='Field Check'!$C$25)*10000000+(N('Dvd Calendar'!$G$1441)&gt;0)*1000000+96*1000+43))</f>
        <v/>
      </c>
      <c r="AT104" s="41">
        <f>IF(N('Dvd Calendar'!$H$1442)=0,"",IF(('Dvd Calendar'!$H$1442&gt;=MIN(DATE(Summary!$C$12,1,1),Summary!$C$11))*('Dvd Calendar'!$H$1442&lt;=MAX(DATE(Summary!$C$12,12,31),Summary!$C$15))*('Dvd Calendar'!$H$1442&gt;Summary!$C$11)=0,"",'Dvd Calendar'!$H$1442*1000000000+ISNUMBER('Dvd Calendar'!$H$1443)*100000000+('Dvd Calendar'!$H$1447='Field Check'!$C$25)*10000000+(N('Dvd Calendar'!$H$1441)&gt;0)*1000000+96*1000+44))</f>
        <v/>
      </c>
      <c r="AU104" s="41">
        <f>IF(N('Dvd Calendar'!$I$1442)=0,"",IF(('Dvd Calendar'!$I$1442&gt;=MIN(DATE(Summary!$C$12,1,1),Summary!$C$11))*('Dvd Calendar'!$I$1442&lt;=MAX(DATE(Summary!$C$12,12,31),Summary!$C$15))*('Dvd Calendar'!$I$1442&gt;Summary!$C$11)=0,"",'Dvd Calendar'!$I$1442*1000000000+ISNUMBER('Dvd Calendar'!$I$1443)*100000000+('Dvd Calendar'!$I$1447='Field Check'!$C$25)*10000000+(N('Dvd Calendar'!$I$1441)&gt;0)*1000000+96*1000+45))</f>
        <v/>
      </c>
      <c r="AV104" s="41">
        <f>IF(N('Dvd Calendar'!$J$1442)=0,"",IF(('Dvd Calendar'!$J$1442&gt;=MIN(DATE(Summary!$C$12,1,1),Summary!$C$11))*('Dvd Calendar'!$J$1442&lt;=MAX(DATE(Summary!$C$12,12,31),Summary!$C$15))*('Dvd Calendar'!$J$1442&gt;Summary!$C$11)=0,"",'Dvd Calendar'!$J$1442*1000000000+ISNUMBER('Dvd Calendar'!$J$1443)*100000000+('Dvd Calendar'!$J$1447='Field Check'!$C$25)*10000000+(N('Dvd Calendar'!$J$1441)&gt;0)*1000000+96*1000+46))</f>
        <v/>
      </c>
      <c r="AW104" s="41">
        <f>IF(N('Dvd Calendar'!$K$1442)=0,"",IF(('Dvd Calendar'!$K$1442&gt;=MIN(DATE(Summary!$C$12,1,1),Summary!$C$11))*('Dvd Calendar'!$K$1442&lt;=MAX(DATE(Summary!$C$12,12,31),Summary!$C$15))*('Dvd Calendar'!$K$1442&gt;Summary!$C$11)=0,"",'Dvd Calendar'!$K$1442*1000000000+ISNUMBER('Dvd Calendar'!$K$1443)*100000000+('Dvd Calendar'!$K$1447='Field Check'!$C$25)*10000000+(N('Dvd Calendar'!$K$1441)&gt;0)*1000000+96*1000+47))</f>
        <v/>
      </c>
      <c r="AX104" s="41">
        <f>IF(N('Dvd Calendar'!$L$1442)=0,"",IF(('Dvd Calendar'!$L$1442&gt;=MIN(DATE(Summary!$C$12,1,1),Summary!$C$11))*('Dvd Calendar'!$L$1442&lt;=MAX(DATE(Summary!$C$12,12,31),Summary!$C$15))*('Dvd Calendar'!$L$1442&gt;Summary!$C$11)=0,"",'Dvd Calendar'!$L$1442*1000000000+ISNUMBER('Dvd Calendar'!$L$1443)*100000000+('Dvd Calendar'!$L$1447='Field Check'!$C$25)*10000000+(N('Dvd Calendar'!$L$1441)&gt;0)*1000000+96*1000+48))</f>
        <v/>
      </c>
      <c r="AY104" s="41">
        <f>IF(N('Dvd Calendar'!$M$1442)=0,"",IF(('Dvd Calendar'!$M$1442&gt;=MIN(DATE(Summary!$C$12,1,1),Summary!$C$11))*('Dvd Calendar'!$M$1442&lt;=MAX(DATE(Summary!$C$12,12,31),Summary!$C$15))*('Dvd Calendar'!$M$1442&gt;Summary!$C$11)=0,"",'Dvd Calendar'!$M$1442*1000000000+ISNUMBER('Dvd Calendar'!$M$1443)*100000000+('Dvd Calendar'!$M$1447='Field Check'!$C$25)*10000000+(N('Dvd Calendar'!$M$1441)&gt;0)*1000000+96*1000+49))</f>
        <v/>
      </c>
      <c r="AZ104" s="41">
        <f>IF(N('Dvd Calendar'!$N$1442)=0,"",IF(('Dvd Calendar'!$N$1442&gt;=MIN(DATE(Summary!$C$12,1,1),Summary!$C$11))*('Dvd Calendar'!$N$1442&lt;=MAX(DATE(Summary!$C$12,12,31),Summary!$C$15))*('Dvd Calendar'!$N$1442&gt;Summary!$C$11)=0,"",'Dvd Calendar'!$N$1442*1000000000+ISNUMBER('Dvd Calendar'!$N$1443)*100000000+('Dvd Calendar'!$N$1447='Field Check'!$C$25)*10000000+(N('Dvd Calendar'!$N$1441)&gt;0)*1000000+96*1000+50))</f>
        <v/>
      </c>
      <c r="BA104" s="41">
        <f>IF(N('Dvd Calendar'!$O$1442)=0,"",IF(('Dvd Calendar'!$O$1442&gt;=MIN(DATE(Summary!$C$12,1,1),Summary!$C$11))*('Dvd Calendar'!$O$1442&lt;=MAX(DATE(Summary!$C$12,12,31),Summary!$C$15))*('Dvd Calendar'!$O$1442&gt;Summary!$C$11)=0,"",'Dvd Calendar'!$O$1442*1000000000+ISNUMBER('Dvd Calendar'!$O$1443)*100000000+('Dvd Calendar'!$O$1447='Field Check'!$C$25)*10000000+(N('Dvd Calendar'!$O$1441)&gt;0)*1000000+96*1000+51))</f>
        <v/>
      </c>
      <c r="BB104" s="41">
        <f>IF(N('Dvd Calendar'!$P$1442)=0,"",IF(('Dvd Calendar'!$P$1442&gt;=MIN(DATE(Summary!$C$12,1,1),Summary!$C$11))*('Dvd Calendar'!$P$1442&lt;=MAX(DATE(Summary!$C$12,12,31),Summary!$C$15))*('Dvd Calendar'!$P$1442&gt;Summary!$C$11)=0,"",'Dvd Calendar'!$P$1442*1000000000+ISNUMBER('Dvd Calendar'!$P$1443)*100000000+('Dvd Calendar'!$P$1447='Field Check'!$C$25)*10000000+(N('Dvd Calendar'!$P$1441)&gt;0)*1000000+96*1000+52))</f>
        <v/>
      </c>
      <c r="BC104" s="41">
        <f>IF(N('Dvd Calendar'!$Q$1442)=0,"",IF(('Dvd Calendar'!$Q$1442&gt;=MIN(DATE(Summary!$C$12,1,1),Summary!$C$11))*('Dvd Calendar'!$Q$1442&lt;=MAX(DATE(Summary!$C$12,12,31),Summary!$C$15))*('Dvd Calendar'!$Q$1442&gt;Summary!$C$11)=0,"",'Dvd Calendar'!$Q$1442*1000000000+ISNUMBER('Dvd Calendar'!$Q$1443)*100000000+('Dvd Calendar'!$Q$1447='Field Check'!$C$25)*10000000+(N('Dvd Calendar'!$Q$1441)&gt;0)*1000000+96*1000+53))</f>
        <v/>
      </c>
      <c r="BD104" s="41">
        <f>IF(N('Dvd Calendar'!$R$1442)=0,"",IF(('Dvd Calendar'!$R$1442&gt;=MIN(DATE(Summary!$C$12,1,1),Summary!$C$11))*('Dvd Calendar'!$R$1442&lt;=MAX(DATE(Summary!$C$12,12,31),Summary!$C$15))*('Dvd Calendar'!$R$1442&gt;Summary!$C$11)=0,"",'Dvd Calendar'!$R$1442*1000000000+ISNUMBER('Dvd Calendar'!$R$1443)*100000000+('Dvd Calendar'!$R$1447='Field Check'!$C$25)*10000000+(N('Dvd Calendar'!$R$1441)&gt;0)*1000000+96*1000+54))</f>
        <v/>
      </c>
      <c r="BE104" s="41">
        <f>IF(N('Dvd Calendar'!$S$1442)=0,"",IF(('Dvd Calendar'!$S$1442&gt;=MIN(DATE(Summary!$C$12,1,1),Summary!$C$11))*('Dvd Calendar'!$S$1442&lt;=MAX(DATE(Summary!$C$12,12,31),Summary!$C$15))*('Dvd Calendar'!$S$1442&gt;Summary!$C$11)=0,"",'Dvd Calendar'!$S$1442*1000000000+ISNUMBER('Dvd Calendar'!$S$1443)*100000000+('Dvd Calendar'!$S$1447='Field Check'!$C$25)*10000000+(N('Dvd Calendar'!$S$1441)&gt;0)*1000000+96*1000+55))</f>
        <v/>
      </c>
      <c r="BF104" s="41">
        <f>IF(N('Dvd Calendar'!$T$1442)=0,"",IF(('Dvd Calendar'!$T$1442&gt;=MIN(DATE(Summary!$C$12,1,1),Summary!$C$11))*('Dvd Calendar'!$T$1442&lt;=MAX(DATE(Summary!$C$12,12,31),Summary!$C$15))*('Dvd Calendar'!$T$1442&gt;Summary!$C$11)=0,"",'Dvd Calendar'!$T$1442*1000000000+ISNUMBER('Dvd Calendar'!$T$1443)*100000000+('Dvd Calendar'!$T$1447='Field Check'!$C$25)*10000000+(N('Dvd Calendar'!$T$1441)&gt;0)*1000000+96*1000+56))</f>
        <v/>
      </c>
      <c r="BG104" s="41">
        <f>IF(N('Dvd Calendar'!$U$1442)=0,"",IF(('Dvd Calendar'!$U$1442&gt;=MIN(DATE(Summary!$C$12,1,1),Summary!$C$11))*('Dvd Calendar'!$U$1442&lt;=MAX(DATE(Summary!$C$12,12,31),Summary!$C$15))*('Dvd Calendar'!$U$1442&gt;Summary!$C$11)=0,"",'Dvd Calendar'!$U$1442*1000000000+ISNUMBER('Dvd Calendar'!$U$1443)*100000000+('Dvd Calendar'!$U$1447='Field Check'!$C$25)*10000000+(N('Dvd Calendar'!$U$1441)&gt;0)*1000000+96*1000+57))</f>
        <v/>
      </c>
      <c r="BH104" s="41">
        <f>IF(N('Dvd Calendar'!$V$1442)=0,"",IF(('Dvd Calendar'!$V$1442&gt;=MIN(DATE(Summary!$C$12,1,1),Summary!$C$11))*('Dvd Calendar'!$V$1442&lt;=MAX(DATE(Summary!$C$12,12,31),Summary!$C$15))*('Dvd Calendar'!$V$1442&gt;Summary!$C$11)=0,"",'Dvd Calendar'!$V$1442*1000000000+ISNUMBER('Dvd Calendar'!$V$1443)*100000000+('Dvd Calendar'!$V$1447='Field Check'!$C$25)*10000000+(N('Dvd Calendar'!$V$1441)&gt;0)*1000000+96*1000+58))</f>
        <v/>
      </c>
      <c r="BI104" s="41">
        <f>IF(N('Dvd Calendar'!$W$1442)=0,"",IF(('Dvd Calendar'!$W$1442&gt;=MIN(DATE(Summary!$C$12,1,1),Summary!$C$11))*('Dvd Calendar'!$W$1442&lt;=MAX(DATE(Summary!$C$12,12,31),Summary!$C$15))*('Dvd Calendar'!$W$1442&gt;Summary!$C$11)=0,"",'Dvd Calendar'!$W$1442*1000000000+ISNUMBER('Dvd Calendar'!$W$1443)*100000000+('Dvd Calendar'!$W$1447='Field Check'!$C$25)*10000000+(N('Dvd Calendar'!$W$1441)&gt;0)*1000000+96*1000+59))</f>
        <v/>
      </c>
      <c r="BJ104" s="41">
        <f>IF(N('Dvd Calendar'!$X$1442)=0,"",IF(('Dvd Calendar'!$X$1442&gt;=MIN(DATE(Summary!$C$12,1,1),Summary!$C$11))*('Dvd Calendar'!$X$1442&lt;=MAX(DATE(Summary!$C$12,12,31),Summary!$C$15))*('Dvd Calendar'!$X$1442&gt;Summary!$C$11)=0,"",'Dvd Calendar'!$X$1442*1000000000+ISNUMBER('Dvd Calendar'!$X$1443)*100000000+('Dvd Calendar'!$X$1447='Field Check'!$C$25)*10000000+(N('Dvd Calendar'!$X$1441)&gt;0)*1000000+96*1000+60))</f>
        <v/>
      </c>
      <c r="BK104" s="41">
        <f>IF(N('Dvd Calendar'!$Y$1442)=0,"",IF(('Dvd Calendar'!$Y$1442&gt;=MIN(DATE(Summary!$C$12,1,1),Summary!$C$11))*('Dvd Calendar'!$Y$1442&lt;=MAX(DATE(Summary!$C$12,12,31),Summary!$C$15))*('Dvd Calendar'!$Y$1442&gt;Summary!$C$11)=0,"",'Dvd Calendar'!$Y$1442*1000000000+ISNUMBER('Dvd Calendar'!$Y$1443)*100000000+('Dvd Calendar'!$Y$1447='Field Check'!$C$25)*10000000+(N('Dvd Calendar'!$Y$1441)&gt;0)*1000000+96*1000+61))</f>
        <v/>
      </c>
      <c r="BL104" s="41">
        <f>IF(N('Dvd Calendar'!$Z$1442)=0,"",IF(('Dvd Calendar'!$Z$1442&gt;=MIN(DATE(Summary!$C$12,1,1),Summary!$C$11))*('Dvd Calendar'!$Z$1442&lt;=MAX(DATE(Summary!$C$12,12,31),Summary!$C$15))*('Dvd Calendar'!$Z$1442&gt;Summary!$C$11)=0,"",'Dvd Calendar'!$Z$1442*1000000000+ISNUMBER('Dvd Calendar'!$Z$1443)*100000000+('Dvd Calendar'!$Z$1447='Field Check'!$C$25)*10000000+(N('Dvd Calendar'!$Z$1441)&gt;0)*1000000+96*1000+62))</f>
        <v/>
      </c>
      <c r="BM104" s="41">
        <f>IF(N('Dvd Calendar'!$AA$1442)=0,"",IF(('Dvd Calendar'!$AA$1442&gt;=MIN(DATE(Summary!$C$12,1,1),Summary!$C$11))*('Dvd Calendar'!$AA$1442&lt;=MAX(DATE(Summary!$C$12,12,31),Summary!$C$15))*('Dvd Calendar'!$AA$1442&gt;Summary!$C$11)=0,"",'Dvd Calendar'!$AA$1442*1000000000+ISNUMBER('Dvd Calendar'!$AA$1443)*100000000+('Dvd Calendar'!$AA$1447='Field Check'!$C$25)*10000000+(N('Dvd Calendar'!$AA$1441)&gt;0)*1000000+96*1000+63))</f>
        <v/>
      </c>
      <c r="BN104" s="41">
        <f>IF(N('Dvd Calendar'!$AB$1442)=0,"",IF(('Dvd Calendar'!$AB$1442&gt;=MIN(DATE(Summary!$C$12,1,1),Summary!$C$11))*('Dvd Calendar'!$AB$1442&lt;=MAX(DATE(Summary!$C$12,12,31),Summary!$C$15))*('Dvd Calendar'!$AB$1442&gt;Summary!$C$11)=0,"",'Dvd Calendar'!$AB$1442*1000000000+ISNUMBER('Dvd Calendar'!$AB$1443)*100000000+('Dvd Calendar'!$AB$1447='Field Check'!$C$25)*10000000+(N('Dvd Calendar'!$AB$1441)&gt;0)*1000000+96*1000+64))</f>
        <v/>
      </c>
      <c r="BO104" s="41">
        <f>IF(N('Dvd Calendar'!$AC$1442)=0,"",IF(('Dvd Calendar'!$AC$1442&gt;=MIN(DATE(Summary!$C$12,1,1),Summary!$C$11))*('Dvd Calendar'!$AC$1442&lt;=MAX(DATE(Summary!$C$12,12,31),Summary!$C$15))*('Dvd Calendar'!$AC$1442&gt;Summary!$C$11)=0,"",'Dvd Calendar'!$AC$1442*1000000000+ISNUMBER('Dvd Calendar'!$AC$1443)*100000000+('Dvd Calendar'!$AC$1447='Field Check'!$C$25)*10000000+(N('Dvd Calendar'!$AC$1441)&gt;0)*1000000+96*1000+65))</f>
        <v/>
      </c>
      <c r="BQ104" s="85">
        <f>IF(C104="","",IF(ISNUMBER('Dvd Calendar'!$E$1436)=FALSE,"",IF((Summary!$C$13="N")*('Dvd Calendar'!$E$1440='Field Check'!$C$25)&gt;0,"",'Dvd Calendar'!$E$1436)))</f>
        <v/>
      </c>
      <c r="BR104" s="85">
        <f>IF(D104="","",IF(ISNUMBER('Dvd Calendar'!$F$1436)=FALSE,"",IF((Summary!$C$13="N")*('Dvd Calendar'!$F$1440='Field Check'!$C$25)&gt;0,"",'Dvd Calendar'!$F$1436)))</f>
        <v/>
      </c>
      <c r="BS104" s="85">
        <f>IF(E104="","",IF(ISNUMBER('Dvd Calendar'!$G$1436)=FALSE,"",IF((Summary!$C$13="N")*('Dvd Calendar'!$G$1440='Field Check'!$C$25)&gt;0,"",'Dvd Calendar'!$G$1436)))</f>
        <v/>
      </c>
      <c r="BT104" s="85">
        <f>IF(F104="","",IF(ISNUMBER('Dvd Calendar'!$H$1436)=FALSE,"",IF((Summary!$C$13="N")*('Dvd Calendar'!$H$1440='Field Check'!$C$25)&gt;0,"",'Dvd Calendar'!$H$1436)))</f>
        <v/>
      </c>
      <c r="BU104" s="85">
        <f>IF(G104="","",IF(ISNUMBER('Dvd Calendar'!$I$1436)=FALSE,"",IF((Summary!$C$13="N")*('Dvd Calendar'!$I$1440='Field Check'!$C$25)&gt;0,"",'Dvd Calendar'!$I$1436)))</f>
        <v/>
      </c>
      <c r="BV104" s="85">
        <f>IF(H104="","",IF(ISNUMBER('Dvd Calendar'!$J$1436)=FALSE,"",IF((Summary!$C$13="N")*('Dvd Calendar'!$J$1440='Field Check'!$C$25)&gt;0,"",'Dvd Calendar'!$J$1436)))</f>
        <v/>
      </c>
      <c r="BW104" s="85">
        <f>IF(I104="","",IF(ISNUMBER('Dvd Calendar'!$K$1436)=FALSE,"",IF((Summary!$C$13="N")*('Dvd Calendar'!$K$1440='Field Check'!$C$25)&gt;0,"",'Dvd Calendar'!$K$1436)))</f>
        <v/>
      </c>
      <c r="BX104" s="85">
        <f>IF(J104="","",IF(ISNUMBER('Dvd Calendar'!$L$1436)=FALSE,"",IF((Summary!$C$13="N")*('Dvd Calendar'!$L$1440='Field Check'!$C$25)&gt;0,"",'Dvd Calendar'!$L$1436)))</f>
        <v/>
      </c>
      <c r="BY104" s="85">
        <f>IF(K104="","",IF(ISNUMBER('Dvd Calendar'!$M$1436)=FALSE,"",IF((Summary!$C$13="N")*('Dvd Calendar'!$M$1440='Field Check'!$C$25)&gt;0,"",'Dvd Calendar'!$M$1436)))</f>
        <v/>
      </c>
      <c r="BZ104" s="85">
        <f>IF(L104="","",IF(ISNUMBER('Dvd Calendar'!$N$1436)=FALSE,"",IF((Summary!$C$13="N")*('Dvd Calendar'!$N$1440='Field Check'!$C$25)&gt;0,"",'Dvd Calendar'!$N$1436)))</f>
        <v/>
      </c>
      <c r="CA104" s="85">
        <f>IF(M104="","",IF(ISNUMBER('Dvd Calendar'!$O$1436)=FALSE,"",IF((Summary!$C$13="N")*('Dvd Calendar'!$O$1440='Field Check'!$C$25)&gt;0,"",'Dvd Calendar'!$O$1436)))</f>
        <v/>
      </c>
      <c r="CB104" s="85">
        <f>IF(N104="","",IF(ISNUMBER('Dvd Calendar'!$P$1436)=FALSE,"",IF((Summary!$C$13="N")*('Dvd Calendar'!$P$1440='Field Check'!$C$25)&gt;0,"",'Dvd Calendar'!$P$1436)))</f>
        <v/>
      </c>
      <c r="CC104" s="85">
        <f>IF(O104="","",IF(ISNUMBER('Dvd Calendar'!$Q$1436)=FALSE,"",IF((Summary!$C$13="N")*('Dvd Calendar'!$Q$1440='Field Check'!$C$25)&gt;0,"",'Dvd Calendar'!$Q$1436)))</f>
        <v/>
      </c>
      <c r="CD104" s="85">
        <f>IF(P104="","",IF(ISNUMBER('Dvd Calendar'!$R$1436)=FALSE,"",IF((Summary!$C$13="N")*('Dvd Calendar'!$R$1440='Field Check'!$C$25)&gt;0,"",'Dvd Calendar'!$R$1436)))</f>
        <v/>
      </c>
      <c r="CE104" s="85">
        <f>IF(Q104="","",IF(ISNUMBER('Dvd Calendar'!$S$1436)=FALSE,"",IF((Summary!$C$13="N")*('Dvd Calendar'!$S$1440='Field Check'!$C$25)&gt;0,"",'Dvd Calendar'!$S$1436)))</f>
        <v/>
      </c>
      <c r="CF104" s="85">
        <f>IF(R104="","",IF(ISNUMBER('Dvd Calendar'!$T$1436)=FALSE,"",IF((Summary!$C$13="N")*('Dvd Calendar'!$T$1440='Field Check'!$C$25)&gt;0,"",'Dvd Calendar'!$T$1436)))</f>
        <v/>
      </c>
      <c r="CG104" s="85">
        <f>IF(S104="","",IF(ISNUMBER('Dvd Calendar'!$U$1436)=FALSE,"",IF((Summary!$C$13="N")*('Dvd Calendar'!$U$1440='Field Check'!$C$25)&gt;0,"",'Dvd Calendar'!$U$1436)))</f>
        <v/>
      </c>
      <c r="CH104" s="85">
        <f>IF(T104="","",IF(ISNUMBER('Dvd Calendar'!$V$1436)=FALSE,"",IF((Summary!$C$13="N")*('Dvd Calendar'!$V$1440='Field Check'!$C$25)&gt;0,"",'Dvd Calendar'!$V$1436)))</f>
        <v/>
      </c>
      <c r="CI104" s="85">
        <f>IF(U104="","",IF(ISNUMBER('Dvd Calendar'!$W$1436)=FALSE,"",IF((Summary!$C$13="N")*('Dvd Calendar'!$W$1440='Field Check'!$C$25)&gt;0,"",'Dvd Calendar'!$W$1436)))</f>
        <v/>
      </c>
      <c r="CJ104" s="85">
        <f>IF(V104="","",IF(ISNUMBER('Dvd Calendar'!$X$1436)=FALSE,"",IF((Summary!$C$13="N")*('Dvd Calendar'!$X$1440='Field Check'!$C$25)&gt;0,"",'Dvd Calendar'!$X$1436)))</f>
        <v/>
      </c>
      <c r="CK104" s="85">
        <f>IF(W104="","",IF(ISNUMBER('Dvd Calendar'!$Y$1436)=FALSE,"",IF((Summary!$C$13="N")*('Dvd Calendar'!$Y$1440='Field Check'!$C$25)&gt;0,"",'Dvd Calendar'!$Y$1436)))</f>
        <v/>
      </c>
      <c r="CL104" s="85">
        <f>IF(X104="","",IF(ISNUMBER('Dvd Calendar'!$Z$1436)=FALSE,"",IF((Summary!$C$13="N")*('Dvd Calendar'!$Z$1440='Field Check'!$C$25)&gt;0,"",'Dvd Calendar'!$Z$1436)))</f>
        <v/>
      </c>
      <c r="CM104" s="85">
        <f>IF(Y104="","",IF(ISNUMBER('Dvd Calendar'!$AA$1436)=FALSE,"",IF((Summary!$C$13="N")*('Dvd Calendar'!$AA$1440='Field Check'!$C$25)&gt;0,"",'Dvd Calendar'!$AA$1436)))</f>
        <v/>
      </c>
      <c r="CN104" s="85">
        <f>IF(Z104="","",IF(ISNUMBER('Dvd Calendar'!$AB$1436)=FALSE,"",IF((Summary!$C$13="N")*('Dvd Calendar'!$AB$1440='Field Check'!$C$25)&gt;0,"",'Dvd Calendar'!$AB$1436)))</f>
        <v/>
      </c>
      <c r="CO104" s="85">
        <f>IF(AA104="","",IF(ISNUMBER('Dvd Calendar'!$AC$1436)=FALSE,"",IF((Summary!$C$13="N")*('Dvd Calendar'!$AC$1440='Field Check'!$C$25)&gt;0,"",'Dvd Calendar'!$AC$1436)))</f>
        <v/>
      </c>
      <c r="CP104" s="85">
        <f>IF(AB104="","",IF(ISNUMBER('Dvd Calendar'!$AD$1436)=FALSE,"",IF((Summary!$C$13="N")*('Dvd Calendar'!$AD$1440='Field Check'!$C$25)&gt;0,"",'Dvd Calendar'!$AD$1436)))</f>
        <v/>
      </c>
      <c r="CQ104" s="85">
        <f>IF(AC104="","",IF(ISNUMBER('Dvd Calendar'!$AE$1436)=FALSE,"",IF((Summary!$C$13="N")*('Dvd Calendar'!$AE$1440='Field Check'!$C$25)&gt;0,"",'Dvd Calendar'!$AE$1436)))</f>
        <v/>
      </c>
      <c r="CR104" s="85">
        <f>IF(AD104="","",IF(ISNUMBER('Dvd Calendar'!$AF$1436)=FALSE,"",IF((Summary!$C$13="N")*('Dvd Calendar'!$AF$1440='Field Check'!$C$25)&gt;0,"",'Dvd Calendar'!$AF$1436)))</f>
        <v/>
      </c>
      <c r="CS104" s="85">
        <f>IF(AE104="","",IF(ISNUMBER('Dvd Calendar'!$AG$1436)=FALSE,"",IF((Summary!$C$13="N")*('Dvd Calendar'!$AG$1440='Field Check'!$C$25)&gt;0,"",'Dvd Calendar'!$AG$1436)))</f>
        <v/>
      </c>
      <c r="CT104" s="85">
        <f>IF(AF104="","",IF(ISNUMBER('Dvd Calendar'!$AH$1436)=FALSE,"",IF((Summary!$C$13="N")*('Dvd Calendar'!$AH$1440='Field Check'!$C$25)&gt;0,"",'Dvd Calendar'!$AH$1436)))</f>
        <v/>
      </c>
      <c r="CU104" s="85">
        <f>IF(AG104="","",IF(ISNUMBER('Dvd Calendar'!$AI$1436)=FALSE,"",IF((Summary!$C$13="N")*('Dvd Calendar'!$AI$1440='Field Check'!$C$25)&gt;0,"",'Dvd Calendar'!$AI$1436)))</f>
        <v/>
      </c>
      <c r="CV104" s="85">
        <f>IF(AH104="","",IF(ISNUMBER('Dvd Calendar'!$AJ$1436)=FALSE,"",IF((Summary!$C$13="N")*('Dvd Calendar'!$AJ$1440='Field Check'!$C$25)&gt;0,"",'Dvd Calendar'!$AJ$1436)))</f>
        <v/>
      </c>
      <c r="CW104" s="85">
        <f>IF(AI104="","",IF(ISNUMBER('Dvd Calendar'!$AK$1436)=FALSE,"",IF((Summary!$C$13="N")*('Dvd Calendar'!$AK$1440='Field Check'!$C$25)&gt;0,"",'Dvd Calendar'!$AK$1436)))</f>
        <v/>
      </c>
      <c r="CX104" s="85">
        <f>IF(AJ104="","",IF(ISNUMBER('Dvd Calendar'!$AL$1436)=FALSE,"",IF((Summary!$C$13="N")*('Dvd Calendar'!$AL$1440='Field Check'!$C$25)&gt;0,"",'Dvd Calendar'!$AL$1436)))</f>
        <v/>
      </c>
      <c r="CY104" s="85">
        <f>IF(AK104="","",IF(ISNUMBER('Dvd Calendar'!$AM$1436)=FALSE,"",IF((Summary!$C$13="N")*('Dvd Calendar'!$AM$1440='Field Check'!$C$25)&gt;0,"",'Dvd Calendar'!$AM$1436)))</f>
        <v/>
      </c>
      <c r="CZ104" s="85">
        <f>IF(AL104="","",IF(ISNUMBER('Dvd Calendar'!$AN$1436)=FALSE,"",IF((Summary!$C$13="N")*('Dvd Calendar'!$AN$1440='Field Check'!$C$25)&gt;0,"",'Dvd Calendar'!$AN$1436)))</f>
        <v/>
      </c>
      <c r="DA104" s="85">
        <f>IF(AM104="","",IF(ISNUMBER('Dvd Calendar'!$AO$1436)=FALSE,"",IF((Summary!$C$13="N")*('Dvd Calendar'!$AO$1440='Field Check'!$C$25)&gt;0,"",'Dvd Calendar'!$AO$1436)))</f>
        <v/>
      </c>
      <c r="DB104" s="85">
        <f>IF(AN104="","",IF(ISNUMBER('Dvd Calendar'!$AP$1436)=FALSE,"",IF((Summary!$C$13="N")*('Dvd Calendar'!$AP$1440='Field Check'!$C$25)&gt;0,"",'Dvd Calendar'!$AP$1436)))</f>
        <v/>
      </c>
      <c r="DC104" s="85">
        <f>IF(AO104="","",IF(ISNUMBER('Dvd Calendar'!$AQ$1436)=FALSE,"",IF((Summary!$C$13="N")*('Dvd Calendar'!$AQ$1440='Field Check'!$C$25)&gt;0,"",'Dvd Calendar'!$AQ$1436)))</f>
        <v/>
      </c>
      <c r="DD104" s="85">
        <f>IF(AP104="","",IF(ISNUMBER('Dvd Calendar'!$AR$1436)=FALSE,"",IF((Summary!$C$13="N")*('Dvd Calendar'!$AR$1440='Field Check'!$C$25)&gt;0,"",'Dvd Calendar'!$AR$1436)))</f>
        <v/>
      </c>
      <c r="DE104" s="85">
        <f>IF(AQ104="","",IF(ISNUMBER('Dvd Calendar'!$E$1443)=FALSE,"",IF((Summary!$C$13="N")*('Dvd Calendar'!$E$1447='Field Check'!$C$25)&gt;0,"",'Dvd Calendar'!$E$1443)))</f>
        <v/>
      </c>
      <c r="DF104" s="85">
        <f>IF(AR104="","",IF(ISNUMBER('Dvd Calendar'!$F$1443)=FALSE,"",IF((Summary!$C$13="N")*('Dvd Calendar'!$F$1447='Field Check'!$C$25)&gt;0,"",'Dvd Calendar'!$F$1443)))</f>
        <v/>
      </c>
      <c r="DG104" s="85">
        <f>IF(AS104="","",IF(ISNUMBER('Dvd Calendar'!$G$1443)=FALSE,"",IF((Summary!$C$13="N")*('Dvd Calendar'!$G$1447='Field Check'!$C$25)&gt;0,"",'Dvd Calendar'!$G$1443)))</f>
        <v/>
      </c>
      <c r="DH104" s="85">
        <f>IF(AT104="","",IF(ISNUMBER('Dvd Calendar'!$H$1443)=FALSE,"",IF((Summary!$C$13="N")*('Dvd Calendar'!$H$1447='Field Check'!$C$25)&gt;0,"",'Dvd Calendar'!$H$1443)))</f>
        <v/>
      </c>
      <c r="DI104" s="85">
        <f>IF(AU104="","",IF(ISNUMBER('Dvd Calendar'!$I$1443)=FALSE,"",IF((Summary!$C$13="N")*('Dvd Calendar'!$I$1447='Field Check'!$C$25)&gt;0,"",'Dvd Calendar'!$I$1443)))</f>
        <v/>
      </c>
      <c r="DJ104" s="85">
        <f>IF(AV104="","",IF(ISNUMBER('Dvd Calendar'!$J$1443)=FALSE,"",IF((Summary!$C$13="N")*('Dvd Calendar'!$J$1447='Field Check'!$C$25)&gt;0,"",'Dvd Calendar'!$J$1443)))</f>
        <v/>
      </c>
      <c r="DK104" s="85">
        <f>IF(AW104="","",IF(ISNUMBER('Dvd Calendar'!$K$1443)=FALSE,"",IF((Summary!$C$13="N")*('Dvd Calendar'!$K$1447='Field Check'!$C$25)&gt;0,"",'Dvd Calendar'!$K$1443)))</f>
        <v/>
      </c>
      <c r="DL104" s="85">
        <f>IF(AX104="","",IF(ISNUMBER('Dvd Calendar'!$L$1443)=FALSE,"",IF((Summary!$C$13="N")*('Dvd Calendar'!$L$1447='Field Check'!$C$25)&gt;0,"",'Dvd Calendar'!$L$1443)))</f>
        <v/>
      </c>
      <c r="DM104" s="85">
        <f>IF(AY104="","",IF(ISNUMBER('Dvd Calendar'!$M$1443)=FALSE,"",IF((Summary!$C$13="N")*('Dvd Calendar'!$M$1447='Field Check'!$C$25)&gt;0,"",'Dvd Calendar'!$M$1443)))</f>
        <v/>
      </c>
      <c r="DN104" s="85">
        <f>IF(AZ104="","",IF(ISNUMBER('Dvd Calendar'!$N$1443)=FALSE,"",IF((Summary!$C$13="N")*('Dvd Calendar'!$N$1447='Field Check'!$C$25)&gt;0,"",'Dvd Calendar'!$N$1443)))</f>
        <v/>
      </c>
      <c r="DO104" s="85">
        <f>IF(BA104="","",IF(ISNUMBER('Dvd Calendar'!$O$1443)=FALSE,"",IF((Summary!$C$13="N")*('Dvd Calendar'!$O$1447='Field Check'!$C$25)&gt;0,"",'Dvd Calendar'!$O$1443)))</f>
        <v/>
      </c>
      <c r="DP104" s="85">
        <f>IF(BB104="","",IF(ISNUMBER('Dvd Calendar'!$P$1443)=FALSE,"",IF((Summary!$C$13="N")*('Dvd Calendar'!$P$1447='Field Check'!$C$25)&gt;0,"",'Dvd Calendar'!$P$1443)))</f>
        <v/>
      </c>
      <c r="DQ104" s="85">
        <f>IF(BC104="","",IF(ISNUMBER('Dvd Calendar'!$Q$1443)=FALSE,"",IF((Summary!$C$13="N")*('Dvd Calendar'!$Q$1447='Field Check'!$C$25)&gt;0,"",'Dvd Calendar'!$Q$1443)))</f>
        <v/>
      </c>
      <c r="DR104" s="85">
        <f>IF(BD104="","",IF(ISNUMBER('Dvd Calendar'!$R$1443)=FALSE,"",IF((Summary!$C$13="N")*('Dvd Calendar'!$R$1447='Field Check'!$C$25)&gt;0,"",'Dvd Calendar'!$R$1443)))</f>
        <v/>
      </c>
      <c r="DS104" s="85">
        <f>IF(BE104="","",IF(ISNUMBER('Dvd Calendar'!$S$1443)=FALSE,"",IF((Summary!$C$13="N")*('Dvd Calendar'!$S$1447='Field Check'!$C$25)&gt;0,"",'Dvd Calendar'!$S$1443)))</f>
        <v/>
      </c>
      <c r="DT104" s="85">
        <f>IF(BF104="","",IF(ISNUMBER('Dvd Calendar'!$T$1443)=FALSE,"",IF((Summary!$C$13="N")*('Dvd Calendar'!$T$1447='Field Check'!$C$25)&gt;0,"",'Dvd Calendar'!$T$1443)))</f>
        <v/>
      </c>
      <c r="DU104" s="85">
        <f>IF(BG104="","",IF(ISNUMBER('Dvd Calendar'!$U$1443)=FALSE,"",IF((Summary!$C$13="N")*('Dvd Calendar'!$U$1447='Field Check'!$C$25)&gt;0,"",'Dvd Calendar'!$U$1443)))</f>
        <v/>
      </c>
      <c r="DV104" s="85">
        <f>IF(BH104="","",IF(ISNUMBER('Dvd Calendar'!$V$1443)=FALSE,"",IF((Summary!$C$13="N")*('Dvd Calendar'!$V$1447='Field Check'!$C$25)&gt;0,"",'Dvd Calendar'!$V$1443)))</f>
        <v/>
      </c>
      <c r="DW104" s="85">
        <f>IF(BI104="","",IF(ISNUMBER('Dvd Calendar'!$W$1443)=FALSE,"",IF((Summary!$C$13="N")*('Dvd Calendar'!$W$1447='Field Check'!$C$25)&gt;0,"",'Dvd Calendar'!$W$1443)))</f>
        <v/>
      </c>
      <c r="DX104" s="85">
        <f>IF(BJ104="","",IF(ISNUMBER('Dvd Calendar'!$X$1443)=FALSE,"",IF((Summary!$C$13="N")*('Dvd Calendar'!$X$1447='Field Check'!$C$25)&gt;0,"",'Dvd Calendar'!$X$1443)))</f>
        <v/>
      </c>
      <c r="DY104" s="85">
        <f>IF(BK104="","",IF(ISNUMBER('Dvd Calendar'!$Y$1443)=FALSE,"",IF((Summary!$C$13="N")*('Dvd Calendar'!$Y$1447='Field Check'!$C$25)&gt;0,"",'Dvd Calendar'!$Y$1443)))</f>
        <v/>
      </c>
      <c r="DZ104" s="85">
        <f>IF(BL104="","",IF(ISNUMBER('Dvd Calendar'!$Z$1443)=FALSE,"",IF((Summary!$C$13="N")*('Dvd Calendar'!$Z$1447='Field Check'!$C$25)&gt;0,"",'Dvd Calendar'!$Z$1443)))</f>
        <v/>
      </c>
      <c r="EA104" s="85">
        <f>IF(BM104="","",IF(ISNUMBER('Dvd Calendar'!$AA$1443)=FALSE,"",IF((Summary!$C$13="N")*('Dvd Calendar'!$AA$1447='Field Check'!$C$25)&gt;0,"",'Dvd Calendar'!$AA$1443)))</f>
        <v/>
      </c>
      <c r="EB104" s="85">
        <f>IF(BN104="","",IF(ISNUMBER('Dvd Calendar'!$AB$1443)=FALSE,"",IF((Summary!$C$13="N")*('Dvd Calendar'!$AB$1447='Field Check'!$C$25)&gt;0,"",'Dvd Calendar'!$AB$1443)))</f>
        <v/>
      </c>
      <c r="EC104" s="85">
        <f>IF(BO104="","",IF(ISNUMBER('Dvd Calendar'!$AC$1443)=FALSE,"",IF((Summary!$C$13="N")*('Dvd Calendar'!$AC$1447='Field Check'!$C$25)&gt;0,"",'Dvd Calendar'!$AC$1443)))</f>
        <v/>
      </c>
      <c r="EE104" s="85">
        <f>IF(BQ104="","",IFERROR(BQ104*HSI!$B$102*HSI!$G$102/HSI!$B$3,""))</f>
        <v/>
      </c>
      <c r="EF104" s="85">
        <f>IF(BR104="","",IFERROR(BR104*HSI!$B$102*HSI!$G$102/HSI!$B$3,""))</f>
        <v/>
      </c>
      <c r="EG104" s="85">
        <f>IF(BS104="","",IFERROR(BS104*HSI!$B$102*HSI!$G$102/HSI!$B$3,""))</f>
        <v/>
      </c>
      <c r="EH104" s="85">
        <f>IF(BT104="","",IFERROR(BT104*HSI!$B$102*HSI!$G$102/HSI!$B$3,""))</f>
        <v/>
      </c>
      <c r="EI104" s="85">
        <f>IF(BU104="","",IFERROR(BU104*HSI!$B$102*HSI!$G$102/HSI!$B$3,""))</f>
        <v/>
      </c>
      <c r="EJ104" s="85">
        <f>IF(BV104="","",IFERROR(BV104*HSI!$B$102*HSI!$G$102/HSI!$B$3,""))</f>
        <v/>
      </c>
      <c r="EK104" s="85">
        <f>IF(BW104="","",IFERROR(BW104*HSI!$B$102*HSI!$G$102/HSI!$B$3,""))</f>
        <v/>
      </c>
      <c r="EL104" s="85">
        <f>IF(BX104="","",IFERROR(BX104*HSI!$B$102*HSI!$G$102/HSI!$B$3,""))</f>
        <v/>
      </c>
      <c r="EM104" s="85">
        <f>IF(BY104="","",IFERROR(BY104*HSI!$B$102*HSI!$G$102/HSI!$B$3,""))</f>
        <v/>
      </c>
      <c r="EN104" s="85">
        <f>IF(BZ104="","",IFERROR(BZ104*HSI!$B$102*HSI!$G$102/HSI!$B$3,""))</f>
        <v/>
      </c>
      <c r="EO104" s="85">
        <f>IF(CA104="","",IFERROR(CA104*HSI!$B$102*HSI!$G$102/HSI!$B$3,""))</f>
        <v/>
      </c>
      <c r="EP104" s="85">
        <f>IF(CB104="","",IFERROR(CB104*HSI!$B$102*HSI!$G$102/HSI!$B$3,""))</f>
        <v/>
      </c>
      <c r="EQ104" s="85">
        <f>IF(CC104="","",IFERROR(CC104*HSI!$B$102*HSI!$G$102/HSI!$B$3,""))</f>
        <v/>
      </c>
      <c r="ER104" s="85">
        <f>IF(CD104="","",IFERROR(CD104*HSI!$B$102*HSI!$G$102/HSI!$B$3,""))</f>
        <v/>
      </c>
      <c r="ES104" s="85">
        <f>IF(CE104="","",IFERROR(CE104*HSI!$B$102*HSI!$G$102/HSI!$B$3,""))</f>
        <v/>
      </c>
      <c r="ET104" s="85">
        <f>IF(CF104="","",IFERROR(CF104*HSI!$B$102*HSI!$G$102/HSI!$B$3,""))</f>
        <v/>
      </c>
      <c r="EU104" s="85">
        <f>IF(CG104="","",IFERROR(CG104*HSI!$B$102*HSI!$G$102/HSI!$B$3,""))</f>
        <v/>
      </c>
      <c r="EV104" s="85">
        <f>IF(CH104="","",IFERROR(CH104*HSI!$B$102*HSI!$G$102/HSI!$B$3,""))</f>
        <v/>
      </c>
      <c r="EW104" s="85">
        <f>IF(CI104="","",IFERROR(CI104*HSI!$B$102*HSI!$G$102/HSI!$B$3,""))</f>
        <v/>
      </c>
      <c r="EX104" s="85">
        <f>IF(CJ104="","",IFERROR(CJ104*HSI!$B$102*HSI!$G$102/HSI!$B$3,""))</f>
        <v/>
      </c>
      <c r="EY104" s="85">
        <f>IF(CK104="","",IFERROR(CK104*HSI!$B$102*HSI!$G$102/HSI!$B$3,""))</f>
        <v/>
      </c>
      <c r="EZ104" s="85">
        <f>IF(CL104="","",IFERROR(CL104*HSI!$B$102*HSI!$G$102/HSI!$B$3,""))</f>
        <v/>
      </c>
      <c r="FA104" s="85">
        <f>IF(CM104="","",IFERROR(CM104*HSI!$B$102*HSI!$G$102/HSI!$B$3,""))</f>
        <v/>
      </c>
      <c r="FB104" s="85">
        <f>IF(CN104="","",IFERROR(CN104*HSI!$B$102*HSI!$G$102/HSI!$B$3,""))</f>
        <v/>
      </c>
      <c r="FC104" s="85">
        <f>IF(CO104="","",IFERROR(CO104*HSI!$B$102*HSI!$G$102/HSI!$B$3,""))</f>
        <v/>
      </c>
      <c r="FD104" s="85">
        <f>IF(CP104="","",IFERROR(CP104*HSI!$B$102*HSI!$G$102/HSI!$B$3,""))</f>
        <v/>
      </c>
      <c r="FE104" s="85">
        <f>IF(CQ104="","",IFERROR(CQ104*HSI!$B$102*HSI!$G$102/HSI!$B$3,""))</f>
        <v/>
      </c>
      <c r="FF104" s="85">
        <f>IF(CR104="","",IFERROR(CR104*HSI!$B$102*HSI!$G$102/HSI!$B$3,""))</f>
        <v/>
      </c>
      <c r="FG104" s="85">
        <f>IF(CS104="","",IFERROR(CS104*HSI!$B$102*HSI!$G$102/HSI!$B$3,""))</f>
        <v/>
      </c>
      <c r="FH104" s="85">
        <f>IF(CT104="","",IFERROR(CT104*HSI!$B$102*HSI!$G$102/HSI!$B$3,""))</f>
        <v/>
      </c>
      <c r="FI104" s="85">
        <f>IF(CU104="","",IFERROR(CU104*HSI!$B$102*HSI!$G$102/HSI!$B$3,""))</f>
        <v/>
      </c>
      <c r="FJ104" s="85">
        <f>IF(CV104="","",IFERROR(CV104*HSI!$B$102*HSI!$G$102/HSI!$B$3,""))</f>
        <v/>
      </c>
      <c r="FK104" s="85">
        <f>IF(CW104="","",IFERROR(CW104*HSI!$B$102*HSI!$G$102/HSI!$B$3,""))</f>
        <v/>
      </c>
      <c r="FL104" s="85">
        <f>IF(CX104="","",IFERROR(CX104*HSI!$B$102*HSI!$G$102/HSI!$B$3,""))</f>
        <v/>
      </c>
      <c r="FM104" s="85">
        <f>IF(CY104="","",IFERROR(CY104*HSI!$B$102*HSI!$G$102/HSI!$B$3,""))</f>
        <v/>
      </c>
      <c r="FN104" s="85">
        <f>IF(CZ104="","",IFERROR(CZ104*HSI!$B$102*HSI!$G$102/HSI!$B$3,""))</f>
        <v/>
      </c>
      <c r="FO104" s="85">
        <f>IF(DA104="","",IFERROR(DA104*HSI!$B$102*HSI!$G$102/HSI!$B$3,""))</f>
        <v/>
      </c>
      <c r="FP104" s="85">
        <f>IF(DB104="","",IFERROR(DB104*HSI!$B$102*HSI!$G$102/HSI!$B$3,""))</f>
        <v/>
      </c>
      <c r="FQ104" s="85">
        <f>IF(DC104="","",IFERROR(DC104*HSI!$B$102*HSI!$G$102/HSI!$B$3,""))</f>
        <v/>
      </c>
      <c r="FR104" s="85">
        <f>IF(DD104="","",IFERROR(DD104*HSI!$B$102*HSI!$G$102/HSI!$B$3,""))</f>
        <v/>
      </c>
      <c r="FS104" s="85">
        <f>IF(DE104="","",IFERROR(DE104*HSI!$B$102*HSI!$G$102/HSI!$B$3,""))</f>
        <v/>
      </c>
      <c r="FT104" s="85">
        <f>IF(DF104="","",IFERROR(DF104*HSI!$B$102*HSI!$G$102/HSI!$B$3,""))</f>
        <v/>
      </c>
      <c r="FU104" s="85">
        <f>IF(DG104="","",IFERROR(DG104*HSI!$B$102*HSI!$G$102/HSI!$B$3,""))</f>
        <v/>
      </c>
      <c r="FV104" s="85">
        <f>IF(DH104="","",IFERROR(DH104*HSI!$B$102*HSI!$G$102/HSI!$B$3,""))</f>
        <v/>
      </c>
      <c r="FW104" s="85">
        <f>IF(DI104="","",IFERROR(DI104*HSI!$B$102*HSI!$G$102/HSI!$B$3,""))</f>
        <v/>
      </c>
      <c r="FX104" s="85">
        <f>IF(DJ104="","",IFERROR(DJ104*HSI!$B$102*HSI!$G$102/HSI!$B$3,""))</f>
        <v/>
      </c>
      <c r="FY104" s="85">
        <f>IF(DK104="","",IFERROR(DK104*HSI!$B$102*HSI!$G$102/HSI!$B$3,""))</f>
        <v/>
      </c>
      <c r="FZ104" s="85">
        <f>IF(DL104="","",IFERROR(DL104*HSI!$B$102*HSI!$G$102/HSI!$B$3,""))</f>
        <v/>
      </c>
      <c r="GA104" s="85">
        <f>IF(DM104="","",IFERROR(DM104*HSI!$B$102*HSI!$G$102/HSI!$B$3,""))</f>
        <v/>
      </c>
      <c r="GB104" s="85">
        <f>IF(DN104="","",IFERROR(DN104*HSI!$B$102*HSI!$G$102/HSI!$B$3,""))</f>
        <v/>
      </c>
      <c r="GC104" s="85">
        <f>IF(DO104="","",IFERROR(DO104*HSI!$B$102*HSI!$G$102/HSI!$B$3,""))</f>
        <v/>
      </c>
      <c r="GD104" s="85">
        <f>IF(DP104="","",IFERROR(DP104*HSI!$B$102*HSI!$G$102/HSI!$B$3,""))</f>
        <v/>
      </c>
      <c r="GE104" s="85">
        <f>IF(DQ104="","",IFERROR(DQ104*HSI!$B$102*HSI!$G$102/HSI!$B$3,""))</f>
        <v/>
      </c>
      <c r="GF104" s="85">
        <f>IF(DR104="","",IFERROR(DR104*HSI!$B$102*HSI!$G$102/HSI!$B$3,""))</f>
        <v/>
      </c>
      <c r="GG104" s="85">
        <f>IF(DS104="","",IFERROR(DS104*HSI!$B$102*HSI!$G$102/HSI!$B$3,""))</f>
        <v/>
      </c>
      <c r="GH104" s="85">
        <f>IF(DT104="","",IFERROR(DT104*HSI!$B$102*HSI!$G$102/HSI!$B$3,""))</f>
        <v/>
      </c>
      <c r="GI104" s="85">
        <f>IF(DU104="","",IFERROR(DU104*HSI!$B$102*HSI!$G$102/HSI!$B$3,""))</f>
        <v/>
      </c>
      <c r="GJ104" s="85">
        <f>IF(DV104="","",IFERROR(DV104*HSI!$B$102*HSI!$G$102/HSI!$B$3,""))</f>
        <v/>
      </c>
      <c r="GK104" s="85">
        <f>IF(DW104="","",IFERROR(DW104*HSI!$B$102*HSI!$G$102/HSI!$B$3,""))</f>
        <v/>
      </c>
      <c r="GL104" s="85">
        <f>IF(DX104="","",IFERROR(DX104*HSI!$B$102*HSI!$G$102/HSI!$B$3,""))</f>
        <v/>
      </c>
      <c r="GM104" s="85">
        <f>IF(DY104="","",IFERROR(DY104*HSI!$B$102*HSI!$G$102/HSI!$B$3,""))</f>
        <v/>
      </c>
      <c r="GN104" s="85">
        <f>IF(DZ104="","",IFERROR(DZ104*HSI!$B$102*HSI!$G$102/HSI!$B$3,""))</f>
        <v/>
      </c>
      <c r="GO104" s="85">
        <f>IF(EA104="","",IFERROR(EA104*HSI!$B$102*HSI!$G$102/HSI!$B$3,""))</f>
        <v/>
      </c>
      <c r="GP104" s="85">
        <f>IF(EB104="","",IFERROR(EB104*HSI!$B$102*HSI!$G$102/HSI!$B$3,""))</f>
        <v/>
      </c>
      <c r="GQ104" s="85">
        <f>IF(EC104="","",IFERROR(EC104*HSI!$B$102*HSI!$G$102/HSI!$B$3,""))</f>
        <v/>
      </c>
    </row>
    <row r="105">
      <c r="B105" s="2">
        <f>IF(HSI!$C$103="","",HSI!$C$103)</f>
        <v/>
      </c>
      <c r="C105" s="41">
        <f>IF(N('Dvd Calendar'!$E$1450)=0,"",IF(('Dvd Calendar'!$E$1450&gt;=MIN(DATE(Summary!$C$12,1,1),Summary!$C$11))*('Dvd Calendar'!$E$1450&lt;=MAX(DATE(Summary!$C$12,12,31),Summary!$C$15))*('Dvd Calendar'!$E$1450&lt;=Summary!$C$11)=0,"",'Dvd Calendar'!$E$1450*1000000000+ISNUMBER('Dvd Calendar'!$E$1451)*100000000+('Dvd Calendar'!$E$1455='Field Check'!$C$25)*10000000+(N('Dvd Calendar'!$E$1449)&gt;0)*1000000+97*1000+1))</f>
        <v/>
      </c>
      <c r="D105" s="41">
        <f>IF(N('Dvd Calendar'!$F$1450)=0,"",IF(('Dvd Calendar'!$F$1450&gt;=MIN(DATE(Summary!$C$12,1,1),Summary!$C$11))*('Dvd Calendar'!$F$1450&lt;=MAX(DATE(Summary!$C$12,12,31),Summary!$C$15))*('Dvd Calendar'!$F$1450&lt;=Summary!$C$11)=0,"",'Dvd Calendar'!$F$1450*1000000000+ISNUMBER('Dvd Calendar'!$F$1451)*100000000+('Dvd Calendar'!$F$1455='Field Check'!$C$25)*10000000+(N('Dvd Calendar'!$F$1449)&gt;0)*1000000+97*1000+2))</f>
        <v/>
      </c>
      <c r="E105" s="41">
        <f>IF(N('Dvd Calendar'!$G$1450)=0,"",IF(('Dvd Calendar'!$G$1450&gt;=MIN(DATE(Summary!$C$12,1,1),Summary!$C$11))*('Dvd Calendar'!$G$1450&lt;=MAX(DATE(Summary!$C$12,12,31),Summary!$C$15))*('Dvd Calendar'!$G$1450&lt;=Summary!$C$11)=0,"",'Dvd Calendar'!$G$1450*1000000000+ISNUMBER('Dvd Calendar'!$G$1451)*100000000+('Dvd Calendar'!$G$1455='Field Check'!$C$25)*10000000+(N('Dvd Calendar'!$G$1449)&gt;0)*1000000+97*1000+3))</f>
        <v/>
      </c>
      <c r="F105" s="41">
        <f>IF(N('Dvd Calendar'!$H$1450)=0,"",IF(('Dvd Calendar'!$H$1450&gt;=MIN(DATE(Summary!$C$12,1,1),Summary!$C$11))*('Dvd Calendar'!$H$1450&lt;=MAX(DATE(Summary!$C$12,12,31),Summary!$C$15))*('Dvd Calendar'!$H$1450&lt;=Summary!$C$11)=0,"",'Dvd Calendar'!$H$1450*1000000000+ISNUMBER('Dvd Calendar'!$H$1451)*100000000+('Dvd Calendar'!$H$1455='Field Check'!$C$25)*10000000+(N('Dvd Calendar'!$H$1449)&gt;0)*1000000+97*1000+4))</f>
        <v/>
      </c>
      <c r="G105" s="41">
        <f>IF(N('Dvd Calendar'!$I$1450)=0,"",IF(('Dvd Calendar'!$I$1450&gt;=MIN(DATE(Summary!$C$12,1,1),Summary!$C$11))*('Dvd Calendar'!$I$1450&lt;=MAX(DATE(Summary!$C$12,12,31),Summary!$C$15))*('Dvd Calendar'!$I$1450&lt;=Summary!$C$11)=0,"",'Dvd Calendar'!$I$1450*1000000000+ISNUMBER('Dvd Calendar'!$I$1451)*100000000+('Dvd Calendar'!$I$1455='Field Check'!$C$25)*10000000+(N('Dvd Calendar'!$I$1449)&gt;0)*1000000+97*1000+5))</f>
        <v/>
      </c>
      <c r="H105" s="41">
        <f>IF(N('Dvd Calendar'!$J$1450)=0,"",IF(('Dvd Calendar'!$J$1450&gt;=MIN(DATE(Summary!$C$12,1,1),Summary!$C$11))*('Dvd Calendar'!$J$1450&lt;=MAX(DATE(Summary!$C$12,12,31),Summary!$C$15))*('Dvd Calendar'!$J$1450&lt;=Summary!$C$11)=0,"",'Dvd Calendar'!$J$1450*1000000000+ISNUMBER('Dvd Calendar'!$J$1451)*100000000+('Dvd Calendar'!$J$1455='Field Check'!$C$25)*10000000+(N('Dvd Calendar'!$J$1449)&gt;0)*1000000+97*1000+6))</f>
        <v/>
      </c>
      <c r="I105" s="41">
        <f>IF(N('Dvd Calendar'!$K$1450)=0,"",IF(('Dvd Calendar'!$K$1450&gt;=MIN(DATE(Summary!$C$12,1,1),Summary!$C$11))*('Dvd Calendar'!$K$1450&lt;=MAX(DATE(Summary!$C$12,12,31),Summary!$C$15))*('Dvd Calendar'!$K$1450&lt;=Summary!$C$11)=0,"",'Dvd Calendar'!$K$1450*1000000000+ISNUMBER('Dvd Calendar'!$K$1451)*100000000+('Dvd Calendar'!$K$1455='Field Check'!$C$25)*10000000+(N('Dvd Calendar'!$K$1449)&gt;0)*1000000+97*1000+7))</f>
        <v/>
      </c>
      <c r="J105" s="41">
        <f>IF(N('Dvd Calendar'!$L$1450)=0,"",IF(('Dvd Calendar'!$L$1450&gt;=MIN(DATE(Summary!$C$12,1,1),Summary!$C$11))*('Dvd Calendar'!$L$1450&lt;=MAX(DATE(Summary!$C$12,12,31),Summary!$C$15))*('Dvd Calendar'!$L$1450&lt;=Summary!$C$11)=0,"",'Dvd Calendar'!$L$1450*1000000000+ISNUMBER('Dvd Calendar'!$L$1451)*100000000+('Dvd Calendar'!$L$1455='Field Check'!$C$25)*10000000+(N('Dvd Calendar'!$L$1449)&gt;0)*1000000+97*1000+8))</f>
        <v/>
      </c>
      <c r="K105" s="41">
        <f>IF(N('Dvd Calendar'!$M$1450)=0,"",IF(('Dvd Calendar'!$M$1450&gt;=MIN(DATE(Summary!$C$12,1,1),Summary!$C$11))*('Dvd Calendar'!$M$1450&lt;=MAX(DATE(Summary!$C$12,12,31),Summary!$C$15))*('Dvd Calendar'!$M$1450&lt;=Summary!$C$11)=0,"",'Dvd Calendar'!$M$1450*1000000000+ISNUMBER('Dvd Calendar'!$M$1451)*100000000+('Dvd Calendar'!$M$1455='Field Check'!$C$25)*10000000+(N('Dvd Calendar'!$M$1449)&gt;0)*1000000+97*1000+9))</f>
        <v/>
      </c>
      <c r="L105" s="41">
        <f>IF(N('Dvd Calendar'!$N$1450)=0,"",IF(('Dvd Calendar'!$N$1450&gt;=MIN(DATE(Summary!$C$12,1,1),Summary!$C$11))*('Dvd Calendar'!$N$1450&lt;=MAX(DATE(Summary!$C$12,12,31),Summary!$C$15))*('Dvd Calendar'!$N$1450&lt;=Summary!$C$11)=0,"",'Dvd Calendar'!$N$1450*1000000000+ISNUMBER('Dvd Calendar'!$N$1451)*100000000+('Dvd Calendar'!$N$1455='Field Check'!$C$25)*10000000+(N('Dvd Calendar'!$N$1449)&gt;0)*1000000+97*1000+10))</f>
        <v/>
      </c>
      <c r="M105" s="41">
        <f>IF(N('Dvd Calendar'!$O$1450)=0,"",IF(('Dvd Calendar'!$O$1450&gt;=MIN(DATE(Summary!$C$12,1,1),Summary!$C$11))*('Dvd Calendar'!$O$1450&lt;=MAX(DATE(Summary!$C$12,12,31),Summary!$C$15))*('Dvd Calendar'!$O$1450&lt;=Summary!$C$11)=0,"",'Dvd Calendar'!$O$1450*1000000000+ISNUMBER('Dvd Calendar'!$O$1451)*100000000+('Dvd Calendar'!$O$1455='Field Check'!$C$25)*10000000+(N('Dvd Calendar'!$O$1449)&gt;0)*1000000+97*1000+11))</f>
        <v/>
      </c>
      <c r="N105" s="41">
        <f>IF(N('Dvd Calendar'!$P$1450)=0,"",IF(('Dvd Calendar'!$P$1450&gt;=MIN(DATE(Summary!$C$12,1,1),Summary!$C$11))*('Dvd Calendar'!$P$1450&lt;=MAX(DATE(Summary!$C$12,12,31),Summary!$C$15))*('Dvd Calendar'!$P$1450&lt;=Summary!$C$11)=0,"",'Dvd Calendar'!$P$1450*1000000000+ISNUMBER('Dvd Calendar'!$P$1451)*100000000+('Dvd Calendar'!$P$1455='Field Check'!$C$25)*10000000+(N('Dvd Calendar'!$P$1449)&gt;0)*1000000+97*1000+12))</f>
        <v/>
      </c>
      <c r="O105" s="41">
        <f>IF(N('Dvd Calendar'!$Q$1450)=0,"",IF(('Dvd Calendar'!$Q$1450&gt;=MIN(DATE(Summary!$C$12,1,1),Summary!$C$11))*('Dvd Calendar'!$Q$1450&lt;=MAX(DATE(Summary!$C$12,12,31),Summary!$C$15))*('Dvd Calendar'!$Q$1450&lt;=Summary!$C$11)=0,"",'Dvd Calendar'!$Q$1450*1000000000+ISNUMBER('Dvd Calendar'!$Q$1451)*100000000+('Dvd Calendar'!$Q$1455='Field Check'!$C$25)*10000000+(N('Dvd Calendar'!$Q$1449)&gt;0)*1000000+97*1000+13))</f>
        <v/>
      </c>
      <c r="P105" s="41">
        <f>IF(N('Dvd Calendar'!$R$1450)=0,"",IF(('Dvd Calendar'!$R$1450&gt;=MIN(DATE(Summary!$C$12,1,1),Summary!$C$11))*('Dvd Calendar'!$R$1450&lt;=MAX(DATE(Summary!$C$12,12,31),Summary!$C$15))*('Dvd Calendar'!$R$1450&lt;=Summary!$C$11)=0,"",'Dvd Calendar'!$R$1450*1000000000+ISNUMBER('Dvd Calendar'!$R$1451)*100000000+('Dvd Calendar'!$R$1455='Field Check'!$C$25)*10000000+(N('Dvd Calendar'!$R$1449)&gt;0)*1000000+97*1000+14))</f>
        <v/>
      </c>
      <c r="Q105" s="41">
        <f>IF(N('Dvd Calendar'!$S$1450)=0,"",IF(('Dvd Calendar'!$S$1450&gt;=MIN(DATE(Summary!$C$12,1,1),Summary!$C$11))*('Dvd Calendar'!$S$1450&lt;=MAX(DATE(Summary!$C$12,12,31),Summary!$C$15))*('Dvd Calendar'!$S$1450&lt;=Summary!$C$11)=0,"",'Dvd Calendar'!$S$1450*1000000000+ISNUMBER('Dvd Calendar'!$S$1451)*100000000+('Dvd Calendar'!$S$1455='Field Check'!$C$25)*10000000+(N('Dvd Calendar'!$S$1449)&gt;0)*1000000+97*1000+15))</f>
        <v/>
      </c>
      <c r="R105" s="41">
        <f>IF(N('Dvd Calendar'!$T$1450)=0,"",IF(('Dvd Calendar'!$T$1450&gt;=MIN(DATE(Summary!$C$12,1,1),Summary!$C$11))*('Dvd Calendar'!$T$1450&lt;=MAX(DATE(Summary!$C$12,12,31),Summary!$C$15))*('Dvd Calendar'!$T$1450&lt;=Summary!$C$11)=0,"",'Dvd Calendar'!$T$1450*1000000000+ISNUMBER('Dvd Calendar'!$T$1451)*100000000+('Dvd Calendar'!$T$1455='Field Check'!$C$25)*10000000+(N('Dvd Calendar'!$T$1449)&gt;0)*1000000+97*1000+16))</f>
        <v/>
      </c>
      <c r="S105" s="41">
        <f>IF(N('Dvd Calendar'!$U$1450)=0,"",IF(('Dvd Calendar'!$U$1450&gt;=MIN(DATE(Summary!$C$12,1,1),Summary!$C$11))*('Dvd Calendar'!$U$1450&lt;=MAX(DATE(Summary!$C$12,12,31),Summary!$C$15))*('Dvd Calendar'!$U$1450&lt;=Summary!$C$11)=0,"",'Dvd Calendar'!$U$1450*1000000000+ISNUMBER('Dvd Calendar'!$U$1451)*100000000+('Dvd Calendar'!$U$1455='Field Check'!$C$25)*10000000+(N('Dvd Calendar'!$U$1449)&gt;0)*1000000+97*1000+17))</f>
        <v/>
      </c>
      <c r="T105" s="41">
        <f>IF(N('Dvd Calendar'!$V$1450)=0,"",IF(('Dvd Calendar'!$V$1450&gt;=MIN(DATE(Summary!$C$12,1,1),Summary!$C$11))*('Dvd Calendar'!$V$1450&lt;=MAX(DATE(Summary!$C$12,12,31),Summary!$C$15))*('Dvd Calendar'!$V$1450&lt;=Summary!$C$11)=0,"",'Dvd Calendar'!$V$1450*1000000000+ISNUMBER('Dvd Calendar'!$V$1451)*100000000+('Dvd Calendar'!$V$1455='Field Check'!$C$25)*10000000+(N('Dvd Calendar'!$V$1449)&gt;0)*1000000+97*1000+18))</f>
        <v/>
      </c>
      <c r="U105" s="41">
        <f>IF(N('Dvd Calendar'!$W$1450)=0,"",IF(('Dvd Calendar'!$W$1450&gt;=MIN(DATE(Summary!$C$12,1,1),Summary!$C$11))*('Dvd Calendar'!$W$1450&lt;=MAX(DATE(Summary!$C$12,12,31),Summary!$C$15))*('Dvd Calendar'!$W$1450&lt;=Summary!$C$11)=0,"",'Dvd Calendar'!$W$1450*1000000000+ISNUMBER('Dvd Calendar'!$W$1451)*100000000+('Dvd Calendar'!$W$1455='Field Check'!$C$25)*10000000+(N('Dvd Calendar'!$W$1449)&gt;0)*1000000+97*1000+19))</f>
        <v/>
      </c>
      <c r="V105" s="41">
        <f>IF(N('Dvd Calendar'!$X$1450)=0,"",IF(('Dvd Calendar'!$X$1450&gt;=MIN(DATE(Summary!$C$12,1,1),Summary!$C$11))*('Dvd Calendar'!$X$1450&lt;=MAX(DATE(Summary!$C$12,12,31),Summary!$C$15))*('Dvd Calendar'!$X$1450&lt;=Summary!$C$11)=0,"",'Dvd Calendar'!$X$1450*1000000000+ISNUMBER('Dvd Calendar'!$X$1451)*100000000+('Dvd Calendar'!$X$1455='Field Check'!$C$25)*10000000+(N('Dvd Calendar'!$X$1449)&gt;0)*1000000+97*1000+20))</f>
        <v/>
      </c>
      <c r="W105" s="41">
        <f>IF(N('Dvd Calendar'!$Y$1450)=0,"",IF(('Dvd Calendar'!$Y$1450&gt;=MIN(DATE(Summary!$C$12,1,1),Summary!$C$11))*('Dvd Calendar'!$Y$1450&lt;=MAX(DATE(Summary!$C$12,12,31),Summary!$C$15))*('Dvd Calendar'!$Y$1450&lt;=Summary!$C$11)=0,"",'Dvd Calendar'!$Y$1450*1000000000+ISNUMBER('Dvd Calendar'!$Y$1451)*100000000+('Dvd Calendar'!$Y$1455='Field Check'!$C$25)*10000000+(N('Dvd Calendar'!$Y$1449)&gt;0)*1000000+97*1000+21))</f>
        <v/>
      </c>
      <c r="X105" s="41">
        <f>IF(N('Dvd Calendar'!$Z$1450)=0,"",IF(('Dvd Calendar'!$Z$1450&gt;=MIN(DATE(Summary!$C$12,1,1),Summary!$C$11))*('Dvd Calendar'!$Z$1450&lt;=MAX(DATE(Summary!$C$12,12,31),Summary!$C$15))*('Dvd Calendar'!$Z$1450&lt;=Summary!$C$11)=0,"",'Dvd Calendar'!$Z$1450*1000000000+ISNUMBER('Dvd Calendar'!$Z$1451)*100000000+('Dvd Calendar'!$Z$1455='Field Check'!$C$25)*10000000+(N('Dvd Calendar'!$Z$1449)&gt;0)*1000000+97*1000+22))</f>
        <v/>
      </c>
      <c r="Y105" s="41">
        <f>IF(N('Dvd Calendar'!$AA$1450)=0,"",IF(('Dvd Calendar'!$AA$1450&gt;=MIN(DATE(Summary!$C$12,1,1),Summary!$C$11))*('Dvd Calendar'!$AA$1450&lt;=MAX(DATE(Summary!$C$12,12,31),Summary!$C$15))*('Dvd Calendar'!$AA$1450&lt;=Summary!$C$11)=0,"",'Dvd Calendar'!$AA$1450*1000000000+ISNUMBER('Dvd Calendar'!$AA$1451)*100000000+('Dvd Calendar'!$AA$1455='Field Check'!$C$25)*10000000+(N('Dvd Calendar'!$AA$1449)&gt;0)*1000000+97*1000+23))</f>
        <v/>
      </c>
      <c r="Z105" s="41">
        <f>IF(N('Dvd Calendar'!$AB$1450)=0,"",IF(('Dvd Calendar'!$AB$1450&gt;=MIN(DATE(Summary!$C$12,1,1),Summary!$C$11))*('Dvd Calendar'!$AB$1450&lt;=MAX(DATE(Summary!$C$12,12,31),Summary!$C$15))*('Dvd Calendar'!$AB$1450&lt;=Summary!$C$11)=0,"",'Dvd Calendar'!$AB$1450*1000000000+ISNUMBER('Dvd Calendar'!$AB$1451)*100000000+('Dvd Calendar'!$AB$1455='Field Check'!$C$25)*10000000+(N('Dvd Calendar'!$AB$1449)&gt;0)*1000000+97*1000+24))</f>
        <v/>
      </c>
      <c r="AA105" s="41">
        <f>IF(N('Dvd Calendar'!$AC$1450)=0,"",IF(('Dvd Calendar'!$AC$1450&gt;=MIN(DATE(Summary!$C$12,1,1),Summary!$C$11))*('Dvd Calendar'!$AC$1450&lt;=MAX(DATE(Summary!$C$12,12,31),Summary!$C$15))*('Dvd Calendar'!$AC$1450&lt;=Summary!$C$11)=0,"",'Dvd Calendar'!$AC$1450*1000000000+ISNUMBER('Dvd Calendar'!$AC$1451)*100000000+('Dvd Calendar'!$AC$1455='Field Check'!$C$25)*10000000+(N('Dvd Calendar'!$AC$1449)&gt;0)*1000000+97*1000+25))</f>
        <v/>
      </c>
      <c r="AB105" s="41">
        <f>IF(N('Dvd Calendar'!$AD$1450)=0,"",IF(('Dvd Calendar'!$AD$1450&gt;=MIN(DATE(Summary!$C$12,1,1),Summary!$C$11))*('Dvd Calendar'!$AD$1450&lt;=MAX(DATE(Summary!$C$12,12,31),Summary!$C$15))*('Dvd Calendar'!$AD$1450&lt;=Summary!$C$11)=0,"",'Dvd Calendar'!$AD$1450*1000000000+ISNUMBER('Dvd Calendar'!$AD$1451)*100000000+('Dvd Calendar'!$AD$1455='Field Check'!$C$25)*10000000+(N('Dvd Calendar'!$AD$1449)&gt;0)*1000000+97*1000+26))</f>
        <v/>
      </c>
      <c r="AC105" s="41">
        <f>IF(N('Dvd Calendar'!$AE$1450)=0,"",IF(('Dvd Calendar'!$AE$1450&gt;=MIN(DATE(Summary!$C$12,1,1),Summary!$C$11))*('Dvd Calendar'!$AE$1450&lt;=MAX(DATE(Summary!$C$12,12,31),Summary!$C$15))*('Dvd Calendar'!$AE$1450&lt;=Summary!$C$11)=0,"",'Dvd Calendar'!$AE$1450*1000000000+ISNUMBER('Dvd Calendar'!$AE$1451)*100000000+('Dvd Calendar'!$AE$1455='Field Check'!$C$25)*10000000+(N('Dvd Calendar'!$AE$1449)&gt;0)*1000000+97*1000+27))</f>
        <v/>
      </c>
      <c r="AD105" s="41">
        <f>IF(N('Dvd Calendar'!$AF$1450)=0,"",IF(('Dvd Calendar'!$AF$1450&gt;=MIN(DATE(Summary!$C$12,1,1),Summary!$C$11))*('Dvd Calendar'!$AF$1450&lt;=MAX(DATE(Summary!$C$12,12,31),Summary!$C$15))*('Dvd Calendar'!$AF$1450&lt;=Summary!$C$11)=0,"",'Dvd Calendar'!$AF$1450*1000000000+ISNUMBER('Dvd Calendar'!$AF$1451)*100000000+('Dvd Calendar'!$AF$1455='Field Check'!$C$25)*10000000+(N('Dvd Calendar'!$AF$1449)&gt;0)*1000000+97*1000+28))</f>
        <v/>
      </c>
      <c r="AE105" s="41">
        <f>IF(N('Dvd Calendar'!$AG$1450)=0,"",IF(('Dvd Calendar'!$AG$1450&gt;=MIN(DATE(Summary!$C$12,1,1),Summary!$C$11))*('Dvd Calendar'!$AG$1450&lt;=MAX(DATE(Summary!$C$12,12,31),Summary!$C$15))*('Dvd Calendar'!$AG$1450&lt;=Summary!$C$11)=0,"",'Dvd Calendar'!$AG$1450*1000000000+ISNUMBER('Dvd Calendar'!$AG$1451)*100000000+('Dvd Calendar'!$AG$1455='Field Check'!$C$25)*10000000+(N('Dvd Calendar'!$AG$1449)&gt;0)*1000000+97*1000+29))</f>
        <v/>
      </c>
      <c r="AF105" s="41">
        <f>IF(N('Dvd Calendar'!$AH$1450)=0,"",IF(('Dvd Calendar'!$AH$1450&gt;=MIN(DATE(Summary!$C$12,1,1),Summary!$C$11))*('Dvd Calendar'!$AH$1450&lt;=MAX(DATE(Summary!$C$12,12,31),Summary!$C$15))*('Dvd Calendar'!$AH$1450&lt;=Summary!$C$11)=0,"",'Dvd Calendar'!$AH$1450*1000000000+ISNUMBER('Dvd Calendar'!$AH$1451)*100000000+('Dvd Calendar'!$AH$1455='Field Check'!$C$25)*10000000+(N('Dvd Calendar'!$AH$1449)&gt;0)*1000000+97*1000+30))</f>
        <v/>
      </c>
      <c r="AG105" s="41">
        <f>IF(N('Dvd Calendar'!$AI$1450)=0,"",IF(('Dvd Calendar'!$AI$1450&gt;=MIN(DATE(Summary!$C$12,1,1),Summary!$C$11))*('Dvd Calendar'!$AI$1450&lt;=MAX(DATE(Summary!$C$12,12,31),Summary!$C$15))*('Dvd Calendar'!$AI$1450&lt;=Summary!$C$11)=0,"",'Dvd Calendar'!$AI$1450*1000000000+ISNUMBER('Dvd Calendar'!$AI$1451)*100000000+('Dvd Calendar'!$AI$1455='Field Check'!$C$25)*10000000+(N('Dvd Calendar'!$AI$1449)&gt;0)*1000000+97*1000+31))</f>
        <v/>
      </c>
      <c r="AH105" s="41">
        <f>IF(N('Dvd Calendar'!$AJ$1450)=0,"",IF(('Dvd Calendar'!$AJ$1450&gt;=MIN(DATE(Summary!$C$12,1,1),Summary!$C$11))*('Dvd Calendar'!$AJ$1450&lt;=MAX(DATE(Summary!$C$12,12,31),Summary!$C$15))*('Dvd Calendar'!$AJ$1450&lt;=Summary!$C$11)=0,"",'Dvd Calendar'!$AJ$1450*1000000000+ISNUMBER('Dvd Calendar'!$AJ$1451)*100000000+('Dvd Calendar'!$AJ$1455='Field Check'!$C$25)*10000000+(N('Dvd Calendar'!$AJ$1449)&gt;0)*1000000+97*1000+32))</f>
        <v/>
      </c>
      <c r="AI105" s="41">
        <f>IF(N('Dvd Calendar'!$AK$1450)=0,"",IF(('Dvd Calendar'!$AK$1450&gt;=MIN(DATE(Summary!$C$12,1,1),Summary!$C$11))*('Dvd Calendar'!$AK$1450&lt;=MAX(DATE(Summary!$C$12,12,31),Summary!$C$15))*('Dvd Calendar'!$AK$1450&lt;=Summary!$C$11)=0,"",'Dvd Calendar'!$AK$1450*1000000000+ISNUMBER('Dvd Calendar'!$AK$1451)*100000000+('Dvd Calendar'!$AK$1455='Field Check'!$C$25)*10000000+(N('Dvd Calendar'!$AK$1449)&gt;0)*1000000+97*1000+33))</f>
        <v/>
      </c>
      <c r="AJ105" s="41">
        <f>IF(N('Dvd Calendar'!$AL$1450)=0,"",IF(('Dvd Calendar'!$AL$1450&gt;=MIN(DATE(Summary!$C$12,1,1),Summary!$C$11))*('Dvd Calendar'!$AL$1450&lt;=MAX(DATE(Summary!$C$12,12,31),Summary!$C$15))*('Dvd Calendar'!$AL$1450&lt;=Summary!$C$11)=0,"",'Dvd Calendar'!$AL$1450*1000000000+ISNUMBER('Dvd Calendar'!$AL$1451)*100000000+('Dvd Calendar'!$AL$1455='Field Check'!$C$25)*10000000+(N('Dvd Calendar'!$AL$1449)&gt;0)*1000000+97*1000+34))</f>
        <v/>
      </c>
      <c r="AK105" s="41">
        <f>IF(N('Dvd Calendar'!$AM$1450)=0,"",IF(('Dvd Calendar'!$AM$1450&gt;=MIN(DATE(Summary!$C$12,1,1),Summary!$C$11))*('Dvd Calendar'!$AM$1450&lt;=MAX(DATE(Summary!$C$12,12,31),Summary!$C$15))*('Dvd Calendar'!$AM$1450&lt;=Summary!$C$11)=0,"",'Dvd Calendar'!$AM$1450*1000000000+ISNUMBER('Dvd Calendar'!$AM$1451)*100000000+('Dvd Calendar'!$AM$1455='Field Check'!$C$25)*10000000+(N('Dvd Calendar'!$AM$1449)&gt;0)*1000000+97*1000+35))</f>
        <v/>
      </c>
      <c r="AL105" s="41">
        <f>IF(N('Dvd Calendar'!$AN$1450)=0,"",IF(('Dvd Calendar'!$AN$1450&gt;=MIN(DATE(Summary!$C$12,1,1),Summary!$C$11))*('Dvd Calendar'!$AN$1450&lt;=MAX(DATE(Summary!$C$12,12,31),Summary!$C$15))*('Dvd Calendar'!$AN$1450&lt;=Summary!$C$11)=0,"",'Dvd Calendar'!$AN$1450*1000000000+ISNUMBER('Dvd Calendar'!$AN$1451)*100000000+('Dvd Calendar'!$AN$1455='Field Check'!$C$25)*10000000+(N('Dvd Calendar'!$AN$1449)&gt;0)*1000000+97*1000+36))</f>
        <v/>
      </c>
      <c r="AM105" s="41">
        <f>IF(N('Dvd Calendar'!$AO$1450)=0,"",IF(('Dvd Calendar'!$AO$1450&gt;=MIN(DATE(Summary!$C$12,1,1),Summary!$C$11))*('Dvd Calendar'!$AO$1450&lt;=MAX(DATE(Summary!$C$12,12,31),Summary!$C$15))*('Dvd Calendar'!$AO$1450&lt;=Summary!$C$11)=0,"",'Dvd Calendar'!$AO$1450*1000000000+ISNUMBER('Dvd Calendar'!$AO$1451)*100000000+('Dvd Calendar'!$AO$1455='Field Check'!$C$25)*10000000+(N('Dvd Calendar'!$AO$1449)&gt;0)*1000000+97*1000+37))</f>
        <v/>
      </c>
      <c r="AN105" s="41">
        <f>IF(N('Dvd Calendar'!$AP$1450)=0,"",IF(('Dvd Calendar'!$AP$1450&gt;=MIN(DATE(Summary!$C$12,1,1),Summary!$C$11))*('Dvd Calendar'!$AP$1450&lt;=MAX(DATE(Summary!$C$12,12,31),Summary!$C$15))*('Dvd Calendar'!$AP$1450&lt;=Summary!$C$11)=0,"",'Dvd Calendar'!$AP$1450*1000000000+ISNUMBER('Dvd Calendar'!$AP$1451)*100000000+('Dvd Calendar'!$AP$1455='Field Check'!$C$25)*10000000+(N('Dvd Calendar'!$AP$1449)&gt;0)*1000000+97*1000+38))</f>
        <v/>
      </c>
      <c r="AO105" s="41">
        <f>IF(N('Dvd Calendar'!$AQ$1450)=0,"",IF(('Dvd Calendar'!$AQ$1450&gt;=MIN(DATE(Summary!$C$12,1,1),Summary!$C$11))*('Dvd Calendar'!$AQ$1450&lt;=MAX(DATE(Summary!$C$12,12,31),Summary!$C$15))*('Dvd Calendar'!$AQ$1450&lt;=Summary!$C$11)=0,"",'Dvd Calendar'!$AQ$1450*1000000000+ISNUMBER('Dvd Calendar'!$AQ$1451)*100000000+('Dvd Calendar'!$AQ$1455='Field Check'!$C$25)*10000000+(N('Dvd Calendar'!$AQ$1449)&gt;0)*1000000+97*1000+39))</f>
        <v/>
      </c>
      <c r="AP105" s="41">
        <f>IF(N('Dvd Calendar'!$AR$1450)=0,"",IF(('Dvd Calendar'!$AR$1450&gt;=MIN(DATE(Summary!$C$12,1,1),Summary!$C$11))*('Dvd Calendar'!$AR$1450&lt;=MAX(DATE(Summary!$C$12,12,31),Summary!$C$15))*('Dvd Calendar'!$AR$1450&lt;=Summary!$C$11)=0,"",'Dvd Calendar'!$AR$1450*1000000000+ISNUMBER('Dvd Calendar'!$AR$1451)*100000000+('Dvd Calendar'!$AR$1455='Field Check'!$C$25)*10000000+(N('Dvd Calendar'!$AR$1449)&gt;0)*1000000+97*1000+40))</f>
        <v/>
      </c>
      <c r="AQ105" s="41">
        <f>IF(N('Dvd Calendar'!$E$1457)=0,"",IF(('Dvd Calendar'!$E$1457&gt;=MIN(DATE(Summary!$C$12,1,1),Summary!$C$11))*('Dvd Calendar'!$E$1457&lt;=MAX(DATE(Summary!$C$12,12,31),Summary!$C$15))*('Dvd Calendar'!$E$1457&gt;Summary!$C$11)=0,"",'Dvd Calendar'!$E$1457*1000000000+ISNUMBER('Dvd Calendar'!$E$1458)*100000000+('Dvd Calendar'!$E$1462='Field Check'!$C$25)*10000000+(N('Dvd Calendar'!$E$1456)&gt;0)*1000000+97*1000+41))</f>
        <v/>
      </c>
      <c r="AR105" s="41">
        <f>IF(N('Dvd Calendar'!$F$1457)=0,"",IF(('Dvd Calendar'!$F$1457&gt;=MIN(DATE(Summary!$C$12,1,1),Summary!$C$11))*('Dvd Calendar'!$F$1457&lt;=MAX(DATE(Summary!$C$12,12,31),Summary!$C$15))*('Dvd Calendar'!$F$1457&gt;Summary!$C$11)=0,"",'Dvd Calendar'!$F$1457*1000000000+ISNUMBER('Dvd Calendar'!$F$1458)*100000000+('Dvd Calendar'!$F$1462='Field Check'!$C$25)*10000000+(N('Dvd Calendar'!$F$1456)&gt;0)*1000000+97*1000+42))</f>
        <v/>
      </c>
      <c r="AS105" s="41">
        <f>IF(N('Dvd Calendar'!$G$1457)=0,"",IF(('Dvd Calendar'!$G$1457&gt;=MIN(DATE(Summary!$C$12,1,1),Summary!$C$11))*('Dvd Calendar'!$G$1457&lt;=MAX(DATE(Summary!$C$12,12,31),Summary!$C$15))*('Dvd Calendar'!$G$1457&gt;Summary!$C$11)=0,"",'Dvd Calendar'!$G$1457*1000000000+ISNUMBER('Dvd Calendar'!$G$1458)*100000000+('Dvd Calendar'!$G$1462='Field Check'!$C$25)*10000000+(N('Dvd Calendar'!$G$1456)&gt;0)*1000000+97*1000+43))</f>
        <v/>
      </c>
      <c r="AT105" s="41">
        <f>IF(N('Dvd Calendar'!$H$1457)=0,"",IF(('Dvd Calendar'!$H$1457&gt;=MIN(DATE(Summary!$C$12,1,1),Summary!$C$11))*('Dvd Calendar'!$H$1457&lt;=MAX(DATE(Summary!$C$12,12,31),Summary!$C$15))*('Dvd Calendar'!$H$1457&gt;Summary!$C$11)=0,"",'Dvd Calendar'!$H$1457*1000000000+ISNUMBER('Dvd Calendar'!$H$1458)*100000000+('Dvd Calendar'!$H$1462='Field Check'!$C$25)*10000000+(N('Dvd Calendar'!$H$1456)&gt;0)*1000000+97*1000+44))</f>
        <v/>
      </c>
      <c r="AU105" s="41">
        <f>IF(N('Dvd Calendar'!$I$1457)=0,"",IF(('Dvd Calendar'!$I$1457&gt;=MIN(DATE(Summary!$C$12,1,1),Summary!$C$11))*('Dvd Calendar'!$I$1457&lt;=MAX(DATE(Summary!$C$12,12,31),Summary!$C$15))*('Dvd Calendar'!$I$1457&gt;Summary!$C$11)=0,"",'Dvd Calendar'!$I$1457*1000000000+ISNUMBER('Dvd Calendar'!$I$1458)*100000000+('Dvd Calendar'!$I$1462='Field Check'!$C$25)*10000000+(N('Dvd Calendar'!$I$1456)&gt;0)*1000000+97*1000+45))</f>
        <v/>
      </c>
      <c r="AV105" s="41">
        <f>IF(N('Dvd Calendar'!$J$1457)=0,"",IF(('Dvd Calendar'!$J$1457&gt;=MIN(DATE(Summary!$C$12,1,1),Summary!$C$11))*('Dvd Calendar'!$J$1457&lt;=MAX(DATE(Summary!$C$12,12,31),Summary!$C$15))*('Dvd Calendar'!$J$1457&gt;Summary!$C$11)=0,"",'Dvd Calendar'!$J$1457*1000000000+ISNUMBER('Dvd Calendar'!$J$1458)*100000000+('Dvd Calendar'!$J$1462='Field Check'!$C$25)*10000000+(N('Dvd Calendar'!$J$1456)&gt;0)*1000000+97*1000+46))</f>
        <v/>
      </c>
      <c r="AW105" s="41">
        <f>IF(N('Dvd Calendar'!$K$1457)=0,"",IF(('Dvd Calendar'!$K$1457&gt;=MIN(DATE(Summary!$C$12,1,1),Summary!$C$11))*('Dvd Calendar'!$K$1457&lt;=MAX(DATE(Summary!$C$12,12,31),Summary!$C$15))*('Dvd Calendar'!$K$1457&gt;Summary!$C$11)=0,"",'Dvd Calendar'!$K$1457*1000000000+ISNUMBER('Dvd Calendar'!$K$1458)*100000000+('Dvd Calendar'!$K$1462='Field Check'!$C$25)*10000000+(N('Dvd Calendar'!$K$1456)&gt;0)*1000000+97*1000+47))</f>
        <v/>
      </c>
      <c r="AX105" s="41">
        <f>IF(N('Dvd Calendar'!$L$1457)=0,"",IF(('Dvd Calendar'!$L$1457&gt;=MIN(DATE(Summary!$C$12,1,1),Summary!$C$11))*('Dvd Calendar'!$L$1457&lt;=MAX(DATE(Summary!$C$12,12,31),Summary!$C$15))*('Dvd Calendar'!$L$1457&gt;Summary!$C$11)=0,"",'Dvd Calendar'!$L$1457*1000000000+ISNUMBER('Dvd Calendar'!$L$1458)*100000000+('Dvd Calendar'!$L$1462='Field Check'!$C$25)*10000000+(N('Dvd Calendar'!$L$1456)&gt;0)*1000000+97*1000+48))</f>
        <v/>
      </c>
      <c r="AY105" s="41">
        <f>IF(N('Dvd Calendar'!$M$1457)=0,"",IF(('Dvd Calendar'!$M$1457&gt;=MIN(DATE(Summary!$C$12,1,1),Summary!$C$11))*('Dvd Calendar'!$M$1457&lt;=MAX(DATE(Summary!$C$12,12,31),Summary!$C$15))*('Dvd Calendar'!$M$1457&gt;Summary!$C$11)=0,"",'Dvd Calendar'!$M$1457*1000000000+ISNUMBER('Dvd Calendar'!$M$1458)*100000000+('Dvd Calendar'!$M$1462='Field Check'!$C$25)*10000000+(N('Dvd Calendar'!$M$1456)&gt;0)*1000000+97*1000+49))</f>
        <v/>
      </c>
      <c r="AZ105" s="41">
        <f>IF(N('Dvd Calendar'!$N$1457)=0,"",IF(('Dvd Calendar'!$N$1457&gt;=MIN(DATE(Summary!$C$12,1,1),Summary!$C$11))*('Dvd Calendar'!$N$1457&lt;=MAX(DATE(Summary!$C$12,12,31),Summary!$C$15))*('Dvd Calendar'!$N$1457&gt;Summary!$C$11)=0,"",'Dvd Calendar'!$N$1457*1000000000+ISNUMBER('Dvd Calendar'!$N$1458)*100000000+('Dvd Calendar'!$N$1462='Field Check'!$C$25)*10000000+(N('Dvd Calendar'!$N$1456)&gt;0)*1000000+97*1000+50))</f>
        <v/>
      </c>
      <c r="BA105" s="41">
        <f>IF(N('Dvd Calendar'!$O$1457)=0,"",IF(('Dvd Calendar'!$O$1457&gt;=MIN(DATE(Summary!$C$12,1,1),Summary!$C$11))*('Dvd Calendar'!$O$1457&lt;=MAX(DATE(Summary!$C$12,12,31),Summary!$C$15))*('Dvd Calendar'!$O$1457&gt;Summary!$C$11)=0,"",'Dvd Calendar'!$O$1457*1000000000+ISNUMBER('Dvd Calendar'!$O$1458)*100000000+('Dvd Calendar'!$O$1462='Field Check'!$C$25)*10000000+(N('Dvd Calendar'!$O$1456)&gt;0)*1000000+97*1000+51))</f>
        <v/>
      </c>
      <c r="BB105" s="41">
        <f>IF(N('Dvd Calendar'!$P$1457)=0,"",IF(('Dvd Calendar'!$P$1457&gt;=MIN(DATE(Summary!$C$12,1,1),Summary!$C$11))*('Dvd Calendar'!$P$1457&lt;=MAX(DATE(Summary!$C$12,12,31),Summary!$C$15))*('Dvd Calendar'!$P$1457&gt;Summary!$C$11)=0,"",'Dvd Calendar'!$P$1457*1000000000+ISNUMBER('Dvd Calendar'!$P$1458)*100000000+('Dvd Calendar'!$P$1462='Field Check'!$C$25)*10000000+(N('Dvd Calendar'!$P$1456)&gt;0)*1000000+97*1000+52))</f>
        <v/>
      </c>
      <c r="BC105" s="41">
        <f>IF(N('Dvd Calendar'!$Q$1457)=0,"",IF(('Dvd Calendar'!$Q$1457&gt;=MIN(DATE(Summary!$C$12,1,1),Summary!$C$11))*('Dvd Calendar'!$Q$1457&lt;=MAX(DATE(Summary!$C$12,12,31),Summary!$C$15))*('Dvd Calendar'!$Q$1457&gt;Summary!$C$11)=0,"",'Dvd Calendar'!$Q$1457*1000000000+ISNUMBER('Dvd Calendar'!$Q$1458)*100000000+('Dvd Calendar'!$Q$1462='Field Check'!$C$25)*10000000+(N('Dvd Calendar'!$Q$1456)&gt;0)*1000000+97*1000+53))</f>
        <v/>
      </c>
      <c r="BD105" s="41">
        <f>IF(N('Dvd Calendar'!$R$1457)=0,"",IF(('Dvd Calendar'!$R$1457&gt;=MIN(DATE(Summary!$C$12,1,1),Summary!$C$11))*('Dvd Calendar'!$R$1457&lt;=MAX(DATE(Summary!$C$12,12,31),Summary!$C$15))*('Dvd Calendar'!$R$1457&gt;Summary!$C$11)=0,"",'Dvd Calendar'!$R$1457*1000000000+ISNUMBER('Dvd Calendar'!$R$1458)*100000000+('Dvd Calendar'!$R$1462='Field Check'!$C$25)*10000000+(N('Dvd Calendar'!$R$1456)&gt;0)*1000000+97*1000+54))</f>
        <v/>
      </c>
      <c r="BE105" s="41">
        <f>IF(N('Dvd Calendar'!$S$1457)=0,"",IF(('Dvd Calendar'!$S$1457&gt;=MIN(DATE(Summary!$C$12,1,1),Summary!$C$11))*('Dvd Calendar'!$S$1457&lt;=MAX(DATE(Summary!$C$12,12,31),Summary!$C$15))*('Dvd Calendar'!$S$1457&gt;Summary!$C$11)=0,"",'Dvd Calendar'!$S$1457*1000000000+ISNUMBER('Dvd Calendar'!$S$1458)*100000000+('Dvd Calendar'!$S$1462='Field Check'!$C$25)*10000000+(N('Dvd Calendar'!$S$1456)&gt;0)*1000000+97*1000+55))</f>
        <v/>
      </c>
      <c r="BF105" s="41">
        <f>IF(N('Dvd Calendar'!$T$1457)=0,"",IF(('Dvd Calendar'!$T$1457&gt;=MIN(DATE(Summary!$C$12,1,1),Summary!$C$11))*('Dvd Calendar'!$T$1457&lt;=MAX(DATE(Summary!$C$12,12,31),Summary!$C$15))*('Dvd Calendar'!$T$1457&gt;Summary!$C$11)=0,"",'Dvd Calendar'!$T$1457*1000000000+ISNUMBER('Dvd Calendar'!$T$1458)*100000000+('Dvd Calendar'!$T$1462='Field Check'!$C$25)*10000000+(N('Dvd Calendar'!$T$1456)&gt;0)*1000000+97*1000+56))</f>
        <v/>
      </c>
      <c r="BG105" s="41">
        <f>IF(N('Dvd Calendar'!$U$1457)=0,"",IF(('Dvd Calendar'!$U$1457&gt;=MIN(DATE(Summary!$C$12,1,1),Summary!$C$11))*('Dvd Calendar'!$U$1457&lt;=MAX(DATE(Summary!$C$12,12,31),Summary!$C$15))*('Dvd Calendar'!$U$1457&gt;Summary!$C$11)=0,"",'Dvd Calendar'!$U$1457*1000000000+ISNUMBER('Dvd Calendar'!$U$1458)*100000000+('Dvd Calendar'!$U$1462='Field Check'!$C$25)*10000000+(N('Dvd Calendar'!$U$1456)&gt;0)*1000000+97*1000+57))</f>
        <v/>
      </c>
      <c r="BH105" s="41">
        <f>IF(N('Dvd Calendar'!$V$1457)=0,"",IF(('Dvd Calendar'!$V$1457&gt;=MIN(DATE(Summary!$C$12,1,1),Summary!$C$11))*('Dvd Calendar'!$V$1457&lt;=MAX(DATE(Summary!$C$12,12,31),Summary!$C$15))*('Dvd Calendar'!$V$1457&gt;Summary!$C$11)=0,"",'Dvd Calendar'!$V$1457*1000000000+ISNUMBER('Dvd Calendar'!$V$1458)*100000000+('Dvd Calendar'!$V$1462='Field Check'!$C$25)*10000000+(N('Dvd Calendar'!$V$1456)&gt;0)*1000000+97*1000+58))</f>
        <v/>
      </c>
      <c r="BI105" s="41">
        <f>IF(N('Dvd Calendar'!$W$1457)=0,"",IF(('Dvd Calendar'!$W$1457&gt;=MIN(DATE(Summary!$C$12,1,1),Summary!$C$11))*('Dvd Calendar'!$W$1457&lt;=MAX(DATE(Summary!$C$12,12,31),Summary!$C$15))*('Dvd Calendar'!$W$1457&gt;Summary!$C$11)=0,"",'Dvd Calendar'!$W$1457*1000000000+ISNUMBER('Dvd Calendar'!$W$1458)*100000000+('Dvd Calendar'!$W$1462='Field Check'!$C$25)*10000000+(N('Dvd Calendar'!$W$1456)&gt;0)*1000000+97*1000+59))</f>
        <v/>
      </c>
      <c r="BJ105" s="41">
        <f>IF(N('Dvd Calendar'!$X$1457)=0,"",IF(('Dvd Calendar'!$X$1457&gt;=MIN(DATE(Summary!$C$12,1,1),Summary!$C$11))*('Dvd Calendar'!$X$1457&lt;=MAX(DATE(Summary!$C$12,12,31),Summary!$C$15))*('Dvd Calendar'!$X$1457&gt;Summary!$C$11)=0,"",'Dvd Calendar'!$X$1457*1000000000+ISNUMBER('Dvd Calendar'!$X$1458)*100000000+('Dvd Calendar'!$X$1462='Field Check'!$C$25)*10000000+(N('Dvd Calendar'!$X$1456)&gt;0)*1000000+97*1000+60))</f>
        <v/>
      </c>
      <c r="BK105" s="41">
        <f>IF(N('Dvd Calendar'!$Y$1457)=0,"",IF(('Dvd Calendar'!$Y$1457&gt;=MIN(DATE(Summary!$C$12,1,1),Summary!$C$11))*('Dvd Calendar'!$Y$1457&lt;=MAX(DATE(Summary!$C$12,12,31),Summary!$C$15))*('Dvd Calendar'!$Y$1457&gt;Summary!$C$11)=0,"",'Dvd Calendar'!$Y$1457*1000000000+ISNUMBER('Dvd Calendar'!$Y$1458)*100000000+('Dvd Calendar'!$Y$1462='Field Check'!$C$25)*10000000+(N('Dvd Calendar'!$Y$1456)&gt;0)*1000000+97*1000+61))</f>
        <v/>
      </c>
      <c r="BL105" s="41">
        <f>IF(N('Dvd Calendar'!$Z$1457)=0,"",IF(('Dvd Calendar'!$Z$1457&gt;=MIN(DATE(Summary!$C$12,1,1),Summary!$C$11))*('Dvd Calendar'!$Z$1457&lt;=MAX(DATE(Summary!$C$12,12,31),Summary!$C$15))*('Dvd Calendar'!$Z$1457&gt;Summary!$C$11)=0,"",'Dvd Calendar'!$Z$1457*1000000000+ISNUMBER('Dvd Calendar'!$Z$1458)*100000000+('Dvd Calendar'!$Z$1462='Field Check'!$C$25)*10000000+(N('Dvd Calendar'!$Z$1456)&gt;0)*1000000+97*1000+62))</f>
        <v/>
      </c>
      <c r="BM105" s="41">
        <f>IF(N('Dvd Calendar'!$AA$1457)=0,"",IF(('Dvd Calendar'!$AA$1457&gt;=MIN(DATE(Summary!$C$12,1,1),Summary!$C$11))*('Dvd Calendar'!$AA$1457&lt;=MAX(DATE(Summary!$C$12,12,31),Summary!$C$15))*('Dvd Calendar'!$AA$1457&gt;Summary!$C$11)=0,"",'Dvd Calendar'!$AA$1457*1000000000+ISNUMBER('Dvd Calendar'!$AA$1458)*100000000+('Dvd Calendar'!$AA$1462='Field Check'!$C$25)*10000000+(N('Dvd Calendar'!$AA$1456)&gt;0)*1000000+97*1000+63))</f>
        <v/>
      </c>
      <c r="BN105" s="41">
        <f>IF(N('Dvd Calendar'!$AB$1457)=0,"",IF(('Dvd Calendar'!$AB$1457&gt;=MIN(DATE(Summary!$C$12,1,1),Summary!$C$11))*('Dvd Calendar'!$AB$1457&lt;=MAX(DATE(Summary!$C$12,12,31),Summary!$C$15))*('Dvd Calendar'!$AB$1457&gt;Summary!$C$11)=0,"",'Dvd Calendar'!$AB$1457*1000000000+ISNUMBER('Dvd Calendar'!$AB$1458)*100000000+('Dvd Calendar'!$AB$1462='Field Check'!$C$25)*10000000+(N('Dvd Calendar'!$AB$1456)&gt;0)*1000000+97*1000+64))</f>
        <v/>
      </c>
      <c r="BO105" s="41">
        <f>IF(N('Dvd Calendar'!$AC$1457)=0,"",IF(('Dvd Calendar'!$AC$1457&gt;=MIN(DATE(Summary!$C$12,1,1),Summary!$C$11))*('Dvd Calendar'!$AC$1457&lt;=MAX(DATE(Summary!$C$12,12,31),Summary!$C$15))*('Dvd Calendar'!$AC$1457&gt;Summary!$C$11)=0,"",'Dvd Calendar'!$AC$1457*1000000000+ISNUMBER('Dvd Calendar'!$AC$1458)*100000000+('Dvd Calendar'!$AC$1462='Field Check'!$C$25)*10000000+(N('Dvd Calendar'!$AC$1456)&gt;0)*1000000+97*1000+65))</f>
        <v/>
      </c>
      <c r="BQ105" s="85">
        <f>IF(C105="","",IF(ISNUMBER('Dvd Calendar'!$E$1451)=FALSE,"",IF((Summary!$C$13="N")*('Dvd Calendar'!$E$1455='Field Check'!$C$25)&gt;0,"",'Dvd Calendar'!$E$1451)))</f>
        <v/>
      </c>
      <c r="BR105" s="85">
        <f>IF(D105="","",IF(ISNUMBER('Dvd Calendar'!$F$1451)=FALSE,"",IF((Summary!$C$13="N")*('Dvd Calendar'!$F$1455='Field Check'!$C$25)&gt;0,"",'Dvd Calendar'!$F$1451)))</f>
        <v/>
      </c>
      <c r="BS105" s="85">
        <f>IF(E105="","",IF(ISNUMBER('Dvd Calendar'!$G$1451)=FALSE,"",IF((Summary!$C$13="N")*('Dvd Calendar'!$G$1455='Field Check'!$C$25)&gt;0,"",'Dvd Calendar'!$G$1451)))</f>
        <v/>
      </c>
      <c r="BT105" s="85">
        <f>IF(F105="","",IF(ISNUMBER('Dvd Calendar'!$H$1451)=FALSE,"",IF((Summary!$C$13="N")*('Dvd Calendar'!$H$1455='Field Check'!$C$25)&gt;0,"",'Dvd Calendar'!$H$1451)))</f>
        <v/>
      </c>
      <c r="BU105" s="85">
        <f>IF(G105="","",IF(ISNUMBER('Dvd Calendar'!$I$1451)=FALSE,"",IF((Summary!$C$13="N")*('Dvd Calendar'!$I$1455='Field Check'!$C$25)&gt;0,"",'Dvd Calendar'!$I$1451)))</f>
        <v/>
      </c>
      <c r="BV105" s="85">
        <f>IF(H105="","",IF(ISNUMBER('Dvd Calendar'!$J$1451)=FALSE,"",IF((Summary!$C$13="N")*('Dvd Calendar'!$J$1455='Field Check'!$C$25)&gt;0,"",'Dvd Calendar'!$J$1451)))</f>
        <v/>
      </c>
      <c r="BW105" s="85">
        <f>IF(I105="","",IF(ISNUMBER('Dvd Calendar'!$K$1451)=FALSE,"",IF((Summary!$C$13="N")*('Dvd Calendar'!$K$1455='Field Check'!$C$25)&gt;0,"",'Dvd Calendar'!$K$1451)))</f>
        <v/>
      </c>
      <c r="BX105" s="85">
        <f>IF(J105="","",IF(ISNUMBER('Dvd Calendar'!$L$1451)=FALSE,"",IF((Summary!$C$13="N")*('Dvd Calendar'!$L$1455='Field Check'!$C$25)&gt;0,"",'Dvd Calendar'!$L$1451)))</f>
        <v/>
      </c>
      <c r="BY105" s="85">
        <f>IF(K105="","",IF(ISNUMBER('Dvd Calendar'!$M$1451)=FALSE,"",IF((Summary!$C$13="N")*('Dvd Calendar'!$M$1455='Field Check'!$C$25)&gt;0,"",'Dvd Calendar'!$M$1451)))</f>
        <v/>
      </c>
      <c r="BZ105" s="85">
        <f>IF(L105="","",IF(ISNUMBER('Dvd Calendar'!$N$1451)=FALSE,"",IF((Summary!$C$13="N")*('Dvd Calendar'!$N$1455='Field Check'!$C$25)&gt;0,"",'Dvd Calendar'!$N$1451)))</f>
        <v/>
      </c>
      <c r="CA105" s="85">
        <f>IF(M105="","",IF(ISNUMBER('Dvd Calendar'!$O$1451)=FALSE,"",IF((Summary!$C$13="N")*('Dvd Calendar'!$O$1455='Field Check'!$C$25)&gt;0,"",'Dvd Calendar'!$O$1451)))</f>
        <v/>
      </c>
      <c r="CB105" s="85">
        <f>IF(N105="","",IF(ISNUMBER('Dvd Calendar'!$P$1451)=FALSE,"",IF((Summary!$C$13="N")*('Dvd Calendar'!$P$1455='Field Check'!$C$25)&gt;0,"",'Dvd Calendar'!$P$1451)))</f>
        <v/>
      </c>
      <c r="CC105" s="85">
        <f>IF(O105="","",IF(ISNUMBER('Dvd Calendar'!$Q$1451)=FALSE,"",IF((Summary!$C$13="N")*('Dvd Calendar'!$Q$1455='Field Check'!$C$25)&gt;0,"",'Dvd Calendar'!$Q$1451)))</f>
        <v/>
      </c>
      <c r="CD105" s="85">
        <f>IF(P105="","",IF(ISNUMBER('Dvd Calendar'!$R$1451)=FALSE,"",IF((Summary!$C$13="N")*('Dvd Calendar'!$R$1455='Field Check'!$C$25)&gt;0,"",'Dvd Calendar'!$R$1451)))</f>
        <v/>
      </c>
      <c r="CE105" s="85">
        <f>IF(Q105="","",IF(ISNUMBER('Dvd Calendar'!$S$1451)=FALSE,"",IF((Summary!$C$13="N")*('Dvd Calendar'!$S$1455='Field Check'!$C$25)&gt;0,"",'Dvd Calendar'!$S$1451)))</f>
        <v/>
      </c>
      <c r="CF105" s="85">
        <f>IF(R105="","",IF(ISNUMBER('Dvd Calendar'!$T$1451)=FALSE,"",IF((Summary!$C$13="N")*('Dvd Calendar'!$T$1455='Field Check'!$C$25)&gt;0,"",'Dvd Calendar'!$T$1451)))</f>
        <v/>
      </c>
      <c r="CG105" s="85">
        <f>IF(S105="","",IF(ISNUMBER('Dvd Calendar'!$U$1451)=FALSE,"",IF((Summary!$C$13="N")*('Dvd Calendar'!$U$1455='Field Check'!$C$25)&gt;0,"",'Dvd Calendar'!$U$1451)))</f>
        <v/>
      </c>
      <c r="CH105" s="85">
        <f>IF(T105="","",IF(ISNUMBER('Dvd Calendar'!$V$1451)=FALSE,"",IF((Summary!$C$13="N")*('Dvd Calendar'!$V$1455='Field Check'!$C$25)&gt;0,"",'Dvd Calendar'!$V$1451)))</f>
        <v/>
      </c>
      <c r="CI105" s="85">
        <f>IF(U105="","",IF(ISNUMBER('Dvd Calendar'!$W$1451)=FALSE,"",IF((Summary!$C$13="N")*('Dvd Calendar'!$W$1455='Field Check'!$C$25)&gt;0,"",'Dvd Calendar'!$W$1451)))</f>
        <v/>
      </c>
      <c r="CJ105" s="85">
        <f>IF(V105="","",IF(ISNUMBER('Dvd Calendar'!$X$1451)=FALSE,"",IF((Summary!$C$13="N")*('Dvd Calendar'!$X$1455='Field Check'!$C$25)&gt;0,"",'Dvd Calendar'!$X$1451)))</f>
        <v/>
      </c>
      <c r="CK105" s="85">
        <f>IF(W105="","",IF(ISNUMBER('Dvd Calendar'!$Y$1451)=FALSE,"",IF((Summary!$C$13="N")*('Dvd Calendar'!$Y$1455='Field Check'!$C$25)&gt;0,"",'Dvd Calendar'!$Y$1451)))</f>
        <v/>
      </c>
      <c r="CL105" s="85">
        <f>IF(X105="","",IF(ISNUMBER('Dvd Calendar'!$Z$1451)=FALSE,"",IF((Summary!$C$13="N")*('Dvd Calendar'!$Z$1455='Field Check'!$C$25)&gt;0,"",'Dvd Calendar'!$Z$1451)))</f>
        <v/>
      </c>
      <c r="CM105" s="85">
        <f>IF(Y105="","",IF(ISNUMBER('Dvd Calendar'!$AA$1451)=FALSE,"",IF((Summary!$C$13="N")*('Dvd Calendar'!$AA$1455='Field Check'!$C$25)&gt;0,"",'Dvd Calendar'!$AA$1451)))</f>
        <v/>
      </c>
      <c r="CN105" s="85">
        <f>IF(Z105="","",IF(ISNUMBER('Dvd Calendar'!$AB$1451)=FALSE,"",IF((Summary!$C$13="N")*('Dvd Calendar'!$AB$1455='Field Check'!$C$25)&gt;0,"",'Dvd Calendar'!$AB$1451)))</f>
        <v/>
      </c>
      <c r="CO105" s="85">
        <f>IF(AA105="","",IF(ISNUMBER('Dvd Calendar'!$AC$1451)=FALSE,"",IF((Summary!$C$13="N")*('Dvd Calendar'!$AC$1455='Field Check'!$C$25)&gt;0,"",'Dvd Calendar'!$AC$1451)))</f>
        <v/>
      </c>
      <c r="CP105" s="85">
        <f>IF(AB105="","",IF(ISNUMBER('Dvd Calendar'!$AD$1451)=FALSE,"",IF((Summary!$C$13="N")*('Dvd Calendar'!$AD$1455='Field Check'!$C$25)&gt;0,"",'Dvd Calendar'!$AD$1451)))</f>
        <v/>
      </c>
      <c r="CQ105" s="85">
        <f>IF(AC105="","",IF(ISNUMBER('Dvd Calendar'!$AE$1451)=FALSE,"",IF((Summary!$C$13="N")*('Dvd Calendar'!$AE$1455='Field Check'!$C$25)&gt;0,"",'Dvd Calendar'!$AE$1451)))</f>
        <v/>
      </c>
      <c r="CR105" s="85">
        <f>IF(AD105="","",IF(ISNUMBER('Dvd Calendar'!$AF$1451)=FALSE,"",IF((Summary!$C$13="N")*('Dvd Calendar'!$AF$1455='Field Check'!$C$25)&gt;0,"",'Dvd Calendar'!$AF$1451)))</f>
        <v/>
      </c>
      <c r="CS105" s="85">
        <f>IF(AE105="","",IF(ISNUMBER('Dvd Calendar'!$AG$1451)=FALSE,"",IF((Summary!$C$13="N")*('Dvd Calendar'!$AG$1455='Field Check'!$C$25)&gt;0,"",'Dvd Calendar'!$AG$1451)))</f>
        <v/>
      </c>
      <c r="CT105" s="85">
        <f>IF(AF105="","",IF(ISNUMBER('Dvd Calendar'!$AH$1451)=FALSE,"",IF((Summary!$C$13="N")*('Dvd Calendar'!$AH$1455='Field Check'!$C$25)&gt;0,"",'Dvd Calendar'!$AH$1451)))</f>
        <v/>
      </c>
      <c r="CU105" s="85">
        <f>IF(AG105="","",IF(ISNUMBER('Dvd Calendar'!$AI$1451)=FALSE,"",IF((Summary!$C$13="N")*('Dvd Calendar'!$AI$1455='Field Check'!$C$25)&gt;0,"",'Dvd Calendar'!$AI$1451)))</f>
        <v/>
      </c>
      <c r="CV105" s="85">
        <f>IF(AH105="","",IF(ISNUMBER('Dvd Calendar'!$AJ$1451)=FALSE,"",IF((Summary!$C$13="N")*('Dvd Calendar'!$AJ$1455='Field Check'!$C$25)&gt;0,"",'Dvd Calendar'!$AJ$1451)))</f>
        <v/>
      </c>
      <c r="CW105" s="85">
        <f>IF(AI105="","",IF(ISNUMBER('Dvd Calendar'!$AK$1451)=FALSE,"",IF((Summary!$C$13="N")*('Dvd Calendar'!$AK$1455='Field Check'!$C$25)&gt;0,"",'Dvd Calendar'!$AK$1451)))</f>
        <v/>
      </c>
      <c r="CX105" s="85">
        <f>IF(AJ105="","",IF(ISNUMBER('Dvd Calendar'!$AL$1451)=FALSE,"",IF((Summary!$C$13="N")*('Dvd Calendar'!$AL$1455='Field Check'!$C$25)&gt;0,"",'Dvd Calendar'!$AL$1451)))</f>
        <v/>
      </c>
      <c r="CY105" s="85">
        <f>IF(AK105="","",IF(ISNUMBER('Dvd Calendar'!$AM$1451)=FALSE,"",IF((Summary!$C$13="N")*('Dvd Calendar'!$AM$1455='Field Check'!$C$25)&gt;0,"",'Dvd Calendar'!$AM$1451)))</f>
        <v/>
      </c>
      <c r="CZ105" s="85">
        <f>IF(AL105="","",IF(ISNUMBER('Dvd Calendar'!$AN$1451)=FALSE,"",IF((Summary!$C$13="N")*('Dvd Calendar'!$AN$1455='Field Check'!$C$25)&gt;0,"",'Dvd Calendar'!$AN$1451)))</f>
        <v/>
      </c>
      <c r="DA105" s="85">
        <f>IF(AM105="","",IF(ISNUMBER('Dvd Calendar'!$AO$1451)=FALSE,"",IF((Summary!$C$13="N")*('Dvd Calendar'!$AO$1455='Field Check'!$C$25)&gt;0,"",'Dvd Calendar'!$AO$1451)))</f>
        <v/>
      </c>
      <c r="DB105" s="85">
        <f>IF(AN105="","",IF(ISNUMBER('Dvd Calendar'!$AP$1451)=FALSE,"",IF((Summary!$C$13="N")*('Dvd Calendar'!$AP$1455='Field Check'!$C$25)&gt;0,"",'Dvd Calendar'!$AP$1451)))</f>
        <v/>
      </c>
      <c r="DC105" s="85">
        <f>IF(AO105="","",IF(ISNUMBER('Dvd Calendar'!$AQ$1451)=FALSE,"",IF((Summary!$C$13="N")*('Dvd Calendar'!$AQ$1455='Field Check'!$C$25)&gt;0,"",'Dvd Calendar'!$AQ$1451)))</f>
        <v/>
      </c>
      <c r="DD105" s="85">
        <f>IF(AP105="","",IF(ISNUMBER('Dvd Calendar'!$AR$1451)=FALSE,"",IF((Summary!$C$13="N")*('Dvd Calendar'!$AR$1455='Field Check'!$C$25)&gt;0,"",'Dvd Calendar'!$AR$1451)))</f>
        <v/>
      </c>
      <c r="DE105" s="85">
        <f>IF(AQ105="","",IF(ISNUMBER('Dvd Calendar'!$E$1458)=FALSE,"",IF((Summary!$C$13="N")*('Dvd Calendar'!$E$1462='Field Check'!$C$25)&gt;0,"",'Dvd Calendar'!$E$1458)))</f>
        <v/>
      </c>
      <c r="DF105" s="85">
        <f>IF(AR105="","",IF(ISNUMBER('Dvd Calendar'!$F$1458)=FALSE,"",IF((Summary!$C$13="N")*('Dvd Calendar'!$F$1462='Field Check'!$C$25)&gt;0,"",'Dvd Calendar'!$F$1458)))</f>
        <v/>
      </c>
      <c r="DG105" s="85">
        <f>IF(AS105="","",IF(ISNUMBER('Dvd Calendar'!$G$1458)=FALSE,"",IF((Summary!$C$13="N")*('Dvd Calendar'!$G$1462='Field Check'!$C$25)&gt;0,"",'Dvd Calendar'!$G$1458)))</f>
        <v/>
      </c>
      <c r="DH105" s="85">
        <f>IF(AT105="","",IF(ISNUMBER('Dvd Calendar'!$H$1458)=FALSE,"",IF((Summary!$C$13="N")*('Dvd Calendar'!$H$1462='Field Check'!$C$25)&gt;0,"",'Dvd Calendar'!$H$1458)))</f>
        <v/>
      </c>
      <c r="DI105" s="85">
        <f>IF(AU105="","",IF(ISNUMBER('Dvd Calendar'!$I$1458)=FALSE,"",IF((Summary!$C$13="N")*('Dvd Calendar'!$I$1462='Field Check'!$C$25)&gt;0,"",'Dvd Calendar'!$I$1458)))</f>
        <v/>
      </c>
      <c r="DJ105" s="85">
        <f>IF(AV105="","",IF(ISNUMBER('Dvd Calendar'!$J$1458)=FALSE,"",IF((Summary!$C$13="N")*('Dvd Calendar'!$J$1462='Field Check'!$C$25)&gt;0,"",'Dvd Calendar'!$J$1458)))</f>
        <v/>
      </c>
      <c r="DK105" s="85">
        <f>IF(AW105="","",IF(ISNUMBER('Dvd Calendar'!$K$1458)=FALSE,"",IF((Summary!$C$13="N")*('Dvd Calendar'!$K$1462='Field Check'!$C$25)&gt;0,"",'Dvd Calendar'!$K$1458)))</f>
        <v/>
      </c>
      <c r="DL105" s="85">
        <f>IF(AX105="","",IF(ISNUMBER('Dvd Calendar'!$L$1458)=FALSE,"",IF((Summary!$C$13="N")*('Dvd Calendar'!$L$1462='Field Check'!$C$25)&gt;0,"",'Dvd Calendar'!$L$1458)))</f>
        <v/>
      </c>
      <c r="DM105" s="85">
        <f>IF(AY105="","",IF(ISNUMBER('Dvd Calendar'!$M$1458)=FALSE,"",IF((Summary!$C$13="N")*('Dvd Calendar'!$M$1462='Field Check'!$C$25)&gt;0,"",'Dvd Calendar'!$M$1458)))</f>
        <v/>
      </c>
      <c r="DN105" s="85">
        <f>IF(AZ105="","",IF(ISNUMBER('Dvd Calendar'!$N$1458)=FALSE,"",IF((Summary!$C$13="N")*('Dvd Calendar'!$N$1462='Field Check'!$C$25)&gt;0,"",'Dvd Calendar'!$N$1458)))</f>
        <v/>
      </c>
      <c r="DO105" s="85">
        <f>IF(BA105="","",IF(ISNUMBER('Dvd Calendar'!$O$1458)=FALSE,"",IF((Summary!$C$13="N")*('Dvd Calendar'!$O$1462='Field Check'!$C$25)&gt;0,"",'Dvd Calendar'!$O$1458)))</f>
        <v/>
      </c>
      <c r="DP105" s="85">
        <f>IF(BB105="","",IF(ISNUMBER('Dvd Calendar'!$P$1458)=FALSE,"",IF((Summary!$C$13="N")*('Dvd Calendar'!$P$1462='Field Check'!$C$25)&gt;0,"",'Dvd Calendar'!$P$1458)))</f>
        <v/>
      </c>
      <c r="DQ105" s="85">
        <f>IF(BC105="","",IF(ISNUMBER('Dvd Calendar'!$Q$1458)=FALSE,"",IF((Summary!$C$13="N")*('Dvd Calendar'!$Q$1462='Field Check'!$C$25)&gt;0,"",'Dvd Calendar'!$Q$1458)))</f>
        <v/>
      </c>
      <c r="DR105" s="85">
        <f>IF(BD105="","",IF(ISNUMBER('Dvd Calendar'!$R$1458)=FALSE,"",IF((Summary!$C$13="N")*('Dvd Calendar'!$R$1462='Field Check'!$C$25)&gt;0,"",'Dvd Calendar'!$R$1458)))</f>
        <v/>
      </c>
      <c r="DS105" s="85">
        <f>IF(BE105="","",IF(ISNUMBER('Dvd Calendar'!$S$1458)=FALSE,"",IF((Summary!$C$13="N")*('Dvd Calendar'!$S$1462='Field Check'!$C$25)&gt;0,"",'Dvd Calendar'!$S$1458)))</f>
        <v/>
      </c>
      <c r="DT105" s="85">
        <f>IF(BF105="","",IF(ISNUMBER('Dvd Calendar'!$T$1458)=FALSE,"",IF((Summary!$C$13="N")*('Dvd Calendar'!$T$1462='Field Check'!$C$25)&gt;0,"",'Dvd Calendar'!$T$1458)))</f>
        <v/>
      </c>
      <c r="DU105" s="85">
        <f>IF(BG105="","",IF(ISNUMBER('Dvd Calendar'!$U$1458)=FALSE,"",IF((Summary!$C$13="N")*('Dvd Calendar'!$U$1462='Field Check'!$C$25)&gt;0,"",'Dvd Calendar'!$U$1458)))</f>
        <v/>
      </c>
      <c r="DV105" s="85">
        <f>IF(BH105="","",IF(ISNUMBER('Dvd Calendar'!$V$1458)=FALSE,"",IF((Summary!$C$13="N")*('Dvd Calendar'!$V$1462='Field Check'!$C$25)&gt;0,"",'Dvd Calendar'!$V$1458)))</f>
        <v/>
      </c>
      <c r="DW105" s="85">
        <f>IF(BI105="","",IF(ISNUMBER('Dvd Calendar'!$W$1458)=FALSE,"",IF((Summary!$C$13="N")*('Dvd Calendar'!$W$1462='Field Check'!$C$25)&gt;0,"",'Dvd Calendar'!$W$1458)))</f>
        <v/>
      </c>
      <c r="DX105" s="85">
        <f>IF(BJ105="","",IF(ISNUMBER('Dvd Calendar'!$X$1458)=FALSE,"",IF((Summary!$C$13="N")*('Dvd Calendar'!$X$1462='Field Check'!$C$25)&gt;0,"",'Dvd Calendar'!$X$1458)))</f>
        <v/>
      </c>
      <c r="DY105" s="85">
        <f>IF(BK105="","",IF(ISNUMBER('Dvd Calendar'!$Y$1458)=FALSE,"",IF((Summary!$C$13="N")*('Dvd Calendar'!$Y$1462='Field Check'!$C$25)&gt;0,"",'Dvd Calendar'!$Y$1458)))</f>
        <v/>
      </c>
      <c r="DZ105" s="85">
        <f>IF(BL105="","",IF(ISNUMBER('Dvd Calendar'!$Z$1458)=FALSE,"",IF((Summary!$C$13="N")*('Dvd Calendar'!$Z$1462='Field Check'!$C$25)&gt;0,"",'Dvd Calendar'!$Z$1458)))</f>
        <v/>
      </c>
      <c r="EA105" s="85">
        <f>IF(BM105="","",IF(ISNUMBER('Dvd Calendar'!$AA$1458)=FALSE,"",IF((Summary!$C$13="N")*('Dvd Calendar'!$AA$1462='Field Check'!$C$25)&gt;0,"",'Dvd Calendar'!$AA$1458)))</f>
        <v/>
      </c>
      <c r="EB105" s="85">
        <f>IF(BN105="","",IF(ISNUMBER('Dvd Calendar'!$AB$1458)=FALSE,"",IF((Summary!$C$13="N")*('Dvd Calendar'!$AB$1462='Field Check'!$C$25)&gt;0,"",'Dvd Calendar'!$AB$1458)))</f>
        <v/>
      </c>
      <c r="EC105" s="85">
        <f>IF(BO105="","",IF(ISNUMBER('Dvd Calendar'!$AC$1458)=FALSE,"",IF((Summary!$C$13="N")*('Dvd Calendar'!$AC$1462='Field Check'!$C$25)&gt;0,"",'Dvd Calendar'!$AC$1458)))</f>
        <v/>
      </c>
      <c r="EE105" s="85">
        <f>IF(BQ105="","",IFERROR(BQ105*HSI!$B$103*HSI!$G$103/HSI!$B$3,""))</f>
        <v/>
      </c>
      <c r="EF105" s="85">
        <f>IF(BR105="","",IFERROR(BR105*HSI!$B$103*HSI!$G$103/HSI!$B$3,""))</f>
        <v/>
      </c>
      <c r="EG105" s="85">
        <f>IF(BS105="","",IFERROR(BS105*HSI!$B$103*HSI!$G$103/HSI!$B$3,""))</f>
        <v/>
      </c>
      <c r="EH105" s="85">
        <f>IF(BT105="","",IFERROR(BT105*HSI!$B$103*HSI!$G$103/HSI!$B$3,""))</f>
        <v/>
      </c>
      <c r="EI105" s="85">
        <f>IF(BU105="","",IFERROR(BU105*HSI!$B$103*HSI!$G$103/HSI!$B$3,""))</f>
        <v/>
      </c>
      <c r="EJ105" s="85">
        <f>IF(BV105="","",IFERROR(BV105*HSI!$B$103*HSI!$G$103/HSI!$B$3,""))</f>
        <v/>
      </c>
      <c r="EK105" s="85">
        <f>IF(BW105="","",IFERROR(BW105*HSI!$B$103*HSI!$G$103/HSI!$B$3,""))</f>
        <v/>
      </c>
      <c r="EL105" s="85">
        <f>IF(BX105="","",IFERROR(BX105*HSI!$B$103*HSI!$G$103/HSI!$B$3,""))</f>
        <v/>
      </c>
      <c r="EM105" s="85">
        <f>IF(BY105="","",IFERROR(BY105*HSI!$B$103*HSI!$G$103/HSI!$B$3,""))</f>
        <v/>
      </c>
      <c r="EN105" s="85">
        <f>IF(BZ105="","",IFERROR(BZ105*HSI!$B$103*HSI!$G$103/HSI!$B$3,""))</f>
        <v/>
      </c>
      <c r="EO105" s="85">
        <f>IF(CA105="","",IFERROR(CA105*HSI!$B$103*HSI!$G$103/HSI!$B$3,""))</f>
        <v/>
      </c>
      <c r="EP105" s="85">
        <f>IF(CB105="","",IFERROR(CB105*HSI!$B$103*HSI!$G$103/HSI!$B$3,""))</f>
        <v/>
      </c>
      <c r="EQ105" s="85">
        <f>IF(CC105="","",IFERROR(CC105*HSI!$B$103*HSI!$G$103/HSI!$B$3,""))</f>
        <v/>
      </c>
      <c r="ER105" s="85">
        <f>IF(CD105="","",IFERROR(CD105*HSI!$B$103*HSI!$G$103/HSI!$B$3,""))</f>
        <v/>
      </c>
      <c r="ES105" s="85">
        <f>IF(CE105="","",IFERROR(CE105*HSI!$B$103*HSI!$G$103/HSI!$B$3,""))</f>
        <v/>
      </c>
      <c r="ET105" s="85">
        <f>IF(CF105="","",IFERROR(CF105*HSI!$B$103*HSI!$G$103/HSI!$B$3,""))</f>
        <v/>
      </c>
      <c r="EU105" s="85">
        <f>IF(CG105="","",IFERROR(CG105*HSI!$B$103*HSI!$G$103/HSI!$B$3,""))</f>
        <v/>
      </c>
      <c r="EV105" s="85">
        <f>IF(CH105="","",IFERROR(CH105*HSI!$B$103*HSI!$G$103/HSI!$B$3,""))</f>
        <v/>
      </c>
      <c r="EW105" s="85">
        <f>IF(CI105="","",IFERROR(CI105*HSI!$B$103*HSI!$G$103/HSI!$B$3,""))</f>
        <v/>
      </c>
      <c r="EX105" s="85">
        <f>IF(CJ105="","",IFERROR(CJ105*HSI!$B$103*HSI!$G$103/HSI!$B$3,""))</f>
        <v/>
      </c>
      <c r="EY105" s="85">
        <f>IF(CK105="","",IFERROR(CK105*HSI!$B$103*HSI!$G$103/HSI!$B$3,""))</f>
        <v/>
      </c>
      <c r="EZ105" s="85">
        <f>IF(CL105="","",IFERROR(CL105*HSI!$B$103*HSI!$G$103/HSI!$B$3,""))</f>
        <v/>
      </c>
      <c r="FA105" s="85">
        <f>IF(CM105="","",IFERROR(CM105*HSI!$B$103*HSI!$G$103/HSI!$B$3,""))</f>
        <v/>
      </c>
      <c r="FB105" s="85">
        <f>IF(CN105="","",IFERROR(CN105*HSI!$B$103*HSI!$G$103/HSI!$B$3,""))</f>
        <v/>
      </c>
      <c r="FC105" s="85">
        <f>IF(CO105="","",IFERROR(CO105*HSI!$B$103*HSI!$G$103/HSI!$B$3,""))</f>
        <v/>
      </c>
      <c r="FD105" s="85">
        <f>IF(CP105="","",IFERROR(CP105*HSI!$B$103*HSI!$G$103/HSI!$B$3,""))</f>
        <v/>
      </c>
      <c r="FE105" s="85">
        <f>IF(CQ105="","",IFERROR(CQ105*HSI!$B$103*HSI!$G$103/HSI!$B$3,""))</f>
        <v/>
      </c>
      <c r="FF105" s="85">
        <f>IF(CR105="","",IFERROR(CR105*HSI!$B$103*HSI!$G$103/HSI!$B$3,""))</f>
        <v/>
      </c>
      <c r="FG105" s="85">
        <f>IF(CS105="","",IFERROR(CS105*HSI!$B$103*HSI!$G$103/HSI!$B$3,""))</f>
        <v/>
      </c>
      <c r="FH105" s="85">
        <f>IF(CT105="","",IFERROR(CT105*HSI!$B$103*HSI!$G$103/HSI!$B$3,""))</f>
        <v/>
      </c>
      <c r="FI105" s="85">
        <f>IF(CU105="","",IFERROR(CU105*HSI!$B$103*HSI!$G$103/HSI!$B$3,""))</f>
        <v/>
      </c>
      <c r="FJ105" s="85">
        <f>IF(CV105="","",IFERROR(CV105*HSI!$B$103*HSI!$G$103/HSI!$B$3,""))</f>
        <v/>
      </c>
      <c r="FK105" s="85">
        <f>IF(CW105="","",IFERROR(CW105*HSI!$B$103*HSI!$G$103/HSI!$B$3,""))</f>
        <v/>
      </c>
      <c r="FL105" s="85">
        <f>IF(CX105="","",IFERROR(CX105*HSI!$B$103*HSI!$G$103/HSI!$B$3,""))</f>
        <v/>
      </c>
      <c r="FM105" s="85">
        <f>IF(CY105="","",IFERROR(CY105*HSI!$B$103*HSI!$G$103/HSI!$B$3,""))</f>
        <v/>
      </c>
      <c r="FN105" s="85">
        <f>IF(CZ105="","",IFERROR(CZ105*HSI!$B$103*HSI!$G$103/HSI!$B$3,""))</f>
        <v/>
      </c>
      <c r="FO105" s="85">
        <f>IF(DA105="","",IFERROR(DA105*HSI!$B$103*HSI!$G$103/HSI!$B$3,""))</f>
        <v/>
      </c>
      <c r="FP105" s="85">
        <f>IF(DB105="","",IFERROR(DB105*HSI!$B$103*HSI!$G$103/HSI!$B$3,""))</f>
        <v/>
      </c>
      <c r="FQ105" s="85">
        <f>IF(DC105="","",IFERROR(DC105*HSI!$B$103*HSI!$G$103/HSI!$B$3,""))</f>
        <v/>
      </c>
      <c r="FR105" s="85">
        <f>IF(DD105="","",IFERROR(DD105*HSI!$B$103*HSI!$G$103/HSI!$B$3,""))</f>
        <v/>
      </c>
      <c r="FS105" s="85">
        <f>IF(DE105="","",IFERROR(DE105*HSI!$B$103*HSI!$G$103/HSI!$B$3,""))</f>
        <v/>
      </c>
      <c r="FT105" s="85">
        <f>IF(DF105="","",IFERROR(DF105*HSI!$B$103*HSI!$G$103/HSI!$B$3,""))</f>
        <v/>
      </c>
      <c r="FU105" s="85">
        <f>IF(DG105="","",IFERROR(DG105*HSI!$B$103*HSI!$G$103/HSI!$B$3,""))</f>
        <v/>
      </c>
      <c r="FV105" s="85">
        <f>IF(DH105="","",IFERROR(DH105*HSI!$B$103*HSI!$G$103/HSI!$B$3,""))</f>
        <v/>
      </c>
      <c r="FW105" s="85">
        <f>IF(DI105="","",IFERROR(DI105*HSI!$B$103*HSI!$G$103/HSI!$B$3,""))</f>
        <v/>
      </c>
      <c r="FX105" s="85">
        <f>IF(DJ105="","",IFERROR(DJ105*HSI!$B$103*HSI!$G$103/HSI!$B$3,""))</f>
        <v/>
      </c>
      <c r="FY105" s="85">
        <f>IF(DK105="","",IFERROR(DK105*HSI!$B$103*HSI!$G$103/HSI!$B$3,""))</f>
        <v/>
      </c>
      <c r="FZ105" s="85">
        <f>IF(DL105="","",IFERROR(DL105*HSI!$B$103*HSI!$G$103/HSI!$B$3,""))</f>
        <v/>
      </c>
      <c r="GA105" s="85">
        <f>IF(DM105="","",IFERROR(DM105*HSI!$B$103*HSI!$G$103/HSI!$B$3,""))</f>
        <v/>
      </c>
      <c r="GB105" s="85">
        <f>IF(DN105="","",IFERROR(DN105*HSI!$B$103*HSI!$G$103/HSI!$B$3,""))</f>
        <v/>
      </c>
      <c r="GC105" s="85">
        <f>IF(DO105="","",IFERROR(DO105*HSI!$B$103*HSI!$G$103/HSI!$B$3,""))</f>
        <v/>
      </c>
      <c r="GD105" s="85">
        <f>IF(DP105="","",IFERROR(DP105*HSI!$B$103*HSI!$G$103/HSI!$B$3,""))</f>
        <v/>
      </c>
      <c r="GE105" s="85">
        <f>IF(DQ105="","",IFERROR(DQ105*HSI!$B$103*HSI!$G$103/HSI!$B$3,""))</f>
        <v/>
      </c>
      <c r="GF105" s="85">
        <f>IF(DR105="","",IFERROR(DR105*HSI!$B$103*HSI!$G$103/HSI!$B$3,""))</f>
        <v/>
      </c>
      <c r="GG105" s="85">
        <f>IF(DS105="","",IFERROR(DS105*HSI!$B$103*HSI!$G$103/HSI!$B$3,""))</f>
        <v/>
      </c>
      <c r="GH105" s="85">
        <f>IF(DT105="","",IFERROR(DT105*HSI!$B$103*HSI!$G$103/HSI!$B$3,""))</f>
        <v/>
      </c>
      <c r="GI105" s="85">
        <f>IF(DU105="","",IFERROR(DU105*HSI!$B$103*HSI!$G$103/HSI!$B$3,""))</f>
        <v/>
      </c>
      <c r="GJ105" s="85">
        <f>IF(DV105="","",IFERROR(DV105*HSI!$B$103*HSI!$G$103/HSI!$B$3,""))</f>
        <v/>
      </c>
      <c r="GK105" s="85">
        <f>IF(DW105="","",IFERROR(DW105*HSI!$B$103*HSI!$G$103/HSI!$B$3,""))</f>
        <v/>
      </c>
      <c r="GL105" s="85">
        <f>IF(DX105="","",IFERROR(DX105*HSI!$B$103*HSI!$G$103/HSI!$B$3,""))</f>
        <v/>
      </c>
      <c r="GM105" s="85">
        <f>IF(DY105="","",IFERROR(DY105*HSI!$B$103*HSI!$G$103/HSI!$B$3,""))</f>
        <v/>
      </c>
      <c r="GN105" s="85">
        <f>IF(DZ105="","",IFERROR(DZ105*HSI!$B$103*HSI!$G$103/HSI!$B$3,""))</f>
        <v/>
      </c>
      <c r="GO105" s="85">
        <f>IF(EA105="","",IFERROR(EA105*HSI!$B$103*HSI!$G$103/HSI!$B$3,""))</f>
        <v/>
      </c>
      <c r="GP105" s="85">
        <f>IF(EB105="","",IFERROR(EB105*HSI!$B$103*HSI!$G$103/HSI!$B$3,""))</f>
        <v/>
      </c>
      <c r="GQ105" s="85">
        <f>IF(EC105="","",IFERROR(EC105*HSI!$B$103*HSI!$G$103/HSI!$B$3,""))</f>
        <v/>
      </c>
    </row>
    <row r="106">
      <c r="B106" s="2">
        <f>IF(HSI!$C$104="","",HSI!$C$104)</f>
        <v/>
      </c>
      <c r="C106" s="41">
        <f>IF(N('Dvd Calendar'!$E$1465)=0,"",IF(('Dvd Calendar'!$E$1465&gt;=MIN(DATE(Summary!$C$12,1,1),Summary!$C$11))*('Dvd Calendar'!$E$1465&lt;=MAX(DATE(Summary!$C$12,12,31),Summary!$C$15))*('Dvd Calendar'!$E$1465&lt;=Summary!$C$11)=0,"",'Dvd Calendar'!$E$1465*1000000000+ISNUMBER('Dvd Calendar'!$E$1466)*100000000+('Dvd Calendar'!$E$1470='Field Check'!$C$25)*10000000+(N('Dvd Calendar'!$E$1464)&gt;0)*1000000+98*1000+1))</f>
        <v/>
      </c>
      <c r="D106" s="41">
        <f>IF(N('Dvd Calendar'!$F$1465)=0,"",IF(('Dvd Calendar'!$F$1465&gt;=MIN(DATE(Summary!$C$12,1,1),Summary!$C$11))*('Dvd Calendar'!$F$1465&lt;=MAX(DATE(Summary!$C$12,12,31),Summary!$C$15))*('Dvd Calendar'!$F$1465&lt;=Summary!$C$11)=0,"",'Dvd Calendar'!$F$1465*1000000000+ISNUMBER('Dvd Calendar'!$F$1466)*100000000+('Dvd Calendar'!$F$1470='Field Check'!$C$25)*10000000+(N('Dvd Calendar'!$F$1464)&gt;0)*1000000+98*1000+2))</f>
        <v/>
      </c>
      <c r="E106" s="41">
        <f>IF(N('Dvd Calendar'!$G$1465)=0,"",IF(('Dvd Calendar'!$G$1465&gt;=MIN(DATE(Summary!$C$12,1,1),Summary!$C$11))*('Dvd Calendar'!$G$1465&lt;=MAX(DATE(Summary!$C$12,12,31),Summary!$C$15))*('Dvd Calendar'!$G$1465&lt;=Summary!$C$11)=0,"",'Dvd Calendar'!$G$1465*1000000000+ISNUMBER('Dvd Calendar'!$G$1466)*100000000+('Dvd Calendar'!$G$1470='Field Check'!$C$25)*10000000+(N('Dvd Calendar'!$G$1464)&gt;0)*1000000+98*1000+3))</f>
        <v/>
      </c>
      <c r="F106" s="41">
        <f>IF(N('Dvd Calendar'!$H$1465)=0,"",IF(('Dvd Calendar'!$H$1465&gt;=MIN(DATE(Summary!$C$12,1,1),Summary!$C$11))*('Dvd Calendar'!$H$1465&lt;=MAX(DATE(Summary!$C$12,12,31),Summary!$C$15))*('Dvd Calendar'!$H$1465&lt;=Summary!$C$11)=0,"",'Dvd Calendar'!$H$1465*1000000000+ISNUMBER('Dvd Calendar'!$H$1466)*100000000+('Dvd Calendar'!$H$1470='Field Check'!$C$25)*10000000+(N('Dvd Calendar'!$H$1464)&gt;0)*1000000+98*1000+4))</f>
        <v/>
      </c>
      <c r="G106" s="41">
        <f>IF(N('Dvd Calendar'!$I$1465)=0,"",IF(('Dvd Calendar'!$I$1465&gt;=MIN(DATE(Summary!$C$12,1,1),Summary!$C$11))*('Dvd Calendar'!$I$1465&lt;=MAX(DATE(Summary!$C$12,12,31),Summary!$C$15))*('Dvd Calendar'!$I$1465&lt;=Summary!$C$11)=0,"",'Dvd Calendar'!$I$1465*1000000000+ISNUMBER('Dvd Calendar'!$I$1466)*100000000+('Dvd Calendar'!$I$1470='Field Check'!$C$25)*10000000+(N('Dvd Calendar'!$I$1464)&gt;0)*1000000+98*1000+5))</f>
        <v/>
      </c>
      <c r="H106" s="41">
        <f>IF(N('Dvd Calendar'!$J$1465)=0,"",IF(('Dvd Calendar'!$J$1465&gt;=MIN(DATE(Summary!$C$12,1,1),Summary!$C$11))*('Dvd Calendar'!$J$1465&lt;=MAX(DATE(Summary!$C$12,12,31),Summary!$C$15))*('Dvd Calendar'!$J$1465&lt;=Summary!$C$11)=0,"",'Dvd Calendar'!$J$1465*1000000000+ISNUMBER('Dvd Calendar'!$J$1466)*100000000+('Dvd Calendar'!$J$1470='Field Check'!$C$25)*10000000+(N('Dvd Calendar'!$J$1464)&gt;0)*1000000+98*1000+6))</f>
        <v/>
      </c>
      <c r="I106" s="41">
        <f>IF(N('Dvd Calendar'!$K$1465)=0,"",IF(('Dvd Calendar'!$K$1465&gt;=MIN(DATE(Summary!$C$12,1,1),Summary!$C$11))*('Dvd Calendar'!$K$1465&lt;=MAX(DATE(Summary!$C$12,12,31),Summary!$C$15))*('Dvd Calendar'!$K$1465&lt;=Summary!$C$11)=0,"",'Dvd Calendar'!$K$1465*1000000000+ISNUMBER('Dvd Calendar'!$K$1466)*100000000+('Dvd Calendar'!$K$1470='Field Check'!$C$25)*10000000+(N('Dvd Calendar'!$K$1464)&gt;0)*1000000+98*1000+7))</f>
        <v/>
      </c>
      <c r="J106" s="41">
        <f>IF(N('Dvd Calendar'!$L$1465)=0,"",IF(('Dvd Calendar'!$L$1465&gt;=MIN(DATE(Summary!$C$12,1,1),Summary!$C$11))*('Dvd Calendar'!$L$1465&lt;=MAX(DATE(Summary!$C$12,12,31),Summary!$C$15))*('Dvd Calendar'!$L$1465&lt;=Summary!$C$11)=0,"",'Dvd Calendar'!$L$1465*1000000000+ISNUMBER('Dvd Calendar'!$L$1466)*100000000+('Dvd Calendar'!$L$1470='Field Check'!$C$25)*10000000+(N('Dvd Calendar'!$L$1464)&gt;0)*1000000+98*1000+8))</f>
        <v/>
      </c>
      <c r="K106" s="41">
        <f>IF(N('Dvd Calendar'!$M$1465)=0,"",IF(('Dvd Calendar'!$M$1465&gt;=MIN(DATE(Summary!$C$12,1,1),Summary!$C$11))*('Dvd Calendar'!$M$1465&lt;=MAX(DATE(Summary!$C$12,12,31),Summary!$C$15))*('Dvd Calendar'!$M$1465&lt;=Summary!$C$11)=0,"",'Dvd Calendar'!$M$1465*1000000000+ISNUMBER('Dvd Calendar'!$M$1466)*100000000+('Dvd Calendar'!$M$1470='Field Check'!$C$25)*10000000+(N('Dvd Calendar'!$M$1464)&gt;0)*1000000+98*1000+9))</f>
        <v/>
      </c>
      <c r="L106" s="41">
        <f>IF(N('Dvd Calendar'!$N$1465)=0,"",IF(('Dvd Calendar'!$N$1465&gt;=MIN(DATE(Summary!$C$12,1,1),Summary!$C$11))*('Dvd Calendar'!$N$1465&lt;=MAX(DATE(Summary!$C$12,12,31),Summary!$C$15))*('Dvd Calendar'!$N$1465&lt;=Summary!$C$11)=0,"",'Dvd Calendar'!$N$1465*1000000000+ISNUMBER('Dvd Calendar'!$N$1466)*100000000+('Dvd Calendar'!$N$1470='Field Check'!$C$25)*10000000+(N('Dvd Calendar'!$N$1464)&gt;0)*1000000+98*1000+10))</f>
        <v/>
      </c>
      <c r="M106" s="41">
        <f>IF(N('Dvd Calendar'!$O$1465)=0,"",IF(('Dvd Calendar'!$O$1465&gt;=MIN(DATE(Summary!$C$12,1,1),Summary!$C$11))*('Dvd Calendar'!$O$1465&lt;=MAX(DATE(Summary!$C$12,12,31),Summary!$C$15))*('Dvd Calendar'!$O$1465&lt;=Summary!$C$11)=0,"",'Dvd Calendar'!$O$1465*1000000000+ISNUMBER('Dvd Calendar'!$O$1466)*100000000+('Dvd Calendar'!$O$1470='Field Check'!$C$25)*10000000+(N('Dvd Calendar'!$O$1464)&gt;0)*1000000+98*1000+11))</f>
        <v/>
      </c>
      <c r="N106" s="41">
        <f>IF(N('Dvd Calendar'!$P$1465)=0,"",IF(('Dvd Calendar'!$P$1465&gt;=MIN(DATE(Summary!$C$12,1,1),Summary!$C$11))*('Dvd Calendar'!$P$1465&lt;=MAX(DATE(Summary!$C$12,12,31),Summary!$C$15))*('Dvd Calendar'!$P$1465&lt;=Summary!$C$11)=0,"",'Dvd Calendar'!$P$1465*1000000000+ISNUMBER('Dvd Calendar'!$P$1466)*100000000+('Dvd Calendar'!$P$1470='Field Check'!$C$25)*10000000+(N('Dvd Calendar'!$P$1464)&gt;0)*1000000+98*1000+12))</f>
        <v/>
      </c>
      <c r="O106" s="41">
        <f>IF(N('Dvd Calendar'!$Q$1465)=0,"",IF(('Dvd Calendar'!$Q$1465&gt;=MIN(DATE(Summary!$C$12,1,1),Summary!$C$11))*('Dvd Calendar'!$Q$1465&lt;=MAX(DATE(Summary!$C$12,12,31),Summary!$C$15))*('Dvd Calendar'!$Q$1465&lt;=Summary!$C$11)=0,"",'Dvd Calendar'!$Q$1465*1000000000+ISNUMBER('Dvd Calendar'!$Q$1466)*100000000+('Dvd Calendar'!$Q$1470='Field Check'!$C$25)*10000000+(N('Dvd Calendar'!$Q$1464)&gt;0)*1000000+98*1000+13))</f>
        <v/>
      </c>
      <c r="P106" s="41">
        <f>IF(N('Dvd Calendar'!$R$1465)=0,"",IF(('Dvd Calendar'!$R$1465&gt;=MIN(DATE(Summary!$C$12,1,1),Summary!$C$11))*('Dvd Calendar'!$R$1465&lt;=MAX(DATE(Summary!$C$12,12,31),Summary!$C$15))*('Dvd Calendar'!$R$1465&lt;=Summary!$C$11)=0,"",'Dvd Calendar'!$R$1465*1000000000+ISNUMBER('Dvd Calendar'!$R$1466)*100000000+('Dvd Calendar'!$R$1470='Field Check'!$C$25)*10000000+(N('Dvd Calendar'!$R$1464)&gt;0)*1000000+98*1000+14))</f>
        <v/>
      </c>
      <c r="Q106" s="41">
        <f>IF(N('Dvd Calendar'!$S$1465)=0,"",IF(('Dvd Calendar'!$S$1465&gt;=MIN(DATE(Summary!$C$12,1,1),Summary!$C$11))*('Dvd Calendar'!$S$1465&lt;=MAX(DATE(Summary!$C$12,12,31),Summary!$C$15))*('Dvd Calendar'!$S$1465&lt;=Summary!$C$11)=0,"",'Dvd Calendar'!$S$1465*1000000000+ISNUMBER('Dvd Calendar'!$S$1466)*100000000+('Dvd Calendar'!$S$1470='Field Check'!$C$25)*10000000+(N('Dvd Calendar'!$S$1464)&gt;0)*1000000+98*1000+15))</f>
        <v/>
      </c>
      <c r="R106" s="41">
        <f>IF(N('Dvd Calendar'!$T$1465)=0,"",IF(('Dvd Calendar'!$T$1465&gt;=MIN(DATE(Summary!$C$12,1,1),Summary!$C$11))*('Dvd Calendar'!$T$1465&lt;=MAX(DATE(Summary!$C$12,12,31),Summary!$C$15))*('Dvd Calendar'!$T$1465&lt;=Summary!$C$11)=0,"",'Dvd Calendar'!$T$1465*1000000000+ISNUMBER('Dvd Calendar'!$T$1466)*100000000+('Dvd Calendar'!$T$1470='Field Check'!$C$25)*10000000+(N('Dvd Calendar'!$T$1464)&gt;0)*1000000+98*1000+16))</f>
        <v/>
      </c>
      <c r="S106" s="41">
        <f>IF(N('Dvd Calendar'!$U$1465)=0,"",IF(('Dvd Calendar'!$U$1465&gt;=MIN(DATE(Summary!$C$12,1,1),Summary!$C$11))*('Dvd Calendar'!$U$1465&lt;=MAX(DATE(Summary!$C$12,12,31),Summary!$C$15))*('Dvd Calendar'!$U$1465&lt;=Summary!$C$11)=0,"",'Dvd Calendar'!$U$1465*1000000000+ISNUMBER('Dvd Calendar'!$U$1466)*100000000+('Dvd Calendar'!$U$1470='Field Check'!$C$25)*10000000+(N('Dvd Calendar'!$U$1464)&gt;0)*1000000+98*1000+17))</f>
        <v/>
      </c>
      <c r="T106" s="41">
        <f>IF(N('Dvd Calendar'!$V$1465)=0,"",IF(('Dvd Calendar'!$V$1465&gt;=MIN(DATE(Summary!$C$12,1,1),Summary!$C$11))*('Dvd Calendar'!$V$1465&lt;=MAX(DATE(Summary!$C$12,12,31),Summary!$C$15))*('Dvd Calendar'!$V$1465&lt;=Summary!$C$11)=0,"",'Dvd Calendar'!$V$1465*1000000000+ISNUMBER('Dvd Calendar'!$V$1466)*100000000+('Dvd Calendar'!$V$1470='Field Check'!$C$25)*10000000+(N('Dvd Calendar'!$V$1464)&gt;0)*1000000+98*1000+18))</f>
        <v/>
      </c>
      <c r="U106" s="41">
        <f>IF(N('Dvd Calendar'!$W$1465)=0,"",IF(('Dvd Calendar'!$W$1465&gt;=MIN(DATE(Summary!$C$12,1,1),Summary!$C$11))*('Dvd Calendar'!$W$1465&lt;=MAX(DATE(Summary!$C$12,12,31),Summary!$C$15))*('Dvd Calendar'!$W$1465&lt;=Summary!$C$11)=0,"",'Dvd Calendar'!$W$1465*1000000000+ISNUMBER('Dvd Calendar'!$W$1466)*100000000+('Dvd Calendar'!$W$1470='Field Check'!$C$25)*10000000+(N('Dvd Calendar'!$W$1464)&gt;0)*1000000+98*1000+19))</f>
        <v/>
      </c>
      <c r="V106" s="41">
        <f>IF(N('Dvd Calendar'!$X$1465)=0,"",IF(('Dvd Calendar'!$X$1465&gt;=MIN(DATE(Summary!$C$12,1,1),Summary!$C$11))*('Dvd Calendar'!$X$1465&lt;=MAX(DATE(Summary!$C$12,12,31),Summary!$C$15))*('Dvd Calendar'!$X$1465&lt;=Summary!$C$11)=0,"",'Dvd Calendar'!$X$1465*1000000000+ISNUMBER('Dvd Calendar'!$X$1466)*100000000+('Dvd Calendar'!$X$1470='Field Check'!$C$25)*10000000+(N('Dvd Calendar'!$X$1464)&gt;0)*1000000+98*1000+20))</f>
        <v/>
      </c>
      <c r="W106" s="41">
        <f>IF(N('Dvd Calendar'!$Y$1465)=0,"",IF(('Dvd Calendar'!$Y$1465&gt;=MIN(DATE(Summary!$C$12,1,1),Summary!$C$11))*('Dvd Calendar'!$Y$1465&lt;=MAX(DATE(Summary!$C$12,12,31),Summary!$C$15))*('Dvd Calendar'!$Y$1465&lt;=Summary!$C$11)=0,"",'Dvd Calendar'!$Y$1465*1000000000+ISNUMBER('Dvd Calendar'!$Y$1466)*100000000+('Dvd Calendar'!$Y$1470='Field Check'!$C$25)*10000000+(N('Dvd Calendar'!$Y$1464)&gt;0)*1000000+98*1000+21))</f>
        <v/>
      </c>
      <c r="X106" s="41">
        <f>IF(N('Dvd Calendar'!$Z$1465)=0,"",IF(('Dvd Calendar'!$Z$1465&gt;=MIN(DATE(Summary!$C$12,1,1),Summary!$C$11))*('Dvd Calendar'!$Z$1465&lt;=MAX(DATE(Summary!$C$12,12,31),Summary!$C$15))*('Dvd Calendar'!$Z$1465&lt;=Summary!$C$11)=0,"",'Dvd Calendar'!$Z$1465*1000000000+ISNUMBER('Dvd Calendar'!$Z$1466)*100000000+('Dvd Calendar'!$Z$1470='Field Check'!$C$25)*10000000+(N('Dvd Calendar'!$Z$1464)&gt;0)*1000000+98*1000+22))</f>
        <v/>
      </c>
      <c r="Y106" s="41">
        <f>IF(N('Dvd Calendar'!$AA$1465)=0,"",IF(('Dvd Calendar'!$AA$1465&gt;=MIN(DATE(Summary!$C$12,1,1),Summary!$C$11))*('Dvd Calendar'!$AA$1465&lt;=MAX(DATE(Summary!$C$12,12,31),Summary!$C$15))*('Dvd Calendar'!$AA$1465&lt;=Summary!$C$11)=0,"",'Dvd Calendar'!$AA$1465*1000000000+ISNUMBER('Dvd Calendar'!$AA$1466)*100000000+('Dvd Calendar'!$AA$1470='Field Check'!$C$25)*10000000+(N('Dvd Calendar'!$AA$1464)&gt;0)*1000000+98*1000+23))</f>
        <v/>
      </c>
      <c r="Z106" s="41">
        <f>IF(N('Dvd Calendar'!$AB$1465)=0,"",IF(('Dvd Calendar'!$AB$1465&gt;=MIN(DATE(Summary!$C$12,1,1),Summary!$C$11))*('Dvd Calendar'!$AB$1465&lt;=MAX(DATE(Summary!$C$12,12,31),Summary!$C$15))*('Dvd Calendar'!$AB$1465&lt;=Summary!$C$11)=0,"",'Dvd Calendar'!$AB$1465*1000000000+ISNUMBER('Dvd Calendar'!$AB$1466)*100000000+('Dvd Calendar'!$AB$1470='Field Check'!$C$25)*10000000+(N('Dvd Calendar'!$AB$1464)&gt;0)*1000000+98*1000+24))</f>
        <v/>
      </c>
      <c r="AA106" s="41">
        <f>IF(N('Dvd Calendar'!$AC$1465)=0,"",IF(('Dvd Calendar'!$AC$1465&gt;=MIN(DATE(Summary!$C$12,1,1),Summary!$C$11))*('Dvd Calendar'!$AC$1465&lt;=MAX(DATE(Summary!$C$12,12,31),Summary!$C$15))*('Dvd Calendar'!$AC$1465&lt;=Summary!$C$11)=0,"",'Dvd Calendar'!$AC$1465*1000000000+ISNUMBER('Dvd Calendar'!$AC$1466)*100000000+('Dvd Calendar'!$AC$1470='Field Check'!$C$25)*10000000+(N('Dvd Calendar'!$AC$1464)&gt;0)*1000000+98*1000+25))</f>
        <v/>
      </c>
      <c r="AB106" s="41">
        <f>IF(N('Dvd Calendar'!$AD$1465)=0,"",IF(('Dvd Calendar'!$AD$1465&gt;=MIN(DATE(Summary!$C$12,1,1),Summary!$C$11))*('Dvd Calendar'!$AD$1465&lt;=MAX(DATE(Summary!$C$12,12,31),Summary!$C$15))*('Dvd Calendar'!$AD$1465&lt;=Summary!$C$11)=0,"",'Dvd Calendar'!$AD$1465*1000000000+ISNUMBER('Dvd Calendar'!$AD$1466)*100000000+('Dvd Calendar'!$AD$1470='Field Check'!$C$25)*10000000+(N('Dvd Calendar'!$AD$1464)&gt;0)*1000000+98*1000+26))</f>
        <v/>
      </c>
      <c r="AC106" s="41">
        <f>IF(N('Dvd Calendar'!$AE$1465)=0,"",IF(('Dvd Calendar'!$AE$1465&gt;=MIN(DATE(Summary!$C$12,1,1),Summary!$C$11))*('Dvd Calendar'!$AE$1465&lt;=MAX(DATE(Summary!$C$12,12,31),Summary!$C$15))*('Dvd Calendar'!$AE$1465&lt;=Summary!$C$11)=0,"",'Dvd Calendar'!$AE$1465*1000000000+ISNUMBER('Dvd Calendar'!$AE$1466)*100000000+('Dvd Calendar'!$AE$1470='Field Check'!$C$25)*10000000+(N('Dvd Calendar'!$AE$1464)&gt;0)*1000000+98*1000+27))</f>
        <v/>
      </c>
      <c r="AD106" s="41">
        <f>IF(N('Dvd Calendar'!$AF$1465)=0,"",IF(('Dvd Calendar'!$AF$1465&gt;=MIN(DATE(Summary!$C$12,1,1),Summary!$C$11))*('Dvd Calendar'!$AF$1465&lt;=MAX(DATE(Summary!$C$12,12,31),Summary!$C$15))*('Dvd Calendar'!$AF$1465&lt;=Summary!$C$11)=0,"",'Dvd Calendar'!$AF$1465*1000000000+ISNUMBER('Dvd Calendar'!$AF$1466)*100000000+('Dvd Calendar'!$AF$1470='Field Check'!$C$25)*10000000+(N('Dvd Calendar'!$AF$1464)&gt;0)*1000000+98*1000+28))</f>
        <v/>
      </c>
      <c r="AE106" s="41">
        <f>IF(N('Dvd Calendar'!$AG$1465)=0,"",IF(('Dvd Calendar'!$AG$1465&gt;=MIN(DATE(Summary!$C$12,1,1),Summary!$C$11))*('Dvd Calendar'!$AG$1465&lt;=MAX(DATE(Summary!$C$12,12,31),Summary!$C$15))*('Dvd Calendar'!$AG$1465&lt;=Summary!$C$11)=0,"",'Dvd Calendar'!$AG$1465*1000000000+ISNUMBER('Dvd Calendar'!$AG$1466)*100000000+('Dvd Calendar'!$AG$1470='Field Check'!$C$25)*10000000+(N('Dvd Calendar'!$AG$1464)&gt;0)*1000000+98*1000+29))</f>
        <v/>
      </c>
      <c r="AF106" s="41">
        <f>IF(N('Dvd Calendar'!$AH$1465)=0,"",IF(('Dvd Calendar'!$AH$1465&gt;=MIN(DATE(Summary!$C$12,1,1),Summary!$C$11))*('Dvd Calendar'!$AH$1465&lt;=MAX(DATE(Summary!$C$12,12,31),Summary!$C$15))*('Dvd Calendar'!$AH$1465&lt;=Summary!$C$11)=0,"",'Dvd Calendar'!$AH$1465*1000000000+ISNUMBER('Dvd Calendar'!$AH$1466)*100000000+('Dvd Calendar'!$AH$1470='Field Check'!$C$25)*10000000+(N('Dvd Calendar'!$AH$1464)&gt;0)*1000000+98*1000+30))</f>
        <v/>
      </c>
      <c r="AG106" s="41">
        <f>IF(N('Dvd Calendar'!$AI$1465)=0,"",IF(('Dvd Calendar'!$AI$1465&gt;=MIN(DATE(Summary!$C$12,1,1),Summary!$C$11))*('Dvd Calendar'!$AI$1465&lt;=MAX(DATE(Summary!$C$12,12,31),Summary!$C$15))*('Dvd Calendar'!$AI$1465&lt;=Summary!$C$11)=0,"",'Dvd Calendar'!$AI$1465*1000000000+ISNUMBER('Dvd Calendar'!$AI$1466)*100000000+('Dvd Calendar'!$AI$1470='Field Check'!$C$25)*10000000+(N('Dvd Calendar'!$AI$1464)&gt;0)*1000000+98*1000+31))</f>
        <v/>
      </c>
      <c r="AH106" s="41">
        <f>IF(N('Dvd Calendar'!$AJ$1465)=0,"",IF(('Dvd Calendar'!$AJ$1465&gt;=MIN(DATE(Summary!$C$12,1,1),Summary!$C$11))*('Dvd Calendar'!$AJ$1465&lt;=MAX(DATE(Summary!$C$12,12,31),Summary!$C$15))*('Dvd Calendar'!$AJ$1465&lt;=Summary!$C$11)=0,"",'Dvd Calendar'!$AJ$1465*1000000000+ISNUMBER('Dvd Calendar'!$AJ$1466)*100000000+('Dvd Calendar'!$AJ$1470='Field Check'!$C$25)*10000000+(N('Dvd Calendar'!$AJ$1464)&gt;0)*1000000+98*1000+32))</f>
        <v/>
      </c>
      <c r="AI106" s="41">
        <f>IF(N('Dvd Calendar'!$AK$1465)=0,"",IF(('Dvd Calendar'!$AK$1465&gt;=MIN(DATE(Summary!$C$12,1,1),Summary!$C$11))*('Dvd Calendar'!$AK$1465&lt;=MAX(DATE(Summary!$C$12,12,31),Summary!$C$15))*('Dvd Calendar'!$AK$1465&lt;=Summary!$C$11)=0,"",'Dvd Calendar'!$AK$1465*1000000000+ISNUMBER('Dvd Calendar'!$AK$1466)*100000000+('Dvd Calendar'!$AK$1470='Field Check'!$C$25)*10000000+(N('Dvd Calendar'!$AK$1464)&gt;0)*1000000+98*1000+33))</f>
        <v/>
      </c>
      <c r="AJ106" s="41">
        <f>IF(N('Dvd Calendar'!$AL$1465)=0,"",IF(('Dvd Calendar'!$AL$1465&gt;=MIN(DATE(Summary!$C$12,1,1),Summary!$C$11))*('Dvd Calendar'!$AL$1465&lt;=MAX(DATE(Summary!$C$12,12,31),Summary!$C$15))*('Dvd Calendar'!$AL$1465&lt;=Summary!$C$11)=0,"",'Dvd Calendar'!$AL$1465*1000000000+ISNUMBER('Dvd Calendar'!$AL$1466)*100000000+('Dvd Calendar'!$AL$1470='Field Check'!$C$25)*10000000+(N('Dvd Calendar'!$AL$1464)&gt;0)*1000000+98*1000+34))</f>
        <v/>
      </c>
      <c r="AK106" s="41">
        <f>IF(N('Dvd Calendar'!$AM$1465)=0,"",IF(('Dvd Calendar'!$AM$1465&gt;=MIN(DATE(Summary!$C$12,1,1),Summary!$C$11))*('Dvd Calendar'!$AM$1465&lt;=MAX(DATE(Summary!$C$12,12,31),Summary!$C$15))*('Dvd Calendar'!$AM$1465&lt;=Summary!$C$11)=0,"",'Dvd Calendar'!$AM$1465*1000000000+ISNUMBER('Dvd Calendar'!$AM$1466)*100000000+('Dvd Calendar'!$AM$1470='Field Check'!$C$25)*10000000+(N('Dvd Calendar'!$AM$1464)&gt;0)*1000000+98*1000+35))</f>
        <v/>
      </c>
      <c r="AL106" s="41">
        <f>IF(N('Dvd Calendar'!$AN$1465)=0,"",IF(('Dvd Calendar'!$AN$1465&gt;=MIN(DATE(Summary!$C$12,1,1),Summary!$C$11))*('Dvd Calendar'!$AN$1465&lt;=MAX(DATE(Summary!$C$12,12,31),Summary!$C$15))*('Dvd Calendar'!$AN$1465&lt;=Summary!$C$11)=0,"",'Dvd Calendar'!$AN$1465*1000000000+ISNUMBER('Dvd Calendar'!$AN$1466)*100000000+('Dvd Calendar'!$AN$1470='Field Check'!$C$25)*10000000+(N('Dvd Calendar'!$AN$1464)&gt;0)*1000000+98*1000+36))</f>
        <v/>
      </c>
      <c r="AM106" s="41">
        <f>IF(N('Dvd Calendar'!$AO$1465)=0,"",IF(('Dvd Calendar'!$AO$1465&gt;=MIN(DATE(Summary!$C$12,1,1),Summary!$C$11))*('Dvd Calendar'!$AO$1465&lt;=MAX(DATE(Summary!$C$12,12,31),Summary!$C$15))*('Dvd Calendar'!$AO$1465&lt;=Summary!$C$11)=0,"",'Dvd Calendar'!$AO$1465*1000000000+ISNUMBER('Dvd Calendar'!$AO$1466)*100000000+('Dvd Calendar'!$AO$1470='Field Check'!$C$25)*10000000+(N('Dvd Calendar'!$AO$1464)&gt;0)*1000000+98*1000+37))</f>
        <v/>
      </c>
      <c r="AN106" s="41">
        <f>IF(N('Dvd Calendar'!$AP$1465)=0,"",IF(('Dvd Calendar'!$AP$1465&gt;=MIN(DATE(Summary!$C$12,1,1),Summary!$C$11))*('Dvd Calendar'!$AP$1465&lt;=MAX(DATE(Summary!$C$12,12,31),Summary!$C$15))*('Dvd Calendar'!$AP$1465&lt;=Summary!$C$11)=0,"",'Dvd Calendar'!$AP$1465*1000000000+ISNUMBER('Dvd Calendar'!$AP$1466)*100000000+('Dvd Calendar'!$AP$1470='Field Check'!$C$25)*10000000+(N('Dvd Calendar'!$AP$1464)&gt;0)*1000000+98*1000+38))</f>
        <v/>
      </c>
      <c r="AO106" s="41">
        <f>IF(N('Dvd Calendar'!$AQ$1465)=0,"",IF(('Dvd Calendar'!$AQ$1465&gt;=MIN(DATE(Summary!$C$12,1,1),Summary!$C$11))*('Dvd Calendar'!$AQ$1465&lt;=MAX(DATE(Summary!$C$12,12,31),Summary!$C$15))*('Dvd Calendar'!$AQ$1465&lt;=Summary!$C$11)=0,"",'Dvd Calendar'!$AQ$1465*1000000000+ISNUMBER('Dvd Calendar'!$AQ$1466)*100000000+('Dvd Calendar'!$AQ$1470='Field Check'!$C$25)*10000000+(N('Dvd Calendar'!$AQ$1464)&gt;0)*1000000+98*1000+39))</f>
        <v/>
      </c>
      <c r="AP106" s="41">
        <f>IF(N('Dvd Calendar'!$AR$1465)=0,"",IF(('Dvd Calendar'!$AR$1465&gt;=MIN(DATE(Summary!$C$12,1,1),Summary!$C$11))*('Dvd Calendar'!$AR$1465&lt;=MAX(DATE(Summary!$C$12,12,31),Summary!$C$15))*('Dvd Calendar'!$AR$1465&lt;=Summary!$C$11)=0,"",'Dvd Calendar'!$AR$1465*1000000000+ISNUMBER('Dvd Calendar'!$AR$1466)*100000000+('Dvd Calendar'!$AR$1470='Field Check'!$C$25)*10000000+(N('Dvd Calendar'!$AR$1464)&gt;0)*1000000+98*1000+40))</f>
        <v/>
      </c>
      <c r="AQ106" s="41">
        <f>IF(N('Dvd Calendar'!$E$1472)=0,"",IF(('Dvd Calendar'!$E$1472&gt;=MIN(DATE(Summary!$C$12,1,1),Summary!$C$11))*('Dvd Calendar'!$E$1472&lt;=MAX(DATE(Summary!$C$12,12,31),Summary!$C$15))*('Dvd Calendar'!$E$1472&gt;Summary!$C$11)=0,"",'Dvd Calendar'!$E$1472*1000000000+ISNUMBER('Dvd Calendar'!$E$1473)*100000000+('Dvd Calendar'!$E$1477='Field Check'!$C$25)*10000000+(N('Dvd Calendar'!$E$1471)&gt;0)*1000000+98*1000+41))</f>
        <v/>
      </c>
      <c r="AR106" s="41">
        <f>IF(N('Dvd Calendar'!$F$1472)=0,"",IF(('Dvd Calendar'!$F$1472&gt;=MIN(DATE(Summary!$C$12,1,1),Summary!$C$11))*('Dvd Calendar'!$F$1472&lt;=MAX(DATE(Summary!$C$12,12,31),Summary!$C$15))*('Dvd Calendar'!$F$1472&gt;Summary!$C$11)=0,"",'Dvd Calendar'!$F$1472*1000000000+ISNUMBER('Dvd Calendar'!$F$1473)*100000000+('Dvd Calendar'!$F$1477='Field Check'!$C$25)*10000000+(N('Dvd Calendar'!$F$1471)&gt;0)*1000000+98*1000+42))</f>
        <v/>
      </c>
      <c r="AS106" s="41">
        <f>IF(N('Dvd Calendar'!$G$1472)=0,"",IF(('Dvd Calendar'!$G$1472&gt;=MIN(DATE(Summary!$C$12,1,1),Summary!$C$11))*('Dvd Calendar'!$G$1472&lt;=MAX(DATE(Summary!$C$12,12,31),Summary!$C$15))*('Dvd Calendar'!$G$1472&gt;Summary!$C$11)=0,"",'Dvd Calendar'!$G$1472*1000000000+ISNUMBER('Dvd Calendar'!$G$1473)*100000000+('Dvd Calendar'!$G$1477='Field Check'!$C$25)*10000000+(N('Dvd Calendar'!$G$1471)&gt;0)*1000000+98*1000+43))</f>
        <v/>
      </c>
      <c r="AT106" s="41">
        <f>IF(N('Dvd Calendar'!$H$1472)=0,"",IF(('Dvd Calendar'!$H$1472&gt;=MIN(DATE(Summary!$C$12,1,1),Summary!$C$11))*('Dvd Calendar'!$H$1472&lt;=MAX(DATE(Summary!$C$12,12,31),Summary!$C$15))*('Dvd Calendar'!$H$1472&gt;Summary!$C$11)=0,"",'Dvd Calendar'!$H$1472*1000000000+ISNUMBER('Dvd Calendar'!$H$1473)*100000000+('Dvd Calendar'!$H$1477='Field Check'!$C$25)*10000000+(N('Dvd Calendar'!$H$1471)&gt;0)*1000000+98*1000+44))</f>
        <v/>
      </c>
      <c r="AU106" s="41">
        <f>IF(N('Dvd Calendar'!$I$1472)=0,"",IF(('Dvd Calendar'!$I$1472&gt;=MIN(DATE(Summary!$C$12,1,1),Summary!$C$11))*('Dvd Calendar'!$I$1472&lt;=MAX(DATE(Summary!$C$12,12,31),Summary!$C$15))*('Dvd Calendar'!$I$1472&gt;Summary!$C$11)=0,"",'Dvd Calendar'!$I$1472*1000000000+ISNUMBER('Dvd Calendar'!$I$1473)*100000000+('Dvd Calendar'!$I$1477='Field Check'!$C$25)*10000000+(N('Dvd Calendar'!$I$1471)&gt;0)*1000000+98*1000+45))</f>
        <v/>
      </c>
      <c r="AV106" s="41">
        <f>IF(N('Dvd Calendar'!$J$1472)=0,"",IF(('Dvd Calendar'!$J$1472&gt;=MIN(DATE(Summary!$C$12,1,1),Summary!$C$11))*('Dvd Calendar'!$J$1472&lt;=MAX(DATE(Summary!$C$12,12,31),Summary!$C$15))*('Dvd Calendar'!$J$1472&gt;Summary!$C$11)=0,"",'Dvd Calendar'!$J$1472*1000000000+ISNUMBER('Dvd Calendar'!$J$1473)*100000000+('Dvd Calendar'!$J$1477='Field Check'!$C$25)*10000000+(N('Dvd Calendar'!$J$1471)&gt;0)*1000000+98*1000+46))</f>
        <v/>
      </c>
      <c r="AW106" s="41">
        <f>IF(N('Dvd Calendar'!$K$1472)=0,"",IF(('Dvd Calendar'!$K$1472&gt;=MIN(DATE(Summary!$C$12,1,1),Summary!$C$11))*('Dvd Calendar'!$K$1472&lt;=MAX(DATE(Summary!$C$12,12,31),Summary!$C$15))*('Dvd Calendar'!$K$1472&gt;Summary!$C$11)=0,"",'Dvd Calendar'!$K$1472*1000000000+ISNUMBER('Dvd Calendar'!$K$1473)*100000000+('Dvd Calendar'!$K$1477='Field Check'!$C$25)*10000000+(N('Dvd Calendar'!$K$1471)&gt;0)*1000000+98*1000+47))</f>
        <v/>
      </c>
      <c r="AX106" s="41">
        <f>IF(N('Dvd Calendar'!$L$1472)=0,"",IF(('Dvd Calendar'!$L$1472&gt;=MIN(DATE(Summary!$C$12,1,1),Summary!$C$11))*('Dvd Calendar'!$L$1472&lt;=MAX(DATE(Summary!$C$12,12,31),Summary!$C$15))*('Dvd Calendar'!$L$1472&gt;Summary!$C$11)=0,"",'Dvd Calendar'!$L$1472*1000000000+ISNUMBER('Dvd Calendar'!$L$1473)*100000000+('Dvd Calendar'!$L$1477='Field Check'!$C$25)*10000000+(N('Dvd Calendar'!$L$1471)&gt;0)*1000000+98*1000+48))</f>
        <v/>
      </c>
      <c r="AY106" s="41">
        <f>IF(N('Dvd Calendar'!$M$1472)=0,"",IF(('Dvd Calendar'!$M$1472&gt;=MIN(DATE(Summary!$C$12,1,1),Summary!$C$11))*('Dvd Calendar'!$M$1472&lt;=MAX(DATE(Summary!$C$12,12,31),Summary!$C$15))*('Dvd Calendar'!$M$1472&gt;Summary!$C$11)=0,"",'Dvd Calendar'!$M$1472*1000000000+ISNUMBER('Dvd Calendar'!$M$1473)*100000000+('Dvd Calendar'!$M$1477='Field Check'!$C$25)*10000000+(N('Dvd Calendar'!$M$1471)&gt;0)*1000000+98*1000+49))</f>
        <v/>
      </c>
      <c r="AZ106" s="41">
        <f>IF(N('Dvd Calendar'!$N$1472)=0,"",IF(('Dvd Calendar'!$N$1472&gt;=MIN(DATE(Summary!$C$12,1,1),Summary!$C$11))*('Dvd Calendar'!$N$1472&lt;=MAX(DATE(Summary!$C$12,12,31),Summary!$C$15))*('Dvd Calendar'!$N$1472&gt;Summary!$C$11)=0,"",'Dvd Calendar'!$N$1472*1000000000+ISNUMBER('Dvd Calendar'!$N$1473)*100000000+('Dvd Calendar'!$N$1477='Field Check'!$C$25)*10000000+(N('Dvd Calendar'!$N$1471)&gt;0)*1000000+98*1000+50))</f>
        <v/>
      </c>
      <c r="BA106" s="41">
        <f>IF(N('Dvd Calendar'!$O$1472)=0,"",IF(('Dvd Calendar'!$O$1472&gt;=MIN(DATE(Summary!$C$12,1,1),Summary!$C$11))*('Dvd Calendar'!$O$1472&lt;=MAX(DATE(Summary!$C$12,12,31),Summary!$C$15))*('Dvd Calendar'!$O$1472&gt;Summary!$C$11)=0,"",'Dvd Calendar'!$O$1472*1000000000+ISNUMBER('Dvd Calendar'!$O$1473)*100000000+('Dvd Calendar'!$O$1477='Field Check'!$C$25)*10000000+(N('Dvd Calendar'!$O$1471)&gt;0)*1000000+98*1000+51))</f>
        <v/>
      </c>
      <c r="BB106" s="41">
        <f>IF(N('Dvd Calendar'!$P$1472)=0,"",IF(('Dvd Calendar'!$P$1472&gt;=MIN(DATE(Summary!$C$12,1,1),Summary!$C$11))*('Dvd Calendar'!$P$1472&lt;=MAX(DATE(Summary!$C$12,12,31),Summary!$C$15))*('Dvd Calendar'!$P$1472&gt;Summary!$C$11)=0,"",'Dvd Calendar'!$P$1472*1000000000+ISNUMBER('Dvd Calendar'!$P$1473)*100000000+('Dvd Calendar'!$P$1477='Field Check'!$C$25)*10000000+(N('Dvd Calendar'!$P$1471)&gt;0)*1000000+98*1000+52))</f>
        <v/>
      </c>
      <c r="BC106" s="41">
        <f>IF(N('Dvd Calendar'!$Q$1472)=0,"",IF(('Dvd Calendar'!$Q$1472&gt;=MIN(DATE(Summary!$C$12,1,1),Summary!$C$11))*('Dvd Calendar'!$Q$1472&lt;=MAX(DATE(Summary!$C$12,12,31),Summary!$C$15))*('Dvd Calendar'!$Q$1472&gt;Summary!$C$11)=0,"",'Dvd Calendar'!$Q$1472*1000000000+ISNUMBER('Dvd Calendar'!$Q$1473)*100000000+('Dvd Calendar'!$Q$1477='Field Check'!$C$25)*10000000+(N('Dvd Calendar'!$Q$1471)&gt;0)*1000000+98*1000+53))</f>
        <v/>
      </c>
      <c r="BD106" s="41">
        <f>IF(N('Dvd Calendar'!$R$1472)=0,"",IF(('Dvd Calendar'!$R$1472&gt;=MIN(DATE(Summary!$C$12,1,1),Summary!$C$11))*('Dvd Calendar'!$R$1472&lt;=MAX(DATE(Summary!$C$12,12,31),Summary!$C$15))*('Dvd Calendar'!$R$1472&gt;Summary!$C$11)=0,"",'Dvd Calendar'!$R$1472*1000000000+ISNUMBER('Dvd Calendar'!$R$1473)*100000000+('Dvd Calendar'!$R$1477='Field Check'!$C$25)*10000000+(N('Dvd Calendar'!$R$1471)&gt;0)*1000000+98*1000+54))</f>
        <v/>
      </c>
      <c r="BE106" s="41">
        <f>IF(N('Dvd Calendar'!$S$1472)=0,"",IF(('Dvd Calendar'!$S$1472&gt;=MIN(DATE(Summary!$C$12,1,1),Summary!$C$11))*('Dvd Calendar'!$S$1472&lt;=MAX(DATE(Summary!$C$12,12,31),Summary!$C$15))*('Dvd Calendar'!$S$1472&gt;Summary!$C$11)=0,"",'Dvd Calendar'!$S$1472*1000000000+ISNUMBER('Dvd Calendar'!$S$1473)*100000000+('Dvd Calendar'!$S$1477='Field Check'!$C$25)*10000000+(N('Dvd Calendar'!$S$1471)&gt;0)*1000000+98*1000+55))</f>
        <v/>
      </c>
      <c r="BF106" s="41">
        <f>IF(N('Dvd Calendar'!$T$1472)=0,"",IF(('Dvd Calendar'!$T$1472&gt;=MIN(DATE(Summary!$C$12,1,1),Summary!$C$11))*('Dvd Calendar'!$T$1472&lt;=MAX(DATE(Summary!$C$12,12,31),Summary!$C$15))*('Dvd Calendar'!$T$1472&gt;Summary!$C$11)=0,"",'Dvd Calendar'!$T$1472*1000000000+ISNUMBER('Dvd Calendar'!$T$1473)*100000000+('Dvd Calendar'!$T$1477='Field Check'!$C$25)*10000000+(N('Dvd Calendar'!$T$1471)&gt;0)*1000000+98*1000+56))</f>
        <v/>
      </c>
      <c r="BG106" s="41">
        <f>IF(N('Dvd Calendar'!$U$1472)=0,"",IF(('Dvd Calendar'!$U$1472&gt;=MIN(DATE(Summary!$C$12,1,1),Summary!$C$11))*('Dvd Calendar'!$U$1472&lt;=MAX(DATE(Summary!$C$12,12,31),Summary!$C$15))*('Dvd Calendar'!$U$1472&gt;Summary!$C$11)=0,"",'Dvd Calendar'!$U$1472*1000000000+ISNUMBER('Dvd Calendar'!$U$1473)*100000000+('Dvd Calendar'!$U$1477='Field Check'!$C$25)*10000000+(N('Dvd Calendar'!$U$1471)&gt;0)*1000000+98*1000+57))</f>
        <v/>
      </c>
      <c r="BH106" s="41">
        <f>IF(N('Dvd Calendar'!$V$1472)=0,"",IF(('Dvd Calendar'!$V$1472&gt;=MIN(DATE(Summary!$C$12,1,1),Summary!$C$11))*('Dvd Calendar'!$V$1472&lt;=MAX(DATE(Summary!$C$12,12,31),Summary!$C$15))*('Dvd Calendar'!$V$1472&gt;Summary!$C$11)=0,"",'Dvd Calendar'!$V$1472*1000000000+ISNUMBER('Dvd Calendar'!$V$1473)*100000000+('Dvd Calendar'!$V$1477='Field Check'!$C$25)*10000000+(N('Dvd Calendar'!$V$1471)&gt;0)*1000000+98*1000+58))</f>
        <v/>
      </c>
      <c r="BI106" s="41">
        <f>IF(N('Dvd Calendar'!$W$1472)=0,"",IF(('Dvd Calendar'!$W$1472&gt;=MIN(DATE(Summary!$C$12,1,1),Summary!$C$11))*('Dvd Calendar'!$W$1472&lt;=MAX(DATE(Summary!$C$12,12,31),Summary!$C$15))*('Dvd Calendar'!$W$1472&gt;Summary!$C$11)=0,"",'Dvd Calendar'!$W$1472*1000000000+ISNUMBER('Dvd Calendar'!$W$1473)*100000000+('Dvd Calendar'!$W$1477='Field Check'!$C$25)*10000000+(N('Dvd Calendar'!$W$1471)&gt;0)*1000000+98*1000+59))</f>
        <v/>
      </c>
      <c r="BJ106" s="41">
        <f>IF(N('Dvd Calendar'!$X$1472)=0,"",IF(('Dvd Calendar'!$X$1472&gt;=MIN(DATE(Summary!$C$12,1,1),Summary!$C$11))*('Dvd Calendar'!$X$1472&lt;=MAX(DATE(Summary!$C$12,12,31),Summary!$C$15))*('Dvd Calendar'!$X$1472&gt;Summary!$C$11)=0,"",'Dvd Calendar'!$X$1472*1000000000+ISNUMBER('Dvd Calendar'!$X$1473)*100000000+('Dvd Calendar'!$X$1477='Field Check'!$C$25)*10000000+(N('Dvd Calendar'!$X$1471)&gt;0)*1000000+98*1000+60))</f>
        <v/>
      </c>
      <c r="BK106" s="41">
        <f>IF(N('Dvd Calendar'!$Y$1472)=0,"",IF(('Dvd Calendar'!$Y$1472&gt;=MIN(DATE(Summary!$C$12,1,1),Summary!$C$11))*('Dvd Calendar'!$Y$1472&lt;=MAX(DATE(Summary!$C$12,12,31),Summary!$C$15))*('Dvd Calendar'!$Y$1472&gt;Summary!$C$11)=0,"",'Dvd Calendar'!$Y$1472*1000000000+ISNUMBER('Dvd Calendar'!$Y$1473)*100000000+('Dvd Calendar'!$Y$1477='Field Check'!$C$25)*10000000+(N('Dvd Calendar'!$Y$1471)&gt;0)*1000000+98*1000+61))</f>
        <v/>
      </c>
      <c r="BL106" s="41">
        <f>IF(N('Dvd Calendar'!$Z$1472)=0,"",IF(('Dvd Calendar'!$Z$1472&gt;=MIN(DATE(Summary!$C$12,1,1),Summary!$C$11))*('Dvd Calendar'!$Z$1472&lt;=MAX(DATE(Summary!$C$12,12,31),Summary!$C$15))*('Dvd Calendar'!$Z$1472&gt;Summary!$C$11)=0,"",'Dvd Calendar'!$Z$1472*1000000000+ISNUMBER('Dvd Calendar'!$Z$1473)*100000000+('Dvd Calendar'!$Z$1477='Field Check'!$C$25)*10000000+(N('Dvd Calendar'!$Z$1471)&gt;0)*1000000+98*1000+62))</f>
        <v/>
      </c>
      <c r="BM106" s="41">
        <f>IF(N('Dvd Calendar'!$AA$1472)=0,"",IF(('Dvd Calendar'!$AA$1472&gt;=MIN(DATE(Summary!$C$12,1,1),Summary!$C$11))*('Dvd Calendar'!$AA$1472&lt;=MAX(DATE(Summary!$C$12,12,31),Summary!$C$15))*('Dvd Calendar'!$AA$1472&gt;Summary!$C$11)=0,"",'Dvd Calendar'!$AA$1472*1000000000+ISNUMBER('Dvd Calendar'!$AA$1473)*100000000+('Dvd Calendar'!$AA$1477='Field Check'!$C$25)*10000000+(N('Dvd Calendar'!$AA$1471)&gt;0)*1000000+98*1000+63))</f>
        <v/>
      </c>
      <c r="BN106" s="41">
        <f>IF(N('Dvd Calendar'!$AB$1472)=0,"",IF(('Dvd Calendar'!$AB$1472&gt;=MIN(DATE(Summary!$C$12,1,1),Summary!$C$11))*('Dvd Calendar'!$AB$1472&lt;=MAX(DATE(Summary!$C$12,12,31),Summary!$C$15))*('Dvd Calendar'!$AB$1472&gt;Summary!$C$11)=0,"",'Dvd Calendar'!$AB$1472*1000000000+ISNUMBER('Dvd Calendar'!$AB$1473)*100000000+('Dvd Calendar'!$AB$1477='Field Check'!$C$25)*10000000+(N('Dvd Calendar'!$AB$1471)&gt;0)*1000000+98*1000+64))</f>
        <v/>
      </c>
      <c r="BO106" s="41">
        <f>IF(N('Dvd Calendar'!$AC$1472)=0,"",IF(('Dvd Calendar'!$AC$1472&gt;=MIN(DATE(Summary!$C$12,1,1),Summary!$C$11))*('Dvd Calendar'!$AC$1472&lt;=MAX(DATE(Summary!$C$12,12,31),Summary!$C$15))*('Dvd Calendar'!$AC$1472&gt;Summary!$C$11)=0,"",'Dvd Calendar'!$AC$1472*1000000000+ISNUMBER('Dvd Calendar'!$AC$1473)*100000000+('Dvd Calendar'!$AC$1477='Field Check'!$C$25)*10000000+(N('Dvd Calendar'!$AC$1471)&gt;0)*1000000+98*1000+65))</f>
        <v/>
      </c>
      <c r="BQ106" s="85">
        <f>IF(C106="","",IF(ISNUMBER('Dvd Calendar'!$E$1466)=FALSE,"",IF((Summary!$C$13="N")*('Dvd Calendar'!$E$1470='Field Check'!$C$25)&gt;0,"",'Dvd Calendar'!$E$1466)))</f>
        <v/>
      </c>
      <c r="BR106" s="85">
        <f>IF(D106="","",IF(ISNUMBER('Dvd Calendar'!$F$1466)=FALSE,"",IF((Summary!$C$13="N")*('Dvd Calendar'!$F$1470='Field Check'!$C$25)&gt;0,"",'Dvd Calendar'!$F$1466)))</f>
        <v/>
      </c>
      <c r="BS106" s="85">
        <f>IF(E106="","",IF(ISNUMBER('Dvd Calendar'!$G$1466)=FALSE,"",IF((Summary!$C$13="N")*('Dvd Calendar'!$G$1470='Field Check'!$C$25)&gt;0,"",'Dvd Calendar'!$G$1466)))</f>
        <v/>
      </c>
      <c r="BT106" s="85">
        <f>IF(F106="","",IF(ISNUMBER('Dvd Calendar'!$H$1466)=FALSE,"",IF((Summary!$C$13="N")*('Dvd Calendar'!$H$1470='Field Check'!$C$25)&gt;0,"",'Dvd Calendar'!$H$1466)))</f>
        <v/>
      </c>
      <c r="BU106" s="85">
        <f>IF(G106="","",IF(ISNUMBER('Dvd Calendar'!$I$1466)=FALSE,"",IF((Summary!$C$13="N")*('Dvd Calendar'!$I$1470='Field Check'!$C$25)&gt;0,"",'Dvd Calendar'!$I$1466)))</f>
        <v/>
      </c>
      <c r="BV106" s="85">
        <f>IF(H106="","",IF(ISNUMBER('Dvd Calendar'!$J$1466)=FALSE,"",IF((Summary!$C$13="N")*('Dvd Calendar'!$J$1470='Field Check'!$C$25)&gt;0,"",'Dvd Calendar'!$J$1466)))</f>
        <v/>
      </c>
      <c r="BW106" s="85">
        <f>IF(I106="","",IF(ISNUMBER('Dvd Calendar'!$K$1466)=FALSE,"",IF((Summary!$C$13="N")*('Dvd Calendar'!$K$1470='Field Check'!$C$25)&gt;0,"",'Dvd Calendar'!$K$1466)))</f>
        <v/>
      </c>
      <c r="BX106" s="85">
        <f>IF(J106="","",IF(ISNUMBER('Dvd Calendar'!$L$1466)=FALSE,"",IF((Summary!$C$13="N")*('Dvd Calendar'!$L$1470='Field Check'!$C$25)&gt;0,"",'Dvd Calendar'!$L$1466)))</f>
        <v/>
      </c>
      <c r="BY106" s="85">
        <f>IF(K106="","",IF(ISNUMBER('Dvd Calendar'!$M$1466)=FALSE,"",IF((Summary!$C$13="N")*('Dvd Calendar'!$M$1470='Field Check'!$C$25)&gt;0,"",'Dvd Calendar'!$M$1466)))</f>
        <v/>
      </c>
      <c r="BZ106" s="85">
        <f>IF(L106="","",IF(ISNUMBER('Dvd Calendar'!$N$1466)=FALSE,"",IF((Summary!$C$13="N")*('Dvd Calendar'!$N$1470='Field Check'!$C$25)&gt;0,"",'Dvd Calendar'!$N$1466)))</f>
        <v/>
      </c>
      <c r="CA106" s="85">
        <f>IF(M106="","",IF(ISNUMBER('Dvd Calendar'!$O$1466)=FALSE,"",IF((Summary!$C$13="N")*('Dvd Calendar'!$O$1470='Field Check'!$C$25)&gt;0,"",'Dvd Calendar'!$O$1466)))</f>
        <v/>
      </c>
      <c r="CB106" s="85">
        <f>IF(N106="","",IF(ISNUMBER('Dvd Calendar'!$P$1466)=FALSE,"",IF((Summary!$C$13="N")*('Dvd Calendar'!$P$1470='Field Check'!$C$25)&gt;0,"",'Dvd Calendar'!$P$1466)))</f>
        <v/>
      </c>
      <c r="CC106" s="85">
        <f>IF(O106="","",IF(ISNUMBER('Dvd Calendar'!$Q$1466)=FALSE,"",IF((Summary!$C$13="N")*('Dvd Calendar'!$Q$1470='Field Check'!$C$25)&gt;0,"",'Dvd Calendar'!$Q$1466)))</f>
        <v/>
      </c>
      <c r="CD106" s="85">
        <f>IF(P106="","",IF(ISNUMBER('Dvd Calendar'!$R$1466)=FALSE,"",IF((Summary!$C$13="N")*('Dvd Calendar'!$R$1470='Field Check'!$C$25)&gt;0,"",'Dvd Calendar'!$R$1466)))</f>
        <v/>
      </c>
      <c r="CE106" s="85">
        <f>IF(Q106="","",IF(ISNUMBER('Dvd Calendar'!$S$1466)=FALSE,"",IF((Summary!$C$13="N")*('Dvd Calendar'!$S$1470='Field Check'!$C$25)&gt;0,"",'Dvd Calendar'!$S$1466)))</f>
        <v/>
      </c>
      <c r="CF106" s="85">
        <f>IF(R106="","",IF(ISNUMBER('Dvd Calendar'!$T$1466)=FALSE,"",IF((Summary!$C$13="N")*('Dvd Calendar'!$T$1470='Field Check'!$C$25)&gt;0,"",'Dvd Calendar'!$T$1466)))</f>
        <v/>
      </c>
      <c r="CG106" s="85">
        <f>IF(S106="","",IF(ISNUMBER('Dvd Calendar'!$U$1466)=FALSE,"",IF((Summary!$C$13="N")*('Dvd Calendar'!$U$1470='Field Check'!$C$25)&gt;0,"",'Dvd Calendar'!$U$1466)))</f>
        <v/>
      </c>
      <c r="CH106" s="85">
        <f>IF(T106="","",IF(ISNUMBER('Dvd Calendar'!$V$1466)=FALSE,"",IF((Summary!$C$13="N")*('Dvd Calendar'!$V$1470='Field Check'!$C$25)&gt;0,"",'Dvd Calendar'!$V$1466)))</f>
        <v/>
      </c>
      <c r="CI106" s="85">
        <f>IF(U106="","",IF(ISNUMBER('Dvd Calendar'!$W$1466)=FALSE,"",IF((Summary!$C$13="N")*('Dvd Calendar'!$W$1470='Field Check'!$C$25)&gt;0,"",'Dvd Calendar'!$W$1466)))</f>
        <v/>
      </c>
      <c r="CJ106" s="85">
        <f>IF(V106="","",IF(ISNUMBER('Dvd Calendar'!$X$1466)=FALSE,"",IF((Summary!$C$13="N")*('Dvd Calendar'!$X$1470='Field Check'!$C$25)&gt;0,"",'Dvd Calendar'!$X$1466)))</f>
        <v/>
      </c>
      <c r="CK106" s="85">
        <f>IF(W106="","",IF(ISNUMBER('Dvd Calendar'!$Y$1466)=FALSE,"",IF((Summary!$C$13="N")*('Dvd Calendar'!$Y$1470='Field Check'!$C$25)&gt;0,"",'Dvd Calendar'!$Y$1466)))</f>
        <v/>
      </c>
      <c r="CL106" s="85">
        <f>IF(X106="","",IF(ISNUMBER('Dvd Calendar'!$Z$1466)=FALSE,"",IF((Summary!$C$13="N")*('Dvd Calendar'!$Z$1470='Field Check'!$C$25)&gt;0,"",'Dvd Calendar'!$Z$1466)))</f>
        <v/>
      </c>
      <c r="CM106" s="85">
        <f>IF(Y106="","",IF(ISNUMBER('Dvd Calendar'!$AA$1466)=FALSE,"",IF((Summary!$C$13="N")*('Dvd Calendar'!$AA$1470='Field Check'!$C$25)&gt;0,"",'Dvd Calendar'!$AA$1466)))</f>
        <v/>
      </c>
      <c r="CN106" s="85">
        <f>IF(Z106="","",IF(ISNUMBER('Dvd Calendar'!$AB$1466)=FALSE,"",IF((Summary!$C$13="N")*('Dvd Calendar'!$AB$1470='Field Check'!$C$25)&gt;0,"",'Dvd Calendar'!$AB$1466)))</f>
        <v/>
      </c>
      <c r="CO106" s="85">
        <f>IF(AA106="","",IF(ISNUMBER('Dvd Calendar'!$AC$1466)=FALSE,"",IF((Summary!$C$13="N")*('Dvd Calendar'!$AC$1470='Field Check'!$C$25)&gt;0,"",'Dvd Calendar'!$AC$1466)))</f>
        <v/>
      </c>
      <c r="CP106" s="85">
        <f>IF(AB106="","",IF(ISNUMBER('Dvd Calendar'!$AD$1466)=FALSE,"",IF((Summary!$C$13="N")*('Dvd Calendar'!$AD$1470='Field Check'!$C$25)&gt;0,"",'Dvd Calendar'!$AD$1466)))</f>
        <v/>
      </c>
      <c r="CQ106" s="85">
        <f>IF(AC106="","",IF(ISNUMBER('Dvd Calendar'!$AE$1466)=FALSE,"",IF((Summary!$C$13="N")*('Dvd Calendar'!$AE$1470='Field Check'!$C$25)&gt;0,"",'Dvd Calendar'!$AE$1466)))</f>
        <v/>
      </c>
      <c r="CR106" s="85">
        <f>IF(AD106="","",IF(ISNUMBER('Dvd Calendar'!$AF$1466)=FALSE,"",IF((Summary!$C$13="N")*('Dvd Calendar'!$AF$1470='Field Check'!$C$25)&gt;0,"",'Dvd Calendar'!$AF$1466)))</f>
        <v/>
      </c>
      <c r="CS106" s="85">
        <f>IF(AE106="","",IF(ISNUMBER('Dvd Calendar'!$AG$1466)=FALSE,"",IF((Summary!$C$13="N")*('Dvd Calendar'!$AG$1470='Field Check'!$C$25)&gt;0,"",'Dvd Calendar'!$AG$1466)))</f>
        <v/>
      </c>
      <c r="CT106" s="85">
        <f>IF(AF106="","",IF(ISNUMBER('Dvd Calendar'!$AH$1466)=FALSE,"",IF((Summary!$C$13="N")*('Dvd Calendar'!$AH$1470='Field Check'!$C$25)&gt;0,"",'Dvd Calendar'!$AH$1466)))</f>
        <v/>
      </c>
      <c r="CU106" s="85">
        <f>IF(AG106="","",IF(ISNUMBER('Dvd Calendar'!$AI$1466)=FALSE,"",IF((Summary!$C$13="N")*('Dvd Calendar'!$AI$1470='Field Check'!$C$25)&gt;0,"",'Dvd Calendar'!$AI$1466)))</f>
        <v/>
      </c>
      <c r="CV106" s="85">
        <f>IF(AH106="","",IF(ISNUMBER('Dvd Calendar'!$AJ$1466)=FALSE,"",IF((Summary!$C$13="N")*('Dvd Calendar'!$AJ$1470='Field Check'!$C$25)&gt;0,"",'Dvd Calendar'!$AJ$1466)))</f>
        <v/>
      </c>
      <c r="CW106" s="85">
        <f>IF(AI106="","",IF(ISNUMBER('Dvd Calendar'!$AK$1466)=FALSE,"",IF((Summary!$C$13="N")*('Dvd Calendar'!$AK$1470='Field Check'!$C$25)&gt;0,"",'Dvd Calendar'!$AK$1466)))</f>
        <v/>
      </c>
      <c r="CX106" s="85">
        <f>IF(AJ106="","",IF(ISNUMBER('Dvd Calendar'!$AL$1466)=FALSE,"",IF((Summary!$C$13="N")*('Dvd Calendar'!$AL$1470='Field Check'!$C$25)&gt;0,"",'Dvd Calendar'!$AL$1466)))</f>
        <v/>
      </c>
      <c r="CY106" s="85">
        <f>IF(AK106="","",IF(ISNUMBER('Dvd Calendar'!$AM$1466)=FALSE,"",IF((Summary!$C$13="N")*('Dvd Calendar'!$AM$1470='Field Check'!$C$25)&gt;0,"",'Dvd Calendar'!$AM$1466)))</f>
        <v/>
      </c>
      <c r="CZ106" s="85">
        <f>IF(AL106="","",IF(ISNUMBER('Dvd Calendar'!$AN$1466)=FALSE,"",IF((Summary!$C$13="N")*('Dvd Calendar'!$AN$1470='Field Check'!$C$25)&gt;0,"",'Dvd Calendar'!$AN$1466)))</f>
        <v/>
      </c>
      <c r="DA106" s="85">
        <f>IF(AM106="","",IF(ISNUMBER('Dvd Calendar'!$AO$1466)=FALSE,"",IF((Summary!$C$13="N")*('Dvd Calendar'!$AO$1470='Field Check'!$C$25)&gt;0,"",'Dvd Calendar'!$AO$1466)))</f>
        <v/>
      </c>
      <c r="DB106" s="85">
        <f>IF(AN106="","",IF(ISNUMBER('Dvd Calendar'!$AP$1466)=FALSE,"",IF((Summary!$C$13="N")*('Dvd Calendar'!$AP$1470='Field Check'!$C$25)&gt;0,"",'Dvd Calendar'!$AP$1466)))</f>
        <v/>
      </c>
      <c r="DC106" s="85">
        <f>IF(AO106="","",IF(ISNUMBER('Dvd Calendar'!$AQ$1466)=FALSE,"",IF((Summary!$C$13="N")*('Dvd Calendar'!$AQ$1470='Field Check'!$C$25)&gt;0,"",'Dvd Calendar'!$AQ$1466)))</f>
        <v/>
      </c>
      <c r="DD106" s="85">
        <f>IF(AP106="","",IF(ISNUMBER('Dvd Calendar'!$AR$1466)=FALSE,"",IF((Summary!$C$13="N")*('Dvd Calendar'!$AR$1470='Field Check'!$C$25)&gt;0,"",'Dvd Calendar'!$AR$1466)))</f>
        <v/>
      </c>
      <c r="DE106" s="85">
        <f>IF(AQ106="","",IF(ISNUMBER('Dvd Calendar'!$E$1473)=FALSE,"",IF((Summary!$C$13="N")*('Dvd Calendar'!$E$1477='Field Check'!$C$25)&gt;0,"",'Dvd Calendar'!$E$1473)))</f>
        <v/>
      </c>
      <c r="DF106" s="85">
        <f>IF(AR106="","",IF(ISNUMBER('Dvd Calendar'!$F$1473)=FALSE,"",IF((Summary!$C$13="N")*('Dvd Calendar'!$F$1477='Field Check'!$C$25)&gt;0,"",'Dvd Calendar'!$F$1473)))</f>
        <v/>
      </c>
      <c r="DG106" s="85">
        <f>IF(AS106="","",IF(ISNUMBER('Dvd Calendar'!$G$1473)=FALSE,"",IF((Summary!$C$13="N")*('Dvd Calendar'!$G$1477='Field Check'!$C$25)&gt;0,"",'Dvd Calendar'!$G$1473)))</f>
        <v/>
      </c>
      <c r="DH106" s="85">
        <f>IF(AT106="","",IF(ISNUMBER('Dvd Calendar'!$H$1473)=FALSE,"",IF((Summary!$C$13="N")*('Dvd Calendar'!$H$1477='Field Check'!$C$25)&gt;0,"",'Dvd Calendar'!$H$1473)))</f>
        <v/>
      </c>
      <c r="DI106" s="85">
        <f>IF(AU106="","",IF(ISNUMBER('Dvd Calendar'!$I$1473)=FALSE,"",IF((Summary!$C$13="N")*('Dvd Calendar'!$I$1477='Field Check'!$C$25)&gt;0,"",'Dvd Calendar'!$I$1473)))</f>
        <v/>
      </c>
      <c r="DJ106" s="85">
        <f>IF(AV106="","",IF(ISNUMBER('Dvd Calendar'!$J$1473)=FALSE,"",IF((Summary!$C$13="N")*('Dvd Calendar'!$J$1477='Field Check'!$C$25)&gt;0,"",'Dvd Calendar'!$J$1473)))</f>
        <v/>
      </c>
      <c r="DK106" s="85">
        <f>IF(AW106="","",IF(ISNUMBER('Dvd Calendar'!$K$1473)=FALSE,"",IF((Summary!$C$13="N")*('Dvd Calendar'!$K$1477='Field Check'!$C$25)&gt;0,"",'Dvd Calendar'!$K$1473)))</f>
        <v/>
      </c>
      <c r="DL106" s="85">
        <f>IF(AX106="","",IF(ISNUMBER('Dvd Calendar'!$L$1473)=FALSE,"",IF((Summary!$C$13="N")*('Dvd Calendar'!$L$1477='Field Check'!$C$25)&gt;0,"",'Dvd Calendar'!$L$1473)))</f>
        <v/>
      </c>
      <c r="DM106" s="85">
        <f>IF(AY106="","",IF(ISNUMBER('Dvd Calendar'!$M$1473)=FALSE,"",IF((Summary!$C$13="N")*('Dvd Calendar'!$M$1477='Field Check'!$C$25)&gt;0,"",'Dvd Calendar'!$M$1473)))</f>
        <v/>
      </c>
      <c r="DN106" s="85">
        <f>IF(AZ106="","",IF(ISNUMBER('Dvd Calendar'!$N$1473)=FALSE,"",IF((Summary!$C$13="N")*('Dvd Calendar'!$N$1477='Field Check'!$C$25)&gt;0,"",'Dvd Calendar'!$N$1473)))</f>
        <v/>
      </c>
      <c r="DO106" s="85">
        <f>IF(BA106="","",IF(ISNUMBER('Dvd Calendar'!$O$1473)=FALSE,"",IF((Summary!$C$13="N")*('Dvd Calendar'!$O$1477='Field Check'!$C$25)&gt;0,"",'Dvd Calendar'!$O$1473)))</f>
        <v/>
      </c>
      <c r="DP106" s="85">
        <f>IF(BB106="","",IF(ISNUMBER('Dvd Calendar'!$P$1473)=FALSE,"",IF((Summary!$C$13="N")*('Dvd Calendar'!$P$1477='Field Check'!$C$25)&gt;0,"",'Dvd Calendar'!$P$1473)))</f>
        <v/>
      </c>
      <c r="DQ106" s="85">
        <f>IF(BC106="","",IF(ISNUMBER('Dvd Calendar'!$Q$1473)=FALSE,"",IF((Summary!$C$13="N")*('Dvd Calendar'!$Q$1477='Field Check'!$C$25)&gt;0,"",'Dvd Calendar'!$Q$1473)))</f>
        <v/>
      </c>
      <c r="DR106" s="85">
        <f>IF(BD106="","",IF(ISNUMBER('Dvd Calendar'!$R$1473)=FALSE,"",IF((Summary!$C$13="N")*('Dvd Calendar'!$R$1477='Field Check'!$C$25)&gt;0,"",'Dvd Calendar'!$R$1473)))</f>
        <v/>
      </c>
      <c r="DS106" s="85">
        <f>IF(BE106="","",IF(ISNUMBER('Dvd Calendar'!$S$1473)=FALSE,"",IF((Summary!$C$13="N")*('Dvd Calendar'!$S$1477='Field Check'!$C$25)&gt;0,"",'Dvd Calendar'!$S$1473)))</f>
        <v/>
      </c>
      <c r="DT106" s="85">
        <f>IF(BF106="","",IF(ISNUMBER('Dvd Calendar'!$T$1473)=FALSE,"",IF((Summary!$C$13="N")*('Dvd Calendar'!$T$1477='Field Check'!$C$25)&gt;0,"",'Dvd Calendar'!$T$1473)))</f>
        <v/>
      </c>
      <c r="DU106" s="85">
        <f>IF(BG106="","",IF(ISNUMBER('Dvd Calendar'!$U$1473)=FALSE,"",IF((Summary!$C$13="N")*('Dvd Calendar'!$U$1477='Field Check'!$C$25)&gt;0,"",'Dvd Calendar'!$U$1473)))</f>
        <v/>
      </c>
      <c r="DV106" s="85">
        <f>IF(BH106="","",IF(ISNUMBER('Dvd Calendar'!$V$1473)=FALSE,"",IF((Summary!$C$13="N")*('Dvd Calendar'!$V$1477='Field Check'!$C$25)&gt;0,"",'Dvd Calendar'!$V$1473)))</f>
        <v/>
      </c>
      <c r="DW106" s="85">
        <f>IF(BI106="","",IF(ISNUMBER('Dvd Calendar'!$W$1473)=FALSE,"",IF((Summary!$C$13="N")*('Dvd Calendar'!$W$1477='Field Check'!$C$25)&gt;0,"",'Dvd Calendar'!$W$1473)))</f>
        <v/>
      </c>
      <c r="DX106" s="85">
        <f>IF(BJ106="","",IF(ISNUMBER('Dvd Calendar'!$X$1473)=FALSE,"",IF((Summary!$C$13="N")*('Dvd Calendar'!$X$1477='Field Check'!$C$25)&gt;0,"",'Dvd Calendar'!$X$1473)))</f>
        <v/>
      </c>
      <c r="DY106" s="85">
        <f>IF(BK106="","",IF(ISNUMBER('Dvd Calendar'!$Y$1473)=FALSE,"",IF((Summary!$C$13="N")*('Dvd Calendar'!$Y$1477='Field Check'!$C$25)&gt;0,"",'Dvd Calendar'!$Y$1473)))</f>
        <v/>
      </c>
      <c r="DZ106" s="85">
        <f>IF(BL106="","",IF(ISNUMBER('Dvd Calendar'!$Z$1473)=FALSE,"",IF((Summary!$C$13="N")*('Dvd Calendar'!$Z$1477='Field Check'!$C$25)&gt;0,"",'Dvd Calendar'!$Z$1473)))</f>
        <v/>
      </c>
      <c r="EA106" s="85">
        <f>IF(BM106="","",IF(ISNUMBER('Dvd Calendar'!$AA$1473)=FALSE,"",IF((Summary!$C$13="N")*('Dvd Calendar'!$AA$1477='Field Check'!$C$25)&gt;0,"",'Dvd Calendar'!$AA$1473)))</f>
        <v/>
      </c>
      <c r="EB106" s="85">
        <f>IF(BN106="","",IF(ISNUMBER('Dvd Calendar'!$AB$1473)=FALSE,"",IF((Summary!$C$13="N")*('Dvd Calendar'!$AB$1477='Field Check'!$C$25)&gt;0,"",'Dvd Calendar'!$AB$1473)))</f>
        <v/>
      </c>
      <c r="EC106" s="85">
        <f>IF(BO106="","",IF(ISNUMBER('Dvd Calendar'!$AC$1473)=FALSE,"",IF((Summary!$C$13="N")*('Dvd Calendar'!$AC$1477='Field Check'!$C$25)&gt;0,"",'Dvd Calendar'!$AC$1473)))</f>
        <v/>
      </c>
      <c r="EE106" s="85">
        <f>IF(BQ106="","",IFERROR(BQ106*HSI!$B$104*HSI!$G$104/HSI!$B$3,""))</f>
        <v/>
      </c>
      <c r="EF106" s="85">
        <f>IF(BR106="","",IFERROR(BR106*HSI!$B$104*HSI!$G$104/HSI!$B$3,""))</f>
        <v/>
      </c>
      <c r="EG106" s="85">
        <f>IF(BS106="","",IFERROR(BS106*HSI!$B$104*HSI!$G$104/HSI!$B$3,""))</f>
        <v/>
      </c>
      <c r="EH106" s="85">
        <f>IF(BT106="","",IFERROR(BT106*HSI!$B$104*HSI!$G$104/HSI!$B$3,""))</f>
        <v/>
      </c>
      <c r="EI106" s="85">
        <f>IF(BU106="","",IFERROR(BU106*HSI!$B$104*HSI!$G$104/HSI!$B$3,""))</f>
        <v/>
      </c>
      <c r="EJ106" s="85">
        <f>IF(BV106="","",IFERROR(BV106*HSI!$B$104*HSI!$G$104/HSI!$B$3,""))</f>
        <v/>
      </c>
      <c r="EK106" s="85">
        <f>IF(BW106="","",IFERROR(BW106*HSI!$B$104*HSI!$G$104/HSI!$B$3,""))</f>
        <v/>
      </c>
      <c r="EL106" s="85">
        <f>IF(BX106="","",IFERROR(BX106*HSI!$B$104*HSI!$G$104/HSI!$B$3,""))</f>
        <v/>
      </c>
      <c r="EM106" s="85">
        <f>IF(BY106="","",IFERROR(BY106*HSI!$B$104*HSI!$G$104/HSI!$B$3,""))</f>
        <v/>
      </c>
      <c r="EN106" s="85">
        <f>IF(BZ106="","",IFERROR(BZ106*HSI!$B$104*HSI!$G$104/HSI!$B$3,""))</f>
        <v/>
      </c>
      <c r="EO106" s="85">
        <f>IF(CA106="","",IFERROR(CA106*HSI!$B$104*HSI!$G$104/HSI!$B$3,""))</f>
        <v/>
      </c>
      <c r="EP106" s="85">
        <f>IF(CB106="","",IFERROR(CB106*HSI!$B$104*HSI!$G$104/HSI!$B$3,""))</f>
        <v/>
      </c>
      <c r="EQ106" s="85">
        <f>IF(CC106="","",IFERROR(CC106*HSI!$B$104*HSI!$G$104/HSI!$B$3,""))</f>
        <v/>
      </c>
      <c r="ER106" s="85">
        <f>IF(CD106="","",IFERROR(CD106*HSI!$B$104*HSI!$G$104/HSI!$B$3,""))</f>
        <v/>
      </c>
      <c r="ES106" s="85">
        <f>IF(CE106="","",IFERROR(CE106*HSI!$B$104*HSI!$G$104/HSI!$B$3,""))</f>
        <v/>
      </c>
      <c r="ET106" s="85">
        <f>IF(CF106="","",IFERROR(CF106*HSI!$B$104*HSI!$G$104/HSI!$B$3,""))</f>
        <v/>
      </c>
      <c r="EU106" s="85">
        <f>IF(CG106="","",IFERROR(CG106*HSI!$B$104*HSI!$G$104/HSI!$B$3,""))</f>
        <v/>
      </c>
      <c r="EV106" s="85">
        <f>IF(CH106="","",IFERROR(CH106*HSI!$B$104*HSI!$G$104/HSI!$B$3,""))</f>
        <v/>
      </c>
      <c r="EW106" s="85">
        <f>IF(CI106="","",IFERROR(CI106*HSI!$B$104*HSI!$G$104/HSI!$B$3,""))</f>
        <v/>
      </c>
      <c r="EX106" s="85">
        <f>IF(CJ106="","",IFERROR(CJ106*HSI!$B$104*HSI!$G$104/HSI!$B$3,""))</f>
        <v/>
      </c>
      <c r="EY106" s="85">
        <f>IF(CK106="","",IFERROR(CK106*HSI!$B$104*HSI!$G$104/HSI!$B$3,""))</f>
        <v/>
      </c>
      <c r="EZ106" s="85">
        <f>IF(CL106="","",IFERROR(CL106*HSI!$B$104*HSI!$G$104/HSI!$B$3,""))</f>
        <v/>
      </c>
      <c r="FA106" s="85">
        <f>IF(CM106="","",IFERROR(CM106*HSI!$B$104*HSI!$G$104/HSI!$B$3,""))</f>
        <v/>
      </c>
      <c r="FB106" s="85">
        <f>IF(CN106="","",IFERROR(CN106*HSI!$B$104*HSI!$G$104/HSI!$B$3,""))</f>
        <v/>
      </c>
      <c r="FC106" s="85">
        <f>IF(CO106="","",IFERROR(CO106*HSI!$B$104*HSI!$G$104/HSI!$B$3,""))</f>
        <v/>
      </c>
      <c r="FD106" s="85">
        <f>IF(CP106="","",IFERROR(CP106*HSI!$B$104*HSI!$G$104/HSI!$B$3,""))</f>
        <v/>
      </c>
      <c r="FE106" s="85">
        <f>IF(CQ106="","",IFERROR(CQ106*HSI!$B$104*HSI!$G$104/HSI!$B$3,""))</f>
        <v/>
      </c>
      <c r="FF106" s="85">
        <f>IF(CR106="","",IFERROR(CR106*HSI!$B$104*HSI!$G$104/HSI!$B$3,""))</f>
        <v/>
      </c>
      <c r="FG106" s="85">
        <f>IF(CS106="","",IFERROR(CS106*HSI!$B$104*HSI!$G$104/HSI!$B$3,""))</f>
        <v/>
      </c>
      <c r="FH106" s="85">
        <f>IF(CT106="","",IFERROR(CT106*HSI!$B$104*HSI!$G$104/HSI!$B$3,""))</f>
        <v/>
      </c>
      <c r="FI106" s="85">
        <f>IF(CU106="","",IFERROR(CU106*HSI!$B$104*HSI!$G$104/HSI!$B$3,""))</f>
        <v/>
      </c>
      <c r="FJ106" s="85">
        <f>IF(CV106="","",IFERROR(CV106*HSI!$B$104*HSI!$G$104/HSI!$B$3,""))</f>
        <v/>
      </c>
      <c r="FK106" s="85">
        <f>IF(CW106="","",IFERROR(CW106*HSI!$B$104*HSI!$G$104/HSI!$B$3,""))</f>
        <v/>
      </c>
      <c r="FL106" s="85">
        <f>IF(CX106="","",IFERROR(CX106*HSI!$B$104*HSI!$G$104/HSI!$B$3,""))</f>
        <v/>
      </c>
      <c r="FM106" s="85">
        <f>IF(CY106="","",IFERROR(CY106*HSI!$B$104*HSI!$G$104/HSI!$B$3,""))</f>
        <v/>
      </c>
      <c r="FN106" s="85">
        <f>IF(CZ106="","",IFERROR(CZ106*HSI!$B$104*HSI!$G$104/HSI!$B$3,""))</f>
        <v/>
      </c>
      <c r="FO106" s="85">
        <f>IF(DA106="","",IFERROR(DA106*HSI!$B$104*HSI!$G$104/HSI!$B$3,""))</f>
        <v/>
      </c>
      <c r="FP106" s="85">
        <f>IF(DB106="","",IFERROR(DB106*HSI!$B$104*HSI!$G$104/HSI!$B$3,""))</f>
        <v/>
      </c>
      <c r="FQ106" s="85">
        <f>IF(DC106="","",IFERROR(DC106*HSI!$B$104*HSI!$G$104/HSI!$B$3,""))</f>
        <v/>
      </c>
      <c r="FR106" s="85">
        <f>IF(DD106="","",IFERROR(DD106*HSI!$B$104*HSI!$G$104/HSI!$B$3,""))</f>
        <v/>
      </c>
      <c r="FS106" s="85">
        <f>IF(DE106="","",IFERROR(DE106*HSI!$B$104*HSI!$G$104/HSI!$B$3,""))</f>
        <v/>
      </c>
      <c r="FT106" s="85">
        <f>IF(DF106="","",IFERROR(DF106*HSI!$B$104*HSI!$G$104/HSI!$B$3,""))</f>
        <v/>
      </c>
      <c r="FU106" s="85">
        <f>IF(DG106="","",IFERROR(DG106*HSI!$B$104*HSI!$G$104/HSI!$B$3,""))</f>
        <v/>
      </c>
      <c r="FV106" s="85">
        <f>IF(DH106="","",IFERROR(DH106*HSI!$B$104*HSI!$G$104/HSI!$B$3,""))</f>
        <v/>
      </c>
      <c r="FW106" s="85">
        <f>IF(DI106="","",IFERROR(DI106*HSI!$B$104*HSI!$G$104/HSI!$B$3,""))</f>
        <v/>
      </c>
      <c r="FX106" s="85">
        <f>IF(DJ106="","",IFERROR(DJ106*HSI!$B$104*HSI!$G$104/HSI!$B$3,""))</f>
        <v/>
      </c>
      <c r="FY106" s="85">
        <f>IF(DK106="","",IFERROR(DK106*HSI!$B$104*HSI!$G$104/HSI!$B$3,""))</f>
        <v/>
      </c>
      <c r="FZ106" s="85">
        <f>IF(DL106="","",IFERROR(DL106*HSI!$B$104*HSI!$G$104/HSI!$B$3,""))</f>
        <v/>
      </c>
      <c r="GA106" s="85">
        <f>IF(DM106="","",IFERROR(DM106*HSI!$B$104*HSI!$G$104/HSI!$B$3,""))</f>
        <v/>
      </c>
      <c r="GB106" s="85">
        <f>IF(DN106="","",IFERROR(DN106*HSI!$B$104*HSI!$G$104/HSI!$B$3,""))</f>
        <v/>
      </c>
      <c r="GC106" s="85">
        <f>IF(DO106="","",IFERROR(DO106*HSI!$B$104*HSI!$G$104/HSI!$B$3,""))</f>
        <v/>
      </c>
      <c r="GD106" s="85">
        <f>IF(DP106="","",IFERROR(DP106*HSI!$B$104*HSI!$G$104/HSI!$B$3,""))</f>
        <v/>
      </c>
      <c r="GE106" s="85">
        <f>IF(DQ106="","",IFERROR(DQ106*HSI!$B$104*HSI!$G$104/HSI!$B$3,""))</f>
        <v/>
      </c>
      <c r="GF106" s="85">
        <f>IF(DR106="","",IFERROR(DR106*HSI!$B$104*HSI!$G$104/HSI!$B$3,""))</f>
        <v/>
      </c>
      <c r="GG106" s="85">
        <f>IF(DS106="","",IFERROR(DS106*HSI!$B$104*HSI!$G$104/HSI!$B$3,""))</f>
        <v/>
      </c>
      <c r="GH106" s="85">
        <f>IF(DT106="","",IFERROR(DT106*HSI!$B$104*HSI!$G$104/HSI!$B$3,""))</f>
        <v/>
      </c>
      <c r="GI106" s="85">
        <f>IF(DU106="","",IFERROR(DU106*HSI!$B$104*HSI!$G$104/HSI!$B$3,""))</f>
        <v/>
      </c>
      <c r="GJ106" s="85">
        <f>IF(DV106="","",IFERROR(DV106*HSI!$B$104*HSI!$G$104/HSI!$B$3,""))</f>
        <v/>
      </c>
      <c r="GK106" s="85">
        <f>IF(DW106="","",IFERROR(DW106*HSI!$B$104*HSI!$G$104/HSI!$B$3,""))</f>
        <v/>
      </c>
      <c r="GL106" s="85">
        <f>IF(DX106="","",IFERROR(DX106*HSI!$B$104*HSI!$G$104/HSI!$B$3,""))</f>
        <v/>
      </c>
      <c r="GM106" s="85">
        <f>IF(DY106="","",IFERROR(DY106*HSI!$B$104*HSI!$G$104/HSI!$B$3,""))</f>
        <v/>
      </c>
      <c r="GN106" s="85">
        <f>IF(DZ106="","",IFERROR(DZ106*HSI!$B$104*HSI!$G$104/HSI!$B$3,""))</f>
        <v/>
      </c>
      <c r="GO106" s="85">
        <f>IF(EA106="","",IFERROR(EA106*HSI!$B$104*HSI!$G$104/HSI!$B$3,""))</f>
        <v/>
      </c>
      <c r="GP106" s="85">
        <f>IF(EB106="","",IFERROR(EB106*HSI!$B$104*HSI!$G$104/HSI!$B$3,""))</f>
        <v/>
      </c>
      <c r="GQ106" s="85">
        <f>IF(EC106="","",IFERROR(EC106*HSI!$B$104*HSI!$G$104/HSI!$B$3,""))</f>
        <v/>
      </c>
    </row>
    <row r="107">
      <c r="B107" s="2">
        <f>IF(HSI!$C$105="","",HSI!$C$105)</f>
        <v/>
      </c>
      <c r="C107" s="41">
        <f>IF(N('Dvd Calendar'!$E$1480)=0,"",IF(('Dvd Calendar'!$E$1480&gt;=MIN(DATE(Summary!$C$12,1,1),Summary!$C$11))*('Dvd Calendar'!$E$1480&lt;=MAX(DATE(Summary!$C$12,12,31),Summary!$C$15))*('Dvd Calendar'!$E$1480&lt;=Summary!$C$11)=0,"",'Dvd Calendar'!$E$1480*1000000000+ISNUMBER('Dvd Calendar'!$E$1481)*100000000+('Dvd Calendar'!$E$1485='Field Check'!$C$25)*10000000+(N('Dvd Calendar'!$E$1479)&gt;0)*1000000+99*1000+1))</f>
        <v/>
      </c>
      <c r="D107" s="41">
        <f>IF(N('Dvd Calendar'!$F$1480)=0,"",IF(('Dvd Calendar'!$F$1480&gt;=MIN(DATE(Summary!$C$12,1,1),Summary!$C$11))*('Dvd Calendar'!$F$1480&lt;=MAX(DATE(Summary!$C$12,12,31),Summary!$C$15))*('Dvd Calendar'!$F$1480&lt;=Summary!$C$11)=0,"",'Dvd Calendar'!$F$1480*1000000000+ISNUMBER('Dvd Calendar'!$F$1481)*100000000+('Dvd Calendar'!$F$1485='Field Check'!$C$25)*10000000+(N('Dvd Calendar'!$F$1479)&gt;0)*1000000+99*1000+2))</f>
        <v/>
      </c>
      <c r="E107" s="41">
        <f>IF(N('Dvd Calendar'!$G$1480)=0,"",IF(('Dvd Calendar'!$G$1480&gt;=MIN(DATE(Summary!$C$12,1,1),Summary!$C$11))*('Dvd Calendar'!$G$1480&lt;=MAX(DATE(Summary!$C$12,12,31),Summary!$C$15))*('Dvd Calendar'!$G$1480&lt;=Summary!$C$11)=0,"",'Dvd Calendar'!$G$1480*1000000000+ISNUMBER('Dvd Calendar'!$G$1481)*100000000+('Dvd Calendar'!$G$1485='Field Check'!$C$25)*10000000+(N('Dvd Calendar'!$G$1479)&gt;0)*1000000+99*1000+3))</f>
        <v/>
      </c>
      <c r="F107" s="41">
        <f>IF(N('Dvd Calendar'!$H$1480)=0,"",IF(('Dvd Calendar'!$H$1480&gt;=MIN(DATE(Summary!$C$12,1,1),Summary!$C$11))*('Dvd Calendar'!$H$1480&lt;=MAX(DATE(Summary!$C$12,12,31),Summary!$C$15))*('Dvd Calendar'!$H$1480&lt;=Summary!$C$11)=0,"",'Dvd Calendar'!$H$1480*1000000000+ISNUMBER('Dvd Calendar'!$H$1481)*100000000+('Dvd Calendar'!$H$1485='Field Check'!$C$25)*10000000+(N('Dvd Calendar'!$H$1479)&gt;0)*1000000+99*1000+4))</f>
        <v/>
      </c>
      <c r="G107" s="41">
        <f>IF(N('Dvd Calendar'!$I$1480)=0,"",IF(('Dvd Calendar'!$I$1480&gt;=MIN(DATE(Summary!$C$12,1,1),Summary!$C$11))*('Dvd Calendar'!$I$1480&lt;=MAX(DATE(Summary!$C$12,12,31),Summary!$C$15))*('Dvd Calendar'!$I$1480&lt;=Summary!$C$11)=0,"",'Dvd Calendar'!$I$1480*1000000000+ISNUMBER('Dvd Calendar'!$I$1481)*100000000+('Dvd Calendar'!$I$1485='Field Check'!$C$25)*10000000+(N('Dvd Calendar'!$I$1479)&gt;0)*1000000+99*1000+5))</f>
        <v/>
      </c>
      <c r="H107" s="41">
        <f>IF(N('Dvd Calendar'!$J$1480)=0,"",IF(('Dvd Calendar'!$J$1480&gt;=MIN(DATE(Summary!$C$12,1,1),Summary!$C$11))*('Dvd Calendar'!$J$1480&lt;=MAX(DATE(Summary!$C$12,12,31),Summary!$C$15))*('Dvd Calendar'!$J$1480&lt;=Summary!$C$11)=0,"",'Dvd Calendar'!$J$1480*1000000000+ISNUMBER('Dvd Calendar'!$J$1481)*100000000+('Dvd Calendar'!$J$1485='Field Check'!$C$25)*10000000+(N('Dvd Calendar'!$J$1479)&gt;0)*1000000+99*1000+6))</f>
        <v/>
      </c>
      <c r="I107" s="41">
        <f>IF(N('Dvd Calendar'!$K$1480)=0,"",IF(('Dvd Calendar'!$K$1480&gt;=MIN(DATE(Summary!$C$12,1,1),Summary!$C$11))*('Dvd Calendar'!$K$1480&lt;=MAX(DATE(Summary!$C$12,12,31),Summary!$C$15))*('Dvd Calendar'!$K$1480&lt;=Summary!$C$11)=0,"",'Dvd Calendar'!$K$1480*1000000000+ISNUMBER('Dvd Calendar'!$K$1481)*100000000+('Dvd Calendar'!$K$1485='Field Check'!$C$25)*10000000+(N('Dvd Calendar'!$K$1479)&gt;0)*1000000+99*1000+7))</f>
        <v/>
      </c>
      <c r="J107" s="41">
        <f>IF(N('Dvd Calendar'!$L$1480)=0,"",IF(('Dvd Calendar'!$L$1480&gt;=MIN(DATE(Summary!$C$12,1,1),Summary!$C$11))*('Dvd Calendar'!$L$1480&lt;=MAX(DATE(Summary!$C$12,12,31),Summary!$C$15))*('Dvd Calendar'!$L$1480&lt;=Summary!$C$11)=0,"",'Dvd Calendar'!$L$1480*1000000000+ISNUMBER('Dvd Calendar'!$L$1481)*100000000+('Dvd Calendar'!$L$1485='Field Check'!$C$25)*10000000+(N('Dvd Calendar'!$L$1479)&gt;0)*1000000+99*1000+8))</f>
        <v/>
      </c>
      <c r="K107" s="41">
        <f>IF(N('Dvd Calendar'!$M$1480)=0,"",IF(('Dvd Calendar'!$M$1480&gt;=MIN(DATE(Summary!$C$12,1,1),Summary!$C$11))*('Dvd Calendar'!$M$1480&lt;=MAX(DATE(Summary!$C$12,12,31),Summary!$C$15))*('Dvd Calendar'!$M$1480&lt;=Summary!$C$11)=0,"",'Dvd Calendar'!$M$1480*1000000000+ISNUMBER('Dvd Calendar'!$M$1481)*100000000+('Dvd Calendar'!$M$1485='Field Check'!$C$25)*10000000+(N('Dvd Calendar'!$M$1479)&gt;0)*1000000+99*1000+9))</f>
        <v/>
      </c>
      <c r="L107" s="41">
        <f>IF(N('Dvd Calendar'!$N$1480)=0,"",IF(('Dvd Calendar'!$N$1480&gt;=MIN(DATE(Summary!$C$12,1,1),Summary!$C$11))*('Dvd Calendar'!$N$1480&lt;=MAX(DATE(Summary!$C$12,12,31),Summary!$C$15))*('Dvd Calendar'!$N$1480&lt;=Summary!$C$11)=0,"",'Dvd Calendar'!$N$1480*1000000000+ISNUMBER('Dvd Calendar'!$N$1481)*100000000+('Dvd Calendar'!$N$1485='Field Check'!$C$25)*10000000+(N('Dvd Calendar'!$N$1479)&gt;0)*1000000+99*1000+10))</f>
        <v/>
      </c>
      <c r="M107" s="41">
        <f>IF(N('Dvd Calendar'!$O$1480)=0,"",IF(('Dvd Calendar'!$O$1480&gt;=MIN(DATE(Summary!$C$12,1,1),Summary!$C$11))*('Dvd Calendar'!$O$1480&lt;=MAX(DATE(Summary!$C$12,12,31),Summary!$C$15))*('Dvd Calendar'!$O$1480&lt;=Summary!$C$11)=0,"",'Dvd Calendar'!$O$1480*1000000000+ISNUMBER('Dvd Calendar'!$O$1481)*100000000+('Dvd Calendar'!$O$1485='Field Check'!$C$25)*10000000+(N('Dvd Calendar'!$O$1479)&gt;0)*1000000+99*1000+11))</f>
        <v/>
      </c>
      <c r="N107" s="41">
        <f>IF(N('Dvd Calendar'!$P$1480)=0,"",IF(('Dvd Calendar'!$P$1480&gt;=MIN(DATE(Summary!$C$12,1,1),Summary!$C$11))*('Dvd Calendar'!$P$1480&lt;=MAX(DATE(Summary!$C$12,12,31),Summary!$C$15))*('Dvd Calendar'!$P$1480&lt;=Summary!$C$11)=0,"",'Dvd Calendar'!$P$1480*1000000000+ISNUMBER('Dvd Calendar'!$P$1481)*100000000+('Dvd Calendar'!$P$1485='Field Check'!$C$25)*10000000+(N('Dvd Calendar'!$P$1479)&gt;0)*1000000+99*1000+12))</f>
        <v/>
      </c>
      <c r="O107" s="41">
        <f>IF(N('Dvd Calendar'!$Q$1480)=0,"",IF(('Dvd Calendar'!$Q$1480&gt;=MIN(DATE(Summary!$C$12,1,1),Summary!$C$11))*('Dvd Calendar'!$Q$1480&lt;=MAX(DATE(Summary!$C$12,12,31),Summary!$C$15))*('Dvd Calendar'!$Q$1480&lt;=Summary!$C$11)=0,"",'Dvd Calendar'!$Q$1480*1000000000+ISNUMBER('Dvd Calendar'!$Q$1481)*100000000+('Dvd Calendar'!$Q$1485='Field Check'!$C$25)*10000000+(N('Dvd Calendar'!$Q$1479)&gt;0)*1000000+99*1000+13))</f>
        <v/>
      </c>
      <c r="P107" s="41">
        <f>IF(N('Dvd Calendar'!$R$1480)=0,"",IF(('Dvd Calendar'!$R$1480&gt;=MIN(DATE(Summary!$C$12,1,1),Summary!$C$11))*('Dvd Calendar'!$R$1480&lt;=MAX(DATE(Summary!$C$12,12,31),Summary!$C$15))*('Dvd Calendar'!$R$1480&lt;=Summary!$C$11)=0,"",'Dvd Calendar'!$R$1480*1000000000+ISNUMBER('Dvd Calendar'!$R$1481)*100000000+('Dvd Calendar'!$R$1485='Field Check'!$C$25)*10000000+(N('Dvd Calendar'!$R$1479)&gt;0)*1000000+99*1000+14))</f>
        <v/>
      </c>
      <c r="Q107" s="41">
        <f>IF(N('Dvd Calendar'!$S$1480)=0,"",IF(('Dvd Calendar'!$S$1480&gt;=MIN(DATE(Summary!$C$12,1,1),Summary!$C$11))*('Dvd Calendar'!$S$1480&lt;=MAX(DATE(Summary!$C$12,12,31),Summary!$C$15))*('Dvd Calendar'!$S$1480&lt;=Summary!$C$11)=0,"",'Dvd Calendar'!$S$1480*1000000000+ISNUMBER('Dvd Calendar'!$S$1481)*100000000+('Dvd Calendar'!$S$1485='Field Check'!$C$25)*10000000+(N('Dvd Calendar'!$S$1479)&gt;0)*1000000+99*1000+15))</f>
        <v/>
      </c>
      <c r="R107" s="41">
        <f>IF(N('Dvd Calendar'!$T$1480)=0,"",IF(('Dvd Calendar'!$T$1480&gt;=MIN(DATE(Summary!$C$12,1,1),Summary!$C$11))*('Dvd Calendar'!$T$1480&lt;=MAX(DATE(Summary!$C$12,12,31),Summary!$C$15))*('Dvd Calendar'!$T$1480&lt;=Summary!$C$11)=0,"",'Dvd Calendar'!$T$1480*1000000000+ISNUMBER('Dvd Calendar'!$T$1481)*100000000+('Dvd Calendar'!$T$1485='Field Check'!$C$25)*10000000+(N('Dvd Calendar'!$T$1479)&gt;0)*1000000+99*1000+16))</f>
        <v/>
      </c>
      <c r="S107" s="41">
        <f>IF(N('Dvd Calendar'!$U$1480)=0,"",IF(('Dvd Calendar'!$U$1480&gt;=MIN(DATE(Summary!$C$12,1,1),Summary!$C$11))*('Dvd Calendar'!$U$1480&lt;=MAX(DATE(Summary!$C$12,12,31),Summary!$C$15))*('Dvd Calendar'!$U$1480&lt;=Summary!$C$11)=0,"",'Dvd Calendar'!$U$1480*1000000000+ISNUMBER('Dvd Calendar'!$U$1481)*100000000+('Dvd Calendar'!$U$1485='Field Check'!$C$25)*10000000+(N('Dvd Calendar'!$U$1479)&gt;0)*1000000+99*1000+17))</f>
        <v/>
      </c>
      <c r="T107" s="41">
        <f>IF(N('Dvd Calendar'!$V$1480)=0,"",IF(('Dvd Calendar'!$V$1480&gt;=MIN(DATE(Summary!$C$12,1,1),Summary!$C$11))*('Dvd Calendar'!$V$1480&lt;=MAX(DATE(Summary!$C$12,12,31),Summary!$C$15))*('Dvd Calendar'!$V$1480&lt;=Summary!$C$11)=0,"",'Dvd Calendar'!$V$1480*1000000000+ISNUMBER('Dvd Calendar'!$V$1481)*100000000+('Dvd Calendar'!$V$1485='Field Check'!$C$25)*10000000+(N('Dvd Calendar'!$V$1479)&gt;0)*1000000+99*1000+18))</f>
        <v/>
      </c>
      <c r="U107" s="41">
        <f>IF(N('Dvd Calendar'!$W$1480)=0,"",IF(('Dvd Calendar'!$W$1480&gt;=MIN(DATE(Summary!$C$12,1,1),Summary!$C$11))*('Dvd Calendar'!$W$1480&lt;=MAX(DATE(Summary!$C$12,12,31),Summary!$C$15))*('Dvd Calendar'!$W$1480&lt;=Summary!$C$11)=0,"",'Dvd Calendar'!$W$1480*1000000000+ISNUMBER('Dvd Calendar'!$W$1481)*100000000+('Dvd Calendar'!$W$1485='Field Check'!$C$25)*10000000+(N('Dvd Calendar'!$W$1479)&gt;0)*1000000+99*1000+19))</f>
        <v/>
      </c>
      <c r="V107" s="41">
        <f>IF(N('Dvd Calendar'!$X$1480)=0,"",IF(('Dvd Calendar'!$X$1480&gt;=MIN(DATE(Summary!$C$12,1,1),Summary!$C$11))*('Dvd Calendar'!$X$1480&lt;=MAX(DATE(Summary!$C$12,12,31),Summary!$C$15))*('Dvd Calendar'!$X$1480&lt;=Summary!$C$11)=0,"",'Dvd Calendar'!$X$1480*1000000000+ISNUMBER('Dvd Calendar'!$X$1481)*100000000+('Dvd Calendar'!$X$1485='Field Check'!$C$25)*10000000+(N('Dvd Calendar'!$X$1479)&gt;0)*1000000+99*1000+20))</f>
        <v/>
      </c>
      <c r="W107" s="41">
        <f>IF(N('Dvd Calendar'!$Y$1480)=0,"",IF(('Dvd Calendar'!$Y$1480&gt;=MIN(DATE(Summary!$C$12,1,1),Summary!$C$11))*('Dvd Calendar'!$Y$1480&lt;=MAX(DATE(Summary!$C$12,12,31),Summary!$C$15))*('Dvd Calendar'!$Y$1480&lt;=Summary!$C$11)=0,"",'Dvd Calendar'!$Y$1480*1000000000+ISNUMBER('Dvd Calendar'!$Y$1481)*100000000+('Dvd Calendar'!$Y$1485='Field Check'!$C$25)*10000000+(N('Dvd Calendar'!$Y$1479)&gt;0)*1000000+99*1000+21))</f>
        <v/>
      </c>
      <c r="X107" s="41">
        <f>IF(N('Dvd Calendar'!$Z$1480)=0,"",IF(('Dvd Calendar'!$Z$1480&gt;=MIN(DATE(Summary!$C$12,1,1),Summary!$C$11))*('Dvd Calendar'!$Z$1480&lt;=MAX(DATE(Summary!$C$12,12,31),Summary!$C$15))*('Dvd Calendar'!$Z$1480&lt;=Summary!$C$11)=0,"",'Dvd Calendar'!$Z$1480*1000000000+ISNUMBER('Dvd Calendar'!$Z$1481)*100000000+('Dvd Calendar'!$Z$1485='Field Check'!$C$25)*10000000+(N('Dvd Calendar'!$Z$1479)&gt;0)*1000000+99*1000+22))</f>
        <v/>
      </c>
      <c r="Y107" s="41">
        <f>IF(N('Dvd Calendar'!$AA$1480)=0,"",IF(('Dvd Calendar'!$AA$1480&gt;=MIN(DATE(Summary!$C$12,1,1),Summary!$C$11))*('Dvd Calendar'!$AA$1480&lt;=MAX(DATE(Summary!$C$12,12,31),Summary!$C$15))*('Dvd Calendar'!$AA$1480&lt;=Summary!$C$11)=0,"",'Dvd Calendar'!$AA$1480*1000000000+ISNUMBER('Dvd Calendar'!$AA$1481)*100000000+('Dvd Calendar'!$AA$1485='Field Check'!$C$25)*10000000+(N('Dvd Calendar'!$AA$1479)&gt;0)*1000000+99*1000+23))</f>
        <v/>
      </c>
      <c r="Z107" s="41">
        <f>IF(N('Dvd Calendar'!$AB$1480)=0,"",IF(('Dvd Calendar'!$AB$1480&gt;=MIN(DATE(Summary!$C$12,1,1),Summary!$C$11))*('Dvd Calendar'!$AB$1480&lt;=MAX(DATE(Summary!$C$12,12,31),Summary!$C$15))*('Dvd Calendar'!$AB$1480&lt;=Summary!$C$11)=0,"",'Dvd Calendar'!$AB$1480*1000000000+ISNUMBER('Dvd Calendar'!$AB$1481)*100000000+('Dvd Calendar'!$AB$1485='Field Check'!$C$25)*10000000+(N('Dvd Calendar'!$AB$1479)&gt;0)*1000000+99*1000+24))</f>
        <v/>
      </c>
      <c r="AA107" s="41">
        <f>IF(N('Dvd Calendar'!$AC$1480)=0,"",IF(('Dvd Calendar'!$AC$1480&gt;=MIN(DATE(Summary!$C$12,1,1),Summary!$C$11))*('Dvd Calendar'!$AC$1480&lt;=MAX(DATE(Summary!$C$12,12,31),Summary!$C$15))*('Dvd Calendar'!$AC$1480&lt;=Summary!$C$11)=0,"",'Dvd Calendar'!$AC$1480*1000000000+ISNUMBER('Dvd Calendar'!$AC$1481)*100000000+('Dvd Calendar'!$AC$1485='Field Check'!$C$25)*10000000+(N('Dvd Calendar'!$AC$1479)&gt;0)*1000000+99*1000+25))</f>
        <v/>
      </c>
      <c r="AB107" s="41">
        <f>IF(N('Dvd Calendar'!$AD$1480)=0,"",IF(('Dvd Calendar'!$AD$1480&gt;=MIN(DATE(Summary!$C$12,1,1),Summary!$C$11))*('Dvd Calendar'!$AD$1480&lt;=MAX(DATE(Summary!$C$12,12,31),Summary!$C$15))*('Dvd Calendar'!$AD$1480&lt;=Summary!$C$11)=0,"",'Dvd Calendar'!$AD$1480*1000000000+ISNUMBER('Dvd Calendar'!$AD$1481)*100000000+('Dvd Calendar'!$AD$1485='Field Check'!$C$25)*10000000+(N('Dvd Calendar'!$AD$1479)&gt;0)*1000000+99*1000+26))</f>
        <v/>
      </c>
      <c r="AC107" s="41">
        <f>IF(N('Dvd Calendar'!$AE$1480)=0,"",IF(('Dvd Calendar'!$AE$1480&gt;=MIN(DATE(Summary!$C$12,1,1),Summary!$C$11))*('Dvd Calendar'!$AE$1480&lt;=MAX(DATE(Summary!$C$12,12,31),Summary!$C$15))*('Dvd Calendar'!$AE$1480&lt;=Summary!$C$11)=0,"",'Dvd Calendar'!$AE$1480*1000000000+ISNUMBER('Dvd Calendar'!$AE$1481)*100000000+('Dvd Calendar'!$AE$1485='Field Check'!$C$25)*10000000+(N('Dvd Calendar'!$AE$1479)&gt;0)*1000000+99*1000+27))</f>
        <v/>
      </c>
      <c r="AD107" s="41">
        <f>IF(N('Dvd Calendar'!$AF$1480)=0,"",IF(('Dvd Calendar'!$AF$1480&gt;=MIN(DATE(Summary!$C$12,1,1),Summary!$C$11))*('Dvd Calendar'!$AF$1480&lt;=MAX(DATE(Summary!$C$12,12,31),Summary!$C$15))*('Dvd Calendar'!$AF$1480&lt;=Summary!$C$11)=0,"",'Dvd Calendar'!$AF$1480*1000000000+ISNUMBER('Dvd Calendar'!$AF$1481)*100000000+('Dvd Calendar'!$AF$1485='Field Check'!$C$25)*10000000+(N('Dvd Calendar'!$AF$1479)&gt;0)*1000000+99*1000+28))</f>
        <v/>
      </c>
      <c r="AE107" s="41">
        <f>IF(N('Dvd Calendar'!$AG$1480)=0,"",IF(('Dvd Calendar'!$AG$1480&gt;=MIN(DATE(Summary!$C$12,1,1),Summary!$C$11))*('Dvd Calendar'!$AG$1480&lt;=MAX(DATE(Summary!$C$12,12,31),Summary!$C$15))*('Dvd Calendar'!$AG$1480&lt;=Summary!$C$11)=0,"",'Dvd Calendar'!$AG$1480*1000000000+ISNUMBER('Dvd Calendar'!$AG$1481)*100000000+('Dvd Calendar'!$AG$1485='Field Check'!$C$25)*10000000+(N('Dvd Calendar'!$AG$1479)&gt;0)*1000000+99*1000+29))</f>
        <v/>
      </c>
      <c r="AF107" s="41">
        <f>IF(N('Dvd Calendar'!$AH$1480)=0,"",IF(('Dvd Calendar'!$AH$1480&gt;=MIN(DATE(Summary!$C$12,1,1),Summary!$C$11))*('Dvd Calendar'!$AH$1480&lt;=MAX(DATE(Summary!$C$12,12,31),Summary!$C$15))*('Dvd Calendar'!$AH$1480&lt;=Summary!$C$11)=0,"",'Dvd Calendar'!$AH$1480*1000000000+ISNUMBER('Dvd Calendar'!$AH$1481)*100000000+('Dvd Calendar'!$AH$1485='Field Check'!$C$25)*10000000+(N('Dvd Calendar'!$AH$1479)&gt;0)*1000000+99*1000+30))</f>
        <v/>
      </c>
      <c r="AG107" s="41">
        <f>IF(N('Dvd Calendar'!$AI$1480)=0,"",IF(('Dvd Calendar'!$AI$1480&gt;=MIN(DATE(Summary!$C$12,1,1),Summary!$C$11))*('Dvd Calendar'!$AI$1480&lt;=MAX(DATE(Summary!$C$12,12,31),Summary!$C$15))*('Dvd Calendar'!$AI$1480&lt;=Summary!$C$11)=0,"",'Dvd Calendar'!$AI$1480*1000000000+ISNUMBER('Dvd Calendar'!$AI$1481)*100000000+('Dvd Calendar'!$AI$1485='Field Check'!$C$25)*10000000+(N('Dvd Calendar'!$AI$1479)&gt;0)*1000000+99*1000+31))</f>
        <v/>
      </c>
      <c r="AH107" s="41">
        <f>IF(N('Dvd Calendar'!$AJ$1480)=0,"",IF(('Dvd Calendar'!$AJ$1480&gt;=MIN(DATE(Summary!$C$12,1,1),Summary!$C$11))*('Dvd Calendar'!$AJ$1480&lt;=MAX(DATE(Summary!$C$12,12,31),Summary!$C$15))*('Dvd Calendar'!$AJ$1480&lt;=Summary!$C$11)=0,"",'Dvd Calendar'!$AJ$1480*1000000000+ISNUMBER('Dvd Calendar'!$AJ$1481)*100000000+('Dvd Calendar'!$AJ$1485='Field Check'!$C$25)*10000000+(N('Dvd Calendar'!$AJ$1479)&gt;0)*1000000+99*1000+32))</f>
        <v/>
      </c>
      <c r="AI107" s="41">
        <f>IF(N('Dvd Calendar'!$AK$1480)=0,"",IF(('Dvd Calendar'!$AK$1480&gt;=MIN(DATE(Summary!$C$12,1,1),Summary!$C$11))*('Dvd Calendar'!$AK$1480&lt;=MAX(DATE(Summary!$C$12,12,31),Summary!$C$15))*('Dvd Calendar'!$AK$1480&lt;=Summary!$C$11)=0,"",'Dvd Calendar'!$AK$1480*1000000000+ISNUMBER('Dvd Calendar'!$AK$1481)*100000000+('Dvd Calendar'!$AK$1485='Field Check'!$C$25)*10000000+(N('Dvd Calendar'!$AK$1479)&gt;0)*1000000+99*1000+33))</f>
        <v/>
      </c>
      <c r="AJ107" s="41">
        <f>IF(N('Dvd Calendar'!$AL$1480)=0,"",IF(('Dvd Calendar'!$AL$1480&gt;=MIN(DATE(Summary!$C$12,1,1),Summary!$C$11))*('Dvd Calendar'!$AL$1480&lt;=MAX(DATE(Summary!$C$12,12,31),Summary!$C$15))*('Dvd Calendar'!$AL$1480&lt;=Summary!$C$11)=0,"",'Dvd Calendar'!$AL$1480*1000000000+ISNUMBER('Dvd Calendar'!$AL$1481)*100000000+('Dvd Calendar'!$AL$1485='Field Check'!$C$25)*10000000+(N('Dvd Calendar'!$AL$1479)&gt;0)*1000000+99*1000+34))</f>
        <v/>
      </c>
      <c r="AK107" s="41">
        <f>IF(N('Dvd Calendar'!$AM$1480)=0,"",IF(('Dvd Calendar'!$AM$1480&gt;=MIN(DATE(Summary!$C$12,1,1),Summary!$C$11))*('Dvd Calendar'!$AM$1480&lt;=MAX(DATE(Summary!$C$12,12,31),Summary!$C$15))*('Dvd Calendar'!$AM$1480&lt;=Summary!$C$11)=0,"",'Dvd Calendar'!$AM$1480*1000000000+ISNUMBER('Dvd Calendar'!$AM$1481)*100000000+('Dvd Calendar'!$AM$1485='Field Check'!$C$25)*10000000+(N('Dvd Calendar'!$AM$1479)&gt;0)*1000000+99*1000+35))</f>
        <v/>
      </c>
      <c r="AL107" s="41">
        <f>IF(N('Dvd Calendar'!$AN$1480)=0,"",IF(('Dvd Calendar'!$AN$1480&gt;=MIN(DATE(Summary!$C$12,1,1),Summary!$C$11))*('Dvd Calendar'!$AN$1480&lt;=MAX(DATE(Summary!$C$12,12,31),Summary!$C$15))*('Dvd Calendar'!$AN$1480&lt;=Summary!$C$11)=0,"",'Dvd Calendar'!$AN$1480*1000000000+ISNUMBER('Dvd Calendar'!$AN$1481)*100000000+('Dvd Calendar'!$AN$1485='Field Check'!$C$25)*10000000+(N('Dvd Calendar'!$AN$1479)&gt;0)*1000000+99*1000+36))</f>
        <v/>
      </c>
      <c r="AM107" s="41">
        <f>IF(N('Dvd Calendar'!$AO$1480)=0,"",IF(('Dvd Calendar'!$AO$1480&gt;=MIN(DATE(Summary!$C$12,1,1),Summary!$C$11))*('Dvd Calendar'!$AO$1480&lt;=MAX(DATE(Summary!$C$12,12,31),Summary!$C$15))*('Dvd Calendar'!$AO$1480&lt;=Summary!$C$11)=0,"",'Dvd Calendar'!$AO$1480*1000000000+ISNUMBER('Dvd Calendar'!$AO$1481)*100000000+('Dvd Calendar'!$AO$1485='Field Check'!$C$25)*10000000+(N('Dvd Calendar'!$AO$1479)&gt;0)*1000000+99*1000+37))</f>
        <v/>
      </c>
      <c r="AN107" s="41">
        <f>IF(N('Dvd Calendar'!$AP$1480)=0,"",IF(('Dvd Calendar'!$AP$1480&gt;=MIN(DATE(Summary!$C$12,1,1),Summary!$C$11))*('Dvd Calendar'!$AP$1480&lt;=MAX(DATE(Summary!$C$12,12,31),Summary!$C$15))*('Dvd Calendar'!$AP$1480&lt;=Summary!$C$11)=0,"",'Dvd Calendar'!$AP$1480*1000000000+ISNUMBER('Dvd Calendar'!$AP$1481)*100000000+('Dvd Calendar'!$AP$1485='Field Check'!$C$25)*10000000+(N('Dvd Calendar'!$AP$1479)&gt;0)*1000000+99*1000+38))</f>
        <v/>
      </c>
      <c r="AO107" s="41">
        <f>IF(N('Dvd Calendar'!$AQ$1480)=0,"",IF(('Dvd Calendar'!$AQ$1480&gt;=MIN(DATE(Summary!$C$12,1,1),Summary!$C$11))*('Dvd Calendar'!$AQ$1480&lt;=MAX(DATE(Summary!$C$12,12,31),Summary!$C$15))*('Dvd Calendar'!$AQ$1480&lt;=Summary!$C$11)=0,"",'Dvd Calendar'!$AQ$1480*1000000000+ISNUMBER('Dvd Calendar'!$AQ$1481)*100000000+('Dvd Calendar'!$AQ$1485='Field Check'!$C$25)*10000000+(N('Dvd Calendar'!$AQ$1479)&gt;0)*1000000+99*1000+39))</f>
        <v/>
      </c>
      <c r="AP107" s="41">
        <f>IF(N('Dvd Calendar'!$AR$1480)=0,"",IF(('Dvd Calendar'!$AR$1480&gt;=MIN(DATE(Summary!$C$12,1,1),Summary!$C$11))*('Dvd Calendar'!$AR$1480&lt;=MAX(DATE(Summary!$C$12,12,31),Summary!$C$15))*('Dvd Calendar'!$AR$1480&lt;=Summary!$C$11)=0,"",'Dvd Calendar'!$AR$1480*1000000000+ISNUMBER('Dvd Calendar'!$AR$1481)*100000000+('Dvd Calendar'!$AR$1485='Field Check'!$C$25)*10000000+(N('Dvd Calendar'!$AR$1479)&gt;0)*1000000+99*1000+40))</f>
        <v/>
      </c>
      <c r="AQ107" s="41">
        <f>IF(N('Dvd Calendar'!$E$1487)=0,"",IF(('Dvd Calendar'!$E$1487&gt;=MIN(DATE(Summary!$C$12,1,1),Summary!$C$11))*('Dvd Calendar'!$E$1487&lt;=MAX(DATE(Summary!$C$12,12,31),Summary!$C$15))*('Dvd Calendar'!$E$1487&gt;Summary!$C$11)=0,"",'Dvd Calendar'!$E$1487*1000000000+ISNUMBER('Dvd Calendar'!$E$1488)*100000000+('Dvd Calendar'!$E$1492='Field Check'!$C$25)*10000000+(N('Dvd Calendar'!$E$1486)&gt;0)*1000000+99*1000+41))</f>
        <v/>
      </c>
      <c r="AR107" s="41">
        <f>IF(N('Dvd Calendar'!$F$1487)=0,"",IF(('Dvd Calendar'!$F$1487&gt;=MIN(DATE(Summary!$C$12,1,1),Summary!$C$11))*('Dvd Calendar'!$F$1487&lt;=MAX(DATE(Summary!$C$12,12,31),Summary!$C$15))*('Dvd Calendar'!$F$1487&gt;Summary!$C$11)=0,"",'Dvd Calendar'!$F$1487*1000000000+ISNUMBER('Dvd Calendar'!$F$1488)*100000000+('Dvd Calendar'!$F$1492='Field Check'!$C$25)*10000000+(N('Dvd Calendar'!$F$1486)&gt;0)*1000000+99*1000+42))</f>
        <v/>
      </c>
      <c r="AS107" s="41">
        <f>IF(N('Dvd Calendar'!$G$1487)=0,"",IF(('Dvd Calendar'!$G$1487&gt;=MIN(DATE(Summary!$C$12,1,1),Summary!$C$11))*('Dvd Calendar'!$G$1487&lt;=MAX(DATE(Summary!$C$12,12,31),Summary!$C$15))*('Dvd Calendar'!$G$1487&gt;Summary!$C$11)=0,"",'Dvd Calendar'!$G$1487*1000000000+ISNUMBER('Dvd Calendar'!$G$1488)*100000000+('Dvd Calendar'!$G$1492='Field Check'!$C$25)*10000000+(N('Dvd Calendar'!$G$1486)&gt;0)*1000000+99*1000+43))</f>
        <v/>
      </c>
      <c r="AT107" s="41">
        <f>IF(N('Dvd Calendar'!$H$1487)=0,"",IF(('Dvd Calendar'!$H$1487&gt;=MIN(DATE(Summary!$C$12,1,1),Summary!$C$11))*('Dvd Calendar'!$H$1487&lt;=MAX(DATE(Summary!$C$12,12,31),Summary!$C$15))*('Dvd Calendar'!$H$1487&gt;Summary!$C$11)=0,"",'Dvd Calendar'!$H$1487*1000000000+ISNUMBER('Dvd Calendar'!$H$1488)*100000000+('Dvd Calendar'!$H$1492='Field Check'!$C$25)*10000000+(N('Dvd Calendar'!$H$1486)&gt;0)*1000000+99*1000+44))</f>
        <v/>
      </c>
      <c r="AU107" s="41">
        <f>IF(N('Dvd Calendar'!$I$1487)=0,"",IF(('Dvd Calendar'!$I$1487&gt;=MIN(DATE(Summary!$C$12,1,1),Summary!$C$11))*('Dvd Calendar'!$I$1487&lt;=MAX(DATE(Summary!$C$12,12,31),Summary!$C$15))*('Dvd Calendar'!$I$1487&gt;Summary!$C$11)=0,"",'Dvd Calendar'!$I$1487*1000000000+ISNUMBER('Dvd Calendar'!$I$1488)*100000000+('Dvd Calendar'!$I$1492='Field Check'!$C$25)*10000000+(N('Dvd Calendar'!$I$1486)&gt;0)*1000000+99*1000+45))</f>
        <v/>
      </c>
      <c r="AV107" s="41">
        <f>IF(N('Dvd Calendar'!$J$1487)=0,"",IF(('Dvd Calendar'!$J$1487&gt;=MIN(DATE(Summary!$C$12,1,1),Summary!$C$11))*('Dvd Calendar'!$J$1487&lt;=MAX(DATE(Summary!$C$12,12,31),Summary!$C$15))*('Dvd Calendar'!$J$1487&gt;Summary!$C$11)=0,"",'Dvd Calendar'!$J$1487*1000000000+ISNUMBER('Dvd Calendar'!$J$1488)*100000000+('Dvd Calendar'!$J$1492='Field Check'!$C$25)*10000000+(N('Dvd Calendar'!$J$1486)&gt;0)*1000000+99*1000+46))</f>
        <v/>
      </c>
      <c r="AW107" s="41">
        <f>IF(N('Dvd Calendar'!$K$1487)=0,"",IF(('Dvd Calendar'!$K$1487&gt;=MIN(DATE(Summary!$C$12,1,1),Summary!$C$11))*('Dvd Calendar'!$K$1487&lt;=MAX(DATE(Summary!$C$12,12,31),Summary!$C$15))*('Dvd Calendar'!$K$1487&gt;Summary!$C$11)=0,"",'Dvd Calendar'!$K$1487*1000000000+ISNUMBER('Dvd Calendar'!$K$1488)*100000000+('Dvd Calendar'!$K$1492='Field Check'!$C$25)*10000000+(N('Dvd Calendar'!$K$1486)&gt;0)*1000000+99*1000+47))</f>
        <v/>
      </c>
      <c r="AX107" s="41">
        <f>IF(N('Dvd Calendar'!$L$1487)=0,"",IF(('Dvd Calendar'!$L$1487&gt;=MIN(DATE(Summary!$C$12,1,1),Summary!$C$11))*('Dvd Calendar'!$L$1487&lt;=MAX(DATE(Summary!$C$12,12,31),Summary!$C$15))*('Dvd Calendar'!$L$1487&gt;Summary!$C$11)=0,"",'Dvd Calendar'!$L$1487*1000000000+ISNUMBER('Dvd Calendar'!$L$1488)*100000000+('Dvd Calendar'!$L$1492='Field Check'!$C$25)*10000000+(N('Dvd Calendar'!$L$1486)&gt;0)*1000000+99*1000+48))</f>
        <v/>
      </c>
      <c r="AY107" s="41">
        <f>IF(N('Dvd Calendar'!$M$1487)=0,"",IF(('Dvd Calendar'!$M$1487&gt;=MIN(DATE(Summary!$C$12,1,1),Summary!$C$11))*('Dvd Calendar'!$M$1487&lt;=MAX(DATE(Summary!$C$12,12,31),Summary!$C$15))*('Dvd Calendar'!$M$1487&gt;Summary!$C$11)=0,"",'Dvd Calendar'!$M$1487*1000000000+ISNUMBER('Dvd Calendar'!$M$1488)*100000000+('Dvd Calendar'!$M$1492='Field Check'!$C$25)*10000000+(N('Dvd Calendar'!$M$1486)&gt;0)*1000000+99*1000+49))</f>
        <v/>
      </c>
      <c r="AZ107" s="41">
        <f>IF(N('Dvd Calendar'!$N$1487)=0,"",IF(('Dvd Calendar'!$N$1487&gt;=MIN(DATE(Summary!$C$12,1,1),Summary!$C$11))*('Dvd Calendar'!$N$1487&lt;=MAX(DATE(Summary!$C$12,12,31),Summary!$C$15))*('Dvd Calendar'!$N$1487&gt;Summary!$C$11)=0,"",'Dvd Calendar'!$N$1487*1000000000+ISNUMBER('Dvd Calendar'!$N$1488)*100000000+('Dvd Calendar'!$N$1492='Field Check'!$C$25)*10000000+(N('Dvd Calendar'!$N$1486)&gt;0)*1000000+99*1000+50))</f>
        <v/>
      </c>
      <c r="BA107" s="41">
        <f>IF(N('Dvd Calendar'!$O$1487)=0,"",IF(('Dvd Calendar'!$O$1487&gt;=MIN(DATE(Summary!$C$12,1,1),Summary!$C$11))*('Dvd Calendar'!$O$1487&lt;=MAX(DATE(Summary!$C$12,12,31),Summary!$C$15))*('Dvd Calendar'!$O$1487&gt;Summary!$C$11)=0,"",'Dvd Calendar'!$O$1487*1000000000+ISNUMBER('Dvd Calendar'!$O$1488)*100000000+('Dvd Calendar'!$O$1492='Field Check'!$C$25)*10000000+(N('Dvd Calendar'!$O$1486)&gt;0)*1000000+99*1000+51))</f>
        <v/>
      </c>
      <c r="BB107" s="41">
        <f>IF(N('Dvd Calendar'!$P$1487)=0,"",IF(('Dvd Calendar'!$P$1487&gt;=MIN(DATE(Summary!$C$12,1,1),Summary!$C$11))*('Dvd Calendar'!$P$1487&lt;=MAX(DATE(Summary!$C$12,12,31),Summary!$C$15))*('Dvd Calendar'!$P$1487&gt;Summary!$C$11)=0,"",'Dvd Calendar'!$P$1487*1000000000+ISNUMBER('Dvd Calendar'!$P$1488)*100000000+('Dvd Calendar'!$P$1492='Field Check'!$C$25)*10000000+(N('Dvd Calendar'!$P$1486)&gt;0)*1000000+99*1000+52))</f>
        <v/>
      </c>
      <c r="BC107" s="41">
        <f>IF(N('Dvd Calendar'!$Q$1487)=0,"",IF(('Dvd Calendar'!$Q$1487&gt;=MIN(DATE(Summary!$C$12,1,1),Summary!$C$11))*('Dvd Calendar'!$Q$1487&lt;=MAX(DATE(Summary!$C$12,12,31),Summary!$C$15))*('Dvd Calendar'!$Q$1487&gt;Summary!$C$11)=0,"",'Dvd Calendar'!$Q$1487*1000000000+ISNUMBER('Dvd Calendar'!$Q$1488)*100000000+('Dvd Calendar'!$Q$1492='Field Check'!$C$25)*10000000+(N('Dvd Calendar'!$Q$1486)&gt;0)*1000000+99*1000+53))</f>
        <v/>
      </c>
      <c r="BD107" s="41">
        <f>IF(N('Dvd Calendar'!$R$1487)=0,"",IF(('Dvd Calendar'!$R$1487&gt;=MIN(DATE(Summary!$C$12,1,1),Summary!$C$11))*('Dvd Calendar'!$R$1487&lt;=MAX(DATE(Summary!$C$12,12,31),Summary!$C$15))*('Dvd Calendar'!$R$1487&gt;Summary!$C$11)=0,"",'Dvd Calendar'!$R$1487*1000000000+ISNUMBER('Dvd Calendar'!$R$1488)*100000000+('Dvd Calendar'!$R$1492='Field Check'!$C$25)*10000000+(N('Dvd Calendar'!$R$1486)&gt;0)*1000000+99*1000+54))</f>
        <v/>
      </c>
      <c r="BE107" s="41">
        <f>IF(N('Dvd Calendar'!$S$1487)=0,"",IF(('Dvd Calendar'!$S$1487&gt;=MIN(DATE(Summary!$C$12,1,1),Summary!$C$11))*('Dvd Calendar'!$S$1487&lt;=MAX(DATE(Summary!$C$12,12,31),Summary!$C$15))*('Dvd Calendar'!$S$1487&gt;Summary!$C$11)=0,"",'Dvd Calendar'!$S$1487*1000000000+ISNUMBER('Dvd Calendar'!$S$1488)*100000000+('Dvd Calendar'!$S$1492='Field Check'!$C$25)*10000000+(N('Dvd Calendar'!$S$1486)&gt;0)*1000000+99*1000+55))</f>
        <v/>
      </c>
      <c r="BF107" s="41">
        <f>IF(N('Dvd Calendar'!$T$1487)=0,"",IF(('Dvd Calendar'!$T$1487&gt;=MIN(DATE(Summary!$C$12,1,1),Summary!$C$11))*('Dvd Calendar'!$T$1487&lt;=MAX(DATE(Summary!$C$12,12,31),Summary!$C$15))*('Dvd Calendar'!$T$1487&gt;Summary!$C$11)=0,"",'Dvd Calendar'!$T$1487*1000000000+ISNUMBER('Dvd Calendar'!$T$1488)*100000000+('Dvd Calendar'!$T$1492='Field Check'!$C$25)*10000000+(N('Dvd Calendar'!$T$1486)&gt;0)*1000000+99*1000+56))</f>
        <v/>
      </c>
      <c r="BG107" s="41">
        <f>IF(N('Dvd Calendar'!$U$1487)=0,"",IF(('Dvd Calendar'!$U$1487&gt;=MIN(DATE(Summary!$C$12,1,1),Summary!$C$11))*('Dvd Calendar'!$U$1487&lt;=MAX(DATE(Summary!$C$12,12,31),Summary!$C$15))*('Dvd Calendar'!$U$1487&gt;Summary!$C$11)=0,"",'Dvd Calendar'!$U$1487*1000000000+ISNUMBER('Dvd Calendar'!$U$1488)*100000000+('Dvd Calendar'!$U$1492='Field Check'!$C$25)*10000000+(N('Dvd Calendar'!$U$1486)&gt;0)*1000000+99*1000+57))</f>
        <v/>
      </c>
      <c r="BH107" s="41">
        <f>IF(N('Dvd Calendar'!$V$1487)=0,"",IF(('Dvd Calendar'!$V$1487&gt;=MIN(DATE(Summary!$C$12,1,1),Summary!$C$11))*('Dvd Calendar'!$V$1487&lt;=MAX(DATE(Summary!$C$12,12,31),Summary!$C$15))*('Dvd Calendar'!$V$1487&gt;Summary!$C$11)=0,"",'Dvd Calendar'!$V$1487*1000000000+ISNUMBER('Dvd Calendar'!$V$1488)*100000000+('Dvd Calendar'!$V$1492='Field Check'!$C$25)*10000000+(N('Dvd Calendar'!$V$1486)&gt;0)*1000000+99*1000+58))</f>
        <v/>
      </c>
      <c r="BI107" s="41">
        <f>IF(N('Dvd Calendar'!$W$1487)=0,"",IF(('Dvd Calendar'!$W$1487&gt;=MIN(DATE(Summary!$C$12,1,1),Summary!$C$11))*('Dvd Calendar'!$W$1487&lt;=MAX(DATE(Summary!$C$12,12,31),Summary!$C$15))*('Dvd Calendar'!$W$1487&gt;Summary!$C$11)=0,"",'Dvd Calendar'!$W$1487*1000000000+ISNUMBER('Dvd Calendar'!$W$1488)*100000000+('Dvd Calendar'!$W$1492='Field Check'!$C$25)*10000000+(N('Dvd Calendar'!$W$1486)&gt;0)*1000000+99*1000+59))</f>
        <v/>
      </c>
      <c r="BJ107" s="41">
        <f>IF(N('Dvd Calendar'!$X$1487)=0,"",IF(('Dvd Calendar'!$X$1487&gt;=MIN(DATE(Summary!$C$12,1,1),Summary!$C$11))*('Dvd Calendar'!$X$1487&lt;=MAX(DATE(Summary!$C$12,12,31),Summary!$C$15))*('Dvd Calendar'!$X$1487&gt;Summary!$C$11)=0,"",'Dvd Calendar'!$X$1487*1000000000+ISNUMBER('Dvd Calendar'!$X$1488)*100000000+('Dvd Calendar'!$X$1492='Field Check'!$C$25)*10000000+(N('Dvd Calendar'!$X$1486)&gt;0)*1000000+99*1000+60))</f>
        <v/>
      </c>
      <c r="BK107" s="41">
        <f>IF(N('Dvd Calendar'!$Y$1487)=0,"",IF(('Dvd Calendar'!$Y$1487&gt;=MIN(DATE(Summary!$C$12,1,1),Summary!$C$11))*('Dvd Calendar'!$Y$1487&lt;=MAX(DATE(Summary!$C$12,12,31),Summary!$C$15))*('Dvd Calendar'!$Y$1487&gt;Summary!$C$11)=0,"",'Dvd Calendar'!$Y$1487*1000000000+ISNUMBER('Dvd Calendar'!$Y$1488)*100000000+('Dvd Calendar'!$Y$1492='Field Check'!$C$25)*10000000+(N('Dvd Calendar'!$Y$1486)&gt;0)*1000000+99*1000+61))</f>
        <v/>
      </c>
      <c r="BL107" s="41">
        <f>IF(N('Dvd Calendar'!$Z$1487)=0,"",IF(('Dvd Calendar'!$Z$1487&gt;=MIN(DATE(Summary!$C$12,1,1),Summary!$C$11))*('Dvd Calendar'!$Z$1487&lt;=MAX(DATE(Summary!$C$12,12,31),Summary!$C$15))*('Dvd Calendar'!$Z$1487&gt;Summary!$C$11)=0,"",'Dvd Calendar'!$Z$1487*1000000000+ISNUMBER('Dvd Calendar'!$Z$1488)*100000000+('Dvd Calendar'!$Z$1492='Field Check'!$C$25)*10000000+(N('Dvd Calendar'!$Z$1486)&gt;0)*1000000+99*1000+62))</f>
        <v/>
      </c>
      <c r="BM107" s="41">
        <f>IF(N('Dvd Calendar'!$AA$1487)=0,"",IF(('Dvd Calendar'!$AA$1487&gt;=MIN(DATE(Summary!$C$12,1,1),Summary!$C$11))*('Dvd Calendar'!$AA$1487&lt;=MAX(DATE(Summary!$C$12,12,31),Summary!$C$15))*('Dvd Calendar'!$AA$1487&gt;Summary!$C$11)=0,"",'Dvd Calendar'!$AA$1487*1000000000+ISNUMBER('Dvd Calendar'!$AA$1488)*100000000+('Dvd Calendar'!$AA$1492='Field Check'!$C$25)*10000000+(N('Dvd Calendar'!$AA$1486)&gt;0)*1000000+99*1000+63))</f>
        <v/>
      </c>
      <c r="BN107" s="41">
        <f>IF(N('Dvd Calendar'!$AB$1487)=0,"",IF(('Dvd Calendar'!$AB$1487&gt;=MIN(DATE(Summary!$C$12,1,1),Summary!$C$11))*('Dvd Calendar'!$AB$1487&lt;=MAX(DATE(Summary!$C$12,12,31),Summary!$C$15))*('Dvd Calendar'!$AB$1487&gt;Summary!$C$11)=0,"",'Dvd Calendar'!$AB$1487*1000000000+ISNUMBER('Dvd Calendar'!$AB$1488)*100000000+('Dvd Calendar'!$AB$1492='Field Check'!$C$25)*10000000+(N('Dvd Calendar'!$AB$1486)&gt;0)*1000000+99*1000+64))</f>
        <v/>
      </c>
      <c r="BO107" s="41">
        <f>IF(N('Dvd Calendar'!$AC$1487)=0,"",IF(('Dvd Calendar'!$AC$1487&gt;=MIN(DATE(Summary!$C$12,1,1),Summary!$C$11))*('Dvd Calendar'!$AC$1487&lt;=MAX(DATE(Summary!$C$12,12,31),Summary!$C$15))*('Dvd Calendar'!$AC$1487&gt;Summary!$C$11)=0,"",'Dvd Calendar'!$AC$1487*1000000000+ISNUMBER('Dvd Calendar'!$AC$1488)*100000000+('Dvd Calendar'!$AC$1492='Field Check'!$C$25)*10000000+(N('Dvd Calendar'!$AC$1486)&gt;0)*1000000+99*1000+65))</f>
        <v/>
      </c>
      <c r="BQ107" s="85">
        <f>IF(C107="","",IF(ISNUMBER('Dvd Calendar'!$E$1481)=FALSE,"",IF((Summary!$C$13="N")*('Dvd Calendar'!$E$1485='Field Check'!$C$25)&gt;0,"",'Dvd Calendar'!$E$1481)))</f>
        <v/>
      </c>
      <c r="BR107" s="85">
        <f>IF(D107="","",IF(ISNUMBER('Dvd Calendar'!$F$1481)=FALSE,"",IF((Summary!$C$13="N")*('Dvd Calendar'!$F$1485='Field Check'!$C$25)&gt;0,"",'Dvd Calendar'!$F$1481)))</f>
        <v/>
      </c>
      <c r="BS107" s="85">
        <f>IF(E107="","",IF(ISNUMBER('Dvd Calendar'!$G$1481)=FALSE,"",IF((Summary!$C$13="N")*('Dvd Calendar'!$G$1485='Field Check'!$C$25)&gt;0,"",'Dvd Calendar'!$G$1481)))</f>
        <v/>
      </c>
      <c r="BT107" s="85">
        <f>IF(F107="","",IF(ISNUMBER('Dvd Calendar'!$H$1481)=FALSE,"",IF((Summary!$C$13="N")*('Dvd Calendar'!$H$1485='Field Check'!$C$25)&gt;0,"",'Dvd Calendar'!$H$1481)))</f>
        <v/>
      </c>
      <c r="BU107" s="85">
        <f>IF(G107="","",IF(ISNUMBER('Dvd Calendar'!$I$1481)=FALSE,"",IF((Summary!$C$13="N")*('Dvd Calendar'!$I$1485='Field Check'!$C$25)&gt;0,"",'Dvd Calendar'!$I$1481)))</f>
        <v/>
      </c>
      <c r="BV107" s="85">
        <f>IF(H107="","",IF(ISNUMBER('Dvd Calendar'!$J$1481)=FALSE,"",IF((Summary!$C$13="N")*('Dvd Calendar'!$J$1485='Field Check'!$C$25)&gt;0,"",'Dvd Calendar'!$J$1481)))</f>
        <v/>
      </c>
      <c r="BW107" s="85">
        <f>IF(I107="","",IF(ISNUMBER('Dvd Calendar'!$K$1481)=FALSE,"",IF((Summary!$C$13="N")*('Dvd Calendar'!$K$1485='Field Check'!$C$25)&gt;0,"",'Dvd Calendar'!$K$1481)))</f>
        <v/>
      </c>
      <c r="BX107" s="85">
        <f>IF(J107="","",IF(ISNUMBER('Dvd Calendar'!$L$1481)=FALSE,"",IF((Summary!$C$13="N")*('Dvd Calendar'!$L$1485='Field Check'!$C$25)&gt;0,"",'Dvd Calendar'!$L$1481)))</f>
        <v/>
      </c>
      <c r="BY107" s="85">
        <f>IF(K107="","",IF(ISNUMBER('Dvd Calendar'!$M$1481)=FALSE,"",IF((Summary!$C$13="N")*('Dvd Calendar'!$M$1485='Field Check'!$C$25)&gt;0,"",'Dvd Calendar'!$M$1481)))</f>
        <v/>
      </c>
      <c r="BZ107" s="85">
        <f>IF(L107="","",IF(ISNUMBER('Dvd Calendar'!$N$1481)=FALSE,"",IF((Summary!$C$13="N")*('Dvd Calendar'!$N$1485='Field Check'!$C$25)&gt;0,"",'Dvd Calendar'!$N$1481)))</f>
        <v/>
      </c>
      <c r="CA107" s="85">
        <f>IF(M107="","",IF(ISNUMBER('Dvd Calendar'!$O$1481)=FALSE,"",IF((Summary!$C$13="N")*('Dvd Calendar'!$O$1485='Field Check'!$C$25)&gt;0,"",'Dvd Calendar'!$O$1481)))</f>
        <v/>
      </c>
      <c r="CB107" s="85">
        <f>IF(N107="","",IF(ISNUMBER('Dvd Calendar'!$P$1481)=FALSE,"",IF((Summary!$C$13="N")*('Dvd Calendar'!$P$1485='Field Check'!$C$25)&gt;0,"",'Dvd Calendar'!$P$1481)))</f>
        <v/>
      </c>
      <c r="CC107" s="85">
        <f>IF(O107="","",IF(ISNUMBER('Dvd Calendar'!$Q$1481)=FALSE,"",IF((Summary!$C$13="N")*('Dvd Calendar'!$Q$1485='Field Check'!$C$25)&gt;0,"",'Dvd Calendar'!$Q$1481)))</f>
        <v/>
      </c>
      <c r="CD107" s="85">
        <f>IF(P107="","",IF(ISNUMBER('Dvd Calendar'!$R$1481)=FALSE,"",IF((Summary!$C$13="N")*('Dvd Calendar'!$R$1485='Field Check'!$C$25)&gt;0,"",'Dvd Calendar'!$R$1481)))</f>
        <v/>
      </c>
      <c r="CE107" s="85">
        <f>IF(Q107="","",IF(ISNUMBER('Dvd Calendar'!$S$1481)=FALSE,"",IF((Summary!$C$13="N")*('Dvd Calendar'!$S$1485='Field Check'!$C$25)&gt;0,"",'Dvd Calendar'!$S$1481)))</f>
        <v/>
      </c>
      <c r="CF107" s="85">
        <f>IF(R107="","",IF(ISNUMBER('Dvd Calendar'!$T$1481)=FALSE,"",IF((Summary!$C$13="N")*('Dvd Calendar'!$T$1485='Field Check'!$C$25)&gt;0,"",'Dvd Calendar'!$T$1481)))</f>
        <v/>
      </c>
      <c r="CG107" s="85">
        <f>IF(S107="","",IF(ISNUMBER('Dvd Calendar'!$U$1481)=FALSE,"",IF((Summary!$C$13="N")*('Dvd Calendar'!$U$1485='Field Check'!$C$25)&gt;0,"",'Dvd Calendar'!$U$1481)))</f>
        <v/>
      </c>
      <c r="CH107" s="85">
        <f>IF(T107="","",IF(ISNUMBER('Dvd Calendar'!$V$1481)=FALSE,"",IF((Summary!$C$13="N")*('Dvd Calendar'!$V$1485='Field Check'!$C$25)&gt;0,"",'Dvd Calendar'!$V$1481)))</f>
        <v/>
      </c>
      <c r="CI107" s="85">
        <f>IF(U107="","",IF(ISNUMBER('Dvd Calendar'!$W$1481)=FALSE,"",IF((Summary!$C$13="N")*('Dvd Calendar'!$W$1485='Field Check'!$C$25)&gt;0,"",'Dvd Calendar'!$W$1481)))</f>
        <v/>
      </c>
      <c r="CJ107" s="85">
        <f>IF(V107="","",IF(ISNUMBER('Dvd Calendar'!$X$1481)=FALSE,"",IF((Summary!$C$13="N")*('Dvd Calendar'!$X$1485='Field Check'!$C$25)&gt;0,"",'Dvd Calendar'!$X$1481)))</f>
        <v/>
      </c>
      <c r="CK107" s="85">
        <f>IF(W107="","",IF(ISNUMBER('Dvd Calendar'!$Y$1481)=FALSE,"",IF((Summary!$C$13="N")*('Dvd Calendar'!$Y$1485='Field Check'!$C$25)&gt;0,"",'Dvd Calendar'!$Y$1481)))</f>
        <v/>
      </c>
      <c r="CL107" s="85">
        <f>IF(X107="","",IF(ISNUMBER('Dvd Calendar'!$Z$1481)=FALSE,"",IF((Summary!$C$13="N")*('Dvd Calendar'!$Z$1485='Field Check'!$C$25)&gt;0,"",'Dvd Calendar'!$Z$1481)))</f>
        <v/>
      </c>
      <c r="CM107" s="85">
        <f>IF(Y107="","",IF(ISNUMBER('Dvd Calendar'!$AA$1481)=FALSE,"",IF((Summary!$C$13="N")*('Dvd Calendar'!$AA$1485='Field Check'!$C$25)&gt;0,"",'Dvd Calendar'!$AA$1481)))</f>
        <v/>
      </c>
      <c r="CN107" s="85">
        <f>IF(Z107="","",IF(ISNUMBER('Dvd Calendar'!$AB$1481)=FALSE,"",IF((Summary!$C$13="N")*('Dvd Calendar'!$AB$1485='Field Check'!$C$25)&gt;0,"",'Dvd Calendar'!$AB$1481)))</f>
        <v/>
      </c>
      <c r="CO107" s="85">
        <f>IF(AA107="","",IF(ISNUMBER('Dvd Calendar'!$AC$1481)=FALSE,"",IF((Summary!$C$13="N")*('Dvd Calendar'!$AC$1485='Field Check'!$C$25)&gt;0,"",'Dvd Calendar'!$AC$1481)))</f>
        <v/>
      </c>
      <c r="CP107" s="85">
        <f>IF(AB107="","",IF(ISNUMBER('Dvd Calendar'!$AD$1481)=FALSE,"",IF((Summary!$C$13="N")*('Dvd Calendar'!$AD$1485='Field Check'!$C$25)&gt;0,"",'Dvd Calendar'!$AD$1481)))</f>
        <v/>
      </c>
      <c r="CQ107" s="85">
        <f>IF(AC107="","",IF(ISNUMBER('Dvd Calendar'!$AE$1481)=FALSE,"",IF((Summary!$C$13="N")*('Dvd Calendar'!$AE$1485='Field Check'!$C$25)&gt;0,"",'Dvd Calendar'!$AE$1481)))</f>
        <v/>
      </c>
      <c r="CR107" s="85">
        <f>IF(AD107="","",IF(ISNUMBER('Dvd Calendar'!$AF$1481)=FALSE,"",IF((Summary!$C$13="N")*('Dvd Calendar'!$AF$1485='Field Check'!$C$25)&gt;0,"",'Dvd Calendar'!$AF$1481)))</f>
        <v/>
      </c>
      <c r="CS107" s="85">
        <f>IF(AE107="","",IF(ISNUMBER('Dvd Calendar'!$AG$1481)=FALSE,"",IF((Summary!$C$13="N")*('Dvd Calendar'!$AG$1485='Field Check'!$C$25)&gt;0,"",'Dvd Calendar'!$AG$1481)))</f>
        <v/>
      </c>
      <c r="CT107" s="85">
        <f>IF(AF107="","",IF(ISNUMBER('Dvd Calendar'!$AH$1481)=FALSE,"",IF((Summary!$C$13="N")*('Dvd Calendar'!$AH$1485='Field Check'!$C$25)&gt;0,"",'Dvd Calendar'!$AH$1481)))</f>
        <v/>
      </c>
      <c r="CU107" s="85">
        <f>IF(AG107="","",IF(ISNUMBER('Dvd Calendar'!$AI$1481)=FALSE,"",IF((Summary!$C$13="N")*('Dvd Calendar'!$AI$1485='Field Check'!$C$25)&gt;0,"",'Dvd Calendar'!$AI$1481)))</f>
        <v/>
      </c>
      <c r="CV107" s="85">
        <f>IF(AH107="","",IF(ISNUMBER('Dvd Calendar'!$AJ$1481)=FALSE,"",IF((Summary!$C$13="N")*('Dvd Calendar'!$AJ$1485='Field Check'!$C$25)&gt;0,"",'Dvd Calendar'!$AJ$1481)))</f>
        <v/>
      </c>
      <c r="CW107" s="85">
        <f>IF(AI107="","",IF(ISNUMBER('Dvd Calendar'!$AK$1481)=FALSE,"",IF((Summary!$C$13="N")*('Dvd Calendar'!$AK$1485='Field Check'!$C$25)&gt;0,"",'Dvd Calendar'!$AK$1481)))</f>
        <v/>
      </c>
      <c r="CX107" s="85">
        <f>IF(AJ107="","",IF(ISNUMBER('Dvd Calendar'!$AL$1481)=FALSE,"",IF((Summary!$C$13="N")*('Dvd Calendar'!$AL$1485='Field Check'!$C$25)&gt;0,"",'Dvd Calendar'!$AL$1481)))</f>
        <v/>
      </c>
      <c r="CY107" s="85">
        <f>IF(AK107="","",IF(ISNUMBER('Dvd Calendar'!$AM$1481)=FALSE,"",IF((Summary!$C$13="N")*('Dvd Calendar'!$AM$1485='Field Check'!$C$25)&gt;0,"",'Dvd Calendar'!$AM$1481)))</f>
        <v/>
      </c>
      <c r="CZ107" s="85">
        <f>IF(AL107="","",IF(ISNUMBER('Dvd Calendar'!$AN$1481)=FALSE,"",IF((Summary!$C$13="N")*('Dvd Calendar'!$AN$1485='Field Check'!$C$25)&gt;0,"",'Dvd Calendar'!$AN$1481)))</f>
        <v/>
      </c>
      <c r="DA107" s="85">
        <f>IF(AM107="","",IF(ISNUMBER('Dvd Calendar'!$AO$1481)=FALSE,"",IF((Summary!$C$13="N")*('Dvd Calendar'!$AO$1485='Field Check'!$C$25)&gt;0,"",'Dvd Calendar'!$AO$1481)))</f>
        <v/>
      </c>
      <c r="DB107" s="85">
        <f>IF(AN107="","",IF(ISNUMBER('Dvd Calendar'!$AP$1481)=FALSE,"",IF((Summary!$C$13="N")*('Dvd Calendar'!$AP$1485='Field Check'!$C$25)&gt;0,"",'Dvd Calendar'!$AP$1481)))</f>
        <v/>
      </c>
      <c r="DC107" s="85">
        <f>IF(AO107="","",IF(ISNUMBER('Dvd Calendar'!$AQ$1481)=FALSE,"",IF((Summary!$C$13="N")*('Dvd Calendar'!$AQ$1485='Field Check'!$C$25)&gt;0,"",'Dvd Calendar'!$AQ$1481)))</f>
        <v/>
      </c>
      <c r="DD107" s="85">
        <f>IF(AP107="","",IF(ISNUMBER('Dvd Calendar'!$AR$1481)=FALSE,"",IF((Summary!$C$13="N")*('Dvd Calendar'!$AR$1485='Field Check'!$C$25)&gt;0,"",'Dvd Calendar'!$AR$1481)))</f>
        <v/>
      </c>
      <c r="DE107" s="85">
        <f>IF(AQ107="","",IF(ISNUMBER('Dvd Calendar'!$E$1488)=FALSE,"",IF((Summary!$C$13="N")*('Dvd Calendar'!$E$1492='Field Check'!$C$25)&gt;0,"",'Dvd Calendar'!$E$1488)))</f>
        <v/>
      </c>
      <c r="DF107" s="85">
        <f>IF(AR107="","",IF(ISNUMBER('Dvd Calendar'!$F$1488)=FALSE,"",IF((Summary!$C$13="N")*('Dvd Calendar'!$F$1492='Field Check'!$C$25)&gt;0,"",'Dvd Calendar'!$F$1488)))</f>
        <v/>
      </c>
      <c r="DG107" s="85">
        <f>IF(AS107="","",IF(ISNUMBER('Dvd Calendar'!$G$1488)=FALSE,"",IF((Summary!$C$13="N")*('Dvd Calendar'!$G$1492='Field Check'!$C$25)&gt;0,"",'Dvd Calendar'!$G$1488)))</f>
        <v/>
      </c>
      <c r="DH107" s="85">
        <f>IF(AT107="","",IF(ISNUMBER('Dvd Calendar'!$H$1488)=FALSE,"",IF((Summary!$C$13="N")*('Dvd Calendar'!$H$1492='Field Check'!$C$25)&gt;0,"",'Dvd Calendar'!$H$1488)))</f>
        <v/>
      </c>
      <c r="DI107" s="85">
        <f>IF(AU107="","",IF(ISNUMBER('Dvd Calendar'!$I$1488)=FALSE,"",IF((Summary!$C$13="N")*('Dvd Calendar'!$I$1492='Field Check'!$C$25)&gt;0,"",'Dvd Calendar'!$I$1488)))</f>
        <v/>
      </c>
      <c r="DJ107" s="85">
        <f>IF(AV107="","",IF(ISNUMBER('Dvd Calendar'!$J$1488)=FALSE,"",IF((Summary!$C$13="N")*('Dvd Calendar'!$J$1492='Field Check'!$C$25)&gt;0,"",'Dvd Calendar'!$J$1488)))</f>
        <v/>
      </c>
      <c r="DK107" s="85">
        <f>IF(AW107="","",IF(ISNUMBER('Dvd Calendar'!$K$1488)=FALSE,"",IF((Summary!$C$13="N")*('Dvd Calendar'!$K$1492='Field Check'!$C$25)&gt;0,"",'Dvd Calendar'!$K$1488)))</f>
        <v/>
      </c>
      <c r="DL107" s="85">
        <f>IF(AX107="","",IF(ISNUMBER('Dvd Calendar'!$L$1488)=FALSE,"",IF((Summary!$C$13="N")*('Dvd Calendar'!$L$1492='Field Check'!$C$25)&gt;0,"",'Dvd Calendar'!$L$1488)))</f>
        <v/>
      </c>
      <c r="DM107" s="85">
        <f>IF(AY107="","",IF(ISNUMBER('Dvd Calendar'!$M$1488)=FALSE,"",IF((Summary!$C$13="N")*('Dvd Calendar'!$M$1492='Field Check'!$C$25)&gt;0,"",'Dvd Calendar'!$M$1488)))</f>
        <v/>
      </c>
      <c r="DN107" s="85">
        <f>IF(AZ107="","",IF(ISNUMBER('Dvd Calendar'!$N$1488)=FALSE,"",IF((Summary!$C$13="N")*('Dvd Calendar'!$N$1492='Field Check'!$C$25)&gt;0,"",'Dvd Calendar'!$N$1488)))</f>
        <v/>
      </c>
      <c r="DO107" s="85">
        <f>IF(BA107="","",IF(ISNUMBER('Dvd Calendar'!$O$1488)=FALSE,"",IF((Summary!$C$13="N")*('Dvd Calendar'!$O$1492='Field Check'!$C$25)&gt;0,"",'Dvd Calendar'!$O$1488)))</f>
        <v/>
      </c>
      <c r="DP107" s="85">
        <f>IF(BB107="","",IF(ISNUMBER('Dvd Calendar'!$P$1488)=FALSE,"",IF((Summary!$C$13="N")*('Dvd Calendar'!$P$1492='Field Check'!$C$25)&gt;0,"",'Dvd Calendar'!$P$1488)))</f>
        <v/>
      </c>
      <c r="DQ107" s="85">
        <f>IF(BC107="","",IF(ISNUMBER('Dvd Calendar'!$Q$1488)=FALSE,"",IF((Summary!$C$13="N")*('Dvd Calendar'!$Q$1492='Field Check'!$C$25)&gt;0,"",'Dvd Calendar'!$Q$1488)))</f>
        <v/>
      </c>
      <c r="DR107" s="85">
        <f>IF(BD107="","",IF(ISNUMBER('Dvd Calendar'!$R$1488)=FALSE,"",IF((Summary!$C$13="N")*('Dvd Calendar'!$R$1492='Field Check'!$C$25)&gt;0,"",'Dvd Calendar'!$R$1488)))</f>
        <v/>
      </c>
      <c r="DS107" s="85">
        <f>IF(BE107="","",IF(ISNUMBER('Dvd Calendar'!$S$1488)=FALSE,"",IF((Summary!$C$13="N")*('Dvd Calendar'!$S$1492='Field Check'!$C$25)&gt;0,"",'Dvd Calendar'!$S$1488)))</f>
        <v/>
      </c>
      <c r="DT107" s="85">
        <f>IF(BF107="","",IF(ISNUMBER('Dvd Calendar'!$T$1488)=FALSE,"",IF((Summary!$C$13="N")*('Dvd Calendar'!$T$1492='Field Check'!$C$25)&gt;0,"",'Dvd Calendar'!$T$1488)))</f>
        <v/>
      </c>
      <c r="DU107" s="85">
        <f>IF(BG107="","",IF(ISNUMBER('Dvd Calendar'!$U$1488)=FALSE,"",IF((Summary!$C$13="N")*('Dvd Calendar'!$U$1492='Field Check'!$C$25)&gt;0,"",'Dvd Calendar'!$U$1488)))</f>
        <v/>
      </c>
      <c r="DV107" s="85">
        <f>IF(BH107="","",IF(ISNUMBER('Dvd Calendar'!$V$1488)=FALSE,"",IF((Summary!$C$13="N")*('Dvd Calendar'!$V$1492='Field Check'!$C$25)&gt;0,"",'Dvd Calendar'!$V$1488)))</f>
        <v/>
      </c>
      <c r="DW107" s="85">
        <f>IF(BI107="","",IF(ISNUMBER('Dvd Calendar'!$W$1488)=FALSE,"",IF((Summary!$C$13="N")*('Dvd Calendar'!$W$1492='Field Check'!$C$25)&gt;0,"",'Dvd Calendar'!$W$1488)))</f>
        <v/>
      </c>
      <c r="DX107" s="85">
        <f>IF(BJ107="","",IF(ISNUMBER('Dvd Calendar'!$X$1488)=FALSE,"",IF((Summary!$C$13="N")*('Dvd Calendar'!$X$1492='Field Check'!$C$25)&gt;0,"",'Dvd Calendar'!$X$1488)))</f>
        <v/>
      </c>
      <c r="DY107" s="85">
        <f>IF(BK107="","",IF(ISNUMBER('Dvd Calendar'!$Y$1488)=FALSE,"",IF((Summary!$C$13="N")*('Dvd Calendar'!$Y$1492='Field Check'!$C$25)&gt;0,"",'Dvd Calendar'!$Y$1488)))</f>
        <v/>
      </c>
      <c r="DZ107" s="85">
        <f>IF(BL107="","",IF(ISNUMBER('Dvd Calendar'!$Z$1488)=FALSE,"",IF((Summary!$C$13="N")*('Dvd Calendar'!$Z$1492='Field Check'!$C$25)&gt;0,"",'Dvd Calendar'!$Z$1488)))</f>
        <v/>
      </c>
      <c r="EA107" s="85">
        <f>IF(BM107="","",IF(ISNUMBER('Dvd Calendar'!$AA$1488)=FALSE,"",IF((Summary!$C$13="N")*('Dvd Calendar'!$AA$1492='Field Check'!$C$25)&gt;0,"",'Dvd Calendar'!$AA$1488)))</f>
        <v/>
      </c>
      <c r="EB107" s="85">
        <f>IF(BN107="","",IF(ISNUMBER('Dvd Calendar'!$AB$1488)=FALSE,"",IF((Summary!$C$13="N")*('Dvd Calendar'!$AB$1492='Field Check'!$C$25)&gt;0,"",'Dvd Calendar'!$AB$1488)))</f>
        <v/>
      </c>
      <c r="EC107" s="85">
        <f>IF(BO107="","",IF(ISNUMBER('Dvd Calendar'!$AC$1488)=FALSE,"",IF((Summary!$C$13="N")*('Dvd Calendar'!$AC$1492='Field Check'!$C$25)&gt;0,"",'Dvd Calendar'!$AC$1488)))</f>
        <v/>
      </c>
      <c r="EE107" s="85">
        <f>IF(BQ107="","",IFERROR(BQ107*HSI!$B$105*HSI!$G$105/HSI!$B$3,""))</f>
        <v/>
      </c>
      <c r="EF107" s="85">
        <f>IF(BR107="","",IFERROR(BR107*HSI!$B$105*HSI!$G$105/HSI!$B$3,""))</f>
        <v/>
      </c>
      <c r="EG107" s="85">
        <f>IF(BS107="","",IFERROR(BS107*HSI!$B$105*HSI!$G$105/HSI!$B$3,""))</f>
        <v/>
      </c>
      <c r="EH107" s="85">
        <f>IF(BT107="","",IFERROR(BT107*HSI!$B$105*HSI!$G$105/HSI!$B$3,""))</f>
        <v/>
      </c>
      <c r="EI107" s="85">
        <f>IF(BU107="","",IFERROR(BU107*HSI!$B$105*HSI!$G$105/HSI!$B$3,""))</f>
        <v/>
      </c>
      <c r="EJ107" s="85">
        <f>IF(BV107="","",IFERROR(BV107*HSI!$B$105*HSI!$G$105/HSI!$B$3,""))</f>
        <v/>
      </c>
      <c r="EK107" s="85">
        <f>IF(BW107="","",IFERROR(BW107*HSI!$B$105*HSI!$G$105/HSI!$B$3,""))</f>
        <v/>
      </c>
      <c r="EL107" s="85">
        <f>IF(BX107="","",IFERROR(BX107*HSI!$B$105*HSI!$G$105/HSI!$B$3,""))</f>
        <v/>
      </c>
      <c r="EM107" s="85">
        <f>IF(BY107="","",IFERROR(BY107*HSI!$B$105*HSI!$G$105/HSI!$B$3,""))</f>
        <v/>
      </c>
      <c r="EN107" s="85">
        <f>IF(BZ107="","",IFERROR(BZ107*HSI!$B$105*HSI!$G$105/HSI!$B$3,""))</f>
        <v/>
      </c>
      <c r="EO107" s="85">
        <f>IF(CA107="","",IFERROR(CA107*HSI!$B$105*HSI!$G$105/HSI!$B$3,""))</f>
        <v/>
      </c>
      <c r="EP107" s="85">
        <f>IF(CB107="","",IFERROR(CB107*HSI!$B$105*HSI!$G$105/HSI!$B$3,""))</f>
        <v/>
      </c>
      <c r="EQ107" s="85">
        <f>IF(CC107="","",IFERROR(CC107*HSI!$B$105*HSI!$G$105/HSI!$B$3,""))</f>
        <v/>
      </c>
      <c r="ER107" s="85">
        <f>IF(CD107="","",IFERROR(CD107*HSI!$B$105*HSI!$G$105/HSI!$B$3,""))</f>
        <v/>
      </c>
      <c r="ES107" s="85">
        <f>IF(CE107="","",IFERROR(CE107*HSI!$B$105*HSI!$G$105/HSI!$B$3,""))</f>
        <v/>
      </c>
      <c r="ET107" s="85">
        <f>IF(CF107="","",IFERROR(CF107*HSI!$B$105*HSI!$G$105/HSI!$B$3,""))</f>
        <v/>
      </c>
      <c r="EU107" s="85">
        <f>IF(CG107="","",IFERROR(CG107*HSI!$B$105*HSI!$G$105/HSI!$B$3,""))</f>
        <v/>
      </c>
      <c r="EV107" s="85">
        <f>IF(CH107="","",IFERROR(CH107*HSI!$B$105*HSI!$G$105/HSI!$B$3,""))</f>
        <v/>
      </c>
      <c r="EW107" s="85">
        <f>IF(CI107="","",IFERROR(CI107*HSI!$B$105*HSI!$G$105/HSI!$B$3,""))</f>
        <v/>
      </c>
      <c r="EX107" s="85">
        <f>IF(CJ107="","",IFERROR(CJ107*HSI!$B$105*HSI!$G$105/HSI!$B$3,""))</f>
        <v/>
      </c>
      <c r="EY107" s="85">
        <f>IF(CK107="","",IFERROR(CK107*HSI!$B$105*HSI!$G$105/HSI!$B$3,""))</f>
        <v/>
      </c>
      <c r="EZ107" s="85">
        <f>IF(CL107="","",IFERROR(CL107*HSI!$B$105*HSI!$G$105/HSI!$B$3,""))</f>
        <v/>
      </c>
      <c r="FA107" s="85">
        <f>IF(CM107="","",IFERROR(CM107*HSI!$B$105*HSI!$G$105/HSI!$B$3,""))</f>
        <v/>
      </c>
      <c r="FB107" s="85">
        <f>IF(CN107="","",IFERROR(CN107*HSI!$B$105*HSI!$G$105/HSI!$B$3,""))</f>
        <v/>
      </c>
      <c r="FC107" s="85">
        <f>IF(CO107="","",IFERROR(CO107*HSI!$B$105*HSI!$G$105/HSI!$B$3,""))</f>
        <v/>
      </c>
      <c r="FD107" s="85">
        <f>IF(CP107="","",IFERROR(CP107*HSI!$B$105*HSI!$G$105/HSI!$B$3,""))</f>
        <v/>
      </c>
      <c r="FE107" s="85">
        <f>IF(CQ107="","",IFERROR(CQ107*HSI!$B$105*HSI!$G$105/HSI!$B$3,""))</f>
        <v/>
      </c>
      <c r="FF107" s="85">
        <f>IF(CR107="","",IFERROR(CR107*HSI!$B$105*HSI!$G$105/HSI!$B$3,""))</f>
        <v/>
      </c>
      <c r="FG107" s="85">
        <f>IF(CS107="","",IFERROR(CS107*HSI!$B$105*HSI!$G$105/HSI!$B$3,""))</f>
        <v/>
      </c>
      <c r="FH107" s="85">
        <f>IF(CT107="","",IFERROR(CT107*HSI!$B$105*HSI!$G$105/HSI!$B$3,""))</f>
        <v/>
      </c>
      <c r="FI107" s="85">
        <f>IF(CU107="","",IFERROR(CU107*HSI!$B$105*HSI!$G$105/HSI!$B$3,""))</f>
        <v/>
      </c>
      <c r="FJ107" s="85">
        <f>IF(CV107="","",IFERROR(CV107*HSI!$B$105*HSI!$G$105/HSI!$B$3,""))</f>
        <v/>
      </c>
      <c r="FK107" s="85">
        <f>IF(CW107="","",IFERROR(CW107*HSI!$B$105*HSI!$G$105/HSI!$B$3,""))</f>
        <v/>
      </c>
      <c r="FL107" s="85">
        <f>IF(CX107="","",IFERROR(CX107*HSI!$B$105*HSI!$G$105/HSI!$B$3,""))</f>
        <v/>
      </c>
      <c r="FM107" s="85">
        <f>IF(CY107="","",IFERROR(CY107*HSI!$B$105*HSI!$G$105/HSI!$B$3,""))</f>
        <v/>
      </c>
      <c r="FN107" s="85">
        <f>IF(CZ107="","",IFERROR(CZ107*HSI!$B$105*HSI!$G$105/HSI!$B$3,""))</f>
        <v/>
      </c>
      <c r="FO107" s="85">
        <f>IF(DA107="","",IFERROR(DA107*HSI!$B$105*HSI!$G$105/HSI!$B$3,""))</f>
        <v/>
      </c>
      <c r="FP107" s="85">
        <f>IF(DB107="","",IFERROR(DB107*HSI!$B$105*HSI!$G$105/HSI!$B$3,""))</f>
        <v/>
      </c>
      <c r="FQ107" s="85">
        <f>IF(DC107="","",IFERROR(DC107*HSI!$B$105*HSI!$G$105/HSI!$B$3,""))</f>
        <v/>
      </c>
      <c r="FR107" s="85">
        <f>IF(DD107="","",IFERROR(DD107*HSI!$B$105*HSI!$G$105/HSI!$B$3,""))</f>
        <v/>
      </c>
      <c r="FS107" s="85">
        <f>IF(DE107="","",IFERROR(DE107*HSI!$B$105*HSI!$G$105/HSI!$B$3,""))</f>
        <v/>
      </c>
      <c r="FT107" s="85">
        <f>IF(DF107="","",IFERROR(DF107*HSI!$B$105*HSI!$G$105/HSI!$B$3,""))</f>
        <v/>
      </c>
      <c r="FU107" s="85">
        <f>IF(DG107="","",IFERROR(DG107*HSI!$B$105*HSI!$G$105/HSI!$B$3,""))</f>
        <v/>
      </c>
      <c r="FV107" s="85">
        <f>IF(DH107="","",IFERROR(DH107*HSI!$B$105*HSI!$G$105/HSI!$B$3,""))</f>
        <v/>
      </c>
      <c r="FW107" s="85">
        <f>IF(DI107="","",IFERROR(DI107*HSI!$B$105*HSI!$G$105/HSI!$B$3,""))</f>
        <v/>
      </c>
      <c r="FX107" s="85">
        <f>IF(DJ107="","",IFERROR(DJ107*HSI!$B$105*HSI!$G$105/HSI!$B$3,""))</f>
        <v/>
      </c>
      <c r="FY107" s="85">
        <f>IF(DK107="","",IFERROR(DK107*HSI!$B$105*HSI!$G$105/HSI!$B$3,""))</f>
        <v/>
      </c>
      <c r="FZ107" s="85">
        <f>IF(DL107="","",IFERROR(DL107*HSI!$B$105*HSI!$G$105/HSI!$B$3,""))</f>
        <v/>
      </c>
      <c r="GA107" s="85">
        <f>IF(DM107="","",IFERROR(DM107*HSI!$B$105*HSI!$G$105/HSI!$B$3,""))</f>
        <v/>
      </c>
      <c r="GB107" s="85">
        <f>IF(DN107="","",IFERROR(DN107*HSI!$B$105*HSI!$G$105/HSI!$B$3,""))</f>
        <v/>
      </c>
      <c r="GC107" s="85">
        <f>IF(DO107="","",IFERROR(DO107*HSI!$B$105*HSI!$G$105/HSI!$B$3,""))</f>
        <v/>
      </c>
      <c r="GD107" s="85">
        <f>IF(DP107="","",IFERROR(DP107*HSI!$B$105*HSI!$G$105/HSI!$B$3,""))</f>
        <v/>
      </c>
      <c r="GE107" s="85">
        <f>IF(DQ107="","",IFERROR(DQ107*HSI!$B$105*HSI!$G$105/HSI!$B$3,""))</f>
        <v/>
      </c>
      <c r="GF107" s="85">
        <f>IF(DR107="","",IFERROR(DR107*HSI!$B$105*HSI!$G$105/HSI!$B$3,""))</f>
        <v/>
      </c>
      <c r="GG107" s="85">
        <f>IF(DS107="","",IFERROR(DS107*HSI!$B$105*HSI!$G$105/HSI!$B$3,""))</f>
        <v/>
      </c>
      <c r="GH107" s="85">
        <f>IF(DT107="","",IFERROR(DT107*HSI!$B$105*HSI!$G$105/HSI!$B$3,""))</f>
        <v/>
      </c>
      <c r="GI107" s="85">
        <f>IF(DU107="","",IFERROR(DU107*HSI!$B$105*HSI!$G$105/HSI!$B$3,""))</f>
        <v/>
      </c>
      <c r="GJ107" s="85">
        <f>IF(DV107="","",IFERROR(DV107*HSI!$B$105*HSI!$G$105/HSI!$B$3,""))</f>
        <v/>
      </c>
      <c r="GK107" s="85">
        <f>IF(DW107="","",IFERROR(DW107*HSI!$B$105*HSI!$G$105/HSI!$B$3,""))</f>
        <v/>
      </c>
      <c r="GL107" s="85">
        <f>IF(DX107="","",IFERROR(DX107*HSI!$B$105*HSI!$G$105/HSI!$B$3,""))</f>
        <v/>
      </c>
      <c r="GM107" s="85">
        <f>IF(DY107="","",IFERROR(DY107*HSI!$B$105*HSI!$G$105/HSI!$B$3,""))</f>
        <v/>
      </c>
      <c r="GN107" s="85">
        <f>IF(DZ107="","",IFERROR(DZ107*HSI!$B$105*HSI!$G$105/HSI!$B$3,""))</f>
        <v/>
      </c>
      <c r="GO107" s="85">
        <f>IF(EA107="","",IFERROR(EA107*HSI!$B$105*HSI!$G$105/HSI!$B$3,""))</f>
        <v/>
      </c>
      <c r="GP107" s="85">
        <f>IF(EB107="","",IFERROR(EB107*HSI!$B$105*HSI!$G$105/HSI!$B$3,""))</f>
        <v/>
      </c>
      <c r="GQ107" s="85">
        <f>IF(EC107="","",IFERROR(EC107*HSI!$B$105*HSI!$G$105/HSI!$B$3,""))</f>
        <v/>
      </c>
    </row>
    <row r="108">
      <c r="B108" s="2">
        <f>IF(HSI!$C$106="","",HSI!$C$106)</f>
        <v/>
      </c>
      <c r="C108" s="41">
        <f>IF(N('Dvd Calendar'!$E$1495)=0,"",IF(('Dvd Calendar'!$E$1495&gt;=MIN(DATE(Summary!$C$12,1,1),Summary!$C$11))*('Dvd Calendar'!$E$1495&lt;=MAX(DATE(Summary!$C$12,12,31),Summary!$C$15))*('Dvd Calendar'!$E$1495&lt;=Summary!$C$11)=0,"",'Dvd Calendar'!$E$1495*1000000000+ISNUMBER('Dvd Calendar'!$E$1496)*100000000+('Dvd Calendar'!$E$1500='Field Check'!$C$25)*10000000+(N('Dvd Calendar'!$E$1494)&gt;0)*1000000+100*1000+1))</f>
        <v/>
      </c>
      <c r="D108" s="41">
        <f>IF(N('Dvd Calendar'!$F$1495)=0,"",IF(('Dvd Calendar'!$F$1495&gt;=MIN(DATE(Summary!$C$12,1,1),Summary!$C$11))*('Dvd Calendar'!$F$1495&lt;=MAX(DATE(Summary!$C$12,12,31),Summary!$C$15))*('Dvd Calendar'!$F$1495&lt;=Summary!$C$11)=0,"",'Dvd Calendar'!$F$1495*1000000000+ISNUMBER('Dvd Calendar'!$F$1496)*100000000+('Dvd Calendar'!$F$1500='Field Check'!$C$25)*10000000+(N('Dvd Calendar'!$F$1494)&gt;0)*1000000+100*1000+2))</f>
        <v/>
      </c>
      <c r="E108" s="41">
        <f>IF(N('Dvd Calendar'!$G$1495)=0,"",IF(('Dvd Calendar'!$G$1495&gt;=MIN(DATE(Summary!$C$12,1,1),Summary!$C$11))*('Dvd Calendar'!$G$1495&lt;=MAX(DATE(Summary!$C$12,12,31),Summary!$C$15))*('Dvd Calendar'!$G$1495&lt;=Summary!$C$11)=0,"",'Dvd Calendar'!$G$1495*1000000000+ISNUMBER('Dvd Calendar'!$G$1496)*100000000+('Dvd Calendar'!$G$1500='Field Check'!$C$25)*10000000+(N('Dvd Calendar'!$G$1494)&gt;0)*1000000+100*1000+3))</f>
        <v/>
      </c>
      <c r="F108" s="41">
        <f>IF(N('Dvd Calendar'!$H$1495)=0,"",IF(('Dvd Calendar'!$H$1495&gt;=MIN(DATE(Summary!$C$12,1,1),Summary!$C$11))*('Dvd Calendar'!$H$1495&lt;=MAX(DATE(Summary!$C$12,12,31),Summary!$C$15))*('Dvd Calendar'!$H$1495&lt;=Summary!$C$11)=0,"",'Dvd Calendar'!$H$1495*1000000000+ISNUMBER('Dvd Calendar'!$H$1496)*100000000+('Dvd Calendar'!$H$1500='Field Check'!$C$25)*10000000+(N('Dvd Calendar'!$H$1494)&gt;0)*1000000+100*1000+4))</f>
        <v/>
      </c>
      <c r="G108" s="41">
        <f>IF(N('Dvd Calendar'!$I$1495)=0,"",IF(('Dvd Calendar'!$I$1495&gt;=MIN(DATE(Summary!$C$12,1,1),Summary!$C$11))*('Dvd Calendar'!$I$1495&lt;=MAX(DATE(Summary!$C$12,12,31),Summary!$C$15))*('Dvd Calendar'!$I$1495&lt;=Summary!$C$11)=0,"",'Dvd Calendar'!$I$1495*1000000000+ISNUMBER('Dvd Calendar'!$I$1496)*100000000+('Dvd Calendar'!$I$1500='Field Check'!$C$25)*10000000+(N('Dvd Calendar'!$I$1494)&gt;0)*1000000+100*1000+5))</f>
        <v/>
      </c>
      <c r="H108" s="41">
        <f>IF(N('Dvd Calendar'!$J$1495)=0,"",IF(('Dvd Calendar'!$J$1495&gt;=MIN(DATE(Summary!$C$12,1,1),Summary!$C$11))*('Dvd Calendar'!$J$1495&lt;=MAX(DATE(Summary!$C$12,12,31),Summary!$C$15))*('Dvd Calendar'!$J$1495&lt;=Summary!$C$11)=0,"",'Dvd Calendar'!$J$1495*1000000000+ISNUMBER('Dvd Calendar'!$J$1496)*100000000+('Dvd Calendar'!$J$1500='Field Check'!$C$25)*10000000+(N('Dvd Calendar'!$J$1494)&gt;0)*1000000+100*1000+6))</f>
        <v/>
      </c>
      <c r="I108" s="41">
        <f>IF(N('Dvd Calendar'!$K$1495)=0,"",IF(('Dvd Calendar'!$K$1495&gt;=MIN(DATE(Summary!$C$12,1,1),Summary!$C$11))*('Dvd Calendar'!$K$1495&lt;=MAX(DATE(Summary!$C$12,12,31),Summary!$C$15))*('Dvd Calendar'!$K$1495&lt;=Summary!$C$11)=0,"",'Dvd Calendar'!$K$1495*1000000000+ISNUMBER('Dvd Calendar'!$K$1496)*100000000+('Dvd Calendar'!$K$1500='Field Check'!$C$25)*10000000+(N('Dvd Calendar'!$K$1494)&gt;0)*1000000+100*1000+7))</f>
        <v/>
      </c>
      <c r="J108" s="41">
        <f>IF(N('Dvd Calendar'!$L$1495)=0,"",IF(('Dvd Calendar'!$L$1495&gt;=MIN(DATE(Summary!$C$12,1,1),Summary!$C$11))*('Dvd Calendar'!$L$1495&lt;=MAX(DATE(Summary!$C$12,12,31),Summary!$C$15))*('Dvd Calendar'!$L$1495&lt;=Summary!$C$11)=0,"",'Dvd Calendar'!$L$1495*1000000000+ISNUMBER('Dvd Calendar'!$L$1496)*100000000+('Dvd Calendar'!$L$1500='Field Check'!$C$25)*10000000+(N('Dvd Calendar'!$L$1494)&gt;0)*1000000+100*1000+8))</f>
        <v/>
      </c>
      <c r="K108" s="41">
        <f>IF(N('Dvd Calendar'!$M$1495)=0,"",IF(('Dvd Calendar'!$M$1495&gt;=MIN(DATE(Summary!$C$12,1,1),Summary!$C$11))*('Dvd Calendar'!$M$1495&lt;=MAX(DATE(Summary!$C$12,12,31),Summary!$C$15))*('Dvd Calendar'!$M$1495&lt;=Summary!$C$11)=0,"",'Dvd Calendar'!$M$1495*1000000000+ISNUMBER('Dvd Calendar'!$M$1496)*100000000+('Dvd Calendar'!$M$1500='Field Check'!$C$25)*10000000+(N('Dvd Calendar'!$M$1494)&gt;0)*1000000+100*1000+9))</f>
        <v/>
      </c>
      <c r="L108" s="41">
        <f>IF(N('Dvd Calendar'!$N$1495)=0,"",IF(('Dvd Calendar'!$N$1495&gt;=MIN(DATE(Summary!$C$12,1,1),Summary!$C$11))*('Dvd Calendar'!$N$1495&lt;=MAX(DATE(Summary!$C$12,12,31),Summary!$C$15))*('Dvd Calendar'!$N$1495&lt;=Summary!$C$11)=0,"",'Dvd Calendar'!$N$1495*1000000000+ISNUMBER('Dvd Calendar'!$N$1496)*100000000+('Dvd Calendar'!$N$1500='Field Check'!$C$25)*10000000+(N('Dvd Calendar'!$N$1494)&gt;0)*1000000+100*1000+10))</f>
        <v/>
      </c>
      <c r="M108" s="41">
        <f>IF(N('Dvd Calendar'!$O$1495)=0,"",IF(('Dvd Calendar'!$O$1495&gt;=MIN(DATE(Summary!$C$12,1,1),Summary!$C$11))*('Dvd Calendar'!$O$1495&lt;=MAX(DATE(Summary!$C$12,12,31),Summary!$C$15))*('Dvd Calendar'!$O$1495&lt;=Summary!$C$11)=0,"",'Dvd Calendar'!$O$1495*1000000000+ISNUMBER('Dvd Calendar'!$O$1496)*100000000+('Dvd Calendar'!$O$1500='Field Check'!$C$25)*10000000+(N('Dvd Calendar'!$O$1494)&gt;0)*1000000+100*1000+11))</f>
        <v/>
      </c>
      <c r="N108" s="41">
        <f>IF(N('Dvd Calendar'!$P$1495)=0,"",IF(('Dvd Calendar'!$P$1495&gt;=MIN(DATE(Summary!$C$12,1,1),Summary!$C$11))*('Dvd Calendar'!$P$1495&lt;=MAX(DATE(Summary!$C$12,12,31),Summary!$C$15))*('Dvd Calendar'!$P$1495&lt;=Summary!$C$11)=0,"",'Dvd Calendar'!$P$1495*1000000000+ISNUMBER('Dvd Calendar'!$P$1496)*100000000+('Dvd Calendar'!$P$1500='Field Check'!$C$25)*10000000+(N('Dvd Calendar'!$P$1494)&gt;0)*1000000+100*1000+12))</f>
        <v/>
      </c>
      <c r="O108" s="41">
        <f>IF(N('Dvd Calendar'!$Q$1495)=0,"",IF(('Dvd Calendar'!$Q$1495&gt;=MIN(DATE(Summary!$C$12,1,1),Summary!$C$11))*('Dvd Calendar'!$Q$1495&lt;=MAX(DATE(Summary!$C$12,12,31),Summary!$C$15))*('Dvd Calendar'!$Q$1495&lt;=Summary!$C$11)=0,"",'Dvd Calendar'!$Q$1495*1000000000+ISNUMBER('Dvd Calendar'!$Q$1496)*100000000+('Dvd Calendar'!$Q$1500='Field Check'!$C$25)*10000000+(N('Dvd Calendar'!$Q$1494)&gt;0)*1000000+100*1000+13))</f>
        <v/>
      </c>
      <c r="P108" s="41">
        <f>IF(N('Dvd Calendar'!$R$1495)=0,"",IF(('Dvd Calendar'!$R$1495&gt;=MIN(DATE(Summary!$C$12,1,1),Summary!$C$11))*('Dvd Calendar'!$R$1495&lt;=MAX(DATE(Summary!$C$12,12,31),Summary!$C$15))*('Dvd Calendar'!$R$1495&lt;=Summary!$C$11)=0,"",'Dvd Calendar'!$R$1495*1000000000+ISNUMBER('Dvd Calendar'!$R$1496)*100000000+('Dvd Calendar'!$R$1500='Field Check'!$C$25)*10000000+(N('Dvd Calendar'!$R$1494)&gt;0)*1000000+100*1000+14))</f>
        <v/>
      </c>
      <c r="Q108" s="41">
        <f>IF(N('Dvd Calendar'!$S$1495)=0,"",IF(('Dvd Calendar'!$S$1495&gt;=MIN(DATE(Summary!$C$12,1,1),Summary!$C$11))*('Dvd Calendar'!$S$1495&lt;=MAX(DATE(Summary!$C$12,12,31),Summary!$C$15))*('Dvd Calendar'!$S$1495&lt;=Summary!$C$11)=0,"",'Dvd Calendar'!$S$1495*1000000000+ISNUMBER('Dvd Calendar'!$S$1496)*100000000+('Dvd Calendar'!$S$1500='Field Check'!$C$25)*10000000+(N('Dvd Calendar'!$S$1494)&gt;0)*1000000+100*1000+15))</f>
        <v/>
      </c>
      <c r="R108" s="41">
        <f>IF(N('Dvd Calendar'!$T$1495)=0,"",IF(('Dvd Calendar'!$T$1495&gt;=MIN(DATE(Summary!$C$12,1,1),Summary!$C$11))*('Dvd Calendar'!$T$1495&lt;=MAX(DATE(Summary!$C$12,12,31),Summary!$C$15))*('Dvd Calendar'!$T$1495&lt;=Summary!$C$11)=0,"",'Dvd Calendar'!$T$1495*1000000000+ISNUMBER('Dvd Calendar'!$T$1496)*100000000+('Dvd Calendar'!$T$1500='Field Check'!$C$25)*10000000+(N('Dvd Calendar'!$T$1494)&gt;0)*1000000+100*1000+16))</f>
        <v/>
      </c>
      <c r="S108" s="41">
        <f>IF(N('Dvd Calendar'!$U$1495)=0,"",IF(('Dvd Calendar'!$U$1495&gt;=MIN(DATE(Summary!$C$12,1,1),Summary!$C$11))*('Dvd Calendar'!$U$1495&lt;=MAX(DATE(Summary!$C$12,12,31),Summary!$C$15))*('Dvd Calendar'!$U$1495&lt;=Summary!$C$11)=0,"",'Dvd Calendar'!$U$1495*1000000000+ISNUMBER('Dvd Calendar'!$U$1496)*100000000+('Dvd Calendar'!$U$1500='Field Check'!$C$25)*10000000+(N('Dvd Calendar'!$U$1494)&gt;0)*1000000+100*1000+17))</f>
        <v/>
      </c>
      <c r="T108" s="41">
        <f>IF(N('Dvd Calendar'!$V$1495)=0,"",IF(('Dvd Calendar'!$V$1495&gt;=MIN(DATE(Summary!$C$12,1,1),Summary!$C$11))*('Dvd Calendar'!$V$1495&lt;=MAX(DATE(Summary!$C$12,12,31),Summary!$C$15))*('Dvd Calendar'!$V$1495&lt;=Summary!$C$11)=0,"",'Dvd Calendar'!$V$1495*1000000000+ISNUMBER('Dvd Calendar'!$V$1496)*100000000+('Dvd Calendar'!$V$1500='Field Check'!$C$25)*10000000+(N('Dvd Calendar'!$V$1494)&gt;0)*1000000+100*1000+18))</f>
        <v/>
      </c>
      <c r="U108" s="41">
        <f>IF(N('Dvd Calendar'!$W$1495)=0,"",IF(('Dvd Calendar'!$W$1495&gt;=MIN(DATE(Summary!$C$12,1,1),Summary!$C$11))*('Dvd Calendar'!$W$1495&lt;=MAX(DATE(Summary!$C$12,12,31),Summary!$C$15))*('Dvd Calendar'!$W$1495&lt;=Summary!$C$11)=0,"",'Dvd Calendar'!$W$1495*1000000000+ISNUMBER('Dvd Calendar'!$W$1496)*100000000+('Dvd Calendar'!$W$1500='Field Check'!$C$25)*10000000+(N('Dvd Calendar'!$W$1494)&gt;0)*1000000+100*1000+19))</f>
        <v/>
      </c>
      <c r="V108" s="41">
        <f>IF(N('Dvd Calendar'!$X$1495)=0,"",IF(('Dvd Calendar'!$X$1495&gt;=MIN(DATE(Summary!$C$12,1,1),Summary!$C$11))*('Dvd Calendar'!$X$1495&lt;=MAX(DATE(Summary!$C$12,12,31),Summary!$C$15))*('Dvd Calendar'!$X$1495&lt;=Summary!$C$11)=0,"",'Dvd Calendar'!$X$1495*1000000000+ISNUMBER('Dvd Calendar'!$X$1496)*100000000+('Dvd Calendar'!$X$1500='Field Check'!$C$25)*10000000+(N('Dvd Calendar'!$X$1494)&gt;0)*1000000+100*1000+20))</f>
        <v/>
      </c>
      <c r="W108" s="41">
        <f>IF(N('Dvd Calendar'!$Y$1495)=0,"",IF(('Dvd Calendar'!$Y$1495&gt;=MIN(DATE(Summary!$C$12,1,1),Summary!$C$11))*('Dvd Calendar'!$Y$1495&lt;=MAX(DATE(Summary!$C$12,12,31),Summary!$C$15))*('Dvd Calendar'!$Y$1495&lt;=Summary!$C$11)=0,"",'Dvd Calendar'!$Y$1495*1000000000+ISNUMBER('Dvd Calendar'!$Y$1496)*100000000+('Dvd Calendar'!$Y$1500='Field Check'!$C$25)*10000000+(N('Dvd Calendar'!$Y$1494)&gt;0)*1000000+100*1000+21))</f>
        <v/>
      </c>
      <c r="X108" s="41">
        <f>IF(N('Dvd Calendar'!$Z$1495)=0,"",IF(('Dvd Calendar'!$Z$1495&gt;=MIN(DATE(Summary!$C$12,1,1),Summary!$C$11))*('Dvd Calendar'!$Z$1495&lt;=MAX(DATE(Summary!$C$12,12,31),Summary!$C$15))*('Dvd Calendar'!$Z$1495&lt;=Summary!$C$11)=0,"",'Dvd Calendar'!$Z$1495*1000000000+ISNUMBER('Dvd Calendar'!$Z$1496)*100000000+('Dvd Calendar'!$Z$1500='Field Check'!$C$25)*10000000+(N('Dvd Calendar'!$Z$1494)&gt;0)*1000000+100*1000+22))</f>
        <v/>
      </c>
      <c r="Y108" s="41">
        <f>IF(N('Dvd Calendar'!$AA$1495)=0,"",IF(('Dvd Calendar'!$AA$1495&gt;=MIN(DATE(Summary!$C$12,1,1),Summary!$C$11))*('Dvd Calendar'!$AA$1495&lt;=MAX(DATE(Summary!$C$12,12,31),Summary!$C$15))*('Dvd Calendar'!$AA$1495&lt;=Summary!$C$11)=0,"",'Dvd Calendar'!$AA$1495*1000000000+ISNUMBER('Dvd Calendar'!$AA$1496)*100000000+('Dvd Calendar'!$AA$1500='Field Check'!$C$25)*10000000+(N('Dvd Calendar'!$AA$1494)&gt;0)*1000000+100*1000+23))</f>
        <v/>
      </c>
      <c r="Z108" s="41">
        <f>IF(N('Dvd Calendar'!$AB$1495)=0,"",IF(('Dvd Calendar'!$AB$1495&gt;=MIN(DATE(Summary!$C$12,1,1),Summary!$C$11))*('Dvd Calendar'!$AB$1495&lt;=MAX(DATE(Summary!$C$12,12,31),Summary!$C$15))*('Dvd Calendar'!$AB$1495&lt;=Summary!$C$11)=0,"",'Dvd Calendar'!$AB$1495*1000000000+ISNUMBER('Dvd Calendar'!$AB$1496)*100000000+('Dvd Calendar'!$AB$1500='Field Check'!$C$25)*10000000+(N('Dvd Calendar'!$AB$1494)&gt;0)*1000000+100*1000+24))</f>
        <v/>
      </c>
      <c r="AA108" s="41">
        <f>IF(N('Dvd Calendar'!$AC$1495)=0,"",IF(('Dvd Calendar'!$AC$1495&gt;=MIN(DATE(Summary!$C$12,1,1),Summary!$C$11))*('Dvd Calendar'!$AC$1495&lt;=MAX(DATE(Summary!$C$12,12,31),Summary!$C$15))*('Dvd Calendar'!$AC$1495&lt;=Summary!$C$11)=0,"",'Dvd Calendar'!$AC$1495*1000000000+ISNUMBER('Dvd Calendar'!$AC$1496)*100000000+('Dvd Calendar'!$AC$1500='Field Check'!$C$25)*10000000+(N('Dvd Calendar'!$AC$1494)&gt;0)*1000000+100*1000+25))</f>
        <v/>
      </c>
      <c r="AB108" s="41">
        <f>IF(N('Dvd Calendar'!$AD$1495)=0,"",IF(('Dvd Calendar'!$AD$1495&gt;=MIN(DATE(Summary!$C$12,1,1),Summary!$C$11))*('Dvd Calendar'!$AD$1495&lt;=MAX(DATE(Summary!$C$12,12,31),Summary!$C$15))*('Dvd Calendar'!$AD$1495&lt;=Summary!$C$11)=0,"",'Dvd Calendar'!$AD$1495*1000000000+ISNUMBER('Dvd Calendar'!$AD$1496)*100000000+('Dvd Calendar'!$AD$1500='Field Check'!$C$25)*10000000+(N('Dvd Calendar'!$AD$1494)&gt;0)*1000000+100*1000+26))</f>
        <v/>
      </c>
      <c r="AC108" s="41">
        <f>IF(N('Dvd Calendar'!$AE$1495)=0,"",IF(('Dvd Calendar'!$AE$1495&gt;=MIN(DATE(Summary!$C$12,1,1),Summary!$C$11))*('Dvd Calendar'!$AE$1495&lt;=MAX(DATE(Summary!$C$12,12,31),Summary!$C$15))*('Dvd Calendar'!$AE$1495&lt;=Summary!$C$11)=0,"",'Dvd Calendar'!$AE$1495*1000000000+ISNUMBER('Dvd Calendar'!$AE$1496)*100000000+('Dvd Calendar'!$AE$1500='Field Check'!$C$25)*10000000+(N('Dvd Calendar'!$AE$1494)&gt;0)*1000000+100*1000+27))</f>
        <v/>
      </c>
      <c r="AD108" s="41">
        <f>IF(N('Dvd Calendar'!$AF$1495)=0,"",IF(('Dvd Calendar'!$AF$1495&gt;=MIN(DATE(Summary!$C$12,1,1),Summary!$C$11))*('Dvd Calendar'!$AF$1495&lt;=MAX(DATE(Summary!$C$12,12,31),Summary!$C$15))*('Dvd Calendar'!$AF$1495&lt;=Summary!$C$11)=0,"",'Dvd Calendar'!$AF$1495*1000000000+ISNUMBER('Dvd Calendar'!$AF$1496)*100000000+('Dvd Calendar'!$AF$1500='Field Check'!$C$25)*10000000+(N('Dvd Calendar'!$AF$1494)&gt;0)*1000000+100*1000+28))</f>
        <v/>
      </c>
      <c r="AE108" s="41">
        <f>IF(N('Dvd Calendar'!$AG$1495)=0,"",IF(('Dvd Calendar'!$AG$1495&gt;=MIN(DATE(Summary!$C$12,1,1),Summary!$C$11))*('Dvd Calendar'!$AG$1495&lt;=MAX(DATE(Summary!$C$12,12,31),Summary!$C$15))*('Dvd Calendar'!$AG$1495&lt;=Summary!$C$11)=0,"",'Dvd Calendar'!$AG$1495*1000000000+ISNUMBER('Dvd Calendar'!$AG$1496)*100000000+('Dvd Calendar'!$AG$1500='Field Check'!$C$25)*10000000+(N('Dvd Calendar'!$AG$1494)&gt;0)*1000000+100*1000+29))</f>
        <v/>
      </c>
      <c r="AF108" s="41">
        <f>IF(N('Dvd Calendar'!$AH$1495)=0,"",IF(('Dvd Calendar'!$AH$1495&gt;=MIN(DATE(Summary!$C$12,1,1),Summary!$C$11))*('Dvd Calendar'!$AH$1495&lt;=MAX(DATE(Summary!$C$12,12,31),Summary!$C$15))*('Dvd Calendar'!$AH$1495&lt;=Summary!$C$11)=0,"",'Dvd Calendar'!$AH$1495*1000000000+ISNUMBER('Dvd Calendar'!$AH$1496)*100000000+('Dvd Calendar'!$AH$1500='Field Check'!$C$25)*10000000+(N('Dvd Calendar'!$AH$1494)&gt;0)*1000000+100*1000+30))</f>
        <v/>
      </c>
      <c r="AG108" s="41">
        <f>IF(N('Dvd Calendar'!$AI$1495)=0,"",IF(('Dvd Calendar'!$AI$1495&gt;=MIN(DATE(Summary!$C$12,1,1),Summary!$C$11))*('Dvd Calendar'!$AI$1495&lt;=MAX(DATE(Summary!$C$12,12,31),Summary!$C$15))*('Dvd Calendar'!$AI$1495&lt;=Summary!$C$11)=0,"",'Dvd Calendar'!$AI$1495*1000000000+ISNUMBER('Dvd Calendar'!$AI$1496)*100000000+('Dvd Calendar'!$AI$1500='Field Check'!$C$25)*10000000+(N('Dvd Calendar'!$AI$1494)&gt;0)*1000000+100*1000+31))</f>
        <v/>
      </c>
      <c r="AH108" s="41">
        <f>IF(N('Dvd Calendar'!$AJ$1495)=0,"",IF(('Dvd Calendar'!$AJ$1495&gt;=MIN(DATE(Summary!$C$12,1,1),Summary!$C$11))*('Dvd Calendar'!$AJ$1495&lt;=MAX(DATE(Summary!$C$12,12,31),Summary!$C$15))*('Dvd Calendar'!$AJ$1495&lt;=Summary!$C$11)=0,"",'Dvd Calendar'!$AJ$1495*1000000000+ISNUMBER('Dvd Calendar'!$AJ$1496)*100000000+('Dvd Calendar'!$AJ$1500='Field Check'!$C$25)*10000000+(N('Dvd Calendar'!$AJ$1494)&gt;0)*1000000+100*1000+32))</f>
        <v/>
      </c>
      <c r="AI108" s="41">
        <f>IF(N('Dvd Calendar'!$AK$1495)=0,"",IF(('Dvd Calendar'!$AK$1495&gt;=MIN(DATE(Summary!$C$12,1,1),Summary!$C$11))*('Dvd Calendar'!$AK$1495&lt;=MAX(DATE(Summary!$C$12,12,31),Summary!$C$15))*('Dvd Calendar'!$AK$1495&lt;=Summary!$C$11)=0,"",'Dvd Calendar'!$AK$1495*1000000000+ISNUMBER('Dvd Calendar'!$AK$1496)*100000000+('Dvd Calendar'!$AK$1500='Field Check'!$C$25)*10000000+(N('Dvd Calendar'!$AK$1494)&gt;0)*1000000+100*1000+33))</f>
        <v/>
      </c>
      <c r="AJ108" s="41">
        <f>IF(N('Dvd Calendar'!$AL$1495)=0,"",IF(('Dvd Calendar'!$AL$1495&gt;=MIN(DATE(Summary!$C$12,1,1),Summary!$C$11))*('Dvd Calendar'!$AL$1495&lt;=MAX(DATE(Summary!$C$12,12,31),Summary!$C$15))*('Dvd Calendar'!$AL$1495&lt;=Summary!$C$11)=0,"",'Dvd Calendar'!$AL$1495*1000000000+ISNUMBER('Dvd Calendar'!$AL$1496)*100000000+('Dvd Calendar'!$AL$1500='Field Check'!$C$25)*10000000+(N('Dvd Calendar'!$AL$1494)&gt;0)*1000000+100*1000+34))</f>
        <v/>
      </c>
      <c r="AK108" s="41">
        <f>IF(N('Dvd Calendar'!$AM$1495)=0,"",IF(('Dvd Calendar'!$AM$1495&gt;=MIN(DATE(Summary!$C$12,1,1),Summary!$C$11))*('Dvd Calendar'!$AM$1495&lt;=MAX(DATE(Summary!$C$12,12,31),Summary!$C$15))*('Dvd Calendar'!$AM$1495&lt;=Summary!$C$11)=0,"",'Dvd Calendar'!$AM$1495*1000000000+ISNUMBER('Dvd Calendar'!$AM$1496)*100000000+('Dvd Calendar'!$AM$1500='Field Check'!$C$25)*10000000+(N('Dvd Calendar'!$AM$1494)&gt;0)*1000000+100*1000+35))</f>
        <v/>
      </c>
      <c r="AL108" s="41">
        <f>IF(N('Dvd Calendar'!$AN$1495)=0,"",IF(('Dvd Calendar'!$AN$1495&gt;=MIN(DATE(Summary!$C$12,1,1),Summary!$C$11))*('Dvd Calendar'!$AN$1495&lt;=MAX(DATE(Summary!$C$12,12,31),Summary!$C$15))*('Dvd Calendar'!$AN$1495&lt;=Summary!$C$11)=0,"",'Dvd Calendar'!$AN$1495*1000000000+ISNUMBER('Dvd Calendar'!$AN$1496)*100000000+('Dvd Calendar'!$AN$1500='Field Check'!$C$25)*10000000+(N('Dvd Calendar'!$AN$1494)&gt;0)*1000000+100*1000+36))</f>
        <v/>
      </c>
      <c r="AM108" s="41">
        <f>IF(N('Dvd Calendar'!$AO$1495)=0,"",IF(('Dvd Calendar'!$AO$1495&gt;=MIN(DATE(Summary!$C$12,1,1),Summary!$C$11))*('Dvd Calendar'!$AO$1495&lt;=MAX(DATE(Summary!$C$12,12,31),Summary!$C$15))*('Dvd Calendar'!$AO$1495&lt;=Summary!$C$11)=0,"",'Dvd Calendar'!$AO$1495*1000000000+ISNUMBER('Dvd Calendar'!$AO$1496)*100000000+('Dvd Calendar'!$AO$1500='Field Check'!$C$25)*10000000+(N('Dvd Calendar'!$AO$1494)&gt;0)*1000000+100*1000+37))</f>
        <v/>
      </c>
      <c r="AN108" s="41">
        <f>IF(N('Dvd Calendar'!$AP$1495)=0,"",IF(('Dvd Calendar'!$AP$1495&gt;=MIN(DATE(Summary!$C$12,1,1),Summary!$C$11))*('Dvd Calendar'!$AP$1495&lt;=MAX(DATE(Summary!$C$12,12,31),Summary!$C$15))*('Dvd Calendar'!$AP$1495&lt;=Summary!$C$11)=0,"",'Dvd Calendar'!$AP$1495*1000000000+ISNUMBER('Dvd Calendar'!$AP$1496)*100000000+('Dvd Calendar'!$AP$1500='Field Check'!$C$25)*10000000+(N('Dvd Calendar'!$AP$1494)&gt;0)*1000000+100*1000+38))</f>
        <v/>
      </c>
      <c r="AO108" s="41">
        <f>IF(N('Dvd Calendar'!$AQ$1495)=0,"",IF(('Dvd Calendar'!$AQ$1495&gt;=MIN(DATE(Summary!$C$12,1,1),Summary!$C$11))*('Dvd Calendar'!$AQ$1495&lt;=MAX(DATE(Summary!$C$12,12,31),Summary!$C$15))*('Dvd Calendar'!$AQ$1495&lt;=Summary!$C$11)=0,"",'Dvd Calendar'!$AQ$1495*1000000000+ISNUMBER('Dvd Calendar'!$AQ$1496)*100000000+('Dvd Calendar'!$AQ$1500='Field Check'!$C$25)*10000000+(N('Dvd Calendar'!$AQ$1494)&gt;0)*1000000+100*1000+39))</f>
        <v/>
      </c>
      <c r="AP108" s="41">
        <f>IF(N('Dvd Calendar'!$AR$1495)=0,"",IF(('Dvd Calendar'!$AR$1495&gt;=MIN(DATE(Summary!$C$12,1,1),Summary!$C$11))*('Dvd Calendar'!$AR$1495&lt;=MAX(DATE(Summary!$C$12,12,31),Summary!$C$15))*('Dvd Calendar'!$AR$1495&lt;=Summary!$C$11)=0,"",'Dvd Calendar'!$AR$1495*1000000000+ISNUMBER('Dvd Calendar'!$AR$1496)*100000000+('Dvd Calendar'!$AR$1500='Field Check'!$C$25)*10000000+(N('Dvd Calendar'!$AR$1494)&gt;0)*1000000+100*1000+40))</f>
        <v/>
      </c>
      <c r="AQ108" s="41">
        <f>IF(N('Dvd Calendar'!$E$1502)=0,"",IF(('Dvd Calendar'!$E$1502&gt;=MIN(DATE(Summary!$C$12,1,1),Summary!$C$11))*('Dvd Calendar'!$E$1502&lt;=MAX(DATE(Summary!$C$12,12,31),Summary!$C$15))*('Dvd Calendar'!$E$1502&gt;Summary!$C$11)=0,"",'Dvd Calendar'!$E$1502*1000000000+ISNUMBER('Dvd Calendar'!$E$1503)*100000000+('Dvd Calendar'!$E$1507='Field Check'!$C$25)*10000000+(N('Dvd Calendar'!$E$1501)&gt;0)*1000000+100*1000+41))</f>
        <v/>
      </c>
      <c r="AR108" s="41">
        <f>IF(N('Dvd Calendar'!$F$1502)=0,"",IF(('Dvd Calendar'!$F$1502&gt;=MIN(DATE(Summary!$C$12,1,1),Summary!$C$11))*('Dvd Calendar'!$F$1502&lt;=MAX(DATE(Summary!$C$12,12,31),Summary!$C$15))*('Dvd Calendar'!$F$1502&gt;Summary!$C$11)=0,"",'Dvd Calendar'!$F$1502*1000000000+ISNUMBER('Dvd Calendar'!$F$1503)*100000000+('Dvd Calendar'!$F$1507='Field Check'!$C$25)*10000000+(N('Dvd Calendar'!$F$1501)&gt;0)*1000000+100*1000+42))</f>
        <v/>
      </c>
      <c r="AS108" s="41">
        <f>IF(N('Dvd Calendar'!$G$1502)=0,"",IF(('Dvd Calendar'!$G$1502&gt;=MIN(DATE(Summary!$C$12,1,1),Summary!$C$11))*('Dvd Calendar'!$G$1502&lt;=MAX(DATE(Summary!$C$12,12,31),Summary!$C$15))*('Dvd Calendar'!$G$1502&gt;Summary!$C$11)=0,"",'Dvd Calendar'!$G$1502*1000000000+ISNUMBER('Dvd Calendar'!$G$1503)*100000000+('Dvd Calendar'!$G$1507='Field Check'!$C$25)*10000000+(N('Dvd Calendar'!$G$1501)&gt;0)*1000000+100*1000+43))</f>
        <v/>
      </c>
      <c r="AT108" s="41">
        <f>IF(N('Dvd Calendar'!$H$1502)=0,"",IF(('Dvd Calendar'!$H$1502&gt;=MIN(DATE(Summary!$C$12,1,1),Summary!$C$11))*('Dvd Calendar'!$H$1502&lt;=MAX(DATE(Summary!$C$12,12,31),Summary!$C$15))*('Dvd Calendar'!$H$1502&gt;Summary!$C$11)=0,"",'Dvd Calendar'!$H$1502*1000000000+ISNUMBER('Dvd Calendar'!$H$1503)*100000000+('Dvd Calendar'!$H$1507='Field Check'!$C$25)*10000000+(N('Dvd Calendar'!$H$1501)&gt;0)*1000000+100*1000+44))</f>
        <v/>
      </c>
      <c r="AU108" s="41">
        <f>IF(N('Dvd Calendar'!$I$1502)=0,"",IF(('Dvd Calendar'!$I$1502&gt;=MIN(DATE(Summary!$C$12,1,1),Summary!$C$11))*('Dvd Calendar'!$I$1502&lt;=MAX(DATE(Summary!$C$12,12,31),Summary!$C$15))*('Dvd Calendar'!$I$1502&gt;Summary!$C$11)=0,"",'Dvd Calendar'!$I$1502*1000000000+ISNUMBER('Dvd Calendar'!$I$1503)*100000000+('Dvd Calendar'!$I$1507='Field Check'!$C$25)*10000000+(N('Dvd Calendar'!$I$1501)&gt;0)*1000000+100*1000+45))</f>
        <v/>
      </c>
      <c r="AV108" s="41">
        <f>IF(N('Dvd Calendar'!$J$1502)=0,"",IF(('Dvd Calendar'!$J$1502&gt;=MIN(DATE(Summary!$C$12,1,1),Summary!$C$11))*('Dvd Calendar'!$J$1502&lt;=MAX(DATE(Summary!$C$12,12,31),Summary!$C$15))*('Dvd Calendar'!$J$1502&gt;Summary!$C$11)=0,"",'Dvd Calendar'!$J$1502*1000000000+ISNUMBER('Dvd Calendar'!$J$1503)*100000000+('Dvd Calendar'!$J$1507='Field Check'!$C$25)*10000000+(N('Dvd Calendar'!$J$1501)&gt;0)*1000000+100*1000+46))</f>
        <v/>
      </c>
      <c r="AW108" s="41">
        <f>IF(N('Dvd Calendar'!$K$1502)=0,"",IF(('Dvd Calendar'!$K$1502&gt;=MIN(DATE(Summary!$C$12,1,1),Summary!$C$11))*('Dvd Calendar'!$K$1502&lt;=MAX(DATE(Summary!$C$12,12,31),Summary!$C$15))*('Dvd Calendar'!$K$1502&gt;Summary!$C$11)=0,"",'Dvd Calendar'!$K$1502*1000000000+ISNUMBER('Dvd Calendar'!$K$1503)*100000000+('Dvd Calendar'!$K$1507='Field Check'!$C$25)*10000000+(N('Dvd Calendar'!$K$1501)&gt;0)*1000000+100*1000+47))</f>
        <v/>
      </c>
      <c r="AX108" s="41">
        <f>IF(N('Dvd Calendar'!$L$1502)=0,"",IF(('Dvd Calendar'!$L$1502&gt;=MIN(DATE(Summary!$C$12,1,1),Summary!$C$11))*('Dvd Calendar'!$L$1502&lt;=MAX(DATE(Summary!$C$12,12,31),Summary!$C$15))*('Dvd Calendar'!$L$1502&gt;Summary!$C$11)=0,"",'Dvd Calendar'!$L$1502*1000000000+ISNUMBER('Dvd Calendar'!$L$1503)*100000000+('Dvd Calendar'!$L$1507='Field Check'!$C$25)*10000000+(N('Dvd Calendar'!$L$1501)&gt;0)*1000000+100*1000+48))</f>
        <v/>
      </c>
      <c r="AY108" s="41">
        <f>IF(N('Dvd Calendar'!$M$1502)=0,"",IF(('Dvd Calendar'!$M$1502&gt;=MIN(DATE(Summary!$C$12,1,1),Summary!$C$11))*('Dvd Calendar'!$M$1502&lt;=MAX(DATE(Summary!$C$12,12,31),Summary!$C$15))*('Dvd Calendar'!$M$1502&gt;Summary!$C$11)=0,"",'Dvd Calendar'!$M$1502*1000000000+ISNUMBER('Dvd Calendar'!$M$1503)*100000000+('Dvd Calendar'!$M$1507='Field Check'!$C$25)*10000000+(N('Dvd Calendar'!$M$1501)&gt;0)*1000000+100*1000+49))</f>
        <v/>
      </c>
      <c r="AZ108" s="41">
        <f>IF(N('Dvd Calendar'!$N$1502)=0,"",IF(('Dvd Calendar'!$N$1502&gt;=MIN(DATE(Summary!$C$12,1,1),Summary!$C$11))*('Dvd Calendar'!$N$1502&lt;=MAX(DATE(Summary!$C$12,12,31),Summary!$C$15))*('Dvd Calendar'!$N$1502&gt;Summary!$C$11)=0,"",'Dvd Calendar'!$N$1502*1000000000+ISNUMBER('Dvd Calendar'!$N$1503)*100000000+('Dvd Calendar'!$N$1507='Field Check'!$C$25)*10000000+(N('Dvd Calendar'!$N$1501)&gt;0)*1000000+100*1000+50))</f>
        <v/>
      </c>
      <c r="BA108" s="41">
        <f>IF(N('Dvd Calendar'!$O$1502)=0,"",IF(('Dvd Calendar'!$O$1502&gt;=MIN(DATE(Summary!$C$12,1,1),Summary!$C$11))*('Dvd Calendar'!$O$1502&lt;=MAX(DATE(Summary!$C$12,12,31),Summary!$C$15))*('Dvd Calendar'!$O$1502&gt;Summary!$C$11)=0,"",'Dvd Calendar'!$O$1502*1000000000+ISNUMBER('Dvd Calendar'!$O$1503)*100000000+('Dvd Calendar'!$O$1507='Field Check'!$C$25)*10000000+(N('Dvd Calendar'!$O$1501)&gt;0)*1000000+100*1000+51))</f>
        <v/>
      </c>
      <c r="BB108" s="41">
        <f>IF(N('Dvd Calendar'!$P$1502)=0,"",IF(('Dvd Calendar'!$P$1502&gt;=MIN(DATE(Summary!$C$12,1,1),Summary!$C$11))*('Dvd Calendar'!$P$1502&lt;=MAX(DATE(Summary!$C$12,12,31),Summary!$C$15))*('Dvd Calendar'!$P$1502&gt;Summary!$C$11)=0,"",'Dvd Calendar'!$P$1502*1000000000+ISNUMBER('Dvd Calendar'!$P$1503)*100000000+('Dvd Calendar'!$P$1507='Field Check'!$C$25)*10000000+(N('Dvd Calendar'!$P$1501)&gt;0)*1000000+100*1000+52))</f>
        <v/>
      </c>
      <c r="BC108" s="41">
        <f>IF(N('Dvd Calendar'!$Q$1502)=0,"",IF(('Dvd Calendar'!$Q$1502&gt;=MIN(DATE(Summary!$C$12,1,1),Summary!$C$11))*('Dvd Calendar'!$Q$1502&lt;=MAX(DATE(Summary!$C$12,12,31),Summary!$C$15))*('Dvd Calendar'!$Q$1502&gt;Summary!$C$11)=0,"",'Dvd Calendar'!$Q$1502*1000000000+ISNUMBER('Dvd Calendar'!$Q$1503)*100000000+('Dvd Calendar'!$Q$1507='Field Check'!$C$25)*10000000+(N('Dvd Calendar'!$Q$1501)&gt;0)*1000000+100*1000+53))</f>
        <v/>
      </c>
      <c r="BD108" s="41">
        <f>IF(N('Dvd Calendar'!$R$1502)=0,"",IF(('Dvd Calendar'!$R$1502&gt;=MIN(DATE(Summary!$C$12,1,1),Summary!$C$11))*('Dvd Calendar'!$R$1502&lt;=MAX(DATE(Summary!$C$12,12,31),Summary!$C$15))*('Dvd Calendar'!$R$1502&gt;Summary!$C$11)=0,"",'Dvd Calendar'!$R$1502*1000000000+ISNUMBER('Dvd Calendar'!$R$1503)*100000000+('Dvd Calendar'!$R$1507='Field Check'!$C$25)*10000000+(N('Dvd Calendar'!$R$1501)&gt;0)*1000000+100*1000+54))</f>
        <v/>
      </c>
      <c r="BE108" s="41">
        <f>IF(N('Dvd Calendar'!$S$1502)=0,"",IF(('Dvd Calendar'!$S$1502&gt;=MIN(DATE(Summary!$C$12,1,1),Summary!$C$11))*('Dvd Calendar'!$S$1502&lt;=MAX(DATE(Summary!$C$12,12,31),Summary!$C$15))*('Dvd Calendar'!$S$1502&gt;Summary!$C$11)=0,"",'Dvd Calendar'!$S$1502*1000000000+ISNUMBER('Dvd Calendar'!$S$1503)*100000000+('Dvd Calendar'!$S$1507='Field Check'!$C$25)*10000000+(N('Dvd Calendar'!$S$1501)&gt;0)*1000000+100*1000+55))</f>
        <v/>
      </c>
      <c r="BF108" s="41">
        <f>IF(N('Dvd Calendar'!$T$1502)=0,"",IF(('Dvd Calendar'!$T$1502&gt;=MIN(DATE(Summary!$C$12,1,1),Summary!$C$11))*('Dvd Calendar'!$T$1502&lt;=MAX(DATE(Summary!$C$12,12,31),Summary!$C$15))*('Dvd Calendar'!$T$1502&gt;Summary!$C$11)=0,"",'Dvd Calendar'!$T$1502*1000000000+ISNUMBER('Dvd Calendar'!$T$1503)*100000000+('Dvd Calendar'!$T$1507='Field Check'!$C$25)*10000000+(N('Dvd Calendar'!$T$1501)&gt;0)*1000000+100*1000+56))</f>
        <v/>
      </c>
      <c r="BG108" s="41">
        <f>IF(N('Dvd Calendar'!$U$1502)=0,"",IF(('Dvd Calendar'!$U$1502&gt;=MIN(DATE(Summary!$C$12,1,1),Summary!$C$11))*('Dvd Calendar'!$U$1502&lt;=MAX(DATE(Summary!$C$12,12,31),Summary!$C$15))*('Dvd Calendar'!$U$1502&gt;Summary!$C$11)=0,"",'Dvd Calendar'!$U$1502*1000000000+ISNUMBER('Dvd Calendar'!$U$1503)*100000000+('Dvd Calendar'!$U$1507='Field Check'!$C$25)*10000000+(N('Dvd Calendar'!$U$1501)&gt;0)*1000000+100*1000+57))</f>
        <v/>
      </c>
      <c r="BH108" s="41">
        <f>IF(N('Dvd Calendar'!$V$1502)=0,"",IF(('Dvd Calendar'!$V$1502&gt;=MIN(DATE(Summary!$C$12,1,1),Summary!$C$11))*('Dvd Calendar'!$V$1502&lt;=MAX(DATE(Summary!$C$12,12,31),Summary!$C$15))*('Dvd Calendar'!$V$1502&gt;Summary!$C$11)=0,"",'Dvd Calendar'!$V$1502*1000000000+ISNUMBER('Dvd Calendar'!$V$1503)*100000000+('Dvd Calendar'!$V$1507='Field Check'!$C$25)*10000000+(N('Dvd Calendar'!$V$1501)&gt;0)*1000000+100*1000+58))</f>
        <v/>
      </c>
      <c r="BI108" s="41">
        <f>IF(N('Dvd Calendar'!$W$1502)=0,"",IF(('Dvd Calendar'!$W$1502&gt;=MIN(DATE(Summary!$C$12,1,1),Summary!$C$11))*('Dvd Calendar'!$W$1502&lt;=MAX(DATE(Summary!$C$12,12,31),Summary!$C$15))*('Dvd Calendar'!$W$1502&gt;Summary!$C$11)=0,"",'Dvd Calendar'!$W$1502*1000000000+ISNUMBER('Dvd Calendar'!$W$1503)*100000000+('Dvd Calendar'!$W$1507='Field Check'!$C$25)*10000000+(N('Dvd Calendar'!$W$1501)&gt;0)*1000000+100*1000+59))</f>
        <v/>
      </c>
      <c r="BJ108" s="41">
        <f>IF(N('Dvd Calendar'!$X$1502)=0,"",IF(('Dvd Calendar'!$X$1502&gt;=MIN(DATE(Summary!$C$12,1,1),Summary!$C$11))*('Dvd Calendar'!$X$1502&lt;=MAX(DATE(Summary!$C$12,12,31),Summary!$C$15))*('Dvd Calendar'!$X$1502&gt;Summary!$C$11)=0,"",'Dvd Calendar'!$X$1502*1000000000+ISNUMBER('Dvd Calendar'!$X$1503)*100000000+('Dvd Calendar'!$X$1507='Field Check'!$C$25)*10000000+(N('Dvd Calendar'!$X$1501)&gt;0)*1000000+100*1000+60))</f>
        <v/>
      </c>
      <c r="BK108" s="41">
        <f>IF(N('Dvd Calendar'!$Y$1502)=0,"",IF(('Dvd Calendar'!$Y$1502&gt;=MIN(DATE(Summary!$C$12,1,1),Summary!$C$11))*('Dvd Calendar'!$Y$1502&lt;=MAX(DATE(Summary!$C$12,12,31),Summary!$C$15))*('Dvd Calendar'!$Y$1502&gt;Summary!$C$11)=0,"",'Dvd Calendar'!$Y$1502*1000000000+ISNUMBER('Dvd Calendar'!$Y$1503)*100000000+('Dvd Calendar'!$Y$1507='Field Check'!$C$25)*10000000+(N('Dvd Calendar'!$Y$1501)&gt;0)*1000000+100*1000+61))</f>
        <v/>
      </c>
      <c r="BL108" s="41">
        <f>IF(N('Dvd Calendar'!$Z$1502)=0,"",IF(('Dvd Calendar'!$Z$1502&gt;=MIN(DATE(Summary!$C$12,1,1),Summary!$C$11))*('Dvd Calendar'!$Z$1502&lt;=MAX(DATE(Summary!$C$12,12,31),Summary!$C$15))*('Dvd Calendar'!$Z$1502&gt;Summary!$C$11)=0,"",'Dvd Calendar'!$Z$1502*1000000000+ISNUMBER('Dvd Calendar'!$Z$1503)*100000000+('Dvd Calendar'!$Z$1507='Field Check'!$C$25)*10000000+(N('Dvd Calendar'!$Z$1501)&gt;0)*1000000+100*1000+62))</f>
        <v/>
      </c>
      <c r="BM108" s="41">
        <f>IF(N('Dvd Calendar'!$AA$1502)=0,"",IF(('Dvd Calendar'!$AA$1502&gt;=MIN(DATE(Summary!$C$12,1,1),Summary!$C$11))*('Dvd Calendar'!$AA$1502&lt;=MAX(DATE(Summary!$C$12,12,31),Summary!$C$15))*('Dvd Calendar'!$AA$1502&gt;Summary!$C$11)=0,"",'Dvd Calendar'!$AA$1502*1000000000+ISNUMBER('Dvd Calendar'!$AA$1503)*100000000+('Dvd Calendar'!$AA$1507='Field Check'!$C$25)*10000000+(N('Dvd Calendar'!$AA$1501)&gt;0)*1000000+100*1000+63))</f>
        <v/>
      </c>
      <c r="BN108" s="41">
        <f>IF(N('Dvd Calendar'!$AB$1502)=0,"",IF(('Dvd Calendar'!$AB$1502&gt;=MIN(DATE(Summary!$C$12,1,1),Summary!$C$11))*('Dvd Calendar'!$AB$1502&lt;=MAX(DATE(Summary!$C$12,12,31),Summary!$C$15))*('Dvd Calendar'!$AB$1502&gt;Summary!$C$11)=0,"",'Dvd Calendar'!$AB$1502*1000000000+ISNUMBER('Dvd Calendar'!$AB$1503)*100000000+('Dvd Calendar'!$AB$1507='Field Check'!$C$25)*10000000+(N('Dvd Calendar'!$AB$1501)&gt;0)*1000000+100*1000+64))</f>
        <v/>
      </c>
      <c r="BO108" s="41">
        <f>IF(N('Dvd Calendar'!$AC$1502)=0,"",IF(('Dvd Calendar'!$AC$1502&gt;=MIN(DATE(Summary!$C$12,1,1),Summary!$C$11))*('Dvd Calendar'!$AC$1502&lt;=MAX(DATE(Summary!$C$12,12,31),Summary!$C$15))*('Dvd Calendar'!$AC$1502&gt;Summary!$C$11)=0,"",'Dvd Calendar'!$AC$1502*1000000000+ISNUMBER('Dvd Calendar'!$AC$1503)*100000000+('Dvd Calendar'!$AC$1507='Field Check'!$C$25)*10000000+(N('Dvd Calendar'!$AC$1501)&gt;0)*1000000+100*1000+65))</f>
        <v/>
      </c>
      <c r="BQ108" s="85">
        <f>IF(C108="","",IF(ISNUMBER('Dvd Calendar'!$E$1496)=FALSE,"",IF((Summary!$C$13="N")*('Dvd Calendar'!$E$1500='Field Check'!$C$25)&gt;0,"",'Dvd Calendar'!$E$1496)))</f>
        <v/>
      </c>
      <c r="BR108" s="85">
        <f>IF(D108="","",IF(ISNUMBER('Dvd Calendar'!$F$1496)=FALSE,"",IF((Summary!$C$13="N")*('Dvd Calendar'!$F$1500='Field Check'!$C$25)&gt;0,"",'Dvd Calendar'!$F$1496)))</f>
        <v/>
      </c>
      <c r="BS108" s="85">
        <f>IF(E108="","",IF(ISNUMBER('Dvd Calendar'!$G$1496)=FALSE,"",IF((Summary!$C$13="N")*('Dvd Calendar'!$G$1500='Field Check'!$C$25)&gt;0,"",'Dvd Calendar'!$G$1496)))</f>
        <v/>
      </c>
      <c r="BT108" s="85">
        <f>IF(F108="","",IF(ISNUMBER('Dvd Calendar'!$H$1496)=FALSE,"",IF((Summary!$C$13="N")*('Dvd Calendar'!$H$1500='Field Check'!$C$25)&gt;0,"",'Dvd Calendar'!$H$1496)))</f>
        <v/>
      </c>
      <c r="BU108" s="85">
        <f>IF(G108="","",IF(ISNUMBER('Dvd Calendar'!$I$1496)=FALSE,"",IF((Summary!$C$13="N")*('Dvd Calendar'!$I$1500='Field Check'!$C$25)&gt;0,"",'Dvd Calendar'!$I$1496)))</f>
        <v/>
      </c>
      <c r="BV108" s="85">
        <f>IF(H108="","",IF(ISNUMBER('Dvd Calendar'!$J$1496)=FALSE,"",IF((Summary!$C$13="N")*('Dvd Calendar'!$J$1500='Field Check'!$C$25)&gt;0,"",'Dvd Calendar'!$J$1496)))</f>
        <v/>
      </c>
      <c r="BW108" s="85">
        <f>IF(I108="","",IF(ISNUMBER('Dvd Calendar'!$K$1496)=FALSE,"",IF((Summary!$C$13="N")*('Dvd Calendar'!$K$1500='Field Check'!$C$25)&gt;0,"",'Dvd Calendar'!$K$1496)))</f>
        <v/>
      </c>
      <c r="BX108" s="85">
        <f>IF(J108="","",IF(ISNUMBER('Dvd Calendar'!$L$1496)=FALSE,"",IF((Summary!$C$13="N")*('Dvd Calendar'!$L$1500='Field Check'!$C$25)&gt;0,"",'Dvd Calendar'!$L$1496)))</f>
        <v/>
      </c>
      <c r="BY108" s="85">
        <f>IF(K108="","",IF(ISNUMBER('Dvd Calendar'!$M$1496)=FALSE,"",IF((Summary!$C$13="N")*('Dvd Calendar'!$M$1500='Field Check'!$C$25)&gt;0,"",'Dvd Calendar'!$M$1496)))</f>
        <v/>
      </c>
      <c r="BZ108" s="85">
        <f>IF(L108="","",IF(ISNUMBER('Dvd Calendar'!$N$1496)=FALSE,"",IF((Summary!$C$13="N")*('Dvd Calendar'!$N$1500='Field Check'!$C$25)&gt;0,"",'Dvd Calendar'!$N$1496)))</f>
        <v/>
      </c>
      <c r="CA108" s="85">
        <f>IF(M108="","",IF(ISNUMBER('Dvd Calendar'!$O$1496)=FALSE,"",IF((Summary!$C$13="N")*('Dvd Calendar'!$O$1500='Field Check'!$C$25)&gt;0,"",'Dvd Calendar'!$O$1496)))</f>
        <v/>
      </c>
      <c r="CB108" s="85">
        <f>IF(N108="","",IF(ISNUMBER('Dvd Calendar'!$P$1496)=FALSE,"",IF((Summary!$C$13="N")*('Dvd Calendar'!$P$1500='Field Check'!$C$25)&gt;0,"",'Dvd Calendar'!$P$1496)))</f>
        <v/>
      </c>
      <c r="CC108" s="85">
        <f>IF(O108="","",IF(ISNUMBER('Dvd Calendar'!$Q$1496)=FALSE,"",IF((Summary!$C$13="N")*('Dvd Calendar'!$Q$1500='Field Check'!$C$25)&gt;0,"",'Dvd Calendar'!$Q$1496)))</f>
        <v/>
      </c>
      <c r="CD108" s="85">
        <f>IF(P108="","",IF(ISNUMBER('Dvd Calendar'!$R$1496)=FALSE,"",IF((Summary!$C$13="N")*('Dvd Calendar'!$R$1500='Field Check'!$C$25)&gt;0,"",'Dvd Calendar'!$R$1496)))</f>
        <v/>
      </c>
      <c r="CE108" s="85">
        <f>IF(Q108="","",IF(ISNUMBER('Dvd Calendar'!$S$1496)=FALSE,"",IF((Summary!$C$13="N")*('Dvd Calendar'!$S$1500='Field Check'!$C$25)&gt;0,"",'Dvd Calendar'!$S$1496)))</f>
        <v/>
      </c>
      <c r="CF108" s="85">
        <f>IF(R108="","",IF(ISNUMBER('Dvd Calendar'!$T$1496)=FALSE,"",IF((Summary!$C$13="N")*('Dvd Calendar'!$T$1500='Field Check'!$C$25)&gt;0,"",'Dvd Calendar'!$T$1496)))</f>
        <v/>
      </c>
      <c r="CG108" s="85">
        <f>IF(S108="","",IF(ISNUMBER('Dvd Calendar'!$U$1496)=FALSE,"",IF((Summary!$C$13="N")*('Dvd Calendar'!$U$1500='Field Check'!$C$25)&gt;0,"",'Dvd Calendar'!$U$1496)))</f>
        <v/>
      </c>
      <c r="CH108" s="85">
        <f>IF(T108="","",IF(ISNUMBER('Dvd Calendar'!$V$1496)=FALSE,"",IF((Summary!$C$13="N")*('Dvd Calendar'!$V$1500='Field Check'!$C$25)&gt;0,"",'Dvd Calendar'!$V$1496)))</f>
        <v/>
      </c>
      <c r="CI108" s="85">
        <f>IF(U108="","",IF(ISNUMBER('Dvd Calendar'!$W$1496)=FALSE,"",IF((Summary!$C$13="N")*('Dvd Calendar'!$W$1500='Field Check'!$C$25)&gt;0,"",'Dvd Calendar'!$W$1496)))</f>
        <v/>
      </c>
      <c r="CJ108" s="85">
        <f>IF(V108="","",IF(ISNUMBER('Dvd Calendar'!$X$1496)=FALSE,"",IF((Summary!$C$13="N")*('Dvd Calendar'!$X$1500='Field Check'!$C$25)&gt;0,"",'Dvd Calendar'!$X$1496)))</f>
        <v/>
      </c>
      <c r="CK108" s="85">
        <f>IF(W108="","",IF(ISNUMBER('Dvd Calendar'!$Y$1496)=FALSE,"",IF((Summary!$C$13="N")*('Dvd Calendar'!$Y$1500='Field Check'!$C$25)&gt;0,"",'Dvd Calendar'!$Y$1496)))</f>
        <v/>
      </c>
      <c r="CL108" s="85">
        <f>IF(X108="","",IF(ISNUMBER('Dvd Calendar'!$Z$1496)=FALSE,"",IF((Summary!$C$13="N")*('Dvd Calendar'!$Z$1500='Field Check'!$C$25)&gt;0,"",'Dvd Calendar'!$Z$1496)))</f>
        <v/>
      </c>
      <c r="CM108" s="85">
        <f>IF(Y108="","",IF(ISNUMBER('Dvd Calendar'!$AA$1496)=FALSE,"",IF((Summary!$C$13="N")*('Dvd Calendar'!$AA$1500='Field Check'!$C$25)&gt;0,"",'Dvd Calendar'!$AA$1496)))</f>
        <v/>
      </c>
      <c r="CN108" s="85">
        <f>IF(Z108="","",IF(ISNUMBER('Dvd Calendar'!$AB$1496)=FALSE,"",IF((Summary!$C$13="N")*('Dvd Calendar'!$AB$1500='Field Check'!$C$25)&gt;0,"",'Dvd Calendar'!$AB$1496)))</f>
        <v/>
      </c>
      <c r="CO108" s="85">
        <f>IF(AA108="","",IF(ISNUMBER('Dvd Calendar'!$AC$1496)=FALSE,"",IF((Summary!$C$13="N")*('Dvd Calendar'!$AC$1500='Field Check'!$C$25)&gt;0,"",'Dvd Calendar'!$AC$1496)))</f>
        <v/>
      </c>
      <c r="CP108" s="85">
        <f>IF(AB108="","",IF(ISNUMBER('Dvd Calendar'!$AD$1496)=FALSE,"",IF((Summary!$C$13="N")*('Dvd Calendar'!$AD$1500='Field Check'!$C$25)&gt;0,"",'Dvd Calendar'!$AD$1496)))</f>
        <v/>
      </c>
      <c r="CQ108" s="85">
        <f>IF(AC108="","",IF(ISNUMBER('Dvd Calendar'!$AE$1496)=FALSE,"",IF((Summary!$C$13="N")*('Dvd Calendar'!$AE$1500='Field Check'!$C$25)&gt;0,"",'Dvd Calendar'!$AE$1496)))</f>
        <v/>
      </c>
      <c r="CR108" s="85">
        <f>IF(AD108="","",IF(ISNUMBER('Dvd Calendar'!$AF$1496)=FALSE,"",IF((Summary!$C$13="N")*('Dvd Calendar'!$AF$1500='Field Check'!$C$25)&gt;0,"",'Dvd Calendar'!$AF$1496)))</f>
        <v/>
      </c>
      <c r="CS108" s="85">
        <f>IF(AE108="","",IF(ISNUMBER('Dvd Calendar'!$AG$1496)=FALSE,"",IF((Summary!$C$13="N")*('Dvd Calendar'!$AG$1500='Field Check'!$C$25)&gt;0,"",'Dvd Calendar'!$AG$1496)))</f>
        <v/>
      </c>
      <c r="CT108" s="85">
        <f>IF(AF108="","",IF(ISNUMBER('Dvd Calendar'!$AH$1496)=FALSE,"",IF((Summary!$C$13="N")*('Dvd Calendar'!$AH$1500='Field Check'!$C$25)&gt;0,"",'Dvd Calendar'!$AH$1496)))</f>
        <v/>
      </c>
      <c r="CU108" s="85">
        <f>IF(AG108="","",IF(ISNUMBER('Dvd Calendar'!$AI$1496)=FALSE,"",IF((Summary!$C$13="N")*('Dvd Calendar'!$AI$1500='Field Check'!$C$25)&gt;0,"",'Dvd Calendar'!$AI$1496)))</f>
        <v/>
      </c>
      <c r="CV108" s="85">
        <f>IF(AH108="","",IF(ISNUMBER('Dvd Calendar'!$AJ$1496)=FALSE,"",IF((Summary!$C$13="N")*('Dvd Calendar'!$AJ$1500='Field Check'!$C$25)&gt;0,"",'Dvd Calendar'!$AJ$1496)))</f>
        <v/>
      </c>
      <c r="CW108" s="85">
        <f>IF(AI108="","",IF(ISNUMBER('Dvd Calendar'!$AK$1496)=FALSE,"",IF((Summary!$C$13="N")*('Dvd Calendar'!$AK$1500='Field Check'!$C$25)&gt;0,"",'Dvd Calendar'!$AK$1496)))</f>
        <v/>
      </c>
      <c r="CX108" s="85">
        <f>IF(AJ108="","",IF(ISNUMBER('Dvd Calendar'!$AL$1496)=FALSE,"",IF((Summary!$C$13="N")*('Dvd Calendar'!$AL$1500='Field Check'!$C$25)&gt;0,"",'Dvd Calendar'!$AL$1496)))</f>
        <v/>
      </c>
      <c r="CY108" s="85">
        <f>IF(AK108="","",IF(ISNUMBER('Dvd Calendar'!$AM$1496)=FALSE,"",IF((Summary!$C$13="N")*('Dvd Calendar'!$AM$1500='Field Check'!$C$25)&gt;0,"",'Dvd Calendar'!$AM$1496)))</f>
        <v/>
      </c>
      <c r="CZ108" s="85">
        <f>IF(AL108="","",IF(ISNUMBER('Dvd Calendar'!$AN$1496)=FALSE,"",IF((Summary!$C$13="N")*('Dvd Calendar'!$AN$1500='Field Check'!$C$25)&gt;0,"",'Dvd Calendar'!$AN$1496)))</f>
        <v/>
      </c>
      <c r="DA108" s="85">
        <f>IF(AM108="","",IF(ISNUMBER('Dvd Calendar'!$AO$1496)=FALSE,"",IF((Summary!$C$13="N")*('Dvd Calendar'!$AO$1500='Field Check'!$C$25)&gt;0,"",'Dvd Calendar'!$AO$1496)))</f>
        <v/>
      </c>
      <c r="DB108" s="85">
        <f>IF(AN108="","",IF(ISNUMBER('Dvd Calendar'!$AP$1496)=FALSE,"",IF((Summary!$C$13="N")*('Dvd Calendar'!$AP$1500='Field Check'!$C$25)&gt;0,"",'Dvd Calendar'!$AP$1496)))</f>
        <v/>
      </c>
      <c r="DC108" s="85">
        <f>IF(AO108="","",IF(ISNUMBER('Dvd Calendar'!$AQ$1496)=FALSE,"",IF((Summary!$C$13="N")*('Dvd Calendar'!$AQ$1500='Field Check'!$C$25)&gt;0,"",'Dvd Calendar'!$AQ$1496)))</f>
        <v/>
      </c>
      <c r="DD108" s="85">
        <f>IF(AP108="","",IF(ISNUMBER('Dvd Calendar'!$AR$1496)=FALSE,"",IF((Summary!$C$13="N")*('Dvd Calendar'!$AR$1500='Field Check'!$C$25)&gt;0,"",'Dvd Calendar'!$AR$1496)))</f>
        <v/>
      </c>
      <c r="DE108" s="85">
        <f>IF(AQ108="","",IF(ISNUMBER('Dvd Calendar'!$E$1503)=FALSE,"",IF((Summary!$C$13="N")*('Dvd Calendar'!$E$1507='Field Check'!$C$25)&gt;0,"",'Dvd Calendar'!$E$1503)))</f>
        <v/>
      </c>
      <c r="DF108" s="85">
        <f>IF(AR108="","",IF(ISNUMBER('Dvd Calendar'!$F$1503)=FALSE,"",IF((Summary!$C$13="N")*('Dvd Calendar'!$F$1507='Field Check'!$C$25)&gt;0,"",'Dvd Calendar'!$F$1503)))</f>
        <v/>
      </c>
      <c r="DG108" s="85">
        <f>IF(AS108="","",IF(ISNUMBER('Dvd Calendar'!$G$1503)=FALSE,"",IF((Summary!$C$13="N")*('Dvd Calendar'!$G$1507='Field Check'!$C$25)&gt;0,"",'Dvd Calendar'!$G$1503)))</f>
        <v/>
      </c>
      <c r="DH108" s="85">
        <f>IF(AT108="","",IF(ISNUMBER('Dvd Calendar'!$H$1503)=FALSE,"",IF((Summary!$C$13="N")*('Dvd Calendar'!$H$1507='Field Check'!$C$25)&gt;0,"",'Dvd Calendar'!$H$1503)))</f>
        <v/>
      </c>
      <c r="DI108" s="85">
        <f>IF(AU108="","",IF(ISNUMBER('Dvd Calendar'!$I$1503)=FALSE,"",IF((Summary!$C$13="N")*('Dvd Calendar'!$I$1507='Field Check'!$C$25)&gt;0,"",'Dvd Calendar'!$I$1503)))</f>
        <v/>
      </c>
      <c r="DJ108" s="85">
        <f>IF(AV108="","",IF(ISNUMBER('Dvd Calendar'!$J$1503)=FALSE,"",IF((Summary!$C$13="N")*('Dvd Calendar'!$J$1507='Field Check'!$C$25)&gt;0,"",'Dvd Calendar'!$J$1503)))</f>
        <v/>
      </c>
      <c r="DK108" s="85">
        <f>IF(AW108="","",IF(ISNUMBER('Dvd Calendar'!$K$1503)=FALSE,"",IF((Summary!$C$13="N")*('Dvd Calendar'!$K$1507='Field Check'!$C$25)&gt;0,"",'Dvd Calendar'!$K$1503)))</f>
        <v/>
      </c>
      <c r="DL108" s="85">
        <f>IF(AX108="","",IF(ISNUMBER('Dvd Calendar'!$L$1503)=FALSE,"",IF((Summary!$C$13="N")*('Dvd Calendar'!$L$1507='Field Check'!$C$25)&gt;0,"",'Dvd Calendar'!$L$1503)))</f>
        <v/>
      </c>
      <c r="DM108" s="85">
        <f>IF(AY108="","",IF(ISNUMBER('Dvd Calendar'!$M$1503)=FALSE,"",IF((Summary!$C$13="N")*('Dvd Calendar'!$M$1507='Field Check'!$C$25)&gt;0,"",'Dvd Calendar'!$M$1503)))</f>
        <v/>
      </c>
      <c r="DN108" s="85">
        <f>IF(AZ108="","",IF(ISNUMBER('Dvd Calendar'!$N$1503)=FALSE,"",IF((Summary!$C$13="N")*('Dvd Calendar'!$N$1507='Field Check'!$C$25)&gt;0,"",'Dvd Calendar'!$N$1503)))</f>
        <v/>
      </c>
      <c r="DO108" s="85">
        <f>IF(BA108="","",IF(ISNUMBER('Dvd Calendar'!$O$1503)=FALSE,"",IF((Summary!$C$13="N")*('Dvd Calendar'!$O$1507='Field Check'!$C$25)&gt;0,"",'Dvd Calendar'!$O$1503)))</f>
        <v/>
      </c>
      <c r="DP108" s="85">
        <f>IF(BB108="","",IF(ISNUMBER('Dvd Calendar'!$P$1503)=FALSE,"",IF((Summary!$C$13="N")*('Dvd Calendar'!$P$1507='Field Check'!$C$25)&gt;0,"",'Dvd Calendar'!$P$1503)))</f>
        <v/>
      </c>
      <c r="DQ108" s="85">
        <f>IF(BC108="","",IF(ISNUMBER('Dvd Calendar'!$Q$1503)=FALSE,"",IF((Summary!$C$13="N")*('Dvd Calendar'!$Q$1507='Field Check'!$C$25)&gt;0,"",'Dvd Calendar'!$Q$1503)))</f>
        <v/>
      </c>
      <c r="DR108" s="85">
        <f>IF(BD108="","",IF(ISNUMBER('Dvd Calendar'!$R$1503)=FALSE,"",IF((Summary!$C$13="N")*('Dvd Calendar'!$R$1507='Field Check'!$C$25)&gt;0,"",'Dvd Calendar'!$R$1503)))</f>
        <v/>
      </c>
      <c r="DS108" s="85">
        <f>IF(BE108="","",IF(ISNUMBER('Dvd Calendar'!$S$1503)=FALSE,"",IF((Summary!$C$13="N")*('Dvd Calendar'!$S$1507='Field Check'!$C$25)&gt;0,"",'Dvd Calendar'!$S$1503)))</f>
        <v/>
      </c>
      <c r="DT108" s="85">
        <f>IF(BF108="","",IF(ISNUMBER('Dvd Calendar'!$T$1503)=FALSE,"",IF((Summary!$C$13="N")*('Dvd Calendar'!$T$1507='Field Check'!$C$25)&gt;0,"",'Dvd Calendar'!$T$1503)))</f>
        <v/>
      </c>
      <c r="DU108" s="85">
        <f>IF(BG108="","",IF(ISNUMBER('Dvd Calendar'!$U$1503)=FALSE,"",IF((Summary!$C$13="N")*('Dvd Calendar'!$U$1507='Field Check'!$C$25)&gt;0,"",'Dvd Calendar'!$U$1503)))</f>
        <v/>
      </c>
      <c r="DV108" s="85">
        <f>IF(BH108="","",IF(ISNUMBER('Dvd Calendar'!$V$1503)=FALSE,"",IF((Summary!$C$13="N")*('Dvd Calendar'!$V$1507='Field Check'!$C$25)&gt;0,"",'Dvd Calendar'!$V$1503)))</f>
        <v/>
      </c>
      <c r="DW108" s="85">
        <f>IF(BI108="","",IF(ISNUMBER('Dvd Calendar'!$W$1503)=FALSE,"",IF((Summary!$C$13="N")*('Dvd Calendar'!$W$1507='Field Check'!$C$25)&gt;0,"",'Dvd Calendar'!$W$1503)))</f>
        <v/>
      </c>
      <c r="DX108" s="85">
        <f>IF(BJ108="","",IF(ISNUMBER('Dvd Calendar'!$X$1503)=FALSE,"",IF((Summary!$C$13="N")*('Dvd Calendar'!$X$1507='Field Check'!$C$25)&gt;0,"",'Dvd Calendar'!$X$1503)))</f>
        <v/>
      </c>
      <c r="DY108" s="85">
        <f>IF(BK108="","",IF(ISNUMBER('Dvd Calendar'!$Y$1503)=FALSE,"",IF((Summary!$C$13="N")*('Dvd Calendar'!$Y$1507='Field Check'!$C$25)&gt;0,"",'Dvd Calendar'!$Y$1503)))</f>
        <v/>
      </c>
      <c r="DZ108" s="85">
        <f>IF(BL108="","",IF(ISNUMBER('Dvd Calendar'!$Z$1503)=FALSE,"",IF((Summary!$C$13="N")*('Dvd Calendar'!$Z$1507='Field Check'!$C$25)&gt;0,"",'Dvd Calendar'!$Z$1503)))</f>
        <v/>
      </c>
      <c r="EA108" s="85">
        <f>IF(BM108="","",IF(ISNUMBER('Dvd Calendar'!$AA$1503)=FALSE,"",IF((Summary!$C$13="N")*('Dvd Calendar'!$AA$1507='Field Check'!$C$25)&gt;0,"",'Dvd Calendar'!$AA$1503)))</f>
        <v/>
      </c>
      <c r="EB108" s="85">
        <f>IF(BN108="","",IF(ISNUMBER('Dvd Calendar'!$AB$1503)=FALSE,"",IF((Summary!$C$13="N")*('Dvd Calendar'!$AB$1507='Field Check'!$C$25)&gt;0,"",'Dvd Calendar'!$AB$1503)))</f>
        <v/>
      </c>
      <c r="EC108" s="85">
        <f>IF(BO108="","",IF(ISNUMBER('Dvd Calendar'!$AC$1503)=FALSE,"",IF((Summary!$C$13="N")*('Dvd Calendar'!$AC$1507='Field Check'!$C$25)&gt;0,"",'Dvd Calendar'!$AC$1503)))</f>
        <v/>
      </c>
      <c r="EE108" s="85">
        <f>IF(BQ108="","",IFERROR(BQ108*HSI!$B$106*HSI!$G$106/HSI!$B$3,""))</f>
        <v/>
      </c>
      <c r="EF108" s="85">
        <f>IF(BR108="","",IFERROR(BR108*HSI!$B$106*HSI!$G$106/HSI!$B$3,""))</f>
        <v/>
      </c>
      <c r="EG108" s="85">
        <f>IF(BS108="","",IFERROR(BS108*HSI!$B$106*HSI!$G$106/HSI!$B$3,""))</f>
        <v/>
      </c>
      <c r="EH108" s="85">
        <f>IF(BT108="","",IFERROR(BT108*HSI!$B$106*HSI!$G$106/HSI!$B$3,""))</f>
        <v/>
      </c>
      <c r="EI108" s="85">
        <f>IF(BU108="","",IFERROR(BU108*HSI!$B$106*HSI!$G$106/HSI!$B$3,""))</f>
        <v/>
      </c>
      <c r="EJ108" s="85">
        <f>IF(BV108="","",IFERROR(BV108*HSI!$B$106*HSI!$G$106/HSI!$B$3,""))</f>
        <v/>
      </c>
      <c r="EK108" s="85">
        <f>IF(BW108="","",IFERROR(BW108*HSI!$B$106*HSI!$G$106/HSI!$B$3,""))</f>
        <v/>
      </c>
      <c r="EL108" s="85">
        <f>IF(BX108="","",IFERROR(BX108*HSI!$B$106*HSI!$G$106/HSI!$B$3,""))</f>
        <v/>
      </c>
      <c r="EM108" s="85">
        <f>IF(BY108="","",IFERROR(BY108*HSI!$B$106*HSI!$G$106/HSI!$B$3,""))</f>
        <v/>
      </c>
      <c r="EN108" s="85">
        <f>IF(BZ108="","",IFERROR(BZ108*HSI!$B$106*HSI!$G$106/HSI!$B$3,""))</f>
        <v/>
      </c>
      <c r="EO108" s="85">
        <f>IF(CA108="","",IFERROR(CA108*HSI!$B$106*HSI!$G$106/HSI!$B$3,""))</f>
        <v/>
      </c>
      <c r="EP108" s="85">
        <f>IF(CB108="","",IFERROR(CB108*HSI!$B$106*HSI!$G$106/HSI!$B$3,""))</f>
        <v/>
      </c>
      <c r="EQ108" s="85">
        <f>IF(CC108="","",IFERROR(CC108*HSI!$B$106*HSI!$G$106/HSI!$B$3,""))</f>
        <v/>
      </c>
      <c r="ER108" s="85">
        <f>IF(CD108="","",IFERROR(CD108*HSI!$B$106*HSI!$G$106/HSI!$B$3,""))</f>
        <v/>
      </c>
      <c r="ES108" s="85">
        <f>IF(CE108="","",IFERROR(CE108*HSI!$B$106*HSI!$G$106/HSI!$B$3,""))</f>
        <v/>
      </c>
      <c r="ET108" s="85">
        <f>IF(CF108="","",IFERROR(CF108*HSI!$B$106*HSI!$G$106/HSI!$B$3,""))</f>
        <v/>
      </c>
      <c r="EU108" s="85">
        <f>IF(CG108="","",IFERROR(CG108*HSI!$B$106*HSI!$G$106/HSI!$B$3,""))</f>
        <v/>
      </c>
      <c r="EV108" s="85">
        <f>IF(CH108="","",IFERROR(CH108*HSI!$B$106*HSI!$G$106/HSI!$B$3,""))</f>
        <v/>
      </c>
      <c r="EW108" s="85">
        <f>IF(CI108="","",IFERROR(CI108*HSI!$B$106*HSI!$G$106/HSI!$B$3,""))</f>
        <v/>
      </c>
      <c r="EX108" s="85">
        <f>IF(CJ108="","",IFERROR(CJ108*HSI!$B$106*HSI!$G$106/HSI!$B$3,""))</f>
        <v/>
      </c>
      <c r="EY108" s="85">
        <f>IF(CK108="","",IFERROR(CK108*HSI!$B$106*HSI!$G$106/HSI!$B$3,""))</f>
        <v/>
      </c>
      <c r="EZ108" s="85">
        <f>IF(CL108="","",IFERROR(CL108*HSI!$B$106*HSI!$G$106/HSI!$B$3,""))</f>
        <v/>
      </c>
      <c r="FA108" s="85">
        <f>IF(CM108="","",IFERROR(CM108*HSI!$B$106*HSI!$G$106/HSI!$B$3,""))</f>
        <v/>
      </c>
      <c r="FB108" s="85">
        <f>IF(CN108="","",IFERROR(CN108*HSI!$B$106*HSI!$G$106/HSI!$B$3,""))</f>
        <v/>
      </c>
      <c r="FC108" s="85">
        <f>IF(CO108="","",IFERROR(CO108*HSI!$B$106*HSI!$G$106/HSI!$B$3,""))</f>
        <v/>
      </c>
      <c r="FD108" s="85">
        <f>IF(CP108="","",IFERROR(CP108*HSI!$B$106*HSI!$G$106/HSI!$B$3,""))</f>
        <v/>
      </c>
      <c r="FE108" s="85">
        <f>IF(CQ108="","",IFERROR(CQ108*HSI!$B$106*HSI!$G$106/HSI!$B$3,""))</f>
        <v/>
      </c>
      <c r="FF108" s="85">
        <f>IF(CR108="","",IFERROR(CR108*HSI!$B$106*HSI!$G$106/HSI!$B$3,""))</f>
        <v/>
      </c>
      <c r="FG108" s="85">
        <f>IF(CS108="","",IFERROR(CS108*HSI!$B$106*HSI!$G$106/HSI!$B$3,""))</f>
        <v/>
      </c>
      <c r="FH108" s="85">
        <f>IF(CT108="","",IFERROR(CT108*HSI!$B$106*HSI!$G$106/HSI!$B$3,""))</f>
        <v/>
      </c>
      <c r="FI108" s="85">
        <f>IF(CU108="","",IFERROR(CU108*HSI!$B$106*HSI!$G$106/HSI!$B$3,""))</f>
        <v/>
      </c>
      <c r="FJ108" s="85">
        <f>IF(CV108="","",IFERROR(CV108*HSI!$B$106*HSI!$G$106/HSI!$B$3,""))</f>
        <v/>
      </c>
      <c r="FK108" s="85">
        <f>IF(CW108="","",IFERROR(CW108*HSI!$B$106*HSI!$G$106/HSI!$B$3,""))</f>
        <v/>
      </c>
      <c r="FL108" s="85">
        <f>IF(CX108="","",IFERROR(CX108*HSI!$B$106*HSI!$G$106/HSI!$B$3,""))</f>
        <v/>
      </c>
      <c r="FM108" s="85">
        <f>IF(CY108="","",IFERROR(CY108*HSI!$B$106*HSI!$G$106/HSI!$B$3,""))</f>
        <v/>
      </c>
      <c r="FN108" s="85">
        <f>IF(CZ108="","",IFERROR(CZ108*HSI!$B$106*HSI!$G$106/HSI!$B$3,""))</f>
        <v/>
      </c>
      <c r="FO108" s="85">
        <f>IF(DA108="","",IFERROR(DA108*HSI!$B$106*HSI!$G$106/HSI!$B$3,""))</f>
        <v/>
      </c>
      <c r="FP108" s="85">
        <f>IF(DB108="","",IFERROR(DB108*HSI!$B$106*HSI!$G$106/HSI!$B$3,""))</f>
        <v/>
      </c>
      <c r="FQ108" s="85">
        <f>IF(DC108="","",IFERROR(DC108*HSI!$B$106*HSI!$G$106/HSI!$B$3,""))</f>
        <v/>
      </c>
      <c r="FR108" s="85">
        <f>IF(DD108="","",IFERROR(DD108*HSI!$B$106*HSI!$G$106/HSI!$B$3,""))</f>
        <v/>
      </c>
      <c r="FS108" s="85">
        <f>IF(DE108="","",IFERROR(DE108*HSI!$B$106*HSI!$G$106/HSI!$B$3,""))</f>
        <v/>
      </c>
      <c r="FT108" s="85">
        <f>IF(DF108="","",IFERROR(DF108*HSI!$B$106*HSI!$G$106/HSI!$B$3,""))</f>
        <v/>
      </c>
      <c r="FU108" s="85">
        <f>IF(DG108="","",IFERROR(DG108*HSI!$B$106*HSI!$G$106/HSI!$B$3,""))</f>
        <v/>
      </c>
      <c r="FV108" s="85">
        <f>IF(DH108="","",IFERROR(DH108*HSI!$B$106*HSI!$G$106/HSI!$B$3,""))</f>
        <v/>
      </c>
      <c r="FW108" s="85">
        <f>IF(DI108="","",IFERROR(DI108*HSI!$B$106*HSI!$G$106/HSI!$B$3,""))</f>
        <v/>
      </c>
      <c r="FX108" s="85">
        <f>IF(DJ108="","",IFERROR(DJ108*HSI!$B$106*HSI!$G$106/HSI!$B$3,""))</f>
        <v/>
      </c>
      <c r="FY108" s="85">
        <f>IF(DK108="","",IFERROR(DK108*HSI!$B$106*HSI!$G$106/HSI!$B$3,""))</f>
        <v/>
      </c>
      <c r="FZ108" s="85">
        <f>IF(DL108="","",IFERROR(DL108*HSI!$B$106*HSI!$G$106/HSI!$B$3,""))</f>
        <v/>
      </c>
      <c r="GA108" s="85">
        <f>IF(DM108="","",IFERROR(DM108*HSI!$B$106*HSI!$G$106/HSI!$B$3,""))</f>
        <v/>
      </c>
      <c r="GB108" s="85">
        <f>IF(DN108="","",IFERROR(DN108*HSI!$B$106*HSI!$G$106/HSI!$B$3,""))</f>
        <v/>
      </c>
      <c r="GC108" s="85">
        <f>IF(DO108="","",IFERROR(DO108*HSI!$B$106*HSI!$G$106/HSI!$B$3,""))</f>
        <v/>
      </c>
      <c r="GD108" s="85">
        <f>IF(DP108="","",IFERROR(DP108*HSI!$B$106*HSI!$G$106/HSI!$B$3,""))</f>
        <v/>
      </c>
      <c r="GE108" s="85">
        <f>IF(DQ108="","",IFERROR(DQ108*HSI!$B$106*HSI!$G$106/HSI!$B$3,""))</f>
        <v/>
      </c>
      <c r="GF108" s="85">
        <f>IF(DR108="","",IFERROR(DR108*HSI!$B$106*HSI!$G$106/HSI!$B$3,""))</f>
        <v/>
      </c>
      <c r="GG108" s="85">
        <f>IF(DS108="","",IFERROR(DS108*HSI!$B$106*HSI!$G$106/HSI!$B$3,""))</f>
        <v/>
      </c>
      <c r="GH108" s="85">
        <f>IF(DT108="","",IFERROR(DT108*HSI!$B$106*HSI!$G$106/HSI!$B$3,""))</f>
        <v/>
      </c>
      <c r="GI108" s="85">
        <f>IF(DU108="","",IFERROR(DU108*HSI!$B$106*HSI!$G$106/HSI!$B$3,""))</f>
        <v/>
      </c>
      <c r="GJ108" s="85">
        <f>IF(DV108="","",IFERROR(DV108*HSI!$B$106*HSI!$G$106/HSI!$B$3,""))</f>
        <v/>
      </c>
      <c r="GK108" s="85">
        <f>IF(DW108="","",IFERROR(DW108*HSI!$B$106*HSI!$G$106/HSI!$B$3,""))</f>
        <v/>
      </c>
      <c r="GL108" s="85">
        <f>IF(DX108="","",IFERROR(DX108*HSI!$B$106*HSI!$G$106/HSI!$B$3,""))</f>
        <v/>
      </c>
      <c r="GM108" s="85">
        <f>IF(DY108="","",IFERROR(DY108*HSI!$B$106*HSI!$G$106/HSI!$B$3,""))</f>
        <v/>
      </c>
      <c r="GN108" s="85">
        <f>IF(DZ108="","",IFERROR(DZ108*HSI!$B$106*HSI!$G$106/HSI!$B$3,""))</f>
        <v/>
      </c>
      <c r="GO108" s="85">
        <f>IF(EA108="","",IFERROR(EA108*HSI!$B$106*HSI!$G$106/HSI!$B$3,""))</f>
        <v/>
      </c>
      <c r="GP108" s="85">
        <f>IF(EB108="","",IFERROR(EB108*HSI!$B$106*HSI!$G$106/HSI!$B$3,""))</f>
        <v/>
      </c>
      <c r="GQ108" s="85">
        <f>IF(EC108="","",IFERROR(EC108*HSI!$B$106*HSI!$G$106/HSI!$B$3,""))</f>
        <v/>
      </c>
    </row>
    <row r="111">
      <c r="B111" s="3" t="inlineStr">
        <is>
          <t>Hang Seng TECH Index (HSTECH)   -   codes</t>
        </is>
      </c>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c r="AA111" s="4" t="n"/>
      <c r="AB111" s="4" t="n"/>
      <c r="AC111" s="4" t="n"/>
      <c r="AD111" s="4" t="n"/>
      <c r="AE111" s="4" t="n"/>
      <c r="AF111" s="4" t="n"/>
      <c r="AG111" s="4" t="n"/>
      <c r="AH111" s="4" t="n"/>
      <c r="AI111" s="4" t="n"/>
      <c r="AJ111" s="4" t="n"/>
      <c r="AK111" s="4" t="n"/>
      <c r="AL111" s="4" t="n"/>
      <c r="AM111" s="4" t="n"/>
      <c r="AN111" s="4" t="n"/>
      <c r="AO111" s="4" t="n"/>
      <c r="AP111" s="4" t="n"/>
      <c r="AQ111" s="4" t="n"/>
      <c r="AR111" s="4" t="n"/>
      <c r="AS111" s="4" t="n"/>
      <c r="AT111" s="4" t="n"/>
      <c r="AU111" s="4" t="n"/>
      <c r="AV111" s="4" t="n"/>
      <c r="AW111" s="4" t="n"/>
      <c r="AX111" s="4" t="n"/>
      <c r="AY111" s="4" t="n"/>
      <c r="AZ111" s="4" t="n"/>
      <c r="BA111" s="4" t="n"/>
      <c r="BB111" s="4" t="n"/>
      <c r="BC111" s="4" t="n"/>
      <c r="BD111" s="4" t="n"/>
      <c r="BE111" s="4" t="n"/>
      <c r="BF111" s="4" t="n"/>
      <c r="BG111" s="4" t="n"/>
      <c r="BH111" s="4" t="n"/>
      <c r="BI111" s="4" t="n"/>
      <c r="BJ111" s="4" t="n"/>
      <c r="BK111" s="4" t="n"/>
      <c r="BL111" s="4" t="n"/>
      <c r="BM111" s="4" t="n"/>
      <c r="BN111" s="4" t="n"/>
      <c r="BO111" s="4" t="n"/>
      <c r="BQ111" s="3" t="inlineStr">
        <is>
          <t>DPS</t>
        </is>
      </c>
      <c r="BR111" s="4" t="n"/>
      <c r="BS111" s="4" t="n"/>
      <c r="BT111" s="4" t="n"/>
      <c r="BU111" s="4" t="n"/>
      <c r="BV111" s="4" t="n"/>
      <c r="BW111" s="4" t="n"/>
      <c r="BX111" s="4" t="n"/>
      <c r="BY111" s="4" t="n"/>
      <c r="BZ111" s="4" t="n"/>
      <c r="CA111" s="4" t="n"/>
      <c r="CB111" s="4" t="n"/>
      <c r="CC111" s="4" t="n"/>
      <c r="CD111" s="4" t="n"/>
      <c r="CE111" s="4" t="n"/>
      <c r="CF111" s="4" t="n"/>
      <c r="CG111" s="4" t="n"/>
      <c r="CH111" s="4" t="n"/>
      <c r="CI111" s="4" t="n"/>
      <c r="CJ111" s="4" t="n"/>
      <c r="CK111" s="4" t="n"/>
      <c r="CL111" s="4" t="n"/>
      <c r="CM111" s="4" t="n"/>
      <c r="CN111" s="4" t="n"/>
      <c r="CO111" s="4" t="n"/>
      <c r="CP111" s="4" t="n"/>
      <c r="CQ111" s="4" t="n"/>
      <c r="CR111" s="4" t="n"/>
      <c r="CS111" s="4" t="n"/>
      <c r="CT111" s="4" t="n"/>
      <c r="CU111" s="4" t="n"/>
      <c r="CV111" s="4" t="n"/>
      <c r="CW111" s="4" t="n"/>
      <c r="CX111" s="4" t="n"/>
      <c r="CY111" s="4" t="n"/>
      <c r="CZ111" s="4" t="n"/>
      <c r="DA111" s="4" t="n"/>
      <c r="DB111" s="4" t="n"/>
      <c r="DC111" s="4" t="n"/>
      <c r="DD111" s="4" t="n"/>
      <c r="DE111" s="4" t="n"/>
      <c r="DF111" s="4" t="n"/>
      <c r="DG111" s="4" t="n"/>
      <c r="DH111" s="4" t="n"/>
      <c r="DI111" s="4" t="n"/>
      <c r="DJ111" s="4" t="n"/>
      <c r="DK111" s="4" t="n"/>
      <c r="DL111" s="4" t="n"/>
      <c r="DM111" s="4" t="n"/>
      <c r="DN111" s="4" t="n"/>
      <c r="DO111" s="4" t="n"/>
      <c r="DP111" s="4" t="n"/>
      <c r="DQ111" s="4" t="n"/>
      <c r="DR111" s="4" t="n"/>
      <c r="DS111" s="4" t="n"/>
      <c r="DT111" s="4" t="n"/>
      <c r="DU111" s="4" t="n"/>
      <c r="DV111" s="4" t="n"/>
      <c r="DW111" s="4" t="n"/>
      <c r="DX111" s="4" t="n"/>
      <c r="DY111" s="4" t="n"/>
      <c r="DZ111" s="4" t="n"/>
      <c r="EA111" s="4" t="n"/>
      <c r="EB111" s="4" t="n"/>
      <c r="EC111" s="4" t="n"/>
      <c r="EE111" s="3" t="inlineStr">
        <is>
          <t>index points</t>
        </is>
      </c>
      <c r="EF111" s="4" t="n"/>
      <c r="EG111" s="4" t="n"/>
      <c r="EH111" s="4" t="n"/>
      <c r="EI111" s="4" t="n"/>
      <c r="EJ111" s="4" t="n"/>
      <c r="EK111" s="4" t="n"/>
      <c r="EL111" s="4" t="n"/>
      <c r="EM111" s="4" t="n"/>
      <c r="EN111" s="4" t="n"/>
      <c r="EO111" s="4" t="n"/>
      <c r="EP111" s="4" t="n"/>
      <c r="EQ111" s="4" t="n"/>
      <c r="ER111" s="4" t="n"/>
      <c r="ES111" s="4" t="n"/>
      <c r="ET111" s="4" t="n"/>
      <c r="EU111" s="4" t="n"/>
      <c r="EV111" s="4" t="n"/>
      <c r="EW111" s="4" t="n"/>
      <c r="EX111" s="4" t="n"/>
      <c r="EY111" s="4" t="n"/>
      <c r="EZ111" s="4" t="n"/>
      <c r="FA111" s="4" t="n"/>
      <c r="FB111" s="4" t="n"/>
      <c r="FC111" s="4" t="n"/>
      <c r="FD111" s="4" t="n"/>
      <c r="FE111" s="4" t="n"/>
      <c r="FF111" s="4" t="n"/>
      <c r="FG111" s="4" t="n"/>
      <c r="FH111" s="4" t="n"/>
      <c r="FI111" s="4" t="n"/>
      <c r="FJ111" s="4" t="n"/>
      <c r="FK111" s="4" t="n"/>
      <c r="FL111" s="4" t="n"/>
      <c r="FM111" s="4" t="n"/>
      <c r="FN111" s="4" t="n"/>
      <c r="FO111" s="4" t="n"/>
      <c r="FP111" s="4" t="n"/>
      <c r="FQ111" s="4" t="n"/>
      <c r="FR111" s="4" t="n"/>
      <c r="FS111" s="4" t="n"/>
      <c r="FT111" s="4" t="n"/>
      <c r="FU111" s="4" t="n"/>
      <c r="FV111" s="4" t="n"/>
      <c r="FW111" s="4" t="n"/>
      <c r="FX111" s="4" t="n"/>
      <c r="FY111" s="4" t="n"/>
      <c r="FZ111" s="4" t="n"/>
      <c r="GA111" s="4" t="n"/>
      <c r="GB111" s="4" t="n"/>
      <c r="GC111" s="4" t="n"/>
      <c r="GD111" s="4" t="n"/>
      <c r="GE111" s="4" t="n"/>
      <c r="GF111" s="4" t="n"/>
      <c r="GG111" s="4" t="n"/>
      <c r="GH111" s="4" t="n"/>
      <c r="GI111" s="4" t="n"/>
      <c r="GJ111" s="4" t="n"/>
      <c r="GK111" s="4" t="n"/>
      <c r="GL111" s="4" t="n"/>
      <c r="GM111" s="4" t="n"/>
      <c r="GN111" s="4" t="n"/>
      <c r="GO111" s="4" t="n"/>
      <c r="GP111" s="4" t="n"/>
      <c r="GQ111" s="4" t="n"/>
    </row>
    <row r="113">
      <c r="B113" s="2">
        <f>IF(HSTECH!$C$7="","",HSTECH!$C$7)</f>
        <v/>
      </c>
      <c r="C113" s="41">
        <f>IF(N('Dvd Calendar'!$E$1515)=0,"",IF(('Dvd Calendar'!$E$1515&gt;=MIN(DATE(Summary!$C$12,1,1),Summary!$C$11))*('Dvd Calendar'!$E$1515&lt;=MAX(DATE(Summary!$C$12,12,31),Summary!$C$15))*('Dvd Calendar'!$E$1515&lt;=Summary!$C$11)=0,"",'Dvd Calendar'!$E$1515*1000000000+ISNUMBER('Dvd Calendar'!$E$1516)*100000000+('Dvd Calendar'!$E$1520='Field Check'!$C$25)*10000000+(N('Dvd Calendar'!$E$1514)&gt;0)*1000000+1*1000+1))</f>
        <v/>
      </c>
      <c r="D113" s="41">
        <f>IF(N('Dvd Calendar'!$F$1515)=0,"",IF(('Dvd Calendar'!$F$1515&gt;=MIN(DATE(Summary!$C$12,1,1),Summary!$C$11))*('Dvd Calendar'!$F$1515&lt;=MAX(DATE(Summary!$C$12,12,31),Summary!$C$15))*('Dvd Calendar'!$F$1515&lt;=Summary!$C$11)=0,"",'Dvd Calendar'!$F$1515*1000000000+ISNUMBER('Dvd Calendar'!$F$1516)*100000000+('Dvd Calendar'!$F$1520='Field Check'!$C$25)*10000000+(N('Dvd Calendar'!$F$1514)&gt;0)*1000000+1*1000+2))</f>
        <v/>
      </c>
      <c r="E113" s="41">
        <f>IF(N('Dvd Calendar'!$G$1515)=0,"",IF(('Dvd Calendar'!$G$1515&gt;=MIN(DATE(Summary!$C$12,1,1),Summary!$C$11))*('Dvd Calendar'!$G$1515&lt;=MAX(DATE(Summary!$C$12,12,31),Summary!$C$15))*('Dvd Calendar'!$G$1515&lt;=Summary!$C$11)=0,"",'Dvd Calendar'!$G$1515*1000000000+ISNUMBER('Dvd Calendar'!$G$1516)*100000000+('Dvd Calendar'!$G$1520='Field Check'!$C$25)*10000000+(N('Dvd Calendar'!$G$1514)&gt;0)*1000000+1*1000+3))</f>
        <v/>
      </c>
      <c r="F113" s="41">
        <f>IF(N('Dvd Calendar'!$H$1515)=0,"",IF(('Dvd Calendar'!$H$1515&gt;=MIN(DATE(Summary!$C$12,1,1),Summary!$C$11))*('Dvd Calendar'!$H$1515&lt;=MAX(DATE(Summary!$C$12,12,31),Summary!$C$15))*('Dvd Calendar'!$H$1515&lt;=Summary!$C$11)=0,"",'Dvd Calendar'!$H$1515*1000000000+ISNUMBER('Dvd Calendar'!$H$1516)*100000000+('Dvd Calendar'!$H$1520='Field Check'!$C$25)*10000000+(N('Dvd Calendar'!$H$1514)&gt;0)*1000000+1*1000+4))</f>
        <v/>
      </c>
      <c r="G113" s="41">
        <f>IF(N('Dvd Calendar'!$I$1515)=0,"",IF(('Dvd Calendar'!$I$1515&gt;=MIN(DATE(Summary!$C$12,1,1),Summary!$C$11))*('Dvd Calendar'!$I$1515&lt;=MAX(DATE(Summary!$C$12,12,31),Summary!$C$15))*('Dvd Calendar'!$I$1515&lt;=Summary!$C$11)=0,"",'Dvd Calendar'!$I$1515*1000000000+ISNUMBER('Dvd Calendar'!$I$1516)*100000000+('Dvd Calendar'!$I$1520='Field Check'!$C$25)*10000000+(N('Dvd Calendar'!$I$1514)&gt;0)*1000000+1*1000+5))</f>
        <v/>
      </c>
      <c r="H113" s="41">
        <f>IF(N('Dvd Calendar'!$J$1515)=0,"",IF(('Dvd Calendar'!$J$1515&gt;=MIN(DATE(Summary!$C$12,1,1),Summary!$C$11))*('Dvd Calendar'!$J$1515&lt;=MAX(DATE(Summary!$C$12,12,31),Summary!$C$15))*('Dvd Calendar'!$J$1515&lt;=Summary!$C$11)=0,"",'Dvd Calendar'!$J$1515*1000000000+ISNUMBER('Dvd Calendar'!$J$1516)*100000000+('Dvd Calendar'!$J$1520='Field Check'!$C$25)*10000000+(N('Dvd Calendar'!$J$1514)&gt;0)*1000000+1*1000+6))</f>
        <v/>
      </c>
      <c r="I113" s="41">
        <f>IF(N('Dvd Calendar'!$K$1515)=0,"",IF(('Dvd Calendar'!$K$1515&gt;=MIN(DATE(Summary!$C$12,1,1),Summary!$C$11))*('Dvd Calendar'!$K$1515&lt;=MAX(DATE(Summary!$C$12,12,31),Summary!$C$15))*('Dvd Calendar'!$K$1515&lt;=Summary!$C$11)=0,"",'Dvd Calendar'!$K$1515*1000000000+ISNUMBER('Dvd Calendar'!$K$1516)*100000000+('Dvd Calendar'!$K$1520='Field Check'!$C$25)*10000000+(N('Dvd Calendar'!$K$1514)&gt;0)*1000000+1*1000+7))</f>
        <v/>
      </c>
      <c r="J113" s="41">
        <f>IF(N('Dvd Calendar'!$L$1515)=0,"",IF(('Dvd Calendar'!$L$1515&gt;=MIN(DATE(Summary!$C$12,1,1),Summary!$C$11))*('Dvd Calendar'!$L$1515&lt;=MAX(DATE(Summary!$C$12,12,31),Summary!$C$15))*('Dvd Calendar'!$L$1515&lt;=Summary!$C$11)=0,"",'Dvd Calendar'!$L$1515*1000000000+ISNUMBER('Dvd Calendar'!$L$1516)*100000000+('Dvd Calendar'!$L$1520='Field Check'!$C$25)*10000000+(N('Dvd Calendar'!$L$1514)&gt;0)*1000000+1*1000+8))</f>
        <v/>
      </c>
      <c r="K113" s="41">
        <f>IF(N('Dvd Calendar'!$M$1515)=0,"",IF(('Dvd Calendar'!$M$1515&gt;=MIN(DATE(Summary!$C$12,1,1),Summary!$C$11))*('Dvd Calendar'!$M$1515&lt;=MAX(DATE(Summary!$C$12,12,31),Summary!$C$15))*('Dvd Calendar'!$M$1515&lt;=Summary!$C$11)=0,"",'Dvd Calendar'!$M$1515*1000000000+ISNUMBER('Dvd Calendar'!$M$1516)*100000000+('Dvd Calendar'!$M$1520='Field Check'!$C$25)*10000000+(N('Dvd Calendar'!$M$1514)&gt;0)*1000000+1*1000+9))</f>
        <v/>
      </c>
      <c r="L113" s="41">
        <f>IF(N('Dvd Calendar'!$N$1515)=0,"",IF(('Dvd Calendar'!$N$1515&gt;=MIN(DATE(Summary!$C$12,1,1),Summary!$C$11))*('Dvd Calendar'!$N$1515&lt;=MAX(DATE(Summary!$C$12,12,31),Summary!$C$15))*('Dvd Calendar'!$N$1515&lt;=Summary!$C$11)=0,"",'Dvd Calendar'!$N$1515*1000000000+ISNUMBER('Dvd Calendar'!$N$1516)*100000000+('Dvd Calendar'!$N$1520='Field Check'!$C$25)*10000000+(N('Dvd Calendar'!$N$1514)&gt;0)*1000000+1*1000+10))</f>
        <v/>
      </c>
      <c r="M113" s="41">
        <f>IF(N('Dvd Calendar'!$O$1515)=0,"",IF(('Dvd Calendar'!$O$1515&gt;=MIN(DATE(Summary!$C$12,1,1),Summary!$C$11))*('Dvd Calendar'!$O$1515&lt;=MAX(DATE(Summary!$C$12,12,31),Summary!$C$15))*('Dvd Calendar'!$O$1515&lt;=Summary!$C$11)=0,"",'Dvd Calendar'!$O$1515*1000000000+ISNUMBER('Dvd Calendar'!$O$1516)*100000000+('Dvd Calendar'!$O$1520='Field Check'!$C$25)*10000000+(N('Dvd Calendar'!$O$1514)&gt;0)*1000000+1*1000+11))</f>
        <v/>
      </c>
      <c r="N113" s="41">
        <f>IF(N('Dvd Calendar'!$P$1515)=0,"",IF(('Dvd Calendar'!$P$1515&gt;=MIN(DATE(Summary!$C$12,1,1),Summary!$C$11))*('Dvd Calendar'!$P$1515&lt;=MAX(DATE(Summary!$C$12,12,31),Summary!$C$15))*('Dvd Calendar'!$P$1515&lt;=Summary!$C$11)=0,"",'Dvd Calendar'!$P$1515*1000000000+ISNUMBER('Dvd Calendar'!$P$1516)*100000000+('Dvd Calendar'!$P$1520='Field Check'!$C$25)*10000000+(N('Dvd Calendar'!$P$1514)&gt;0)*1000000+1*1000+12))</f>
        <v/>
      </c>
      <c r="O113" s="41">
        <f>IF(N('Dvd Calendar'!$Q$1515)=0,"",IF(('Dvd Calendar'!$Q$1515&gt;=MIN(DATE(Summary!$C$12,1,1),Summary!$C$11))*('Dvd Calendar'!$Q$1515&lt;=MAX(DATE(Summary!$C$12,12,31),Summary!$C$15))*('Dvd Calendar'!$Q$1515&lt;=Summary!$C$11)=0,"",'Dvd Calendar'!$Q$1515*1000000000+ISNUMBER('Dvd Calendar'!$Q$1516)*100000000+('Dvd Calendar'!$Q$1520='Field Check'!$C$25)*10000000+(N('Dvd Calendar'!$Q$1514)&gt;0)*1000000+1*1000+13))</f>
        <v/>
      </c>
      <c r="P113" s="41">
        <f>IF(N('Dvd Calendar'!$R$1515)=0,"",IF(('Dvd Calendar'!$R$1515&gt;=MIN(DATE(Summary!$C$12,1,1),Summary!$C$11))*('Dvd Calendar'!$R$1515&lt;=MAX(DATE(Summary!$C$12,12,31),Summary!$C$15))*('Dvd Calendar'!$R$1515&lt;=Summary!$C$11)=0,"",'Dvd Calendar'!$R$1515*1000000000+ISNUMBER('Dvd Calendar'!$R$1516)*100000000+('Dvd Calendar'!$R$1520='Field Check'!$C$25)*10000000+(N('Dvd Calendar'!$R$1514)&gt;0)*1000000+1*1000+14))</f>
        <v/>
      </c>
      <c r="Q113" s="41">
        <f>IF(N('Dvd Calendar'!$S$1515)=0,"",IF(('Dvd Calendar'!$S$1515&gt;=MIN(DATE(Summary!$C$12,1,1),Summary!$C$11))*('Dvd Calendar'!$S$1515&lt;=MAX(DATE(Summary!$C$12,12,31),Summary!$C$15))*('Dvd Calendar'!$S$1515&lt;=Summary!$C$11)=0,"",'Dvd Calendar'!$S$1515*1000000000+ISNUMBER('Dvd Calendar'!$S$1516)*100000000+('Dvd Calendar'!$S$1520='Field Check'!$C$25)*10000000+(N('Dvd Calendar'!$S$1514)&gt;0)*1000000+1*1000+15))</f>
        <v/>
      </c>
      <c r="R113" s="41">
        <f>IF(N('Dvd Calendar'!$T$1515)=0,"",IF(('Dvd Calendar'!$T$1515&gt;=MIN(DATE(Summary!$C$12,1,1),Summary!$C$11))*('Dvd Calendar'!$T$1515&lt;=MAX(DATE(Summary!$C$12,12,31),Summary!$C$15))*('Dvd Calendar'!$T$1515&lt;=Summary!$C$11)=0,"",'Dvd Calendar'!$T$1515*1000000000+ISNUMBER('Dvd Calendar'!$T$1516)*100000000+('Dvd Calendar'!$T$1520='Field Check'!$C$25)*10000000+(N('Dvd Calendar'!$T$1514)&gt;0)*1000000+1*1000+16))</f>
        <v/>
      </c>
      <c r="S113" s="41">
        <f>IF(N('Dvd Calendar'!$U$1515)=0,"",IF(('Dvd Calendar'!$U$1515&gt;=MIN(DATE(Summary!$C$12,1,1),Summary!$C$11))*('Dvd Calendar'!$U$1515&lt;=MAX(DATE(Summary!$C$12,12,31),Summary!$C$15))*('Dvd Calendar'!$U$1515&lt;=Summary!$C$11)=0,"",'Dvd Calendar'!$U$1515*1000000000+ISNUMBER('Dvd Calendar'!$U$1516)*100000000+('Dvd Calendar'!$U$1520='Field Check'!$C$25)*10000000+(N('Dvd Calendar'!$U$1514)&gt;0)*1000000+1*1000+17))</f>
        <v/>
      </c>
      <c r="T113" s="41">
        <f>IF(N('Dvd Calendar'!$V$1515)=0,"",IF(('Dvd Calendar'!$V$1515&gt;=MIN(DATE(Summary!$C$12,1,1),Summary!$C$11))*('Dvd Calendar'!$V$1515&lt;=MAX(DATE(Summary!$C$12,12,31),Summary!$C$15))*('Dvd Calendar'!$V$1515&lt;=Summary!$C$11)=0,"",'Dvd Calendar'!$V$1515*1000000000+ISNUMBER('Dvd Calendar'!$V$1516)*100000000+('Dvd Calendar'!$V$1520='Field Check'!$C$25)*10000000+(N('Dvd Calendar'!$V$1514)&gt;0)*1000000+1*1000+18))</f>
        <v/>
      </c>
      <c r="U113" s="41">
        <f>IF(N('Dvd Calendar'!$W$1515)=0,"",IF(('Dvd Calendar'!$W$1515&gt;=MIN(DATE(Summary!$C$12,1,1),Summary!$C$11))*('Dvd Calendar'!$W$1515&lt;=MAX(DATE(Summary!$C$12,12,31),Summary!$C$15))*('Dvd Calendar'!$W$1515&lt;=Summary!$C$11)=0,"",'Dvd Calendar'!$W$1515*1000000000+ISNUMBER('Dvd Calendar'!$W$1516)*100000000+('Dvd Calendar'!$W$1520='Field Check'!$C$25)*10000000+(N('Dvd Calendar'!$W$1514)&gt;0)*1000000+1*1000+19))</f>
        <v/>
      </c>
      <c r="V113" s="41">
        <f>IF(N('Dvd Calendar'!$X$1515)=0,"",IF(('Dvd Calendar'!$X$1515&gt;=MIN(DATE(Summary!$C$12,1,1),Summary!$C$11))*('Dvd Calendar'!$X$1515&lt;=MAX(DATE(Summary!$C$12,12,31),Summary!$C$15))*('Dvd Calendar'!$X$1515&lt;=Summary!$C$11)=0,"",'Dvd Calendar'!$X$1515*1000000000+ISNUMBER('Dvd Calendar'!$X$1516)*100000000+('Dvd Calendar'!$X$1520='Field Check'!$C$25)*10000000+(N('Dvd Calendar'!$X$1514)&gt;0)*1000000+1*1000+20))</f>
        <v/>
      </c>
      <c r="W113" s="41">
        <f>IF(N('Dvd Calendar'!$Y$1515)=0,"",IF(('Dvd Calendar'!$Y$1515&gt;=MIN(DATE(Summary!$C$12,1,1),Summary!$C$11))*('Dvd Calendar'!$Y$1515&lt;=MAX(DATE(Summary!$C$12,12,31),Summary!$C$15))*('Dvd Calendar'!$Y$1515&lt;=Summary!$C$11)=0,"",'Dvd Calendar'!$Y$1515*1000000000+ISNUMBER('Dvd Calendar'!$Y$1516)*100000000+('Dvd Calendar'!$Y$1520='Field Check'!$C$25)*10000000+(N('Dvd Calendar'!$Y$1514)&gt;0)*1000000+1*1000+21))</f>
        <v/>
      </c>
      <c r="X113" s="41">
        <f>IF(N('Dvd Calendar'!$Z$1515)=0,"",IF(('Dvd Calendar'!$Z$1515&gt;=MIN(DATE(Summary!$C$12,1,1),Summary!$C$11))*('Dvd Calendar'!$Z$1515&lt;=MAX(DATE(Summary!$C$12,12,31),Summary!$C$15))*('Dvd Calendar'!$Z$1515&lt;=Summary!$C$11)=0,"",'Dvd Calendar'!$Z$1515*1000000000+ISNUMBER('Dvd Calendar'!$Z$1516)*100000000+('Dvd Calendar'!$Z$1520='Field Check'!$C$25)*10000000+(N('Dvd Calendar'!$Z$1514)&gt;0)*1000000+1*1000+22))</f>
        <v/>
      </c>
      <c r="Y113" s="41">
        <f>IF(N('Dvd Calendar'!$AA$1515)=0,"",IF(('Dvd Calendar'!$AA$1515&gt;=MIN(DATE(Summary!$C$12,1,1),Summary!$C$11))*('Dvd Calendar'!$AA$1515&lt;=MAX(DATE(Summary!$C$12,12,31),Summary!$C$15))*('Dvd Calendar'!$AA$1515&lt;=Summary!$C$11)=0,"",'Dvd Calendar'!$AA$1515*1000000000+ISNUMBER('Dvd Calendar'!$AA$1516)*100000000+('Dvd Calendar'!$AA$1520='Field Check'!$C$25)*10000000+(N('Dvd Calendar'!$AA$1514)&gt;0)*1000000+1*1000+23))</f>
        <v/>
      </c>
      <c r="Z113" s="41">
        <f>IF(N('Dvd Calendar'!$AB$1515)=0,"",IF(('Dvd Calendar'!$AB$1515&gt;=MIN(DATE(Summary!$C$12,1,1),Summary!$C$11))*('Dvd Calendar'!$AB$1515&lt;=MAX(DATE(Summary!$C$12,12,31),Summary!$C$15))*('Dvd Calendar'!$AB$1515&lt;=Summary!$C$11)=0,"",'Dvd Calendar'!$AB$1515*1000000000+ISNUMBER('Dvd Calendar'!$AB$1516)*100000000+('Dvd Calendar'!$AB$1520='Field Check'!$C$25)*10000000+(N('Dvd Calendar'!$AB$1514)&gt;0)*1000000+1*1000+24))</f>
        <v/>
      </c>
      <c r="AA113" s="41">
        <f>IF(N('Dvd Calendar'!$AC$1515)=0,"",IF(('Dvd Calendar'!$AC$1515&gt;=MIN(DATE(Summary!$C$12,1,1),Summary!$C$11))*('Dvd Calendar'!$AC$1515&lt;=MAX(DATE(Summary!$C$12,12,31),Summary!$C$15))*('Dvd Calendar'!$AC$1515&lt;=Summary!$C$11)=0,"",'Dvd Calendar'!$AC$1515*1000000000+ISNUMBER('Dvd Calendar'!$AC$1516)*100000000+('Dvd Calendar'!$AC$1520='Field Check'!$C$25)*10000000+(N('Dvd Calendar'!$AC$1514)&gt;0)*1000000+1*1000+25))</f>
        <v/>
      </c>
      <c r="AB113" s="41">
        <f>IF(N('Dvd Calendar'!$AD$1515)=0,"",IF(('Dvd Calendar'!$AD$1515&gt;=MIN(DATE(Summary!$C$12,1,1),Summary!$C$11))*('Dvd Calendar'!$AD$1515&lt;=MAX(DATE(Summary!$C$12,12,31),Summary!$C$15))*('Dvd Calendar'!$AD$1515&lt;=Summary!$C$11)=0,"",'Dvd Calendar'!$AD$1515*1000000000+ISNUMBER('Dvd Calendar'!$AD$1516)*100000000+('Dvd Calendar'!$AD$1520='Field Check'!$C$25)*10000000+(N('Dvd Calendar'!$AD$1514)&gt;0)*1000000+1*1000+26))</f>
        <v/>
      </c>
      <c r="AC113" s="41">
        <f>IF(N('Dvd Calendar'!$AE$1515)=0,"",IF(('Dvd Calendar'!$AE$1515&gt;=MIN(DATE(Summary!$C$12,1,1),Summary!$C$11))*('Dvd Calendar'!$AE$1515&lt;=MAX(DATE(Summary!$C$12,12,31),Summary!$C$15))*('Dvd Calendar'!$AE$1515&lt;=Summary!$C$11)=0,"",'Dvd Calendar'!$AE$1515*1000000000+ISNUMBER('Dvd Calendar'!$AE$1516)*100000000+('Dvd Calendar'!$AE$1520='Field Check'!$C$25)*10000000+(N('Dvd Calendar'!$AE$1514)&gt;0)*1000000+1*1000+27))</f>
        <v/>
      </c>
      <c r="AD113" s="41">
        <f>IF(N('Dvd Calendar'!$AF$1515)=0,"",IF(('Dvd Calendar'!$AF$1515&gt;=MIN(DATE(Summary!$C$12,1,1),Summary!$C$11))*('Dvd Calendar'!$AF$1515&lt;=MAX(DATE(Summary!$C$12,12,31),Summary!$C$15))*('Dvd Calendar'!$AF$1515&lt;=Summary!$C$11)=0,"",'Dvd Calendar'!$AF$1515*1000000000+ISNUMBER('Dvd Calendar'!$AF$1516)*100000000+('Dvd Calendar'!$AF$1520='Field Check'!$C$25)*10000000+(N('Dvd Calendar'!$AF$1514)&gt;0)*1000000+1*1000+28))</f>
        <v/>
      </c>
      <c r="AE113" s="41">
        <f>IF(N('Dvd Calendar'!$AG$1515)=0,"",IF(('Dvd Calendar'!$AG$1515&gt;=MIN(DATE(Summary!$C$12,1,1),Summary!$C$11))*('Dvd Calendar'!$AG$1515&lt;=MAX(DATE(Summary!$C$12,12,31),Summary!$C$15))*('Dvd Calendar'!$AG$1515&lt;=Summary!$C$11)=0,"",'Dvd Calendar'!$AG$1515*1000000000+ISNUMBER('Dvd Calendar'!$AG$1516)*100000000+('Dvd Calendar'!$AG$1520='Field Check'!$C$25)*10000000+(N('Dvd Calendar'!$AG$1514)&gt;0)*1000000+1*1000+29))</f>
        <v/>
      </c>
      <c r="AF113" s="41">
        <f>IF(N('Dvd Calendar'!$AH$1515)=0,"",IF(('Dvd Calendar'!$AH$1515&gt;=MIN(DATE(Summary!$C$12,1,1),Summary!$C$11))*('Dvd Calendar'!$AH$1515&lt;=MAX(DATE(Summary!$C$12,12,31),Summary!$C$15))*('Dvd Calendar'!$AH$1515&lt;=Summary!$C$11)=0,"",'Dvd Calendar'!$AH$1515*1000000000+ISNUMBER('Dvd Calendar'!$AH$1516)*100000000+('Dvd Calendar'!$AH$1520='Field Check'!$C$25)*10000000+(N('Dvd Calendar'!$AH$1514)&gt;0)*1000000+1*1000+30))</f>
        <v/>
      </c>
      <c r="AG113" s="41">
        <f>IF(N('Dvd Calendar'!$AI$1515)=0,"",IF(('Dvd Calendar'!$AI$1515&gt;=MIN(DATE(Summary!$C$12,1,1),Summary!$C$11))*('Dvd Calendar'!$AI$1515&lt;=MAX(DATE(Summary!$C$12,12,31),Summary!$C$15))*('Dvd Calendar'!$AI$1515&lt;=Summary!$C$11)=0,"",'Dvd Calendar'!$AI$1515*1000000000+ISNUMBER('Dvd Calendar'!$AI$1516)*100000000+('Dvd Calendar'!$AI$1520='Field Check'!$C$25)*10000000+(N('Dvd Calendar'!$AI$1514)&gt;0)*1000000+1*1000+31))</f>
        <v/>
      </c>
      <c r="AH113" s="41">
        <f>IF(N('Dvd Calendar'!$AJ$1515)=0,"",IF(('Dvd Calendar'!$AJ$1515&gt;=MIN(DATE(Summary!$C$12,1,1),Summary!$C$11))*('Dvd Calendar'!$AJ$1515&lt;=MAX(DATE(Summary!$C$12,12,31),Summary!$C$15))*('Dvd Calendar'!$AJ$1515&lt;=Summary!$C$11)=0,"",'Dvd Calendar'!$AJ$1515*1000000000+ISNUMBER('Dvd Calendar'!$AJ$1516)*100000000+('Dvd Calendar'!$AJ$1520='Field Check'!$C$25)*10000000+(N('Dvd Calendar'!$AJ$1514)&gt;0)*1000000+1*1000+32))</f>
        <v/>
      </c>
      <c r="AI113" s="41">
        <f>IF(N('Dvd Calendar'!$AK$1515)=0,"",IF(('Dvd Calendar'!$AK$1515&gt;=MIN(DATE(Summary!$C$12,1,1),Summary!$C$11))*('Dvd Calendar'!$AK$1515&lt;=MAX(DATE(Summary!$C$12,12,31),Summary!$C$15))*('Dvd Calendar'!$AK$1515&lt;=Summary!$C$11)=0,"",'Dvd Calendar'!$AK$1515*1000000000+ISNUMBER('Dvd Calendar'!$AK$1516)*100000000+('Dvd Calendar'!$AK$1520='Field Check'!$C$25)*10000000+(N('Dvd Calendar'!$AK$1514)&gt;0)*1000000+1*1000+33))</f>
        <v/>
      </c>
      <c r="AJ113" s="41">
        <f>IF(N('Dvd Calendar'!$AL$1515)=0,"",IF(('Dvd Calendar'!$AL$1515&gt;=MIN(DATE(Summary!$C$12,1,1),Summary!$C$11))*('Dvd Calendar'!$AL$1515&lt;=MAX(DATE(Summary!$C$12,12,31),Summary!$C$15))*('Dvd Calendar'!$AL$1515&lt;=Summary!$C$11)=0,"",'Dvd Calendar'!$AL$1515*1000000000+ISNUMBER('Dvd Calendar'!$AL$1516)*100000000+('Dvd Calendar'!$AL$1520='Field Check'!$C$25)*10000000+(N('Dvd Calendar'!$AL$1514)&gt;0)*1000000+1*1000+34))</f>
        <v/>
      </c>
      <c r="AK113" s="41">
        <f>IF(N('Dvd Calendar'!$AM$1515)=0,"",IF(('Dvd Calendar'!$AM$1515&gt;=MIN(DATE(Summary!$C$12,1,1),Summary!$C$11))*('Dvd Calendar'!$AM$1515&lt;=MAX(DATE(Summary!$C$12,12,31),Summary!$C$15))*('Dvd Calendar'!$AM$1515&lt;=Summary!$C$11)=0,"",'Dvd Calendar'!$AM$1515*1000000000+ISNUMBER('Dvd Calendar'!$AM$1516)*100000000+('Dvd Calendar'!$AM$1520='Field Check'!$C$25)*10000000+(N('Dvd Calendar'!$AM$1514)&gt;0)*1000000+1*1000+35))</f>
        <v/>
      </c>
      <c r="AL113" s="41">
        <f>IF(N('Dvd Calendar'!$AN$1515)=0,"",IF(('Dvd Calendar'!$AN$1515&gt;=MIN(DATE(Summary!$C$12,1,1),Summary!$C$11))*('Dvd Calendar'!$AN$1515&lt;=MAX(DATE(Summary!$C$12,12,31),Summary!$C$15))*('Dvd Calendar'!$AN$1515&lt;=Summary!$C$11)=0,"",'Dvd Calendar'!$AN$1515*1000000000+ISNUMBER('Dvd Calendar'!$AN$1516)*100000000+('Dvd Calendar'!$AN$1520='Field Check'!$C$25)*10000000+(N('Dvd Calendar'!$AN$1514)&gt;0)*1000000+1*1000+36))</f>
        <v/>
      </c>
      <c r="AM113" s="41">
        <f>IF(N('Dvd Calendar'!$AO$1515)=0,"",IF(('Dvd Calendar'!$AO$1515&gt;=MIN(DATE(Summary!$C$12,1,1),Summary!$C$11))*('Dvd Calendar'!$AO$1515&lt;=MAX(DATE(Summary!$C$12,12,31),Summary!$C$15))*('Dvd Calendar'!$AO$1515&lt;=Summary!$C$11)=0,"",'Dvd Calendar'!$AO$1515*1000000000+ISNUMBER('Dvd Calendar'!$AO$1516)*100000000+('Dvd Calendar'!$AO$1520='Field Check'!$C$25)*10000000+(N('Dvd Calendar'!$AO$1514)&gt;0)*1000000+1*1000+37))</f>
        <v/>
      </c>
      <c r="AN113" s="41">
        <f>IF(N('Dvd Calendar'!$AP$1515)=0,"",IF(('Dvd Calendar'!$AP$1515&gt;=MIN(DATE(Summary!$C$12,1,1),Summary!$C$11))*('Dvd Calendar'!$AP$1515&lt;=MAX(DATE(Summary!$C$12,12,31),Summary!$C$15))*('Dvd Calendar'!$AP$1515&lt;=Summary!$C$11)=0,"",'Dvd Calendar'!$AP$1515*1000000000+ISNUMBER('Dvd Calendar'!$AP$1516)*100000000+('Dvd Calendar'!$AP$1520='Field Check'!$C$25)*10000000+(N('Dvd Calendar'!$AP$1514)&gt;0)*1000000+1*1000+38))</f>
        <v/>
      </c>
      <c r="AO113" s="41">
        <f>IF(N('Dvd Calendar'!$AQ$1515)=0,"",IF(('Dvd Calendar'!$AQ$1515&gt;=MIN(DATE(Summary!$C$12,1,1),Summary!$C$11))*('Dvd Calendar'!$AQ$1515&lt;=MAX(DATE(Summary!$C$12,12,31),Summary!$C$15))*('Dvd Calendar'!$AQ$1515&lt;=Summary!$C$11)=0,"",'Dvd Calendar'!$AQ$1515*1000000000+ISNUMBER('Dvd Calendar'!$AQ$1516)*100000000+('Dvd Calendar'!$AQ$1520='Field Check'!$C$25)*10000000+(N('Dvd Calendar'!$AQ$1514)&gt;0)*1000000+1*1000+39))</f>
        <v/>
      </c>
      <c r="AP113" s="41">
        <f>IF(N('Dvd Calendar'!$AR$1515)=0,"",IF(('Dvd Calendar'!$AR$1515&gt;=MIN(DATE(Summary!$C$12,1,1),Summary!$C$11))*('Dvd Calendar'!$AR$1515&lt;=MAX(DATE(Summary!$C$12,12,31),Summary!$C$15))*('Dvd Calendar'!$AR$1515&lt;=Summary!$C$11)=0,"",'Dvd Calendar'!$AR$1515*1000000000+ISNUMBER('Dvd Calendar'!$AR$1516)*100000000+('Dvd Calendar'!$AR$1520='Field Check'!$C$25)*10000000+(N('Dvd Calendar'!$AR$1514)&gt;0)*1000000+1*1000+40))</f>
        <v/>
      </c>
      <c r="AQ113" s="41">
        <f>IF(N('Dvd Calendar'!$E$1522)=0,"",IF(('Dvd Calendar'!$E$1522&gt;=MIN(DATE(Summary!$C$12,1,1),Summary!$C$11))*('Dvd Calendar'!$E$1522&lt;=MAX(DATE(Summary!$C$12,12,31),Summary!$C$15))*('Dvd Calendar'!$E$1522&gt;Summary!$C$11)=0,"",'Dvd Calendar'!$E$1522*1000000000+ISNUMBER('Dvd Calendar'!$E$1523)*100000000+('Dvd Calendar'!$E$1527='Field Check'!$C$25)*10000000+(N('Dvd Calendar'!$E$1521)&gt;0)*1000000+1*1000+41))</f>
        <v/>
      </c>
      <c r="AR113" s="41">
        <f>IF(N('Dvd Calendar'!$F$1522)=0,"",IF(('Dvd Calendar'!$F$1522&gt;=MIN(DATE(Summary!$C$12,1,1),Summary!$C$11))*('Dvd Calendar'!$F$1522&lt;=MAX(DATE(Summary!$C$12,12,31),Summary!$C$15))*('Dvd Calendar'!$F$1522&gt;Summary!$C$11)=0,"",'Dvd Calendar'!$F$1522*1000000000+ISNUMBER('Dvd Calendar'!$F$1523)*100000000+('Dvd Calendar'!$F$1527='Field Check'!$C$25)*10000000+(N('Dvd Calendar'!$F$1521)&gt;0)*1000000+1*1000+42))</f>
        <v/>
      </c>
      <c r="AS113" s="41">
        <f>IF(N('Dvd Calendar'!$G$1522)=0,"",IF(('Dvd Calendar'!$G$1522&gt;=MIN(DATE(Summary!$C$12,1,1),Summary!$C$11))*('Dvd Calendar'!$G$1522&lt;=MAX(DATE(Summary!$C$12,12,31),Summary!$C$15))*('Dvd Calendar'!$G$1522&gt;Summary!$C$11)=0,"",'Dvd Calendar'!$G$1522*1000000000+ISNUMBER('Dvd Calendar'!$G$1523)*100000000+('Dvd Calendar'!$G$1527='Field Check'!$C$25)*10000000+(N('Dvd Calendar'!$G$1521)&gt;0)*1000000+1*1000+43))</f>
        <v/>
      </c>
      <c r="AT113" s="41">
        <f>IF(N('Dvd Calendar'!$H$1522)=0,"",IF(('Dvd Calendar'!$H$1522&gt;=MIN(DATE(Summary!$C$12,1,1),Summary!$C$11))*('Dvd Calendar'!$H$1522&lt;=MAX(DATE(Summary!$C$12,12,31),Summary!$C$15))*('Dvd Calendar'!$H$1522&gt;Summary!$C$11)=0,"",'Dvd Calendar'!$H$1522*1000000000+ISNUMBER('Dvd Calendar'!$H$1523)*100000000+('Dvd Calendar'!$H$1527='Field Check'!$C$25)*10000000+(N('Dvd Calendar'!$H$1521)&gt;0)*1000000+1*1000+44))</f>
        <v/>
      </c>
      <c r="AU113" s="41">
        <f>IF(N('Dvd Calendar'!$I$1522)=0,"",IF(('Dvd Calendar'!$I$1522&gt;=MIN(DATE(Summary!$C$12,1,1),Summary!$C$11))*('Dvd Calendar'!$I$1522&lt;=MAX(DATE(Summary!$C$12,12,31),Summary!$C$15))*('Dvd Calendar'!$I$1522&gt;Summary!$C$11)=0,"",'Dvd Calendar'!$I$1522*1000000000+ISNUMBER('Dvd Calendar'!$I$1523)*100000000+('Dvd Calendar'!$I$1527='Field Check'!$C$25)*10000000+(N('Dvd Calendar'!$I$1521)&gt;0)*1000000+1*1000+45))</f>
        <v/>
      </c>
      <c r="AV113" s="41">
        <f>IF(N('Dvd Calendar'!$J$1522)=0,"",IF(('Dvd Calendar'!$J$1522&gt;=MIN(DATE(Summary!$C$12,1,1),Summary!$C$11))*('Dvd Calendar'!$J$1522&lt;=MAX(DATE(Summary!$C$12,12,31),Summary!$C$15))*('Dvd Calendar'!$J$1522&gt;Summary!$C$11)=0,"",'Dvd Calendar'!$J$1522*1000000000+ISNUMBER('Dvd Calendar'!$J$1523)*100000000+('Dvd Calendar'!$J$1527='Field Check'!$C$25)*10000000+(N('Dvd Calendar'!$J$1521)&gt;0)*1000000+1*1000+46))</f>
        <v/>
      </c>
      <c r="AW113" s="41">
        <f>IF(N('Dvd Calendar'!$K$1522)=0,"",IF(('Dvd Calendar'!$K$1522&gt;=MIN(DATE(Summary!$C$12,1,1),Summary!$C$11))*('Dvd Calendar'!$K$1522&lt;=MAX(DATE(Summary!$C$12,12,31),Summary!$C$15))*('Dvd Calendar'!$K$1522&gt;Summary!$C$11)=0,"",'Dvd Calendar'!$K$1522*1000000000+ISNUMBER('Dvd Calendar'!$K$1523)*100000000+('Dvd Calendar'!$K$1527='Field Check'!$C$25)*10000000+(N('Dvd Calendar'!$K$1521)&gt;0)*1000000+1*1000+47))</f>
        <v/>
      </c>
      <c r="AX113" s="41">
        <f>IF(N('Dvd Calendar'!$L$1522)=0,"",IF(('Dvd Calendar'!$L$1522&gt;=MIN(DATE(Summary!$C$12,1,1),Summary!$C$11))*('Dvd Calendar'!$L$1522&lt;=MAX(DATE(Summary!$C$12,12,31),Summary!$C$15))*('Dvd Calendar'!$L$1522&gt;Summary!$C$11)=0,"",'Dvd Calendar'!$L$1522*1000000000+ISNUMBER('Dvd Calendar'!$L$1523)*100000000+('Dvd Calendar'!$L$1527='Field Check'!$C$25)*10000000+(N('Dvd Calendar'!$L$1521)&gt;0)*1000000+1*1000+48))</f>
        <v/>
      </c>
      <c r="AY113" s="41">
        <f>IF(N('Dvd Calendar'!$M$1522)=0,"",IF(('Dvd Calendar'!$M$1522&gt;=MIN(DATE(Summary!$C$12,1,1),Summary!$C$11))*('Dvd Calendar'!$M$1522&lt;=MAX(DATE(Summary!$C$12,12,31),Summary!$C$15))*('Dvd Calendar'!$M$1522&gt;Summary!$C$11)=0,"",'Dvd Calendar'!$M$1522*1000000000+ISNUMBER('Dvd Calendar'!$M$1523)*100000000+('Dvd Calendar'!$M$1527='Field Check'!$C$25)*10000000+(N('Dvd Calendar'!$M$1521)&gt;0)*1000000+1*1000+49))</f>
        <v/>
      </c>
      <c r="AZ113" s="41">
        <f>IF(N('Dvd Calendar'!$N$1522)=0,"",IF(('Dvd Calendar'!$N$1522&gt;=MIN(DATE(Summary!$C$12,1,1),Summary!$C$11))*('Dvd Calendar'!$N$1522&lt;=MAX(DATE(Summary!$C$12,12,31),Summary!$C$15))*('Dvd Calendar'!$N$1522&gt;Summary!$C$11)=0,"",'Dvd Calendar'!$N$1522*1000000000+ISNUMBER('Dvd Calendar'!$N$1523)*100000000+('Dvd Calendar'!$N$1527='Field Check'!$C$25)*10000000+(N('Dvd Calendar'!$N$1521)&gt;0)*1000000+1*1000+50))</f>
        <v/>
      </c>
      <c r="BA113" s="41">
        <f>IF(N('Dvd Calendar'!$O$1522)=0,"",IF(('Dvd Calendar'!$O$1522&gt;=MIN(DATE(Summary!$C$12,1,1),Summary!$C$11))*('Dvd Calendar'!$O$1522&lt;=MAX(DATE(Summary!$C$12,12,31),Summary!$C$15))*('Dvd Calendar'!$O$1522&gt;Summary!$C$11)=0,"",'Dvd Calendar'!$O$1522*1000000000+ISNUMBER('Dvd Calendar'!$O$1523)*100000000+('Dvd Calendar'!$O$1527='Field Check'!$C$25)*10000000+(N('Dvd Calendar'!$O$1521)&gt;0)*1000000+1*1000+51))</f>
        <v/>
      </c>
      <c r="BB113" s="41">
        <f>IF(N('Dvd Calendar'!$P$1522)=0,"",IF(('Dvd Calendar'!$P$1522&gt;=MIN(DATE(Summary!$C$12,1,1),Summary!$C$11))*('Dvd Calendar'!$P$1522&lt;=MAX(DATE(Summary!$C$12,12,31),Summary!$C$15))*('Dvd Calendar'!$P$1522&gt;Summary!$C$11)=0,"",'Dvd Calendar'!$P$1522*1000000000+ISNUMBER('Dvd Calendar'!$P$1523)*100000000+('Dvd Calendar'!$P$1527='Field Check'!$C$25)*10000000+(N('Dvd Calendar'!$P$1521)&gt;0)*1000000+1*1000+52))</f>
        <v/>
      </c>
      <c r="BC113" s="41">
        <f>IF(N('Dvd Calendar'!$Q$1522)=0,"",IF(('Dvd Calendar'!$Q$1522&gt;=MIN(DATE(Summary!$C$12,1,1),Summary!$C$11))*('Dvd Calendar'!$Q$1522&lt;=MAX(DATE(Summary!$C$12,12,31),Summary!$C$15))*('Dvd Calendar'!$Q$1522&gt;Summary!$C$11)=0,"",'Dvd Calendar'!$Q$1522*1000000000+ISNUMBER('Dvd Calendar'!$Q$1523)*100000000+('Dvd Calendar'!$Q$1527='Field Check'!$C$25)*10000000+(N('Dvd Calendar'!$Q$1521)&gt;0)*1000000+1*1000+53))</f>
        <v/>
      </c>
      <c r="BD113" s="41">
        <f>IF(N('Dvd Calendar'!$R$1522)=0,"",IF(('Dvd Calendar'!$R$1522&gt;=MIN(DATE(Summary!$C$12,1,1),Summary!$C$11))*('Dvd Calendar'!$R$1522&lt;=MAX(DATE(Summary!$C$12,12,31),Summary!$C$15))*('Dvd Calendar'!$R$1522&gt;Summary!$C$11)=0,"",'Dvd Calendar'!$R$1522*1000000000+ISNUMBER('Dvd Calendar'!$R$1523)*100000000+('Dvd Calendar'!$R$1527='Field Check'!$C$25)*10000000+(N('Dvd Calendar'!$R$1521)&gt;0)*1000000+1*1000+54))</f>
        <v/>
      </c>
      <c r="BE113" s="41">
        <f>IF(N('Dvd Calendar'!$S$1522)=0,"",IF(('Dvd Calendar'!$S$1522&gt;=MIN(DATE(Summary!$C$12,1,1),Summary!$C$11))*('Dvd Calendar'!$S$1522&lt;=MAX(DATE(Summary!$C$12,12,31),Summary!$C$15))*('Dvd Calendar'!$S$1522&gt;Summary!$C$11)=0,"",'Dvd Calendar'!$S$1522*1000000000+ISNUMBER('Dvd Calendar'!$S$1523)*100000000+('Dvd Calendar'!$S$1527='Field Check'!$C$25)*10000000+(N('Dvd Calendar'!$S$1521)&gt;0)*1000000+1*1000+55))</f>
        <v/>
      </c>
      <c r="BF113" s="41">
        <f>IF(N('Dvd Calendar'!$T$1522)=0,"",IF(('Dvd Calendar'!$T$1522&gt;=MIN(DATE(Summary!$C$12,1,1),Summary!$C$11))*('Dvd Calendar'!$T$1522&lt;=MAX(DATE(Summary!$C$12,12,31),Summary!$C$15))*('Dvd Calendar'!$T$1522&gt;Summary!$C$11)=0,"",'Dvd Calendar'!$T$1522*1000000000+ISNUMBER('Dvd Calendar'!$T$1523)*100000000+('Dvd Calendar'!$T$1527='Field Check'!$C$25)*10000000+(N('Dvd Calendar'!$T$1521)&gt;0)*1000000+1*1000+56))</f>
        <v/>
      </c>
      <c r="BG113" s="41">
        <f>IF(N('Dvd Calendar'!$U$1522)=0,"",IF(('Dvd Calendar'!$U$1522&gt;=MIN(DATE(Summary!$C$12,1,1),Summary!$C$11))*('Dvd Calendar'!$U$1522&lt;=MAX(DATE(Summary!$C$12,12,31),Summary!$C$15))*('Dvd Calendar'!$U$1522&gt;Summary!$C$11)=0,"",'Dvd Calendar'!$U$1522*1000000000+ISNUMBER('Dvd Calendar'!$U$1523)*100000000+('Dvd Calendar'!$U$1527='Field Check'!$C$25)*10000000+(N('Dvd Calendar'!$U$1521)&gt;0)*1000000+1*1000+57))</f>
        <v/>
      </c>
      <c r="BH113" s="41">
        <f>IF(N('Dvd Calendar'!$V$1522)=0,"",IF(('Dvd Calendar'!$V$1522&gt;=MIN(DATE(Summary!$C$12,1,1),Summary!$C$11))*('Dvd Calendar'!$V$1522&lt;=MAX(DATE(Summary!$C$12,12,31),Summary!$C$15))*('Dvd Calendar'!$V$1522&gt;Summary!$C$11)=0,"",'Dvd Calendar'!$V$1522*1000000000+ISNUMBER('Dvd Calendar'!$V$1523)*100000000+('Dvd Calendar'!$V$1527='Field Check'!$C$25)*10000000+(N('Dvd Calendar'!$V$1521)&gt;0)*1000000+1*1000+58))</f>
        <v/>
      </c>
      <c r="BI113" s="41">
        <f>IF(N('Dvd Calendar'!$W$1522)=0,"",IF(('Dvd Calendar'!$W$1522&gt;=MIN(DATE(Summary!$C$12,1,1),Summary!$C$11))*('Dvd Calendar'!$W$1522&lt;=MAX(DATE(Summary!$C$12,12,31),Summary!$C$15))*('Dvd Calendar'!$W$1522&gt;Summary!$C$11)=0,"",'Dvd Calendar'!$W$1522*1000000000+ISNUMBER('Dvd Calendar'!$W$1523)*100000000+('Dvd Calendar'!$W$1527='Field Check'!$C$25)*10000000+(N('Dvd Calendar'!$W$1521)&gt;0)*1000000+1*1000+59))</f>
        <v/>
      </c>
      <c r="BJ113" s="41">
        <f>IF(N('Dvd Calendar'!$X$1522)=0,"",IF(('Dvd Calendar'!$X$1522&gt;=MIN(DATE(Summary!$C$12,1,1),Summary!$C$11))*('Dvd Calendar'!$X$1522&lt;=MAX(DATE(Summary!$C$12,12,31),Summary!$C$15))*('Dvd Calendar'!$X$1522&gt;Summary!$C$11)=0,"",'Dvd Calendar'!$X$1522*1000000000+ISNUMBER('Dvd Calendar'!$X$1523)*100000000+('Dvd Calendar'!$X$1527='Field Check'!$C$25)*10000000+(N('Dvd Calendar'!$X$1521)&gt;0)*1000000+1*1000+60))</f>
        <v/>
      </c>
      <c r="BK113" s="41">
        <f>IF(N('Dvd Calendar'!$Y$1522)=0,"",IF(('Dvd Calendar'!$Y$1522&gt;=MIN(DATE(Summary!$C$12,1,1),Summary!$C$11))*('Dvd Calendar'!$Y$1522&lt;=MAX(DATE(Summary!$C$12,12,31),Summary!$C$15))*('Dvd Calendar'!$Y$1522&gt;Summary!$C$11)=0,"",'Dvd Calendar'!$Y$1522*1000000000+ISNUMBER('Dvd Calendar'!$Y$1523)*100000000+('Dvd Calendar'!$Y$1527='Field Check'!$C$25)*10000000+(N('Dvd Calendar'!$Y$1521)&gt;0)*1000000+1*1000+61))</f>
        <v/>
      </c>
      <c r="BL113" s="41">
        <f>IF(N('Dvd Calendar'!$Z$1522)=0,"",IF(('Dvd Calendar'!$Z$1522&gt;=MIN(DATE(Summary!$C$12,1,1),Summary!$C$11))*('Dvd Calendar'!$Z$1522&lt;=MAX(DATE(Summary!$C$12,12,31),Summary!$C$15))*('Dvd Calendar'!$Z$1522&gt;Summary!$C$11)=0,"",'Dvd Calendar'!$Z$1522*1000000000+ISNUMBER('Dvd Calendar'!$Z$1523)*100000000+('Dvd Calendar'!$Z$1527='Field Check'!$C$25)*10000000+(N('Dvd Calendar'!$Z$1521)&gt;0)*1000000+1*1000+62))</f>
        <v/>
      </c>
      <c r="BM113" s="41">
        <f>IF(N('Dvd Calendar'!$AA$1522)=0,"",IF(('Dvd Calendar'!$AA$1522&gt;=MIN(DATE(Summary!$C$12,1,1),Summary!$C$11))*('Dvd Calendar'!$AA$1522&lt;=MAX(DATE(Summary!$C$12,12,31),Summary!$C$15))*('Dvd Calendar'!$AA$1522&gt;Summary!$C$11)=0,"",'Dvd Calendar'!$AA$1522*1000000000+ISNUMBER('Dvd Calendar'!$AA$1523)*100000000+('Dvd Calendar'!$AA$1527='Field Check'!$C$25)*10000000+(N('Dvd Calendar'!$AA$1521)&gt;0)*1000000+1*1000+63))</f>
        <v/>
      </c>
      <c r="BN113" s="41">
        <f>IF(N('Dvd Calendar'!$AB$1522)=0,"",IF(('Dvd Calendar'!$AB$1522&gt;=MIN(DATE(Summary!$C$12,1,1),Summary!$C$11))*('Dvd Calendar'!$AB$1522&lt;=MAX(DATE(Summary!$C$12,12,31),Summary!$C$15))*('Dvd Calendar'!$AB$1522&gt;Summary!$C$11)=0,"",'Dvd Calendar'!$AB$1522*1000000000+ISNUMBER('Dvd Calendar'!$AB$1523)*100000000+('Dvd Calendar'!$AB$1527='Field Check'!$C$25)*10000000+(N('Dvd Calendar'!$AB$1521)&gt;0)*1000000+1*1000+64))</f>
        <v/>
      </c>
      <c r="BO113" s="41">
        <f>IF(N('Dvd Calendar'!$AC$1522)=0,"",IF(('Dvd Calendar'!$AC$1522&gt;=MIN(DATE(Summary!$C$12,1,1),Summary!$C$11))*('Dvd Calendar'!$AC$1522&lt;=MAX(DATE(Summary!$C$12,12,31),Summary!$C$15))*('Dvd Calendar'!$AC$1522&gt;Summary!$C$11)=0,"",'Dvd Calendar'!$AC$1522*1000000000+ISNUMBER('Dvd Calendar'!$AC$1523)*100000000+('Dvd Calendar'!$AC$1527='Field Check'!$C$25)*10000000+(N('Dvd Calendar'!$AC$1521)&gt;0)*1000000+1*1000+65))</f>
        <v/>
      </c>
      <c r="BQ113" s="85">
        <f>IF(C113="","",IF(ISNUMBER('Dvd Calendar'!$E$1516)=FALSE,"",IF((Summary!$C$13="N")*('Dvd Calendar'!$E$1520='Field Check'!$C$25)&gt;0,"",'Dvd Calendar'!$E$1516)))</f>
        <v/>
      </c>
      <c r="BR113" s="85">
        <f>IF(D113="","",IF(ISNUMBER('Dvd Calendar'!$F$1516)=FALSE,"",IF((Summary!$C$13="N")*('Dvd Calendar'!$F$1520='Field Check'!$C$25)&gt;0,"",'Dvd Calendar'!$F$1516)))</f>
        <v/>
      </c>
      <c r="BS113" s="85">
        <f>IF(E113="","",IF(ISNUMBER('Dvd Calendar'!$G$1516)=FALSE,"",IF((Summary!$C$13="N")*('Dvd Calendar'!$G$1520='Field Check'!$C$25)&gt;0,"",'Dvd Calendar'!$G$1516)))</f>
        <v/>
      </c>
      <c r="BT113" s="85">
        <f>IF(F113="","",IF(ISNUMBER('Dvd Calendar'!$H$1516)=FALSE,"",IF((Summary!$C$13="N")*('Dvd Calendar'!$H$1520='Field Check'!$C$25)&gt;0,"",'Dvd Calendar'!$H$1516)))</f>
        <v/>
      </c>
      <c r="BU113" s="85">
        <f>IF(G113="","",IF(ISNUMBER('Dvd Calendar'!$I$1516)=FALSE,"",IF((Summary!$C$13="N")*('Dvd Calendar'!$I$1520='Field Check'!$C$25)&gt;0,"",'Dvd Calendar'!$I$1516)))</f>
        <v/>
      </c>
      <c r="BV113" s="85">
        <f>IF(H113="","",IF(ISNUMBER('Dvd Calendar'!$J$1516)=FALSE,"",IF((Summary!$C$13="N")*('Dvd Calendar'!$J$1520='Field Check'!$C$25)&gt;0,"",'Dvd Calendar'!$J$1516)))</f>
        <v/>
      </c>
      <c r="BW113" s="85">
        <f>IF(I113="","",IF(ISNUMBER('Dvd Calendar'!$K$1516)=FALSE,"",IF((Summary!$C$13="N")*('Dvd Calendar'!$K$1520='Field Check'!$C$25)&gt;0,"",'Dvd Calendar'!$K$1516)))</f>
        <v/>
      </c>
      <c r="BX113" s="85">
        <f>IF(J113="","",IF(ISNUMBER('Dvd Calendar'!$L$1516)=FALSE,"",IF((Summary!$C$13="N")*('Dvd Calendar'!$L$1520='Field Check'!$C$25)&gt;0,"",'Dvd Calendar'!$L$1516)))</f>
        <v/>
      </c>
      <c r="BY113" s="85">
        <f>IF(K113="","",IF(ISNUMBER('Dvd Calendar'!$M$1516)=FALSE,"",IF((Summary!$C$13="N")*('Dvd Calendar'!$M$1520='Field Check'!$C$25)&gt;0,"",'Dvd Calendar'!$M$1516)))</f>
        <v/>
      </c>
      <c r="BZ113" s="85">
        <f>IF(L113="","",IF(ISNUMBER('Dvd Calendar'!$N$1516)=FALSE,"",IF((Summary!$C$13="N")*('Dvd Calendar'!$N$1520='Field Check'!$C$25)&gt;0,"",'Dvd Calendar'!$N$1516)))</f>
        <v/>
      </c>
      <c r="CA113" s="85">
        <f>IF(M113="","",IF(ISNUMBER('Dvd Calendar'!$O$1516)=FALSE,"",IF((Summary!$C$13="N")*('Dvd Calendar'!$O$1520='Field Check'!$C$25)&gt;0,"",'Dvd Calendar'!$O$1516)))</f>
        <v/>
      </c>
      <c r="CB113" s="85">
        <f>IF(N113="","",IF(ISNUMBER('Dvd Calendar'!$P$1516)=FALSE,"",IF((Summary!$C$13="N")*('Dvd Calendar'!$P$1520='Field Check'!$C$25)&gt;0,"",'Dvd Calendar'!$P$1516)))</f>
        <v/>
      </c>
      <c r="CC113" s="85">
        <f>IF(O113="","",IF(ISNUMBER('Dvd Calendar'!$Q$1516)=FALSE,"",IF((Summary!$C$13="N")*('Dvd Calendar'!$Q$1520='Field Check'!$C$25)&gt;0,"",'Dvd Calendar'!$Q$1516)))</f>
        <v/>
      </c>
      <c r="CD113" s="85">
        <f>IF(P113="","",IF(ISNUMBER('Dvd Calendar'!$R$1516)=FALSE,"",IF((Summary!$C$13="N")*('Dvd Calendar'!$R$1520='Field Check'!$C$25)&gt;0,"",'Dvd Calendar'!$R$1516)))</f>
        <v/>
      </c>
      <c r="CE113" s="85">
        <f>IF(Q113="","",IF(ISNUMBER('Dvd Calendar'!$S$1516)=FALSE,"",IF((Summary!$C$13="N")*('Dvd Calendar'!$S$1520='Field Check'!$C$25)&gt;0,"",'Dvd Calendar'!$S$1516)))</f>
        <v/>
      </c>
      <c r="CF113" s="85">
        <f>IF(R113="","",IF(ISNUMBER('Dvd Calendar'!$T$1516)=FALSE,"",IF((Summary!$C$13="N")*('Dvd Calendar'!$T$1520='Field Check'!$C$25)&gt;0,"",'Dvd Calendar'!$T$1516)))</f>
        <v/>
      </c>
      <c r="CG113" s="85">
        <f>IF(S113="","",IF(ISNUMBER('Dvd Calendar'!$U$1516)=FALSE,"",IF((Summary!$C$13="N")*('Dvd Calendar'!$U$1520='Field Check'!$C$25)&gt;0,"",'Dvd Calendar'!$U$1516)))</f>
        <v/>
      </c>
      <c r="CH113" s="85">
        <f>IF(T113="","",IF(ISNUMBER('Dvd Calendar'!$V$1516)=FALSE,"",IF((Summary!$C$13="N")*('Dvd Calendar'!$V$1520='Field Check'!$C$25)&gt;0,"",'Dvd Calendar'!$V$1516)))</f>
        <v/>
      </c>
      <c r="CI113" s="85">
        <f>IF(U113="","",IF(ISNUMBER('Dvd Calendar'!$W$1516)=FALSE,"",IF((Summary!$C$13="N")*('Dvd Calendar'!$W$1520='Field Check'!$C$25)&gt;0,"",'Dvd Calendar'!$W$1516)))</f>
        <v/>
      </c>
      <c r="CJ113" s="85">
        <f>IF(V113="","",IF(ISNUMBER('Dvd Calendar'!$X$1516)=FALSE,"",IF((Summary!$C$13="N")*('Dvd Calendar'!$X$1520='Field Check'!$C$25)&gt;0,"",'Dvd Calendar'!$X$1516)))</f>
        <v/>
      </c>
      <c r="CK113" s="85">
        <f>IF(W113="","",IF(ISNUMBER('Dvd Calendar'!$Y$1516)=FALSE,"",IF((Summary!$C$13="N")*('Dvd Calendar'!$Y$1520='Field Check'!$C$25)&gt;0,"",'Dvd Calendar'!$Y$1516)))</f>
        <v/>
      </c>
      <c r="CL113" s="85">
        <f>IF(X113="","",IF(ISNUMBER('Dvd Calendar'!$Z$1516)=FALSE,"",IF((Summary!$C$13="N")*('Dvd Calendar'!$Z$1520='Field Check'!$C$25)&gt;0,"",'Dvd Calendar'!$Z$1516)))</f>
        <v/>
      </c>
      <c r="CM113" s="85">
        <f>IF(Y113="","",IF(ISNUMBER('Dvd Calendar'!$AA$1516)=FALSE,"",IF((Summary!$C$13="N")*('Dvd Calendar'!$AA$1520='Field Check'!$C$25)&gt;0,"",'Dvd Calendar'!$AA$1516)))</f>
        <v/>
      </c>
      <c r="CN113" s="85">
        <f>IF(Z113="","",IF(ISNUMBER('Dvd Calendar'!$AB$1516)=FALSE,"",IF((Summary!$C$13="N")*('Dvd Calendar'!$AB$1520='Field Check'!$C$25)&gt;0,"",'Dvd Calendar'!$AB$1516)))</f>
        <v/>
      </c>
      <c r="CO113" s="85">
        <f>IF(AA113="","",IF(ISNUMBER('Dvd Calendar'!$AC$1516)=FALSE,"",IF((Summary!$C$13="N")*('Dvd Calendar'!$AC$1520='Field Check'!$C$25)&gt;0,"",'Dvd Calendar'!$AC$1516)))</f>
        <v/>
      </c>
      <c r="CP113" s="85">
        <f>IF(AB113="","",IF(ISNUMBER('Dvd Calendar'!$AD$1516)=FALSE,"",IF((Summary!$C$13="N")*('Dvd Calendar'!$AD$1520='Field Check'!$C$25)&gt;0,"",'Dvd Calendar'!$AD$1516)))</f>
        <v/>
      </c>
      <c r="CQ113" s="85">
        <f>IF(AC113="","",IF(ISNUMBER('Dvd Calendar'!$AE$1516)=FALSE,"",IF((Summary!$C$13="N")*('Dvd Calendar'!$AE$1520='Field Check'!$C$25)&gt;0,"",'Dvd Calendar'!$AE$1516)))</f>
        <v/>
      </c>
      <c r="CR113" s="85">
        <f>IF(AD113="","",IF(ISNUMBER('Dvd Calendar'!$AF$1516)=FALSE,"",IF((Summary!$C$13="N")*('Dvd Calendar'!$AF$1520='Field Check'!$C$25)&gt;0,"",'Dvd Calendar'!$AF$1516)))</f>
        <v/>
      </c>
      <c r="CS113" s="85">
        <f>IF(AE113="","",IF(ISNUMBER('Dvd Calendar'!$AG$1516)=FALSE,"",IF((Summary!$C$13="N")*('Dvd Calendar'!$AG$1520='Field Check'!$C$25)&gt;0,"",'Dvd Calendar'!$AG$1516)))</f>
        <v/>
      </c>
      <c r="CT113" s="85">
        <f>IF(AF113="","",IF(ISNUMBER('Dvd Calendar'!$AH$1516)=FALSE,"",IF((Summary!$C$13="N")*('Dvd Calendar'!$AH$1520='Field Check'!$C$25)&gt;0,"",'Dvd Calendar'!$AH$1516)))</f>
        <v/>
      </c>
      <c r="CU113" s="85">
        <f>IF(AG113="","",IF(ISNUMBER('Dvd Calendar'!$AI$1516)=FALSE,"",IF((Summary!$C$13="N")*('Dvd Calendar'!$AI$1520='Field Check'!$C$25)&gt;0,"",'Dvd Calendar'!$AI$1516)))</f>
        <v/>
      </c>
      <c r="CV113" s="85">
        <f>IF(AH113="","",IF(ISNUMBER('Dvd Calendar'!$AJ$1516)=FALSE,"",IF((Summary!$C$13="N")*('Dvd Calendar'!$AJ$1520='Field Check'!$C$25)&gt;0,"",'Dvd Calendar'!$AJ$1516)))</f>
        <v/>
      </c>
      <c r="CW113" s="85">
        <f>IF(AI113="","",IF(ISNUMBER('Dvd Calendar'!$AK$1516)=FALSE,"",IF((Summary!$C$13="N")*('Dvd Calendar'!$AK$1520='Field Check'!$C$25)&gt;0,"",'Dvd Calendar'!$AK$1516)))</f>
        <v/>
      </c>
      <c r="CX113" s="85">
        <f>IF(AJ113="","",IF(ISNUMBER('Dvd Calendar'!$AL$1516)=FALSE,"",IF((Summary!$C$13="N")*('Dvd Calendar'!$AL$1520='Field Check'!$C$25)&gt;0,"",'Dvd Calendar'!$AL$1516)))</f>
        <v/>
      </c>
      <c r="CY113" s="85">
        <f>IF(AK113="","",IF(ISNUMBER('Dvd Calendar'!$AM$1516)=FALSE,"",IF((Summary!$C$13="N")*('Dvd Calendar'!$AM$1520='Field Check'!$C$25)&gt;0,"",'Dvd Calendar'!$AM$1516)))</f>
        <v/>
      </c>
      <c r="CZ113" s="85">
        <f>IF(AL113="","",IF(ISNUMBER('Dvd Calendar'!$AN$1516)=FALSE,"",IF((Summary!$C$13="N")*('Dvd Calendar'!$AN$1520='Field Check'!$C$25)&gt;0,"",'Dvd Calendar'!$AN$1516)))</f>
        <v/>
      </c>
      <c r="DA113" s="85">
        <f>IF(AM113="","",IF(ISNUMBER('Dvd Calendar'!$AO$1516)=FALSE,"",IF((Summary!$C$13="N")*('Dvd Calendar'!$AO$1520='Field Check'!$C$25)&gt;0,"",'Dvd Calendar'!$AO$1516)))</f>
        <v/>
      </c>
      <c r="DB113" s="85">
        <f>IF(AN113="","",IF(ISNUMBER('Dvd Calendar'!$AP$1516)=FALSE,"",IF((Summary!$C$13="N")*('Dvd Calendar'!$AP$1520='Field Check'!$C$25)&gt;0,"",'Dvd Calendar'!$AP$1516)))</f>
        <v/>
      </c>
      <c r="DC113" s="85">
        <f>IF(AO113="","",IF(ISNUMBER('Dvd Calendar'!$AQ$1516)=FALSE,"",IF((Summary!$C$13="N")*('Dvd Calendar'!$AQ$1520='Field Check'!$C$25)&gt;0,"",'Dvd Calendar'!$AQ$1516)))</f>
        <v/>
      </c>
      <c r="DD113" s="85">
        <f>IF(AP113="","",IF(ISNUMBER('Dvd Calendar'!$AR$1516)=FALSE,"",IF((Summary!$C$13="N")*('Dvd Calendar'!$AR$1520='Field Check'!$C$25)&gt;0,"",'Dvd Calendar'!$AR$1516)))</f>
        <v/>
      </c>
      <c r="DE113" s="85">
        <f>IF(AQ113="","",IF(ISNUMBER('Dvd Calendar'!$E$1523)=FALSE,"",IF((Summary!$C$13="N")*('Dvd Calendar'!$E$1527='Field Check'!$C$25)&gt;0,"",'Dvd Calendar'!$E$1523)))</f>
        <v/>
      </c>
      <c r="DF113" s="85">
        <f>IF(AR113="","",IF(ISNUMBER('Dvd Calendar'!$F$1523)=FALSE,"",IF((Summary!$C$13="N")*('Dvd Calendar'!$F$1527='Field Check'!$C$25)&gt;0,"",'Dvd Calendar'!$F$1523)))</f>
        <v/>
      </c>
      <c r="DG113" s="85">
        <f>IF(AS113="","",IF(ISNUMBER('Dvd Calendar'!$G$1523)=FALSE,"",IF((Summary!$C$13="N")*('Dvd Calendar'!$G$1527='Field Check'!$C$25)&gt;0,"",'Dvd Calendar'!$G$1523)))</f>
        <v/>
      </c>
      <c r="DH113" s="85">
        <f>IF(AT113="","",IF(ISNUMBER('Dvd Calendar'!$H$1523)=FALSE,"",IF((Summary!$C$13="N")*('Dvd Calendar'!$H$1527='Field Check'!$C$25)&gt;0,"",'Dvd Calendar'!$H$1523)))</f>
        <v/>
      </c>
      <c r="DI113" s="85">
        <f>IF(AU113="","",IF(ISNUMBER('Dvd Calendar'!$I$1523)=FALSE,"",IF((Summary!$C$13="N")*('Dvd Calendar'!$I$1527='Field Check'!$C$25)&gt;0,"",'Dvd Calendar'!$I$1523)))</f>
        <v/>
      </c>
      <c r="DJ113" s="85">
        <f>IF(AV113="","",IF(ISNUMBER('Dvd Calendar'!$J$1523)=FALSE,"",IF((Summary!$C$13="N")*('Dvd Calendar'!$J$1527='Field Check'!$C$25)&gt;0,"",'Dvd Calendar'!$J$1523)))</f>
        <v/>
      </c>
      <c r="DK113" s="85">
        <f>IF(AW113="","",IF(ISNUMBER('Dvd Calendar'!$K$1523)=FALSE,"",IF((Summary!$C$13="N")*('Dvd Calendar'!$K$1527='Field Check'!$C$25)&gt;0,"",'Dvd Calendar'!$K$1523)))</f>
        <v/>
      </c>
      <c r="DL113" s="85">
        <f>IF(AX113="","",IF(ISNUMBER('Dvd Calendar'!$L$1523)=FALSE,"",IF((Summary!$C$13="N")*('Dvd Calendar'!$L$1527='Field Check'!$C$25)&gt;0,"",'Dvd Calendar'!$L$1523)))</f>
        <v/>
      </c>
      <c r="DM113" s="85">
        <f>IF(AY113="","",IF(ISNUMBER('Dvd Calendar'!$M$1523)=FALSE,"",IF((Summary!$C$13="N")*('Dvd Calendar'!$M$1527='Field Check'!$C$25)&gt;0,"",'Dvd Calendar'!$M$1523)))</f>
        <v/>
      </c>
      <c r="DN113" s="85">
        <f>IF(AZ113="","",IF(ISNUMBER('Dvd Calendar'!$N$1523)=FALSE,"",IF((Summary!$C$13="N")*('Dvd Calendar'!$N$1527='Field Check'!$C$25)&gt;0,"",'Dvd Calendar'!$N$1523)))</f>
        <v/>
      </c>
      <c r="DO113" s="85">
        <f>IF(BA113="","",IF(ISNUMBER('Dvd Calendar'!$O$1523)=FALSE,"",IF((Summary!$C$13="N")*('Dvd Calendar'!$O$1527='Field Check'!$C$25)&gt;0,"",'Dvd Calendar'!$O$1523)))</f>
        <v/>
      </c>
      <c r="DP113" s="85">
        <f>IF(BB113="","",IF(ISNUMBER('Dvd Calendar'!$P$1523)=FALSE,"",IF((Summary!$C$13="N")*('Dvd Calendar'!$P$1527='Field Check'!$C$25)&gt;0,"",'Dvd Calendar'!$P$1523)))</f>
        <v/>
      </c>
      <c r="DQ113" s="85">
        <f>IF(BC113="","",IF(ISNUMBER('Dvd Calendar'!$Q$1523)=FALSE,"",IF((Summary!$C$13="N")*('Dvd Calendar'!$Q$1527='Field Check'!$C$25)&gt;0,"",'Dvd Calendar'!$Q$1523)))</f>
        <v/>
      </c>
      <c r="DR113" s="85">
        <f>IF(BD113="","",IF(ISNUMBER('Dvd Calendar'!$R$1523)=FALSE,"",IF((Summary!$C$13="N")*('Dvd Calendar'!$R$1527='Field Check'!$C$25)&gt;0,"",'Dvd Calendar'!$R$1523)))</f>
        <v/>
      </c>
      <c r="DS113" s="85">
        <f>IF(BE113="","",IF(ISNUMBER('Dvd Calendar'!$S$1523)=FALSE,"",IF((Summary!$C$13="N")*('Dvd Calendar'!$S$1527='Field Check'!$C$25)&gt;0,"",'Dvd Calendar'!$S$1523)))</f>
        <v/>
      </c>
      <c r="DT113" s="85">
        <f>IF(BF113="","",IF(ISNUMBER('Dvd Calendar'!$T$1523)=FALSE,"",IF((Summary!$C$13="N")*('Dvd Calendar'!$T$1527='Field Check'!$C$25)&gt;0,"",'Dvd Calendar'!$T$1523)))</f>
        <v/>
      </c>
      <c r="DU113" s="85">
        <f>IF(BG113="","",IF(ISNUMBER('Dvd Calendar'!$U$1523)=FALSE,"",IF((Summary!$C$13="N")*('Dvd Calendar'!$U$1527='Field Check'!$C$25)&gt;0,"",'Dvd Calendar'!$U$1523)))</f>
        <v/>
      </c>
      <c r="DV113" s="85">
        <f>IF(BH113="","",IF(ISNUMBER('Dvd Calendar'!$V$1523)=FALSE,"",IF((Summary!$C$13="N")*('Dvd Calendar'!$V$1527='Field Check'!$C$25)&gt;0,"",'Dvd Calendar'!$V$1523)))</f>
        <v/>
      </c>
      <c r="DW113" s="85">
        <f>IF(BI113="","",IF(ISNUMBER('Dvd Calendar'!$W$1523)=FALSE,"",IF((Summary!$C$13="N")*('Dvd Calendar'!$W$1527='Field Check'!$C$25)&gt;0,"",'Dvd Calendar'!$W$1523)))</f>
        <v/>
      </c>
      <c r="DX113" s="85">
        <f>IF(BJ113="","",IF(ISNUMBER('Dvd Calendar'!$X$1523)=FALSE,"",IF((Summary!$C$13="N")*('Dvd Calendar'!$X$1527='Field Check'!$C$25)&gt;0,"",'Dvd Calendar'!$X$1523)))</f>
        <v/>
      </c>
      <c r="DY113" s="85">
        <f>IF(BK113="","",IF(ISNUMBER('Dvd Calendar'!$Y$1523)=FALSE,"",IF((Summary!$C$13="N")*('Dvd Calendar'!$Y$1527='Field Check'!$C$25)&gt;0,"",'Dvd Calendar'!$Y$1523)))</f>
        <v/>
      </c>
      <c r="DZ113" s="85">
        <f>IF(BL113="","",IF(ISNUMBER('Dvd Calendar'!$Z$1523)=FALSE,"",IF((Summary!$C$13="N")*('Dvd Calendar'!$Z$1527='Field Check'!$C$25)&gt;0,"",'Dvd Calendar'!$Z$1523)))</f>
        <v/>
      </c>
      <c r="EA113" s="85">
        <f>IF(BM113="","",IF(ISNUMBER('Dvd Calendar'!$AA$1523)=FALSE,"",IF((Summary!$C$13="N")*('Dvd Calendar'!$AA$1527='Field Check'!$C$25)&gt;0,"",'Dvd Calendar'!$AA$1523)))</f>
        <v/>
      </c>
      <c r="EB113" s="85">
        <f>IF(BN113="","",IF(ISNUMBER('Dvd Calendar'!$AB$1523)=FALSE,"",IF((Summary!$C$13="N")*('Dvd Calendar'!$AB$1527='Field Check'!$C$25)&gt;0,"",'Dvd Calendar'!$AB$1523)))</f>
        <v/>
      </c>
      <c r="EC113" s="85">
        <f>IF(BO113="","",IF(ISNUMBER('Dvd Calendar'!$AC$1523)=FALSE,"",IF((Summary!$C$13="N")*('Dvd Calendar'!$AC$1527='Field Check'!$C$25)&gt;0,"",'Dvd Calendar'!$AC$1523)))</f>
        <v/>
      </c>
      <c r="EE113" s="85">
        <f>IF(BQ113="","",IFERROR(BQ113*HSTECH!$B$7*HSTECH!$G$7/HSTECH!$B$3,""))</f>
        <v/>
      </c>
      <c r="EF113" s="85">
        <f>IF(BR113="","",IFERROR(BR113*HSTECH!$B$7*HSTECH!$G$7/HSTECH!$B$3,""))</f>
        <v/>
      </c>
      <c r="EG113" s="85">
        <f>IF(BS113="","",IFERROR(BS113*HSTECH!$B$7*HSTECH!$G$7/HSTECH!$B$3,""))</f>
        <v/>
      </c>
      <c r="EH113" s="85">
        <f>IF(BT113="","",IFERROR(BT113*HSTECH!$B$7*HSTECH!$G$7/HSTECH!$B$3,""))</f>
        <v/>
      </c>
      <c r="EI113" s="85">
        <f>IF(BU113="","",IFERROR(BU113*HSTECH!$B$7*HSTECH!$G$7/HSTECH!$B$3,""))</f>
        <v/>
      </c>
      <c r="EJ113" s="85">
        <f>IF(BV113="","",IFERROR(BV113*HSTECH!$B$7*HSTECH!$G$7/HSTECH!$B$3,""))</f>
        <v/>
      </c>
      <c r="EK113" s="85">
        <f>IF(BW113="","",IFERROR(BW113*HSTECH!$B$7*HSTECH!$G$7/HSTECH!$B$3,""))</f>
        <v/>
      </c>
      <c r="EL113" s="85">
        <f>IF(BX113="","",IFERROR(BX113*HSTECH!$B$7*HSTECH!$G$7/HSTECH!$B$3,""))</f>
        <v/>
      </c>
      <c r="EM113" s="85">
        <f>IF(BY113="","",IFERROR(BY113*HSTECH!$B$7*HSTECH!$G$7/HSTECH!$B$3,""))</f>
        <v/>
      </c>
      <c r="EN113" s="85">
        <f>IF(BZ113="","",IFERROR(BZ113*HSTECH!$B$7*HSTECH!$G$7/HSTECH!$B$3,""))</f>
        <v/>
      </c>
      <c r="EO113" s="85">
        <f>IF(CA113="","",IFERROR(CA113*HSTECH!$B$7*HSTECH!$G$7/HSTECH!$B$3,""))</f>
        <v/>
      </c>
      <c r="EP113" s="85">
        <f>IF(CB113="","",IFERROR(CB113*HSTECH!$B$7*HSTECH!$G$7/HSTECH!$B$3,""))</f>
        <v/>
      </c>
      <c r="EQ113" s="85">
        <f>IF(CC113="","",IFERROR(CC113*HSTECH!$B$7*HSTECH!$G$7/HSTECH!$B$3,""))</f>
        <v/>
      </c>
      <c r="ER113" s="85">
        <f>IF(CD113="","",IFERROR(CD113*HSTECH!$B$7*HSTECH!$G$7/HSTECH!$B$3,""))</f>
        <v/>
      </c>
      <c r="ES113" s="85">
        <f>IF(CE113="","",IFERROR(CE113*HSTECH!$B$7*HSTECH!$G$7/HSTECH!$B$3,""))</f>
        <v/>
      </c>
      <c r="ET113" s="85">
        <f>IF(CF113="","",IFERROR(CF113*HSTECH!$B$7*HSTECH!$G$7/HSTECH!$B$3,""))</f>
        <v/>
      </c>
      <c r="EU113" s="85">
        <f>IF(CG113="","",IFERROR(CG113*HSTECH!$B$7*HSTECH!$G$7/HSTECH!$B$3,""))</f>
        <v/>
      </c>
      <c r="EV113" s="85">
        <f>IF(CH113="","",IFERROR(CH113*HSTECH!$B$7*HSTECH!$G$7/HSTECH!$B$3,""))</f>
        <v/>
      </c>
      <c r="EW113" s="85">
        <f>IF(CI113="","",IFERROR(CI113*HSTECH!$B$7*HSTECH!$G$7/HSTECH!$B$3,""))</f>
        <v/>
      </c>
      <c r="EX113" s="85">
        <f>IF(CJ113="","",IFERROR(CJ113*HSTECH!$B$7*HSTECH!$G$7/HSTECH!$B$3,""))</f>
        <v/>
      </c>
      <c r="EY113" s="85">
        <f>IF(CK113="","",IFERROR(CK113*HSTECH!$B$7*HSTECH!$G$7/HSTECH!$B$3,""))</f>
        <v/>
      </c>
      <c r="EZ113" s="85">
        <f>IF(CL113="","",IFERROR(CL113*HSTECH!$B$7*HSTECH!$G$7/HSTECH!$B$3,""))</f>
        <v/>
      </c>
      <c r="FA113" s="85">
        <f>IF(CM113="","",IFERROR(CM113*HSTECH!$B$7*HSTECH!$G$7/HSTECH!$B$3,""))</f>
        <v/>
      </c>
      <c r="FB113" s="85">
        <f>IF(CN113="","",IFERROR(CN113*HSTECH!$B$7*HSTECH!$G$7/HSTECH!$B$3,""))</f>
        <v/>
      </c>
      <c r="FC113" s="85">
        <f>IF(CO113="","",IFERROR(CO113*HSTECH!$B$7*HSTECH!$G$7/HSTECH!$B$3,""))</f>
        <v/>
      </c>
      <c r="FD113" s="85">
        <f>IF(CP113="","",IFERROR(CP113*HSTECH!$B$7*HSTECH!$G$7/HSTECH!$B$3,""))</f>
        <v/>
      </c>
      <c r="FE113" s="85">
        <f>IF(CQ113="","",IFERROR(CQ113*HSTECH!$B$7*HSTECH!$G$7/HSTECH!$B$3,""))</f>
        <v/>
      </c>
      <c r="FF113" s="85">
        <f>IF(CR113="","",IFERROR(CR113*HSTECH!$B$7*HSTECH!$G$7/HSTECH!$B$3,""))</f>
        <v/>
      </c>
      <c r="FG113" s="85">
        <f>IF(CS113="","",IFERROR(CS113*HSTECH!$B$7*HSTECH!$G$7/HSTECH!$B$3,""))</f>
        <v/>
      </c>
      <c r="FH113" s="85">
        <f>IF(CT113="","",IFERROR(CT113*HSTECH!$B$7*HSTECH!$G$7/HSTECH!$B$3,""))</f>
        <v/>
      </c>
      <c r="FI113" s="85">
        <f>IF(CU113="","",IFERROR(CU113*HSTECH!$B$7*HSTECH!$G$7/HSTECH!$B$3,""))</f>
        <v/>
      </c>
      <c r="FJ113" s="85">
        <f>IF(CV113="","",IFERROR(CV113*HSTECH!$B$7*HSTECH!$G$7/HSTECH!$B$3,""))</f>
        <v/>
      </c>
      <c r="FK113" s="85">
        <f>IF(CW113="","",IFERROR(CW113*HSTECH!$B$7*HSTECH!$G$7/HSTECH!$B$3,""))</f>
        <v/>
      </c>
      <c r="FL113" s="85">
        <f>IF(CX113="","",IFERROR(CX113*HSTECH!$B$7*HSTECH!$G$7/HSTECH!$B$3,""))</f>
        <v/>
      </c>
      <c r="FM113" s="85">
        <f>IF(CY113="","",IFERROR(CY113*HSTECH!$B$7*HSTECH!$G$7/HSTECH!$B$3,""))</f>
        <v/>
      </c>
      <c r="FN113" s="85">
        <f>IF(CZ113="","",IFERROR(CZ113*HSTECH!$B$7*HSTECH!$G$7/HSTECH!$B$3,""))</f>
        <v/>
      </c>
      <c r="FO113" s="85">
        <f>IF(DA113="","",IFERROR(DA113*HSTECH!$B$7*HSTECH!$G$7/HSTECH!$B$3,""))</f>
        <v/>
      </c>
      <c r="FP113" s="85">
        <f>IF(DB113="","",IFERROR(DB113*HSTECH!$B$7*HSTECH!$G$7/HSTECH!$B$3,""))</f>
        <v/>
      </c>
      <c r="FQ113" s="85">
        <f>IF(DC113="","",IFERROR(DC113*HSTECH!$B$7*HSTECH!$G$7/HSTECH!$B$3,""))</f>
        <v/>
      </c>
      <c r="FR113" s="85">
        <f>IF(DD113="","",IFERROR(DD113*HSTECH!$B$7*HSTECH!$G$7/HSTECH!$B$3,""))</f>
        <v/>
      </c>
      <c r="FS113" s="85">
        <f>IF(DE113="","",IFERROR(DE113*HSTECH!$B$7*HSTECH!$G$7/HSTECH!$B$3,""))</f>
        <v/>
      </c>
      <c r="FT113" s="85">
        <f>IF(DF113="","",IFERROR(DF113*HSTECH!$B$7*HSTECH!$G$7/HSTECH!$B$3,""))</f>
        <v/>
      </c>
      <c r="FU113" s="85">
        <f>IF(DG113="","",IFERROR(DG113*HSTECH!$B$7*HSTECH!$G$7/HSTECH!$B$3,""))</f>
        <v/>
      </c>
      <c r="FV113" s="85">
        <f>IF(DH113="","",IFERROR(DH113*HSTECH!$B$7*HSTECH!$G$7/HSTECH!$B$3,""))</f>
        <v/>
      </c>
      <c r="FW113" s="85">
        <f>IF(DI113="","",IFERROR(DI113*HSTECH!$B$7*HSTECH!$G$7/HSTECH!$B$3,""))</f>
        <v/>
      </c>
      <c r="FX113" s="85">
        <f>IF(DJ113="","",IFERROR(DJ113*HSTECH!$B$7*HSTECH!$G$7/HSTECH!$B$3,""))</f>
        <v/>
      </c>
      <c r="FY113" s="85">
        <f>IF(DK113="","",IFERROR(DK113*HSTECH!$B$7*HSTECH!$G$7/HSTECH!$B$3,""))</f>
        <v/>
      </c>
      <c r="FZ113" s="85">
        <f>IF(DL113="","",IFERROR(DL113*HSTECH!$B$7*HSTECH!$G$7/HSTECH!$B$3,""))</f>
        <v/>
      </c>
      <c r="GA113" s="85">
        <f>IF(DM113="","",IFERROR(DM113*HSTECH!$B$7*HSTECH!$G$7/HSTECH!$B$3,""))</f>
        <v/>
      </c>
      <c r="GB113" s="85">
        <f>IF(DN113="","",IFERROR(DN113*HSTECH!$B$7*HSTECH!$G$7/HSTECH!$B$3,""))</f>
        <v/>
      </c>
      <c r="GC113" s="85">
        <f>IF(DO113="","",IFERROR(DO113*HSTECH!$B$7*HSTECH!$G$7/HSTECH!$B$3,""))</f>
        <v/>
      </c>
      <c r="GD113" s="85">
        <f>IF(DP113="","",IFERROR(DP113*HSTECH!$B$7*HSTECH!$G$7/HSTECH!$B$3,""))</f>
        <v/>
      </c>
      <c r="GE113" s="85">
        <f>IF(DQ113="","",IFERROR(DQ113*HSTECH!$B$7*HSTECH!$G$7/HSTECH!$B$3,""))</f>
        <v/>
      </c>
      <c r="GF113" s="85">
        <f>IF(DR113="","",IFERROR(DR113*HSTECH!$B$7*HSTECH!$G$7/HSTECH!$B$3,""))</f>
        <v/>
      </c>
      <c r="GG113" s="85">
        <f>IF(DS113="","",IFERROR(DS113*HSTECH!$B$7*HSTECH!$G$7/HSTECH!$B$3,""))</f>
        <v/>
      </c>
      <c r="GH113" s="85">
        <f>IF(DT113="","",IFERROR(DT113*HSTECH!$B$7*HSTECH!$G$7/HSTECH!$B$3,""))</f>
        <v/>
      </c>
      <c r="GI113" s="85">
        <f>IF(DU113="","",IFERROR(DU113*HSTECH!$B$7*HSTECH!$G$7/HSTECH!$B$3,""))</f>
        <v/>
      </c>
      <c r="GJ113" s="85">
        <f>IF(DV113="","",IFERROR(DV113*HSTECH!$B$7*HSTECH!$G$7/HSTECH!$B$3,""))</f>
        <v/>
      </c>
      <c r="GK113" s="85">
        <f>IF(DW113="","",IFERROR(DW113*HSTECH!$B$7*HSTECH!$G$7/HSTECH!$B$3,""))</f>
        <v/>
      </c>
      <c r="GL113" s="85">
        <f>IF(DX113="","",IFERROR(DX113*HSTECH!$B$7*HSTECH!$G$7/HSTECH!$B$3,""))</f>
        <v/>
      </c>
      <c r="GM113" s="85">
        <f>IF(DY113="","",IFERROR(DY113*HSTECH!$B$7*HSTECH!$G$7/HSTECH!$B$3,""))</f>
        <v/>
      </c>
      <c r="GN113" s="85">
        <f>IF(DZ113="","",IFERROR(DZ113*HSTECH!$B$7*HSTECH!$G$7/HSTECH!$B$3,""))</f>
        <v/>
      </c>
      <c r="GO113" s="85">
        <f>IF(EA113="","",IFERROR(EA113*HSTECH!$B$7*HSTECH!$G$7/HSTECH!$B$3,""))</f>
        <v/>
      </c>
      <c r="GP113" s="85">
        <f>IF(EB113="","",IFERROR(EB113*HSTECH!$B$7*HSTECH!$G$7/HSTECH!$B$3,""))</f>
        <v/>
      </c>
      <c r="GQ113" s="85">
        <f>IF(EC113="","",IFERROR(EC113*HSTECH!$B$7*HSTECH!$G$7/HSTECH!$B$3,""))</f>
        <v/>
      </c>
    </row>
    <row r="114">
      <c r="B114" s="2">
        <f>IF(HSTECH!$C$8="","",HSTECH!$C$8)</f>
        <v/>
      </c>
      <c r="C114" s="41">
        <f>IF(N('Dvd Calendar'!$E$1530)=0,"",IF(('Dvd Calendar'!$E$1530&gt;=MIN(DATE(Summary!$C$12,1,1),Summary!$C$11))*('Dvd Calendar'!$E$1530&lt;=MAX(DATE(Summary!$C$12,12,31),Summary!$C$15))*('Dvd Calendar'!$E$1530&lt;=Summary!$C$11)=0,"",'Dvd Calendar'!$E$1530*1000000000+ISNUMBER('Dvd Calendar'!$E$1531)*100000000+('Dvd Calendar'!$E$1535='Field Check'!$C$25)*10000000+(N('Dvd Calendar'!$E$1529)&gt;0)*1000000+2*1000+1))</f>
        <v/>
      </c>
      <c r="D114" s="41">
        <f>IF(N('Dvd Calendar'!$F$1530)=0,"",IF(('Dvd Calendar'!$F$1530&gt;=MIN(DATE(Summary!$C$12,1,1),Summary!$C$11))*('Dvd Calendar'!$F$1530&lt;=MAX(DATE(Summary!$C$12,12,31),Summary!$C$15))*('Dvd Calendar'!$F$1530&lt;=Summary!$C$11)=0,"",'Dvd Calendar'!$F$1530*1000000000+ISNUMBER('Dvd Calendar'!$F$1531)*100000000+('Dvd Calendar'!$F$1535='Field Check'!$C$25)*10000000+(N('Dvd Calendar'!$F$1529)&gt;0)*1000000+2*1000+2))</f>
        <v/>
      </c>
      <c r="E114" s="41">
        <f>IF(N('Dvd Calendar'!$G$1530)=0,"",IF(('Dvd Calendar'!$G$1530&gt;=MIN(DATE(Summary!$C$12,1,1),Summary!$C$11))*('Dvd Calendar'!$G$1530&lt;=MAX(DATE(Summary!$C$12,12,31),Summary!$C$15))*('Dvd Calendar'!$G$1530&lt;=Summary!$C$11)=0,"",'Dvd Calendar'!$G$1530*1000000000+ISNUMBER('Dvd Calendar'!$G$1531)*100000000+('Dvd Calendar'!$G$1535='Field Check'!$C$25)*10000000+(N('Dvd Calendar'!$G$1529)&gt;0)*1000000+2*1000+3))</f>
        <v/>
      </c>
      <c r="F114" s="41">
        <f>IF(N('Dvd Calendar'!$H$1530)=0,"",IF(('Dvd Calendar'!$H$1530&gt;=MIN(DATE(Summary!$C$12,1,1),Summary!$C$11))*('Dvd Calendar'!$H$1530&lt;=MAX(DATE(Summary!$C$12,12,31),Summary!$C$15))*('Dvd Calendar'!$H$1530&lt;=Summary!$C$11)=0,"",'Dvd Calendar'!$H$1530*1000000000+ISNUMBER('Dvd Calendar'!$H$1531)*100000000+('Dvd Calendar'!$H$1535='Field Check'!$C$25)*10000000+(N('Dvd Calendar'!$H$1529)&gt;0)*1000000+2*1000+4))</f>
        <v/>
      </c>
      <c r="G114" s="41">
        <f>IF(N('Dvd Calendar'!$I$1530)=0,"",IF(('Dvd Calendar'!$I$1530&gt;=MIN(DATE(Summary!$C$12,1,1),Summary!$C$11))*('Dvd Calendar'!$I$1530&lt;=MAX(DATE(Summary!$C$12,12,31),Summary!$C$15))*('Dvd Calendar'!$I$1530&lt;=Summary!$C$11)=0,"",'Dvd Calendar'!$I$1530*1000000000+ISNUMBER('Dvd Calendar'!$I$1531)*100000000+('Dvd Calendar'!$I$1535='Field Check'!$C$25)*10000000+(N('Dvd Calendar'!$I$1529)&gt;0)*1000000+2*1000+5))</f>
        <v/>
      </c>
      <c r="H114" s="41">
        <f>IF(N('Dvd Calendar'!$J$1530)=0,"",IF(('Dvd Calendar'!$J$1530&gt;=MIN(DATE(Summary!$C$12,1,1),Summary!$C$11))*('Dvd Calendar'!$J$1530&lt;=MAX(DATE(Summary!$C$12,12,31),Summary!$C$15))*('Dvd Calendar'!$J$1530&lt;=Summary!$C$11)=0,"",'Dvd Calendar'!$J$1530*1000000000+ISNUMBER('Dvd Calendar'!$J$1531)*100000000+('Dvd Calendar'!$J$1535='Field Check'!$C$25)*10000000+(N('Dvd Calendar'!$J$1529)&gt;0)*1000000+2*1000+6))</f>
        <v/>
      </c>
      <c r="I114" s="41">
        <f>IF(N('Dvd Calendar'!$K$1530)=0,"",IF(('Dvd Calendar'!$K$1530&gt;=MIN(DATE(Summary!$C$12,1,1),Summary!$C$11))*('Dvd Calendar'!$K$1530&lt;=MAX(DATE(Summary!$C$12,12,31),Summary!$C$15))*('Dvd Calendar'!$K$1530&lt;=Summary!$C$11)=0,"",'Dvd Calendar'!$K$1530*1000000000+ISNUMBER('Dvd Calendar'!$K$1531)*100000000+('Dvd Calendar'!$K$1535='Field Check'!$C$25)*10000000+(N('Dvd Calendar'!$K$1529)&gt;0)*1000000+2*1000+7))</f>
        <v/>
      </c>
      <c r="J114" s="41">
        <f>IF(N('Dvd Calendar'!$L$1530)=0,"",IF(('Dvd Calendar'!$L$1530&gt;=MIN(DATE(Summary!$C$12,1,1),Summary!$C$11))*('Dvd Calendar'!$L$1530&lt;=MAX(DATE(Summary!$C$12,12,31),Summary!$C$15))*('Dvd Calendar'!$L$1530&lt;=Summary!$C$11)=0,"",'Dvd Calendar'!$L$1530*1000000000+ISNUMBER('Dvd Calendar'!$L$1531)*100000000+('Dvd Calendar'!$L$1535='Field Check'!$C$25)*10000000+(N('Dvd Calendar'!$L$1529)&gt;0)*1000000+2*1000+8))</f>
        <v/>
      </c>
      <c r="K114" s="41">
        <f>IF(N('Dvd Calendar'!$M$1530)=0,"",IF(('Dvd Calendar'!$M$1530&gt;=MIN(DATE(Summary!$C$12,1,1),Summary!$C$11))*('Dvd Calendar'!$M$1530&lt;=MAX(DATE(Summary!$C$12,12,31),Summary!$C$15))*('Dvd Calendar'!$M$1530&lt;=Summary!$C$11)=0,"",'Dvd Calendar'!$M$1530*1000000000+ISNUMBER('Dvd Calendar'!$M$1531)*100000000+('Dvd Calendar'!$M$1535='Field Check'!$C$25)*10000000+(N('Dvd Calendar'!$M$1529)&gt;0)*1000000+2*1000+9))</f>
        <v/>
      </c>
      <c r="L114" s="41">
        <f>IF(N('Dvd Calendar'!$N$1530)=0,"",IF(('Dvd Calendar'!$N$1530&gt;=MIN(DATE(Summary!$C$12,1,1),Summary!$C$11))*('Dvd Calendar'!$N$1530&lt;=MAX(DATE(Summary!$C$12,12,31),Summary!$C$15))*('Dvd Calendar'!$N$1530&lt;=Summary!$C$11)=0,"",'Dvd Calendar'!$N$1530*1000000000+ISNUMBER('Dvd Calendar'!$N$1531)*100000000+('Dvd Calendar'!$N$1535='Field Check'!$C$25)*10000000+(N('Dvd Calendar'!$N$1529)&gt;0)*1000000+2*1000+10))</f>
        <v/>
      </c>
      <c r="M114" s="41">
        <f>IF(N('Dvd Calendar'!$O$1530)=0,"",IF(('Dvd Calendar'!$O$1530&gt;=MIN(DATE(Summary!$C$12,1,1),Summary!$C$11))*('Dvd Calendar'!$O$1530&lt;=MAX(DATE(Summary!$C$12,12,31),Summary!$C$15))*('Dvd Calendar'!$O$1530&lt;=Summary!$C$11)=0,"",'Dvd Calendar'!$O$1530*1000000000+ISNUMBER('Dvd Calendar'!$O$1531)*100000000+('Dvd Calendar'!$O$1535='Field Check'!$C$25)*10000000+(N('Dvd Calendar'!$O$1529)&gt;0)*1000000+2*1000+11))</f>
        <v/>
      </c>
      <c r="N114" s="41">
        <f>IF(N('Dvd Calendar'!$P$1530)=0,"",IF(('Dvd Calendar'!$P$1530&gt;=MIN(DATE(Summary!$C$12,1,1),Summary!$C$11))*('Dvd Calendar'!$P$1530&lt;=MAX(DATE(Summary!$C$12,12,31),Summary!$C$15))*('Dvd Calendar'!$P$1530&lt;=Summary!$C$11)=0,"",'Dvd Calendar'!$P$1530*1000000000+ISNUMBER('Dvd Calendar'!$P$1531)*100000000+('Dvd Calendar'!$P$1535='Field Check'!$C$25)*10000000+(N('Dvd Calendar'!$P$1529)&gt;0)*1000000+2*1000+12))</f>
        <v/>
      </c>
      <c r="O114" s="41">
        <f>IF(N('Dvd Calendar'!$Q$1530)=0,"",IF(('Dvd Calendar'!$Q$1530&gt;=MIN(DATE(Summary!$C$12,1,1),Summary!$C$11))*('Dvd Calendar'!$Q$1530&lt;=MAX(DATE(Summary!$C$12,12,31),Summary!$C$15))*('Dvd Calendar'!$Q$1530&lt;=Summary!$C$11)=0,"",'Dvd Calendar'!$Q$1530*1000000000+ISNUMBER('Dvd Calendar'!$Q$1531)*100000000+('Dvd Calendar'!$Q$1535='Field Check'!$C$25)*10000000+(N('Dvd Calendar'!$Q$1529)&gt;0)*1000000+2*1000+13))</f>
        <v/>
      </c>
      <c r="P114" s="41">
        <f>IF(N('Dvd Calendar'!$R$1530)=0,"",IF(('Dvd Calendar'!$R$1530&gt;=MIN(DATE(Summary!$C$12,1,1),Summary!$C$11))*('Dvd Calendar'!$R$1530&lt;=MAX(DATE(Summary!$C$12,12,31),Summary!$C$15))*('Dvd Calendar'!$R$1530&lt;=Summary!$C$11)=0,"",'Dvd Calendar'!$R$1530*1000000000+ISNUMBER('Dvd Calendar'!$R$1531)*100000000+('Dvd Calendar'!$R$1535='Field Check'!$C$25)*10000000+(N('Dvd Calendar'!$R$1529)&gt;0)*1000000+2*1000+14))</f>
        <v/>
      </c>
      <c r="Q114" s="41">
        <f>IF(N('Dvd Calendar'!$S$1530)=0,"",IF(('Dvd Calendar'!$S$1530&gt;=MIN(DATE(Summary!$C$12,1,1),Summary!$C$11))*('Dvd Calendar'!$S$1530&lt;=MAX(DATE(Summary!$C$12,12,31),Summary!$C$15))*('Dvd Calendar'!$S$1530&lt;=Summary!$C$11)=0,"",'Dvd Calendar'!$S$1530*1000000000+ISNUMBER('Dvd Calendar'!$S$1531)*100000000+('Dvd Calendar'!$S$1535='Field Check'!$C$25)*10000000+(N('Dvd Calendar'!$S$1529)&gt;0)*1000000+2*1000+15))</f>
        <v/>
      </c>
      <c r="R114" s="41">
        <f>IF(N('Dvd Calendar'!$T$1530)=0,"",IF(('Dvd Calendar'!$T$1530&gt;=MIN(DATE(Summary!$C$12,1,1),Summary!$C$11))*('Dvd Calendar'!$T$1530&lt;=MAX(DATE(Summary!$C$12,12,31),Summary!$C$15))*('Dvd Calendar'!$T$1530&lt;=Summary!$C$11)=0,"",'Dvd Calendar'!$T$1530*1000000000+ISNUMBER('Dvd Calendar'!$T$1531)*100000000+('Dvd Calendar'!$T$1535='Field Check'!$C$25)*10000000+(N('Dvd Calendar'!$T$1529)&gt;0)*1000000+2*1000+16))</f>
        <v/>
      </c>
      <c r="S114" s="41">
        <f>IF(N('Dvd Calendar'!$U$1530)=0,"",IF(('Dvd Calendar'!$U$1530&gt;=MIN(DATE(Summary!$C$12,1,1),Summary!$C$11))*('Dvd Calendar'!$U$1530&lt;=MAX(DATE(Summary!$C$12,12,31),Summary!$C$15))*('Dvd Calendar'!$U$1530&lt;=Summary!$C$11)=0,"",'Dvd Calendar'!$U$1530*1000000000+ISNUMBER('Dvd Calendar'!$U$1531)*100000000+('Dvd Calendar'!$U$1535='Field Check'!$C$25)*10000000+(N('Dvd Calendar'!$U$1529)&gt;0)*1000000+2*1000+17))</f>
        <v/>
      </c>
      <c r="T114" s="41">
        <f>IF(N('Dvd Calendar'!$V$1530)=0,"",IF(('Dvd Calendar'!$V$1530&gt;=MIN(DATE(Summary!$C$12,1,1),Summary!$C$11))*('Dvd Calendar'!$V$1530&lt;=MAX(DATE(Summary!$C$12,12,31),Summary!$C$15))*('Dvd Calendar'!$V$1530&lt;=Summary!$C$11)=0,"",'Dvd Calendar'!$V$1530*1000000000+ISNUMBER('Dvd Calendar'!$V$1531)*100000000+('Dvd Calendar'!$V$1535='Field Check'!$C$25)*10000000+(N('Dvd Calendar'!$V$1529)&gt;0)*1000000+2*1000+18))</f>
        <v/>
      </c>
      <c r="U114" s="41">
        <f>IF(N('Dvd Calendar'!$W$1530)=0,"",IF(('Dvd Calendar'!$W$1530&gt;=MIN(DATE(Summary!$C$12,1,1),Summary!$C$11))*('Dvd Calendar'!$W$1530&lt;=MAX(DATE(Summary!$C$12,12,31),Summary!$C$15))*('Dvd Calendar'!$W$1530&lt;=Summary!$C$11)=0,"",'Dvd Calendar'!$W$1530*1000000000+ISNUMBER('Dvd Calendar'!$W$1531)*100000000+('Dvd Calendar'!$W$1535='Field Check'!$C$25)*10000000+(N('Dvd Calendar'!$W$1529)&gt;0)*1000000+2*1000+19))</f>
        <v/>
      </c>
      <c r="V114" s="41">
        <f>IF(N('Dvd Calendar'!$X$1530)=0,"",IF(('Dvd Calendar'!$X$1530&gt;=MIN(DATE(Summary!$C$12,1,1),Summary!$C$11))*('Dvd Calendar'!$X$1530&lt;=MAX(DATE(Summary!$C$12,12,31),Summary!$C$15))*('Dvd Calendar'!$X$1530&lt;=Summary!$C$11)=0,"",'Dvd Calendar'!$X$1530*1000000000+ISNUMBER('Dvd Calendar'!$X$1531)*100000000+('Dvd Calendar'!$X$1535='Field Check'!$C$25)*10000000+(N('Dvd Calendar'!$X$1529)&gt;0)*1000000+2*1000+20))</f>
        <v/>
      </c>
      <c r="W114" s="41">
        <f>IF(N('Dvd Calendar'!$Y$1530)=0,"",IF(('Dvd Calendar'!$Y$1530&gt;=MIN(DATE(Summary!$C$12,1,1),Summary!$C$11))*('Dvd Calendar'!$Y$1530&lt;=MAX(DATE(Summary!$C$12,12,31),Summary!$C$15))*('Dvd Calendar'!$Y$1530&lt;=Summary!$C$11)=0,"",'Dvd Calendar'!$Y$1530*1000000000+ISNUMBER('Dvd Calendar'!$Y$1531)*100000000+('Dvd Calendar'!$Y$1535='Field Check'!$C$25)*10000000+(N('Dvd Calendar'!$Y$1529)&gt;0)*1000000+2*1000+21))</f>
        <v/>
      </c>
      <c r="X114" s="41">
        <f>IF(N('Dvd Calendar'!$Z$1530)=0,"",IF(('Dvd Calendar'!$Z$1530&gt;=MIN(DATE(Summary!$C$12,1,1),Summary!$C$11))*('Dvd Calendar'!$Z$1530&lt;=MAX(DATE(Summary!$C$12,12,31),Summary!$C$15))*('Dvd Calendar'!$Z$1530&lt;=Summary!$C$11)=0,"",'Dvd Calendar'!$Z$1530*1000000000+ISNUMBER('Dvd Calendar'!$Z$1531)*100000000+('Dvd Calendar'!$Z$1535='Field Check'!$C$25)*10000000+(N('Dvd Calendar'!$Z$1529)&gt;0)*1000000+2*1000+22))</f>
        <v/>
      </c>
      <c r="Y114" s="41">
        <f>IF(N('Dvd Calendar'!$AA$1530)=0,"",IF(('Dvd Calendar'!$AA$1530&gt;=MIN(DATE(Summary!$C$12,1,1),Summary!$C$11))*('Dvd Calendar'!$AA$1530&lt;=MAX(DATE(Summary!$C$12,12,31),Summary!$C$15))*('Dvd Calendar'!$AA$1530&lt;=Summary!$C$11)=0,"",'Dvd Calendar'!$AA$1530*1000000000+ISNUMBER('Dvd Calendar'!$AA$1531)*100000000+('Dvd Calendar'!$AA$1535='Field Check'!$C$25)*10000000+(N('Dvd Calendar'!$AA$1529)&gt;0)*1000000+2*1000+23))</f>
        <v/>
      </c>
      <c r="Z114" s="41">
        <f>IF(N('Dvd Calendar'!$AB$1530)=0,"",IF(('Dvd Calendar'!$AB$1530&gt;=MIN(DATE(Summary!$C$12,1,1),Summary!$C$11))*('Dvd Calendar'!$AB$1530&lt;=MAX(DATE(Summary!$C$12,12,31),Summary!$C$15))*('Dvd Calendar'!$AB$1530&lt;=Summary!$C$11)=0,"",'Dvd Calendar'!$AB$1530*1000000000+ISNUMBER('Dvd Calendar'!$AB$1531)*100000000+('Dvd Calendar'!$AB$1535='Field Check'!$C$25)*10000000+(N('Dvd Calendar'!$AB$1529)&gt;0)*1000000+2*1000+24))</f>
        <v/>
      </c>
      <c r="AA114" s="41">
        <f>IF(N('Dvd Calendar'!$AC$1530)=0,"",IF(('Dvd Calendar'!$AC$1530&gt;=MIN(DATE(Summary!$C$12,1,1),Summary!$C$11))*('Dvd Calendar'!$AC$1530&lt;=MAX(DATE(Summary!$C$12,12,31),Summary!$C$15))*('Dvd Calendar'!$AC$1530&lt;=Summary!$C$11)=0,"",'Dvd Calendar'!$AC$1530*1000000000+ISNUMBER('Dvd Calendar'!$AC$1531)*100000000+('Dvd Calendar'!$AC$1535='Field Check'!$C$25)*10000000+(N('Dvd Calendar'!$AC$1529)&gt;0)*1000000+2*1000+25))</f>
        <v/>
      </c>
      <c r="AB114" s="41">
        <f>IF(N('Dvd Calendar'!$AD$1530)=0,"",IF(('Dvd Calendar'!$AD$1530&gt;=MIN(DATE(Summary!$C$12,1,1),Summary!$C$11))*('Dvd Calendar'!$AD$1530&lt;=MAX(DATE(Summary!$C$12,12,31),Summary!$C$15))*('Dvd Calendar'!$AD$1530&lt;=Summary!$C$11)=0,"",'Dvd Calendar'!$AD$1530*1000000000+ISNUMBER('Dvd Calendar'!$AD$1531)*100000000+('Dvd Calendar'!$AD$1535='Field Check'!$C$25)*10000000+(N('Dvd Calendar'!$AD$1529)&gt;0)*1000000+2*1000+26))</f>
        <v/>
      </c>
      <c r="AC114" s="41">
        <f>IF(N('Dvd Calendar'!$AE$1530)=0,"",IF(('Dvd Calendar'!$AE$1530&gt;=MIN(DATE(Summary!$C$12,1,1),Summary!$C$11))*('Dvd Calendar'!$AE$1530&lt;=MAX(DATE(Summary!$C$12,12,31),Summary!$C$15))*('Dvd Calendar'!$AE$1530&lt;=Summary!$C$11)=0,"",'Dvd Calendar'!$AE$1530*1000000000+ISNUMBER('Dvd Calendar'!$AE$1531)*100000000+('Dvd Calendar'!$AE$1535='Field Check'!$C$25)*10000000+(N('Dvd Calendar'!$AE$1529)&gt;0)*1000000+2*1000+27))</f>
        <v/>
      </c>
      <c r="AD114" s="41">
        <f>IF(N('Dvd Calendar'!$AF$1530)=0,"",IF(('Dvd Calendar'!$AF$1530&gt;=MIN(DATE(Summary!$C$12,1,1),Summary!$C$11))*('Dvd Calendar'!$AF$1530&lt;=MAX(DATE(Summary!$C$12,12,31),Summary!$C$15))*('Dvd Calendar'!$AF$1530&lt;=Summary!$C$11)=0,"",'Dvd Calendar'!$AF$1530*1000000000+ISNUMBER('Dvd Calendar'!$AF$1531)*100000000+('Dvd Calendar'!$AF$1535='Field Check'!$C$25)*10000000+(N('Dvd Calendar'!$AF$1529)&gt;0)*1000000+2*1000+28))</f>
        <v/>
      </c>
      <c r="AE114" s="41">
        <f>IF(N('Dvd Calendar'!$AG$1530)=0,"",IF(('Dvd Calendar'!$AG$1530&gt;=MIN(DATE(Summary!$C$12,1,1),Summary!$C$11))*('Dvd Calendar'!$AG$1530&lt;=MAX(DATE(Summary!$C$12,12,31),Summary!$C$15))*('Dvd Calendar'!$AG$1530&lt;=Summary!$C$11)=0,"",'Dvd Calendar'!$AG$1530*1000000000+ISNUMBER('Dvd Calendar'!$AG$1531)*100000000+('Dvd Calendar'!$AG$1535='Field Check'!$C$25)*10000000+(N('Dvd Calendar'!$AG$1529)&gt;0)*1000000+2*1000+29))</f>
        <v/>
      </c>
      <c r="AF114" s="41">
        <f>IF(N('Dvd Calendar'!$AH$1530)=0,"",IF(('Dvd Calendar'!$AH$1530&gt;=MIN(DATE(Summary!$C$12,1,1),Summary!$C$11))*('Dvd Calendar'!$AH$1530&lt;=MAX(DATE(Summary!$C$12,12,31),Summary!$C$15))*('Dvd Calendar'!$AH$1530&lt;=Summary!$C$11)=0,"",'Dvd Calendar'!$AH$1530*1000000000+ISNUMBER('Dvd Calendar'!$AH$1531)*100000000+('Dvd Calendar'!$AH$1535='Field Check'!$C$25)*10000000+(N('Dvd Calendar'!$AH$1529)&gt;0)*1000000+2*1000+30))</f>
        <v/>
      </c>
      <c r="AG114" s="41">
        <f>IF(N('Dvd Calendar'!$AI$1530)=0,"",IF(('Dvd Calendar'!$AI$1530&gt;=MIN(DATE(Summary!$C$12,1,1),Summary!$C$11))*('Dvd Calendar'!$AI$1530&lt;=MAX(DATE(Summary!$C$12,12,31),Summary!$C$15))*('Dvd Calendar'!$AI$1530&lt;=Summary!$C$11)=0,"",'Dvd Calendar'!$AI$1530*1000000000+ISNUMBER('Dvd Calendar'!$AI$1531)*100000000+('Dvd Calendar'!$AI$1535='Field Check'!$C$25)*10000000+(N('Dvd Calendar'!$AI$1529)&gt;0)*1000000+2*1000+31))</f>
        <v/>
      </c>
      <c r="AH114" s="41">
        <f>IF(N('Dvd Calendar'!$AJ$1530)=0,"",IF(('Dvd Calendar'!$AJ$1530&gt;=MIN(DATE(Summary!$C$12,1,1),Summary!$C$11))*('Dvd Calendar'!$AJ$1530&lt;=MAX(DATE(Summary!$C$12,12,31),Summary!$C$15))*('Dvd Calendar'!$AJ$1530&lt;=Summary!$C$11)=0,"",'Dvd Calendar'!$AJ$1530*1000000000+ISNUMBER('Dvd Calendar'!$AJ$1531)*100000000+('Dvd Calendar'!$AJ$1535='Field Check'!$C$25)*10000000+(N('Dvd Calendar'!$AJ$1529)&gt;0)*1000000+2*1000+32))</f>
        <v/>
      </c>
      <c r="AI114" s="41">
        <f>IF(N('Dvd Calendar'!$AK$1530)=0,"",IF(('Dvd Calendar'!$AK$1530&gt;=MIN(DATE(Summary!$C$12,1,1),Summary!$C$11))*('Dvd Calendar'!$AK$1530&lt;=MAX(DATE(Summary!$C$12,12,31),Summary!$C$15))*('Dvd Calendar'!$AK$1530&lt;=Summary!$C$11)=0,"",'Dvd Calendar'!$AK$1530*1000000000+ISNUMBER('Dvd Calendar'!$AK$1531)*100000000+('Dvd Calendar'!$AK$1535='Field Check'!$C$25)*10000000+(N('Dvd Calendar'!$AK$1529)&gt;0)*1000000+2*1000+33))</f>
        <v/>
      </c>
      <c r="AJ114" s="41">
        <f>IF(N('Dvd Calendar'!$AL$1530)=0,"",IF(('Dvd Calendar'!$AL$1530&gt;=MIN(DATE(Summary!$C$12,1,1),Summary!$C$11))*('Dvd Calendar'!$AL$1530&lt;=MAX(DATE(Summary!$C$12,12,31),Summary!$C$15))*('Dvd Calendar'!$AL$1530&lt;=Summary!$C$11)=0,"",'Dvd Calendar'!$AL$1530*1000000000+ISNUMBER('Dvd Calendar'!$AL$1531)*100000000+('Dvd Calendar'!$AL$1535='Field Check'!$C$25)*10000000+(N('Dvd Calendar'!$AL$1529)&gt;0)*1000000+2*1000+34))</f>
        <v/>
      </c>
      <c r="AK114" s="41">
        <f>IF(N('Dvd Calendar'!$AM$1530)=0,"",IF(('Dvd Calendar'!$AM$1530&gt;=MIN(DATE(Summary!$C$12,1,1),Summary!$C$11))*('Dvd Calendar'!$AM$1530&lt;=MAX(DATE(Summary!$C$12,12,31),Summary!$C$15))*('Dvd Calendar'!$AM$1530&lt;=Summary!$C$11)=0,"",'Dvd Calendar'!$AM$1530*1000000000+ISNUMBER('Dvd Calendar'!$AM$1531)*100000000+('Dvd Calendar'!$AM$1535='Field Check'!$C$25)*10000000+(N('Dvd Calendar'!$AM$1529)&gt;0)*1000000+2*1000+35))</f>
        <v/>
      </c>
      <c r="AL114" s="41">
        <f>IF(N('Dvd Calendar'!$AN$1530)=0,"",IF(('Dvd Calendar'!$AN$1530&gt;=MIN(DATE(Summary!$C$12,1,1),Summary!$C$11))*('Dvd Calendar'!$AN$1530&lt;=MAX(DATE(Summary!$C$12,12,31),Summary!$C$15))*('Dvd Calendar'!$AN$1530&lt;=Summary!$C$11)=0,"",'Dvd Calendar'!$AN$1530*1000000000+ISNUMBER('Dvd Calendar'!$AN$1531)*100000000+('Dvd Calendar'!$AN$1535='Field Check'!$C$25)*10000000+(N('Dvd Calendar'!$AN$1529)&gt;0)*1000000+2*1000+36))</f>
        <v/>
      </c>
      <c r="AM114" s="41">
        <f>IF(N('Dvd Calendar'!$AO$1530)=0,"",IF(('Dvd Calendar'!$AO$1530&gt;=MIN(DATE(Summary!$C$12,1,1),Summary!$C$11))*('Dvd Calendar'!$AO$1530&lt;=MAX(DATE(Summary!$C$12,12,31),Summary!$C$15))*('Dvd Calendar'!$AO$1530&lt;=Summary!$C$11)=0,"",'Dvd Calendar'!$AO$1530*1000000000+ISNUMBER('Dvd Calendar'!$AO$1531)*100000000+('Dvd Calendar'!$AO$1535='Field Check'!$C$25)*10000000+(N('Dvd Calendar'!$AO$1529)&gt;0)*1000000+2*1000+37))</f>
        <v/>
      </c>
      <c r="AN114" s="41">
        <f>IF(N('Dvd Calendar'!$AP$1530)=0,"",IF(('Dvd Calendar'!$AP$1530&gt;=MIN(DATE(Summary!$C$12,1,1),Summary!$C$11))*('Dvd Calendar'!$AP$1530&lt;=MAX(DATE(Summary!$C$12,12,31),Summary!$C$15))*('Dvd Calendar'!$AP$1530&lt;=Summary!$C$11)=0,"",'Dvd Calendar'!$AP$1530*1000000000+ISNUMBER('Dvd Calendar'!$AP$1531)*100000000+('Dvd Calendar'!$AP$1535='Field Check'!$C$25)*10000000+(N('Dvd Calendar'!$AP$1529)&gt;0)*1000000+2*1000+38))</f>
        <v/>
      </c>
      <c r="AO114" s="41">
        <f>IF(N('Dvd Calendar'!$AQ$1530)=0,"",IF(('Dvd Calendar'!$AQ$1530&gt;=MIN(DATE(Summary!$C$12,1,1),Summary!$C$11))*('Dvd Calendar'!$AQ$1530&lt;=MAX(DATE(Summary!$C$12,12,31),Summary!$C$15))*('Dvd Calendar'!$AQ$1530&lt;=Summary!$C$11)=0,"",'Dvd Calendar'!$AQ$1530*1000000000+ISNUMBER('Dvd Calendar'!$AQ$1531)*100000000+('Dvd Calendar'!$AQ$1535='Field Check'!$C$25)*10000000+(N('Dvd Calendar'!$AQ$1529)&gt;0)*1000000+2*1000+39))</f>
        <v/>
      </c>
      <c r="AP114" s="41">
        <f>IF(N('Dvd Calendar'!$AR$1530)=0,"",IF(('Dvd Calendar'!$AR$1530&gt;=MIN(DATE(Summary!$C$12,1,1),Summary!$C$11))*('Dvd Calendar'!$AR$1530&lt;=MAX(DATE(Summary!$C$12,12,31),Summary!$C$15))*('Dvd Calendar'!$AR$1530&lt;=Summary!$C$11)=0,"",'Dvd Calendar'!$AR$1530*1000000000+ISNUMBER('Dvd Calendar'!$AR$1531)*100000000+('Dvd Calendar'!$AR$1535='Field Check'!$C$25)*10000000+(N('Dvd Calendar'!$AR$1529)&gt;0)*1000000+2*1000+40))</f>
        <v/>
      </c>
      <c r="AQ114" s="41">
        <f>IF(N('Dvd Calendar'!$E$1537)=0,"",IF(('Dvd Calendar'!$E$1537&gt;=MIN(DATE(Summary!$C$12,1,1),Summary!$C$11))*('Dvd Calendar'!$E$1537&lt;=MAX(DATE(Summary!$C$12,12,31),Summary!$C$15))*('Dvd Calendar'!$E$1537&gt;Summary!$C$11)=0,"",'Dvd Calendar'!$E$1537*1000000000+ISNUMBER('Dvd Calendar'!$E$1538)*100000000+('Dvd Calendar'!$E$1542='Field Check'!$C$25)*10000000+(N('Dvd Calendar'!$E$1536)&gt;0)*1000000+2*1000+41))</f>
        <v/>
      </c>
      <c r="AR114" s="41">
        <f>IF(N('Dvd Calendar'!$F$1537)=0,"",IF(('Dvd Calendar'!$F$1537&gt;=MIN(DATE(Summary!$C$12,1,1),Summary!$C$11))*('Dvd Calendar'!$F$1537&lt;=MAX(DATE(Summary!$C$12,12,31),Summary!$C$15))*('Dvd Calendar'!$F$1537&gt;Summary!$C$11)=0,"",'Dvd Calendar'!$F$1537*1000000000+ISNUMBER('Dvd Calendar'!$F$1538)*100000000+('Dvd Calendar'!$F$1542='Field Check'!$C$25)*10000000+(N('Dvd Calendar'!$F$1536)&gt;0)*1000000+2*1000+42))</f>
        <v/>
      </c>
      <c r="AS114" s="41">
        <f>IF(N('Dvd Calendar'!$G$1537)=0,"",IF(('Dvd Calendar'!$G$1537&gt;=MIN(DATE(Summary!$C$12,1,1),Summary!$C$11))*('Dvd Calendar'!$G$1537&lt;=MAX(DATE(Summary!$C$12,12,31),Summary!$C$15))*('Dvd Calendar'!$G$1537&gt;Summary!$C$11)=0,"",'Dvd Calendar'!$G$1537*1000000000+ISNUMBER('Dvd Calendar'!$G$1538)*100000000+('Dvd Calendar'!$G$1542='Field Check'!$C$25)*10000000+(N('Dvd Calendar'!$G$1536)&gt;0)*1000000+2*1000+43))</f>
        <v/>
      </c>
      <c r="AT114" s="41">
        <f>IF(N('Dvd Calendar'!$H$1537)=0,"",IF(('Dvd Calendar'!$H$1537&gt;=MIN(DATE(Summary!$C$12,1,1),Summary!$C$11))*('Dvd Calendar'!$H$1537&lt;=MAX(DATE(Summary!$C$12,12,31),Summary!$C$15))*('Dvd Calendar'!$H$1537&gt;Summary!$C$11)=0,"",'Dvd Calendar'!$H$1537*1000000000+ISNUMBER('Dvd Calendar'!$H$1538)*100000000+('Dvd Calendar'!$H$1542='Field Check'!$C$25)*10000000+(N('Dvd Calendar'!$H$1536)&gt;0)*1000000+2*1000+44))</f>
        <v/>
      </c>
      <c r="AU114" s="41">
        <f>IF(N('Dvd Calendar'!$I$1537)=0,"",IF(('Dvd Calendar'!$I$1537&gt;=MIN(DATE(Summary!$C$12,1,1),Summary!$C$11))*('Dvd Calendar'!$I$1537&lt;=MAX(DATE(Summary!$C$12,12,31),Summary!$C$15))*('Dvd Calendar'!$I$1537&gt;Summary!$C$11)=0,"",'Dvd Calendar'!$I$1537*1000000000+ISNUMBER('Dvd Calendar'!$I$1538)*100000000+('Dvd Calendar'!$I$1542='Field Check'!$C$25)*10000000+(N('Dvd Calendar'!$I$1536)&gt;0)*1000000+2*1000+45))</f>
        <v/>
      </c>
      <c r="AV114" s="41">
        <f>IF(N('Dvd Calendar'!$J$1537)=0,"",IF(('Dvd Calendar'!$J$1537&gt;=MIN(DATE(Summary!$C$12,1,1),Summary!$C$11))*('Dvd Calendar'!$J$1537&lt;=MAX(DATE(Summary!$C$12,12,31),Summary!$C$15))*('Dvd Calendar'!$J$1537&gt;Summary!$C$11)=0,"",'Dvd Calendar'!$J$1537*1000000000+ISNUMBER('Dvd Calendar'!$J$1538)*100000000+('Dvd Calendar'!$J$1542='Field Check'!$C$25)*10000000+(N('Dvd Calendar'!$J$1536)&gt;0)*1000000+2*1000+46))</f>
        <v/>
      </c>
      <c r="AW114" s="41">
        <f>IF(N('Dvd Calendar'!$K$1537)=0,"",IF(('Dvd Calendar'!$K$1537&gt;=MIN(DATE(Summary!$C$12,1,1),Summary!$C$11))*('Dvd Calendar'!$K$1537&lt;=MAX(DATE(Summary!$C$12,12,31),Summary!$C$15))*('Dvd Calendar'!$K$1537&gt;Summary!$C$11)=0,"",'Dvd Calendar'!$K$1537*1000000000+ISNUMBER('Dvd Calendar'!$K$1538)*100000000+('Dvd Calendar'!$K$1542='Field Check'!$C$25)*10000000+(N('Dvd Calendar'!$K$1536)&gt;0)*1000000+2*1000+47))</f>
        <v/>
      </c>
      <c r="AX114" s="41">
        <f>IF(N('Dvd Calendar'!$L$1537)=0,"",IF(('Dvd Calendar'!$L$1537&gt;=MIN(DATE(Summary!$C$12,1,1),Summary!$C$11))*('Dvd Calendar'!$L$1537&lt;=MAX(DATE(Summary!$C$12,12,31),Summary!$C$15))*('Dvd Calendar'!$L$1537&gt;Summary!$C$11)=0,"",'Dvd Calendar'!$L$1537*1000000000+ISNUMBER('Dvd Calendar'!$L$1538)*100000000+('Dvd Calendar'!$L$1542='Field Check'!$C$25)*10000000+(N('Dvd Calendar'!$L$1536)&gt;0)*1000000+2*1000+48))</f>
        <v/>
      </c>
      <c r="AY114" s="41">
        <f>IF(N('Dvd Calendar'!$M$1537)=0,"",IF(('Dvd Calendar'!$M$1537&gt;=MIN(DATE(Summary!$C$12,1,1),Summary!$C$11))*('Dvd Calendar'!$M$1537&lt;=MAX(DATE(Summary!$C$12,12,31),Summary!$C$15))*('Dvd Calendar'!$M$1537&gt;Summary!$C$11)=0,"",'Dvd Calendar'!$M$1537*1000000000+ISNUMBER('Dvd Calendar'!$M$1538)*100000000+('Dvd Calendar'!$M$1542='Field Check'!$C$25)*10000000+(N('Dvd Calendar'!$M$1536)&gt;0)*1000000+2*1000+49))</f>
        <v/>
      </c>
      <c r="AZ114" s="41">
        <f>IF(N('Dvd Calendar'!$N$1537)=0,"",IF(('Dvd Calendar'!$N$1537&gt;=MIN(DATE(Summary!$C$12,1,1),Summary!$C$11))*('Dvd Calendar'!$N$1537&lt;=MAX(DATE(Summary!$C$12,12,31),Summary!$C$15))*('Dvd Calendar'!$N$1537&gt;Summary!$C$11)=0,"",'Dvd Calendar'!$N$1537*1000000000+ISNUMBER('Dvd Calendar'!$N$1538)*100000000+('Dvd Calendar'!$N$1542='Field Check'!$C$25)*10000000+(N('Dvd Calendar'!$N$1536)&gt;0)*1000000+2*1000+50))</f>
        <v/>
      </c>
      <c r="BA114" s="41">
        <f>IF(N('Dvd Calendar'!$O$1537)=0,"",IF(('Dvd Calendar'!$O$1537&gt;=MIN(DATE(Summary!$C$12,1,1),Summary!$C$11))*('Dvd Calendar'!$O$1537&lt;=MAX(DATE(Summary!$C$12,12,31),Summary!$C$15))*('Dvd Calendar'!$O$1537&gt;Summary!$C$11)=0,"",'Dvd Calendar'!$O$1537*1000000000+ISNUMBER('Dvd Calendar'!$O$1538)*100000000+('Dvd Calendar'!$O$1542='Field Check'!$C$25)*10000000+(N('Dvd Calendar'!$O$1536)&gt;0)*1000000+2*1000+51))</f>
        <v/>
      </c>
      <c r="BB114" s="41">
        <f>IF(N('Dvd Calendar'!$P$1537)=0,"",IF(('Dvd Calendar'!$P$1537&gt;=MIN(DATE(Summary!$C$12,1,1),Summary!$C$11))*('Dvd Calendar'!$P$1537&lt;=MAX(DATE(Summary!$C$12,12,31),Summary!$C$15))*('Dvd Calendar'!$P$1537&gt;Summary!$C$11)=0,"",'Dvd Calendar'!$P$1537*1000000000+ISNUMBER('Dvd Calendar'!$P$1538)*100000000+('Dvd Calendar'!$P$1542='Field Check'!$C$25)*10000000+(N('Dvd Calendar'!$P$1536)&gt;0)*1000000+2*1000+52))</f>
        <v/>
      </c>
      <c r="BC114" s="41">
        <f>IF(N('Dvd Calendar'!$Q$1537)=0,"",IF(('Dvd Calendar'!$Q$1537&gt;=MIN(DATE(Summary!$C$12,1,1),Summary!$C$11))*('Dvd Calendar'!$Q$1537&lt;=MAX(DATE(Summary!$C$12,12,31),Summary!$C$15))*('Dvd Calendar'!$Q$1537&gt;Summary!$C$11)=0,"",'Dvd Calendar'!$Q$1537*1000000000+ISNUMBER('Dvd Calendar'!$Q$1538)*100000000+('Dvd Calendar'!$Q$1542='Field Check'!$C$25)*10000000+(N('Dvd Calendar'!$Q$1536)&gt;0)*1000000+2*1000+53))</f>
        <v/>
      </c>
      <c r="BD114" s="41">
        <f>IF(N('Dvd Calendar'!$R$1537)=0,"",IF(('Dvd Calendar'!$R$1537&gt;=MIN(DATE(Summary!$C$12,1,1),Summary!$C$11))*('Dvd Calendar'!$R$1537&lt;=MAX(DATE(Summary!$C$12,12,31),Summary!$C$15))*('Dvd Calendar'!$R$1537&gt;Summary!$C$11)=0,"",'Dvd Calendar'!$R$1537*1000000000+ISNUMBER('Dvd Calendar'!$R$1538)*100000000+('Dvd Calendar'!$R$1542='Field Check'!$C$25)*10000000+(N('Dvd Calendar'!$R$1536)&gt;0)*1000000+2*1000+54))</f>
        <v/>
      </c>
      <c r="BE114" s="41">
        <f>IF(N('Dvd Calendar'!$S$1537)=0,"",IF(('Dvd Calendar'!$S$1537&gt;=MIN(DATE(Summary!$C$12,1,1),Summary!$C$11))*('Dvd Calendar'!$S$1537&lt;=MAX(DATE(Summary!$C$12,12,31),Summary!$C$15))*('Dvd Calendar'!$S$1537&gt;Summary!$C$11)=0,"",'Dvd Calendar'!$S$1537*1000000000+ISNUMBER('Dvd Calendar'!$S$1538)*100000000+('Dvd Calendar'!$S$1542='Field Check'!$C$25)*10000000+(N('Dvd Calendar'!$S$1536)&gt;0)*1000000+2*1000+55))</f>
        <v/>
      </c>
      <c r="BF114" s="41">
        <f>IF(N('Dvd Calendar'!$T$1537)=0,"",IF(('Dvd Calendar'!$T$1537&gt;=MIN(DATE(Summary!$C$12,1,1),Summary!$C$11))*('Dvd Calendar'!$T$1537&lt;=MAX(DATE(Summary!$C$12,12,31),Summary!$C$15))*('Dvd Calendar'!$T$1537&gt;Summary!$C$11)=0,"",'Dvd Calendar'!$T$1537*1000000000+ISNUMBER('Dvd Calendar'!$T$1538)*100000000+('Dvd Calendar'!$T$1542='Field Check'!$C$25)*10000000+(N('Dvd Calendar'!$T$1536)&gt;0)*1000000+2*1000+56))</f>
        <v/>
      </c>
      <c r="BG114" s="41">
        <f>IF(N('Dvd Calendar'!$U$1537)=0,"",IF(('Dvd Calendar'!$U$1537&gt;=MIN(DATE(Summary!$C$12,1,1),Summary!$C$11))*('Dvd Calendar'!$U$1537&lt;=MAX(DATE(Summary!$C$12,12,31),Summary!$C$15))*('Dvd Calendar'!$U$1537&gt;Summary!$C$11)=0,"",'Dvd Calendar'!$U$1537*1000000000+ISNUMBER('Dvd Calendar'!$U$1538)*100000000+('Dvd Calendar'!$U$1542='Field Check'!$C$25)*10000000+(N('Dvd Calendar'!$U$1536)&gt;0)*1000000+2*1000+57))</f>
        <v/>
      </c>
      <c r="BH114" s="41">
        <f>IF(N('Dvd Calendar'!$V$1537)=0,"",IF(('Dvd Calendar'!$V$1537&gt;=MIN(DATE(Summary!$C$12,1,1),Summary!$C$11))*('Dvd Calendar'!$V$1537&lt;=MAX(DATE(Summary!$C$12,12,31),Summary!$C$15))*('Dvd Calendar'!$V$1537&gt;Summary!$C$11)=0,"",'Dvd Calendar'!$V$1537*1000000000+ISNUMBER('Dvd Calendar'!$V$1538)*100000000+('Dvd Calendar'!$V$1542='Field Check'!$C$25)*10000000+(N('Dvd Calendar'!$V$1536)&gt;0)*1000000+2*1000+58))</f>
        <v/>
      </c>
      <c r="BI114" s="41">
        <f>IF(N('Dvd Calendar'!$W$1537)=0,"",IF(('Dvd Calendar'!$W$1537&gt;=MIN(DATE(Summary!$C$12,1,1),Summary!$C$11))*('Dvd Calendar'!$W$1537&lt;=MAX(DATE(Summary!$C$12,12,31),Summary!$C$15))*('Dvd Calendar'!$W$1537&gt;Summary!$C$11)=0,"",'Dvd Calendar'!$W$1537*1000000000+ISNUMBER('Dvd Calendar'!$W$1538)*100000000+('Dvd Calendar'!$W$1542='Field Check'!$C$25)*10000000+(N('Dvd Calendar'!$W$1536)&gt;0)*1000000+2*1000+59))</f>
        <v/>
      </c>
      <c r="BJ114" s="41">
        <f>IF(N('Dvd Calendar'!$X$1537)=0,"",IF(('Dvd Calendar'!$X$1537&gt;=MIN(DATE(Summary!$C$12,1,1),Summary!$C$11))*('Dvd Calendar'!$X$1537&lt;=MAX(DATE(Summary!$C$12,12,31),Summary!$C$15))*('Dvd Calendar'!$X$1537&gt;Summary!$C$11)=0,"",'Dvd Calendar'!$X$1537*1000000000+ISNUMBER('Dvd Calendar'!$X$1538)*100000000+('Dvd Calendar'!$X$1542='Field Check'!$C$25)*10000000+(N('Dvd Calendar'!$X$1536)&gt;0)*1000000+2*1000+60))</f>
        <v/>
      </c>
      <c r="BK114" s="41">
        <f>IF(N('Dvd Calendar'!$Y$1537)=0,"",IF(('Dvd Calendar'!$Y$1537&gt;=MIN(DATE(Summary!$C$12,1,1),Summary!$C$11))*('Dvd Calendar'!$Y$1537&lt;=MAX(DATE(Summary!$C$12,12,31),Summary!$C$15))*('Dvd Calendar'!$Y$1537&gt;Summary!$C$11)=0,"",'Dvd Calendar'!$Y$1537*1000000000+ISNUMBER('Dvd Calendar'!$Y$1538)*100000000+('Dvd Calendar'!$Y$1542='Field Check'!$C$25)*10000000+(N('Dvd Calendar'!$Y$1536)&gt;0)*1000000+2*1000+61))</f>
        <v/>
      </c>
      <c r="BL114" s="41">
        <f>IF(N('Dvd Calendar'!$Z$1537)=0,"",IF(('Dvd Calendar'!$Z$1537&gt;=MIN(DATE(Summary!$C$12,1,1),Summary!$C$11))*('Dvd Calendar'!$Z$1537&lt;=MAX(DATE(Summary!$C$12,12,31),Summary!$C$15))*('Dvd Calendar'!$Z$1537&gt;Summary!$C$11)=0,"",'Dvd Calendar'!$Z$1537*1000000000+ISNUMBER('Dvd Calendar'!$Z$1538)*100000000+('Dvd Calendar'!$Z$1542='Field Check'!$C$25)*10000000+(N('Dvd Calendar'!$Z$1536)&gt;0)*1000000+2*1000+62))</f>
        <v/>
      </c>
      <c r="BM114" s="41">
        <f>IF(N('Dvd Calendar'!$AA$1537)=0,"",IF(('Dvd Calendar'!$AA$1537&gt;=MIN(DATE(Summary!$C$12,1,1),Summary!$C$11))*('Dvd Calendar'!$AA$1537&lt;=MAX(DATE(Summary!$C$12,12,31),Summary!$C$15))*('Dvd Calendar'!$AA$1537&gt;Summary!$C$11)=0,"",'Dvd Calendar'!$AA$1537*1000000000+ISNUMBER('Dvd Calendar'!$AA$1538)*100000000+('Dvd Calendar'!$AA$1542='Field Check'!$C$25)*10000000+(N('Dvd Calendar'!$AA$1536)&gt;0)*1000000+2*1000+63))</f>
        <v/>
      </c>
      <c r="BN114" s="41">
        <f>IF(N('Dvd Calendar'!$AB$1537)=0,"",IF(('Dvd Calendar'!$AB$1537&gt;=MIN(DATE(Summary!$C$12,1,1),Summary!$C$11))*('Dvd Calendar'!$AB$1537&lt;=MAX(DATE(Summary!$C$12,12,31),Summary!$C$15))*('Dvd Calendar'!$AB$1537&gt;Summary!$C$11)=0,"",'Dvd Calendar'!$AB$1537*1000000000+ISNUMBER('Dvd Calendar'!$AB$1538)*100000000+('Dvd Calendar'!$AB$1542='Field Check'!$C$25)*10000000+(N('Dvd Calendar'!$AB$1536)&gt;0)*1000000+2*1000+64))</f>
        <v/>
      </c>
      <c r="BO114" s="41">
        <f>IF(N('Dvd Calendar'!$AC$1537)=0,"",IF(('Dvd Calendar'!$AC$1537&gt;=MIN(DATE(Summary!$C$12,1,1),Summary!$C$11))*('Dvd Calendar'!$AC$1537&lt;=MAX(DATE(Summary!$C$12,12,31),Summary!$C$15))*('Dvd Calendar'!$AC$1537&gt;Summary!$C$11)=0,"",'Dvd Calendar'!$AC$1537*1000000000+ISNUMBER('Dvd Calendar'!$AC$1538)*100000000+('Dvd Calendar'!$AC$1542='Field Check'!$C$25)*10000000+(N('Dvd Calendar'!$AC$1536)&gt;0)*1000000+2*1000+65))</f>
        <v/>
      </c>
      <c r="BQ114" s="85">
        <f>IF(C114="","",IF(ISNUMBER('Dvd Calendar'!$E$1531)=FALSE,"",IF((Summary!$C$13="N")*('Dvd Calendar'!$E$1535='Field Check'!$C$25)&gt;0,"",'Dvd Calendar'!$E$1531)))</f>
        <v/>
      </c>
      <c r="BR114" s="85">
        <f>IF(D114="","",IF(ISNUMBER('Dvd Calendar'!$F$1531)=FALSE,"",IF((Summary!$C$13="N")*('Dvd Calendar'!$F$1535='Field Check'!$C$25)&gt;0,"",'Dvd Calendar'!$F$1531)))</f>
        <v/>
      </c>
      <c r="BS114" s="85">
        <f>IF(E114="","",IF(ISNUMBER('Dvd Calendar'!$G$1531)=FALSE,"",IF((Summary!$C$13="N")*('Dvd Calendar'!$G$1535='Field Check'!$C$25)&gt;0,"",'Dvd Calendar'!$G$1531)))</f>
        <v/>
      </c>
      <c r="BT114" s="85">
        <f>IF(F114="","",IF(ISNUMBER('Dvd Calendar'!$H$1531)=FALSE,"",IF((Summary!$C$13="N")*('Dvd Calendar'!$H$1535='Field Check'!$C$25)&gt;0,"",'Dvd Calendar'!$H$1531)))</f>
        <v/>
      </c>
      <c r="BU114" s="85">
        <f>IF(G114="","",IF(ISNUMBER('Dvd Calendar'!$I$1531)=FALSE,"",IF((Summary!$C$13="N")*('Dvd Calendar'!$I$1535='Field Check'!$C$25)&gt;0,"",'Dvd Calendar'!$I$1531)))</f>
        <v/>
      </c>
      <c r="BV114" s="85">
        <f>IF(H114="","",IF(ISNUMBER('Dvd Calendar'!$J$1531)=FALSE,"",IF((Summary!$C$13="N")*('Dvd Calendar'!$J$1535='Field Check'!$C$25)&gt;0,"",'Dvd Calendar'!$J$1531)))</f>
        <v/>
      </c>
      <c r="BW114" s="85">
        <f>IF(I114="","",IF(ISNUMBER('Dvd Calendar'!$K$1531)=FALSE,"",IF((Summary!$C$13="N")*('Dvd Calendar'!$K$1535='Field Check'!$C$25)&gt;0,"",'Dvd Calendar'!$K$1531)))</f>
        <v/>
      </c>
      <c r="BX114" s="85">
        <f>IF(J114="","",IF(ISNUMBER('Dvd Calendar'!$L$1531)=FALSE,"",IF((Summary!$C$13="N")*('Dvd Calendar'!$L$1535='Field Check'!$C$25)&gt;0,"",'Dvd Calendar'!$L$1531)))</f>
        <v/>
      </c>
      <c r="BY114" s="85">
        <f>IF(K114="","",IF(ISNUMBER('Dvd Calendar'!$M$1531)=FALSE,"",IF((Summary!$C$13="N")*('Dvd Calendar'!$M$1535='Field Check'!$C$25)&gt;0,"",'Dvd Calendar'!$M$1531)))</f>
        <v/>
      </c>
      <c r="BZ114" s="85">
        <f>IF(L114="","",IF(ISNUMBER('Dvd Calendar'!$N$1531)=FALSE,"",IF((Summary!$C$13="N")*('Dvd Calendar'!$N$1535='Field Check'!$C$25)&gt;0,"",'Dvd Calendar'!$N$1531)))</f>
        <v/>
      </c>
      <c r="CA114" s="85">
        <f>IF(M114="","",IF(ISNUMBER('Dvd Calendar'!$O$1531)=FALSE,"",IF((Summary!$C$13="N")*('Dvd Calendar'!$O$1535='Field Check'!$C$25)&gt;0,"",'Dvd Calendar'!$O$1531)))</f>
        <v/>
      </c>
      <c r="CB114" s="85">
        <f>IF(N114="","",IF(ISNUMBER('Dvd Calendar'!$P$1531)=FALSE,"",IF((Summary!$C$13="N")*('Dvd Calendar'!$P$1535='Field Check'!$C$25)&gt;0,"",'Dvd Calendar'!$P$1531)))</f>
        <v/>
      </c>
      <c r="CC114" s="85">
        <f>IF(O114="","",IF(ISNUMBER('Dvd Calendar'!$Q$1531)=FALSE,"",IF((Summary!$C$13="N")*('Dvd Calendar'!$Q$1535='Field Check'!$C$25)&gt;0,"",'Dvd Calendar'!$Q$1531)))</f>
        <v/>
      </c>
      <c r="CD114" s="85">
        <f>IF(P114="","",IF(ISNUMBER('Dvd Calendar'!$R$1531)=FALSE,"",IF((Summary!$C$13="N")*('Dvd Calendar'!$R$1535='Field Check'!$C$25)&gt;0,"",'Dvd Calendar'!$R$1531)))</f>
        <v/>
      </c>
      <c r="CE114" s="85">
        <f>IF(Q114="","",IF(ISNUMBER('Dvd Calendar'!$S$1531)=FALSE,"",IF((Summary!$C$13="N")*('Dvd Calendar'!$S$1535='Field Check'!$C$25)&gt;0,"",'Dvd Calendar'!$S$1531)))</f>
        <v/>
      </c>
      <c r="CF114" s="85">
        <f>IF(R114="","",IF(ISNUMBER('Dvd Calendar'!$T$1531)=FALSE,"",IF((Summary!$C$13="N")*('Dvd Calendar'!$T$1535='Field Check'!$C$25)&gt;0,"",'Dvd Calendar'!$T$1531)))</f>
        <v/>
      </c>
      <c r="CG114" s="85">
        <f>IF(S114="","",IF(ISNUMBER('Dvd Calendar'!$U$1531)=FALSE,"",IF((Summary!$C$13="N")*('Dvd Calendar'!$U$1535='Field Check'!$C$25)&gt;0,"",'Dvd Calendar'!$U$1531)))</f>
        <v/>
      </c>
      <c r="CH114" s="85">
        <f>IF(T114="","",IF(ISNUMBER('Dvd Calendar'!$V$1531)=FALSE,"",IF((Summary!$C$13="N")*('Dvd Calendar'!$V$1535='Field Check'!$C$25)&gt;0,"",'Dvd Calendar'!$V$1531)))</f>
        <v/>
      </c>
      <c r="CI114" s="85">
        <f>IF(U114="","",IF(ISNUMBER('Dvd Calendar'!$W$1531)=FALSE,"",IF((Summary!$C$13="N")*('Dvd Calendar'!$W$1535='Field Check'!$C$25)&gt;0,"",'Dvd Calendar'!$W$1531)))</f>
        <v/>
      </c>
      <c r="CJ114" s="85">
        <f>IF(V114="","",IF(ISNUMBER('Dvd Calendar'!$X$1531)=FALSE,"",IF((Summary!$C$13="N")*('Dvd Calendar'!$X$1535='Field Check'!$C$25)&gt;0,"",'Dvd Calendar'!$X$1531)))</f>
        <v/>
      </c>
      <c r="CK114" s="85">
        <f>IF(W114="","",IF(ISNUMBER('Dvd Calendar'!$Y$1531)=FALSE,"",IF((Summary!$C$13="N")*('Dvd Calendar'!$Y$1535='Field Check'!$C$25)&gt;0,"",'Dvd Calendar'!$Y$1531)))</f>
        <v/>
      </c>
      <c r="CL114" s="85">
        <f>IF(X114="","",IF(ISNUMBER('Dvd Calendar'!$Z$1531)=FALSE,"",IF((Summary!$C$13="N")*('Dvd Calendar'!$Z$1535='Field Check'!$C$25)&gt;0,"",'Dvd Calendar'!$Z$1531)))</f>
        <v/>
      </c>
      <c r="CM114" s="85">
        <f>IF(Y114="","",IF(ISNUMBER('Dvd Calendar'!$AA$1531)=FALSE,"",IF((Summary!$C$13="N")*('Dvd Calendar'!$AA$1535='Field Check'!$C$25)&gt;0,"",'Dvd Calendar'!$AA$1531)))</f>
        <v/>
      </c>
      <c r="CN114" s="85">
        <f>IF(Z114="","",IF(ISNUMBER('Dvd Calendar'!$AB$1531)=FALSE,"",IF((Summary!$C$13="N")*('Dvd Calendar'!$AB$1535='Field Check'!$C$25)&gt;0,"",'Dvd Calendar'!$AB$1531)))</f>
        <v/>
      </c>
      <c r="CO114" s="85">
        <f>IF(AA114="","",IF(ISNUMBER('Dvd Calendar'!$AC$1531)=FALSE,"",IF((Summary!$C$13="N")*('Dvd Calendar'!$AC$1535='Field Check'!$C$25)&gt;0,"",'Dvd Calendar'!$AC$1531)))</f>
        <v/>
      </c>
      <c r="CP114" s="85">
        <f>IF(AB114="","",IF(ISNUMBER('Dvd Calendar'!$AD$1531)=FALSE,"",IF((Summary!$C$13="N")*('Dvd Calendar'!$AD$1535='Field Check'!$C$25)&gt;0,"",'Dvd Calendar'!$AD$1531)))</f>
        <v/>
      </c>
      <c r="CQ114" s="85">
        <f>IF(AC114="","",IF(ISNUMBER('Dvd Calendar'!$AE$1531)=FALSE,"",IF((Summary!$C$13="N")*('Dvd Calendar'!$AE$1535='Field Check'!$C$25)&gt;0,"",'Dvd Calendar'!$AE$1531)))</f>
        <v/>
      </c>
      <c r="CR114" s="85">
        <f>IF(AD114="","",IF(ISNUMBER('Dvd Calendar'!$AF$1531)=FALSE,"",IF((Summary!$C$13="N")*('Dvd Calendar'!$AF$1535='Field Check'!$C$25)&gt;0,"",'Dvd Calendar'!$AF$1531)))</f>
        <v/>
      </c>
      <c r="CS114" s="85">
        <f>IF(AE114="","",IF(ISNUMBER('Dvd Calendar'!$AG$1531)=FALSE,"",IF((Summary!$C$13="N")*('Dvd Calendar'!$AG$1535='Field Check'!$C$25)&gt;0,"",'Dvd Calendar'!$AG$1531)))</f>
        <v/>
      </c>
      <c r="CT114" s="85">
        <f>IF(AF114="","",IF(ISNUMBER('Dvd Calendar'!$AH$1531)=FALSE,"",IF((Summary!$C$13="N")*('Dvd Calendar'!$AH$1535='Field Check'!$C$25)&gt;0,"",'Dvd Calendar'!$AH$1531)))</f>
        <v/>
      </c>
      <c r="CU114" s="85">
        <f>IF(AG114="","",IF(ISNUMBER('Dvd Calendar'!$AI$1531)=FALSE,"",IF((Summary!$C$13="N")*('Dvd Calendar'!$AI$1535='Field Check'!$C$25)&gt;0,"",'Dvd Calendar'!$AI$1531)))</f>
        <v/>
      </c>
      <c r="CV114" s="85">
        <f>IF(AH114="","",IF(ISNUMBER('Dvd Calendar'!$AJ$1531)=FALSE,"",IF((Summary!$C$13="N")*('Dvd Calendar'!$AJ$1535='Field Check'!$C$25)&gt;0,"",'Dvd Calendar'!$AJ$1531)))</f>
        <v/>
      </c>
      <c r="CW114" s="85">
        <f>IF(AI114="","",IF(ISNUMBER('Dvd Calendar'!$AK$1531)=FALSE,"",IF((Summary!$C$13="N")*('Dvd Calendar'!$AK$1535='Field Check'!$C$25)&gt;0,"",'Dvd Calendar'!$AK$1531)))</f>
        <v/>
      </c>
      <c r="CX114" s="85">
        <f>IF(AJ114="","",IF(ISNUMBER('Dvd Calendar'!$AL$1531)=FALSE,"",IF((Summary!$C$13="N")*('Dvd Calendar'!$AL$1535='Field Check'!$C$25)&gt;0,"",'Dvd Calendar'!$AL$1531)))</f>
        <v/>
      </c>
      <c r="CY114" s="85">
        <f>IF(AK114="","",IF(ISNUMBER('Dvd Calendar'!$AM$1531)=FALSE,"",IF((Summary!$C$13="N")*('Dvd Calendar'!$AM$1535='Field Check'!$C$25)&gt;0,"",'Dvd Calendar'!$AM$1531)))</f>
        <v/>
      </c>
      <c r="CZ114" s="85">
        <f>IF(AL114="","",IF(ISNUMBER('Dvd Calendar'!$AN$1531)=FALSE,"",IF((Summary!$C$13="N")*('Dvd Calendar'!$AN$1535='Field Check'!$C$25)&gt;0,"",'Dvd Calendar'!$AN$1531)))</f>
        <v/>
      </c>
      <c r="DA114" s="85">
        <f>IF(AM114="","",IF(ISNUMBER('Dvd Calendar'!$AO$1531)=FALSE,"",IF((Summary!$C$13="N")*('Dvd Calendar'!$AO$1535='Field Check'!$C$25)&gt;0,"",'Dvd Calendar'!$AO$1531)))</f>
        <v/>
      </c>
      <c r="DB114" s="85">
        <f>IF(AN114="","",IF(ISNUMBER('Dvd Calendar'!$AP$1531)=FALSE,"",IF((Summary!$C$13="N")*('Dvd Calendar'!$AP$1535='Field Check'!$C$25)&gt;0,"",'Dvd Calendar'!$AP$1531)))</f>
        <v/>
      </c>
      <c r="DC114" s="85">
        <f>IF(AO114="","",IF(ISNUMBER('Dvd Calendar'!$AQ$1531)=FALSE,"",IF((Summary!$C$13="N")*('Dvd Calendar'!$AQ$1535='Field Check'!$C$25)&gt;0,"",'Dvd Calendar'!$AQ$1531)))</f>
        <v/>
      </c>
      <c r="DD114" s="85">
        <f>IF(AP114="","",IF(ISNUMBER('Dvd Calendar'!$AR$1531)=FALSE,"",IF((Summary!$C$13="N")*('Dvd Calendar'!$AR$1535='Field Check'!$C$25)&gt;0,"",'Dvd Calendar'!$AR$1531)))</f>
        <v/>
      </c>
      <c r="DE114" s="85">
        <f>IF(AQ114="","",IF(ISNUMBER('Dvd Calendar'!$E$1538)=FALSE,"",IF((Summary!$C$13="N")*('Dvd Calendar'!$E$1542='Field Check'!$C$25)&gt;0,"",'Dvd Calendar'!$E$1538)))</f>
        <v/>
      </c>
      <c r="DF114" s="85">
        <f>IF(AR114="","",IF(ISNUMBER('Dvd Calendar'!$F$1538)=FALSE,"",IF((Summary!$C$13="N")*('Dvd Calendar'!$F$1542='Field Check'!$C$25)&gt;0,"",'Dvd Calendar'!$F$1538)))</f>
        <v/>
      </c>
      <c r="DG114" s="85">
        <f>IF(AS114="","",IF(ISNUMBER('Dvd Calendar'!$G$1538)=FALSE,"",IF((Summary!$C$13="N")*('Dvd Calendar'!$G$1542='Field Check'!$C$25)&gt;0,"",'Dvd Calendar'!$G$1538)))</f>
        <v/>
      </c>
      <c r="DH114" s="85">
        <f>IF(AT114="","",IF(ISNUMBER('Dvd Calendar'!$H$1538)=FALSE,"",IF((Summary!$C$13="N")*('Dvd Calendar'!$H$1542='Field Check'!$C$25)&gt;0,"",'Dvd Calendar'!$H$1538)))</f>
        <v/>
      </c>
      <c r="DI114" s="85">
        <f>IF(AU114="","",IF(ISNUMBER('Dvd Calendar'!$I$1538)=FALSE,"",IF((Summary!$C$13="N")*('Dvd Calendar'!$I$1542='Field Check'!$C$25)&gt;0,"",'Dvd Calendar'!$I$1538)))</f>
        <v/>
      </c>
      <c r="DJ114" s="85">
        <f>IF(AV114="","",IF(ISNUMBER('Dvd Calendar'!$J$1538)=FALSE,"",IF((Summary!$C$13="N")*('Dvd Calendar'!$J$1542='Field Check'!$C$25)&gt;0,"",'Dvd Calendar'!$J$1538)))</f>
        <v/>
      </c>
      <c r="DK114" s="85">
        <f>IF(AW114="","",IF(ISNUMBER('Dvd Calendar'!$K$1538)=FALSE,"",IF((Summary!$C$13="N")*('Dvd Calendar'!$K$1542='Field Check'!$C$25)&gt;0,"",'Dvd Calendar'!$K$1538)))</f>
        <v/>
      </c>
      <c r="DL114" s="85">
        <f>IF(AX114="","",IF(ISNUMBER('Dvd Calendar'!$L$1538)=FALSE,"",IF((Summary!$C$13="N")*('Dvd Calendar'!$L$1542='Field Check'!$C$25)&gt;0,"",'Dvd Calendar'!$L$1538)))</f>
        <v/>
      </c>
      <c r="DM114" s="85">
        <f>IF(AY114="","",IF(ISNUMBER('Dvd Calendar'!$M$1538)=FALSE,"",IF((Summary!$C$13="N")*('Dvd Calendar'!$M$1542='Field Check'!$C$25)&gt;0,"",'Dvd Calendar'!$M$1538)))</f>
        <v/>
      </c>
      <c r="DN114" s="85">
        <f>IF(AZ114="","",IF(ISNUMBER('Dvd Calendar'!$N$1538)=FALSE,"",IF((Summary!$C$13="N")*('Dvd Calendar'!$N$1542='Field Check'!$C$25)&gt;0,"",'Dvd Calendar'!$N$1538)))</f>
        <v/>
      </c>
      <c r="DO114" s="85">
        <f>IF(BA114="","",IF(ISNUMBER('Dvd Calendar'!$O$1538)=FALSE,"",IF((Summary!$C$13="N")*('Dvd Calendar'!$O$1542='Field Check'!$C$25)&gt;0,"",'Dvd Calendar'!$O$1538)))</f>
        <v/>
      </c>
      <c r="DP114" s="85">
        <f>IF(BB114="","",IF(ISNUMBER('Dvd Calendar'!$P$1538)=FALSE,"",IF((Summary!$C$13="N")*('Dvd Calendar'!$P$1542='Field Check'!$C$25)&gt;0,"",'Dvd Calendar'!$P$1538)))</f>
        <v/>
      </c>
      <c r="DQ114" s="85">
        <f>IF(BC114="","",IF(ISNUMBER('Dvd Calendar'!$Q$1538)=FALSE,"",IF((Summary!$C$13="N")*('Dvd Calendar'!$Q$1542='Field Check'!$C$25)&gt;0,"",'Dvd Calendar'!$Q$1538)))</f>
        <v/>
      </c>
      <c r="DR114" s="85">
        <f>IF(BD114="","",IF(ISNUMBER('Dvd Calendar'!$R$1538)=FALSE,"",IF((Summary!$C$13="N")*('Dvd Calendar'!$R$1542='Field Check'!$C$25)&gt;0,"",'Dvd Calendar'!$R$1538)))</f>
        <v/>
      </c>
      <c r="DS114" s="85">
        <f>IF(BE114="","",IF(ISNUMBER('Dvd Calendar'!$S$1538)=FALSE,"",IF((Summary!$C$13="N")*('Dvd Calendar'!$S$1542='Field Check'!$C$25)&gt;0,"",'Dvd Calendar'!$S$1538)))</f>
        <v/>
      </c>
      <c r="DT114" s="85">
        <f>IF(BF114="","",IF(ISNUMBER('Dvd Calendar'!$T$1538)=FALSE,"",IF((Summary!$C$13="N")*('Dvd Calendar'!$T$1542='Field Check'!$C$25)&gt;0,"",'Dvd Calendar'!$T$1538)))</f>
        <v/>
      </c>
      <c r="DU114" s="85">
        <f>IF(BG114="","",IF(ISNUMBER('Dvd Calendar'!$U$1538)=FALSE,"",IF((Summary!$C$13="N")*('Dvd Calendar'!$U$1542='Field Check'!$C$25)&gt;0,"",'Dvd Calendar'!$U$1538)))</f>
        <v/>
      </c>
      <c r="DV114" s="85">
        <f>IF(BH114="","",IF(ISNUMBER('Dvd Calendar'!$V$1538)=FALSE,"",IF((Summary!$C$13="N")*('Dvd Calendar'!$V$1542='Field Check'!$C$25)&gt;0,"",'Dvd Calendar'!$V$1538)))</f>
        <v/>
      </c>
      <c r="DW114" s="85">
        <f>IF(BI114="","",IF(ISNUMBER('Dvd Calendar'!$W$1538)=FALSE,"",IF((Summary!$C$13="N")*('Dvd Calendar'!$W$1542='Field Check'!$C$25)&gt;0,"",'Dvd Calendar'!$W$1538)))</f>
        <v/>
      </c>
      <c r="DX114" s="85">
        <f>IF(BJ114="","",IF(ISNUMBER('Dvd Calendar'!$X$1538)=FALSE,"",IF((Summary!$C$13="N")*('Dvd Calendar'!$X$1542='Field Check'!$C$25)&gt;0,"",'Dvd Calendar'!$X$1538)))</f>
        <v/>
      </c>
      <c r="DY114" s="85">
        <f>IF(BK114="","",IF(ISNUMBER('Dvd Calendar'!$Y$1538)=FALSE,"",IF((Summary!$C$13="N")*('Dvd Calendar'!$Y$1542='Field Check'!$C$25)&gt;0,"",'Dvd Calendar'!$Y$1538)))</f>
        <v/>
      </c>
      <c r="DZ114" s="85">
        <f>IF(BL114="","",IF(ISNUMBER('Dvd Calendar'!$Z$1538)=FALSE,"",IF((Summary!$C$13="N")*('Dvd Calendar'!$Z$1542='Field Check'!$C$25)&gt;0,"",'Dvd Calendar'!$Z$1538)))</f>
        <v/>
      </c>
      <c r="EA114" s="85">
        <f>IF(BM114="","",IF(ISNUMBER('Dvd Calendar'!$AA$1538)=FALSE,"",IF((Summary!$C$13="N")*('Dvd Calendar'!$AA$1542='Field Check'!$C$25)&gt;0,"",'Dvd Calendar'!$AA$1538)))</f>
        <v/>
      </c>
      <c r="EB114" s="85">
        <f>IF(BN114="","",IF(ISNUMBER('Dvd Calendar'!$AB$1538)=FALSE,"",IF((Summary!$C$13="N")*('Dvd Calendar'!$AB$1542='Field Check'!$C$25)&gt;0,"",'Dvd Calendar'!$AB$1538)))</f>
        <v/>
      </c>
      <c r="EC114" s="85">
        <f>IF(BO114="","",IF(ISNUMBER('Dvd Calendar'!$AC$1538)=FALSE,"",IF((Summary!$C$13="N")*('Dvd Calendar'!$AC$1542='Field Check'!$C$25)&gt;0,"",'Dvd Calendar'!$AC$1538)))</f>
        <v/>
      </c>
      <c r="EE114" s="85">
        <f>IF(BQ114="","",IFERROR(BQ114*HSTECH!$B$8*HSTECH!$G$8/HSTECH!$B$3,""))</f>
        <v/>
      </c>
      <c r="EF114" s="85">
        <f>IF(BR114="","",IFERROR(BR114*HSTECH!$B$8*HSTECH!$G$8/HSTECH!$B$3,""))</f>
        <v/>
      </c>
      <c r="EG114" s="85">
        <f>IF(BS114="","",IFERROR(BS114*HSTECH!$B$8*HSTECH!$G$8/HSTECH!$B$3,""))</f>
        <v/>
      </c>
      <c r="EH114" s="85">
        <f>IF(BT114="","",IFERROR(BT114*HSTECH!$B$8*HSTECH!$G$8/HSTECH!$B$3,""))</f>
        <v/>
      </c>
      <c r="EI114" s="85">
        <f>IF(BU114="","",IFERROR(BU114*HSTECH!$B$8*HSTECH!$G$8/HSTECH!$B$3,""))</f>
        <v/>
      </c>
      <c r="EJ114" s="85">
        <f>IF(BV114="","",IFERROR(BV114*HSTECH!$B$8*HSTECH!$G$8/HSTECH!$B$3,""))</f>
        <v/>
      </c>
      <c r="EK114" s="85">
        <f>IF(BW114="","",IFERROR(BW114*HSTECH!$B$8*HSTECH!$G$8/HSTECH!$B$3,""))</f>
        <v/>
      </c>
      <c r="EL114" s="85">
        <f>IF(BX114="","",IFERROR(BX114*HSTECH!$B$8*HSTECH!$G$8/HSTECH!$B$3,""))</f>
        <v/>
      </c>
      <c r="EM114" s="85">
        <f>IF(BY114="","",IFERROR(BY114*HSTECH!$B$8*HSTECH!$G$8/HSTECH!$B$3,""))</f>
        <v/>
      </c>
      <c r="EN114" s="85">
        <f>IF(BZ114="","",IFERROR(BZ114*HSTECH!$B$8*HSTECH!$G$8/HSTECH!$B$3,""))</f>
        <v/>
      </c>
      <c r="EO114" s="85">
        <f>IF(CA114="","",IFERROR(CA114*HSTECH!$B$8*HSTECH!$G$8/HSTECH!$B$3,""))</f>
        <v/>
      </c>
      <c r="EP114" s="85">
        <f>IF(CB114="","",IFERROR(CB114*HSTECH!$B$8*HSTECH!$G$8/HSTECH!$B$3,""))</f>
        <v/>
      </c>
      <c r="EQ114" s="85">
        <f>IF(CC114="","",IFERROR(CC114*HSTECH!$B$8*HSTECH!$G$8/HSTECH!$B$3,""))</f>
        <v/>
      </c>
      <c r="ER114" s="85">
        <f>IF(CD114="","",IFERROR(CD114*HSTECH!$B$8*HSTECH!$G$8/HSTECH!$B$3,""))</f>
        <v/>
      </c>
      <c r="ES114" s="85">
        <f>IF(CE114="","",IFERROR(CE114*HSTECH!$B$8*HSTECH!$G$8/HSTECH!$B$3,""))</f>
        <v/>
      </c>
      <c r="ET114" s="85">
        <f>IF(CF114="","",IFERROR(CF114*HSTECH!$B$8*HSTECH!$G$8/HSTECH!$B$3,""))</f>
        <v/>
      </c>
      <c r="EU114" s="85">
        <f>IF(CG114="","",IFERROR(CG114*HSTECH!$B$8*HSTECH!$G$8/HSTECH!$B$3,""))</f>
        <v/>
      </c>
      <c r="EV114" s="85">
        <f>IF(CH114="","",IFERROR(CH114*HSTECH!$B$8*HSTECH!$G$8/HSTECH!$B$3,""))</f>
        <v/>
      </c>
      <c r="EW114" s="85">
        <f>IF(CI114="","",IFERROR(CI114*HSTECH!$B$8*HSTECH!$G$8/HSTECH!$B$3,""))</f>
        <v/>
      </c>
      <c r="EX114" s="85">
        <f>IF(CJ114="","",IFERROR(CJ114*HSTECH!$B$8*HSTECH!$G$8/HSTECH!$B$3,""))</f>
        <v/>
      </c>
      <c r="EY114" s="85">
        <f>IF(CK114="","",IFERROR(CK114*HSTECH!$B$8*HSTECH!$G$8/HSTECH!$B$3,""))</f>
        <v/>
      </c>
      <c r="EZ114" s="85">
        <f>IF(CL114="","",IFERROR(CL114*HSTECH!$B$8*HSTECH!$G$8/HSTECH!$B$3,""))</f>
        <v/>
      </c>
      <c r="FA114" s="85">
        <f>IF(CM114="","",IFERROR(CM114*HSTECH!$B$8*HSTECH!$G$8/HSTECH!$B$3,""))</f>
        <v/>
      </c>
      <c r="FB114" s="85">
        <f>IF(CN114="","",IFERROR(CN114*HSTECH!$B$8*HSTECH!$G$8/HSTECH!$B$3,""))</f>
        <v/>
      </c>
      <c r="FC114" s="85">
        <f>IF(CO114="","",IFERROR(CO114*HSTECH!$B$8*HSTECH!$G$8/HSTECH!$B$3,""))</f>
        <v/>
      </c>
      <c r="FD114" s="85">
        <f>IF(CP114="","",IFERROR(CP114*HSTECH!$B$8*HSTECH!$G$8/HSTECH!$B$3,""))</f>
        <v/>
      </c>
      <c r="FE114" s="85">
        <f>IF(CQ114="","",IFERROR(CQ114*HSTECH!$B$8*HSTECH!$G$8/HSTECH!$B$3,""))</f>
        <v/>
      </c>
      <c r="FF114" s="85">
        <f>IF(CR114="","",IFERROR(CR114*HSTECH!$B$8*HSTECH!$G$8/HSTECH!$B$3,""))</f>
        <v/>
      </c>
      <c r="FG114" s="85">
        <f>IF(CS114="","",IFERROR(CS114*HSTECH!$B$8*HSTECH!$G$8/HSTECH!$B$3,""))</f>
        <v/>
      </c>
      <c r="FH114" s="85">
        <f>IF(CT114="","",IFERROR(CT114*HSTECH!$B$8*HSTECH!$G$8/HSTECH!$B$3,""))</f>
        <v/>
      </c>
      <c r="FI114" s="85">
        <f>IF(CU114="","",IFERROR(CU114*HSTECH!$B$8*HSTECH!$G$8/HSTECH!$B$3,""))</f>
        <v/>
      </c>
      <c r="FJ114" s="85">
        <f>IF(CV114="","",IFERROR(CV114*HSTECH!$B$8*HSTECH!$G$8/HSTECH!$B$3,""))</f>
        <v/>
      </c>
      <c r="FK114" s="85">
        <f>IF(CW114="","",IFERROR(CW114*HSTECH!$B$8*HSTECH!$G$8/HSTECH!$B$3,""))</f>
        <v/>
      </c>
      <c r="FL114" s="85">
        <f>IF(CX114="","",IFERROR(CX114*HSTECH!$B$8*HSTECH!$G$8/HSTECH!$B$3,""))</f>
        <v/>
      </c>
      <c r="FM114" s="85">
        <f>IF(CY114="","",IFERROR(CY114*HSTECH!$B$8*HSTECH!$G$8/HSTECH!$B$3,""))</f>
        <v/>
      </c>
      <c r="FN114" s="85">
        <f>IF(CZ114="","",IFERROR(CZ114*HSTECH!$B$8*HSTECH!$G$8/HSTECH!$B$3,""))</f>
        <v/>
      </c>
      <c r="FO114" s="85">
        <f>IF(DA114="","",IFERROR(DA114*HSTECH!$B$8*HSTECH!$G$8/HSTECH!$B$3,""))</f>
        <v/>
      </c>
      <c r="FP114" s="85">
        <f>IF(DB114="","",IFERROR(DB114*HSTECH!$B$8*HSTECH!$G$8/HSTECH!$B$3,""))</f>
        <v/>
      </c>
      <c r="FQ114" s="85">
        <f>IF(DC114="","",IFERROR(DC114*HSTECH!$B$8*HSTECH!$G$8/HSTECH!$B$3,""))</f>
        <v/>
      </c>
      <c r="FR114" s="85">
        <f>IF(DD114="","",IFERROR(DD114*HSTECH!$B$8*HSTECH!$G$8/HSTECH!$B$3,""))</f>
        <v/>
      </c>
      <c r="FS114" s="85">
        <f>IF(DE114="","",IFERROR(DE114*HSTECH!$B$8*HSTECH!$G$8/HSTECH!$B$3,""))</f>
        <v/>
      </c>
      <c r="FT114" s="85">
        <f>IF(DF114="","",IFERROR(DF114*HSTECH!$B$8*HSTECH!$G$8/HSTECH!$B$3,""))</f>
        <v/>
      </c>
      <c r="FU114" s="85">
        <f>IF(DG114="","",IFERROR(DG114*HSTECH!$B$8*HSTECH!$G$8/HSTECH!$B$3,""))</f>
        <v/>
      </c>
      <c r="FV114" s="85">
        <f>IF(DH114="","",IFERROR(DH114*HSTECH!$B$8*HSTECH!$G$8/HSTECH!$B$3,""))</f>
        <v/>
      </c>
      <c r="FW114" s="85">
        <f>IF(DI114="","",IFERROR(DI114*HSTECH!$B$8*HSTECH!$G$8/HSTECH!$B$3,""))</f>
        <v/>
      </c>
      <c r="FX114" s="85">
        <f>IF(DJ114="","",IFERROR(DJ114*HSTECH!$B$8*HSTECH!$G$8/HSTECH!$B$3,""))</f>
        <v/>
      </c>
      <c r="FY114" s="85">
        <f>IF(DK114="","",IFERROR(DK114*HSTECH!$B$8*HSTECH!$G$8/HSTECH!$B$3,""))</f>
        <v/>
      </c>
      <c r="FZ114" s="85">
        <f>IF(DL114="","",IFERROR(DL114*HSTECH!$B$8*HSTECH!$G$8/HSTECH!$B$3,""))</f>
        <v/>
      </c>
      <c r="GA114" s="85">
        <f>IF(DM114="","",IFERROR(DM114*HSTECH!$B$8*HSTECH!$G$8/HSTECH!$B$3,""))</f>
        <v/>
      </c>
      <c r="GB114" s="85">
        <f>IF(DN114="","",IFERROR(DN114*HSTECH!$B$8*HSTECH!$G$8/HSTECH!$B$3,""))</f>
        <v/>
      </c>
      <c r="GC114" s="85">
        <f>IF(DO114="","",IFERROR(DO114*HSTECH!$B$8*HSTECH!$G$8/HSTECH!$B$3,""))</f>
        <v/>
      </c>
      <c r="GD114" s="85">
        <f>IF(DP114="","",IFERROR(DP114*HSTECH!$B$8*HSTECH!$G$8/HSTECH!$B$3,""))</f>
        <v/>
      </c>
      <c r="GE114" s="85">
        <f>IF(DQ114="","",IFERROR(DQ114*HSTECH!$B$8*HSTECH!$G$8/HSTECH!$B$3,""))</f>
        <v/>
      </c>
      <c r="GF114" s="85">
        <f>IF(DR114="","",IFERROR(DR114*HSTECH!$B$8*HSTECH!$G$8/HSTECH!$B$3,""))</f>
        <v/>
      </c>
      <c r="GG114" s="85">
        <f>IF(DS114="","",IFERROR(DS114*HSTECH!$B$8*HSTECH!$G$8/HSTECH!$B$3,""))</f>
        <v/>
      </c>
      <c r="GH114" s="85">
        <f>IF(DT114="","",IFERROR(DT114*HSTECH!$B$8*HSTECH!$G$8/HSTECH!$B$3,""))</f>
        <v/>
      </c>
      <c r="GI114" s="85">
        <f>IF(DU114="","",IFERROR(DU114*HSTECH!$B$8*HSTECH!$G$8/HSTECH!$B$3,""))</f>
        <v/>
      </c>
      <c r="GJ114" s="85">
        <f>IF(DV114="","",IFERROR(DV114*HSTECH!$B$8*HSTECH!$G$8/HSTECH!$B$3,""))</f>
        <v/>
      </c>
      <c r="GK114" s="85">
        <f>IF(DW114="","",IFERROR(DW114*HSTECH!$B$8*HSTECH!$G$8/HSTECH!$B$3,""))</f>
        <v/>
      </c>
      <c r="GL114" s="85">
        <f>IF(DX114="","",IFERROR(DX114*HSTECH!$B$8*HSTECH!$G$8/HSTECH!$B$3,""))</f>
        <v/>
      </c>
      <c r="GM114" s="85">
        <f>IF(DY114="","",IFERROR(DY114*HSTECH!$B$8*HSTECH!$G$8/HSTECH!$B$3,""))</f>
        <v/>
      </c>
      <c r="GN114" s="85">
        <f>IF(DZ114="","",IFERROR(DZ114*HSTECH!$B$8*HSTECH!$G$8/HSTECH!$B$3,""))</f>
        <v/>
      </c>
      <c r="GO114" s="85">
        <f>IF(EA114="","",IFERROR(EA114*HSTECH!$B$8*HSTECH!$G$8/HSTECH!$B$3,""))</f>
        <v/>
      </c>
      <c r="GP114" s="85">
        <f>IF(EB114="","",IFERROR(EB114*HSTECH!$B$8*HSTECH!$G$8/HSTECH!$B$3,""))</f>
        <v/>
      </c>
      <c r="GQ114" s="85">
        <f>IF(EC114="","",IFERROR(EC114*HSTECH!$B$8*HSTECH!$G$8/HSTECH!$B$3,""))</f>
        <v/>
      </c>
    </row>
    <row r="115">
      <c r="B115" s="2">
        <f>IF(HSTECH!$C$9="","",HSTECH!$C$9)</f>
        <v/>
      </c>
      <c r="C115" s="41">
        <f>IF(N('Dvd Calendar'!$E$1545)=0,"",IF(('Dvd Calendar'!$E$1545&gt;=MIN(DATE(Summary!$C$12,1,1),Summary!$C$11))*('Dvd Calendar'!$E$1545&lt;=MAX(DATE(Summary!$C$12,12,31),Summary!$C$15))*('Dvd Calendar'!$E$1545&lt;=Summary!$C$11)=0,"",'Dvd Calendar'!$E$1545*1000000000+ISNUMBER('Dvd Calendar'!$E$1546)*100000000+('Dvd Calendar'!$E$1550='Field Check'!$C$25)*10000000+(N('Dvd Calendar'!$E$1544)&gt;0)*1000000+3*1000+1))</f>
        <v/>
      </c>
      <c r="D115" s="41">
        <f>IF(N('Dvd Calendar'!$F$1545)=0,"",IF(('Dvd Calendar'!$F$1545&gt;=MIN(DATE(Summary!$C$12,1,1),Summary!$C$11))*('Dvd Calendar'!$F$1545&lt;=MAX(DATE(Summary!$C$12,12,31),Summary!$C$15))*('Dvd Calendar'!$F$1545&lt;=Summary!$C$11)=0,"",'Dvd Calendar'!$F$1545*1000000000+ISNUMBER('Dvd Calendar'!$F$1546)*100000000+('Dvd Calendar'!$F$1550='Field Check'!$C$25)*10000000+(N('Dvd Calendar'!$F$1544)&gt;0)*1000000+3*1000+2))</f>
        <v/>
      </c>
      <c r="E115" s="41">
        <f>IF(N('Dvd Calendar'!$G$1545)=0,"",IF(('Dvd Calendar'!$G$1545&gt;=MIN(DATE(Summary!$C$12,1,1),Summary!$C$11))*('Dvd Calendar'!$G$1545&lt;=MAX(DATE(Summary!$C$12,12,31),Summary!$C$15))*('Dvd Calendar'!$G$1545&lt;=Summary!$C$11)=0,"",'Dvd Calendar'!$G$1545*1000000000+ISNUMBER('Dvd Calendar'!$G$1546)*100000000+('Dvd Calendar'!$G$1550='Field Check'!$C$25)*10000000+(N('Dvd Calendar'!$G$1544)&gt;0)*1000000+3*1000+3))</f>
        <v/>
      </c>
      <c r="F115" s="41">
        <f>IF(N('Dvd Calendar'!$H$1545)=0,"",IF(('Dvd Calendar'!$H$1545&gt;=MIN(DATE(Summary!$C$12,1,1),Summary!$C$11))*('Dvd Calendar'!$H$1545&lt;=MAX(DATE(Summary!$C$12,12,31),Summary!$C$15))*('Dvd Calendar'!$H$1545&lt;=Summary!$C$11)=0,"",'Dvd Calendar'!$H$1545*1000000000+ISNUMBER('Dvd Calendar'!$H$1546)*100000000+('Dvd Calendar'!$H$1550='Field Check'!$C$25)*10000000+(N('Dvd Calendar'!$H$1544)&gt;0)*1000000+3*1000+4))</f>
        <v/>
      </c>
      <c r="G115" s="41">
        <f>IF(N('Dvd Calendar'!$I$1545)=0,"",IF(('Dvd Calendar'!$I$1545&gt;=MIN(DATE(Summary!$C$12,1,1),Summary!$C$11))*('Dvd Calendar'!$I$1545&lt;=MAX(DATE(Summary!$C$12,12,31),Summary!$C$15))*('Dvd Calendar'!$I$1545&lt;=Summary!$C$11)=0,"",'Dvd Calendar'!$I$1545*1000000000+ISNUMBER('Dvd Calendar'!$I$1546)*100000000+('Dvd Calendar'!$I$1550='Field Check'!$C$25)*10000000+(N('Dvd Calendar'!$I$1544)&gt;0)*1000000+3*1000+5))</f>
        <v/>
      </c>
      <c r="H115" s="41">
        <f>IF(N('Dvd Calendar'!$J$1545)=0,"",IF(('Dvd Calendar'!$J$1545&gt;=MIN(DATE(Summary!$C$12,1,1),Summary!$C$11))*('Dvd Calendar'!$J$1545&lt;=MAX(DATE(Summary!$C$12,12,31),Summary!$C$15))*('Dvd Calendar'!$J$1545&lt;=Summary!$C$11)=0,"",'Dvd Calendar'!$J$1545*1000000000+ISNUMBER('Dvd Calendar'!$J$1546)*100000000+('Dvd Calendar'!$J$1550='Field Check'!$C$25)*10000000+(N('Dvd Calendar'!$J$1544)&gt;0)*1000000+3*1000+6))</f>
        <v/>
      </c>
      <c r="I115" s="41">
        <f>IF(N('Dvd Calendar'!$K$1545)=0,"",IF(('Dvd Calendar'!$K$1545&gt;=MIN(DATE(Summary!$C$12,1,1),Summary!$C$11))*('Dvd Calendar'!$K$1545&lt;=MAX(DATE(Summary!$C$12,12,31),Summary!$C$15))*('Dvd Calendar'!$K$1545&lt;=Summary!$C$11)=0,"",'Dvd Calendar'!$K$1545*1000000000+ISNUMBER('Dvd Calendar'!$K$1546)*100000000+('Dvd Calendar'!$K$1550='Field Check'!$C$25)*10000000+(N('Dvd Calendar'!$K$1544)&gt;0)*1000000+3*1000+7))</f>
        <v/>
      </c>
      <c r="J115" s="41">
        <f>IF(N('Dvd Calendar'!$L$1545)=0,"",IF(('Dvd Calendar'!$L$1545&gt;=MIN(DATE(Summary!$C$12,1,1),Summary!$C$11))*('Dvd Calendar'!$L$1545&lt;=MAX(DATE(Summary!$C$12,12,31),Summary!$C$15))*('Dvd Calendar'!$L$1545&lt;=Summary!$C$11)=0,"",'Dvd Calendar'!$L$1545*1000000000+ISNUMBER('Dvd Calendar'!$L$1546)*100000000+('Dvd Calendar'!$L$1550='Field Check'!$C$25)*10000000+(N('Dvd Calendar'!$L$1544)&gt;0)*1000000+3*1000+8))</f>
        <v/>
      </c>
      <c r="K115" s="41">
        <f>IF(N('Dvd Calendar'!$M$1545)=0,"",IF(('Dvd Calendar'!$M$1545&gt;=MIN(DATE(Summary!$C$12,1,1),Summary!$C$11))*('Dvd Calendar'!$M$1545&lt;=MAX(DATE(Summary!$C$12,12,31),Summary!$C$15))*('Dvd Calendar'!$M$1545&lt;=Summary!$C$11)=0,"",'Dvd Calendar'!$M$1545*1000000000+ISNUMBER('Dvd Calendar'!$M$1546)*100000000+('Dvd Calendar'!$M$1550='Field Check'!$C$25)*10000000+(N('Dvd Calendar'!$M$1544)&gt;0)*1000000+3*1000+9))</f>
        <v/>
      </c>
      <c r="L115" s="41">
        <f>IF(N('Dvd Calendar'!$N$1545)=0,"",IF(('Dvd Calendar'!$N$1545&gt;=MIN(DATE(Summary!$C$12,1,1),Summary!$C$11))*('Dvd Calendar'!$N$1545&lt;=MAX(DATE(Summary!$C$12,12,31),Summary!$C$15))*('Dvd Calendar'!$N$1545&lt;=Summary!$C$11)=0,"",'Dvd Calendar'!$N$1545*1000000000+ISNUMBER('Dvd Calendar'!$N$1546)*100000000+('Dvd Calendar'!$N$1550='Field Check'!$C$25)*10000000+(N('Dvd Calendar'!$N$1544)&gt;0)*1000000+3*1000+10))</f>
        <v/>
      </c>
      <c r="M115" s="41">
        <f>IF(N('Dvd Calendar'!$O$1545)=0,"",IF(('Dvd Calendar'!$O$1545&gt;=MIN(DATE(Summary!$C$12,1,1),Summary!$C$11))*('Dvd Calendar'!$O$1545&lt;=MAX(DATE(Summary!$C$12,12,31),Summary!$C$15))*('Dvd Calendar'!$O$1545&lt;=Summary!$C$11)=0,"",'Dvd Calendar'!$O$1545*1000000000+ISNUMBER('Dvd Calendar'!$O$1546)*100000000+('Dvd Calendar'!$O$1550='Field Check'!$C$25)*10000000+(N('Dvd Calendar'!$O$1544)&gt;0)*1000000+3*1000+11))</f>
        <v/>
      </c>
      <c r="N115" s="41">
        <f>IF(N('Dvd Calendar'!$P$1545)=0,"",IF(('Dvd Calendar'!$P$1545&gt;=MIN(DATE(Summary!$C$12,1,1),Summary!$C$11))*('Dvd Calendar'!$P$1545&lt;=MAX(DATE(Summary!$C$12,12,31),Summary!$C$15))*('Dvd Calendar'!$P$1545&lt;=Summary!$C$11)=0,"",'Dvd Calendar'!$P$1545*1000000000+ISNUMBER('Dvd Calendar'!$P$1546)*100000000+('Dvd Calendar'!$P$1550='Field Check'!$C$25)*10000000+(N('Dvd Calendar'!$P$1544)&gt;0)*1000000+3*1000+12))</f>
        <v/>
      </c>
      <c r="O115" s="41">
        <f>IF(N('Dvd Calendar'!$Q$1545)=0,"",IF(('Dvd Calendar'!$Q$1545&gt;=MIN(DATE(Summary!$C$12,1,1),Summary!$C$11))*('Dvd Calendar'!$Q$1545&lt;=MAX(DATE(Summary!$C$12,12,31),Summary!$C$15))*('Dvd Calendar'!$Q$1545&lt;=Summary!$C$11)=0,"",'Dvd Calendar'!$Q$1545*1000000000+ISNUMBER('Dvd Calendar'!$Q$1546)*100000000+('Dvd Calendar'!$Q$1550='Field Check'!$C$25)*10000000+(N('Dvd Calendar'!$Q$1544)&gt;0)*1000000+3*1000+13))</f>
        <v/>
      </c>
      <c r="P115" s="41">
        <f>IF(N('Dvd Calendar'!$R$1545)=0,"",IF(('Dvd Calendar'!$R$1545&gt;=MIN(DATE(Summary!$C$12,1,1),Summary!$C$11))*('Dvd Calendar'!$R$1545&lt;=MAX(DATE(Summary!$C$12,12,31),Summary!$C$15))*('Dvd Calendar'!$R$1545&lt;=Summary!$C$11)=0,"",'Dvd Calendar'!$R$1545*1000000000+ISNUMBER('Dvd Calendar'!$R$1546)*100000000+('Dvd Calendar'!$R$1550='Field Check'!$C$25)*10000000+(N('Dvd Calendar'!$R$1544)&gt;0)*1000000+3*1000+14))</f>
        <v/>
      </c>
      <c r="Q115" s="41">
        <f>IF(N('Dvd Calendar'!$S$1545)=0,"",IF(('Dvd Calendar'!$S$1545&gt;=MIN(DATE(Summary!$C$12,1,1),Summary!$C$11))*('Dvd Calendar'!$S$1545&lt;=MAX(DATE(Summary!$C$12,12,31),Summary!$C$15))*('Dvd Calendar'!$S$1545&lt;=Summary!$C$11)=0,"",'Dvd Calendar'!$S$1545*1000000000+ISNUMBER('Dvd Calendar'!$S$1546)*100000000+('Dvd Calendar'!$S$1550='Field Check'!$C$25)*10000000+(N('Dvd Calendar'!$S$1544)&gt;0)*1000000+3*1000+15))</f>
        <v/>
      </c>
      <c r="R115" s="41">
        <f>IF(N('Dvd Calendar'!$T$1545)=0,"",IF(('Dvd Calendar'!$T$1545&gt;=MIN(DATE(Summary!$C$12,1,1),Summary!$C$11))*('Dvd Calendar'!$T$1545&lt;=MAX(DATE(Summary!$C$12,12,31),Summary!$C$15))*('Dvd Calendar'!$T$1545&lt;=Summary!$C$11)=0,"",'Dvd Calendar'!$T$1545*1000000000+ISNUMBER('Dvd Calendar'!$T$1546)*100000000+('Dvd Calendar'!$T$1550='Field Check'!$C$25)*10000000+(N('Dvd Calendar'!$T$1544)&gt;0)*1000000+3*1000+16))</f>
        <v/>
      </c>
      <c r="S115" s="41">
        <f>IF(N('Dvd Calendar'!$U$1545)=0,"",IF(('Dvd Calendar'!$U$1545&gt;=MIN(DATE(Summary!$C$12,1,1),Summary!$C$11))*('Dvd Calendar'!$U$1545&lt;=MAX(DATE(Summary!$C$12,12,31),Summary!$C$15))*('Dvd Calendar'!$U$1545&lt;=Summary!$C$11)=0,"",'Dvd Calendar'!$U$1545*1000000000+ISNUMBER('Dvd Calendar'!$U$1546)*100000000+('Dvd Calendar'!$U$1550='Field Check'!$C$25)*10000000+(N('Dvd Calendar'!$U$1544)&gt;0)*1000000+3*1000+17))</f>
        <v/>
      </c>
      <c r="T115" s="41">
        <f>IF(N('Dvd Calendar'!$V$1545)=0,"",IF(('Dvd Calendar'!$V$1545&gt;=MIN(DATE(Summary!$C$12,1,1),Summary!$C$11))*('Dvd Calendar'!$V$1545&lt;=MAX(DATE(Summary!$C$12,12,31),Summary!$C$15))*('Dvd Calendar'!$V$1545&lt;=Summary!$C$11)=0,"",'Dvd Calendar'!$V$1545*1000000000+ISNUMBER('Dvd Calendar'!$V$1546)*100000000+('Dvd Calendar'!$V$1550='Field Check'!$C$25)*10000000+(N('Dvd Calendar'!$V$1544)&gt;0)*1000000+3*1000+18))</f>
        <v/>
      </c>
      <c r="U115" s="41">
        <f>IF(N('Dvd Calendar'!$W$1545)=0,"",IF(('Dvd Calendar'!$W$1545&gt;=MIN(DATE(Summary!$C$12,1,1),Summary!$C$11))*('Dvd Calendar'!$W$1545&lt;=MAX(DATE(Summary!$C$12,12,31),Summary!$C$15))*('Dvd Calendar'!$W$1545&lt;=Summary!$C$11)=0,"",'Dvd Calendar'!$W$1545*1000000000+ISNUMBER('Dvd Calendar'!$W$1546)*100000000+('Dvd Calendar'!$W$1550='Field Check'!$C$25)*10000000+(N('Dvd Calendar'!$W$1544)&gt;0)*1000000+3*1000+19))</f>
        <v/>
      </c>
      <c r="V115" s="41">
        <f>IF(N('Dvd Calendar'!$X$1545)=0,"",IF(('Dvd Calendar'!$X$1545&gt;=MIN(DATE(Summary!$C$12,1,1),Summary!$C$11))*('Dvd Calendar'!$X$1545&lt;=MAX(DATE(Summary!$C$12,12,31),Summary!$C$15))*('Dvd Calendar'!$X$1545&lt;=Summary!$C$11)=0,"",'Dvd Calendar'!$X$1545*1000000000+ISNUMBER('Dvd Calendar'!$X$1546)*100000000+('Dvd Calendar'!$X$1550='Field Check'!$C$25)*10000000+(N('Dvd Calendar'!$X$1544)&gt;0)*1000000+3*1000+20))</f>
        <v/>
      </c>
      <c r="W115" s="41">
        <f>IF(N('Dvd Calendar'!$Y$1545)=0,"",IF(('Dvd Calendar'!$Y$1545&gt;=MIN(DATE(Summary!$C$12,1,1),Summary!$C$11))*('Dvd Calendar'!$Y$1545&lt;=MAX(DATE(Summary!$C$12,12,31),Summary!$C$15))*('Dvd Calendar'!$Y$1545&lt;=Summary!$C$11)=0,"",'Dvd Calendar'!$Y$1545*1000000000+ISNUMBER('Dvd Calendar'!$Y$1546)*100000000+('Dvd Calendar'!$Y$1550='Field Check'!$C$25)*10000000+(N('Dvd Calendar'!$Y$1544)&gt;0)*1000000+3*1000+21))</f>
        <v/>
      </c>
      <c r="X115" s="41">
        <f>IF(N('Dvd Calendar'!$Z$1545)=0,"",IF(('Dvd Calendar'!$Z$1545&gt;=MIN(DATE(Summary!$C$12,1,1),Summary!$C$11))*('Dvd Calendar'!$Z$1545&lt;=MAX(DATE(Summary!$C$12,12,31),Summary!$C$15))*('Dvd Calendar'!$Z$1545&lt;=Summary!$C$11)=0,"",'Dvd Calendar'!$Z$1545*1000000000+ISNUMBER('Dvd Calendar'!$Z$1546)*100000000+('Dvd Calendar'!$Z$1550='Field Check'!$C$25)*10000000+(N('Dvd Calendar'!$Z$1544)&gt;0)*1000000+3*1000+22))</f>
        <v/>
      </c>
      <c r="Y115" s="41">
        <f>IF(N('Dvd Calendar'!$AA$1545)=0,"",IF(('Dvd Calendar'!$AA$1545&gt;=MIN(DATE(Summary!$C$12,1,1),Summary!$C$11))*('Dvd Calendar'!$AA$1545&lt;=MAX(DATE(Summary!$C$12,12,31),Summary!$C$15))*('Dvd Calendar'!$AA$1545&lt;=Summary!$C$11)=0,"",'Dvd Calendar'!$AA$1545*1000000000+ISNUMBER('Dvd Calendar'!$AA$1546)*100000000+('Dvd Calendar'!$AA$1550='Field Check'!$C$25)*10000000+(N('Dvd Calendar'!$AA$1544)&gt;0)*1000000+3*1000+23))</f>
        <v/>
      </c>
      <c r="Z115" s="41">
        <f>IF(N('Dvd Calendar'!$AB$1545)=0,"",IF(('Dvd Calendar'!$AB$1545&gt;=MIN(DATE(Summary!$C$12,1,1),Summary!$C$11))*('Dvd Calendar'!$AB$1545&lt;=MAX(DATE(Summary!$C$12,12,31),Summary!$C$15))*('Dvd Calendar'!$AB$1545&lt;=Summary!$C$11)=0,"",'Dvd Calendar'!$AB$1545*1000000000+ISNUMBER('Dvd Calendar'!$AB$1546)*100000000+('Dvd Calendar'!$AB$1550='Field Check'!$C$25)*10000000+(N('Dvd Calendar'!$AB$1544)&gt;0)*1000000+3*1000+24))</f>
        <v/>
      </c>
      <c r="AA115" s="41">
        <f>IF(N('Dvd Calendar'!$AC$1545)=0,"",IF(('Dvd Calendar'!$AC$1545&gt;=MIN(DATE(Summary!$C$12,1,1),Summary!$C$11))*('Dvd Calendar'!$AC$1545&lt;=MAX(DATE(Summary!$C$12,12,31),Summary!$C$15))*('Dvd Calendar'!$AC$1545&lt;=Summary!$C$11)=0,"",'Dvd Calendar'!$AC$1545*1000000000+ISNUMBER('Dvd Calendar'!$AC$1546)*100000000+('Dvd Calendar'!$AC$1550='Field Check'!$C$25)*10000000+(N('Dvd Calendar'!$AC$1544)&gt;0)*1000000+3*1000+25))</f>
        <v/>
      </c>
      <c r="AB115" s="41">
        <f>IF(N('Dvd Calendar'!$AD$1545)=0,"",IF(('Dvd Calendar'!$AD$1545&gt;=MIN(DATE(Summary!$C$12,1,1),Summary!$C$11))*('Dvd Calendar'!$AD$1545&lt;=MAX(DATE(Summary!$C$12,12,31),Summary!$C$15))*('Dvd Calendar'!$AD$1545&lt;=Summary!$C$11)=0,"",'Dvd Calendar'!$AD$1545*1000000000+ISNUMBER('Dvd Calendar'!$AD$1546)*100000000+('Dvd Calendar'!$AD$1550='Field Check'!$C$25)*10000000+(N('Dvd Calendar'!$AD$1544)&gt;0)*1000000+3*1000+26))</f>
        <v/>
      </c>
      <c r="AC115" s="41">
        <f>IF(N('Dvd Calendar'!$AE$1545)=0,"",IF(('Dvd Calendar'!$AE$1545&gt;=MIN(DATE(Summary!$C$12,1,1),Summary!$C$11))*('Dvd Calendar'!$AE$1545&lt;=MAX(DATE(Summary!$C$12,12,31),Summary!$C$15))*('Dvd Calendar'!$AE$1545&lt;=Summary!$C$11)=0,"",'Dvd Calendar'!$AE$1545*1000000000+ISNUMBER('Dvd Calendar'!$AE$1546)*100000000+('Dvd Calendar'!$AE$1550='Field Check'!$C$25)*10000000+(N('Dvd Calendar'!$AE$1544)&gt;0)*1000000+3*1000+27))</f>
        <v/>
      </c>
      <c r="AD115" s="41">
        <f>IF(N('Dvd Calendar'!$AF$1545)=0,"",IF(('Dvd Calendar'!$AF$1545&gt;=MIN(DATE(Summary!$C$12,1,1),Summary!$C$11))*('Dvd Calendar'!$AF$1545&lt;=MAX(DATE(Summary!$C$12,12,31),Summary!$C$15))*('Dvd Calendar'!$AF$1545&lt;=Summary!$C$11)=0,"",'Dvd Calendar'!$AF$1545*1000000000+ISNUMBER('Dvd Calendar'!$AF$1546)*100000000+('Dvd Calendar'!$AF$1550='Field Check'!$C$25)*10000000+(N('Dvd Calendar'!$AF$1544)&gt;0)*1000000+3*1000+28))</f>
        <v/>
      </c>
      <c r="AE115" s="41">
        <f>IF(N('Dvd Calendar'!$AG$1545)=0,"",IF(('Dvd Calendar'!$AG$1545&gt;=MIN(DATE(Summary!$C$12,1,1),Summary!$C$11))*('Dvd Calendar'!$AG$1545&lt;=MAX(DATE(Summary!$C$12,12,31),Summary!$C$15))*('Dvd Calendar'!$AG$1545&lt;=Summary!$C$11)=0,"",'Dvd Calendar'!$AG$1545*1000000000+ISNUMBER('Dvd Calendar'!$AG$1546)*100000000+('Dvd Calendar'!$AG$1550='Field Check'!$C$25)*10000000+(N('Dvd Calendar'!$AG$1544)&gt;0)*1000000+3*1000+29))</f>
        <v/>
      </c>
      <c r="AF115" s="41">
        <f>IF(N('Dvd Calendar'!$AH$1545)=0,"",IF(('Dvd Calendar'!$AH$1545&gt;=MIN(DATE(Summary!$C$12,1,1),Summary!$C$11))*('Dvd Calendar'!$AH$1545&lt;=MAX(DATE(Summary!$C$12,12,31),Summary!$C$15))*('Dvd Calendar'!$AH$1545&lt;=Summary!$C$11)=0,"",'Dvd Calendar'!$AH$1545*1000000000+ISNUMBER('Dvd Calendar'!$AH$1546)*100000000+('Dvd Calendar'!$AH$1550='Field Check'!$C$25)*10000000+(N('Dvd Calendar'!$AH$1544)&gt;0)*1000000+3*1000+30))</f>
        <v/>
      </c>
      <c r="AG115" s="41">
        <f>IF(N('Dvd Calendar'!$AI$1545)=0,"",IF(('Dvd Calendar'!$AI$1545&gt;=MIN(DATE(Summary!$C$12,1,1),Summary!$C$11))*('Dvd Calendar'!$AI$1545&lt;=MAX(DATE(Summary!$C$12,12,31),Summary!$C$15))*('Dvd Calendar'!$AI$1545&lt;=Summary!$C$11)=0,"",'Dvd Calendar'!$AI$1545*1000000000+ISNUMBER('Dvd Calendar'!$AI$1546)*100000000+('Dvd Calendar'!$AI$1550='Field Check'!$C$25)*10000000+(N('Dvd Calendar'!$AI$1544)&gt;0)*1000000+3*1000+31))</f>
        <v/>
      </c>
      <c r="AH115" s="41">
        <f>IF(N('Dvd Calendar'!$AJ$1545)=0,"",IF(('Dvd Calendar'!$AJ$1545&gt;=MIN(DATE(Summary!$C$12,1,1),Summary!$C$11))*('Dvd Calendar'!$AJ$1545&lt;=MAX(DATE(Summary!$C$12,12,31),Summary!$C$15))*('Dvd Calendar'!$AJ$1545&lt;=Summary!$C$11)=0,"",'Dvd Calendar'!$AJ$1545*1000000000+ISNUMBER('Dvd Calendar'!$AJ$1546)*100000000+('Dvd Calendar'!$AJ$1550='Field Check'!$C$25)*10000000+(N('Dvd Calendar'!$AJ$1544)&gt;0)*1000000+3*1000+32))</f>
        <v/>
      </c>
      <c r="AI115" s="41">
        <f>IF(N('Dvd Calendar'!$AK$1545)=0,"",IF(('Dvd Calendar'!$AK$1545&gt;=MIN(DATE(Summary!$C$12,1,1),Summary!$C$11))*('Dvd Calendar'!$AK$1545&lt;=MAX(DATE(Summary!$C$12,12,31),Summary!$C$15))*('Dvd Calendar'!$AK$1545&lt;=Summary!$C$11)=0,"",'Dvd Calendar'!$AK$1545*1000000000+ISNUMBER('Dvd Calendar'!$AK$1546)*100000000+('Dvd Calendar'!$AK$1550='Field Check'!$C$25)*10000000+(N('Dvd Calendar'!$AK$1544)&gt;0)*1000000+3*1000+33))</f>
        <v/>
      </c>
      <c r="AJ115" s="41">
        <f>IF(N('Dvd Calendar'!$AL$1545)=0,"",IF(('Dvd Calendar'!$AL$1545&gt;=MIN(DATE(Summary!$C$12,1,1),Summary!$C$11))*('Dvd Calendar'!$AL$1545&lt;=MAX(DATE(Summary!$C$12,12,31),Summary!$C$15))*('Dvd Calendar'!$AL$1545&lt;=Summary!$C$11)=0,"",'Dvd Calendar'!$AL$1545*1000000000+ISNUMBER('Dvd Calendar'!$AL$1546)*100000000+('Dvd Calendar'!$AL$1550='Field Check'!$C$25)*10000000+(N('Dvd Calendar'!$AL$1544)&gt;0)*1000000+3*1000+34))</f>
        <v/>
      </c>
      <c r="AK115" s="41">
        <f>IF(N('Dvd Calendar'!$AM$1545)=0,"",IF(('Dvd Calendar'!$AM$1545&gt;=MIN(DATE(Summary!$C$12,1,1),Summary!$C$11))*('Dvd Calendar'!$AM$1545&lt;=MAX(DATE(Summary!$C$12,12,31),Summary!$C$15))*('Dvd Calendar'!$AM$1545&lt;=Summary!$C$11)=0,"",'Dvd Calendar'!$AM$1545*1000000000+ISNUMBER('Dvd Calendar'!$AM$1546)*100000000+('Dvd Calendar'!$AM$1550='Field Check'!$C$25)*10000000+(N('Dvd Calendar'!$AM$1544)&gt;0)*1000000+3*1000+35))</f>
        <v/>
      </c>
      <c r="AL115" s="41">
        <f>IF(N('Dvd Calendar'!$AN$1545)=0,"",IF(('Dvd Calendar'!$AN$1545&gt;=MIN(DATE(Summary!$C$12,1,1),Summary!$C$11))*('Dvd Calendar'!$AN$1545&lt;=MAX(DATE(Summary!$C$12,12,31),Summary!$C$15))*('Dvd Calendar'!$AN$1545&lt;=Summary!$C$11)=0,"",'Dvd Calendar'!$AN$1545*1000000000+ISNUMBER('Dvd Calendar'!$AN$1546)*100000000+('Dvd Calendar'!$AN$1550='Field Check'!$C$25)*10000000+(N('Dvd Calendar'!$AN$1544)&gt;0)*1000000+3*1000+36))</f>
        <v/>
      </c>
      <c r="AM115" s="41">
        <f>IF(N('Dvd Calendar'!$AO$1545)=0,"",IF(('Dvd Calendar'!$AO$1545&gt;=MIN(DATE(Summary!$C$12,1,1),Summary!$C$11))*('Dvd Calendar'!$AO$1545&lt;=MAX(DATE(Summary!$C$12,12,31),Summary!$C$15))*('Dvd Calendar'!$AO$1545&lt;=Summary!$C$11)=0,"",'Dvd Calendar'!$AO$1545*1000000000+ISNUMBER('Dvd Calendar'!$AO$1546)*100000000+('Dvd Calendar'!$AO$1550='Field Check'!$C$25)*10000000+(N('Dvd Calendar'!$AO$1544)&gt;0)*1000000+3*1000+37))</f>
        <v/>
      </c>
      <c r="AN115" s="41">
        <f>IF(N('Dvd Calendar'!$AP$1545)=0,"",IF(('Dvd Calendar'!$AP$1545&gt;=MIN(DATE(Summary!$C$12,1,1),Summary!$C$11))*('Dvd Calendar'!$AP$1545&lt;=MAX(DATE(Summary!$C$12,12,31),Summary!$C$15))*('Dvd Calendar'!$AP$1545&lt;=Summary!$C$11)=0,"",'Dvd Calendar'!$AP$1545*1000000000+ISNUMBER('Dvd Calendar'!$AP$1546)*100000000+('Dvd Calendar'!$AP$1550='Field Check'!$C$25)*10000000+(N('Dvd Calendar'!$AP$1544)&gt;0)*1000000+3*1000+38))</f>
        <v/>
      </c>
      <c r="AO115" s="41">
        <f>IF(N('Dvd Calendar'!$AQ$1545)=0,"",IF(('Dvd Calendar'!$AQ$1545&gt;=MIN(DATE(Summary!$C$12,1,1),Summary!$C$11))*('Dvd Calendar'!$AQ$1545&lt;=MAX(DATE(Summary!$C$12,12,31),Summary!$C$15))*('Dvd Calendar'!$AQ$1545&lt;=Summary!$C$11)=0,"",'Dvd Calendar'!$AQ$1545*1000000000+ISNUMBER('Dvd Calendar'!$AQ$1546)*100000000+('Dvd Calendar'!$AQ$1550='Field Check'!$C$25)*10000000+(N('Dvd Calendar'!$AQ$1544)&gt;0)*1000000+3*1000+39))</f>
        <v/>
      </c>
      <c r="AP115" s="41">
        <f>IF(N('Dvd Calendar'!$AR$1545)=0,"",IF(('Dvd Calendar'!$AR$1545&gt;=MIN(DATE(Summary!$C$12,1,1),Summary!$C$11))*('Dvd Calendar'!$AR$1545&lt;=MAX(DATE(Summary!$C$12,12,31),Summary!$C$15))*('Dvd Calendar'!$AR$1545&lt;=Summary!$C$11)=0,"",'Dvd Calendar'!$AR$1545*1000000000+ISNUMBER('Dvd Calendar'!$AR$1546)*100000000+('Dvd Calendar'!$AR$1550='Field Check'!$C$25)*10000000+(N('Dvd Calendar'!$AR$1544)&gt;0)*1000000+3*1000+40))</f>
        <v/>
      </c>
      <c r="AQ115" s="41">
        <f>IF(N('Dvd Calendar'!$E$1552)=0,"",IF(('Dvd Calendar'!$E$1552&gt;=MIN(DATE(Summary!$C$12,1,1),Summary!$C$11))*('Dvd Calendar'!$E$1552&lt;=MAX(DATE(Summary!$C$12,12,31),Summary!$C$15))*('Dvd Calendar'!$E$1552&gt;Summary!$C$11)=0,"",'Dvd Calendar'!$E$1552*1000000000+ISNUMBER('Dvd Calendar'!$E$1553)*100000000+('Dvd Calendar'!$E$1557='Field Check'!$C$25)*10000000+(N('Dvd Calendar'!$E$1551)&gt;0)*1000000+3*1000+41))</f>
        <v/>
      </c>
      <c r="AR115" s="41">
        <f>IF(N('Dvd Calendar'!$F$1552)=0,"",IF(('Dvd Calendar'!$F$1552&gt;=MIN(DATE(Summary!$C$12,1,1),Summary!$C$11))*('Dvd Calendar'!$F$1552&lt;=MAX(DATE(Summary!$C$12,12,31),Summary!$C$15))*('Dvd Calendar'!$F$1552&gt;Summary!$C$11)=0,"",'Dvd Calendar'!$F$1552*1000000000+ISNUMBER('Dvd Calendar'!$F$1553)*100000000+('Dvd Calendar'!$F$1557='Field Check'!$C$25)*10000000+(N('Dvd Calendar'!$F$1551)&gt;0)*1000000+3*1000+42))</f>
        <v/>
      </c>
      <c r="AS115" s="41">
        <f>IF(N('Dvd Calendar'!$G$1552)=0,"",IF(('Dvd Calendar'!$G$1552&gt;=MIN(DATE(Summary!$C$12,1,1),Summary!$C$11))*('Dvd Calendar'!$G$1552&lt;=MAX(DATE(Summary!$C$12,12,31),Summary!$C$15))*('Dvd Calendar'!$G$1552&gt;Summary!$C$11)=0,"",'Dvd Calendar'!$G$1552*1000000000+ISNUMBER('Dvd Calendar'!$G$1553)*100000000+('Dvd Calendar'!$G$1557='Field Check'!$C$25)*10000000+(N('Dvd Calendar'!$G$1551)&gt;0)*1000000+3*1000+43))</f>
        <v/>
      </c>
      <c r="AT115" s="41">
        <f>IF(N('Dvd Calendar'!$H$1552)=0,"",IF(('Dvd Calendar'!$H$1552&gt;=MIN(DATE(Summary!$C$12,1,1),Summary!$C$11))*('Dvd Calendar'!$H$1552&lt;=MAX(DATE(Summary!$C$12,12,31),Summary!$C$15))*('Dvd Calendar'!$H$1552&gt;Summary!$C$11)=0,"",'Dvd Calendar'!$H$1552*1000000000+ISNUMBER('Dvd Calendar'!$H$1553)*100000000+('Dvd Calendar'!$H$1557='Field Check'!$C$25)*10000000+(N('Dvd Calendar'!$H$1551)&gt;0)*1000000+3*1000+44))</f>
        <v/>
      </c>
      <c r="AU115" s="41">
        <f>IF(N('Dvd Calendar'!$I$1552)=0,"",IF(('Dvd Calendar'!$I$1552&gt;=MIN(DATE(Summary!$C$12,1,1),Summary!$C$11))*('Dvd Calendar'!$I$1552&lt;=MAX(DATE(Summary!$C$12,12,31),Summary!$C$15))*('Dvd Calendar'!$I$1552&gt;Summary!$C$11)=0,"",'Dvd Calendar'!$I$1552*1000000000+ISNUMBER('Dvd Calendar'!$I$1553)*100000000+('Dvd Calendar'!$I$1557='Field Check'!$C$25)*10000000+(N('Dvd Calendar'!$I$1551)&gt;0)*1000000+3*1000+45))</f>
        <v/>
      </c>
      <c r="AV115" s="41">
        <f>IF(N('Dvd Calendar'!$J$1552)=0,"",IF(('Dvd Calendar'!$J$1552&gt;=MIN(DATE(Summary!$C$12,1,1),Summary!$C$11))*('Dvd Calendar'!$J$1552&lt;=MAX(DATE(Summary!$C$12,12,31),Summary!$C$15))*('Dvd Calendar'!$J$1552&gt;Summary!$C$11)=0,"",'Dvd Calendar'!$J$1552*1000000000+ISNUMBER('Dvd Calendar'!$J$1553)*100000000+('Dvd Calendar'!$J$1557='Field Check'!$C$25)*10000000+(N('Dvd Calendar'!$J$1551)&gt;0)*1000000+3*1000+46))</f>
        <v/>
      </c>
      <c r="AW115" s="41">
        <f>IF(N('Dvd Calendar'!$K$1552)=0,"",IF(('Dvd Calendar'!$K$1552&gt;=MIN(DATE(Summary!$C$12,1,1),Summary!$C$11))*('Dvd Calendar'!$K$1552&lt;=MAX(DATE(Summary!$C$12,12,31),Summary!$C$15))*('Dvd Calendar'!$K$1552&gt;Summary!$C$11)=0,"",'Dvd Calendar'!$K$1552*1000000000+ISNUMBER('Dvd Calendar'!$K$1553)*100000000+('Dvd Calendar'!$K$1557='Field Check'!$C$25)*10000000+(N('Dvd Calendar'!$K$1551)&gt;0)*1000000+3*1000+47))</f>
        <v/>
      </c>
      <c r="AX115" s="41">
        <f>IF(N('Dvd Calendar'!$L$1552)=0,"",IF(('Dvd Calendar'!$L$1552&gt;=MIN(DATE(Summary!$C$12,1,1),Summary!$C$11))*('Dvd Calendar'!$L$1552&lt;=MAX(DATE(Summary!$C$12,12,31),Summary!$C$15))*('Dvd Calendar'!$L$1552&gt;Summary!$C$11)=0,"",'Dvd Calendar'!$L$1552*1000000000+ISNUMBER('Dvd Calendar'!$L$1553)*100000000+('Dvd Calendar'!$L$1557='Field Check'!$C$25)*10000000+(N('Dvd Calendar'!$L$1551)&gt;0)*1000000+3*1000+48))</f>
        <v/>
      </c>
      <c r="AY115" s="41">
        <f>IF(N('Dvd Calendar'!$M$1552)=0,"",IF(('Dvd Calendar'!$M$1552&gt;=MIN(DATE(Summary!$C$12,1,1),Summary!$C$11))*('Dvd Calendar'!$M$1552&lt;=MAX(DATE(Summary!$C$12,12,31),Summary!$C$15))*('Dvd Calendar'!$M$1552&gt;Summary!$C$11)=0,"",'Dvd Calendar'!$M$1552*1000000000+ISNUMBER('Dvd Calendar'!$M$1553)*100000000+('Dvd Calendar'!$M$1557='Field Check'!$C$25)*10000000+(N('Dvd Calendar'!$M$1551)&gt;0)*1000000+3*1000+49))</f>
        <v/>
      </c>
      <c r="AZ115" s="41">
        <f>IF(N('Dvd Calendar'!$N$1552)=0,"",IF(('Dvd Calendar'!$N$1552&gt;=MIN(DATE(Summary!$C$12,1,1),Summary!$C$11))*('Dvd Calendar'!$N$1552&lt;=MAX(DATE(Summary!$C$12,12,31),Summary!$C$15))*('Dvd Calendar'!$N$1552&gt;Summary!$C$11)=0,"",'Dvd Calendar'!$N$1552*1000000000+ISNUMBER('Dvd Calendar'!$N$1553)*100000000+('Dvd Calendar'!$N$1557='Field Check'!$C$25)*10000000+(N('Dvd Calendar'!$N$1551)&gt;0)*1000000+3*1000+50))</f>
        <v/>
      </c>
      <c r="BA115" s="41">
        <f>IF(N('Dvd Calendar'!$O$1552)=0,"",IF(('Dvd Calendar'!$O$1552&gt;=MIN(DATE(Summary!$C$12,1,1),Summary!$C$11))*('Dvd Calendar'!$O$1552&lt;=MAX(DATE(Summary!$C$12,12,31),Summary!$C$15))*('Dvd Calendar'!$O$1552&gt;Summary!$C$11)=0,"",'Dvd Calendar'!$O$1552*1000000000+ISNUMBER('Dvd Calendar'!$O$1553)*100000000+('Dvd Calendar'!$O$1557='Field Check'!$C$25)*10000000+(N('Dvd Calendar'!$O$1551)&gt;0)*1000000+3*1000+51))</f>
        <v/>
      </c>
      <c r="BB115" s="41">
        <f>IF(N('Dvd Calendar'!$P$1552)=0,"",IF(('Dvd Calendar'!$P$1552&gt;=MIN(DATE(Summary!$C$12,1,1),Summary!$C$11))*('Dvd Calendar'!$P$1552&lt;=MAX(DATE(Summary!$C$12,12,31),Summary!$C$15))*('Dvd Calendar'!$P$1552&gt;Summary!$C$11)=0,"",'Dvd Calendar'!$P$1552*1000000000+ISNUMBER('Dvd Calendar'!$P$1553)*100000000+('Dvd Calendar'!$P$1557='Field Check'!$C$25)*10000000+(N('Dvd Calendar'!$P$1551)&gt;0)*1000000+3*1000+52))</f>
        <v/>
      </c>
      <c r="BC115" s="41">
        <f>IF(N('Dvd Calendar'!$Q$1552)=0,"",IF(('Dvd Calendar'!$Q$1552&gt;=MIN(DATE(Summary!$C$12,1,1),Summary!$C$11))*('Dvd Calendar'!$Q$1552&lt;=MAX(DATE(Summary!$C$12,12,31),Summary!$C$15))*('Dvd Calendar'!$Q$1552&gt;Summary!$C$11)=0,"",'Dvd Calendar'!$Q$1552*1000000000+ISNUMBER('Dvd Calendar'!$Q$1553)*100000000+('Dvd Calendar'!$Q$1557='Field Check'!$C$25)*10000000+(N('Dvd Calendar'!$Q$1551)&gt;0)*1000000+3*1000+53))</f>
        <v/>
      </c>
      <c r="BD115" s="41">
        <f>IF(N('Dvd Calendar'!$R$1552)=0,"",IF(('Dvd Calendar'!$R$1552&gt;=MIN(DATE(Summary!$C$12,1,1),Summary!$C$11))*('Dvd Calendar'!$R$1552&lt;=MAX(DATE(Summary!$C$12,12,31),Summary!$C$15))*('Dvd Calendar'!$R$1552&gt;Summary!$C$11)=0,"",'Dvd Calendar'!$R$1552*1000000000+ISNUMBER('Dvd Calendar'!$R$1553)*100000000+('Dvd Calendar'!$R$1557='Field Check'!$C$25)*10000000+(N('Dvd Calendar'!$R$1551)&gt;0)*1000000+3*1000+54))</f>
        <v/>
      </c>
      <c r="BE115" s="41">
        <f>IF(N('Dvd Calendar'!$S$1552)=0,"",IF(('Dvd Calendar'!$S$1552&gt;=MIN(DATE(Summary!$C$12,1,1),Summary!$C$11))*('Dvd Calendar'!$S$1552&lt;=MAX(DATE(Summary!$C$12,12,31),Summary!$C$15))*('Dvd Calendar'!$S$1552&gt;Summary!$C$11)=0,"",'Dvd Calendar'!$S$1552*1000000000+ISNUMBER('Dvd Calendar'!$S$1553)*100000000+('Dvd Calendar'!$S$1557='Field Check'!$C$25)*10000000+(N('Dvd Calendar'!$S$1551)&gt;0)*1000000+3*1000+55))</f>
        <v/>
      </c>
      <c r="BF115" s="41">
        <f>IF(N('Dvd Calendar'!$T$1552)=0,"",IF(('Dvd Calendar'!$T$1552&gt;=MIN(DATE(Summary!$C$12,1,1),Summary!$C$11))*('Dvd Calendar'!$T$1552&lt;=MAX(DATE(Summary!$C$12,12,31),Summary!$C$15))*('Dvd Calendar'!$T$1552&gt;Summary!$C$11)=0,"",'Dvd Calendar'!$T$1552*1000000000+ISNUMBER('Dvd Calendar'!$T$1553)*100000000+('Dvd Calendar'!$T$1557='Field Check'!$C$25)*10000000+(N('Dvd Calendar'!$T$1551)&gt;0)*1000000+3*1000+56))</f>
        <v/>
      </c>
      <c r="BG115" s="41">
        <f>IF(N('Dvd Calendar'!$U$1552)=0,"",IF(('Dvd Calendar'!$U$1552&gt;=MIN(DATE(Summary!$C$12,1,1),Summary!$C$11))*('Dvd Calendar'!$U$1552&lt;=MAX(DATE(Summary!$C$12,12,31),Summary!$C$15))*('Dvd Calendar'!$U$1552&gt;Summary!$C$11)=0,"",'Dvd Calendar'!$U$1552*1000000000+ISNUMBER('Dvd Calendar'!$U$1553)*100000000+('Dvd Calendar'!$U$1557='Field Check'!$C$25)*10000000+(N('Dvd Calendar'!$U$1551)&gt;0)*1000000+3*1000+57))</f>
        <v/>
      </c>
      <c r="BH115" s="41">
        <f>IF(N('Dvd Calendar'!$V$1552)=0,"",IF(('Dvd Calendar'!$V$1552&gt;=MIN(DATE(Summary!$C$12,1,1),Summary!$C$11))*('Dvd Calendar'!$V$1552&lt;=MAX(DATE(Summary!$C$12,12,31),Summary!$C$15))*('Dvd Calendar'!$V$1552&gt;Summary!$C$11)=0,"",'Dvd Calendar'!$V$1552*1000000000+ISNUMBER('Dvd Calendar'!$V$1553)*100000000+('Dvd Calendar'!$V$1557='Field Check'!$C$25)*10000000+(N('Dvd Calendar'!$V$1551)&gt;0)*1000000+3*1000+58))</f>
        <v/>
      </c>
      <c r="BI115" s="41">
        <f>IF(N('Dvd Calendar'!$W$1552)=0,"",IF(('Dvd Calendar'!$W$1552&gt;=MIN(DATE(Summary!$C$12,1,1),Summary!$C$11))*('Dvd Calendar'!$W$1552&lt;=MAX(DATE(Summary!$C$12,12,31),Summary!$C$15))*('Dvd Calendar'!$W$1552&gt;Summary!$C$11)=0,"",'Dvd Calendar'!$W$1552*1000000000+ISNUMBER('Dvd Calendar'!$W$1553)*100000000+('Dvd Calendar'!$W$1557='Field Check'!$C$25)*10000000+(N('Dvd Calendar'!$W$1551)&gt;0)*1000000+3*1000+59))</f>
        <v/>
      </c>
      <c r="BJ115" s="41">
        <f>IF(N('Dvd Calendar'!$X$1552)=0,"",IF(('Dvd Calendar'!$X$1552&gt;=MIN(DATE(Summary!$C$12,1,1),Summary!$C$11))*('Dvd Calendar'!$X$1552&lt;=MAX(DATE(Summary!$C$12,12,31),Summary!$C$15))*('Dvd Calendar'!$X$1552&gt;Summary!$C$11)=0,"",'Dvd Calendar'!$X$1552*1000000000+ISNUMBER('Dvd Calendar'!$X$1553)*100000000+('Dvd Calendar'!$X$1557='Field Check'!$C$25)*10000000+(N('Dvd Calendar'!$X$1551)&gt;0)*1000000+3*1000+60))</f>
        <v/>
      </c>
      <c r="BK115" s="41">
        <f>IF(N('Dvd Calendar'!$Y$1552)=0,"",IF(('Dvd Calendar'!$Y$1552&gt;=MIN(DATE(Summary!$C$12,1,1),Summary!$C$11))*('Dvd Calendar'!$Y$1552&lt;=MAX(DATE(Summary!$C$12,12,31),Summary!$C$15))*('Dvd Calendar'!$Y$1552&gt;Summary!$C$11)=0,"",'Dvd Calendar'!$Y$1552*1000000000+ISNUMBER('Dvd Calendar'!$Y$1553)*100000000+('Dvd Calendar'!$Y$1557='Field Check'!$C$25)*10000000+(N('Dvd Calendar'!$Y$1551)&gt;0)*1000000+3*1000+61))</f>
        <v/>
      </c>
      <c r="BL115" s="41">
        <f>IF(N('Dvd Calendar'!$Z$1552)=0,"",IF(('Dvd Calendar'!$Z$1552&gt;=MIN(DATE(Summary!$C$12,1,1),Summary!$C$11))*('Dvd Calendar'!$Z$1552&lt;=MAX(DATE(Summary!$C$12,12,31),Summary!$C$15))*('Dvd Calendar'!$Z$1552&gt;Summary!$C$11)=0,"",'Dvd Calendar'!$Z$1552*1000000000+ISNUMBER('Dvd Calendar'!$Z$1553)*100000000+('Dvd Calendar'!$Z$1557='Field Check'!$C$25)*10000000+(N('Dvd Calendar'!$Z$1551)&gt;0)*1000000+3*1000+62))</f>
        <v/>
      </c>
      <c r="BM115" s="41">
        <f>IF(N('Dvd Calendar'!$AA$1552)=0,"",IF(('Dvd Calendar'!$AA$1552&gt;=MIN(DATE(Summary!$C$12,1,1),Summary!$C$11))*('Dvd Calendar'!$AA$1552&lt;=MAX(DATE(Summary!$C$12,12,31),Summary!$C$15))*('Dvd Calendar'!$AA$1552&gt;Summary!$C$11)=0,"",'Dvd Calendar'!$AA$1552*1000000000+ISNUMBER('Dvd Calendar'!$AA$1553)*100000000+('Dvd Calendar'!$AA$1557='Field Check'!$C$25)*10000000+(N('Dvd Calendar'!$AA$1551)&gt;0)*1000000+3*1000+63))</f>
        <v/>
      </c>
      <c r="BN115" s="41">
        <f>IF(N('Dvd Calendar'!$AB$1552)=0,"",IF(('Dvd Calendar'!$AB$1552&gt;=MIN(DATE(Summary!$C$12,1,1),Summary!$C$11))*('Dvd Calendar'!$AB$1552&lt;=MAX(DATE(Summary!$C$12,12,31),Summary!$C$15))*('Dvd Calendar'!$AB$1552&gt;Summary!$C$11)=0,"",'Dvd Calendar'!$AB$1552*1000000000+ISNUMBER('Dvd Calendar'!$AB$1553)*100000000+('Dvd Calendar'!$AB$1557='Field Check'!$C$25)*10000000+(N('Dvd Calendar'!$AB$1551)&gt;0)*1000000+3*1000+64))</f>
        <v/>
      </c>
      <c r="BO115" s="41">
        <f>IF(N('Dvd Calendar'!$AC$1552)=0,"",IF(('Dvd Calendar'!$AC$1552&gt;=MIN(DATE(Summary!$C$12,1,1),Summary!$C$11))*('Dvd Calendar'!$AC$1552&lt;=MAX(DATE(Summary!$C$12,12,31),Summary!$C$15))*('Dvd Calendar'!$AC$1552&gt;Summary!$C$11)=0,"",'Dvd Calendar'!$AC$1552*1000000000+ISNUMBER('Dvd Calendar'!$AC$1553)*100000000+('Dvd Calendar'!$AC$1557='Field Check'!$C$25)*10000000+(N('Dvd Calendar'!$AC$1551)&gt;0)*1000000+3*1000+65))</f>
        <v/>
      </c>
      <c r="BQ115" s="85">
        <f>IF(C115="","",IF(ISNUMBER('Dvd Calendar'!$E$1546)=FALSE,"",IF((Summary!$C$13="N")*('Dvd Calendar'!$E$1550='Field Check'!$C$25)&gt;0,"",'Dvd Calendar'!$E$1546)))</f>
        <v/>
      </c>
      <c r="BR115" s="85">
        <f>IF(D115="","",IF(ISNUMBER('Dvd Calendar'!$F$1546)=FALSE,"",IF((Summary!$C$13="N")*('Dvd Calendar'!$F$1550='Field Check'!$C$25)&gt;0,"",'Dvd Calendar'!$F$1546)))</f>
        <v/>
      </c>
      <c r="BS115" s="85">
        <f>IF(E115="","",IF(ISNUMBER('Dvd Calendar'!$G$1546)=FALSE,"",IF((Summary!$C$13="N")*('Dvd Calendar'!$G$1550='Field Check'!$C$25)&gt;0,"",'Dvd Calendar'!$G$1546)))</f>
        <v/>
      </c>
      <c r="BT115" s="85">
        <f>IF(F115="","",IF(ISNUMBER('Dvd Calendar'!$H$1546)=FALSE,"",IF((Summary!$C$13="N")*('Dvd Calendar'!$H$1550='Field Check'!$C$25)&gt;0,"",'Dvd Calendar'!$H$1546)))</f>
        <v/>
      </c>
      <c r="BU115" s="85">
        <f>IF(G115="","",IF(ISNUMBER('Dvd Calendar'!$I$1546)=FALSE,"",IF((Summary!$C$13="N")*('Dvd Calendar'!$I$1550='Field Check'!$C$25)&gt;0,"",'Dvd Calendar'!$I$1546)))</f>
        <v/>
      </c>
      <c r="BV115" s="85">
        <f>IF(H115="","",IF(ISNUMBER('Dvd Calendar'!$J$1546)=FALSE,"",IF((Summary!$C$13="N")*('Dvd Calendar'!$J$1550='Field Check'!$C$25)&gt;0,"",'Dvd Calendar'!$J$1546)))</f>
        <v/>
      </c>
      <c r="BW115" s="85">
        <f>IF(I115="","",IF(ISNUMBER('Dvd Calendar'!$K$1546)=FALSE,"",IF((Summary!$C$13="N")*('Dvd Calendar'!$K$1550='Field Check'!$C$25)&gt;0,"",'Dvd Calendar'!$K$1546)))</f>
        <v/>
      </c>
      <c r="BX115" s="85">
        <f>IF(J115="","",IF(ISNUMBER('Dvd Calendar'!$L$1546)=FALSE,"",IF((Summary!$C$13="N")*('Dvd Calendar'!$L$1550='Field Check'!$C$25)&gt;0,"",'Dvd Calendar'!$L$1546)))</f>
        <v/>
      </c>
      <c r="BY115" s="85">
        <f>IF(K115="","",IF(ISNUMBER('Dvd Calendar'!$M$1546)=FALSE,"",IF((Summary!$C$13="N")*('Dvd Calendar'!$M$1550='Field Check'!$C$25)&gt;0,"",'Dvd Calendar'!$M$1546)))</f>
        <v/>
      </c>
      <c r="BZ115" s="85">
        <f>IF(L115="","",IF(ISNUMBER('Dvd Calendar'!$N$1546)=FALSE,"",IF((Summary!$C$13="N")*('Dvd Calendar'!$N$1550='Field Check'!$C$25)&gt;0,"",'Dvd Calendar'!$N$1546)))</f>
        <v/>
      </c>
      <c r="CA115" s="85">
        <f>IF(M115="","",IF(ISNUMBER('Dvd Calendar'!$O$1546)=FALSE,"",IF((Summary!$C$13="N")*('Dvd Calendar'!$O$1550='Field Check'!$C$25)&gt;0,"",'Dvd Calendar'!$O$1546)))</f>
        <v/>
      </c>
      <c r="CB115" s="85">
        <f>IF(N115="","",IF(ISNUMBER('Dvd Calendar'!$P$1546)=FALSE,"",IF((Summary!$C$13="N")*('Dvd Calendar'!$P$1550='Field Check'!$C$25)&gt;0,"",'Dvd Calendar'!$P$1546)))</f>
        <v/>
      </c>
      <c r="CC115" s="85">
        <f>IF(O115="","",IF(ISNUMBER('Dvd Calendar'!$Q$1546)=FALSE,"",IF((Summary!$C$13="N")*('Dvd Calendar'!$Q$1550='Field Check'!$C$25)&gt;0,"",'Dvd Calendar'!$Q$1546)))</f>
        <v/>
      </c>
      <c r="CD115" s="85">
        <f>IF(P115="","",IF(ISNUMBER('Dvd Calendar'!$R$1546)=FALSE,"",IF((Summary!$C$13="N")*('Dvd Calendar'!$R$1550='Field Check'!$C$25)&gt;0,"",'Dvd Calendar'!$R$1546)))</f>
        <v/>
      </c>
      <c r="CE115" s="85">
        <f>IF(Q115="","",IF(ISNUMBER('Dvd Calendar'!$S$1546)=FALSE,"",IF((Summary!$C$13="N")*('Dvd Calendar'!$S$1550='Field Check'!$C$25)&gt;0,"",'Dvd Calendar'!$S$1546)))</f>
        <v/>
      </c>
      <c r="CF115" s="85">
        <f>IF(R115="","",IF(ISNUMBER('Dvd Calendar'!$T$1546)=FALSE,"",IF((Summary!$C$13="N")*('Dvd Calendar'!$T$1550='Field Check'!$C$25)&gt;0,"",'Dvd Calendar'!$T$1546)))</f>
        <v/>
      </c>
      <c r="CG115" s="85">
        <f>IF(S115="","",IF(ISNUMBER('Dvd Calendar'!$U$1546)=FALSE,"",IF((Summary!$C$13="N")*('Dvd Calendar'!$U$1550='Field Check'!$C$25)&gt;0,"",'Dvd Calendar'!$U$1546)))</f>
        <v/>
      </c>
      <c r="CH115" s="85">
        <f>IF(T115="","",IF(ISNUMBER('Dvd Calendar'!$V$1546)=FALSE,"",IF((Summary!$C$13="N")*('Dvd Calendar'!$V$1550='Field Check'!$C$25)&gt;0,"",'Dvd Calendar'!$V$1546)))</f>
        <v/>
      </c>
      <c r="CI115" s="85">
        <f>IF(U115="","",IF(ISNUMBER('Dvd Calendar'!$W$1546)=FALSE,"",IF((Summary!$C$13="N")*('Dvd Calendar'!$W$1550='Field Check'!$C$25)&gt;0,"",'Dvd Calendar'!$W$1546)))</f>
        <v/>
      </c>
      <c r="CJ115" s="85">
        <f>IF(V115="","",IF(ISNUMBER('Dvd Calendar'!$X$1546)=FALSE,"",IF((Summary!$C$13="N")*('Dvd Calendar'!$X$1550='Field Check'!$C$25)&gt;0,"",'Dvd Calendar'!$X$1546)))</f>
        <v/>
      </c>
      <c r="CK115" s="85">
        <f>IF(W115="","",IF(ISNUMBER('Dvd Calendar'!$Y$1546)=FALSE,"",IF((Summary!$C$13="N")*('Dvd Calendar'!$Y$1550='Field Check'!$C$25)&gt;0,"",'Dvd Calendar'!$Y$1546)))</f>
        <v/>
      </c>
      <c r="CL115" s="85">
        <f>IF(X115="","",IF(ISNUMBER('Dvd Calendar'!$Z$1546)=FALSE,"",IF((Summary!$C$13="N")*('Dvd Calendar'!$Z$1550='Field Check'!$C$25)&gt;0,"",'Dvd Calendar'!$Z$1546)))</f>
        <v/>
      </c>
      <c r="CM115" s="85">
        <f>IF(Y115="","",IF(ISNUMBER('Dvd Calendar'!$AA$1546)=FALSE,"",IF((Summary!$C$13="N")*('Dvd Calendar'!$AA$1550='Field Check'!$C$25)&gt;0,"",'Dvd Calendar'!$AA$1546)))</f>
        <v/>
      </c>
      <c r="CN115" s="85">
        <f>IF(Z115="","",IF(ISNUMBER('Dvd Calendar'!$AB$1546)=FALSE,"",IF((Summary!$C$13="N")*('Dvd Calendar'!$AB$1550='Field Check'!$C$25)&gt;0,"",'Dvd Calendar'!$AB$1546)))</f>
        <v/>
      </c>
      <c r="CO115" s="85">
        <f>IF(AA115="","",IF(ISNUMBER('Dvd Calendar'!$AC$1546)=FALSE,"",IF((Summary!$C$13="N")*('Dvd Calendar'!$AC$1550='Field Check'!$C$25)&gt;0,"",'Dvd Calendar'!$AC$1546)))</f>
        <v/>
      </c>
      <c r="CP115" s="85">
        <f>IF(AB115="","",IF(ISNUMBER('Dvd Calendar'!$AD$1546)=FALSE,"",IF((Summary!$C$13="N")*('Dvd Calendar'!$AD$1550='Field Check'!$C$25)&gt;0,"",'Dvd Calendar'!$AD$1546)))</f>
        <v/>
      </c>
      <c r="CQ115" s="85">
        <f>IF(AC115="","",IF(ISNUMBER('Dvd Calendar'!$AE$1546)=FALSE,"",IF((Summary!$C$13="N")*('Dvd Calendar'!$AE$1550='Field Check'!$C$25)&gt;0,"",'Dvd Calendar'!$AE$1546)))</f>
        <v/>
      </c>
      <c r="CR115" s="85">
        <f>IF(AD115="","",IF(ISNUMBER('Dvd Calendar'!$AF$1546)=FALSE,"",IF((Summary!$C$13="N")*('Dvd Calendar'!$AF$1550='Field Check'!$C$25)&gt;0,"",'Dvd Calendar'!$AF$1546)))</f>
        <v/>
      </c>
      <c r="CS115" s="85">
        <f>IF(AE115="","",IF(ISNUMBER('Dvd Calendar'!$AG$1546)=FALSE,"",IF((Summary!$C$13="N")*('Dvd Calendar'!$AG$1550='Field Check'!$C$25)&gt;0,"",'Dvd Calendar'!$AG$1546)))</f>
        <v/>
      </c>
      <c r="CT115" s="85">
        <f>IF(AF115="","",IF(ISNUMBER('Dvd Calendar'!$AH$1546)=FALSE,"",IF((Summary!$C$13="N")*('Dvd Calendar'!$AH$1550='Field Check'!$C$25)&gt;0,"",'Dvd Calendar'!$AH$1546)))</f>
        <v/>
      </c>
      <c r="CU115" s="85">
        <f>IF(AG115="","",IF(ISNUMBER('Dvd Calendar'!$AI$1546)=FALSE,"",IF((Summary!$C$13="N")*('Dvd Calendar'!$AI$1550='Field Check'!$C$25)&gt;0,"",'Dvd Calendar'!$AI$1546)))</f>
        <v/>
      </c>
      <c r="CV115" s="85">
        <f>IF(AH115="","",IF(ISNUMBER('Dvd Calendar'!$AJ$1546)=FALSE,"",IF((Summary!$C$13="N")*('Dvd Calendar'!$AJ$1550='Field Check'!$C$25)&gt;0,"",'Dvd Calendar'!$AJ$1546)))</f>
        <v/>
      </c>
      <c r="CW115" s="85">
        <f>IF(AI115="","",IF(ISNUMBER('Dvd Calendar'!$AK$1546)=FALSE,"",IF((Summary!$C$13="N")*('Dvd Calendar'!$AK$1550='Field Check'!$C$25)&gt;0,"",'Dvd Calendar'!$AK$1546)))</f>
        <v/>
      </c>
      <c r="CX115" s="85">
        <f>IF(AJ115="","",IF(ISNUMBER('Dvd Calendar'!$AL$1546)=FALSE,"",IF((Summary!$C$13="N")*('Dvd Calendar'!$AL$1550='Field Check'!$C$25)&gt;0,"",'Dvd Calendar'!$AL$1546)))</f>
        <v/>
      </c>
      <c r="CY115" s="85">
        <f>IF(AK115="","",IF(ISNUMBER('Dvd Calendar'!$AM$1546)=FALSE,"",IF((Summary!$C$13="N")*('Dvd Calendar'!$AM$1550='Field Check'!$C$25)&gt;0,"",'Dvd Calendar'!$AM$1546)))</f>
        <v/>
      </c>
      <c r="CZ115" s="85">
        <f>IF(AL115="","",IF(ISNUMBER('Dvd Calendar'!$AN$1546)=FALSE,"",IF((Summary!$C$13="N")*('Dvd Calendar'!$AN$1550='Field Check'!$C$25)&gt;0,"",'Dvd Calendar'!$AN$1546)))</f>
        <v/>
      </c>
      <c r="DA115" s="85">
        <f>IF(AM115="","",IF(ISNUMBER('Dvd Calendar'!$AO$1546)=FALSE,"",IF((Summary!$C$13="N")*('Dvd Calendar'!$AO$1550='Field Check'!$C$25)&gt;0,"",'Dvd Calendar'!$AO$1546)))</f>
        <v/>
      </c>
      <c r="DB115" s="85">
        <f>IF(AN115="","",IF(ISNUMBER('Dvd Calendar'!$AP$1546)=FALSE,"",IF((Summary!$C$13="N")*('Dvd Calendar'!$AP$1550='Field Check'!$C$25)&gt;0,"",'Dvd Calendar'!$AP$1546)))</f>
        <v/>
      </c>
      <c r="DC115" s="85">
        <f>IF(AO115="","",IF(ISNUMBER('Dvd Calendar'!$AQ$1546)=FALSE,"",IF((Summary!$C$13="N")*('Dvd Calendar'!$AQ$1550='Field Check'!$C$25)&gt;0,"",'Dvd Calendar'!$AQ$1546)))</f>
        <v/>
      </c>
      <c r="DD115" s="85">
        <f>IF(AP115="","",IF(ISNUMBER('Dvd Calendar'!$AR$1546)=FALSE,"",IF((Summary!$C$13="N")*('Dvd Calendar'!$AR$1550='Field Check'!$C$25)&gt;0,"",'Dvd Calendar'!$AR$1546)))</f>
        <v/>
      </c>
      <c r="DE115" s="85">
        <f>IF(AQ115="","",IF(ISNUMBER('Dvd Calendar'!$E$1553)=FALSE,"",IF((Summary!$C$13="N")*('Dvd Calendar'!$E$1557='Field Check'!$C$25)&gt;0,"",'Dvd Calendar'!$E$1553)))</f>
        <v/>
      </c>
      <c r="DF115" s="85">
        <f>IF(AR115="","",IF(ISNUMBER('Dvd Calendar'!$F$1553)=FALSE,"",IF((Summary!$C$13="N")*('Dvd Calendar'!$F$1557='Field Check'!$C$25)&gt;0,"",'Dvd Calendar'!$F$1553)))</f>
        <v/>
      </c>
      <c r="DG115" s="85">
        <f>IF(AS115="","",IF(ISNUMBER('Dvd Calendar'!$G$1553)=FALSE,"",IF((Summary!$C$13="N")*('Dvd Calendar'!$G$1557='Field Check'!$C$25)&gt;0,"",'Dvd Calendar'!$G$1553)))</f>
        <v/>
      </c>
      <c r="DH115" s="85">
        <f>IF(AT115="","",IF(ISNUMBER('Dvd Calendar'!$H$1553)=FALSE,"",IF((Summary!$C$13="N")*('Dvd Calendar'!$H$1557='Field Check'!$C$25)&gt;0,"",'Dvd Calendar'!$H$1553)))</f>
        <v/>
      </c>
      <c r="DI115" s="85">
        <f>IF(AU115="","",IF(ISNUMBER('Dvd Calendar'!$I$1553)=FALSE,"",IF((Summary!$C$13="N")*('Dvd Calendar'!$I$1557='Field Check'!$C$25)&gt;0,"",'Dvd Calendar'!$I$1553)))</f>
        <v/>
      </c>
      <c r="DJ115" s="85">
        <f>IF(AV115="","",IF(ISNUMBER('Dvd Calendar'!$J$1553)=FALSE,"",IF((Summary!$C$13="N")*('Dvd Calendar'!$J$1557='Field Check'!$C$25)&gt;0,"",'Dvd Calendar'!$J$1553)))</f>
        <v/>
      </c>
      <c r="DK115" s="85">
        <f>IF(AW115="","",IF(ISNUMBER('Dvd Calendar'!$K$1553)=FALSE,"",IF((Summary!$C$13="N")*('Dvd Calendar'!$K$1557='Field Check'!$C$25)&gt;0,"",'Dvd Calendar'!$K$1553)))</f>
        <v/>
      </c>
      <c r="DL115" s="85">
        <f>IF(AX115="","",IF(ISNUMBER('Dvd Calendar'!$L$1553)=FALSE,"",IF((Summary!$C$13="N")*('Dvd Calendar'!$L$1557='Field Check'!$C$25)&gt;0,"",'Dvd Calendar'!$L$1553)))</f>
        <v/>
      </c>
      <c r="DM115" s="85">
        <f>IF(AY115="","",IF(ISNUMBER('Dvd Calendar'!$M$1553)=FALSE,"",IF((Summary!$C$13="N")*('Dvd Calendar'!$M$1557='Field Check'!$C$25)&gt;0,"",'Dvd Calendar'!$M$1553)))</f>
        <v/>
      </c>
      <c r="DN115" s="85">
        <f>IF(AZ115="","",IF(ISNUMBER('Dvd Calendar'!$N$1553)=FALSE,"",IF((Summary!$C$13="N")*('Dvd Calendar'!$N$1557='Field Check'!$C$25)&gt;0,"",'Dvd Calendar'!$N$1553)))</f>
        <v/>
      </c>
      <c r="DO115" s="85">
        <f>IF(BA115="","",IF(ISNUMBER('Dvd Calendar'!$O$1553)=FALSE,"",IF((Summary!$C$13="N")*('Dvd Calendar'!$O$1557='Field Check'!$C$25)&gt;0,"",'Dvd Calendar'!$O$1553)))</f>
        <v/>
      </c>
      <c r="DP115" s="85">
        <f>IF(BB115="","",IF(ISNUMBER('Dvd Calendar'!$P$1553)=FALSE,"",IF((Summary!$C$13="N")*('Dvd Calendar'!$P$1557='Field Check'!$C$25)&gt;0,"",'Dvd Calendar'!$P$1553)))</f>
        <v/>
      </c>
      <c r="DQ115" s="85">
        <f>IF(BC115="","",IF(ISNUMBER('Dvd Calendar'!$Q$1553)=FALSE,"",IF((Summary!$C$13="N")*('Dvd Calendar'!$Q$1557='Field Check'!$C$25)&gt;0,"",'Dvd Calendar'!$Q$1553)))</f>
        <v/>
      </c>
      <c r="DR115" s="85">
        <f>IF(BD115="","",IF(ISNUMBER('Dvd Calendar'!$R$1553)=FALSE,"",IF((Summary!$C$13="N")*('Dvd Calendar'!$R$1557='Field Check'!$C$25)&gt;0,"",'Dvd Calendar'!$R$1553)))</f>
        <v/>
      </c>
      <c r="DS115" s="85">
        <f>IF(BE115="","",IF(ISNUMBER('Dvd Calendar'!$S$1553)=FALSE,"",IF((Summary!$C$13="N")*('Dvd Calendar'!$S$1557='Field Check'!$C$25)&gt;0,"",'Dvd Calendar'!$S$1553)))</f>
        <v/>
      </c>
      <c r="DT115" s="85">
        <f>IF(BF115="","",IF(ISNUMBER('Dvd Calendar'!$T$1553)=FALSE,"",IF((Summary!$C$13="N")*('Dvd Calendar'!$T$1557='Field Check'!$C$25)&gt;0,"",'Dvd Calendar'!$T$1553)))</f>
        <v/>
      </c>
      <c r="DU115" s="85">
        <f>IF(BG115="","",IF(ISNUMBER('Dvd Calendar'!$U$1553)=FALSE,"",IF((Summary!$C$13="N")*('Dvd Calendar'!$U$1557='Field Check'!$C$25)&gt;0,"",'Dvd Calendar'!$U$1553)))</f>
        <v/>
      </c>
      <c r="DV115" s="85">
        <f>IF(BH115="","",IF(ISNUMBER('Dvd Calendar'!$V$1553)=FALSE,"",IF((Summary!$C$13="N")*('Dvd Calendar'!$V$1557='Field Check'!$C$25)&gt;0,"",'Dvd Calendar'!$V$1553)))</f>
        <v/>
      </c>
      <c r="DW115" s="85">
        <f>IF(BI115="","",IF(ISNUMBER('Dvd Calendar'!$W$1553)=FALSE,"",IF((Summary!$C$13="N")*('Dvd Calendar'!$W$1557='Field Check'!$C$25)&gt;0,"",'Dvd Calendar'!$W$1553)))</f>
        <v/>
      </c>
      <c r="DX115" s="85">
        <f>IF(BJ115="","",IF(ISNUMBER('Dvd Calendar'!$X$1553)=FALSE,"",IF((Summary!$C$13="N")*('Dvd Calendar'!$X$1557='Field Check'!$C$25)&gt;0,"",'Dvd Calendar'!$X$1553)))</f>
        <v/>
      </c>
      <c r="DY115" s="85">
        <f>IF(BK115="","",IF(ISNUMBER('Dvd Calendar'!$Y$1553)=FALSE,"",IF((Summary!$C$13="N")*('Dvd Calendar'!$Y$1557='Field Check'!$C$25)&gt;0,"",'Dvd Calendar'!$Y$1553)))</f>
        <v/>
      </c>
      <c r="DZ115" s="85">
        <f>IF(BL115="","",IF(ISNUMBER('Dvd Calendar'!$Z$1553)=FALSE,"",IF((Summary!$C$13="N")*('Dvd Calendar'!$Z$1557='Field Check'!$C$25)&gt;0,"",'Dvd Calendar'!$Z$1553)))</f>
        <v/>
      </c>
      <c r="EA115" s="85">
        <f>IF(BM115="","",IF(ISNUMBER('Dvd Calendar'!$AA$1553)=FALSE,"",IF((Summary!$C$13="N")*('Dvd Calendar'!$AA$1557='Field Check'!$C$25)&gt;0,"",'Dvd Calendar'!$AA$1553)))</f>
        <v/>
      </c>
      <c r="EB115" s="85">
        <f>IF(BN115="","",IF(ISNUMBER('Dvd Calendar'!$AB$1553)=FALSE,"",IF((Summary!$C$13="N")*('Dvd Calendar'!$AB$1557='Field Check'!$C$25)&gt;0,"",'Dvd Calendar'!$AB$1553)))</f>
        <v/>
      </c>
      <c r="EC115" s="85">
        <f>IF(BO115="","",IF(ISNUMBER('Dvd Calendar'!$AC$1553)=FALSE,"",IF((Summary!$C$13="N")*('Dvd Calendar'!$AC$1557='Field Check'!$C$25)&gt;0,"",'Dvd Calendar'!$AC$1553)))</f>
        <v/>
      </c>
      <c r="EE115" s="85">
        <f>IF(BQ115="","",IFERROR(BQ115*HSTECH!$B$9*HSTECH!$G$9/HSTECH!$B$3,""))</f>
        <v/>
      </c>
      <c r="EF115" s="85">
        <f>IF(BR115="","",IFERROR(BR115*HSTECH!$B$9*HSTECH!$G$9/HSTECH!$B$3,""))</f>
        <v/>
      </c>
      <c r="EG115" s="85">
        <f>IF(BS115="","",IFERROR(BS115*HSTECH!$B$9*HSTECH!$G$9/HSTECH!$B$3,""))</f>
        <v/>
      </c>
      <c r="EH115" s="85">
        <f>IF(BT115="","",IFERROR(BT115*HSTECH!$B$9*HSTECH!$G$9/HSTECH!$B$3,""))</f>
        <v/>
      </c>
      <c r="EI115" s="85">
        <f>IF(BU115="","",IFERROR(BU115*HSTECH!$B$9*HSTECH!$G$9/HSTECH!$B$3,""))</f>
        <v/>
      </c>
      <c r="EJ115" s="85">
        <f>IF(BV115="","",IFERROR(BV115*HSTECH!$B$9*HSTECH!$G$9/HSTECH!$B$3,""))</f>
        <v/>
      </c>
      <c r="EK115" s="85">
        <f>IF(BW115="","",IFERROR(BW115*HSTECH!$B$9*HSTECH!$G$9/HSTECH!$B$3,""))</f>
        <v/>
      </c>
      <c r="EL115" s="85">
        <f>IF(BX115="","",IFERROR(BX115*HSTECH!$B$9*HSTECH!$G$9/HSTECH!$B$3,""))</f>
        <v/>
      </c>
      <c r="EM115" s="85">
        <f>IF(BY115="","",IFERROR(BY115*HSTECH!$B$9*HSTECH!$G$9/HSTECH!$B$3,""))</f>
        <v/>
      </c>
      <c r="EN115" s="85">
        <f>IF(BZ115="","",IFERROR(BZ115*HSTECH!$B$9*HSTECH!$G$9/HSTECH!$B$3,""))</f>
        <v/>
      </c>
      <c r="EO115" s="85">
        <f>IF(CA115="","",IFERROR(CA115*HSTECH!$B$9*HSTECH!$G$9/HSTECH!$B$3,""))</f>
        <v/>
      </c>
      <c r="EP115" s="85">
        <f>IF(CB115="","",IFERROR(CB115*HSTECH!$B$9*HSTECH!$G$9/HSTECH!$B$3,""))</f>
        <v/>
      </c>
      <c r="EQ115" s="85">
        <f>IF(CC115="","",IFERROR(CC115*HSTECH!$B$9*HSTECH!$G$9/HSTECH!$B$3,""))</f>
        <v/>
      </c>
      <c r="ER115" s="85">
        <f>IF(CD115="","",IFERROR(CD115*HSTECH!$B$9*HSTECH!$G$9/HSTECH!$B$3,""))</f>
        <v/>
      </c>
      <c r="ES115" s="85">
        <f>IF(CE115="","",IFERROR(CE115*HSTECH!$B$9*HSTECH!$G$9/HSTECH!$B$3,""))</f>
        <v/>
      </c>
      <c r="ET115" s="85">
        <f>IF(CF115="","",IFERROR(CF115*HSTECH!$B$9*HSTECH!$G$9/HSTECH!$B$3,""))</f>
        <v/>
      </c>
      <c r="EU115" s="85">
        <f>IF(CG115="","",IFERROR(CG115*HSTECH!$B$9*HSTECH!$G$9/HSTECH!$B$3,""))</f>
        <v/>
      </c>
      <c r="EV115" s="85">
        <f>IF(CH115="","",IFERROR(CH115*HSTECH!$B$9*HSTECH!$G$9/HSTECH!$B$3,""))</f>
        <v/>
      </c>
      <c r="EW115" s="85">
        <f>IF(CI115="","",IFERROR(CI115*HSTECH!$B$9*HSTECH!$G$9/HSTECH!$B$3,""))</f>
        <v/>
      </c>
      <c r="EX115" s="85">
        <f>IF(CJ115="","",IFERROR(CJ115*HSTECH!$B$9*HSTECH!$G$9/HSTECH!$B$3,""))</f>
        <v/>
      </c>
      <c r="EY115" s="85">
        <f>IF(CK115="","",IFERROR(CK115*HSTECH!$B$9*HSTECH!$G$9/HSTECH!$B$3,""))</f>
        <v/>
      </c>
      <c r="EZ115" s="85">
        <f>IF(CL115="","",IFERROR(CL115*HSTECH!$B$9*HSTECH!$G$9/HSTECH!$B$3,""))</f>
        <v/>
      </c>
      <c r="FA115" s="85">
        <f>IF(CM115="","",IFERROR(CM115*HSTECH!$B$9*HSTECH!$G$9/HSTECH!$B$3,""))</f>
        <v/>
      </c>
      <c r="FB115" s="85">
        <f>IF(CN115="","",IFERROR(CN115*HSTECH!$B$9*HSTECH!$G$9/HSTECH!$B$3,""))</f>
        <v/>
      </c>
      <c r="FC115" s="85">
        <f>IF(CO115="","",IFERROR(CO115*HSTECH!$B$9*HSTECH!$G$9/HSTECH!$B$3,""))</f>
        <v/>
      </c>
      <c r="FD115" s="85">
        <f>IF(CP115="","",IFERROR(CP115*HSTECH!$B$9*HSTECH!$G$9/HSTECH!$B$3,""))</f>
        <v/>
      </c>
      <c r="FE115" s="85">
        <f>IF(CQ115="","",IFERROR(CQ115*HSTECH!$B$9*HSTECH!$G$9/HSTECH!$B$3,""))</f>
        <v/>
      </c>
      <c r="FF115" s="85">
        <f>IF(CR115="","",IFERROR(CR115*HSTECH!$B$9*HSTECH!$G$9/HSTECH!$B$3,""))</f>
        <v/>
      </c>
      <c r="FG115" s="85">
        <f>IF(CS115="","",IFERROR(CS115*HSTECH!$B$9*HSTECH!$G$9/HSTECH!$B$3,""))</f>
        <v/>
      </c>
      <c r="FH115" s="85">
        <f>IF(CT115="","",IFERROR(CT115*HSTECH!$B$9*HSTECH!$G$9/HSTECH!$B$3,""))</f>
        <v/>
      </c>
      <c r="FI115" s="85">
        <f>IF(CU115="","",IFERROR(CU115*HSTECH!$B$9*HSTECH!$G$9/HSTECH!$B$3,""))</f>
        <v/>
      </c>
      <c r="FJ115" s="85">
        <f>IF(CV115="","",IFERROR(CV115*HSTECH!$B$9*HSTECH!$G$9/HSTECH!$B$3,""))</f>
        <v/>
      </c>
      <c r="FK115" s="85">
        <f>IF(CW115="","",IFERROR(CW115*HSTECH!$B$9*HSTECH!$G$9/HSTECH!$B$3,""))</f>
        <v/>
      </c>
      <c r="FL115" s="85">
        <f>IF(CX115="","",IFERROR(CX115*HSTECH!$B$9*HSTECH!$G$9/HSTECH!$B$3,""))</f>
        <v/>
      </c>
      <c r="FM115" s="85">
        <f>IF(CY115="","",IFERROR(CY115*HSTECH!$B$9*HSTECH!$G$9/HSTECH!$B$3,""))</f>
        <v/>
      </c>
      <c r="FN115" s="85">
        <f>IF(CZ115="","",IFERROR(CZ115*HSTECH!$B$9*HSTECH!$G$9/HSTECH!$B$3,""))</f>
        <v/>
      </c>
      <c r="FO115" s="85">
        <f>IF(DA115="","",IFERROR(DA115*HSTECH!$B$9*HSTECH!$G$9/HSTECH!$B$3,""))</f>
        <v/>
      </c>
      <c r="FP115" s="85">
        <f>IF(DB115="","",IFERROR(DB115*HSTECH!$B$9*HSTECH!$G$9/HSTECH!$B$3,""))</f>
        <v/>
      </c>
      <c r="FQ115" s="85">
        <f>IF(DC115="","",IFERROR(DC115*HSTECH!$B$9*HSTECH!$G$9/HSTECH!$B$3,""))</f>
        <v/>
      </c>
      <c r="FR115" s="85">
        <f>IF(DD115="","",IFERROR(DD115*HSTECH!$B$9*HSTECH!$G$9/HSTECH!$B$3,""))</f>
        <v/>
      </c>
      <c r="FS115" s="85">
        <f>IF(DE115="","",IFERROR(DE115*HSTECH!$B$9*HSTECH!$G$9/HSTECH!$B$3,""))</f>
        <v/>
      </c>
      <c r="FT115" s="85">
        <f>IF(DF115="","",IFERROR(DF115*HSTECH!$B$9*HSTECH!$G$9/HSTECH!$B$3,""))</f>
        <v/>
      </c>
      <c r="FU115" s="85">
        <f>IF(DG115="","",IFERROR(DG115*HSTECH!$B$9*HSTECH!$G$9/HSTECH!$B$3,""))</f>
        <v/>
      </c>
      <c r="FV115" s="85">
        <f>IF(DH115="","",IFERROR(DH115*HSTECH!$B$9*HSTECH!$G$9/HSTECH!$B$3,""))</f>
        <v/>
      </c>
      <c r="FW115" s="85">
        <f>IF(DI115="","",IFERROR(DI115*HSTECH!$B$9*HSTECH!$G$9/HSTECH!$B$3,""))</f>
        <v/>
      </c>
      <c r="FX115" s="85">
        <f>IF(DJ115="","",IFERROR(DJ115*HSTECH!$B$9*HSTECH!$G$9/HSTECH!$B$3,""))</f>
        <v/>
      </c>
      <c r="FY115" s="85">
        <f>IF(DK115="","",IFERROR(DK115*HSTECH!$B$9*HSTECH!$G$9/HSTECH!$B$3,""))</f>
        <v/>
      </c>
      <c r="FZ115" s="85">
        <f>IF(DL115="","",IFERROR(DL115*HSTECH!$B$9*HSTECH!$G$9/HSTECH!$B$3,""))</f>
        <v/>
      </c>
      <c r="GA115" s="85">
        <f>IF(DM115="","",IFERROR(DM115*HSTECH!$B$9*HSTECH!$G$9/HSTECH!$B$3,""))</f>
        <v/>
      </c>
      <c r="GB115" s="85">
        <f>IF(DN115="","",IFERROR(DN115*HSTECH!$B$9*HSTECH!$G$9/HSTECH!$B$3,""))</f>
        <v/>
      </c>
      <c r="GC115" s="85">
        <f>IF(DO115="","",IFERROR(DO115*HSTECH!$B$9*HSTECH!$G$9/HSTECH!$B$3,""))</f>
        <v/>
      </c>
      <c r="GD115" s="85">
        <f>IF(DP115="","",IFERROR(DP115*HSTECH!$B$9*HSTECH!$G$9/HSTECH!$B$3,""))</f>
        <v/>
      </c>
      <c r="GE115" s="85">
        <f>IF(DQ115="","",IFERROR(DQ115*HSTECH!$B$9*HSTECH!$G$9/HSTECH!$B$3,""))</f>
        <v/>
      </c>
      <c r="GF115" s="85">
        <f>IF(DR115="","",IFERROR(DR115*HSTECH!$B$9*HSTECH!$G$9/HSTECH!$B$3,""))</f>
        <v/>
      </c>
      <c r="GG115" s="85">
        <f>IF(DS115="","",IFERROR(DS115*HSTECH!$B$9*HSTECH!$G$9/HSTECH!$B$3,""))</f>
        <v/>
      </c>
      <c r="GH115" s="85">
        <f>IF(DT115="","",IFERROR(DT115*HSTECH!$B$9*HSTECH!$G$9/HSTECH!$B$3,""))</f>
        <v/>
      </c>
      <c r="GI115" s="85">
        <f>IF(DU115="","",IFERROR(DU115*HSTECH!$B$9*HSTECH!$G$9/HSTECH!$B$3,""))</f>
        <v/>
      </c>
      <c r="GJ115" s="85">
        <f>IF(DV115="","",IFERROR(DV115*HSTECH!$B$9*HSTECH!$G$9/HSTECH!$B$3,""))</f>
        <v/>
      </c>
      <c r="GK115" s="85">
        <f>IF(DW115="","",IFERROR(DW115*HSTECH!$B$9*HSTECH!$G$9/HSTECH!$B$3,""))</f>
        <v/>
      </c>
      <c r="GL115" s="85">
        <f>IF(DX115="","",IFERROR(DX115*HSTECH!$B$9*HSTECH!$G$9/HSTECH!$B$3,""))</f>
        <v/>
      </c>
      <c r="GM115" s="85">
        <f>IF(DY115="","",IFERROR(DY115*HSTECH!$B$9*HSTECH!$G$9/HSTECH!$B$3,""))</f>
        <v/>
      </c>
      <c r="GN115" s="85">
        <f>IF(DZ115="","",IFERROR(DZ115*HSTECH!$B$9*HSTECH!$G$9/HSTECH!$B$3,""))</f>
        <v/>
      </c>
      <c r="GO115" s="85">
        <f>IF(EA115="","",IFERROR(EA115*HSTECH!$B$9*HSTECH!$G$9/HSTECH!$B$3,""))</f>
        <v/>
      </c>
      <c r="GP115" s="85">
        <f>IF(EB115="","",IFERROR(EB115*HSTECH!$B$9*HSTECH!$G$9/HSTECH!$B$3,""))</f>
        <v/>
      </c>
      <c r="GQ115" s="85">
        <f>IF(EC115="","",IFERROR(EC115*HSTECH!$B$9*HSTECH!$G$9/HSTECH!$B$3,""))</f>
        <v/>
      </c>
    </row>
    <row r="116">
      <c r="B116" s="2">
        <f>IF(HSTECH!$C$10="","",HSTECH!$C$10)</f>
        <v/>
      </c>
      <c r="C116" s="41">
        <f>IF(N('Dvd Calendar'!$E$1560)=0,"",IF(('Dvd Calendar'!$E$1560&gt;=MIN(DATE(Summary!$C$12,1,1),Summary!$C$11))*('Dvd Calendar'!$E$1560&lt;=MAX(DATE(Summary!$C$12,12,31),Summary!$C$15))*('Dvd Calendar'!$E$1560&lt;=Summary!$C$11)=0,"",'Dvd Calendar'!$E$1560*1000000000+ISNUMBER('Dvd Calendar'!$E$1561)*100000000+('Dvd Calendar'!$E$1565='Field Check'!$C$25)*10000000+(N('Dvd Calendar'!$E$1559)&gt;0)*1000000+4*1000+1))</f>
        <v/>
      </c>
      <c r="D116" s="41">
        <f>IF(N('Dvd Calendar'!$F$1560)=0,"",IF(('Dvd Calendar'!$F$1560&gt;=MIN(DATE(Summary!$C$12,1,1),Summary!$C$11))*('Dvd Calendar'!$F$1560&lt;=MAX(DATE(Summary!$C$12,12,31),Summary!$C$15))*('Dvd Calendar'!$F$1560&lt;=Summary!$C$11)=0,"",'Dvd Calendar'!$F$1560*1000000000+ISNUMBER('Dvd Calendar'!$F$1561)*100000000+('Dvd Calendar'!$F$1565='Field Check'!$C$25)*10000000+(N('Dvd Calendar'!$F$1559)&gt;0)*1000000+4*1000+2))</f>
        <v/>
      </c>
      <c r="E116" s="41">
        <f>IF(N('Dvd Calendar'!$G$1560)=0,"",IF(('Dvd Calendar'!$G$1560&gt;=MIN(DATE(Summary!$C$12,1,1),Summary!$C$11))*('Dvd Calendar'!$G$1560&lt;=MAX(DATE(Summary!$C$12,12,31),Summary!$C$15))*('Dvd Calendar'!$G$1560&lt;=Summary!$C$11)=0,"",'Dvd Calendar'!$G$1560*1000000000+ISNUMBER('Dvd Calendar'!$G$1561)*100000000+('Dvd Calendar'!$G$1565='Field Check'!$C$25)*10000000+(N('Dvd Calendar'!$G$1559)&gt;0)*1000000+4*1000+3))</f>
        <v/>
      </c>
      <c r="F116" s="41">
        <f>IF(N('Dvd Calendar'!$H$1560)=0,"",IF(('Dvd Calendar'!$H$1560&gt;=MIN(DATE(Summary!$C$12,1,1),Summary!$C$11))*('Dvd Calendar'!$H$1560&lt;=MAX(DATE(Summary!$C$12,12,31),Summary!$C$15))*('Dvd Calendar'!$H$1560&lt;=Summary!$C$11)=0,"",'Dvd Calendar'!$H$1560*1000000000+ISNUMBER('Dvd Calendar'!$H$1561)*100000000+('Dvd Calendar'!$H$1565='Field Check'!$C$25)*10000000+(N('Dvd Calendar'!$H$1559)&gt;0)*1000000+4*1000+4))</f>
        <v/>
      </c>
      <c r="G116" s="41">
        <f>IF(N('Dvd Calendar'!$I$1560)=0,"",IF(('Dvd Calendar'!$I$1560&gt;=MIN(DATE(Summary!$C$12,1,1),Summary!$C$11))*('Dvd Calendar'!$I$1560&lt;=MAX(DATE(Summary!$C$12,12,31),Summary!$C$15))*('Dvd Calendar'!$I$1560&lt;=Summary!$C$11)=0,"",'Dvd Calendar'!$I$1560*1000000000+ISNUMBER('Dvd Calendar'!$I$1561)*100000000+('Dvd Calendar'!$I$1565='Field Check'!$C$25)*10000000+(N('Dvd Calendar'!$I$1559)&gt;0)*1000000+4*1000+5))</f>
        <v/>
      </c>
      <c r="H116" s="41">
        <f>IF(N('Dvd Calendar'!$J$1560)=0,"",IF(('Dvd Calendar'!$J$1560&gt;=MIN(DATE(Summary!$C$12,1,1),Summary!$C$11))*('Dvd Calendar'!$J$1560&lt;=MAX(DATE(Summary!$C$12,12,31),Summary!$C$15))*('Dvd Calendar'!$J$1560&lt;=Summary!$C$11)=0,"",'Dvd Calendar'!$J$1560*1000000000+ISNUMBER('Dvd Calendar'!$J$1561)*100000000+('Dvd Calendar'!$J$1565='Field Check'!$C$25)*10000000+(N('Dvd Calendar'!$J$1559)&gt;0)*1000000+4*1000+6))</f>
        <v/>
      </c>
      <c r="I116" s="41">
        <f>IF(N('Dvd Calendar'!$K$1560)=0,"",IF(('Dvd Calendar'!$K$1560&gt;=MIN(DATE(Summary!$C$12,1,1),Summary!$C$11))*('Dvd Calendar'!$K$1560&lt;=MAX(DATE(Summary!$C$12,12,31),Summary!$C$15))*('Dvd Calendar'!$K$1560&lt;=Summary!$C$11)=0,"",'Dvd Calendar'!$K$1560*1000000000+ISNUMBER('Dvd Calendar'!$K$1561)*100000000+('Dvd Calendar'!$K$1565='Field Check'!$C$25)*10000000+(N('Dvd Calendar'!$K$1559)&gt;0)*1000000+4*1000+7))</f>
        <v/>
      </c>
      <c r="J116" s="41">
        <f>IF(N('Dvd Calendar'!$L$1560)=0,"",IF(('Dvd Calendar'!$L$1560&gt;=MIN(DATE(Summary!$C$12,1,1),Summary!$C$11))*('Dvd Calendar'!$L$1560&lt;=MAX(DATE(Summary!$C$12,12,31),Summary!$C$15))*('Dvd Calendar'!$L$1560&lt;=Summary!$C$11)=0,"",'Dvd Calendar'!$L$1560*1000000000+ISNUMBER('Dvd Calendar'!$L$1561)*100000000+('Dvd Calendar'!$L$1565='Field Check'!$C$25)*10000000+(N('Dvd Calendar'!$L$1559)&gt;0)*1000000+4*1000+8))</f>
        <v/>
      </c>
      <c r="K116" s="41">
        <f>IF(N('Dvd Calendar'!$M$1560)=0,"",IF(('Dvd Calendar'!$M$1560&gt;=MIN(DATE(Summary!$C$12,1,1),Summary!$C$11))*('Dvd Calendar'!$M$1560&lt;=MAX(DATE(Summary!$C$12,12,31),Summary!$C$15))*('Dvd Calendar'!$M$1560&lt;=Summary!$C$11)=0,"",'Dvd Calendar'!$M$1560*1000000000+ISNUMBER('Dvd Calendar'!$M$1561)*100000000+('Dvd Calendar'!$M$1565='Field Check'!$C$25)*10000000+(N('Dvd Calendar'!$M$1559)&gt;0)*1000000+4*1000+9))</f>
        <v/>
      </c>
      <c r="L116" s="41">
        <f>IF(N('Dvd Calendar'!$N$1560)=0,"",IF(('Dvd Calendar'!$N$1560&gt;=MIN(DATE(Summary!$C$12,1,1),Summary!$C$11))*('Dvd Calendar'!$N$1560&lt;=MAX(DATE(Summary!$C$12,12,31),Summary!$C$15))*('Dvd Calendar'!$N$1560&lt;=Summary!$C$11)=0,"",'Dvd Calendar'!$N$1560*1000000000+ISNUMBER('Dvd Calendar'!$N$1561)*100000000+('Dvd Calendar'!$N$1565='Field Check'!$C$25)*10000000+(N('Dvd Calendar'!$N$1559)&gt;0)*1000000+4*1000+10))</f>
        <v/>
      </c>
      <c r="M116" s="41">
        <f>IF(N('Dvd Calendar'!$O$1560)=0,"",IF(('Dvd Calendar'!$O$1560&gt;=MIN(DATE(Summary!$C$12,1,1),Summary!$C$11))*('Dvd Calendar'!$O$1560&lt;=MAX(DATE(Summary!$C$12,12,31),Summary!$C$15))*('Dvd Calendar'!$O$1560&lt;=Summary!$C$11)=0,"",'Dvd Calendar'!$O$1560*1000000000+ISNUMBER('Dvd Calendar'!$O$1561)*100000000+('Dvd Calendar'!$O$1565='Field Check'!$C$25)*10000000+(N('Dvd Calendar'!$O$1559)&gt;0)*1000000+4*1000+11))</f>
        <v/>
      </c>
      <c r="N116" s="41">
        <f>IF(N('Dvd Calendar'!$P$1560)=0,"",IF(('Dvd Calendar'!$P$1560&gt;=MIN(DATE(Summary!$C$12,1,1),Summary!$C$11))*('Dvd Calendar'!$P$1560&lt;=MAX(DATE(Summary!$C$12,12,31),Summary!$C$15))*('Dvd Calendar'!$P$1560&lt;=Summary!$C$11)=0,"",'Dvd Calendar'!$P$1560*1000000000+ISNUMBER('Dvd Calendar'!$P$1561)*100000000+('Dvd Calendar'!$P$1565='Field Check'!$C$25)*10000000+(N('Dvd Calendar'!$P$1559)&gt;0)*1000000+4*1000+12))</f>
        <v/>
      </c>
      <c r="O116" s="41">
        <f>IF(N('Dvd Calendar'!$Q$1560)=0,"",IF(('Dvd Calendar'!$Q$1560&gt;=MIN(DATE(Summary!$C$12,1,1),Summary!$C$11))*('Dvd Calendar'!$Q$1560&lt;=MAX(DATE(Summary!$C$12,12,31),Summary!$C$15))*('Dvd Calendar'!$Q$1560&lt;=Summary!$C$11)=0,"",'Dvd Calendar'!$Q$1560*1000000000+ISNUMBER('Dvd Calendar'!$Q$1561)*100000000+('Dvd Calendar'!$Q$1565='Field Check'!$C$25)*10000000+(N('Dvd Calendar'!$Q$1559)&gt;0)*1000000+4*1000+13))</f>
        <v/>
      </c>
      <c r="P116" s="41">
        <f>IF(N('Dvd Calendar'!$R$1560)=0,"",IF(('Dvd Calendar'!$R$1560&gt;=MIN(DATE(Summary!$C$12,1,1),Summary!$C$11))*('Dvd Calendar'!$R$1560&lt;=MAX(DATE(Summary!$C$12,12,31),Summary!$C$15))*('Dvd Calendar'!$R$1560&lt;=Summary!$C$11)=0,"",'Dvd Calendar'!$R$1560*1000000000+ISNUMBER('Dvd Calendar'!$R$1561)*100000000+('Dvd Calendar'!$R$1565='Field Check'!$C$25)*10000000+(N('Dvd Calendar'!$R$1559)&gt;0)*1000000+4*1000+14))</f>
        <v/>
      </c>
      <c r="Q116" s="41">
        <f>IF(N('Dvd Calendar'!$S$1560)=0,"",IF(('Dvd Calendar'!$S$1560&gt;=MIN(DATE(Summary!$C$12,1,1),Summary!$C$11))*('Dvd Calendar'!$S$1560&lt;=MAX(DATE(Summary!$C$12,12,31),Summary!$C$15))*('Dvd Calendar'!$S$1560&lt;=Summary!$C$11)=0,"",'Dvd Calendar'!$S$1560*1000000000+ISNUMBER('Dvd Calendar'!$S$1561)*100000000+('Dvd Calendar'!$S$1565='Field Check'!$C$25)*10000000+(N('Dvd Calendar'!$S$1559)&gt;0)*1000000+4*1000+15))</f>
        <v/>
      </c>
      <c r="R116" s="41">
        <f>IF(N('Dvd Calendar'!$T$1560)=0,"",IF(('Dvd Calendar'!$T$1560&gt;=MIN(DATE(Summary!$C$12,1,1),Summary!$C$11))*('Dvd Calendar'!$T$1560&lt;=MAX(DATE(Summary!$C$12,12,31),Summary!$C$15))*('Dvd Calendar'!$T$1560&lt;=Summary!$C$11)=0,"",'Dvd Calendar'!$T$1560*1000000000+ISNUMBER('Dvd Calendar'!$T$1561)*100000000+('Dvd Calendar'!$T$1565='Field Check'!$C$25)*10000000+(N('Dvd Calendar'!$T$1559)&gt;0)*1000000+4*1000+16))</f>
        <v/>
      </c>
      <c r="S116" s="41">
        <f>IF(N('Dvd Calendar'!$U$1560)=0,"",IF(('Dvd Calendar'!$U$1560&gt;=MIN(DATE(Summary!$C$12,1,1),Summary!$C$11))*('Dvd Calendar'!$U$1560&lt;=MAX(DATE(Summary!$C$12,12,31),Summary!$C$15))*('Dvd Calendar'!$U$1560&lt;=Summary!$C$11)=0,"",'Dvd Calendar'!$U$1560*1000000000+ISNUMBER('Dvd Calendar'!$U$1561)*100000000+('Dvd Calendar'!$U$1565='Field Check'!$C$25)*10000000+(N('Dvd Calendar'!$U$1559)&gt;0)*1000000+4*1000+17))</f>
        <v/>
      </c>
      <c r="T116" s="41">
        <f>IF(N('Dvd Calendar'!$V$1560)=0,"",IF(('Dvd Calendar'!$V$1560&gt;=MIN(DATE(Summary!$C$12,1,1),Summary!$C$11))*('Dvd Calendar'!$V$1560&lt;=MAX(DATE(Summary!$C$12,12,31),Summary!$C$15))*('Dvd Calendar'!$V$1560&lt;=Summary!$C$11)=0,"",'Dvd Calendar'!$V$1560*1000000000+ISNUMBER('Dvd Calendar'!$V$1561)*100000000+('Dvd Calendar'!$V$1565='Field Check'!$C$25)*10000000+(N('Dvd Calendar'!$V$1559)&gt;0)*1000000+4*1000+18))</f>
        <v/>
      </c>
      <c r="U116" s="41">
        <f>IF(N('Dvd Calendar'!$W$1560)=0,"",IF(('Dvd Calendar'!$W$1560&gt;=MIN(DATE(Summary!$C$12,1,1),Summary!$C$11))*('Dvd Calendar'!$W$1560&lt;=MAX(DATE(Summary!$C$12,12,31),Summary!$C$15))*('Dvd Calendar'!$W$1560&lt;=Summary!$C$11)=0,"",'Dvd Calendar'!$W$1560*1000000000+ISNUMBER('Dvd Calendar'!$W$1561)*100000000+('Dvd Calendar'!$W$1565='Field Check'!$C$25)*10000000+(N('Dvd Calendar'!$W$1559)&gt;0)*1000000+4*1000+19))</f>
        <v/>
      </c>
      <c r="V116" s="41">
        <f>IF(N('Dvd Calendar'!$X$1560)=0,"",IF(('Dvd Calendar'!$X$1560&gt;=MIN(DATE(Summary!$C$12,1,1),Summary!$C$11))*('Dvd Calendar'!$X$1560&lt;=MAX(DATE(Summary!$C$12,12,31),Summary!$C$15))*('Dvd Calendar'!$X$1560&lt;=Summary!$C$11)=0,"",'Dvd Calendar'!$X$1560*1000000000+ISNUMBER('Dvd Calendar'!$X$1561)*100000000+('Dvd Calendar'!$X$1565='Field Check'!$C$25)*10000000+(N('Dvd Calendar'!$X$1559)&gt;0)*1000000+4*1000+20))</f>
        <v/>
      </c>
      <c r="W116" s="41">
        <f>IF(N('Dvd Calendar'!$Y$1560)=0,"",IF(('Dvd Calendar'!$Y$1560&gt;=MIN(DATE(Summary!$C$12,1,1),Summary!$C$11))*('Dvd Calendar'!$Y$1560&lt;=MAX(DATE(Summary!$C$12,12,31),Summary!$C$15))*('Dvd Calendar'!$Y$1560&lt;=Summary!$C$11)=0,"",'Dvd Calendar'!$Y$1560*1000000000+ISNUMBER('Dvd Calendar'!$Y$1561)*100000000+('Dvd Calendar'!$Y$1565='Field Check'!$C$25)*10000000+(N('Dvd Calendar'!$Y$1559)&gt;0)*1000000+4*1000+21))</f>
        <v/>
      </c>
      <c r="X116" s="41">
        <f>IF(N('Dvd Calendar'!$Z$1560)=0,"",IF(('Dvd Calendar'!$Z$1560&gt;=MIN(DATE(Summary!$C$12,1,1),Summary!$C$11))*('Dvd Calendar'!$Z$1560&lt;=MAX(DATE(Summary!$C$12,12,31),Summary!$C$15))*('Dvd Calendar'!$Z$1560&lt;=Summary!$C$11)=0,"",'Dvd Calendar'!$Z$1560*1000000000+ISNUMBER('Dvd Calendar'!$Z$1561)*100000000+('Dvd Calendar'!$Z$1565='Field Check'!$C$25)*10000000+(N('Dvd Calendar'!$Z$1559)&gt;0)*1000000+4*1000+22))</f>
        <v/>
      </c>
      <c r="Y116" s="41">
        <f>IF(N('Dvd Calendar'!$AA$1560)=0,"",IF(('Dvd Calendar'!$AA$1560&gt;=MIN(DATE(Summary!$C$12,1,1),Summary!$C$11))*('Dvd Calendar'!$AA$1560&lt;=MAX(DATE(Summary!$C$12,12,31),Summary!$C$15))*('Dvd Calendar'!$AA$1560&lt;=Summary!$C$11)=0,"",'Dvd Calendar'!$AA$1560*1000000000+ISNUMBER('Dvd Calendar'!$AA$1561)*100000000+('Dvd Calendar'!$AA$1565='Field Check'!$C$25)*10000000+(N('Dvd Calendar'!$AA$1559)&gt;0)*1000000+4*1000+23))</f>
        <v/>
      </c>
      <c r="Z116" s="41">
        <f>IF(N('Dvd Calendar'!$AB$1560)=0,"",IF(('Dvd Calendar'!$AB$1560&gt;=MIN(DATE(Summary!$C$12,1,1),Summary!$C$11))*('Dvd Calendar'!$AB$1560&lt;=MAX(DATE(Summary!$C$12,12,31),Summary!$C$15))*('Dvd Calendar'!$AB$1560&lt;=Summary!$C$11)=0,"",'Dvd Calendar'!$AB$1560*1000000000+ISNUMBER('Dvd Calendar'!$AB$1561)*100000000+('Dvd Calendar'!$AB$1565='Field Check'!$C$25)*10000000+(N('Dvd Calendar'!$AB$1559)&gt;0)*1000000+4*1000+24))</f>
        <v/>
      </c>
      <c r="AA116" s="41">
        <f>IF(N('Dvd Calendar'!$AC$1560)=0,"",IF(('Dvd Calendar'!$AC$1560&gt;=MIN(DATE(Summary!$C$12,1,1),Summary!$C$11))*('Dvd Calendar'!$AC$1560&lt;=MAX(DATE(Summary!$C$12,12,31),Summary!$C$15))*('Dvd Calendar'!$AC$1560&lt;=Summary!$C$11)=0,"",'Dvd Calendar'!$AC$1560*1000000000+ISNUMBER('Dvd Calendar'!$AC$1561)*100000000+('Dvd Calendar'!$AC$1565='Field Check'!$C$25)*10000000+(N('Dvd Calendar'!$AC$1559)&gt;0)*1000000+4*1000+25))</f>
        <v/>
      </c>
      <c r="AB116" s="41">
        <f>IF(N('Dvd Calendar'!$AD$1560)=0,"",IF(('Dvd Calendar'!$AD$1560&gt;=MIN(DATE(Summary!$C$12,1,1),Summary!$C$11))*('Dvd Calendar'!$AD$1560&lt;=MAX(DATE(Summary!$C$12,12,31),Summary!$C$15))*('Dvd Calendar'!$AD$1560&lt;=Summary!$C$11)=0,"",'Dvd Calendar'!$AD$1560*1000000000+ISNUMBER('Dvd Calendar'!$AD$1561)*100000000+('Dvd Calendar'!$AD$1565='Field Check'!$C$25)*10000000+(N('Dvd Calendar'!$AD$1559)&gt;0)*1000000+4*1000+26))</f>
        <v/>
      </c>
      <c r="AC116" s="41">
        <f>IF(N('Dvd Calendar'!$AE$1560)=0,"",IF(('Dvd Calendar'!$AE$1560&gt;=MIN(DATE(Summary!$C$12,1,1),Summary!$C$11))*('Dvd Calendar'!$AE$1560&lt;=MAX(DATE(Summary!$C$12,12,31),Summary!$C$15))*('Dvd Calendar'!$AE$1560&lt;=Summary!$C$11)=0,"",'Dvd Calendar'!$AE$1560*1000000000+ISNUMBER('Dvd Calendar'!$AE$1561)*100000000+('Dvd Calendar'!$AE$1565='Field Check'!$C$25)*10000000+(N('Dvd Calendar'!$AE$1559)&gt;0)*1000000+4*1000+27))</f>
        <v/>
      </c>
      <c r="AD116" s="41">
        <f>IF(N('Dvd Calendar'!$AF$1560)=0,"",IF(('Dvd Calendar'!$AF$1560&gt;=MIN(DATE(Summary!$C$12,1,1),Summary!$C$11))*('Dvd Calendar'!$AF$1560&lt;=MAX(DATE(Summary!$C$12,12,31),Summary!$C$15))*('Dvd Calendar'!$AF$1560&lt;=Summary!$C$11)=0,"",'Dvd Calendar'!$AF$1560*1000000000+ISNUMBER('Dvd Calendar'!$AF$1561)*100000000+('Dvd Calendar'!$AF$1565='Field Check'!$C$25)*10000000+(N('Dvd Calendar'!$AF$1559)&gt;0)*1000000+4*1000+28))</f>
        <v/>
      </c>
      <c r="AE116" s="41">
        <f>IF(N('Dvd Calendar'!$AG$1560)=0,"",IF(('Dvd Calendar'!$AG$1560&gt;=MIN(DATE(Summary!$C$12,1,1),Summary!$C$11))*('Dvd Calendar'!$AG$1560&lt;=MAX(DATE(Summary!$C$12,12,31),Summary!$C$15))*('Dvd Calendar'!$AG$1560&lt;=Summary!$C$11)=0,"",'Dvd Calendar'!$AG$1560*1000000000+ISNUMBER('Dvd Calendar'!$AG$1561)*100000000+('Dvd Calendar'!$AG$1565='Field Check'!$C$25)*10000000+(N('Dvd Calendar'!$AG$1559)&gt;0)*1000000+4*1000+29))</f>
        <v/>
      </c>
      <c r="AF116" s="41">
        <f>IF(N('Dvd Calendar'!$AH$1560)=0,"",IF(('Dvd Calendar'!$AH$1560&gt;=MIN(DATE(Summary!$C$12,1,1),Summary!$C$11))*('Dvd Calendar'!$AH$1560&lt;=MAX(DATE(Summary!$C$12,12,31),Summary!$C$15))*('Dvd Calendar'!$AH$1560&lt;=Summary!$C$11)=0,"",'Dvd Calendar'!$AH$1560*1000000000+ISNUMBER('Dvd Calendar'!$AH$1561)*100000000+('Dvd Calendar'!$AH$1565='Field Check'!$C$25)*10000000+(N('Dvd Calendar'!$AH$1559)&gt;0)*1000000+4*1000+30))</f>
        <v/>
      </c>
      <c r="AG116" s="41">
        <f>IF(N('Dvd Calendar'!$AI$1560)=0,"",IF(('Dvd Calendar'!$AI$1560&gt;=MIN(DATE(Summary!$C$12,1,1),Summary!$C$11))*('Dvd Calendar'!$AI$1560&lt;=MAX(DATE(Summary!$C$12,12,31),Summary!$C$15))*('Dvd Calendar'!$AI$1560&lt;=Summary!$C$11)=0,"",'Dvd Calendar'!$AI$1560*1000000000+ISNUMBER('Dvd Calendar'!$AI$1561)*100000000+('Dvd Calendar'!$AI$1565='Field Check'!$C$25)*10000000+(N('Dvd Calendar'!$AI$1559)&gt;0)*1000000+4*1000+31))</f>
        <v/>
      </c>
      <c r="AH116" s="41">
        <f>IF(N('Dvd Calendar'!$AJ$1560)=0,"",IF(('Dvd Calendar'!$AJ$1560&gt;=MIN(DATE(Summary!$C$12,1,1),Summary!$C$11))*('Dvd Calendar'!$AJ$1560&lt;=MAX(DATE(Summary!$C$12,12,31),Summary!$C$15))*('Dvd Calendar'!$AJ$1560&lt;=Summary!$C$11)=0,"",'Dvd Calendar'!$AJ$1560*1000000000+ISNUMBER('Dvd Calendar'!$AJ$1561)*100000000+('Dvd Calendar'!$AJ$1565='Field Check'!$C$25)*10000000+(N('Dvd Calendar'!$AJ$1559)&gt;0)*1000000+4*1000+32))</f>
        <v/>
      </c>
      <c r="AI116" s="41">
        <f>IF(N('Dvd Calendar'!$AK$1560)=0,"",IF(('Dvd Calendar'!$AK$1560&gt;=MIN(DATE(Summary!$C$12,1,1),Summary!$C$11))*('Dvd Calendar'!$AK$1560&lt;=MAX(DATE(Summary!$C$12,12,31),Summary!$C$15))*('Dvd Calendar'!$AK$1560&lt;=Summary!$C$11)=0,"",'Dvd Calendar'!$AK$1560*1000000000+ISNUMBER('Dvd Calendar'!$AK$1561)*100000000+('Dvd Calendar'!$AK$1565='Field Check'!$C$25)*10000000+(N('Dvd Calendar'!$AK$1559)&gt;0)*1000000+4*1000+33))</f>
        <v/>
      </c>
      <c r="AJ116" s="41">
        <f>IF(N('Dvd Calendar'!$AL$1560)=0,"",IF(('Dvd Calendar'!$AL$1560&gt;=MIN(DATE(Summary!$C$12,1,1),Summary!$C$11))*('Dvd Calendar'!$AL$1560&lt;=MAX(DATE(Summary!$C$12,12,31),Summary!$C$15))*('Dvd Calendar'!$AL$1560&lt;=Summary!$C$11)=0,"",'Dvd Calendar'!$AL$1560*1000000000+ISNUMBER('Dvd Calendar'!$AL$1561)*100000000+('Dvd Calendar'!$AL$1565='Field Check'!$C$25)*10000000+(N('Dvd Calendar'!$AL$1559)&gt;0)*1000000+4*1000+34))</f>
        <v/>
      </c>
      <c r="AK116" s="41">
        <f>IF(N('Dvd Calendar'!$AM$1560)=0,"",IF(('Dvd Calendar'!$AM$1560&gt;=MIN(DATE(Summary!$C$12,1,1),Summary!$C$11))*('Dvd Calendar'!$AM$1560&lt;=MAX(DATE(Summary!$C$12,12,31),Summary!$C$15))*('Dvd Calendar'!$AM$1560&lt;=Summary!$C$11)=0,"",'Dvd Calendar'!$AM$1560*1000000000+ISNUMBER('Dvd Calendar'!$AM$1561)*100000000+('Dvd Calendar'!$AM$1565='Field Check'!$C$25)*10000000+(N('Dvd Calendar'!$AM$1559)&gt;0)*1000000+4*1000+35))</f>
        <v/>
      </c>
      <c r="AL116" s="41">
        <f>IF(N('Dvd Calendar'!$AN$1560)=0,"",IF(('Dvd Calendar'!$AN$1560&gt;=MIN(DATE(Summary!$C$12,1,1),Summary!$C$11))*('Dvd Calendar'!$AN$1560&lt;=MAX(DATE(Summary!$C$12,12,31),Summary!$C$15))*('Dvd Calendar'!$AN$1560&lt;=Summary!$C$11)=0,"",'Dvd Calendar'!$AN$1560*1000000000+ISNUMBER('Dvd Calendar'!$AN$1561)*100000000+('Dvd Calendar'!$AN$1565='Field Check'!$C$25)*10000000+(N('Dvd Calendar'!$AN$1559)&gt;0)*1000000+4*1000+36))</f>
        <v/>
      </c>
      <c r="AM116" s="41">
        <f>IF(N('Dvd Calendar'!$AO$1560)=0,"",IF(('Dvd Calendar'!$AO$1560&gt;=MIN(DATE(Summary!$C$12,1,1),Summary!$C$11))*('Dvd Calendar'!$AO$1560&lt;=MAX(DATE(Summary!$C$12,12,31),Summary!$C$15))*('Dvd Calendar'!$AO$1560&lt;=Summary!$C$11)=0,"",'Dvd Calendar'!$AO$1560*1000000000+ISNUMBER('Dvd Calendar'!$AO$1561)*100000000+('Dvd Calendar'!$AO$1565='Field Check'!$C$25)*10000000+(N('Dvd Calendar'!$AO$1559)&gt;0)*1000000+4*1000+37))</f>
        <v/>
      </c>
      <c r="AN116" s="41">
        <f>IF(N('Dvd Calendar'!$AP$1560)=0,"",IF(('Dvd Calendar'!$AP$1560&gt;=MIN(DATE(Summary!$C$12,1,1),Summary!$C$11))*('Dvd Calendar'!$AP$1560&lt;=MAX(DATE(Summary!$C$12,12,31),Summary!$C$15))*('Dvd Calendar'!$AP$1560&lt;=Summary!$C$11)=0,"",'Dvd Calendar'!$AP$1560*1000000000+ISNUMBER('Dvd Calendar'!$AP$1561)*100000000+('Dvd Calendar'!$AP$1565='Field Check'!$C$25)*10000000+(N('Dvd Calendar'!$AP$1559)&gt;0)*1000000+4*1000+38))</f>
        <v/>
      </c>
      <c r="AO116" s="41">
        <f>IF(N('Dvd Calendar'!$AQ$1560)=0,"",IF(('Dvd Calendar'!$AQ$1560&gt;=MIN(DATE(Summary!$C$12,1,1),Summary!$C$11))*('Dvd Calendar'!$AQ$1560&lt;=MAX(DATE(Summary!$C$12,12,31),Summary!$C$15))*('Dvd Calendar'!$AQ$1560&lt;=Summary!$C$11)=0,"",'Dvd Calendar'!$AQ$1560*1000000000+ISNUMBER('Dvd Calendar'!$AQ$1561)*100000000+('Dvd Calendar'!$AQ$1565='Field Check'!$C$25)*10000000+(N('Dvd Calendar'!$AQ$1559)&gt;0)*1000000+4*1000+39))</f>
        <v/>
      </c>
      <c r="AP116" s="41">
        <f>IF(N('Dvd Calendar'!$AR$1560)=0,"",IF(('Dvd Calendar'!$AR$1560&gt;=MIN(DATE(Summary!$C$12,1,1),Summary!$C$11))*('Dvd Calendar'!$AR$1560&lt;=MAX(DATE(Summary!$C$12,12,31),Summary!$C$15))*('Dvd Calendar'!$AR$1560&lt;=Summary!$C$11)=0,"",'Dvd Calendar'!$AR$1560*1000000000+ISNUMBER('Dvd Calendar'!$AR$1561)*100000000+('Dvd Calendar'!$AR$1565='Field Check'!$C$25)*10000000+(N('Dvd Calendar'!$AR$1559)&gt;0)*1000000+4*1000+40))</f>
        <v/>
      </c>
      <c r="AQ116" s="41">
        <f>IF(N('Dvd Calendar'!$E$1567)=0,"",IF(('Dvd Calendar'!$E$1567&gt;=MIN(DATE(Summary!$C$12,1,1),Summary!$C$11))*('Dvd Calendar'!$E$1567&lt;=MAX(DATE(Summary!$C$12,12,31),Summary!$C$15))*('Dvd Calendar'!$E$1567&gt;Summary!$C$11)=0,"",'Dvd Calendar'!$E$1567*1000000000+ISNUMBER('Dvd Calendar'!$E$1568)*100000000+('Dvd Calendar'!$E$1572='Field Check'!$C$25)*10000000+(N('Dvd Calendar'!$E$1566)&gt;0)*1000000+4*1000+41))</f>
        <v/>
      </c>
      <c r="AR116" s="41">
        <f>IF(N('Dvd Calendar'!$F$1567)=0,"",IF(('Dvd Calendar'!$F$1567&gt;=MIN(DATE(Summary!$C$12,1,1),Summary!$C$11))*('Dvd Calendar'!$F$1567&lt;=MAX(DATE(Summary!$C$12,12,31),Summary!$C$15))*('Dvd Calendar'!$F$1567&gt;Summary!$C$11)=0,"",'Dvd Calendar'!$F$1567*1000000000+ISNUMBER('Dvd Calendar'!$F$1568)*100000000+('Dvd Calendar'!$F$1572='Field Check'!$C$25)*10000000+(N('Dvd Calendar'!$F$1566)&gt;0)*1000000+4*1000+42))</f>
        <v/>
      </c>
      <c r="AS116" s="41">
        <f>IF(N('Dvd Calendar'!$G$1567)=0,"",IF(('Dvd Calendar'!$G$1567&gt;=MIN(DATE(Summary!$C$12,1,1),Summary!$C$11))*('Dvd Calendar'!$G$1567&lt;=MAX(DATE(Summary!$C$12,12,31),Summary!$C$15))*('Dvd Calendar'!$G$1567&gt;Summary!$C$11)=0,"",'Dvd Calendar'!$G$1567*1000000000+ISNUMBER('Dvd Calendar'!$G$1568)*100000000+('Dvd Calendar'!$G$1572='Field Check'!$C$25)*10000000+(N('Dvd Calendar'!$G$1566)&gt;0)*1000000+4*1000+43))</f>
        <v/>
      </c>
      <c r="AT116" s="41">
        <f>IF(N('Dvd Calendar'!$H$1567)=0,"",IF(('Dvd Calendar'!$H$1567&gt;=MIN(DATE(Summary!$C$12,1,1),Summary!$C$11))*('Dvd Calendar'!$H$1567&lt;=MAX(DATE(Summary!$C$12,12,31),Summary!$C$15))*('Dvd Calendar'!$H$1567&gt;Summary!$C$11)=0,"",'Dvd Calendar'!$H$1567*1000000000+ISNUMBER('Dvd Calendar'!$H$1568)*100000000+('Dvd Calendar'!$H$1572='Field Check'!$C$25)*10000000+(N('Dvd Calendar'!$H$1566)&gt;0)*1000000+4*1000+44))</f>
        <v/>
      </c>
      <c r="AU116" s="41">
        <f>IF(N('Dvd Calendar'!$I$1567)=0,"",IF(('Dvd Calendar'!$I$1567&gt;=MIN(DATE(Summary!$C$12,1,1),Summary!$C$11))*('Dvd Calendar'!$I$1567&lt;=MAX(DATE(Summary!$C$12,12,31),Summary!$C$15))*('Dvd Calendar'!$I$1567&gt;Summary!$C$11)=0,"",'Dvd Calendar'!$I$1567*1000000000+ISNUMBER('Dvd Calendar'!$I$1568)*100000000+('Dvd Calendar'!$I$1572='Field Check'!$C$25)*10000000+(N('Dvd Calendar'!$I$1566)&gt;0)*1000000+4*1000+45))</f>
        <v/>
      </c>
      <c r="AV116" s="41">
        <f>IF(N('Dvd Calendar'!$J$1567)=0,"",IF(('Dvd Calendar'!$J$1567&gt;=MIN(DATE(Summary!$C$12,1,1),Summary!$C$11))*('Dvd Calendar'!$J$1567&lt;=MAX(DATE(Summary!$C$12,12,31),Summary!$C$15))*('Dvd Calendar'!$J$1567&gt;Summary!$C$11)=0,"",'Dvd Calendar'!$J$1567*1000000000+ISNUMBER('Dvd Calendar'!$J$1568)*100000000+('Dvd Calendar'!$J$1572='Field Check'!$C$25)*10000000+(N('Dvd Calendar'!$J$1566)&gt;0)*1000000+4*1000+46))</f>
        <v/>
      </c>
      <c r="AW116" s="41">
        <f>IF(N('Dvd Calendar'!$K$1567)=0,"",IF(('Dvd Calendar'!$K$1567&gt;=MIN(DATE(Summary!$C$12,1,1),Summary!$C$11))*('Dvd Calendar'!$K$1567&lt;=MAX(DATE(Summary!$C$12,12,31),Summary!$C$15))*('Dvd Calendar'!$K$1567&gt;Summary!$C$11)=0,"",'Dvd Calendar'!$K$1567*1000000000+ISNUMBER('Dvd Calendar'!$K$1568)*100000000+('Dvd Calendar'!$K$1572='Field Check'!$C$25)*10000000+(N('Dvd Calendar'!$K$1566)&gt;0)*1000000+4*1000+47))</f>
        <v/>
      </c>
      <c r="AX116" s="41">
        <f>IF(N('Dvd Calendar'!$L$1567)=0,"",IF(('Dvd Calendar'!$L$1567&gt;=MIN(DATE(Summary!$C$12,1,1),Summary!$C$11))*('Dvd Calendar'!$L$1567&lt;=MAX(DATE(Summary!$C$12,12,31),Summary!$C$15))*('Dvd Calendar'!$L$1567&gt;Summary!$C$11)=0,"",'Dvd Calendar'!$L$1567*1000000000+ISNUMBER('Dvd Calendar'!$L$1568)*100000000+('Dvd Calendar'!$L$1572='Field Check'!$C$25)*10000000+(N('Dvd Calendar'!$L$1566)&gt;0)*1000000+4*1000+48))</f>
        <v/>
      </c>
      <c r="AY116" s="41">
        <f>IF(N('Dvd Calendar'!$M$1567)=0,"",IF(('Dvd Calendar'!$M$1567&gt;=MIN(DATE(Summary!$C$12,1,1),Summary!$C$11))*('Dvd Calendar'!$M$1567&lt;=MAX(DATE(Summary!$C$12,12,31),Summary!$C$15))*('Dvd Calendar'!$M$1567&gt;Summary!$C$11)=0,"",'Dvd Calendar'!$M$1567*1000000000+ISNUMBER('Dvd Calendar'!$M$1568)*100000000+('Dvd Calendar'!$M$1572='Field Check'!$C$25)*10000000+(N('Dvd Calendar'!$M$1566)&gt;0)*1000000+4*1000+49))</f>
        <v/>
      </c>
      <c r="AZ116" s="41">
        <f>IF(N('Dvd Calendar'!$N$1567)=0,"",IF(('Dvd Calendar'!$N$1567&gt;=MIN(DATE(Summary!$C$12,1,1),Summary!$C$11))*('Dvd Calendar'!$N$1567&lt;=MAX(DATE(Summary!$C$12,12,31),Summary!$C$15))*('Dvd Calendar'!$N$1567&gt;Summary!$C$11)=0,"",'Dvd Calendar'!$N$1567*1000000000+ISNUMBER('Dvd Calendar'!$N$1568)*100000000+('Dvd Calendar'!$N$1572='Field Check'!$C$25)*10000000+(N('Dvd Calendar'!$N$1566)&gt;0)*1000000+4*1000+50))</f>
        <v/>
      </c>
      <c r="BA116" s="41">
        <f>IF(N('Dvd Calendar'!$O$1567)=0,"",IF(('Dvd Calendar'!$O$1567&gt;=MIN(DATE(Summary!$C$12,1,1),Summary!$C$11))*('Dvd Calendar'!$O$1567&lt;=MAX(DATE(Summary!$C$12,12,31),Summary!$C$15))*('Dvd Calendar'!$O$1567&gt;Summary!$C$11)=0,"",'Dvd Calendar'!$O$1567*1000000000+ISNUMBER('Dvd Calendar'!$O$1568)*100000000+('Dvd Calendar'!$O$1572='Field Check'!$C$25)*10000000+(N('Dvd Calendar'!$O$1566)&gt;0)*1000000+4*1000+51))</f>
        <v/>
      </c>
      <c r="BB116" s="41">
        <f>IF(N('Dvd Calendar'!$P$1567)=0,"",IF(('Dvd Calendar'!$P$1567&gt;=MIN(DATE(Summary!$C$12,1,1),Summary!$C$11))*('Dvd Calendar'!$P$1567&lt;=MAX(DATE(Summary!$C$12,12,31),Summary!$C$15))*('Dvd Calendar'!$P$1567&gt;Summary!$C$11)=0,"",'Dvd Calendar'!$P$1567*1000000000+ISNUMBER('Dvd Calendar'!$P$1568)*100000000+('Dvd Calendar'!$P$1572='Field Check'!$C$25)*10000000+(N('Dvd Calendar'!$P$1566)&gt;0)*1000000+4*1000+52))</f>
        <v/>
      </c>
      <c r="BC116" s="41">
        <f>IF(N('Dvd Calendar'!$Q$1567)=0,"",IF(('Dvd Calendar'!$Q$1567&gt;=MIN(DATE(Summary!$C$12,1,1),Summary!$C$11))*('Dvd Calendar'!$Q$1567&lt;=MAX(DATE(Summary!$C$12,12,31),Summary!$C$15))*('Dvd Calendar'!$Q$1567&gt;Summary!$C$11)=0,"",'Dvd Calendar'!$Q$1567*1000000000+ISNUMBER('Dvd Calendar'!$Q$1568)*100000000+('Dvd Calendar'!$Q$1572='Field Check'!$C$25)*10000000+(N('Dvd Calendar'!$Q$1566)&gt;0)*1000000+4*1000+53))</f>
        <v/>
      </c>
      <c r="BD116" s="41">
        <f>IF(N('Dvd Calendar'!$R$1567)=0,"",IF(('Dvd Calendar'!$R$1567&gt;=MIN(DATE(Summary!$C$12,1,1),Summary!$C$11))*('Dvd Calendar'!$R$1567&lt;=MAX(DATE(Summary!$C$12,12,31),Summary!$C$15))*('Dvd Calendar'!$R$1567&gt;Summary!$C$11)=0,"",'Dvd Calendar'!$R$1567*1000000000+ISNUMBER('Dvd Calendar'!$R$1568)*100000000+('Dvd Calendar'!$R$1572='Field Check'!$C$25)*10000000+(N('Dvd Calendar'!$R$1566)&gt;0)*1000000+4*1000+54))</f>
        <v/>
      </c>
      <c r="BE116" s="41">
        <f>IF(N('Dvd Calendar'!$S$1567)=0,"",IF(('Dvd Calendar'!$S$1567&gt;=MIN(DATE(Summary!$C$12,1,1),Summary!$C$11))*('Dvd Calendar'!$S$1567&lt;=MAX(DATE(Summary!$C$12,12,31),Summary!$C$15))*('Dvd Calendar'!$S$1567&gt;Summary!$C$11)=0,"",'Dvd Calendar'!$S$1567*1000000000+ISNUMBER('Dvd Calendar'!$S$1568)*100000000+('Dvd Calendar'!$S$1572='Field Check'!$C$25)*10000000+(N('Dvd Calendar'!$S$1566)&gt;0)*1000000+4*1000+55))</f>
        <v/>
      </c>
      <c r="BF116" s="41">
        <f>IF(N('Dvd Calendar'!$T$1567)=0,"",IF(('Dvd Calendar'!$T$1567&gt;=MIN(DATE(Summary!$C$12,1,1),Summary!$C$11))*('Dvd Calendar'!$T$1567&lt;=MAX(DATE(Summary!$C$12,12,31),Summary!$C$15))*('Dvd Calendar'!$T$1567&gt;Summary!$C$11)=0,"",'Dvd Calendar'!$T$1567*1000000000+ISNUMBER('Dvd Calendar'!$T$1568)*100000000+('Dvd Calendar'!$T$1572='Field Check'!$C$25)*10000000+(N('Dvd Calendar'!$T$1566)&gt;0)*1000000+4*1000+56))</f>
        <v/>
      </c>
      <c r="BG116" s="41">
        <f>IF(N('Dvd Calendar'!$U$1567)=0,"",IF(('Dvd Calendar'!$U$1567&gt;=MIN(DATE(Summary!$C$12,1,1),Summary!$C$11))*('Dvd Calendar'!$U$1567&lt;=MAX(DATE(Summary!$C$12,12,31),Summary!$C$15))*('Dvd Calendar'!$U$1567&gt;Summary!$C$11)=0,"",'Dvd Calendar'!$U$1567*1000000000+ISNUMBER('Dvd Calendar'!$U$1568)*100000000+('Dvd Calendar'!$U$1572='Field Check'!$C$25)*10000000+(N('Dvd Calendar'!$U$1566)&gt;0)*1000000+4*1000+57))</f>
        <v/>
      </c>
      <c r="BH116" s="41">
        <f>IF(N('Dvd Calendar'!$V$1567)=0,"",IF(('Dvd Calendar'!$V$1567&gt;=MIN(DATE(Summary!$C$12,1,1),Summary!$C$11))*('Dvd Calendar'!$V$1567&lt;=MAX(DATE(Summary!$C$12,12,31),Summary!$C$15))*('Dvd Calendar'!$V$1567&gt;Summary!$C$11)=0,"",'Dvd Calendar'!$V$1567*1000000000+ISNUMBER('Dvd Calendar'!$V$1568)*100000000+('Dvd Calendar'!$V$1572='Field Check'!$C$25)*10000000+(N('Dvd Calendar'!$V$1566)&gt;0)*1000000+4*1000+58))</f>
        <v/>
      </c>
      <c r="BI116" s="41">
        <f>IF(N('Dvd Calendar'!$W$1567)=0,"",IF(('Dvd Calendar'!$W$1567&gt;=MIN(DATE(Summary!$C$12,1,1),Summary!$C$11))*('Dvd Calendar'!$W$1567&lt;=MAX(DATE(Summary!$C$12,12,31),Summary!$C$15))*('Dvd Calendar'!$W$1567&gt;Summary!$C$11)=0,"",'Dvd Calendar'!$W$1567*1000000000+ISNUMBER('Dvd Calendar'!$W$1568)*100000000+('Dvd Calendar'!$W$1572='Field Check'!$C$25)*10000000+(N('Dvd Calendar'!$W$1566)&gt;0)*1000000+4*1000+59))</f>
        <v/>
      </c>
      <c r="BJ116" s="41">
        <f>IF(N('Dvd Calendar'!$X$1567)=0,"",IF(('Dvd Calendar'!$X$1567&gt;=MIN(DATE(Summary!$C$12,1,1),Summary!$C$11))*('Dvd Calendar'!$X$1567&lt;=MAX(DATE(Summary!$C$12,12,31),Summary!$C$15))*('Dvd Calendar'!$X$1567&gt;Summary!$C$11)=0,"",'Dvd Calendar'!$X$1567*1000000000+ISNUMBER('Dvd Calendar'!$X$1568)*100000000+('Dvd Calendar'!$X$1572='Field Check'!$C$25)*10000000+(N('Dvd Calendar'!$X$1566)&gt;0)*1000000+4*1000+60))</f>
        <v/>
      </c>
      <c r="BK116" s="41">
        <f>IF(N('Dvd Calendar'!$Y$1567)=0,"",IF(('Dvd Calendar'!$Y$1567&gt;=MIN(DATE(Summary!$C$12,1,1),Summary!$C$11))*('Dvd Calendar'!$Y$1567&lt;=MAX(DATE(Summary!$C$12,12,31),Summary!$C$15))*('Dvd Calendar'!$Y$1567&gt;Summary!$C$11)=0,"",'Dvd Calendar'!$Y$1567*1000000000+ISNUMBER('Dvd Calendar'!$Y$1568)*100000000+('Dvd Calendar'!$Y$1572='Field Check'!$C$25)*10000000+(N('Dvd Calendar'!$Y$1566)&gt;0)*1000000+4*1000+61))</f>
        <v/>
      </c>
      <c r="BL116" s="41">
        <f>IF(N('Dvd Calendar'!$Z$1567)=0,"",IF(('Dvd Calendar'!$Z$1567&gt;=MIN(DATE(Summary!$C$12,1,1),Summary!$C$11))*('Dvd Calendar'!$Z$1567&lt;=MAX(DATE(Summary!$C$12,12,31),Summary!$C$15))*('Dvd Calendar'!$Z$1567&gt;Summary!$C$11)=0,"",'Dvd Calendar'!$Z$1567*1000000000+ISNUMBER('Dvd Calendar'!$Z$1568)*100000000+('Dvd Calendar'!$Z$1572='Field Check'!$C$25)*10000000+(N('Dvd Calendar'!$Z$1566)&gt;0)*1000000+4*1000+62))</f>
        <v/>
      </c>
      <c r="BM116" s="41">
        <f>IF(N('Dvd Calendar'!$AA$1567)=0,"",IF(('Dvd Calendar'!$AA$1567&gt;=MIN(DATE(Summary!$C$12,1,1),Summary!$C$11))*('Dvd Calendar'!$AA$1567&lt;=MAX(DATE(Summary!$C$12,12,31),Summary!$C$15))*('Dvd Calendar'!$AA$1567&gt;Summary!$C$11)=0,"",'Dvd Calendar'!$AA$1567*1000000000+ISNUMBER('Dvd Calendar'!$AA$1568)*100000000+('Dvd Calendar'!$AA$1572='Field Check'!$C$25)*10000000+(N('Dvd Calendar'!$AA$1566)&gt;0)*1000000+4*1000+63))</f>
        <v/>
      </c>
      <c r="BN116" s="41">
        <f>IF(N('Dvd Calendar'!$AB$1567)=0,"",IF(('Dvd Calendar'!$AB$1567&gt;=MIN(DATE(Summary!$C$12,1,1),Summary!$C$11))*('Dvd Calendar'!$AB$1567&lt;=MAX(DATE(Summary!$C$12,12,31),Summary!$C$15))*('Dvd Calendar'!$AB$1567&gt;Summary!$C$11)=0,"",'Dvd Calendar'!$AB$1567*1000000000+ISNUMBER('Dvd Calendar'!$AB$1568)*100000000+('Dvd Calendar'!$AB$1572='Field Check'!$C$25)*10000000+(N('Dvd Calendar'!$AB$1566)&gt;0)*1000000+4*1000+64))</f>
        <v/>
      </c>
      <c r="BO116" s="41">
        <f>IF(N('Dvd Calendar'!$AC$1567)=0,"",IF(('Dvd Calendar'!$AC$1567&gt;=MIN(DATE(Summary!$C$12,1,1),Summary!$C$11))*('Dvd Calendar'!$AC$1567&lt;=MAX(DATE(Summary!$C$12,12,31),Summary!$C$15))*('Dvd Calendar'!$AC$1567&gt;Summary!$C$11)=0,"",'Dvd Calendar'!$AC$1567*1000000000+ISNUMBER('Dvd Calendar'!$AC$1568)*100000000+('Dvd Calendar'!$AC$1572='Field Check'!$C$25)*10000000+(N('Dvd Calendar'!$AC$1566)&gt;0)*1000000+4*1000+65))</f>
        <v/>
      </c>
      <c r="BQ116" s="85">
        <f>IF(C116="","",IF(ISNUMBER('Dvd Calendar'!$E$1561)=FALSE,"",IF((Summary!$C$13="N")*('Dvd Calendar'!$E$1565='Field Check'!$C$25)&gt;0,"",'Dvd Calendar'!$E$1561)))</f>
        <v/>
      </c>
      <c r="BR116" s="85">
        <f>IF(D116="","",IF(ISNUMBER('Dvd Calendar'!$F$1561)=FALSE,"",IF((Summary!$C$13="N")*('Dvd Calendar'!$F$1565='Field Check'!$C$25)&gt;0,"",'Dvd Calendar'!$F$1561)))</f>
        <v/>
      </c>
      <c r="BS116" s="85">
        <f>IF(E116="","",IF(ISNUMBER('Dvd Calendar'!$G$1561)=FALSE,"",IF((Summary!$C$13="N")*('Dvd Calendar'!$G$1565='Field Check'!$C$25)&gt;0,"",'Dvd Calendar'!$G$1561)))</f>
        <v/>
      </c>
      <c r="BT116" s="85">
        <f>IF(F116="","",IF(ISNUMBER('Dvd Calendar'!$H$1561)=FALSE,"",IF((Summary!$C$13="N")*('Dvd Calendar'!$H$1565='Field Check'!$C$25)&gt;0,"",'Dvd Calendar'!$H$1561)))</f>
        <v/>
      </c>
      <c r="BU116" s="85">
        <f>IF(G116="","",IF(ISNUMBER('Dvd Calendar'!$I$1561)=FALSE,"",IF((Summary!$C$13="N")*('Dvd Calendar'!$I$1565='Field Check'!$C$25)&gt;0,"",'Dvd Calendar'!$I$1561)))</f>
        <v/>
      </c>
      <c r="BV116" s="85">
        <f>IF(H116="","",IF(ISNUMBER('Dvd Calendar'!$J$1561)=FALSE,"",IF((Summary!$C$13="N")*('Dvd Calendar'!$J$1565='Field Check'!$C$25)&gt;0,"",'Dvd Calendar'!$J$1561)))</f>
        <v/>
      </c>
      <c r="BW116" s="85">
        <f>IF(I116="","",IF(ISNUMBER('Dvd Calendar'!$K$1561)=FALSE,"",IF((Summary!$C$13="N")*('Dvd Calendar'!$K$1565='Field Check'!$C$25)&gt;0,"",'Dvd Calendar'!$K$1561)))</f>
        <v/>
      </c>
      <c r="BX116" s="85">
        <f>IF(J116="","",IF(ISNUMBER('Dvd Calendar'!$L$1561)=FALSE,"",IF((Summary!$C$13="N")*('Dvd Calendar'!$L$1565='Field Check'!$C$25)&gt;0,"",'Dvd Calendar'!$L$1561)))</f>
        <v/>
      </c>
      <c r="BY116" s="85">
        <f>IF(K116="","",IF(ISNUMBER('Dvd Calendar'!$M$1561)=FALSE,"",IF((Summary!$C$13="N")*('Dvd Calendar'!$M$1565='Field Check'!$C$25)&gt;0,"",'Dvd Calendar'!$M$1561)))</f>
        <v/>
      </c>
      <c r="BZ116" s="85">
        <f>IF(L116="","",IF(ISNUMBER('Dvd Calendar'!$N$1561)=FALSE,"",IF((Summary!$C$13="N")*('Dvd Calendar'!$N$1565='Field Check'!$C$25)&gt;0,"",'Dvd Calendar'!$N$1561)))</f>
        <v/>
      </c>
      <c r="CA116" s="85">
        <f>IF(M116="","",IF(ISNUMBER('Dvd Calendar'!$O$1561)=FALSE,"",IF((Summary!$C$13="N")*('Dvd Calendar'!$O$1565='Field Check'!$C$25)&gt;0,"",'Dvd Calendar'!$O$1561)))</f>
        <v/>
      </c>
      <c r="CB116" s="85">
        <f>IF(N116="","",IF(ISNUMBER('Dvd Calendar'!$P$1561)=FALSE,"",IF((Summary!$C$13="N")*('Dvd Calendar'!$P$1565='Field Check'!$C$25)&gt;0,"",'Dvd Calendar'!$P$1561)))</f>
        <v/>
      </c>
      <c r="CC116" s="85">
        <f>IF(O116="","",IF(ISNUMBER('Dvd Calendar'!$Q$1561)=FALSE,"",IF((Summary!$C$13="N")*('Dvd Calendar'!$Q$1565='Field Check'!$C$25)&gt;0,"",'Dvd Calendar'!$Q$1561)))</f>
        <v/>
      </c>
      <c r="CD116" s="85">
        <f>IF(P116="","",IF(ISNUMBER('Dvd Calendar'!$R$1561)=FALSE,"",IF((Summary!$C$13="N")*('Dvd Calendar'!$R$1565='Field Check'!$C$25)&gt;0,"",'Dvd Calendar'!$R$1561)))</f>
        <v/>
      </c>
      <c r="CE116" s="85">
        <f>IF(Q116="","",IF(ISNUMBER('Dvd Calendar'!$S$1561)=FALSE,"",IF((Summary!$C$13="N")*('Dvd Calendar'!$S$1565='Field Check'!$C$25)&gt;0,"",'Dvd Calendar'!$S$1561)))</f>
        <v/>
      </c>
      <c r="CF116" s="85">
        <f>IF(R116="","",IF(ISNUMBER('Dvd Calendar'!$T$1561)=FALSE,"",IF((Summary!$C$13="N")*('Dvd Calendar'!$T$1565='Field Check'!$C$25)&gt;0,"",'Dvd Calendar'!$T$1561)))</f>
        <v/>
      </c>
      <c r="CG116" s="85">
        <f>IF(S116="","",IF(ISNUMBER('Dvd Calendar'!$U$1561)=FALSE,"",IF((Summary!$C$13="N")*('Dvd Calendar'!$U$1565='Field Check'!$C$25)&gt;0,"",'Dvd Calendar'!$U$1561)))</f>
        <v/>
      </c>
      <c r="CH116" s="85">
        <f>IF(T116="","",IF(ISNUMBER('Dvd Calendar'!$V$1561)=FALSE,"",IF((Summary!$C$13="N")*('Dvd Calendar'!$V$1565='Field Check'!$C$25)&gt;0,"",'Dvd Calendar'!$V$1561)))</f>
        <v/>
      </c>
      <c r="CI116" s="85">
        <f>IF(U116="","",IF(ISNUMBER('Dvd Calendar'!$W$1561)=FALSE,"",IF((Summary!$C$13="N")*('Dvd Calendar'!$W$1565='Field Check'!$C$25)&gt;0,"",'Dvd Calendar'!$W$1561)))</f>
        <v/>
      </c>
      <c r="CJ116" s="85">
        <f>IF(V116="","",IF(ISNUMBER('Dvd Calendar'!$X$1561)=FALSE,"",IF((Summary!$C$13="N")*('Dvd Calendar'!$X$1565='Field Check'!$C$25)&gt;0,"",'Dvd Calendar'!$X$1561)))</f>
        <v/>
      </c>
      <c r="CK116" s="85">
        <f>IF(W116="","",IF(ISNUMBER('Dvd Calendar'!$Y$1561)=FALSE,"",IF((Summary!$C$13="N")*('Dvd Calendar'!$Y$1565='Field Check'!$C$25)&gt;0,"",'Dvd Calendar'!$Y$1561)))</f>
        <v/>
      </c>
      <c r="CL116" s="85">
        <f>IF(X116="","",IF(ISNUMBER('Dvd Calendar'!$Z$1561)=FALSE,"",IF((Summary!$C$13="N")*('Dvd Calendar'!$Z$1565='Field Check'!$C$25)&gt;0,"",'Dvd Calendar'!$Z$1561)))</f>
        <v/>
      </c>
      <c r="CM116" s="85">
        <f>IF(Y116="","",IF(ISNUMBER('Dvd Calendar'!$AA$1561)=FALSE,"",IF((Summary!$C$13="N")*('Dvd Calendar'!$AA$1565='Field Check'!$C$25)&gt;0,"",'Dvd Calendar'!$AA$1561)))</f>
        <v/>
      </c>
      <c r="CN116" s="85">
        <f>IF(Z116="","",IF(ISNUMBER('Dvd Calendar'!$AB$1561)=FALSE,"",IF((Summary!$C$13="N")*('Dvd Calendar'!$AB$1565='Field Check'!$C$25)&gt;0,"",'Dvd Calendar'!$AB$1561)))</f>
        <v/>
      </c>
      <c r="CO116" s="85">
        <f>IF(AA116="","",IF(ISNUMBER('Dvd Calendar'!$AC$1561)=FALSE,"",IF((Summary!$C$13="N")*('Dvd Calendar'!$AC$1565='Field Check'!$C$25)&gt;0,"",'Dvd Calendar'!$AC$1561)))</f>
        <v/>
      </c>
      <c r="CP116" s="85">
        <f>IF(AB116="","",IF(ISNUMBER('Dvd Calendar'!$AD$1561)=FALSE,"",IF((Summary!$C$13="N")*('Dvd Calendar'!$AD$1565='Field Check'!$C$25)&gt;0,"",'Dvd Calendar'!$AD$1561)))</f>
        <v/>
      </c>
      <c r="CQ116" s="85">
        <f>IF(AC116="","",IF(ISNUMBER('Dvd Calendar'!$AE$1561)=FALSE,"",IF((Summary!$C$13="N")*('Dvd Calendar'!$AE$1565='Field Check'!$C$25)&gt;0,"",'Dvd Calendar'!$AE$1561)))</f>
        <v/>
      </c>
      <c r="CR116" s="85">
        <f>IF(AD116="","",IF(ISNUMBER('Dvd Calendar'!$AF$1561)=FALSE,"",IF((Summary!$C$13="N")*('Dvd Calendar'!$AF$1565='Field Check'!$C$25)&gt;0,"",'Dvd Calendar'!$AF$1561)))</f>
        <v/>
      </c>
      <c r="CS116" s="85">
        <f>IF(AE116="","",IF(ISNUMBER('Dvd Calendar'!$AG$1561)=FALSE,"",IF((Summary!$C$13="N")*('Dvd Calendar'!$AG$1565='Field Check'!$C$25)&gt;0,"",'Dvd Calendar'!$AG$1561)))</f>
        <v/>
      </c>
      <c r="CT116" s="85">
        <f>IF(AF116="","",IF(ISNUMBER('Dvd Calendar'!$AH$1561)=FALSE,"",IF((Summary!$C$13="N")*('Dvd Calendar'!$AH$1565='Field Check'!$C$25)&gt;0,"",'Dvd Calendar'!$AH$1561)))</f>
        <v/>
      </c>
      <c r="CU116" s="85">
        <f>IF(AG116="","",IF(ISNUMBER('Dvd Calendar'!$AI$1561)=FALSE,"",IF((Summary!$C$13="N")*('Dvd Calendar'!$AI$1565='Field Check'!$C$25)&gt;0,"",'Dvd Calendar'!$AI$1561)))</f>
        <v/>
      </c>
      <c r="CV116" s="85">
        <f>IF(AH116="","",IF(ISNUMBER('Dvd Calendar'!$AJ$1561)=FALSE,"",IF((Summary!$C$13="N")*('Dvd Calendar'!$AJ$1565='Field Check'!$C$25)&gt;0,"",'Dvd Calendar'!$AJ$1561)))</f>
        <v/>
      </c>
      <c r="CW116" s="85">
        <f>IF(AI116="","",IF(ISNUMBER('Dvd Calendar'!$AK$1561)=FALSE,"",IF((Summary!$C$13="N")*('Dvd Calendar'!$AK$1565='Field Check'!$C$25)&gt;0,"",'Dvd Calendar'!$AK$1561)))</f>
        <v/>
      </c>
      <c r="CX116" s="85">
        <f>IF(AJ116="","",IF(ISNUMBER('Dvd Calendar'!$AL$1561)=FALSE,"",IF((Summary!$C$13="N")*('Dvd Calendar'!$AL$1565='Field Check'!$C$25)&gt;0,"",'Dvd Calendar'!$AL$1561)))</f>
        <v/>
      </c>
      <c r="CY116" s="85">
        <f>IF(AK116="","",IF(ISNUMBER('Dvd Calendar'!$AM$1561)=FALSE,"",IF((Summary!$C$13="N")*('Dvd Calendar'!$AM$1565='Field Check'!$C$25)&gt;0,"",'Dvd Calendar'!$AM$1561)))</f>
        <v/>
      </c>
      <c r="CZ116" s="85">
        <f>IF(AL116="","",IF(ISNUMBER('Dvd Calendar'!$AN$1561)=FALSE,"",IF((Summary!$C$13="N")*('Dvd Calendar'!$AN$1565='Field Check'!$C$25)&gt;0,"",'Dvd Calendar'!$AN$1561)))</f>
        <v/>
      </c>
      <c r="DA116" s="85">
        <f>IF(AM116="","",IF(ISNUMBER('Dvd Calendar'!$AO$1561)=FALSE,"",IF((Summary!$C$13="N")*('Dvd Calendar'!$AO$1565='Field Check'!$C$25)&gt;0,"",'Dvd Calendar'!$AO$1561)))</f>
        <v/>
      </c>
      <c r="DB116" s="85">
        <f>IF(AN116="","",IF(ISNUMBER('Dvd Calendar'!$AP$1561)=FALSE,"",IF((Summary!$C$13="N")*('Dvd Calendar'!$AP$1565='Field Check'!$C$25)&gt;0,"",'Dvd Calendar'!$AP$1561)))</f>
        <v/>
      </c>
      <c r="DC116" s="85">
        <f>IF(AO116="","",IF(ISNUMBER('Dvd Calendar'!$AQ$1561)=FALSE,"",IF((Summary!$C$13="N")*('Dvd Calendar'!$AQ$1565='Field Check'!$C$25)&gt;0,"",'Dvd Calendar'!$AQ$1561)))</f>
        <v/>
      </c>
      <c r="DD116" s="85">
        <f>IF(AP116="","",IF(ISNUMBER('Dvd Calendar'!$AR$1561)=FALSE,"",IF((Summary!$C$13="N")*('Dvd Calendar'!$AR$1565='Field Check'!$C$25)&gt;0,"",'Dvd Calendar'!$AR$1561)))</f>
        <v/>
      </c>
      <c r="DE116" s="85">
        <f>IF(AQ116="","",IF(ISNUMBER('Dvd Calendar'!$E$1568)=FALSE,"",IF((Summary!$C$13="N")*('Dvd Calendar'!$E$1572='Field Check'!$C$25)&gt;0,"",'Dvd Calendar'!$E$1568)))</f>
        <v/>
      </c>
      <c r="DF116" s="85">
        <f>IF(AR116="","",IF(ISNUMBER('Dvd Calendar'!$F$1568)=FALSE,"",IF((Summary!$C$13="N")*('Dvd Calendar'!$F$1572='Field Check'!$C$25)&gt;0,"",'Dvd Calendar'!$F$1568)))</f>
        <v/>
      </c>
      <c r="DG116" s="85">
        <f>IF(AS116="","",IF(ISNUMBER('Dvd Calendar'!$G$1568)=FALSE,"",IF((Summary!$C$13="N")*('Dvd Calendar'!$G$1572='Field Check'!$C$25)&gt;0,"",'Dvd Calendar'!$G$1568)))</f>
        <v/>
      </c>
      <c r="DH116" s="85">
        <f>IF(AT116="","",IF(ISNUMBER('Dvd Calendar'!$H$1568)=FALSE,"",IF((Summary!$C$13="N")*('Dvd Calendar'!$H$1572='Field Check'!$C$25)&gt;0,"",'Dvd Calendar'!$H$1568)))</f>
        <v/>
      </c>
      <c r="DI116" s="85">
        <f>IF(AU116="","",IF(ISNUMBER('Dvd Calendar'!$I$1568)=FALSE,"",IF((Summary!$C$13="N")*('Dvd Calendar'!$I$1572='Field Check'!$C$25)&gt;0,"",'Dvd Calendar'!$I$1568)))</f>
        <v/>
      </c>
      <c r="DJ116" s="85">
        <f>IF(AV116="","",IF(ISNUMBER('Dvd Calendar'!$J$1568)=FALSE,"",IF((Summary!$C$13="N")*('Dvd Calendar'!$J$1572='Field Check'!$C$25)&gt;0,"",'Dvd Calendar'!$J$1568)))</f>
        <v/>
      </c>
      <c r="DK116" s="85">
        <f>IF(AW116="","",IF(ISNUMBER('Dvd Calendar'!$K$1568)=FALSE,"",IF((Summary!$C$13="N")*('Dvd Calendar'!$K$1572='Field Check'!$C$25)&gt;0,"",'Dvd Calendar'!$K$1568)))</f>
        <v/>
      </c>
      <c r="DL116" s="85">
        <f>IF(AX116="","",IF(ISNUMBER('Dvd Calendar'!$L$1568)=FALSE,"",IF((Summary!$C$13="N")*('Dvd Calendar'!$L$1572='Field Check'!$C$25)&gt;0,"",'Dvd Calendar'!$L$1568)))</f>
        <v/>
      </c>
      <c r="DM116" s="85">
        <f>IF(AY116="","",IF(ISNUMBER('Dvd Calendar'!$M$1568)=FALSE,"",IF((Summary!$C$13="N")*('Dvd Calendar'!$M$1572='Field Check'!$C$25)&gt;0,"",'Dvd Calendar'!$M$1568)))</f>
        <v/>
      </c>
      <c r="DN116" s="85">
        <f>IF(AZ116="","",IF(ISNUMBER('Dvd Calendar'!$N$1568)=FALSE,"",IF((Summary!$C$13="N")*('Dvd Calendar'!$N$1572='Field Check'!$C$25)&gt;0,"",'Dvd Calendar'!$N$1568)))</f>
        <v/>
      </c>
      <c r="DO116" s="85">
        <f>IF(BA116="","",IF(ISNUMBER('Dvd Calendar'!$O$1568)=FALSE,"",IF((Summary!$C$13="N")*('Dvd Calendar'!$O$1572='Field Check'!$C$25)&gt;0,"",'Dvd Calendar'!$O$1568)))</f>
        <v/>
      </c>
      <c r="DP116" s="85">
        <f>IF(BB116="","",IF(ISNUMBER('Dvd Calendar'!$P$1568)=FALSE,"",IF((Summary!$C$13="N")*('Dvd Calendar'!$P$1572='Field Check'!$C$25)&gt;0,"",'Dvd Calendar'!$P$1568)))</f>
        <v/>
      </c>
      <c r="DQ116" s="85">
        <f>IF(BC116="","",IF(ISNUMBER('Dvd Calendar'!$Q$1568)=FALSE,"",IF((Summary!$C$13="N")*('Dvd Calendar'!$Q$1572='Field Check'!$C$25)&gt;0,"",'Dvd Calendar'!$Q$1568)))</f>
        <v/>
      </c>
      <c r="DR116" s="85">
        <f>IF(BD116="","",IF(ISNUMBER('Dvd Calendar'!$R$1568)=FALSE,"",IF((Summary!$C$13="N")*('Dvd Calendar'!$R$1572='Field Check'!$C$25)&gt;0,"",'Dvd Calendar'!$R$1568)))</f>
        <v/>
      </c>
      <c r="DS116" s="85">
        <f>IF(BE116="","",IF(ISNUMBER('Dvd Calendar'!$S$1568)=FALSE,"",IF((Summary!$C$13="N")*('Dvd Calendar'!$S$1572='Field Check'!$C$25)&gt;0,"",'Dvd Calendar'!$S$1568)))</f>
        <v/>
      </c>
      <c r="DT116" s="85">
        <f>IF(BF116="","",IF(ISNUMBER('Dvd Calendar'!$T$1568)=FALSE,"",IF((Summary!$C$13="N")*('Dvd Calendar'!$T$1572='Field Check'!$C$25)&gt;0,"",'Dvd Calendar'!$T$1568)))</f>
        <v/>
      </c>
      <c r="DU116" s="85">
        <f>IF(BG116="","",IF(ISNUMBER('Dvd Calendar'!$U$1568)=FALSE,"",IF((Summary!$C$13="N")*('Dvd Calendar'!$U$1572='Field Check'!$C$25)&gt;0,"",'Dvd Calendar'!$U$1568)))</f>
        <v/>
      </c>
      <c r="DV116" s="85">
        <f>IF(BH116="","",IF(ISNUMBER('Dvd Calendar'!$V$1568)=FALSE,"",IF((Summary!$C$13="N")*('Dvd Calendar'!$V$1572='Field Check'!$C$25)&gt;0,"",'Dvd Calendar'!$V$1568)))</f>
        <v/>
      </c>
      <c r="DW116" s="85">
        <f>IF(BI116="","",IF(ISNUMBER('Dvd Calendar'!$W$1568)=FALSE,"",IF((Summary!$C$13="N")*('Dvd Calendar'!$W$1572='Field Check'!$C$25)&gt;0,"",'Dvd Calendar'!$W$1568)))</f>
        <v/>
      </c>
      <c r="DX116" s="85">
        <f>IF(BJ116="","",IF(ISNUMBER('Dvd Calendar'!$X$1568)=FALSE,"",IF((Summary!$C$13="N")*('Dvd Calendar'!$X$1572='Field Check'!$C$25)&gt;0,"",'Dvd Calendar'!$X$1568)))</f>
        <v/>
      </c>
      <c r="DY116" s="85">
        <f>IF(BK116="","",IF(ISNUMBER('Dvd Calendar'!$Y$1568)=FALSE,"",IF((Summary!$C$13="N")*('Dvd Calendar'!$Y$1572='Field Check'!$C$25)&gt;0,"",'Dvd Calendar'!$Y$1568)))</f>
        <v/>
      </c>
      <c r="DZ116" s="85">
        <f>IF(BL116="","",IF(ISNUMBER('Dvd Calendar'!$Z$1568)=FALSE,"",IF((Summary!$C$13="N")*('Dvd Calendar'!$Z$1572='Field Check'!$C$25)&gt;0,"",'Dvd Calendar'!$Z$1568)))</f>
        <v/>
      </c>
      <c r="EA116" s="85">
        <f>IF(BM116="","",IF(ISNUMBER('Dvd Calendar'!$AA$1568)=FALSE,"",IF((Summary!$C$13="N")*('Dvd Calendar'!$AA$1572='Field Check'!$C$25)&gt;0,"",'Dvd Calendar'!$AA$1568)))</f>
        <v/>
      </c>
      <c r="EB116" s="85">
        <f>IF(BN116="","",IF(ISNUMBER('Dvd Calendar'!$AB$1568)=FALSE,"",IF((Summary!$C$13="N")*('Dvd Calendar'!$AB$1572='Field Check'!$C$25)&gt;0,"",'Dvd Calendar'!$AB$1568)))</f>
        <v/>
      </c>
      <c r="EC116" s="85">
        <f>IF(BO116="","",IF(ISNUMBER('Dvd Calendar'!$AC$1568)=FALSE,"",IF((Summary!$C$13="N")*('Dvd Calendar'!$AC$1572='Field Check'!$C$25)&gt;0,"",'Dvd Calendar'!$AC$1568)))</f>
        <v/>
      </c>
      <c r="EE116" s="85">
        <f>IF(BQ116="","",IFERROR(BQ116*HSTECH!$B$10*HSTECH!$G$10/HSTECH!$B$3,""))</f>
        <v/>
      </c>
      <c r="EF116" s="85">
        <f>IF(BR116="","",IFERROR(BR116*HSTECH!$B$10*HSTECH!$G$10/HSTECH!$B$3,""))</f>
        <v/>
      </c>
      <c r="EG116" s="85">
        <f>IF(BS116="","",IFERROR(BS116*HSTECH!$B$10*HSTECH!$G$10/HSTECH!$B$3,""))</f>
        <v/>
      </c>
      <c r="EH116" s="85">
        <f>IF(BT116="","",IFERROR(BT116*HSTECH!$B$10*HSTECH!$G$10/HSTECH!$B$3,""))</f>
        <v/>
      </c>
      <c r="EI116" s="85">
        <f>IF(BU116="","",IFERROR(BU116*HSTECH!$B$10*HSTECH!$G$10/HSTECH!$B$3,""))</f>
        <v/>
      </c>
      <c r="EJ116" s="85">
        <f>IF(BV116="","",IFERROR(BV116*HSTECH!$B$10*HSTECH!$G$10/HSTECH!$B$3,""))</f>
        <v/>
      </c>
      <c r="EK116" s="85">
        <f>IF(BW116="","",IFERROR(BW116*HSTECH!$B$10*HSTECH!$G$10/HSTECH!$B$3,""))</f>
        <v/>
      </c>
      <c r="EL116" s="85">
        <f>IF(BX116="","",IFERROR(BX116*HSTECH!$B$10*HSTECH!$G$10/HSTECH!$B$3,""))</f>
        <v/>
      </c>
      <c r="EM116" s="85">
        <f>IF(BY116="","",IFERROR(BY116*HSTECH!$B$10*HSTECH!$G$10/HSTECH!$B$3,""))</f>
        <v/>
      </c>
      <c r="EN116" s="85">
        <f>IF(BZ116="","",IFERROR(BZ116*HSTECH!$B$10*HSTECH!$G$10/HSTECH!$B$3,""))</f>
        <v/>
      </c>
      <c r="EO116" s="85">
        <f>IF(CA116="","",IFERROR(CA116*HSTECH!$B$10*HSTECH!$G$10/HSTECH!$B$3,""))</f>
        <v/>
      </c>
      <c r="EP116" s="85">
        <f>IF(CB116="","",IFERROR(CB116*HSTECH!$B$10*HSTECH!$G$10/HSTECH!$B$3,""))</f>
        <v/>
      </c>
      <c r="EQ116" s="85">
        <f>IF(CC116="","",IFERROR(CC116*HSTECH!$B$10*HSTECH!$G$10/HSTECH!$B$3,""))</f>
        <v/>
      </c>
      <c r="ER116" s="85">
        <f>IF(CD116="","",IFERROR(CD116*HSTECH!$B$10*HSTECH!$G$10/HSTECH!$B$3,""))</f>
        <v/>
      </c>
      <c r="ES116" s="85">
        <f>IF(CE116="","",IFERROR(CE116*HSTECH!$B$10*HSTECH!$G$10/HSTECH!$B$3,""))</f>
        <v/>
      </c>
      <c r="ET116" s="85">
        <f>IF(CF116="","",IFERROR(CF116*HSTECH!$B$10*HSTECH!$G$10/HSTECH!$B$3,""))</f>
        <v/>
      </c>
      <c r="EU116" s="85">
        <f>IF(CG116="","",IFERROR(CG116*HSTECH!$B$10*HSTECH!$G$10/HSTECH!$B$3,""))</f>
        <v/>
      </c>
      <c r="EV116" s="85">
        <f>IF(CH116="","",IFERROR(CH116*HSTECH!$B$10*HSTECH!$G$10/HSTECH!$B$3,""))</f>
        <v/>
      </c>
      <c r="EW116" s="85">
        <f>IF(CI116="","",IFERROR(CI116*HSTECH!$B$10*HSTECH!$G$10/HSTECH!$B$3,""))</f>
        <v/>
      </c>
      <c r="EX116" s="85">
        <f>IF(CJ116="","",IFERROR(CJ116*HSTECH!$B$10*HSTECH!$G$10/HSTECH!$B$3,""))</f>
        <v/>
      </c>
      <c r="EY116" s="85">
        <f>IF(CK116="","",IFERROR(CK116*HSTECH!$B$10*HSTECH!$G$10/HSTECH!$B$3,""))</f>
        <v/>
      </c>
      <c r="EZ116" s="85">
        <f>IF(CL116="","",IFERROR(CL116*HSTECH!$B$10*HSTECH!$G$10/HSTECH!$B$3,""))</f>
        <v/>
      </c>
      <c r="FA116" s="85">
        <f>IF(CM116="","",IFERROR(CM116*HSTECH!$B$10*HSTECH!$G$10/HSTECH!$B$3,""))</f>
        <v/>
      </c>
      <c r="FB116" s="85">
        <f>IF(CN116="","",IFERROR(CN116*HSTECH!$B$10*HSTECH!$G$10/HSTECH!$B$3,""))</f>
        <v/>
      </c>
      <c r="FC116" s="85">
        <f>IF(CO116="","",IFERROR(CO116*HSTECH!$B$10*HSTECH!$G$10/HSTECH!$B$3,""))</f>
        <v/>
      </c>
      <c r="FD116" s="85">
        <f>IF(CP116="","",IFERROR(CP116*HSTECH!$B$10*HSTECH!$G$10/HSTECH!$B$3,""))</f>
        <v/>
      </c>
      <c r="FE116" s="85">
        <f>IF(CQ116="","",IFERROR(CQ116*HSTECH!$B$10*HSTECH!$G$10/HSTECH!$B$3,""))</f>
        <v/>
      </c>
      <c r="FF116" s="85">
        <f>IF(CR116="","",IFERROR(CR116*HSTECH!$B$10*HSTECH!$G$10/HSTECH!$B$3,""))</f>
        <v/>
      </c>
      <c r="FG116" s="85">
        <f>IF(CS116="","",IFERROR(CS116*HSTECH!$B$10*HSTECH!$G$10/HSTECH!$B$3,""))</f>
        <v/>
      </c>
      <c r="FH116" s="85">
        <f>IF(CT116="","",IFERROR(CT116*HSTECH!$B$10*HSTECH!$G$10/HSTECH!$B$3,""))</f>
        <v/>
      </c>
      <c r="FI116" s="85">
        <f>IF(CU116="","",IFERROR(CU116*HSTECH!$B$10*HSTECH!$G$10/HSTECH!$B$3,""))</f>
        <v/>
      </c>
      <c r="FJ116" s="85">
        <f>IF(CV116="","",IFERROR(CV116*HSTECH!$B$10*HSTECH!$G$10/HSTECH!$B$3,""))</f>
        <v/>
      </c>
      <c r="FK116" s="85">
        <f>IF(CW116="","",IFERROR(CW116*HSTECH!$B$10*HSTECH!$G$10/HSTECH!$B$3,""))</f>
        <v/>
      </c>
      <c r="FL116" s="85">
        <f>IF(CX116="","",IFERROR(CX116*HSTECH!$B$10*HSTECH!$G$10/HSTECH!$B$3,""))</f>
        <v/>
      </c>
      <c r="FM116" s="85">
        <f>IF(CY116="","",IFERROR(CY116*HSTECH!$B$10*HSTECH!$G$10/HSTECH!$B$3,""))</f>
        <v/>
      </c>
      <c r="FN116" s="85">
        <f>IF(CZ116="","",IFERROR(CZ116*HSTECH!$B$10*HSTECH!$G$10/HSTECH!$B$3,""))</f>
        <v/>
      </c>
      <c r="FO116" s="85">
        <f>IF(DA116="","",IFERROR(DA116*HSTECH!$B$10*HSTECH!$G$10/HSTECH!$B$3,""))</f>
        <v/>
      </c>
      <c r="FP116" s="85">
        <f>IF(DB116="","",IFERROR(DB116*HSTECH!$B$10*HSTECH!$G$10/HSTECH!$B$3,""))</f>
        <v/>
      </c>
      <c r="FQ116" s="85">
        <f>IF(DC116="","",IFERROR(DC116*HSTECH!$B$10*HSTECH!$G$10/HSTECH!$B$3,""))</f>
        <v/>
      </c>
      <c r="FR116" s="85">
        <f>IF(DD116="","",IFERROR(DD116*HSTECH!$B$10*HSTECH!$G$10/HSTECH!$B$3,""))</f>
        <v/>
      </c>
      <c r="FS116" s="85">
        <f>IF(DE116="","",IFERROR(DE116*HSTECH!$B$10*HSTECH!$G$10/HSTECH!$B$3,""))</f>
        <v/>
      </c>
      <c r="FT116" s="85">
        <f>IF(DF116="","",IFERROR(DF116*HSTECH!$B$10*HSTECH!$G$10/HSTECH!$B$3,""))</f>
        <v/>
      </c>
      <c r="FU116" s="85">
        <f>IF(DG116="","",IFERROR(DG116*HSTECH!$B$10*HSTECH!$G$10/HSTECH!$B$3,""))</f>
        <v/>
      </c>
      <c r="FV116" s="85">
        <f>IF(DH116="","",IFERROR(DH116*HSTECH!$B$10*HSTECH!$G$10/HSTECH!$B$3,""))</f>
        <v/>
      </c>
      <c r="FW116" s="85">
        <f>IF(DI116="","",IFERROR(DI116*HSTECH!$B$10*HSTECH!$G$10/HSTECH!$B$3,""))</f>
        <v/>
      </c>
      <c r="FX116" s="85">
        <f>IF(DJ116="","",IFERROR(DJ116*HSTECH!$B$10*HSTECH!$G$10/HSTECH!$B$3,""))</f>
        <v/>
      </c>
      <c r="FY116" s="85">
        <f>IF(DK116="","",IFERROR(DK116*HSTECH!$B$10*HSTECH!$G$10/HSTECH!$B$3,""))</f>
        <v/>
      </c>
      <c r="FZ116" s="85">
        <f>IF(DL116="","",IFERROR(DL116*HSTECH!$B$10*HSTECH!$G$10/HSTECH!$B$3,""))</f>
        <v/>
      </c>
      <c r="GA116" s="85">
        <f>IF(DM116="","",IFERROR(DM116*HSTECH!$B$10*HSTECH!$G$10/HSTECH!$B$3,""))</f>
        <v/>
      </c>
      <c r="GB116" s="85">
        <f>IF(DN116="","",IFERROR(DN116*HSTECH!$B$10*HSTECH!$G$10/HSTECH!$B$3,""))</f>
        <v/>
      </c>
      <c r="GC116" s="85">
        <f>IF(DO116="","",IFERROR(DO116*HSTECH!$B$10*HSTECH!$G$10/HSTECH!$B$3,""))</f>
        <v/>
      </c>
      <c r="GD116" s="85">
        <f>IF(DP116="","",IFERROR(DP116*HSTECH!$B$10*HSTECH!$G$10/HSTECH!$B$3,""))</f>
        <v/>
      </c>
      <c r="GE116" s="85">
        <f>IF(DQ116="","",IFERROR(DQ116*HSTECH!$B$10*HSTECH!$G$10/HSTECH!$B$3,""))</f>
        <v/>
      </c>
      <c r="GF116" s="85">
        <f>IF(DR116="","",IFERROR(DR116*HSTECH!$B$10*HSTECH!$G$10/HSTECH!$B$3,""))</f>
        <v/>
      </c>
      <c r="GG116" s="85">
        <f>IF(DS116="","",IFERROR(DS116*HSTECH!$B$10*HSTECH!$G$10/HSTECH!$B$3,""))</f>
        <v/>
      </c>
      <c r="GH116" s="85">
        <f>IF(DT116="","",IFERROR(DT116*HSTECH!$B$10*HSTECH!$G$10/HSTECH!$B$3,""))</f>
        <v/>
      </c>
      <c r="GI116" s="85">
        <f>IF(DU116="","",IFERROR(DU116*HSTECH!$B$10*HSTECH!$G$10/HSTECH!$B$3,""))</f>
        <v/>
      </c>
      <c r="GJ116" s="85">
        <f>IF(DV116="","",IFERROR(DV116*HSTECH!$B$10*HSTECH!$G$10/HSTECH!$B$3,""))</f>
        <v/>
      </c>
      <c r="GK116" s="85">
        <f>IF(DW116="","",IFERROR(DW116*HSTECH!$B$10*HSTECH!$G$10/HSTECH!$B$3,""))</f>
        <v/>
      </c>
      <c r="GL116" s="85">
        <f>IF(DX116="","",IFERROR(DX116*HSTECH!$B$10*HSTECH!$G$10/HSTECH!$B$3,""))</f>
        <v/>
      </c>
      <c r="GM116" s="85">
        <f>IF(DY116="","",IFERROR(DY116*HSTECH!$B$10*HSTECH!$G$10/HSTECH!$B$3,""))</f>
        <v/>
      </c>
      <c r="GN116" s="85">
        <f>IF(DZ116="","",IFERROR(DZ116*HSTECH!$B$10*HSTECH!$G$10/HSTECH!$B$3,""))</f>
        <v/>
      </c>
      <c r="GO116" s="85">
        <f>IF(EA116="","",IFERROR(EA116*HSTECH!$B$10*HSTECH!$G$10/HSTECH!$B$3,""))</f>
        <v/>
      </c>
      <c r="GP116" s="85">
        <f>IF(EB116="","",IFERROR(EB116*HSTECH!$B$10*HSTECH!$G$10/HSTECH!$B$3,""))</f>
        <v/>
      </c>
      <c r="GQ116" s="85">
        <f>IF(EC116="","",IFERROR(EC116*HSTECH!$B$10*HSTECH!$G$10/HSTECH!$B$3,""))</f>
        <v/>
      </c>
    </row>
    <row r="117">
      <c r="B117" s="2">
        <f>IF(HSTECH!$C$11="","",HSTECH!$C$11)</f>
        <v/>
      </c>
      <c r="C117" s="41">
        <f>IF(N('Dvd Calendar'!$E$1575)=0,"",IF(('Dvd Calendar'!$E$1575&gt;=MIN(DATE(Summary!$C$12,1,1),Summary!$C$11))*('Dvd Calendar'!$E$1575&lt;=MAX(DATE(Summary!$C$12,12,31),Summary!$C$15))*('Dvd Calendar'!$E$1575&lt;=Summary!$C$11)=0,"",'Dvd Calendar'!$E$1575*1000000000+ISNUMBER('Dvd Calendar'!$E$1576)*100000000+('Dvd Calendar'!$E$1580='Field Check'!$C$25)*10000000+(N('Dvd Calendar'!$E$1574)&gt;0)*1000000+5*1000+1))</f>
        <v/>
      </c>
      <c r="D117" s="41">
        <f>IF(N('Dvd Calendar'!$F$1575)=0,"",IF(('Dvd Calendar'!$F$1575&gt;=MIN(DATE(Summary!$C$12,1,1),Summary!$C$11))*('Dvd Calendar'!$F$1575&lt;=MAX(DATE(Summary!$C$12,12,31),Summary!$C$15))*('Dvd Calendar'!$F$1575&lt;=Summary!$C$11)=0,"",'Dvd Calendar'!$F$1575*1000000000+ISNUMBER('Dvd Calendar'!$F$1576)*100000000+('Dvd Calendar'!$F$1580='Field Check'!$C$25)*10000000+(N('Dvd Calendar'!$F$1574)&gt;0)*1000000+5*1000+2))</f>
        <v/>
      </c>
      <c r="E117" s="41">
        <f>IF(N('Dvd Calendar'!$G$1575)=0,"",IF(('Dvd Calendar'!$G$1575&gt;=MIN(DATE(Summary!$C$12,1,1),Summary!$C$11))*('Dvd Calendar'!$G$1575&lt;=MAX(DATE(Summary!$C$12,12,31),Summary!$C$15))*('Dvd Calendar'!$G$1575&lt;=Summary!$C$11)=0,"",'Dvd Calendar'!$G$1575*1000000000+ISNUMBER('Dvd Calendar'!$G$1576)*100000000+('Dvd Calendar'!$G$1580='Field Check'!$C$25)*10000000+(N('Dvd Calendar'!$G$1574)&gt;0)*1000000+5*1000+3))</f>
        <v/>
      </c>
      <c r="F117" s="41">
        <f>IF(N('Dvd Calendar'!$H$1575)=0,"",IF(('Dvd Calendar'!$H$1575&gt;=MIN(DATE(Summary!$C$12,1,1),Summary!$C$11))*('Dvd Calendar'!$H$1575&lt;=MAX(DATE(Summary!$C$12,12,31),Summary!$C$15))*('Dvd Calendar'!$H$1575&lt;=Summary!$C$11)=0,"",'Dvd Calendar'!$H$1575*1000000000+ISNUMBER('Dvd Calendar'!$H$1576)*100000000+('Dvd Calendar'!$H$1580='Field Check'!$C$25)*10000000+(N('Dvd Calendar'!$H$1574)&gt;0)*1000000+5*1000+4))</f>
        <v/>
      </c>
      <c r="G117" s="41">
        <f>IF(N('Dvd Calendar'!$I$1575)=0,"",IF(('Dvd Calendar'!$I$1575&gt;=MIN(DATE(Summary!$C$12,1,1),Summary!$C$11))*('Dvd Calendar'!$I$1575&lt;=MAX(DATE(Summary!$C$12,12,31),Summary!$C$15))*('Dvd Calendar'!$I$1575&lt;=Summary!$C$11)=0,"",'Dvd Calendar'!$I$1575*1000000000+ISNUMBER('Dvd Calendar'!$I$1576)*100000000+('Dvd Calendar'!$I$1580='Field Check'!$C$25)*10000000+(N('Dvd Calendar'!$I$1574)&gt;0)*1000000+5*1000+5))</f>
        <v/>
      </c>
      <c r="H117" s="41">
        <f>IF(N('Dvd Calendar'!$J$1575)=0,"",IF(('Dvd Calendar'!$J$1575&gt;=MIN(DATE(Summary!$C$12,1,1),Summary!$C$11))*('Dvd Calendar'!$J$1575&lt;=MAX(DATE(Summary!$C$12,12,31),Summary!$C$15))*('Dvd Calendar'!$J$1575&lt;=Summary!$C$11)=0,"",'Dvd Calendar'!$J$1575*1000000000+ISNUMBER('Dvd Calendar'!$J$1576)*100000000+('Dvd Calendar'!$J$1580='Field Check'!$C$25)*10000000+(N('Dvd Calendar'!$J$1574)&gt;0)*1000000+5*1000+6))</f>
        <v/>
      </c>
      <c r="I117" s="41">
        <f>IF(N('Dvd Calendar'!$K$1575)=0,"",IF(('Dvd Calendar'!$K$1575&gt;=MIN(DATE(Summary!$C$12,1,1),Summary!$C$11))*('Dvd Calendar'!$K$1575&lt;=MAX(DATE(Summary!$C$12,12,31),Summary!$C$15))*('Dvd Calendar'!$K$1575&lt;=Summary!$C$11)=0,"",'Dvd Calendar'!$K$1575*1000000000+ISNUMBER('Dvd Calendar'!$K$1576)*100000000+('Dvd Calendar'!$K$1580='Field Check'!$C$25)*10000000+(N('Dvd Calendar'!$K$1574)&gt;0)*1000000+5*1000+7))</f>
        <v/>
      </c>
      <c r="J117" s="41">
        <f>IF(N('Dvd Calendar'!$L$1575)=0,"",IF(('Dvd Calendar'!$L$1575&gt;=MIN(DATE(Summary!$C$12,1,1),Summary!$C$11))*('Dvd Calendar'!$L$1575&lt;=MAX(DATE(Summary!$C$12,12,31),Summary!$C$15))*('Dvd Calendar'!$L$1575&lt;=Summary!$C$11)=0,"",'Dvd Calendar'!$L$1575*1000000000+ISNUMBER('Dvd Calendar'!$L$1576)*100000000+('Dvd Calendar'!$L$1580='Field Check'!$C$25)*10000000+(N('Dvd Calendar'!$L$1574)&gt;0)*1000000+5*1000+8))</f>
        <v/>
      </c>
      <c r="K117" s="41">
        <f>IF(N('Dvd Calendar'!$M$1575)=0,"",IF(('Dvd Calendar'!$M$1575&gt;=MIN(DATE(Summary!$C$12,1,1),Summary!$C$11))*('Dvd Calendar'!$M$1575&lt;=MAX(DATE(Summary!$C$12,12,31),Summary!$C$15))*('Dvd Calendar'!$M$1575&lt;=Summary!$C$11)=0,"",'Dvd Calendar'!$M$1575*1000000000+ISNUMBER('Dvd Calendar'!$M$1576)*100000000+('Dvd Calendar'!$M$1580='Field Check'!$C$25)*10000000+(N('Dvd Calendar'!$M$1574)&gt;0)*1000000+5*1000+9))</f>
        <v/>
      </c>
      <c r="L117" s="41">
        <f>IF(N('Dvd Calendar'!$N$1575)=0,"",IF(('Dvd Calendar'!$N$1575&gt;=MIN(DATE(Summary!$C$12,1,1),Summary!$C$11))*('Dvd Calendar'!$N$1575&lt;=MAX(DATE(Summary!$C$12,12,31),Summary!$C$15))*('Dvd Calendar'!$N$1575&lt;=Summary!$C$11)=0,"",'Dvd Calendar'!$N$1575*1000000000+ISNUMBER('Dvd Calendar'!$N$1576)*100000000+('Dvd Calendar'!$N$1580='Field Check'!$C$25)*10000000+(N('Dvd Calendar'!$N$1574)&gt;0)*1000000+5*1000+10))</f>
        <v/>
      </c>
      <c r="M117" s="41">
        <f>IF(N('Dvd Calendar'!$O$1575)=0,"",IF(('Dvd Calendar'!$O$1575&gt;=MIN(DATE(Summary!$C$12,1,1),Summary!$C$11))*('Dvd Calendar'!$O$1575&lt;=MAX(DATE(Summary!$C$12,12,31),Summary!$C$15))*('Dvd Calendar'!$O$1575&lt;=Summary!$C$11)=0,"",'Dvd Calendar'!$O$1575*1000000000+ISNUMBER('Dvd Calendar'!$O$1576)*100000000+('Dvd Calendar'!$O$1580='Field Check'!$C$25)*10000000+(N('Dvd Calendar'!$O$1574)&gt;0)*1000000+5*1000+11))</f>
        <v/>
      </c>
      <c r="N117" s="41">
        <f>IF(N('Dvd Calendar'!$P$1575)=0,"",IF(('Dvd Calendar'!$P$1575&gt;=MIN(DATE(Summary!$C$12,1,1),Summary!$C$11))*('Dvd Calendar'!$P$1575&lt;=MAX(DATE(Summary!$C$12,12,31),Summary!$C$15))*('Dvd Calendar'!$P$1575&lt;=Summary!$C$11)=0,"",'Dvd Calendar'!$P$1575*1000000000+ISNUMBER('Dvd Calendar'!$P$1576)*100000000+('Dvd Calendar'!$P$1580='Field Check'!$C$25)*10000000+(N('Dvd Calendar'!$P$1574)&gt;0)*1000000+5*1000+12))</f>
        <v/>
      </c>
      <c r="O117" s="41">
        <f>IF(N('Dvd Calendar'!$Q$1575)=0,"",IF(('Dvd Calendar'!$Q$1575&gt;=MIN(DATE(Summary!$C$12,1,1),Summary!$C$11))*('Dvd Calendar'!$Q$1575&lt;=MAX(DATE(Summary!$C$12,12,31),Summary!$C$15))*('Dvd Calendar'!$Q$1575&lt;=Summary!$C$11)=0,"",'Dvd Calendar'!$Q$1575*1000000000+ISNUMBER('Dvd Calendar'!$Q$1576)*100000000+('Dvd Calendar'!$Q$1580='Field Check'!$C$25)*10000000+(N('Dvd Calendar'!$Q$1574)&gt;0)*1000000+5*1000+13))</f>
        <v/>
      </c>
      <c r="P117" s="41">
        <f>IF(N('Dvd Calendar'!$R$1575)=0,"",IF(('Dvd Calendar'!$R$1575&gt;=MIN(DATE(Summary!$C$12,1,1),Summary!$C$11))*('Dvd Calendar'!$R$1575&lt;=MAX(DATE(Summary!$C$12,12,31),Summary!$C$15))*('Dvd Calendar'!$R$1575&lt;=Summary!$C$11)=0,"",'Dvd Calendar'!$R$1575*1000000000+ISNUMBER('Dvd Calendar'!$R$1576)*100000000+('Dvd Calendar'!$R$1580='Field Check'!$C$25)*10000000+(N('Dvd Calendar'!$R$1574)&gt;0)*1000000+5*1000+14))</f>
        <v/>
      </c>
      <c r="Q117" s="41">
        <f>IF(N('Dvd Calendar'!$S$1575)=0,"",IF(('Dvd Calendar'!$S$1575&gt;=MIN(DATE(Summary!$C$12,1,1),Summary!$C$11))*('Dvd Calendar'!$S$1575&lt;=MAX(DATE(Summary!$C$12,12,31),Summary!$C$15))*('Dvd Calendar'!$S$1575&lt;=Summary!$C$11)=0,"",'Dvd Calendar'!$S$1575*1000000000+ISNUMBER('Dvd Calendar'!$S$1576)*100000000+('Dvd Calendar'!$S$1580='Field Check'!$C$25)*10000000+(N('Dvd Calendar'!$S$1574)&gt;0)*1000000+5*1000+15))</f>
        <v/>
      </c>
      <c r="R117" s="41">
        <f>IF(N('Dvd Calendar'!$T$1575)=0,"",IF(('Dvd Calendar'!$T$1575&gt;=MIN(DATE(Summary!$C$12,1,1),Summary!$C$11))*('Dvd Calendar'!$T$1575&lt;=MAX(DATE(Summary!$C$12,12,31),Summary!$C$15))*('Dvd Calendar'!$T$1575&lt;=Summary!$C$11)=0,"",'Dvd Calendar'!$T$1575*1000000000+ISNUMBER('Dvd Calendar'!$T$1576)*100000000+('Dvd Calendar'!$T$1580='Field Check'!$C$25)*10000000+(N('Dvd Calendar'!$T$1574)&gt;0)*1000000+5*1000+16))</f>
        <v/>
      </c>
      <c r="S117" s="41">
        <f>IF(N('Dvd Calendar'!$U$1575)=0,"",IF(('Dvd Calendar'!$U$1575&gt;=MIN(DATE(Summary!$C$12,1,1),Summary!$C$11))*('Dvd Calendar'!$U$1575&lt;=MAX(DATE(Summary!$C$12,12,31),Summary!$C$15))*('Dvd Calendar'!$U$1575&lt;=Summary!$C$11)=0,"",'Dvd Calendar'!$U$1575*1000000000+ISNUMBER('Dvd Calendar'!$U$1576)*100000000+('Dvd Calendar'!$U$1580='Field Check'!$C$25)*10000000+(N('Dvd Calendar'!$U$1574)&gt;0)*1000000+5*1000+17))</f>
        <v/>
      </c>
      <c r="T117" s="41">
        <f>IF(N('Dvd Calendar'!$V$1575)=0,"",IF(('Dvd Calendar'!$V$1575&gt;=MIN(DATE(Summary!$C$12,1,1),Summary!$C$11))*('Dvd Calendar'!$V$1575&lt;=MAX(DATE(Summary!$C$12,12,31),Summary!$C$15))*('Dvd Calendar'!$V$1575&lt;=Summary!$C$11)=0,"",'Dvd Calendar'!$V$1575*1000000000+ISNUMBER('Dvd Calendar'!$V$1576)*100000000+('Dvd Calendar'!$V$1580='Field Check'!$C$25)*10000000+(N('Dvd Calendar'!$V$1574)&gt;0)*1000000+5*1000+18))</f>
        <v/>
      </c>
      <c r="U117" s="41">
        <f>IF(N('Dvd Calendar'!$W$1575)=0,"",IF(('Dvd Calendar'!$W$1575&gt;=MIN(DATE(Summary!$C$12,1,1),Summary!$C$11))*('Dvd Calendar'!$W$1575&lt;=MAX(DATE(Summary!$C$12,12,31),Summary!$C$15))*('Dvd Calendar'!$W$1575&lt;=Summary!$C$11)=0,"",'Dvd Calendar'!$W$1575*1000000000+ISNUMBER('Dvd Calendar'!$W$1576)*100000000+('Dvd Calendar'!$W$1580='Field Check'!$C$25)*10000000+(N('Dvd Calendar'!$W$1574)&gt;0)*1000000+5*1000+19))</f>
        <v/>
      </c>
      <c r="V117" s="41">
        <f>IF(N('Dvd Calendar'!$X$1575)=0,"",IF(('Dvd Calendar'!$X$1575&gt;=MIN(DATE(Summary!$C$12,1,1),Summary!$C$11))*('Dvd Calendar'!$X$1575&lt;=MAX(DATE(Summary!$C$12,12,31),Summary!$C$15))*('Dvd Calendar'!$X$1575&lt;=Summary!$C$11)=0,"",'Dvd Calendar'!$X$1575*1000000000+ISNUMBER('Dvd Calendar'!$X$1576)*100000000+('Dvd Calendar'!$X$1580='Field Check'!$C$25)*10000000+(N('Dvd Calendar'!$X$1574)&gt;0)*1000000+5*1000+20))</f>
        <v/>
      </c>
      <c r="W117" s="41">
        <f>IF(N('Dvd Calendar'!$Y$1575)=0,"",IF(('Dvd Calendar'!$Y$1575&gt;=MIN(DATE(Summary!$C$12,1,1),Summary!$C$11))*('Dvd Calendar'!$Y$1575&lt;=MAX(DATE(Summary!$C$12,12,31),Summary!$C$15))*('Dvd Calendar'!$Y$1575&lt;=Summary!$C$11)=0,"",'Dvd Calendar'!$Y$1575*1000000000+ISNUMBER('Dvd Calendar'!$Y$1576)*100000000+('Dvd Calendar'!$Y$1580='Field Check'!$C$25)*10000000+(N('Dvd Calendar'!$Y$1574)&gt;0)*1000000+5*1000+21))</f>
        <v/>
      </c>
      <c r="X117" s="41">
        <f>IF(N('Dvd Calendar'!$Z$1575)=0,"",IF(('Dvd Calendar'!$Z$1575&gt;=MIN(DATE(Summary!$C$12,1,1),Summary!$C$11))*('Dvd Calendar'!$Z$1575&lt;=MAX(DATE(Summary!$C$12,12,31),Summary!$C$15))*('Dvd Calendar'!$Z$1575&lt;=Summary!$C$11)=0,"",'Dvd Calendar'!$Z$1575*1000000000+ISNUMBER('Dvd Calendar'!$Z$1576)*100000000+('Dvd Calendar'!$Z$1580='Field Check'!$C$25)*10000000+(N('Dvd Calendar'!$Z$1574)&gt;0)*1000000+5*1000+22))</f>
        <v/>
      </c>
      <c r="Y117" s="41">
        <f>IF(N('Dvd Calendar'!$AA$1575)=0,"",IF(('Dvd Calendar'!$AA$1575&gt;=MIN(DATE(Summary!$C$12,1,1),Summary!$C$11))*('Dvd Calendar'!$AA$1575&lt;=MAX(DATE(Summary!$C$12,12,31),Summary!$C$15))*('Dvd Calendar'!$AA$1575&lt;=Summary!$C$11)=0,"",'Dvd Calendar'!$AA$1575*1000000000+ISNUMBER('Dvd Calendar'!$AA$1576)*100000000+('Dvd Calendar'!$AA$1580='Field Check'!$C$25)*10000000+(N('Dvd Calendar'!$AA$1574)&gt;0)*1000000+5*1000+23))</f>
        <v/>
      </c>
      <c r="Z117" s="41">
        <f>IF(N('Dvd Calendar'!$AB$1575)=0,"",IF(('Dvd Calendar'!$AB$1575&gt;=MIN(DATE(Summary!$C$12,1,1),Summary!$C$11))*('Dvd Calendar'!$AB$1575&lt;=MAX(DATE(Summary!$C$12,12,31),Summary!$C$15))*('Dvd Calendar'!$AB$1575&lt;=Summary!$C$11)=0,"",'Dvd Calendar'!$AB$1575*1000000000+ISNUMBER('Dvd Calendar'!$AB$1576)*100000000+('Dvd Calendar'!$AB$1580='Field Check'!$C$25)*10000000+(N('Dvd Calendar'!$AB$1574)&gt;0)*1000000+5*1000+24))</f>
        <v/>
      </c>
      <c r="AA117" s="41">
        <f>IF(N('Dvd Calendar'!$AC$1575)=0,"",IF(('Dvd Calendar'!$AC$1575&gt;=MIN(DATE(Summary!$C$12,1,1),Summary!$C$11))*('Dvd Calendar'!$AC$1575&lt;=MAX(DATE(Summary!$C$12,12,31),Summary!$C$15))*('Dvd Calendar'!$AC$1575&lt;=Summary!$C$11)=0,"",'Dvd Calendar'!$AC$1575*1000000000+ISNUMBER('Dvd Calendar'!$AC$1576)*100000000+('Dvd Calendar'!$AC$1580='Field Check'!$C$25)*10000000+(N('Dvd Calendar'!$AC$1574)&gt;0)*1000000+5*1000+25))</f>
        <v/>
      </c>
      <c r="AB117" s="41">
        <f>IF(N('Dvd Calendar'!$AD$1575)=0,"",IF(('Dvd Calendar'!$AD$1575&gt;=MIN(DATE(Summary!$C$12,1,1),Summary!$C$11))*('Dvd Calendar'!$AD$1575&lt;=MAX(DATE(Summary!$C$12,12,31),Summary!$C$15))*('Dvd Calendar'!$AD$1575&lt;=Summary!$C$11)=0,"",'Dvd Calendar'!$AD$1575*1000000000+ISNUMBER('Dvd Calendar'!$AD$1576)*100000000+('Dvd Calendar'!$AD$1580='Field Check'!$C$25)*10000000+(N('Dvd Calendar'!$AD$1574)&gt;0)*1000000+5*1000+26))</f>
        <v/>
      </c>
      <c r="AC117" s="41">
        <f>IF(N('Dvd Calendar'!$AE$1575)=0,"",IF(('Dvd Calendar'!$AE$1575&gt;=MIN(DATE(Summary!$C$12,1,1),Summary!$C$11))*('Dvd Calendar'!$AE$1575&lt;=MAX(DATE(Summary!$C$12,12,31),Summary!$C$15))*('Dvd Calendar'!$AE$1575&lt;=Summary!$C$11)=0,"",'Dvd Calendar'!$AE$1575*1000000000+ISNUMBER('Dvd Calendar'!$AE$1576)*100000000+('Dvd Calendar'!$AE$1580='Field Check'!$C$25)*10000000+(N('Dvd Calendar'!$AE$1574)&gt;0)*1000000+5*1000+27))</f>
        <v/>
      </c>
      <c r="AD117" s="41">
        <f>IF(N('Dvd Calendar'!$AF$1575)=0,"",IF(('Dvd Calendar'!$AF$1575&gt;=MIN(DATE(Summary!$C$12,1,1),Summary!$C$11))*('Dvd Calendar'!$AF$1575&lt;=MAX(DATE(Summary!$C$12,12,31),Summary!$C$15))*('Dvd Calendar'!$AF$1575&lt;=Summary!$C$11)=0,"",'Dvd Calendar'!$AF$1575*1000000000+ISNUMBER('Dvd Calendar'!$AF$1576)*100000000+('Dvd Calendar'!$AF$1580='Field Check'!$C$25)*10000000+(N('Dvd Calendar'!$AF$1574)&gt;0)*1000000+5*1000+28))</f>
        <v/>
      </c>
      <c r="AE117" s="41">
        <f>IF(N('Dvd Calendar'!$AG$1575)=0,"",IF(('Dvd Calendar'!$AG$1575&gt;=MIN(DATE(Summary!$C$12,1,1),Summary!$C$11))*('Dvd Calendar'!$AG$1575&lt;=MAX(DATE(Summary!$C$12,12,31),Summary!$C$15))*('Dvd Calendar'!$AG$1575&lt;=Summary!$C$11)=0,"",'Dvd Calendar'!$AG$1575*1000000000+ISNUMBER('Dvd Calendar'!$AG$1576)*100000000+('Dvd Calendar'!$AG$1580='Field Check'!$C$25)*10000000+(N('Dvd Calendar'!$AG$1574)&gt;0)*1000000+5*1000+29))</f>
        <v/>
      </c>
      <c r="AF117" s="41">
        <f>IF(N('Dvd Calendar'!$AH$1575)=0,"",IF(('Dvd Calendar'!$AH$1575&gt;=MIN(DATE(Summary!$C$12,1,1),Summary!$C$11))*('Dvd Calendar'!$AH$1575&lt;=MAX(DATE(Summary!$C$12,12,31),Summary!$C$15))*('Dvd Calendar'!$AH$1575&lt;=Summary!$C$11)=0,"",'Dvd Calendar'!$AH$1575*1000000000+ISNUMBER('Dvd Calendar'!$AH$1576)*100000000+('Dvd Calendar'!$AH$1580='Field Check'!$C$25)*10000000+(N('Dvd Calendar'!$AH$1574)&gt;0)*1000000+5*1000+30))</f>
        <v/>
      </c>
      <c r="AG117" s="41">
        <f>IF(N('Dvd Calendar'!$AI$1575)=0,"",IF(('Dvd Calendar'!$AI$1575&gt;=MIN(DATE(Summary!$C$12,1,1),Summary!$C$11))*('Dvd Calendar'!$AI$1575&lt;=MAX(DATE(Summary!$C$12,12,31),Summary!$C$15))*('Dvd Calendar'!$AI$1575&lt;=Summary!$C$11)=0,"",'Dvd Calendar'!$AI$1575*1000000000+ISNUMBER('Dvd Calendar'!$AI$1576)*100000000+('Dvd Calendar'!$AI$1580='Field Check'!$C$25)*10000000+(N('Dvd Calendar'!$AI$1574)&gt;0)*1000000+5*1000+31))</f>
        <v/>
      </c>
      <c r="AH117" s="41">
        <f>IF(N('Dvd Calendar'!$AJ$1575)=0,"",IF(('Dvd Calendar'!$AJ$1575&gt;=MIN(DATE(Summary!$C$12,1,1),Summary!$C$11))*('Dvd Calendar'!$AJ$1575&lt;=MAX(DATE(Summary!$C$12,12,31),Summary!$C$15))*('Dvd Calendar'!$AJ$1575&lt;=Summary!$C$11)=0,"",'Dvd Calendar'!$AJ$1575*1000000000+ISNUMBER('Dvd Calendar'!$AJ$1576)*100000000+('Dvd Calendar'!$AJ$1580='Field Check'!$C$25)*10000000+(N('Dvd Calendar'!$AJ$1574)&gt;0)*1000000+5*1000+32))</f>
        <v/>
      </c>
      <c r="AI117" s="41">
        <f>IF(N('Dvd Calendar'!$AK$1575)=0,"",IF(('Dvd Calendar'!$AK$1575&gt;=MIN(DATE(Summary!$C$12,1,1),Summary!$C$11))*('Dvd Calendar'!$AK$1575&lt;=MAX(DATE(Summary!$C$12,12,31),Summary!$C$15))*('Dvd Calendar'!$AK$1575&lt;=Summary!$C$11)=0,"",'Dvd Calendar'!$AK$1575*1000000000+ISNUMBER('Dvd Calendar'!$AK$1576)*100000000+('Dvd Calendar'!$AK$1580='Field Check'!$C$25)*10000000+(N('Dvd Calendar'!$AK$1574)&gt;0)*1000000+5*1000+33))</f>
        <v/>
      </c>
      <c r="AJ117" s="41">
        <f>IF(N('Dvd Calendar'!$AL$1575)=0,"",IF(('Dvd Calendar'!$AL$1575&gt;=MIN(DATE(Summary!$C$12,1,1),Summary!$C$11))*('Dvd Calendar'!$AL$1575&lt;=MAX(DATE(Summary!$C$12,12,31),Summary!$C$15))*('Dvd Calendar'!$AL$1575&lt;=Summary!$C$11)=0,"",'Dvd Calendar'!$AL$1575*1000000000+ISNUMBER('Dvd Calendar'!$AL$1576)*100000000+('Dvd Calendar'!$AL$1580='Field Check'!$C$25)*10000000+(N('Dvd Calendar'!$AL$1574)&gt;0)*1000000+5*1000+34))</f>
        <v/>
      </c>
      <c r="AK117" s="41">
        <f>IF(N('Dvd Calendar'!$AM$1575)=0,"",IF(('Dvd Calendar'!$AM$1575&gt;=MIN(DATE(Summary!$C$12,1,1),Summary!$C$11))*('Dvd Calendar'!$AM$1575&lt;=MAX(DATE(Summary!$C$12,12,31),Summary!$C$15))*('Dvd Calendar'!$AM$1575&lt;=Summary!$C$11)=0,"",'Dvd Calendar'!$AM$1575*1000000000+ISNUMBER('Dvd Calendar'!$AM$1576)*100000000+('Dvd Calendar'!$AM$1580='Field Check'!$C$25)*10000000+(N('Dvd Calendar'!$AM$1574)&gt;0)*1000000+5*1000+35))</f>
        <v/>
      </c>
      <c r="AL117" s="41">
        <f>IF(N('Dvd Calendar'!$AN$1575)=0,"",IF(('Dvd Calendar'!$AN$1575&gt;=MIN(DATE(Summary!$C$12,1,1),Summary!$C$11))*('Dvd Calendar'!$AN$1575&lt;=MAX(DATE(Summary!$C$12,12,31),Summary!$C$15))*('Dvd Calendar'!$AN$1575&lt;=Summary!$C$11)=0,"",'Dvd Calendar'!$AN$1575*1000000000+ISNUMBER('Dvd Calendar'!$AN$1576)*100000000+('Dvd Calendar'!$AN$1580='Field Check'!$C$25)*10000000+(N('Dvd Calendar'!$AN$1574)&gt;0)*1000000+5*1000+36))</f>
        <v/>
      </c>
      <c r="AM117" s="41">
        <f>IF(N('Dvd Calendar'!$AO$1575)=0,"",IF(('Dvd Calendar'!$AO$1575&gt;=MIN(DATE(Summary!$C$12,1,1),Summary!$C$11))*('Dvd Calendar'!$AO$1575&lt;=MAX(DATE(Summary!$C$12,12,31),Summary!$C$15))*('Dvd Calendar'!$AO$1575&lt;=Summary!$C$11)=0,"",'Dvd Calendar'!$AO$1575*1000000000+ISNUMBER('Dvd Calendar'!$AO$1576)*100000000+('Dvd Calendar'!$AO$1580='Field Check'!$C$25)*10000000+(N('Dvd Calendar'!$AO$1574)&gt;0)*1000000+5*1000+37))</f>
        <v/>
      </c>
      <c r="AN117" s="41">
        <f>IF(N('Dvd Calendar'!$AP$1575)=0,"",IF(('Dvd Calendar'!$AP$1575&gt;=MIN(DATE(Summary!$C$12,1,1),Summary!$C$11))*('Dvd Calendar'!$AP$1575&lt;=MAX(DATE(Summary!$C$12,12,31),Summary!$C$15))*('Dvd Calendar'!$AP$1575&lt;=Summary!$C$11)=0,"",'Dvd Calendar'!$AP$1575*1000000000+ISNUMBER('Dvd Calendar'!$AP$1576)*100000000+('Dvd Calendar'!$AP$1580='Field Check'!$C$25)*10000000+(N('Dvd Calendar'!$AP$1574)&gt;0)*1000000+5*1000+38))</f>
        <v/>
      </c>
      <c r="AO117" s="41">
        <f>IF(N('Dvd Calendar'!$AQ$1575)=0,"",IF(('Dvd Calendar'!$AQ$1575&gt;=MIN(DATE(Summary!$C$12,1,1),Summary!$C$11))*('Dvd Calendar'!$AQ$1575&lt;=MAX(DATE(Summary!$C$12,12,31),Summary!$C$15))*('Dvd Calendar'!$AQ$1575&lt;=Summary!$C$11)=0,"",'Dvd Calendar'!$AQ$1575*1000000000+ISNUMBER('Dvd Calendar'!$AQ$1576)*100000000+('Dvd Calendar'!$AQ$1580='Field Check'!$C$25)*10000000+(N('Dvd Calendar'!$AQ$1574)&gt;0)*1000000+5*1000+39))</f>
        <v/>
      </c>
      <c r="AP117" s="41">
        <f>IF(N('Dvd Calendar'!$AR$1575)=0,"",IF(('Dvd Calendar'!$AR$1575&gt;=MIN(DATE(Summary!$C$12,1,1),Summary!$C$11))*('Dvd Calendar'!$AR$1575&lt;=MAX(DATE(Summary!$C$12,12,31),Summary!$C$15))*('Dvd Calendar'!$AR$1575&lt;=Summary!$C$11)=0,"",'Dvd Calendar'!$AR$1575*1000000000+ISNUMBER('Dvd Calendar'!$AR$1576)*100000000+('Dvd Calendar'!$AR$1580='Field Check'!$C$25)*10000000+(N('Dvd Calendar'!$AR$1574)&gt;0)*1000000+5*1000+40))</f>
        <v/>
      </c>
      <c r="AQ117" s="41">
        <f>IF(N('Dvd Calendar'!$E$1582)=0,"",IF(('Dvd Calendar'!$E$1582&gt;=MIN(DATE(Summary!$C$12,1,1),Summary!$C$11))*('Dvd Calendar'!$E$1582&lt;=MAX(DATE(Summary!$C$12,12,31),Summary!$C$15))*('Dvd Calendar'!$E$1582&gt;Summary!$C$11)=0,"",'Dvd Calendar'!$E$1582*1000000000+ISNUMBER('Dvd Calendar'!$E$1583)*100000000+('Dvd Calendar'!$E$1587='Field Check'!$C$25)*10000000+(N('Dvd Calendar'!$E$1581)&gt;0)*1000000+5*1000+41))</f>
        <v/>
      </c>
      <c r="AR117" s="41">
        <f>IF(N('Dvd Calendar'!$F$1582)=0,"",IF(('Dvd Calendar'!$F$1582&gt;=MIN(DATE(Summary!$C$12,1,1),Summary!$C$11))*('Dvd Calendar'!$F$1582&lt;=MAX(DATE(Summary!$C$12,12,31),Summary!$C$15))*('Dvd Calendar'!$F$1582&gt;Summary!$C$11)=0,"",'Dvd Calendar'!$F$1582*1000000000+ISNUMBER('Dvd Calendar'!$F$1583)*100000000+('Dvd Calendar'!$F$1587='Field Check'!$C$25)*10000000+(N('Dvd Calendar'!$F$1581)&gt;0)*1000000+5*1000+42))</f>
        <v/>
      </c>
      <c r="AS117" s="41">
        <f>IF(N('Dvd Calendar'!$G$1582)=0,"",IF(('Dvd Calendar'!$G$1582&gt;=MIN(DATE(Summary!$C$12,1,1),Summary!$C$11))*('Dvd Calendar'!$G$1582&lt;=MAX(DATE(Summary!$C$12,12,31),Summary!$C$15))*('Dvd Calendar'!$G$1582&gt;Summary!$C$11)=0,"",'Dvd Calendar'!$G$1582*1000000000+ISNUMBER('Dvd Calendar'!$G$1583)*100000000+('Dvd Calendar'!$G$1587='Field Check'!$C$25)*10000000+(N('Dvd Calendar'!$G$1581)&gt;0)*1000000+5*1000+43))</f>
        <v/>
      </c>
      <c r="AT117" s="41">
        <f>IF(N('Dvd Calendar'!$H$1582)=0,"",IF(('Dvd Calendar'!$H$1582&gt;=MIN(DATE(Summary!$C$12,1,1),Summary!$C$11))*('Dvd Calendar'!$H$1582&lt;=MAX(DATE(Summary!$C$12,12,31),Summary!$C$15))*('Dvd Calendar'!$H$1582&gt;Summary!$C$11)=0,"",'Dvd Calendar'!$H$1582*1000000000+ISNUMBER('Dvd Calendar'!$H$1583)*100000000+('Dvd Calendar'!$H$1587='Field Check'!$C$25)*10000000+(N('Dvd Calendar'!$H$1581)&gt;0)*1000000+5*1000+44))</f>
        <v/>
      </c>
      <c r="AU117" s="41">
        <f>IF(N('Dvd Calendar'!$I$1582)=0,"",IF(('Dvd Calendar'!$I$1582&gt;=MIN(DATE(Summary!$C$12,1,1),Summary!$C$11))*('Dvd Calendar'!$I$1582&lt;=MAX(DATE(Summary!$C$12,12,31),Summary!$C$15))*('Dvd Calendar'!$I$1582&gt;Summary!$C$11)=0,"",'Dvd Calendar'!$I$1582*1000000000+ISNUMBER('Dvd Calendar'!$I$1583)*100000000+('Dvd Calendar'!$I$1587='Field Check'!$C$25)*10000000+(N('Dvd Calendar'!$I$1581)&gt;0)*1000000+5*1000+45))</f>
        <v/>
      </c>
      <c r="AV117" s="41">
        <f>IF(N('Dvd Calendar'!$J$1582)=0,"",IF(('Dvd Calendar'!$J$1582&gt;=MIN(DATE(Summary!$C$12,1,1),Summary!$C$11))*('Dvd Calendar'!$J$1582&lt;=MAX(DATE(Summary!$C$12,12,31),Summary!$C$15))*('Dvd Calendar'!$J$1582&gt;Summary!$C$11)=0,"",'Dvd Calendar'!$J$1582*1000000000+ISNUMBER('Dvd Calendar'!$J$1583)*100000000+('Dvd Calendar'!$J$1587='Field Check'!$C$25)*10000000+(N('Dvd Calendar'!$J$1581)&gt;0)*1000000+5*1000+46))</f>
        <v/>
      </c>
      <c r="AW117" s="41">
        <f>IF(N('Dvd Calendar'!$K$1582)=0,"",IF(('Dvd Calendar'!$K$1582&gt;=MIN(DATE(Summary!$C$12,1,1),Summary!$C$11))*('Dvd Calendar'!$K$1582&lt;=MAX(DATE(Summary!$C$12,12,31),Summary!$C$15))*('Dvd Calendar'!$K$1582&gt;Summary!$C$11)=0,"",'Dvd Calendar'!$K$1582*1000000000+ISNUMBER('Dvd Calendar'!$K$1583)*100000000+('Dvd Calendar'!$K$1587='Field Check'!$C$25)*10000000+(N('Dvd Calendar'!$K$1581)&gt;0)*1000000+5*1000+47))</f>
        <v/>
      </c>
      <c r="AX117" s="41">
        <f>IF(N('Dvd Calendar'!$L$1582)=0,"",IF(('Dvd Calendar'!$L$1582&gt;=MIN(DATE(Summary!$C$12,1,1),Summary!$C$11))*('Dvd Calendar'!$L$1582&lt;=MAX(DATE(Summary!$C$12,12,31),Summary!$C$15))*('Dvd Calendar'!$L$1582&gt;Summary!$C$11)=0,"",'Dvd Calendar'!$L$1582*1000000000+ISNUMBER('Dvd Calendar'!$L$1583)*100000000+('Dvd Calendar'!$L$1587='Field Check'!$C$25)*10000000+(N('Dvd Calendar'!$L$1581)&gt;0)*1000000+5*1000+48))</f>
        <v/>
      </c>
      <c r="AY117" s="41">
        <f>IF(N('Dvd Calendar'!$M$1582)=0,"",IF(('Dvd Calendar'!$M$1582&gt;=MIN(DATE(Summary!$C$12,1,1),Summary!$C$11))*('Dvd Calendar'!$M$1582&lt;=MAX(DATE(Summary!$C$12,12,31),Summary!$C$15))*('Dvd Calendar'!$M$1582&gt;Summary!$C$11)=0,"",'Dvd Calendar'!$M$1582*1000000000+ISNUMBER('Dvd Calendar'!$M$1583)*100000000+('Dvd Calendar'!$M$1587='Field Check'!$C$25)*10000000+(N('Dvd Calendar'!$M$1581)&gt;0)*1000000+5*1000+49))</f>
        <v/>
      </c>
      <c r="AZ117" s="41">
        <f>IF(N('Dvd Calendar'!$N$1582)=0,"",IF(('Dvd Calendar'!$N$1582&gt;=MIN(DATE(Summary!$C$12,1,1),Summary!$C$11))*('Dvd Calendar'!$N$1582&lt;=MAX(DATE(Summary!$C$12,12,31),Summary!$C$15))*('Dvd Calendar'!$N$1582&gt;Summary!$C$11)=0,"",'Dvd Calendar'!$N$1582*1000000000+ISNUMBER('Dvd Calendar'!$N$1583)*100000000+('Dvd Calendar'!$N$1587='Field Check'!$C$25)*10000000+(N('Dvd Calendar'!$N$1581)&gt;0)*1000000+5*1000+50))</f>
        <v/>
      </c>
      <c r="BA117" s="41">
        <f>IF(N('Dvd Calendar'!$O$1582)=0,"",IF(('Dvd Calendar'!$O$1582&gt;=MIN(DATE(Summary!$C$12,1,1),Summary!$C$11))*('Dvd Calendar'!$O$1582&lt;=MAX(DATE(Summary!$C$12,12,31),Summary!$C$15))*('Dvd Calendar'!$O$1582&gt;Summary!$C$11)=0,"",'Dvd Calendar'!$O$1582*1000000000+ISNUMBER('Dvd Calendar'!$O$1583)*100000000+('Dvd Calendar'!$O$1587='Field Check'!$C$25)*10000000+(N('Dvd Calendar'!$O$1581)&gt;0)*1000000+5*1000+51))</f>
        <v/>
      </c>
      <c r="BB117" s="41">
        <f>IF(N('Dvd Calendar'!$P$1582)=0,"",IF(('Dvd Calendar'!$P$1582&gt;=MIN(DATE(Summary!$C$12,1,1),Summary!$C$11))*('Dvd Calendar'!$P$1582&lt;=MAX(DATE(Summary!$C$12,12,31),Summary!$C$15))*('Dvd Calendar'!$P$1582&gt;Summary!$C$11)=0,"",'Dvd Calendar'!$P$1582*1000000000+ISNUMBER('Dvd Calendar'!$P$1583)*100000000+('Dvd Calendar'!$P$1587='Field Check'!$C$25)*10000000+(N('Dvd Calendar'!$P$1581)&gt;0)*1000000+5*1000+52))</f>
        <v/>
      </c>
      <c r="BC117" s="41">
        <f>IF(N('Dvd Calendar'!$Q$1582)=0,"",IF(('Dvd Calendar'!$Q$1582&gt;=MIN(DATE(Summary!$C$12,1,1),Summary!$C$11))*('Dvd Calendar'!$Q$1582&lt;=MAX(DATE(Summary!$C$12,12,31),Summary!$C$15))*('Dvd Calendar'!$Q$1582&gt;Summary!$C$11)=0,"",'Dvd Calendar'!$Q$1582*1000000000+ISNUMBER('Dvd Calendar'!$Q$1583)*100000000+('Dvd Calendar'!$Q$1587='Field Check'!$C$25)*10000000+(N('Dvd Calendar'!$Q$1581)&gt;0)*1000000+5*1000+53))</f>
        <v/>
      </c>
      <c r="BD117" s="41">
        <f>IF(N('Dvd Calendar'!$R$1582)=0,"",IF(('Dvd Calendar'!$R$1582&gt;=MIN(DATE(Summary!$C$12,1,1),Summary!$C$11))*('Dvd Calendar'!$R$1582&lt;=MAX(DATE(Summary!$C$12,12,31),Summary!$C$15))*('Dvd Calendar'!$R$1582&gt;Summary!$C$11)=0,"",'Dvd Calendar'!$R$1582*1000000000+ISNUMBER('Dvd Calendar'!$R$1583)*100000000+('Dvd Calendar'!$R$1587='Field Check'!$C$25)*10000000+(N('Dvd Calendar'!$R$1581)&gt;0)*1000000+5*1000+54))</f>
        <v/>
      </c>
      <c r="BE117" s="41">
        <f>IF(N('Dvd Calendar'!$S$1582)=0,"",IF(('Dvd Calendar'!$S$1582&gt;=MIN(DATE(Summary!$C$12,1,1),Summary!$C$11))*('Dvd Calendar'!$S$1582&lt;=MAX(DATE(Summary!$C$12,12,31),Summary!$C$15))*('Dvd Calendar'!$S$1582&gt;Summary!$C$11)=0,"",'Dvd Calendar'!$S$1582*1000000000+ISNUMBER('Dvd Calendar'!$S$1583)*100000000+('Dvd Calendar'!$S$1587='Field Check'!$C$25)*10000000+(N('Dvd Calendar'!$S$1581)&gt;0)*1000000+5*1000+55))</f>
        <v/>
      </c>
      <c r="BF117" s="41">
        <f>IF(N('Dvd Calendar'!$T$1582)=0,"",IF(('Dvd Calendar'!$T$1582&gt;=MIN(DATE(Summary!$C$12,1,1),Summary!$C$11))*('Dvd Calendar'!$T$1582&lt;=MAX(DATE(Summary!$C$12,12,31),Summary!$C$15))*('Dvd Calendar'!$T$1582&gt;Summary!$C$11)=0,"",'Dvd Calendar'!$T$1582*1000000000+ISNUMBER('Dvd Calendar'!$T$1583)*100000000+('Dvd Calendar'!$T$1587='Field Check'!$C$25)*10000000+(N('Dvd Calendar'!$T$1581)&gt;0)*1000000+5*1000+56))</f>
        <v/>
      </c>
      <c r="BG117" s="41">
        <f>IF(N('Dvd Calendar'!$U$1582)=0,"",IF(('Dvd Calendar'!$U$1582&gt;=MIN(DATE(Summary!$C$12,1,1),Summary!$C$11))*('Dvd Calendar'!$U$1582&lt;=MAX(DATE(Summary!$C$12,12,31),Summary!$C$15))*('Dvd Calendar'!$U$1582&gt;Summary!$C$11)=0,"",'Dvd Calendar'!$U$1582*1000000000+ISNUMBER('Dvd Calendar'!$U$1583)*100000000+('Dvd Calendar'!$U$1587='Field Check'!$C$25)*10000000+(N('Dvd Calendar'!$U$1581)&gt;0)*1000000+5*1000+57))</f>
        <v/>
      </c>
      <c r="BH117" s="41">
        <f>IF(N('Dvd Calendar'!$V$1582)=0,"",IF(('Dvd Calendar'!$V$1582&gt;=MIN(DATE(Summary!$C$12,1,1),Summary!$C$11))*('Dvd Calendar'!$V$1582&lt;=MAX(DATE(Summary!$C$12,12,31),Summary!$C$15))*('Dvd Calendar'!$V$1582&gt;Summary!$C$11)=0,"",'Dvd Calendar'!$V$1582*1000000000+ISNUMBER('Dvd Calendar'!$V$1583)*100000000+('Dvd Calendar'!$V$1587='Field Check'!$C$25)*10000000+(N('Dvd Calendar'!$V$1581)&gt;0)*1000000+5*1000+58))</f>
        <v/>
      </c>
      <c r="BI117" s="41">
        <f>IF(N('Dvd Calendar'!$W$1582)=0,"",IF(('Dvd Calendar'!$W$1582&gt;=MIN(DATE(Summary!$C$12,1,1),Summary!$C$11))*('Dvd Calendar'!$W$1582&lt;=MAX(DATE(Summary!$C$12,12,31),Summary!$C$15))*('Dvd Calendar'!$W$1582&gt;Summary!$C$11)=0,"",'Dvd Calendar'!$W$1582*1000000000+ISNUMBER('Dvd Calendar'!$W$1583)*100000000+('Dvd Calendar'!$W$1587='Field Check'!$C$25)*10000000+(N('Dvd Calendar'!$W$1581)&gt;0)*1000000+5*1000+59))</f>
        <v/>
      </c>
      <c r="BJ117" s="41">
        <f>IF(N('Dvd Calendar'!$X$1582)=0,"",IF(('Dvd Calendar'!$X$1582&gt;=MIN(DATE(Summary!$C$12,1,1),Summary!$C$11))*('Dvd Calendar'!$X$1582&lt;=MAX(DATE(Summary!$C$12,12,31),Summary!$C$15))*('Dvd Calendar'!$X$1582&gt;Summary!$C$11)=0,"",'Dvd Calendar'!$X$1582*1000000000+ISNUMBER('Dvd Calendar'!$X$1583)*100000000+('Dvd Calendar'!$X$1587='Field Check'!$C$25)*10000000+(N('Dvd Calendar'!$X$1581)&gt;0)*1000000+5*1000+60))</f>
        <v/>
      </c>
      <c r="BK117" s="41">
        <f>IF(N('Dvd Calendar'!$Y$1582)=0,"",IF(('Dvd Calendar'!$Y$1582&gt;=MIN(DATE(Summary!$C$12,1,1),Summary!$C$11))*('Dvd Calendar'!$Y$1582&lt;=MAX(DATE(Summary!$C$12,12,31),Summary!$C$15))*('Dvd Calendar'!$Y$1582&gt;Summary!$C$11)=0,"",'Dvd Calendar'!$Y$1582*1000000000+ISNUMBER('Dvd Calendar'!$Y$1583)*100000000+('Dvd Calendar'!$Y$1587='Field Check'!$C$25)*10000000+(N('Dvd Calendar'!$Y$1581)&gt;0)*1000000+5*1000+61))</f>
        <v/>
      </c>
      <c r="BL117" s="41">
        <f>IF(N('Dvd Calendar'!$Z$1582)=0,"",IF(('Dvd Calendar'!$Z$1582&gt;=MIN(DATE(Summary!$C$12,1,1),Summary!$C$11))*('Dvd Calendar'!$Z$1582&lt;=MAX(DATE(Summary!$C$12,12,31),Summary!$C$15))*('Dvd Calendar'!$Z$1582&gt;Summary!$C$11)=0,"",'Dvd Calendar'!$Z$1582*1000000000+ISNUMBER('Dvd Calendar'!$Z$1583)*100000000+('Dvd Calendar'!$Z$1587='Field Check'!$C$25)*10000000+(N('Dvd Calendar'!$Z$1581)&gt;0)*1000000+5*1000+62))</f>
        <v/>
      </c>
      <c r="BM117" s="41">
        <f>IF(N('Dvd Calendar'!$AA$1582)=0,"",IF(('Dvd Calendar'!$AA$1582&gt;=MIN(DATE(Summary!$C$12,1,1),Summary!$C$11))*('Dvd Calendar'!$AA$1582&lt;=MAX(DATE(Summary!$C$12,12,31),Summary!$C$15))*('Dvd Calendar'!$AA$1582&gt;Summary!$C$11)=0,"",'Dvd Calendar'!$AA$1582*1000000000+ISNUMBER('Dvd Calendar'!$AA$1583)*100000000+('Dvd Calendar'!$AA$1587='Field Check'!$C$25)*10000000+(N('Dvd Calendar'!$AA$1581)&gt;0)*1000000+5*1000+63))</f>
        <v/>
      </c>
      <c r="BN117" s="41">
        <f>IF(N('Dvd Calendar'!$AB$1582)=0,"",IF(('Dvd Calendar'!$AB$1582&gt;=MIN(DATE(Summary!$C$12,1,1),Summary!$C$11))*('Dvd Calendar'!$AB$1582&lt;=MAX(DATE(Summary!$C$12,12,31),Summary!$C$15))*('Dvd Calendar'!$AB$1582&gt;Summary!$C$11)=0,"",'Dvd Calendar'!$AB$1582*1000000000+ISNUMBER('Dvd Calendar'!$AB$1583)*100000000+('Dvd Calendar'!$AB$1587='Field Check'!$C$25)*10000000+(N('Dvd Calendar'!$AB$1581)&gt;0)*1000000+5*1000+64))</f>
        <v/>
      </c>
      <c r="BO117" s="41">
        <f>IF(N('Dvd Calendar'!$AC$1582)=0,"",IF(('Dvd Calendar'!$AC$1582&gt;=MIN(DATE(Summary!$C$12,1,1),Summary!$C$11))*('Dvd Calendar'!$AC$1582&lt;=MAX(DATE(Summary!$C$12,12,31),Summary!$C$15))*('Dvd Calendar'!$AC$1582&gt;Summary!$C$11)=0,"",'Dvd Calendar'!$AC$1582*1000000000+ISNUMBER('Dvd Calendar'!$AC$1583)*100000000+('Dvd Calendar'!$AC$1587='Field Check'!$C$25)*10000000+(N('Dvd Calendar'!$AC$1581)&gt;0)*1000000+5*1000+65))</f>
        <v/>
      </c>
      <c r="BQ117" s="85">
        <f>IF(C117="","",IF(ISNUMBER('Dvd Calendar'!$E$1576)=FALSE,"",IF((Summary!$C$13="N")*('Dvd Calendar'!$E$1580='Field Check'!$C$25)&gt;0,"",'Dvd Calendar'!$E$1576)))</f>
        <v/>
      </c>
      <c r="BR117" s="85">
        <f>IF(D117="","",IF(ISNUMBER('Dvd Calendar'!$F$1576)=FALSE,"",IF((Summary!$C$13="N")*('Dvd Calendar'!$F$1580='Field Check'!$C$25)&gt;0,"",'Dvd Calendar'!$F$1576)))</f>
        <v/>
      </c>
      <c r="BS117" s="85">
        <f>IF(E117="","",IF(ISNUMBER('Dvd Calendar'!$G$1576)=FALSE,"",IF((Summary!$C$13="N")*('Dvd Calendar'!$G$1580='Field Check'!$C$25)&gt;0,"",'Dvd Calendar'!$G$1576)))</f>
        <v/>
      </c>
      <c r="BT117" s="85">
        <f>IF(F117="","",IF(ISNUMBER('Dvd Calendar'!$H$1576)=FALSE,"",IF((Summary!$C$13="N")*('Dvd Calendar'!$H$1580='Field Check'!$C$25)&gt;0,"",'Dvd Calendar'!$H$1576)))</f>
        <v/>
      </c>
      <c r="BU117" s="85">
        <f>IF(G117="","",IF(ISNUMBER('Dvd Calendar'!$I$1576)=FALSE,"",IF((Summary!$C$13="N")*('Dvd Calendar'!$I$1580='Field Check'!$C$25)&gt;0,"",'Dvd Calendar'!$I$1576)))</f>
        <v/>
      </c>
      <c r="BV117" s="85">
        <f>IF(H117="","",IF(ISNUMBER('Dvd Calendar'!$J$1576)=FALSE,"",IF((Summary!$C$13="N")*('Dvd Calendar'!$J$1580='Field Check'!$C$25)&gt;0,"",'Dvd Calendar'!$J$1576)))</f>
        <v/>
      </c>
      <c r="BW117" s="85">
        <f>IF(I117="","",IF(ISNUMBER('Dvd Calendar'!$K$1576)=FALSE,"",IF((Summary!$C$13="N")*('Dvd Calendar'!$K$1580='Field Check'!$C$25)&gt;0,"",'Dvd Calendar'!$K$1576)))</f>
        <v/>
      </c>
      <c r="BX117" s="85">
        <f>IF(J117="","",IF(ISNUMBER('Dvd Calendar'!$L$1576)=FALSE,"",IF((Summary!$C$13="N")*('Dvd Calendar'!$L$1580='Field Check'!$C$25)&gt;0,"",'Dvd Calendar'!$L$1576)))</f>
        <v/>
      </c>
      <c r="BY117" s="85">
        <f>IF(K117="","",IF(ISNUMBER('Dvd Calendar'!$M$1576)=FALSE,"",IF((Summary!$C$13="N")*('Dvd Calendar'!$M$1580='Field Check'!$C$25)&gt;0,"",'Dvd Calendar'!$M$1576)))</f>
        <v/>
      </c>
      <c r="BZ117" s="85">
        <f>IF(L117="","",IF(ISNUMBER('Dvd Calendar'!$N$1576)=FALSE,"",IF((Summary!$C$13="N")*('Dvd Calendar'!$N$1580='Field Check'!$C$25)&gt;0,"",'Dvd Calendar'!$N$1576)))</f>
        <v/>
      </c>
      <c r="CA117" s="85">
        <f>IF(M117="","",IF(ISNUMBER('Dvd Calendar'!$O$1576)=FALSE,"",IF((Summary!$C$13="N")*('Dvd Calendar'!$O$1580='Field Check'!$C$25)&gt;0,"",'Dvd Calendar'!$O$1576)))</f>
        <v/>
      </c>
      <c r="CB117" s="85">
        <f>IF(N117="","",IF(ISNUMBER('Dvd Calendar'!$P$1576)=FALSE,"",IF((Summary!$C$13="N")*('Dvd Calendar'!$P$1580='Field Check'!$C$25)&gt;0,"",'Dvd Calendar'!$P$1576)))</f>
        <v/>
      </c>
      <c r="CC117" s="85">
        <f>IF(O117="","",IF(ISNUMBER('Dvd Calendar'!$Q$1576)=FALSE,"",IF((Summary!$C$13="N")*('Dvd Calendar'!$Q$1580='Field Check'!$C$25)&gt;0,"",'Dvd Calendar'!$Q$1576)))</f>
        <v/>
      </c>
      <c r="CD117" s="85">
        <f>IF(P117="","",IF(ISNUMBER('Dvd Calendar'!$R$1576)=FALSE,"",IF((Summary!$C$13="N")*('Dvd Calendar'!$R$1580='Field Check'!$C$25)&gt;0,"",'Dvd Calendar'!$R$1576)))</f>
        <v/>
      </c>
      <c r="CE117" s="85">
        <f>IF(Q117="","",IF(ISNUMBER('Dvd Calendar'!$S$1576)=FALSE,"",IF((Summary!$C$13="N")*('Dvd Calendar'!$S$1580='Field Check'!$C$25)&gt;0,"",'Dvd Calendar'!$S$1576)))</f>
        <v/>
      </c>
      <c r="CF117" s="85">
        <f>IF(R117="","",IF(ISNUMBER('Dvd Calendar'!$T$1576)=FALSE,"",IF((Summary!$C$13="N")*('Dvd Calendar'!$T$1580='Field Check'!$C$25)&gt;0,"",'Dvd Calendar'!$T$1576)))</f>
        <v/>
      </c>
      <c r="CG117" s="85">
        <f>IF(S117="","",IF(ISNUMBER('Dvd Calendar'!$U$1576)=FALSE,"",IF((Summary!$C$13="N")*('Dvd Calendar'!$U$1580='Field Check'!$C$25)&gt;0,"",'Dvd Calendar'!$U$1576)))</f>
        <v/>
      </c>
      <c r="CH117" s="85">
        <f>IF(T117="","",IF(ISNUMBER('Dvd Calendar'!$V$1576)=FALSE,"",IF((Summary!$C$13="N")*('Dvd Calendar'!$V$1580='Field Check'!$C$25)&gt;0,"",'Dvd Calendar'!$V$1576)))</f>
        <v/>
      </c>
      <c r="CI117" s="85">
        <f>IF(U117="","",IF(ISNUMBER('Dvd Calendar'!$W$1576)=FALSE,"",IF((Summary!$C$13="N")*('Dvd Calendar'!$W$1580='Field Check'!$C$25)&gt;0,"",'Dvd Calendar'!$W$1576)))</f>
        <v/>
      </c>
      <c r="CJ117" s="85">
        <f>IF(V117="","",IF(ISNUMBER('Dvd Calendar'!$X$1576)=FALSE,"",IF((Summary!$C$13="N")*('Dvd Calendar'!$X$1580='Field Check'!$C$25)&gt;0,"",'Dvd Calendar'!$X$1576)))</f>
        <v/>
      </c>
      <c r="CK117" s="85">
        <f>IF(W117="","",IF(ISNUMBER('Dvd Calendar'!$Y$1576)=FALSE,"",IF((Summary!$C$13="N")*('Dvd Calendar'!$Y$1580='Field Check'!$C$25)&gt;0,"",'Dvd Calendar'!$Y$1576)))</f>
        <v/>
      </c>
      <c r="CL117" s="85">
        <f>IF(X117="","",IF(ISNUMBER('Dvd Calendar'!$Z$1576)=FALSE,"",IF((Summary!$C$13="N")*('Dvd Calendar'!$Z$1580='Field Check'!$C$25)&gt;0,"",'Dvd Calendar'!$Z$1576)))</f>
        <v/>
      </c>
      <c r="CM117" s="85">
        <f>IF(Y117="","",IF(ISNUMBER('Dvd Calendar'!$AA$1576)=FALSE,"",IF((Summary!$C$13="N")*('Dvd Calendar'!$AA$1580='Field Check'!$C$25)&gt;0,"",'Dvd Calendar'!$AA$1576)))</f>
        <v/>
      </c>
      <c r="CN117" s="85">
        <f>IF(Z117="","",IF(ISNUMBER('Dvd Calendar'!$AB$1576)=FALSE,"",IF((Summary!$C$13="N")*('Dvd Calendar'!$AB$1580='Field Check'!$C$25)&gt;0,"",'Dvd Calendar'!$AB$1576)))</f>
        <v/>
      </c>
      <c r="CO117" s="85">
        <f>IF(AA117="","",IF(ISNUMBER('Dvd Calendar'!$AC$1576)=FALSE,"",IF((Summary!$C$13="N")*('Dvd Calendar'!$AC$1580='Field Check'!$C$25)&gt;0,"",'Dvd Calendar'!$AC$1576)))</f>
        <v/>
      </c>
      <c r="CP117" s="85">
        <f>IF(AB117="","",IF(ISNUMBER('Dvd Calendar'!$AD$1576)=FALSE,"",IF((Summary!$C$13="N")*('Dvd Calendar'!$AD$1580='Field Check'!$C$25)&gt;0,"",'Dvd Calendar'!$AD$1576)))</f>
        <v/>
      </c>
      <c r="CQ117" s="85">
        <f>IF(AC117="","",IF(ISNUMBER('Dvd Calendar'!$AE$1576)=FALSE,"",IF((Summary!$C$13="N")*('Dvd Calendar'!$AE$1580='Field Check'!$C$25)&gt;0,"",'Dvd Calendar'!$AE$1576)))</f>
        <v/>
      </c>
      <c r="CR117" s="85">
        <f>IF(AD117="","",IF(ISNUMBER('Dvd Calendar'!$AF$1576)=FALSE,"",IF((Summary!$C$13="N")*('Dvd Calendar'!$AF$1580='Field Check'!$C$25)&gt;0,"",'Dvd Calendar'!$AF$1576)))</f>
        <v/>
      </c>
      <c r="CS117" s="85">
        <f>IF(AE117="","",IF(ISNUMBER('Dvd Calendar'!$AG$1576)=FALSE,"",IF((Summary!$C$13="N")*('Dvd Calendar'!$AG$1580='Field Check'!$C$25)&gt;0,"",'Dvd Calendar'!$AG$1576)))</f>
        <v/>
      </c>
      <c r="CT117" s="85">
        <f>IF(AF117="","",IF(ISNUMBER('Dvd Calendar'!$AH$1576)=FALSE,"",IF((Summary!$C$13="N")*('Dvd Calendar'!$AH$1580='Field Check'!$C$25)&gt;0,"",'Dvd Calendar'!$AH$1576)))</f>
        <v/>
      </c>
      <c r="CU117" s="85">
        <f>IF(AG117="","",IF(ISNUMBER('Dvd Calendar'!$AI$1576)=FALSE,"",IF((Summary!$C$13="N")*('Dvd Calendar'!$AI$1580='Field Check'!$C$25)&gt;0,"",'Dvd Calendar'!$AI$1576)))</f>
        <v/>
      </c>
      <c r="CV117" s="85">
        <f>IF(AH117="","",IF(ISNUMBER('Dvd Calendar'!$AJ$1576)=FALSE,"",IF((Summary!$C$13="N")*('Dvd Calendar'!$AJ$1580='Field Check'!$C$25)&gt;0,"",'Dvd Calendar'!$AJ$1576)))</f>
        <v/>
      </c>
      <c r="CW117" s="85">
        <f>IF(AI117="","",IF(ISNUMBER('Dvd Calendar'!$AK$1576)=FALSE,"",IF((Summary!$C$13="N")*('Dvd Calendar'!$AK$1580='Field Check'!$C$25)&gt;0,"",'Dvd Calendar'!$AK$1576)))</f>
        <v/>
      </c>
      <c r="CX117" s="85">
        <f>IF(AJ117="","",IF(ISNUMBER('Dvd Calendar'!$AL$1576)=FALSE,"",IF((Summary!$C$13="N")*('Dvd Calendar'!$AL$1580='Field Check'!$C$25)&gt;0,"",'Dvd Calendar'!$AL$1576)))</f>
        <v/>
      </c>
      <c r="CY117" s="85">
        <f>IF(AK117="","",IF(ISNUMBER('Dvd Calendar'!$AM$1576)=FALSE,"",IF((Summary!$C$13="N")*('Dvd Calendar'!$AM$1580='Field Check'!$C$25)&gt;0,"",'Dvd Calendar'!$AM$1576)))</f>
        <v/>
      </c>
      <c r="CZ117" s="85">
        <f>IF(AL117="","",IF(ISNUMBER('Dvd Calendar'!$AN$1576)=FALSE,"",IF((Summary!$C$13="N")*('Dvd Calendar'!$AN$1580='Field Check'!$C$25)&gt;0,"",'Dvd Calendar'!$AN$1576)))</f>
        <v/>
      </c>
      <c r="DA117" s="85">
        <f>IF(AM117="","",IF(ISNUMBER('Dvd Calendar'!$AO$1576)=FALSE,"",IF((Summary!$C$13="N")*('Dvd Calendar'!$AO$1580='Field Check'!$C$25)&gt;0,"",'Dvd Calendar'!$AO$1576)))</f>
        <v/>
      </c>
      <c r="DB117" s="85">
        <f>IF(AN117="","",IF(ISNUMBER('Dvd Calendar'!$AP$1576)=FALSE,"",IF((Summary!$C$13="N")*('Dvd Calendar'!$AP$1580='Field Check'!$C$25)&gt;0,"",'Dvd Calendar'!$AP$1576)))</f>
        <v/>
      </c>
      <c r="DC117" s="85">
        <f>IF(AO117="","",IF(ISNUMBER('Dvd Calendar'!$AQ$1576)=FALSE,"",IF((Summary!$C$13="N")*('Dvd Calendar'!$AQ$1580='Field Check'!$C$25)&gt;0,"",'Dvd Calendar'!$AQ$1576)))</f>
        <v/>
      </c>
      <c r="DD117" s="85">
        <f>IF(AP117="","",IF(ISNUMBER('Dvd Calendar'!$AR$1576)=FALSE,"",IF((Summary!$C$13="N")*('Dvd Calendar'!$AR$1580='Field Check'!$C$25)&gt;0,"",'Dvd Calendar'!$AR$1576)))</f>
        <v/>
      </c>
      <c r="DE117" s="85">
        <f>IF(AQ117="","",IF(ISNUMBER('Dvd Calendar'!$E$1583)=FALSE,"",IF((Summary!$C$13="N")*('Dvd Calendar'!$E$1587='Field Check'!$C$25)&gt;0,"",'Dvd Calendar'!$E$1583)))</f>
        <v/>
      </c>
      <c r="DF117" s="85">
        <f>IF(AR117="","",IF(ISNUMBER('Dvd Calendar'!$F$1583)=FALSE,"",IF((Summary!$C$13="N")*('Dvd Calendar'!$F$1587='Field Check'!$C$25)&gt;0,"",'Dvd Calendar'!$F$1583)))</f>
        <v/>
      </c>
      <c r="DG117" s="85">
        <f>IF(AS117="","",IF(ISNUMBER('Dvd Calendar'!$G$1583)=FALSE,"",IF((Summary!$C$13="N")*('Dvd Calendar'!$G$1587='Field Check'!$C$25)&gt;0,"",'Dvd Calendar'!$G$1583)))</f>
        <v/>
      </c>
      <c r="DH117" s="85">
        <f>IF(AT117="","",IF(ISNUMBER('Dvd Calendar'!$H$1583)=FALSE,"",IF((Summary!$C$13="N")*('Dvd Calendar'!$H$1587='Field Check'!$C$25)&gt;0,"",'Dvd Calendar'!$H$1583)))</f>
        <v/>
      </c>
      <c r="DI117" s="85">
        <f>IF(AU117="","",IF(ISNUMBER('Dvd Calendar'!$I$1583)=FALSE,"",IF((Summary!$C$13="N")*('Dvd Calendar'!$I$1587='Field Check'!$C$25)&gt;0,"",'Dvd Calendar'!$I$1583)))</f>
        <v/>
      </c>
      <c r="DJ117" s="85">
        <f>IF(AV117="","",IF(ISNUMBER('Dvd Calendar'!$J$1583)=FALSE,"",IF((Summary!$C$13="N")*('Dvd Calendar'!$J$1587='Field Check'!$C$25)&gt;0,"",'Dvd Calendar'!$J$1583)))</f>
        <v/>
      </c>
      <c r="DK117" s="85">
        <f>IF(AW117="","",IF(ISNUMBER('Dvd Calendar'!$K$1583)=FALSE,"",IF((Summary!$C$13="N")*('Dvd Calendar'!$K$1587='Field Check'!$C$25)&gt;0,"",'Dvd Calendar'!$K$1583)))</f>
        <v/>
      </c>
      <c r="DL117" s="85">
        <f>IF(AX117="","",IF(ISNUMBER('Dvd Calendar'!$L$1583)=FALSE,"",IF((Summary!$C$13="N")*('Dvd Calendar'!$L$1587='Field Check'!$C$25)&gt;0,"",'Dvd Calendar'!$L$1583)))</f>
        <v/>
      </c>
      <c r="DM117" s="85">
        <f>IF(AY117="","",IF(ISNUMBER('Dvd Calendar'!$M$1583)=FALSE,"",IF((Summary!$C$13="N")*('Dvd Calendar'!$M$1587='Field Check'!$C$25)&gt;0,"",'Dvd Calendar'!$M$1583)))</f>
        <v/>
      </c>
      <c r="DN117" s="85">
        <f>IF(AZ117="","",IF(ISNUMBER('Dvd Calendar'!$N$1583)=FALSE,"",IF((Summary!$C$13="N")*('Dvd Calendar'!$N$1587='Field Check'!$C$25)&gt;0,"",'Dvd Calendar'!$N$1583)))</f>
        <v/>
      </c>
      <c r="DO117" s="85">
        <f>IF(BA117="","",IF(ISNUMBER('Dvd Calendar'!$O$1583)=FALSE,"",IF((Summary!$C$13="N")*('Dvd Calendar'!$O$1587='Field Check'!$C$25)&gt;0,"",'Dvd Calendar'!$O$1583)))</f>
        <v/>
      </c>
      <c r="DP117" s="85">
        <f>IF(BB117="","",IF(ISNUMBER('Dvd Calendar'!$P$1583)=FALSE,"",IF((Summary!$C$13="N")*('Dvd Calendar'!$P$1587='Field Check'!$C$25)&gt;0,"",'Dvd Calendar'!$P$1583)))</f>
        <v/>
      </c>
      <c r="DQ117" s="85">
        <f>IF(BC117="","",IF(ISNUMBER('Dvd Calendar'!$Q$1583)=FALSE,"",IF((Summary!$C$13="N")*('Dvd Calendar'!$Q$1587='Field Check'!$C$25)&gt;0,"",'Dvd Calendar'!$Q$1583)))</f>
        <v/>
      </c>
      <c r="DR117" s="85">
        <f>IF(BD117="","",IF(ISNUMBER('Dvd Calendar'!$R$1583)=FALSE,"",IF((Summary!$C$13="N")*('Dvd Calendar'!$R$1587='Field Check'!$C$25)&gt;0,"",'Dvd Calendar'!$R$1583)))</f>
        <v/>
      </c>
      <c r="DS117" s="85">
        <f>IF(BE117="","",IF(ISNUMBER('Dvd Calendar'!$S$1583)=FALSE,"",IF((Summary!$C$13="N")*('Dvd Calendar'!$S$1587='Field Check'!$C$25)&gt;0,"",'Dvd Calendar'!$S$1583)))</f>
        <v/>
      </c>
      <c r="DT117" s="85">
        <f>IF(BF117="","",IF(ISNUMBER('Dvd Calendar'!$T$1583)=FALSE,"",IF((Summary!$C$13="N")*('Dvd Calendar'!$T$1587='Field Check'!$C$25)&gt;0,"",'Dvd Calendar'!$T$1583)))</f>
        <v/>
      </c>
      <c r="DU117" s="85">
        <f>IF(BG117="","",IF(ISNUMBER('Dvd Calendar'!$U$1583)=FALSE,"",IF((Summary!$C$13="N")*('Dvd Calendar'!$U$1587='Field Check'!$C$25)&gt;0,"",'Dvd Calendar'!$U$1583)))</f>
        <v/>
      </c>
      <c r="DV117" s="85">
        <f>IF(BH117="","",IF(ISNUMBER('Dvd Calendar'!$V$1583)=FALSE,"",IF((Summary!$C$13="N")*('Dvd Calendar'!$V$1587='Field Check'!$C$25)&gt;0,"",'Dvd Calendar'!$V$1583)))</f>
        <v/>
      </c>
      <c r="DW117" s="85">
        <f>IF(BI117="","",IF(ISNUMBER('Dvd Calendar'!$W$1583)=FALSE,"",IF((Summary!$C$13="N")*('Dvd Calendar'!$W$1587='Field Check'!$C$25)&gt;0,"",'Dvd Calendar'!$W$1583)))</f>
        <v/>
      </c>
      <c r="DX117" s="85">
        <f>IF(BJ117="","",IF(ISNUMBER('Dvd Calendar'!$X$1583)=FALSE,"",IF((Summary!$C$13="N")*('Dvd Calendar'!$X$1587='Field Check'!$C$25)&gt;0,"",'Dvd Calendar'!$X$1583)))</f>
        <v/>
      </c>
      <c r="DY117" s="85">
        <f>IF(BK117="","",IF(ISNUMBER('Dvd Calendar'!$Y$1583)=FALSE,"",IF((Summary!$C$13="N")*('Dvd Calendar'!$Y$1587='Field Check'!$C$25)&gt;0,"",'Dvd Calendar'!$Y$1583)))</f>
        <v/>
      </c>
      <c r="DZ117" s="85">
        <f>IF(BL117="","",IF(ISNUMBER('Dvd Calendar'!$Z$1583)=FALSE,"",IF((Summary!$C$13="N")*('Dvd Calendar'!$Z$1587='Field Check'!$C$25)&gt;0,"",'Dvd Calendar'!$Z$1583)))</f>
        <v/>
      </c>
      <c r="EA117" s="85">
        <f>IF(BM117="","",IF(ISNUMBER('Dvd Calendar'!$AA$1583)=FALSE,"",IF((Summary!$C$13="N")*('Dvd Calendar'!$AA$1587='Field Check'!$C$25)&gt;0,"",'Dvd Calendar'!$AA$1583)))</f>
        <v/>
      </c>
      <c r="EB117" s="85">
        <f>IF(BN117="","",IF(ISNUMBER('Dvd Calendar'!$AB$1583)=FALSE,"",IF((Summary!$C$13="N")*('Dvd Calendar'!$AB$1587='Field Check'!$C$25)&gt;0,"",'Dvd Calendar'!$AB$1583)))</f>
        <v/>
      </c>
      <c r="EC117" s="85">
        <f>IF(BO117="","",IF(ISNUMBER('Dvd Calendar'!$AC$1583)=FALSE,"",IF((Summary!$C$13="N")*('Dvd Calendar'!$AC$1587='Field Check'!$C$25)&gt;0,"",'Dvd Calendar'!$AC$1583)))</f>
        <v/>
      </c>
      <c r="EE117" s="85">
        <f>IF(BQ117="","",IFERROR(BQ117*HSTECH!$B$11*HSTECH!$G$11/HSTECH!$B$3,""))</f>
        <v/>
      </c>
      <c r="EF117" s="85">
        <f>IF(BR117="","",IFERROR(BR117*HSTECH!$B$11*HSTECH!$G$11/HSTECH!$B$3,""))</f>
        <v/>
      </c>
      <c r="EG117" s="85">
        <f>IF(BS117="","",IFERROR(BS117*HSTECH!$B$11*HSTECH!$G$11/HSTECH!$B$3,""))</f>
        <v/>
      </c>
      <c r="EH117" s="85">
        <f>IF(BT117="","",IFERROR(BT117*HSTECH!$B$11*HSTECH!$G$11/HSTECH!$B$3,""))</f>
        <v/>
      </c>
      <c r="EI117" s="85">
        <f>IF(BU117="","",IFERROR(BU117*HSTECH!$B$11*HSTECH!$G$11/HSTECH!$B$3,""))</f>
        <v/>
      </c>
      <c r="EJ117" s="85">
        <f>IF(BV117="","",IFERROR(BV117*HSTECH!$B$11*HSTECH!$G$11/HSTECH!$B$3,""))</f>
        <v/>
      </c>
      <c r="EK117" s="85">
        <f>IF(BW117="","",IFERROR(BW117*HSTECH!$B$11*HSTECH!$G$11/HSTECH!$B$3,""))</f>
        <v/>
      </c>
      <c r="EL117" s="85">
        <f>IF(BX117="","",IFERROR(BX117*HSTECH!$B$11*HSTECH!$G$11/HSTECH!$B$3,""))</f>
        <v/>
      </c>
      <c r="EM117" s="85">
        <f>IF(BY117="","",IFERROR(BY117*HSTECH!$B$11*HSTECH!$G$11/HSTECH!$B$3,""))</f>
        <v/>
      </c>
      <c r="EN117" s="85">
        <f>IF(BZ117="","",IFERROR(BZ117*HSTECH!$B$11*HSTECH!$G$11/HSTECH!$B$3,""))</f>
        <v/>
      </c>
      <c r="EO117" s="85">
        <f>IF(CA117="","",IFERROR(CA117*HSTECH!$B$11*HSTECH!$G$11/HSTECH!$B$3,""))</f>
        <v/>
      </c>
      <c r="EP117" s="85">
        <f>IF(CB117="","",IFERROR(CB117*HSTECH!$B$11*HSTECH!$G$11/HSTECH!$B$3,""))</f>
        <v/>
      </c>
      <c r="EQ117" s="85">
        <f>IF(CC117="","",IFERROR(CC117*HSTECH!$B$11*HSTECH!$G$11/HSTECH!$B$3,""))</f>
        <v/>
      </c>
      <c r="ER117" s="85">
        <f>IF(CD117="","",IFERROR(CD117*HSTECH!$B$11*HSTECH!$G$11/HSTECH!$B$3,""))</f>
        <v/>
      </c>
      <c r="ES117" s="85">
        <f>IF(CE117="","",IFERROR(CE117*HSTECH!$B$11*HSTECH!$G$11/HSTECH!$B$3,""))</f>
        <v/>
      </c>
      <c r="ET117" s="85">
        <f>IF(CF117="","",IFERROR(CF117*HSTECH!$B$11*HSTECH!$G$11/HSTECH!$B$3,""))</f>
        <v/>
      </c>
      <c r="EU117" s="85">
        <f>IF(CG117="","",IFERROR(CG117*HSTECH!$B$11*HSTECH!$G$11/HSTECH!$B$3,""))</f>
        <v/>
      </c>
      <c r="EV117" s="85">
        <f>IF(CH117="","",IFERROR(CH117*HSTECH!$B$11*HSTECH!$G$11/HSTECH!$B$3,""))</f>
        <v/>
      </c>
      <c r="EW117" s="85">
        <f>IF(CI117="","",IFERROR(CI117*HSTECH!$B$11*HSTECH!$G$11/HSTECH!$B$3,""))</f>
        <v/>
      </c>
      <c r="EX117" s="85">
        <f>IF(CJ117="","",IFERROR(CJ117*HSTECH!$B$11*HSTECH!$G$11/HSTECH!$B$3,""))</f>
        <v/>
      </c>
      <c r="EY117" s="85">
        <f>IF(CK117="","",IFERROR(CK117*HSTECH!$B$11*HSTECH!$G$11/HSTECH!$B$3,""))</f>
        <v/>
      </c>
      <c r="EZ117" s="85">
        <f>IF(CL117="","",IFERROR(CL117*HSTECH!$B$11*HSTECH!$G$11/HSTECH!$B$3,""))</f>
        <v/>
      </c>
      <c r="FA117" s="85">
        <f>IF(CM117="","",IFERROR(CM117*HSTECH!$B$11*HSTECH!$G$11/HSTECH!$B$3,""))</f>
        <v/>
      </c>
      <c r="FB117" s="85">
        <f>IF(CN117="","",IFERROR(CN117*HSTECH!$B$11*HSTECH!$G$11/HSTECH!$B$3,""))</f>
        <v/>
      </c>
      <c r="FC117" s="85">
        <f>IF(CO117="","",IFERROR(CO117*HSTECH!$B$11*HSTECH!$G$11/HSTECH!$B$3,""))</f>
        <v/>
      </c>
      <c r="FD117" s="85">
        <f>IF(CP117="","",IFERROR(CP117*HSTECH!$B$11*HSTECH!$G$11/HSTECH!$B$3,""))</f>
        <v/>
      </c>
      <c r="FE117" s="85">
        <f>IF(CQ117="","",IFERROR(CQ117*HSTECH!$B$11*HSTECH!$G$11/HSTECH!$B$3,""))</f>
        <v/>
      </c>
      <c r="FF117" s="85">
        <f>IF(CR117="","",IFERROR(CR117*HSTECH!$B$11*HSTECH!$G$11/HSTECH!$B$3,""))</f>
        <v/>
      </c>
      <c r="FG117" s="85">
        <f>IF(CS117="","",IFERROR(CS117*HSTECH!$B$11*HSTECH!$G$11/HSTECH!$B$3,""))</f>
        <v/>
      </c>
      <c r="FH117" s="85">
        <f>IF(CT117="","",IFERROR(CT117*HSTECH!$B$11*HSTECH!$G$11/HSTECH!$B$3,""))</f>
        <v/>
      </c>
      <c r="FI117" s="85">
        <f>IF(CU117="","",IFERROR(CU117*HSTECH!$B$11*HSTECH!$G$11/HSTECH!$B$3,""))</f>
        <v/>
      </c>
      <c r="FJ117" s="85">
        <f>IF(CV117="","",IFERROR(CV117*HSTECH!$B$11*HSTECH!$G$11/HSTECH!$B$3,""))</f>
        <v/>
      </c>
      <c r="FK117" s="85">
        <f>IF(CW117="","",IFERROR(CW117*HSTECH!$B$11*HSTECH!$G$11/HSTECH!$B$3,""))</f>
        <v/>
      </c>
      <c r="FL117" s="85">
        <f>IF(CX117="","",IFERROR(CX117*HSTECH!$B$11*HSTECH!$G$11/HSTECH!$B$3,""))</f>
        <v/>
      </c>
      <c r="FM117" s="85">
        <f>IF(CY117="","",IFERROR(CY117*HSTECH!$B$11*HSTECH!$G$11/HSTECH!$B$3,""))</f>
        <v/>
      </c>
      <c r="FN117" s="85">
        <f>IF(CZ117="","",IFERROR(CZ117*HSTECH!$B$11*HSTECH!$G$11/HSTECH!$B$3,""))</f>
        <v/>
      </c>
      <c r="FO117" s="85">
        <f>IF(DA117="","",IFERROR(DA117*HSTECH!$B$11*HSTECH!$G$11/HSTECH!$B$3,""))</f>
        <v/>
      </c>
      <c r="FP117" s="85">
        <f>IF(DB117="","",IFERROR(DB117*HSTECH!$B$11*HSTECH!$G$11/HSTECH!$B$3,""))</f>
        <v/>
      </c>
      <c r="FQ117" s="85">
        <f>IF(DC117="","",IFERROR(DC117*HSTECH!$B$11*HSTECH!$G$11/HSTECH!$B$3,""))</f>
        <v/>
      </c>
      <c r="FR117" s="85">
        <f>IF(DD117="","",IFERROR(DD117*HSTECH!$B$11*HSTECH!$G$11/HSTECH!$B$3,""))</f>
        <v/>
      </c>
      <c r="FS117" s="85">
        <f>IF(DE117="","",IFERROR(DE117*HSTECH!$B$11*HSTECH!$G$11/HSTECH!$B$3,""))</f>
        <v/>
      </c>
      <c r="FT117" s="85">
        <f>IF(DF117="","",IFERROR(DF117*HSTECH!$B$11*HSTECH!$G$11/HSTECH!$B$3,""))</f>
        <v/>
      </c>
      <c r="FU117" s="85">
        <f>IF(DG117="","",IFERROR(DG117*HSTECH!$B$11*HSTECH!$G$11/HSTECH!$B$3,""))</f>
        <v/>
      </c>
      <c r="FV117" s="85">
        <f>IF(DH117="","",IFERROR(DH117*HSTECH!$B$11*HSTECH!$G$11/HSTECH!$B$3,""))</f>
        <v/>
      </c>
      <c r="FW117" s="85">
        <f>IF(DI117="","",IFERROR(DI117*HSTECH!$B$11*HSTECH!$G$11/HSTECH!$B$3,""))</f>
        <v/>
      </c>
      <c r="FX117" s="85">
        <f>IF(DJ117="","",IFERROR(DJ117*HSTECH!$B$11*HSTECH!$G$11/HSTECH!$B$3,""))</f>
        <v/>
      </c>
      <c r="FY117" s="85">
        <f>IF(DK117="","",IFERROR(DK117*HSTECH!$B$11*HSTECH!$G$11/HSTECH!$B$3,""))</f>
        <v/>
      </c>
      <c r="FZ117" s="85">
        <f>IF(DL117="","",IFERROR(DL117*HSTECH!$B$11*HSTECH!$G$11/HSTECH!$B$3,""))</f>
        <v/>
      </c>
      <c r="GA117" s="85">
        <f>IF(DM117="","",IFERROR(DM117*HSTECH!$B$11*HSTECH!$G$11/HSTECH!$B$3,""))</f>
        <v/>
      </c>
      <c r="GB117" s="85">
        <f>IF(DN117="","",IFERROR(DN117*HSTECH!$B$11*HSTECH!$G$11/HSTECH!$B$3,""))</f>
        <v/>
      </c>
      <c r="GC117" s="85">
        <f>IF(DO117="","",IFERROR(DO117*HSTECH!$B$11*HSTECH!$G$11/HSTECH!$B$3,""))</f>
        <v/>
      </c>
      <c r="GD117" s="85">
        <f>IF(DP117="","",IFERROR(DP117*HSTECH!$B$11*HSTECH!$G$11/HSTECH!$B$3,""))</f>
        <v/>
      </c>
      <c r="GE117" s="85">
        <f>IF(DQ117="","",IFERROR(DQ117*HSTECH!$B$11*HSTECH!$G$11/HSTECH!$B$3,""))</f>
        <v/>
      </c>
      <c r="GF117" s="85">
        <f>IF(DR117="","",IFERROR(DR117*HSTECH!$B$11*HSTECH!$G$11/HSTECH!$B$3,""))</f>
        <v/>
      </c>
      <c r="GG117" s="85">
        <f>IF(DS117="","",IFERROR(DS117*HSTECH!$B$11*HSTECH!$G$11/HSTECH!$B$3,""))</f>
        <v/>
      </c>
      <c r="GH117" s="85">
        <f>IF(DT117="","",IFERROR(DT117*HSTECH!$B$11*HSTECH!$G$11/HSTECH!$B$3,""))</f>
        <v/>
      </c>
      <c r="GI117" s="85">
        <f>IF(DU117="","",IFERROR(DU117*HSTECH!$B$11*HSTECH!$G$11/HSTECH!$B$3,""))</f>
        <v/>
      </c>
      <c r="GJ117" s="85">
        <f>IF(DV117="","",IFERROR(DV117*HSTECH!$B$11*HSTECH!$G$11/HSTECH!$B$3,""))</f>
        <v/>
      </c>
      <c r="GK117" s="85">
        <f>IF(DW117="","",IFERROR(DW117*HSTECH!$B$11*HSTECH!$G$11/HSTECH!$B$3,""))</f>
        <v/>
      </c>
      <c r="GL117" s="85">
        <f>IF(DX117="","",IFERROR(DX117*HSTECH!$B$11*HSTECH!$G$11/HSTECH!$B$3,""))</f>
        <v/>
      </c>
      <c r="GM117" s="85">
        <f>IF(DY117="","",IFERROR(DY117*HSTECH!$B$11*HSTECH!$G$11/HSTECH!$B$3,""))</f>
        <v/>
      </c>
      <c r="GN117" s="85">
        <f>IF(DZ117="","",IFERROR(DZ117*HSTECH!$B$11*HSTECH!$G$11/HSTECH!$B$3,""))</f>
        <v/>
      </c>
      <c r="GO117" s="85">
        <f>IF(EA117="","",IFERROR(EA117*HSTECH!$B$11*HSTECH!$G$11/HSTECH!$B$3,""))</f>
        <v/>
      </c>
      <c r="GP117" s="85">
        <f>IF(EB117="","",IFERROR(EB117*HSTECH!$B$11*HSTECH!$G$11/HSTECH!$B$3,""))</f>
        <v/>
      </c>
      <c r="GQ117" s="85">
        <f>IF(EC117="","",IFERROR(EC117*HSTECH!$B$11*HSTECH!$G$11/HSTECH!$B$3,""))</f>
        <v/>
      </c>
    </row>
    <row r="118">
      <c r="B118" s="2">
        <f>IF(HSTECH!$C$12="","",HSTECH!$C$12)</f>
        <v/>
      </c>
      <c r="C118" s="41">
        <f>IF(N('Dvd Calendar'!$E$1590)=0,"",IF(('Dvd Calendar'!$E$1590&gt;=MIN(DATE(Summary!$C$12,1,1),Summary!$C$11))*('Dvd Calendar'!$E$1590&lt;=MAX(DATE(Summary!$C$12,12,31),Summary!$C$15))*('Dvd Calendar'!$E$1590&lt;=Summary!$C$11)=0,"",'Dvd Calendar'!$E$1590*1000000000+ISNUMBER('Dvd Calendar'!$E$1591)*100000000+('Dvd Calendar'!$E$1595='Field Check'!$C$25)*10000000+(N('Dvd Calendar'!$E$1589)&gt;0)*1000000+6*1000+1))</f>
        <v/>
      </c>
      <c r="D118" s="41">
        <f>IF(N('Dvd Calendar'!$F$1590)=0,"",IF(('Dvd Calendar'!$F$1590&gt;=MIN(DATE(Summary!$C$12,1,1),Summary!$C$11))*('Dvd Calendar'!$F$1590&lt;=MAX(DATE(Summary!$C$12,12,31),Summary!$C$15))*('Dvd Calendar'!$F$1590&lt;=Summary!$C$11)=0,"",'Dvd Calendar'!$F$1590*1000000000+ISNUMBER('Dvd Calendar'!$F$1591)*100000000+('Dvd Calendar'!$F$1595='Field Check'!$C$25)*10000000+(N('Dvd Calendar'!$F$1589)&gt;0)*1000000+6*1000+2))</f>
        <v/>
      </c>
      <c r="E118" s="41">
        <f>IF(N('Dvd Calendar'!$G$1590)=0,"",IF(('Dvd Calendar'!$G$1590&gt;=MIN(DATE(Summary!$C$12,1,1),Summary!$C$11))*('Dvd Calendar'!$G$1590&lt;=MAX(DATE(Summary!$C$12,12,31),Summary!$C$15))*('Dvd Calendar'!$G$1590&lt;=Summary!$C$11)=0,"",'Dvd Calendar'!$G$1590*1000000000+ISNUMBER('Dvd Calendar'!$G$1591)*100000000+('Dvd Calendar'!$G$1595='Field Check'!$C$25)*10000000+(N('Dvd Calendar'!$G$1589)&gt;0)*1000000+6*1000+3))</f>
        <v/>
      </c>
      <c r="F118" s="41">
        <f>IF(N('Dvd Calendar'!$H$1590)=0,"",IF(('Dvd Calendar'!$H$1590&gt;=MIN(DATE(Summary!$C$12,1,1),Summary!$C$11))*('Dvd Calendar'!$H$1590&lt;=MAX(DATE(Summary!$C$12,12,31),Summary!$C$15))*('Dvd Calendar'!$H$1590&lt;=Summary!$C$11)=0,"",'Dvd Calendar'!$H$1590*1000000000+ISNUMBER('Dvd Calendar'!$H$1591)*100000000+('Dvd Calendar'!$H$1595='Field Check'!$C$25)*10000000+(N('Dvd Calendar'!$H$1589)&gt;0)*1000000+6*1000+4))</f>
        <v/>
      </c>
      <c r="G118" s="41">
        <f>IF(N('Dvd Calendar'!$I$1590)=0,"",IF(('Dvd Calendar'!$I$1590&gt;=MIN(DATE(Summary!$C$12,1,1),Summary!$C$11))*('Dvd Calendar'!$I$1590&lt;=MAX(DATE(Summary!$C$12,12,31),Summary!$C$15))*('Dvd Calendar'!$I$1590&lt;=Summary!$C$11)=0,"",'Dvd Calendar'!$I$1590*1000000000+ISNUMBER('Dvd Calendar'!$I$1591)*100000000+('Dvd Calendar'!$I$1595='Field Check'!$C$25)*10000000+(N('Dvd Calendar'!$I$1589)&gt;0)*1000000+6*1000+5))</f>
        <v/>
      </c>
      <c r="H118" s="41">
        <f>IF(N('Dvd Calendar'!$J$1590)=0,"",IF(('Dvd Calendar'!$J$1590&gt;=MIN(DATE(Summary!$C$12,1,1),Summary!$C$11))*('Dvd Calendar'!$J$1590&lt;=MAX(DATE(Summary!$C$12,12,31),Summary!$C$15))*('Dvd Calendar'!$J$1590&lt;=Summary!$C$11)=0,"",'Dvd Calendar'!$J$1590*1000000000+ISNUMBER('Dvd Calendar'!$J$1591)*100000000+('Dvd Calendar'!$J$1595='Field Check'!$C$25)*10000000+(N('Dvd Calendar'!$J$1589)&gt;0)*1000000+6*1000+6))</f>
        <v/>
      </c>
      <c r="I118" s="41">
        <f>IF(N('Dvd Calendar'!$K$1590)=0,"",IF(('Dvd Calendar'!$K$1590&gt;=MIN(DATE(Summary!$C$12,1,1),Summary!$C$11))*('Dvd Calendar'!$K$1590&lt;=MAX(DATE(Summary!$C$12,12,31),Summary!$C$15))*('Dvd Calendar'!$K$1590&lt;=Summary!$C$11)=0,"",'Dvd Calendar'!$K$1590*1000000000+ISNUMBER('Dvd Calendar'!$K$1591)*100000000+('Dvd Calendar'!$K$1595='Field Check'!$C$25)*10000000+(N('Dvd Calendar'!$K$1589)&gt;0)*1000000+6*1000+7))</f>
        <v/>
      </c>
      <c r="J118" s="41">
        <f>IF(N('Dvd Calendar'!$L$1590)=0,"",IF(('Dvd Calendar'!$L$1590&gt;=MIN(DATE(Summary!$C$12,1,1),Summary!$C$11))*('Dvd Calendar'!$L$1590&lt;=MAX(DATE(Summary!$C$12,12,31),Summary!$C$15))*('Dvd Calendar'!$L$1590&lt;=Summary!$C$11)=0,"",'Dvd Calendar'!$L$1590*1000000000+ISNUMBER('Dvd Calendar'!$L$1591)*100000000+('Dvd Calendar'!$L$1595='Field Check'!$C$25)*10000000+(N('Dvd Calendar'!$L$1589)&gt;0)*1000000+6*1000+8))</f>
        <v/>
      </c>
      <c r="K118" s="41">
        <f>IF(N('Dvd Calendar'!$M$1590)=0,"",IF(('Dvd Calendar'!$M$1590&gt;=MIN(DATE(Summary!$C$12,1,1),Summary!$C$11))*('Dvd Calendar'!$M$1590&lt;=MAX(DATE(Summary!$C$12,12,31),Summary!$C$15))*('Dvd Calendar'!$M$1590&lt;=Summary!$C$11)=0,"",'Dvd Calendar'!$M$1590*1000000000+ISNUMBER('Dvd Calendar'!$M$1591)*100000000+('Dvd Calendar'!$M$1595='Field Check'!$C$25)*10000000+(N('Dvd Calendar'!$M$1589)&gt;0)*1000000+6*1000+9))</f>
        <v/>
      </c>
      <c r="L118" s="41">
        <f>IF(N('Dvd Calendar'!$N$1590)=0,"",IF(('Dvd Calendar'!$N$1590&gt;=MIN(DATE(Summary!$C$12,1,1),Summary!$C$11))*('Dvd Calendar'!$N$1590&lt;=MAX(DATE(Summary!$C$12,12,31),Summary!$C$15))*('Dvd Calendar'!$N$1590&lt;=Summary!$C$11)=0,"",'Dvd Calendar'!$N$1590*1000000000+ISNUMBER('Dvd Calendar'!$N$1591)*100000000+('Dvd Calendar'!$N$1595='Field Check'!$C$25)*10000000+(N('Dvd Calendar'!$N$1589)&gt;0)*1000000+6*1000+10))</f>
        <v/>
      </c>
      <c r="M118" s="41">
        <f>IF(N('Dvd Calendar'!$O$1590)=0,"",IF(('Dvd Calendar'!$O$1590&gt;=MIN(DATE(Summary!$C$12,1,1),Summary!$C$11))*('Dvd Calendar'!$O$1590&lt;=MAX(DATE(Summary!$C$12,12,31),Summary!$C$15))*('Dvd Calendar'!$O$1590&lt;=Summary!$C$11)=0,"",'Dvd Calendar'!$O$1590*1000000000+ISNUMBER('Dvd Calendar'!$O$1591)*100000000+('Dvd Calendar'!$O$1595='Field Check'!$C$25)*10000000+(N('Dvd Calendar'!$O$1589)&gt;0)*1000000+6*1000+11))</f>
        <v/>
      </c>
      <c r="N118" s="41">
        <f>IF(N('Dvd Calendar'!$P$1590)=0,"",IF(('Dvd Calendar'!$P$1590&gt;=MIN(DATE(Summary!$C$12,1,1),Summary!$C$11))*('Dvd Calendar'!$P$1590&lt;=MAX(DATE(Summary!$C$12,12,31),Summary!$C$15))*('Dvd Calendar'!$P$1590&lt;=Summary!$C$11)=0,"",'Dvd Calendar'!$P$1590*1000000000+ISNUMBER('Dvd Calendar'!$P$1591)*100000000+('Dvd Calendar'!$P$1595='Field Check'!$C$25)*10000000+(N('Dvd Calendar'!$P$1589)&gt;0)*1000000+6*1000+12))</f>
        <v/>
      </c>
      <c r="O118" s="41">
        <f>IF(N('Dvd Calendar'!$Q$1590)=0,"",IF(('Dvd Calendar'!$Q$1590&gt;=MIN(DATE(Summary!$C$12,1,1),Summary!$C$11))*('Dvd Calendar'!$Q$1590&lt;=MAX(DATE(Summary!$C$12,12,31),Summary!$C$15))*('Dvd Calendar'!$Q$1590&lt;=Summary!$C$11)=0,"",'Dvd Calendar'!$Q$1590*1000000000+ISNUMBER('Dvd Calendar'!$Q$1591)*100000000+('Dvd Calendar'!$Q$1595='Field Check'!$C$25)*10000000+(N('Dvd Calendar'!$Q$1589)&gt;0)*1000000+6*1000+13))</f>
        <v/>
      </c>
      <c r="P118" s="41">
        <f>IF(N('Dvd Calendar'!$R$1590)=0,"",IF(('Dvd Calendar'!$R$1590&gt;=MIN(DATE(Summary!$C$12,1,1),Summary!$C$11))*('Dvd Calendar'!$R$1590&lt;=MAX(DATE(Summary!$C$12,12,31),Summary!$C$15))*('Dvd Calendar'!$R$1590&lt;=Summary!$C$11)=0,"",'Dvd Calendar'!$R$1590*1000000000+ISNUMBER('Dvd Calendar'!$R$1591)*100000000+('Dvd Calendar'!$R$1595='Field Check'!$C$25)*10000000+(N('Dvd Calendar'!$R$1589)&gt;0)*1000000+6*1000+14))</f>
        <v/>
      </c>
      <c r="Q118" s="41">
        <f>IF(N('Dvd Calendar'!$S$1590)=0,"",IF(('Dvd Calendar'!$S$1590&gt;=MIN(DATE(Summary!$C$12,1,1),Summary!$C$11))*('Dvd Calendar'!$S$1590&lt;=MAX(DATE(Summary!$C$12,12,31),Summary!$C$15))*('Dvd Calendar'!$S$1590&lt;=Summary!$C$11)=0,"",'Dvd Calendar'!$S$1590*1000000000+ISNUMBER('Dvd Calendar'!$S$1591)*100000000+('Dvd Calendar'!$S$1595='Field Check'!$C$25)*10000000+(N('Dvd Calendar'!$S$1589)&gt;0)*1000000+6*1000+15))</f>
        <v/>
      </c>
      <c r="R118" s="41">
        <f>IF(N('Dvd Calendar'!$T$1590)=0,"",IF(('Dvd Calendar'!$T$1590&gt;=MIN(DATE(Summary!$C$12,1,1),Summary!$C$11))*('Dvd Calendar'!$T$1590&lt;=MAX(DATE(Summary!$C$12,12,31),Summary!$C$15))*('Dvd Calendar'!$T$1590&lt;=Summary!$C$11)=0,"",'Dvd Calendar'!$T$1590*1000000000+ISNUMBER('Dvd Calendar'!$T$1591)*100000000+('Dvd Calendar'!$T$1595='Field Check'!$C$25)*10000000+(N('Dvd Calendar'!$T$1589)&gt;0)*1000000+6*1000+16))</f>
        <v/>
      </c>
      <c r="S118" s="41">
        <f>IF(N('Dvd Calendar'!$U$1590)=0,"",IF(('Dvd Calendar'!$U$1590&gt;=MIN(DATE(Summary!$C$12,1,1),Summary!$C$11))*('Dvd Calendar'!$U$1590&lt;=MAX(DATE(Summary!$C$12,12,31),Summary!$C$15))*('Dvd Calendar'!$U$1590&lt;=Summary!$C$11)=0,"",'Dvd Calendar'!$U$1590*1000000000+ISNUMBER('Dvd Calendar'!$U$1591)*100000000+('Dvd Calendar'!$U$1595='Field Check'!$C$25)*10000000+(N('Dvd Calendar'!$U$1589)&gt;0)*1000000+6*1000+17))</f>
        <v/>
      </c>
      <c r="T118" s="41">
        <f>IF(N('Dvd Calendar'!$V$1590)=0,"",IF(('Dvd Calendar'!$V$1590&gt;=MIN(DATE(Summary!$C$12,1,1),Summary!$C$11))*('Dvd Calendar'!$V$1590&lt;=MAX(DATE(Summary!$C$12,12,31),Summary!$C$15))*('Dvd Calendar'!$V$1590&lt;=Summary!$C$11)=0,"",'Dvd Calendar'!$V$1590*1000000000+ISNUMBER('Dvd Calendar'!$V$1591)*100000000+('Dvd Calendar'!$V$1595='Field Check'!$C$25)*10000000+(N('Dvd Calendar'!$V$1589)&gt;0)*1000000+6*1000+18))</f>
        <v/>
      </c>
      <c r="U118" s="41">
        <f>IF(N('Dvd Calendar'!$W$1590)=0,"",IF(('Dvd Calendar'!$W$1590&gt;=MIN(DATE(Summary!$C$12,1,1),Summary!$C$11))*('Dvd Calendar'!$W$1590&lt;=MAX(DATE(Summary!$C$12,12,31),Summary!$C$15))*('Dvd Calendar'!$W$1590&lt;=Summary!$C$11)=0,"",'Dvd Calendar'!$W$1590*1000000000+ISNUMBER('Dvd Calendar'!$W$1591)*100000000+('Dvd Calendar'!$W$1595='Field Check'!$C$25)*10000000+(N('Dvd Calendar'!$W$1589)&gt;0)*1000000+6*1000+19))</f>
        <v/>
      </c>
      <c r="V118" s="41">
        <f>IF(N('Dvd Calendar'!$X$1590)=0,"",IF(('Dvd Calendar'!$X$1590&gt;=MIN(DATE(Summary!$C$12,1,1),Summary!$C$11))*('Dvd Calendar'!$X$1590&lt;=MAX(DATE(Summary!$C$12,12,31),Summary!$C$15))*('Dvd Calendar'!$X$1590&lt;=Summary!$C$11)=0,"",'Dvd Calendar'!$X$1590*1000000000+ISNUMBER('Dvd Calendar'!$X$1591)*100000000+('Dvd Calendar'!$X$1595='Field Check'!$C$25)*10000000+(N('Dvd Calendar'!$X$1589)&gt;0)*1000000+6*1000+20))</f>
        <v/>
      </c>
      <c r="W118" s="41">
        <f>IF(N('Dvd Calendar'!$Y$1590)=0,"",IF(('Dvd Calendar'!$Y$1590&gt;=MIN(DATE(Summary!$C$12,1,1),Summary!$C$11))*('Dvd Calendar'!$Y$1590&lt;=MAX(DATE(Summary!$C$12,12,31),Summary!$C$15))*('Dvd Calendar'!$Y$1590&lt;=Summary!$C$11)=0,"",'Dvd Calendar'!$Y$1590*1000000000+ISNUMBER('Dvd Calendar'!$Y$1591)*100000000+('Dvd Calendar'!$Y$1595='Field Check'!$C$25)*10000000+(N('Dvd Calendar'!$Y$1589)&gt;0)*1000000+6*1000+21))</f>
        <v/>
      </c>
      <c r="X118" s="41">
        <f>IF(N('Dvd Calendar'!$Z$1590)=0,"",IF(('Dvd Calendar'!$Z$1590&gt;=MIN(DATE(Summary!$C$12,1,1),Summary!$C$11))*('Dvd Calendar'!$Z$1590&lt;=MAX(DATE(Summary!$C$12,12,31),Summary!$C$15))*('Dvd Calendar'!$Z$1590&lt;=Summary!$C$11)=0,"",'Dvd Calendar'!$Z$1590*1000000000+ISNUMBER('Dvd Calendar'!$Z$1591)*100000000+('Dvd Calendar'!$Z$1595='Field Check'!$C$25)*10000000+(N('Dvd Calendar'!$Z$1589)&gt;0)*1000000+6*1000+22))</f>
        <v/>
      </c>
      <c r="Y118" s="41">
        <f>IF(N('Dvd Calendar'!$AA$1590)=0,"",IF(('Dvd Calendar'!$AA$1590&gt;=MIN(DATE(Summary!$C$12,1,1),Summary!$C$11))*('Dvd Calendar'!$AA$1590&lt;=MAX(DATE(Summary!$C$12,12,31),Summary!$C$15))*('Dvd Calendar'!$AA$1590&lt;=Summary!$C$11)=0,"",'Dvd Calendar'!$AA$1590*1000000000+ISNUMBER('Dvd Calendar'!$AA$1591)*100000000+('Dvd Calendar'!$AA$1595='Field Check'!$C$25)*10000000+(N('Dvd Calendar'!$AA$1589)&gt;0)*1000000+6*1000+23))</f>
        <v/>
      </c>
      <c r="Z118" s="41">
        <f>IF(N('Dvd Calendar'!$AB$1590)=0,"",IF(('Dvd Calendar'!$AB$1590&gt;=MIN(DATE(Summary!$C$12,1,1),Summary!$C$11))*('Dvd Calendar'!$AB$1590&lt;=MAX(DATE(Summary!$C$12,12,31),Summary!$C$15))*('Dvd Calendar'!$AB$1590&lt;=Summary!$C$11)=0,"",'Dvd Calendar'!$AB$1590*1000000000+ISNUMBER('Dvd Calendar'!$AB$1591)*100000000+('Dvd Calendar'!$AB$1595='Field Check'!$C$25)*10000000+(N('Dvd Calendar'!$AB$1589)&gt;0)*1000000+6*1000+24))</f>
        <v/>
      </c>
      <c r="AA118" s="41">
        <f>IF(N('Dvd Calendar'!$AC$1590)=0,"",IF(('Dvd Calendar'!$AC$1590&gt;=MIN(DATE(Summary!$C$12,1,1),Summary!$C$11))*('Dvd Calendar'!$AC$1590&lt;=MAX(DATE(Summary!$C$12,12,31),Summary!$C$15))*('Dvd Calendar'!$AC$1590&lt;=Summary!$C$11)=0,"",'Dvd Calendar'!$AC$1590*1000000000+ISNUMBER('Dvd Calendar'!$AC$1591)*100000000+('Dvd Calendar'!$AC$1595='Field Check'!$C$25)*10000000+(N('Dvd Calendar'!$AC$1589)&gt;0)*1000000+6*1000+25))</f>
        <v/>
      </c>
      <c r="AB118" s="41">
        <f>IF(N('Dvd Calendar'!$AD$1590)=0,"",IF(('Dvd Calendar'!$AD$1590&gt;=MIN(DATE(Summary!$C$12,1,1),Summary!$C$11))*('Dvd Calendar'!$AD$1590&lt;=MAX(DATE(Summary!$C$12,12,31),Summary!$C$15))*('Dvd Calendar'!$AD$1590&lt;=Summary!$C$11)=0,"",'Dvd Calendar'!$AD$1590*1000000000+ISNUMBER('Dvd Calendar'!$AD$1591)*100000000+('Dvd Calendar'!$AD$1595='Field Check'!$C$25)*10000000+(N('Dvd Calendar'!$AD$1589)&gt;0)*1000000+6*1000+26))</f>
        <v/>
      </c>
      <c r="AC118" s="41">
        <f>IF(N('Dvd Calendar'!$AE$1590)=0,"",IF(('Dvd Calendar'!$AE$1590&gt;=MIN(DATE(Summary!$C$12,1,1),Summary!$C$11))*('Dvd Calendar'!$AE$1590&lt;=MAX(DATE(Summary!$C$12,12,31),Summary!$C$15))*('Dvd Calendar'!$AE$1590&lt;=Summary!$C$11)=0,"",'Dvd Calendar'!$AE$1590*1000000000+ISNUMBER('Dvd Calendar'!$AE$1591)*100000000+('Dvd Calendar'!$AE$1595='Field Check'!$C$25)*10000000+(N('Dvd Calendar'!$AE$1589)&gt;0)*1000000+6*1000+27))</f>
        <v/>
      </c>
      <c r="AD118" s="41">
        <f>IF(N('Dvd Calendar'!$AF$1590)=0,"",IF(('Dvd Calendar'!$AF$1590&gt;=MIN(DATE(Summary!$C$12,1,1),Summary!$C$11))*('Dvd Calendar'!$AF$1590&lt;=MAX(DATE(Summary!$C$12,12,31),Summary!$C$15))*('Dvd Calendar'!$AF$1590&lt;=Summary!$C$11)=0,"",'Dvd Calendar'!$AF$1590*1000000000+ISNUMBER('Dvd Calendar'!$AF$1591)*100000000+('Dvd Calendar'!$AF$1595='Field Check'!$C$25)*10000000+(N('Dvd Calendar'!$AF$1589)&gt;0)*1000000+6*1000+28))</f>
        <v/>
      </c>
      <c r="AE118" s="41">
        <f>IF(N('Dvd Calendar'!$AG$1590)=0,"",IF(('Dvd Calendar'!$AG$1590&gt;=MIN(DATE(Summary!$C$12,1,1),Summary!$C$11))*('Dvd Calendar'!$AG$1590&lt;=MAX(DATE(Summary!$C$12,12,31),Summary!$C$15))*('Dvd Calendar'!$AG$1590&lt;=Summary!$C$11)=0,"",'Dvd Calendar'!$AG$1590*1000000000+ISNUMBER('Dvd Calendar'!$AG$1591)*100000000+('Dvd Calendar'!$AG$1595='Field Check'!$C$25)*10000000+(N('Dvd Calendar'!$AG$1589)&gt;0)*1000000+6*1000+29))</f>
        <v/>
      </c>
      <c r="AF118" s="41">
        <f>IF(N('Dvd Calendar'!$AH$1590)=0,"",IF(('Dvd Calendar'!$AH$1590&gt;=MIN(DATE(Summary!$C$12,1,1),Summary!$C$11))*('Dvd Calendar'!$AH$1590&lt;=MAX(DATE(Summary!$C$12,12,31),Summary!$C$15))*('Dvd Calendar'!$AH$1590&lt;=Summary!$C$11)=0,"",'Dvd Calendar'!$AH$1590*1000000000+ISNUMBER('Dvd Calendar'!$AH$1591)*100000000+('Dvd Calendar'!$AH$1595='Field Check'!$C$25)*10000000+(N('Dvd Calendar'!$AH$1589)&gt;0)*1000000+6*1000+30))</f>
        <v/>
      </c>
      <c r="AG118" s="41">
        <f>IF(N('Dvd Calendar'!$AI$1590)=0,"",IF(('Dvd Calendar'!$AI$1590&gt;=MIN(DATE(Summary!$C$12,1,1),Summary!$C$11))*('Dvd Calendar'!$AI$1590&lt;=MAX(DATE(Summary!$C$12,12,31),Summary!$C$15))*('Dvd Calendar'!$AI$1590&lt;=Summary!$C$11)=0,"",'Dvd Calendar'!$AI$1590*1000000000+ISNUMBER('Dvd Calendar'!$AI$1591)*100000000+('Dvd Calendar'!$AI$1595='Field Check'!$C$25)*10000000+(N('Dvd Calendar'!$AI$1589)&gt;0)*1000000+6*1000+31))</f>
        <v/>
      </c>
      <c r="AH118" s="41">
        <f>IF(N('Dvd Calendar'!$AJ$1590)=0,"",IF(('Dvd Calendar'!$AJ$1590&gt;=MIN(DATE(Summary!$C$12,1,1),Summary!$C$11))*('Dvd Calendar'!$AJ$1590&lt;=MAX(DATE(Summary!$C$12,12,31),Summary!$C$15))*('Dvd Calendar'!$AJ$1590&lt;=Summary!$C$11)=0,"",'Dvd Calendar'!$AJ$1590*1000000000+ISNUMBER('Dvd Calendar'!$AJ$1591)*100000000+('Dvd Calendar'!$AJ$1595='Field Check'!$C$25)*10000000+(N('Dvd Calendar'!$AJ$1589)&gt;0)*1000000+6*1000+32))</f>
        <v/>
      </c>
      <c r="AI118" s="41">
        <f>IF(N('Dvd Calendar'!$AK$1590)=0,"",IF(('Dvd Calendar'!$AK$1590&gt;=MIN(DATE(Summary!$C$12,1,1),Summary!$C$11))*('Dvd Calendar'!$AK$1590&lt;=MAX(DATE(Summary!$C$12,12,31),Summary!$C$15))*('Dvd Calendar'!$AK$1590&lt;=Summary!$C$11)=0,"",'Dvd Calendar'!$AK$1590*1000000000+ISNUMBER('Dvd Calendar'!$AK$1591)*100000000+('Dvd Calendar'!$AK$1595='Field Check'!$C$25)*10000000+(N('Dvd Calendar'!$AK$1589)&gt;0)*1000000+6*1000+33))</f>
        <v/>
      </c>
      <c r="AJ118" s="41">
        <f>IF(N('Dvd Calendar'!$AL$1590)=0,"",IF(('Dvd Calendar'!$AL$1590&gt;=MIN(DATE(Summary!$C$12,1,1),Summary!$C$11))*('Dvd Calendar'!$AL$1590&lt;=MAX(DATE(Summary!$C$12,12,31),Summary!$C$15))*('Dvd Calendar'!$AL$1590&lt;=Summary!$C$11)=0,"",'Dvd Calendar'!$AL$1590*1000000000+ISNUMBER('Dvd Calendar'!$AL$1591)*100000000+('Dvd Calendar'!$AL$1595='Field Check'!$C$25)*10000000+(N('Dvd Calendar'!$AL$1589)&gt;0)*1000000+6*1000+34))</f>
        <v/>
      </c>
      <c r="AK118" s="41">
        <f>IF(N('Dvd Calendar'!$AM$1590)=0,"",IF(('Dvd Calendar'!$AM$1590&gt;=MIN(DATE(Summary!$C$12,1,1),Summary!$C$11))*('Dvd Calendar'!$AM$1590&lt;=MAX(DATE(Summary!$C$12,12,31),Summary!$C$15))*('Dvd Calendar'!$AM$1590&lt;=Summary!$C$11)=0,"",'Dvd Calendar'!$AM$1590*1000000000+ISNUMBER('Dvd Calendar'!$AM$1591)*100000000+('Dvd Calendar'!$AM$1595='Field Check'!$C$25)*10000000+(N('Dvd Calendar'!$AM$1589)&gt;0)*1000000+6*1000+35))</f>
        <v/>
      </c>
      <c r="AL118" s="41">
        <f>IF(N('Dvd Calendar'!$AN$1590)=0,"",IF(('Dvd Calendar'!$AN$1590&gt;=MIN(DATE(Summary!$C$12,1,1),Summary!$C$11))*('Dvd Calendar'!$AN$1590&lt;=MAX(DATE(Summary!$C$12,12,31),Summary!$C$15))*('Dvd Calendar'!$AN$1590&lt;=Summary!$C$11)=0,"",'Dvd Calendar'!$AN$1590*1000000000+ISNUMBER('Dvd Calendar'!$AN$1591)*100000000+('Dvd Calendar'!$AN$1595='Field Check'!$C$25)*10000000+(N('Dvd Calendar'!$AN$1589)&gt;0)*1000000+6*1000+36))</f>
        <v/>
      </c>
      <c r="AM118" s="41">
        <f>IF(N('Dvd Calendar'!$AO$1590)=0,"",IF(('Dvd Calendar'!$AO$1590&gt;=MIN(DATE(Summary!$C$12,1,1),Summary!$C$11))*('Dvd Calendar'!$AO$1590&lt;=MAX(DATE(Summary!$C$12,12,31),Summary!$C$15))*('Dvd Calendar'!$AO$1590&lt;=Summary!$C$11)=0,"",'Dvd Calendar'!$AO$1590*1000000000+ISNUMBER('Dvd Calendar'!$AO$1591)*100000000+('Dvd Calendar'!$AO$1595='Field Check'!$C$25)*10000000+(N('Dvd Calendar'!$AO$1589)&gt;0)*1000000+6*1000+37))</f>
        <v/>
      </c>
      <c r="AN118" s="41">
        <f>IF(N('Dvd Calendar'!$AP$1590)=0,"",IF(('Dvd Calendar'!$AP$1590&gt;=MIN(DATE(Summary!$C$12,1,1),Summary!$C$11))*('Dvd Calendar'!$AP$1590&lt;=MAX(DATE(Summary!$C$12,12,31),Summary!$C$15))*('Dvd Calendar'!$AP$1590&lt;=Summary!$C$11)=0,"",'Dvd Calendar'!$AP$1590*1000000000+ISNUMBER('Dvd Calendar'!$AP$1591)*100000000+('Dvd Calendar'!$AP$1595='Field Check'!$C$25)*10000000+(N('Dvd Calendar'!$AP$1589)&gt;0)*1000000+6*1000+38))</f>
        <v/>
      </c>
      <c r="AO118" s="41">
        <f>IF(N('Dvd Calendar'!$AQ$1590)=0,"",IF(('Dvd Calendar'!$AQ$1590&gt;=MIN(DATE(Summary!$C$12,1,1),Summary!$C$11))*('Dvd Calendar'!$AQ$1590&lt;=MAX(DATE(Summary!$C$12,12,31),Summary!$C$15))*('Dvd Calendar'!$AQ$1590&lt;=Summary!$C$11)=0,"",'Dvd Calendar'!$AQ$1590*1000000000+ISNUMBER('Dvd Calendar'!$AQ$1591)*100000000+('Dvd Calendar'!$AQ$1595='Field Check'!$C$25)*10000000+(N('Dvd Calendar'!$AQ$1589)&gt;0)*1000000+6*1000+39))</f>
        <v/>
      </c>
      <c r="AP118" s="41">
        <f>IF(N('Dvd Calendar'!$AR$1590)=0,"",IF(('Dvd Calendar'!$AR$1590&gt;=MIN(DATE(Summary!$C$12,1,1),Summary!$C$11))*('Dvd Calendar'!$AR$1590&lt;=MAX(DATE(Summary!$C$12,12,31),Summary!$C$15))*('Dvd Calendar'!$AR$1590&lt;=Summary!$C$11)=0,"",'Dvd Calendar'!$AR$1590*1000000000+ISNUMBER('Dvd Calendar'!$AR$1591)*100000000+('Dvd Calendar'!$AR$1595='Field Check'!$C$25)*10000000+(N('Dvd Calendar'!$AR$1589)&gt;0)*1000000+6*1000+40))</f>
        <v/>
      </c>
      <c r="AQ118" s="41">
        <f>IF(N('Dvd Calendar'!$E$1597)=0,"",IF(('Dvd Calendar'!$E$1597&gt;=MIN(DATE(Summary!$C$12,1,1),Summary!$C$11))*('Dvd Calendar'!$E$1597&lt;=MAX(DATE(Summary!$C$12,12,31),Summary!$C$15))*('Dvd Calendar'!$E$1597&gt;Summary!$C$11)=0,"",'Dvd Calendar'!$E$1597*1000000000+ISNUMBER('Dvd Calendar'!$E$1598)*100000000+('Dvd Calendar'!$E$1602='Field Check'!$C$25)*10000000+(N('Dvd Calendar'!$E$1596)&gt;0)*1000000+6*1000+41))</f>
        <v/>
      </c>
      <c r="AR118" s="41">
        <f>IF(N('Dvd Calendar'!$F$1597)=0,"",IF(('Dvd Calendar'!$F$1597&gt;=MIN(DATE(Summary!$C$12,1,1),Summary!$C$11))*('Dvd Calendar'!$F$1597&lt;=MAX(DATE(Summary!$C$12,12,31),Summary!$C$15))*('Dvd Calendar'!$F$1597&gt;Summary!$C$11)=0,"",'Dvd Calendar'!$F$1597*1000000000+ISNUMBER('Dvd Calendar'!$F$1598)*100000000+('Dvd Calendar'!$F$1602='Field Check'!$C$25)*10000000+(N('Dvd Calendar'!$F$1596)&gt;0)*1000000+6*1000+42))</f>
        <v/>
      </c>
      <c r="AS118" s="41">
        <f>IF(N('Dvd Calendar'!$G$1597)=0,"",IF(('Dvd Calendar'!$G$1597&gt;=MIN(DATE(Summary!$C$12,1,1),Summary!$C$11))*('Dvd Calendar'!$G$1597&lt;=MAX(DATE(Summary!$C$12,12,31),Summary!$C$15))*('Dvd Calendar'!$G$1597&gt;Summary!$C$11)=0,"",'Dvd Calendar'!$G$1597*1000000000+ISNUMBER('Dvd Calendar'!$G$1598)*100000000+('Dvd Calendar'!$G$1602='Field Check'!$C$25)*10000000+(N('Dvd Calendar'!$G$1596)&gt;0)*1000000+6*1000+43))</f>
        <v/>
      </c>
      <c r="AT118" s="41">
        <f>IF(N('Dvd Calendar'!$H$1597)=0,"",IF(('Dvd Calendar'!$H$1597&gt;=MIN(DATE(Summary!$C$12,1,1),Summary!$C$11))*('Dvd Calendar'!$H$1597&lt;=MAX(DATE(Summary!$C$12,12,31),Summary!$C$15))*('Dvd Calendar'!$H$1597&gt;Summary!$C$11)=0,"",'Dvd Calendar'!$H$1597*1000000000+ISNUMBER('Dvd Calendar'!$H$1598)*100000000+('Dvd Calendar'!$H$1602='Field Check'!$C$25)*10000000+(N('Dvd Calendar'!$H$1596)&gt;0)*1000000+6*1000+44))</f>
        <v/>
      </c>
      <c r="AU118" s="41">
        <f>IF(N('Dvd Calendar'!$I$1597)=0,"",IF(('Dvd Calendar'!$I$1597&gt;=MIN(DATE(Summary!$C$12,1,1),Summary!$C$11))*('Dvd Calendar'!$I$1597&lt;=MAX(DATE(Summary!$C$12,12,31),Summary!$C$15))*('Dvd Calendar'!$I$1597&gt;Summary!$C$11)=0,"",'Dvd Calendar'!$I$1597*1000000000+ISNUMBER('Dvd Calendar'!$I$1598)*100000000+('Dvd Calendar'!$I$1602='Field Check'!$C$25)*10000000+(N('Dvd Calendar'!$I$1596)&gt;0)*1000000+6*1000+45))</f>
        <v/>
      </c>
      <c r="AV118" s="41">
        <f>IF(N('Dvd Calendar'!$J$1597)=0,"",IF(('Dvd Calendar'!$J$1597&gt;=MIN(DATE(Summary!$C$12,1,1),Summary!$C$11))*('Dvd Calendar'!$J$1597&lt;=MAX(DATE(Summary!$C$12,12,31),Summary!$C$15))*('Dvd Calendar'!$J$1597&gt;Summary!$C$11)=0,"",'Dvd Calendar'!$J$1597*1000000000+ISNUMBER('Dvd Calendar'!$J$1598)*100000000+('Dvd Calendar'!$J$1602='Field Check'!$C$25)*10000000+(N('Dvd Calendar'!$J$1596)&gt;0)*1000000+6*1000+46))</f>
        <v/>
      </c>
      <c r="AW118" s="41">
        <f>IF(N('Dvd Calendar'!$K$1597)=0,"",IF(('Dvd Calendar'!$K$1597&gt;=MIN(DATE(Summary!$C$12,1,1),Summary!$C$11))*('Dvd Calendar'!$K$1597&lt;=MAX(DATE(Summary!$C$12,12,31),Summary!$C$15))*('Dvd Calendar'!$K$1597&gt;Summary!$C$11)=0,"",'Dvd Calendar'!$K$1597*1000000000+ISNUMBER('Dvd Calendar'!$K$1598)*100000000+('Dvd Calendar'!$K$1602='Field Check'!$C$25)*10000000+(N('Dvd Calendar'!$K$1596)&gt;0)*1000000+6*1000+47))</f>
        <v/>
      </c>
      <c r="AX118" s="41">
        <f>IF(N('Dvd Calendar'!$L$1597)=0,"",IF(('Dvd Calendar'!$L$1597&gt;=MIN(DATE(Summary!$C$12,1,1),Summary!$C$11))*('Dvd Calendar'!$L$1597&lt;=MAX(DATE(Summary!$C$12,12,31),Summary!$C$15))*('Dvd Calendar'!$L$1597&gt;Summary!$C$11)=0,"",'Dvd Calendar'!$L$1597*1000000000+ISNUMBER('Dvd Calendar'!$L$1598)*100000000+('Dvd Calendar'!$L$1602='Field Check'!$C$25)*10000000+(N('Dvd Calendar'!$L$1596)&gt;0)*1000000+6*1000+48))</f>
        <v/>
      </c>
      <c r="AY118" s="41">
        <f>IF(N('Dvd Calendar'!$M$1597)=0,"",IF(('Dvd Calendar'!$M$1597&gt;=MIN(DATE(Summary!$C$12,1,1),Summary!$C$11))*('Dvd Calendar'!$M$1597&lt;=MAX(DATE(Summary!$C$12,12,31),Summary!$C$15))*('Dvd Calendar'!$M$1597&gt;Summary!$C$11)=0,"",'Dvd Calendar'!$M$1597*1000000000+ISNUMBER('Dvd Calendar'!$M$1598)*100000000+('Dvd Calendar'!$M$1602='Field Check'!$C$25)*10000000+(N('Dvd Calendar'!$M$1596)&gt;0)*1000000+6*1000+49))</f>
        <v/>
      </c>
      <c r="AZ118" s="41">
        <f>IF(N('Dvd Calendar'!$N$1597)=0,"",IF(('Dvd Calendar'!$N$1597&gt;=MIN(DATE(Summary!$C$12,1,1),Summary!$C$11))*('Dvd Calendar'!$N$1597&lt;=MAX(DATE(Summary!$C$12,12,31),Summary!$C$15))*('Dvd Calendar'!$N$1597&gt;Summary!$C$11)=0,"",'Dvd Calendar'!$N$1597*1000000000+ISNUMBER('Dvd Calendar'!$N$1598)*100000000+('Dvd Calendar'!$N$1602='Field Check'!$C$25)*10000000+(N('Dvd Calendar'!$N$1596)&gt;0)*1000000+6*1000+50))</f>
        <v/>
      </c>
      <c r="BA118" s="41">
        <f>IF(N('Dvd Calendar'!$O$1597)=0,"",IF(('Dvd Calendar'!$O$1597&gt;=MIN(DATE(Summary!$C$12,1,1),Summary!$C$11))*('Dvd Calendar'!$O$1597&lt;=MAX(DATE(Summary!$C$12,12,31),Summary!$C$15))*('Dvd Calendar'!$O$1597&gt;Summary!$C$11)=0,"",'Dvd Calendar'!$O$1597*1000000000+ISNUMBER('Dvd Calendar'!$O$1598)*100000000+('Dvd Calendar'!$O$1602='Field Check'!$C$25)*10000000+(N('Dvd Calendar'!$O$1596)&gt;0)*1000000+6*1000+51))</f>
        <v/>
      </c>
      <c r="BB118" s="41">
        <f>IF(N('Dvd Calendar'!$P$1597)=0,"",IF(('Dvd Calendar'!$P$1597&gt;=MIN(DATE(Summary!$C$12,1,1),Summary!$C$11))*('Dvd Calendar'!$P$1597&lt;=MAX(DATE(Summary!$C$12,12,31),Summary!$C$15))*('Dvd Calendar'!$P$1597&gt;Summary!$C$11)=0,"",'Dvd Calendar'!$P$1597*1000000000+ISNUMBER('Dvd Calendar'!$P$1598)*100000000+('Dvd Calendar'!$P$1602='Field Check'!$C$25)*10000000+(N('Dvd Calendar'!$P$1596)&gt;0)*1000000+6*1000+52))</f>
        <v/>
      </c>
      <c r="BC118" s="41">
        <f>IF(N('Dvd Calendar'!$Q$1597)=0,"",IF(('Dvd Calendar'!$Q$1597&gt;=MIN(DATE(Summary!$C$12,1,1),Summary!$C$11))*('Dvd Calendar'!$Q$1597&lt;=MAX(DATE(Summary!$C$12,12,31),Summary!$C$15))*('Dvd Calendar'!$Q$1597&gt;Summary!$C$11)=0,"",'Dvd Calendar'!$Q$1597*1000000000+ISNUMBER('Dvd Calendar'!$Q$1598)*100000000+('Dvd Calendar'!$Q$1602='Field Check'!$C$25)*10000000+(N('Dvd Calendar'!$Q$1596)&gt;0)*1000000+6*1000+53))</f>
        <v/>
      </c>
      <c r="BD118" s="41">
        <f>IF(N('Dvd Calendar'!$R$1597)=0,"",IF(('Dvd Calendar'!$R$1597&gt;=MIN(DATE(Summary!$C$12,1,1),Summary!$C$11))*('Dvd Calendar'!$R$1597&lt;=MAX(DATE(Summary!$C$12,12,31),Summary!$C$15))*('Dvd Calendar'!$R$1597&gt;Summary!$C$11)=0,"",'Dvd Calendar'!$R$1597*1000000000+ISNUMBER('Dvd Calendar'!$R$1598)*100000000+('Dvd Calendar'!$R$1602='Field Check'!$C$25)*10000000+(N('Dvd Calendar'!$R$1596)&gt;0)*1000000+6*1000+54))</f>
        <v/>
      </c>
      <c r="BE118" s="41">
        <f>IF(N('Dvd Calendar'!$S$1597)=0,"",IF(('Dvd Calendar'!$S$1597&gt;=MIN(DATE(Summary!$C$12,1,1),Summary!$C$11))*('Dvd Calendar'!$S$1597&lt;=MAX(DATE(Summary!$C$12,12,31),Summary!$C$15))*('Dvd Calendar'!$S$1597&gt;Summary!$C$11)=0,"",'Dvd Calendar'!$S$1597*1000000000+ISNUMBER('Dvd Calendar'!$S$1598)*100000000+('Dvd Calendar'!$S$1602='Field Check'!$C$25)*10000000+(N('Dvd Calendar'!$S$1596)&gt;0)*1000000+6*1000+55))</f>
        <v/>
      </c>
      <c r="BF118" s="41">
        <f>IF(N('Dvd Calendar'!$T$1597)=0,"",IF(('Dvd Calendar'!$T$1597&gt;=MIN(DATE(Summary!$C$12,1,1),Summary!$C$11))*('Dvd Calendar'!$T$1597&lt;=MAX(DATE(Summary!$C$12,12,31),Summary!$C$15))*('Dvd Calendar'!$T$1597&gt;Summary!$C$11)=0,"",'Dvd Calendar'!$T$1597*1000000000+ISNUMBER('Dvd Calendar'!$T$1598)*100000000+('Dvd Calendar'!$T$1602='Field Check'!$C$25)*10000000+(N('Dvd Calendar'!$T$1596)&gt;0)*1000000+6*1000+56))</f>
        <v/>
      </c>
      <c r="BG118" s="41">
        <f>IF(N('Dvd Calendar'!$U$1597)=0,"",IF(('Dvd Calendar'!$U$1597&gt;=MIN(DATE(Summary!$C$12,1,1),Summary!$C$11))*('Dvd Calendar'!$U$1597&lt;=MAX(DATE(Summary!$C$12,12,31),Summary!$C$15))*('Dvd Calendar'!$U$1597&gt;Summary!$C$11)=0,"",'Dvd Calendar'!$U$1597*1000000000+ISNUMBER('Dvd Calendar'!$U$1598)*100000000+('Dvd Calendar'!$U$1602='Field Check'!$C$25)*10000000+(N('Dvd Calendar'!$U$1596)&gt;0)*1000000+6*1000+57))</f>
        <v/>
      </c>
      <c r="BH118" s="41">
        <f>IF(N('Dvd Calendar'!$V$1597)=0,"",IF(('Dvd Calendar'!$V$1597&gt;=MIN(DATE(Summary!$C$12,1,1),Summary!$C$11))*('Dvd Calendar'!$V$1597&lt;=MAX(DATE(Summary!$C$12,12,31),Summary!$C$15))*('Dvd Calendar'!$V$1597&gt;Summary!$C$11)=0,"",'Dvd Calendar'!$V$1597*1000000000+ISNUMBER('Dvd Calendar'!$V$1598)*100000000+('Dvd Calendar'!$V$1602='Field Check'!$C$25)*10000000+(N('Dvd Calendar'!$V$1596)&gt;0)*1000000+6*1000+58))</f>
        <v/>
      </c>
      <c r="BI118" s="41">
        <f>IF(N('Dvd Calendar'!$W$1597)=0,"",IF(('Dvd Calendar'!$W$1597&gt;=MIN(DATE(Summary!$C$12,1,1),Summary!$C$11))*('Dvd Calendar'!$W$1597&lt;=MAX(DATE(Summary!$C$12,12,31),Summary!$C$15))*('Dvd Calendar'!$W$1597&gt;Summary!$C$11)=0,"",'Dvd Calendar'!$W$1597*1000000000+ISNUMBER('Dvd Calendar'!$W$1598)*100000000+('Dvd Calendar'!$W$1602='Field Check'!$C$25)*10000000+(N('Dvd Calendar'!$W$1596)&gt;0)*1000000+6*1000+59))</f>
        <v/>
      </c>
      <c r="BJ118" s="41">
        <f>IF(N('Dvd Calendar'!$X$1597)=0,"",IF(('Dvd Calendar'!$X$1597&gt;=MIN(DATE(Summary!$C$12,1,1),Summary!$C$11))*('Dvd Calendar'!$X$1597&lt;=MAX(DATE(Summary!$C$12,12,31),Summary!$C$15))*('Dvd Calendar'!$X$1597&gt;Summary!$C$11)=0,"",'Dvd Calendar'!$X$1597*1000000000+ISNUMBER('Dvd Calendar'!$X$1598)*100000000+('Dvd Calendar'!$X$1602='Field Check'!$C$25)*10000000+(N('Dvd Calendar'!$X$1596)&gt;0)*1000000+6*1000+60))</f>
        <v/>
      </c>
      <c r="BK118" s="41">
        <f>IF(N('Dvd Calendar'!$Y$1597)=0,"",IF(('Dvd Calendar'!$Y$1597&gt;=MIN(DATE(Summary!$C$12,1,1),Summary!$C$11))*('Dvd Calendar'!$Y$1597&lt;=MAX(DATE(Summary!$C$12,12,31),Summary!$C$15))*('Dvd Calendar'!$Y$1597&gt;Summary!$C$11)=0,"",'Dvd Calendar'!$Y$1597*1000000000+ISNUMBER('Dvd Calendar'!$Y$1598)*100000000+('Dvd Calendar'!$Y$1602='Field Check'!$C$25)*10000000+(N('Dvd Calendar'!$Y$1596)&gt;0)*1000000+6*1000+61))</f>
        <v/>
      </c>
      <c r="BL118" s="41">
        <f>IF(N('Dvd Calendar'!$Z$1597)=0,"",IF(('Dvd Calendar'!$Z$1597&gt;=MIN(DATE(Summary!$C$12,1,1),Summary!$C$11))*('Dvd Calendar'!$Z$1597&lt;=MAX(DATE(Summary!$C$12,12,31),Summary!$C$15))*('Dvd Calendar'!$Z$1597&gt;Summary!$C$11)=0,"",'Dvd Calendar'!$Z$1597*1000000000+ISNUMBER('Dvd Calendar'!$Z$1598)*100000000+('Dvd Calendar'!$Z$1602='Field Check'!$C$25)*10000000+(N('Dvd Calendar'!$Z$1596)&gt;0)*1000000+6*1000+62))</f>
        <v/>
      </c>
      <c r="BM118" s="41">
        <f>IF(N('Dvd Calendar'!$AA$1597)=0,"",IF(('Dvd Calendar'!$AA$1597&gt;=MIN(DATE(Summary!$C$12,1,1),Summary!$C$11))*('Dvd Calendar'!$AA$1597&lt;=MAX(DATE(Summary!$C$12,12,31),Summary!$C$15))*('Dvd Calendar'!$AA$1597&gt;Summary!$C$11)=0,"",'Dvd Calendar'!$AA$1597*1000000000+ISNUMBER('Dvd Calendar'!$AA$1598)*100000000+('Dvd Calendar'!$AA$1602='Field Check'!$C$25)*10000000+(N('Dvd Calendar'!$AA$1596)&gt;0)*1000000+6*1000+63))</f>
        <v/>
      </c>
      <c r="BN118" s="41">
        <f>IF(N('Dvd Calendar'!$AB$1597)=0,"",IF(('Dvd Calendar'!$AB$1597&gt;=MIN(DATE(Summary!$C$12,1,1),Summary!$C$11))*('Dvd Calendar'!$AB$1597&lt;=MAX(DATE(Summary!$C$12,12,31),Summary!$C$15))*('Dvd Calendar'!$AB$1597&gt;Summary!$C$11)=0,"",'Dvd Calendar'!$AB$1597*1000000000+ISNUMBER('Dvd Calendar'!$AB$1598)*100000000+('Dvd Calendar'!$AB$1602='Field Check'!$C$25)*10000000+(N('Dvd Calendar'!$AB$1596)&gt;0)*1000000+6*1000+64))</f>
        <v/>
      </c>
      <c r="BO118" s="41">
        <f>IF(N('Dvd Calendar'!$AC$1597)=0,"",IF(('Dvd Calendar'!$AC$1597&gt;=MIN(DATE(Summary!$C$12,1,1),Summary!$C$11))*('Dvd Calendar'!$AC$1597&lt;=MAX(DATE(Summary!$C$12,12,31),Summary!$C$15))*('Dvd Calendar'!$AC$1597&gt;Summary!$C$11)=0,"",'Dvd Calendar'!$AC$1597*1000000000+ISNUMBER('Dvd Calendar'!$AC$1598)*100000000+('Dvd Calendar'!$AC$1602='Field Check'!$C$25)*10000000+(N('Dvd Calendar'!$AC$1596)&gt;0)*1000000+6*1000+65))</f>
        <v/>
      </c>
      <c r="BQ118" s="85">
        <f>IF(C118="","",IF(ISNUMBER('Dvd Calendar'!$E$1591)=FALSE,"",IF((Summary!$C$13="N")*('Dvd Calendar'!$E$1595='Field Check'!$C$25)&gt;0,"",'Dvd Calendar'!$E$1591)))</f>
        <v/>
      </c>
      <c r="BR118" s="85">
        <f>IF(D118="","",IF(ISNUMBER('Dvd Calendar'!$F$1591)=FALSE,"",IF((Summary!$C$13="N")*('Dvd Calendar'!$F$1595='Field Check'!$C$25)&gt;0,"",'Dvd Calendar'!$F$1591)))</f>
        <v/>
      </c>
      <c r="BS118" s="85">
        <f>IF(E118="","",IF(ISNUMBER('Dvd Calendar'!$G$1591)=FALSE,"",IF((Summary!$C$13="N")*('Dvd Calendar'!$G$1595='Field Check'!$C$25)&gt;0,"",'Dvd Calendar'!$G$1591)))</f>
        <v/>
      </c>
      <c r="BT118" s="85">
        <f>IF(F118="","",IF(ISNUMBER('Dvd Calendar'!$H$1591)=FALSE,"",IF((Summary!$C$13="N")*('Dvd Calendar'!$H$1595='Field Check'!$C$25)&gt;0,"",'Dvd Calendar'!$H$1591)))</f>
        <v/>
      </c>
      <c r="BU118" s="85">
        <f>IF(G118="","",IF(ISNUMBER('Dvd Calendar'!$I$1591)=FALSE,"",IF((Summary!$C$13="N")*('Dvd Calendar'!$I$1595='Field Check'!$C$25)&gt;0,"",'Dvd Calendar'!$I$1591)))</f>
        <v/>
      </c>
      <c r="BV118" s="85">
        <f>IF(H118="","",IF(ISNUMBER('Dvd Calendar'!$J$1591)=FALSE,"",IF((Summary!$C$13="N")*('Dvd Calendar'!$J$1595='Field Check'!$C$25)&gt;0,"",'Dvd Calendar'!$J$1591)))</f>
        <v/>
      </c>
      <c r="BW118" s="85">
        <f>IF(I118="","",IF(ISNUMBER('Dvd Calendar'!$K$1591)=FALSE,"",IF((Summary!$C$13="N")*('Dvd Calendar'!$K$1595='Field Check'!$C$25)&gt;0,"",'Dvd Calendar'!$K$1591)))</f>
        <v/>
      </c>
      <c r="BX118" s="85">
        <f>IF(J118="","",IF(ISNUMBER('Dvd Calendar'!$L$1591)=FALSE,"",IF((Summary!$C$13="N")*('Dvd Calendar'!$L$1595='Field Check'!$C$25)&gt;0,"",'Dvd Calendar'!$L$1591)))</f>
        <v/>
      </c>
      <c r="BY118" s="85">
        <f>IF(K118="","",IF(ISNUMBER('Dvd Calendar'!$M$1591)=FALSE,"",IF((Summary!$C$13="N")*('Dvd Calendar'!$M$1595='Field Check'!$C$25)&gt;0,"",'Dvd Calendar'!$M$1591)))</f>
        <v/>
      </c>
      <c r="BZ118" s="85">
        <f>IF(L118="","",IF(ISNUMBER('Dvd Calendar'!$N$1591)=FALSE,"",IF((Summary!$C$13="N")*('Dvd Calendar'!$N$1595='Field Check'!$C$25)&gt;0,"",'Dvd Calendar'!$N$1591)))</f>
        <v/>
      </c>
      <c r="CA118" s="85">
        <f>IF(M118="","",IF(ISNUMBER('Dvd Calendar'!$O$1591)=FALSE,"",IF((Summary!$C$13="N")*('Dvd Calendar'!$O$1595='Field Check'!$C$25)&gt;0,"",'Dvd Calendar'!$O$1591)))</f>
        <v/>
      </c>
      <c r="CB118" s="85">
        <f>IF(N118="","",IF(ISNUMBER('Dvd Calendar'!$P$1591)=FALSE,"",IF((Summary!$C$13="N")*('Dvd Calendar'!$P$1595='Field Check'!$C$25)&gt;0,"",'Dvd Calendar'!$P$1591)))</f>
        <v/>
      </c>
      <c r="CC118" s="85">
        <f>IF(O118="","",IF(ISNUMBER('Dvd Calendar'!$Q$1591)=FALSE,"",IF((Summary!$C$13="N")*('Dvd Calendar'!$Q$1595='Field Check'!$C$25)&gt;0,"",'Dvd Calendar'!$Q$1591)))</f>
        <v/>
      </c>
      <c r="CD118" s="85">
        <f>IF(P118="","",IF(ISNUMBER('Dvd Calendar'!$R$1591)=FALSE,"",IF((Summary!$C$13="N")*('Dvd Calendar'!$R$1595='Field Check'!$C$25)&gt;0,"",'Dvd Calendar'!$R$1591)))</f>
        <v/>
      </c>
      <c r="CE118" s="85">
        <f>IF(Q118="","",IF(ISNUMBER('Dvd Calendar'!$S$1591)=FALSE,"",IF((Summary!$C$13="N")*('Dvd Calendar'!$S$1595='Field Check'!$C$25)&gt;0,"",'Dvd Calendar'!$S$1591)))</f>
        <v/>
      </c>
      <c r="CF118" s="85">
        <f>IF(R118="","",IF(ISNUMBER('Dvd Calendar'!$T$1591)=FALSE,"",IF((Summary!$C$13="N")*('Dvd Calendar'!$T$1595='Field Check'!$C$25)&gt;0,"",'Dvd Calendar'!$T$1591)))</f>
        <v/>
      </c>
      <c r="CG118" s="85">
        <f>IF(S118="","",IF(ISNUMBER('Dvd Calendar'!$U$1591)=FALSE,"",IF((Summary!$C$13="N")*('Dvd Calendar'!$U$1595='Field Check'!$C$25)&gt;0,"",'Dvd Calendar'!$U$1591)))</f>
        <v/>
      </c>
      <c r="CH118" s="85">
        <f>IF(T118="","",IF(ISNUMBER('Dvd Calendar'!$V$1591)=FALSE,"",IF((Summary!$C$13="N")*('Dvd Calendar'!$V$1595='Field Check'!$C$25)&gt;0,"",'Dvd Calendar'!$V$1591)))</f>
        <v/>
      </c>
      <c r="CI118" s="85">
        <f>IF(U118="","",IF(ISNUMBER('Dvd Calendar'!$W$1591)=FALSE,"",IF((Summary!$C$13="N")*('Dvd Calendar'!$W$1595='Field Check'!$C$25)&gt;0,"",'Dvd Calendar'!$W$1591)))</f>
        <v/>
      </c>
      <c r="CJ118" s="85">
        <f>IF(V118="","",IF(ISNUMBER('Dvd Calendar'!$X$1591)=FALSE,"",IF((Summary!$C$13="N")*('Dvd Calendar'!$X$1595='Field Check'!$C$25)&gt;0,"",'Dvd Calendar'!$X$1591)))</f>
        <v/>
      </c>
      <c r="CK118" s="85">
        <f>IF(W118="","",IF(ISNUMBER('Dvd Calendar'!$Y$1591)=FALSE,"",IF((Summary!$C$13="N")*('Dvd Calendar'!$Y$1595='Field Check'!$C$25)&gt;0,"",'Dvd Calendar'!$Y$1591)))</f>
        <v/>
      </c>
      <c r="CL118" s="85">
        <f>IF(X118="","",IF(ISNUMBER('Dvd Calendar'!$Z$1591)=FALSE,"",IF((Summary!$C$13="N")*('Dvd Calendar'!$Z$1595='Field Check'!$C$25)&gt;0,"",'Dvd Calendar'!$Z$1591)))</f>
        <v/>
      </c>
      <c r="CM118" s="85">
        <f>IF(Y118="","",IF(ISNUMBER('Dvd Calendar'!$AA$1591)=FALSE,"",IF((Summary!$C$13="N")*('Dvd Calendar'!$AA$1595='Field Check'!$C$25)&gt;0,"",'Dvd Calendar'!$AA$1591)))</f>
        <v/>
      </c>
      <c r="CN118" s="85">
        <f>IF(Z118="","",IF(ISNUMBER('Dvd Calendar'!$AB$1591)=FALSE,"",IF((Summary!$C$13="N")*('Dvd Calendar'!$AB$1595='Field Check'!$C$25)&gt;0,"",'Dvd Calendar'!$AB$1591)))</f>
        <v/>
      </c>
      <c r="CO118" s="85">
        <f>IF(AA118="","",IF(ISNUMBER('Dvd Calendar'!$AC$1591)=FALSE,"",IF((Summary!$C$13="N")*('Dvd Calendar'!$AC$1595='Field Check'!$C$25)&gt;0,"",'Dvd Calendar'!$AC$1591)))</f>
        <v/>
      </c>
      <c r="CP118" s="85">
        <f>IF(AB118="","",IF(ISNUMBER('Dvd Calendar'!$AD$1591)=FALSE,"",IF((Summary!$C$13="N")*('Dvd Calendar'!$AD$1595='Field Check'!$C$25)&gt;0,"",'Dvd Calendar'!$AD$1591)))</f>
        <v/>
      </c>
      <c r="CQ118" s="85">
        <f>IF(AC118="","",IF(ISNUMBER('Dvd Calendar'!$AE$1591)=FALSE,"",IF((Summary!$C$13="N")*('Dvd Calendar'!$AE$1595='Field Check'!$C$25)&gt;0,"",'Dvd Calendar'!$AE$1591)))</f>
        <v/>
      </c>
      <c r="CR118" s="85">
        <f>IF(AD118="","",IF(ISNUMBER('Dvd Calendar'!$AF$1591)=FALSE,"",IF((Summary!$C$13="N")*('Dvd Calendar'!$AF$1595='Field Check'!$C$25)&gt;0,"",'Dvd Calendar'!$AF$1591)))</f>
        <v/>
      </c>
      <c r="CS118" s="85">
        <f>IF(AE118="","",IF(ISNUMBER('Dvd Calendar'!$AG$1591)=FALSE,"",IF((Summary!$C$13="N")*('Dvd Calendar'!$AG$1595='Field Check'!$C$25)&gt;0,"",'Dvd Calendar'!$AG$1591)))</f>
        <v/>
      </c>
      <c r="CT118" s="85">
        <f>IF(AF118="","",IF(ISNUMBER('Dvd Calendar'!$AH$1591)=FALSE,"",IF((Summary!$C$13="N")*('Dvd Calendar'!$AH$1595='Field Check'!$C$25)&gt;0,"",'Dvd Calendar'!$AH$1591)))</f>
        <v/>
      </c>
      <c r="CU118" s="85">
        <f>IF(AG118="","",IF(ISNUMBER('Dvd Calendar'!$AI$1591)=FALSE,"",IF((Summary!$C$13="N")*('Dvd Calendar'!$AI$1595='Field Check'!$C$25)&gt;0,"",'Dvd Calendar'!$AI$1591)))</f>
        <v/>
      </c>
      <c r="CV118" s="85">
        <f>IF(AH118="","",IF(ISNUMBER('Dvd Calendar'!$AJ$1591)=FALSE,"",IF((Summary!$C$13="N")*('Dvd Calendar'!$AJ$1595='Field Check'!$C$25)&gt;0,"",'Dvd Calendar'!$AJ$1591)))</f>
        <v/>
      </c>
      <c r="CW118" s="85">
        <f>IF(AI118="","",IF(ISNUMBER('Dvd Calendar'!$AK$1591)=FALSE,"",IF((Summary!$C$13="N")*('Dvd Calendar'!$AK$1595='Field Check'!$C$25)&gt;0,"",'Dvd Calendar'!$AK$1591)))</f>
        <v/>
      </c>
      <c r="CX118" s="85">
        <f>IF(AJ118="","",IF(ISNUMBER('Dvd Calendar'!$AL$1591)=FALSE,"",IF((Summary!$C$13="N")*('Dvd Calendar'!$AL$1595='Field Check'!$C$25)&gt;0,"",'Dvd Calendar'!$AL$1591)))</f>
        <v/>
      </c>
      <c r="CY118" s="85">
        <f>IF(AK118="","",IF(ISNUMBER('Dvd Calendar'!$AM$1591)=FALSE,"",IF((Summary!$C$13="N")*('Dvd Calendar'!$AM$1595='Field Check'!$C$25)&gt;0,"",'Dvd Calendar'!$AM$1591)))</f>
        <v/>
      </c>
      <c r="CZ118" s="85">
        <f>IF(AL118="","",IF(ISNUMBER('Dvd Calendar'!$AN$1591)=FALSE,"",IF((Summary!$C$13="N")*('Dvd Calendar'!$AN$1595='Field Check'!$C$25)&gt;0,"",'Dvd Calendar'!$AN$1591)))</f>
        <v/>
      </c>
      <c r="DA118" s="85">
        <f>IF(AM118="","",IF(ISNUMBER('Dvd Calendar'!$AO$1591)=FALSE,"",IF((Summary!$C$13="N")*('Dvd Calendar'!$AO$1595='Field Check'!$C$25)&gt;0,"",'Dvd Calendar'!$AO$1591)))</f>
        <v/>
      </c>
      <c r="DB118" s="85">
        <f>IF(AN118="","",IF(ISNUMBER('Dvd Calendar'!$AP$1591)=FALSE,"",IF((Summary!$C$13="N")*('Dvd Calendar'!$AP$1595='Field Check'!$C$25)&gt;0,"",'Dvd Calendar'!$AP$1591)))</f>
        <v/>
      </c>
      <c r="DC118" s="85">
        <f>IF(AO118="","",IF(ISNUMBER('Dvd Calendar'!$AQ$1591)=FALSE,"",IF((Summary!$C$13="N")*('Dvd Calendar'!$AQ$1595='Field Check'!$C$25)&gt;0,"",'Dvd Calendar'!$AQ$1591)))</f>
        <v/>
      </c>
      <c r="DD118" s="85">
        <f>IF(AP118="","",IF(ISNUMBER('Dvd Calendar'!$AR$1591)=FALSE,"",IF((Summary!$C$13="N")*('Dvd Calendar'!$AR$1595='Field Check'!$C$25)&gt;0,"",'Dvd Calendar'!$AR$1591)))</f>
        <v/>
      </c>
      <c r="DE118" s="85">
        <f>IF(AQ118="","",IF(ISNUMBER('Dvd Calendar'!$E$1598)=FALSE,"",IF((Summary!$C$13="N")*('Dvd Calendar'!$E$1602='Field Check'!$C$25)&gt;0,"",'Dvd Calendar'!$E$1598)))</f>
        <v/>
      </c>
      <c r="DF118" s="85">
        <f>IF(AR118="","",IF(ISNUMBER('Dvd Calendar'!$F$1598)=FALSE,"",IF((Summary!$C$13="N")*('Dvd Calendar'!$F$1602='Field Check'!$C$25)&gt;0,"",'Dvd Calendar'!$F$1598)))</f>
        <v/>
      </c>
      <c r="DG118" s="85">
        <f>IF(AS118="","",IF(ISNUMBER('Dvd Calendar'!$G$1598)=FALSE,"",IF((Summary!$C$13="N")*('Dvd Calendar'!$G$1602='Field Check'!$C$25)&gt;0,"",'Dvd Calendar'!$G$1598)))</f>
        <v/>
      </c>
      <c r="DH118" s="85">
        <f>IF(AT118="","",IF(ISNUMBER('Dvd Calendar'!$H$1598)=FALSE,"",IF((Summary!$C$13="N")*('Dvd Calendar'!$H$1602='Field Check'!$C$25)&gt;0,"",'Dvd Calendar'!$H$1598)))</f>
        <v/>
      </c>
      <c r="DI118" s="85">
        <f>IF(AU118="","",IF(ISNUMBER('Dvd Calendar'!$I$1598)=FALSE,"",IF((Summary!$C$13="N")*('Dvd Calendar'!$I$1602='Field Check'!$C$25)&gt;0,"",'Dvd Calendar'!$I$1598)))</f>
        <v/>
      </c>
      <c r="DJ118" s="85">
        <f>IF(AV118="","",IF(ISNUMBER('Dvd Calendar'!$J$1598)=FALSE,"",IF((Summary!$C$13="N")*('Dvd Calendar'!$J$1602='Field Check'!$C$25)&gt;0,"",'Dvd Calendar'!$J$1598)))</f>
        <v/>
      </c>
      <c r="DK118" s="85">
        <f>IF(AW118="","",IF(ISNUMBER('Dvd Calendar'!$K$1598)=FALSE,"",IF((Summary!$C$13="N")*('Dvd Calendar'!$K$1602='Field Check'!$C$25)&gt;0,"",'Dvd Calendar'!$K$1598)))</f>
        <v/>
      </c>
      <c r="DL118" s="85">
        <f>IF(AX118="","",IF(ISNUMBER('Dvd Calendar'!$L$1598)=FALSE,"",IF((Summary!$C$13="N")*('Dvd Calendar'!$L$1602='Field Check'!$C$25)&gt;0,"",'Dvd Calendar'!$L$1598)))</f>
        <v/>
      </c>
      <c r="DM118" s="85">
        <f>IF(AY118="","",IF(ISNUMBER('Dvd Calendar'!$M$1598)=FALSE,"",IF((Summary!$C$13="N")*('Dvd Calendar'!$M$1602='Field Check'!$C$25)&gt;0,"",'Dvd Calendar'!$M$1598)))</f>
        <v/>
      </c>
      <c r="DN118" s="85">
        <f>IF(AZ118="","",IF(ISNUMBER('Dvd Calendar'!$N$1598)=FALSE,"",IF((Summary!$C$13="N")*('Dvd Calendar'!$N$1602='Field Check'!$C$25)&gt;0,"",'Dvd Calendar'!$N$1598)))</f>
        <v/>
      </c>
      <c r="DO118" s="85">
        <f>IF(BA118="","",IF(ISNUMBER('Dvd Calendar'!$O$1598)=FALSE,"",IF((Summary!$C$13="N")*('Dvd Calendar'!$O$1602='Field Check'!$C$25)&gt;0,"",'Dvd Calendar'!$O$1598)))</f>
        <v/>
      </c>
      <c r="DP118" s="85">
        <f>IF(BB118="","",IF(ISNUMBER('Dvd Calendar'!$P$1598)=FALSE,"",IF((Summary!$C$13="N")*('Dvd Calendar'!$P$1602='Field Check'!$C$25)&gt;0,"",'Dvd Calendar'!$P$1598)))</f>
        <v/>
      </c>
      <c r="DQ118" s="85">
        <f>IF(BC118="","",IF(ISNUMBER('Dvd Calendar'!$Q$1598)=FALSE,"",IF((Summary!$C$13="N")*('Dvd Calendar'!$Q$1602='Field Check'!$C$25)&gt;0,"",'Dvd Calendar'!$Q$1598)))</f>
        <v/>
      </c>
      <c r="DR118" s="85">
        <f>IF(BD118="","",IF(ISNUMBER('Dvd Calendar'!$R$1598)=FALSE,"",IF((Summary!$C$13="N")*('Dvd Calendar'!$R$1602='Field Check'!$C$25)&gt;0,"",'Dvd Calendar'!$R$1598)))</f>
        <v/>
      </c>
      <c r="DS118" s="85">
        <f>IF(BE118="","",IF(ISNUMBER('Dvd Calendar'!$S$1598)=FALSE,"",IF((Summary!$C$13="N")*('Dvd Calendar'!$S$1602='Field Check'!$C$25)&gt;0,"",'Dvd Calendar'!$S$1598)))</f>
        <v/>
      </c>
      <c r="DT118" s="85">
        <f>IF(BF118="","",IF(ISNUMBER('Dvd Calendar'!$T$1598)=FALSE,"",IF((Summary!$C$13="N")*('Dvd Calendar'!$T$1602='Field Check'!$C$25)&gt;0,"",'Dvd Calendar'!$T$1598)))</f>
        <v/>
      </c>
      <c r="DU118" s="85">
        <f>IF(BG118="","",IF(ISNUMBER('Dvd Calendar'!$U$1598)=FALSE,"",IF((Summary!$C$13="N")*('Dvd Calendar'!$U$1602='Field Check'!$C$25)&gt;0,"",'Dvd Calendar'!$U$1598)))</f>
        <v/>
      </c>
      <c r="DV118" s="85">
        <f>IF(BH118="","",IF(ISNUMBER('Dvd Calendar'!$V$1598)=FALSE,"",IF((Summary!$C$13="N")*('Dvd Calendar'!$V$1602='Field Check'!$C$25)&gt;0,"",'Dvd Calendar'!$V$1598)))</f>
        <v/>
      </c>
      <c r="DW118" s="85">
        <f>IF(BI118="","",IF(ISNUMBER('Dvd Calendar'!$W$1598)=FALSE,"",IF((Summary!$C$13="N")*('Dvd Calendar'!$W$1602='Field Check'!$C$25)&gt;0,"",'Dvd Calendar'!$W$1598)))</f>
        <v/>
      </c>
      <c r="DX118" s="85">
        <f>IF(BJ118="","",IF(ISNUMBER('Dvd Calendar'!$X$1598)=FALSE,"",IF((Summary!$C$13="N")*('Dvd Calendar'!$X$1602='Field Check'!$C$25)&gt;0,"",'Dvd Calendar'!$X$1598)))</f>
        <v/>
      </c>
      <c r="DY118" s="85">
        <f>IF(BK118="","",IF(ISNUMBER('Dvd Calendar'!$Y$1598)=FALSE,"",IF((Summary!$C$13="N")*('Dvd Calendar'!$Y$1602='Field Check'!$C$25)&gt;0,"",'Dvd Calendar'!$Y$1598)))</f>
        <v/>
      </c>
      <c r="DZ118" s="85">
        <f>IF(BL118="","",IF(ISNUMBER('Dvd Calendar'!$Z$1598)=FALSE,"",IF((Summary!$C$13="N")*('Dvd Calendar'!$Z$1602='Field Check'!$C$25)&gt;0,"",'Dvd Calendar'!$Z$1598)))</f>
        <v/>
      </c>
      <c r="EA118" s="85">
        <f>IF(BM118="","",IF(ISNUMBER('Dvd Calendar'!$AA$1598)=FALSE,"",IF((Summary!$C$13="N")*('Dvd Calendar'!$AA$1602='Field Check'!$C$25)&gt;0,"",'Dvd Calendar'!$AA$1598)))</f>
        <v/>
      </c>
      <c r="EB118" s="85">
        <f>IF(BN118="","",IF(ISNUMBER('Dvd Calendar'!$AB$1598)=FALSE,"",IF((Summary!$C$13="N")*('Dvd Calendar'!$AB$1602='Field Check'!$C$25)&gt;0,"",'Dvd Calendar'!$AB$1598)))</f>
        <v/>
      </c>
      <c r="EC118" s="85">
        <f>IF(BO118="","",IF(ISNUMBER('Dvd Calendar'!$AC$1598)=FALSE,"",IF((Summary!$C$13="N")*('Dvd Calendar'!$AC$1602='Field Check'!$C$25)&gt;0,"",'Dvd Calendar'!$AC$1598)))</f>
        <v/>
      </c>
      <c r="EE118" s="85">
        <f>IF(BQ118="","",IFERROR(BQ118*HSTECH!$B$12*HSTECH!$G$12/HSTECH!$B$3,""))</f>
        <v/>
      </c>
      <c r="EF118" s="85">
        <f>IF(BR118="","",IFERROR(BR118*HSTECH!$B$12*HSTECH!$G$12/HSTECH!$B$3,""))</f>
        <v/>
      </c>
      <c r="EG118" s="85">
        <f>IF(BS118="","",IFERROR(BS118*HSTECH!$B$12*HSTECH!$G$12/HSTECH!$B$3,""))</f>
        <v/>
      </c>
      <c r="EH118" s="85">
        <f>IF(BT118="","",IFERROR(BT118*HSTECH!$B$12*HSTECH!$G$12/HSTECH!$B$3,""))</f>
        <v/>
      </c>
      <c r="EI118" s="85">
        <f>IF(BU118="","",IFERROR(BU118*HSTECH!$B$12*HSTECH!$G$12/HSTECH!$B$3,""))</f>
        <v/>
      </c>
      <c r="EJ118" s="85">
        <f>IF(BV118="","",IFERROR(BV118*HSTECH!$B$12*HSTECH!$G$12/HSTECH!$B$3,""))</f>
        <v/>
      </c>
      <c r="EK118" s="85">
        <f>IF(BW118="","",IFERROR(BW118*HSTECH!$B$12*HSTECH!$G$12/HSTECH!$B$3,""))</f>
        <v/>
      </c>
      <c r="EL118" s="85">
        <f>IF(BX118="","",IFERROR(BX118*HSTECH!$B$12*HSTECH!$G$12/HSTECH!$B$3,""))</f>
        <v/>
      </c>
      <c r="EM118" s="85">
        <f>IF(BY118="","",IFERROR(BY118*HSTECH!$B$12*HSTECH!$G$12/HSTECH!$B$3,""))</f>
        <v/>
      </c>
      <c r="EN118" s="85">
        <f>IF(BZ118="","",IFERROR(BZ118*HSTECH!$B$12*HSTECH!$G$12/HSTECH!$B$3,""))</f>
        <v/>
      </c>
      <c r="EO118" s="85">
        <f>IF(CA118="","",IFERROR(CA118*HSTECH!$B$12*HSTECH!$G$12/HSTECH!$B$3,""))</f>
        <v/>
      </c>
      <c r="EP118" s="85">
        <f>IF(CB118="","",IFERROR(CB118*HSTECH!$B$12*HSTECH!$G$12/HSTECH!$B$3,""))</f>
        <v/>
      </c>
      <c r="EQ118" s="85">
        <f>IF(CC118="","",IFERROR(CC118*HSTECH!$B$12*HSTECH!$G$12/HSTECH!$B$3,""))</f>
        <v/>
      </c>
      <c r="ER118" s="85">
        <f>IF(CD118="","",IFERROR(CD118*HSTECH!$B$12*HSTECH!$G$12/HSTECH!$B$3,""))</f>
        <v/>
      </c>
      <c r="ES118" s="85">
        <f>IF(CE118="","",IFERROR(CE118*HSTECH!$B$12*HSTECH!$G$12/HSTECH!$B$3,""))</f>
        <v/>
      </c>
      <c r="ET118" s="85">
        <f>IF(CF118="","",IFERROR(CF118*HSTECH!$B$12*HSTECH!$G$12/HSTECH!$B$3,""))</f>
        <v/>
      </c>
      <c r="EU118" s="85">
        <f>IF(CG118="","",IFERROR(CG118*HSTECH!$B$12*HSTECH!$G$12/HSTECH!$B$3,""))</f>
        <v/>
      </c>
      <c r="EV118" s="85">
        <f>IF(CH118="","",IFERROR(CH118*HSTECH!$B$12*HSTECH!$G$12/HSTECH!$B$3,""))</f>
        <v/>
      </c>
      <c r="EW118" s="85">
        <f>IF(CI118="","",IFERROR(CI118*HSTECH!$B$12*HSTECH!$G$12/HSTECH!$B$3,""))</f>
        <v/>
      </c>
      <c r="EX118" s="85">
        <f>IF(CJ118="","",IFERROR(CJ118*HSTECH!$B$12*HSTECH!$G$12/HSTECH!$B$3,""))</f>
        <v/>
      </c>
      <c r="EY118" s="85">
        <f>IF(CK118="","",IFERROR(CK118*HSTECH!$B$12*HSTECH!$G$12/HSTECH!$B$3,""))</f>
        <v/>
      </c>
      <c r="EZ118" s="85">
        <f>IF(CL118="","",IFERROR(CL118*HSTECH!$B$12*HSTECH!$G$12/HSTECH!$B$3,""))</f>
        <v/>
      </c>
      <c r="FA118" s="85">
        <f>IF(CM118="","",IFERROR(CM118*HSTECH!$B$12*HSTECH!$G$12/HSTECH!$B$3,""))</f>
        <v/>
      </c>
      <c r="FB118" s="85">
        <f>IF(CN118="","",IFERROR(CN118*HSTECH!$B$12*HSTECH!$G$12/HSTECH!$B$3,""))</f>
        <v/>
      </c>
      <c r="FC118" s="85">
        <f>IF(CO118="","",IFERROR(CO118*HSTECH!$B$12*HSTECH!$G$12/HSTECH!$B$3,""))</f>
        <v/>
      </c>
      <c r="FD118" s="85">
        <f>IF(CP118="","",IFERROR(CP118*HSTECH!$B$12*HSTECH!$G$12/HSTECH!$B$3,""))</f>
        <v/>
      </c>
      <c r="FE118" s="85">
        <f>IF(CQ118="","",IFERROR(CQ118*HSTECH!$B$12*HSTECH!$G$12/HSTECH!$B$3,""))</f>
        <v/>
      </c>
      <c r="FF118" s="85">
        <f>IF(CR118="","",IFERROR(CR118*HSTECH!$B$12*HSTECH!$G$12/HSTECH!$B$3,""))</f>
        <v/>
      </c>
      <c r="FG118" s="85">
        <f>IF(CS118="","",IFERROR(CS118*HSTECH!$B$12*HSTECH!$G$12/HSTECH!$B$3,""))</f>
        <v/>
      </c>
      <c r="FH118" s="85">
        <f>IF(CT118="","",IFERROR(CT118*HSTECH!$B$12*HSTECH!$G$12/HSTECH!$B$3,""))</f>
        <v/>
      </c>
      <c r="FI118" s="85">
        <f>IF(CU118="","",IFERROR(CU118*HSTECH!$B$12*HSTECH!$G$12/HSTECH!$B$3,""))</f>
        <v/>
      </c>
      <c r="FJ118" s="85">
        <f>IF(CV118="","",IFERROR(CV118*HSTECH!$B$12*HSTECH!$G$12/HSTECH!$B$3,""))</f>
        <v/>
      </c>
      <c r="FK118" s="85">
        <f>IF(CW118="","",IFERROR(CW118*HSTECH!$B$12*HSTECH!$G$12/HSTECH!$B$3,""))</f>
        <v/>
      </c>
      <c r="FL118" s="85">
        <f>IF(CX118="","",IFERROR(CX118*HSTECH!$B$12*HSTECH!$G$12/HSTECH!$B$3,""))</f>
        <v/>
      </c>
      <c r="FM118" s="85">
        <f>IF(CY118="","",IFERROR(CY118*HSTECH!$B$12*HSTECH!$G$12/HSTECH!$B$3,""))</f>
        <v/>
      </c>
      <c r="FN118" s="85">
        <f>IF(CZ118="","",IFERROR(CZ118*HSTECH!$B$12*HSTECH!$G$12/HSTECH!$B$3,""))</f>
        <v/>
      </c>
      <c r="FO118" s="85">
        <f>IF(DA118="","",IFERROR(DA118*HSTECH!$B$12*HSTECH!$G$12/HSTECH!$B$3,""))</f>
        <v/>
      </c>
      <c r="FP118" s="85">
        <f>IF(DB118="","",IFERROR(DB118*HSTECH!$B$12*HSTECH!$G$12/HSTECH!$B$3,""))</f>
        <v/>
      </c>
      <c r="FQ118" s="85">
        <f>IF(DC118="","",IFERROR(DC118*HSTECH!$B$12*HSTECH!$G$12/HSTECH!$B$3,""))</f>
        <v/>
      </c>
      <c r="FR118" s="85">
        <f>IF(DD118="","",IFERROR(DD118*HSTECH!$B$12*HSTECH!$G$12/HSTECH!$B$3,""))</f>
        <v/>
      </c>
      <c r="FS118" s="85">
        <f>IF(DE118="","",IFERROR(DE118*HSTECH!$B$12*HSTECH!$G$12/HSTECH!$B$3,""))</f>
        <v/>
      </c>
      <c r="FT118" s="85">
        <f>IF(DF118="","",IFERROR(DF118*HSTECH!$B$12*HSTECH!$G$12/HSTECH!$B$3,""))</f>
        <v/>
      </c>
      <c r="FU118" s="85">
        <f>IF(DG118="","",IFERROR(DG118*HSTECH!$B$12*HSTECH!$G$12/HSTECH!$B$3,""))</f>
        <v/>
      </c>
      <c r="FV118" s="85">
        <f>IF(DH118="","",IFERROR(DH118*HSTECH!$B$12*HSTECH!$G$12/HSTECH!$B$3,""))</f>
        <v/>
      </c>
      <c r="FW118" s="85">
        <f>IF(DI118="","",IFERROR(DI118*HSTECH!$B$12*HSTECH!$G$12/HSTECH!$B$3,""))</f>
        <v/>
      </c>
      <c r="FX118" s="85">
        <f>IF(DJ118="","",IFERROR(DJ118*HSTECH!$B$12*HSTECH!$G$12/HSTECH!$B$3,""))</f>
        <v/>
      </c>
      <c r="FY118" s="85">
        <f>IF(DK118="","",IFERROR(DK118*HSTECH!$B$12*HSTECH!$G$12/HSTECH!$B$3,""))</f>
        <v/>
      </c>
      <c r="FZ118" s="85">
        <f>IF(DL118="","",IFERROR(DL118*HSTECH!$B$12*HSTECH!$G$12/HSTECH!$B$3,""))</f>
        <v/>
      </c>
      <c r="GA118" s="85">
        <f>IF(DM118="","",IFERROR(DM118*HSTECH!$B$12*HSTECH!$G$12/HSTECH!$B$3,""))</f>
        <v/>
      </c>
      <c r="GB118" s="85">
        <f>IF(DN118="","",IFERROR(DN118*HSTECH!$B$12*HSTECH!$G$12/HSTECH!$B$3,""))</f>
        <v/>
      </c>
      <c r="GC118" s="85">
        <f>IF(DO118="","",IFERROR(DO118*HSTECH!$B$12*HSTECH!$G$12/HSTECH!$B$3,""))</f>
        <v/>
      </c>
      <c r="GD118" s="85">
        <f>IF(DP118="","",IFERROR(DP118*HSTECH!$B$12*HSTECH!$G$12/HSTECH!$B$3,""))</f>
        <v/>
      </c>
      <c r="GE118" s="85">
        <f>IF(DQ118="","",IFERROR(DQ118*HSTECH!$B$12*HSTECH!$G$12/HSTECH!$B$3,""))</f>
        <v/>
      </c>
      <c r="GF118" s="85">
        <f>IF(DR118="","",IFERROR(DR118*HSTECH!$B$12*HSTECH!$G$12/HSTECH!$B$3,""))</f>
        <v/>
      </c>
      <c r="GG118" s="85">
        <f>IF(DS118="","",IFERROR(DS118*HSTECH!$B$12*HSTECH!$G$12/HSTECH!$B$3,""))</f>
        <v/>
      </c>
      <c r="GH118" s="85">
        <f>IF(DT118="","",IFERROR(DT118*HSTECH!$B$12*HSTECH!$G$12/HSTECH!$B$3,""))</f>
        <v/>
      </c>
      <c r="GI118" s="85">
        <f>IF(DU118="","",IFERROR(DU118*HSTECH!$B$12*HSTECH!$G$12/HSTECH!$B$3,""))</f>
        <v/>
      </c>
      <c r="GJ118" s="85">
        <f>IF(DV118="","",IFERROR(DV118*HSTECH!$B$12*HSTECH!$G$12/HSTECH!$B$3,""))</f>
        <v/>
      </c>
      <c r="GK118" s="85">
        <f>IF(DW118="","",IFERROR(DW118*HSTECH!$B$12*HSTECH!$G$12/HSTECH!$B$3,""))</f>
        <v/>
      </c>
      <c r="GL118" s="85">
        <f>IF(DX118="","",IFERROR(DX118*HSTECH!$B$12*HSTECH!$G$12/HSTECH!$B$3,""))</f>
        <v/>
      </c>
      <c r="GM118" s="85">
        <f>IF(DY118="","",IFERROR(DY118*HSTECH!$B$12*HSTECH!$G$12/HSTECH!$B$3,""))</f>
        <v/>
      </c>
      <c r="GN118" s="85">
        <f>IF(DZ118="","",IFERROR(DZ118*HSTECH!$B$12*HSTECH!$G$12/HSTECH!$B$3,""))</f>
        <v/>
      </c>
      <c r="GO118" s="85">
        <f>IF(EA118="","",IFERROR(EA118*HSTECH!$B$12*HSTECH!$G$12/HSTECH!$B$3,""))</f>
        <v/>
      </c>
      <c r="GP118" s="85">
        <f>IF(EB118="","",IFERROR(EB118*HSTECH!$B$12*HSTECH!$G$12/HSTECH!$B$3,""))</f>
        <v/>
      </c>
      <c r="GQ118" s="85">
        <f>IF(EC118="","",IFERROR(EC118*HSTECH!$B$12*HSTECH!$G$12/HSTECH!$B$3,""))</f>
        <v/>
      </c>
    </row>
    <row r="119">
      <c r="B119" s="2">
        <f>IF(HSTECH!$C$13="","",HSTECH!$C$13)</f>
        <v/>
      </c>
      <c r="C119" s="41">
        <f>IF(N('Dvd Calendar'!$E$1605)=0,"",IF(('Dvd Calendar'!$E$1605&gt;=MIN(DATE(Summary!$C$12,1,1),Summary!$C$11))*('Dvd Calendar'!$E$1605&lt;=MAX(DATE(Summary!$C$12,12,31),Summary!$C$15))*('Dvd Calendar'!$E$1605&lt;=Summary!$C$11)=0,"",'Dvd Calendar'!$E$1605*1000000000+ISNUMBER('Dvd Calendar'!$E$1606)*100000000+('Dvd Calendar'!$E$1610='Field Check'!$C$25)*10000000+(N('Dvd Calendar'!$E$1604)&gt;0)*1000000+7*1000+1))</f>
        <v/>
      </c>
      <c r="D119" s="41">
        <f>IF(N('Dvd Calendar'!$F$1605)=0,"",IF(('Dvd Calendar'!$F$1605&gt;=MIN(DATE(Summary!$C$12,1,1),Summary!$C$11))*('Dvd Calendar'!$F$1605&lt;=MAX(DATE(Summary!$C$12,12,31),Summary!$C$15))*('Dvd Calendar'!$F$1605&lt;=Summary!$C$11)=0,"",'Dvd Calendar'!$F$1605*1000000000+ISNUMBER('Dvd Calendar'!$F$1606)*100000000+('Dvd Calendar'!$F$1610='Field Check'!$C$25)*10000000+(N('Dvd Calendar'!$F$1604)&gt;0)*1000000+7*1000+2))</f>
        <v/>
      </c>
      <c r="E119" s="41">
        <f>IF(N('Dvd Calendar'!$G$1605)=0,"",IF(('Dvd Calendar'!$G$1605&gt;=MIN(DATE(Summary!$C$12,1,1),Summary!$C$11))*('Dvd Calendar'!$G$1605&lt;=MAX(DATE(Summary!$C$12,12,31),Summary!$C$15))*('Dvd Calendar'!$G$1605&lt;=Summary!$C$11)=0,"",'Dvd Calendar'!$G$1605*1000000000+ISNUMBER('Dvd Calendar'!$G$1606)*100000000+('Dvd Calendar'!$G$1610='Field Check'!$C$25)*10000000+(N('Dvd Calendar'!$G$1604)&gt;0)*1000000+7*1000+3))</f>
        <v/>
      </c>
      <c r="F119" s="41">
        <f>IF(N('Dvd Calendar'!$H$1605)=0,"",IF(('Dvd Calendar'!$H$1605&gt;=MIN(DATE(Summary!$C$12,1,1),Summary!$C$11))*('Dvd Calendar'!$H$1605&lt;=MAX(DATE(Summary!$C$12,12,31),Summary!$C$15))*('Dvd Calendar'!$H$1605&lt;=Summary!$C$11)=0,"",'Dvd Calendar'!$H$1605*1000000000+ISNUMBER('Dvd Calendar'!$H$1606)*100000000+('Dvd Calendar'!$H$1610='Field Check'!$C$25)*10000000+(N('Dvd Calendar'!$H$1604)&gt;0)*1000000+7*1000+4))</f>
        <v/>
      </c>
      <c r="G119" s="41">
        <f>IF(N('Dvd Calendar'!$I$1605)=0,"",IF(('Dvd Calendar'!$I$1605&gt;=MIN(DATE(Summary!$C$12,1,1),Summary!$C$11))*('Dvd Calendar'!$I$1605&lt;=MAX(DATE(Summary!$C$12,12,31),Summary!$C$15))*('Dvd Calendar'!$I$1605&lt;=Summary!$C$11)=0,"",'Dvd Calendar'!$I$1605*1000000000+ISNUMBER('Dvd Calendar'!$I$1606)*100000000+('Dvd Calendar'!$I$1610='Field Check'!$C$25)*10000000+(N('Dvd Calendar'!$I$1604)&gt;0)*1000000+7*1000+5))</f>
        <v/>
      </c>
      <c r="H119" s="41">
        <f>IF(N('Dvd Calendar'!$J$1605)=0,"",IF(('Dvd Calendar'!$J$1605&gt;=MIN(DATE(Summary!$C$12,1,1),Summary!$C$11))*('Dvd Calendar'!$J$1605&lt;=MAX(DATE(Summary!$C$12,12,31),Summary!$C$15))*('Dvd Calendar'!$J$1605&lt;=Summary!$C$11)=0,"",'Dvd Calendar'!$J$1605*1000000000+ISNUMBER('Dvd Calendar'!$J$1606)*100000000+('Dvd Calendar'!$J$1610='Field Check'!$C$25)*10000000+(N('Dvd Calendar'!$J$1604)&gt;0)*1000000+7*1000+6))</f>
        <v/>
      </c>
      <c r="I119" s="41">
        <f>IF(N('Dvd Calendar'!$K$1605)=0,"",IF(('Dvd Calendar'!$K$1605&gt;=MIN(DATE(Summary!$C$12,1,1),Summary!$C$11))*('Dvd Calendar'!$K$1605&lt;=MAX(DATE(Summary!$C$12,12,31),Summary!$C$15))*('Dvd Calendar'!$K$1605&lt;=Summary!$C$11)=0,"",'Dvd Calendar'!$K$1605*1000000000+ISNUMBER('Dvd Calendar'!$K$1606)*100000000+('Dvd Calendar'!$K$1610='Field Check'!$C$25)*10000000+(N('Dvd Calendar'!$K$1604)&gt;0)*1000000+7*1000+7))</f>
        <v/>
      </c>
      <c r="J119" s="41">
        <f>IF(N('Dvd Calendar'!$L$1605)=0,"",IF(('Dvd Calendar'!$L$1605&gt;=MIN(DATE(Summary!$C$12,1,1),Summary!$C$11))*('Dvd Calendar'!$L$1605&lt;=MAX(DATE(Summary!$C$12,12,31),Summary!$C$15))*('Dvd Calendar'!$L$1605&lt;=Summary!$C$11)=0,"",'Dvd Calendar'!$L$1605*1000000000+ISNUMBER('Dvd Calendar'!$L$1606)*100000000+('Dvd Calendar'!$L$1610='Field Check'!$C$25)*10000000+(N('Dvd Calendar'!$L$1604)&gt;0)*1000000+7*1000+8))</f>
        <v/>
      </c>
      <c r="K119" s="41">
        <f>IF(N('Dvd Calendar'!$M$1605)=0,"",IF(('Dvd Calendar'!$M$1605&gt;=MIN(DATE(Summary!$C$12,1,1),Summary!$C$11))*('Dvd Calendar'!$M$1605&lt;=MAX(DATE(Summary!$C$12,12,31),Summary!$C$15))*('Dvd Calendar'!$M$1605&lt;=Summary!$C$11)=0,"",'Dvd Calendar'!$M$1605*1000000000+ISNUMBER('Dvd Calendar'!$M$1606)*100000000+('Dvd Calendar'!$M$1610='Field Check'!$C$25)*10000000+(N('Dvd Calendar'!$M$1604)&gt;0)*1000000+7*1000+9))</f>
        <v/>
      </c>
      <c r="L119" s="41">
        <f>IF(N('Dvd Calendar'!$N$1605)=0,"",IF(('Dvd Calendar'!$N$1605&gt;=MIN(DATE(Summary!$C$12,1,1),Summary!$C$11))*('Dvd Calendar'!$N$1605&lt;=MAX(DATE(Summary!$C$12,12,31),Summary!$C$15))*('Dvd Calendar'!$N$1605&lt;=Summary!$C$11)=0,"",'Dvd Calendar'!$N$1605*1000000000+ISNUMBER('Dvd Calendar'!$N$1606)*100000000+('Dvd Calendar'!$N$1610='Field Check'!$C$25)*10000000+(N('Dvd Calendar'!$N$1604)&gt;0)*1000000+7*1000+10))</f>
        <v/>
      </c>
      <c r="M119" s="41">
        <f>IF(N('Dvd Calendar'!$O$1605)=0,"",IF(('Dvd Calendar'!$O$1605&gt;=MIN(DATE(Summary!$C$12,1,1),Summary!$C$11))*('Dvd Calendar'!$O$1605&lt;=MAX(DATE(Summary!$C$12,12,31),Summary!$C$15))*('Dvd Calendar'!$O$1605&lt;=Summary!$C$11)=0,"",'Dvd Calendar'!$O$1605*1000000000+ISNUMBER('Dvd Calendar'!$O$1606)*100000000+('Dvd Calendar'!$O$1610='Field Check'!$C$25)*10000000+(N('Dvd Calendar'!$O$1604)&gt;0)*1000000+7*1000+11))</f>
        <v/>
      </c>
      <c r="N119" s="41">
        <f>IF(N('Dvd Calendar'!$P$1605)=0,"",IF(('Dvd Calendar'!$P$1605&gt;=MIN(DATE(Summary!$C$12,1,1),Summary!$C$11))*('Dvd Calendar'!$P$1605&lt;=MAX(DATE(Summary!$C$12,12,31),Summary!$C$15))*('Dvd Calendar'!$P$1605&lt;=Summary!$C$11)=0,"",'Dvd Calendar'!$P$1605*1000000000+ISNUMBER('Dvd Calendar'!$P$1606)*100000000+('Dvd Calendar'!$P$1610='Field Check'!$C$25)*10000000+(N('Dvd Calendar'!$P$1604)&gt;0)*1000000+7*1000+12))</f>
        <v/>
      </c>
      <c r="O119" s="41">
        <f>IF(N('Dvd Calendar'!$Q$1605)=0,"",IF(('Dvd Calendar'!$Q$1605&gt;=MIN(DATE(Summary!$C$12,1,1),Summary!$C$11))*('Dvd Calendar'!$Q$1605&lt;=MAX(DATE(Summary!$C$12,12,31),Summary!$C$15))*('Dvd Calendar'!$Q$1605&lt;=Summary!$C$11)=0,"",'Dvd Calendar'!$Q$1605*1000000000+ISNUMBER('Dvd Calendar'!$Q$1606)*100000000+('Dvd Calendar'!$Q$1610='Field Check'!$C$25)*10000000+(N('Dvd Calendar'!$Q$1604)&gt;0)*1000000+7*1000+13))</f>
        <v/>
      </c>
      <c r="P119" s="41">
        <f>IF(N('Dvd Calendar'!$R$1605)=0,"",IF(('Dvd Calendar'!$R$1605&gt;=MIN(DATE(Summary!$C$12,1,1),Summary!$C$11))*('Dvd Calendar'!$R$1605&lt;=MAX(DATE(Summary!$C$12,12,31),Summary!$C$15))*('Dvd Calendar'!$R$1605&lt;=Summary!$C$11)=0,"",'Dvd Calendar'!$R$1605*1000000000+ISNUMBER('Dvd Calendar'!$R$1606)*100000000+('Dvd Calendar'!$R$1610='Field Check'!$C$25)*10000000+(N('Dvd Calendar'!$R$1604)&gt;0)*1000000+7*1000+14))</f>
        <v/>
      </c>
      <c r="Q119" s="41">
        <f>IF(N('Dvd Calendar'!$S$1605)=0,"",IF(('Dvd Calendar'!$S$1605&gt;=MIN(DATE(Summary!$C$12,1,1),Summary!$C$11))*('Dvd Calendar'!$S$1605&lt;=MAX(DATE(Summary!$C$12,12,31),Summary!$C$15))*('Dvd Calendar'!$S$1605&lt;=Summary!$C$11)=0,"",'Dvd Calendar'!$S$1605*1000000000+ISNUMBER('Dvd Calendar'!$S$1606)*100000000+('Dvd Calendar'!$S$1610='Field Check'!$C$25)*10000000+(N('Dvd Calendar'!$S$1604)&gt;0)*1000000+7*1000+15))</f>
        <v/>
      </c>
      <c r="R119" s="41">
        <f>IF(N('Dvd Calendar'!$T$1605)=0,"",IF(('Dvd Calendar'!$T$1605&gt;=MIN(DATE(Summary!$C$12,1,1),Summary!$C$11))*('Dvd Calendar'!$T$1605&lt;=MAX(DATE(Summary!$C$12,12,31),Summary!$C$15))*('Dvd Calendar'!$T$1605&lt;=Summary!$C$11)=0,"",'Dvd Calendar'!$T$1605*1000000000+ISNUMBER('Dvd Calendar'!$T$1606)*100000000+('Dvd Calendar'!$T$1610='Field Check'!$C$25)*10000000+(N('Dvd Calendar'!$T$1604)&gt;0)*1000000+7*1000+16))</f>
        <v/>
      </c>
      <c r="S119" s="41">
        <f>IF(N('Dvd Calendar'!$U$1605)=0,"",IF(('Dvd Calendar'!$U$1605&gt;=MIN(DATE(Summary!$C$12,1,1),Summary!$C$11))*('Dvd Calendar'!$U$1605&lt;=MAX(DATE(Summary!$C$12,12,31),Summary!$C$15))*('Dvd Calendar'!$U$1605&lt;=Summary!$C$11)=0,"",'Dvd Calendar'!$U$1605*1000000000+ISNUMBER('Dvd Calendar'!$U$1606)*100000000+('Dvd Calendar'!$U$1610='Field Check'!$C$25)*10000000+(N('Dvd Calendar'!$U$1604)&gt;0)*1000000+7*1000+17))</f>
        <v/>
      </c>
      <c r="T119" s="41">
        <f>IF(N('Dvd Calendar'!$V$1605)=0,"",IF(('Dvd Calendar'!$V$1605&gt;=MIN(DATE(Summary!$C$12,1,1),Summary!$C$11))*('Dvd Calendar'!$V$1605&lt;=MAX(DATE(Summary!$C$12,12,31),Summary!$C$15))*('Dvd Calendar'!$V$1605&lt;=Summary!$C$11)=0,"",'Dvd Calendar'!$V$1605*1000000000+ISNUMBER('Dvd Calendar'!$V$1606)*100000000+('Dvd Calendar'!$V$1610='Field Check'!$C$25)*10000000+(N('Dvd Calendar'!$V$1604)&gt;0)*1000000+7*1000+18))</f>
        <v/>
      </c>
      <c r="U119" s="41">
        <f>IF(N('Dvd Calendar'!$W$1605)=0,"",IF(('Dvd Calendar'!$W$1605&gt;=MIN(DATE(Summary!$C$12,1,1),Summary!$C$11))*('Dvd Calendar'!$W$1605&lt;=MAX(DATE(Summary!$C$12,12,31),Summary!$C$15))*('Dvd Calendar'!$W$1605&lt;=Summary!$C$11)=0,"",'Dvd Calendar'!$W$1605*1000000000+ISNUMBER('Dvd Calendar'!$W$1606)*100000000+('Dvd Calendar'!$W$1610='Field Check'!$C$25)*10000000+(N('Dvd Calendar'!$W$1604)&gt;0)*1000000+7*1000+19))</f>
        <v/>
      </c>
      <c r="V119" s="41">
        <f>IF(N('Dvd Calendar'!$X$1605)=0,"",IF(('Dvd Calendar'!$X$1605&gt;=MIN(DATE(Summary!$C$12,1,1),Summary!$C$11))*('Dvd Calendar'!$X$1605&lt;=MAX(DATE(Summary!$C$12,12,31),Summary!$C$15))*('Dvd Calendar'!$X$1605&lt;=Summary!$C$11)=0,"",'Dvd Calendar'!$X$1605*1000000000+ISNUMBER('Dvd Calendar'!$X$1606)*100000000+('Dvd Calendar'!$X$1610='Field Check'!$C$25)*10000000+(N('Dvd Calendar'!$X$1604)&gt;0)*1000000+7*1000+20))</f>
        <v/>
      </c>
      <c r="W119" s="41">
        <f>IF(N('Dvd Calendar'!$Y$1605)=0,"",IF(('Dvd Calendar'!$Y$1605&gt;=MIN(DATE(Summary!$C$12,1,1),Summary!$C$11))*('Dvd Calendar'!$Y$1605&lt;=MAX(DATE(Summary!$C$12,12,31),Summary!$C$15))*('Dvd Calendar'!$Y$1605&lt;=Summary!$C$11)=0,"",'Dvd Calendar'!$Y$1605*1000000000+ISNUMBER('Dvd Calendar'!$Y$1606)*100000000+('Dvd Calendar'!$Y$1610='Field Check'!$C$25)*10000000+(N('Dvd Calendar'!$Y$1604)&gt;0)*1000000+7*1000+21))</f>
        <v/>
      </c>
      <c r="X119" s="41">
        <f>IF(N('Dvd Calendar'!$Z$1605)=0,"",IF(('Dvd Calendar'!$Z$1605&gt;=MIN(DATE(Summary!$C$12,1,1),Summary!$C$11))*('Dvd Calendar'!$Z$1605&lt;=MAX(DATE(Summary!$C$12,12,31),Summary!$C$15))*('Dvd Calendar'!$Z$1605&lt;=Summary!$C$11)=0,"",'Dvd Calendar'!$Z$1605*1000000000+ISNUMBER('Dvd Calendar'!$Z$1606)*100000000+('Dvd Calendar'!$Z$1610='Field Check'!$C$25)*10000000+(N('Dvd Calendar'!$Z$1604)&gt;0)*1000000+7*1000+22))</f>
        <v/>
      </c>
      <c r="Y119" s="41">
        <f>IF(N('Dvd Calendar'!$AA$1605)=0,"",IF(('Dvd Calendar'!$AA$1605&gt;=MIN(DATE(Summary!$C$12,1,1),Summary!$C$11))*('Dvd Calendar'!$AA$1605&lt;=MAX(DATE(Summary!$C$12,12,31),Summary!$C$15))*('Dvd Calendar'!$AA$1605&lt;=Summary!$C$11)=0,"",'Dvd Calendar'!$AA$1605*1000000000+ISNUMBER('Dvd Calendar'!$AA$1606)*100000000+('Dvd Calendar'!$AA$1610='Field Check'!$C$25)*10000000+(N('Dvd Calendar'!$AA$1604)&gt;0)*1000000+7*1000+23))</f>
        <v/>
      </c>
      <c r="Z119" s="41">
        <f>IF(N('Dvd Calendar'!$AB$1605)=0,"",IF(('Dvd Calendar'!$AB$1605&gt;=MIN(DATE(Summary!$C$12,1,1),Summary!$C$11))*('Dvd Calendar'!$AB$1605&lt;=MAX(DATE(Summary!$C$12,12,31),Summary!$C$15))*('Dvd Calendar'!$AB$1605&lt;=Summary!$C$11)=0,"",'Dvd Calendar'!$AB$1605*1000000000+ISNUMBER('Dvd Calendar'!$AB$1606)*100000000+('Dvd Calendar'!$AB$1610='Field Check'!$C$25)*10000000+(N('Dvd Calendar'!$AB$1604)&gt;0)*1000000+7*1000+24))</f>
        <v/>
      </c>
      <c r="AA119" s="41">
        <f>IF(N('Dvd Calendar'!$AC$1605)=0,"",IF(('Dvd Calendar'!$AC$1605&gt;=MIN(DATE(Summary!$C$12,1,1),Summary!$C$11))*('Dvd Calendar'!$AC$1605&lt;=MAX(DATE(Summary!$C$12,12,31),Summary!$C$15))*('Dvd Calendar'!$AC$1605&lt;=Summary!$C$11)=0,"",'Dvd Calendar'!$AC$1605*1000000000+ISNUMBER('Dvd Calendar'!$AC$1606)*100000000+('Dvd Calendar'!$AC$1610='Field Check'!$C$25)*10000000+(N('Dvd Calendar'!$AC$1604)&gt;0)*1000000+7*1000+25))</f>
        <v/>
      </c>
      <c r="AB119" s="41">
        <f>IF(N('Dvd Calendar'!$AD$1605)=0,"",IF(('Dvd Calendar'!$AD$1605&gt;=MIN(DATE(Summary!$C$12,1,1),Summary!$C$11))*('Dvd Calendar'!$AD$1605&lt;=MAX(DATE(Summary!$C$12,12,31),Summary!$C$15))*('Dvd Calendar'!$AD$1605&lt;=Summary!$C$11)=0,"",'Dvd Calendar'!$AD$1605*1000000000+ISNUMBER('Dvd Calendar'!$AD$1606)*100000000+('Dvd Calendar'!$AD$1610='Field Check'!$C$25)*10000000+(N('Dvd Calendar'!$AD$1604)&gt;0)*1000000+7*1000+26))</f>
        <v/>
      </c>
      <c r="AC119" s="41">
        <f>IF(N('Dvd Calendar'!$AE$1605)=0,"",IF(('Dvd Calendar'!$AE$1605&gt;=MIN(DATE(Summary!$C$12,1,1),Summary!$C$11))*('Dvd Calendar'!$AE$1605&lt;=MAX(DATE(Summary!$C$12,12,31),Summary!$C$15))*('Dvd Calendar'!$AE$1605&lt;=Summary!$C$11)=0,"",'Dvd Calendar'!$AE$1605*1000000000+ISNUMBER('Dvd Calendar'!$AE$1606)*100000000+('Dvd Calendar'!$AE$1610='Field Check'!$C$25)*10000000+(N('Dvd Calendar'!$AE$1604)&gt;0)*1000000+7*1000+27))</f>
        <v/>
      </c>
      <c r="AD119" s="41">
        <f>IF(N('Dvd Calendar'!$AF$1605)=0,"",IF(('Dvd Calendar'!$AF$1605&gt;=MIN(DATE(Summary!$C$12,1,1),Summary!$C$11))*('Dvd Calendar'!$AF$1605&lt;=MAX(DATE(Summary!$C$12,12,31),Summary!$C$15))*('Dvd Calendar'!$AF$1605&lt;=Summary!$C$11)=0,"",'Dvd Calendar'!$AF$1605*1000000000+ISNUMBER('Dvd Calendar'!$AF$1606)*100000000+('Dvd Calendar'!$AF$1610='Field Check'!$C$25)*10000000+(N('Dvd Calendar'!$AF$1604)&gt;0)*1000000+7*1000+28))</f>
        <v/>
      </c>
      <c r="AE119" s="41">
        <f>IF(N('Dvd Calendar'!$AG$1605)=0,"",IF(('Dvd Calendar'!$AG$1605&gt;=MIN(DATE(Summary!$C$12,1,1),Summary!$C$11))*('Dvd Calendar'!$AG$1605&lt;=MAX(DATE(Summary!$C$12,12,31),Summary!$C$15))*('Dvd Calendar'!$AG$1605&lt;=Summary!$C$11)=0,"",'Dvd Calendar'!$AG$1605*1000000000+ISNUMBER('Dvd Calendar'!$AG$1606)*100000000+('Dvd Calendar'!$AG$1610='Field Check'!$C$25)*10000000+(N('Dvd Calendar'!$AG$1604)&gt;0)*1000000+7*1000+29))</f>
        <v/>
      </c>
      <c r="AF119" s="41">
        <f>IF(N('Dvd Calendar'!$AH$1605)=0,"",IF(('Dvd Calendar'!$AH$1605&gt;=MIN(DATE(Summary!$C$12,1,1),Summary!$C$11))*('Dvd Calendar'!$AH$1605&lt;=MAX(DATE(Summary!$C$12,12,31),Summary!$C$15))*('Dvd Calendar'!$AH$1605&lt;=Summary!$C$11)=0,"",'Dvd Calendar'!$AH$1605*1000000000+ISNUMBER('Dvd Calendar'!$AH$1606)*100000000+('Dvd Calendar'!$AH$1610='Field Check'!$C$25)*10000000+(N('Dvd Calendar'!$AH$1604)&gt;0)*1000000+7*1000+30))</f>
        <v/>
      </c>
      <c r="AG119" s="41">
        <f>IF(N('Dvd Calendar'!$AI$1605)=0,"",IF(('Dvd Calendar'!$AI$1605&gt;=MIN(DATE(Summary!$C$12,1,1),Summary!$C$11))*('Dvd Calendar'!$AI$1605&lt;=MAX(DATE(Summary!$C$12,12,31),Summary!$C$15))*('Dvd Calendar'!$AI$1605&lt;=Summary!$C$11)=0,"",'Dvd Calendar'!$AI$1605*1000000000+ISNUMBER('Dvd Calendar'!$AI$1606)*100000000+('Dvd Calendar'!$AI$1610='Field Check'!$C$25)*10000000+(N('Dvd Calendar'!$AI$1604)&gt;0)*1000000+7*1000+31))</f>
        <v/>
      </c>
      <c r="AH119" s="41">
        <f>IF(N('Dvd Calendar'!$AJ$1605)=0,"",IF(('Dvd Calendar'!$AJ$1605&gt;=MIN(DATE(Summary!$C$12,1,1),Summary!$C$11))*('Dvd Calendar'!$AJ$1605&lt;=MAX(DATE(Summary!$C$12,12,31),Summary!$C$15))*('Dvd Calendar'!$AJ$1605&lt;=Summary!$C$11)=0,"",'Dvd Calendar'!$AJ$1605*1000000000+ISNUMBER('Dvd Calendar'!$AJ$1606)*100000000+('Dvd Calendar'!$AJ$1610='Field Check'!$C$25)*10000000+(N('Dvd Calendar'!$AJ$1604)&gt;0)*1000000+7*1000+32))</f>
        <v/>
      </c>
      <c r="AI119" s="41">
        <f>IF(N('Dvd Calendar'!$AK$1605)=0,"",IF(('Dvd Calendar'!$AK$1605&gt;=MIN(DATE(Summary!$C$12,1,1),Summary!$C$11))*('Dvd Calendar'!$AK$1605&lt;=MAX(DATE(Summary!$C$12,12,31),Summary!$C$15))*('Dvd Calendar'!$AK$1605&lt;=Summary!$C$11)=0,"",'Dvd Calendar'!$AK$1605*1000000000+ISNUMBER('Dvd Calendar'!$AK$1606)*100000000+('Dvd Calendar'!$AK$1610='Field Check'!$C$25)*10000000+(N('Dvd Calendar'!$AK$1604)&gt;0)*1000000+7*1000+33))</f>
        <v/>
      </c>
      <c r="AJ119" s="41">
        <f>IF(N('Dvd Calendar'!$AL$1605)=0,"",IF(('Dvd Calendar'!$AL$1605&gt;=MIN(DATE(Summary!$C$12,1,1),Summary!$C$11))*('Dvd Calendar'!$AL$1605&lt;=MAX(DATE(Summary!$C$12,12,31),Summary!$C$15))*('Dvd Calendar'!$AL$1605&lt;=Summary!$C$11)=0,"",'Dvd Calendar'!$AL$1605*1000000000+ISNUMBER('Dvd Calendar'!$AL$1606)*100000000+('Dvd Calendar'!$AL$1610='Field Check'!$C$25)*10000000+(N('Dvd Calendar'!$AL$1604)&gt;0)*1000000+7*1000+34))</f>
        <v/>
      </c>
      <c r="AK119" s="41">
        <f>IF(N('Dvd Calendar'!$AM$1605)=0,"",IF(('Dvd Calendar'!$AM$1605&gt;=MIN(DATE(Summary!$C$12,1,1),Summary!$C$11))*('Dvd Calendar'!$AM$1605&lt;=MAX(DATE(Summary!$C$12,12,31),Summary!$C$15))*('Dvd Calendar'!$AM$1605&lt;=Summary!$C$11)=0,"",'Dvd Calendar'!$AM$1605*1000000000+ISNUMBER('Dvd Calendar'!$AM$1606)*100000000+('Dvd Calendar'!$AM$1610='Field Check'!$C$25)*10000000+(N('Dvd Calendar'!$AM$1604)&gt;0)*1000000+7*1000+35))</f>
        <v/>
      </c>
      <c r="AL119" s="41">
        <f>IF(N('Dvd Calendar'!$AN$1605)=0,"",IF(('Dvd Calendar'!$AN$1605&gt;=MIN(DATE(Summary!$C$12,1,1),Summary!$C$11))*('Dvd Calendar'!$AN$1605&lt;=MAX(DATE(Summary!$C$12,12,31),Summary!$C$15))*('Dvd Calendar'!$AN$1605&lt;=Summary!$C$11)=0,"",'Dvd Calendar'!$AN$1605*1000000000+ISNUMBER('Dvd Calendar'!$AN$1606)*100000000+('Dvd Calendar'!$AN$1610='Field Check'!$C$25)*10000000+(N('Dvd Calendar'!$AN$1604)&gt;0)*1000000+7*1000+36))</f>
        <v/>
      </c>
      <c r="AM119" s="41">
        <f>IF(N('Dvd Calendar'!$AO$1605)=0,"",IF(('Dvd Calendar'!$AO$1605&gt;=MIN(DATE(Summary!$C$12,1,1),Summary!$C$11))*('Dvd Calendar'!$AO$1605&lt;=MAX(DATE(Summary!$C$12,12,31),Summary!$C$15))*('Dvd Calendar'!$AO$1605&lt;=Summary!$C$11)=0,"",'Dvd Calendar'!$AO$1605*1000000000+ISNUMBER('Dvd Calendar'!$AO$1606)*100000000+('Dvd Calendar'!$AO$1610='Field Check'!$C$25)*10000000+(N('Dvd Calendar'!$AO$1604)&gt;0)*1000000+7*1000+37))</f>
        <v/>
      </c>
      <c r="AN119" s="41">
        <f>IF(N('Dvd Calendar'!$AP$1605)=0,"",IF(('Dvd Calendar'!$AP$1605&gt;=MIN(DATE(Summary!$C$12,1,1),Summary!$C$11))*('Dvd Calendar'!$AP$1605&lt;=MAX(DATE(Summary!$C$12,12,31),Summary!$C$15))*('Dvd Calendar'!$AP$1605&lt;=Summary!$C$11)=0,"",'Dvd Calendar'!$AP$1605*1000000000+ISNUMBER('Dvd Calendar'!$AP$1606)*100000000+('Dvd Calendar'!$AP$1610='Field Check'!$C$25)*10000000+(N('Dvd Calendar'!$AP$1604)&gt;0)*1000000+7*1000+38))</f>
        <v/>
      </c>
      <c r="AO119" s="41">
        <f>IF(N('Dvd Calendar'!$AQ$1605)=0,"",IF(('Dvd Calendar'!$AQ$1605&gt;=MIN(DATE(Summary!$C$12,1,1),Summary!$C$11))*('Dvd Calendar'!$AQ$1605&lt;=MAX(DATE(Summary!$C$12,12,31),Summary!$C$15))*('Dvd Calendar'!$AQ$1605&lt;=Summary!$C$11)=0,"",'Dvd Calendar'!$AQ$1605*1000000000+ISNUMBER('Dvd Calendar'!$AQ$1606)*100000000+('Dvd Calendar'!$AQ$1610='Field Check'!$C$25)*10000000+(N('Dvd Calendar'!$AQ$1604)&gt;0)*1000000+7*1000+39))</f>
        <v/>
      </c>
      <c r="AP119" s="41">
        <f>IF(N('Dvd Calendar'!$AR$1605)=0,"",IF(('Dvd Calendar'!$AR$1605&gt;=MIN(DATE(Summary!$C$12,1,1),Summary!$C$11))*('Dvd Calendar'!$AR$1605&lt;=MAX(DATE(Summary!$C$12,12,31),Summary!$C$15))*('Dvd Calendar'!$AR$1605&lt;=Summary!$C$11)=0,"",'Dvd Calendar'!$AR$1605*1000000000+ISNUMBER('Dvd Calendar'!$AR$1606)*100000000+('Dvd Calendar'!$AR$1610='Field Check'!$C$25)*10000000+(N('Dvd Calendar'!$AR$1604)&gt;0)*1000000+7*1000+40))</f>
        <v/>
      </c>
      <c r="AQ119" s="41">
        <f>IF(N('Dvd Calendar'!$E$1612)=0,"",IF(('Dvd Calendar'!$E$1612&gt;=MIN(DATE(Summary!$C$12,1,1),Summary!$C$11))*('Dvd Calendar'!$E$1612&lt;=MAX(DATE(Summary!$C$12,12,31),Summary!$C$15))*('Dvd Calendar'!$E$1612&gt;Summary!$C$11)=0,"",'Dvd Calendar'!$E$1612*1000000000+ISNUMBER('Dvd Calendar'!$E$1613)*100000000+('Dvd Calendar'!$E$1617='Field Check'!$C$25)*10000000+(N('Dvd Calendar'!$E$1611)&gt;0)*1000000+7*1000+41))</f>
        <v/>
      </c>
      <c r="AR119" s="41">
        <f>IF(N('Dvd Calendar'!$F$1612)=0,"",IF(('Dvd Calendar'!$F$1612&gt;=MIN(DATE(Summary!$C$12,1,1),Summary!$C$11))*('Dvd Calendar'!$F$1612&lt;=MAX(DATE(Summary!$C$12,12,31),Summary!$C$15))*('Dvd Calendar'!$F$1612&gt;Summary!$C$11)=0,"",'Dvd Calendar'!$F$1612*1000000000+ISNUMBER('Dvd Calendar'!$F$1613)*100000000+('Dvd Calendar'!$F$1617='Field Check'!$C$25)*10000000+(N('Dvd Calendar'!$F$1611)&gt;0)*1000000+7*1000+42))</f>
        <v/>
      </c>
      <c r="AS119" s="41">
        <f>IF(N('Dvd Calendar'!$G$1612)=0,"",IF(('Dvd Calendar'!$G$1612&gt;=MIN(DATE(Summary!$C$12,1,1),Summary!$C$11))*('Dvd Calendar'!$G$1612&lt;=MAX(DATE(Summary!$C$12,12,31),Summary!$C$15))*('Dvd Calendar'!$G$1612&gt;Summary!$C$11)=0,"",'Dvd Calendar'!$G$1612*1000000000+ISNUMBER('Dvd Calendar'!$G$1613)*100000000+('Dvd Calendar'!$G$1617='Field Check'!$C$25)*10000000+(N('Dvd Calendar'!$G$1611)&gt;0)*1000000+7*1000+43))</f>
        <v/>
      </c>
      <c r="AT119" s="41">
        <f>IF(N('Dvd Calendar'!$H$1612)=0,"",IF(('Dvd Calendar'!$H$1612&gt;=MIN(DATE(Summary!$C$12,1,1),Summary!$C$11))*('Dvd Calendar'!$H$1612&lt;=MAX(DATE(Summary!$C$12,12,31),Summary!$C$15))*('Dvd Calendar'!$H$1612&gt;Summary!$C$11)=0,"",'Dvd Calendar'!$H$1612*1000000000+ISNUMBER('Dvd Calendar'!$H$1613)*100000000+('Dvd Calendar'!$H$1617='Field Check'!$C$25)*10000000+(N('Dvd Calendar'!$H$1611)&gt;0)*1000000+7*1000+44))</f>
        <v/>
      </c>
      <c r="AU119" s="41">
        <f>IF(N('Dvd Calendar'!$I$1612)=0,"",IF(('Dvd Calendar'!$I$1612&gt;=MIN(DATE(Summary!$C$12,1,1),Summary!$C$11))*('Dvd Calendar'!$I$1612&lt;=MAX(DATE(Summary!$C$12,12,31),Summary!$C$15))*('Dvd Calendar'!$I$1612&gt;Summary!$C$11)=0,"",'Dvd Calendar'!$I$1612*1000000000+ISNUMBER('Dvd Calendar'!$I$1613)*100000000+('Dvd Calendar'!$I$1617='Field Check'!$C$25)*10000000+(N('Dvd Calendar'!$I$1611)&gt;0)*1000000+7*1000+45))</f>
        <v/>
      </c>
      <c r="AV119" s="41">
        <f>IF(N('Dvd Calendar'!$J$1612)=0,"",IF(('Dvd Calendar'!$J$1612&gt;=MIN(DATE(Summary!$C$12,1,1),Summary!$C$11))*('Dvd Calendar'!$J$1612&lt;=MAX(DATE(Summary!$C$12,12,31),Summary!$C$15))*('Dvd Calendar'!$J$1612&gt;Summary!$C$11)=0,"",'Dvd Calendar'!$J$1612*1000000000+ISNUMBER('Dvd Calendar'!$J$1613)*100000000+('Dvd Calendar'!$J$1617='Field Check'!$C$25)*10000000+(N('Dvd Calendar'!$J$1611)&gt;0)*1000000+7*1000+46))</f>
        <v/>
      </c>
      <c r="AW119" s="41">
        <f>IF(N('Dvd Calendar'!$K$1612)=0,"",IF(('Dvd Calendar'!$K$1612&gt;=MIN(DATE(Summary!$C$12,1,1),Summary!$C$11))*('Dvd Calendar'!$K$1612&lt;=MAX(DATE(Summary!$C$12,12,31),Summary!$C$15))*('Dvd Calendar'!$K$1612&gt;Summary!$C$11)=0,"",'Dvd Calendar'!$K$1612*1000000000+ISNUMBER('Dvd Calendar'!$K$1613)*100000000+('Dvd Calendar'!$K$1617='Field Check'!$C$25)*10000000+(N('Dvd Calendar'!$K$1611)&gt;0)*1000000+7*1000+47))</f>
        <v/>
      </c>
      <c r="AX119" s="41">
        <f>IF(N('Dvd Calendar'!$L$1612)=0,"",IF(('Dvd Calendar'!$L$1612&gt;=MIN(DATE(Summary!$C$12,1,1),Summary!$C$11))*('Dvd Calendar'!$L$1612&lt;=MAX(DATE(Summary!$C$12,12,31),Summary!$C$15))*('Dvd Calendar'!$L$1612&gt;Summary!$C$11)=0,"",'Dvd Calendar'!$L$1612*1000000000+ISNUMBER('Dvd Calendar'!$L$1613)*100000000+('Dvd Calendar'!$L$1617='Field Check'!$C$25)*10000000+(N('Dvd Calendar'!$L$1611)&gt;0)*1000000+7*1000+48))</f>
        <v/>
      </c>
      <c r="AY119" s="41">
        <f>IF(N('Dvd Calendar'!$M$1612)=0,"",IF(('Dvd Calendar'!$M$1612&gt;=MIN(DATE(Summary!$C$12,1,1),Summary!$C$11))*('Dvd Calendar'!$M$1612&lt;=MAX(DATE(Summary!$C$12,12,31),Summary!$C$15))*('Dvd Calendar'!$M$1612&gt;Summary!$C$11)=0,"",'Dvd Calendar'!$M$1612*1000000000+ISNUMBER('Dvd Calendar'!$M$1613)*100000000+('Dvd Calendar'!$M$1617='Field Check'!$C$25)*10000000+(N('Dvd Calendar'!$M$1611)&gt;0)*1000000+7*1000+49))</f>
        <v/>
      </c>
      <c r="AZ119" s="41">
        <f>IF(N('Dvd Calendar'!$N$1612)=0,"",IF(('Dvd Calendar'!$N$1612&gt;=MIN(DATE(Summary!$C$12,1,1),Summary!$C$11))*('Dvd Calendar'!$N$1612&lt;=MAX(DATE(Summary!$C$12,12,31),Summary!$C$15))*('Dvd Calendar'!$N$1612&gt;Summary!$C$11)=0,"",'Dvd Calendar'!$N$1612*1000000000+ISNUMBER('Dvd Calendar'!$N$1613)*100000000+('Dvd Calendar'!$N$1617='Field Check'!$C$25)*10000000+(N('Dvd Calendar'!$N$1611)&gt;0)*1000000+7*1000+50))</f>
        <v/>
      </c>
      <c r="BA119" s="41">
        <f>IF(N('Dvd Calendar'!$O$1612)=0,"",IF(('Dvd Calendar'!$O$1612&gt;=MIN(DATE(Summary!$C$12,1,1),Summary!$C$11))*('Dvd Calendar'!$O$1612&lt;=MAX(DATE(Summary!$C$12,12,31),Summary!$C$15))*('Dvd Calendar'!$O$1612&gt;Summary!$C$11)=0,"",'Dvd Calendar'!$O$1612*1000000000+ISNUMBER('Dvd Calendar'!$O$1613)*100000000+('Dvd Calendar'!$O$1617='Field Check'!$C$25)*10000000+(N('Dvd Calendar'!$O$1611)&gt;0)*1000000+7*1000+51))</f>
        <v/>
      </c>
      <c r="BB119" s="41">
        <f>IF(N('Dvd Calendar'!$P$1612)=0,"",IF(('Dvd Calendar'!$P$1612&gt;=MIN(DATE(Summary!$C$12,1,1),Summary!$C$11))*('Dvd Calendar'!$P$1612&lt;=MAX(DATE(Summary!$C$12,12,31),Summary!$C$15))*('Dvd Calendar'!$P$1612&gt;Summary!$C$11)=0,"",'Dvd Calendar'!$P$1612*1000000000+ISNUMBER('Dvd Calendar'!$P$1613)*100000000+('Dvd Calendar'!$P$1617='Field Check'!$C$25)*10000000+(N('Dvd Calendar'!$P$1611)&gt;0)*1000000+7*1000+52))</f>
        <v/>
      </c>
      <c r="BC119" s="41">
        <f>IF(N('Dvd Calendar'!$Q$1612)=0,"",IF(('Dvd Calendar'!$Q$1612&gt;=MIN(DATE(Summary!$C$12,1,1),Summary!$C$11))*('Dvd Calendar'!$Q$1612&lt;=MAX(DATE(Summary!$C$12,12,31),Summary!$C$15))*('Dvd Calendar'!$Q$1612&gt;Summary!$C$11)=0,"",'Dvd Calendar'!$Q$1612*1000000000+ISNUMBER('Dvd Calendar'!$Q$1613)*100000000+('Dvd Calendar'!$Q$1617='Field Check'!$C$25)*10000000+(N('Dvd Calendar'!$Q$1611)&gt;0)*1000000+7*1000+53))</f>
        <v/>
      </c>
      <c r="BD119" s="41">
        <f>IF(N('Dvd Calendar'!$R$1612)=0,"",IF(('Dvd Calendar'!$R$1612&gt;=MIN(DATE(Summary!$C$12,1,1),Summary!$C$11))*('Dvd Calendar'!$R$1612&lt;=MAX(DATE(Summary!$C$12,12,31),Summary!$C$15))*('Dvd Calendar'!$R$1612&gt;Summary!$C$11)=0,"",'Dvd Calendar'!$R$1612*1000000000+ISNUMBER('Dvd Calendar'!$R$1613)*100000000+('Dvd Calendar'!$R$1617='Field Check'!$C$25)*10000000+(N('Dvd Calendar'!$R$1611)&gt;0)*1000000+7*1000+54))</f>
        <v/>
      </c>
      <c r="BE119" s="41">
        <f>IF(N('Dvd Calendar'!$S$1612)=0,"",IF(('Dvd Calendar'!$S$1612&gt;=MIN(DATE(Summary!$C$12,1,1),Summary!$C$11))*('Dvd Calendar'!$S$1612&lt;=MAX(DATE(Summary!$C$12,12,31),Summary!$C$15))*('Dvd Calendar'!$S$1612&gt;Summary!$C$11)=0,"",'Dvd Calendar'!$S$1612*1000000000+ISNUMBER('Dvd Calendar'!$S$1613)*100000000+('Dvd Calendar'!$S$1617='Field Check'!$C$25)*10000000+(N('Dvd Calendar'!$S$1611)&gt;0)*1000000+7*1000+55))</f>
        <v/>
      </c>
      <c r="BF119" s="41">
        <f>IF(N('Dvd Calendar'!$T$1612)=0,"",IF(('Dvd Calendar'!$T$1612&gt;=MIN(DATE(Summary!$C$12,1,1),Summary!$C$11))*('Dvd Calendar'!$T$1612&lt;=MAX(DATE(Summary!$C$12,12,31),Summary!$C$15))*('Dvd Calendar'!$T$1612&gt;Summary!$C$11)=0,"",'Dvd Calendar'!$T$1612*1000000000+ISNUMBER('Dvd Calendar'!$T$1613)*100000000+('Dvd Calendar'!$T$1617='Field Check'!$C$25)*10000000+(N('Dvd Calendar'!$T$1611)&gt;0)*1000000+7*1000+56))</f>
        <v/>
      </c>
      <c r="BG119" s="41">
        <f>IF(N('Dvd Calendar'!$U$1612)=0,"",IF(('Dvd Calendar'!$U$1612&gt;=MIN(DATE(Summary!$C$12,1,1),Summary!$C$11))*('Dvd Calendar'!$U$1612&lt;=MAX(DATE(Summary!$C$12,12,31),Summary!$C$15))*('Dvd Calendar'!$U$1612&gt;Summary!$C$11)=0,"",'Dvd Calendar'!$U$1612*1000000000+ISNUMBER('Dvd Calendar'!$U$1613)*100000000+('Dvd Calendar'!$U$1617='Field Check'!$C$25)*10000000+(N('Dvd Calendar'!$U$1611)&gt;0)*1000000+7*1000+57))</f>
        <v/>
      </c>
      <c r="BH119" s="41">
        <f>IF(N('Dvd Calendar'!$V$1612)=0,"",IF(('Dvd Calendar'!$V$1612&gt;=MIN(DATE(Summary!$C$12,1,1),Summary!$C$11))*('Dvd Calendar'!$V$1612&lt;=MAX(DATE(Summary!$C$12,12,31),Summary!$C$15))*('Dvd Calendar'!$V$1612&gt;Summary!$C$11)=0,"",'Dvd Calendar'!$V$1612*1000000000+ISNUMBER('Dvd Calendar'!$V$1613)*100000000+('Dvd Calendar'!$V$1617='Field Check'!$C$25)*10000000+(N('Dvd Calendar'!$V$1611)&gt;0)*1000000+7*1000+58))</f>
        <v/>
      </c>
      <c r="BI119" s="41">
        <f>IF(N('Dvd Calendar'!$W$1612)=0,"",IF(('Dvd Calendar'!$W$1612&gt;=MIN(DATE(Summary!$C$12,1,1),Summary!$C$11))*('Dvd Calendar'!$W$1612&lt;=MAX(DATE(Summary!$C$12,12,31),Summary!$C$15))*('Dvd Calendar'!$W$1612&gt;Summary!$C$11)=0,"",'Dvd Calendar'!$W$1612*1000000000+ISNUMBER('Dvd Calendar'!$W$1613)*100000000+('Dvd Calendar'!$W$1617='Field Check'!$C$25)*10000000+(N('Dvd Calendar'!$W$1611)&gt;0)*1000000+7*1000+59))</f>
        <v/>
      </c>
      <c r="BJ119" s="41">
        <f>IF(N('Dvd Calendar'!$X$1612)=0,"",IF(('Dvd Calendar'!$X$1612&gt;=MIN(DATE(Summary!$C$12,1,1),Summary!$C$11))*('Dvd Calendar'!$X$1612&lt;=MAX(DATE(Summary!$C$12,12,31),Summary!$C$15))*('Dvd Calendar'!$X$1612&gt;Summary!$C$11)=0,"",'Dvd Calendar'!$X$1612*1000000000+ISNUMBER('Dvd Calendar'!$X$1613)*100000000+('Dvd Calendar'!$X$1617='Field Check'!$C$25)*10000000+(N('Dvd Calendar'!$X$1611)&gt;0)*1000000+7*1000+60))</f>
        <v/>
      </c>
      <c r="BK119" s="41">
        <f>IF(N('Dvd Calendar'!$Y$1612)=0,"",IF(('Dvd Calendar'!$Y$1612&gt;=MIN(DATE(Summary!$C$12,1,1),Summary!$C$11))*('Dvd Calendar'!$Y$1612&lt;=MAX(DATE(Summary!$C$12,12,31),Summary!$C$15))*('Dvd Calendar'!$Y$1612&gt;Summary!$C$11)=0,"",'Dvd Calendar'!$Y$1612*1000000000+ISNUMBER('Dvd Calendar'!$Y$1613)*100000000+('Dvd Calendar'!$Y$1617='Field Check'!$C$25)*10000000+(N('Dvd Calendar'!$Y$1611)&gt;0)*1000000+7*1000+61))</f>
        <v/>
      </c>
      <c r="BL119" s="41">
        <f>IF(N('Dvd Calendar'!$Z$1612)=0,"",IF(('Dvd Calendar'!$Z$1612&gt;=MIN(DATE(Summary!$C$12,1,1),Summary!$C$11))*('Dvd Calendar'!$Z$1612&lt;=MAX(DATE(Summary!$C$12,12,31),Summary!$C$15))*('Dvd Calendar'!$Z$1612&gt;Summary!$C$11)=0,"",'Dvd Calendar'!$Z$1612*1000000000+ISNUMBER('Dvd Calendar'!$Z$1613)*100000000+('Dvd Calendar'!$Z$1617='Field Check'!$C$25)*10000000+(N('Dvd Calendar'!$Z$1611)&gt;0)*1000000+7*1000+62))</f>
        <v/>
      </c>
      <c r="BM119" s="41">
        <f>IF(N('Dvd Calendar'!$AA$1612)=0,"",IF(('Dvd Calendar'!$AA$1612&gt;=MIN(DATE(Summary!$C$12,1,1),Summary!$C$11))*('Dvd Calendar'!$AA$1612&lt;=MAX(DATE(Summary!$C$12,12,31),Summary!$C$15))*('Dvd Calendar'!$AA$1612&gt;Summary!$C$11)=0,"",'Dvd Calendar'!$AA$1612*1000000000+ISNUMBER('Dvd Calendar'!$AA$1613)*100000000+('Dvd Calendar'!$AA$1617='Field Check'!$C$25)*10000000+(N('Dvd Calendar'!$AA$1611)&gt;0)*1000000+7*1000+63))</f>
        <v/>
      </c>
      <c r="BN119" s="41">
        <f>IF(N('Dvd Calendar'!$AB$1612)=0,"",IF(('Dvd Calendar'!$AB$1612&gt;=MIN(DATE(Summary!$C$12,1,1),Summary!$C$11))*('Dvd Calendar'!$AB$1612&lt;=MAX(DATE(Summary!$C$12,12,31),Summary!$C$15))*('Dvd Calendar'!$AB$1612&gt;Summary!$C$11)=0,"",'Dvd Calendar'!$AB$1612*1000000000+ISNUMBER('Dvd Calendar'!$AB$1613)*100000000+('Dvd Calendar'!$AB$1617='Field Check'!$C$25)*10000000+(N('Dvd Calendar'!$AB$1611)&gt;0)*1000000+7*1000+64))</f>
        <v/>
      </c>
      <c r="BO119" s="41">
        <f>IF(N('Dvd Calendar'!$AC$1612)=0,"",IF(('Dvd Calendar'!$AC$1612&gt;=MIN(DATE(Summary!$C$12,1,1),Summary!$C$11))*('Dvd Calendar'!$AC$1612&lt;=MAX(DATE(Summary!$C$12,12,31),Summary!$C$15))*('Dvd Calendar'!$AC$1612&gt;Summary!$C$11)=0,"",'Dvd Calendar'!$AC$1612*1000000000+ISNUMBER('Dvd Calendar'!$AC$1613)*100000000+('Dvd Calendar'!$AC$1617='Field Check'!$C$25)*10000000+(N('Dvd Calendar'!$AC$1611)&gt;0)*1000000+7*1000+65))</f>
        <v/>
      </c>
      <c r="BQ119" s="85">
        <f>IF(C119="","",IF(ISNUMBER('Dvd Calendar'!$E$1606)=FALSE,"",IF((Summary!$C$13="N")*('Dvd Calendar'!$E$1610='Field Check'!$C$25)&gt;0,"",'Dvd Calendar'!$E$1606)))</f>
        <v/>
      </c>
      <c r="BR119" s="85">
        <f>IF(D119="","",IF(ISNUMBER('Dvd Calendar'!$F$1606)=FALSE,"",IF((Summary!$C$13="N")*('Dvd Calendar'!$F$1610='Field Check'!$C$25)&gt;0,"",'Dvd Calendar'!$F$1606)))</f>
        <v/>
      </c>
      <c r="BS119" s="85">
        <f>IF(E119="","",IF(ISNUMBER('Dvd Calendar'!$G$1606)=FALSE,"",IF((Summary!$C$13="N")*('Dvd Calendar'!$G$1610='Field Check'!$C$25)&gt;0,"",'Dvd Calendar'!$G$1606)))</f>
        <v/>
      </c>
      <c r="BT119" s="85">
        <f>IF(F119="","",IF(ISNUMBER('Dvd Calendar'!$H$1606)=FALSE,"",IF((Summary!$C$13="N")*('Dvd Calendar'!$H$1610='Field Check'!$C$25)&gt;0,"",'Dvd Calendar'!$H$1606)))</f>
        <v/>
      </c>
      <c r="BU119" s="85">
        <f>IF(G119="","",IF(ISNUMBER('Dvd Calendar'!$I$1606)=FALSE,"",IF((Summary!$C$13="N")*('Dvd Calendar'!$I$1610='Field Check'!$C$25)&gt;0,"",'Dvd Calendar'!$I$1606)))</f>
        <v/>
      </c>
      <c r="BV119" s="85">
        <f>IF(H119="","",IF(ISNUMBER('Dvd Calendar'!$J$1606)=FALSE,"",IF((Summary!$C$13="N")*('Dvd Calendar'!$J$1610='Field Check'!$C$25)&gt;0,"",'Dvd Calendar'!$J$1606)))</f>
        <v/>
      </c>
      <c r="BW119" s="85">
        <f>IF(I119="","",IF(ISNUMBER('Dvd Calendar'!$K$1606)=FALSE,"",IF((Summary!$C$13="N")*('Dvd Calendar'!$K$1610='Field Check'!$C$25)&gt;0,"",'Dvd Calendar'!$K$1606)))</f>
        <v/>
      </c>
      <c r="BX119" s="85">
        <f>IF(J119="","",IF(ISNUMBER('Dvd Calendar'!$L$1606)=FALSE,"",IF((Summary!$C$13="N")*('Dvd Calendar'!$L$1610='Field Check'!$C$25)&gt;0,"",'Dvd Calendar'!$L$1606)))</f>
        <v/>
      </c>
      <c r="BY119" s="85">
        <f>IF(K119="","",IF(ISNUMBER('Dvd Calendar'!$M$1606)=FALSE,"",IF((Summary!$C$13="N")*('Dvd Calendar'!$M$1610='Field Check'!$C$25)&gt;0,"",'Dvd Calendar'!$M$1606)))</f>
        <v/>
      </c>
      <c r="BZ119" s="85">
        <f>IF(L119="","",IF(ISNUMBER('Dvd Calendar'!$N$1606)=FALSE,"",IF((Summary!$C$13="N")*('Dvd Calendar'!$N$1610='Field Check'!$C$25)&gt;0,"",'Dvd Calendar'!$N$1606)))</f>
        <v/>
      </c>
      <c r="CA119" s="85">
        <f>IF(M119="","",IF(ISNUMBER('Dvd Calendar'!$O$1606)=FALSE,"",IF((Summary!$C$13="N")*('Dvd Calendar'!$O$1610='Field Check'!$C$25)&gt;0,"",'Dvd Calendar'!$O$1606)))</f>
        <v/>
      </c>
      <c r="CB119" s="85">
        <f>IF(N119="","",IF(ISNUMBER('Dvd Calendar'!$P$1606)=FALSE,"",IF((Summary!$C$13="N")*('Dvd Calendar'!$P$1610='Field Check'!$C$25)&gt;0,"",'Dvd Calendar'!$P$1606)))</f>
        <v/>
      </c>
      <c r="CC119" s="85">
        <f>IF(O119="","",IF(ISNUMBER('Dvd Calendar'!$Q$1606)=FALSE,"",IF((Summary!$C$13="N")*('Dvd Calendar'!$Q$1610='Field Check'!$C$25)&gt;0,"",'Dvd Calendar'!$Q$1606)))</f>
        <v/>
      </c>
      <c r="CD119" s="85">
        <f>IF(P119="","",IF(ISNUMBER('Dvd Calendar'!$R$1606)=FALSE,"",IF((Summary!$C$13="N")*('Dvd Calendar'!$R$1610='Field Check'!$C$25)&gt;0,"",'Dvd Calendar'!$R$1606)))</f>
        <v/>
      </c>
      <c r="CE119" s="85">
        <f>IF(Q119="","",IF(ISNUMBER('Dvd Calendar'!$S$1606)=FALSE,"",IF((Summary!$C$13="N")*('Dvd Calendar'!$S$1610='Field Check'!$C$25)&gt;0,"",'Dvd Calendar'!$S$1606)))</f>
        <v/>
      </c>
      <c r="CF119" s="85">
        <f>IF(R119="","",IF(ISNUMBER('Dvd Calendar'!$T$1606)=FALSE,"",IF((Summary!$C$13="N")*('Dvd Calendar'!$T$1610='Field Check'!$C$25)&gt;0,"",'Dvd Calendar'!$T$1606)))</f>
        <v/>
      </c>
      <c r="CG119" s="85">
        <f>IF(S119="","",IF(ISNUMBER('Dvd Calendar'!$U$1606)=FALSE,"",IF((Summary!$C$13="N")*('Dvd Calendar'!$U$1610='Field Check'!$C$25)&gt;0,"",'Dvd Calendar'!$U$1606)))</f>
        <v/>
      </c>
      <c r="CH119" s="85">
        <f>IF(T119="","",IF(ISNUMBER('Dvd Calendar'!$V$1606)=FALSE,"",IF((Summary!$C$13="N")*('Dvd Calendar'!$V$1610='Field Check'!$C$25)&gt;0,"",'Dvd Calendar'!$V$1606)))</f>
        <v/>
      </c>
      <c r="CI119" s="85">
        <f>IF(U119="","",IF(ISNUMBER('Dvd Calendar'!$W$1606)=FALSE,"",IF((Summary!$C$13="N")*('Dvd Calendar'!$W$1610='Field Check'!$C$25)&gt;0,"",'Dvd Calendar'!$W$1606)))</f>
        <v/>
      </c>
      <c r="CJ119" s="85">
        <f>IF(V119="","",IF(ISNUMBER('Dvd Calendar'!$X$1606)=FALSE,"",IF((Summary!$C$13="N")*('Dvd Calendar'!$X$1610='Field Check'!$C$25)&gt;0,"",'Dvd Calendar'!$X$1606)))</f>
        <v/>
      </c>
      <c r="CK119" s="85">
        <f>IF(W119="","",IF(ISNUMBER('Dvd Calendar'!$Y$1606)=FALSE,"",IF((Summary!$C$13="N")*('Dvd Calendar'!$Y$1610='Field Check'!$C$25)&gt;0,"",'Dvd Calendar'!$Y$1606)))</f>
        <v/>
      </c>
      <c r="CL119" s="85">
        <f>IF(X119="","",IF(ISNUMBER('Dvd Calendar'!$Z$1606)=FALSE,"",IF((Summary!$C$13="N")*('Dvd Calendar'!$Z$1610='Field Check'!$C$25)&gt;0,"",'Dvd Calendar'!$Z$1606)))</f>
        <v/>
      </c>
      <c r="CM119" s="85">
        <f>IF(Y119="","",IF(ISNUMBER('Dvd Calendar'!$AA$1606)=FALSE,"",IF((Summary!$C$13="N")*('Dvd Calendar'!$AA$1610='Field Check'!$C$25)&gt;0,"",'Dvd Calendar'!$AA$1606)))</f>
        <v/>
      </c>
      <c r="CN119" s="85">
        <f>IF(Z119="","",IF(ISNUMBER('Dvd Calendar'!$AB$1606)=FALSE,"",IF((Summary!$C$13="N")*('Dvd Calendar'!$AB$1610='Field Check'!$C$25)&gt;0,"",'Dvd Calendar'!$AB$1606)))</f>
        <v/>
      </c>
      <c r="CO119" s="85">
        <f>IF(AA119="","",IF(ISNUMBER('Dvd Calendar'!$AC$1606)=FALSE,"",IF((Summary!$C$13="N")*('Dvd Calendar'!$AC$1610='Field Check'!$C$25)&gt;0,"",'Dvd Calendar'!$AC$1606)))</f>
        <v/>
      </c>
      <c r="CP119" s="85">
        <f>IF(AB119="","",IF(ISNUMBER('Dvd Calendar'!$AD$1606)=FALSE,"",IF((Summary!$C$13="N")*('Dvd Calendar'!$AD$1610='Field Check'!$C$25)&gt;0,"",'Dvd Calendar'!$AD$1606)))</f>
        <v/>
      </c>
      <c r="CQ119" s="85">
        <f>IF(AC119="","",IF(ISNUMBER('Dvd Calendar'!$AE$1606)=FALSE,"",IF((Summary!$C$13="N")*('Dvd Calendar'!$AE$1610='Field Check'!$C$25)&gt;0,"",'Dvd Calendar'!$AE$1606)))</f>
        <v/>
      </c>
      <c r="CR119" s="85">
        <f>IF(AD119="","",IF(ISNUMBER('Dvd Calendar'!$AF$1606)=FALSE,"",IF((Summary!$C$13="N")*('Dvd Calendar'!$AF$1610='Field Check'!$C$25)&gt;0,"",'Dvd Calendar'!$AF$1606)))</f>
        <v/>
      </c>
      <c r="CS119" s="85">
        <f>IF(AE119="","",IF(ISNUMBER('Dvd Calendar'!$AG$1606)=FALSE,"",IF((Summary!$C$13="N")*('Dvd Calendar'!$AG$1610='Field Check'!$C$25)&gt;0,"",'Dvd Calendar'!$AG$1606)))</f>
        <v/>
      </c>
      <c r="CT119" s="85">
        <f>IF(AF119="","",IF(ISNUMBER('Dvd Calendar'!$AH$1606)=FALSE,"",IF((Summary!$C$13="N")*('Dvd Calendar'!$AH$1610='Field Check'!$C$25)&gt;0,"",'Dvd Calendar'!$AH$1606)))</f>
        <v/>
      </c>
      <c r="CU119" s="85">
        <f>IF(AG119="","",IF(ISNUMBER('Dvd Calendar'!$AI$1606)=FALSE,"",IF((Summary!$C$13="N")*('Dvd Calendar'!$AI$1610='Field Check'!$C$25)&gt;0,"",'Dvd Calendar'!$AI$1606)))</f>
        <v/>
      </c>
      <c r="CV119" s="85">
        <f>IF(AH119="","",IF(ISNUMBER('Dvd Calendar'!$AJ$1606)=FALSE,"",IF((Summary!$C$13="N")*('Dvd Calendar'!$AJ$1610='Field Check'!$C$25)&gt;0,"",'Dvd Calendar'!$AJ$1606)))</f>
        <v/>
      </c>
      <c r="CW119" s="85">
        <f>IF(AI119="","",IF(ISNUMBER('Dvd Calendar'!$AK$1606)=FALSE,"",IF((Summary!$C$13="N")*('Dvd Calendar'!$AK$1610='Field Check'!$C$25)&gt;0,"",'Dvd Calendar'!$AK$1606)))</f>
        <v/>
      </c>
      <c r="CX119" s="85">
        <f>IF(AJ119="","",IF(ISNUMBER('Dvd Calendar'!$AL$1606)=FALSE,"",IF((Summary!$C$13="N")*('Dvd Calendar'!$AL$1610='Field Check'!$C$25)&gt;0,"",'Dvd Calendar'!$AL$1606)))</f>
        <v/>
      </c>
      <c r="CY119" s="85">
        <f>IF(AK119="","",IF(ISNUMBER('Dvd Calendar'!$AM$1606)=FALSE,"",IF((Summary!$C$13="N")*('Dvd Calendar'!$AM$1610='Field Check'!$C$25)&gt;0,"",'Dvd Calendar'!$AM$1606)))</f>
        <v/>
      </c>
      <c r="CZ119" s="85">
        <f>IF(AL119="","",IF(ISNUMBER('Dvd Calendar'!$AN$1606)=FALSE,"",IF((Summary!$C$13="N")*('Dvd Calendar'!$AN$1610='Field Check'!$C$25)&gt;0,"",'Dvd Calendar'!$AN$1606)))</f>
        <v/>
      </c>
      <c r="DA119" s="85">
        <f>IF(AM119="","",IF(ISNUMBER('Dvd Calendar'!$AO$1606)=FALSE,"",IF((Summary!$C$13="N")*('Dvd Calendar'!$AO$1610='Field Check'!$C$25)&gt;0,"",'Dvd Calendar'!$AO$1606)))</f>
        <v/>
      </c>
      <c r="DB119" s="85">
        <f>IF(AN119="","",IF(ISNUMBER('Dvd Calendar'!$AP$1606)=FALSE,"",IF((Summary!$C$13="N")*('Dvd Calendar'!$AP$1610='Field Check'!$C$25)&gt;0,"",'Dvd Calendar'!$AP$1606)))</f>
        <v/>
      </c>
      <c r="DC119" s="85">
        <f>IF(AO119="","",IF(ISNUMBER('Dvd Calendar'!$AQ$1606)=FALSE,"",IF((Summary!$C$13="N")*('Dvd Calendar'!$AQ$1610='Field Check'!$C$25)&gt;0,"",'Dvd Calendar'!$AQ$1606)))</f>
        <v/>
      </c>
      <c r="DD119" s="85">
        <f>IF(AP119="","",IF(ISNUMBER('Dvd Calendar'!$AR$1606)=FALSE,"",IF((Summary!$C$13="N")*('Dvd Calendar'!$AR$1610='Field Check'!$C$25)&gt;0,"",'Dvd Calendar'!$AR$1606)))</f>
        <v/>
      </c>
      <c r="DE119" s="85">
        <f>IF(AQ119="","",IF(ISNUMBER('Dvd Calendar'!$E$1613)=FALSE,"",IF((Summary!$C$13="N")*('Dvd Calendar'!$E$1617='Field Check'!$C$25)&gt;0,"",'Dvd Calendar'!$E$1613)))</f>
        <v/>
      </c>
      <c r="DF119" s="85">
        <f>IF(AR119="","",IF(ISNUMBER('Dvd Calendar'!$F$1613)=FALSE,"",IF((Summary!$C$13="N")*('Dvd Calendar'!$F$1617='Field Check'!$C$25)&gt;0,"",'Dvd Calendar'!$F$1613)))</f>
        <v/>
      </c>
      <c r="DG119" s="85">
        <f>IF(AS119="","",IF(ISNUMBER('Dvd Calendar'!$G$1613)=FALSE,"",IF((Summary!$C$13="N")*('Dvd Calendar'!$G$1617='Field Check'!$C$25)&gt;0,"",'Dvd Calendar'!$G$1613)))</f>
        <v/>
      </c>
      <c r="DH119" s="85">
        <f>IF(AT119="","",IF(ISNUMBER('Dvd Calendar'!$H$1613)=FALSE,"",IF((Summary!$C$13="N")*('Dvd Calendar'!$H$1617='Field Check'!$C$25)&gt;0,"",'Dvd Calendar'!$H$1613)))</f>
        <v/>
      </c>
      <c r="DI119" s="85">
        <f>IF(AU119="","",IF(ISNUMBER('Dvd Calendar'!$I$1613)=FALSE,"",IF((Summary!$C$13="N")*('Dvd Calendar'!$I$1617='Field Check'!$C$25)&gt;0,"",'Dvd Calendar'!$I$1613)))</f>
        <v/>
      </c>
      <c r="DJ119" s="85">
        <f>IF(AV119="","",IF(ISNUMBER('Dvd Calendar'!$J$1613)=FALSE,"",IF((Summary!$C$13="N")*('Dvd Calendar'!$J$1617='Field Check'!$C$25)&gt;0,"",'Dvd Calendar'!$J$1613)))</f>
        <v/>
      </c>
      <c r="DK119" s="85">
        <f>IF(AW119="","",IF(ISNUMBER('Dvd Calendar'!$K$1613)=FALSE,"",IF((Summary!$C$13="N")*('Dvd Calendar'!$K$1617='Field Check'!$C$25)&gt;0,"",'Dvd Calendar'!$K$1613)))</f>
        <v/>
      </c>
      <c r="DL119" s="85">
        <f>IF(AX119="","",IF(ISNUMBER('Dvd Calendar'!$L$1613)=FALSE,"",IF((Summary!$C$13="N")*('Dvd Calendar'!$L$1617='Field Check'!$C$25)&gt;0,"",'Dvd Calendar'!$L$1613)))</f>
        <v/>
      </c>
      <c r="DM119" s="85">
        <f>IF(AY119="","",IF(ISNUMBER('Dvd Calendar'!$M$1613)=FALSE,"",IF((Summary!$C$13="N")*('Dvd Calendar'!$M$1617='Field Check'!$C$25)&gt;0,"",'Dvd Calendar'!$M$1613)))</f>
        <v/>
      </c>
      <c r="DN119" s="85">
        <f>IF(AZ119="","",IF(ISNUMBER('Dvd Calendar'!$N$1613)=FALSE,"",IF((Summary!$C$13="N")*('Dvd Calendar'!$N$1617='Field Check'!$C$25)&gt;0,"",'Dvd Calendar'!$N$1613)))</f>
        <v/>
      </c>
      <c r="DO119" s="85">
        <f>IF(BA119="","",IF(ISNUMBER('Dvd Calendar'!$O$1613)=FALSE,"",IF((Summary!$C$13="N")*('Dvd Calendar'!$O$1617='Field Check'!$C$25)&gt;0,"",'Dvd Calendar'!$O$1613)))</f>
        <v/>
      </c>
      <c r="DP119" s="85">
        <f>IF(BB119="","",IF(ISNUMBER('Dvd Calendar'!$P$1613)=FALSE,"",IF((Summary!$C$13="N")*('Dvd Calendar'!$P$1617='Field Check'!$C$25)&gt;0,"",'Dvd Calendar'!$P$1613)))</f>
        <v/>
      </c>
      <c r="DQ119" s="85">
        <f>IF(BC119="","",IF(ISNUMBER('Dvd Calendar'!$Q$1613)=FALSE,"",IF((Summary!$C$13="N")*('Dvd Calendar'!$Q$1617='Field Check'!$C$25)&gt;0,"",'Dvd Calendar'!$Q$1613)))</f>
        <v/>
      </c>
      <c r="DR119" s="85">
        <f>IF(BD119="","",IF(ISNUMBER('Dvd Calendar'!$R$1613)=FALSE,"",IF((Summary!$C$13="N")*('Dvd Calendar'!$R$1617='Field Check'!$C$25)&gt;0,"",'Dvd Calendar'!$R$1613)))</f>
        <v/>
      </c>
      <c r="DS119" s="85">
        <f>IF(BE119="","",IF(ISNUMBER('Dvd Calendar'!$S$1613)=FALSE,"",IF((Summary!$C$13="N")*('Dvd Calendar'!$S$1617='Field Check'!$C$25)&gt;0,"",'Dvd Calendar'!$S$1613)))</f>
        <v/>
      </c>
      <c r="DT119" s="85">
        <f>IF(BF119="","",IF(ISNUMBER('Dvd Calendar'!$T$1613)=FALSE,"",IF((Summary!$C$13="N")*('Dvd Calendar'!$T$1617='Field Check'!$C$25)&gt;0,"",'Dvd Calendar'!$T$1613)))</f>
        <v/>
      </c>
      <c r="DU119" s="85">
        <f>IF(BG119="","",IF(ISNUMBER('Dvd Calendar'!$U$1613)=FALSE,"",IF((Summary!$C$13="N")*('Dvd Calendar'!$U$1617='Field Check'!$C$25)&gt;0,"",'Dvd Calendar'!$U$1613)))</f>
        <v/>
      </c>
      <c r="DV119" s="85">
        <f>IF(BH119="","",IF(ISNUMBER('Dvd Calendar'!$V$1613)=FALSE,"",IF((Summary!$C$13="N")*('Dvd Calendar'!$V$1617='Field Check'!$C$25)&gt;0,"",'Dvd Calendar'!$V$1613)))</f>
        <v/>
      </c>
      <c r="DW119" s="85">
        <f>IF(BI119="","",IF(ISNUMBER('Dvd Calendar'!$W$1613)=FALSE,"",IF((Summary!$C$13="N")*('Dvd Calendar'!$W$1617='Field Check'!$C$25)&gt;0,"",'Dvd Calendar'!$W$1613)))</f>
        <v/>
      </c>
      <c r="DX119" s="85">
        <f>IF(BJ119="","",IF(ISNUMBER('Dvd Calendar'!$X$1613)=FALSE,"",IF((Summary!$C$13="N")*('Dvd Calendar'!$X$1617='Field Check'!$C$25)&gt;0,"",'Dvd Calendar'!$X$1613)))</f>
        <v/>
      </c>
      <c r="DY119" s="85">
        <f>IF(BK119="","",IF(ISNUMBER('Dvd Calendar'!$Y$1613)=FALSE,"",IF((Summary!$C$13="N")*('Dvd Calendar'!$Y$1617='Field Check'!$C$25)&gt;0,"",'Dvd Calendar'!$Y$1613)))</f>
        <v/>
      </c>
      <c r="DZ119" s="85">
        <f>IF(BL119="","",IF(ISNUMBER('Dvd Calendar'!$Z$1613)=FALSE,"",IF((Summary!$C$13="N")*('Dvd Calendar'!$Z$1617='Field Check'!$C$25)&gt;0,"",'Dvd Calendar'!$Z$1613)))</f>
        <v/>
      </c>
      <c r="EA119" s="85">
        <f>IF(BM119="","",IF(ISNUMBER('Dvd Calendar'!$AA$1613)=FALSE,"",IF((Summary!$C$13="N")*('Dvd Calendar'!$AA$1617='Field Check'!$C$25)&gt;0,"",'Dvd Calendar'!$AA$1613)))</f>
        <v/>
      </c>
      <c r="EB119" s="85">
        <f>IF(BN119="","",IF(ISNUMBER('Dvd Calendar'!$AB$1613)=FALSE,"",IF((Summary!$C$13="N")*('Dvd Calendar'!$AB$1617='Field Check'!$C$25)&gt;0,"",'Dvd Calendar'!$AB$1613)))</f>
        <v/>
      </c>
      <c r="EC119" s="85">
        <f>IF(BO119="","",IF(ISNUMBER('Dvd Calendar'!$AC$1613)=FALSE,"",IF((Summary!$C$13="N")*('Dvd Calendar'!$AC$1617='Field Check'!$C$25)&gt;0,"",'Dvd Calendar'!$AC$1613)))</f>
        <v/>
      </c>
      <c r="EE119" s="85">
        <f>IF(BQ119="","",IFERROR(BQ119*HSTECH!$B$13*HSTECH!$G$13/HSTECH!$B$3,""))</f>
        <v/>
      </c>
      <c r="EF119" s="85">
        <f>IF(BR119="","",IFERROR(BR119*HSTECH!$B$13*HSTECH!$G$13/HSTECH!$B$3,""))</f>
        <v/>
      </c>
      <c r="EG119" s="85">
        <f>IF(BS119="","",IFERROR(BS119*HSTECH!$B$13*HSTECH!$G$13/HSTECH!$B$3,""))</f>
        <v/>
      </c>
      <c r="EH119" s="85">
        <f>IF(BT119="","",IFERROR(BT119*HSTECH!$B$13*HSTECH!$G$13/HSTECH!$B$3,""))</f>
        <v/>
      </c>
      <c r="EI119" s="85">
        <f>IF(BU119="","",IFERROR(BU119*HSTECH!$B$13*HSTECH!$G$13/HSTECH!$B$3,""))</f>
        <v/>
      </c>
      <c r="EJ119" s="85">
        <f>IF(BV119="","",IFERROR(BV119*HSTECH!$B$13*HSTECH!$G$13/HSTECH!$B$3,""))</f>
        <v/>
      </c>
      <c r="EK119" s="85">
        <f>IF(BW119="","",IFERROR(BW119*HSTECH!$B$13*HSTECH!$G$13/HSTECH!$B$3,""))</f>
        <v/>
      </c>
      <c r="EL119" s="85">
        <f>IF(BX119="","",IFERROR(BX119*HSTECH!$B$13*HSTECH!$G$13/HSTECH!$B$3,""))</f>
        <v/>
      </c>
      <c r="EM119" s="85">
        <f>IF(BY119="","",IFERROR(BY119*HSTECH!$B$13*HSTECH!$G$13/HSTECH!$B$3,""))</f>
        <v/>
      </c>
      <c r="EN119" s="85">
        <f>IF(BZ119="","",IFERROR(BZ119*HSTECH!$B$13*HSTECH!$G$13/HSTECH!$B$3,""))</f>
        <v/>
      </c>
      <c r="EO119" s="85">
        <f>IF(CA119="","",IFERROR(CA119*HSTECH!$B$13*HSTECH!$G$13/HSTECH!$B$3,""))</f>
        <v/>
      </c>
      <c r="EP119" s="85">
        <f>IF(CB119="","",IFERROR(CB119*HSTECH!$B$13*HSTECH!$G$13/HSTECH!$B$3,""))</f>
        <v/>
      </c>
      <c r="EQ119" s="85">
        <f>IF(CC119="","",IFERROR(CC119*HSTECH!$B$13*HSTECH!$G$13/HSTECH!$B$3,""))</f>
        <v/>
      </c>
      <c r="ER119" s="85">
        <f>IF(CD119="","",IFERROR(CD119*HSTECH!$B$13*HSTECH!$G$13/HSTECH!$B$3,""))</f>
        <v/>
      </c>
      <c r="ES119" s="85">
        <f>IF(CE119="","",IFERROR(CE119*HSTECH!$B$13*HSTECH!$G$13/HSTECH!$B$3,""))</f>
        <v/>
      </c>
      <c r="ET119" s="85">
        <f>IF(CF119="","",IFERROR(CF119*HSTECH!$B$13*HSTECH!$G$13/HSTECH!$B$3,""))</f>
        <v/>
      </c>
      <c r="EU119" s="85">
        <f>IF(CG119="","",IFERROR(CG119*HSTECH!$B$13*HSTECH!$G$13/HSTECH!$B$3,""))</f>
        <v/>
      </c>
      <c r="EV119" s="85">
        <f>IF(CH119="","",IFERROR(CH119*HSTECH!$B$13*HSTECH!$G$13/HSTECH!$B$3,""))</f>
        <v/>
      </c>
      <c r="EW119" s="85">
        <f>IF(CI119="","",IFERROR(CI119*HSTECH!$B$13*HSTECH!$G$13/HSTECH!$B$3,""))</f>
        <v/>
      </c>
      <c r="EX119" s="85">
        <f>IF(CJ119="","",IFERROR(CJ119*HSTECH!$B$13*HSTECH!$G$13/HSTECH!$B$3,""))</f>
        <v/>
      </c>
      <c r="EY119" s="85">
        <f>IF(CK119="","",IFERROR(CK119*HSTECH!$B$13*HSTECH!$G$13/HSTECH!$B$3,""))</f>
        <v/>
      </c>
      <c r="EZ119" s="85">
        <f>IF(CL119="","",IFERROR(CL119*HSTECH!$B$13*HSTECH!$G$13/HSTECH!$B$3,""))</f>
        <v/>
      </c>
      <c r="FA119" s="85">
        <f>IF(CM119="","",IFERROR(CM119*HSTECH!$B$13*HSTECH!$G$13/HSTECH!$B$3,""))</f>
        <v/>
      </c>
      <c r="FB119" s="85">
        <f>IF(CN119="","",IFERROR(CN119*HSTECH!$B$13*HSTECH!$G$13/HSTECH!$B$3,""))</f>
        <v/>
      </c>
      <c r="FC119" s="85">
        <f>IF(CO119="","",IFERROR(CO119*HSTECH!$B$13*HSTECH!$G$13/HSTECH!$B$3,""))</f>
        <v/>
      </c>
      <c r="FD119" s="85">
        <f>IF(CP119="","",IFERROR(CP119*HSTECH!$B$13*HSTECH!$G$13/HSTECH!$B$3,""))</f>
        <v/>
      </c>
      <c r="FE119" s="85">
        <f>IF(CQ119="","",IFERROR(CQ119*HSTECH!$B$13*HSTECH!$G$13/HSTECH!$B$3,""))</f>
        <v/>
      </c>
      <c r="FF119" s="85">
        <f>IF(CR119="","",IFERROR(CR119*HSTECH!$B$13*HSTECH!$G$13/HSTECH!$B$3,""))</f>
        <v/>
      </c>
      <c r="FG119" s="85">
        <f>IF(CS119="","",IFERROR(CS119*HSTECH!$B$13*HSTECH!$G$13/HSTECH!$B$3,""))</f>
        <v/>
      </c>
      <c r="FH119" s="85">
        <f>IF(CT119="","",IFERROR(CT119*HSTECH!$B$13*HSTECH!$G$13/HSTECH!$B$3,""))</f>
        <v/>
      </c>
      <c r="FI119" s="85">
        <f>IF(CU119="","",IFERROR(CU119*HSTECH!$B$13*HSTECH!$G$13/HSTECH!$B$3,""))</f>
        <v/>
      </c>
      <c r="FJ119" s="85">
        <f>IF(CV119="","",IFERROR(CV119*HSTECH!$B$13*HSTECH!$G$13/HSTECH!$B$3,""))</f>
        <v/>
      </c>
      <c r="FK119" s="85">
        <f>IF(CW119="","",IFERROR(CW119*HSTECH!$B$13*HSTECH!$G$13/HSTECH!$B$3,""))</f>
        <v/>
      </c>
      <c r="FL119" s="85">
        <f>IF(CX119="","",IFERROR(CX119*HSTECH!$B$13*HSTECH!$G$13/HSTECH!$B$3,""))</f>
        <v/>
      </c>
      <c r="FM119" s="85">
        <f>IF(CY119="","",IFERROR(CY119*HSTECH!$B$13*HSTECH!$G$13/HSTECH!$B$3,""))</f>
        <v/>
      </c>
      <c r="FN119" s="85">
        <f>IF(CZ119="","",IFERROR(CZ119*HSTECH!$B$13*HSTECH!$G$13/HSTECH!$B$3,""))</f>
        <v/>
      </c>
      <c r="FO119" s="85">
        <f>IF(DA119="","",IFERROR(DA119*HSTECH!$B$13*HSTECH!$G$13/HSTECH!$B$3,""))</f>
        <v/>
      </c>
      <c r="FP119" s="85">
        <f>IF(DB119="","",IFERROR(DB119*HSTECH!$B$13*HSTECH!$G$13/HSTECH!$B$3,""))</f>
        <v/>
      </c>
      <c r="FQ119" s="85">
        <f>IF(DC119="","",IFERROR(DC119*HSTECH!$B$13*HSTECH!$G$13/HSTECH!$B$3,""))</f>
        <v/>
      </c>
      <c r="FR119" s="85">
        <f>IF(DD119="","",IFERROR(DD119*HSTECH!$B$13*HSTECH!$G$13/HSTECH!$B$3,""))</f>
        <v/>
      </c>
      <c r="FS119" s="85">
        <f>IF(DE119="","",IFERROR(DE119*HSTECH!$B$13*HSTECH!$G$13/HSTECH!$B$3,""))</f>
        <v/>
      </c>
      <c r="FT119" s="85">
        <f>IF(DF119="","",IFERROR(DF119*HSTECH!$B$13*HSTECH!$G$13/HSTECH!$B$3,""))</f>
        <v/>
      </c>
      <c r="FU119" s="85">
        <f>IF(DG119="","",IFERROR(DG119*HSTECH!$B$13*HSTECH!$G$13/HSTECH!$B$3,""))</f>
        <v/>
      </c>
      <c r="FV119" s="85">
        <f>IF(DH119="","",IFERROR(DH119*HSTECH!$B$13*HSTECH!$G$13/HSTECH!$B$3,""))</f>
        <v/>
      </c>
      <c r="FW119" s="85">
        <f>IF(DI119="","",IFERROR(DI119*HSTECH!$B$13*HSTECH!$G$13/HSTECH!$B$3,""))</f>
        <v/>
      </c>
      <c r="FX119" s="85">
        <f>IF(DJ119="","",IFERROR(DJ119*HSTECH!$B$13*HSTECH!$G$13/HSTECH!$B$3,""))</f>
        <v/>
      </c>
      <c r="FY119" s="85">
        <f>IF(DK119="","",IFERROR(DK119*HSTECH!$B$13*HSTECH!$G$13/HSTECH!$B$3,""))</f>
        <v/>
      </c>
      <c r="FZ119" s="85">
        <f>IF(DL119="","",IFERROR(DL119*HSTECH!$B$13*HSTECH!$G$13/HSTECH!$B$3,""))</f>
        <v/>
      </c>
      <c r="GA119" s="85">
        <f>IF(DM119="","",IFERROR(DM119*HSTECH!$B$13*HSTECH!$G$13/HSTECH!$B$3,""))</f>
        <v/>
      </c>
      <c r="GB119" s="85">
        <f>IF(DN119="","",IFERROR(DN119*HSTECH!$B$13*HSTECH!$G$13/HSTECH!$B$3,""))</f>
        <v/>
      </c>
      <c r="GC119" s="85">
        <f>IF(DO119="","",IFERROR(DO119*HSTECH!$B$13*HSTECH!$G$13/HSTECH!$B$3,""))</f>
        <v/>
      </c>
      <c r="GD119" s="85">
        <f>IF(DP119="","",IFERROR(DP119*HSTECH!$B$13*HSTECH!$G$13/HSTECH!$B$3,""))</f>
        <v/>
      </c>
      <c r="GE119" s="85">
        <f>IF(DQ119="","",IFERROR(DQ119*HSTECH!$B$13*HSTECH!$G$13/HSTECH!$B$3,""))</f>
        <v/>
      </c>
      <c r="GF119" s="85">
        <f>IF(DR119="","",IFERROR(DR119*HSTECH!$B$13*HSTECH!$G$13/HSTECH!$B$3,""))</f>
        <v/>
      </c>
      <c r="GG119" s="85">
        <f>IF(DS119="","",IFERROR(DS119*HSTECH!$B$13*HSTECH!$G$13/HSTECH!$B$3,""))</f>
        <v/>
      </c>
      <c r="GH119" s="85">
        <f>IF(DT119="","",IFERROR(DT119*HSTECH!$B$13*HSTECH!$G$13/HSTECH!$B$3,""))</f>
        <v/>
      </c>
      <c r="GI119" s="85">
        <f>IF(DU119="","",IFERROR(DU119*HSTECH!$B$13*HSTECH!$G$13/HSTECH!$B$3,""))</f>
        <v/>
      </c>
      <c r="GJ119" s="85">
        <f>IF(DV119="","",IFERROR(DV119*HSTECH!$B$13*HSTECH!$G$13/HSTECH!$B$3,""))</f>
        <v/>
      </c>
      <c r="GK119" s="85">
        <f>IF(DW119="","",IFERROR(DW119*HSTECH!$B$13*HSTECH!$G$13/HSTECH!$B$3,""))</f>
        <v/>
      </c>
      <c r="GL119" s="85">
        <f>IF(DX119="","",IFERROR(DX119*HSTECH!$B$13*HSTECH!$G$13/HSTECH!$B$3,""))</f>
        <v/>
      </c>
      <c r="GM119" s="85">
        <f>IF(DY119="","",IFERROR(DY119*HSTECH!$B$13*HSTECH!$G$13/HSTECH!$B$3,""))</f>
        <v/>
      </c>
      <c r="GN119" s="85">
        <f>IF(DZ119="","",IFERROR(DZ119*HSTECH!$B$13*HSTECH!$G$13/HSTECH!$B$3,""))</f>
        <v/>
      </c>
      <c r="GO119" s="85">
        <f>IF(EA119="","",IFERROR(EA119*HSTECH!$B$13*HSTECH!$G$13/HSTECH!$B$3,""))</f>
        <v/>
      </c>
      <c r="GP119" s="85">
        <f>IF(EB119="","",IFERROR(EB119*HSTECH!$B$13*HSTECH!$G$13/HSTECH!$B$3,""))</f>
        <v/>
      </c>
      <c r="GQ119" s="85">
        <f>IF(EC119="","",IFERROR(EC119*HSTECH!$B$13*HSTECH!$G$13/HSTECH!$B$3,""))</f>
        <v/>
      </c>
    </row>
    <row r="120">
      <c r="B120" s="2">
        <f>IF(HSTECH!$C$14="","",HSTECH!$C$14)</f>
        <v/>
      </c>
      <c r="C120" s="41">
        <f>IF(N('Dvd Calendar'!$E$1620)=0,"",IF(('Dvd Calendar'!$E$1620&gt;=MIN(DATE(Summary!$C$12,1,1),Summary!$C$11))*('Dvd Calendar'!$E$1620&lt;=MAX(DATE(Summary!$C$12,12,31),Summary!$C$15))*('Dvd Calendar'!$E$1620&lt;=Summary!$C$11)=0,"",'Dvd Calendar'!$E$1620*1000000000+ISNUMBER('Dvd Calendar'!$E$1621)*100000000+('Dvd Calendar'!$E$1625='Field Check'!$C$25)*10000000+(N('Dvd Calendar'!$E$1619)&gt;0)*1000000+8*1000+1))</f>
        <v/>
      </c>
      <c r="D120" s="41">
        <f>IF(N('Dvd Calendar'!$F$1620)=0,"",IF(('Dvd Calendar'!$F$1620&gt;=MIN(DATE(Summary!$C$12,1,1),Summary!$C$11))*('Dvd Calendar'!$F$1620&lt;=MAX(DATE(Summary!$C$12,12,31),Summary!$C$15))*('Dvd Calendar'!$F$1620&lt;=Summary!$C$11)=0,"",'Dvd Calendar'!$F$1620*1000000000+ISNUMBER('Dvd Calendar'!$F$1621)*100000000+('Dvd Calendar'!$F$1625='Field Check'!$C$25)*10000000+(N('Dvd Calendar'!$F$1619)&gt;0)*1000000+8*1000+2))</f>
        <v/>
      </c>
      <c r="E120" s="41">
        <f>IF(N('Dvd Calendar'!$G$1620)=0,"",IF(('Dvd Calendar'!$G$1620&gt;=MIN(DATE(Summary!$C$12,1,1),Summary!$C$11))*('Dvd Calendar'!$G$1620&lt;=MAX(DATE(Summary!$C$12,12,31),Summary!$C$15))*('Dvd Calendar'!$G$1620&lt;=Summary!$C$11)=0,"",'Dvd Calendar'!$G$1620*1000000000+ISNUMBER('Dvd Calendar'!$G$1621)*100000000+('Dvd Calendar'!$G$1625='Field Check'!$C$25)*10000000+(N('Dvd Calendar'!$G$1619)&gt;0)*1000000+8*1000+3))</f>
        <v/>
      </c>
      <c r="F120" s="41">
        <f>IF(N('Dvd Calendar'!$H$1620)=0,"",IF(('Dvd Calendar'!$H$1620&gt;=MIN(DATE(Summary!$C$12,1,1),Summary!$C$11))*('Dvd Calendar'!$H$1620&lt;=MAX(DATE(Summary!$C$12,12,31),Summary!$C$15))*('Dvd Calendar'!$H$1620&lt;=Summary!$C$11)=0,"",'Dvd Calendar'!$H$1620*1000000000+ISNUMBER('Dvd Calendar'!$H$1621)*100000000+('Dvd Calendar'!$H$1625='Field Check'!$C$25)*10000000+(N('Dvd Calendar'!$H$1619)&gt;0)*1000000+8*1000+4))</f>
        <v/>
      </c>
      <c r="G120" s="41">
        <f>IF(N('Dvd Calendar'!$I$1620)=0,"",IF(('Dvd Calendar'!$I$1620&gt;=MIN(DATE(Summary!$C$12,1,1),Summary!$C$11))*('Dvd Calendar'!$I$1620&lt;=MAX(DATE(Summary!$C$12,12,31),Summary!$C$15))*('Dvd Calendar'!$I$1620&lt;=Summary!$C$11)=0,"",'Dvd Calendar'!$I$1620*1000000000+ISNUMBER('Dvd Calendar'!$I$1621)*100000000+('Dvd Calendar'!$I$1625='Field Check'!$C$25)*10000000+(N('Dvd Calendar'!$I$1619)&gt;0)*1000000+8*1000+5))</f>
        <v/>
      </c>
      <c r="H120" s="41">
        <f>IF(N('Dvd Calendar'!$J$1620)=0,"",IF(('Dvd Calendar'!$J$1620&gt;=MIN(DATE(Summary!$C$12,1,1),Summary!$C$11))*('Dvd Calendar'!$J$1620&lt;=MAX(DATE(Summary!$C$12,12,31),Summary!$C$15))*('Dvd Calendar'!$J$1620&lt;=Summary!$C$11)=0,"",'Dvd Calendar'!$J$1620*1000000000+ISNUMBER('Dvd Calendar'!$J$1621)*100000000+('Dvd Calendar'!$J$1625='Field Check'!$C$25)*10000000+(N('Dvd Calendar'!$J$1619)&gt;0)*1000000+8*1000+6))</f>
        <v/>
      </c>
      <c r="I120" s="41">
        <f>IF(N('Dvd Calendar'!$K$1620)=0,"",IF(('Dvd Calendar'!$K$1620&gt;=MIN(DATE(Summary!$C$12,1,1),Summary!$C$11))*('Dvd Calendar'!$K$1620&lt;=MAX(DATE(Summary!$C$12,12,31),Summary!$C$15))*('Dvd Calendar'!$K$1620&lt;=Summary!$C$11)=0,"",'Dvd Calendar'!$K$1620*1000000000+ISNUMBER('Dvd Calendar'!$K$1621)*100000000+('Dvd Calendar'!$K$1625='Field Check'!$C$25)*10000000+(N('Dvd Calendar'!$K$1619)&gt;0)*1000000+8*1000+7))</f>
        <v/>
      </c>
      <c r="J120" s="41">
        <f>IF(N('Dvd Calendar'!$L$1620)=0,"",IF(('Dvd Calendar'!$L$1620&gt;=MIN(DATE(Summary!$C$12,1,1),Summary!$C$11))*('Dvd Calendar'!$L$1620&lt;=MAX(DATE(Summary!$C$12,12,31),Summary!$C$15))*('Dvd Calendar'!$L$1620&lt;=Summary!$C$11)=0,"",'Dvd Calendar'!$L$1620*1000000000+ISNUMBER('Dvd Calendar'!$L$1621)*100000000+('Dvd Calendar'!$L$1625='Field Check'!$C$25)*10000000+(N('Dvd Calendar'!$L$1619)&gt;0)*1000000+8*1000+8))</f>
        <v/>
      </c>
      <c r="K120" s="41">
        <f>IF(N('Dvd Calendar'!$M$1620)=0,"",IF(('Dvd Calendar'!$M$1620&gt;=MIN(DATE(Summary!$C$12,1,1),Summary!$C$11))*('Dvd Calendar'!$M$1620&lt;=MAX(DATE(Summary!$C$12,12,31),Summary!$C$15))*('Dvd Calendar'!$M$1620&lt;=Summary!$C$11)=0,"",'Dvd Calendar'!$M$1620*1000000000+ISNUMBER('Dvd Calendar'!$M$1621)*100000000+('Dvd Calendar'!$M$1625='Field Check'!$C$25)*10000000+(N('Dvd Calendar'!$M$1619)&gt;0)*1000000+8*1000+9))</f>
        <v/>
      </c>
      <c r="L120" s="41">
        <f>IF(N('Dvd Calendar'!$N$1620)=0,"",IF(('Dvd Calendar'!$N$1620&gt;=MIN(DATE(Summary!$C$12,1,1),Summary!$C$11))*('Dvd Calendar'!$N$1620&lt;=MAX(DATE(Summary!$C$12,12,31),Summary!$C$15))*('Dvd Calendar'!$N$1620&lt;=Summary!$C$11)=0,"",'Dvd Calendar'!$N$1620*1000000000+ISNUMBER('Dvd Calendar'!$N$1621)*100000000+('Dvd Calendar'!$N$1625='Field Check'!$C$25)*10000000+(N('Dvd Calendar'!$N$1619)&gt;0)*1000000+8*1000+10))</f>
        <v/>
      </c>
      <c r="M120" s="41">
        <f>IF(N('Dvd Calendar'!$O$1620)=0,"",IF(('Dvd Calendar'!$O$1620&gt;=MIN(DATE(Summary!$C$12,1,1),Summary!$C$11))*('Dvd Calendar'!$O$1620&lt;=MAX(DATE(Summary!$C$12,12,31),Summary!$C$15))*('Dvd Calendar'!$O$1620&lt;=Summary!$C$11)=0,"",'Dvd Calendar'!$O$1620*1000000000+ISNUMBER('Dvd Calendar'!$O$1621)*100000000+('Dvd Calendar'!$O$1625='Field Check'!$C$25)*10000000+(N('Dvd Calendar'!$O$1619)&gt;0)*1000000+8*1000+11))</f>
        <v/>
      </c>
      <c r="N120" s="41">
        <f>IF(N('Dvd Calendar'!$P$1620)=0,"",IF(('Dvd Calendar'!$P$1620&gt;=MIN(DATE(Summary!$C$12,1,1),Summary!$C$11))*('Dvd Calendar'!$P$1620&lt;=MAX(DATE(Summary!$C$12,12,31),Summary!$C$15))*('Dvd Calendar'!$P$1620&lt;=Summary!$C$11)=0,"",'Dvd Calendar'!$P$1620*1000000000+ISNUMBER('Dvd Calendar'!$P$1621)*100000000+('Dvd Calendar'!$P$1625='Field Check'!$C$25)*10000000+(N('Dvd Calendar'!$P$1619)&gt;0)*1000000+8*1000+12))</f>
        <v/>
      </c>
      <c r="O120" s="41">
        <f>IF(N('Dvd Calendar'!$Q$1620)=0,"",IF(('Dvd Calendar'!$Q$1620&gt;=MIN(DATE(Summary!$C$12,1,1),Summary!$C$11))*('Dvd Calendar'!$Q$1620&lt;=MAX(DATE(Summary!$C$12,12,31),Summary!$C$15))*('Dvd Calendar'!$Q$1620&lt;=Summary!$C$11)=0,"",'Dvd Calendar'!$Q$1620*1000000000+ISNUMBER('Dvd Calendar'!$Q$1621)*100000000+('Dvd Calendar'!$Q$1625='Field Check'!$C$25)*10000000+(N('Dvd Calendar'!$Q$1619)&gt;0)*1000000+8*1000+13))</f>
        <v/>
      </c>
      <c r="P120" s="41">
        <f>IF(N('Dvd Calendar'!$R$1620)=0,"",IF(('Dvd Calendar'!$R$1620&gt;=MIN(DATE(Summary!$C$12,1,1),Summary!$C$11))*('Dvd Calendar'!$R$1620&lt;=MAX(DATE(Summary!$C$12,12,31),Summary!$C$15))*('Dvd Calendar'!$R$1620&lt;=Summary!$C$11)=0,"",'Dvd Calendar'!$R$1620*1000000000+ISNUMBER('Dvd Calendar'!$R$1621)*100000000+('Dvd Calendar'!$R$1625='Field Check'!$C$25)*10000000+(N('Dvd Calendar'!$R$1619)&gt;0)*1000000+8*1000+14))</f>
        <v/>
      </c>
      <c r="Q120" s="41">
        <f>IF(N('Dvd Calendar'!$S$1620)=0,"",IF(('Dvd Calendar'!$S$1620&gt;=MIN(DATE(Summary!$C$12,1,1),Summary!$C$11))*('Dvd Calendar'!$S$1620&lt;=MAX(DATE(Summary!$C$12,12,31),Summary!$C$15))*('Dvd Calendar'!$S$1620&lt;=Summary!$C$11)=0,"",'Dvd Calendar'!$S$1620*1000000000+ISNUMBER('Dvd Calendar'!$S$1621)*100000000+('Dvd Calendar'!$S$1625='Field Check'!$C$25)*10000000+(N('Dvd Calendar'!$S$1619)&gt;0)*1000000+8*1000+15))</f>
        <v/>
      </c>
      <c r="R120" s="41">
        <f>IF(N('Dvd Calendar'!$T$1620)=0,"",IF(('Dvd Calendar'!$T$1620&gt;=MIN(DATE(Summary!$C$12,1,1),Summary!$C$11))*('Dvd Calendar'!$T$1620&lt;=MAX(DATE(Summary!$C$12,12,31),Summary!$C$15))*('Dvd Calendar'!$T$1620&lt;=Summary!$C$11)=0,"",'Dvd Calendar'!$T$1620*1000000000+ISNUMBER('Dvd Calendar'!$T$1621)*100000000+('Dvd Calendar'!$T$1625='Field Check'!$C$25)*10000000+(N('Dvd Calendar'!$T$1619)&gt;0)*1000000+8*1000+16))</f>
        <v/>
      </c>
      <c r="S120" s="41">
        <f>IF(N('Dvd Calendar'!$U$1620)=0,"",IF(('Dvd Calendar'!$U$1620&gt;=MIN(DATE(Summary!$C$12,1,1),Summary!$C$11))*('Dvd Calendar'!$U$1620&lt;=MAX(DATE(Summary!$C$12,12,31),Summary!$C$15))*('Dvd Calendar'!$U$1620&lt;=Summary!$C$11)=0,"",'Dvd Calendar'!$U$1620*1000000000+ISNUMBER('Dvd Calendar'!$U$1621)*100000000+('Dvd Calendar'!$U$1625='Field Check'!$C$25)*10000000+(N('Dvd Calendar'!$U$1619)&gt;0)*1000000+8*1000+17))</f>
        <v/>
      </c>
      <c r="T120" s="41">
        <f>IF(N('Dvd Calendar'!$V$1620)=0,"",IF(('Dvd Calendar'!$V$1620&gt;=MIN(DATE(Summary!$C$12,1,1),Summary!$C$11))*('Dvd Calendar'!$V$1620&lt;=MAX(DATE(Summary!$C$12,12,31),Summary!$C$15))*('Dvd Calendar'!$V$1620&lt;=Summary!$C$11)=0,"",'Dvd Calendar'!$V$1620*1000000000+ISNUMBER('Dvd Calendar'!$V$1621)*100000000+('Dvd Calendar'!$V$1625='Field Check'!$C$25)*10000000+(N('Dvd Calendar'!$V$1619)&gt;0)*1000000+8*1000+18))</f>
        <v/>
      </c>
      <c r="U120" s="41">
        <f>IF(N('Dvd Calendar'!$W$1620)=0,"",IF(('Dvd Calendar'!$W$1620&gt;=MIN(DATE(Summary!$C$12,1,1),Summary!$C$11))*('Dvd Calendar'!$W$1620&lt;=MAX(DATE(Summary!$C$12,12,31),Summary!$C$15))*('Dvd Calendar'!$W$1620&lt;=Summary!$C$11)=0,"",'Dvd Calendar'!$W$1620*1000000000+ISNUMBER('Dvd Calendar'!$W$1621)*100000000+('Dvd Calendar'!$W$1625='Field Check'!$C$25)*10000000+(N('Dvd Calendar'!$W$1619)&gt;0)*1000000+8*1000+19))</f>
        <v/>
      </c>
      <c r="V120" s="41">
        <f>IF(N('Dvd Calendar'!$X$1620)=0,"",IF(('Dvd Calendar'!$X$1620&gt;=MIN(DATE(Summary!$C$12,1,1),Summary!$C$11))*('Dvd Calendar'!$X$1620&lt;=MAX(DATE(Summary!$C$12,12,31),Summary!$C$15))*('Dvd Calendar'!$X$1620&lt;=Summary!$C$11)=0,"",'Dvd Calendar'!$X$1620*1000000000+ISNUMBER('Dvd Calendar'!$X$1621)*100000000+('Dvd Calendar'!$X$1625='Field Check'!$C$25)*10000000+(N('Dvd Calendar'!$X$1619)&gt;0)*1000000+8*1000+20))</f>
        <v/>
      </c>
      <c r="W120" s="41">
        <f>IF(N('Dvd Calendar'!$Y$1620)=0,"",IF(('Dvd Calendar'!$Y$1620&gt;=MIN(DATE(Summary!$C$12,1,1),Summary!$C$11))*('Dvd Calendar'!$Y$1620&lt;=MAX(DATE(Summary!$C$12,12,31),Summary!$C$15))*('Dvd Calendar'!$Y$1620&lt;=Summary!$C$11)=0,"",'Dvd Calendar'!$Y$1620*1000000000+ISNUMBER('Dvd Calendar'!$Y$1621)*100000000+('Dvd Calendar'!$Y$1625='Field Check'!$C$25)*10000000+(N('Dvd Calendar'!$Y$1619)&gt;0)*1000000+8*1000+21))</f>
        <v/>
      </c>
      <c r="X120" s="41">
        <f>IF(N('Dvd Calendar'!$Z$1620)=0,"",IF(('Dvd Calendar'!$Z$1620&gt;=MIN(DATE(Summary!$C$12,1,1),Summary!$C$11))*('Dvd Calendar'!$Z$1620&lt;=MAX(DATE(Summary!$C$12,12,31),Summary!$C$15))*('Dvd Calendar'!$Z$1620&lt;=Summary!$C$11)=0,"",'Dvd Calendar'!$Z$1620*1000000000+ISNUMBER('Dvd Calendar'!$Z$1621)*100000000+('Dvd Calendar'!$Z$1625='Field Check'!$C$25)*10000000+(N('Dvd Calendar'!$Z$1619)&gt;0)*1000000+8*1000+22))</f>
        <v/>
      </c>
      <c r="Y120" s="41">
        <f>IF(N('Dvd Calendar'!$AA$1620)=0,"",IF(('Dvd Calendar'!$AA$1620&gt;=MIN(DATE(Summary!$C$12,1,1),Summary!$C$11))*('Dvd Calendar'!$AA$1620&lt;=MAX(DATE(Summary!$C$12,12,31),Summary!$C$15))*('Dvd Calendar'!$AA$1620&lt;=Summary!$C$11)=0,"",'Dvd Calendar'!$AA$1620*1000000000+ISNUMBER('Dvd Calendar'!$AA$1621)*100000000+('Dvd Calendar'!$AA$1625='Field Check'!$C$25)*10000000+(N('Dvd Calendar'!$AA$1619)&gt;0)*1000000+8*1000+23))</f>
        <v/>
      </c>
      <c r="Z120" s="41">
        <f>IF(N('Dvd Calendar'!$AB$1620)=0,"",IF(('Dvd Calendar'!$AB$1620&gt;=MIN(DATE(Summary!$C$12,1,1),Summary!$C$11))*('Dvd Calendar'!$AB$1620&lt;=MAX(DATE(Summary!$C$12,12,31),Summary!$C$15))*('Dvd Calendar'!$AB$1620&lt;=Summary!$C$11)=0,"",'Dvd Calendar'!$AB$1620*1000000000+ISNUMBER('Dvd Calendar'!$AB$1621)*100000000+('Dvd Calendar'!$AB$1625='Field Check'!$C$25)*10000000+(N('Dvd Calendar'!$AB$1619)&gt;0)*1000000+8*1000+24))</f>
        <v/>
      </c>
      <c r="AA120" s="41">
        <f>IF(N('Dvd Calendar'!$AC$1620)=0,"",IF(('Dvd Calendar'!$AC$1620&gt;=MIN(DATE(Summary!$C$12,1,1),Summary!$C$11))*('Dvd Calendar'!$AC$1620&lt;=MAX(DATE(Summary!$C$12,12,31),Summary!$C$15))*('Dvd Calendar'!$AC$1620&lt;=Summary!$C$11)=0,"",'Dvd Calendar'!$AC$1620*1000000000+ISNUMBER('Dvd Calendar'!$AC$1621)*100000000+('Dvd Calendar'!$AC$1625='Field Check'!$C$25)*10000000+(N('Dvd Calendar'!$AC$1619)&gt;0)*1000000+8*1000+25))</f>
        <v/>
      </c>
      <c r="AB120" s="41">
        <f>IF(N('Dvd Calendar'!$AD$1620)=0,"",IF(('Dvd Calendar'!$AD$1620&gt;=MIN(DATE(Summary!$C$12,1,1),Summary!$C$11))*('Dvd Calendar'!$AD$1620&lt;=MAX(DATE(Summary!$C$12,12,31),Summary!$C$15))*('Dvd Calendar'!$AD$1620&lt;=Summary!$C$11)=0,"",'Dvd Calendar'!$AD$1620*1000000000+ISNUMBER('Dvd Calendar'!$AD$1621)*100000000+('Dvd Calendar'!$AD$1625='Field Check'!$C$25)*10000000+(N('Dvd Calendar'!$AD$1619)&gt;0)*1000000+8*1000+26))</f>
        <v/>
      </c>
      <c r="AC120" s="41">
        <f>IF(N('Dvd Calendar'!$AE$1620)=0,"",IF(('Dvd Calendar'!$AE$1620&gt;=MIN(DATE(Summary!$C$12,1,1),Summary!$C$11))*('Dvd Calendar'!$AE$1620&lt;=MAX(DATE(Summary!$C$12,12,31),Summary!$C$15))*('Dvd Calendar'!$AE$1620&lt;=Summary!$C$11)=0,"",'Dvd Calendar'!$AE$1620*1000000000+ISNUMBER('Dvd Calendar'!$AE$1621)*100000000+('Dvd Calendar'!$AE$1625='Field Check'!$C$25)*10000000+(N('Dvd Calendar'!$AE$1619)&gt;0)*1000000+8*1000+27))</f>
        <v/>
      </c>
      <c r="AD120" s="41">
        <f>IF(N('Dvd Calendar'!$AF$1620)=0,"",IF(('Dvd Calendar'!$AF$1620&gt;=MIN(DATE(Summary!$C$12,1,1),Summary!$C$11))*('Dvd Calendar'!$AF$1620&lt;=MAX(DATE(Summary!$C$12,12,31),Summary!$C$15))*('Dvd Calendar'!$AF$1620&lt;=Summary!$C$11)=0,"",'Dvd Calendar'!$AF$1620*1000000000+ISNUMBER('Dvd Calendar'!$AF$1621)*100000000+('Dvd Calendar'!$AF$1625='Field Check'!$C$25)*10000000+(N('Dvd Calendar'!$AF$1619)&gt;0)*1000000+8*1000+28))</f>
        <v/>
      </c>
      <c r="AE120" s="41">
        <f>IF(N('Dvd Calendar'!$AG$1620)=0,"",IF(('Dvd Calendar'!$AG$1620&gt;=MIN(DATE(Summary!$C$12,1,1),Summary!$C$11))*('Dvd Calendar'!$AG$1620&lt;=MAX(DATE(Summary!$C$12,12,31),Summary!$C$15))*('Dvd Calendar'!$AG$1620&lt;=Summary!$C$11)=0,"",'Dvd Calendar'!$AG$1620*1000000000+ISNUMBER('Dvd Calendar'!$AG$1621)*100000000+('Dvd Calendar'!$AG$1625='Field Check'!$C$25)*10000000+(N('Dvd Calendar'!$AG$1619)&gt;0)*1000000+8*1000+29))</f>
        <v/>
      </c>
      <c r="AF120" s="41">
        <f>IF(N('Dvd Calendar'!$AH$1620)=0,"",IF(('Dvd Calendar'!$AH$1620&gt;=MIN(DATE(Summary!$C$12,1,1),Summary!$C$11))*('Dvd Calendar'!$AH$1620&lt;=MAX(DATE(Summary!$C$12,12,31),Summary!$C$15))*('Dvd Calendar'!$AH$1620&lt;=Summary!$C$11)=0,"",'Dvd Calendar'!$AH$1620*1000000000+ISNUMBER('Dvd Calendar'!$AH$1621)*100000000+('Dvd Calendar'!$AH$1625='Field Check'!$C$25)*10000000+(N('Dvd Calendar'!$AH$1619)&gt;0)*1000000+8*1000+30))</f>
        <v/>
      </c>
      <c r="AG120" s="41">
        <f>IF(N('Dvd Calendar'!$AI$1620)=0,"",IF(('Dvd Calendar'!$AI$1620&gt;=MIN(DATE(Summary!$C$12,1,1),Summary!$C$11))*('Dvd Calendar'!$AI$1620&lt;=MAX(DATE(Summary!$C$12,12,31),Summary!$C$15))*('Dvd Calendar'!$AI$1620&lt;=Summary!$C$11)=0,"",'Dvd Calendar'!$AI$1620*1000000000+ISNUMBER('Dvd Calendar'!$AI$1621)*100000000+('Dvd Calendar'!$AI$1625='Field Check'!$C$25)*10000000+(N('Dvd Calendar'!$AI$1619)&gt;0)*1000000+8*1000+31))</f>
        <v/>
      </c>
      <c r="AH120" s="41">
        <f>IF(N('Dvd Calendar'!$AJ$1620)=0,"",IF(('Dvd Calendar'!$AJ$1620&gt;=MIN(DATE(Summary!$C$12,1,1),Summary!$C$11))*('Dvd Calendar'!$AJ$1620&lt;=MAX(DATE(Summary!$C$12,12,31),Summary!$C$15))*('Dvd Calendar'!$AJ$1620&lt;=Summary!$C$11)=0,"",'Dvd Calendar'!$AJ$1620*1000000000+ISNUMBER('Dvd Calendar'!$AJ$1621)*100000000+('Dvd Calendar'!$AJ$1625='Field Check'!$C$25)*10000000+(N('Dvd Calendar'!$AJ$1619)&gt;0)*1000000+8*1000+32))</f>
        <v/>
      </c>
      <c r="AI120" s="41">
        <f>IF(N('Dvd Calendar'!$AK$1620)=0,"",IF(('Dvd Calendar'!$AK$1620&gt;=MIN(DATE(Summary!$C$12,1,1),Summary!$C$11))*('Dvd Calendar'!$AK$1620&lt;=MAX(DATE(Summary!$C$12,12,31),Summary!$C$15))*('Dvd Calendar'!$AK$1620&lt;=Summary!$C$11)=0,"",'Dvd Calendar'!$AK$1620*1000000000+ISNUMBER('Dvd Calendar'!$AK$1621)*100000000+('Dvd Calendar'!$AK$1625='Field Check'!$C$25)*10000000+(N('Dvd Calendar'!$AK$1619)&gt;0)*1000000+8*1000+33))</f>
        <v/>
      </c>
      <c r="AJ120" s="41">
        <f>IF(N('Dvd Calendar'!$AL$1620)=0,"",IF(('Dvd Calendar'!$AL$1620&gt;=MIN(DATE(Summary!$C$12,1,1),Summary!$C$11))*('Dvd Calendar'!$AL$1620&lt;=MAX(DATE(Summary!$C$12,12,31),Summary!$C$15))*('Dvd Calendar'!$AL$1620&lt;=Summary!$C$11)=0,"",'Dvd Calendar'!$AL$1620*1000000000+ISNUMBER('Dvd Calendar'!$AL$1621)*100000000+('Dvd Calendar'!$AL$1625='Field Check'!$C$25)*10000000+(N('Dvd Calendar'!$AL$1619)&gt;0)*1000000+8*1000+34))</f>
        <v/>
      </c>
      <c r="AK120" s="41">
        <f>IF(N('Dvd Calendar'!$AM$1620)=0,"",IF(('Dvd Calendar'!$AM$1620&gt;=MIN(DATE(Summary!$C$12,1,1),Summary!$C$11))*('Dvd Calendar'!$AM$1620&lt;=MAX(DATE(Summary!$C$12,12,31),Summary!$C$15))*('Dvd Calendar'!$AM$1620&lt;=Summary!$C$11)=0,"",'Dvd Calendar'!$AM$1620*1000000000+ISNUMBER('Dvd Calendar'!$AM$1621)*100000000+('Dvd Calendar'!$AM$1625='Field Check'!$C$25)*10000000+(N('Dvd Calendar'!$AM$1619)&gt;0)*1000000+8*1000+35))</f>
        <v/>
      </c>
      <c r="AL120" s="41">
        <f>IF(N('Dvd Calendar'!$AN$1620)=0,"",IF(('Dvd Calendar'!$AN$1620&gt;=MIN(DATE(Summary!$C$12,1,1),Summary!$C$11))*('Dvd Calendar'!$AN$1620&lt;=MAX(DATE(Summary!$C$12,12,31),Summary!$C$15))*('Dvd Calendar'!$AN$1620&lt;=Summary!$C$11)=0,"",'Dvd Calendar'!$AN$1620*1000000000+ISNUMBER('Dvd Calendar'!$AN$1621)*100000000+('Dvd Calendar'!$AN$1625='Field Check'!$C$25)*10000000+(N('Dvd Calendar'!$AN$1619)&gt;0)*1000000+8*1000+36))</f>
        <v/>
      </c>
      <c r="AM120" s="41">
        <f>IF(N('Dvd Calendar'!$AO$1620)=0,"",IF(('Dvd Calendar'!$AO$1620&gt;=MIN(DATE(Summary!$C$12,1,1),Summary!$C$11))*('Dvd Calendar'!$AO$1620&lt;=MAX(DATE(Summary!$C$12,12,31),Summary!$C$15))*('Dvd Calendar'!$AO$1620&lt;=Summary!$C$11)=0,"",'Dvd Calendar'!$AO$1620*1000000000+ISNUMBER('Dvd Calendar'!$AO$1621)*100000000+('Dvd Calendar'!$AO$1625='Field Check'!$C$25)*10000000+(N('Dvd Calendar'!$AO$1619)&gt;0)*1000000+8*1000+37))</f>
        <v/>
      </c>
      <c r="AN120" s="41">
        <f>IF(N('Dvd Calendar'!$AP$1620)=0,"",IF(('Dvd Calendar'!$AP$1620&gt;=MIN(DATE(Summary!$C$12,1,1),Summary!$C$11))*('Dvd Calendar'!$AP$1620&lt;=MAX(DATE(Summary!$C$12,12,31),Summary!$C$15))*('Dvd Calendar'!$AP$1620&lt;=Summary!$C$11)=0,"",'Dvd Calendar'!$AP$1620*1000000000+ISNUMBER('Dvd Calendar'!$AP$1621)*100000000+('Dvd Calendar'!$AP$1625='Field Check'!$C$25)*10000000+(N('Dvd Calendar'!$AP$1619)&gt;0)*1000000+8*1000+38))</f>
        <v/>
      </c>
      <c r="AO120" s="41">
        <f>IF(N('Dvd Calendar'!$AQ$1620)=0,"",IF(('Dvd Calendar'!$AQ$1620&gt;=MIN(DATE(Summary!$C$12,1,1),Summary!$C$11))*('Dvd Calendar'!$AQ$1620&lt;=MAX(DATE(Summary!$C$12,12,31),Summary!$C$15))*('Dvd Calendar'!$AQ$1620&lt;=Summary!$C$11)=0,"",'Dvd Calendar'!$AQ$1620*1000000000+ISNUMBER('Dvd Calendar'!$AQ$1621)*100000000+('Dvd Calendar'!$AQ$1625='Field Check'!$C$25)*10000000+(N('Dvd Calendar'!$AQ$1619)&gt;0)*1000000+8*1000+39))</f>
        <v/>
      </c>
      <c r="AP120" s="41">
        <f>IF(N('Dvd Calendar'!$AR$1620)=0,"",IF(('Dvd Calendar'!$AR$1620&gt;=MIN(DATE(Summary!$C$12,1,1),Summary!$C$11))*('Dvd Calendar'!$AR$1620&lt;=MAX(DATE(Summary!$C$12,12,31),Summary!$C$15))*('Dvd Calendar'!$AR$1620&lt;=Summary!$C$11)=0,"",'Dvd Calendar'!$AR$1620*1000000000+ISNUMBER('Dvd Calendar'!$AR$1621)*100000000+('Dvd Calendar'!$AR$1625='Field Check'!$C$25)*10000000+(N('Dvd Calendar'!$AR$1619)&gt;0)*1000000+8*1000+40))</f>
        <v/>
      </c>
      <c r="AQ120" s="41">
        <f>IF(N('Dvd Calendar'!$E$1627)=0,"",IF(('Dvd Calendar'!$E$1627&gt;=MIN(DATE(Summary!$C$12,1,1),Summary!$C$11))*('Dvd Calendar'!$E$1627&lt;=MAX(DATE(Summary!$C$12,12,31),Summary!$C$15))*('Dvd Calendar'!$E$1627&gt;Summary!$C$11)=0,"",'Dvd Calendar'!$E$1627*1000000000+ISNUMBER('Dvd Calendar'!$E$1628)*100000000+('Dvd Calendar'!$E$1632='Field Check'!$C$25)*10000000+(N('Dvd Calendar'!$E$1626)&gt;0)*1000000+8*1000+41))</f>
        <v/>
      </c>
      <c r="AR120" s="41">
        <f>IF(N('Dvd Calendar'!$F$1627)=0,"",IF(('Dvd Calendar'!$F$1627&gt;=MIN(DATE(Summary!$C$12,1,1),Summary!$C$11))*('Dvd Calendar'!$F$1627&lt;=MAX(DATE(Summary!$C$12,12,31),Summary!$C$15))*('Dvd Calendar'!$F$1627&gt;Summary!$C$11)=0,"",'Dvd Calendar'!$F$1627*1000000000+ISNUMBER('Dvd Calendar'!$F$1628)*100000000+('Dvd Calendar'!$F$1632='Field Check'!$C$25)*10000000+(N('Dvd Calendar'!$F$1626)&gt;0)*1000000+8*1000+42))</f>
        <v/>
      </c>
      <c r="AS120" s="41">
        <f>IF(N('Dvd Calendar'!$G$1627)=0,"",IF(('Dvd Calendar'!$G$1627&gt;=MIN(DATE(Summary!$C$12,1,1),Summary!$C$11))*('Dvd Calendar'!$G$1627&lt;=MAX(DATE(Summary!$C$12,12,31),Summary!$C$15))*('Dvd Calendar'!$G$1627&gt;Summary!$C$11)=0,"",'Dvd Calendar'!$G$1627*1000000000+ISNUMBER('Dvd Calendar'!$G$1628)*100000000+('Dvd Calendar'!$G$1632='Field Check'!$C$25)*10000000+(N('Dvd Calendar'!$G$1626)&gt;0)*1000000+8*1000+43))</f>
        <v/>
      </c>
      <c r="AT120" s="41">
        <f>IF(N('Dvd Calendar'!$H$1627)=0,"",IF(('Dvd Calendar'!$H$1627&gt;=MIN(DATE(Summary!$C$12,1,1),Summary!$C$11))*('Dvd Calendar'!$H$1627&lt;=MAX(DATE(Summary!$C$12,12,31),Summary!$C$15))*('Dvd Calendar'!$H$1627&gt;Summary!$C$11)=0,"",'Dvd Calendar'!$H$1627*1000000000+ISNUMBER('Dvd Calendar'!$H$1628)*100000000+('Dvd Calendar'!$H$1632='Field Check'!$C$25)*10000000+(N('Dvd Calendar'!$H$1626)&gt;0)*1000000+8*1000+44))</f>
        <v/>
      </c>
      <c r="AU120" s="41">
        <f>IF(N('Dvd Calendar'!$I$1627)=0,"",IF(('Dvd Calendar'!$I$1627&gt;=MIN(DATE(Summary!$C$12,1,1),Summary!$C$11))*('Dvd Calendar'!$I$1627&lt;=MAX(DATE(Summary!$C$12,12,31),Summary!$C$15))*('Dvd Calendar'!$I$1627&gt;Summary!$C$11)=0,"",'Dvd Calendar'!$I$1627*1000000000+ISNUMBER('Dvd Calendar'!$I$1628)*100000000+('Dvd Calendar'!$I$1632='Field Check'!$C$25)*10000000+(N('Dvd Calendar'!$I$1626)&gt;0)*1000000+8*1000+45))</f>
        <v/>
      </c>
      <c r="AV120" s="41">
        <f>IF(N('Dvd Calendar'!$J$1627)=0,"",IF(('Dvd Calendar'!$J$1627&gt;=MIN(DATE(Summary!$C$12,1,1),Summary!$C$11))*('Dvd Calendar'!$J$1627&lt;=MAX(DATE(Summary!$C$12,12,31),Summary!$C$15))*('Dvd Calendar'!$J$1627&gt;Summary!$C$11)=0,"",'Dvd Calendar'!$J$1627*1000000000+ISNUMBER('Dvd Calendar'!$J$1628)*100000000+('Dvd Calendar'!$J$1632='Field Check'!$C$25)*10000000+(N('Dvd Calendar'!$J$1626)&gt;0)*1000000+8*1000+46))</f>
        <v/>
      </c>
      <c r="AW120" s="41">
        <f>IF(N('Dvd Calendar'!$K$1627)=0,"",IF(('Dvd Calendar'!$K$1627&gt;=MIN(DATE(Summary!$C$12,1,1),Summary!$C$11))*('Dvd Calendar'!$K$1627&lt;=MAX(DATE(Summary!$C$12,12,31),Summary!$C$15))*('Dvd Calendar'!$K$1627&gt;Summary!$C$11)=0,"",'Dvd Calendar'!$K$1627*1000000000+ISNUMBER('Dvd Calendar'!$K$1628)*100000000+('Dvd Calendar'!$K$1632='Field Check'!$C$25)*10000000+(N('Dvd Calendar'!$K$1626)&gt;0)*1000000+8*1000+47))</f>
        <v/>
      </c>
      <c r="AX120" s="41">
        <f>IF(N('Dvd Calendar'!$L$1627)=0,"",IF(('Dvd Calendar'!$L$1627&gt;=MIN(DATE(Summary!$C$12,1,1),Summary!$C$11))*('Dvd Calendar'!$L$1627&lt;=MAX(DATE(Summary!$C$12,12,31),Summary!$C$15))*('Dvd Calendar'!$L$1627&gt;Summary!$C$11)=0,"",'Dvd Calendar'!$L$1627*1000000000+ISNUMBER('Dvd Calendar'!$L$1628)*100000000+('Dvd Calendar'!$L$1632='Field Check'!$C$25)*10000000+(N('Dvd Calendar'!$L$1626)&gt;0)*1000000+8*1000+48))</f>
        <v/>
      </c>
      <c r="AY120" s="41">
        <f>IF(N('Dvd Calendar'!$M$1627)=0,"",IF(('Dvd Calendar'!$M$1627&gt;=MIN(DATE(Summary!$C$12,1,1),Summary!$C$11))*('Dvd Calendar'!$M$1627&lt;=MAX(DATE(Summary!$C$12,12,31),Summary!$C$15))*('Dvd Calendar'!$M$1627&gt;Summary!$C$11)=0,"",'Dvd Calendar'!$M$1627*1000000000+ISNUMBER('Dvd Calendar'!$M$1628)*100000000+('Dvd Calendar'!$M$1632='Field Check'!$C$25)*10000000+(N('Dvd Calendar'!$M$1626)&gt;0)*1000000+8*1000+49))</f>
        <v/>
      </c>
      <c r="AZ120" s="41">
        <f>IF(N('Dvd Calendar'!$N$1627)=0,"",IF(('Dvd Calendar'!$N$1627&gt;=MIN(DATE(Summary!$C$12,1,1),Summary!$C$11))*('Dvd Calendar'!$N$1627&lt;=MAX(DATE(Summary!$C$12,12,31),Summary!$C$15))*('Dvd Calendar'!$N$1627&gt;Summary!$C$11)=0,"",'Dvd Calendar'!$N$1627*1000000000+ISNUMBER('Dvd Calendar'!$N$1628)*100000000+('Dvd Calendar'!$N$1632='Field Check'!$C$25)*10000000+(N('Dvd Calendar'!$N$1626)&gt;0)*1000000+8*1000+50))</f>
        <v/>
      </c>
      <c r="BA120" s="41">
        <f>IF(N('Dvd Calendar'!$O$1627)=0,"",IF(('Dvd Calendar'!$O$1627&gt;=MIN(DATE(Summary!$C$12,1,1),Summary!$C$11))*('Dvd Calendar'!$O$1627&lt;=MAX(DATE(Summary!$C$12,12,31),Summary!$C$15))*('Dvd Calendar'!$O$1627&gt;Summary!$C$11)=0,"",'Dvd Calendar'!$O$1627*1000000000+ISNUMBER('Dvd Calendar'!$O$1628)*100000000+('Dvd Calendar'!$O$1632='Field Check'!$C$25)*10000000+(N('Dvd Calendar'!$O$1626)&gt;0)*1000000+8*1000+51))</f>
        <v/>
      </c>
      <c r="BB120" s="41">
        <f>IF(N('Dvd Calendar'!$P$1627)=0,"",IF(('Dvd Calendar'!$P$1627&gt;=MIN(DATE(Summary!$C$12,1,1),Summary!$C$11))*('Dvd Calendar'!$P$1627&lt;=MAX(DATE(Summary!$C$12,12,31),Summary!$C$15))*('Dvd Calendar'!$P$1627&gt;Summary!$C$11)=0,"",'Dvd Calendar'!$P$1627*1000000000+ISNUMBER('Dvd Calendar'!$P$1628)*100000000+('Dvd Calendar'!$P$1632='Field Check'!$C$25)*10000000+(N('Dvd Calendar'!$P$1626)&gt;0)*1000000+8*1000+52))</f>
        <v/>
      </c>
      <c r="BC120" s="41">
        <f>IF(N('Dvd Calendar'!$Q$1627)=0,"",IF(('Dvd Calendar'!$Q$1627&gt;=MIN(DATE(Summary!$C$12,1,1),Summary!$C$11))*('Dvd Calendar'!$Q$1627&lt;=MAX(DATE(Summary!$C$12,12,31),Summary!$C$15))*('Dvd Calendar'!$Q$1627&gt;Summary!$C$11)=0,"",'Dvd Calendar'!$Q$1627*1000000000+ISNUMBER('Dvd Calendar'!$Q$1628)*100000000+('Dvd Calendar'!$Q$1632='Field Check'!$C$25)*10000000+(N('Dvd Calendar'!$Q$1626)&gt;0)*1000000+8*1000+53))</f>
        <v/>
      </c>
      <c r="BD120" s="41">
        <f>IF(N('Dvd Calendar'!$R$1627)=0,"",IF(('Dvd Calendar'!$R$1627&gt;=MIN(DATE(Summary!$C$12,1,1),Summary!$C$11))*('Dvd Calendar'!$R$1627&lt;=MAX(DATE(Summary!$C$12,12,31),Summary!$C$15))*('Dvd Calendar'!$R$1627&gt;Summary!$C$11)=0,"",'Dvd Calendar'!$R$1627*1000000000+ISNUMBER('Dvd Calendar'!$R$1628)*100000000+('Dvd Calendar'!$R$1632='Field Check'!$C$25)*10000000+(N('Dvd Calendar'!$R$1626)&gt;0)*1000000+8*1000+54))</f>
        <v/>
      </c>
      <c r="BE120" s="41">
        <f>IF(N('Dvd Calendar'!$S$1627)=0,"",IF(('Dvd Calendar'!$S$1627&gt;=MIN(DATE(Summary!$C$12,1,1),Summary!$C$11))*('Dvd Calendar'!$S$1627&lt;=MAX(DATE(Summary!$C$12,12,31),Summary!$C$15))*('Dvd Calendar'!$S$1627&gt;Summary!$C$11)=0,"",'Dvd Calendar'!$S$1627*1000000000+ISNUMBER('Dvd Calendar'!$S$1628)*100000000+('Dvd Calendar'!$S$1632='Field Check'!$C$25)*10000000+(N('Dvd Calendar'!$S$1626)&gt;0)*1000000+8*1000+55))</f>
        <v/>
      </c>
      <c r="BF120" s="41">
        <f>IF(N('Dvd Calendar'!$T$1627)=0,"",IF(('Dvd Calendar'!$T$1627&gt;=MIN(DATE(Summary!$C$12,1,1),Summary!$C$11))*('Dvd Calendar'!$T$1627&lt;=MAX(DATE(Summary!$C$12,12,31),Summary!$C$15))*('Dvd Calendar'!$T$1627&gt;Summary!$C$11)=0,"",'Dvd Calendar'!$T$1627*1000000000+ISNUMBER('Dvd Calendar'!$T$1628)*100000000+('Dvd Calendar'!$T$1632='Field Check'!$C$25)*10000000+(N('Dvd Calendar'!$T$1626)&gt;0)*1000000+8*1000+56))</f>
        <v/>
      </c>
      <c r="BG120" s="41">
        <f>IF(N('Dvd Calendar'!$U$1627)=0,"",IF(('Dvd Calendar'!$U$1627&gt;=MIN(DATE(Summary!$C$12,1,1),Summary!$C$11))*('Dvd Calendar'!$U$1627&lt;=MAX(DATE(Summary!$C$12,12,31),Summary!$C$15))*('Dvd Calendar'!$U$1627&gt;Summary!$C$11)=0,"",'Dvd Calendar'!$U$1627*1000000000+ISNUMBER('Dvd Calendar'!$U$1628)*100000000+('Dvd Calendar'!$U$1632='Field Check'!$C$25)*10000000+(N('Dvd Calendar'!$U$1626)&gt;0)*1000000+8*1000+57))</f>
        <v/>
      </c>
      <c r="BH120" s="41">
        <f>IF(N('Dvd Calendar'!$V$1627)=0,"",IF(('Dvd Calendar'!$V$1627&gt;=MIN(DATE(Summary!$C$12,1,1),Summary!$C$11))*('Dvd Calendar'!$V$1627&lt;=MAX(DATE(Summary!$C$12,12,31),Summary!$C$15))*('Dvd Calendar'!$V$1627&gt;Summary!$C$11)=0,"",'Dvd Calendar'!$V$1627*1000000000+ISNUMBER('Dvd Calendar'!$V$1628)*100000000+('Dvd Calendar'!$V$1632='Field Check'!$C$25)*10000000+(N('Dvd Calendar'!$V$1626)&gt;0)*1000000+8*1000+58))</f>
        <v/>
      </c>
      <c r="BI120" s="41">
        <f>IF(N('Dvd Calendar'!$W$1627)=0,"",IF(('Dvd Calendar'!$W$1627&gt;=MIN(DATE(Summary!$C$12,1,1),Summary!$C$11))*('Dvd Calendar'!$W$1627&lt;=MAX(DATE(Summary!$C$12,12,31),Summary!$C$15))*('Dvd Calendar'!$W$1627&gt;Summary!$C$11)=0,"",'Dvd Calendar'!$W$1627*1000000000+ISNUMBER('Dvd Calendar'!$W$1628)*100000000+('Dvd Calendar'!$W$1632='Field Check'!$C$25)*10000000+(N('Dvd Calendar'!$W$1626)&gt;0)*1000000+8*1000+59))</f>
        <v/>
      </c>
      <c r="BJ120" s="41">
        <f>IF(N('Dvd Calendar'!$X$1627)=0,"",IF(('Dvd Calendar'!$X$1627&gt;=MIN(DATE(Summary!$C$12,1,1),Summary!$C$11))*('Dvd Calendar'!$X$1627&lt;=MAX(DATE(Summary!$C$12,12,31),Summary!$C$15))*('Dvd Calendar'!$X$1627&gt;Summary!$C$11)=0,"",'Dvd Calendar'!$X$1627*1000000000+ISNUMBER('Dvd Calendar'!$X$1628)*100000000+('Dvd Calendar'!$X$1632='Field Check'!$C$25)*10000000+(N('Dvd Calendar'!$X$1626)&gt;0)*1000000+8*1000+60))</f>
        <v/>
      </c>
      <c r="BK120" s="41">
        <f>IF(N('Dvd Calendar'!$Y$1627)=0,"",IF(('Dvd Calendar'!$Y$1627&gt;=MIN(DATE(Summary!$C$12,1,1),Summary!$C$11))*('Dvd Calendar'!$Y$1627&lt;=MAX(DATE(Summary!$C$12,12,31),Summary!$C$15))*('Dvd Calendar'!$Y$1627&gt;Summary!$C$11)=0,"",'Dvd Calendar'!$Y$1627*1000000000+ISNUMBER('Dvd Calendar'!$Y$1628)*100000000+('Dvd Calendar'!$Y$1632='Field Check'!$C$25)*10000000+(N('Dvd Calendar'!$Y$1626)&gt;0)*1000000+8*1000+61))</f>
        <v/>
      </c>
      <c r="BL120" s="41">
        <f>IF(N('Dvd Calendar'!$Z$1627)=0,"",IF(('Dvd Calendar'!$Z$1627&gt;=MIN(DATE(Summary!$C$12,1,1),Summary!$C$11))*('Dvd Calendar'!$Z$1627&lt;=MAX(DATE(Summary!$C$12,12,31),Summary!$C$15))*('Dvd Calendar'!$Z$1627&gt;Summary!$C$11)=0,"",'Dvd Calendar'!$Z$1627*1000000000+ISNUMBER('Dvd Calendar'!$Z$1628)*100000000+('Dvd Calendar'!$Z$1632='Field Check'!$C$25)*10000000+(N('Dvd Calendar'!$Z$1626)&gt;0)*1000000+8*1000+62))</f>
        <v/>
      </c>
      <c r="BM120" s="41">
        <f>IF(N('Dvd Calendar'!$AA$1627)=0,"",IF(('Dvd Calendar'!$AA$1627&gt;=MIN(DATE(Summary!$C$12,1,1),Summary!$C$11))*('Dvd Calendar'!$AA$1627&lt;=MAX(DATE(Summary!$C$12,12,31),Summary!$C$15))*('Dvd Calendar'!$AA$1627&gt;Summary!$C$11)=0,"",'Dvd Calendar'!$AA$1627*1000000000+ISNUMBER('Dvd Calendar'!$AA$1628)*100000000+('Dvd Calendar'!$AA$1632='Field Check'!$C$25)*10000000+(N('Dvd Calendar'!$AA$1626)&gt;0)*1000000+8*1000+63))</f>
        <v/>
      </c>
      <c r="BN120" s="41">
        <f>IF(N('Dvd Calendar'!$AB$1627)=0,"",IF(('Dvd Calendar'!$AB$1627&gt;=MIN(DATE(Summary!$C$12,1,1),Summary!$C$11))*('Dvd Calendar'!$AB$1627&lt;=MAX(DATE(Summary!$C$12,12,31),Summary!$C$15))*('Dvd Calendar'!$AB$1627&gt;Summary!$C$11)=0,"",'Dvd Calendar'!$AB$1627*1000000000+ISNUMBER('Dvd Calendar'!$AB$1628)*100000000+('Dvd Calendar'!$AB$1632='Field Check'!$C$25)*10000000+(N('Dvd Calendar'!$AB$1626)&gt;0)*1000000+8*1000+64))</f>
        <v/>
      </c>
      <c r="BO120" s="41">
        <f>IF(N('Dvd Calendar'!$AC$1627)=0,"",IF(('Dvd Calendar'!$AC$1627&gt;=MIN(DATE(Summary!$C$12,1,1),Summary!$C$11))*('Dvd Calendar'!$AC$1627&lt;=MAX(DATE(Summary!$C$12,12,31),Summary!$C$15))*('Dvd Calendar'!$AC$1627&gt;Summary!$C$11)=0,"",'Dvd Calendar'!$AC$1627*1000000000+ISNUMBER('Dvd Calendar'!$AC$1628)*100000000+('Dvd Calendar'!$AC$1632='Field Check'!$C$25)*10000000+(N('Dvd Calendar'!$AC$1626)&gt;0)*1000000+8*1000+65))</f>
        <v/>
      </c>
      <c r="BQ120" s="85">
        <f>IF(C120="","",IF(ISNUMBER('Dvd Calendar'!$E$1621)=FALSE,"",IF((Summary!$C$13="N")*('Dvd Calendar'!$E$1625='Field Check'!$C$25)&gt;0,"",'Dvd Calendar'!$E$1621)))</f>
        <v/>
      </c>
      <c r="BR120" s="85">
        <f>IF(D120="","",IF(ISNUMBER('Dvd Calendar'!$F$1621)=FALSE,"",IF((Summary!$C$13="N")*('Dvd Calendar'!$F$1625='Field Check'!$C$25)&gt;0,"",'Dvd Calendar'!$F$1621)))</f>
        <v/>
      </c>
      <c r="BS120" s="85">
        <f>IF(E120="","",IF(ISNUMBER('Dvd Calendar'!$G$1621)=FALSE,"",IF((Summary!$C$13="N")*('Dvd Calendar'!$G$1625='Field Check'!$C$25)&gt;0,"",'Dvd Calendar'!$G$1621)))</f>
        <v/>
      </c>
      <c r="BT120" s="85">
        <f>IF(F120="","",IF(ISNUMBER('Dvd Calendar'!$H$1621)=FALSE,"",IF((Summary!$C$13="N")*('Dvd Calendar'!$H$1625='Field Check'!$C$25)&gt;0,"",'Dvd Calendar'!$H$1621)))</f>
        <v/>
      </c>
      <c r="BU120" s="85">
        <f>IF(G120="","",IF(ISNUMBER('Dvd Calendar'!$I$1621)=FALSE,"",IF((Summary!$C$13="N")*('Dvd Calendar'!$I$1625='Field Check'!$C$25)&gt;0,"",'Dvd Calendar'!$I$1621)))</f>
        <v/>
      </c>
      <c r="BV120" s="85">
        <f>IF(H120="","",IF(ISNUMBER('Dvd Calendar'!$J$1621)=FALSE,"",IF((Summary!$C$13="N")*('Dvd Calendar'!$J$1625='Field Check'!$C$25)&gt;0,"",'Dvd Calendar'!$J$1621)))</f>
        <v/>
      </c>
      <c r="BW120" s="85">
        <f>IF(I120="","",IF(ISNUMBER('Dvd Calendar'!$K$1621)=FALSE,"",IF((Summary!$C$13="N")*('Dvd Calendar'!$K$1625='Field Check'!$C$25)&gt;0,"",'Dvd Calendar'!$K$1621)))</f>
        <v/>
      </c>
      <c r="BX120" s="85">
        <f>IF(J120="","",IF(ISNUMBER('Dvd Calendar'!$L$1621)=FALSE,"",IF((Summary!$C$13="N")*('Dvd Calendar'!$L$1625='Field Check'!$C$25)&gt;0,"",'Dvd Calendar'!$L$1621)))</f>
        <v/>
      </c>
      <c r="BY120" s="85">
        <f>IF(K120="","",IF(ISNUMBER('Dvd Calendar'!$M$1621)=FALSE,"",IF((Summary!$C$13="N")*('Dvd Calendar'!$M$1625='Field Check'!$C$25)&gt;0,"",'Dvd Calendar'!$M$1621)))</f>
        <v/>
      </c>
      <c r="BZ120" s="85">
        <f>IF(L120="","",IF(ISNUMBER('Dvd Calendar'!$N$1621)=FALSE,"",IF((Summary!$C$13="N")*('Dvd Calendar'!$N$1625='Field Check'!$C$25)&gt;0,"",'Dvd Calendar'!$N$1621)))</f>
        <v/>
      </c>
      <c r="CA120" s="85">
        <f>IF(M120="","",IF(ISNUMBER('Dvd Calendar'!$O$1621)=FALSE,"",IF((Summary!$C$13="N")*('Dvd Calendar'!$O$1625='Field Check'!$C$25)&gt;0,"",'Dvd Calendar'!$O$1621)))</f>
        <v/>
      </c>
      <c r="CB120" s="85">
        <f>IF(N120="","",IF(ISNUMBER('Dvd Calendar'!$P$1621)=FALSE,"",IF((Summary!$C$13="N")*('Dvd Calendar'!$P$1625='Field Check'!$C$25)&gt;0,"",'Dvd Calendar'!$P$1621)))</f>
        <v/>
      </c>
      <c r="CC120" s="85">
        <f>IF(O120="","",IF(ISNUMBER('Dvd Calendar'!$Q$1621)=FALSE,"",IF((Summary!$C$13="N")*('Dvd Calendar'!$Q$1625='Field Check'!$C$25)&gt;0,"",'Dvd Calendar'!$Q$1621)))</f>
        <v/>
      </c>
      <c r="CD120" s="85">
        <f>IF(P120="","",IF(ISNUMBER('Dvd Calendar'!$R$1621)=FALSE,"",IF((Summary!$C$13="N")*('Dvd Calendar'!$R$1625='Field Check'!$C$25)&gt;0,"",'Dvd Calendar'!$R$1621)))</f>
        <v/>
      </c>
      <c r="CE120" s="85">
        <f>IF(Q120="","",IF(ISNUMBER('Dvd Calendar'!$S$1621)=FALSE,"",IF((Summary!$C$13="N")*('Dvd Calendar'!$S$1625='Field Check'!$C$25)&gt;0,"",'Dvd Calendar'!$S$1621)))</f>
        <v/>
      </c>
      <c r="CF120" s="85">
        <f>IF(R120="","",IF(ISNUMBER('Dvd Calendar'!$T$1621)=FALSE,"",IF((Summary!$C$13="N")*('Dvd Calendar'!$T$1625='Field Check'!$C$25)&gt;0,"",'Dvd Calendar'!$T$1621)))</f>
        <v/>
      </c>
      <c r="CG120" s="85">
        <f>IF(S120="","",IF(ISNUMBER('Dvd Calendar'!$U$1621)=FALSE,"",IF((Summary!$C$13="N")*('Dvd Calendar'!$U$1625='Field Check'!$C$25)&gt;0,"",'Dvd Calendar'!$U$1621)))</f>
        <v/>
      </c>
      <c r="CH120" s="85">
        <f>IF(T120="","",IF(ISNUMBER('Dvd Calendar'!$V$1621)=FALSE,"",IF((Summary!$C$13="N")*('Dvd Calendar'!$V$1625='Field Check'!$C$25)&gt;0,"",'Dvd Calendar'!$V$1621)))</f>
        <v/>
      </c>
      <c r="CI120" s="85">
        <f>IF(U120="","",IF(ISNUMBER('Dvd Calendar'!$W$1621)=FALSE,"",IF((Summary!$C$13="N")*('Dvd Calendar'!$W$1625='Field Check'!$C$25)&gt;0,"",'Dvd Calendar'!$W$1621)))</f>
        <v/>
      </c>
      <c r="CJ120" s="85">
        <f>IF(V120="","",IF(ISNUMBER('Dvd Calendar'!$X$1621)=FALSE,"",IF((Summary!$C$13="N")*('Dvd Calendar'!$X$1625='Field Check'!$C$25)&gt;0,"",'Dvd Calendar'!$X$1621)))</f>
        <v/>
      </c>
      <c r="CK120" s="85">
        <f>IF(W120="","",IF(ISNUMBER('Dvd Calendar'!$Y$1621)=FALSE,"",IF((Summary!$C$13="N")*('Dvd Calendar'!$Y$1625='Field Check'!$C$25)&gt;0,"",'Dvd Calendar'!$Y$1621)))</f>
        <v/>
      </c>
      <c r="CL120" s="85">
        <f>IF(X120="","",IF(ISNUMBER('Dvd Calendar'!$Z$1621)=FALSE,"",IF((Summary!$C$13="N")*('Dvd Calendar'!$Z$1625='Field Check'!$C$25)&gt;0,"",'Dvd Calendar'!$Z$1621)))</f>
        <v/>
      </c>
      <c r="CM120" s="85">
        <f>IF(Y120="","",IF(ISNUMBER('Dvd Calendar'!$AA$1621)=FALSE,"",IF((Summary!$C$13="N")*('Dvd Calendar'!$AA$1625='Field Check'!$C$25)&gt;0,"",'Dvd Calendar'!$AA$1621)))</f>
        <v/>
      </c>
      <c r="CN120" s="85">
        <f>IF(Z120="","",IF(ISNUMBER('Dvd Calendar'!$AB$1621)=FALSE,"",IF((Summary!$C$13="N")*('Dvd Calendar'!$AB$1625='Field Check'!$C$25)&gt;0,"",'Dvd Calendar'!$AB$1621)))</f>
        <v/>
      </c>
      <c r="CO120" s="85">
        <f>IF(AA120="","",IF(ISNUMBER('Dvd Calendar'!$AC$1621)=FALSE,"",IF((Summary!$C$13="N")*('Dvd Calendar'!$AC$1625='Field Check'!$C$25)&gt;0,"",'Dvd Calendar'!$AC$1621)))</f>
        <v/>
      </c>
      <c r="CP120" s="85">
        <f>IF(AB120="","",IF(ISNUMBER('Dvd Calendar'!$AD$1621)=FALSE,"",IF((Summary!$C$13="N")*('Dvd Calendar'!$AD$1625='Field Check'!$C$25)&gt;0,"",'Dvd Calendar'!$AD$1621)))</f>
        <v/>
      </c>
      <c r="CQ120" s="85">
        <f>IF(AC120="","",IF(ISNUMBER('Dvd Calendar'!$AE$1621)=FALSE,"",IF((Summary!$C$13="N")*('Dvd Calendar'!$AE$1625='Field Check'!$C$25)&gt;0,"",'Dvd Calendar'!$AE$1621)))</f>
        <v/>
      </c>
      <c r="CR120" s="85">
        <f>IF(AD120="","",IF(ISNUMBER('Dvd Calendar'!$AF$1621)=FALSE,"",IF((Summary!$C$13="N")*('Dvd Calendar'!$AF$1625='Field Check'!$C$25)&gt;0,"",'Dvd Calendar'!$AF$1621)))</f>
        <v/>
      </c>
      <c r="CS120" s="85">
        <f>IF(AE120="","",IF(ISNUMBER('Dvd Calendar'!$AG$1621)=FALSE,"",IF((Summary!$C$13="N")*('Dvd Calendar'!$AG$1625='Field Check'!$C$25)&gt;0,"",'Dvd Calendar'!$AG$1621)))</f>
        <v/>
      </c>
      <c r="CT120" s="85">
        <f>IF(AF120="","",IF(ISNUMBER('Dvd Calendar'!$AH$1621)=FALSE,"",IF((Summary!$C$13="N")*('Dvd Calendar'!$AH$1625='Field Check'!$C$25)&gt;0,"",'Dvd Calendar'!$AH$1621)))</f>
        <v/>
      </c>
      <c r="CU120" s="85">
        <f>IF(AG120="","",IF(ISNUMBER('Dvd Calendar'!$AI$1621)=FALSE,"",IF((Summary!$C$13="N")*('Dvd Calendar'!$AI$1625='Field Check'!$C$25)&gt;0,"",'Dvd Calendar'!$AI$1621)))</f>
        <v/>
      </c>
      <c r="CV120" s="85">
        <f>IF(AH120="","",IF(ISNUMBER('Dvd Calendar'!$AJ$1621)=FALSE,"",IF((Summary!$C$13="N")*('Dvd Calendar'!$AJ$1625='Field Check'!$C$25)&gt;0,"",'Dvd Calendar'!$AJ$1621)))</f>
        <v/>
      </c>
      <c r="CW120" s="85">
        <f>IF(AI120="","",IF(ISNUMBER('Dvd Calendar'!$AK$1621)=FALSE,"",IF((Summary!$C$13="N")*('Dvd Calendar'!$AK$1625='Field Check'!$C$25)&gt;0,"",'Dvd Calendar'!$AK$1621)))</f>
        <v/>
      </c>
      <c r="CX120" s="85">
        <f>IF(AJ120="","",IF(ISNUMBER('Dvd Calendar'!$AL$1621)=FALSE,"",IF((Summary!$C$13="N")*('Dvd Calendar'!$AL$1625='Field Check'!$C$25)&gt;0,"",'Dvd Calendar'!$AL$1621)))</f>
        <v/>
      </c>
      <c r="CY120" s="85">
        <f>IF(AK120="","",IF(ISNUMBER('Dvd Calendar'!$AM$1621)=FALSE,"",IF((Summary!$C$13="N")*('Dvd Calendar'!$AM$1625='Field Check'!$C$25)&gt;0,"",'Dvd Calendar'!$AM$1621)))</f>
        <v/>
      </c>
      <c r="CZ120" s="85">
        <f>IF(AL120="","",IF(ISNUMBER('Dvd Calendar'!$AN$1621)=FALSE,"",IF((Summary!$C$13="N")*('Dvd Calendar'!$AN$1625='Field Check'!$C$25)&gt;0,"",'Dvd Calendar'!$AN$1621)))</f>
        <v/>
      </c>
      <c r="DA120" s="85">
        <f>IF(AM120="","",IF(ISNUMBER('Dvd Calendar'!$AO$1621)=FALSE,"",IF((Summary!$C$13="N")*('Dvd Calendar'!$AO$1625='Field Check'!$C$25)&gt;0,"",'Dvd Calendar'!$AO$1621)))</f>
        <v/>
      </c>
      <c r="DB120" s="85">
        <f>IF(AN120="","",IF(ISNUMBER('Dvd Calendar'!$AP$1621)=FALSE,"",IF((Summary!$C$13="N")*('Dvd Calendar'!$AP$1625='Field Check'!$C$25)&gt;0,"",'Dvd Calendar'!$AP$1621)))</f>
        <v/>
      </c>
      <c r="DC120" s="85">
        <f>IF(AO120="","",IF(ISNUMBER('Dvd Calendar'!$AQ$1621)=FALSE,"",IF((Summary!$C$13="N")*('Dvd Calendar'!$AQ$1625='Field Check'!$C$25)&gt;0,"",'Dvd Calendar'!$AQ$1621)))</f>
        <v/>
      </c>
      <c r="DD120" s="85">
        <f>IF(AP120="","",IF(ISNUMBER('Dvd Calendar'!$AR$1621)=FALSE,"",IF((Summary!$C$13="N")*('Dvd Calendar'!$AR$1625='Field Check'!$C$25)&gt;0,"",'Dvd Calendar'!$AR$1621)))</f>
        <v/>
      </c>
      <c r="DE120" s="85">
        <f>IF(AQ120="","",IF(ISNUMBER('Dvd Calendar'!$E$1628)=FALSE,"",IF((Summary!$C$13="N")*('Dvd Calendar'!$E$1632='Field Check'!$C$25)&gt;0,"",'Dvd Calendar'!$E$1628)))</f>
        <v/>
      </c>
      <c r="DF120" s="85">
        <f>IF(AR120="","",IF(ISNUMBER('Dvd Calendar'!$F$1628)=FALSE,"",IF((Summary!$C$13="N")*('Dvd Calendar'!$F$1632='Field Check'!$C$25)&gt;0,"",'Dvd Calendar'!$F$1628)))</f>
        <v/>
      </c>
      <c r="DG120" s="85">
        <f>IF(AS120="","",IF(ISNUMBER('Dvd Calendar'!$G$1628)=FALSE,"",IF((Summary!$C$13="N")*('Dvd Calendar'!$G$1632='Field Check'!$C$25)&gt;0,"",'Dvd Calendar'!$G$1628)))</f>
        <v/>
      </c>
      <c r="DH120" s="85">
        <f>IF(AT120="","",IF(ISNUMBER('Dvd Calendar'!$H$1628)=FALSE,"",IF((Summary!$C$13="N")*('Dvd Calendar'!$H$1632='Field Check'!$C$25)&gt;0,"",'Dvd Calendar'!$H$1628)))</f>
        <v/>
      </c>
      <c r="DI120" s="85">
        <f>IF(AU120="","",IF(ISNUMBER('Dvd Calendar'!$I$1628)=FALSE,"",IF((Summary!$C$13="N")*('Dvd Calendar'!$I$1632='Field Check'!$C$25)&gt;0,"",'Dvd Calendar'!$I$1628)))</f>
        <v/>
      </c>
      <c r="DJ120" s="85">
        <f>IF(AV120="","",IF(ISNUMBER('Dvd Calendar'!$J$1628)=FALSE,"",IF((Summary!$C$13="N")*('Dvd Calendar'!$J$1632='Field Check'!$C$25)&gt;0,"",'Dvd Calendar'!$J$1628)))</f>
        <v/>
      </c>
      <c r="DK120" s="85">
        <f>IF(AW120="","",IF(ISNUMBER('Dvd Calendar'!$K$1628)=FALSE,"",IF((Summary!$C$13="N")*('Dvd Calendar'!$K$1632='Field Check'!$C$25)&gt;0,"",'Dvd Calendar'!$K$1628)))</f>
        <v/>
      </c>
      <c r="DL120" s="85">
        <f>IF(AX120="","",IF(ISNUMBER('Dvd Calendar'!$L$1628)=FALSE,"",IF((Summary!$C$13="N")*('Dvd Calendar'!$L$1632='Field Check'!$C$25)&gt;0,"",'Dvd Calendar'!$L$1628)))</f>
        <v/>
      </c>
      <c r="DM120" s="85">
        <f>IF(AY120="","",IF(ISNUMBER('Dvd Calendar'!$M$1628)=FALSE,"",IF((Summary!$C$13="N")*('Dvd Calendar'!$M$1632='Field Check'!$C$25)&gt;0,"",'Dvd Calendar'!$M$1628)))</f>
        <v/>
      </c>
      <c r="DN120" s="85">
        <f>IF(AZ120="","",IF(ISNUMBER('Dvd Calendar'!$N$1628)=FALSE,"",IF((Summary!$C$13="N")*('Dvd Calendar'!$N$1632='Field Check'!$C$25)&gt;0,"",'Dvd Calendar'!$N$1628)))</f>
        <v/>
      </c>
      <c r="DO120" s="85">
        <f>IF(BA120="","",IF(ISNUMBER('Dvd Calendar'!$O$1628)=FALSE,"",IF((Summary!$C$13="N")*('Dvd Calendar'!$O$1632='Field Check'!$C$25)&gt;0,"",'Dvd Calendar'!$O$1628)))</f>
        <v/>
      </c>
      <c r="DP120" s="85">
        <f>IF(BB120="","",IF(ISNUMBER('Dvd Calendar'!$P$1628)=FALSE,"",IF((Summary!$C$13="N")*('Dvd Calendar'!$P$1632='Field Check'!$C$25)&gt;0,"",'Dvd Calendar'!$P$1628)))</f>
        <v/>
      </c>
      <c r="DQ120" s="85">
        <f>IF(BC120="","",IF(ISNUMBER('Dvd Calendar'!$Q$1628)=FALSE,"",IF((Summary!$C$13="N")*('Dvd Calendar'!$Q$1632='Field Check'!$C$25)&gt;0,"",'Dvd Calendar'!$Q$1628)))</f>
        <v/>
      </c>
      <c r="DR120" s="85">
        <f>IF(BD120="","",IF(ISNUMBER('Dvd Calendar'!$R$1628)=FALSE,"",IF((Summary!$C$13="N")*('Dvd Calendar'!$R$1632='Field Check'!$C$25)&gt;0,"",'Dvd Calendar'!$R$1628)))</f>
        <v/>
      </c>
      <c r="DS120" s="85">
        <f>IF(BE120="","",IF(ISNUMBER('Dvd Calendar'!$S$1628)=FALSE,"",IF((Summary!$C$13="N")*('Dvd Calendar'!$S$1632='Field Check'!$C$25)&gt;0,"",'Dvd Calendar'!$S$1628)))</f>
        <v/>
      </c>
      <c r="DT120" s="85">
        <f>IF(BF120="","",IF(ISNUMBER('Dvd Calendar'!$T$1628)=FALSE,"",IF((Summary!$C$13="N")*('Dvd Calendar'!$T$1632='Field Check'!$C$25)&gt;0,"",'Dvd Calendar'!$T$1628)))</f>
        <v/>
      </c>
      <c r="DU120" s="85">
        <f>IF(BG120="","",IF(ISNUMBER('Dvd Calendar'!$U$1628)=FALSE,"",IF((Summary!$C$13="N")*('Dvd Calendar'!$U$1632='Field Check'!$C$25)&gt;0,"",'Dvd Calendar'!$U$1628)))</f>
        <v/>
      </c>
      <c r="DV120" s="85">
        <f>IF(BH120="","",IF(ISNUMBER('Dvd Calendar'!$V$1628)=FALSE,"",IF((Summary!$C$13="N")*('Dvd Calendar'!$V$1632='Field Check'!$C$25)&gt;0,"",'Dvd Calendar'!$V$1628)))</f>
        <v/>
      </c>
      <c r="DW120" s="85">
        <f>IF(BI120="","",IF(ISNUMBER('Dvd Calendar'!$W$1628)=FALSE,"",IF((Summary!$C$13="N")*('Dvd Calendar'!$W$1632='Field Check'!$C$25)&gt;0,"",'Dvd Calendar'!$W$1628)))</f>
        <v/>
      </c>
      <c r="DX120" s="85">
        <f>IF(BJ120="","",IF(ISNUMBER('Dvd Calendar'!$X$1628)=FALSE,"",IF((Summary!$C$13="N")*('Dvd Calendar'!$X$1632='Field Check'!$C$25)&gt;0,"",'Dvd Calendar'!$X$1628)))</f>
        <v/>
      </c>
      <c r="DY120" s="85">
        <f>IF(BK120="","",IF(ISNUMBER('Dvd Calendar'!$Y$1628)=FALSE,"",IF((Summary!$C$13="N")*('Dvd Calendar'!$Y$1632='Field Check'!$C$25)&gt;0,"",'Dvd Calendar'!$Y$1628)))</f>
        <v/>
      </c>
      <c r="DZ120" s="85">
        <f>IF(BL120="","",IF(ISNUMBER('Dvd Calendar'!$Z$1628)=FALSE,"",IF((Summary!$C$13="N")*('Dvd Calendar'!$Z$1632='Field Check'!$C$25)&gt;0,"",'Dvd Calendar'!$Z$1628)))</f>
        <v/>
      </c>
      <c r="EA120" s="85">
        <f>IF(BM120="","",IF(ISNUMBER('Dvd Calendar'!$AA$1628)=FALSE,"",IF((Summary!$C$13="N")*('Dvd Calendar'!$AA$1632='Field Check'!$C$25)&gt;0,"",'Dvd Calendar'!$AA$1628)))</f>
        <v/>
      </c>
      <c r="EB120" s="85">
        <f>IF(BN120="","",IF(ISNUMBER('Dvd Calendar'!$AB$1628)=FALSE,"",IF((Summary!$C$13="N")*('Dvd Calendar'!$AB$1632='Field Check'!$C$25)&gt;0,"",'Dvd Calendar'!$AB$1628)))</f>
        <v/>
      </c>
      <c r="EC120" s="85">
        <f>IF(BO120="","",IF(ISNUMBER('Dvd Calendar'!$AC$1628)=FALSE,"",IF((Summary!$C$13="N")*('Dvd Calendar'!$AC$1632='Field Check'!$C$25)&gt;0,"",'Dvd Calendar'!$AC$1628)))</f>
        <v/>
      </c>
      <c r="EE120" s="85">
        <f>IF(BQ120="","",IFERROR(BQ120*HSTECH!$B$14*HSTECH!$G$14/HSTECH!$B$3,""))</f>
        <v/>
      </c>
      <c r="EF120" s="85">
        <f>IF(BR120="","",IFERROR(BR120*HSTECH!$B$14*HSTECH!$G$14/HSTECH!$B$3,""))</f>
        <v/>
      </c>
      <c r="EG120" s="85">
        <f>IF(BS120="","",IFERROR(BS120*HSTECH!$B$14*HSTECH!$G$14/HSTECH!$B$3,""))</f>
        <v/>
      </c>
      <c r="EH120" s="85">
        <f>IF(BT120="","",IFERROR(BT120*HSTECH!$B$14*HSTECH!$G$14/HSTECH!$B$3,""))</f>
        <v/>
      </c>
      <c r="EI120" s="85">
        <f>IF(BU120="","",IFERROR(BU120*HSTECH!$B$14*HSTECH!$G$14/HSTECH!$B$3,""))</f>
        <v/>
      </c>
      <c r="EJ120" s="85">
        <f>IF(BV120="","",IFERROR(BV120*HSTECH!$B$14*HSTECH!$G$14/HSTECH!$B$3,""))</f>
        <v/>
      </c>
      <c r="EK120" s="85">
        <f>IF(BW120="","",IFERROR(BW120*HSTECH!$B$14*HSTECH!$G$14/HSTECH!$B$3,""))</f>
        <v/>
      </c>
      <c r="EL120" s="85">
        <f>IF(BX120="","",IFERROR(BX120*HSTECH!$B$14*HSTECH!$G$14/HSTECH!$B$3,""))</f>
        <v/>
      </c>
      <c r="EM120" s="85">
        <f>IF(BY120="","",IFERROR(BY120*HSTECH!$B$14*HSTECH!$G$14/HSTECH!$B$3,""))</f>
        <v/>
      </c>
      <c r="EN120" s="85">
        <f>IF(BZ120="","",IFERROR(BZ120*HSTECH!$B$14*HSTECH!$G$14/HSTECH!$B$3,""))</f>
        <v/>
      </c>
      <c r="EO120" s="85">
        <f>IF(CA120="","",IFERROR(CA120*HSTECH!$B$14*HSTECH!$G$14/HSTECH!$B$3,""))</f>
        <v/>
      </c>
      <c r="EP120" s="85">
        <f>IF(CB120="","",IFERROR(CB120*HSTECH!$B$14*HSTECH!$G$14/HSTECH!$B$3,""))</f>
        <v/>
      </c>
      <c r="EQ120" s="85">
        <f>IF(CC120="","",IFERROR(CC120*HSTECH!$B$14*HSTECH!$G$14/HSTECH!$B$3,""))</f>
        <v/>
      </c>
      <c r="ER120" s="85">
        <f>IF(CD120="","",IFERROR(CD120*HSTECH!$B$14*HSTECH!$G$14/HSTECH!$B$3,""))</f>
        <v/>
      </c>
      <c r="ES120" s="85">
        <f>IF(CE120="","",IFERROR(CE120*HSTECH!$B$14*HSTECH!$G$14/HSTECH!$B$3,""))</f>
        <v/>
      </c>
      <c r="ET120" s="85">
        <f>IF(CF120="","",IFERROR(CF120*HSTECH!$B$14*HSTECH!$G$14/HSTECH!$B$3,""))</f>
        <v/>
      </c>
      <c r="EU120" s="85">
        <f>IF(CG120="","",IFERROR(CG120*HSTECH!$B$14*HSTECH!$G$14/HSTECH!$B$3,""))</f>
        <v/>
      </c>
      <c r="EV120" s="85">
        <f>IF(CH120="","",IFERROR(CH120*HSTECH!$B$14*HSTECH!$G$14/HSTECH!$B$3,""))</f>
        <v/>
      </c>
      <c r="EW120" s="85">
        <f>IF(CI120="","",IFERROR(CI120*HSTECH!$B$14*HSTECH!$G$14/HSTECH!$B$3,""))</f>
        <v/>
      </c>
      <c r="EX120" s="85">
        <f>IF(CJ120="","",IFERROR(CJ120*HSTECH!$B$14*HSTECH!$G$14/HSTECH!$B$3,""))</f>
        <v/>
      </c>
      <c r="EY120" s="85">
        <f>IF(CK120="","",IFERROR(CK120*HSTECH!$B$14*HSTECH!$G$14/HSTECH!$B$3,""))</f>
        <v/>
      </c>
      <c r="EZ120" s="85">
        <f>IF(CL120="","",IFERROR(CL120*HSTECH!$B$14*HSTECH!$G$14/HSTECH!$B$3,""))</f>
        <v/>
      </c>
      <c r="FA120" s="85">
        <f>IF(CM120="","",IFERROR(CM120*HSTECH!$B$14*HSTECH!$G$14/HSTECH!$B$3,""))</f>
        <v/>
      </c>
      <c r="FB120" s="85">
        <f>IF(CN120="","",IFERROR(CN120*HSTECH!$B$14*HSTECH!$G$14/HSTECH!$B$3,""))</f>
        <v/>
      </c>
      <c r="FC120" s="85">
        <f>IF(CO120="","",IFERROR(CO120*HSTECH!$B$14*HSTECH!$G$14/HSTECH!$B$3,""))</f>
        <v/>
      </c>
      <c r="FD120" s="85">
        <f>IF(CP120="","",IFERROR(CP120*HSTECH!$B$14*HSTECH!$G$14/HSTECH!$B$3,""))</f>
        <v/>
      </c>
      <c r="FE120" s="85">
        <f>IF(CQ120="","",IFERROR(CQ120*HSTECH!$B$14*HSTECH!$G$14/HSTECH!$B$3,""))</f>
        <v/>
      </c>
      <c r="FF120" s="85">
        <f>IF(CR120="","",IFERROR(CR120*HSTECH!$B$14*HSTECH!$G$14/HSTECH!$B$3,""))</f>
        <v/>
      </c>
      <c r="FG120" s="85">
        <f>IF(CS120="","",IFERROR(CS120*HSTECH!$B$14*HSTECH!$G$14/HSTECH!$B$3,""))</f>
        <v/>
      </c>
      <c r="FH120" s="85">
        <f>IF(CT120="","",IFERROR(CT120*HSTECH!$B$14*HSTECH!$G$14/HSTECH!$B$3,""))</f>
        <v/>
      </c>
      <c r="FI120" s="85">
        <f>IF(CU120="","",IFERROR(CU120*HSTECH!$B$14*HSTECH!$G$14/HSTECH!$B$3,""))</f>
        <v/>
      </c>
      <c r="FJ120" s="85">
        <f>IF(CV120="","",IFERROR(CV120*HSTECH!$B$14*HSTECH!$G$14/HSTECH!$B$3,""))</f>
        <v/>
      </c>
      <c r="FK120" s="85">
        <f>IF(CW120="","",IFERROR(CW120*HSTECH!$B$14*HSTECH!$G$14/HSTECH!$B$3,""))</f>
        <v/>
      </c>
      <c r="FL120" s="85">
        <f>IF(CX120="","",IFERROR(CX120*HSTECH!$B$14*HSTECH!$G$14/HSTECH!$B$3,""))</f>
        <v/>
      </c>
      <c r="FM120" s="85">
        <f>IF(CY120="","",IFERROR(CY120*HSTECH!$B$14*HSTECH!$G$14/HSTECH!$B$3,""))</f>
        <v/>
      </c>
      <c r="FN120" s="85">
        <f>IF(CZ120="","",IFERROR(CZ120*HSTECH!$B$14*HSTECH!$G$14/HSTECH!$B$3,""))</f>
        <v/>
      </c>
      <c r="FO120" s="85">
        <f>IF(DA120="","",IFERROR(DA120*HSTECH!$B$14*HSTECH!$G$14/HSTECH!$B$3,""))</f>
        <v/>
      </c>
      <c r="FP120" s="85">
        <f>IF(DB120="","",IFERROR(DB120*HSTECH!$B$14*HSTECH!$G$14/HSTECH!$B$3,""))</f>
        <v/>
      </c>
      <c r="FQ120" s="85">
        <f>IF(DC120="","",IFERROR(DC120*HSTECH!$B$14*HSTECH!$G$14/HSTECH!$B$3,""))</f>
        <v/>
      </c>
      <c r="FR120" s="85">
        <f>IF(DD120="","",IFERROR(DD120*HSTECH!$B$14*HSTECH!$G$14/HSTECH!$B$3,""))</f>
        <v/>
      </c>
      <c r="FS120" s="85">
        <f>IF(DE120="","",IFERROR(DE120*HSTECH!$B$14*HSTECH!$G$14/HSTECH!$B$3,""))</f>
        <v/>
      </c>
      <c r="FT120" s="85">
        <f>IF(DF120="","",IFERROR(DF120*HSTECH!$B$14*HSTECH!$G$14/HSTECH!$B$3,""))</f>
        <v/>
      </c>
      <c r="FU120" s="85">
        <f>IF(DG120="","",IFERROR(DG120*HSTECH!$B$14*HSTECH!$G$14/HSTECH!$B$3,""))</f>
        <v/>
      </c>
      <c r="FV120" s="85">
        <f>IF(DH120="","",IFERROR(DH120*HSTECH!$B$14*HSTECH!$G$14/HSTECH!$B$3,""))</f>
        <v/>
      </c>
      <c r="FW120" s="85">
        <f>IF(DI120="","",IFERROR(DI120*HSTECH!$B$14*HSTECH!$G$14/HSTECH!$B$3,""))</f>
        <v/>
      </c>
      <c r="FX120" s="85">
        <f>IF(DJ120="","",IFERROR(DJ120*HSTECH!$B$14*HSTECH!$G$14/HSTECH!$B$3,""))</f>
        <v/>
      </c>
      <c r="FY120" s="85">
        <f>IF(DK120="","",IFERROR(DK120*HSTECH!$B$14*HSTECH!$G$14/HSTECH!$B$3,""))</f>
        <v/>
      </c>
      <c r="FZ120" s="85">
        <f>IF(DL120="","",IFERROR(DL120*HSTECH!$B$14*HSTECH!$G$14/HSTECH!$B$3,""))</f>
        <v/>
      </c>
      <c r="GA120" s="85">
        <f>IF(DM120="","",IFERROR(DM120*HSTECH!$B$14*HSTECH!$G$14/HSTECH!$B$3,""))</f>
        <v/>
      </c>
      <c r="GB120" s="85">
        <f>IF(DN120="","",IFERROR(DN120*HSTECH!$B$14*HSTECH!$G$14/HSTECH!$B$3,""))</f>
        <v/>
      </c>
      <c r="GC120" s="85">
        <f>IF(DO120="","",IFERROR(DO120*HSTECH!$B$14*HSTECH!$G$14/HSTECH!$B$3,""))</f>
        <v/>
      </c>
      <c r="GD120" s="85">
        <f>IF(DP120="","",IFERROR(DP120*HSTECH!$B$14*HSTECH!$G$14/HSTECH!$B$3,""))</f>
        <v/>
      </c>
      <c r="GE120" s="85">
        <f>IF(DQ120="","",IFERROR(DQ120*HSTECH!$B$14*HSTECH!$G$14/HSTECH!$B$3,""))</f>
        <v/>
      </c>
      <c r="GF120" s="85">
        <f>IF(DR120="","",IFERROR(DR120*HSTECH!$B$14*HSTECH!$G$14/HSTECH!$B$3,""))</f>
        <v/>
      </c>
      <c r="GG120" s="85">
        <f>IF(DS120="","",IFERROR(DS120*HSTECH!$B$14*HSTECH!$G$14/HSTECH!$B$3,""))</f>
        <v/>
      </c>
      <c r="GH120" s="85">
        <f>IF(DT120="","",IFERROR(DT120*HSTECH!$B$14*HSTECH!$G$14/HSTECH!$B$3,""))</f>
        <v/>
      </c>
      <c r="GI120" s="85">
        <f>IF(DU120="","",IFERROR(DU120*HSTECH!$B$14*HSTECH!$G$14/HSTECH!$B$3,""))</f>
        <v/>
      </c>
      <c r="GJ120" s="85">
        <f>IF(DV120="","",IFERROR(DV120*HSTECH!$B$14*HSTECH!$G$14/HSTECH!$B$3,""))</f>
        <v/>
      </c>
      <c r="GK120" s="85">
        <f>IF(DW120="","",IFERROR(DW120*HSTECH!$B$14*HSTECH!$G$14/HSTECH!$B$3,""))</f>
        <v/>
      </c>
      <c r="GL120" s="85">
        <f>IF(DX120="","",IFERROR(DX120*HSTECH!$B$14*HSTECH!$G$14/HSTECH!$B$3,""))</f>
        <v/>
      </c>
      <c r="GM120" s="85">
        <f>IF(DY120="","",IFERROR(DY120*HSTECH!$B$14*HSTECH!$G$14/HSTECH!$B$3,""))</f>
        <v/>
      </c>
      <c r="GN120" s="85">
        <f>IF(DZ120="","",IFERROR(DZ120*HSTECH!$B$14*HSTECH!$G$14/HSTECH!$B$3,""))</f>
        <v/>
      </c>
      <c r="GO120" s="85">
        <f>IF(EA120="","",IFERROR(EA120*HSTECH!$B$14*HSTECH!$G$14/HSTECH!$B$3,""))</f>
        <v/>
      </c>
      <c r="GP120" s="85">
        <f>IF(EB120="","",IFERROR(EB120*HSTECH!$B$14*HSTECH!$G$14/HSTECH!$B$3,""))</f>
        <v/>
      </c>
      <c r="GQ120" s="85">
        <f>IF(EC120="","",IFERROR(EC120*HSTECH!$B$14*HSTECH!$G$14/HSTECH!$B$3,""))</f>
        <v/>
      </c>
    </row>
    <row r="121">
      <c r="B121" s="2">
        <f>IF(HSTECH!$C$15="","",HSTECH!$C$15)</f>
        <v/>
      </c>
      <c r="C121" s="41">
        <f>IF(N('Dvd Calendar'!$E$1635)=0,"",IF(('Dvd Calendar'!$E$1635&gt;=MIN(DATE(Summary!$C$12,1,1),Summary!$C$11))*('Dvd Calendar'!$E$1635&lt;=MAX(DATE(Summary!$C$12,12,31),Summary!$C$15))*('Dvd Calendar'!$E$1635&lt;=Summary!$C$11)=0,"",'Dvd Calendar'!$E$1635*1000000000+ISNUMBER('Dvd Calendar'!$E$1636)*100000000+('Dvd Calendar'!$E$1640='Field Check'!$C$25)*10000000+(N('Dvd Calendar'!$E$1634)&gt;0)*1000000+9*1000+1))</f>
        <v/>
      </c>
      <c r="D121" s="41">
        <f>IF(N('Dvd Calendar'!$F$1635)=0,"",IF(('Dvd Calendar'!$F$1635&gt;=MIN(DATE(Summary!$C$12,1,1),Summary!$C$11))*('Dvd Calendar'!$F$1635&lt;=MAX(DATE(Summary!$C$12,12,31),Summary!$C$15))*('Dvd Calendar'!$F$1635&lt;=Summary!$C$11)=0,"",'Dvd Calendar'!$F$1635*1000000000+ISNUMBER('Dvd Calendar'!$F$1636)*100000000+('Dvd Calendar'!$F$1640='Field Check'!$C$25)*10000000+(N('Dvd Calendar'!$F$1634)&gt;0)*1000000+9*1000+2))</f>
        <v/>
      </c>
      <c r="E121" s="41">
        <f>IF(N('Dvd Calendar'!$G$1635)=0,"",IF(('Dvd Calendar'!$G$1635&gt;=MIN(DATE(Summary!$C$12,1,1),Summary!$C$11))*('Dvd Calendar'!$G$1635&lt;=MAX(DATE(Summary!$C$12,12,31),Summary!$C$15))*('Dvd Calendar'!$G$1635&lt;=Summary!$C$11)=0,"",'Dvd Calendar'!$G$1635*1000000000+ISNUMBER('Dvd Calendar'!$G$1636)*100000000+('Dvd Calendar'!$G$1640='Field Check'!$C$25)*10000000+(N('Dvd Calendar'!$G$1634)&gt;0)*1000000+9*1000+3))</f>
        <v/>
      </c>
      <c r="F121" s="41">
        <f>IF(N('Dvd Calendar'!$H$1635)=0,"",IF(('Dvd Calendar'!$H$1635&gt;=MIN(DATE(Summary!$C$12,1,1),Summary!$C$11))*('Dvd Calendar'!$H$1635&lt;=MAX(DATE(Summary!$C$12,12,31),Summary!$C$15))*('Dvd Calendar'!$H$1635&lt;=Summary!$C$11)=0,"",'Dvd Calendar'!$H$1635*1000000000+ISNUMBER('Dvd Calendar'!$H$1636)*100000000+('Dvd Calendar'!$H$1640='Field Check'!$C$25)*10000000+(N('Dvd Calendar'!$H$1634)&gt;0)*1000000+9*1000+4))</f>
        <v/>
      </c>
      <c r="G121" s="41">
        <f>IF(N('Dvd Calendar'!$I$1635)=0,"",IF(('Dvd Calendar'!$I$1635&gt;=MIN(DATE(Summary!$C$12,1,1),Summary!$C$11))*('Dvd Calendar'!$I$1635&lt;=MAX(DATE(Summary!$C$12,12,31),Summary!$C$15))*('Dvd Calendar'!$I$1635&lt;=Summary!$C$11)=0,"",'Dvd Calendar'!$I$1635*1000000000+ISNUMBER('Dvd Calendar'!$I$1636)*100000000+('Dvd Calendar'!$I$1640='Field Check'!$C$25)*10000000+(N('Dvd Calendar'!$I$1634)&gt;0)*1000000+9*1000+5))</f>
        <v/>
      </c>
      <c r="H121" s="41">
        <f>IF(N('Dvd Calendar'!$J$1635)=0,"",IF(('Dvd Calendar'!$J$1635&gt;=MIN(DATE(Summary!$C$12,1,1),Summary!$C$11))*('Dvd Calendar'!$J$1635&lt;=MAX(DATE(Summary!$C$12,12,31),Summary!$C$15))*('Dvd Calendar'!$J$1635&lt;=Summary!$C$11)=0,"",'Dvd Calendar'!$J$1635*1000000000+ISNUMBER('Dvd Calendar'!$J$1636)*100000000+('Dvd Calendar'!$J$1640='Field Check'!$C$25)*10000000+(N('Dvd Calendar'!$J$1634)&gt;0)*1000000+9*1000+6))</f>
        <v/>
      </c>
      <c r="I121" s="41">
        <f>IF(N('Dvd Calendar'!$K$1635)=0,"",IF(('Dvd Calendar'!$K$1635&gt;=MIN(DATE(Summary!$C$12,1,1),Summary!$C$11))*('Dvd Calendar'!$K$1635&lt;=MAX(DATE(Summary!$C$12,12,31),Summary!$C$15))*('Dvd Calendar'!$K$1635&lt;=Summary!$C$11)=0,"",'Dvd Calendar'!$K$1635*1000000000+ISNUMBER('Dvd Calendar'!$K$1636)*100000000+('Dvd Calendar'!$K$1640='Field Check'!$C$25)*10000000+(N('Dvd Calendar'!$K$1634)&gt;0)*1000000+9*1000+7))</f>
        <v/>
      </c>
      <c r="J121" s="41">
        <f>IF(N('Dvd Calendar'!$L$1635)=0,"",IF(('Dvd Calendar'!$L$1635&gt;=MIN(DATE(Summary!$C$12,1,1),Summary!$C$11))*('Dvd Calendar'!$L$1635&lt;=MAX(DATE(Summary!$C$12,12,31),Summary!$C$15))*('Dvd Calendar'!$L$1635&lt;=Summary!$C$11)=0,"",'Dvd Calendar'!$L$1635*1000000000+ISNUMBER('Dvd Calendar'!$L$1636)*100000000+('Dvd Calendar'!$L$1640='Field Check'!$C$25)*10000000+(N('Dvd Calendar'!$L$1634)&gt;0)*1000000+9*1000+8))</f>
        <v/>
      </c>
      <c r="K121" s="41">
        <f>IF(N('Dvd Calendar'!$M$1635)=0,"",IF(('Dvd Calendar'!$M$1635&gt;=MIN(DATE(Summary!$C$12,1,1),Summary!$C$11))*('Dvd Calendar'!$M$1635&lt;=MAX(DATE(Summary!$C$12,12,31),Summary!$C$15))*('Dvd Calendar'!$M$1635&lt;=Summary!$C$11)=0,"",'Dvd Calendar'!$M$1635*1000000000+ISNUMBER('Dvd Calendar'!$M$1636)*100000000+('Dvd Calendar'!$M$1640='Field Check'!$C$25)*10000000+(N('Dvd Calendar'!$M$1634)&gt;0)*1000000+9*1000+9))</f>
        <v/>
      </c>
      <c r="L121" s="41">
        <f>IF(N('Dvd Calendar'!$N$1635)=0,"",IF(('Dvd Calendar'!$N$1635&gt;=MIN(DATE(Summary!$C$12,1,1),Summary!$C$11))*('Dvd Calendar'!$N$1635&lt;=MAX(DATE(Summary!$C$12,12,31),Summary!$C$15))*('Dvd Calendar'!$N$1635&lt;=Summary!$C$11)=0,"",'Dvd Calendar'!$N$1635*1000000000+ISNUMBER('Dvd Calendar'!$N$1636)*100000000+('Dvd Calendar'!$N$1640='Field Check'!$C$25)*10000000+(N('Dvd Calendar'!$N$1634)&gt;0)*1000000+9*1000+10))</f>
        <v/>
      </c>
      <c r="M121" s="41">
        <f>IF(N('Dvd Calendar'!$O$1635)=0,"",IF(('Dvd Calendar'!$O$1635&gt;=MIN(DATE(Summary!$C$12,1,1),Summary!$C$11))*('Dvd Calendar'!$O$1635&lt;=MAX(DATE(Summary!$C$12,12,31),Summary!$C$15))*('Dvd Calendar'!$O$1635&lt;=Summary!$C$11)=0,"",'Dvd Calendar'!$O$1635*1000000000+ISNUMBER('Dvd Calendar'!$O$1636)*100000000+('Dvd Calendar'!$O$1640='Field Check'!$C$25)*10000000+(N('Dvd Calendar'!$O$1634)&gt;0)*1000000+9*1000+11))</f>
        <v/>
      </c>
      <c r="N121" s="41">
        <f>IF(N('Dvd Calendar'!$P$1635)=0,"",IF(('Dvd Calendar'!$P$1635&gt;=MIN(DATE(Summary!$C$12,1,1),Summary!$C$11))*('Dvd Calendar'!$P$1635&lt;=MAX(DATE(Summary!$C$12,12,31),Summary!$C$15))*('Dvd Calendar'!$P$1635&lt;=Summary!$C$11)=0,"",'Dvd Calendar'!$P$1635*1000000000+ISNUMBER('Dvd Calendar'!$P$1636)*100000000+('Dvd Calendar'!$P$1640='Field Check'!$C$25)*10000000+(N('Dvd Calendar'!$P$1634)&gt;0)*1000000+9*1000+12))</f>
        <v/>
      </c>
      <c r="O121" s="41">
        <f>IF(N('Dvd Calendar'!$Q$1635)=0,"",IF(('Dvd Calendar'!$Q$1635&gt;=MIN(DATE(Summary!$C$12,1,1),Summary!$C$11))*('Dvd Calendar'!$Q$1635&lt;=MAX(DATE(Summary!$C$12,12,31),Summary!$C$15))*('Dvd Calendar'!$Q$1635&lt;=Summary!$C$11)=0,"",'Dvd Calendar'!$Q$1635*1000000000+ISNUMBER('Dvd Calendar'!$Q$1636)*100000000+('Dvd Calendar'!$Q$1640='Field Check'!$C$25)*10000000+(N('Dvd Calendar'!$Q$1634)&gt;0)*1000000+9*1000+13))</f>
        <v/>
      </c>
      <c r="P121" s="41">
        <f>IF(N('Dvd Calendar'!$R$1635)=0,"",IF(('Dvd Calendar'!$R$1635&gt;=MIN(DATE(Summary!$C$12,1,1),Summary!$C$11))*('Dvd Calendar'!$R$1635&lt;=MAX(DATE(Summary!$C$12,12,31),Summary!$C$15))*('Dvd Calendar'!$R$1635&lt;=Summary!$C$11)=0,"",'Dvd Calendar'!$R$1635*1000000000+ISNUMBER('Dvd Calendar'!$R$1636)*100000000+('Dvd Calendar'!$R$1640='Field Check'!$C$25)*10000000+(N('Dvd Calendar'!$R$1634)&gt;0)*1000000+9*1000+14))</f>
        <v/>
      </c>
      <c r="Q121" s="41">
        <f>IF(N('Dvd Calendar'!$S$1635)=0,"",IF(('Dvd Calendar'!$S$1635&gt;=MIN(DATE(Summary!$C$12,1,1),Summary!$C$11))*('Dvd Calendar'!$S$1635&lt;=MAX(DATE(Summary!$C$12,12,31),Summary!$C$15))*('Dvd Calendar'!$S$1635&lt;=Summary!$C$11)=0,"",'Dvd Calendar'!$S$1635*1000000000+ISNUMBER('Dvd Calendar'!$S$1636)*100000000+('Dvd Calendar'!$S$1640='Field Check'!$C$25)*10000000+(N('Dvd Calendar'!$S$1634)&gt;0)*1000000+9*1000+15))</f>
        <v/>
      </c>
      <c r="R121" s="41">
        <f>IF(N('Dvd Calendar'!$T$1635)=0,"",IF(('Dvd Calendar'!$T$1635&gt;=MIN(DATE(Summary!$C$12,1,1),Summary!$C$11))*('Dvd Calendar'!$T$1635&lt;=MAX(DATE(Summary!$C$12,12,31),Summary!$C$15))*('Dvd Calendar'!$T$1635&lt;=Summary!$C$11)=0,"",'Dvd Calendar'!$T$1635*1000000000+ISNUMBER('Dvd Calendar'!$T$1636)*100000000+('Dvd Calendar'!$T$1640='Field Check'!$C$25)*10000000+(N('Dvd Calendar'!$T$1634)&gt;0)*1000000+9*1000+16))</f>
        <v/>
      </c>
      <c r="S121" s="41">
        <f>IF(N('Dvd Calendar'!$U$1635)=0,"",IF(('Dvd Calendar'!$U$1635&gt;=MIN(DATE(Summary!$C$12,1,1),Summary!$C$11))*('Dvd Calendar'!$U$1635&lt;=MAX(DATE(Summary!$C$12,12,31),Summary!$C$15))*('Dvd Calendar'!$U$1635&lt;=Summary!$C$11)=0,"",'Dvd Calendar'!$U$1635*1000000000+ISNUMBER('Dvd Calendar'!$U$1636)*100000000+('Dvd Calendar'!$U$1640='Field Check'!$C$25)*10000000+(N('Dvd Calendar'!$U$1634)&gt;0)*1000000+9*1000+17))</f>
        <v/>
      </c>
      <c r="T121" s="41">
        <f>IF(N('Dvd Calendar'!$V$1635)=0,"",IF(('Dvd Calendar'!$V$1635&gt;=MIN(DATE(Summary!$C$12,1,1),Summary!$C$11))*('Dvd Calendar'!$V$1635&lt;=MAX(DATE(Summary!$C$12,12,31),Summary!$C$15))*('Dvd Calendar'!$V$1635&lt;=Summary!$C$11)=0,"",'Dvd Calendar'!$V$1635*1000000000+ISNUMBER('Dvd Calendar'!$V$1636)*100000000+('Dvd Calendar'!$V$1640='Field Check'!$C$25)*10000000+(N('Dvd Calendar'!$V$1634)&gt;0)*1000000+9*1000+18))</f>
        <v/>
      </c>
      <c r="U121" s="41">
        <f>IF(N('Dvd Calendar'!$W$1635)=0,"",IF(('Dvd Calendar'!$W$1635&gt;=MIN(DATE(Summary!$C$12,1,1),Summary!$C$11))*('Dvd Calendar'!$W$1635&lt;=MAX(DATE(Summary!$C$12,12,31),Summary!$C$15))*('Dvd Calendar'!$W$1635&lt;=Summary!$C$11)=0,"",'Dvd Calendar'!$W$1635*1000000000+ISNUMBER('Dvd Calendar'!$W$1636)*100000000+('Dvd Calendar'!$W$1640='Field Check'!$C$25)*10000000+(N('Dvd Calendar'!$W$1634)&gt;0)*1000000+9*1000+19))</f>
        <v/>
      </c>
      <c r="V121" s="41">
        <f>IF(N('Dvd Calendar'!$X$1635)=0,"",IF(('Dvd Calendar'!$X$1635&gt;=MIN(DATE(Summary!$C$12,1,1),Summary!$C$11))*('Dvd Calendar'!$X$1635&lt;=MAX(DATE(Summary!$C$12,12,31),Summary!$C$15))*('Dvd Calendar'!$X$1635&lt;=Summary!$C$11)=0,"",'Dvd Calendar'!$X$1635*1000000000+ISNUMBER('Dvd Calendar'!$X$1636)*100000000+('Dvd Calendar'!$X$1640='Field Check'!$C$25)*10000000+(N('Dvd Calendar'!$X$1634)&gt;0)*1000000+9*1000+20))</f>
        <v/>
      </c>
      <c r="W121" s="41">
        <f>IF(N('Dvd Calendar'!$Y$1635)=0,"",IF(('Dvd Calendar'!$Y$1635&gt;=MIN(DATE(Summary!$C$12,1,1),Summary!$C$11))*('Dvd Calendar'!$Y$1635&lt;=MAX(DATE(Summary!$C$12,12,31),Summary!$C$15))*('Dvd Calendar'!$Y$1635&lt;=Summary!$C$11)=0,"",'Dvd Calendar'!$Y$1635*1000000000+ISNUMBER('Dvd Calendar'!$Y$1636)*100000000+('Dvd Calendar'!$Y$1640='Field Check'!$C$25)*10000000+(N('Dvd Calendar'!$Y$1634)&gt;0)*1000000+9*1000+21))</f>
        <v/>
      </c>
      <c r="X121" s="41">
        <f>IF(N('Dvd Calendar'!$Z$1635)=0,"",IF(('Dvd Calendar'!$Z$1635&gt;=MIN(DATE(Summary!$C$12,1,1),Summary!$C$11))*('Dvd Calendar'!$Z$1635&lt;=MAX(DATE(Summary!$C$12,12,31),Summary!$C$15))*('Dvd Calendar'!$Z$1635&lt;=Summary!$C$11)=0,"",'Dvd Calendar'!$Z$1635*1000000000+ISNUMBER('Dvd Calendar'!$Z$1636)*100000000+('Dvd Calendar'!$Z$1640='Field Check'!$C$25)*10000000+(N('Dvd Calendar'!$Z$1634)&gt;0)*1000000+9*1000+22))</f>
        <v/>
      </c>
      <c r="Y121" s="41">
        <f>IF(N('Dvd Calendar'!$AA$1635)=0,"",IF(('Dvd Calendar'!$AA$1635&gt;=MIN(DATE(Summary!$C$12,1,1),Summary!$C$11))*('Dvd Calendar'!$AA$1635&lt;=MAX(DATE(Summary!$C$12,12,31),Summary!$C$15))*('Dvd Calendar'!$AA$1635&lt;=Summary!$C$11)=0,"",'Dvd Calendar'!$AA$1635*1000000000+ISNUMBER('Dvd Calendar'!$AA$1636)*100000000+('Dvd Calendar'!$AA$1640='Field Check'!$C$25)*10000000+(N('Dvd Calendar'!$AA$1634)&gt;0)*1000000+9*1000+23))</f>
        <v/>
      </c>
      <c r="Z121" s="41">
        <f>IF(N('Dvd Calendar'!$AB$1635)=0,"",IF(('Dvd Calendar'!$AB$1635&gt;=MIN(DATE(Summary!$C$12,1,1),Summary!$C$11))*('Dvd Calendar'!$AB$1635&lt;=MAX(DATE(Summary!$C$12,12,31),Summary!$C$15))*('Dvd Calendar'!$AB$1635&lt;=Summary!$C$11)=0,"",'Dvd Calendar'!$AB$1635*1000000000+ISNUMBER('Dvd Calendar'!$AB$1636)*100000000+('Dvd Calendar'!$AB$1640='Field Check'!$C$25)*10000000+(N('Dvd Calendar'!$AB$1634)&gt;0)*1000000+9*1000+24))</f>
        <v/>
      </c>
      <c r="AA121" s="41">
        <f>IF(N('Dvd Calendar'!$AC$1635)=0,"",IF(('Dvd Calendar'!$AC$1635&gt;=MIN(DATE(Summary!$C$12,1,1),Summary!$C$11))*('Dvd Calendar'!$AC$1635&lt;=MAX(DATE(Summary!$C$12,12,31),Summary!$C$15))*('Dvd Calendar'!$AC$1635&lt;=Summary!$C$11)=0,"",'Dvd Calendar'!$AC$1635*1000000000+ISNUMBER('Dvd Calendar'!$AC$1636)*100000000+('Dvd Calendar'!$AC$1640='Field Check'!$C$25)*10000000+(N('Dvd Calendar'!$AC$1634)&gt;0)*1000000+9*1000+25))</f>
        <v/>
      </c>
      <c r="AB121" s="41">
        <f>IF(N('Dvd Calendar'!$AD$1635)=0,"",IF(('Dvd Calendar'!$AD$1635&gt;=MIN(DATE(Summary!$C$12,1,1),Summary!$C$11))*('Dvd Calendar'!$AD$1635&lt;=MAX(DATE(Summary!$C$12,12,31),Summary!$C$15))*('Dvd Calendar'!$AD$1635&lt;=Summary!$C$11)=0,"",'Dvd Calendar'!$AD$1635*1000000000+ISNUMBER('Dvd Calendar'!$AD$1636)*100000000+('Dvd Calendar'!$AD$1640='Field Check'!$C$25)*10000000+(N('Dvd Calendar'!$AD$1634)&gt;0)*1000000+9*1000+26))</f>
        <v/>
      </c>
      <c r="AC121" s="41">
        <f>IF(N('Dvd Calendar'!$AE$1635)=0,"",IF(('Dvd Calendar'!$AE$1635&gt;=MIN(DATE(Summary!$C$12,1,1),Summary!$C$11))*('Dvd Calendar'!$AE$1635&lt;=MAX(DATE(Summary!$C$12,12,31),Summary!$C$15))*('Dvd Calendar'!$AE$1635&lt;=Summary!$C$11)=0,"",'Dvd Calendar'!$AE$1635*1000000000+ISNUMBER('Dvd Calendar'!$AE$1636)*100000000+('Dvd Calendar'!$AE$1640='Field Check'!$C$25)*10000000+(N('Dvd Calendar'!$AE$1634)&gt;0)*1000000+9*1000+27))</f>
        <v/>
      </c>
      <c r="AD121" s="41">
        <f>IF(N('Dvd Calendar'!$AF$1635)=0,"",IF(('Dvd Calendar'!$AF$1635&gt;=MIN(DATE(Summary!$C$12,1,1),Summary!$C$11))*('Dvd Calendar'!$AF$1635&lt;=MAX(DATE(Summary!$C$12,12,31),Summary!$C$15))*('Dvd Calendar'!$AF$1635&lt;=Summary!$C$11)=0,"",'Dvd Calendar'!$AF$1635*1000000000+ISNUMBER('Dvd Calendar'!$AF$1636)*100000000+('Dvd Calendar'!$AF$1640='Field Check'!$C$25)*10000000+(N('Dvd Calendar'!$AF$1634)&gt;0)*1000000+9*1000+28))</f>
        <v/>
      </c>
      <c r="AE121" s="41">
        <f>IF(N('Dvd Calendar'!$AG$1635)=0,"",IF(('Dvd Calendar'!$AG$1635&gt;=MIN(DATE(Summary!$C$12,1,1),Summary!$C$11))*('Dvd Calendar'!$AG$1635&lt;=MAX(DATE(Summary!$C$12,12,31),Summary!$C$15))*('Dvd Calendar'!$AG$1635&lt;=Summary!$C$11)=0,"",'Dvd Calendar'!$AG$1635*1000000000+ISNUMBER('Dvd Calendar'!$AG$1636)*100000000+('Dvd Calendar'!$AG$1640='Field Check'!$C$25)*10000000+(N('Dvd Calendar'!$AG$1634)&gt;0)*1000000+9*1000+29))</f>
        <v/>
      </c>
      <c r="AF121" s="41">
        <f>IF(N('Dvd Calendar'!$AH$1635)=0,"",IF(('Dvd Calendar'!$AH$1635&gt;=MIN(DATE(Summary!$C$12,1,1),Summary!$C$11))*('Dvd Calendar'!$AH$1635&lt;=MAX(DATE(Summary!$C$12,12,31),Summary!$C$15))*('Dvd Calendar'!$AH$1635&lt;=Summary!$C$11)=0,"",'Dvd Calendar'!$AH$1635*1000000000+ISNUMBER('Dvd Calendar'!$AH$1636)*100000000+('Dvd Calendar'!$AH$1640='Field Check'!$C$25)*10000000+(N('Dvd Calendar'!$AH$1634)&gt;0)*1000000+9*1000+30))</f>
        <v/>
      </c>
      <c r="AG121" s="41">
        <f>IF(N('Dvd Calendar'!$AI$1635)=0,"",IF(('Dvd Calendar'!$AI$1635&gt;=MIN(DATE(Summary!$C$12,1,1),Summary!$C$11))*('Dvd Calendar'!$AI$1635&lt;=MAX(DATE(Summary!$C$12,12,31),Summary!$C$15))*('Dvd Calendar'!$AI$1635&lt;=Summary!$C$11)=0,"",'Dvd Calendar'!$AI$1635*1000000000+ISNUMBER('Dvd Calendar'!$AI$1636)*100000000+('Dvd Calendar'!$AI$1640='Field Check'!$C$25)*10000000+(N('Dvd Calendar'!$AI$1634)&gt;0)*1000000+9*1000+31))</f>
        <v/>
      </c>
      <c r="AH121" s="41">
        <f>IF(N('Dvd Calendar'!$AJ$1635)=0,"",IF(('Dvd Calendar'!$AJ$1635&gt;=MIN(DATE(Summary!$C$12,1,1),Summary!$C$11))*('Dvd Calendar'!$AJ$1635&lt;=MAX(DATE(Summary!$C$12,12,31),Summary!$C$15))*('Dvd Calendar'!$AJ$1635&lt;=Summary!$C$11)=0,"",'Dvd Calendar'!$AJ$1635*1000000000+ISNUMBER('Dvd Calendar'!$AJ$1636)*100000000+('Dvd Calendar'!$AJ$1640='Field Check'!$C$25)*10000000+(N('Dvd Calendar'!$AJ$1634)&gt;0)*1000000+9*1000+32))</f>
        <v/>
      </c>
      <c r="AI121" s="41">
        <f>IF(N('Dvd Calendar'!$AK$1635)=0,"",IF(('Dvd Calendar'!$AK$1635&gt;=MIN(DATE(Summary!$C$12,1,1),Summary!$C$11))*('Dvd Calendar'!$AK$1635&lt;=MAX(DATE(Summary!$C$12,12,31),Summary!$C$15))*('Dvd Calendar'!$AK$1635&lt;=Summary!$C$11)=0,"",'Dvd Calendar'!$AK$1635*1000000000+ISNUMBER('Dvd Calendar'!$AK$1636)*100000000+('Dvd Calendar'!$AK$1640='Field Check'!$C$25)*10000000+(N('Dvd Calendar'!$AK$1634)&gt;0)*1000000+9*1000+33))</f>
        <v/>
      </c>
      <c r="AJ121" s="41">
        <f>IF(N('Dvd Calendar'!$AL$1635)=0,"",IF(('Dvd Calendar'!$AL$1635&gt;=MIN(DATE(Summary!$C$12,1,1),Summary!$C$11))*('Dvd Calendar'!$AL$1635&lt;=MAX(DATE(Summary!$C$12,12,31),Summary!$C$15))*('Dvd Calendar'!$AL$1635&lt;=Summary!$C$11)=0,"",'Dvd Calendar'!$AL$1635*1000000000+ISNUMBER('Dvd Calendar'!$AL$1636)*100000000+('Dvd Calendar'!$AL$1640='Field Check'!$C$25)*10000000+(N('Dvd Calendar'!$AL$1634)&gt;0)*1000000+9*1000+34))</f>
        <v/>
      </c>
      <c r="AK121" s="41">
        <f>IF(N('Dvd Calendar'!$AM$1635)=0,"",IF(('Dvd Calendar'!$AM$1635&gt;=MIN(DATE(Summary!$C$12,1,1),Summary!$C$11))*('Dvd Calendar'!$AM$1635&lt;=MAX(DATE(Summary!$C$12,12,31),Summary!$C$15))*('Dvd Calendar'!$AM$1635&lt;=Summary!$C$11)=0,"",'Dvd Calendar'!$AM$1635*1000000000+ISNUMBER('Dvd Calendar'!$AM$1636)*100000000+('Dvd Calendar'!$AM$1640='Field Check'!$C$25)*10000000+(N('Dvd Calendar'!$AM$1634)&gt;0)*1000000+9*1000+35))</f>
        <v/>
      </c>
      <c r="AL121" s="41">
        <f>IF(N('Dvd Calendar'!$AN$1635)=0,"",IF(('Dvd Calendar'!$AN$1635&gt;=MIN(DATE(Summary!$C$12,1,1),Summary!$C$11))*('Dvd Calendar'!$AN$1635&lt;=MAX(DATE(Summary!$C$12,12,31),Summary!$C$15))*('Dvd Calendar'!$AN$1635&lt;=Summary!$C$11)=0,"",'Dvd Calendar'!$AN$1635*1000000000+ISNUMBER('Dvd Calendar'!$AN$1636)*100000000+('Dvd Calendar'!$AN$1640='Field Check'!$C$25)*10000000+(N('Dvd Calendar'!$AN$1634)&gt;0)*1000000+9*1000+36))</f>
        <v/>
      </c>
      <c r="AM121" s="41">
        <f>IF(N('Dvd Calendar'!$AO$1635)=0,"",IF(('Dvd Calendar'!$AO$1635&gt;=MIN(DATE(Summary!$C$12,1,1),Summary!$C$11))*('Dvd Calendar'!$AO$1635&lt;=MAX(DATE(Summary!$C$12,12,31),Summary!$C$15))*('Dvd Calendar'!$AO$1635&lt;=Summary!$C$11)=0,"",'Dvd Calendar'!$AO$1635*1000000000+ISNUMBER('Dvd Calendar'!$AO$1636)*100000000+('Dvd Calendar'!$AO$1640='Field Check'!$C$25)*10000000+(N('Dvd Calendar'!$AO$1634)&gt;0)*1000000+9*1000+37))</f>
        <v/>
      </c>
      <c r="AN121" s="41">
        <f>IF(N('Dvd Calendar'!$AP$1635)=0,"",IF(('Dvd Calendar'!$AP$1635&gt;=MIN(DATE(Summary!$C$12,1,1),Summary!$C$11))*('Dvd Calendar'!$AP$1635&lt;=MAX(DATE(Summary!$C$12,12,31),Summary!$C$15))*('Dvd Calendar'!$AP$1635&lt;=Summary!$C$11)=0,"",'Dvd Calendar'!$AP$1635*1000000000+ISNUMBER('Dvd Calendar'!$AP$1636)*100000000+('Dvd Calendar'!$AP$1640='Field Check'!$C$25)*10000000+(N('Dvd Calendar'!$AP$1634)&gt;0)*1000000+9*1000+38))</f>
        <v/>
      </c>
      <c r="AO121" s="41">
        <f>IF(N('Dvd Calendar'!$AQ$1635)=0,"",IF(('Dvd Calendar'!$AQ$1635&gt;=MIN(DATE(Summary!$C$12,1,1),Summary!$C$11))*('Dvd Calendar'!$AQ$1635&lt;=MAX(DATE(Summary!$C$12,12,31),Summary!$C$15))*('Dvd Calendar'!$AQ$1635&lt;=Summary!$C$11)=0,"",'Dvd Calendar'!$AQ$1635*1000000000+ISNUMBER('Dvd Calendar'!$AQ$1636)*100000000+('Dvd Calendar'!$AQ$1640='Field Check'!$C$25)*10000000+(N('Dvd Calendar'!$AQ$1634)&gt;0)*1000000+9*1000+39))</f>
        <v/>
      </c>
      <c r="AP121" s="41">
        <f>IF(N('Dvd Calendar'!$AR$1635)=0,"",IF(('Dvd Calendar'!$AR$1635&gt;=MIN(DATE(Summary!$C$12,1,1),Summary!$C$11))*('Dvd Calendar'!$AR$1635&lt;=MAX(DATE(Summary!$C$12,12,31),Summary!$C$15))*('Dvd Calendar'!$AR$1635&lt;=Summary!$C$11)=0,"",'Dvd Calendar'!$AR$1635*1000000000+ISNUMBER('Dvd Calendar'!$AR$1636)*100000000+('Dvd Calendar'!$AR$1640='Field Check'!$C$25)*10000000+(N('Dvd Calendar'!$AR$1634)&gt;0)*1000000+9*1000+40))</f>
        <v/>
      </c>
      <c r="AQ121" s="41">
        <f>IF(N('Dvd Calendar'!$E$1642)=0,"",IF(('Dvd Calendar'!$E$1642&gt;=MIN(DATE(Summary!$C$12,1,1),Summary!$C$11))*('Dvd Calendar'!$E$1642&lt;=MAX(DATE(Summary!$C$12,12,31),Summary!$C$15))*('Dvd Calendar'!$E$1642&gt;Summary!$C$11)=0,"",'Dvd Calendar'!$E$1642*1000000000+ISNUMBER('Dvd Calendar'!$E$1643)*100000000+('Dvd Calendar'!$E$1647='Field Check'!$C$25)*10000000+(N('Dvd Calendar'!$E$1641)&gt;0)*1000000+9*1000+41))</f>
        <v/>
      </c>
      <c r="AR121" s="41">
        <f>IF(N('Dvd Calendar'!$F$1642)=0,"",IF(('Dvd Calendar'!$F$1642&gt;=MIN(DATE(Summary!$C$12,1,1),Summary!$C$11))*('Dvd Calendar'!$F$1642&lt;=MAX(DATE(Summary!$C$12,12,31),Summary!$C$15))*('Dvd Calendar'!$F$1642&gt;Summary!$C$11)=0,"",'Dvd Calendar'!$F$1642*1000000000+ISNUMBER('Dvd Calendar'!$F$1643)*100000000+('Dvd Calendar'!$F$1647='Field Check'!$C$25)*10000000+(N('Dvd Calendar'!$F$1641)&gt;0)*1000000+9*1000+42))</f>
        <v/>
      </c>
      <c r="AS121" s="41">
        <f>IF(N('Dvd Calendar'!$G$1642)=0,"",IF(('Dvd Calendar'!$G$1642&gt;=MIN(DATE(Summary!$C$12,1,1),Summary!$C$11))*('Dvd Calendar'!$G$1642&lt;=MAX(DATE(Summary!$C$12,12,31),Summary!$C$15))*('Dvd Calendar'!$G$1642&gt;Summary!$C$11)=0,"",'Dvd Calendar'!$G$1642*1000000000+ISNUMBER('Dvd Calendar'!$G$1643)*100000000+('Dvd Calendar'!$G$1647='Field Check'!$C$25)*10000000+(N('Dvd Calendar'!$G$1641)&gt;0)*1000000+9*1000+43))</f>
        <v/>
      </c>
      <c r="AT121" s="41">
        <f>IF(N('Dvd Calendar'!$H$1642)=0,"",IF(('Dvd Calendar'!$H$1642&gt;=MIN(DATE(Summary!$C$12,1,1),Summary!$C$11))*('Dvd Calendar'!$H$1642&lt;=MAX(DATE(Summary!$C$12,12,31),Summary!$C$15))*('Dvd Calendar'!$H$1642&gt;Summary!$C$11)=0,"",'Dvd Calendar'!$H$1642*1000000000+ISNUMBER('Dvd Calendar'!$H$1643)*100000000+('Dvd Calendar'!$H$1647='Field Check'!$C$25)*10000000+(N('Dvd Calendar'!$H$1641)&gt;0)*1000000+9*1000+44))</f>
        <v/>
      </c>
      <c r="AU121" s="41">
        <f>IF(N('Dvd Calendar'!$I$1642)=0,"",IF(('Dvd Calendar'!$I$1642&gt;=MIN(DATE(Summary!$C$12,1,1),Summary!$C$11))*('Dvd Calendar'!$I$1642&lt;=MAX(DATE(Summary!$C$12,12,31),Summary!$C$15))*('Dvd Calendar'!$I$1642&gt;Summary!$C$11)=0,"",'Dvd Calendar'!$I$1642*1000000000+ISNUMBER('Dvd Calendar'!$I$1643)*100000000+('Dvd Calendar'!$I$1647='Field Check'!$C$25)*10000000+(N('Dvd Calendar'!$I$1641)&gt;0)*1000000+9*1000+45))</f>
        <v/>
      </c>
      <c r="AV121" s="41">
        <f>IF(N('Dvd Calendar'!$J$1642)=0,"",IF(('Dvd Calendar'!$J$1642&gt;=MIN(DATE(Summary!$C$12,1,1),Summary!$C$11))*('Dvd Calendar'!$J$1642&lt;=MAX(DATE(Summary!$C$12,12,31),Summary!$C$15))*('Dvd Calendar'!$J$1642&gt;Summary!$C$11)=0,"",'Dvd Calendar'!$J$1642*1000000000+ISNUMBER('Dvd Calendar'!$J$1643)*100000000+('Dvd Calendar'!$J$1647='Field Check'!$C$25)*10000000+(N('Dvd Calendar'!$J$1641)&gt;0)*1000000+9*1000+46))</f>
        <v/>
      </c>
      <c r="AW121" s="41">
        <f>IF(N('Dvd Calendar'!$K$1642)=0,"",IF(('Dvd Calendar'!$K$1642&gt;=MIN(DATE(Summary!$C$12,1,1),Summary!$C$11))*('Dvd Calendar'!$K$1642&lt;=MAX(DATE(Summary!$C$12,12,31),Summary!$C$15))*('Dvd Calendar'!$K$1642&gt;Summary!$C$11)=0,"",'Dvd Calendar'!$K$1642*1000000000+ISNUMBER('Dvd Calendar'!$K$1643)*100000000+('Dvd Calendar'!$K$1647='Field Check'!$C$25)*10000000+(N('Dvd Calendar'!$K$1641)&gt;0)*1000000+9*1000+47))</f>
        <v/>
      </c>
      <c r="AX121" s="41">
        <f>IF(N('Dvd Calendar'!$L$1642)=0,"",IF(('Dvd Calendar'!$L$1642&gt;=MIN(DATE(Summary!$C$12,1,1),Summary!$C$11))*('Dvd Calendar'!$L$1642&lt;=MAX(DATE(Summary!$C$12,12,31),Summary!$C$15))*('Dvd Calendar'!$L$1642&gt;Summary!$C$11)=0,"",'Dvd Calendar'!$L$1642*1000000000+ISNUMBER('Dvd Calendar'!$L$1643)*100000000+('Dvd Calendar'!$L$1647='Field Check'!$C$25)*10000000+(N('Dvd Calendar'!$L$1641)&gt;0)*1000000+9*1000+48))</f>
        <v/>
      </c>
      <c r="AY121" s="41">
        <f>IF(N('Dvd Calendar'!$M$1642)=0,"",IF(('Dvd Calendar'!$M$1642&gt;=MIN(DATE(Summary!$C$12,1,1),Summary!$C$11))*('Dvd Calendar'!$M$1642&lt;=MAX(DATE(Summary!$C$12,12,31),Summary!$C$15))*('Dvd Calendar'!$M$1642&gt;Summary!$C$11)=0,"",'Dvd Calendar'!$M$1642*1000000000+ISNUMBER('Dvd Calendar'!$M$1643)*100000000+('Dvd Calendar'!$M$1647='Field Check'!$C$25)*10000000+(N('Dvd Calendar'!$M$1641)&gt;0)*1000000+9*1000+49))</f>
        <v/>
      </c>
      <c r="AZ121" s="41">
        <f>IF(N('Dvd Calendar'!$N$1642)=0,"",IF(('Dvd Calendar'!$N$1642&gt;=MIN(DATE(Summary!$C$12,1,1),Summary!$C$11))*('Dvd Calendar'!$N$1642&lt;=MAX(DATE(Summary!$C$12,12,31),Summary!$C$15))*('Dvd Calendar'!$N$1642&gt;Summary!$C$11)=0,"",'Dvd Calendar'!$N$1642*1000000000+ISNUMBER('Dvd Calendar'!$N$1643)*100000000+('Dvd Calendar'!$N$1647='Field Check'!$C$25)*10000000+(N('Dvd Calendar'!$N$1641)&gt;0)*1000000+9*1000+50))</f>
        <v/>
      </c>
      <c r="BA121" s="41">
        <f>IF(N('Dvd Calendar'!$O$1642)=0,"",IF(('Dvd Calendar'!$O$1642&gt;=MIN(DATE(Summary!$C$12,1,1),Summary!$C$11))*('Dvd Calendar'!$O$1642&lt;=MAX(DATE(Summary!$C$12,12,31),Summary!$C$15))*('Dvd Calendar'!$O$1642&gt;Summary!$C$11)=0,"",'Dvd Calendar'!$O$1642*1000000000+ISNUMBER('Dvd Calendar'!$O$1643)*100000000+('Dvd Calendar'!$O$1647='Field Check'!$C$25)*10000000+(N('Dvd Calendar'!$O$1641)&gt;0)*1000000+9*1000+51))</f>
        <v/>
      </c>
      <c r="BB121" s="41">
        <f>IF(N('Dvd Calendar'!$P$1642)=0,"",IF(('Dvd Calendar'!$P$1642&gt;=MIN(DATE(Summary!$C$12,1,1),Summary!$C$11))*('Dvd Calendar'!$P$1642&lt;=MAX(DATE(Summary!$C$12,12,31),Summary!$C$15))*('Dvd Calendar'!$P$1642&gt;Summary!$C$11)=0,"",'Dvd Calendar'!$P$1642*1000000000+ISNUMBER('Dvd Calendar'!$P$1643)*100000000+('Dvd Calendar'!$P$1647='Field Check'!$C$25)*10000000+(N('Dvd Calendar'!$P$1641)&gt;0)*1000000+9*1000+52))</f>
        <v/>
      </c>
      <c r="BC121" s="41">
        <f>IF(N('Dvd Calendar'!$Q$1642)=0,"",IF(('Dvd Calendar'!$Q$1642&gt;=MIN(DATE(Summary!$C$12,1,1),Summary!$C$11))*('Dvd Calendar'!$Q$1642&lt;=MAX(DATE(Summary!$C$12,12,31),Summary!$C$15))*('Dvd Calendar'!$Q$1642&gt;Summary!$C$11)=0,"",'Dvd Calendar'!$Q$1642*1000000000+ISNUMBER('Dvd Calendar'!$Q$1643)*100000000+('Dvd Calendar'!$Q$1647='Field Check'!$C$25)*10000000+(N('Dvd Calendar'!$Q$1641)&gt;0)*1000000+9*1000+53))</f>
        <v/>
      </c>
      <c r="BD121" s="41">
        <f>IF(N('Dvd Calendar'!$R$1642)=0,"",IF(('Dvd Calendar'!$R$1642&gt;=MIN(DATE(Summary!$C$12,1,1),Summary!$C$11))*('Dvd Calendar'!$R$1642&lt;=MAX(DATE(Summary!$C$12,12,31),Summary!$C$15))*('Dvd Calendar'!$R$1642&gt;Summary!$C$11)=0,"",'Dvd Calendar'!$R$1642*1000000000+ISNUMBER('Dvd Calendar'!$R$1643)*100000000+('Dvd Calendar'!$R$1647='Field Check'!$C$25)*10000000+(N('Dvd Calendar'!$R$1641)&gt;0)*1000000+9*1000+54))</f>
        <v/>
      </c>
      <c r="BE121" s="41">
        <f>IF(N('Dvd Calendar'!$S$1642)=0,"",IF(('Dvd Calendar'!$S$1642&gt;=MIN(DATE(Summary!$C$12,1,1),Summary!$C$11))*('Dvd Calendar'!$S$1642&lt;=MAX(DATE(Summary!$C$12,12,31),Summary!$C$15))*('Dvd Calendar'!$S$1642&gt;Summary!$C$11)=0,"",'Dvd Calendar'!$S$1642*1000000000+ISNUMBER('Dvd Calendar'!$S$1643)*100000000+('Dvd Calendar'!$S$1647='Field Check'!$C$25)*10000000+(N('Dvd Calendar'!$S$1641)&gt;0)*1000000+9*1000+55))</f>
        <v/>
      </c>
      <c r="BF121" s="41">
        <f>IF(N('Dvd Calendar'!$T$1642)=0,"",IF(('Dvd Calendar'!$T$1642&gt;=MIN(DATE(Summary!$C$12,1,1),Summary!$C$11))*('Dvd Calendar'!$T$1642&lt;=MAX(DATE(Summary!$C$12,12,31),Summary!$C$15))*('Dvd Calendar'!$T$1642&gt;Summary!$C$11)=0,"",'Dvd Calendar'!$T$1642*1000000000+ISNUMBER('Dvd Calendar'!$T$1643)*100000000+('Dvd Calendar'!$T$1647='Field Check'!$C$25)*10000000+(N('Dvd Calendar'!$T$1641)&gt;0)*1000000+9*1000+56))</f>
        <v/>
      </c>
      <c r="BG121" s="41">
        <f>IF(N('Dvd Calendar'!$U$1642)=0,"",IF(('Dvd Calendar'!$U$1642&gt;=MIN(DATE(Summary!$C$12,1,1),Summary!$C$11))*('Dvd Calendar'!$U$1642&lt;=MAX(DATE(Summary!$C$12,12,31),Summary!$C$15))*('Dvd Calendar'!$U$1642&gt;Summary!$C$11)=0,"",'Dvd Calendar'!$U$1642*1000000000+ISNUMBER('Dvd Calendar'!$U$1643)*100000000+('Dvd Calendar'!$U$1647='Field Check'!$C$25)*10000000+(N('Dvd Calendar'!$U$1641)&gt;0)*1000000+9*1000+57))</f>
        <v/>
      </c>
      <c r="BH121" s="41">
        <f>IF(N('Dvd Calendar'!$V$1642)=0,"",IF(('Dvd Calendar'!$V$1642&gt;=MIN(DATE(Summary!$C$12,1,1),Summary!$C$11))*('Dvd Calendar'!$V$1642&lt;=MAX(DATE(Summary!$C$12,12,31),Summary!$C$15))*('Dvd Calendar'!$V$1642&gt;Summary!$C$11)=0,"",'Dvd Calendar'!$V$1642*1000000000+ISNUMBER('Dvd Calendar'!$V$1643)*100000000+('Dvd Calendar'!$V$1647='Field Check'!$C$25)*10000000+(N('Dvd Calendar'!$V$1641)&gt;0)*1000000+9*1000+58))</f>
        <v/>
      </c>
      <c r="BI121" s="41">
        <f>IF(N('Dvd Calendar'!$W$1642)=0,"",IF(('Dvd Calendar'!$W$1642&gt;=MIN(DATE(Summary!$C$12,1,1),Summary!$C$11))*('Dvd Calendar'!$W$1642&lt;=MAX(DATE(Summary!$C$12,12,31),Summary!$C$15))*('Dvd Calendar'!$W$1642&gt;Summary!$C$11)=0,"",'Dvd Calendar'!$W$1642*1000000000+ISNUMBER('Dvd Calendar'!$W$1643)*100000000+('Dvd Calendar'!$W$1647='Field Check'!$C$25)*10000000+(N('Dvd Calendar'!$W$1641)&gt;0)*1000000+9*1000+59))</f>
        <v/>
      </c>
      <c r="BJ121" s="41">
        <f>IF(N('Dvd Calendar'!$X$1642)=0,"",IF(('Dvd Calendar'!$X$1642&gt;=MIN(DATE(Summary!$C$12,1,1),Summary!$C$11))*('Dvd Calendar'!$X$1642&lt;=MAX(DATE(Summary!$C$12,12,31),Summary!$C$15))*('Dvd Calendar'!$X$1642&gt;Summary!$C$11)=0,"",'Dvd Calendar'!$X$1642*1000000000+ISNUMBER('Dvd Calendar'!$X$1643)*100000000+('Dvd Calendar'!$X$1647='Field Check'!$C$25)*10000000+(N('Dvd Calendar'!$X$1641)&gt;0)*1000000+9*1000+60))</f>
        <v/>
      </c>
      <c r="BK121" s="41">
        <f>IF(N('Dvd Calendar'!$Y$1642)=0,"",IF(('Dvd Calendar'!$Y$1642&gt;=MIN(DATE(Summary!$C$12,1,1),Summary!$C$11))*('Dvd Calendar'!$Y$1642&lt;=MAX(DATE(Summary!$C$12,12,31),Summary!$C$15))*('Dvd Calendar'!$Y$1642&gt;Summary!$C$11)=0,"",'Dvd Calendar'!$Y$1642*1000000000+ISNUMBER('Dvd Calendar'!$Y$1643)*100000000+('Dvd Calendar'!$Y$1647='Field Check'!$C$25)*10000000+(N('Dvd Calendar'!$Y$1641)&gt;0)*1000000+9*1000+61))</f>
        <v/>
      </c>
      <c r="BL121" s="41">
        <f>IF(N('Dvd Calendar'!$Z$1642)=0,"",IF(('Dvd Calendar'!$Z$1642&gt;=MIN(DATE(Summary!$C$12,1,1),Summary!$C$11))*('Dvd Calendar'!$Z$1642&lt;=MAX(DATE(Summary!$C$12,12,31),Summary!$C$15))*('Dvd Calendar'!$Z$1642&gt;Summary!$C$11)=0,"",'Dvd Calendar'!$Z$1642*1000000000+ISNUMBER('Dvd Calendar'!$Z$1643)*100000000+('Dvd Calendar'!$Z$1647='Field Check'!$C$25)*10000000+(N('Dvd Calendar'!$Z$1641)&gt;0)*1000000+9*1000+62))</f>
        <v/>
      </c>
      <c r="BM121" s="41">
        <f>IF(N('Dvd Calendar'!$AA$1642)=0,"",IF(('Dvd Calendar'!$AA$1642&gt;=MIN(DATE(Summary!$C$12,1,1),Summary!$C$11))*('Dvd Calendar'!$AA$1642&lt;=MAX(DATE(Summary!$C$12,12,31),Summary!$C$15))*('Dvd Calendar'!$AA$1642&gt;Summary!$C$11)=0,"",'Dvd Calendar'!$AA$1642*1000000000+ISNUMBER('Dvd Calendar'!$AA$1643)*100000000+('Dvd Calendar'!$AA$1647='Field Check'!$C$25)*10000000+(N('Dvd Calendar'!$AA$1641)&gt;0)*1000000+9*1000+63))</f>
        <v/>
      </c>
      <c r="BN121" s="41">
        <f>IF(N('Dvd Calendar'!$AB$1642)=0,"",IF(('Dvd Calendar'!$AB$1642&gt;=MIN(DATE(Summary!$C$12,1,1),Summary!$C$11))*('Dvd Calendar'!$AB$1642&lt;=MAX(DATE(Summary!$C$12,12,31),Summary!$C$15))*('Dvd Calendar'!$AB$1642&gt;Summary!$C$11)=0,"",'Dvd Calendar'!$AB$1642*1000000000+ISNUMBER('Dvd Calendar'!$AB$1643)*100000000+('Dvd Calendar'!$AB$1647='Field Check'!$C$25)*10000000+(N('Dvd Calendar'!$AB$1641)&gt;0)*1000000+9*1000+64))</f>
        <v/>
      </c>
      <c r="BO121" s="41">
        <f>IF(N('Dvd Calendar'!$AC$1642)=0,"",IF(('Dvd Calendar'!$AC$1642&gt;=MIN(DATE(Summary!$C$12,1,1),Summary!$C$11))*('Dvd Calendar'!$AC$1642&lt;=MAX(DATE(Summary!$C$12,12,31),Summary!$C$15))*('Dvd Calendar'!$AC$1642&gt;Summary!$C$11)=0,"",'Dvd Calendar'!$AC$1642*1000000000+ISNUMBER('Dvd Calendar'!$AC$1643)*100000000+('Dvd Calendar'!$AC$1647='Field Check'!$C$25)*10000000+(N('Dvd Calendar'!$AC$1641)&gt;0)*1000000+9*1000+65))</f>
        <v/>
      </c>
      <c r="BQ121" s="85">
        <f>IF(C121="","",IF(ISNUMBER('Dvd Calendar'!$E$1636)=FALSE,"",IF((Summary!$C$13="N")*('Dvd Calendar'!$E$1640='Field Check'!$C$25)&gt;0,"",'Dvd Calendar'!$E$1636)))</f>
        <v/>
      </c>
      <c r="BR121" s="85">
        <f>IF(D121="","",IF(ISNUMBER('Dvd Calendar'!$F$1636)=FALSE,"",IF((Summary!$C$13="N")*('Dvd Calendar'!$F$1640='Field Check'!$C$25)&gt;0,"",'Dvd Calendar'!$F$1636)))</f>
        <v/>
      </c>
      <c r="BS121" s="85">
        <f>IF(E121="","",IF(ISNUMBER('Dvd Calendar'!$G$1636)=FALSE,"",IF((Summary!$C$13="N")*('Dvd Calendar'!$G$1640='Field Check'!$C$25)&gt;0,"",'Dvd Calendar'!$G$1636)))</f>
        <v/>
      </c>
      <c r="BT121" s="85">
        <f>IF(F121="","",IF(ISNUMBER('Dvd Calendar'!$H$1636)=FALSE,"",IF((Summary!$C$13="N")*('Dvd Calendar'!$H$1640='Field Check'!$C$25)&gt;0,"",'Dvd Calendar'!$H$1636)))</f>
        <v/>
      </c>
      <c r="BU121" s="85">
        <f>IF(G121="","",IF(ISNUMBER('Dvd Calendar'!$I$1636)=FALSE,"",IF((Summary!$C$13="N")*('Dvd Calendar'!$I$1640='Field Check'!$C$25)&gt;0,"",'Dvd Calendar'!$I$1636)))</f>
        <v/>
      </c>
      <c r="BV121" s="85">
        <f>IF(H121="","",IF(ISNUMBER('Dvd Calendar'!$J$1636)=FALSE,"",IF((Summary!$C$13="N")*('Dvd Calendar'!$J$1640='Field Check'!$C$25)&gt;0,"",'Dvd Calendar'!$J$1636)))</f>
        <v/>
      </c>
      <c r="BW121" s="85">
        <f>IF(I121="","",IF(ISNUMBER('Dvd Calendar'!$K$1636)=FALSE,"",IF((Summary!$C$13="N")*('Dvd Calendar'!$K$1640='Field Check'!$C$25)&gt;0,"",'Dvd Calendar'!$K$1636)))</f>
        <v/>
      </c>
      <c r="BX121" s="85">
        <f>IF(J121="","",IF(ISNUMBER('Dvd Calendar'!$L$1636)=FALSE,"",IF((Summary!$C$13="N")*('Dvd Calendar'!$L$1640='Field Check'!$C$25)&gt;0,"",'Dvd Calendar'!$L$1636)))</f>
        <v/>
      </c>
      <c r="BY121" s="85">
        <f>IF(K121="","",IF(ISNUMBER('Dvd Calendar'!$M$1636)=FALSE,"",IF((Summary!$C$13="N")*('Dvd Calendar'!$M$1640='Field Check'!$C$25)&gt;0,"",'Dvd Calendar'!$M$1636)))</f>
        <v/>
      </c>
      <c r="BZ121" s="85">
        <f>IF(L121="","",IF(ISNUMBER('Dvd Calendar'!$N$1636)=FALSE,"",IF((Summary!$C$13="N")*('Dvd Calendar'!$N$1640='Field Check'!$C$25)&gt;0,"",'Dvd Calendar'!$N$1636)))</f>
        <v/>
      </c>
      <c r="CA121" s="85">
        <f>IF(M121="","",IF(ISNUMBER('Dvd Calendar'!$O$1636)=FALSE,"",IF((Summary!$C$13="N")*('Dvd Calendar'!$O$1640='Field Check'!$C$25)&gt;0,"",'Dvd Calendar'!$O$1636)))</f>
        <v/>
      </c>
      <c r="CB121" s="85">
        <f>IF(N121="","",IF(ISNUMBER('Dvd Calendar'!$P$1636)=FALSE,"",IF((Summary!$C$13="N")*('Dvd Calendar'!$P$1640='Field Check'!$C$25)&gt;0,"",'Dvd Calendar'!$P$1636)))</f>
        <v/>
      </c>
      <c r="CC121" s="85">
        <f>IF(O121="","",IF(ISNUMBER('Dvd Calendar'!$Q$1636)=FALSE,"",IF((Summary!$C$13="N")*('Dvd Calendar'!$Q$1640='Field Check'!$C$25)&gt;0,"",'Dvd Calendar'!$Q$1636)))</f>
        <v/>
      </c>
      <c r="CD121" s="85">
        <f>IF(P121="","",IF(ISNUMBER('Dvd Calendar'!$R$1636)=FALSE,"",IF((Summary!$C$13="N")*('Dvd Calendar'!$R$1640='Field Check'!$C$25)&gt;0,"",'Dvd Calendar'!$R$1636)))</f>
        <v/>
      </c>
      <c r="CE121" s="85">
        <f>IF(Q121="","",IF(ISNUMBER('Dvd Calendar'!$S$1636)=FALSE,"",IF((Summary!$C$13="N")*('Dvd Calendar'!$S$1640='Field Check'!$C$25)&gt;0,"",'Dvd Calendar'!$S$1636)))</f>
        <v/>
      </c>
      <c r="CF121" s="85">
        <f>IF(R121="","",IF(ISNUMBER('Dvd Calendar'!$T$1636)=FALSE,"",IF((Summary!$C$13="N")*('Dvd Calendar'!$T$1640='Field Check'!$C$25)&gt;0,"",'Dvd Calendar'!$T$1636)))</f>
        <v/>
      </c>
      <c r="CG121" s="85">
        <f>IF(S121="","",IF(ISNUMBER('Dvd Calendar'!$U$1636)=FALSE,"",IF((Summary!$C$13="N")*('Dvd Calendar'!$U$1640='Field Check'!$C$25)&gt;0,"",'Dvd Calendar'!$U$1636)))</f>
        <v/>
      </c>
      <c r="CH121" s="85">
        <f>IF(T121="","",IF(ISNUMBER('Dvd Calendar'!$V$1636)=FALSE,"",IF((Summary!$C$13="N")*('Dvd Calendar'!$V$1640='Field Check'!$C$25)&gt;0,"",'Dvd Calendar'!$V$1636)))</f>
        <v/>
      </c>
      <c r="CI121" s="85">
        <f>IF(U121="","",IF(ISNUMBER('Dvd Calendar'!$W$1636)=FALSE,"",IF((Summary!$C$13="N")*('Dvd Calendar'!$W$1640='Field Check'!$C$25)&gt;0,"",'Dvd Calendar'!$W$1636)))</f>
        <v/>
      </c>
      <c r="CJ121" s="85">
        <f>IF(V121="","",IF(ISNUMBER('Dvd Calendar'!$X$1636)=FALSE,"",IF((Summary!$C$13="N")*('Dvd Calendar'!$X$1640='Field Check'!$C$25)&gt;0,"",'Dvd Calendar'!$X$1636)))</f>
        <v/>
      </c>
      <c r="CK121" s="85">
        <f>IF(W121="","",IF(ISNUMBER('Dvd Calendar'!$Y$1636)=FALSE,"",IF((Summary!$C$13="N")*('Dvd Calendar'!$Y$1640='Field Check'!$C$25)&gt;0,"",'Dvd Calendar'!$Y$1636)))</f>
        <v/>
      </c>
      <c r="CL121" s="85">
        <f>IF(X121="","",IF(ISNUMBER('Dvd Calendar'!$Z$1636)=FALSE,"",IF((Summary!$C$13="N")*('Dvd Calendar'!$Z$1640='Field Check'!$C$25)&gt;0,"",'Dvd Calendar'!$Z$1636)))</f>
        <v/>
      </c>
      <c r="CM121" s="85">
        <f>IF(Y121="","",IF(ISNUMBER('Dvd Calendar'!$AA$1636)=FALSE,"",IF((Summary!$C$13="N")*('Dvd Calendar'!$AA$1640='Field Check'!$C$25)&gt;0,"",'Dvd Calendar'!$AA$1636)))</f>
        <v/>
      </c>
      <c r="CN121" s="85">
        <f>IF(Z121="","",IF(ISNUMBER('Dvd Calendar'!$AB$1636)=FALSE,"",IF((Summary!$C$13="N")*('Dvd Calendar'!$AB$1640='Field Check'!$C$25)&gt;0,"",'Dvd Calendar'!$AB$1636)))</f>
        <v/>
      </c>
      <c r="CO121" s="85">
        <f>IF(AA121="","",IF(ISNUMBER('Dvd Calendar'!$AC$1636)=FALSE,"",IF((Summary!$C$13="N")*('Dvd Calendar'!$AC$1640='Field Check'!$C$25)&gt;0,"",'Dvd Calendar'!$AC$1636)))</f>
        <v/>
      </c>
      <c r="CP121" s="85">
        <f>IF(AB121="","",IF(ISNUMBER('Dvd Calendar'!$AD$1636)=FALSE,"",IF((Summary!$C$13="N")*('Dvd Calendar'!$AD$1640='Field Check'!$C$25)&gt;0,"",'Dvd Calendar'!$AD$1636)))</f>
        <v/>
      </c>
      <c r="CQ121" s="85">
        <f>IF(AC121="","",IF(ISNUMBER('Dvd Calendar'!$AE$1636)=FALSE,"",IF((Summary!$C$13="N")*('Dvd Calendar'!$AE$1640='Field Check'!$C$25)&gt;0,"",'Dvd Calendar'!$AE$1636)))</f>
        <v/>
      </c>
      <c r="CR121" s="85">
        <f>IF(AD121="","",IF(ISNUMBER('Dvd Calendar'!$AF$1636)=FALSE,"",IF((Summary!$C$13="N")*('Dvd Calendar'!$AF$1640='Field Check'!$C$25)&gt;0,"",'Dvd Calendar'!$AF$1636)))</f>
        <v/>
      </c>
      <c r="CS121" s="85">
        <f>IF(AE121="","",IF(ISNUMBER('Dvd Calendar'!$AG$1636)=FALSE,"",IF((Summary!$C$13="N")*('Dvd Calendar'!$AG$1640='Field Check'!$C$25)&gt;0,"",'Dvd Calendar'!$AG$1636)))</f>
        <v/>
      </c>
      <c r="CT121" s="85">
        <f>IF(AF121="","",IF(ISNUMBER('Dvd Calendar'!$AH$1636)=FALSE,"",IF((Summary!$C$13="N")*('Dvd Calendar'!$AH$1640='Field Check'!$C$25)&gt;0,"",'Dvd Calendar'!$AH$1636)))</f>
        <v/>
      </c>
      <c r="CU121" s="85">
        <f>IF(AG121="","",IF(ISNUMBER('Dvd Calendar'!$AI$1636)=FALSE,"",IF((Summary!$C$13="N")*('Dvd Calendar'!$AI$1640='Field Check'!$C$25)&gt;0,"",'Dvd Calendar'!$AI$1636)))</f>
        <v/>
      </c>
      <c r="CV121" s="85">
        <f>IF(AH121="","",IF(ISNUMBER('Dvd Calendar'!$AJ$1636)=FALSE,"",IF((Summary!$C$13="N")*('Dvd Calendar'!$AJ$1640='Field Check'!$C$25)&gt;0,"",'Dvd Calendar'!$AJ$1636)))</f>
        <v/>
      </c>
      <c r="CW121" s="85">
        <f>IF(AI121="","",IF(ISNUMBER('Dvd Calendar'!$AK$1636)=FALSE,"",IF((Summary!$C$13="N")*('Dvd Calendar'!$AK$1640='Field Check'!$C$25)&gt;0,"",'Dvd Calendar'!$AK$1636)))</f>
        <v/>
      </c>
      <c r="CX121" s="85">
        <f>IF(AJ121="","",IF(ISNUMBER('Dvd Calendar'!$AL$1636)=FALSE,"",IF((Summary!$C$13="N")*('Dvd Calendar'!$AL$1640='Field Check'!$C$25)&gt;0,"",'Dvd Calendar'!$AL$1636)))</f>
        <v/>
      </c>
      <c r="CY121" s="85">
        <f>IF(AK121="","",IF(ISNUMBER('Dvd Calendar'!$AM$1636)=FALSE,"",IF((Summary!$C$13="N")*('Dvd Calendar'!$AM$1640='Field Check'!$C$25)&gt;0,"",'Dvd Calendar'!$AM$1636)))</f>
        <v/>
      </c>
      <c r="CZ121" s="85">
        <f>IF(AL121="","",IF(ISNUMBER('Dvd Calendar'!$AN$1636)=FALSE,"",IF((Summary!$C$13="N")*('Dvd Calendar'!$AN$1640='Field Check'!$C$25)&gt;0,"",'Dvd Calendar'!$AN$1636)))</f>
        <v/>
      </c>
      <c r="DA121" s="85">
        <f>IF(AM121="","",IF(ISNUMBER('Dvd Calendar'!$AO$1636)=FALSE,"",IF((Summary!$C$13="N")*('Dvd Calendar'!$AO$1640='Field Check'!$C$25)&gt;0,"",'Dvd Calendar'!$AO$1636)))</f>
        <v/>
      </c>
      <c r="DB121" s="85">
        <f>IF(AN121="","",IF(ISNUMBER('Dvd Calendar'!$AP$1636)=FALSE,"",IF((Summary!$C$13="N")*('Dvd Calendar'!$AP$1640='Field Check'!$C$25)&gt;0,"",'Dvd Calendar'!$AP$1636)))</f>
        <v/>
      </c>
      <c r="DC121" s="85">
        <f>IF(AO121="","",IF(ISNUMBER('Dvd Calendar'!$AQ$1636)=FALSE,"",IF((Summary!$C$13="N")*('Dvd Calendar'!$AQ$1640='Field Check'!$C$25)&gt;0,"",'Dvd Calendar'!$AQ$1636)))</f>
        <v/>
      </c>
      <c r="DD121" s="85">
        <f>IF(AP121="","",IF(ISNUMBER('Dvd Calendar'!$AR$1636)=FALSE,"",IF((Summary!$C$13="N")*('Dvd Calendar'!$AR$1640='Field Check'!$C$25)&gt;0,"",'Dvd Calendar'!$AR$1636)))</f>
        <v/>
      </c>
      <c r="DE121" s="85">
        <f>IF(AQ121="","",IF(ISNUMBER('Dvd Calendar'!$E$1643)=FALSE,"",IF((Summary!$C$13="N")*('Dvd Calendar'!$E$1647='Field Check'!$C$25)&gt;0,"",'Dvd Calendar'!$E$1643)))</f>
        <v/>
      </c>
      <c r="DF121" s="85">
        <f>IF(AR121="","",IF(ISNUMBER('Dvd Calendar'!$F$1643)=FALSE,"",IF((Summary!$C$13="N")*('Dvd Calendar'!$F$1647='Field Check'!$C$25)&gt;0,"",'Dvd Calendar'!$F$1643)))</f>
        <v/>
      </c>
      <c r="DG121" s="85">
        <f>IF(AS121="","",IF(ISNUMBER('Dvd Calendar'!$G$1643)=FALSE,"",IF((Summary!$C$13="N")*('Dvd Calendar'!$G$1647='Field Check'!$C$25)&gt;0,"",'Dvd Calendar'!$G$1643)))</f>
        <v/>
      </c>
      <c r="DH121" s="85">
        <f>IF(AT121="","",IF(ISNUMBER('Dvd Calendar'!$H$1643)=FALSE,"",IF((Summary!$C$13="N")*('Dvd Calendar'!$H$1647='Field Check'!$C$25)&gt;0,"",'Dvd Calendar'!$H$1643)))</f>
        <v/>
      </c>
      <c r="DI121" s="85">
        <f>IF(AU121="","",IF(ISNUMBER('Dvd Calendar'!$I$1643)=FALSE,"",IF((Summary!$C$13="N")*('Dvd Calendar'!$I$1647='Field Check'!$C$25)&gt;0,"",'Dvd Calendar'!$I$1643)))</f>
        <v/>
      </c>
      <c r="DJ121" s="85">
        <f>IF(AV121="","",IF(ISNUMBER('Dvd Calendar'!$J$1643)=FALSE,"",IF((Summary!$C$13="N")*('Dvd Calendar'!$J$1647='Field Check'!$C$25)&gt;0,"",'Dvd Calendar'!$J$1643)))</f>
        <v/>
      </c>
      <c r="DK121" s="85">
        <f>IF(AW121="","",IF(ISNUMBER('Dvd Calendar'!$K$1643)=FALSE,"",IF((Summary!$C$13="N")*('Dvd Calendar'!$K$1647='Field Check'!$C$25)&gt;0,"",'Dvd Calendar'!$K$1643)))</f>
        <v/>
      </c>
      <c r="DL121" s="85">
        <f>IF(AX121="","",IF(ISNUMBER('Dvd Calendar'!$L$1643)=FALSE,"",IF((Summary!$C$13="N")*('Dvd Calendar'!$L$1647='Field Check'!$C$25)&gt;0,"",'Dvd Calendar'!$L$1643)))</f>
        <v/>
      </c>
      <c r="DM121" s="85">
        <f>IF(AY121="","",IF(ISNUMBER('Dvd Calendar'!$M$1643)=FALSE,"",IF((Summary!$C$13="N")*('Dvd Calendar'!$M$1647='Field Check'!$C$25)&gt;0,"",'Dvd Calendar'!$M$1643)))</f>
        <v/>
      </c>
      <c r="DN121" s="85">
        <f>IF(AZ121="","",IF(ISNUMBER('Dvd Calendar'!$N$1643)=FALSE,"",IF((Summary!$C$13="N")*('Dvd Calendar'!$N$1647='Field Check'!$C$25)&gt;0,"",'Dvd Calendar'!$N$1643)))</f>
        <v/>
      </c>
      <c r="DO121" s="85">
        <f>IF(BA121="","",IF(ISNUMBER('Dvd Calendar'!$O$1643)=FALSE,"",IF((Summary!$C$13="N")*('Dvd Calendar'!$O$1647='Field Check'!$C$25)&gt;0,"",'Dvd Calendar'!$O$1643)))</f>
        <v/>
      </c>
      <c r="DP121" s="85">
        <f>IF(BB121="","",IF(ISNUMBER('Dvd Calendar'!$P$1643)=FALSE,"",IF((Summary!$C$13="N")*('Dvd Calendar'!$P$1647='Field Check'!$C$25)&gt;0,"",'Dvd Calendar'!$P$1643)))</f>
        <v/>
      </c>
      <c r="DQ121" s="85">
        <f>IF(BC121="","",IF(ISNUMBER('Dvd Calendar'!$Q$1643)=FALSE,"",IF((Summary!$C$13="N")*('Dvd Calendar'!$Q$1647='Field Check'!$C$25)&gt;0,"",'Dvd Calendar'!$Q$1643)))</f>
        <v/>
      </c>
      <c r="DR121" s="85">
        <f>IF(BD121="","",IF(ISNUMBER('Dvd Calendar'!$R$1643)=FALSE,"",IF((Summary!$C$13="N")*('Dvd Calendar'!$R$1647='Field Check'!$C$25)&gt;0,"",'Dvd Calendar'!$R$1643)))</f>
        <v/>
      </c>
      <c r="DS121" s="85">
        <f>IF(BE121="","",IF(ISNUMBER('Dvd Calendar'!$S$1643)=FALSE,"",IF((Summary!$C$13="N")*('Dvd Calendar'!$S$1647='Field Check'!$C$25)&gt;0,"",'Dvd Calendar'!$S$1643)))</f>
        <v/>
      </c>
      <c r="DT121" s="85">
        <f>IF(BF121="","",IF(ISNUMBER('Dvd Calendar'!$T$1643)=FALSE,"",IF((Summary!$C$13="N")*('Dvd Calendar'!$T$1647='Field Check'!$C$25)&gt;0,"",'Dvd Calendar'!$T$1643)))</f>
        <v/>
      </c>
      <c r="DU121" s="85">
        <f>IF(BG121="","",IF(ISNUMBER('Dvd Calendar'!$U$1643)=FALSE,"",IF((Summary!$C$13="N")*('Dvd Calendar'!$U$1647='Field Check'!$C$25)&gt;0,"",'Dvd Calendar'!$U$1643)))</f>
        <v/>
      </c>
      <c r="DV121" s="85">
        <f>IF(BH121="","",IF(ISNUMBER('Dvd Calendar'!$V$1643)=FALSE,"",IF((Summary!$C$13="N")*('Dvd Calendar'!$V$1647='Field Check'!$C$25)&gt;0,"",'Dvd Calendar'!$V$1643)))</f>
        <v/>
      </c>
      <c r="DW121" s="85">
        <f>IF(BI121="","",IF(ISNUMBER('Dvd Calendar'!$W$1643)=FALSE,"",IF((Summary!$C$13="N")*('Dvd Calendar'!$W$1647='Field Check'!$C$25)&gt;0,"",'Dvd Calendar'!$W$1643)))</f>
        <v/>
      </c>
      <c r="DX121" s="85">
        <f>IF(BJ121="","",IF(ISNUMBER('Dvd Calendar'!$X$1643)=FALSE,"",IF((Summary!$C$13="N")*('Dvd Calendar'!$X$1647='Field Check'!$C$25)&gt;0,"",'Dvd Calendar'!$X$1643)))</f>
        <v/>
      </c>
      <c r="DY121" s="85">
        <f>IF(BK121="","",IF(ISNUMBER('Dvd Calendar'!$Y$1643)=FALSE,"",IF((Summary!$C$13="N")*('Dvd Calendar'!$Y$1647='Field Check'!$C$25)&gt;0,"",'Dvd Calendar'!$Y$1643)))</f>
        <v/>
      </c>
      <c r="DZ121" s="85">
        <f>IF(BL121="","",IF(ISNUMBER('Dvd Calendar'!$Z$1643)=FALSE,"",IF((Summary!$C$13="N")*('Dvd Calendar'!$Z$1647='Field Check'!$C$25)&gt;0,"",'Dvd Calendar'!$Z$1643)))</f>
        <v/>
      </c>
      <c r="EA121" s="85">
        <f>IF(BM121="","",IF(ISNUMBER('Dvd Calendar'!$AA$1643)=FALSE,"",IF((Summary!$C$13="N")*('Dvd Calendar'!$AA$1647='Field Check'!$C$25)&gt;0,"",'Dvd Calendar'!$AA$1643)))</f>
        <v/>
      </c>
      <c r="EB121" s="85">
        <f>IF(BN121="","",IF(ISNUMBER('Dvd Calendar'!$AB$1643)=FALSE,"",IF((Summary!$C$13="N")*('Dvd Calendar'!$AB$1647='Field Check'!$C$25)&gt;0,"",'Dvd Calendar'!$AB$1643)))</f>
        <v/>
      </c>
      <c r="EC121" s="85">
        <f>IF(BO121="","",IF(ISNUMBER('Dvd Calendar'!$AC$1643)=FALSE,"",IF((Summary!$C$13="N")*('Dvd Calendar'!$AC$1647='Field Check'!$C$25)&gt;0,"",'Dvd Calendar'!$AC$1643)))</f>
        <v/>
      </c>
      <c r="EE121" s="85">
        <f>IF(BQ121="","",IFERROR(BQ121*HSTECH!$B$15*HSTECH!$G$15/HSTECH!$B$3,""))</f>
        <v/>
      </c>
      <c r="EF121" s="85">
        <f>IF(BR121="","",IFERROR(BR121*HSTECH!$B$15*HSTECH!$G$15/HSTECH!$B$3,""))</f>
        <v/>
      </c>
      <c r="EG121" s="85">
        <f>IF(BS121="","",IFERROR(BS121*HSTECH!$B$15*HSTECH!$G$15/HSTECH!$B$3,""))</f>
        <v/>
      </c>
      <c r="EH121" s="85">
        <f>IF(BT121="","",IFERROR(BT121*HSTECH!$B$15*HSTECH!$G$15/HSTECH!$B$3,""))</f>
        <v/>
      </c>
      <c r="EI121" s="85">
        <f>IF(BU121="","",IFERROR(BU121*HSTECH!$B$15*HSTECH!$G$15/HSTECH!$B$3,""))</f>
        <v/>
      </c>
      <c r="EJ121" s="85">
        <f>IF(BV121="","",IFERROR(BV121*HSTECH!$B$15*HSTECH!$G$15/HSTECH!$B$3,""))</f>
        <v/>
      </c>
      <c r="EK121" s="85">
        <f>IF(BW121="","",IFERROR(BW121*HSTECH!$B$15*HSTECH!$G$15/HSTECH!$B$3,""))</f>
        <v/>
      </c>
      <c r="EL121" s="85">
        <f>IF(BX121="","",IFERROR(BX121*HSTECH!$B$15*HSTECH!$G$15/HSTECH!$B$3,""))</f>
        <v/>
      </c>
      <c r="EM121" s="85">
        <f>IF(BY121="","",IFERROR(BY121*HSTECH!$B$15*HSTECH!$G$15/HSTECH!$B$3,""))</f>
        <v/>
      </c>
      <c r="EN121" s="85">
        <f>IF(BZ121="","",IFERROR(BZ121*HSTECH!$B$15*HSTECH!$G$15/HSTECH!$B$3,""))</f>
        <v/>
      </c>
      <c r="EO121" s="85">
        <f>IF(CA121="","",IFERROR(CA121*HSTECH!$B$15*HSTECH!$G$15/HSTECH!$B$3,""))</f>
        <v/>
      </c>
      <c r="EP121" s="85">
        <f>IF(CB121="","",IFERROR(CB121*HSTECH!$B$15*HSTECH!$G$15/HSTECH!$B$3,""))</f>
        <v/>
      </c>
      <c r="EQ121" s="85">
        <f>IF(CC121="","",IFERROR(CC121*HSTECH!$B$15*HSTECH!$G$15/HSTECH!$B$3,""))</f>
        <v/>
      </c>
      <c r="ER121" s="85">
        <f>IF(CD121="","",IFERROR(CD121*HSTECH!$B$15*HSTECH!$G$15/HSTECH!$B$3,""))</f>
        <v/>
      </c>
      <c r="ES121" s="85">
        <f>IF(CE121="","",IFERROR(CE121*HSTECH!$B$15*HSTECH!$G$15/HSTECH!$B$3,""))</f>
        <v/>
      </c>
      <c r="ET121" s="85">
        <f>IF(CF121="","",IFERROR(CF121*HSTECH!$B$15*HSTECH!$G$15/HSTECH!$B$3,""))</f>
        <v/>
      </c>
      <c r="EU121" s="85">
        <f>IF(CG121="","",IFERROR(CG121*HSTECH!$B$15*HSTECH!$G$15/HSTECH!$B$3,""))</f>
        <v/>
      </c>
      <c r="EV121" s="85">
        <f>IF(CH121="","",IFERROR(CH121*HSTECH!$B$15*HSTECH!$G$15/HSTECH!$B$3,""))</f>
        <v/>
      </c>
      <c r="EW121" s="85">
        <f>IF(CI121="","",IFERROR(CI121*HSTECH!$B$15*HSTECH!$G$15/HSTECH!$B$3,""))</f>
        <v/>
      </c>
      <c r="EX121" s="85">
        <f>IF(CJ121="","",IFERROR(CJ121*HSTECH!$B$15*HSTECH!$G$15/HSTECH!$B$3,""))</f>
        <v/>
      </c>
      <c r="EY121" s="85">
        <f>IF(CK121="","",IFERROR(CK121*HSTECH!$B$15*HSTECH!$G$15/HSTECH!$B$3,""))</f>
        <v/>
      </c>
      <c r="EZ121" s="85">
        <f>IF(CL121="","",IFERROR(CL121*HSTECH!$B$15*HSTECH!$G$15/HSTECH!$B$3,""))</f>
        <v/>
      </c>
      <c r="FA121" s="85">
        <f>IF(CM121="","",IFERROR(CM121*HSTECH!$B$15*HSTECH!$G$15/HSTECH!$B$3,""))</f>
        <v/>
      </c>
      <c r="FB121" s="85">
        <f>IF(CN121="","",IFERROR(CN121*HSTECH!$B$15*HSTECH!$G$15/HSTECH!$B$3,""))</f>
        <v/>
      </c>
      <c r="FC121" s="85">
        <f>IF(CO121="","",IFERROR(CO121*HSTECH!$B$15*HSTECH!$G$15/HSTECH!$B$3,""))</f>
        <v/>
      </c>
      <c r="FD121" s="85">
        <f>IF(CP121="","",IFERROR(CP121*HSTECH!$B$15*HSTECH!$G$15/HSTECH!$B$3,""))</f>
        <v/>
      </c>
      <c r="FE121" s="85">
        <f>IF(CQ121="","",IFERROR(CQ121*HSTECH!$B$15*HSTECH!$G$15/HSTECH!$B$3,""))</f>
        <v/>
      </c>
      <c r="FF121" s="85">
        <f>IF(CR121="","",IFERROR(CR121*HSTECH!$B$15*HSTECH!$G$15/HSTECH!$B$3,""))</f>
        <v/>
      </c>
      <c r="FG121" s="85">
        <f>IF(CS121="","",IFERROR(CS121*HSTECH!$B$15*HSTECH!$G$15/HSTECH!$B$3,""))</f>
        <v/>
      </c>
      <c r="FH121" s="85">
        <f>IF(CT121="","",IFERROR(CT121*HSTECH!$B$15*HSTECH!$G$15/HSTECH!$B$3,""))</f>
        <v/>
      </c>
      <c r="FI121" s="85">
        <f>IF(CU121="","",IFERROR(CU121*HSTECH!$B$15*HSTECH!$G$15/HSTECH!$B$3,""))</f>
        <v/>
      </c>
      <c r="FJ121" s="85">
        <f>IF(CV121="","",IFERROR(CV121*HSTECH!$B$15*HSTECH!$G$15/HSTECH!$B$3,""))</f>
        <v/>
      </c>
      <c r="FK121" s="85">
        <f>IF(CW121="","",IFERROR(CW121*HSTECH!$B$15*HSTECH!$G$15/HSTECH!$B$3,""))</f>
        <v/>
      </c>
      <c r="FL121" s="85">
        <f>IF(CX121="","",IFERROR(CX121*HSTECH!$B$15*HSTECH!$G$15/HSTECH!$B$3,""))</f>
        <v/>
      </c>
      <c r="FM121" s="85">
        <f>IF(CY121="","",IFERROR(CY121*HSTECH!$B$15*HSTECH!$G$15/HSTECH!$B$3,""))</f>
        <v/>
      </c>
      <c r="FN121" s="85">
        <f>IF(CZ121="","",IFERROR(CZ121*HSTECH!$B$15*HSTECH!$G$15/HSTECH!$B$3,""))</f>
        <v/>
      </c>
      <c r="FO121" s="85">
        <f>IF(DA121="","",IFERROR(DA121*HSTECH!$B$15*HSTECH!$G$15/HSTECH!$B$3,""))</f>
        <v/>
      </c>
      <c r="FP121" s="85">
        <f>IF(DB121="","",IFERROR(DB121*HSTECH!$B$15*HSTECH!$G$15/HSTECH!$B$3,""))</f>
        <v/>
      </c>
      <c r="FQ121" s="85">
        <f>IF(DC121="","",IFERROR(DC121*HSTECH!$B$15*HSTECH!$G$15/HSTECH!$B$3,""))</f>
        <v/>
      </c>
      <c r="FR121" s="85">
        <f>IF(DD121="","",IFERROR(DD121*HSTECH!$B$15*HSTECH!$G$15/HSTECH!$B$3,""))</f>
        <v/>
      </c>
      <c r="FS121" s="85">
        <f>IF(DE121="","",IFERROR(DE121*HSTECH!$B$15*HSTECH!$G$15/HSTECH!$B$3,""))</f>
        <v/>
      </c>
      <c r="FT121" s="85">
        <f>IF(DF121="","",IFERROR(DF121*HSTECH!$B$15*HSTECH!$G$15/HSTECH!$B$3,""))</f>
        <v/>
      </c>
      <c r="FU121" s="85">
        <f>IF(DG121="","",IFERROR(DG121*HSTECH!$B$15*HSTECH!$G$15/HSTECH!$B$3,""))</f>
        <v/>
      </c>
      <c r="FV121" s="85">
        <f>IF(DH121="","",IFERROR(DH121*HSTECH!$B$15*HSTECH!$G$15/HSTECH!$B$3,""))</f>
        <v/>
      </c>
      <c r="FW121" s="85">
        <f>IF(DI121="","",IFERROR(DI121*HSTECH!$B$15*HSTECH!$G$15/HSTECH!$B$3,""))</f>
        <v/>
      </c>
      <c r="FX121" s="85">
        <f>IF(DJ121="","",IFERROR(DJ121*HSTECH!$B$15*HSTECH!$G$15/HSTECH!$B$3,""))</f>
        <v/>
      </c>
      <c r="FY121" s="85">
        <f>IF(DK121="","",IFERROR(DK121*HSTECH!$B$15*HSTECH!$G$15/HSTECH!$B$3,""))</f>
        <v/>
      </c>
      <c r="FZ121" s="85">
        <f>IF(DL121="","",IFERROR(DL121*HSTECH!$B$15*HSTECH!$G$15/HSTECH!$B$3,""))</f>
        <v/>
      </c>
      <c r="GA121" s="85">
        <f>IF(DM121="","",IFERROR(DM121*HSTECH!$B$15*HSTECH!$G$15/HSTECH!$B$3,""))</f>
        <v/>
      </c>
      <c r="GB121" s="85">
        <f>IF(DN121="","",IFERROR(DN121*HSTECH!$B$15*HSTECH!$G$15/HSTECH!$B$3,""))</f>
        <v/>
      </c>
      <c r="GC121" s="85">
        <f>IF(DO121="","",IFERROR(DO121*HSTECH!$B$15*HSTECH!$G$15/HSTECH!$B$3,""))</f>
        <v/>
      </c>
      <c r="GD121" s="85">
        <f>IF(DP121="","",IFERROR(DP121*HSTECH!$B$15*HSTECH!$G$15/HSTECH!$B$3,""))</f>
        <v/>
      </c>
      <c r="GE121" s="85">
        <f>IF(DQ121="","",IFERROR(DQ121*HSTECH!$B$15*HSTECH!$G$15/HSTECH!$B$3,""))</f>
        <v/>
      </c>
      <c r="GF121" s="85">
        <f>IF(DR121="","",IFERROR(DR121*HSTECH!$B$15*HSTECH!$G$15/HSTECH!$B$3,""))</f>
        <v/>
      </c>
      <c r="GG121" s="85">
        <f>IF(DS121="","",IFERROR(DS121*HSTECH!$B$15*HSTECH!$G$15/HSTECH!$B$3,""))</f>
        <v/>
      </c>
      <c r="GH121" s="85">
        <f>IF(DT121="","",IFERROR(DT121*HSTECH!$B$15*HSTECH!$G$15/HSTECH!$B$3,""))</f>
        <v/>
      </c>
      <c r="GI121" s="85">
        <f>IF(DU121="","",IFERROR(DU121*HSTECH!$B$15*HSTECH!$G$15/HSTECH!$B$3,""))</f>
        <v/>
      </c>
      <c r="GJ121" s="85">
        <f>IF(DV121="","",IFERROR(DV121*HSTECH!$B$15*HSTECH!$G$15/HSTECH!$B$3,""))</f>
        <v/>
      </c>
      <c r="GK121" s="85">
        <f>IF(DW121="","",IFERROR(DW121*HSTECH!$B$15*HSTECH!$G$15/HSTECH!$B$3,""))</f>
        <v/>
      </c>
      <c r="GL121" s="85">
        <f>IF(DX121="","",IFERROR(DX121*HSTECH!$B$15*HSTECH!$G$15/HSTECH!$B$3,""))</f>
        <v/>
      </c>
      <c r="GM121" s="85">
        <f>IF(DY121="","",IFERROR(DY121*HSTECH!$B$15*HSTECH!$G$15/HSTECH!$B$3,""))</f>
        <v/>
      </c>
      <c r="GN121" s="85">
        <f>IF(DZ121="","",IFERROR(DZ121*HSTECH!$B$15*HSTECH!$G$15/HSTECH!$B$3,""))</f>
        <v/>
      </c>
      <c r="GO121" s="85">
        <f>IF(EA121="","",IFERROR(EA121*HSTECH!$B$15*HSTECH!$G$15/HSTECH!$B$3,""))</f>
        <v/>
      </c>
      <c r="GP121" s="85">
        <f>IF(EB121="","",IFERROR(EB121*HSTECH!$B$15*HSTECH!$G$15/HSTECH!$B$3,""))</f>
        <v/>
      </c>
      <c r="GQ121" s="85">
        <f>IF(EC121="","",IFERROR(EC121*HSTECH!$B$15*HSTECH!$G$15/HSTECH!$B$3,""))</f>
        <v/>
      </c>
    </row>
    <row r="122">
      <c r="B122" s="2">
        <f>IF(HSTECH!$C$16="","",HSTECH!$C$16)</f>
        <v/>
      </c>
      <c r="C122" s="41">
        <f>IF(N('Dvd Calendar'!$E$1650)=0,"",IF(('Dvd Calendar'!$E$1650&gt;=MIN(DATE(Summary!$C$12,1,1),Summary!$C$11))*('Dvd Calendar'!$E$1650&lt;=MAX(DATE(Summary!$C$12,12,31),Summary!$C$15))*('Dvd Calendar'!$E$1650&lt;=Summary!$C$11)=0,"",'Dvd Calendar'!$E$1650*1000000000+ISNUMBER('Dvd Calendar'!$E$1651)*100000000+('Dvd Calendar'!$E$1655='Field Check'!$C$25)*10000000+(N('Dvd Calendar'!$E$1649)&gt;0)*1000000+10*1000+1))</f>
        <v/>
      </c>
      <c r="D122" s="41">
        <f>IF(N('Dvd Calendar'!$F$1650)=0,"",IF(('Dvd Calendar'!$F$1650&gt;=MIN(DATE(Summary!$C$12,1,1),Summary!$C$11))*('Dvd Calendar'!$F$1650&lt;=MAX(DATE(Summary!$C$12,12,31),Summary!$C$15))*('Dvd Calendar'!$F$1650&lt;=Summary!$C$11)=0,"",'Dvd Calendar'!$F$1650*1000000000+ISNUMBER('Dvd Calendar'!$F$1651)*100000000+('Dvd Calendar'!$F$1655='Field Check'!$C$25)*10000000+(N('Dvd Calendar'!$F$1649)&gt;0)*1000000+10*1000+2))</f>
        <v/>
      </c>
      <c r="E122" s="41">
        <f>IF(N('Dvd Calendar'!$G$1650)=0,"",IF(('Dvd Calendar'!$G$1650&gt;=MIN(DATE(Summary!$C$12,1,1),Summary!$C$11))*('Dvd Calendar'!$G$1650&lt;=MAX(DATE(Summary!$C$12,12,31),Summary!$C$15))*('Dvd Calendar'!$G$1650&lt;=Summary!$C$11)=0,"",'Dvd Calendar'!$G$1650*1000000000+ISNUMBER('Dvd Calendar'!$G$1651)*100000000+('Dvd Calendar'!$G$1655='Field Check'!$C$25)*10000000+(N('Dvd Calendar'!$G$1649)&gt;0)*1000000+10*1000+3))</f>
        <v/>
      </c>
      <c r="F122" s="41">
        <f>IF(N('Dvd Calendar'!$H$1650)=0,"",IF(('Dvd Calendar'!$H$1650&gt;=MIN(DATE(Summary!$C$12,1,1),Summary!$C$11))*('Dvd Calendar'!$H$1650&lt;=MAX(DATE(Summary!$C$12,12,31),Summary!$C$15))*('Dvd Calendar'!$H$1650&lt;=Summary!$C$11)=0,"",'Dvd Calendar'!$H$1650*1000000000+ISNUMBER('Dvd Calendar'!$H$1651)*100000000+('Dvd Calendar'!$H$1655='Field Check'!$C$25)*10000000+(N('Dvd Calendar'!$H$1649)&gt;0)*1000000+10*1000+4))</f>
        <v/>
      </c>
      <c r="G122" s="41">
        <f>IF(N('Dvd Calendar'!$I$1650)=0,"",IF(('Dvd Calendar'!$I$1650&gt;=MIN(DATE(Summary!$C$12,1,1),Summary!$C$11))*('Dvd Calendar'!$I$1650&lt;=MAX(DATE(Summary!$C$12,12,31),Summary!$C$15))*('Dvd Calendar'!$I$1650&lt;=Summary!$C$11)=0,"",'Dvd Calendar'!$I$1650*1000000000+ISNUMBER('Dvd Calendar'!$I$1651)*100000000+('Dvd Calendar'!$I$1655='Field Check'!$C$25)*10000000+(N('Dvd Calendar'!$I$1649)&gt;0)*1000000+10*1000+5))</f>
        <v/>
      </c>
      <c r="H122" s="41">
        <f>IF(N('Dvd Calendar'!$J$1650)=0,"",IF(('Dvd Calendar'!$J$1650&gt;=MIN(DATE(Summary!$C$12,1,1),Summary!$C$11))*('Dvd Calendar'!$J$1650&lt;=MAX(DATE(Summary!$C$12,12,31),Summary!$C$15))*('Dvd Calendar'!$J$1650&lt;=Summary!$C$11)=0,"",'Dvd Calendar'!$J$1650*1000000000+ISNUMBER('Dvd Calendar'!$J$1651)*100000000+('Dvd Calendar'!$J$1655='Field Check'!$C$25)*10000000+(N('Dvd Calendar'!$J$1649)&gt;0)*1000000+10*1000+6))</f>
        <v/>
      </c>
      <c r="I122" s="41">
        <f>IF(N('Dvd Calendar'!$K$1650)=0,"",IF(('Dvd Calendar'!$K$1650&gt;=MIN(DATE(Summary!$C$12,1,1),Summary!$C$11))*('Dvd Calendar'!$K$1650&lt;=MAX(DATE(Summary!$C$12,12,31),Summary!$C$15))*('Dvd Calendar'!$K$1650&lt;=Summary!$C$11)=0,"",'Dvd Calendar'!$K$1650*1000000000+ISNUMBER('Dvd Calendar'!$K$1651)*100000000+('Dvd Calendar'!$K$1655='Field Check'!$C$25)*10000000+(N('Dvd Calendar'!$K$1649)&gt;0)*1000000+10*1000+7))</f>
        <v/>
      </c>
      <c r="J122" s="41">
        <f>IF(N('Dvd Calendar'!$L$1650)=0,"",IF(('Dvd Calendar'!$L$1650&gt;=MIN(DATE(Summary!$C$12,1,1),Summary!$C$11))*('Dvd Calendar'!$L$1650&lt;=MAX(DATE(Summary!$C$12,12,31),Summary!$C$15))*('Dvd Calendar'!$L$1650&lt;=Summary!$C$11)=0,"",'Dvd Calendar'!$L$1650*1000000000+ISNUMBER('Dvd Calendar'!$L$1651)*100000000+('Dvd Calendar'!$L$1655='Field Check'!$C$25)*10000000+(N('Dvd Calendar'!$L$1649)&gt;0)*1000000+10*1000+8))</f>
        <v/>
      </c>
      <c r="K122" s="41">
        <f>IF(N('Dvd Calendar'!$M$1650)=0,"",IF(('Dvd Calendar'!$M$1650&gt;=MIN(DATE(Summary!$C$12,1,1),Summary!$C$11))*('Dvd Calendar'!$M$1650&lt;=MAX(DATE(Summary!$C$12,12,31),Summary!$C$15))*('Dvd Calendar'!$M$1650&lt;=Summary!$C$11)=0,"",'Dvd Calendar'!$M$1650*1000000000+ISNUMBER('Dvd Calendar'!$M$1651)*100000000+('Dvd Calendar'!$M$1655='Field Check'!$C$25)*10000000+(N('Dvd Calendar'!$M$1649)&gt;0)*1000000+10*1000+9))</f>
        <v/>
      </c>
      <c r="L122" s="41">
        <f>IF(N('Dvd Calendar'!$N$1650)=0,"",IF(('Dvd Calendar'!$N$1650&gt;=MIN(DATE(Summary!$C$12,1,1),Summary!$C$11))*('Dvd Calendar'!$N$1650&lt;=MAX(DATE(Summary!$C$12,12,31),Summary!$C$15))*('Dvd Calendar'!$N$1650&lt;=Summary!$C$11)=0,"",'Dvd Calendar'!$N$1650*1000000000+ISNUMBER('Dvd Calendar'!$N$1651)*100000000+('Dvd Calendar'!$N$1655='Field Check'!$C$25)*10000000+(N('Dvd Calendar'!$N$1649)&gt;0)*1000000+10*1000+10))</f>
        <v/>
      </c>
      <c r="M122" s="41">
        <f>IF(N('Dvd Calendar'!$O$1650)=0,"",IF(('Dvd Calendar'!$O$1650&gt;=MIN(DATE(Summary!$C$12,1,1),Summary!$C$11))*('Dvd Calendar'!$O$1650&lt;=MAX(DATE(Summary!$C$12,12,31),Summary!$C$15))*('Dvd Calendar'!$O$1650&lt;=Summary!$C$11)=0,"",'Dvd Calendar'!$O$1650*1000000000+ISNUMBER('Dvd Calendar'!$O$1651)*100000000+('Dvd Calendar'!$O$1655='Field Check'!$C$25)*10000000+(N('Dvd Calendar'!$O$1649)&gt;0)*1000000+10*1000+11))</f>
        <v/>
      </c>
      <c r="N122" s="41">
        <f>IF(N('Dvd Calendar'!$P$1650)=0,"",IF(('Dvd Calendar'!$P$1650&gt;=MIN(DATE(Summary!$C$12,1,1),Summary!$C$11))*('Dvd Calendar'!$P$1650&lt;=MAX(DATE(Summary!$C$12,12,31),Summary!$C$15))*('Dvd Calendar'!$P$1650&lt;=Summary!$C$11)=0,"",'Dvd Calendar'!$P$1650*1000000000+ISNUMBER('Dvd Calendar'!$P$1651)*100000000+('Dvd Calendar'!$P$1655='Field Check'!$C$25)*10000000+(N('Dvd Calendar'!$P$1649)&gt;0)*1000000+10*1000+12))</f>
        <v/>
      </c>
      <c r="O122" s="41">
        <f>IF(N('Dvd Calendar'!$Q$1650)=0,"",IF(('Dvd Calendar'!$Q$1650&gt;=MIN(DATE(Summary!$C$12,1,1),Summary!$C$11))*('Dvd Calendar'!$Q$1650&lt;=MAX(DATE(Summary!$C$12,12,31),Summary!$C$15))*('Dvd Calendar'!$Q$1650&lt;=Summary!$C$11)=0,"",'Dvd Calendar'!$Q$1650*1000000000+ISNUMBER('Dvd Calendar'!$Q$1651)*100000000+('Dvd Calendar'!$Q$1655='Field Check'!$C$25)*10000000+(N('Dvd Calendar'!$Q$1649)&gt;0)*1000000+10*1000+13))</f>
        <v/>
      </c>
      <c r="P122" s="41">
        <f>IF(N('Dvd Calendar'!$R$1650)=0,"",IF(('Dvd Calendar'!$R$1650&gt;=MIN(DATE(Summary!$C$12,1,1),Summary!$C$11))*('Dvd Calendar'!$R$1650&lt;=MAX(DATE(Summary!$C$12,12,31),Summary!$C$15))*('Dvd Calendar'!$R$1650&lt;=Summary!$C$11)=0,"",'Dvd Calendar'!$R$1650*1000000000+ISNUMBER('Dvd Calendar'!$R$1651)*100000000+('Dvd Calendar'!$R$1655='Field Check'!$C$25)*10000000+(N('Dvd Calendar'!$R$1649)&gt;0)*1000000+10*1000+14))</f>
        <v/>
      </c>
      <c r="Q122" s="41">
        <f>IF(N('Dvd Calendar'!$S$1650)=0,"",IF(('Dvd Calendar'!$S$1650&gt;=MIN(DATE(Summary!$C$12,1,1),Summary!$C$11))*('Dvd Calendar'!$S$1650&lt;=MAX(DATE(Summary!$C$12,12,31),Summary!$C$15))*('Dvd Calendar'!$S$1650&lt;=Summary!$C$11)=0,"",'Dvd Calendar'!$S$1650*1000000000+ISNUMBER('Dvd Calendar'!$S$1651)*100000000+('Dvd Calendar'!$S$1655='Field Check'!$C$25)*10000000+(N('Dvd Calendar'!$S$1649)&gt;0)*1000000+10*1000+15))</f>
        <v/>
      </c>
      <c r="R122" s="41">
        <f>IF(N('Dvd Calendar'!$T$1650)=0,"",IF(('Dvd Calendar'!$T$1650&gt;=MIN(DATE(Summary!$C$12,1,1),Summary!$C$11))*('Dvd Calendar'!$T$1650&lt;=MAX(DATE(Summary!$C$12,12,31),Summary!$C$15))*('Dvd Calendar'!$T$1650&lt;=Summary!$C$11)=0,"",'Dvd Calendar'!$T$1650*1000000000+ISNUMBER('Dvd Calendar'!$T$1651)*100000000+('Dvd Calendar'!$T$1655='Field Check'!$C$25)*10000000+(N('Dvd Calendar'!$T$1649)&gt;0)*1000000+10*1000+16))</f>
        <v/>
      </c>
      <c r="S122" s="41">
        <f>IF(N('Dvd Calendar'!$U$1650)=0,"",IF(('Dvd Calendar'!$U$1650&gt;=MIN(DATE(Summary!$C$12,1,1),Summary!$C$11))*('Dvd Calendar'!$U$1650&lt;=MAX(DATE(Summary!$C$12,12,31),Summary!$C$15))*('Dvd Calendar'!$U$1650&lt;=Summary!$C$11)=0,"",'Dvd Calendar'!$U$1650*1000000000+ISNUMBER('Dvd Calendar'!$U$1651)*100000000+('Dvd Calendar'!$U$1655='Field Check'!$C$25)*10000000+(N('Dvd Calendar'!$U$1649)&gt;0)*1000000+10*1000+17))</f>
        <v/>
      </c>
      <c r="T122" s="41">
        <f>IF(N('Dvd Calendar'!$V$1650)=0,"",IF(('Dvd Calendar'!$V$1650&gt;=MIN(DATE(Summary!$C$12,1,1),Summary!$C$11))*('Dvd Calendar'!$V$1650&lt;=MAX(DATE(Summary!$C$12,12,31),Summary!$C$15))*('Dvd Calendar'!$V$1650&lt;=Summary!$C$11)=0,"",'Dvd Calendar'!$V$1650*1000000000+ISNUMBER('Dvd Calendar'!$V$1651)*100000000+('Dvd Calendar'!$V$1655='Field Check'!$C$25)*10000000+(N('Dvd Calendar'!$V$1649)&gt;0)*1000000+10*1000+18))</f>
        <v/>
      </c>
      <c r="U122" s="41">
        <f>IF(N('Dvd Calendar'!$W$1650)=0,"",IF(('Dvd Calendar'!$W$1650&gt;=MIN(DATE(Summary!$C$12,1,1),Summary!$C$11))*('Dvd Calendar'!$W$1650&lt;=MAX(DATE(Summary!$C$12,12,31),Summary!$C$15))*('Dvd Calendar'!$W$1650&lt;=Summary!$C$11)=0,"",'Dvd Calendar'!$W$1650*1000000000+ISNUMBER('Dvd Calendar'!$W$1651)*100000000+('Dvd Calendar'!$W$1655='Field Check'!$C$25)*10000000+(N('Dvd Calendar'!$W$1649)&gt;0)*1000000+10*1000+19))</f>
        <v/>
      </c>
      <c r="V122" s="41">
        <f>IF(N('Dvd Calendar'!$X$1650)=0,"",IF(('Dvd Calendar'!$X$1650&gt;=MIN(DATE(Summary!$C$12,1,1),Summary!$C$11))*('Dvd Calendar'!$X$1650&lt;=MAX(DATE(Summary!$C$12,12,31),Summary!$C$15))*('Dvd Calendar'!$X$1650&lt;=Summary!$C$11)=0,"",'Dvd Calendar'!$X$1650*1000000000+ISNUMBER('Dvd Calendar'!$X$1651)*100000000+('Dvd Calendar'!$X$1655='Field Check'!$C$25)*10000000+(N('Dvd Calendar'!$X$1649)&gt;0)*1000000+10*1000+20))</f>
        <v/>
      </c>
      <c r="W122" s="41">
        <f>IF(N('Dvd Calendar'!$Y$1650)=0,"",IF(('Dvd Calendar'!$Y$1650&gt;=MIN(DATE(Summary!$C$12,1,1),Summary!$C$11))*('Dvd Calendar'!$Y$1650&lt;=MAX(DATE(Summary!$C$12,12,31),Summary!$C$15))*('Dvd Calendar'!$Y$1650&lt;=Summary!$C$11)=0,"",'Dvd Calendar'!$Y$1650*1000000000+ISNUMBER('Dvd Calendar'!$Y$1651)*100000000+('Dvd Calendar'!$Y$1655='Field Check'!$C$25)*10000000+(N('Dvd Calendar'!$Y$1649)&gt;0)*1000000+10*1000+21))</f>
        <v/>
      </c>
      <c r="X122" s="41">
        <f>IF(N('Dvd Calendar'!$Z$1650)=0,"",IF(('Dvd Calendar'!$Z$1650&gt;=MIN(DATE(Summary!$C$12,1,1),Summary!$C$11))*('Dvd Calendar'!$Z$1650&lt;=MAX(DATE(Summary!$C$12,12,31),Summary!$C$15))*('Dvd Calendar'!$Z$1650&lt;=Summary!$C$11)=0,"",'Dvd Calendar'!$Z$1650*1000000000+ISNUMBER('Dvd Calendar'!$Z$1651)*100000000+('Dvd Calendar'!$Z$1655='Field Check'!$C$25)*10000000+(N('Dvd Calendar'!$Z$1649)&gt;0)*1000000+10*1000+22))</f>
        <v/>
      </c>
      <c r="Y122" s="41">
        <f>IF(N('Dvd Calendar'!$AA$1650)=0,"",IF(('Dvd Calendar'!$AA$1650&gt;=MIN(DATE(Summary!$C$12,1,1),Summary!$C$11))*('Dvd Calendar'!$AA$1650&lt;=MAX(DATE(Summary!$C$12,12,31),Summary!$C$15))*('Dvd Calendar'!$AA$1650&lt;=Summary!$C$11)=0,"",'Dvd Calendar'!$AA$1650*1000000000+ISNUMBER('Dvd Calendar'!$AA$1651)*100000000+('Dvd Calendar'!$AA$1655='Field Check'!$C$25)*10000000+(N('Dvd Calendar'!$AA$1649)&gt;0)*1000000+10*1000+23))</f>
        <v/>
      </c>
      <c r="Z122" s="41">
        <f>IF(N('Dvd Calendar'!$AB$1650)=0,"",IF(('Dvd Calendar'!$AB$1650&gt;=MIN(DATE(Summary!$C$12,1,1),Summary!$C$11))*('Dvd Calendar'!$AB$1650&lt;=MAX(DATE(Summary!$C$12,12,31),Summary!$C$15))*('Dvd Calendar'!$AB$1650&lt;=Summary!$C$11)=0,"",'Dvd Calendar'!$AB$1650*1000000000+ISNUMBER('Dvd Calendar'!$AB$1651)*100000000+('Dvd Calendar'!$AB$1655='Field Check'!$C$25)*10000000+(N('Dvd Calendar'!$AB$1649)&gt;0)*1000000+10*1000+24))</f>
        <v/>
      </c>
      <c r="AA122" s="41">
        <f>IF(N('Dvd Calendar'!$AC$1650)=0,"",IF(('Dvd Calendar'!$AC$1650&gt;=MIN(DATE(Summary!$C$12,1,1),Summary!$C$11))*('Dvd Calendar'!$AC$1650&lt;=MAX(DATE(Summary!$C$12,12,31),Summary!$C$15))*('Dvd Calendar'!$AC$1650&lt;=Summary!$C$11)=0,"",'Dvd Calendar'!$AC$1650*1000000000+ISNUMBER('Dvd Calendar'!$AC$1651)*100000000+('Dvd Calendar'!$AC$1655='Field Check'!$C$25)*10000000+(N('Dvd Calendar'!$AC$1649)&gt;0)*1000000+10*1000+25))</f>
        <v/>
      </c>
      <c r="AB122" s="41">
        <f>IF(N('Dvd Calendar'!$AD$1650)=0,"",IF(('Dvd Calendar'!$AD$1650&gt;=MIN(DATE(Summary!$C$12,1,1),Summary!$C$11))*('Dvd Calendar'!$AD$1650&lt;=MAX(DATE(Summary!$C$12,12,31),Summary!$C$15))*('Dvd Calendar'!$AD$1650&lt;=Summary!$C$11)=0,"",'Dvd Calendar'!$AD$1650*1000000000+ISNUMBER('Dvd Calendar'!$AD$1651)*100000000+('Dvd Calendar'!$AD$1655='Field Check'!$C$25)*10000000+(N('Dvd Calendar'!$AD$1649)&gt;0)*1000000+10*1000+26))</f>
        <v/>
      </c>
      <c r="AC122" s="41">
        <f>IF(N('Dvd Calendar'!$AE$1650)=0,"",IF(('Dvd Calendar'!$AE$1650&gt;=MIN(DATE(Summary!$C$12,1,1),Summary!$C$11))*('Dvd Calendar'!$AE$1650&lt;=MAX(DATE(Summary!$C$12,12,31),Summary!$C$15))*('Dvd Calendar'!$AE$1650&lt;=Summary!$C$11)=0,"",'Dvd Calendar'!$AE$1650*1000000000+ISNUMBER('Dvd Calendar'!$AE$1651)*100000000+('Dvd Calendar'!$AE$1655='Field Check'!$C$25)*10000000+(N('Dvd Calendar'!$AE$1649)&gt;0)*1000000+10*1000+27))</f>
        <v/>
      </c>
      <c r="AD122" s="41">
        <f>IF(N('Dvd Calendar'!$AF$1650)=0,"",IF(('Dvd Calendar'!$AF$1650&gt;=MIN(DATE(Summary!$C$12,1,1),Summary!$C$11))*('Dvd Calendar'!$AF$1650&lt;=MAX(DATE(Summary!$C$12,12,31),Summary!$C$15))*('Dvd Calendar'!$AF$1650&lt;=Summary!$C$11)=0,"",'Dvd Calendar'!$AF$1650*1000000000+ISNUMBER('Dvd Calendar'!$AF$1651)*100000000+('Dvd Calendar'!$AF$1655='Field Check'!$C$25)*10000000+(N('Dvd Calendar'!$AF$1649)&gt;0)*1000000+10*1000+28))</f>
        <v/>
      </c>
      <c r="AE122" s="41">
        <f>IF(N('Dvd Calendar'!$AG$1650)=0,"",IF(('Dvd Calendar'!$AG$1650&gt;=MIN(DATE(Summary!$C$12,1,1),Summary!$C$11))*('Dvd Calendar'!$AG$1650&lt;=MAX(DATE(Summary!$C$12,12,31),Summary!$C$15))*('Dvd Calendar'!$AG$1650&lt;=Summary!$C$11)=0,"",'Dvd Calendar'!$AG$1650*1000000000+ISNUMBER('Dvd Calendar'!$AG$1651)*100000000+('Dvd Calendar'!$AG$1655='Field Check'!$C$25)*10000000+(N('Dvd Calendar'!$AG$1649)&gt;0)*1000000+10*1000+29))</f>
        <v/>
      </c>
      <c r="AF122" s="41">
        <f>IF(N('Dvd Calendar'!$AH$1650)=0,"",IF(('Dvd Calendar'!$AH$1650&gt;=MIN(DATE(Summary!$C$12,1,1),Summary!$C$11))*('Dvd Calendar'!$AH$1650&lt;=MAX(DATE(Summary!$C$12,12,31),Summary!$C$15))*('Dvd Calendar'!$AH$1650&lt;=Summary!$C$11)=0,"",'Dvd Calendar'!$AH$1650*1000000000+ISNUMBER('Dvd Calendar'!$AH$1651)*100000000+('Dvd Calendar'!$AH$1655='Field Check'!$C$25)*10000000+(N('Dvd Calendar'!$AH$1649)&gt;0)*1000000+10*1000+30))</f>
        <v/>
      </c>
      <c r="AG122" s="41">
        <f>IF(N('Dvd Calendar'!$AI$1650)=0,"",IF(('Dvd Calendar'!$AI$1650&gt;=MIN(DATE(Summary!$C$12,1,1),Summary!$C$11))*('Dvd Calendar'!$AI$1650&lt;=MAX(DATE(Summary!$C$12,12,31),Summary!$C$15))*('Dvd Calendar'!$AI$1650&lt;=Summary!$C$11)=0,"",'Dvd Calendar'!$AI$1650*1000000000+ISNUMBER('Dvd Calendar'!$AI$1651)*100000000+('Dvd Calendar'!$AI$1655='Field Check'!$C$25)*10000000+(N('Dvd Calendar'!$AI$1649)&gt;0)*1000000+10*1000+31))</f>
        <v/>
      </c>
      <c r="AH122" s="41">
        <f>IF(N('Dvd Calendar'!$AJ$1650)=0,"",IF(('Dvd Calendar'!$AJ$1650&gt;=MIN(DATE(Summary!$C$12,1,1),Summary!$C$11))*('Dvd Calendar'!$AJ$1650&lt;=MAX(DATE(Summary!$C$12,12,31),Summary!$C$15))*('Dvd Calendar'!$AJ$1650&lt;=Summary!$C$11)=0,"",'Dvd Calendar'!$AJ$1650*1000000000+ISNUMBER('Dvd Calendar'!$AJ$1651)*100000000+('Dvd Calendar'!$AJ$1655='Field Check'!$C$25)*10000000+(N('Dvd Calendar'!$AJ$1649)&gt;0)*1000000+10*1000+32))</f>
        <v/>
      </c>
      <c r="AI122" s="41">
        <f>IF(N('Dvd Calendar'!$AK$1650)=0,"",IF(('Dvd Calendar'!$AK$1650&gt;=MIN(DATE(Summary!$C$12,1,1),Summary!$C$11))*('Dvd Calendar'!$AK$1650&lt;=MAX(DATE(Summary!$C$12,12,31),Summary!$C$15))*('Dvd Calendar'!$AK$1650&lt;=Summary!$C$11)=0,"",'Dvd Calendar'!$AK$1650*1000000000+ISNUMBER('Dvd Calendar'!$AK$1651)*100000000+('Dvd Calendar'!$AK$1655='Field Check'!$C$25)*10000000+(N('Dvd Calendar'!$AK$1649)&gt;0)*1000000+10*1000+33))</f>
        <v/>
      </c>
      <c r="AJ122" s="41">
        <f>IF(N('Dvd Calendar'!$AL$1650)=0,"",IF(('Dvd Calendar'!$AL$1650&gt;=MIN(DATE(Summary!$C$12,1,1),Summary!$C$11))*('Dvd Calendar'!$AL$1650&lt;=MAX(DATE(Summary!$C$12,12,31),Summary!$C$15))*('Dvd Calendar'!$AL$1650&lt;=Summary!$C$11)=0,"",'Dvd Calendar'!$AL$1650*1000000000+ISNUMBER('Dvd Calendar'!$AL$1651)*100000000+('Dvd Calendar'!$AL$1655='Field Check'!$C$25)*10000000+(N('Dvd Calendar'!$AL$1649)&gt;0)*1000000+10*1000+34))</f>
        <v/>
      </c>
      <c r="AK122" s="41">
        <f>IF(N('Dvd Calendar'!$AM$1650)=0,"",IF(('Dvd Calendar'!$AM$1650&gt;=MIN(DATE(Summary!$C$12,1,1),Summary!$C$11))*('Dvd Calendar'!$AM$1650&lt;=MAX(DATE(Summary!$C$12,12,31),Summary!$C$15))*('Dvd Calendar'!$AM$1650&lt;=Summary!$C$11)=0,"",'Dvd Calendar'!$AM$1650*1000000000+ISNUMBER('Dvd Calendar'!$AM$1651)*100000000+('Dvd Calendar'!$AM$1655='Field Check'!$C$25)*10000000+(N('Dvd Calendar'!$AM$1649)&gt;0)*1000000+10*1000+35))</f>
        <v/>
      </c>
      <c r="AL122" s="41">
        <f>IF(N('Dvd Calendar'!$AN$1650)=0,"",IF(('Dvd Calendar'!$AN$1650&gt;=MIN(DATE(Summary!$C$12,1,1),Summary!$C$11))*('Dvd Calendar'!$AN$1650&lt;=MAX(DATE(Summary!$C$12,12,31),Summary!$C$15))*('Dvd Calendar'!$AN$1650&lt;=Summary!$C$11)=0,"",'Dvd Calendar'!$AN$1650*1000000000+ISNUMBER('Dvd Calendar'!$AN$1651)*100000000+('Dvd Calendar'!$AN$1655='Field Check'!$C$25)*10000000+(N('Dvd Calendar'!$AN$1649)&gt;0)*1000000+10*1000+36))</f>
        <v/>
      </c>
      <c r="AM122" s="41">
        <f>IF(N('Dvd Calendar'!$AO$1650)=0,"",IF(('Dvd Calendar'!$AO$1650&gt;=MIN(DATE(Summary!$C$12,1,1),Summary!$C$11))*('Dvd Calendar'!$AO$1650&lt;=MAX(DATE(Summary!$C$12,12,31),Summary!$C$15))*('Dvd Calendar'!$AO$1650&lt;=Summary!$C$11)=0,"",'Dvd Calendar'!$AO$1650*1000000000+ISNUMBER('Dvd Calendar'!$AO$1651)*100000000+('Dvd Calendar'!$AO$1655='Field Check'!$C$25)*10000000+(N('Dvd Calendar'!$AO$1649)&gt;0)*1000000+10*1000+37))</f>
        <v/>
      </c>
      <c r="AN122" s="41">
        <f>IF(N('Dvd Calendar'!$AP$1650)=0,"",IF(('Dvd Calendar'!$AP$1650&gt;=MIN(DATE(Summary!$C$12,1,1),Summary!$C$11))*('Dvd Calendar'!$AP$1650&lt;=MAX(DATE(Summary!$C$12,12,31),Summary!$C$15))*('Dvd Calendar'!$AP$1650&lt;=Summary!$C$11)=0,"",'Dvd Calendar'!$AP$1650*1000000000+ISNUMBER('Dvd Calendar'!$AP$1651)*100000000+('Dvd Calendar'!$AP$1655='Field Check'!$C$25)*10000000+(N('Dvd Calendar'!$AP$1649)&gt;0)*1000000+10*1000+38))</f>
        <v/>
      </c>
      <c r="AO122" s="41">
        <f>IF(N('Dvd Calendar'!$AQ$1650)=0,"",IF(('Dvd Calendar'!$AQ$1650&gt;=MIN(DATE(Summary!$C$12,1,1),Summary!$C$11))*('Dvd Calendar'!$AQ$1650&lt;=MAX(DATE(Summary!$C$12,12,31),Summary!$C$15))*('Dvd Calendar'!$AQ$1650&lt;=Summary!$C$11)=0,"",'Dvd Calendar'!$AQ$1650*1000000000+ISNUMBER('Dvd Calendar'!$AQ$1651)*100000000+('Dvd Calendar'!$AQ$1655='Field Check'!$C$25)*10000000+(N('Dvd Calendar'!$AQ$1649)&gt;0)*1000000+10*1000+39))</f>
        <v/>
      </c>
      <c r="AP122" s="41">
        <f>IF(N('Dvd Calendar'!$AR$1650)=0,"",IF(('Dvd Calendar'!$AR$1650&gt;=MIN(DATE(Summary!$C$12,1,1),Summary!$C$11))*('Dvd Calendar'!$AR$1650&lt;=MAX(DATE(Summary!$C$12,12,31),Summary!$C$15))*('Dvd Calendar'!$AR$1650&lt;=Summary!$C$11)=0,"",'Dvd Calendar'!$AR$1650*1000000000+ISNUMBER('Dvd Calendar'!$AR$1651)*100000000+('Dvd Calendar'!$AR$1655='Field Check'!$C$25)*10000000+(N('Dvd Calendar'!$AR$1649)&gt;0)*1000000+10*1000+40))</f>
        <v/>
      </c>
      <c r="AQ122" s="41">
        <f>IF(N('Dvd Calendar'!$E$1657)=0,"",IF(('Dvd Calendar'!$E$1657&gt;=MIN(DATE(Summary!$C$12,1,1),Summary!$C$11))*('Dvd Calendar'!$E$1657&lt;=MAX(DATE(Summary!$C$12,12,31),Summary!$C$15))*('Dvd Calendar'!$E$1657&gt;Summary!$C$11)=0,"",'Dvd Calendar'!$E$1657*1000000000+ISNUMBER('Dvd Calendar'!$E$1658)*100000000+('Dvd Calendar'!$E$1662='Field Check'!$C$25)*10000000+(N('Dvd Calendar'!$E$1656)&gt;0)*1000000+10*1000+41))</f>
        <v/>
      </c>
      <c r="AR122" s="41">
        <f>IF(N('Dvd Calendar'!$F$1657)=0,"",IF(('Dvd Calendar'!$F$1657&gt;=MIN(DATE(Summary!$C$12,1,1),Summary!$C$11))*('Dvd Calendar'!$F$1657&lt;=MAX(DATE(Summary!$C$12,12,31),Summary!$C$15))*('Dvd Calendar'!$F$1657&gt;Summary!$C$11)=0,"",'Dvd Calendar'!$F$1657*1000000000+ISNUMBER('Dvd Calendar'!$F$1658)*100000000+('Dvd Calendar'!$F$1662='Field Check'!$C$25)*10000000+(N('Dvd Calendar'!$F$1656)&gt;0)*1000000+10*1000+42))</f>
        <v/>
      </c>
      <c r="AS122" s="41">
        <f>IF(N('Dvd Calendar'!$G$1657)=0,"",IF(('Dvd Calendar'!$G$1657&gt;=MIN(DATE(Summary!$C$12,1,1),Summary!$C$11))*('Dvd Calendar'!$G$1657&lt;=MAX(DATE(Summary!$C$12,12,31),Summary!$C$15))*('Dvd Calendar'!$G$1657&gt;Summary!$C$11)=0,"",'Dvd Calendar'!$G$1657*1000000000+ISNUMBER('Dvd Calendar'!$G$1658)*100000000+('Dvd Calendar'!$G$1662='Field Check'!$C$25)*10000000+(N('Dvd Calendar'!$G$1656)&gt;0)*1000000+10*1000+43))</f>
        <v/>
      </c>
      <c r="AT122" s="41">
        <f>IF(N('Dvd Calendar'!$H$1657)=0,"",IF(('Dvd Calendar'!$H$1657&gt;=MIN(DATE(Summary!$C$12,1,1),Summary!$C$11))*('Dvd Calendar'!$H$1657&lt;=MAX(DATE(Summary!$C$12,12,31),Summary!$C$15))*('Dvd Calendar'!$H$1657&gt;Summary!$C$11)=0,"",'Dvd Calendar'!$H$1657*1000000000+ISNUMBER('Dvd Calendar'!$H$1658)*100000000+('Dvd Calendar'!$H$1662='Field Check'!$C$25)*10000000+(N('Dvd Calendar'!$H$1656)&gt;0)*1000000+10*1000+44))</f>
        <v/>
      </c>
      <c r="AU122" s="41">
        <f>IF(N('Dvd Calendar'!$I$1657)=0,"",IF(('Dvd Calendar'!$I$1657&gt;=MIN(DATE(Summary!$C$12,1,1),Summary!$C$11))*('Dvd Calendar'!$I$1657&lt;=MAX(DATE(Summary!$C$12,12,31),Summary!$C$15))*('Dvd Calendar'!$I$1657&gt;Summary!$C$11)=0,"",'Dvd Calendar'!$I$1657*1000000000+ISNUMBER('Dvd Calendar'!$I$1658)*100000000+('Dvd Calendar'!$I$1662='Field Check'!$C$25)*10000000+(N('Dvd Calendar'!$I$1656)&gt;0)*1000000+10*1000+45))</f>
        <v/>
      </c>
      <c r="AV122" s="41">
        <f>IF(N('Dvd Calendar'!$J$1657)=0,"",IF(('Dvd Calendar'!$J$1657&gt;=MIN(DATE(Summary!$C$12,1,1),Summary!$C$11))*('Dvd Calendar'!$J$1657&lt;=MAX(DATE(Summary!$C$12,12,31),Summary!$C$15))*('Dvd Calendar'!$J$1657&gt;Summary!$C$11)=0,"",'Dvd Calendar'!$J$1657*1000000000+ISNUMBER('Dvd Calendar'!$J$1658)*100000000+('Dvd Calendar'!$J$1662='Field Check'!$C$25)*10000000+(N('Dvd Calendar'!$J$1656)&gt;0)*1000000+10*1000+46))</f>
        <v/>
      </c>
      <c r="AW122" s="41">
        <f>IF(N('Dvd Calendar'!$K$1657)=0,"",IF(('Dvd Calendar'!$K$1657&gt;=MIN(DATE(Summary!$C$12,1,1),Summary!$C$11))*('Dvd Calendar'!$K$1657&lt;=MAX(DATE(Summary!$C$12,12,31),Summary!$C$15))*('Dvd Calendar'!$K$1657&gt;Summary!$C$11)=0,"",'Dvd Calendar'!$K$1657*1000000000+ISNUMBER('Dvd Calendar'!$K$1658)*100000000+('Dvd Calendar'!$K$1662='Field Check'!$C$25)*10000000+(N('Dvd Calendar'!$K$1656)&gt;0)*1000000+10*1000+47))</f>
        <v/>
      </c>
      <c r="AX122" s="41">
        <f>IF(N('Dvd Calendar'!$L$1657)=0,"",IF(('Dvd Calendar'!$L$1657&gt;=MIN(DATE(Summary!$C$12,1,1),Summary!$C$11))*('Dvd Calendar'!$L$1657&lt;=MAX(DATE(Summary!$C$12,12,31),Summary!$C$15))*('Dvd Calendar'!$L$1657&gt;Summary!$C$11)=0,"",'Dvd Calendar'!$L$1657*1000000000+ISNUMBER('Dvd Calendar'!$L$1658)*100000000+('Dvd Calendar'!$L$1662='Field Check'!$C$25)*10000000+(N('Dvd Calendar'!$L$1656)&gt;0)*1000000+10*1000+48))</f>
        <v/>
      </c>
      <c r="AY122" s="41">
        <f>IF(N('Dvd Calendar'!$M$1657)=0,"",IF(('Dvd Calendar'!$M$1657&gt;=MIN(DATE(Summary!$C$12,1,1),Summary!$C$11))*('Dvd Calendar'!$M$1657&lt;=MAX(DATE(Summary!$C$12,12,31),Summary!$C$15))*('Dvd Calendar'!$M$1657&gt;Summary!$C$11)=0,"",'Dvd Calendar'!$M$1657*1000000000+ISNUMBER('Dvd Calendar'!$M$1658)*100000000+('Dvd Calendar'!$M$1662='Field Check'!$C$25)*10000000+(N('Dvd Calendar'!$M$1656)&gt;0)*1000000+10*1000+49))</f>
        <v/>
      </c>
      <c r="AZ122" s="41">
        <f>IF(N('Dvd Calendar'!$N$1657)=0,"",IF(('Dvd Calendar'!$N$1657&gt;=MIN(DATE(Summary!$C$12,1,1),Summary!$C$11))*('Dvd Calendar'!$N$1657&lt;=MAX(DATE(Summary!$C$12,12,31),Summary!$C$15))*('Dvd Calendar'!$N$1657&gt;Summary!$C$11)=0,"",'Dvd Calendar'!$N$1657*1000000000+ISNUMBER('Dvd Calendar'!$N$1658)*100000000+('Dvd Calendar'!$N$1662='Field Check'!$C$25)*10000000+(N('Dvd Calendar'!$N$1656)&gt;0)*1000000+10*1000+50))</f>
        <v/>
      </c>
      <c r="BA122" s="41">
        <f>IF(N('Dvd Calendar'!$O$1657)=0,"",IF(('Dvd Calendar'!$O$1657&gt;=MIN(DATE(Summary!$C$12,1,1),Summary!$C$11))*('Dvd Calendar'!$O$1657&lt;=MAX(DATE(Summary!$C$12,12,31),Summary!$C$15))*('Dvd Calendar'!$O$1657&gt;Summary!$C$11)=0,"",'Dvd Calendar'!$O$1657*1000000000+ISNUMBER('Dvd Calendar'!$O$1658)*100000000+('Dvd Calendar'!$O$1662='Field Check'!$C$25)*10000000+(N('Dvd Calendar'!$O$1656)&gt;0)*1000000+10*1000+51))</f>
        <v/>
      </c>
      <c r="BB122" s="41">
        <f>IF(N('Dvd Calendar'!$P$1657)=0,"",IF(('Dvd Calendar'!$P$1657&gt;=MIN(DATE(Summary!$C$12,1,1),Summary!$C$11))*('Dvd Calendar'!$P$1657&lt;=MAX(DATE(Summary!$C$12,12,31),Summary!$C$15))*('Dvd Calendar'!$P$1657&gt;Summary!$C$11)=0,"",'Dvd Calendar'!$P$1657*1000000000+ISNUMBER('Dvd Calendar'!$P$1658)*100000000+('Dvd Calendar'!$P$1662='Field Check'!$C$25)*10000000+(N('Dvd Calendar'!$P$1656)&gt;0)*1000000+10*1000+52))</f>
        <v/>
      </c>
      <c r="BC122" s="41">
        <f>IF(N('Dvd Calendar'!$Q$1657)=0,"",IF(('Dvd Calendar'!$Q$1657&gt;=MIN(DATE(Summary!$C$12,1,1),Summary!$C$11))*('Dvd Calendar'!$Q$1657&lt;=MAX(DATE(Summary!$C$12,12,31),Summary!$C$15))*('Dvd Calendar'!$Q$1657&gt;Summary!$C$11)=0,"",'Dvd Calendar'!$Q$1657*1000000000+ISNUMBER('Dvd Calendar'!$Q$1658)*100000000+('Dvd Calendar'!$Q$1662='Field Check'!$C$25)*10000000+(N('Dvd Calendar'!$Q$1656)&gt;0)*1000000+10*1000+53))</f>
        <v/>
      </c>
      <c r="BD122" s="41">
        <f>IF(N('Dvd Calendar'!$R$1657)=0,"",IF(('Dvd Calendar'!$R$1657&gt;=MIN(DATE(Summary!$C$12,1,1),Summary!$C$11))*('Dvd Calendar'!$R$1657&lt;=MAX(DATE(Summary!$C$12,12,31),Summary!$C$15))*('Dvd Calendar'!$R$1657&gt;Summary!$C$11)=0,"",'Dvd Calendar'!$R$1657*1000000000+ISNUMBER('Dvd Calendar'!$R$1658)*100000000+('Dvd Calendar'!$R$1662='Field Check'!$C$25)*10000000+(N('Dvd Calendar'!$R$1656)&gt;0)*1000000+10*1000+54))</f>
        <v/>
      </c>
      <c r="BE122" s="41">
        <f>IF(N('Dvd Calendar'!$S$1657)=0,"",IF(('Dvd Calendar'!$S$1657&gt;=MIN(DATE(Summary!$C$12,1,1),Summary!$C$11))*('Dvd Calendar'!$S$1657&lt;=MAX(DATE(Summary!$C$12,12,31),Summary!$C$15))*('Dvd Calendar'!$S$1657&gt;Summary!$C$11)=0,"",'Dvd Calendar'!$S$1657*1000000000+ISNUMBER('Dvd Calendar'!$S$1658)*100000000+('Dvd Calendar'!$S$1662='Field Check'!$C$25)*10000000+(N('Dvd Calendar'!$S$1656)&gt;0)*1000000+10*1000+55))</f>
        <v/>
      </c>
      <c r="BF122" s="41">
        <f>IF(N('Dvd Calendar'!$T$1657)=0,"",IF(('Dvd Calendar'!$T$1657&gt;=MIN(DATE(Summary!$C$12,1,1),Summary!$C$11))*('Dvd Calendar'!$T$1657&lt;=MAX(DATE(Summary!$C$12,12,31),Summary!$C$15))*('Dvd Calendar'!$T$1657&gt;Summary!$C$11)=0,"",'Dvd Calendar'!$T$1657*1000000000+ISNUMBER('Dvd Calendar'!$T$1658)*100000000+('Dvd Calendar'!$T$1662='Field Check'!$C$25)*10000000+(N('Dvd Calendar'!$T$1656)&gt;0)*1000000+10*1000+56))</f>
        <v/>
      </c>
      <c r="BG122" s="41">
        <f>IF(N('Dvd Calendar'!$U$1657)=0,"",IF(('Dvd Calendar'!$U$1657&gt;=MIN(DATE(Summary!$C$12,1,1),Summary!$C$11))*('Dvd Calendar'!$U$1657&lt;=MAX(DATE(Summary!$C$12,12,31),Summary!$C$15))*('Dvd Calendar'!$U$1657&gt;Summary!$C$11)=0,"",'Dvd Calendar'!$U$1657*1000000000+ISNUMBER('Dvd Calendar'!$U$1658)*100000000+('Dvd Calendar'!$U$1662='Field Check'!$C$25)*10000000+(N('Dvd Calendar'!$U$1656)&gt;0)*1000000+10*1000+57))</f>
        <v/>
      </c>
      <c r="BH122" s="41">
        <f>IF(N('Dvd Calendar'!$V$1657)=0,"",IF(('Dvd Calendar'!$V$1657&gt;=MIN(DATE(Summary!$C$12,1,1),Summary!$C$11))*('Dvd Calendar'!$V$1657&lt;=MAX(DATE(Summary!$C$12,12,31),Summary!$C$15))*('Dvd Calendar'!$V$1657&gt;Summary!$C$11)=0,"",'Dvd Calendar'!$V$1657*1000000000+ISNUMBER('Dvd Calendar'!$V$1658)*100000000+('Dvd Calendar'!$V$1662='Field Check'!$C$25)*10000000+(N('Dvd Calendar'!$V$1656)&gt;0)*1000000+10*1000+58))</f>
        <v/>
      </c>
      <c r="BI122" s="41">
        <f>IF(N('Dvd Calendar'!$W$1657)=0,"",IF(('Dvd Calendar'!$W$1657&gt;=MIN(DATE(Summary!$C$12,1,1),Summary!$C$11))*('Dvd Calendar'!$W$1657&lt;=MAX(DATE(Summary!$C$12,12,31),Summary!$C$15))*('Dvd Calendar'!$W$1657&gt;Summary!$C$11)=0,"",'Dvd Calendar'!$W$1657*1000000000+ISNUMBER('Dvd Calendar'!$W$1658)*100000000+('Dvd Calendar'!$W$1662='Field Check'!$C$25)*10000000+(N('Dvd Calendar'!$W$1656)&gt;0)*1000000+10*1000+59))</f>
        <v/>
      </c>
      <c r="BJ122" s="41">
        <f>IF(N('Dvd Calendar'!$X$1657)=0,"",IF(('Dvd Calendar'!$X$1657&gt;=MIN(DATE(Summary!$C$12,1,1),Summary!$C$11))*('Dvd Calendar'!$X$1657&lt;=MAX(DATE(Summary!$C$12,12,31),Summary!$C$15))*('Dvd Calendar'!$X$1657&gt;Summary!$C$11)=0,"",'Dvd Calendar'!$X$1657*1000000000+ISNUMBER('Dvd Calendar'!$X$1658)*100000000+('Dvd Calendar'!$X$1662='Field Check'!$C$25)*10000000+(N('Dvd Calendar'!$X$1656)&gt;0)*1000000+10*1000+60))</f>
        <v/>
      </c>
      <c r="BK122" s="41">
        <f>IF(N('Dvd Calendar'!$Y$1657)=0,"",IF(('Dvd Calendar'!$Y$1657&gt;=MIN(DATE(Summary!$C$12,1,1),Summary!$C$11))*('Dvd Calendar'!$Y$1657&lt;=MAX(DATE(Summary!$C$12,12,31),Summary!$C$15))*('Dvd Calendar'!$Y$1657&gt;Summary!$C$11)=0,"",'Dvd Calendar'!$Y$1657*1000000000+ISNUMBER('Dvd Calendar'!$Y$1658)*100000000+('Dvd Calendar'!$Y$1662='Field Check'!$C$25)*10000000+(N('Dvd Calendar'!$Y$1656)&gt;0)*1000000+10*1000+61))</f>
        <v/>
      </c>
      <c r="BL122" s="41">
        <f>IF(N('Dvd Calendar'!$Z$1657)=0,"",IF(('Dvd Calendar'!$Z$1657&gt;=MIN(DATE(Summary!$C$12,1,1),Summary!$C$11))*('Dvd Calendar'!$Z$1657&lt;=MAX(DATE(Summary!$C$12,12,31),Summary!$C$15))*('Dvd Calendar'!$Z$1657&gt;Summary!$C$11)=0,"",'Dvd Calendar'!$Z$1657*1000000000+ISNUMBER('Dvd Calendar'!$Z$1658)*100000000+('Dvd Calendar'!$Z$1662='Field Check'!$C$25)*10000000+(N('Dvd Calendar'!$Z$1656)&gt;0)*1000000+10*1000+62))</f>
        <v/>
      </c>
      <c r="BM122" s="41">
        <f>IF(N('Dvd Calendar'!$AA$1657)=0,"",IF(('Dvd Calendar'!$AA$1657&gt;=MIN(DATE(Summary!$C$12,1,1),Summary!$C$11))*('Dvd Calendar'!$AA$1657&lt;=MAX(DATE(Summary!$C$12,12,31),Summary!$C$15))*('Dvd Calendar'!$AA$1657&gt;Summary!$C$11)=0,"",'Dvd Calendar'!$AA$1657*1000000000+ISNUMBER('Dvd Calendar'!$AA$1658)*100000000+('Dvd Calendar'!$AA$1662='Field Check'!$C$25)*10000000+(N('Dvd Calendar'!$AA$1656)&gt;0)*1000000+10*1000+63))</f>
        <v/>
      </c>
      <c r="BN122" s="41">
        <f>IF(N('Dvd Calendar'!$AB$1657)=0,"",IF(('Dvd Calendar'!$AB$1657&gt;=MIN(DATE(Summary!$C$12,1,1),Summary!$C$11))*('Dvd Calendar'!$AB$1657&lt;=MAX(DATE(Summary!$C$12,12,31),Summary!$C$15))*('Dvd Calendar'!$AB$1657&gt;Summary!$C$11)=0,"",'Dvd Calendar'!$AB$1657*1000000000+ISNUMBER('Dvd Calendar'!$AB$1658)*100000000+('Dvd Calendar'!$AB$1662='Field Check'!$C$25)*10000000+(N('Dvd Calendar'!$AB$1656)&gt;0)*1000000+10*1000+64))</f>
        <v/>
      </c>
      <c r="BO122" s="41">
        <f>IF(N('Dvd Calendar'!$AC$1657)=0,"",IF(('Dvd Calendar'!$AC$1657&gt;=MIN(DATE(Summary!$C$12,1,1),Summary!$C$11))*('Dvd Calendar'!$AC$1657&lt;=MAX(DATE(Summary!$C$12,12,31),Summary!$C$15))*('Dvd Calendar'!$AC$1657&gt;Summary!$C$11)=0,"",'Dvd Calendar'!$AC$1657*1000000000+ISNUMBER('Dvd Calendar'!$AC$1658)*100000000+('Dvd Calendar'!$AC$1662='Field Check'!$C$25)*10000000+(N('Dvd Calendar'!$AC$1656)&gt;0)*1000000+10*1000+65))</f>
        <v/>
      </c>
      <c r="BQ122" s="85">
        <f>IF(C122="","",IF(ISNUMBER('Dvd Calendar'!$E$1651)=FALSE,"",IF((Summary!$C$13="N")*('Dvd Calendar'!$E$1655='Field Check'!$C$25)&gt;0,"",'Dvd Calendar'!$E$1651)))</f>
        <v/>
      </c>
      <c r="BR122" s="85">
        <f>IF(D122="","",IF(ISNUMBER('Dvd Calendar'!$F$1651)=FALSE,"",IF((Summary!$C$13="N")*('Dvd Calendar'!$F$1655='Field Check'!$C$25)&gt;0,"",'Dvd Calendar'!$F$1651)))</f>
        <v/>
      </c>
      <c r="BS122" s="85">
        <f>IF(E122="","",IF(ISNUMBER('Dvd Calendar'!$G$1651)=FALSE,"",IF((Summary!$C$13="N")*('Dvd Calendar'!$G$1655='Field Check'!$C$25)&gt;0,"",'Dvd Calendar'!$G$1651)))</f>
        <v/>
      </c>
      <c r="BT122" s="85">
        <f>IF(F122="","",IF(ISNUMBER('Dvd Calendar'!$H$1651)=FALSE,"",IF((Summary!$C$13="N")*('Dvd Calendar'!$H$1655='Field Check'!$C$25)&gt;0,"",'Dvd Calendar'!$H$1651)))</f>
        <v/>
      </c>
      <c r="BU122" s="85">
        <f>IF(G122="","",IF(ISNUMBER('Dvd Calendar'!$I$1651)=FALSE,"",IF((Summary!$C$13="N")*('Dvd Calendar'!$I$1655='Field Check'!$C$25)&gt;0,"",'Dvd Calendar'!$I$1651)))</f>
        <v/>
      </c>
      <c r="BV122" s="85">
        <f>IF(H122="","",IF(ISNUMBER('Dvd Calendar'!$J$1651)=FALSE,"",IF((Summary!$C$13="N")*('Dvd Calendar'!$J$1655='Field Check'!$C$25)&gt;0,"",'Dvd Calendar'!$J$1651)))</f>
        <v/>
      </c>
      <c r="BW122" s="85">
        <f>IF(I122="","",IF(ISNUMBER('Dvd Calendar'!$K$1651)=FALSE,"",IF((Summary!$C$13="N")*('Dvd Calendar'!$K$1655='Field Check'!$C$25)&gt;0,"",'Dvd Calendar'!$K$1651)))</f>
        <v/>
      </c>
      <c r="BX122" s="85">
        <f>IF(J122="","",IF(ISNUMBER('Dvd Calendar'!$L$1651)=FALSE,"",IF((Summary!$C$13="N")*('Dvd Calendar'!$L$1655='Field Check'!$C$25)&gt;0,"",'Dvd Calendar'!$L$1651)))</f>
        <v/>
      </c>
      <c r="BY122" s="85">
        <f>IF(K122="","",IF(ISNUMBER('Dvd Calendar'!$M$1651)=FALSE,"",IF((Summary!$C$13="N")*('Dvd Calendar'!$M$1655='Field Check'!$C$25)&gt;0,"",'Dvd Calendar'!$M$1651)))</f>
        <v/>
      </c>
      <c r="BZ122" s="85">
        <f>IF(L122="","",IF(ISNUMBER('Dvd Calendar'!$N$1651)=FALSE,"",IF((Summary!$C$13="N")*('Dvd Calendar'!$N$1655='Field Check'!$C$25)&gt;0,"",'Dvd Calendar'!$N$1651)))</f>
        <v/>
      </c>
      <c r="CA122" s="85">
        <f>IF(M122="","",IF(ISNUMBER('Dvd Calendar'!$O$1651)=FALSE,"",IF((Summary!$C$13="N")*('Dvd Calendar'!$O$1655='Field Check'!$C$25)&gt;0,"",'Dvd Calendar'!$O$1651)))</f>
        <v/>
      </c>
      <c r="CB122" s="85">
        <f>IF(N122="","",IF(ISNUMBER('Dvd Calendar'!$P$1651)=FALSE,"",IF((Summary!$C$13="N")*('Dvd Calendar'!$P$1655='Field Check'!$C$25)&gt;0,"",'Dvd Calendar'!$P$1651)))</f>
        <v/>
      </c>
      <c r="CC122" s="85">
        <f>IF(O122="","",IF(ISNUMBER('Dvd Calendar'!$Q$1651)=FALSE,"",IF((Summary!$C$13="N")*('Dvd Calendar'!$Q$1655='Field Check'!$C$25)&gt;0,"",'Dvd Calendar'!$Q$1651)))</f>
        <v/>
      </c>
      <c r="CD122" s="85">
        <f>IF(P122="","",IF(ISNUMBER('Dvd Calendar'!$R$1651)=FALSE,"",IF((Summary!$C$13="N")*('Dvd Calendar'!$R$1655='Field Check'!$C$25)&gt;0,"",'Dvd Calendar'!$R$1651)))</f>
        <v/>
      </c>
      <c r="CE122" s="85">
        <f>IF(Q122="","",IF(ISNUMBER('Dvd Calendar'!$S$1651)=FALSE,"",IF((Summary!$C$13="N")*('Dvd Calendar'!$S$1655='Field Check'!$C$25)&gt;0,"",'Dvd Calendar'!$S$1651)))</f>
        <v/>
      </c>
      <c r="CF122" s="85">
        <f>IF(R122="","",IF(ISNUMBER('Dvd Calendar'!$T$1651)=FALSE,"",IF((Summary!$C$13="N")*('Dvd Calendar'!$T$1655='Field Check'!$C$25)&gt;0,"",'Dvd Calendar'!$T$1651)))</f>
        <v/>
      </c>
      <c r="CG122" s="85">
        <f>IF(S122="","",IF(ISNUMBER('Dvd Calendar'!$U$1651)=FALSE,"",IF((Summary!$C$13="N")*('Dvd Calendar'!$U$1655='Field Check'!$C$25)&gt;0,"",'Dvd Calendar'!$U$1651)))</f>
        <v/>
      </c>
      <c r="CH122" s="85">
        <f>IF(T122="","",IF(ISNUMBER('Dvd Calendar'!$V$1651)=FALSE,"",IF((Summary!$C$13="N")*('Dvd Calendar'!$V$1655='Field Check'!$C$25)&gt;0,"",'Dvd Calendar'!$V$1651)))</f>
        <v/>
      </c>
      <c r="CI122" s="85">
        <f>IF(U122="","",IF(ISNUMBER('Dvd Calendar'!$W$1651)=FALSE,"",IF((Summary!$C$13="N")*('Dvd Calendar'!$W$1655='Field Check'!$C$25)&gt;0,"",'Dvd Calendar'!$W$1651)))</f>
        <v/>
      </c>
      <c r="CJ122" s="85">
        <f>IF(V122="","",IF(ISNUMBER('Dvd Calendar'!$X$1651)=FALSE,"",IF((Summary!$C$13="N")*('Dvd Calendar'!$X$1655='Field Check'!$C$25)&gt;0,"",'Dvd Calendar'!$X$1651)))</f>
        <v/>
      </c>
      <c r="CK122" s="85">
        <f>IF(W122="","",IF(ISNUMBER('Dvd Calendar'!$Y$1651)=FALSE,"",IF((Summary!$C$13="N")*('Dvd Calendar'!$Y$1655='Field Check'!$C$25)&gt;0,"",'Dvd Calendar'!$Y$1651)))</f>
        <v/>
      </c>
      <c r="CL122" s="85">
        <f>IF(X122="","",IF(ISNUMBER('Dvd Calendar'!$Z$1651)=FALSE,"",IF((Summary!$C$13="N")*('Dvd Calendar'!$Z$1655='Field Check'!$C$25)&gt;0,"",'Dvd Calendar'!$Z$1651)))</f>
        <v/>
      </c>
      <c r="CM122" s="85">
        <f>IF(Y122="","",IF(ISNUMBER('Dvd Calendar'!$AA$1651)=FALSE,"",IF((Summary!$C$13="N")*('Dvd Calendar'!$AA$1655='Field Check'!$C$25)&gt;0,"",'Dvd Calendar'!$AA$1651)))</f>
        <v/>
      </c>
      <c r="CN122" s="85">
        <f>IF(Z122="","",IF(ISNUMBER('Dvd Calendar'!$AB$1651)=FALSE,"",IF((Summary!$C$13="N")*('Dvd Calendar'!$AB$1655='Field Check'!$C$25)&gt;0,"",'Dvd Calendar'!$AB$1651)))</f>
        <v/>
      </c>
      <c r="CO122" s="85">
        <f>IF(AA122="","",IF(ISNUMBER('Dvd Calendar'!$AC$1651)=FALSE,"",IF((Summary!$C$13="N")*('Dvd Calendar'!$AC$1655='Field Check'!$C$25)&gt;0,"",'Dvd Calendar'!$AC$1651)))</f>
        <v/>
      </c>
      <c r="CP122" s="85">
        <f>IF(AB122="","",IF(ISNUMBER('Dvd Calendar'!$AD$1651)=FALSE,"",IF((Summary!$C$13="N")*('Dvd Calendar'!$AD$1655='Field Check'!$C$25)&gt;0,"",'Dvd Calendar'!$AD$1651)))</f>
        <v/>
      </c>
      <c r="CQ122" s="85">
        <f>IF(AC122="","",IF(ISNUMBER('Dvd Calendar'!$AE$1651)=FALSE,"",IF((Summary!$C$13="N")*('Dvd Calendar'!$AE$1655='Field Check'!$C$25)&gt;0,"",'Dvd Calendar'!$AE$1651)))</f>
        <v/>
      </c>
      <c r="CR122" s="85">
        <f>IF(AD122="","",IF(ISNUMBER('Dvd Calendar'!$AF$1651)=FALSE,"",IF((Summary!$C$13="N")*('Dvd Calendar'!$AF$1655='Field Check'!$C$25)&gt;0,"",'Dvd Calendar'!$AF$1651)))</f>
        <v/>
      </c>
      <c r="CS122" s="85">
        <f>IF(AE122="","",IF(ISNUMBER('Dvd Calendar'!$AG$1651)=FALSE,"",IF((Summary!$C$13="N")*('Dvd Calendar'!$AG$1655='Field Check'!$C$25)&gt;0,"",'Dvd Calendar'!$AG$1651)))</f>
        <v/>
      </c>
      <c r="CT122" s="85">
        <f>IF(AF122="","",IF(ISNUMBER('Dvd Calendar'!$AH$1651)=FALSE,"",IF((Summary!$C$13="N")*('Dvd Calendar'!$AH$1655='Field Check'!$C$25)&gt;0,"",'Dvd Calendar'!$AH$1651)))</f>
        <v/>
      </c>
      <c r="CU122" s="85">
        <f>IF(AG122="","",IF(ISNUMBER('Dvd Calendar'!$AI$1651)=FALSE,"",IF((Summary!$C$13="N")*('Dvd Calendar'!$AI$1655='Field Check'!$C$25)&gt;0,"",'Dvd Calendar'!$AI$1651)))</f>
        <v/>
      </c>
      <c r="CV122" s="85">
        <f>IF(AH122="","",IF(ISNUMBER('Dvd Calendar'!$AJ$1651)=FALSE,"",IF((Summary!$C$13="N")*('Dvd Calendar'!$AJ$1655='Field Check'!$C$25)&gt;0,"",'Dvd Calendar'!$AJ$1651)))</f>
        <v/>
      </c>
      <c r="CW122" s="85">
        <f>IF(AI122="","",IF(ISNUMBER('Dvd Calendar'!$AK$1651)=FALSE,"",IF((Summary!$C$13="N")*('Dvd Calendar'!$AK$1655='Field Check'!$C$25)&gt;0,"",'Dvd Calendar'!$AK$1651)))</f>
        <v/>
      </c>
      <c r="CX122" s="85">
        <f>IF(AJ122="","",IF(ISNUMBER('Dvd Calendar'!$AL$1651)=FALSE,"",IF((Summary!$C$13="N")*('Dvd Calendar'!$AL$1655='Field Check'!$C$25)&gt;0,"",'Dvd Calendar'!$AL$1651)))</f>
        <v/>
      </c>
      <c r="CY122" s="85">
        <f>IF(AK122="","",IF(ISNUMBER('Dvd Calendar'!$AM$1651)=FALSE,"",IF((Summary!$C$13="N")*('Dvd Calendar'!$AM$1655='Field Check'!$C$25)&gt;0,"",'Dvd Calendar'!$AM$1651)))</f>
        <v/>
      </c>
      <c r="CZ122" s="85">
        <f>IF(AL122="","",IF(ISNUMBER('Dvd Calendar'!$AN$1651)=FALSE,"",IF((Summary!$C$13="N")*('Dvd Calendar'!$AN$1655='Field Check'!$C$25)&gt;0,"",'Dvd Calendar'!$AN$1651)))</f>
        <v/>
      </c>
      <c r="DA122" s="85">
        <f>IF(AM122="","",IF(ISNUMBER('Dvd Calendar'!$AO$1651)=FALSE,"",IF((Summary!$C$13="N")*('Dvd Calendar'!$AO$1655='Field Check'!$C$25)&gt;0,"",'Dvd Calendar'!$AO$1651)))</f>
        <v/>
      </c>
      <c r="DB122" s="85">
        <f>IF(AN122="","",IF(ISNUMBER('Dvd Calendar'!$AP$1651)=FALSE,"",IF((Summary!$C$13="N")*('Dvd Calendar'!$AP$1655='Field Check'!$C$25)&gt;0,"",'Dvd Calendar'!$AP$1651)))</f>
        <v/>
      </c>
      <c r="DC122" s="85">
        <f>IF(AO122="","",IF(ISNUMBER('Dvd Calendar'!$AQ$1651)=FALSE,"",IF((Summary!$C$13="N")*('Dvd Calendar'!$AQ$1655='Field Check'!$C$25)&gt;0,"",'Dvd Calendar'!$AQ$1651)))</f>
        <v/>
      </c>
      <c r="DD122" s="85">
        <f>IF(AP122="","",IF(ISNUMBER('Dvd Calendar'!$AR$1651)=FALSE,"",IF((Summary!$C$13="N")*('Dvd Calendar'!$AR$1655='Field Check'!$C$25)&gt;0,"",'Dvd Calendar'!$AR$1651)))</f>
        <v/>
      </c>
      <c r="DE122" s="85">
        <f>IF(AQ122="","",IF(ISNUMBER('Dvd Calendar'!$E$1658)=FALSE,"",IF((Summary!$C$13="N")*('Dvd Calendar'!$E$1662='Field Check'!$C$25)&gt;0,"",'Dvd Calendar'!$E$1658)))</f>
        <v/>
      </c>
      <c r="DF122" s="85">
        <f>IF(AR122="","",IF(ISNUMBER('Dvd Calendar'!$F$1658)=FALSE,"",IF((Summary!$C$13="N")*('Dvd Calendar'!$F$1662='Field Check'!$C$25)&gt;0,"",'Dvd Calendar'!$F$1658)))</f>
        <v/>
      </c>
      <c r="DG122" s="85">
        <f>IF(AS122="","",IF(ISNUMBER('Dvd Calendar'!$G$1658)=FALSE,"",IF((Summary!$C$13="N")*('Dvd Calendar'!$G$1662='Field Check'!$C$25)&gt;0,"",'Dvd Calendar'!$G$1658)))</f>
        <v/>
      </c>
      <c r="DH122" s="85">
        <f>IF(AT122="","",IF(ISNUMBER('Dvd Calendar'!$H$1658)=FALSE,"",IF((Summary!$C$13="N")*('Dvd Calendar'!$H$1662='Field Check'!$C$25)&gt;0,"",'Dvd Calendar'!$H$1658)))</f>
        <v/>
      </c>
      <c r="DI122" s="85">
        <f>IF(AU122="","",IF(ISNUMBER('Dvd Calendar'!$I$1658)=FALSE,"",IF((Summary!$C$13="N")*('Dvd Calendar'!$I$1662='Field Check'!$C$25)&gt;0,"",'Dvd Calendar'!$I$1658)))</f>
        <v/>
      </c>
      <c r="DJ122" s="85">
        <f>IF(AV122="","",IF(ISNUMBER('Dvd Calendar'!$J$1658)=FALSE,"",IF((Summary!$C$13="N")*('Dvd Calendar'!$J$1662='Field Check'!$C$25)&gt;0,"",'Dvd Calendar'!$J$1658)))</f>
        <v/>
      </c>
      <c r="DK122" s="85">
        <f>IF(AW122="","",IF(ISNUMBER('Dvd Calendar'!$K$1658)=FALSE,"",IF((Summary!$C$13="N")*('Dvd Calendar'!$K$1662='Field Check'!$C$25)&gt;0,"",'Dvd Calendar'!$K$1658)))</f>
        <v/>
      </c>
      <c r="DL122" s="85">
        <f>IF(AX122="","",IF(ISNUMBER('Dvd Calendar'!$L$1658)=FALSE,"",IF((Summary!$C$13="N")*('Dvd Calendar'!$L$1662='Field Check'!$C$25)&gt;0,"",'Dvd Calendar'!$L$1658)))</f>
        <v/>
      </c>
      <c r="DM122" s="85">
        <f>IF(AY122="","",IF(ISNUMBER('Dvd Calendar'!$M$1658)=FALSE,"",IF((Summary!$C$13="N")*('Dvd Calendar'!$M$1662='Field Check'!$C$25)&gt;0,"",'Dvd Calendar'!$M$1658)))</f>
        <v/>
      </c>
      <c r="DN122" s="85">
        <f>IF(AZ122="","",IF(ISNUMBER('Dvd Calendar'!$N$1658)=FALSE,"",IF((Summary!$C$13="N")*('Dvd Calendar'!$N$1662='Field Check'!$C$25)&gt;0,"",'Dvd Calendar'!$N$1658)))</f>
        <v/>
      </c>
      <c r="DO122" s="85">
        <f>IF(BA122="","",IF(ISNUMBER('Dvd Calendar'!$O$1658)=FALSE,"",IF((Summary!$C$13="N")*('Dvd Calendar'!$O$1662='Field Check'!$C$25)&gt;0,"",'Dvd Calendar'!$O$1658)))</f>
        <v/>
      </c>
      <c r="DP122" s="85">
        <f>IF(BB122="","",IF(ISNUMBER('Dvd Calendar'!$P$1658)=FALSE,"",IF((Summary!$C$13="N")*('Dvd Calendar'!$P$1662='Field Check'!$C$25)&gt;0,"",'Dvd Calendar'!$P$1658)))</f>
        <v/>
      </c>
      <c r="DQ122" s="85">
        <f>IF(BC122="","",IF(ISNUMBER('Dvd Calendar'!$Q$1658)=FALSE,"",IF((Summary!$C$13="N")*('Dvd Calendar'!$Q$1662='Field Check'!$C$25)&gt;0,"",'Dvd Calendar'!$Q$1658)))</f>
        <v/>
      </c>
      <c r="DR122" s="85">
        <f>IF(BD122="","",IF(ISNUMBER('Dvd Calendar'!$R$1658)=FALSE,"",IF((Summary!$C$13="N")*('Dvd Calendar'!$R$1662='Field Check'!$C$25)&gt;0,"",'Dvd Calendar'!$R$1658)))</f>
        <v/>
      </c>
      <c r="DS122" s="85">
        <f>IF(BE122="","",IF(ISNUMBER('Dvd Calendar'!$S$1658)=FALSE,"",IF((Summary!$C$13="N")*('Dvd Calendar'!$S$1662='Field Check'!$C$25)&gt;0,"",'Dvd Calendar'!$S$1658)))</f>
        <v/>
      </c>
      <c r="DT122" s="85">
        <f>IF(BF122="","",IF(ISNUMBER('Dvd Calendar'!$T$1658)=FALSE,"",IF((Summary!$C$13="N")*('Dvd Calendar'!$T$1662='Field Check'!$C$25)&gt;0,"",'Dvd Calendar'!$T$1658)))</f>
        <v/>
      </c>
      <c r="DU122" s="85">
        <f>IF(BG122="","",IF(ISNUMBER('Dvd Calendar'!$U$1658)=FALSE,"",IF((Summary!$C$13="N")*('Dvd Calendar'!$U$1662='Field Check'!$C$25)&gt;0,"",'Dvd Calendar'!$U$1658)))</f>
        <v/>
      </c>
      <c r="DV122" s="85">
        <f>IF(BH122="","",IF(ISNUMBER('Dvd Calendar'!$V$1658)=FALSE,"",IF((Summary!$C$13="N")*('Dvd Calendar'!$V$1662='Field Check'!$C$25)&gt;0,"",'Dvd Calendar'!$V$1658)))</f>
        <v/>
      </c>
      <c r="DW122" s="85">
        <f>IF(BI122="","",IF(ISNUMBER('Dvd Calendar'!$W$1658)=FALSE,"",IF((Summary!$C$13="N")*('Dvd Calendar'!$W$1662='Field Check'!$C$25)&gt;0,"",'Dvd Calendar'!$W$1658)))</f>
        <v/>
      </c>
      <c r="DX122" s="85">
        <f>IF(BJ122="","",IF(ISNUMBER('Dvd Calendar'!$X$1658)=FALSE,"",IF((Summary!$C$13="N")*('Dvd Calendar'!$X$1662='Field Check'!$C$25)&gt;0,"",'Dvd Calendar'!$X$1658)))</f>
        <v/>
      </c>
      <c r="DY122" s="85">
        <f>IF(BK122="","",IF(ISNUMBER('Dvd Calendar'!$Y$1658)=FALSE,"",IF((Summary!$C$13="N")*('Dvd Calendar'!$Y$1662='Field Check'!$C$25)&gt;0,"",'Dvd Calendar'!$Y$1658)))</f>
        <v/>
      </c>
      <c r="DZ122" s="85">
        <f>IF(BL122="","",IF(ISNUMBER('Dvd Calendar'!$Z$1658)=FALSE,"",IF((Summary!$C$13="N")*('Dvd Calendar'!$Z$1662='Field Check'!$C$25)&gt;0,"",'Dvd Calendar'!$Z$1658)))</f>
        <v/>
      </c>
      <c r="EA122" s="85">
        <f>IF(BM122="","",IF(ISNUMBER('Dvd Calendar'!$AA$1658)=FALSE,"",IF((Summary!$C$13="N")*('Dvd Calendar'!$AA$1662='Field Check'!$C$25)&gt;0,"",'Dvd Calendar'!$AA$1658)))</f>
        <v/>
      </c>
      <c r="EB122" s="85">
        <f>IF(BN122="","",IF(ISNUMBER('Dvd Calendar'!$AB$1658)=FALSE,"",IF((Summary!$C$13="N")*('Dvd Calendar'!$AB$1662='Field Check'!$C$25)&gt;0,"",'Dvd Calendar'!$AB$1658)))</f>
        <v/>
      </c>
      <c r="EC122" s="85">
        <f>IF(BO122="","",IF(ISNUMBER('Dvd Calendar'!$AC$1658)=FALSE,"",IF((Summary!$C$13="N")*('Dvd Calendar'!$AC$1662='Field Check'!$C$25)&gt;0,"",'Dvd Calendar'!$AC$1658)))</f>
        <v/>
      </c>
      <c r="EE122" s="85">
        <f>IF(BQ122="","",IFERROR(BQ122*HSTECH!$B$16*HSTECH!$G$16/HSTECH!$B$3,""))</f>
        <v/>
      </c>
      <c r="EF122" s="85">
        <f>IF(BR122="","",IFERROR(BR122*HSTECH!$B$16*HSTECH!$G$16/HSTECH!$B$3,""))</f>
        <v/>
      </c>
      <c r="EG122" s="85">
        <f>IF(BS122="","",IFERROR(BS122*HSTECH!$B$16*HSTECH!$G$16/HSTECH!$B$3,""))</f>
        <v/>
      </c>
      <c r="EH122" s="85">
        <f>IF(BT122="","",IFERROR(BT122*HSTECH!$B$16*HSTECH!$G$16/HSTECH!$B$3,""))</f>
        <v/>
      </c>
      <c r="EI122" s="85">
        <f>IF(BU122="","",IFERROR(BU122*HSTECH!$B$16*HSTECH!$G$16/HSTECH!$B$3,""))</f>
        <v/>
      </c>
      <c r="EJ122" s="85">
        <f>IF(BV122="","",IFERROR(BV122*HSTECH!$B$16*HSTECH!$G$16/HSTECH!$B$3,""))</f>
        <v/>
      </c>
      <c r="EK122" s="85">
        <f>IF(BW122="","",IFERROR(BW122*HSTECH!$B$16*HSTECH!$G$16/HSTECH!$B$3,""))</f>
        <v/>
      </c>
      <c r="EL122" s="85">
        <f>IF(BX122="","",IFERROR(BX122*HSTECH!$B$16*HSTECH!$G$16/HSTECH!$B$3,""))</f>
        <v/>
      </c>
      <c r="EM122" s="85">
        <f>IF(BY122="","",IFERROR(BY122*HSTECH!$B$16*HSTECH!$G$16/HSTECH!$B$3,""))</f>
        <v/>
      </c>
      <c r="EN122" s="85">
        <f>IF(BZ122="","",IFERROR(BZ122*HSTECH!$B$16*HSTECH!$G$16/HSTECH!$B$3,""))</f>
        <v/>
      </c>
      <c r="EO122" s="85">
        <f>IF(CA122="","",IFERROR(CA122*HSTECH!$B$16*HSTECH!$G$16/HSTECH!$B$3,""))</f>
        <v/>
      </c>
      <c r="EP122" s="85">
        <f>IF(CB122="","",IFERROR(CB122*HSTECH!$B$16*HSTECH!$G$16/HSTECH!$B$3,""))</f>
        <v/>
      </c>
      <c r="EQ122" s="85">
        <f>IF(CC122="","",IFERROR(CC122*HSTECH!$B$16*HSTECH!$G$16/HSTECH!$B$3,""))</f>
        <v/>
      </c>
      <c r="ER122" s="85">
        <f>IF(CD122="","",IFERROR(CD122*HSTECH!$B$16*HSTECH!$G$16/HSTECH!$B$3,""))</f>
        <v/>
      </c>
      <c r="ES122" s="85">
        <f>IF(CE122="","",IFERROR(CE122*HSTECH!$B$16*HSTECH!$G$16/HSTECH!$B$3,""))</f>
        <v/>
      </c>
      <c r="ET122" s="85">
        <f>IF(CF122="","",IFERROR(CF122*HSTECH!$B$16*HSTECH!$G$16/HSTECH!$B$3,""))</f>
        <v/>
      </c>
      <c r="EU122" s="85">
        <f>IF(CG122="","",IFERROR(CG122*HSTECH!$B$16*HSTECH!$G$16/HSTECH!$B$3,""))</f>
        <v/>
      </c>
      <c r="EV122" s="85">
        <f>IF(CH122="","",IFERROR(CH122*HSTECH!$B$16*HSTECH!$G$16/HSTECH!$B$3,""))</f>
        <v/>
      </c>
      <c r="EW122" s="85">
        <f>IF(CI122="","",IFERROR(CI122*HSTECH!$B$16*HSTECH!$G$16/HSTECH!$B$3,""))</f>
        <v/>
      </c>
      <c r="EX122" s="85">
        <f>IF(CJ122="","",IFERROR(CJ122*HSTECH!$B$16*HSTECH!$G$16/HSTECH!$B$3,""))</f>
        <v/>
      </c>
      <c r="EY122" s="85">
        <f>IF(CK122="","",IFERROR(CK122*HSTECH!$B$16*HSTECH!$G$16/HSTECH!$B$3,""))</f>
        <v/>
      </c>
      <c r="EZ122" s="85">
        <f>IF(CL122="","",IFERROR(CL122*HSTECH!$B$16*HSTECH!$G$16/HSTECH!$B$3,""))</f>
        <v/>
      </c>
      <c r="FA122" s="85">
        <f>IF(CM122="","",IFERROR(CM122*HSTECH!$B$16*HSTECH!$G$16/HSTECH!$B$3,""))</f>
        <v/>
      </c>
      <c r="FB122" s="85">
        <f>IF(CN122="","",IFERROR(CN122*HSTECH!$B$16*HSTECH!$G$16/HSTECH!$B$3,""))</f>
        <v/>
      </c>
      <c r="FC122" s="85">
        <f>IF(CO122="","",IFERROR(CO122*HSTECH!$B$16*HSTECH!$G$16/HSTECH!$B$3,""))</f>
        <v/>
      </c>
      <c r="FD122" s="85">
        <f>IF(CP122="","",IFERROR(CP122*HSTECH!$B$16*HSTECH!$G$16/HSTECH!$B$3,""))</f>
        <v/>
      </c>
      <c r="FE122" s="85">
        <f>IF(CQ122="","",IFERROR(CQ122*HSTECH!$B$16*HSTECH!$G$16/HSTECH!$B$3,""))</f>
        <v/>
      </c>
      <c r="FF122" s="85">
        <f>IF(CR122="","",IFERROR(CR122*HSTECH!$B$16*HSTECH!$G$16/HSTECH!$B$3,""))</f>
        <v/>
      </c>
      <c r="FG122" s="85">
        <f>IF(CS122="","",IFERROR(CS122*HSTECH!$B$16*HSTECH!$G$16/HSTECH!$B$3,""))</f>
        <v/>
      </c>
      <c r="FH122" s="85">
        <f>IF(CT122="","",IFERROR(CT122*HSTECH!$B$16*HSTECH!$G$16/HSTECH!$B$3,""))</f>
        <v/>
      </c>
      <c r="FI122" s="85">
        <f>IF(CU122="","",IFERROR(CU122*HSTECH!$B$16*HSTECH!$G$16/HSTECH!$B$3,""))</f>
        <v/>
      </c>
      <c r="FJ122" s="85">
        <f>IF(CV122="","",IFERROR(CV122*HSTECH!$B$16*HSTECH!$G$16/HSTECH!$B$3,""))</f>
        <v/>
      </c>
      <c r="FK122" s="85">
        <f>IF(CW122="","",IFERROR(CW122*HSTECH!$B$16*HSTECH!$G$16/HSTECH!$B$3,""))</f>
        <v/>
      </c>
      <c r="FL122" s="85">
        <f>IF(CX122="","",IFERROR(CX122*HSTECH!$B$16*HSTECH!$G$16/HSTECH!$B$3,""))</f>
        <v/>
      </c>
      <c r="FM122" s="85">
        <f>IF(CY122="","",IFERROR(CY122*HSTECH!$B$16*HSTECH!$G$16/HSTECH!$B$3,""))</f>
        <v/>
      </c>
      <c r="FN122" s="85">
        <f>IF(CZ122="","",IFERROR(CZ122*HSTECH!$B$16*HSTECH!$G$16/HSTECH!$B$3,""))</f>
        <v/>
      </c>
      <c r="FO122" s="85">
        <f>IF(DA122="","",IFERROR(DA122*HSTECH!$B$16*HSTECH!$G$16/HSTECH!$B$3,""))</f>
        <v/>
      </c>
      <c r="FP122" s="85">
        <f>IF(DB122="","",IFERROR(DB122*HSTECH!$B$16*HSTECH!$G$16/HSTECH!$B$3,""))</f>
        <v/>
      </c>
      <c r="FQ122" s="85">
        <f>IF(DC122="","",IFERROR(DC122*HSTECH!$B$16*HSTECH!$G$16/HSTECH!$B$3,""))</f>
        <v/>
      </c>
      <c r="FR122" s="85">
        <f>IF(DD122="","",IFERROR(DD122*HSTECH!$B$16*HSTECH!$G$16/HSTECH!$B$3,""))</f>
        <v/>
      </c>
      <c r="FS122" s="85">
        <f>IF(DE122="","",IFERROR(DE122*HSTECH!$B$16*HSTECH!$G$16/HSTECH!$B$3,""))</f>
        <v/>
      </c>
      <c r="FT122" s="85">
        <f>IF(DF122="","",IFERROR(DF122*HSTECH!$B$16*HSTECH!$G$16/HSTECH!$B$3,""))</f>
        <v/>
      </c>
      <c r="FU122" s="85">
        <f>IF(DG122="","",IFERROR(DG122*HSTECH!$B$16*HSTECH!$G$16/HSTECH!$B$3,""))</f>
        <v/>
      </c>
      <c r="FV122" s="85">
        <f>IF(DH122="","",IFERROR(DH122*HSTECH!$B$16*HSTECH!$G$16/HSTECH!$B$3,""))</f>
        <v/>
      </c>
      <c r="FW122" s="85">
        <f>IF(DI122="","",IFERROR(DI122*HSTECH!$B$16*HSTECH!$G$16/HSTECH!$B$3,""))</f>
        <v/>
      </c>
      <c r="FX122" s="85">
        <f>IF(DJ122="","",IFERROR(DJ122*HSTECH!$B$16*HSTECH!$G$16/HSTECH!$B$3,""))</f>
        <v/>
      </c>
      <c r="FY122" s="85">
        <f>IF(DK122="","",IFERROR(DK122*HSTECH!$B$16*HSTECH!$G$16/HSTECH!$B$3,""))</f>
        <v/>
      </c>
      <c r="FZ122" s="85">
        <f>IF(DL122="","",IFERROR(DL122*HSTECH!$B$16*HSTECH!$G$16/HSTECH!$B$3,""))</f>
        <v/>
      </c>
      <c r="GA122" s="85">
        <f>IF(DM122="","",IFERROR(DM122*HSTECH!$B$16*HSTECH!$G$16/HSTECH!$B$3,""))</f>
        <v/>
      </c>
      <c r="GB122" s="85">
        <f>IF(DN122="","",IFERROR(DN122*HSTECH!$B$16*HSTECH!$G$16/HSTECH!$B$3,""))</f>
        <v/>
      </c>
      <c r="GC122" s="85">
        <f>IF(DO122="","",IFERROR(DO122*HSTECH!$B$16*HSTECH!$G$16/HSTECH!$B$3,""))</f>
        <v/>
      </c>
      <c r="GD122" s="85">
        <f>IF(DP122="","",IFERROR(DP122*HSTECH!$B$16*HSTECH!$G$16/HSTECH!$B$3,""))</f>
        <v/>
      </c>
      <c r="GE122" s="85">
        <f>IF(DQ122="","",IFERROR(DQ122*HSTECH!$B$16*HSTECH!$G$16/HSTECH!$B$3,""))</f>
        <v/>
      </c>
      <c r="GF122" s="85">
        <f>IF(DR122="","",IFERROR(DR122*HSTECH!$B$16*HSTECH!$G$16/HSTECH!$B$3,""))</f>
        <v/>
      </c>
      <c r="GG122" s="85">
        <f>IF(DS122="","",IFERROR(DS122*HSTECH!$B$16*HSTECH!$G$16/HSTECH!$B$3,""))</f>
        <v/>
      </c>
      <c r="GH122" s="85">
        <f>IF(DT122="","",IFERROR(DT122*HSTECH!$B$16*HSTECH!$G$16/HSTECH!$B$3,""))</f>
        <v/>
      </c>
      <c r="GI122" s="85">
        <f>IF(DU122="","",IFERROR(DU122*HSTECH!$B$16*HSTECH!$G$16/HSTECH!$B$3,""))</f>
        <v/>
      </c>
      <c r="GJ122" s="85">
        <f>IF(DV122="","",IFERROR(DV122*HSTECH!$B$16*HSTECH!$G$16/HSTECH!$B$3,""))</f>
        <v/>
      </c>
      <c r="GK122" s="85">
        <f>IF(DW122="","",IFERROR(DW122*HSTECH!$B$16*HSTECH!$G$16/HSTECH!$B$3,""))</f>
        <v/>
      </c>
      <c r="GL122" s="85">
        <f>IF(DX122="","",IFERROR(DX122*HSTECH!$B$16*HSTECH!$G$16/HSTECH!$B$3,""))</f>
        <v/>
      </c>
      <c r="GM122" s="85">
        <f>IF(DY122="","",IFERROR(DY122*HSTECH!$B$16*HSTECH!$G$16/HSTECH!$B$3,""))</f>
        <v/>
      </c>
      <c r="GN122" s="85">
        <f>IF(DZ122="","",IFERROR(DZ122*HSTECH!$B$16*HSTECH!$G$16/HSTECH!$B$3,""))</f>
        <v/>
      </c>
      <c r="GO122" s="85">
        <f>IF(EA122="","",IFERROR(EA122*HSTECH!$B$16*HSTECH!$G$16/HSTECH!$B$3,""))</f>
        <v/>
      </c>
      <c r="GP122" s="85">
        <f>IF(EB122="","",IFERROR(EB122*HSTECH!$B$16*HSTECH!$G$16/HSTECH!$B$3,""))</f>
        <v/>
      </c>
      <c r="GQ122" s="85">
        <f>IF(EC122="","",IFERROR(EC122*HSTECH!$B$16*HSTECH!$G$16/HSTECH!$B$3,""))</f>
        <v/>
      </c>
    </row>
    <row r="123">
      <c r="B123" s="2">
        <f>IF(HSTECH!$C$17="","",HSTECH!$C$17)</f>
        <v/>
      </c>
      <c r="C123" s="41">
        <f>IF(N('Dvd Calendar'!$E$1665)=0,"",IF(('Dvd Calendar'!$E$1665&gt;=MIN(DATE(Summary!$C$12,1,1),Summary!$C$11))*('Dvd Calendar'!$E$1665&lt;=MAX(DATE(Summary!$C$12,12,31),Summary!$C$15))*('Dvd Calendar'!$E$1665&lt;=Summary!$C$11)=0,"",'Dvd Calendar'!$E$1665*1000000000+ISNUMBER('Dvd Calendar'!$E$1666)*100000000+('Dvd Calendar'!$E$1670='Field Check'!$C$25)*10000000+(N('Dvd Calendar'!$E$1664)&gt;0)*1000000+11*1000+1))</f>
        <v/>
      </c>
      <c r="D123" s="41">
        <f>IF(N('Dvd Calendar'!$F$1665)=0,"",IF(('Dvd Calendar'!$F$1665&gt;=MIN(DATE(Summary!$C$12,1,1),Summary!$C$11))*('Dvd Calendar'!$F$1665&lt;=MAX(DATE(Summary!$C$12,12,31),Summary!$C$15))*('Dvd Calendar'!$F$1665&lt;=Summary!$C$11)=0,"",'Dvd Calendar'!$F$1665*1000000000+ISNUMBER('Dvd Calendar'!$F$1666)*100000000+('Dvd Calendar'!$F$1670='Field Check'!$C$25)*10000000+(N('Dvd Calendar'!$F$1664)&gt;0)*1000000+11*1000+2))</f>
        <v/>
      </c>
      <c r="E123" s="41">
        <f>IF(N('Dvd Calendar'!$G$1665)=0,"",IF(('Dvd Calendar'!$G$1665&gt;=MIN(DATE(Summary!$C$12,1,1),Summary!$C$11))*('Dvd Calendar'!$G$1665&lt;=MAX(DATE(Summary!$C$12,12,31),Summary!$C$15))*('Dvd Calendar'!$G$1665&lt;=Summary!$C$11)=0,"",'Dvd Calendar'!$G$1665*1000000000+ISNUMBER('Dvd Calendar'!$G$1666)*100000000+('Dvd Calendar'!$G$1670='Field Check'!$C$25)*10000000+(N('Dvd Calendar'!$G$1664)&gt;0)*1000000+11*1000+3))</f>
        <v/>
      </c>
      <c r="F123" s="41">
        <f>IF(N('Dvd Calendar'!$H$1665)=0,"",IF(('Dvd Calendar'!$H$1665&gt;=MIN(DATE(Summary!$C$12,1,1),Summary!$C$11))*('Dvd Calendar'!$H$1665&lt;=MAX(DATE(Summary!$C$12,12,31),Summary!$C$15))*('Dvd Calendar'!$H$1665&lt;=Summary!$C$11)=0,"",'Dvd Calendar'!$H$1665*1000000000+ISNUMBER('Dvd Calendar'!$H$1666)*100000000+('Dvd Calendar'!$H$1670='Field Check'!$C$25)*10000000+(N('Dvd Calendar'!$H$1664)&gt;0)*1000000+11*1000+4))</f>
        <v/>
      </c>
      <c r="G123" s="41">
        <f>IF(N('Dvd Calendar'!$I$1665)=0,"",IF(('Dvd Calendar'!$I$1665&gt;=MIN(DATE(Summary!$C$12,1,1),Summary!$C$11))*('Dvd Calendar'!$I$1665&lt;=MAX(DATE(Summary!$C$12,12,31),Summary!$C$15))*('Dvd Calendar'!$I$1665&lt;=Summary!$C$11)=0,"",'Dvd Calendar'!$I$1665*1000000000+ISNUMBER('Dvd Calendar'!$I$1666)*100000000+('Dvd Calendar'!$I$1670='Field Check'!$C$25)*10000000+(N('Dvd Calendar'!$I$1664)&gt;0)*1000000+11*1000+5))</f>
        <v/>
      </c>
      <c r="H123" s="41">
        <f>IF(N('Dvd Calendar'!$J$1665)=0,"",IF(('Dvd Calendar'!$J$1665&gt;=MIN(DATE(Summary!$C$12,1,1),Summary!$C$11))*('Dvd Calendar'!$J$1665&lt;=MAX(DATE(Summary!$C$12,12,31),Summary!$C$15))*('Dvd Calendar'!$J$1665&lt;=Summary!$C$11)=0,"",'Dvd Calendar'!$J$1665*1000000000+ISNUMBER('Dvd Calendar'!$J$1666)*100000000+('Dvd Calendar'!$J$1670='Field Check'!$C$25)*10000000+(N('Dvd Calendar'!$J$1664)&gt;0)*1000000+11*1000+6))</f>
        <v/>
      </c>
      <c r="I123" s="41">
        <f>IF(N('Dvd Calendar'!$K$1665)=0,"",IF(('Dvd Calendar'!$K$1665&gt;=MIN(DATE(Summary!$C$12,1,1),Summary!$C$11))*('Dvd Calendar'!$K$1665&lt;=MAX(DATE(Summary!$C$12,12,31),Summary!$C$15))*('Dvd Calendar'!$K$1665&lt;=Summary!$C$11)=0,"",'Dvd Calendar'!$K$1665*1000000000+ISNUMBER('Dvd Calendar'!$K$1666)*100000000+('Dvd Calendar'!$K$1670='Field Check'!$C$25)*10000000+(N('Dvd Calendar'!$K$1664)&gt;0)*1000000+11*1000+7))</f>
        <v/>
      </c>
      <c r="J123" s="41">
        <f>IF(N('Dvd Calendar'!$L$1665)=0,"",IF(('Dvd Calendar'!$L$1665&gt;=MIN(DATE(Summary!$C$12,1,1),Summary!$C$11))*('Dvd Calendar'!$L$1665&lt;=MAX(DATE(Summary!$C$12,12,31),Summary!$C$15))*('Dvd Calendar'!$L$1665&lt;=Summary!$C$11)=0,"",'Dvd Calendar'!$L$1665*1000000000+ISNUMBER('Dvd Calendar'!$L$1666)*100000000+('Dvd Calendar'!$L$1670='Field Check'!$C$25)*10000000+(N('Dvd Calendar'!$L$1664)&gt;0)*1000000+11*1000+8))</f>
        <v/>
      </c>
      <c r="K123" s="41">
        <f>IF(N('Dvd Calendar'!$M$1665)=0,"",IF(('Dvd Calendar'!$M$1665&gt;=MIN(DATE(Summary!$C$12,1,1),Summary!$C$11))*('Dvd Calendar'!$M$1665&lt;=MAX(DATE(Summary!$C$12,12,31),Summary!$C$15))*('Dvd Calendar'!$M$1665&lt;=Summary!$C$11)=0,"",'Dvd Calendar'!$M$1665*1000000000+ISNUMBER('Dvd Calendar'!$M$1666)*100000000+('Dvd Calendar'!$M$1670='Field Check'!$C$25)*10000000+(N('Dvd Calendar'!$M$1664)&gt;0)*1000000+11*1000+9))</f>
        <v/>
      </c>
      <c r="L123" s="41">
        <f>IF(N('Dvd Calendar'!$N$1665)=0,"",IF(('Dvd Calendar'!$N$1665&gt;=MIN(DATE(Summary!$C$12,1,1),Summary!$C$11))*('Dvd Calendar'!$N$1665&lt;=MAX(DATE(Summary!$C$12,12,31),Summary!$C$15))*('Dvd Calendar'!$N$1665&lt;=Summary!$C$11)=0,"",'Dvd Calendar'!$N$1665*1000000000+ISNUMBER('Dvd Calendar'!$N$1666)*100000000+('Dvd Calendar'!$N$1670='Field Check'!$C$25)*10000000+(N('Dvd Calendar'!$N$1664)&gt;0)*1000000+11*1000+10))</f>
        <v/>
      </c>
      <c r="M123" s="41">
        <f>IF(N('Dvd Calendar'!$O$1665)=0,"",IF(('Dvd Calendar'!$O$1665&gt;=MIN(DATE(Summary!$C$12,1,1),Summary!$C$11))*('Dvd Calendar'!$O$1665&lt;=MAX(DATE(Summary!$C$12,12,31),Summary!$C$15))*('Dvd Calendar'!$O$1665&lt;=Summary!$C$11)=0,"",'Dvd Calendar'!$O$1665*1000000000+ISNUMBER('Dvd Calendar'!$O$1666)*100000000+('Dvd Calendar'!$O$1670='Field Check'!$C$25)*10000000+(N('Dvd Calendar'!$O$1664)&gt;0)*1000000+11*1000+11))</f>
        <v/>
      </c>
      <c r="N123" s="41">
        <f>IF(N('Dvd Calendar'!$P$1665)=0,"",IF(('Dvd Calendar'!$P$1665&gt;=MIN(DATE(Summary!$C$12,1,1),Summary!$C$11))*('Dvd Calendar'!$P$1665&lt;=MAX(DATE(Summary!$C$12,12,31),Summary!$C$15))*('Dvd Calendar'!$P$1665&lt;=Summary!$C$11)=0,"",'Dvd Calendar'!$P$1665*1000000000+ISNUMBER('Dvd Calendar'!$P$1666)*100000000+('Dvd Calendar'!$P$1670='Field Check'!$C$25)*10000000+(N('Dvd Calendar'!$P$1664)&gt;0)*1000000+11*1000+12))</f>
        <v/>
      </c>
      <c r="O123" s="41">
        <f>IF(N('Dvd Calendar'!$Q$1665)=0,"",IF(('Dvd Calendar'!$Q$1665&gt;=MIN(DATE(Summary!$C$12,1,1),Summary!$C$11))*('Dvd Calendar'!$Q$1665&lt;=MAX(DATE(Summary!$C$12,12,31),Summary!$C$15))*('Dvd Calendar'!$Q$1665&lt;=Summary!$C$11)=0,"",'Dvd Calendar'!$Q$1665*1000000000+ISNUMBER('Dvd Calendar'!$Q$1666)*100000000+('Dvd Calendar'!$Q$1670='Field Check'!$C$25)*10000000+(N('Dvd Calendar'!$Q$1664)&gt;0)*1000000+11*1000+13))</f>
        <v/>
      </c>
      <c r="P123" s="41">
        <f>IF(N('Dvd Calendar'!$R$1665)=0,"",IF(('Dvd Calendar'!$R$1665&gt;=MIN(DATE(Summary!$C$12,1,1),Summary!$C$11))*('Dvd Calendar'!$R$1665&lt;=MAX(DATE(Summary!$C$12,12,31),Summary!$C$15))*('Dvd Calendar'!$R$1665&lt;=Summary!$C$11)=0,"",'Dvd Calendar'!$R$1665*1000000000+ISNUMBER('Dvd Calendar'!$R$1666)*100000000+('Dvd Calendar'!$R$1670='Field Check'!$C$25)*10000000+(N('Dvd Calendar'!$R$1664)&gt;0)*1000000+11*1000+14))</f>
        <v/>
      </c>
      <c r="Q123" s="41">
        <f>IF(N('Dvd Calendar'!$S$1665)=0,"",IF(('Dvd Calendar'!$S$1665&gt;=MIN(DATE(Summary!$C$12,1,1),Summary!$C$11))*('Dvd Calendar'!$S$1665&lt;=MAX(DATE(Summary!$C$12,12,31),Summary!$C$15))*('Dvd Calendar'!$S$1665&lt;=Summary!$C$11)=0,"",'Dvd Calendar'!$S$1665*1000000000+ISNUMBER('Dvd Calendar'!$S$1666)*100000000+('Dvd Calendar'!$S$1670='Field Check'!$C$25)*10000000+(N('Dvd Calendar'!$S$1664)&gt;0)*1000000+11*1000+15))</f>
        <v/>
      </c>
      <c r="R123" s="41">
        <f>IF(N('Dvd Calendar'!$T$1665)=0,"",IF(('Dvd Calendar'!$T$1665&gt;=MIN(DATE(Summary!$C$12,1,1),Summary!$C$11))*('Dvd Calendar'!$T$1665&lt;=MAX(DATE(Summary!$C$12,12,31),Summary!$C$15))*('Dvd Calendar'!$T$1665&lt;=Summary!$C$11)=0,"",'Dvd Calendar'!$T$1665*1000000000+ISNUMBER('Dvd Calendar'!$T$1666)*100000000+('Dvd Calendar'!$T$1670='Field Check'!$C$25)*10000000+(N('Dvd Calendar'!$T$1664)&gt;0)*1000000+11*1000+16))</f>
        <v/>
      </c>
      <c r="S123" s="41">
        <f>IF(N('Dvd Calendar'!$U$1665)=0,"",IF(('Dvd Calendar'!$U$1665&gt;=MIN(DATE(Summary!$C$12,1,1),Summary!$C$11))*('Dvd Calendar'!$U$1665&lt;=MAX(DATE(Summary!$C$12,12,31),Summary!$C$15))*('Dvd Calendar'!$U$1665&lt;=Summary!$C$11)=0,"",'Dvd Calendar'!$U$1665*1000000000+ISNUMBER('Dvd Calendar'!$U$1666)*100000000+('Dvd Calendar'!$U$1670='Field Check'!$C$25)*10000000+(N('Dvd Calendar'!$U$1664)&gt;0)*1000000+11*1000+17))</f>
        <v/>
      </c>
      <c r="T123" s="41">
        <f>IF(N('Dvd Calendar'!$V$1665)=0,"",IF(('Dvd Calendar'!$V$1665&gt;=MIN(DATE(Summary!$C$12,1,1),Summary!$C$11))*('Dvd Calendar'!$V$1665&lt;=MAX(DATE(Summary!$C$12,12,31),Summary!$C$15))*('Dvd Calendar'!$V$1665&lt;=Summary!$C$11)=0,"",'Dvd Calendar'!$V$1665*1000000000+ISNUMBER('Dvd Calendar'!$V$1666)*100000000+('Dvd Calendar'!$V$1670='Field Check'!$C$25)*10000000+(N('Dvd Calendar'!$V$1664)&gt;0)*1000000+11*1000+18))</f>
        <v/>
      </c>
      <c r="U123" s="41">
        <f>IF(N('Dvd Calendar'!$W$1665)=0,"",IF(('Dvd Calendar'!$W$1665&gt;=MIN(DATE(Summary!$C$12,1,1),Summary!$C$11))*('Dvd Calendar'!$W$1665&lt;=MAX(DATE(Summary!$C$12,12,31),Summary!$C$15))*('Dvd Calendar'!$W$1665&lt;=Summary!$C$11)=0,"",'Dvd Calendar'!$W$1665*1000000000+ISNUMBER('Dvd Calendar'!$W$1666)*100000000+('Dvd Calendar'!$W$1670='Field Check'!$C$25)*10000000+(N('Dvd Calendar'!$W$1664)&gt;0)*1000000+11*1000+19))</f>
        <v/>
      </c>
      <c r="V123" s="41">
        <f>IF(N('Dvd Calendar'!$X$1665)=0,"",IF(('Dvd Calendar'!$X$1665&gt;=MIN(DATE(Summary!$C$12,1,1),Summary!$C$11))*('Dvd Calendar'!$X$1665&lt;=MAX(DATE(Summary!$C$12,12,31),Summary!$C$15))*('Dvd Calendar'!$X$1665&lt;=Summary!$C$11)=0,"",'Dvd Calendar'!$X$1665*1000000000+ISNUMBER('Dvd Calendar'!$X$1666)*100000000+('Dvd Calendar'!$X$1670='Field Check'!$C$25)*10000000+(N('Dvd Calendar'!$X$1664)&gt;0)*1000000+11*1000+20))</f>
        <v/>
      </c>
      <c r="W123" s="41">
        <f>IF(N('Dvd Calendar'!$Y$1665)=0,"",IF(('Dvd Calendar'!$Y$1665&gt;=MIN(DATE(Summary!$C$12,1,1),Summary!$C$11))*('Dvd Calendar'!$Y$1665&lt;=MAX(DATE(Summary!$C$12,12,31),Summary!$C$15))*('Dvd Calendar'!$Y$1665&lt;=Summary!$C$11)=0,"",'Dvd Calendar'!$Y$1665*1000000000+ISNUMBER('Dvd Calendar'!$Y$1666)*100000000+('Dvd Calendar'!$Y$1670='Field Check'!$C$25)*10000000+(N('Dvd Calendar'!$Y$1664)&gt;0)*1000000+11*1000+21))</f>
        <v/>
      </c>
      <c r="X123" s="41">
        <f>IF(N('Dvd Calendar'!$Z$1665)=0,"",IF(('Dvd Calendar'!$Z$1665&gt;=MIN(DATE(Summary!$C$12,1,1),Summary!$C$11))*('Dvd Calendar'!$Z$1665&lt;=MAX(DATE(Summary!$C$12,12,31),Summary!$C$15))*('Dvd Calendar'!$Z$1665&lt;=Summary!$C$11)=0,"",'Dvd Calendar'!$Z$1665*1000000000+ISNUMBER('Dvd Calendar'!$Z$1666)*100000000+('Dvd Calendar'!$Z$1670='Field Check'!$C$25)*10000000+(N('Dvd Calendar'!$Z$1664)&gt;0)*1000000+11*1000+22))</f>
        <v/>
      </c>
      <c r="Y123" s="41">
        <f>IF(N('Dvd Calendar'!$AA$1665)=0,"",IF(('Dvd Calendar'!$AA$1665&gt;=MIN(DATE(Summary!$C$12,1,1),Summary!$C$11))*('Dvd Calendar'!$AA$1665&lt;=MAX(DATE(Summary!$C$12,12,31),Summary!$C$15))*('Dvd Calendar'!$AA$1665&lt;=Summary!$C$11)=0,"",'Dvd Calendar'!$AA$1665*1000000000+ISNUMBER('Dvd Calendar'!$AA$1666)*100000000+('Dvd Calendar'!$AA$1670='Field Check'!$C$25)*10000000+(N('Dvd Calendar'!$AA$1664)&gt;0)*1000000+11*1000+23))</f>
        <v/>
      </c>
      <c r="Z123" s="41">
        <f>IF(N('Dvd Calendar'!$AB$1665)=0,"",IF(('Dvd Calendar'!$AB$1665&gt;=MIN(DATE(Summary!$C$12,1,1),Summary!$C$11))*('Dvd Calendar'!$AB$1665&lt;=MAX(DATE(Summary!$C$12,12,31),Summary!$C$15))*('Dvd Calendar'!$AB$1665&lt;=Summary!$C$11)=0,"",'Dvd Calendar'!$AB$1665*1000000000+ISNUMBER('Dvd Calendar'!$AB$1666)*100000000+('Dvd Calendar'!$AB$1670='Field Check'!$C$25)*10000000+(N('Dvd Calendar'!$AB$1664)&gt;0)*1000000+11*1000+24))</f>
        <v/>
      </c>
      <c r="AA123" s="41">
        <f>IF(N('Dvd Calendar'!$AC$1665)=0,"",IF(('Dvd Calendar'!$AC$1665&gt;=MIN(DATE(Summary!$C$12,1,1),Summary!$C$11))*('Dvd Calendar'!$AC$1665&lt;=MAX(DATE(Summary!$C$12,12,31),Summary!$C$15))*('Dvd Calendar'!$AC$1665&lt;=Summary!$C$11)=0,"",'Dvd Calendar'!$AC$1665*1000000000+ISNUMBER('Dvd Calendar'!$AC$1666)*100000000+('Dvd Calendar'!$AC$1670='Field Check'!$C$25)*10000000+(N('Dvd Calendar'!$AC$1664)&gt;0)*1000000+11*1000+25))</f>
        <v/>
      </c>
      <c r="AB123" s="41">
        <f>IF(N('Dvd Calendar'!$AD$1665)=0,"",IF(('Dvd Calendar'!$AD$1665&gt;=MIN(DATE(Summary!$C$12,1,1),Summary!$C$11))*('Dvd Calendar'!$AD$1665&lt;=MAX(DATE(Summary!$C$12,12,31),Summary!$C$15))*('Dvd Calendar'!$AD$1665&lt;=Summary!$C$11)=0,"",'Dvd Calendar'!$AD$1665*1000000000+ISNUMBER('Dvd Calendar'!$AD$1666)*100000000+('Dvd Calendar'!$AD$1670='Field Check'!$C$25)*10000000+(N('Dvd Calendar'!$AD$1664)&gt;0)*1000000+11*1000+26))</f>
        <v/>
      </c>
      <c r="AC123" s="41">
        <f>IF(N('Dvd Calendar'!$AE$1665)=0,"",IF(('Dvd Calendar'!$AE$1665&gt;=MIN(DATE(Summary!$C$12,1,1),Summary!$C$11))*('Dvd Calendar'!$AE$1665&lt;=MAX(DATE(Summary!$C$12,12,31),Summary!$C$15))*('Dvd Calendar'!$AE$1665&lt;=Summary!$C$11)=0,"",'Dvd Calendar'!$AE$1665*1000000000+ISNUMBER('Dvd Calendar'!$AE$1666)*100000000+('Dvd Calendar'!$AE$1670='Field Check'!$C$25)*10000000+(N('Dvd Calendar'!$AE$1664)&gt;0)*1000000+11*1000+27))</f>
        <v/>
      </c>
      <c r="AD123" s="41">
        <f>IF(N('Dvd Calendar'!$AF$1665)=0,"",IF(('Dvd Calendar'!$AF$1665&gt;=MIN(DATE(Summary!$C$12,1,1),Summary!$C$11))*('Dvd Calendar'!$AF$1665&lt;=MAX(DATE(Summary!$C$12,12,31),Summary!$C$15))*('Dvd Calendar'!$AF$1665&lt;=Summary!$C$11)=0,"",'Dvd Calendar'!$AF$1665*1000000000+ISNUMBER('Dvd Calendar'!$AF$1666)*100000000+('Dvd Calendar'!$AF$1670='Field Check'!$C$25)*10000000+(N('Dvd Calendar'!$AF$1664)&gt;0)*1000000+11*1000+28))</f>
        <v/>
      </c>
      <c r="AE123" s="41">
        <f>IF(N('Dvd Calendar'!$AG$1665)=0,"",IF(('Dvd Calendar'!$AG$1665&gt;=MIN(DATE(Summary!$C$12,1,1),Summary!$C$11))*('Dvd Calendar'!$AG$1665&lt;=MAX(DATE(Summary!$C$12,12,31),Summary!$C$15))*('Dvd Calendar'!$AG$1665&lt;=Summary!$C$11)=0,"",'Dvd Calendar'!$AG$1665*1000000000+ISNUMBER('Dvd Calendar'!$AG$1666)*100000000+('Dvd Calendar'!$AG$1670='Field Check'!$C$25)*10000000+(N('Dvd Calendar'!$AG$1664)&gt;0)*1000000+11*1000+29))</f>
        <v/>
      </c>
      <c r="AF123" s="41">
        <f>IF(N('Dvd Calendar'!$AH$1665)=0,"",IF(('Dvd Calendar'!$AH$1665&gt;=MIN(DATE(Summary!$C$12,1,1),Summary!$C$11))*('Dvd Calendar'!$AH$1665&lt;=MAX(DATE(Summary!$C$12,12,31),Summary!$C$15))*('Dvd Calendar'!$AH$1665&lt;=Summary!$C$11)=0,"",'Dvd Calendar'!$AH$1665*1000000000+ISNUMBER('Dvd Calendar'!$AH$1666)*100000000+('Dvd Calendar'!$AH$1670='Field Check'!$C$25)*10000000+(N('Dvd Calendar'!$AH$1664)&gt;0)*1000000+11*1000+30))</f>
        <v/>
      </c>
      <c r="AG123" s="41">
        <f>IF(N('Dvd Calendar'!$AI$1665)=0,"",IF(('Dvd Calendar'!$AI$1665&gt;=MIN(DATE(Summary!$C$12,1,1),Summary!$C$11))*('Dvd Calendar'!$AI$1665&lt;=MAX(DATE(Summary!$C$12,12,31),Summary!$C$15))*('Dvd Calendar'!$AI$1665&lt;=Summary!$C$11)=0,"",'Dvd Calendar'!$AI$1665*1000000000+ISNUMBER('Dvd Calendar'!$AI$1666)*100000000+('Dvd Calendar'!$AI$1670='Field Check'!$C$25)*10000000+(N('Dvd Calendar'!$AI$1664)&gt;0)*1000000+11*1000+31))</f>
        <v/>
      </c>
      <c r="AH123" s="41">
        <f>IF(N('Dvd Calendar'!$AJ$1665)=0,"",IF(('Dvd Calendar'!$AJ$1665&gt;=MIN(DATE(Summary!$C$12,1,1),Summary!$C$11))*('Dvd Calendar'!$AJ$1665&lt;=MAX(DATE(Summary!$C$12,12,31),Summary!$C$15))*('Dvd Calendar'!$AJ$1665&lt;=Summary!$C$11)=0,"",'Dvd Calendar'!$AJ$1665*1000000000+ISNUMBER('Dvd Calendar'!$AJ$1666)*100000000+('Dvd Calendar'!$AJ$1670='Field Check'!$C$25)*10000000+(N('Dvd Calendar'!$AJ$1664)&gt;0)*1000000+11*1000+32))</f>
        <v/>
      </c>
      <c r="AI123" s="41">
        <f>IF(N('Dvd Calendar'!$AK$1665)=0,"",IF(('Dvd Calendar'!$AK$1665&gt;=MIN(DATE(Summary!$C$12,1,1),Summary!$C$11))*('Dvd Calendar'!$AK$1665&lt;=MAX(DATE(Summary!$C$12,12,31),Summary!$C$15))*('Dvd Calendar'!$AK$1665&lt;=Summary!$C$11)=0,"",'Dvd Calendar'!$AK$1665*1000000000+ISNUMBER('Dvd Calendar'!$AK$1666)*100000000+('Dvd Calendar'!$AK$1670='Field Check'!$C$25)*10000000+(N('Dvd Calendar'!$AK$1664)&gt;0)*1000000+11*1000+33))</f>
        <v/>
      </c>
      <c r="AJ123" s="41">
        <f>IF(N('Dvd Calendar'!$AL$1665)=0,"",IF(('Dvd Calendar'!$AL$1665&gt;=MIN(DATE(Summary!$C$12,1,1),Summary!$C$11))*('Dvd Calendar'!$AL$1665&lt;=MAX(DATE(Summary!$C$12,12,31),Summary!$C$15))*('Dvd Calendar'!$AL$1665&lt;=Summary!$C$11)=0,"",'Dvd Calendar'!$AL$1665*1000000000+ISNUMBER('Dvd Calendar'!$AL$1666)*100000000+('Dvd Calendar'!$AL$1670='Field Check'!$C$25)*10000000+(N('Dvd Calendar'!$AL$1664)&gt;0)*1000000+11*1000+34))</f>
        <v/>
      </c>
      <c r="AK123" s="41">
        <f>IF(N('Dvd Calendar'!$AM$1665)=0,"",IF(('Dvd Calendar'!$AM$1665&gt;=MIN(DATE(Summary!$C$12,1,1),Summary!$C$11))*('Dvd Calendar'!$AM$1665&lt;=MAX(DATE(Summary!$C$12,12,31),Summary!$C$15))*('Dvd Calendar'!$AM$1665&lt;=Summary!$C$11)=0,"",'Dvd Calendar'!$AM$1665*1000000000+ISNUMBER('Dvd Calendar'!$AM$1666)*100000000+('Dvd Calendar'!$AM$1670='Field Check'!$C$25)*10000000+(N('Dvd Calendar'!$AM$1664)&gt;0)*1000000+11*1000+35))</f>
        <v/>
      </c>
      <c r="AL123" s="41">
        <f>IF(N('Dvd Calendar'!$AN$1665)=0,"",IF(('Dvd Calendar'!$AN$1665&gt;=MIN(DATE(Summary!$C$12,1,1),Summary!$C$11))*('Dvd Calendar'!$AN$1665&lt;=MAX(DATE(Summary!$C$12,12,31),Summary!$C$15))*('Dvd Calendar'!$AN$1665&lt;=Summary!$C$11)=0,"",'Dvd Calendar'!$AN$1665*1000000000+ISNUMBER('Dvd Calendar'!$AN$1666)*100000000+('Dvd Calendar'!$AN$1670='Field Check'!$C$25)*10000000+(N('Dvd Calendar'!$AN$1664)&gt;0)*1000000+11*1000+36))</f>
        <v/>
      </c>
      <c r="AM123" s="41">
        <f>IF(N('Dvd Calendar'!$AO$1665)=0,"",IF(('Dvd Calendar'!$AO$1665&gt;=MIN(DATE(Summary!$C$12,1,1),Summary!$C$11))*('Dvd Calendar'!$AO$1665&lt;=MAX(DATE(Summary!$C$12,12,31),Summary!$C$15))*('Dvd Calendar'!$AO$1665&lt;=Summary!$C$11)=0,"",'Dvd Calendar'!$AO$1665*1000000000+ISNUMBER('Dvd Calendar'!$AO$1666)*100000000+('Dvd Calendar'!$AO$1670='Field Check'!$C$25)*10000000+(N('Dvd Calendar'!$AO$1664)&gt;0)*1000000+11*1000+37))</f>
        <v/>
      </c>
      <c r="AN123" s="41">
        <f>IF(N('Dvd Calendar'!$AP$1665)=0,"",IF(('Dvd Calendar'!$AP$1665&gt;=MIN(DATE(Summary!$C$12,1,1),Summary!$C$11))*('Dvd Calendar'!$AP$1665&lt;=MAX(DATE(Summary!$C$12,12,31),Summary!$C$15))*('Dvd Calendar'!$AP$1665&lt;=Summary!$C$11)=0,"",'Dvd Calendar'!$AP$1665*1000000000+ISNUMBER('Dvd Calendar'!$AP$1666)*100000000+('Dvd Calendar'!$AP$1670='Field Check'!$C$25)*10000000+(N('Dvd Calendar'!$AP$1664)&gt;0)*1000000+11*1000+38))</f>
        <v/>
      </c>
      <c r="AO123" s="41">
        <f>IF(N('Dvd Calendar'!$AQ$1665)=0,"",IF(('Dvd Calendar'!$AQ$1665&gt;=MIN(DATE(Summary!$C$12,1,1),Summary!$C$11))*('Dvd Calendar'!$AQ$1665&lt;=MAX(DATE(Summary!$C$12,12,31),Summary!$C$15))*('Dvd Calendar'!$AQ$1665&lt;=Summary!$C$11)=0,"",'Dvd Calendar'!$AQ$1665*1000000000+ISNUMBER('Dvd Calendar'!$AQ$1666)*100000000+('Dvd Calendar'!$AQ$1670='Field Check'!$C$25)*10000000+(N('Dvd Calendar'!$AQ$1664)&gt;0)*1000000+11*1000+39))</f>
        <v/>
      </c>
      <c r="AP123" s="41">
        <f>IF(N('Dvd Calendar'!$AR$1665)=0,"",IF(('Dvd Calendar'!$AR$1665&gt;=MIN(DATE(Summary!$C$12,1,1),Summary!$C$11))*('Dvd Calendar'!$AR$1665&lt;=MAX(DATE(Summary!$C$12,12,31),Summary!$C$15))*('Dvd Calendar'!$AR$1665&lt;=Summary!$C$11)=0,"",'Dvd Calendar'!$AR$1665*1000000000+ISNUMBER('Dvd Calendar'!$AR$1666)*100000000+('Dvd Calendar'!$AR$1670='Field Check'!$C$25)*10000000+(N('Dvd Calendar'!$AR$1664)&gt;0)*1000000+11*1000+40))</f>
        <v/>
      </c>
      <c r="AQ123" s="41">
        <f>IF(N('Dvd Calendar'!$E$1672)=0,"",IF(('Dvd Calendar'!$E$1672&gt;=MIN(DATE(Summary!$C$12,1,1),Summary!$C$11))*('Dvd Calendar'!$E$1672&lt;=MAX(DATE(Summary!$C$12,12,31),Summary!$C$15))*('Dvd Calendar'!$E$1672&gt;Summary!$C$11)=0,"",'Dvd Calendar'!$E$1672*1000000000+ISNUMBER('Dvd Calendar'!$E$1673)*100000000+('Dvd Calendar'!$E$1677='Field Check'!$C$25)*10000000+(N('Dvd Calendar'!$E$1671)&gt;0)*1000000+11*1000+41))</f>
        <v/>
      </c>
      <c r="AR123" s="41">
        <f>IF(N('Dvd Calendar'!$F$1672)=0,"",IF(('Dvd Calendar'!$F$1672&gt;=MIN(DATE(Summary!$C$12,1,1),Summary!$C$11))*('Dvd Calendar'!$F$1672&lt;=MAX(DATE(Summary!$C$12,12,31),Summary!$C$15))*('Dvd Calendar'!$F$1672&gt;Summary!$C$11)=0,"",'Dvd Calendar'!$F$1672*1000000000+ISNUMBER('Dvd Calendar'!$F$1673)*100000000+('Dvd Calendar'!$F$1677='Field Check'!$C$25)*10000000+(N('Dvd Calendar'!$F$1671)&gt;0)*1000000+11*1000+42))</f>
        <v/>
      </c>
      <c r="AS123" s="41">
        <f>IF(N('Dvd Calendar'!$G$1672)=0,"",IF(('Dvd Calendar'!$G$1672&gt;=MIN(DATE(Summary!$C$12,1,1),Summary!$C$11))*('Dvd Calendar'!$G$1672&lt;=MAX(DATE(Summary!$C$12,12,31),Summary!$C$15))*('Dvd Calendar'!$G$1672&gt;Summary!$C$11)=0,"",'Dvd Calendar'!$G$1672*1000000000+ISNUMBER('Dvd Calendar'!$G$1673)*100000000+('Dvd Calendar'!$G$1677='Field Check'!$C$25)*10000000+(N('Dvd Calendar'!$G$1671)&gt;0)*1000000+11*1000+43))</f>
        <v/>
      </c>
      <c r="AT123" s="41">
        <f>IF(N('Dvd Calendar'!$H$1672)=0,"",IF(('Dvd Calendar'!$H$1672&gt;=MIN(DATE(Summary!$C$12,1,1),Summary!$C$11))*('Dvd Calendar'!$H$1672&lt;=MAX(DATE(Summary!$C$12,12,31),Summary!$C$15))*('Dvd Calendar'!$H$1672&gt;Summary!$C$11)=0,"",'Dvd Calendar'!$H$1672*1000000000+ISNUMBER('Dvd Calendar'!$H$1673)*100000000+('Dvd Calendar'!$H$1677='Field Check'!$C$25)*10000000+(N('Dvd Calendar'!$H$1671)&gt;0)*1000000+11*1000+44))</f>
        <v/>
      </c>
      <c r="AU123" s="41">
        <f>IF(N('Dvd Calendar'!$I$1672)=0,"",IF(('Dvd Calendar'!$I$1672&gt;=MIN(DATE(Summary!$C$12,1,1),Summary!$C$11))*('Dvd Calendar'!$I$1672&lt;=MAX(DATE(Summary!$C$12,12,31),Summary!$C$15))*('Dvd Calendar'!$I$1672&gt;Summary!$C$11)=0,"",'Dvd Calendar'!$I$1672*1000000000+ISNUMBER('Dvd Calendar'!$I$1673)*100000000+('Dvd Calendar'!$I$1677='Field Check'!$C$25)*10000000+(N('Dvd Calendar'!$I$1671)&gt;0)*1000000+11*1000+45))</f>
        <v/>
      </c>
      <c r="AV123" s="41">
        <f>IF(N('Dvd Calendar'!$J$1672)=0,"",IF(('Dvd Calendar'!$J$1672&gt;=MIN(DATE(Summary!$C$12,1,1),Summary!$C$11))*('Dvd Calendar'!$J$1672&lt;=MAX(DATE(Summary!$C$12,12,31),Summary!$C$15))*('Dvd Calendar'!$J$1672&gt;Summary!$C$11)=0,"",'Dvd Calendar'!$J$1672*1000000000+ISNUMBER('Dvd Calendar'!$J$1673)*100000000+('Dvd Calendar'!$J$1677='Field Check'!$C$25)*10000000+(N('Dvd Calendar'!$J$1671)&gt;0)*1000000+11*1000+46))</f>
        <v/>
      </c>
      <c r="AW123" s="41">
        <f>IF(N('Dvd Calendar'!$K$1672)=0,"",IF(('Dvd Calendar'!$K$1672&gt;=MIN(DATE(Summary!$C$12,1,1),Summary!$C$11))*('Dvd Calendar'!$K$1672&lt;=MAX(DATE(Summary!$C$12,12,31),Summary!$C$15))*('Dvd Calendar'!$K$1672&gt;Summary!$C$11)=0,"",'Dvd Calendar'!$K$1672*1000000000+ISNUMBER('Dvd Calendar'!$K$1673)*100000000+('Dvd Calendar'!$K$1677='Field Check'!$C$25)*10000000+(N('Dvd Calendar'!$K$1671)&gt;0)*1000000+11*1000+47))</f>
        <v/>
      </c>
      <c r="AX123" s="41">
        <f>IF(N('Dvd Calendar'!$L$1672)=0,"",IF(('Dvd Calendar'!$L$1672&gt;=MIN(DATE(Summary!$C$12,1,1),Summary!$C$11))*('Dvd Calendar'!$L$1672&lt;=MAX(DATE(Summary!$C$12,12,31),Summary!$C$15))*('Dvd Calendar'!$L$1672&gt;Summary!$C$11)=0,"",'Dvd Calendar'!$L$1672*1000000000+ISNUMBER('Dvd Calendar'!$L$1673)*100000000+('Dvd Calendar'!$L$1677='Field Check'!$C$25)*10000000+(N('Dvd Calendar'!$L$1671)&gt;0)*1000000+11*1000+48))</f>
        <v/>
      </c>
      <c r="AY123" s="41">
        <f>IF(N('Dvd Calendar'!$M$1672)=0,"",IF(('Dvd Calendar'!$M$1672&gt;=MIN(DATE(Summary!$C$12,1,1),Summary!$C$11))*('Dvd Calendar'!$M$1672&lt;=MAX(DATE(Summary!$C$12,12,31),Summary!$C$15))*('Dvd Calendar'!$M$1672&gt;Summary!$C$11)=0,"",'Dvd Calendar'!$M$1672*1000000000+ISNUMBER('Dvd Calendar'!$M$1673)*100000000+('Dvd Calendar'!$M$1677='Field Check'!$C$25)*10000000+(N('Dvd Calendar'!$M$1671)&gt;0)*1000000+11*1000+49))</f>
        <v/>
      </c>
      <c r="AZ123" s="41">
        <f>IF(N('Dvd Calendar'!$N$1672)=0,"",IF(('Dvd Calendar'!$N$1672&gt;=MIN(DATE(Summary!$C$12,1,1),Summary!$C$11))*('Dvd Calendar'!$N$1672&lt;=MAX(DATE(Summary!$C$12,12,31),Summary!$C$15))*('Dvd Calendar'!$N$1672&gt;Summary!$C$11)=0,"",'Dvd Calendar'!$N$1672*1000000000+ISNUMBER('Dvd Calendar'!$N$1673)*100000000+('Dvd Calendar'!$N$1677='Field Check'!$C$25)*10000000+(N('Dvd Calendar'!$N$1671)&gt;0)*1000000+11*1000+50))</f>
        <v/>
      </c>
      <c r="BA123" s="41">
        <f>IF(N('Dvd Calendar'!$O$1672)=0,"",IF(('Dvd Calendar'!$O$1672&gt;=MIN(DATE(Summary!$C$12,1,1),Summary!$C$11))*('Dvd Calendar'!$O$1672&lt;=MAX(DATE(Summary!$C$12,12,31),Summary!$C$15))*('Dvd Calendar'!$O$1672&gt;Summary!$C$11)=0,"",'Dvd Calendar'!$O$1672*1000000000+ISNUMBER('Dvd Calendar'!$O$1673)*100000000+('Dvd Calendar'!$O$1677='Field Check'!$C$25)*10000000+(N('Dvd Calendar'!$O$1671)&gt;0)*1000000+11*1000+51))</f>
        <v/>
      </c>
      <c r="BB123" s="41">
        <f>IF(N('Dvd Calendar'!$P$1672)=0,"",IF(('Dvd Calendar'!$P$1672&gt;=MIN(DATE(Summary!$C$12,1,1),Summary!$C$11))*('Dvd Calendar'!$P$1672&lt;=MAX(DATE(Summary!$C$12,12,31),Summary!$C$15))*('Dvd Calendar'!$P$1672&gt;Summary!$C$11)=0,"",'Dvd Calendar'!$P$1672*1000000000+ISNUMBER('Dvd Calendar'!$P$1673)*100000000+('Dvd Calendar'!$P$1677='Field Check'!$C$25)*10000000+(N('Dvd Calendar'!$P$1671)&gt;0)*1000000+11*1000+52))</f>
        <v/>
      </c>
      <c r="BC123" s="41">
        <f>IF(N('Dvd Calendar'!$Q$1672)=0,"",IF(('Dvd Calendar'!$Q$1672&gt;=MIN(DATE(Summary!$C$12,1,1),Summary!$C$11))*('Dvd Calendar'!$Q$1672&lt;=MAX(DATE(Summary!$C$12,12,31),Summary!$C$15))*('Dvd Calendar'!$Q$1672&gt;Summary!$C$11)=0,"",'Dvd Calendar'!$Q$1672*1000000000+ISNUMBER('Dvd Calendar'!$Q$1673)*100000000+('Dvd Calendar'!$Q$1677='Field Check'!$C$25)*10000000+(N('Dvd Calendar'!$Q$1671)&gt;0)*1000000+11*1000+53))</f>
        <v/>
      </c>
      <c r="BD123" s="41">
        <f>IF(N('Dvd Calendar'!$R$1672)=0,"",IF(('Dvd Calendar'!$R$1672&gt;=MIN(DATE(Summary!$C$12,1,1),Summary!$C$11))*('Dvd Calendar'!$R$1672&lt;=MAX(DATE(Summary!$C$12,12,31),Summary!$C$15))*('Dvd Calendar'!$R$1672&gt;Summary!$C$11)=0,"",'Dvd Calendar'!$R$1672*1000000000+ISNUMBER('Dvd Calendar'!$R$1673)*100000000+('Dvd Calendar'!$R$1677='Field Check'!$C$25)*10000000+(N('Dvd Calendar'!$R$1671)&gt;0)*1000000+11*1000+54))</f>
        <v/>
      </c>
      <c r="BE123" s="41">
        <f>IF(N('Dvd Calendar'!$S$1672)=0,"",IF(('Dvd Calendar'!$S$1672&gt;=MIN(DATE(Summary!$C$12,1,1),Summary!$C$11))*('Dvd Calendar'!$S$1672&lt;=MAX(DATE(Summary!$C$12,12,31),Summary!$C$15))*('Dvd Calendar'!$S$1672&gt;Summary!$C$11)=0,"",'Dvd Calendar'!$S$1672*1000000000+ISNUMBER('Dvd Calendar'!$S$1673)*100000000+('Dvd Calendar'!$S$1677='Field Check'!$C$25)*10000000+(N('Dvd Calendar'!$S$1671)&gt;0)*1000000+11*1000+55))</f>
        <v/>
      </c>
      <c r="BF123" s="41">
        <f>IF(N('Dvd Calendar'!$T$1672)=0,"",IF(('Dvd Calendar'!$T$1672&gt;=MIN(DATE(Summary!$C$12,1,1),Summary!$C$11))*('Dvd Calendar'!$T$1672&lt;=MAX(DATE(Summary!$C$12,12,31),Summary!$C$15))*('Dvd Calendar'!$T$1672&gt;Summary!$C$11)=0,"",'Dvd Calendar'!$T$1672*1000000000+ISNUMBER('Dvd Calendar'!$T$1673)*100000000+('Dvd Calendar'!$T$1677='Field Check'!$C$25)*10000000+(N('Dvd Calendar'!$T$1671)&gt;0)*1000000+11*1000+56))</f>
        <v/>
      </c>
      <c r="BG123" s="41">
        <f>IF(N('Dvd Calendar'!$U$1672)=0,"",IF(('Dvd Calendar'!$U$1672&gt;=MIN(DATE(Summary!$C$12,1,1),Summary!$C$11))*('Dvd Calendar'!$U$1672&lt;=MAX(DATE(Summary!$C$12,12,31),Summary!$C$15))*('Dvd Calendar'!$U$1672&gt;Summary!$C$11)=0,"",'Dvd Calendar'!$U$1672*1000000000+ISNUMBER('Dvd Calendar'!$U$1673)*100000000+('Dvd Calendar'!$U$1677='Field Check'!$C$25)*10000000+(N('Dvd Calendar'!$U$1671)&gt;0)*1000000+11*1000+57))</f>
        <v/>
      </c>
      <c r="BH123" s="41">
        <f>IF(N('Dvd Calendar'!$V$1672)=0,"",IF(('Dvd Calendar'!$V$1672&gt;=MIN(DATE(Summary!$C$12,1,1),Summary!$C$11))*('Dvd Calendar'!$V$1672&lt;=MAX(DATE(Summary!$C$12,12,31),Summary!$C$15))*('Dvd Calendar'!$V$1672&gt;Summary!$C$11)=0,"",'Dvd Calendar'!$V$1672*1000000000+ISNUMBER('Dvd Calendar'!$V$1673)*100000000+('Dvd Calendar'!$V$1677='Field Check'!$C$25)*10000000+(N('Dvd Calendar'!$V$1671)&gt;0)*1000000+11*1000+58))</f>
        <v/>
      </c>
      <c r="BI123" s="41">
        <f>IF(N('Dvd Calendar'!$W$1672)=0,"",IF(('Dvd Calendar'!$W$1672&gt;=MIN(DATE(Summary!$C$12,1,1),Summary!$C$11))*('Dvd Calendar'!$W$1672&lt;=MAX(DATE(Summary!$C$12,12,31),Summary!$C$15))*('Dvd Calendar'!$W$1672&gt;Summary!$C$11)=0,"",'Dvd Calendar'!$W$1672*1000000000+ISNUMBER('Dvd Calendar'!$W$1673)*100000000+('Dvd Calendar'!$W$1677='Field Check'!$C$25)*10000000+(N('Dvd Calendar'!$W$1671)&gt;0)*1000000+11*1000+59))</f>
        <v/>
      </c>
      <c r="BJ123" s="41">
        <f>IF(N('Dvd Calendar'!$X$1672)=0,"",IF(('Dvd Calendar'!$X$1672&gt;=MIN(DATE(Summary!$C$12,1,1),Summary!$C$11))*('Dvd Calendar'!$X$1672&lt;=MAX(DATE(Summary!$C$12,12,31),Summary!$C$15))*('Dvd Calendar'!$X$1672&gt;Summary!$C$11)=0,"",'Dvd Calendar'!$X$1672*1000000000+ISNUMBER('Dvd Calendar'!$X$1673)*100000000+('Dvd Calendar'!$X$1677='Field Check'!$C$25)*10000000+(N('Dvd Calendar'!$X$1671)&gt;0)*1000000+11*1000+60))</f>
        <v/>
      </c>
      <c r="BK123" s="41">
        <f>IF(N('Dvd Calendar'!$Y$1672)=0,"",IF(('Dvd Calendar'!$Y$1672&gt;=MIN(DATE(Summary!$C$12,1,1),Summary!$C$11))*('Dvd Calendar'!$Y$1672&lt;=MAX(DATE(Summary!$C$12,12,31),Summary!$C$15))*('Dvd Calendar'!$Y$1672&gt;Summary!$C$11)=0,"",'Dvd Calendar'!$Y$1672*1000000000+ISNUMBER('Dvd Calendar'!$Y$1673)*100000000+('Dvd Calendar'!$Y$1677='Field Check'!$C$25)*10000000+(N('Dvd Calendar'!$Y$1671)&gt;0)*1000000+11*1000+61))</f>
        <v/>
      </c>
      <c r="BL123" s="41">
        <f>IF(N('Dvd Calendar'!$Z$1672)=0,"",IF(('Dvd Calendar'!$Z$1672&gt;=MIN(DATE(Summary!$C$12,1,1),Summary!$C$11))*('Dvd Calendar'!$Z$1672&lt;=MAX(DATE(Summary!$C$12,12,31),Summary!$C$15))*('Dvd Calendar'!$Z$1672&gt;Summary!$C$11)=0,"",'Dvd Calendar'!$Z$1672*1000000000+ISNUMBER('Dvd Calendar'!$Z$1673)*100000000+('Dvd Calendar'!$Z$1677='Field Check'!$C$25)*10000000+(N('Dvd Calendar'!$Z$1671)&gt;0)*1000000+11*1000+62))</f>
        <v/>
      </c>
      <c r="BM123" s="41">
        <f>IF(N('Dvd Calendar'!$AA$1672)=0,"",IF(('Dvd Calendar'!$AA$1672&gt;=MIN(DATE(Summary!$C$12,1,1),Summary!$C$11))*('Dvd Calendar'!$AA$1672&lt;=MAX(DATE(Summary!$C$12,12,31),Summary!$C$15))*('Dvd Calendar'!$AA$1672&gt;Summary!$C$11)=0,"",'Dvd Calendar'!$AA$1672*1000000000+ISNUMBER('Dvd Calendar'!$AA$1673)*100000000+('Dvd Calendar'!$AA$1677='Field Check'!$C$25)*10000000+(N('Dvd Calendar'!$AA$1671)&gt;0)*1000000+11*1000+63))</f>
        <v/>
      </c>
      <c r="BN123" s="41">
        <f>IF(N('Dvd Calendar'!$AB$1672)=0,"",IF(('Dvd Calendar'!$AB$1672&gt;=MIN(DATE(Summary!$C$12,1,1),Summary!$C$11))*('Dvd Calendar'!$AB$1672&lt;=MAX(DATE(Summary!$C$12,12,31),Summary!$C$15))*('Dvd Calendar'!$AB$1672&gt;Summary!$C$11)=0,"",'Dvd Calendar'!$AB$1672*1000000000+ISNUMBER('Dvd Calendar'!$AB$1673)*100000000+('Dvd Calendar'!$AB$1677='Field Check'!$C$25)*10000000+(N('Dvd Calendar'!$AB$1671)&gt;0)*1000000+11*1000+64))</f>
        <v/>
      </c>
      <c r="BO123" s="41">
        <f>IF(N('Dvd Calendar'!$AC$1672)=0,"",IF(('Dvd Calendar'!$AC$1672&gt;=MIN(DATE(Summary!$C$12,1,1),Summary!$C$11))*('Dvd Calendar'!$AC$1672&lt;=MAX(DATE(Summary!$C$12,12,31),Summary!$C$15))*('Dvd Calendar'!$AC$1672&gt;Summary!$C$11)=0,"",'Dvd Calendar'!$AC$1672*1000000000+ISNUMBER('Dvd Calendar'!$AC$1673)*100000000+('Dvd Calendar'!$AC$1677='Field Check'!$C$25)*10000000+(N('Dvd Calendar'!$AC$1671)&gt;0)*1000000+11*1000+65))</f>
        <v/>
      </c>
      <c r="BQ123" s="85">
        <f>IF(C123="","",IF(ISNUMBER('Dvd Calendar'!$E$1666)=FALSE,"",IF((Summary!$C$13="N")*('Dvd Calendar'!$E$1670='Field Check'!$C$25)&gt;0,"",'Dvd Calendar'!$E$1666)))</f>
        <v/>
      </c>
      <c r="BR123" s="85">
        <f>IF(D123="","",IF(ISNUMBER('Dvd Calendar'!$F$1666)=FALSE,"",IF((Summary!$C$13="N")*('Dvd Calendar'!$F$1670='Field Check'!$C$25)&gt;0,"",'Dvd Calendar'!$F$1666)))</f>
        <v/>
      </c>
      <c r="BS123" s="85">
        <f>IF(E123="","",IF(ISNUMBER('Dvd Calendar'!$G$1666)=FALSE,"",IF((Summary!$C$13="N")*('Dvd Calendar'!$G$1670='Field Check'!$C$25)&gt;0,"",'Dvd Calendar'!$G$1666)))</f>
        <v/>
      </c>
      <c r="BT123" s="85">
        <f>IF(F123="","",IF(ISNUMBER('Dvd Calendar'!$H$1666)=FALSE,"",IF((Summary!$C$13="N")*('Dvd Calendar'!$H$1670='Field Check'!$C$25)&gt;0,"",'Dvd Calendar'!$H$1666)))</f>
        <v/>
      </c>
      <c r="BU123" s="85">
        <f>IF(G123="","",IF(ISNUMBER('Dvd Calendar'!$I$1666)=FALSE,"",IF((Summary!$C$13="N")*('Dvd Calendar'!$I$1670='Field Check'!$C$25)&gt;0,"",'Dvd Calendar'!$I$1666)))</f>
        <v/>
      </c>
      <c r="BV123" s="85">
        <f>IF(H123="","",IF(ISNUMBER('Dvd Calendar'!$J$1666)=FALSE,"",IF((Summary!$C$13="N")*('Dvd Calendar'!$J$1670='Field Check'!$C$25)&gt;0,"",'Dvd Calendar'!$J$1666)))</f>
        <v/>
      </c>
      <c r="BW123" s="85">
        <f>IF(I123="","",IF(ISNUMBER('Dvd Calendar'!$K$1666)=FALSE,"",IF((Summary!$C$13="N")*('Dvd Calendar'!$K$1670='Field Check'!$C$25)&gt;0,"",'Dvd Calendar'!$K$1666)))</f>
        <v/>
      </c>
      <c r="BX123" s="85">
        <f>IF(J123="","",IF(ISNUMBER('Dvd Calendar'!$L$1666)=FALSE,"",IF((Summary!$C$13="N")*('Dvd Calendar'!$L$1670='Field Check'!$C$25)&gt;0,"",'Dvd Calendar'!$L$1666)))</f>
        <v/>
      </c>
      <c r="BY123" s="85">
        <f>IF(K123="","",IF(ISNUMBER('Dvd Calendar'!$M$1666)=FALSE,"",IF((Summary!$C$13="N")*('Dvd Calendar'!$M$1670='Field Check'!$C$25)&gt;0,"",'Dvd Calendar'!$M$1666)))</f>
        <v/>
      </c>
      <c r="BZ123" s="85">
        <f>IF(L123="","",IF(ISNUMBER('Dvd Calendar'!$N$1666)=FALSE,"",IF((Summary!$C$13="N")*('Dvd Calendar'!$N$1670='Field Check'!$C$25)&gt;0,"",'Dvd Calendar'!$N$1666)))</f>
        <v/>
      </c>
      <c r="CA123" s="85">
        <f>IF(M123="","",IF(ISNUMBER('Dvd Calendar'!$O$1666)=FALSE,"",IF((Summary!$C$13="N")*('Dvd Calendar'!$O$1670='Field Check'!$C$25)&gt;0,"",'Dvd Calendar'!$O$1666)))</f>
        <v/>
      </c>
      <c r="CB123" s="85">
        <f>IF(N123="","",IF(ISNUMBER('Dvd Calendar'!$P$1666)=FALSE,"",IF((Summary!$C$13="N")*('Dvd Calendar'!$P$1670='Field Check'!$C$25)&gt;0,"",'Dvd Calendar'!$P$1666)))</f>
        <v/>
      </c>
      <c r="CC123" s="85">
        <f>IF(O123="","",IF(ISNUMBER('Dvd Calendar'!$Q$1666)=FALSE,"",IF((Summary!$C$13="N")*('Dvd Calendar'!$Q$1670='Field Check'!$C$25)&gt;0,"",'Dvd Calendar'!$Q$1666)))</f>
        <v/>
      </c>
      <c r="CD123" s="85">
        <f>IF(P123="","",IF(ISNUMBER('Dvd Calendar'!$R$1666)=FALSE,"",IF((Summary!$C$13="N")*('Dvd Calendar'!$R$1670='Field Check'!$C$25)&gt;0,"",'Dvd Calendar'!$R$1666)))</f>
        <v/>
      </c>
      <c r="CE123" s="85">
        <f>IF(Q123="","",IF(ISNUMBER('Dvd Calendar'!$S$1666)=FALSE,"",IF((Summary!$C$13="N")*('Dvd Calendar'!$S$1670='Field Check'!$C$25)&gt;0,"",'Dvd Calendar'!$S$1666)))</f>
        <v/>
      </c>
      <c r="CF123" s="85">
        <f>IF(R123="","",IF(ISNUMBER('Dvd Calendar'!$T$1666)=FALSE,"",IF((Summary!$C$13="N")*('Dvd Calendar'!$T$1670='Field Check'!$C$25)&gt;0,"",'Dvd Calendar'!$T$1666)))</f>
        <v/>
      </c>
      <c r="CG123" s="85">
        <f>IF(S123="","",IF(ISNUMBER('Dvd Calendar'!$U$1666)=FALSE,"",IF((Summary!$C$13="N")*('Dvd Calendar'!$U$1670='Field Check'!$C$25)&gt;0,"",'Dvd Calendar'!$U$1666)))</f>
        <v/>
      </c>
      <c r="CH123" s="85">
        <f>IF(T123="","",IF(ISNUMBER('Dvd Calendar'!$V$1666)=FALSE,"",IF((Summary!$C$13="N")*('Dvd Calendar'!$V$1670='Field Check'!$C$25)&gt;0,"",'Dvd Calendar'!$V$1666)))</f>
        <v/>
      </c>
      <c r="CI123" s="85">
        <f>IF(U123="","",IF(ISNUMBER('Dvd Calendar'!$W$1666)=FALSE,"",IF((Summary!$C$13="N")*('Dvd Calendar'!$W$1670='Field Check'!$C$25)&gt;0,"",'Dvd Calendar'!$W$1666)))</f>
        <v/>
      </c>
      <c r="CJ123" s="85">
        <f>IF(V123="","",IF(ISNUMBER('Dvd Calendar'!$X$1666)=FALSE,"",IF((Summary!$C$13="N")*('Dvd Calendar'!$X$1670='Field Check'!$C$25)&gt;0,"",'Dvd Calendar'!$X$1666)))</f>
        <v/>
      </c>
      <c r="CK123" s="85">
        <f>IF(W123="","",IF(ISNUMBER('Dvd Calendar'!$Y$1666)=FALSE,"",IF((Summary!$C$13="N")*('Dvd Calendar'!$Y$1670='Field Check'!$C$25)&gt;0,"",'Dvd Calendar'!$Y$1666)))</f>
        <v/>
      </c>
      <c r="CL123" s="85">
        <f>IF(X123="","",IF(ISNUMBER('Dvd Calendar'!$Z$1666)=FALSE,"",IF((Summary!$C$13="N")*('Dvd Calendar'!$Z$1670='Field Check'!$C$25)&gt;0,"",'Dvd Calendar'!$Z$1666)))</f>
        <v/>
      </c>
      <c r="CM123" s="85">
        <f>IF(Y123="","",IF(ISNUMBER('Dvd Calendar'!$AA$1666)=FALSE,"",IF((Summary!$C$13="N")*('Dvd Calendar'!$AA$1670='Field Check'!$C$25)&gt;0,"",'Dvd Calendar'!$AA$1666)))</f>
        <v/>
      </c>
      <c r="CN123" s="85">
        <f>IF(Z123="","",IF(ISNUMBER('Dvd Calendar'!$AB$1666)=FALSE,"",IF((Summary!$C$13="N")*('Dvd Calendar'!$AB$1670='Field Check'!$C$25)&gt;0,"",'Dvd Calendar'!$AB$1666)))</f>
        <v/>
      </c>
      <c r="CO123" s="85">
        <f>IF(AA123="","",IF(ISNUMBER('Dvd Calendar'!$AC$1666)=FALSE,"",IF((Summary!$C$13="N")*('Dvd Calendar'!$AC$1670='Field Check'!$C$25)&gt;0,"",'Dvd Calendar'!$AC$1666)))</f>
        <v/>
      </c>
      <c r="CP123" s="85">
        <f>IF(AB123="","",IF(ISNUMBER('Dvd Calendar'!$AD$1666)=FALSE,"",IF((Summary!$C$13="N")*('Dvd Calendar'!$AD$1670='Field Check'!$C$25)&gt;0,"",'Dvd Calendar'!$AD$1666)))</f>
        <v/>
      </c>
      <c r="CQ123" s="85">
        <f>IF(AC123="","",IF(ISNUMBER('Dvd Calendar'!$AE$1666)=FALSE,"",IF((Summary!$C$13="N")*('Dvd Calendar'!$AE$1670='Field Check'!$C$25)&gt;0,"",'Dvd Calendar'!$AE$1666)))</f>
        <v/>
      </c>
      <c r="CR123" s="85">
        <f>IF(AD123="","",IF(ISNUMBER('Dvd Calendar'!$AF$1666)=FALSE,"",IF((Summary!$C$13="N")*('Dvd Calendar'!$AF$1670='Field Check'!$C$25)&gt;0,"",'Dvd Calendar'!$AF$1666)))</f>
        <v/>
      </c>
      <c r="CS123" s="85">
        <f>IF(AE123="","",IF(ISNUMBER('Dvd Calendar'!$AG$1666)=FALSE,"",IF((Summary!$C$13="N")*('Dvd Calendar'!$AG$1670='Field Check'!$C$25)&gt;0,"",'Dvd Calendar'!$AG$1666)))</f>
        <v/>
      </c>
      <c r="CT123" s="85">
        <f>IF(AF123="","",IF(ISNUMBER('Dvd Calendar'!$AH$1666)=FALSE,"",IF((Summary!$C$13="N")*('Dvd Calendar'!$AH$1670='Field Check'!$C$25)&gt;0,"",'Dvd Calendar'!$AH$1666)))</f>
        <v/>
      </c>
      <c r="CU123" s="85">
        <f>IF(AG123="","",IF(ISNUMBER('Dvd Calendar'!$AI$1666)=FALSE,"",IF((Summary!$C$13="N")*('Dvd Calendar'!$AI$1670='Field Check'!$C$25)&gt;0,"",'Dvd Calendar'!$AI$1666)))</f>
        <v/>
      </c>
      <c r="CV123" s="85">
        <f>IF(AH123="","",IF(ISNUMBER('Dvd Calendar'!$AJ$1666)=FALSE,"",IF((Summary!$C$13="N")*('Dvd Calendar'!$AJ$1670='Field Check'!$C$25)&gt;0,"",'Dvd Calendar'!$AJ$1666)))</f>
        <v/>
      </c>
      <c r="CW123" s="85">
        <f>IF(AI123="","",IF(ISNUMBER('Dvd Calendar'!$AK$1666)=FALSE,"",IF((Summary!$C$13="N")*('Dvd Calendar'!$AK$1670='Field Check'!$C$25)&gt;0,"",'Dvd Calendar'!$AK$1666)))</f>
        <v/>
      </c>
      <c r="CX123" s="85">
        <f>IF(AJ123="","",IF(ISNUMBER('Dvd Calendar'!$AL$1666)=FALSE,"",IF((Summary!$C$13="N")*('Dvd Calendar'!$AL$1670='Field Check'!$C$25)&gt;0,"",'Dvd Calendar'!$AL$1666)))</f>
        <v/>
      </c>
      <c r="CY123" s="85">
        <f>IF(AK123="","",IF(ISNUMBER('Dvd Calendar'!$AM$1666)=FALSE,"",IF((Summary!$C$13="N")*('Dvd Calendar'!$AM$1670='Field Check'!$C$25)&gt;0,"",'Dvd Calendar'!$AM$1666)))</f>
        <v/>
      </c>
      <c r="CZ123" s="85">
        <f>IF(AL123="","",IF(ISNUMBER('Dvd Calendar'!$AN$1666)=FALSE,"",IF((Summary!$C$13="N")*('Dvd Calendar'!$AN$1670='Field Check'!$C$25)&gt;0,"",'Dvd Calendar'!$AN$1666)))</f>
        <v/>
      </c>
      <c r="DA123" s="85">
        <f>IF(AM123="","",IF(ISNUMBER('Dvd Calendar'!$AO$1666)=FALSE,"",IF((Summary!$C$13="N")*('Dvd Calendar'!$AO$1670='Field Check'!$C$25)&gt;0,"",'Dvd Calendar'!$AO$1666)))</f>
        <v/>
      </c>
      <c r="DB123" s="85">
        <f>IF(AN123="","",IF(ISNUMBER('Dvd Calendar'!$AP$1666)=FALSE,"",IF((Summary!$C$13="N")*('Dvd Calendar'!$AP$1670='Field Check'!$C$25)&gt;0,"",'Dvd Calendar'!$AP$1666)))</f>
        <v/>
      </c>
      <c r="DC123" s="85">
        <f>IF(AO123="","",IF(ISNUMBER('Dvd Calendar'!$AQ$1666)=FALSE,"",IF((Summary!$C$13="N")*('Dvd Calendar'!$AQ$1670='Field Check'!$C$25)&gt;0,"",'Dvd Calendar'!$AQ$1666)))</f>
        <v/>
      </c>
      <c r="DD123" s="85">
        <f>IF(AP123="","",IF(ISNUMBER('Dvd Calendar'!$AR$1666)=FALSE,"",IF((Summary!$C$13="N")*('Dvd Calendar'!$AR$1670='Field Check'!$C$25)&gt;0,"",'Dvd Calendar'!$AR$1666)))</f>
        <v/>
      </c>
      <c r="DE123" s="85">
        <f>IF(AQ123="","",IF(ISNUMBER('Dvd Calendar'!$E$1673)=FALSE,"",IF((Summary!$C$13="N")*('Dvd Calendar'!$E$1677='Field Check'!$C$25)&gt;0,"",'Dvd Calendar'!$E$1673)))</f>
        <v/>
      </c>
      <c r="DF123" s="85">
        <f>IF(AR123="","",IF(ISNUMBER('Dvd Calendar'!$F$1673)=FALSE,"",IF((Summary!$C$13="N")*('Dvd Calendar'!$F$1677='Field Check'!$C$25)&gt;0,"",'Dvd Calendar'!$F$1673)))</f>
        <v/>
      </c>
      <c r="DG123" s="85">
        <f>IF(AS123="","",IF(ISNUMBER('Dvd Calendar'!$G$1673)=FALSE,"",IF((Summary!$C$13="N")*('Dvd Calendar'!$G$1677='Field Check'!$C$25)&gt;0,"",'Dvd Calendar'!$G$1673)))</f>
        <v/>
      </c>
      <c r="DH123" s="85">
        <f>IF(AT123="","",IF(ISNUMBER('Dvd Calendar'!$H$1673)=FALSE,"",IF((Summary!$C$13="N")*('Dvd Calendar'!$H$1677='Field Check'!$C$25)&gt;0,"",'Dvd Calendar'!$H$1673)))</f>
        <v/>
      </c>
      <c r="DI123" s="85">
        <f>IF(AU123="","",IF(ISNUMBER('Dvd Calendar'!$I$1673)=FALSE,"",IF((Summary!$C$13="N")*('Dvd Calendar'!$I$1677='Field Check'!$C$25)&gt;0,"",'Dvd Calendar'!$I$1673)))</f>
        <v/>
      </c>
      <c r="DJ123" s="85">
        <f>IF(AV123="","",IF(ISNUMBER('Dvd Calendar'!$J$1673)=FALSE,"",IF((Summary!$C$13="N")*('Dvd Calendar'!$J$1677='Field Check'!$C$25)&gt;0,"",'Dvd Calendar'!$J$1673)))</f>
        <v/>
      </c>
      <c r="DK123" s="85">
        <f>IF(AW123="","",IF(ISNUMBER('Dvd Calendar'!$K$1673)=FALSE,"",IF((Summary!$C$13="N")*('Dvd Calendar'!$K$1677='Field Check'!$C$25)&gt;0,"",'Dvd Calendar'!$K$1673)))</f>
        <v/>
      </c>
      <c r="DL123" s="85">
        <f>IF(AX123="","",IF(ISNUMBER('Dvd Calendar'!$L$1673)=FALSE,"",IF((Summary!$C$13="N")*('Dvd Calendar'!$L$1677='Field Check'!$C$25)&gt;0,"",'Dvd Calendar'!$L$1673)))</f>
        <v/>
      </c>
      <c r="DM123" s="85">
        <f>IF(AY123="","",IF(ISNUMBER('Dvd Calendar'!$M$1673)=FALSE,"",IF((Summary!$C$13="N")*('Dvd Calendar'!$M$1677='Field Check'!$C$25)&gt;0,"",'Dvd Calendar'!$M$1673)))</f>
        <v/>
      </c>
      <c r="DN123" s="85">
        <f>IF(AZ123="","",IF(ISNUMBER('Dvd Calendar'!$N$1673)=FALSE,"",IF((Summary!$C$13="N")*('Dvd Calendar'!$N$1677='Field Check'!$C$25)&gt;0,"",'Dvd Calendar'!$N$1673)))</f>
        <v/>
      </c>
      <c r="DO123" s="85">
        <f>IF(BA123="","",IF(ISNUMBER('Dvd Calendar'!$O$1673)=FALSE,"",IF((Summary!$C$13="N")*('Dvd Calendar'!$O$1677='Field Check'!$C$25)&gt;0,"",'Dvd Calendar'!$O$1673)))</f>
        <v/>
      </c>
      <c r="DP123" s="85">
        <f>IF(BB123="","",IF(ISNUMBER('Dvd Calendar'!$P$1673)=FALSE,"",IF((Summary!$C$13="N")*('Dvd Calendar'!$P$1677='Field Check'!$C$25)&gt;0,"",'Dvd Calendar'!$P$1673)))</f>
        <v/>
      </c>
      <c r="DQ123" s="85">
        <f>IF(BC123="","",IF(ISNUMBER('Dvd Calendar'!$Q$1673)=FALSE,"",IF((Summary!$C$13="N")*('Dvd Calendar'!$Q$1677='Field Check'!$C$25)&gt;0,"",'Dvd Calendar'!$Q$1673)))</f>
        <v/>
      </c>
      <c r="DR123" s="85">
        <f>IF(BD123="","",IF(ISNUMBER('Dvd Calendar'!$R$1673)=FALSE,"",IF((Summary!$C$13="N")*('Dvd Calendar'!$R$1677='Field Check'!$C$25)&gt;0,"",'Dvd Calendar'!$R$1673)))</f>
        <v/>
      </c>
      <c r="DS123" s="85">
        <f>IF(BE123="","",IF(ISNUMBER('Dvd Calendar'!$S$1673)=FALSE,"",IF((Summary!$C$13="N")*('Dvd Calendar'!$S$1677='Field Check'!$C$25)&gt;0,"",'Dvd Calendar'!$S$1673)))</f>
        <v/>
      </c>
      <c r="DT123" s="85">
        <f>IF(BF123="","",IF(ISNUMBER('Dvd Calendar'!$T$1673)=FALSE,"",IF((Summary!$C$13="N")*('Dvd Calendar'!$T$1677='Field Check'!$C$25)&gt;0,"",'Dvd Calendar'!$T$1673)))</f>
        <v/>
      </c>
      <c r="DU123" s="85">
        <f>IF(BG123="","",IF(ISNUMBER('Dvd Calendar'!$U$1673)=FALSE,"",IF((Summary!$C$13="N")*('Dvd Calendar'!$U$1677='Field Check'!$C$25)&gt;0,"",'Dvd Calendar'!$U$1673)))</f>
        <v/>
      </c>
      <c r="DV123" s="85">
        <f>IF(BH123="","",IF(ISNUMBER('Dvd Calendar'!$V$1673)=FALSE,"",IF((Summary!$C$13="N")*('Dvd Calendar'!$V$1677='Field Check'!$C$25)&gt;0,"",'Dvd Calendar'!$V$1673)))</f>
        <v/>
      </c>
      <c r="DW123" s="85">
        <f>IF(BI123="","",IF(ISNUMBER('Dvd Calendar'!$W$1673)=FALSE,"",IF((Summary!$C$13="N")*('Dvd Calendar'!$W$1677='Field Check'!$C$25)&gt;0,"",'Dvd Calendar'!$W$1673)))</f>
        <v/>
      </c>
      <c r="DX123" s="85">
        <f>IF(BJ123="","",IF(ISNUMBER('Dvd Calendar'!$X$1673)=FALSE,"",IF((Summary!$C$13="N")*('Dvd Calendar'!$X$1677='Field Check'!$C$25)&gt;0,"",'Dvd Calendar'!$X$1673)))</f>
        <v/>
      </c>
      <c r="DY123" s="85">
        <f>IF(BK123="","",IF(ISNUMBER('Dvd Calendar'!$Y$1673)=FALSE,"",IF((Summary!$C$13="N")*('Dvd Calendar'!$Y$1677='Field Check'!$C$25)&gt;0,"",'Dvd Calendar'!$Y$1673)))</f>
        <v/>
      </c>
      <c r="DZ123" s="85">
        <f>IF(BL123="","",IF(ISNUMBER('Dvd Calendar'!$Z$1673)=FALSE,"",IF((Summary!$C$13="N")*('Dvd Calendar'!$Z$1677='Field Check'!$C$25)&gt;0,"",'Dvd Calendar'!$Z$1673)))</f>
        <v/>
      </c>
      <c r="EA123" s="85">
        <f>IF(BM123="","",IF(ISNUMBER('Dvd Calendar'!$AA$1673)=FALSE,"",IF((Summary!$C$13="N")*('Dvd Calendar'!$AA$1677='Field Check'!$C$25)&gt;0,"",'Dvd Calendar'!$AA$1673)))</f>
        <v/>
      </c>
      <c r="EB123" s="85">
        <f>IF(BN123="","",IF(ISNUMBER('Dvd Calendar'!$AB$1673)=FALSE,"",IF((Summary!$C$13="N")*('Dvd Calendar'!$AB$1677='Field Check'!$C$25)&gt;0,"",'Dvd Calendar'!$AB$1673)))</f>
        <v/>
      </c>
      <c r="EC123" s="85">
        <f>IF(BO123="","",IF(ISNUMBER('Dvd Calendar'!$AC$1673)=FALSE,"",IF((Summary!$C$13="N")*('Dvd Calendar'!$AC$1677='Field Check'!$C$25)&gt;0,"",'Dvd Calendar'!$AC$1673)))</f>
        <v/>
      </c>
      <c r="EE123" s="85">
        <f>IF(BQ123="","",IFERROR(BQ123*HSTECH!$B$17*HSTECH!$G$17/HSTECH!$B$3,""))</f>
        <v/>
      </c>
      <c r="EF123" s="85">
        <f>IF(BR123="","",IFERROR(BR123*HSTECH!$B$17*HSTECH!$G$17/HSTECH!$B$3,""))</f>
        <v/>
      </c>
      <c r="EG123" s="85">
        <f>IF(BS123="","",IFERROR(BS123*HSTECH!$B$17*HSTECH!$G$17/HSTECH!$B$3,""))</f>
        <v/>
      </c>
      <c r="EH123" s="85">
        <f>IF(BT123="","",IFERROR(BT123*HSTECH!$B$17*HSTECH!$G$17/HSTECH!$B$3,""))</f>
        <v/>
      </c>
      <c r="EI123" s="85">
        <f>IF(BU123="","",IFERROR(BU123*HSTECH!$B$17*HSTECH!$G$17/HSTECH!$B$3,""))</f>
        <v/>
      </c>
      <c r="EJ123" s="85">
        <f>IF(BV123="","",IFERROR(BV123*HSTECH!$B$17*HSTECH!$G$17/HSTECH!$B$3,""))</f>
        <v/>
      </c>
      <c r="EK123" s="85">
        <f>IF(BW123="","",IFERROR(BW123*HSTECH!$B$17*HSTECH!$G$17/HSTECH!$B$3,""))</f>
        <v/>
      </c>
      <c r="EL123" s="85">
        <f>IF(BX123="","",IFERROR(BX123*HSTECH!$B$17*HSTECH!$G$17/HSTECH!$B$3,""))</f>
        <v/>
      </c>
      <c r="EM123" s="85">
        <f>IF(BY123="","",IFERROR(BY123*HSTECH!$B$17*HSTECH!$G$17/HSTECH!$B$3,""))</f>
        <v/>
      </c>
      <c r="EN123" s="85">
        <f>IF(BZ123="","",IFERROR(BZ123*HSTECH!$B$17*HSTECH!$G$17/HSTECH!$B$3,""))</f>
        <v/>
      </c>
      <c r="EO123" s="85">
        <f>IF(CA123="","",IFERROR(CA123*HSTECH!$B$17*HSTECH!$G$17/HSTECH!$B$3,""))</f>
        <v/>
      </c>
      <c r="EP123" s="85">
        <f>IF(CB123="","",IFERROR(CB123*HSTECH!$B$17*HSTECH!$G$17/HSTECH!$B$3,""))</f>
        <v/>
      </c>
      <c r="EQ123" s="85">
        <f>IF(CC123="","",IFERROR(CC123*HSTECH!$B$17*HSTECH!$G$17/HSTECH!$B$3,""))</f>
        <v/>
      </c>
      <c r="ER123" s="85">
        <f>IF(CD123="","",IFERROR(CD123*HSTECH!$B$17*HSTECH!$G$17/HSTECH!$B$3,""))</f>
        <v/>
      </c>
      <c r="ES123" s="85">
        <f>IF(CE123="","",IFERROR(CE123*HSTECH!$B$17*HSTECH!$G$17/HSTECH!$B$3,""))</f>
        <v/>
      </c>
      <c r="ET123" s="85">
        <f>IF(CF123="","",IFERROR(CF123*HSTECH!$B$17*HSTECH!$G$17/HSTECH!$B$3,""))</f>
        <v/>
      </c>
      <c r="EU123" s="85">
        <f>IF(CG123="","",IFERROR(CG123*HSTECH!$B$17*HSTECH!$G$17/HSTECH!$B$3,""))</f>
        <v/>
      </c>
      <c r="EV123" s="85">
        <f>IF(CH123="","",IFERROR(CH123*HSTECH!$B$17*HSTECH!$G$17/HSTECH!$B$3,""))</f>
        <v/>
      </c>
      <c r="EW123" s="85">
        <f>IF(CI123="","",IFERROR(CI123*HSTECH!$B$17*HSTECH!$G$17/HSTECH!$B$3,""))</f>
        <v/>
      </c>
      <c r="EX123" s="85">
        <f>IF(CJ123="","",IFERROR(CJ123*HSTECH!$B$17*HSTECH!$G$17/HSTECH!$B$3,""))</f>
        <v/>
      </c>
      <c r="EY123" s="85">
        <f>IF(CK123="","",IFERROR(CK123*HSTECH!$B$17*HSTECH!$G$17/HSTECH!$B$3,""))</f>
        <v/>
      </c>
      <c r="EZ123" s="85">
        <f>IF(CL123="","",IFERROR(CL123*HSTECH!$B$17*HSTECH!$G$17/HSTECH!$B$3,""))</f>
        <v/>
      </c>
      <c r="FA123" s="85">
        <f>IF(CM123="","",IFERROR(CM123*HSTECH!$B$17*HSTECH!$G$17/HSTECH!$B$3,""))</f>
        <v/>
      </c>
      <c r="FB123" s="85">
        <f>IF(CN123="","",IFERROR(CN123*HSTECH!$B$17*HSTECH!$G$17/HSTECH!$B$3,""))</f>
        <v/>
      </c>
      <c r="FC123" s="85">
        <f>IF(CO123="","",IFERROR(CO123*HSTECH!$B$17*HSTECH!$G$17/HSTECH!$B$3,""))</f>
        <v/>
      </c>
      <c r="FD123" s="85">
        <f>IF(CP123="","",IFERROR(CP123*HSTECH!$B$17*HSTECH!$G$17/HSTECH!$B$3,""))</f>
        <v/>
      </c>
      <c r="FE123" s="85">
        <f>IF(CQ123="","",IFERROR(CQ123*HSTECH!$B$17*HSTECH!$G$17/HSTECH!$B$3,""))</f>
        <v/>
      </c>
      <c r="FF123" s="85">
        <f>IF(CR123="","",IFERROR(CR123*HSTECH!$B$17*HSTECH!$G$17/HSTECH!$B$3,""))</f>
        <v/>
      </c>
      <c r="FG123" s="85">
        <f>IF(CS123="","",IFERROR(CS123*HSTECH!$B$17*HSTECH!$G$17/HSTECH!$B$3,""))</f>
        <v/>
      </c>
      <c r="FH123" s="85">
        <f>IF(CT123="","",IFERROR(CT123*HSTECH!$B$17*HSTECH!$G$17/HSTECH!$B$3,""))</f>
        <v/>
      </c>
      <c r="FI123" s="85">
        <f>IF(CU123="","",IFERROR(CU123*HSTECH!$B$17*HSTECH!$G$17/HSTECH!$B$3,""))</f>
        <v/>
      </c>
      <c r="FJ123" s="85">
        <f>IF(CV123="","",IFERROR(CV123*HSTECH!$B$17*HSTECH!$G$17/HSTECH!$B$3,""))</f>
        <v/>
      </c>
      <c r="FK123" s="85">
        <f>IF(CW123="","",IFERROR(CW123*HSTECH!$B$17*HSTECH!$G$17/HSTECH!$B$3,""))</f>
        <v/>
      </c>
      <c r="FL123" s="85">
        <f>IF(CX123="","",IFERROR(CX123*HSTECH!$B$17*HSTECH!$G$17/HSTECH!$B$3,""))</f>
        <v/>
      </c>
      <c r="FM123" s="85">
        <f>IF(CY123="","",IFERROR(CY123*HSTECH!$B$17*HSTECH!$G$17/HSTECH!$B$3,""))</f>
        <v/>
      </c>
      <c r="FN123" s="85">
        <f>IF(CZ123="","",IFERROR(CZ123*HSTECH!$B$17*HSTECH!$G$17/HSTECH!$B$3,""))</f>
        <v/>
      </c>
      <c r="FO123" s="85">
        <f>IF(DA123="","",IFERROR(DA123*HSTECH!$B$17*HSTECH!$G$17/HSTECH!$B$3,""))</f>
        <v/>
      </c>
      <c r="FP123" s="85">
        <f>IF(DB123="","",IFERROR(DB123*HSTECH!$B$17*HSTECH!$G$17/HSTECH!$B$3,""))</f>
        <v/>
      </c>
      <c r="FQ123" s="85">
        <f>IF(DC123="","",IFERROR(DC123*HSTECH!$B$17*HSTECH!$G$17/HSTECH!$B$3,""))</f>
        <v/>
      </c>
      <c r="FR123" s="85">
        <f>IF(DD123="","",IFERROR(DD123*HSTECH!$B$17*HSTECH!$G$17/HSTECH!$B$3,""))</f>
        <v/>
      </c>
      <c r="FS123" s="85">
        <f>IF(DE123="","",IFERROR(DE123*HSTECH!$B$17*HSTECH!$G$17/HSTECH!$B$3,""))</f>
        <v/>
      </c>
      <c r="FT123" s="85">
        <f>IF(DF123="","",IFERROR(DF123*HSTECH!$B$17*HSTECH!$G$17/HSTECH!$B$3,""))</f>
        <v/>
      </c>
      <c r="FU123" s="85">
        <f>IF(DG123="","",IFERROR(DG123*HSTECH!$B$17*HSTECH!$G$17/HSTECH!$B$3,""))</f>
        <v/>
      </c>
      <c r="FV123" s="85">
        <f>IF(DH123="","",IFERROR(DH123*HSTECH!$B$17*HSTECH!$G$17/HSTECH!$B$3,""))</f>
        <v/>
      </c>
      <c r="FW123" s="85">
        <f>IF(DI123="","",IFERROR(DI123*HSTECH!$B$17*HSTECH!$G$17/HSTECH!$B$3,""))</f>
        <v/>
      </c>
      <c r="FX123" s="85">
        <f>IF(DJ123="","",IFERROR(DJ123*HSTECH!$B$17*HSTECH!$G$17/HSTECH!$B$3,""))</f>
        <v/>
      </c>
      <c r="FY123" s="85">
        <f>IF(DK123="","",IFERROR(DK123*HSTECH!$B$17*HSTECH!$G$17/HSTECH!$B$3,""))</f>
        <v/>
      </c>
      <c r="FZ123" s="85">
        <f>IF(DL123="","",IFERROR(DL123*HSTECH!$B$17*HSTECH!$G$17/HSTECH!$B$3,""))</f>
        <v/>
      </c>
      <c r="GA123" s="85">
        <f>IF(DM123="","",IFERROR(DM123*HSTECH!$B$17*HSTECH!$G$17/HSTECH!$B$3,""))</f>
        <v/>
      </c>
      <c r="GB123" s="85">
        <f>IF(DN123="","",IFERROR(DN123*HSTECH!$B$17*HSTECH!$G$17/HSTECH!$B$3,""))</f>
        <v/>
      </c>
      <c r="GC123" s="85">
        <f>IF(DO123="","",IFERROR(DO123*HSTECH!$B$17*HSTECH!$G$17/HSTECH!$B$3,""))</f>
        <v/>
      </c>
      <c r="GD123" s="85">
        <f>IF(DP123="","",IFERROR(DP123*HSTECH!$B$17*HSTECH!$G$17/HSTECH!$B$3,""))</f>
        <v/>
      </c>
      <c r="GE123" s="85">
        <f>IF(DQ123="","",IFERROR(DQ123*HSTECH!$B$17*HSTECH!$G$17/HSTECH!$B$3,""))</f>
        <v/>
      </c>
      <c r="GF123" s="85">
        <f>IF(DR123="","",IFERROR(DR123*HSTECH!$B$17*HSTECH!$G$17/HSTECH!$B$3,""))</f>
        <v/>
      </c>
      <c r="GG123" s="85">
        <f>IF(DS123="","",IFERROR(DS123*HSTECH!$B$17*HSTECH!$G$17/HSTECH!$B$3,""))</f>
        <v/>
      </c>
      <c r="GH123" s="85">
        <f>IF(DT123="","",IFERROR(DT123*HSTECH!$B$17*HSTECH!$G$17/HSTECH!$B$3,""))</f>
        <v/>
      </c>
      <c r="GI123" s="85">
        <f>IF(DU123="","",IFERROR(DU123*HSTECH!$B$17*HSTECH!$G$17/HSTECH!$B$3,""))</f>
        <v/>
      </c>
      <c r="GJ123" s="85">
        <f>IF(DV123="","",IFERROR(DV123*HSTECH!$B$17*HSTECH!$G$17/HSTECH!$B$3,""))</f>
        <v/>
      </c>
      <c r="GK123" s="85">
        <f>IF(DW123="","",IFERROR(DW123*HSTECH!$B$17*HSTECH!$G$17/HSTECH!$B$3,""))</f>
        <v/>
      </c>
      <c r="GL123" s="85">
        <f>IF(DX123="","",IFERROR(DX123*HSTECH!$B$17*HSTECH!$G$17/HSTECH!$B$3,""))</f>
        <v/>
      </c>
      <c r="GM123" s="85">
        <f>IF(DY123="","",IFERROR(DY123*HSTECH!$B$17*HSTECH!$G$17/HSTECH!$B$3,""))</f>
        <v/>
      </c>
      <c r="GN123" s="85">
        <f>IF(DZ123="","",IFERROR(DZ123*HSTECH!$B$17*HSTECH!$G$17/HSTECH!$B$3,""))</f>
        <v/>
      </c>
      <c r="GO123" s="85">
        <f>IF(EA123="","",IFERROR(EA123*HSTECH!$B$17*HSTECH!$G$17/HSTECH!$B$3,""))</f>
        <v/>
      </c>
      <c r="GP123" s="85">
        <f>IF(EB123="","",IFERROR(EB123*HSTECH!$B$17*HSTECH!$G$17/HSTECH!$B$3,""))</f>
        <v/>
      </c>
      <c r="GQ123" s="85">
        <f>IF(EC123="","",IFERROR(EC123*HSTECH!$B$17*HSTECH!$G$17/HSTECH!$B$3,""))</f>
        <v/>
      </c>
    </row>
    <row r="124">
      <c r="B124" s="2">
        <f>IF(HSTECH!$C$18="","",HSTECH!$C$18)</f>
        <v/>
      </c>
      <c r="C124" s="41">
        <f>IF(N('Dvd Calendar'!$E$1680)=0,"",IF(('Dvd Calendar'!$E$1680&gt;=MIN(DATE(Summary!$C$12,1,1),Summary!$C$11))*('Dvd Calendar'!$E$1680&lt;=MAX(DATE(Summary!$C$12,12,31),Summary!$C$15))*('Dvd Calendar'!$E$1680&lt;=Summary!$C$11)=0,"",'Dvd Calendar'!$E$1680*1000000000+ISNUMBER('Dvd Calendar'!$E$1681)*100000000+('Dvd Calendar'!$E$1685='Field Check'!$C$25)*10000000+(N('Dvd Calendar'!$E$1679)&gt;0)*1000000+12*1000+1))</f>
        <v/>
      </c>
      <c r="D124" s="41">
        <f>IF(N('Dvd Calendar'!$F$1680)=0,"",IF(('Dvd Calendar'!$F$1680&gt;=MIN(DATE(Summary!$C$12,1,1),Summary!$C$11))*('Dvd Calendar'!$F$1680&lt;=MAX(DATE(Summary!$C$12,12,31),Summary!$C$15))*('Dvd Calendar'!$F$1680&lt;=Summary!$C$11)=0,"",'Dvd Calendar'!$F$1680*1000000000+ISNUMBER('Dvd Calendar'!$F$1681)*100000000+('Dvd Calendar'!$F$1685='Field Check'!$C$25)*10000000+(N('Dvd Calendar'!$F$1679)&gt;0)*1000000+12*1000+2))</f>
        <v/>
      </c>
      <c r="E124" s="41">
        <f>IF(N('Dvd Calendar'!$G$1680)=0,"",IF(('Dvd Calendar'!$G$1680&gt;=MIN(DATE(Summary!$C$12,1,1),Summary!$C$11))*('Dvd Calendar'!$G$1680&lt;=MAX(DATE(Summary!$C$12,12,31),Summary!$C$15))*('Dvd Calendar'!$G$1680&lt;=Summary!$C$11)=0,"",'Dvd Calendar'!$G$1680*1000000000+ISNUMBER('Dvd Calendar'!$G$1681)*100000000+('Dvd Calendar'!$G$1685='Field Check'!$C$25)*10000000+(N('Dvd Calendar'!$G$1679)&gt;0)*1000000+12*1000+3))</f>
        <v/>
      </c>
      <c r="F124" s="41">
        <f>IF(N('Dvd Calendar'!$H$1680)=0,"",IF(('Dvd Calendar'!$H$1680&gt;=MIN(DATE(Summary!$C$12,1,1),Summary!$C$11))*('Dvd Calendar'!$H$1680&lt;=MAX(DATE(Summary!$C$12,12,31),Summary!$C$15))*('Dvd Calendar'!$H$1680&lt;=Summary!$C$11)=0,"",'Dvd Calendar'!$H$1680*1000000000+ISNUMBER('Dvd Calendar'!$H$1681)*100000000+('Dvd Calendar'!$H$1685='Field Check'!$C$25)*10000000+(N('Dvd Calendar'!$H$1679)&gt;0)*1000000+12*1000+4))</f>
        <v/>
      </c>
      <c r="G124" s="41">
        <f>IF(N('Dvd Calendar'!$I$1680)=0,"",IF(('Dvd Calendar'!$I$1680&gt;=MIN(DATE(Summary!$C$12,1,1),Summary!$C$11))*('Dvd Calendar'!$I$1680&lt;=MAX(DATE(Summary!$C$12,12,31),Summary!$C$15))*('Dvd Calendar'!$I$1680&lt;=Summary!$C$11)=0,"",'Dvd Calendar'!$I$1680*1000000000+ISNUMBER('Dvd Calendar'!$I$1681)*100000000+('Dvd Calendar'!$I$1685='Field Check'!$C$25)*10000000+(N('Dvd Calendar'!$I$1679)&gt;0)*1000000+12*1000+5))</f>
        <v/>
      </c>
      <c r="H124" s="41">
        <f>IF(N('Dvd Calendar'!$J$1680)=0,"",IF(('Dvd Calendar'!$J$1680&gt;=MIN(DATE(Summary!$C$12,1,1),Summary!$C$11))*('Dvd Calendar'!$J$1680&lt;=MAX(DATE(Summary!$C$12,12,31),Summary!$C$15))*('Dvd Calendar'!$J$1680&lt;=Summary!$C$11)=0,"",'Dvd Calendar'!$J$1680*1000000000+ISNUMBER('Dvd Calendar'!$J$1681)*100000000+('Dvd Calendar'!$J$1685='Field Check'!$C$25)*10000000+(N('Dvd Calendar'!$J$1679)&gt;0)*1000000+12*1000+6))</f>
        <v/>
      </c>
      <c r="I124" s="41">
        <f>IF(N('Dvd Calendar'!$K$1680)=0,"",IF(('Dvd Calendar'!$K$1680&gt;=MIN(DATE(Summary!$C$12,1,1),Summary!$C$11))*('Dvd Calendar'!$K$1680&lt;=MAX(DATE(Summary!$C$12,12,31),Summary!$C$15))*('Dvd Calendar'!$K$1680&lt;=Summary!$C$11)=0,"",'Dvd Calendar'!$K$1680*1000000000+ISNUMBER('Dvd Calendar'!$K$1681)*100000000+('Dvd Calendar'!$K$1685='Field Check'!$C$25)*10000000+(N('Dvd Calendar'!$K$1679)&gt;0)*1000000+12*1000+7))</f>
        <v/>
      </c>
      <c r="J124" s="41">
        <f>IF(N('Dvd Calendar'!$L$1680)=0,"",IF(('Dvd Calendar'!$L$1680&gt;=MIN(DATE(Summary!$C$12,1,1),Summary!$C$11))*('Dvd Calendar'!$L$1680&lt;=MAX(DATE(Summary!$C$12,12,31),Summary!$C$15))*('Dvd Calendar'!$L$1680&lt;=Summary!$C$11)=0,"",'Dvd Calendar'!$L$1680*1000000000+ISNUMBER('Dvd Calendar'!$L$1681)*100000000+('Dvd Calendar'!$L$1685='Field Check'!$C$25)*10000000+(N('Dvd Calendar'!$L$1679)&gt;0)*1000000+12*1000+8))</f>
        <v/>
      </c>
      <c r="K124" s="41">
        <f>IF(N('Dvd Calendar'!$M$1680)=0,"",IF(('Dvd Calendar'!$M$1680&gt;=MIN(DATE(Summary!$C$12,1,1),Summary!$C$11))*('Dvd Calendar'!$M$1680&lt;=MAX(DATE(Summary!$C$12,12,31),Summary!$C$15))*('Dvd Calendar'!$M$1680&lt;=Summary!$C$11)=0,"",'Dvd Calendar'!$M$1680*1000000000+ISNUMBER('Dvd Calendar'!$M$1681)*100000000+('Dvd Calendar'!$M$1685='Field Check'!$C$25)*10000000+(N('Dvd Calendar'!$M$1679)&gt;0)*1000000+12*1000+9))</f>
        <v/>
      </c>
      <c r="L124" s="41">
        <f>IF(N('Dvd Calendar'!$N$1680)=0,"",IF(('Dvd Calendar'!$N$1680&gt;=MIN(DATE(Summary!$C$12,1,1),Summary!$C$11))*('Dvd Calendar'!$N$1680&lt;=MAX(DATE(Summary!$C$12,12,31),Summary!$C$15))*('Dvd Calendar'!$N$1680&lt;=Summary!$C$11)=0,"",'Dvd Calendar'!$N$1680*1000000000+ISNUMBER('Dvd Calendar'!$N$1681)*100000000+('Dvd Calendar'!$N$1685='Field Check'!$C$25)*10000000+(N('Dvd Calendar'!$N$1679)&gt;0)*1000000+12*1000+10))</f>
        <v/>
      </c>
      <c r="M124" s="41">
        <f>IF(N('Dvd Calendar'!$O$1680)=0,"",IF(('Dvd Calendar'!$O$1680&gt;=MIN(DATE(Summary!$C$12,1,1),Summary!$C$11))*('Dvd Calendar'!$O$1680&lt;=MAX(DATE(Summary!$C$12,12,31),Summary!$C$15))*('Dvd Calendar'!$O$1680&lt;=Summary!$C$11)=0,"",'Dvd Calendar'!$O$1680*1000000000+ISNUMBER('Dvd Calendar'!$O$1681)*100000000+('Dvd Calendar'!$O$1685='Field Check'!$C$25)*10000000+(N('Dvd Calendar'!$O$1679)&gt;0)*1000000+12*1000+11))</f>
        <v/>
      </c>
      <c r="N124" s="41">
        <f>IF(N('Dvd Calendar'!$P$1680)=0,"",IF(('Dvd Calendar'!$P$1680&gt;=MIN(DATE(Summary!$C$12,1,1),Summary!$C$11))*('Dvd Calendar'!$P$1680&lt;=MAX(DATE(Summary!$C$12,12,31),Summary!$C$15))*('Dvd Calendar'!$P$1680&lt;=Summary!$C$11)=0,"",'Dvd Calendar'!$P$1680*1000000000+ISNUMBER('Dvd Calendar'!$P$1681)*100000000+('Dvd Calendar'!$P$1685='Field Check'!$C$25)*10000000+(N('Dvd Calendar'!$P$1679)&gt;0)*1000000+12*1000+12))</f>
        <v/>
      </c>
      <c r="O124" s="41">
        <f>IF(N('Dvd Calendar'!$Q$1680)=0,"",IF(('Dvd Calendar'!$Q$1680&gt;=MIN(DATE(Summary!$C$12,1,1),Summary!$C$11))*('Dvd Calendar'!$Q$1680&lt;=MAX(DATE(Summary!$C$12,12,31),Summary!$C$15))*('Dvd Calendar'!$Q$1680&lt;=Summary!$C$11)=0,"",'Dvd Calendar'!$Q$1680*1000000000+ISNUMBER('Dvd Calendar'!$Q$1681)*100000000+('Dvd Calendar'!$Q$1685='Field Check'!$C$25)*10000000+(N('Dvd Calendar'!$Q$1679)&gt;0)*1000000+12*1000+13))</f>
        <v/>
      </c>
      <c r="P124" s="41">
        <f>IF(N('Dvd Calendar'!$R$1680)=0,"",IF(('Dvd Calendar'!$R$1680&gt;=MIN(DATE(Summary!$C$12,1,1),Summary!$C$11))*('Dvd Calendar'!$R$1680&lt;=MAX(DATE(Summary!$C$12,12,31),Summary!$C$15))*('Dvd Calendar'!$R$1680&lt;=Summary!$C$11)=0,"",'Dvd Calendar'!$R$1680*1000000000+ISNUMBER('Dvd Calendar'!$R$1681)*100000000+('Dvd Calendar'!$R$1685='Field Check'!$C$25)*10000000+(N('Dvd Calendar'!$R$1679)&gt;0)*1000000+12*1000+14))</f>
        <v/>
      </c>
      <c r="Q124" s="41">
        <f>IF(N('Dvd Calendar'!$S$1680)=0,"",IF(('Dvd Calendar'!$S$1680&gt;=MIN(DATE(Summary!$C$12,1,1),Summary!$C$11))*('Dvd Calendar'!$S$1680&lt;=MAX(DATE(Summary!$C$12,12,31),Summary!$C$15))*('Dvd Calendar'!$S$1680&lt;=Summary!$C$11)=0,"",'Dvd Calendar'!$S$1680*1000000000+ISNUMBER('Dvd Calendar'!$S$1681)*100000000+('Dvd Calendar'!$S$1685='Field Check'!$C$25)*10000000+(N('Dvd Calendar'!$S$1679)&gt;0)*1000000+12*1000+15))</f>
        <v/>
      </c>
      <c r="R124" s="41">
        <f>IF(N('Dvd Calendar'!$T$1680)=0,"",IF(('Dvd Calendar'!$T$1680&gt;=MIN(DATE(Summary!$C$12,1,1),Summary!$C$11))*('Dvd Calendar'!$T$1680&lt;=MAX(DATE(Summary!$C$12,12,31),Summary!$C$15))*('Dvd Calendar'!$T$1680&lt;=Summary!$C$11)=0,"",'Dvd Calendar'!$T$1680*1000000000+ISNUMBER('Dvd Calendar'!$T$1681)*100000000+('Dvd Calendar'!$T$1685='Field Check'!$C$25)*10000000+(N('Dvd Calendar'!$T$1679)&gt;0)*1000000+12*1000+16))</f>
        <v/>
      </c>
      <c r="S124" s="41">
        <f>IF(N('Dvd Calendar'!$U$1680)=0,"",IF(('Dvd Calendar'!$U$1680&gt;=MIN(DATE(Summary!$C$12,1,1),Summary!$C$11))*('Dvd Calendar'!$U$1680&lt;=MAX(DATE(Summary!$C$12,12,31),Summary!$C$15))*('Dvd Calendar'!$U$1680&lt;=Summary!$C$11)=0,"",'Dvd Calendar'!$U$1680*1000000000+ISNUMBER('Dvd Calendar'!$U$1681)*100000000+('Dvd Calendar'!$U$1685='Field Check'!$C$25)*10000000+(N('Dvd Calendar'!$U$1679)&gt;0)*1000000+12*1000+17))</f>
        <v/>
      </c>
      <c r="T124" s="41">
        <f>IF(N('Dvd Calendar'!$V$1680)=0,"",IF(('Dvd Calendar'!$V$1680&gt;=MIN(DATE(Summary!$C$12,1,1),Summary!$C$11))*('Dvd Calendar'!$V$1680&lt;=MAX(DATE(Summary!$C$12,12,31),Summary!$C$15))*('Dvd Calendar'!$V$1680&lt;=Summary!$C$11)=0,"",'Dvd Calendar'!$V$1680*1000000000+ISNUMBER('Dvd Calendar'!$V$1681)*100000000+('Dvd Calendar'!$V$1685='Field Check'!$C$25)*10000000+(N('Dvd Calendar'!$V$1679)&gt;0)*1000000+12*1000+18))</f>
        <v/>
      </c>
      <c r="U124" s="41">
        <f>IF(N('Dvd Calendar'!$W$1680)=0,"",IF(('Dvd Calendar'!$W$1680&gt;=MIN(DATE(Summary!$C$12,1,1),Summary!$C$11))*('Dvd Calendar'!$W$1680&lt;=MAX(DATE(Summary!$C$12,12,31),Summary!$C$15))*('Dvd Calendar'!$W$1680&lt;=Summary!$C$11)=0,"",'Dvd Calendar'!$W$1680*1000000000+ISNUMBER('Dvd Calendar'!$W$1681)*100000000+('Dvd Calendar'!$W$1685='Field Check'!$C$25)*10000000+(N('Dvd Calendar'!$W$1679)&gt;0)*1000000+12*1000+19))</f>
        <v/>
      </c>
      <c r="V124" s="41">
        <f>IF(N('Dvd Calendar'!$X$1680)=0,"",IF(('Dvd Calendar'!$X$1680&gt;=MIN(DATE(Summary!$C$12,1,1),Summary!$C$11))*('Dvd Calendar'!$X$1680&lt;=MAX(DATE(Summary!$C$12,12,31),Summary!$C$15))*('Dvd Calendar'!$X$1680&lt;=Summary!$C$11)=0,"",'Dvd Calendar'!$X$1680*1000000000+ISNUMBER('Dvd Calendar'!$X$1681)*100000000+('Dvd Calendar'!$X$1685='Field Check'!$C$25)*10000000+(N('Dvd Calendar'!$X$1679)&gt;0)*1000000+12*1000+20))</f>
        <v/>
      </c>
      <c r="W124" s="41">
        <f>IF(N('Dvd Calendar'!$Y$1680)=0,"",IF(('Dvd Calendar'!$Y$1680&gt;=MIN(DATE(Summary!$C$12,1,1),Summary!$C$11))*('Dvd Calendar'!$Y$1680&lt;=MAX(DATE(Summary!$C$12,12,31),Summary!$C$15))*('Dvd Calendar'!$Y$1680&lt;=Summary!$C$11)=0,"",'Dvd Calendar'!$Y$1680*1000000000+ISNUMBER('Dvd Calendar'!$Y$1681)*100000000+('Dvd Calendar'!$Y$1685='Field Check'!$C$25)*10000000+(N('Dvd Calendar'!$Y$1679)&gt;0)*1000000+12*1000+21))</f>
        <v/>
      </c>
      <c r="X124" s="41">
        <f>IF(N('Dvd Calendar'!$Z$1680)=0,"",IF(('Dvd Calendar'!$Z$1680&gt;=MIN(DATE(Summary!$C$12,1,1),Summary!$C$11))*('Dvd Calendar'!$Z$1680&lt;=MAX(DATE(Summary!$C$12,12,31),Summary!$C$15))*('Dvd Calendar'!$Z$1680&lt;=Summary!$C$11)=0,"",'Dvd Calendar'!$Z$1680*1000000000+ISNUMBER('Dvd Calendar'!$Z$1681)*100000000+('Dvd Calendar'!$Z$1685='Field Check'!$C$25)*10000000+(N('Dvd Calendar'!$Z$1679)&gt;0)*1000000+12*1000+22))</f>
        <v/>
      </c>
      <c r="Y124" s="41">
        <f>IF(N('Dvd Calendar'!$AA$1680)=0,"",IF(('Dvd Calendar'!$AA$1680&gt;=MIN(DATE(Summary!$C$12,1,1),Summary!$C$11))*('Dvd Calendar'!$AA$1680&lt;=MAX(DATE(Summary!$C$12,12,31),Summary!$C$15))*('Dvd Calendar'!$AA$1680&lt;=Summary!$C$11)=0,"",'Dvd Calendar'!$AA$1680*1000000000+ISNUMBER('Dvd Calendar'!$AA$1681)*100000000+('Dvd Calendar'!$AA$1685='Field Check'!$C$25)*10000000+(N('Dvd Calendar'!$AA$1679)&gt;0)*1000000+12*1000+23))</f>
        <v/>
      </c>
      <c r="Z124" s="41">
        <f>IF(N('Dvd Calendar'!$AB$1680)=0,"",IF(('Dvd Calendar'!$AB$1680&gt;=MIN(DATE(Summary!$C$12,1,1),Summary!$C$11))*('Dvd Calendar'!$AB$1680&lt;=MAX(DATE(Summary!$C$12,12,31),Summary!$C$15))*('Dvd Calendar'!$AB$1680&lt;=Summary!$C$11)=0,"",'Dvd Calendar'!$AB$1680*1000000000+ISNUMBER('Dvd Calendar'!$AB$1681)*100000000+('Dvd Calendar'!$AB$1685='Field Check'!$C$25)*10000000+(N('Dvd Calendar'!$AB$1679)&gt;0)*1000000+12*1000+24))</f>
        <v/>
      </c>
      <c r="AA124" s="41">
        <f>IF(N('Dvd Calendar'!$AC$1680)=0,"",IF(('Dvd Calendar'!$AC$1680&gt;=MIN(DATE(Summary!$C$12,1,1),Summary!$C$11))*('Dvd Calendar'!$AC$1680&lt;=MAX(DATE(Summary!$C$12,12,31),Summary!$C$15))*('Dvd Calendar'!$AC$1680&lt;=Summary!$C$11)=0,"",'Dvd Calendar'!$AC$1680*1000000000+ISNUMBER('Dvd Calendar'!$AC$1681)*100000000+('Dvd Calendar'!$AC$1685='Field Check'!$C$25)*10000000+(N('Dvd Calendar'!$AC$1679)&gt;0)*1000000+12*1000+25))</f>
        <v/>
      </c>
      <c r="AB124" s="41">
        <f>IF(N('Dvd Calendar'!$AD$1680)=0,"",IF(('Dvd Calendar'!$AD$1680&gt;=MIN(DATE(Summary!$C$12,1,1),Summary!$C$11))*('Dvd Calendar'!$AD$1680&lt;=MAX(DATE(Summary!$C$12,12,31),Summary!$C$15))*('Dvd Calendar'!$AD$1680&lt;=Summary!$C$11)=0,"",'Dvd Calendar'!$AD$1680*1000000000+ISNUMBER('Dvd Calendar'!$AD$1681)*100000000+('Dvd Calendar'!$AD$1685='Field Check'!$C$25)*10000000+(N('Dvd Calendar'!$AD$1679)&gt;0)*1000000+12*1000+26))</f>
        <v/>
      </c>
      <c r="AC124" s="41">
        <f>IF(N('Dvd Calendar'!$AE$1680)=0,"",IF(('Dvd Calendar'!$AE$1680&gt;=MIN(DATE(Summary!$C$12,1,1),Summary!$C$11))*('Dvd Calendar'!$AE$1680&lt;=MAX(DATE(Summary!$C$12,12,31),Summary!$C$15))*('Dvd Calendar'!$AE$1680&lt;=Summary!$C$11)=0,"",'Dvd Calendar'!$AE$1680*1000000000+ISNUMBER('Dvd Calendar'!$AE$1681)*100000000+('Dvd Calendar'!$AE$1685='Field Check'!$C$25)*10000000+(N('Dvd Calendar'!$AE$1679)&gt;0)*1000000+12*1000+27))</f>
        <v/>
      </c>
      <c r="AD124" s="41">
        <f>IF(N('Dvd Calendar'!$AF$1680)=0,"",IF(('Dvd Calendar'!$AF$1680&gt;=MIN(DATE(Summary!$C$12,1,1),Summary!$C$11))*('Dvd Calendar'!$AF$1680&lt;=MAX(DATE(Summary!$C$12,12,31),Summary!$C$15))*('Dvd Calendar'!$AF$1680&lt;=Summary!$C$11)=0,"",'Dvd Calendar'!$AF$1680*1000000000+ISNUMBER('Dvd Calendar'!$AF$1681)*100000000+('Dvd Calendar'!$AF$1685='Field Check'!$C$25)*10000000+(N('Dvd Calendar'!$AF$1679)&gt;0)*1000000+12*1000+28))</f>
        <v/>
      </c>
      <c r="AE124" s="41">
        <f>IF(N('Dvd Calendar'!$AG$1680)=0,"",IF(('Dvd Calendar'!$AG$1680&gt;=MIN(DATE(Summary!$C$12,1,1),Summary!$C$11))*('Dvd Calendar'!$AG$1680&lt;=MAX(DATE(Summary!$C$12,12,31),Summary!$C$15))*('Dvd Calendar'!$AG$1680&lt;=Summary!$C$11)=0,"",'Dvd Calendar'!$AG$1680*1000000000+ISNUMBER('Dvd Calendar'!$AG$1681)*100000000+('Dvd Calendar'!$AG$1685='Field Check'!$C$25)*10000000+(N('Dvd Calendar'!$AG$1679)&gt;0)*1000000+12*1000+29))</f>
        <v/>
      </c>
      <c r="AF124" s="41">
        <f>IF(N('Dvd Calendar'!$AH$1680)=0,"",IF(('Dvd Calendar'!$AH$1680&gt;=MIN(DATE(Summary!$C$12,1,1),Summary!$C$11))*('Dvd Calendar'!$AH$1680&lt;=MAX(DATE(Summary!$C$12,12,31),Summary!$C$15))*('Dvd Calendar'!$AH$1680&lt;=Summary!$C$11)=0,"",'Dvd Calendar'!$AH$1680*1000000000+ISNUMBER('Dvd Calendar'!$AH$1681)*100000000+('Dvd Calendar'!$AH$1685='Field Check'!$C$25)*10000000+(N('Dvd Calendar'!$AH$1679)&gt;0)*1000000+12*1000+30))</f>
        <v/>
      </c>
      <c r="AG124" s="41">
        <f>IF(N('Dvd Calendar'!$AI$1680)=0,"",IF(('Dvd Calendar'!$AI$1680&gt;=MIN(DATE(Summary!$C$12,1,1),Summary!$C$11))*('Dvd Calendar'!$AI$1680&lt;=MAX(DATE(Summary!$C$12,12,31),Summary!$C$15))*('Dvd Calendar'!$AI$1680&lt;=Summary!$C$11)=0,"",'Dvd Calendar'!$AI$1680*1000000000+ISNUMBER('Dvd Calendar'!$AI$1681)*100000000+('Dvd Calendar'!$AI$1685='Field Check'!$C$25)*10000000+(N('Dvd Calendar'!$AI$1679)&gt;0)*1000000+12*1000+31))</f>
        <v/>
      </c>
      <c r="AH124" s="41">
        <f>IF(N('Dvd Calendar'!$AJ$1680)=0,"",IF(('Dvd Calendar'!$AJ$1680&gt;=MIN(DATE(Summary!$C$12,1,1),Summary!$C$11))*('Dvd Calendar'!$AJ$1680&lt;=MAX(DATE(Summary!$C$12,12,31),Summary!$C$15))*('Dvd Calendar'!$AJ$1680&lt;=Summary!$C$11)=0,"",'Dvd Calendar'!$AJ$1680*1000000000+ISNUMBER('Dvd Calendar'!$AJ$1681)*100000000+('Dvd Calendar'!$AJ$1685='Field Check'!$C$25)*10000000+(N('Dvd Calendar'!$AJ$1679)&gt;0)*1000000+12*1000+32))</f>
        <v/>
      </c>
      <c r="AI124" s="41">
        <f>IF(N('Dvd Calendar'!$AK$1680)=0,"",IF(('Dvd Calendar'!$AK$1680&gt;=MIN(DATE(Summary!$C$12,1,1),Summary!$C$11))*('Dvd Calendar'!$AK$1680&lt;=MAX(DATE(Summary!$C$12,12,31),Summary!$C$15))*('Dvd Calendar'!$AK$1680&lt;=Summary!$C$11)=0,"",'Dvd Calendar'!$AK$1680*1000000000+ISNUMBER('Dvd Calendar'!$AK$1681)*100000000+('Dvd Calendar'!$AK$1685='Field Check'!$C$25)*10000000+(N('Dvd Calendar'!$AK$1679)&gt;0)*1000000+12*1000+33))</f>
        <v/>
      </c>
      <c r="AJ124" s="41">
        <f>IF(N('Dvd Calendar'!$AL$1680)=0,"",IF(('Dvd Calendar'!$AL$1680&gt;=MIN(DATE(Summary!$C$12,1,1),Summary!$C$11))*('Dvd Calendar'!$AL$1680&lt;=MAX(DATE(Summary!$C$12,12,31),Summary!$C$15))*('Dvd Calendar'!$AL$1680&lt;=Summary!$C$11)=0,"",'Dvd Calendar'!$AL$1680*1000000000+ISNUMBER('Dvd Calendar'!$AL$1681)*100000000+('Dvd Calendar'!$AL$1685='Field Check'!$C$25)*10000000+(N('Dvd Calendar'!$AL$1679)&gt;0)*1000000+12*1000+34))</f>
        <v/>
      </c>
      <c r="AK124" s="41">
        <f>IF(N('Dvd Calendar'!$AM$1680)=0,"",IF(('Dvd Calendar'!$AM$1680&gt;=MIN(DATE(Summary!$C$12,1,1),Summary!$C$11))*('Dvd Calendar'!$AM$1680&lt;=MAX(DATE(Summary!$C$12,12,31),Summary!$C$15))*('Dvd Calendar'!$AM$1680&lt;=Summary!$C$11)=0,"",'Dvd Calendar'!$AM$1680*1000000000+ISNUMBER('Dvd Calendar'!$AM$1681)*100000000+('Dvd Calendar'!$AM$1685='Field Check'!$C$25)*10000000+(N('Dvd Calendar'!$AM$1679)&gt;0)*1000000+12*1000+35))</f>
        <v/>
      </c>
      <c r="AL124" s="41">
        <f>IF(N('Dvd Calendar'!$AN$1680)=0,"",IF(('Dvd Calendar'!$AN$1680&gt;=MIN(DATE(Summary!$C$12,1,1),Summary!$C$11))*('Dvd Calendar'!$AN$1680&lt;=MAX(DATE(Summary!$C$12,12,31),Summary!$C$15))*('Dvd Calendar'!$AN$1680&lt;=Summary!$C$11)=0,"",'Dvd Calendar'!$AN$1680*1000000000+ISNUMBER('Dvd Calendar'!$AN$1681)*100000000+('Dvd Calendar'!$AN$1685='Field Check'!$C$25)*10000000+(N('Dvd Calendar'!$AN$1679)&gt;0)*1000000+12*1000+36))</f>
        <v/>
      </c>
      <c r="AM124" s="41">
        <f>IF(N('Dvd Calendar'!$AO$1680)=0,"",IF(('Dvd Calendar'!$AO$1680&gt;=MIN(DATE(Summary!$C$12,1,1),Summary!$C$11))*('Dvd Calendar'!$AO$1680&lt;=MAX(DATE(Summary!$C$12,12,31),Summary!$C$15))*('Dvd Calendar'!$AO$1680&lt;=Summary!$C$11)=0,"",'Dvd Calendar'!$AO$1680*1000000000+ISNUMBER('Dvd Calendar'!$AO$1681)*100000000+('Dvd Calendar'!$AO$1685='Field Check'!$C$25)*10000000+(N('Dvd Calendar'!$AO$1679)&gt;0)*1000000+12*1000+37))</f>
        <v/>
      </c>
      <c r="AN124" s="41">
        <f>IF(N('Dvd Calendar'!$AP$1680)=0,"",IF(('Dvd Calendar'!$AP$1680&gt;=MIN(DATE(Summary!$C$12,1,1),Summary!$C$11))*('Dvd Calendar'!$AP$1680&lt;=MAX(DATE(Summary!$C$12,12,31),Summary!$C$15))*('Dvd Calendar'!$AP$1680&lt;=Summary!$C$11)=0,"",'Dvd Calendar'!$AP$1680*1000000000+ISNUMBER('Dvd Calendar'!$AP$1681)*100000000+('Dvd Calendar'!$AP$1685='Field Check'!$C$25)*10000000+(N('Dvd Calendar'!$AP$1679)&gt;0)*1000000+12*1000+38))</f>
        <v/>
      </c>
      <c r="AO124" s="41">
        <f>IF(N('Dvd Calendar'!$AQ$1680)=0,"",IF(('Dvd Calendar'!$AQ$1680&gt;=MIN(DATE(Summary!$C$12,1,1),Summary!$C$11))*('Dvd Calendar'!$AQ$1680&lt;=MAX(DATE(Summary!$C$12,12,31),Summary!$C$15))*('Dvd Calendar'!$AQ$1680&lt;=Summary!$C$11)=0,"",'Dvd Calendar'!$AQ$1680*1000000000+ISNUMBER('Dvd Calendar'!$AQ$1681)*100000000+('Dvd Calendar'!$AQ$1685='Field Check'!$C$25)*10000000+(N('Dvd Calendar'!$AQ$1679)&gt;0)*1000000+12*1000+39))</f>
        <v/>
      </c>
      <c r="AP124" s="41">
        <f>IF(N('Dvd Calendar'!$AR$1680)=0,"",IF(('Dvd Calendar'!$AR$1680&gt;=MIN(DATE(Summary!$C$12,1,1),Summary!$C$11))*('Dvd Calendar'!$AR$1680&lt;=MAX(DATE(Summary!$C$12,12,31),Summary!$C$15))*('Dvd Calendar'!$AR$1680&lt;=Summary!$C$11)=0,"",'Dvd Calendar'!$AR$1680*1000000000+ISNUMBER('Dvd Calendar'!$AR$1681)*100000000+('Dvd Calendar'!$AR$1685='Field Check'!$C$25)*10000000+(N('Dvd Calendar'!$AR$1679)&gt;0)*1000000+12*1000+40))</f>
        <v/>
      </c>
      <c r="AQ124" s="41">
        <f>IF(N('Dvd Calendar'!$E$1687)=0,"",IF(('Dvd Calendar'!$E$1687&gt;=MIN(DATE(Summary!$C$12,1,1),Summary!$C$11))*('Dvd Calendar'!$E$1687&lt;=MAX(DATE(Summary!$C$12,12,31),Summary!$C$15))*('Dvd Calendar'!$E$1687&gt;Summary!$C$11)=0,"",'Dvd Calendar'!$E$1687*1000000000+ISNUMBER('Dvd Calendar'!$E$1688)*100000000+('Dvd Calendar'!$E$1692='Field Check'!$C$25)*10000000+(N('Dvd Calendar'!$E$1686)&gt;0)*1000000+12*1000+41))</f>
        <v/>
      </c>
      <c r="AR124" s="41">
        <f>IF(N('Dvd Calendar'!$F$1687)=0,"",IF(('Dvd Calendar'!$F$1687&gt;=MIN(DATE(Summary!$C$12,1,1),Summary!$C$11))*('Dvd Calendar'!$F$1687&lt;=MAX(DATE(Summary!$C$12,12,31),Summary!$C$15))*('Dvd Calendar'!$F$1687&gt;Summary!$C$11)=0,"",'Dvd Calendar'!$F$1687*1000000000+ISNUMBER('Dvd Calendar'!$F$1688)*100000000+('Dvd Calendar'!$F$1692='Field Check'!$C$25)*10000000+(N('Dvd Calendar'!$F$1686)&gt;0)*1000000+12*1000+42))</f>
        <v/>
      </c>
      <c r="AS124" s="41">
        <f>IF(N('Dvd Calendar'!$G$1687)=0,"",IF(('Dvd Calendar'!$G$1687&gt;=MIN(DATE(Summary!$C$12,1,1),Summary!$C$11))*('Dvd Calendar'!$G$1687&lt;=MAX(DATE(Summary!$C$12,12,31),Summary!$C$15))*('Dvd Calendar'!$G$1687&gt;Summary!$C$11)=0,"",'Dvd Calendar'!$G$1687*1000000000+ISNUMBER('Dvd Calendar'!$G$1688)*100000000+('Dvd Calendar'!$G$1692='Field Check'!$C$25)*10000000+(N('Dvd Calendar'!$G$1686)&gt;0)*1000000+12*1000+43))</f>
        <v/>
      </c>
      <c r="AT124" s="41">
        <f>IF(N('Dvd Calendar'!$H$1687)=0,"",IF(('Dvd Calendar'!$H$1687&gt;=MIN(DATE(Summary!$C$12,1,1),Summary!$C$11))*('Dvd Calendar'!$H$1687&lt;=MAX(DATE(Summary!$C$12,12,31),Summary!$C$15))*('Dvd Calendar'!$H$1687&gt;Summary!$C$11)=0,"",'Dvd Calendar'!$H$1687*1000000000+ISNUMBER('Dvd Calendar'!$H$1688)*100000000+('Dvd Calendar'!$H$1692='Field Check'!$C$25)*10000000+(N('Dvd Calendar'!$H$1686)&gt;0)*1000000+12*1000+44))</f>
        <v/>
      </c>
      <c r="AU124" s="41">
        <f>IF(N('Dvd Calendar'!$I$1687)=0,"",IF(('Dvd Calendar'!$I$1687&gt;=MIN(DATE(Summary!$C$12,1,1),Summary!$C$11))*('Dvd Calendar'!$I$1687&lt;=MAX(DATE(Summary!$C$12,12,31),Summary!$C$15))*('Dvd Calendar'!$I$1687&gt;Summary!$C$11)=0,"",'Dvd Calendar'!$I$1687*1000000000+ISNUMBER('Dvd Calendar'!$I$1688)*100000000+('Dvd Calendar'!$I$1692='Field Check'!$C$25)*10000000+(N('Dvd Calendar'!$I$1686)&gt;0)*1000000+12*1000+45))</f>
        <v/>
      </c>
      <c r="AV124" s="41">
        <f>IF(N('Dvd Calendar'!$J$1687)=0,"",IF(('Dvd Calendar'!$J$1687&gt;=MIN(DATE(Summary!$C$12,1,1),Summary!$C$11))*('Dvd Calendar'!$J$1687&lt;=MAX(DATE(Summary!$C$12,12,31),Summary!$C$15))*('Dvd Calendar'!$J$1687&gt;Summary!$C$11)=0,"",'Dvd Calendar'!$J$1687*1000000000+ISNUMBER('Dvd Calendar'!$J$1688)*100000000+('Dvd Calendar'!$J$1692='Field Check'!$C$25)*10000000+(N('Dvd Calendar'!$J$1686)&gt;0)*1000000+12*1000+46))</f>
        <v/>
      </c>
      <c r="AW124" s="41">
        <f>IF(N('Dvd Calendar'!$K$1687)=0,"",IF(('Dvd Calendar'!$K$1687&gt;=MIN(DATE(Summary!$C$12,1,1),Summary!$C$11))*('Dvd Calendar'!$K$1687&lt;=MAX(DATE(Summary!$C$12,12,31),Summary!$C$15))*('Dvd Calendar'!$K$1687&gt;Summary!$C$11)=0,"",'Dvd Calendar'!$K$1687*1000000000+ISNUMBER('Dvd Calendar'!$K$1688)*100000000+('Dvd Calendar'!$K$1692='Field Check'!$C$25)*10000000+(N('Dvd Calendar'!$K$1686)&gt;0)*1000000+12*1000+47))</f>
        <v/>
      </c>
      <c r="AX124" s="41">
        <f>IF(N('Dvd Calendar'!$L$1687)=0,"",IF(('Dvd Calendar'!$L$1687&gt;=MIN(DATE(Summary!$C$12,1,1),Summary!$C$11))*('Dvd Calendar'!$L$1687&lt;=MAX(DATE(Summary!$C$12,12,31),Summary!$C$15))*('Dvd Calendar'!$L$1687&gt;Summary!$C$11)=0,"",'Dvd Calendar'!$L$1687*1000000000+ISNUMBER('Dvd Calendar'!$L$1688)*100000000+('Dvd Calendar'!$L$1692='Field Check'!$C$25)*10000000+(N('Dvd Calendar'!$L$1686)&gt;0)*1000000+12*1000+48))</f>
        <v/>
      </c>
      <c r="AY124" s="41">
        <f>IF(N('Dvd Calendar'!$M$1687)=0,"",IF(('Dvd Calendar'!$M$1687&gt;=MIN(DATE(Summary!$C$12,1,1),Summary!$C$11))*('Dvd Calendar'!$M$1687&lt;=MAX(DATE(Summary!$C$12,12,31),Summary!$C$15))*('Dvd Calendar'!$M$1687&gt;Summary!$C$11)=0,"",'Dvd Calendar'!$M$1687*1000000000+ISNUMBER('Dvd Calendar'!$M$1688)*100000000+('Dvd Calendar'!$M$1692='Field Check'!$C$25)*10000000+(N('Dvd Calendar'!$M$1686)&gt;0)*1000000+12*1000+49))</f>
        <v/>
      </c>
      <c r="AZ124" s="41">
        <f>IF(N('Dvd Calendar'!$N$1687)=0,"",IF(('Dvd Calendar'!$N$1687&gt;=MIN(DATE(Summary!$C$12,1,1),Summary!$C$11))*('Dvd Calendar'!$N$1687&lt;=MAX(DATE(Summary!$C$12,12,31),Summary!$C$15))*('Dvd Calendar'!$N$1687&gt;Summary!$C$11)=0,"",'Dvd Calendar'!$N$1687*1000000000+ISNUMBER('Dvd Calendar'!$N$1688)*100000000+('Dvd Calendar'!$N$1692='Field Check'!$C$25)*10000000+(N('Dvd Calendar'!$N$1686)&gt;0)*1000000+12*1000+50))</f>
        <v/>
      </c>
      <c r="BA124" s="41">
        <f>IF(N('Dvd Calendar'!$O$1687)=0,"",IF(('Dvd Calendar'!$O$1687&gt;=MIN(DATE(Summary!$C$12,1,1),Summary!$C$11))*('Dvd Calendar'!$O$1687&lt;=MAX(DATE(Summary!$C$12,12,31),Summary!$C$15))*('Dvd Calendar'!$O$1687&gt;Summary!$C$11)=0,"",'Dvd Calendar'!$O$1687*1000000000+ISNUMBER('Dvd Calendar'!$O$1688)*100000000+('Dvd Calendar'!$O$1692='Field Check'!$C$25)*10000000+(N('Dvd Calendar'!$O$1686)&gt;0)*1000000+12*1000+51))</f>
        <v/>
      </c>
      <c r="BB124" s="41">
        <f>IF(N('Dvd Calendar'!$P$1687)=0,"",IF(('Dvd Calendar'!$P$1687&gt;=MIN(DATE(Summary!$C$12,1,1),Summary!$C$11))*('Dvd Calendar'!$P$1687&lt;=MAX(DATE(Summary!$C$12,12,31),Summary!$C$15))*('Dvd Calendar'!$P$1687&gt;Summary!$C$11)=0,"",'Dvd Calendar'!$P$1687*1000000000+ISNUMBER('Dvd Calendar'!$P$1688)*100000000+('Dvd Calendar'!$P$1692='Field Check'!$C$25)*10000000+(N('Dvd Calendar'!$P$1686)&gt;0)*1000000+12*1000+52))</f>
        <v/>
      </c>
      <c r="BC124" s="41">
        <f>IF(N('Dvd Calendar'!$Q$1687)=0,"",IF(('Dvd Calendar'!$Q$1687&gt;=MIN(DATE(Summary!$C$12,1,1),Summary!$C$11))*('Dvd Calendar'!$Q$1687&lt;=MAX(DATE(Summary!$C$12,12,31),Summary!$C$15))*('Dvd Calendar'!$Q$1687&gt;Summary!$C$11)=0,"",'Dvd Calendar'!$Q$1687*1000000000+ISNUMBER('Dvd Calendar'!$Q$1688)*100000000+('Dvd Calendar'!$Q$1692='Field Check'!$C$25)*10000000+(N('Dvd Calendar'!$Q$1686)&gt;0)*1000000+12*1000+53))</f>
        <v/>
      </c>
      <c r="BD124" s="41">
        <f>IF(N('Dvd Calendar'!$R$1687)=0,"",IF(('Dvd Calendar'!$R$1687&gt;=MIN(DATE(Summary!$C$12,1,1),Summary!$C$11))*('Dvd Calendar'!$R$1687&lt;=MAX(DATE(Summary!$C$12,12,31),Summary!$C$15))*('Dvd Calendar'!$R$1687&gt;Summary!$C$11)=0,"",'Dvd Calendar'!$R$1687*1000000000+ISNUMBER('Dvd Calendar'!$R$1688)*100000000+('Dvd Calendar'!$R$1692='Field Check'!$C$25)*10000000+(N('Dvd Calendar'!$R$1686)&gt;0)*1000000+12*1000+54))</f>
        <v/>
      </c>
      <c r="BE124" s="41">
        <f>IF(N('Dvd Calendar'!$S$1687)=0,"",IF(('Dvd Calendar'!$S$1687&gt;=MIN(DATE(Summary!$C$12,1,1),Summary!$C$11))*('Dvd Calendar'!$S$1687&lt;=MAX(DATE(Summary!$C$12,12,31),Summary!$C$15))*('Dvd Calendar'!$S$1687&gt;Summary!$C$11)=0,"",'Dvd Calendar'!$S$1687*1000000000+ISNUMBER('Dvd Calendar'!$S$1688)*100000000+('Dvd Calendar'!$S$1692='Field Check'!$C$25)*10000000+(N('Dvd Calendar'!$S$1686)&gt;0)*1000000+12*1000+55))</f>
        <v/>
      </c>
      <c r="BF124" s="41">
        <f>IF(N('Dvd Calendar'!$T$1687)=0,"",IF(('Dvd Calendar'!$T$1687&gt;=MIN(DATE(Summary!$C$12,1,1),Summary!$C$11))*('Dvd Calendar'!$T$1687&lt;=MAX(DATE(Summary!$C$12,12,31),Summary!$C$15))*('Dvd Calendar'!$T$1687&gt;Summary!$C$11)=0,"",'Dvd Calendar'!$T$1687*1000000000+ISNUMBER('Dvd Calendar'!$T$1688)*100000000+('Dvd Calendar'!$T$1692='Field Check'!$C$25)*10000000+(N('Dvd Calendar'!$T$1686)&gt;0)*1000000+12*1000+56))</f>
        <v/>
      </c>
      <c r="BG124" s="41">
        <f>IF(N('Dvd Calendar'!$U$1687)=0,"",IF(('Dvd Calendar'!$U$1687&gt;=MIN(DATE(Summary!$C$12,1,1),Summary!$C$11))*('Dvd Calendar'!$U$1687&lt;=MAX(DATE(Summary!$C$12,12,31),Summary!$C$15))*('Dvd Calendar'!$U$1687&gt;Summary!$C$11)=0,"",'Dvd Calendar'!$U$1687*1000000000+ISNUMBER('Dvd Calendar'!$U$1688)*100000000+('Dvd Calendar'!$U$1692='Field Check'!$C$25)*10000000+(N('Dvd Calendar'!$U$1686)&gt;0)*1000000+12*1000+57))</f>
        <v/>
      </c>
      <c r="BH124" s="41">
        <f>IF(N('Dvd Calendar'!$V$1687)=0,"",IF(('Dvd Calendar'!$V$1687&gt;=MIN(DATE(Summary!$C$12,1,1),Summary!$C$11))*('Dvd Calendar'!$V$1687&lt;=MAX(DATE(Summary!$C$12,12,31),Summary!$C$15))*('Dvd Calendar'!$V$1687&gt;Summary!$C$11)=0,"",'Dvd Calendar'!$V$1687*1000000000+ISNUMBER('Dvd Calendar'!$V$1688)*100000000+('Dvd Calendar'!$V$1692='Field Check'!$C$25)*10000000+(N('Dvd Calendar'!$V$1686)&gt;0)*1000000+12*1000+58))</f>
        <v/>
      </c>
      <c r="BI124" s="41">
        <f>IF(N('Dvd Calendar'!$W$1687)=0,"",IF(('Dvd Calendar'!$W$1687&gt;=MIN(DATE(Summary!$C$12,1,1),Summary!$C$11))*('Dvd Calendar'!$W$1687&lt;=MAX(DATE(Summary!$C$12,12,31),Summary!$C$15))*('Dvd Calendar'!$W$1687&gt;Summary!$C$11)=0,"",'Dvd Calendar'!$W$1687*1000000000+ISNUMBER('Dvd Calendar'!$W$1688)*100000000+('Dvd Calendar'!$W$1692='Field Check'!$C$25)*10000000+(N('Dvd Calendar'!$W$1686)&gt;0)*1000000+12*1000+59))</f>
        <v/>
      </c>
      <c r="BJ124" s="41">
        <f>IF(N('Dvd Calendar'!$X$1687)=0,"",IF(('Dvd Calendar'!$X$1687&gt;=MIN(DATE(Summary!$C$12,1,1),Summary!$C$11))*('Dvd Calendar'!$X$1687&lt;=MAX(DATE(Summary!$C$12,12,31),Summary!$C$15))*('Dvd Calendar'!$X$1687&gt;Summary!$C$11)=0,"",'Dvd Calendar'!$X$1687*1000000000+ISNUMBER('Dvd Calendar'!$X$1688)*100000000+('Dvd Calendar'!$X$1692='Field Check'!$C$25)*10000000+(N('Dvd Calendar'!$X$1686)&gt;0)*1000000+12*1000+60))</f>
        <v/>
      </c>
      <c r="BK124" s="41">
        <f>IF(N('Dvd Calendar'!$Y$1687)=0,"",IF(('Dvd Calendar'!$Y$1687&gt;=MIN(DATE(Summary!$C$12,1,1),Summary!$C$11))*('Dvd Calendar'!$Y$1687&lt;=MAX(DATE(Summary!$C$12,12,31),Summary!$C$15))*('Dvd Calendar'!$Y$1687&gt;Summary!$C$11)=0,"",'Dvd Calendar'!$Y$1687*1000000000+ISNUMBER('Dvd Calendar'!$Y$1688)*100000000+('Dvd Calendar'!$Y$1692='Field Check'!$C$25)*10000000+(N('Dvd Calendar'!$Y$1686)&gt;0)*1000000+12*1000+61))</f>
        <v/>
      </c>
      <c r="BL124" s="41">
        <f>IF(N('Dvd Calendar'!$Z$1687)=0,"",IF(('Dvd Calendar'!$Z$1687&gt;=MIN(DATE(Summary!$C$12,1,1),Summary!$C$11))*('Dvd Calendar'!$Z$1687&lt;=MAX(DATE(Summary!$C$12,12,31),Summary!$C$15))*('Dvd Calendar'!$Z$1687&gt;Summary!$C$11)=0,"",'Dvd Calendar'!$Z$1687*1000000000+ISNUMBER('Dvd Calendar'!$Z$1688)*100000000+('Dvd Calendar'!$Z$1692='Field Check'!$C$25)*10000000+(N('Dvd Calendar'!$Z$1686)&gt;0)*1000000+12*1000+62))</f>
        <v/>
      </c>
      <c r="BM124" s="41">
        <f>IF(N('Dvd Calendar'!$AA$1687)=0,"",IF(('Dvd Calendar'!$AA$1687&gt;=MIN(DATE(Summary!$C$12,1,1),Summary!$C$11))*('Dvd Calendar'!$AA$1687&lt;=MAX(DATE(Summary!$C$12,12,31),Summary!$C$15))*('Dvd Calendar'!$AA$1687&gt;Summary!$C$11)=0,"",'Dvd Calendar'!$AA$1687*1000000000+ISNUMBER('Dvd Calendar'!$AA$1688)*100000000+('Dvd Calendar'!$AA$1692='Field Check'!$C$25)*10000000+(N('Dvd Calendar'!$AA$1686)&gt;0)*1000000+12*1000+63))</f>
        <v/>
      </c>
      <c r="BN124" s="41">
        <f>IF(N('Dvd Calendar'!$AB$1687)=0,"",IF(('Dvd Calendar'!$AB$1687&gt;=MIN(DATE(Summary!$C$12,1,1),Summary!$C$11))*('Dvd Calendar'!$AB$1687&lt;=MAX(DATE(Summary!$C$12,12,31),Summary!$C$15))*('Dvd Calendar'!$AB$1687&gt;Summary!$C$11)=0,"",'Dvd Calendar'!$AB$1687*1000000000+ISNUMBER('Dvd Calendar'!$AB$1688)*100000000+('Dvd Calendar'!$AB$1692='Field Check'!$C$25)*10000000+(N('Dvd Calendar'!$AB$1686)&gt;0)*1000000+12*1000+64))</f>
        <v/>
      </c>
      <c r="BO124" s="41">
        <f>IF(N('Dvd Calendar'!$AC$1687)=0,"",IF(('Dvd Calendar'!$AC$1687&gt;=MIN(DATE(Summary!$C$12,1,1),Summary!$C$11))*('Dvd Calendar'!$AC$1687&lt;=MAX(DATE(Summary!$C$12,12,31),Summary!$C$15))*('Dvd Calendar'!$AC$1687&gt;Summary!$C$11)=0,"",'Dvd Calendar'!$AC$1687*1000000000+ISNUMBER('Dvd Calendar'!$AC$1688)*100000000+('Dvd Calendar'!$AC$1692='Field Check'!$C$25)*10000000+(N('Dvd Calendar'!$AC$1686)&gt;0)*1000000+12*1000+65))</f>
        <v/>
      </c>
      <c r="BQ124" s="85">
        <f>IF(C124="","",IF(ISNUMBER('Dvd Calendar'!$E$1681)=FALSE,"",IF((Summary!$C$13="N")*('Dvd Calendar'!$E$1685='Field Check'!$C$25)&gt;0,"",'Dvd Calendar'!$E$1681)))</f>
        <v/>
      </c>
      <c r="BR124" s="85">
        <f>IF(D124="","",IF(ISNUMBER('Dvd Calendar'!$F$1681)=FALSE,"",IF((Summary!$C$13="N")*('Dvd Calendar'!$F$1685='Field Check'!$C$25)&gt;0,"",'Dvd Calendar'!$F$1681)))</f>
        <v/>
      </c>
      <c r="BS124" s="85">
        <f>IF(E124="","",IF(ISNUMBER('Dvd Calendar'!$G$1681)=FALSE,"",IF((Summary!$C$13="N")*('Dvd Calendar'!$G$1685='Field Check'!$C$25)&gt;0,"",'Dvd Calendar'!$G$1681)))</f>
        <v/>
      </c>
      <c r="BT124" s="85">
        <f>IF(F124="","",IF(ISNUMBER('Dvd Calendar'!$H$1681)=FALSE,"",IF((Summary!$C$13="N")*('Dvd Calendar'!$H$1685='Field Check'!$C$25)&gt;0,"",'Dvd Calendar'!$H$1681)))</f>
        <v/>
      </c>
      <c r="BU124" s="85">
        <f>IF(G124="","",IF(ISNUMBER('Dvd Calendar'!$I$1681)=FALSE,"",IF((Summary!$C$13="N")*('Dvd Calendar'!$I$1685='Field Check'!$C$25)&gt;0,"",'Dvd Calendar'!$I$1681)))</f>
        <v/>
      </c>
      <c r="BV124" s="85">
        <f>IF(H124="","",IF(ISNUMBER('Dvd Calendar'!$J$1681)=FALSE,"",IF((Summary!$C$13="N")*('Dvd Calendar'!$J$1685='Field Check'!$C$25)&gt;0,"",'Dvd Calendar'!$J$1681)))</f>
        <v/>
      </c>
      <c r="BW124" s="85">
        <f>IF(I124="","",IF(ISNUMBER('Dvd Calendar'!$K$1681)=FALSE,"",IF((Summary!$C$13="N")*('Dvd Calendar'!$K$1685='Field Check'!$C$25)&gt;0,"",'Dvd Calendar'!$K$1681)))</f>
        <v/>
      </c>
      <c r="BX124" s="85">
        <f>IF(J124="","",IF(ISNUMBER('Dvd Calendar'!$L$1681)=FALSE,"",IF((Summary!$C$13="N")*('Dvd Calendar'!$L$1685='Field Check'!$C$25)&gt;0,"",'Dvd Calendar'!$L$1681)))</f>
        <v/>
      </c>
      <c r="BY124" s="85">
        <f>IF(K124="","",IF(ISNUMBER('Dvd Calendar'!$M$1681)=FALSE,"",IF((Summary!$C$13="N")*('Dvd Calendar'!$M$1685='Field Check'!$C$25)&gt;0,"",'Dvd Calendar'!$M$1681)))</f>
        <v/>
      </c>
      <c r="BZ124" s="85">
        <f>IF(L124="","",IF(ISNUMBER('Dvd Calendar'!$N$1681)=FALSE,"",IF((Summary!$C$13="N")*('Dvd Calendar'!$N$1685='Field Check'!$C$25)&gt;0,"",'Dvd Calendar'!$N$1681)))</f>
        <v/>
      </c>
      <c r="CA124" s="85">
        <f>IF(M124="","",IF(ISNUMBER('Dvd Calendar'!$O$1681)=FALSE,"",IF((Summary!$C$13="N")*('Dvd Calendar'!$O$1685='Field Check'!$C$25)&gt;0,"",'Dvd Calendar'!$O$1681)))</f>
        <v/>
      </c>
      <c r="CB124" s="85">
        <f>IF(N124="","",IF(ISNUMBER('Dvd Calendar'!$P$1681)=FALSE,"",IF((Summary!$C$13="N")*('Dvd Calendar'!$P$1685='Field Check'!$C$25)&gt;0,"",'Dvd Calendar'!$P$1681)))</f>
        <v/>
      </c>
      <c r="CC124" s="85">
        <f>IF(O124="","",IF(ISNUMBER('Dvd Calendar'!$Q$1681)=FALSE,"",IF((Summary!$C$13="N")*('Dvd Calendar'!$Q$1685='Field Check'!$C$25)&gt;0,"",'Dvd Calendar'!$Q$1681)))</f>
        <v/>
      </c>
      <c r="CD124" s="85">
        <f>IF(P124="","",IF(ISNUMBER('Dvd Calendar'!$R$1681)=FALSE,"",IF((Summary!$C$13="N")*('Dvd Calendar'!$R$1685='Field Check'!$C$25)&gt;0,"",'Dvd Calendar'!$R$1681)))</f>
        <v/>
      </c>
      <c r="CE124" s="85">
        <f>IF(Q124="","",IF(ISNUMBER('Dvd Calendar'!$S$1681)=FALSE,"",IF((Summary!$C$13="N")*('Dvd Calendar'!$S$1685='Field Check'!$C$25)&gt;0,"",'Dvd Calendar'!$S$1681)))</f>
        <v/>
      </c>
      <c r="CF124" s="85">
        <f>IF(R124="","",IF(ISNUMBER('Dvd Calendar'!$T$1681)=FALSE,"",IF((Summary!$C$13="N")*('Dvd Calendar'!$T$1685='Field Check'!$C$25)&gt;0,"",'Dvd Calendar'!$T$1681)))</f>
        <v/>
      </c>
      <c r="CG124" s="85">
        <f>IF(S124="","",IF(ISNUMBER('Dvd Calendar'!$U$1681)=FALSE,"",IF((Summary!$C$13="N")*('Dvd Calendar'!$U$1685='Field Check'!$C$25)&gt;0,"",'Dvd Calendar'!$U$1681)))</f>
        <v/>
      </c>
      <c r="CH124" s="85">
        <f>IF(T124="","",IF(ISNUMBER('Dvd Calendar'!$V$1681)=FALSE,"",IF((Summary!$C$13="N")*('Dvd Calendar'!$V$1685='Field Check'!$C$25)&gt;0,"",'Dvd Calendar'!$V$1681)))</f>
        <v/>
      </c>
      <c r="CI124" s="85">
        <f>IF(U124="","",IF(ISNUMBER('Dvd Calendar'!$W$1681)=FALSE,"",IF((Summary!$C$13="N")*('Dvd Calendar'!$W$1685='Field Check'!$C$25)&gt;0,"",'Dvd Calendar'!$W$1681)))</f>
        <v/>
      </c>
      <c r="CJ124" s="85">
        <f>IF(V124="","",IF(ISNUMBER('Dvd Calendar'!$X$1681)=FALSE,"",IF((Summary!$C$13="N")*('Dvd Calendar'!$X$1685='Field Check'!$C$25)&gt;0,"",'Dvd Calendar'!$X$1681)))</f>
        <v/>
      </c>
      <c r="CK124" s="85">
        <f>IF(W124="","",IF(ISNUMBER('Dvd Calendar'!$Y$1681)=FALSE,"",IF((Summary!$C$13="N")*('Dvd Calendar'!$Y$1685='Field Check'!$C$25)&gt;0,"",'Dvd Calendar'!$Y$1681)))</f>
        <v/>
      </c>
      <c r="CL124" s="85">
        <f>IF(X124="","",IF(ISNUMBER('Dvd Calendar'!$Z$1681)=FALSE,"",IF((Summary!$C$13="N")*('Dvd Calendar'!$Z$1685='Field Check'!$C$25)&gt;0,"",'Dvd Calendar'!$Z$1681)))</f>
        <v/>
      </c>
      <c r="CM124" s="85">
        <f>IF(Y124="","",IF(ISNUMBER('Dvd Calendar'!$AA$1681)=FALSE,"",IF((Summary!$C$13="N")*('Dvd Calendar'!$AA$1685='Field Check'!$C$25)&gt;0,"",'Dvd Calendar'!$AA$1681)))</f>
        <v/>
      </c>
      <c r="CN124" s="85">
        <f>IF(Z124="","",IF(ISNUMBER('Dvd Calendar'!$AB$1681)=FALSE,"",IF((Summary!$C$13="N")*('Dvd Calendar'!$AB$1685='Field Check'!$C$25)&gt;0,"",'Dvd Calendar'!$AB$1681)))</f>
        <v/>
      </c>
      <c r="CO124" s="85">
        <f>IF(AA124="","",IF(ISNUMBER('Dvd Calendar'!$AC$1681)=FALSE,"",IF((Summary!$C$13="N")*('Dvd Calendar'!$AC$1685='Field Check'!$C$25)&gt;0,"",'Dvd Calendar'!$AC$1681)))</f>
        <v/>
      </c>
      <c r="CP124" s="85">
        <f>IF(AB124="","",IF(ISNUMBER('Dvd Calendar'!$AD$1681)=FALSE,"",IF((Summary!$C$13="N")*('Dvd Calendar'!$AD$1685='Field Check'!$C$25)&gt;0,"",'Dvd Calendar'!$AD$1681)))</f>
        <v/>
      </c>
      <c r="CQ124" s="85">
        <f>IF(AC124="","",IF(ISNUMBER('Dvd Calendar'!$AE$1681)=FALSE,"",IF((Summary!$C$13="N")*('Dvd Calendar'!$AE$1685='Field Check'!$C$25)&gt;0,"",'Dvd Calendar'!$AE$1681)))</f>
        <v/>
      </c>
      <c r="CR124" s="85">
        <f>IF(AD124="","",IF(ISNUMBER('Dvd Calendar'!$AF$1681)=FALSE,"",IF((Summary!$C$13="N")*('Dvd Calendar'!$AF$1685='Field Check'!$C$25)&gt;0,"",'Dvd Calendar'!$AF$1681)))</f>
        <v/>
      </c>
      <c r="CS124" s="85">
        <f>IF(AE124="","",IF(ISNUMBER('Dvd Calendar'!$AG$1681)=FALSE,"",IF((Summary!$C$13="N")*('Dvd Calendar'!$AG$1685='Field Check'!$C$25)&gt;0,"",'Dvd Calendar'!$AG$1681)))</f>
        <v/>
      </c>
      <c r="CT124" s="85">
        <f>IF(AF124="","",IF(ISNUMBER('Dvd Calendar'!$AH$1681)=FALSE,"",IF((Summary!$C$13="N")*('Dvd Calendar'!$AH$1685='Field Check'!$C$25)&gt;0,"",'Dvd Calendar'!$AH$1681)))</f>
        <v/>
      </c>
      <c r="CU124" s="85">
        <f>IF(AG124="","",IF(ISNUMBER('Dvd Calendar'!$AI$1681)=FALSE,"",IF((Summary!$C$13="N")*('Dvd Calendar'!$AI$1685='Field Check'!$C$25)&gt;0,"",'Dvd Calendar'!$AI$1681)))</f>
        <v/>
      </c>
      <c r="CV124" s="85">
        <f>IF(AH124="","",IF(ISNUMBER('Dvd Calendar'!$AJ$1681)=FALSE,"",IF((Summary!$C$13="N")*('Dvd Calendar'!$AJ$1685='Field Check'!$C$25)&gt;0,"",'Dvd Calendar'!$AJ$1681)))</f>
        <v/>
      </c>
      <c r="CW124" s="85">
        <f>IF(AI124="","",IF(ISNUMBER('Dvd Calendar'!$AK$1681)=FALSE,"",IF((Summary!$C$13="N")*('Dvd Calendar'!$AK$1685='Field Check'!$C$25)&gt;0,"",'Dvd Calendar'!$AK$1681)))</f>
        <v/>
      </c>
      <c r="CX124" s="85">
        <f>IF(AJ124="","",IF(ISNUMBER('Dvd Calendar'!$AL$1681)=FALSE,"",IF((Summary!$C$13="N")*('Dvd Calendar'!$AL$1685='Field Check'!$C$25)&gt;0,"",'Dvd Calendar'!$AL$1681)))</f>
        <v/>
      </c>
      <c r="CY124" s="85">
        <f>IF(AK124="","",IF(ISNUMBER('Dvd Calendar'!$AM$1681)=FALSE,"",IF((Summary!$C$13="N")*('Dvd Calendar'!$AM$1685='Field Check'!$C$25)&gt;0,"",'Dvd Calendar'!$AM$1681)))</f>
        <v/>
      </c>
      <c r="CZ124" s="85">
        <f>IF(AL124="","",IF(ISNUMBER('Dvd Calendar'!$AN$1681)=FALSE,"",IF((Summary!$C$13="N")*('Dvd Calendar'!$AN$1685='Field Check'!$C$25)&gt;0,"",'Dvd Calendar'!$AN$1681)))</f>
        <v/>
      </c>
      <c r="DA124" s="85">
        <f>IF(AM124="","",IF(ISNUMBER('Dvd Calendar'!$AO$1681)=FALSE,"",IF((Summary!$C$13="N")*('Dvd Calendar'!$AO$1685='Field Check'!$C$25)&gt;0,"",'Dvd Calendar'!$AO$1681)))</f>
        <v/>
      </c>
      <c r="DB124" s="85">
        <f>IF(AN124="","",IF(ISNUMBER('Dvd Calendar'!$AP$1681)=FALSE,"",IF((Summary!$C$13="N")*('Dvd Calendar'!$AP$1685='Field Check'!$C$25)&gt;0,"",'Dvd Calendar'!$AP$1681)))</f>
        <v/>
      </c>
      <c r="DC124" s="85">
        <f>IF(AO124="","",IF(ISNUMBER('Dvd Calendar'!$AQ$1681)=FALSE,"",IF((Summary!$C$13="N")*('Dvd Calendar'!$AQ$1685='Field Check'!$C$25)&gt;0,"",'Dvd Calendar'!$AQ$1681)))</f>
        <v/>
      </c>
      <c r="DD124" s="85">
        <f>IF(AP124="","",IF(ISNUMBER('Dvd Calendar'!$AR$1681)=FALSE,"",IF((Summary!$C$13="N")*('Dvd Calendar'!$AR$1685='Field Check'!$C$25)&gt;0,"",'Dvd Calendar'!$AR$1681)))</f>
        <v/>
      </c>
      <c r="DE124" s="85">
        <f>IF(AQ124="","",IF(ISNUMBER('Dvd Calendar'!$E$1688)=FALSE,"",IF((Summary!$C$13="N")*('Dvd Calendar'!$E$1692='Field Check'!$C$25)&gt;0,"",'Dvd Calendar'!$E$1688)))</f>
        <v/>
      </c>
      <c r="DF124" s="85">
        <f>IF(AR124="","",IF(ISNUMBER('Dvd Calendar'!$F$1688)=FALSE,"",IF((Summary!$C$13="N")*('Dvd Calendar'!$F$1692='Field Check'!$C$25)&gt;0,"",'Dvd Calendar'!$F$1688)))</f>
        <v/>
      </c>
      <c r="DG124" s="85">
        <f>IF(AS124="","",IF(ISNUMBER('Dvd Calendar'!$G$1688)=FALSE,"",IF((Summary!$C$13="N")*('Dvd Calendar'!$G$1692='Field Check'!$C$25)&gt;0,"",'Dvd Calendar'!$G$1688)))</f>
        <v/>
      </c>
      <c r="DH124" s="85">
        <f>IF(AT124="","",IF(ISNUMBER('Dvd Calendar'!$H$1688)=FALSE,"",IF((Summary!$C$13="N")*('Dvd Calendar'!$H$1692='Field Check'!$C$25)&gt;0,"",'Dvd Calendar'!$H$1688)))</f>
        <v/>
      </c>
      <c r="DI124" s="85">
        <f>IF(AU124="","",IF(ISNUMBER('Dvd Calendar'!$I$1688)=FALSE,"",IF((Summary!$C$13="N")*('Dvd Calendar'!$I$1692='Field Check'!$C$25)&gt;0,"",'Dvd Calendar'!$I$1688)))</f>
        <v/>
      </c>
      <c r="DJ124" s="85">
        <f>IF(AV124="","",IF(ISNUMBER('Dvd Calendar'!$J$1688)=FALSE,"",IF((Summary!$C$13="N")*('Dvd Calendar'!$J$1692='Field Check'!$C$25)&gt;0,"",'Dvd Calendar'!$J$1688)))</f>
        <v/>
      </c>
      <c r="DK124" s="85">
        <f>IF(AW124="","",IF(ISNUMBER('Dvd Calendar'!$K$1688)=FALSE,"",IF((Summary!$C$13="N")*('Dvd Calendar'!$K$1692='Field Check'!$C$25)&gt;0,"",'Dvd Calendar'!$K$1688)))</f>
        <v/>
      </c>
      <c r="DL124" s="85">
        <f>IF(AX124="","",IF(ISNUMBER('Dvd Calendar'!$L$1688)=FALSE,"",IF((Summary!$C$13="N")*('Dvd Calendar'!$L$1692='Field Check'!$C$25)&gt;0,"",'Dvd Calendar'!$L$1688)))</f>
        <v/>
      </c>
      <c r="DM124" s="85">
        <f>IF(AY124="","",IF(ISNUMBER('Dvd Calendar'!$M$1688)=FALSE,"",IF((Summary!$C$13="N")*('Dvd Calendar'!$M$1692='Field Check'!$C$25)&gt;0,"",'Dvd Calendar'!$M$1688)))</f>
        <v/>
      </c>
      <c r="DN124" s="85">
        <f>IF(AZ124="","",IF(ISNUMBER('Dvd Calendar'!$N$1688)=FALSE,"",IF((Summary!$C$13="N")*('Dvd Calendar'!$N$1692='Field Check'!$C$25)&gt;0,"",'Dvd Calendar'!$N$1688)))</f>
        <v/>
      </c>
      <c r="DO124" s="85">
        <f>IF(BA124="","",IF(ISNUMBER('Dvd Calendar'!$O$1688)=FALSE,"",IF((Summary!$C$13="N")*('Dvd Calendar'!$O$1692='Field Check'!$C$25)&gt;0,"",'Dvd Calendar'!$O$1688)))</f>
        <v/>
      </c>
      <c r="DP124" s="85">
        <f>IF(BB124="","",IF(ISNUMBER('Dvd Calendar'!$P$1688)=FALSE,"",IF((Summary!$C$13="N")*('Dvd Calendar'!$P$1692='Field Check'!$C$25)&gt;0,"",'Dvd Calendar'!$P$1688)))</f>
        <v/>
      </c>
      <c r="DQ124" s="85">
        <f>IF(BC124="","",IF(ISNUMBER('Dvd Calendar'!$Q$1688)=FALSE,"",IF((Summary!$C$13="N")*('Dvd Calendar'!$Q$1692='Field Check'!$C$25)&gt;0,"",'Dvd Calendar'!$Q$1688)))</f>
        <v/>
      </c>
      <c r="DR124" s="85">
        <f>IF(BD124="","",IF(ISNUMBER('Dvd Calendar'!$R$1688)=FALSE,"",IF((Summary!$C$13="N")*('Dvd Calendar'!$R$1692='Field Check'!$C$25)&gt;0,"",'Dvd Calendar'!$R$1688)))</f>
        <v/>
      </c>
      <c r="DS124" s="85">
        <f>IF(BE124="","",IF(ISNUMBER('Dvd Calendar'!$S$1688)=FALSE,"",IF((Summary!$C$13="N")*('Dvd Calendar'!$S$1692='Field Check'!$C$25)&gt;0,"",'Dvd Calendar'!$S$1688)))</f>
        <v/>
      </c>
      <c r="DT124" s="85">
        <f>IF(BF124="","",IF(ISNUMBER('Dvd Calendar'!$T$1688)=FALSE,"",IF((Summary!$C$13="N")*('Dvd Calendar'!$T$1692='Field Check'!$C$25)&gt;0,"",'Dvd Calendar'!$T$1688)))</f>
        <v/>
      </c>
      <c r="DU124" s="85">
        <f>IF(BG124="","",IF(ISNUMBER('Dvd Calendar'!$U$1688)=FALSE,"",IF((Summary!$C$13="N")*('Dvd Calendar'!$U$1692='Field Check'!$C$25)&gt;0,"",'Dvd Calendar'!$U$1688)))</f>
        <v/>
      </c>
      <c r="DV124" s="85">
        <f>IF(BH124="","",IF(ISNUMBER('Dvd Calendar'!$V$1688)=FALSE,"",IF((Summary!$C$13="N")*('Dvd Calendar'!$V$1692='Field Check'!$C$25)&gt;0,"",'Dvd Calendar'!$V$1688)))</f>
        <v/>
      </c>
      <c r="DW124" s="85">
        <f>IF(BI124="","",IF(ISNUMBER('Dvd Calendar'!$W$1688)=FALSE,"",IF((Summary!$C$13="N")*('Dvd Calendar'!$W$1692='Field Check'!$C$25)&gt;0,"",'Dvd Calendar'!$W$1688)))</f>
        <v/>
      </c>
      <c r="DX124" s="85">
        <f>IF(BJ124="","",IF(ISNUMBER('Dvd Calendar'!$X$1688)=FALSE,"",IF((Summary!$C$13="N")*('Dvd Calendar'!$X$1692='Field Check'!$C$25)&gt;0,"",'Dvd Calendar'!$X$1688)))</f>
        <v/>
      </c>
      <c r="DY124" s="85">
        <f>IF(BK124="","",IF(ISNUMBER('Dvd Calendar'!$Y$1688)=FALSE,"",IF((Summary!$C$13="N")*('Dvd Calendar'!$Y$1692='Field Check'!$C$25)&gt;0,"",'Dvd Calendar'!$Y$1688)))</f>
        <v/>
      </c>
      <c r="DZ124" s="85">
        <f>IF(BL124="","",IF(ISNUMBER('Dvd Calendar'!$Z$1688)=FALSE,"",IF((Summary!$C$13="N")*('Dvd Calendar'!$Z$1692='Field Check'!$C$25)&gt;0,"",'Dvd Calendar'!$Z$1688)))</f>
        <v/>
      </c>
      <c r="EA124" s="85">
        <f>IF(BM124="","",IF(ISNUMBER('Dvd Calendar'!$AA$1688)=FALSE,"",IF((Summary!$C$13="N")*('Dvd Calendar'!$AA$1692='Field Check'!$C$25)&gt;0,"",'Dvd Calendar'!$AA$1688)))</f>
        <v/>
      </c>
      <c r="EB124" s="85">
        <f>IF(BN124="","",IF(ISNUMBER('Dvd Calendar'!$AB$1688)=FALSE,"",IF((Summary!$C$13="N")*('Dvd Calendar'!$AB$1692='Field Check'!$C$25)&gt;0,"",'Dvd Calendar'!$AB$1688)))</f>
        <v/>
      </c>
      <c r="EC124" s="85">
        <f>IF(BO124="","",IF(ISNUMBER('Dvd Calendar'!$AC$1688)=FALSE,"",IF((Summary!$C$13="N")*('Dvd Calendar'!$AC$1692='Field Check'!$C$25)&gt;0,"",'Dvd Calendar'!$AC$1688)))</f>
        <v/>
      </c>
      <c r="EE124" s="85">
        <f>IF(BQ124="","",IFERROR(BQ124*HSTECH!$B$18*HSTECH!$G$18/HSTECH!$B$3,""))</f>
        <v/>
      </c>
      <c r="EF124" s="85">
        <f>IF(BR124="","",IFERROR(BR124*HSTECH!$B$18*HSTECH!$G$18/HSTECH!$B$3,""))</f>
        <v/>
      </c>
      <c r="EG124" s="85">
        <f>IF(BS124="","",IFERROR(BS124*HSTECH!$B$18*HSTECH!$G$18/HSTECH!$B$3,""))</f>
        <v/>
      </c>
      <c r="EH124" s="85">
        <f>IF(BT124="","",IFERROR(BT124*HSTECH!$B$18*HSTECH!$G$18/HSTECH!$B$3,""))</f>
        <v/>
      </c>
      <c r="EI124" s="85">
        <f>IF(BU124="","",IFERROR(BU124*HSTECH!$B$18*HSTECH!$G$18/HSTECH!$B$3,""))</f>
        <v/>
      </c>
      <c r="EJ124" s="85">
        <f>IF(BV124="","",IFERROR(BV124*HSTECH!$B$18*HSTECH!$G$18/HSTECH!$B$3,""))</f>
        <v/>
      </c>
      <c r="EK124" s="85">
        <f>IF(BW124="","",IFERROR(BW124*HSTECH!$B$18*HSTECH!$G$18/HSTECH!$B$3,""))</f>
        <v/>
      </c>
      <c r="EL124" s="85">
        <f>IF(BX124="","",IFERROR(BX124*HSTECH!$B$18*HSTECH!$G$18/HSTECH!$B$3,""))</f>
        <v/>
      </c>
      <c r="EM124" s="85">
        <f>IF(BY124="","",IFERROR(BY124*HSTECH!$B$18*HSTECH!$G$18/HSTECH!$B$3,""))</f>
        <v/>
      </c>
      <c r="EN124" s="85">
        <f>IF(BZ124="","",IFERROR(BZ124*HSTECH!$B$18*HSTECH!$G$18/HSTECH!$B$3,""))</f>
        <v/>
      </c>
      <c r="EO124" s="85">
        <f>IF(CA124="","",IFERROR(CA124*HSTECH!$B$18*HSTECH!$G$18/HSTECH!$B$3,""))</f>
        <v/>
      </c>
      <c r="EP124" s="85">
        <f>IF(CB124="","",IFERROR(CB124*HSTECH!$B$18*HSTECH!$G$18/HSTECH!$B$3,""))</f>
        <v/>
      </c>
      <c r="EQ124" s="85">
        <f>IF(CC124="","",IFERROR(CC124*HSTECH!$B$18*HSTECH!$G$18/HSTECH!$B$3,""))</f>
        <v/>
      </c>
      <c r="ER124" s="85">
        <f>IF(CD124="","",IFERROR(CD124*HSTECH!$B$18*HSTECH!$G$18/HSTECH!$B$3,""))</f>
        <v/>
      </c>
      <c r="ES124" s="85">
        <f>IF(CE124="","",IFERROR(CE124*HSTECH!$B$18*HSTECH!$G$18/HSTECH!$B$3,""))</f>
        <v/>
      </c>
      <c r="ET124" s="85">
        <f>IF(CF124="","",IFERROR(CF124*HSTECH!$B$18*HSTECH!$G$18/HSTECH!$B$3,""))</f>
        <v/>
      </c>
      <c r="EU124" s="85">
        <f>IF(CG124="","",IFERROR(CG124*HSTECH!$B$18*HSTECH!$G$18/HSTECH!$B$3,""))</f>
        <v/>
      </c>
      <c r="EV124" s="85">
        <f>IF(CH124="","",IFERROR(CH124*HSTECH!$B$18*HSTECH!$G$18/HSTECH!$B$3,""))</f>
        <v/>
      </c>
      <c r="EW124" s="85">
        <f>IF(CI124="","",IFERROR(CI124*HSTECH!$B$18*HSTECH!$G$18/HSTECH!$B$3,""))</f>
        <v/>
      </c>
      <c r="EX124" s="85">
        <f>IF(CJ124="","",IFERROR(CJ124*HSTECH!$B$18*HSTECH!$G$18/HSTECH!$B$3,""))</f>
        <v/>
      </c>
      <c r="EY124" s="85">
        <f>IF(CK124="","",IFERROR(CK124*HSTECH!$B$18*HSTECH!$G$18/HSTECH!$B$3,""))</f>
        <v/>
      </c>
      <c r="EZ124" s="85">
        <f>IF(CL124="","",IFERROR(CL124*HSTECH!$B$18*HSTECH!$G$18/HSTECH!$B$3,""))</f>
        <v/>
      </c>
      <c r="FA124" s="85">
        <f>IF(CM124="","",IFERROR(CM124*HSTECH!$B$18*HSTECH!$G$18/HSTECH!$B$3,""))</f>
        <v/>
      </c>
      <c r="FB124" s="85">
        <f>IF(CN124="","",IFERROR(CN124*HSTECH!$B$18*HSTECH!$G$18/HSTECH!$B$3,""))</f>
        <v/>
      </c>
      <c r="FC124" s="85">
        <f>IF(CO124="","",IFERROR(CO124*HSTECH!$B$18*HSTECH!$G$18/HSTECH!$B$3,""))</f>
        <v/>
      </c>
      <c r="FD124" s="85">
        <f>IF(CP124="","",IFERROR(CP124*HSTECH!$B$18*HSTECH!$G$18/HSTECH!$B$3,""))</f>
        <v/>
      </c>
      <c r="FE124" s="85">
        <f>IF(CQ124="","",IFERROR(CQ124*HSTECH!$B$18*HSTECH!$G$18/HSTECH!$B$3,""))</f>
        <v/>
      </c>
      <c r="FF124" s="85">
        <f>IF(CR124="","",IFERROR(CR124*HSTECH!$B$18*HSTECH!$G$18/HSTECH!$B$3,""))</f>
        <v/>
      </c>
      <c r="FG124" s="85">
        <f>IF(CS124="","",IFERROR(CS124*HSTECH!$B$18*HSTECH!$G$18/HSTECH!$B$3,""))</f>
        <v/>
      </c>
      <c r="FH124" s="85">
        <f>IF(CT124="","",IFERROR(CT124*HSTECH!$B$18*HSTECH!$G$18/HSTECH!$B$3,""))</f>
        <v/>
      </c>
      <c r="FI124" s="85">
        <f>IF(CU124="","",IFERROR(CU124*HSTECH!$B$18*HSTECH!$G$18/HSTECH!$B$3,""))</f>
        <v/>
      </c>
      <c r="FJ124" s="85">
        <f>IF(CV124="","",IFERROR(CV124*HSTECH!$B$18*HSTECH!$G$18/HSTECH!$B$3,""))</f>
        <v/>
      </c>
      <c r="FK124" s="85">
        <f>IF(CW124="","",IFERROR(CW124*HSTECH!$B$18*HSTECH!$G$18/HSTECH!$B$3,""))</f>
        <v/>
      </c>
      <c r="FL124" s="85">
        <f>IF(CX124="","",IFERROR(CX124*HSTECH!$B$18*HSTECH!$G$18/HSTECH!$B$3,""))</f>
        <v/>
      </c>
      <c r="FM124" s="85">
        <f>IF(CY124="","",IFERROR(CY124*HSTECH!$B$18*HSTECH!$G$18/HSTECH!$B$3,""))</f>
        <v/>
      </c>
      <c r="FN124" s="85">
        <f>IF(CZ124="","",IFERROR(CZ124*HSTECH!$B$18*HSTECH!$G$18/HSTECH!$B$3,""))</f>
        <v/>
      </c>
      <c r="FO124" s="85">
        <f>IF(DA124="","",IFERROR(DA124*HSTECH!$B$18*HSTECH!$G$18/HSTECH!$B$3,""))</f>
        <v/>
      </c>
      <c r="FP124" s="85">
        <f>IF(DB124="","",IFERROR(DB124*HSTECH!$B$18*HSTECH!$G$18/HSTECH!$B$3,""))</f>
        <v/>
      </c>
      <c r="FQ124" s="85">
        <f>IF(DC124="","",IFERROR(DC124*HSTECH!$B$18*HSTECH!$G$18/HSTECH!$B$3,""))</f>
        <v/>
      </c>
      <c r="FR124" s="85">
        <f>IF(DD124="","",IFERROR(DD124*HSTECH!$B$18*HSTECH!$G$18/HSTECH!$B$3,""))</f>
        <v/>
      </c>
      <c r="FS124" s="85">
        <f>IF(DE124="","",IFERROR(DE124*HSTECH!$B$18*HSTECH!$G$18/HSTECH!$B$3,""))</f>
        <v/>
      </c>
      <c r="FT124" s="85">
        <f>IF(DF124="","",IFERROR(DF124*HSTECH!$B$18*HSTECH!$G$18/HSTECH!$B$3,""))</f>
        <v/>
      </c>
      <c r="FU124" s="85">
        <f>IF(DG124="","",IFERROR(DG124*HSTECH!$B$18*HSTECH!$G$18/HSTECH!$B$3,""))</f>
        <v/>
      </c>
      <c r="FV124" s="85">
        <f>IF(DH124="","",IFERROR(DH124*HSTECH!$B$18*HSTECH!$G$18/HSTECH!$B$3,""))</f>
        <v/>
      </c>
      <c r="FW124" s="85">
        <f>IF(DI124="","",IFERROR(DI124*HSTECH!$B$18*HSTECH!$G$18/HSTECH!$B$3,""))</f>
        <v/>
      </c>
      <c r="FX124" s="85">
        <f>IF(DJ124="","",IFERROR(DJ124*HSTECH!$B$18*HSTECH!$G$18/HSTECH!$B$3,""))</f>
        <v/>
      </c>
      <c r="FY124" s="85">
        <f>IF(DK124="","",IFERROR(DK124*HSTECH!$B$18*HSTECH!$G$18/HSTECH!$B$3,""))</f>
        <v/>
      </c>
      <c r="FZ124" s="85">
        <f>IF(DL124="","",IFERROR(DL124*HSTECH!$B$18*HSTECH!$G$18/HSTECH!$B$3,""))</f>
        <v/>
      </c>
      <c r="GA124" s="85">
        <f>IF(DM124="","",IFERROR(DM124*HSTECH!$B$18*HSTECH!$G$18/HSTECH!$B$3,""))</f>
        <v/>
      </c>
      <c r="GB124" s="85">
        <f>IF(DN124="","",IFERROR(DN124*HSTECH!$B$18*HSTECH!$G$18/HSTECH!$B$3,""))</f>
        <v/>
      </c>
      <c r="GC124" s="85">
        <f>IF(DO124="","",IFERROR(DO124*HSTECH!$B$18*HSTECH!$G$18/HSTECH!$B$3,""))</f>
        <v/>
      </c>
      <c r="GD124" s="85">
        <f>IF(DP124="","",IFERROR(DP124*HSTECH!$B$18*HSTECH!$G$18/HSTECH!$B$3,""))</f>
        <v/>
      </c>
      <c r="GE124" s="85">
        <f>IF(DQ124="","",IFERROR(DQ124*HSTECH!$B$18*HSTECH!$G$18/HSTECH!$B$3,""))</f>
        <v/>
      </c>
      <c r="GF124" s="85">
        <f>IF(DR124="","",IFERROR(DR124*HSTECH!$B$18*HSTECH!$G$18/HSTECH!$B$3,""))</f>
        <v/>
      </c>
      <c r="GG124" s="85">
        <f>IF(DS124="","",IFERROR(DS124*HSTECH!$B$18*HSTECH!$G$18/HSTECH!$B$3,""))</f>
        <v/>
      </c>
      <c r="GH124" s="85">
        <f>IF(DT124="","",IFERROR(DT124*HSTECH!$B$18*HSTECH!$G$18/HSTECH!$B$3,""))</f>
        <v/>
      </c>
      <c r="GI124" s="85">
        <f>IF(DU124="","",IFERROR(DU124*HSTECH!$B$18*HSTECH!$G$18/HSTECH!$B$3,""))</f>
        <v/>
      </c>
      <c r="GJ124" s="85">
        <f>IF(DV124="","",IFERROR(DV124*HSTECH!$B$18*HSTECH!$G$18/HSTECH!$B$3,""))</f>
        <v/>
      </c>
      <c r="GK124" s="85">
        <f>IF(DW124="","",IFERROR(DW124*HSTECH!$B$18*HSTECH!$G$18/HSTECH!$B$3,""))</f>
        <v/>
      </c>
      <c r="GL124" s="85">
        <f>IF(DX124="","",IFERROR(DX124*HSTECH!$B$18*HSTECH!$G$18/HSTECH!$B$3,""))</f>
        <v/>
      </c>
      <c r="GM124" s="85">
        <f>IF(DY124="","",IFERROR(DY124*HSTECH!$B$18*HSTECH!$G$18/HSTECH!$B$3,""))</f>
        <v/>
      </c>
      <c r="GN124" s="85">
        <f>IF(DZ124="","",IFERROR(DZ124*HSTECH!$B$18*HSTECH!$G$18/HSTECH!$B$3,""))</f>
        <v/>
      </c>
      <c r="GO124" s="85">
        <f>IF(EA124="","",IFERROR(EA124*HSTECH!$B$18*HSTECH!$G$18/HSTECH!$B$3,""))</f>
        <v/>
      </c>
      <c r="GP124" s="85">
        <f>IF(EB124="","",IFERROR(EB124*HSTECH!$B$18*HSTECH!$G$18/HSTECH!$B$3,""))</f>
        <v/>
      </c>
      <c r="GQ124" s="85">
        <f>IF(EC124="","",IFERROR(EC124*HSTECH!$B$18*HSTECH!$G$18/HSTECH!$B$3,""))</f>
        <v/>
      </c>
    </row>
    <row r="125">
      <c r="B125" s="2">
        <f>IF(HSTECH!$C$19="","",HSTECH!$C$19)</f>
        <v/>
      </c>
      <c r="C125" s="41">
        <f>IF(N('Dvd Calendar'!$E$1695)=0,"",IF(('Dvd Calendar'!$E$1695&gt;=MIN(DATE(Summary!$C$12,1,1),Summary!$C$11))*('Dvd Calendar'!$E$1695&lt;=MAX(DATE(Summary!$C$12,12,31),Summary!$C$15))*('Dvd Calendar'!$E$1695&lt;=Summary!$C$11)=0,"",'Dvd Calendar'!$E$1695*1000000000+ISNUMBER('Dvd Calendar'!$E$1696)*100000000+('Dvd Calendar'!$E$1700='Field Check'!$C$25)*10000000+(N('Dvd Calendar'!$E$1694)&gt;0)*1000000+13*1000+1))</f>
        <v/>
      </c>
      <c r="D125" s="41">
        <f>IF(N('Dvd Calendar'!$F$1695)=0,"",IF(('Dvd Calendar'!$F$1695&gt;=MIN(DATE(Summary!$C$12,1,1),Summary!$C$11))*('Dvd Calendar'!$F$1695&lt;=MAX(DATE(Summary!$C$12,12,31),Summary!$C$15))*('Dvd Calendar'!$F$1695&lt;=Summary!$C$11)=0,"",'Dvd Calendar'!$F$1695*1000000000+ISNUMBER('Dvd Calendar'!$F$1696)*100000000+('Dvd Calendar'!$F$1700='Field Check'!$C$25)*10000000+(N('Dvd Calendar'!$F$1694)&gt;0)*1000000+13*1000+2))</f>
        <v/>
      </c>
      <c r="E125" s="41">
        <f>IF(N('Dvd Calendar'!$G$1695)=0,"",IF(('Dvd Calendar'!$G$1695&gt;=MIN(DATE(Summary!$C$12,1,1),Summary!$C$11))*('Dvd Calendar'!$G$1695&lt;=MAX(DATE(Summary!$C$12,12,31),Summary!$C$15))*('Dvd Calendar'!$G$1695&lt;=Summary!$C$11)=0,"",'Dvd Calendar'!$G$1695*1000000000+ISNUMBER('Dvd Calendar'!$G$1696)*100000000+('Dvd Calendar'!$G$1700='Field Check'!$C$25)*10000000+(N('Dvd Calendar'!$G$1694)&gt;0)*1000000+13*1000+3))</f>
        <v/>
      </c>
      <c r="F125" s="41">
        <f>IF(N('Dvd Calendar'!$H$1695)=0,"",IF(('Dvd Calendar'!$H$1695&gt;=MIN(DATE(Summary!$C$12,1,1),Summary!$C$11))*('Dvd Calendar'!$H$1695&lt;=MAX(DATE(Summary!$C$12,12,31),Summary!$C$15))*('Dvd Calendar'!$H$1695&lt;=Summary!$C$11)=0,"",'Dvd Calendar'!$H$1695*1000000000+ISNUMBER('Dvd Calendar'!$H$1696)*100000000+('Dvd Calendar'!$H$1700='Field Check'!$C$25)*10000000+(N('Dvd Calendar'!$H$1694)&gt;0)*1000000+13*1000+4))</f>
        <v/>
      </c>
      <c r="G125" s="41">
        <f>IF(N('Dvd Calendar'!$I$1695)=0,"",IF(('Dvd Calendar'!$I$1695&gt;=MIN(DATE(Summary!$C$12,1,1),Summary!$C$11))*('Dvd Calendar'!$I$1695&lt;=MAX(DATE(Summary!$C$12,12,31),Summary!$C$15))*('Dvd Calendar'!$I$1695&lt;=Summary!$C$11)=0,"",'Dvd Calendar'!$I$1695*1000000000+ISNUMBER('Dvd Calendar'!$I$1696)*100000000+('Dvd Calendar'!$I$1700='Field Check'!$C$25)*10000000+(N('Dvd Calendar'!$I$1694)&gt;0)*1000000+13*1000+5))</f>
        <v/>
      </c>
      <c r="H125" s="41">
        <f>IF(N('Dvd Calendar'!$J$1695)=0,"",IF(('Dvd Calendar'!$J$1695&gt;=MIN(DATE(Summary!$C$12,1,1),Summary!$C$11))*('Dvd Calendar'!$J$1695&lt;=MAX(DATE(Summary!$C$12,12,31),Summary!$C$15))*('Dvd Calendar'!$J$1695&lt;=Summary!$C$11)=0,"",'Dvd Calendar'!$J$1695*1000000000+ISNUMBER('Dvd Calendar'!$J$1696)*100000000+('Dvd Calendar'!$J$1700='Field Check'!$C$25)*10000000+(N('Dvd Calendar'!$J$1694)&gt;0)*1000000+13*1000+6))</f>
        <v/>
      </c>
      <c r="I125" s="41">
        <f>IF(N('Dvd Calendar'!$K$1695)=0,"",IF(('Dvd Calendar'!$K$1695&gt;=MIN(DATE(Summary!$C$12,1,1),Summary!$C$11))*('Dvd Calendar'!$K$1695&lt;=MAX(DATE(Summary!$C$12,12,31),Summary!$C$15))*('Dvd Calendar'!$K$1695&lt;=Summary!$C$11)=0,"",'Dvd Calendar'!$K$1695*1000000000+ISNUMBER('Dvd Calendar'!$K$1696)*100000000+('Dvd Calendar'!$K$1700='Field Check'!$C$25)*10000000+(N('Dvd Calendar'!$K$1694)&gt;0)*1000000+13*1000+7))</f>
        <v/>
      </c>
      <c r="J125" s="41">
        <f>IF(N('Dvd Calendar'!$L$1695)=0,"",IF(('Dvd Calendar'!$L$1695&gt;=MIN(DATE(Summary!$C$12,1,1),Summary!$C$11))*('Dvd Calendar'!$L$1695&lt;=MAX(DATE(Summary!$C$12,12,31),Summary!$C$15))*('Dvd Calendar'!$L$1695&lt;=Summary!$C$11)=0,"",'Dvd Calendar'!$L$1695*1000000000+ISNUMBER('Dvd Calendar'!$L$1696)*100000000+('Dvd Calendar'!$L$1700='Field Check'!$C$25)*10000000+(N('Dvd Calendar'!$L$1694)&gt;0)*1000000+13*1000+8))</f>
        <v/>
      </c>
      <c r="K125" s="41">
        <f>IF(N('Dvd Calendar'!$M$1695)=0,"",IF(('Dvd Calendar'!$M$1695&gt;=MIN(DATE(Summary!$C$12,1,1),Summary!$C$11))*('Dvd Calendar'!$M$1695&lt;=MAX(DATE(Summary!$C$12,12,31),Summary!$C$15))*('Dvd Calendar'!$M$1695&lt;=Summary!$C$11)=0,"",'Dvd Calendar'!$M$1695*1000000000+ISNUMBER('Dvd Calendar'!$M$1696)*100000000+('Dvd Calendar'!$M$1700='Field Check'!$C$25)*10000000+(N('Dvd Calendar'!$M$1694)&gt;0)*1000000+13*1000+9))</f>
        <v/>
      </c>
      <c r="L125" s="41">
        <f>IF(N('Dvd Calendar'!$N$1695)=0,"",IF(('Dvd Calendar'!$N$1695&gt;=MIN(DATE(Summary!$C$12,1,1),Summary!$C$11))*('Dvd Calendar'!$N$1695&lt;=MAX(DATE(Summary!$C$12,12,31),Summary!$C$15))*('Dvd Calendar'!$N$1695&lt;=Summary!$C$11)=0,"",'Dvd Calendar'!$N$1695*1000000000+ISNUMBER('Dvd Calendar'!$N$1696)*100000000+('Dvd Calendar'!$N$1700='Field Check'!$C$25)*10000000+(N('Dvd Calendar'!$N$1694)&gt;0)*1000000+13*1000+10))</f>
        <v/>
      </c>
      <c r="M125" s="41">
        <f>IF(N('Dvd Calendar'!$O$1695)=0,"",IF(('Dvd Calendar'!$O$1695&gt;=MIN(DATE(Summary!$C$12,1,1),Summary!$C$11))*('Dvd Calendar'!$O$1695&lt;=MAX(DATE(Summary!$C$12,12,31),Summary!$C$15))*('Dvd Calendar'!$O$1695&lt;=Summary!$C$11)=0,"",'Dvd Calendar'!$O$1695*1000000000+ISNUMBER('Dvd Calendar'!$O$1696)*100000000+('Dvd Calendar'!$O$1700='Field Check'!$C$25)*10000000+(N('Dvd Calendar'!$O$1694)&gt;0)*1000000+13*1000+11))</f>
        <v/>
      </c>
      <c r="N125" s="41">
        <f>IF(N('Dvd Calendar'!$P$1695)=0,"",IF(('Dvd Calendar'!$P$1695&gt;=MIN(DATE(Summary!$C$12,1,1),Summary!$C$11))*('Dvd Calendar'!$P$1695&lt;=MAX(DATE(Summary!$C$12,12,31),Summary!$C$15))*('Dvd Calendar'!$P$1695&lt;=Summary!$C$11)=0,"",'Dvd Calendar'!$P$1695*1000000000+ISNUMBER('Dvd Calendar'!$P$1696)*100000000+('Dvd Calendar'!$P$1700='Field Check'!$C$25)*10000000+(N('Dvd Calendar'!$P$1694)&gt;0)*1000000+13*1000+12))</f>
        <v/>
      </c>
      <c r="O125" s="41">
        <f>IF(N('Dvd Calendar'!$Q$1695)=0,"",IF(('Dvd Calendar'!$Q$1695&gt;=MIN(DATE(Summary!$C$12,1,1),Summary!$C$11))*('Dvd Calendar'!$Q$1695&lt;=MAX(DATE(Summary!$C$12,12,31),Summary!$C$15))*('Dvd Calendar'!$Q$1695&lt;=Summary!$C$11)=0,"",'Dvd Calendar'!$Q$1695*1000000000+ISNUMBER('Dvd Calendar'!$Q$1696)*100000000+('Dvd Calendar'!$Q$1700='Field Check'!$C$25)*10000000+(N('Dvd Calendar'!$Q$1694)&gt;0)*1000000+13*1000+13))</f>
        <v/>
      </c>
      <c r="P125" s="41">
        <f>IF(N('Dvd Calendar'!$R$1695)=0,"",IF(('Dvd Calendar'!$R$1695&gt;=MIN(DATE(Summary!$C$12,1,1),Summary!$C$11))*('Dvd Calendar'!$R$1695&lt;=MAX(DATE(Summary!$C$12,12,31),Summary!$C$15))*('Dvd Calendar'!$R$1695&lt;=Summary!$C$11)=0,"",'Dvd Calendar'!$R$1695*1000000000+ISNUMBER('Dvd Calendar'!$R$1696)*100000000+('Dvd Calendar'!$R$1700='Field Check'!$C$25)*10000000+(N('Dvd Calendar'!$R$1694)&gt;0)*1000000+13*1000+14))</f>
        <v/>
      </c>
      <c r="Q125" s="41">
        <f>IF(N('Dvd Calendar'!$S$1695)=0,"",IF(('Dvd Calendar'!$S$1695&gt;=MIN(DATE(Summary!$C$12,1,1),Summary!$C$11))*('Dvd Calendar'!$S$1695&lt;=MAX(DATE(Summary!$C$12,12,31),Summary!$C$15))*('Dvd Calendar'!$S$1695&lt;=Summary!$C$11)=0,"",'Dvd Calendar'!$S$1695*1000000000+ISNUMBER('Dvd Calendar'!$S$1696)*100000000+('Dvd Calendar'!$S$1700='Field Check'!$C$25)*10000000+(N('Dvd Calendar'!$S$1694)&gt;0)*1000000+13*1000+15))</f>
        <v/>
      </c>
      <c r="R125" s="41">
        <f>IF(N('Dvd Calendar'!$T$1695)=0,"",IF(('Dvd Calendar'!$T$1695&gt;=MIN(DATE(Summary!$C$12,1,1),Summary!$C$11))*('Dvd Calendar'!$T$1695&lt;=MAX(DATE(Summary!$C$12,12,31),Summary!$C$15))*('Dvd Calendar'!$T$1695&lt;=Summary!$C$11)=0,"",'Dvd Calendar'!$T$1695*1000000000+ISNUMBER('Dvd Calendar'!$T$1696)*100000000+('Dvd Calendar'!$T$1700='Field Check'!$C$25)*10000000+(N('Dvd Calendar'!$T$1694)&gt;0)*1000000+13*1000+16))</f>
        <v/>
      </c>
      <c r="S125" s="41">
        <f>IF(N('Dvd Calendar'!$U$1695)=0,"",IF(('Dvd Calendar'!$U$1695&gt;=MIN(DATE(Summary!$C$12,1,1),Summary!$C$11))*('Dvd Calendar'!$U$1695&lt;=MAX(DATE(Summary!$C$12,12,31),Summary!$C$15))*('Dvd Calendar'!$U$1695&lt;=Summary!$C$11)=0,"",'Dvd Calendar'!$U$1695*1000000000+ISNUMBER('Dvd Calendar'!$U$1696)*100000000+('Dvd Calendar'!$U$1700='Field Check'!$C$25)*10000000+(N('Dvd Calendar'!$U$1694)&gt;0)*1000000+13*1000+17))</f>
        <v/>
      </c>
      <c r="T125" s="41">
        <f>IF(N('Dvd Calendar'!$V$1695)=0,"",IF(('Dvd Calendar'!$V$1695&gt;=MIN(DATE(Summary!$C$12,1,1),Summary!$C$11))*('Dvd Calendar'!$V$1695&lt;=MAX(DATE(Summary!$C$12,12,31),Summary!$C$15))*('Dvd Calendar'!$V$1695&lt;=Summary!$C$11)=0,"",'Dvd Calendar'!$V$1695*1000000000+ISNUMBER('Dvd Calendar'!$V$1696)*100000000+('Dvd Calendar'!$V$1700='Field Check'!$C$25)*10000000+(N('Dvd Calendar'!$V$1694)&gt;0)*1000000+13*1000+18))</f>
        <v/>
      </c>
      <c r="U125" s="41">
        <f>IF(N('Dvd Calendar'!$W$1695)=0,"",IF(('Dvd Calendar'!$W$1695&gt;=MIN(DATE(Summary!$C$12,1,1),Summary!$C$11))*('Dvd Calendar'!$W$1695&lt;=MAX(DATE(Summary!$C$12,12,31),Summary!$C$15))*('Dvd Calendar'!$W$1695&lt;=Summary!$C$11)=0,"",'Dvd Calendar'!$W$1695*1000000000+ISNUMBER('Dvd Calendar'!$W$1696)*100000000+('Dvd Calendar'!$W$1700='Field Check'!$C$25)*10000000+(N('Dvd Calendar'!$W$1694)&gt;0)*1000000+13*1000+19))</f>
        <v/>
      </c>
      <c r="V125" s="41">
        <f>IF(N('Dvd Calendar'!$X$1695)=0,"",IF(('Dvd Calendar'!$X$1695&gt;=MIN(DATE(Summary!$C$12,1,1),Summary!$C$11))*('Dvd Calendar'!$X$1695&lt;=MAX(DATE(Summary!$C$12,12,31),Summary!$C$15))*('Dvd Calendar'!$X$1695&lt;=Summary!$C$11)=0,"",'Dvd Calendar'!$X$1695*1000000000+ISNUMBER('Dvd Calendar'!$X$1696)*100000000+('Dvd Calendar'!$X$1700='Field Check'!$C$25)*10000000+(N('Dvd Calendar'!$X$1694)&gt;0)*1000000+13*1000+20))</f>
        <v/>
      </c>
      <c r="W125" s="41">
        <f>IF(N('Dvd Calendar'!$Y$1695)=0,"",IF(('Dvd Calendar'!$Y$1695&gt;=MIN(DATE(Summary!$C$12,1,1),Summary!$C$11))*('Dvd Calendar'!$Y$1695&lt;=MAX(DATE(Summary!$C$12,12,31),Summary!$C$15))*('Dvd Calendar'!$Y$1695&lt;=Summary!$C$11)=0,"",'Dvd Calendar'!$Y$1695*1000000000+ISNUMBER('Dvd Calendar'!$Y$1696)*100000000+('Dvd Calendar'!$Y$1700='Field Check'!$C$25)*10000000+(N('Dvd Calendar'!$Y$1694)&gt;0)*1000000+13*1000+21))</f>
        <v/>
      </c>
      <c r="X125" s="41">
        <f>IF(N('Dvd Calendar'!$Z$1695)=0,"",IF(('Dvd Calendar'!$Z$1695&gt;=MIN(DATE(Summary!$C$12,1,1),Summary!$C$11))*('Dvd Calendar'!$Z$1695&lt;=MAX(DATE(Summary!$C$12,12,31),Summary!$C$15))*('Dvd Calendar'!$Z$1695&lt;=Summary!$C$11)=0,"",'Dvd Calendar'!$Z$1695*1000000000+ISNUMBER('Dvd Calendar'!$Z$1696)*100000000+('Dvd Calendar'!$Z$1700='Field Check'!$C$25)*10000000+(N('Dvd Calendar'!$Z$1694)&gt;0)*1000000+13*1000+22))</f>
        <v/>
      </c>
      <c r="Y125" s="41">
        <f>IF(N('Dvd Calendar'!$AA$1695)=0,"",IF(('Dvd Calendar'!$AA$1695&gt;=MIN(DATE(Summary!$C$12,1,1),Summary!$C$11))*('Dvd Calendar'!$AA$1695&lt;=MAX(DATE(Summary!$C$12,12,31),Summary!$C$15))*('Dvd Calendar'!$AA$1695&lt;=Summary!$C$11)=0,"",'Dvd Calendar'!$AA$1695*1000000000+ISNUMBER('Dvd Calendar'!$AA$1696)*100000000+('Dvd Calendar'!$AA$1700='Field Check'!$C$25)*10000000+(N('Dvd Calendar'!$AA$1694)&gt;0)*1000000+13*1000+23))</f>
        <v/>
      </c>
      <c r="Z125" s="41">
        <f>IF(N('Dvd Calendar'!$AB$1695)=0,"",IF(('Dvd Calendar'!$AB$1695&gt;=MIN(DATE(Summary!$C$12,1,1),Summary!$C$11))*('Dvd Calendar'!$AB$1695&lt;=MAX(DATE(Summary!$C$12,12,31),Summary!$C$15))*('Dvd Calendar'!$AB$1695&lt;=Summary!$C$11)=0,"",'Dvd Calendar'!$AB$1695*1000000000+ISNUMBER('Dvd Calendar'!$AB$1696)*100000000+('Dvd Calendar'!$AB$1700='Field Check'!$C$25)*10000000+(N('Dvd Calendar'!$AB$1694)&gt;0)*1000000+13*1000+24))</f>
        <v/>
      </c>
      <c r="AA125" s="41">
        <f>IF(N('Dvd Calendar'!$AC$1695)=0,"",IF(('Dvd Calendar'!$AC$1695&gt;=MIN(DATE(Summary!$C$12,1,1),Summary!$C$11))*('Dvd Calendar'!$AC$1695&lt;=MAX(DATE(Summary!$C$12,12,31),Summary!$C$15))*('Dvd Calendar'!$AC$1695&lt;=Summary!$C$11)=0,"",'Dvd Calendar'!$AC$1695*1000000000+ISNUMBER('Dvd Calendar'!$AC$1696)*100000000+('Dvd Calendar'!$AC$1700='Field Check'!$C$25)*10000000+(N('Dvd Calendar'!$AC$1694)&gt;0)*1000000+13*1000+25))</f>
        <v/>
      </c>
      <c r="AB125" s="41">
        <f>IF(N('Dvd Calendar'!$AD$1695)=0,"",IF(('Dvd Calendar'!$AD$1695&gt;=MIN(DATE(Summary!$C$12,1,1),Summary!$C$11))*('Dvd Calendar'!$AD$1695&lt;=MAX(DATE(Summary!$C$12,12,31),Summary!$C$15))*('Dvd Calendar'!$AD$1695&lt;=Summary!$C$11)=0,"",'Dvd Calendar'!$AD$1695*1000000000+ISNUMBER('Dvd Calendar'!$AD$1696)*100000000+('Dvd Calendar'!$AD$1700='Field Check'!$C$25)*10000000+(N('Dvd Calendar'!$AD$1694)&gt;0)*1000000+13*1000+26))</f>
        <v/>
      </c>
      <c r="AC125" s="41">
        <f>IF(N('Dvd Calendar'!$AE$1695)=0,"",IF(('Dvd Calendar'!$AE$1695&gt;=MIN(DATE(Summary!$C$12,1,1),Summary!$C$11))*('Dvd Calendar'!$AE$1695&lt;=MAX(DATE(Summary!$C$12,12,31),Summary!$C$15))*('Dvd Calendar'!$AE$1695&lt;=Summary!$C$11)=0,"",'Dvd Calendar'!$AE$1695*1000000000+ISNUMBER('Dvd Calendar'!$AE$1696)*100000000+('Dvd Calendar'!$AE$1700='Field Check'!$C$25)*10000000+(N('Dvd Calendar'!$AE$1694)&gt;0)*1000000+13*1000+27))</f>
        <v/>
      </c>
      <c r="AD125" s="41">
        <f>IF(N('Dvd Calendar'!$AF$1695)=0,"",IF(('Dvd Calendar'!$AF$1695&gt;=MIN(DATE(Summary!$C$12,1,1),Summary!$C$11))*('Dvd Calendar'!$AF$1695&lt;=MAX(DATE(Summary!$C$12,12,31),Summary!$C$15))*('Dvd Calendar'!$AF$1695&lt;=Summary!$C$11)=0,"",'Dvd Calendar'!$AF$1695*1000000000+ISNUMBER('Dvd Calendar'!$AF$1696)*100000000+('Dvd Calendar'!$AF$1700='Field Check'!$C$25)*10000000+(N('Dvd Calendar'!$AF$1694)&gt;0)*1000000+13*1000+28))</f>
        <v/>
      </c>
      <c r="AE125" s="41">
        <f>IF(N('Dvd Calendar'!$AG$1695)=0,"",IF(('Dvd Calendar'!$AG$1695&gt;=MIN(DATE(Summary!$C$12,1,1),Summary!$C$11))*('Dvd Calendar'!$AG$1695&lt;=MAX(DATE(Summary!$C$12,12,31),Summary!$C$15))*('Dvd Calendar'!$AG$1695&lt;=Summary!$C$11)=0,"",'Dvd Calendar'!$AG$1695*1000000000+ISNUMBER('Dvd Calendar'!$AG$1696)*100000000+('Dvd Calendar'!$AG$1700='Field Check'!$C$25)*10000000+(N('Dvd Calendar'!$AG$1694)&gt;0)*1000000+13*1000+29))</f>
        <v/>
      </c>
      <c r="AF125" s="41">
        <f>IF(N('Dvd Calendar'!$AH$1695)=0,"",IF(('Dvd Calendar'!$AH$1695&gt;=MIN(DATE(Summary!$C$12,1,1),Summary!$C$11))*('Dvd Calendar'!$AH$1695&lt;=MAX(DATE(Summary!$C$12,12,31),Summary!$C$15))*('Dvd Calendar'!$AH$1695&lt;=Summary!$C$11)=0,"",'Dvd Calendar'!$AH$1695*1000000000+ISNUMBER('Dvd Calendar'!$AH$1696)*100000000+('Dvd Calendar'!$AH$1700='Field Check'!$C$25)*10000000+(N('Dvd Calendar'!$AH$1694)&gt;0)*1000000+13*1000+30))</f>
        <v/>
      </c>
      <c r="AG125" s="41">
        <f>IF(N('Dvd Calendar'!$AI$1695)=0,"",IF(('Dvd Calendar'!$AI$1695&gt;=MIN(DATE(Summary!$C$12,1,1),Summary!$C$11))*('Dvd Calendar'!$AI$1695&lt;=MAX(DATE(Summary!$C$12,12,31),Summary!$C$15))*('Dvd Calendar'!$AI$1695&lt;=Summary!$C$11)=0,"",'Dvd Calendar'!$AI$1695*1000000000+ISNUMBER('Dvd Calendar'!$AI$1696)*100000000+('Dvd Calendar'!$AI$1700='Field Check'!$C$25)*10000000+(N('Dvd Calendar'!$AI$1694)&gt;0)*1000000+13*1000+31))</f>
        <v/>
      </c>
      <c r="AH125" s="41">
        <f>IF(N('Dvd Calendar'!$AJ$1695)=0,"",IF(('Dvd Calendar'!$AJ$1695&gt;=MIN(DATE(Summary!$C$12,1,1),Summary!$C$11))*('Dvd Calendar'!$AJ$1695&lt;=MAX(DATE(Summary!$C$12,12,31),Summary!$C$15))*('Dvd Calendar'!$AJ$1695&lt;=Summary!$C$11)=0,"",'Dvd Calendar'!$AJ$1695*1000000000+ISNUMBER('Dvd Calendar'!$AJ$1696)*100000000+('Dvd Calendar'!$AJ$1700='Field Check'!$C$25)*10000000+(N('Dvd Calendar'!$AJ$1694)&gt;0)*1000000+13*1000+32))</f>
        <v/>
      </c>
      <c r="AI125" s="41">
        <f>IF(N('Dvd Calendar'!$AK$1695)=0,"",IF(('Dvd Calendar'!$AK$1695&gt;=MIN(DATE(Summary!$C$12,1,1),Summary!$C$11))*('Dvd Calendar'!$AK$1695&lt;=MAX(DATE(Summary!$C$12,12,31),Summary!$C$15))*('Dvd Calendar'!$AK$1695&lt;=Summary!$C$11)=0,"",'Dvd Calendar'!$AK$1695*1000000000+ISNUMBER('Dvd Calendar'!$AK$1696)*100000000+('Dvd Calendar'!$AK$1700='Field Check'!$C$25)*10000000+(N('Dvd Calendar'!$AK$1694)&gt;0)*1000000+13*1000+33))</f>
        <v/>
      </c>
      <c r="AJ125" s="41">
        <f>IF(N('Dvd Calendar'!$AL$1695)=0,"",IF(('Dvd Calendar'!$AL$1695&gt;=MIN(DATE(Summary!$C$12,1,1),Summary!$C$11))*('Dvd Calendar'!$AL$1695&lt;=MAX(DATE(Summary!$C$12,12,31),Summary!$C$15))*('Dvd Calendar'!$AL$1695&lt;=Summary!$C$11)=0,"",'Dvd Calendar'!$AL$1695*1000000000+ISNUMBER('Dvd Calendar'!$AL$1696)*100000000+('Dvd Calendar'!$AL$1700='Field Check'!$C$25)*10000000+(N('Dvd Calendar'!$AL$1694)&gt;0)*1000000+13*1000+34))</f>
        <v/>
      </c>
      <c r="AK125" s="41">
        <f>IF(N('Dvd Calendar'!$AM$1695)=0,"",IF(('Dvd Calendar'!$AM$1695&gt;=MIN(DATE(Summary!$C$12,1,1),Summary!$C$11))*('Dvd Calendar'!$AM$1695&lt;=MAX(DATE(Summary!$C$12,12,31),Summary!$C$15))*('Dvd Calendar'!$AM$1695&lt;=Summary!$C$11)=0,"",'Dvd Calendar'!$AM$1695*1000000000+ISNUMBER('Dvd Calendar'!$AM$1696)*100000000+('Dvd Calendar'!$AM$1700='Field Check'!$C$25)*10000000+(N('Dvd Calendar'!$AM$1694)&gt;0)*1000000+13*1000+35))</f>
        <v/>
      </c>
      <c r="AL125" s="41">
        <f>IF(N('Dvd Calendar'!$AN$1695)=0,"",IF(('Dvd Calendar'!$AN$1695&gt;=MIN(DATE(Summary!$C$12,1,1),Summary!$C$11))*('Dvd Calendar'!$AN$1695&lt;=MAX(DATE(Summary!$C$12,12,31),Summary!$C$15))*('Dvd Calendar'!$AN$1695&lt;=Summary!$C$11)=0,"",'Dvd Calendar'!$AN$1695*1000000000+ISNUMBER('Dvd Calendar'!$AN$1696)*100000000+('Dvd Calendar'!$AN$1700='Field Check'!$C$25)*10000000+(N('Dvd Calendar'!$AN$1694)&gt;0)*1000000+13*1000+36))</f>
        <v/>
      </c>
      <c r="AM125" s="41">
        <f>IF(N('Dvd Calendar'!$AO$1695)=0,"",IF(('Dvd Calendar'!$AO$1695&gt;=MIN(DATE(Summary!$C$12,1,1),Summary!$C$11))*('Dvd Calendar'!$AO$1695&lt;=MAX(DATE(Summary!$C$12,12,31),Summary!$C$15))*('Dvd Calendar'!$AO$1695&lt;=Summary!$C$11)=0,"",'Dvd Calendar'!$AO$1695*1000000000+ISNUMBER('Dvd Calendar'!$AO$1696)*100000000+('Dvd Calendar'!$AO$1700='Field Check'!$C$25)*10000000+(N('Dvd Calendar'!$AO$1694)&gt;0)*1000000+13*1000+37))</f>
        <v/>
      </c>
      <c r="AN125" s="41">
        <f>IF(N('Dvd Calendar'!$AP$1695)=0,"",IF(('Dvd Calendar'!$AP$1695&gt;=MIN(DATE(Summary!$C$12,1,1),Summary!$C$11))*('Dvd Calendar'!$AP$1695&lt;=MAX(DATE(Summary!$C$12,12,31),Summary!$C$15))*('Dvd Calendar'!$AP$1695&lt;=Summary!$C$11)=0,"",'Dvd Calendar'!$AP$1695*1000000000+ISNUMBER('Dvd Calendar'!$AP$1696)*100000000+('Dvd Calendar'!$AP$1700='Field Check'!$C$25)*10000000+(N('Dvd Calendar'!$AP$1694)&gt;0)*1000000+13*1000+38))</f>
        <v/>
      </c>
      <c r="AO125" s="41">
        <f>IF(N('Dvd Calendar'!$AQ$1695)=0,"",IF(('Dvd Calendar'!$AQ$1695&gt;=MIN(DATE(Summary!$C$12,1,1),Summary!$C$11))*('Dvd Calendar'!$AQ$1695&lt;=MAX(DATE(Summary!$C$12,12,31),Summary!$C$15))*('Dvd Calendar'!$AQ$1695&lt;=Summary!$C$11)=0,"",'Dvd Calendar'!$AQ$1695*1000000000+ISNUMBER('Dvd Calendar'!$AQ$1696)*100000000+('Dvd Calendar'!$AQ$1700='Field Check'!$C$25)*10000000+(N('Dvd Calendar'!$AQ$1694)&gt;0)*1000000+13*1000+39))</f>
        <v/>
      </c>
      <c r="AP125" s="41">
        <f>IF(N('Dvd Calendar'!$AR$1695)=0,"",IF(('Dvd Calendar'!$AR$1695&gt;=MIN(DATE(Summary!$C$12,1,1),Summary!$C$11))*('Dvd Calendar'!$AR$1695&lt;=MAX(DATE(Summary!$C$12,12,31),Summary!$C$15))*('Dvd Calendar'!$AR$1695&lt;=Summary!$C$11)=0,"",'Dvd Calendar'!$AR$1695*1000000000+ISNUMBER('Dvd Calendar'!$AR$1696)*100000000+('Dvd Calendar'!$AR$1700='Field Check'!$C$25)*10000000+(N('Dvd Calendar'!$AR$1694)&gt;0)*1000000+13*1000+40))</f>
        <v/>
      </c>
      <c r="AQ125" s="41">
        <f>IF(N('Dvd Calendar'!$E$1702)=0,"",IF(('Dvd Calendar'!$E$1702&gt;=MIN(DATE(Summary!$C$12,1,1),Summary!$C$11))*('Dvd Calendar'!$E$1702&lt;=MAX(DATE(Summary!$C$12,12,31),Summary!$C$15))*('Dvd Calendar'!$E$1702&gt;Summary!$C$11)=0,"",'Dvd Calendar'!$E$1702*1000000000+ISNUMBER('Dvd Calendar'!$E$1703)*100000000+('Dvd Calendar'!$E$1707='Field Check'!$C$25)*10000000+(N('Dvd Calendar'!$E$1701)&gt;0)*1000000+13*1000+41))</f>
        <v/>
      </c>
      <c r="AR125" s="41">
        <f>IF(N('Dvd Calendar'!$F$1702)=0,"",IF(('Dvd Calendar'!$F$1702&gt;=MIN(DATE(Summary!$C$12,1,1),Summary!$C$11))*('Dvd Calendar'!$F$1702&lt;=MAX(DATE(Summary!$C$12,12,31),Summary!$C$15))*('Dvd Calendar'!$F$1702&gt;Summary!$C$11)=0,"",'Dvd Calendar'!$F$1702*1000000000+ISNUMBER('Dvd Calendar'!$F$1703)*100000000+('Dvd Calendar'!$F$1707='Field Check'!$C$25)*10000000+(N('Dvd Calendar'!$F$1701)&gt;0)*1000000+13*1000+42))</f>
        <v/>
      </c>
      <c r="AS125" s="41">
        <f>IF(N('Dvd Calendar'!$G$1702)=0,"",IF(('Dvd Calendar'!$G$1702&gt;=MIN(DATE(Summary!$C$12,1,1),Summary!$C$11))*('Dvd Calendar'!$G$1702&lt;=MAX(DATE(Summary!$C$12,12,31),Summary!$C$15))*('Dvd Calendar'!$G$1702&gt;Summary!$C$11)=0,"",'Dvd Calendar'!$G$1702*1000000000+ISNUMBER('Dvd Calendar'!$G$1703)*100000000+('Dvd Calendar'!$G$1707='Field Check'!$C$25)*10000000+(N('Dvd Calendar'!$G$1701)&gt;0)*1000000+13*1000+43))</f>
        <v/>
      </c>
      <c r="AT125" s="41">
        <f>IF(N('Dvd Calendar'!$H$1702)=0,"",IF(('Dvd Calendar'!$H$1702&gt;=MIN(DATE(Summary!$C$12,1,1),Summary!$C$11))*('Dvd Calendar'!$H$1702&lt;=MAX(DATE(Summary!$C$12,12,31),Summary!$C$15))*('Dvd Calendar'!$H$1702&gt;Summary!$C$11)=0,"",'Dvd Calendar'!$H$1702*1000000000+ISNUMBER('Dvd Calendar'!$H$1703)*100000000+('Dvd Calendar'!$H$1707='Field Check'!$C$25)*10000000+(N('Dvd Calendar'!$H$1701)&gt;0)*1000000+13*1000+44))</f>
        <v/>
      </c>
      <c r="AU125" s="41">
        <f>IF(N('Dvd Calendar'!$I$1702)=0,"",IF(('Dvd Calendar'!$I$1702&gt;=MIN(DATE(Summary!$C$12,1,1),Summary!$C$11))*('Dvd Calendar'!$I$1702&lt;=MAX(DATE(Summary!$C$12,12,31),Summary!$C$15))*('Dvd Calendar'!$I$1702&gt;Summary!$C$11)=0,"",'Dvd Calendar'!$I$1702*1000000000+ISNUMBER('Dvd Calendar'!$I$1703)*100000000+('Dvd Calendar'!$I$1707='Field Check'!$C$25)*10000000+(N('Dvd Calendar'!$I$1701)&gt;0)*1000000+13*1000+45))</f>
        <v/>
      </c>
      <c r="AV125" s="41">
        <f>IF(N('Dvd Calendar'!$J$1702)=0,"",IF(('Dvd Calendar'!$J$1702&gt;=MIN(DATE(Summary!$C$12,1,1),Summary!$C$11))*('Dvd Calendar'!$J$1702&lt;=MAX(DATE(Summary!$C$12,12,31),Summary!$C$15))*('Dvd Calendar'!$J$1702&gt;Summary!$C$11)=0,"",'Dvd Calendar'!$J$1702*1000000000+ISNUMBER('Dvd Calendar'!$J$1703)*100000000+('Dvd Calendar'!$J$1707='Field Check'!$C$25)*10000000+(N('Dvd Calendar'!$J$1701)&gt;0)*1000000+13*1000+46))</f>
        <v/>
      </c>
      <c r="AW125" s="41">
        <f>IF(N('Dvd Calendar'!$K$1702)=0,"",IF(('Dvd Calendar'!$K$1702&gt;=MIN(DATE(Summary!$C$12,1,1),Summary!$C$11))*('Dvd Calendar'!$K$1702&lt;=MAX(DATE(Summary!$C$12,12,31),Summary!$C$15))*('Dvd Calendar'!$K$1702&gt;Summary!$C$11)=0,"",'Dvd Calendar'!$K$1702*1000000000+ISNUMBER('Dvd Calendar'!$K$1703)*100000000+('Dvd Calendar'!$K$1707='Field Check'!$C$25)*10000000+(N('Dvd Calendar'!$K$1701)&gt;0)*1000000+13*1000+47))</f>
        <v/>
      </c>
      <c r="AX125" s="41">
        <f>IF(N('Dvd Calendar'!$L$1702)=0,"",IF(('Dvd Calendar'!$L$1702&gt;=MIN(DATE(Summary!$C$12,1,1),Summary!$C$11))*('Dvd Calendar'!$L$1702&lt;=MAX(DATE(Summary!$C$12,12,31),Summary!$C$15))*('Dvd Calendar'!$L$1702&gt;Summary!$C$11)=0,"",'Dvd Calendar'!$L$1702*1000000000+ISNUMBER('Dvd Calendar'!$L$1703)*100000000+('Dvd Calendar'!$L$1707='Field Check'!$C$25)*10000000+(N('Dvd Calendar'!$L$1701)&gt;0)*1000000+13*1000+48))</f>
        <v/>
      </c>
      <c r="AY125" s="41">
        <f>IF(N('Dvd Calendar'!$M$1702)=0,"",IF(('Dvd Calendar'!$M$1702&gt;=MIN(DATE(Summary!$C$12,1,1),Summary!$C$11))*('Dvd Calendar'!$M$1702&lt;=MAX(DATE(Summary!$C$12,12,31),Summary!$C$15))*('Dvd Calendar'!$M$1702&gt;Summary!$C$11)=0,"",'Dvd Calendar'!$M$1702*1000000000+ISNUMBER('Dvd Calendar'!$M$1703)*100000000+('Dvd Calendar'!$M$1707='Field Check'!$C$25)*10000000+(N('Dvd Calendar'!$M$1701)&gt;0)*1000000+13*1000+49))</f>
        <v/>
      </c>
      <c r="AZ125" s="41">
        <f>IF(N('Dvd Calendar'!$N$1702)=0,"",IF(('Dvd Calendar'!$N$1702&gt;=MIN(DATE(Summary!$C$12,1,1),Summary!$C$11))*('Dvd Calendar'!$N$1702&lt;=MAX(DATE(Summary!$C$12,12,31),Summary!$C$15))*('Dvd Calendar'!$N$1702&gt;Summary!$C$11)=0,"",'Dvd Calendar'!$N$1702*1000000000+ISNUMBER('Dvd Calendar'!$N$1703)*100000000+('Dvd Calendar'!$N$1707='Field Check'!$C$25)*10000000+(N('Dvd Calendar'!$N$1701)&gt;0)*1000000+13*1000+50))</f>
        <v/>
      </c>
      <c r="BA125" s="41">
        <f>IF(N('Dvd Calendar'!$O$1702)=0,"",IF(('Dvd Calendar'!$O$1702&gt;=MIN(DATE(Summary!$C$12,1,1),Summary!$C$11))*('Dvd Calendar'!$O$1702&lt;=MAX(DATE(Summary!$C$12,12,31),Summary!$C$15))*('Dvd Calendar'!$O$1702&gt;Summary!$C$11)=0,"",'Dvd Calendar'!$O$1702*1000000000+ISNUMBER('Dvd Calendar'!$O$1703)*100000000+('Dvd Calendar'!$O$1707='Field Check'!$C$25)*10000000+(N('Dvd Calendar'!$O$1701)&gt;0)*1000000+13*1000+51))</f>
        <v/>
      </c>
      <c r="BB125" s="41">
        <f>IF(N('Dvd Calendar'!$P$1702)=0,"",IF(('Dvd Calendar'!$P$1702&gt;=MIN(DATE(Summary!$C$12,1,1),Summary!$C$11))*('Dvd Calendar'!$P$1702&lt;=MAX(DATE(Summary!$C$12,12,31),Summary!$C$15))*('Dvd Calendar'!$P$1702&gt;Summary!$C$11)=0,"",'Dvd Calendar'!$P$1702*1000000000+ISNUMBER('Dvd Calendar'!$P$1703)*100000000+('Dvd Calendar'!$P$1707='Field Check'!$C$25)*10000000+(N('Dvd Calendar'!$P$1701)&gt;0)*1000000+13*1000+52))</f>
        <v/>
      </c>
      <c r="BC125" s="41">
        <f>IF(N('Dvd Calendar'!$Q$1702)=0,"",IF(('Dvd Calendar'!$Q$1702&gt;=MIN(DATE(Summary!$C$12,1,1),Summary!$C$11))*('Dvd Calendar'!$Q$1702&lt;=MAX(DATE(Summary!$C$12,12,31),Summary!$C$15))*('Dvd Calendar'!$Q$1702&gt;Summary!$C$11)=0,"",'Dvd Calendar'!$Q$1702*1000000000+ISNUMBER('Dvd Calendar'!$Q$1703)*100000000+('Dvd Calendar'!$Q$1707='Field Check'!$C$25)*10000000+(N('Dvd Calendar'!$Q$1701)&gt;0)*1000000+13*1000+53))</f>
        <v/>
      </c>
      <c r="BD125" s="41">
        <f>IF(N('Dvd Calendar'!$R$1702)=0,"",IF(('Dvd Calendar'!$R$1702&gt;=MIN(DATE(Summary!$C$12,1,1),Summary!$C$11))*('Dvd Calendar'!$R$1702&lt;=MAX(DATE(Summary!$C$12,12,31),Summary!$C$15))*('Dvd Calendar'!$R$1702&gt;Summary!$C$11)=0,"",'Dvd Calendar'!$R$1702*1000000000+ISNUMBER('Dvd Calendar'!$R$1703)*100000000+('Dvd Calendar'!$R$1707='Field Check'!$C$25)*10000000+(N('Dvd Calendar'!$R$1701)&gt;0)*1000000+13*1000+54))</f>
        <v/>
      </c>
      <c r="BE125" s="41">
        <f>IF(N('Dvd Calendar'!$S$1702)=0,"",IF(('Dvd Calendar'!$S$1702&gt;=MIN(DATE(Summary!$C$12,1,1),Summary!$C$11))*('Dvd Calendar'!$S$1702&lt;=MAX(DATE(Summary!$C$12,12,31),Summary!$C$15))*('Dvd Calendar'!$S$1702&gt;Summary!$C$11)=0,"",'Dvd Calendar'!$S$1702*1000000000+ISNUMBER('Dvd Calendar'!$S$1703)*100000000+('Dvd Calendar'!$S$1707='Field Check'!$C$25)*10000000+(N('Dvd Calendar'!$S$1701)&gt;0)*1000000+13*1000+55))</f>
        <v/>
      </c>
      <c r="BF125" s="41">
        <f>IF(N('Dvd Calendar'!$T$1702)=0,"",IF(('Dvd Calendar'!$T$1702&gt;=MIN(DATE(Summary!$C$12,1,1),Summary!$C$11))*('Dvd Calendar'!$T$1702&lt;=MAX(DATE(Summary!$C$12,12,31),Summary!$C$15))*('Dvd Calendar'!$T$1702&gt;Summary!$C$11)=0,"",'Dvd Calendar'!$T$1702*1000000000+ISNUMBER('Dvd Calendar'!$T$1703)*100000000+('Dvd Calendar'!$T$1707='Field Check'!$C$25)*10000000+(N('Dvd Calendar'!$T$1701)&gt;0)*1000000+13*1000+56))</f>
        <v/>
      </c>
      <c r="BG125" s="41">
        <f>IF(N('Dvd Calendar'!$U$1702)=0,"",IF(('Dvd Calendar'!$U$1702&gt;=MIN(DATE(Summary!$C$12,1,1),Summary!$C$11))*('Dvd Calendar'!$U$1702&lt;=MAX(DATE(Summary!$C$12,12,31),Summary!$C$15))*('Dvd Calendar'!$U$1702&gt;Summary!$C$11)=0,"",'Dvd Calendar'!$U$1702*1000000000+ISNUMBER('Dvd Calendar'!$U$1703)*100000000+('Dvd Calendar'!$U$1707='Field Check'!$C$25)*10000000+(N('Dvd Calendar'!$U$1701)&gt;0)*1000000+13*1000+57))</f>
        <v/>
      </c>
      <c r="BH125" s="41">
        <f>IF(N('Dvd Calendar'!$V$1702)=0,"",IF(('Dvd Calendar'!$V$1702&gt;=MIN(DATE(Summary!$C$12,1,1),Summary!$C$11))*('Dvd Calendar'!$V$1702&lt;=MAX(DATE(Summary!$C$12,12,31),Summary!$C$15))*('Dvd Calendar'!$V$1702&gt;Summary!$C$11)=0,"",'Dvd Calendar'!$V$1702*1000000000+ISNUMBER('Dvd Calendar'!$V$1703)*100000000+('Dvd Calendar'!$V$1707='Field Check'!$C$25)*10000000+(N('Dvd Calendar'!$V$1701)&gt;0)*1000000+13*1000+58))</f>
        <v/>
      </c>
      <c r="BI125" s="41">
        <f>IF(N('Dvd Calendar'!$W$1702)=0,"",IF(('Dvd Calendar'!$W$1702&gt;=MIN(DATE(Summary!$C$12,1,1),Summary!$C$11))*('Dvd Calendar'!$W$1702&lt;=MAX(DATE(Summary!$C$12,12,31),Summary!$C$15))*('Dvd Calendar'!$W$1702&gt;Summary!$C$11)=0,"",'Dvd Calendar'!$W$1702*1000000000+ISNUMBER('Dvd Calendar'!$W$1703)*100000000+('Dvd Calendar'!$W$1707='Field Check'!$C$25)*10000000+(N('Dvd Calendar'!$W$1701)&gt;0)*1000000+13*1000+59))</f>
        <v/>
      </c>
      <c r="BJ125" s="41">
        <f>IF(N('Dvd Calendar'!$X$1702)=0,"",IF(('Dvd Calendar'!$X$1702&gt;=MIN(DATE(Summary!$C$12,1,1),Summary!$C$11))*('Dvd Calendar'!$X$1702&lt;=MAX(DATE(Summary!$C$12,12,31),Summary!$C$15))*('Dvd Calendar'!$X$1702&gt;Summary!$C$11)=0,"",'Dvd Calendar'!$X$1702*1000000000+ISNUMBER('Dvd Calendar'!$X$1703)*100000000+('Dvd Calendar'!$X$1707='Field Check'!$C$25)*10000000+(N('Dvd Calendar'!$X$1701)&gt;0)*1000000+13*1000+60))</f>
        <v/>
      </c>
      <c r="BK125" s="41">
        <f>IF(N('Dvd Calendar'!$Y$1702)=0,"",IF(('Dvd Calendar'!$Y$1702&gt;=MIN(DATE(Summary!$C$12,1,1),Summary!$C$11))*('Dvd Calendar'!$Y$1702&lt;=MAX(DATE(Summary!$C$12,12,31),Summary!$C$15))*('Dvd Calendar'!$Y$1702&gt;Summary!$C$11)=0,"",'Dvd Calendar'!$Y$1702*1000000000+ISNUMBER('Dvd Calendar'!$Y$1703)*100000000+('Dvd Calendar'!$Y$1707='Field Check'!$C$25)*10000000+(N('Dvd Calendar'!$Y$1701)&gt;0)*1000000+13*1000+61))</f>
        <v/>
      </c>
      <c r="BL125" s="41">
        <f>IF(N('Dvd Calendar'!$Z$1702)=0,"",IF(('Dvd Calendar'!$Z$1702&gt;=MIN(DATE(Summary!$C$12,1,1),Summary!$C$11))*('Dvd Calendar'!$Z$1702&lt;=MAX(DATE(Summary!$C$12,12,31),Summary!$C$15))*('Dvd Calendar'!$Z$1702&gt;Summary!$C$11)=0,"",'Dvd Calendar'!$Z$1702*1000000000+ISNUMBER('Dvd Calendar'!$Z$1703)*100000000+('Dvd Calendar'!$Z$1707='Field Check'!$C$25)*10000000+(N('Dvd Calendar'!$Z$1701)&gt;0)*1000000+13*1000+62))</f>
        <v/>
      </c>
      <c r="BM125" s="41">
        <f>IF(N('Dvd Calendar'!$AA$1702)=0,"",IF(('Dvd Calendar'!$AA$1702&gt;=MIN(DATE(Summary!$C$12,1,1),Summary!$C$11))*('Dvd Calendar'!$AA$1702&lt;=MAX(DATE(Summary!$C$12,12,31),Summary!$C$15))*('Dvd Calendar'!$AA$1702&gt;Summary!$C$11)=0,"",'Dvd Calendar'!$AA$1702*1000000000+ISNUMBER('Dvd Calendar'!$AA$1703)*100000000+('Dvd Calendar'!$AA$1707='Field Check'!$C$25)*10000000+(N('Dvd Calendar'!$AA$1701)&gt;0)*1000000+13*1000+63))</f>
        <v/>
      </c>
      <c r="BN125" s="41">
        <f>IF(N('Dvd Calendar'!$AB$1702)=0,"",IF(('Dvd Calendar'!$AB$1702&gt;=MIN(DATE(Summary!$C$12,1,1),Summary!$C$11))*('Dvd Calendar'!$AB$1702&lt;=MAX(DATE(Summary!$C$12,12,31),Summary!$C$15))*('Dvd Calendar'!$AB$1702&gt;Summary!$C$11)=0,"",'Dvd Calendar'!$AB$1702*1000000000+ISNUMBER('Dvd Calendar'!$AB$1703)*100000000+('Dvd Calendar'!$AB$1707='Field Check'!$C$25)*10000000+(N('Dvd Calendar'!$AB$1701)&gt;0)*1000000+13*1000+64))</f>
        <v/>
      </c>
      <c r="BO125" s="41">
        <f>IF(N('Dvd Calendar'!$AC$1702)=0,"",IF(('Dvd Calendar'!$AC$1702&gt;=MIN(DATE(Summary!$C$12,1,1),Summary!$C$11))*('Dvd Calendar'!$AC$1702&lt;=MAX(DATE(Summary!$C$12,12,31),Summary!$C$15))*('Dvd Calendar'!$AC$1702&gt;Summary!$C$11)=0,"",'Dvd Calendar'!$AC$1702*1000000000+ISNUMBER('Dvd Calendar'!$AC$1703)*100000000+('Dvd Calendar'!$AC$1707='Field Check'!$C$25)*10000000+(N('Dvd Calendar'!$AC$1701)&gt;0)*1000000+13*1000+65))</f>
        <v/>
      </c>
      <c r="BQ125" s="85">
        <f>IF(C125="","",IF(ISNUMBER('Dvd Calendar'!$E$1696)=FALSE,"",IF((Summary!$C$13="N")*('Dvd Calendar'!$E$1700='Field Check'!$C$25)&gt;0,"",'Dvd Calendar'!$E$1696)))</f>
        <v/>
      </c>
      <c r="BR125" s="85">
        <f>IF(D125="","",IF(ISNUMBER('Dvd Calendar'!$F$1696)=FALSE,"",IF((Summary!$C$13="N")*('Dvd Calendar'!$F$1700='Field Check'!$C$25)&gt;0,"",'Dvd Calendar'!$F$1696)))</f>
        <v/>
      </c>
      <c r="BS125" s="85">
        <f>IF(E125="","",IF(ISNUMBER('Dvd Calendar'!$G$1696)=FALSE,"",IF((Summary!$C$13="N")*('Dvd Calendar'!$G$1700='Field Check'!$C$25)&gt;0,"",'Dvd Calendar'!$G$1696)))</f>
        <v/>
      </c>
      <c r="BT125" s="85">
        <f>IF(F125="","",IF(ISNUMBER('Dvd Calendar'!$H$1696)=FALSE,"",IF((Summary!$C$13="N")*('Dvd Calendar'!$H$1700='Field Check'!$C$25)&gt;0,"",'Dvd Calendar'!$H$1696)))</f>
        <v/>
      </c>
      <c r="BU125" s="85">
        <f>IF(G125="","",IF(ISNUMBER('Dvd Calendar'!$I$1696)=FALSE,"",IF((Summary!$C$13="N")*('Dvd Calendar'!$I$1700='Field Check'!$C$25)&gt;0,"",'Dvd Calendar'!$I$1696)))</f>
        <v/>
      </c>
      <c r="BV125" s="85">
        <f>IF(H125="","",IF(ISNUMBER('Dvd Calendar'!$J$1696)=FALSE,"",IF((Summary!$C$13="N")*('Dvd Calendar'!$J$1700='Field Check'!$C$25)&gt;0,"",'Dvd Calendar'!$J$1696)))</f>
        <v/>
      </c>
      <c r="BW125" s="85">
        <f>IF(I125="","",IF(ISNUMBER('Dvd Calendar'!$K$1696)=FALSE,"",IF((Summary!$C$13="N")*('Dvd Calendar'!$K$1700='Field Check'!$C$25)&gt;0,"",'Dvd Calendar'!$K$1696)))</f>
        <v/>
      </c>
      <c r="BX125" s="85">
        <f>IF(J125="","",IF(ISNUMBER('Dvd Calendar'!$L$1696)=FALSE,"",IF((Summary!$C$13="N")*('Dvd Calendar'!$L$1700='Field Check'!$C$25)&gt;0,"",'Dvd Calendar'!$L$1696)))</f>
        <v/>
      </c>
      <c r="BY125" s="85">
        <f>IF(K125="","",IF(ISNUMBER('Dvd Calendar'!$M$1696)=FALSE,"",IF((Summary!$C$13="N")*('Dvd Calendar'!$M$1700='Field Check'!$C$25)&gt;0,"",'Dvd Calendar'!$M$1696)))</f>
        <v/>
      </c>
      <c r="BZ125" s="85">
        <f>IF(L125="","",IF(ISNUMBER('Dvd Calendar'!$N$1696)=FALSE,"",IF((Summary!$C$13="N")*('Dvd Calendar'!$N$1700='Field Check'!$C$25)&gt;0,"",'Dvd Calendar'!$N$1696)))</f>
        <v/>
      </c>
      <c r="CA125" s="85">
        <f>IF(M125="","",IF(ISNUMBER('Dvd Calendar'!$O$1696)=FALSE,"",IF((Summary!$C$13="N")*('Dvd Calendar'!$O$1700='Field Check'!$C$25)&gt;0,"",'Dvd Calendar'!$O$1696)))</f>
        <v/>
      </c>
      <c r="CB125" s="85">
        <f>IF(N125="","",IF(ISNUMBER('Dvd Calendar'!$P$1696)=FALSE,"",IF((Summary!$C$13="N")*('Dvd Calendar'!$P$1700='Field Check'!$C$25)&gt;0,"",'Dvd Calendar'!$P$1696)))</f>
        <v/>
      </c>
      <c r="CC125" s="85">
        <f>IF(O125="","",IF(ISNUMBER('Dvd Calendar'!$Q$1696)=FALSE,"",IF((Summary!$C$13="N")*('Dvd Calendar'!$Q$1700='Field Check'!$C$25)&gt;0,"",'Dvd Calendar'!$Q$1696)))</f>
        <v/>
      </c>
      <c r="CD125" s="85">
        <f>IF(P125="","",IF(ISNUMBER('Dvd Calendar'!$R$1696)=FALSE,"",IF((Summary!$C$13="N")*('Dvd Calendar'!$R$1700='Field Check'!$C$25)&gt;0,"",'Dvd Calendar'!$R$1696)))</f>
        <v/>
      </c>
      <c r="CE125" s="85">
        <f>IF(Q125="","",IF(ISNUMBER('Dvd Calendar'!$S$1696)=FALSE,"",IF((Summary!$C$13="N")*('Dvd Calendar'!$S$1700='Field Check'!$C$25)&gt;0,"",'Dvd Calendar'!$S$1696)))</f>
        <v/>
      </c>
      <c r="CF125" s="85">
        <f>IF(R125="","",IF(ISNUMBER('Dvd Calendar'!$T$1696)=FALSE,"",IF((Summary!$C$13="N")*('Dvd Calendar'!$T$1700='Field Check'!$C$25)&gt;0,"",'Dvd Calendar'!$T$1696)))</f>
        <v/>
      </c>
      <c r="CG125" s="85">
        <f>IF(S125="","",IF(ISNUMBER('Dvd Calendar'!$U$1696)=FALSE,"",IF((Summary!$C$13="N")*('Dvd Calendar'!$U$1700='Field Check'!$C$25)&gt;0,"",'Dvd Calendar'!$U$1696)))</f>
        <v/>
      </c>
      <c r="CH125" s="85">
        <f>IF(T125="","",IF(ISNUMBER('Dvd Calendar'!$V$1696)=FALSE,"",IF((Summary!$C$13="N")*('Dvd Calendar'!$V$1700='Field Check'!$C$25)&gt;0,"",'Dvd Calendar'!$V$1696)))</f>
        <v/>
      </c>
      <c r="CI125" s="85">
        <f>IF(U125="","",IF(ISNUMBER('Dvd Calendar'!$W$1696)=FALSE,"",IF((Summary!$C$13="N")*('Dvd Calendar'!$W$1700='Field Check'!$C$25)&gt;0,"",'Dvd Calendar'!$W$1696)))</f>
        <v/>
      </c>
      <c r="CJ125" s="85">
        <f>IF(V125="","",IF(ISNUMBER('Dvd Calendar'!$X$1696)=FALSE,"",IF((Summary!$C$13="N")*('Dvd Calendar'!$X$1700='Field Check'!$C$25)&gt;0,"",'Dvd Calendar'!$X$1696)))</f>
        <v/>
      </c>
      <c r="CK125" s="85">
        <f>IF(W125="","",IF(ISNUMBER('Dvd Calendar'!$Y$1696)=FALSE,"",IF((Summary!$C$13="N")*('Dvd Calendar'!$Y$1700='Field Check'!$C$25)&gt;0,"",'Dvd Calendar'!$Y$1696)))</f>
        <v/>
      </c>
      <c r="CL125" s="85">
        <f>IF(X125="","",IF(ISNUMBER('Dvd Calendar'!$Z$1696)=FALSE,"",IF((Summary!$C$13="N")*('Dvd Calendar'!$Z$1700='Field Check'!$C$25)&gt;0,"",'Dvd Calendar'!$Z$1696)))</f>
        <v/>
      </c>
      <c r="CM125" s="85">
        <f>IF(Y125="","",IF(ISNUMBER('Dvd Calendar'!$AA$1696)=FALSE,"",IF((Summary!$C$13="N")*('Dvd Calendar'!$AA$1700='Field Check'!$C$25)&gt;0,"",'Dvd Calendar'!$AA$1696)))</f>
        <v/>
      </c>
      <c r="CN125" s="85">
        <f>IF(Z125="","",IF(ISNUMBER('Dvd Calendar'!$AB$1696)=FALSE,"",IF((Summary!$C$13="N")*('Dvd Calendar'!$AB$1700='Field Check'!$C$25)&gt;0,"",'Dvd Calendar'!$AB$1696)))</f>
        <v/>
      </c>
      <c r="CO125" s="85">
        <f>IF(AA125="","",IF(ISNUMBER('Dvd Calendar'!$AC$1696)=FALSE,"",IF((Summary!$C$13="N")*('Dvd Calendar'!$AC$1700='Field Check'!$C$25)&gt;0,"",'Dvd Calendar'!$AC$1696)))</f>
        <v/>
      </c>
      <c r="CP125" s="85">
        <f>IF(AB125="","",IF(ISNUMBER('Dvd Calendar'!$AD$1696)=FALSE,"",IF((Summary!$C$13="N")*('Dvd Calendar'!$AD$1700='Field Check'!$C$25)&gt;0,"",'Dvd Calendar'!$AD$1696)))</f>
        <v/>
      </c>
      <c r="CQ125" s="85">
        <f>IF(AC125="","",IF(ISNUMBER('Dvd Calendar'!$AE$1696)=FALSE,"",IF((Summary!$C$13="N")*('Dvd Calendar'!$AE$1700='Field Check'!$C$25)&gt;0,"",'Dvd Calendar'!$AE$1696)))</f>
        <v/>
      </c>
      <c r="CR125" s="85">
        <f>IF(AD125="","",IF(ISNUMBER('Dvd Calendar'!$AF$1696)=FALSE,"",IF((Summary!$C$13="N")*('Dvd Calendar'!$AF$1700='Field Check'!$C$25)&gt;0,"",'Dvd Calendar'!$AF$1696)))</f>
        <v/>
      </c>
      <c r="CS125" s="85">
        <f>IF(AE125="","",IF(ISNUMBER('Dvd Calendar'!$AG$1696)=FALSE,"",IF((Summary!$C$13="N")*('Dvd Calendar'!$AG$1700='Field Check'!$C$25)&gt;0,"",'Dvd Calendar'!$AG$1696)))</f>
        <v/>
      </c>
      <c r="CT125" s="85">
        <f>IF(AF125="","",IF(ISNUMBER('Dvd Calendar'!$AH$1696)=FALSE,"",IF((Summary!$C$13="N")*('Dvd Calendar'!$AH$1700='Field Check'!$C$25)&gt;0,"",'Dvd Calendar'!$AH$1696)))</f>
        <v/>
      </c>
      <c r="CU125" s="85">
        <f>IF(AG125="","",IF(ISNUMBER('Dvd Calendar'!$AI$1696)=FALSE,"",IF((Summary!$C$13="N")*('Dvd Calendar'!$AI$1700='Field Check'!$C$25)&gt;0,"",'Dvd Calendar'!$AI$1696)))</f>
        <v/>
      </c>
      <c r="CV125" s="85">
        <f>IF(AH125="","",IF(ISNUMBER('Dvd Calendar'!$AJ$1696)=FALSE,"",IF((Summary!$C$13="N")*('Dvd Calendar'!$AJ$1700='Field Check'!$C$25)&gt;0,"",'Dvd Calendar'!$AJ$1696)))</f>
        <v/>
      </c>
      <c r="CW125" s="85">
        <f>IF(AI125="","",IF(ISNUMBER('Dvd Calendar'!$AK$1696)=FALSE,"",IF((Summary!$C$13="N")*('Dvd Calendar'!$AK$1700='Field Check'!$C$25)&gt;0,"",'Dvd Calendar'!$AK$1696)))</f>
        <v/>
      </c>
      <c r="CX125" s="85">
        <f>IF(AJ125="","",IF(ISNUMBER('Dvd Calendar'!$AL$1696)=FALSE,"",IF((Summary!$C$13="N")*('Dvd Calendar'!$AL$1700='Field Check'!$C$25)&gt;0,"",'Dvd Calendar'!$AL$1696)))</f>
        <v/>
      </c>
      <c r="CY125" s="85">
        <f>IF(AK125="","",IF(ISNUMBER('Dvd Calendar'!$AM$1696)=FALSE,"",IF((Summary!$C$13="N")*('Dvd Calendar'!$AM$1700='Field Check'!$C$25)&gt;0,"",'Dvd Calendar'!$AM$1696)))</f>
        <v/>
      </c>
      <c r="CZ125" s="85">
        <f>IF(AL125="","",IF(ISNUMBER('Dvd Calendar'!$AN$1696)=FALSE,"",IF((Summary!$C$13="N")*('Dvd Calendar'!$AN$1700='Field Check'!$C$25)&gt;0,"",'Dvd Calendar'!$AN$1696)))</f>
        <v/>
      </c>
      <c r="DA125" s="85">
        <f>IF(AM125="","",IF(ISNUMBER('Dvd Calendar'!$AO$1696)=FALSE,"",IF((Summary!$C$13="N")*('Dvd Calendar'!$AO$1700='Field Check'!$C$25)&gt;0,"",'Dvd Calendar'!$AO$1696)))</f>
        <v/>
      </c>
      <c r="DB125" s="85">
        <f>IF(AN125="","",IF(ISNUMBER('Dvd Calendar'!$AP$1696)=FALSE,"",IF((Summary!$C$13="N")*('Dvd Calendar'!$AP$1700='Field Check'!$C$25)&gt;0,"",'Dvd Calendar'!$AP$1696)))</f>
        <v/>
      </c>
      <c r="DC125" s="85">
        <f>IF(AO125="","",IF(ISNUMBER('Dvd Calendar'!$AQ$1696)=FALSE,"",IF((Summary!$C$13="N")*('Dvd Calendar'!$AQ$1700='Field Check'!$C$25)&gt;0,"",'Dvd Calendar'!$AQ$1696)))</f>
        <v/>
      </c>
      <c r="DD125" s="85">
        <f>IF(AP125="","",IF(ISNUMBER('Dvd Calendar'!$AR$1696)=FALSE,"",IF((Summary!$C$13="N")*('Dvd Calendar'!$AR$1700='Field Check'!$C$25)&gt;0,"",'Dvd Calendar'!$AR$1696)))</f>
        <v/>
      </c>
      <c r="DE125" s="85">
        <f>IF(AQ125="","",IF(ISNUMBER('Dvd Calendar'!$E$1703)=FALSE,"",IF((Summary!$C$13="N")*('Dvd Calendar'!$E$1707='Field Check'!$C$25)&gt;0,"",'Dvd Calendar'!$E$1703)))</f>
        <v/>
      </c>
      <c r="DF125" s="85">
        <f>IF(AR125="","",IF(ISNUMBER('Dvd Calendar'!$F$1703)=FALSE,"",IF((Summary!$C$13="N")*('Dvd Calendar'!$F$1707='Field Check'!$C$25)&gt;0,"",'Dvd Calendar'!$F$1703)))</f>
        <v/>
      </c>
      <c r="DG125" s="85">
        <f>IF(AS125="","",IF(ISNUMBER('Dvd Calendar'!$G$1703)=FALSE,"",IF((Summary!$C$13="N")*('Dvd Calendar'!$G$1707='Field Check'!$C$25)&gt;0,"",'Dvd Calendar'!$G$1703)))</f>
        <v/>
      </c>
      <c r="DH125" s="85">
        <f>IF(AT125="","",IF(ISNUMBER('Dvd Calendar'!$H$1703)=FALSE,"",IF((Summary!$C$13="N")*('Dvd Calendar'!$H$1707='Field Check'!$C$25)&gt;0,"",'Dvd Calendar'!$H$1703)))</f>
        <v/>
      </c>
      <c r="DI125" s="85">
        <f>IF(AU125="","",IF(ISNUMBER('Dvd Calendar'!$I$1703)=FALSE,"",IF((Summary!$C$13="N")*('Dvd Calendar'!$I$1707='Field Check'!$C$25)&gt;0,"",'Dvd Calendar'!$I$1703)))</f>
        <v/>
      </c>
      <c r="DJ125" s="85">
        <f>IF(AV125="","",IF(ISNUMBER('Dvd Calendar'!$J$1703)=FALSE,"",IF((Summary!$C$13="N")*('Dvd Calendar'!$J$1707='Field Check'!$C$25)&gt;0,"",'Dvd Calendar'!$J$1703)))</f>
        <v/>
      </c>
      <c r="DK125" s="85">
        <f>IF(AW125="","",IF(ISNUMBER('Dvd Calendar'!$K$1703)=FALSE,"",IF((Summary!$C$13="N")*('Dvd Calendar'!$K$1707='Field Check'!$C$25)&gt;0,"",'Dvd Calendar'!$K$1703)))</f>
        <v/>
      </c>
      <c r="DL125" s="85">
        <f>IF(AX125="","",IF(ISNUMBER('Dvd Calendar'!$L$1703)=FALSE,"",IF((Summary!$C$13="N")*('Dvd Calendar'!$L$1707='Field Check'!$C$25)&gt;0,"",'Dvd Calendar'!$L$1703)))</f>
        <v/>
      </c>
      <c r="DM125" s="85">
        <f>IF(AY125="","",IF(ISNUMBER('Dvd Calendar'!$M$1703)=FALSE,"",IF((Summary!$C$13="N")*('Dvd Calendar'!$M$1707='Field Check'!$C$25)&gt;0,"",'Dvd Calendar'!$M$1703)))</f>
        <v/>
      </c>
      <c r="DN125" s="85">
        <f>IF(AZ125="","",IF(ISNUMBER('Dvd Calendar'!$N$1703)=FALSE,"",IF((Summary!$C$13="N")*('Dvd Calendar'!$N$1707='Field Check'!$C$25)&gt;0,"",'Dvd Calendar'!$N$1703)))</f>
        <v/>
      </c>
      <c r="DO125" s="85">
        <f>IF(BA125="","",IF(ISNUMBER('Dvd Calendar'!$O$1703)=FALSE,"",IF((Summary!$C$13="N")*('Dvd Calendar'!$O$1707='Field Check'!$C$25)&gt;0,"",'Dvd Calendar'!$O$1703)))</f>
        <v/>
      </c>
      <c r="DP125" s="85">
        <f>IF(BB125="","",IF(ISNUMBER('Dvd Calendar'!$P$1703)=FALSE,"",IF((Summary!$C$13="N")*('Dvd Calendar'!$P$1707='Field Check'!$C$25)&gt;0,"",'Dvd Calendar'!$P$1703)))</f>
        <v/>
      </c>
      <c r="DQ125" s="85">
        <f>IF(BC125="","",IF(ISNUMBER('Dvd Calendar'!$Q$1703)=FALSE,"",IF((Summary!$C$13="N")*('Dvd Calendar'!$Q$1707='Field Check'!$C$25)&gt;0,"",'Dvd Calendar'!$Q$1703)))</f>
        <v/>
      </c>
      <c r="DR125" s="85">
        <f>IF(BD125="","",IF(ISNUMBER('Dvd Calendar'!$R$1703)=FALSE,"",IF((Summary!$C$13="N")*('Dvd Calendar'!$R$1707='Field Check'!$C$25)&gt;0,"",'Dvd Calendar'!$R$1703)))</f>
        <v/>
      </c>
      <c r="DS125" s="85">
        <f>IF(BE125="","",IF(ISNUMBER('Dvd Calendar'!$S$1703)=FALSE,"",IF((Summary!$C$13="N")*('Dvd Calendar'!$S$1707='Field Check'!$C$25)&gt;0,"",'Dvd Calendar'!$S$1703)))</f>
        <v/>
      </c>
      <c r="DT125" s="85">
        <f>IF(BF125="","",IF(ISNUMBER('Dvd Calendar'!$T$1703)=FALSE,"",IF((Summary!$C$13="N")*('Dvd Calendar'!$T$1707='Field Check'!$C$25)&gt;0,"",'Dvd Calendar'!$T$1703)))</f>
        <v/>
      </c>
      <c r="DU125" s="85">
        <f>IF(BG125="","",IF(ISNUMBER('Dvd Calendar'!$U$1703)=FALSE,"",IF((Summary!$C$13="N")*('Dvd Calendar'!$U$1707='Field Check'!$C$25)&gt;0,"",'Dvd Calendar'!$U$1703)))</f>
        <v/>
      </c>
      <c r="DV125" s="85">
        <f>IF(BH125="","",IF(ISNUMBER('Dvd Calendar'!$V$1703)=FALSE,"",IF((Summary!$C$13="N")*('Dvd Calendar'!$V$1707='Field Check'!$C$25)&gt;0,"",'Dvd Calendar'!$V$1703)))</f>
        <v/>
      </c>
      <c r="DW125" s="85">
        <f>IF(BI125="","",IF(ISNUMBER('Dvd Calendar'!$W$1703)=FALSE,"",IF((Summary!$C$13="N")*('Dvd Calendar'!$W$1707='Field Check'!$C$25)&gt;0,"",'Dvd Calendar'!$W$1703)))</f>
        <v/>
      </c>
      <c r="DX125" s="85">
        <f>IF(BJ125="","",IF(ISNUMBER('Dvd Calendar'!$X$1703)=FALSE,"",IF((Summary!$C$13="N")*('Dvd Calendar'!$X$1707='Field Check'!$C$25)&gt;0,"",'Dvd Calendar'!$X$1703)))</f>
        <v/>
      </c>
      <c r="DY125" s="85">
        <f>IF(BK125="","",IF(ISNUMBER('Dvd Calendar'!$Y$1703)=FALSE,"",IF((Summary!$C$13="N")*('Dvd Calendar'!$Y$1707='Field Check'!$C$25)&gt;0,"",'Dvd Calendar'!$Y$1703)))</f>
        <v/>
      </c>
      <c r="DZ125" s="85">
        <f>IF(BL125="","",IF(ISNUMBER('Dvd Calendar'!$Z$1703)=FALSE,"",IF((Summary!$C$13="N")*('Dvd Calendar'!$Z$1707='Field Check'!$C$25)&gt;0,"",'Dvd Calendar'!$Z$1703)))</f>
        <v/>
      </c>
      <c r="EA125" s="85">
        <f>IF(BM125="","",IF(ISNUMBER('Dvd Calendar'!$AA$1703)=FALSE,"",IF((Summary!$C$13="N")*('Dvd Calendar'!$AA$1707='Field Check'!$C$25)&gt;0,"",'Dvd Calendar'!$AA$1703)))</f>
        <v/>
      </c>
      <c r="EB125" s="85">
        <f>IF(BN125="","",IF(ISNUMBER('Dvd Calendar'!$AB$1703)=FALSE,"",IF((Summary!$C$13="N")*('Dvd Calendar'!$AB$1707='Field Check'!$C$25)&gt;0,"",'Dvd Calendar'!$AB$1703)))</f>
        <v/>
      </c>
      <c r="EC125" s="85">
        <f>IF(BO125="","",IF(ISNUMBER('Dvd Calendar'!$AC$1703)=FALSE,"",IF((Summary!$C$13="N")*('Dvd Calendar'!$AC$1707='Field Check'!$C$25)&gt;0,"",'Dvd Calendar'!$AC$1703)))</f>
        <v/>
      </c>
      <c r="EE125" s="85">
        <f>IF(BQ125="","",IFERROR(BQ125*HSTECH!$B$19*HSTECH!$G$19/HSTECH!$B$3,""))</f>
        <v/>
      </c>
      <c r="EF125" s="85">
        <f>IF(BR125="","",IFERROR(BR125*HSTECH!$B$19*HSTECH!$G$19/HSTECH!$B$3,""))</f>
        <v/>
      </c>
      <c r="EG125" s="85">
        <f>IF(BS125="","",IFERROR(BS125*HSTECH!$B$19*HSTECH!$G$19/HSTECH!$B$3,""))</f>
        <v/>
      </c>
      <c r="EH125" s="85">
        <f>IF(BT125="","",IFERROR(BT125*HSTECH!$B$19*HSTECH!$G$19/HSTECH!$B$3,""))</f>
        <v/>
      </c>
      <c r="EI125" s="85">
        <f>IF(BU125="","",IFERROR(BU125*HSTECH!$B$19*HSTECH!$G$19/HSTECH!$B$3,""))</f>
        <v/>
      </c>
      <c r="EJ125" s="85">
        <f>IF(BV125="","",IFERROR(BV125*HSTECH!$B$19*HSTECH!$G$19/HSTECH!$B$3,""))</f>
        <v/>
      </c>
      <c r="EK125" s="85">
        <f>IF(BW125="","",IFERROR(BW125*HSTECH!$B$19*HSTECH!$G$19/HSTECH!$B$3,""))</f>
        <v/>
      </c>
      <c r="EL125" s="85">
        <f>IF(BX125="","",IFERROR(BX125*HSTECH!$B$19*HSTECH!$G$19/HSTECH!$B$3,""))</f>
        <v/>
      </c>
      <c r="EM125" s="85">
        <f>IF(BY125="","",IFERROR(BY125*HSTECH!$B$19*HSTECH!$G$19/HSTECH!$B$3,""))</f>
        <v/>
      </c>
      <c r="EN125" s="85">
        <f>IF(BZ125="","",IFERROR(BZ125*HSTECH!$B$19*HSTECH!$G$19/HSTECH!$B$3,""))</f>
        <v/>
      </c>
      <c r="EO125" s="85">
        <f>IF(CA125="","",IFERROR(CA125*HSTECH!$B$19*HSTECH!$G$19/HSTECH!$B$3,""))</f>
        <v/>
      </c>
      <c r="EP125" s="85">
        <f>IF(CB125="","",IFERROR(CB125*HSTECH!$B$19*HSTECH!$G$19/HSTECH!$B$3,""))</f>
        <v/>
      </c>
      <c r="EQ125" s="85">
        <f>IF(CC125="","",IFERROR(CC125*HSTECH!$B$19*HSTECH!$G$19/HSTECH!$B$3,""))</f>
        <v/>
      </c>
      <c r="ER125" s="85">
        <f>IF(CD125="","",IFERROR(CD125*HSTECH!$B$19*HSTECH!$G$19/HSTECH!$B$3,""))</f>
        <v/>
      </c>
      <c r="ES125" s="85">
        <f>IF(CE125="","",IFERROR(CE125*HSTECH!$B$19*HSTECH!$G$19/HSTECH!$B$3,""))</f>
        <v/>
      </c>
      <c r="ET125" s="85">
        <f>IF(CF125="","",IFERROR(CF125*HSTECH!$B$19*HSTECH!$G$19/HSTECH!$B$3,""))</f>
        <v/>
      </c>
      <c r="EU125" s="85">
        <f>IF(CG125="","",IFERROR(CG125*HSTECH!$B$19*HSTECH!$G$19/HSTECH!$B$3,""))</f>
        <v/>
      </c>
      <c r="EV125" s="85">
        <f>IF(CH125="","",IFERROR(CH125*HSTECH!$B$19*HSTECH!$G$19/HSTECH!$B$3,""))</f>
        <v/>
      </c>
      <c r="EW125" s="85">
        <f>IF(CI125="","",IFERROR(CI125*HSTECH!$B$19*HSTECH!$G$19/HSTECH!$B$3,""))</f>
        <v/>
      </c>
      <c r="EX125" s="85">
        <f>IF(CJ125="","",IFERROR(CJ125*HSTECH!$B$19*HSTECH!$G$19/HSTECH!$B$3,""))</f>
        <v/>
      </c>
      <c r="EY125" s="85">
        <f>IF(CK125="","",IFERROR(CK125*HSTECH!$B$19*HSTECH!$G$19/HSTECH!$B$3,""))</f>
        <v/>
      </c>
      <c r="EZ125" s="85">
        <f>IF(CL125="","",IFERROR(CL125*HSTECH!$B$19*HSTECH!$G$19/HSTECH!$B$3,""))</f>
        <v/>
      </c>
      <c r="FA125" s="85">
        <f>IF(CM125="","",IFERROR(CM125*HSTECH!$B$19*HSTECH!$G$19/HSTECH!$B$3,""))</f>
        <v/>
      </c>
      <c r="FB125" s="85">
        <f>IF(CN125="","",IFERROR(CN125*HSTECH!$B$19*HSTECH!$G$19/HSTECH!$B$3,""))</f>
        <v/>
      </c>
      <c r="FC125" s="85">
        <f>IF(CO125="","",IFERROR(CO125*HSTECH!$B$19*HSTECH!$G$19/HSTECH!$B$3,""))</f>
        <v/>
      </c>
      <c r="FD125" s="85">
        <f>IF(CP125="","",IFERROR(CP125*HSTECH!$B$19*HSTECH!$G$19/HSTECH!$B$3,""))</f>
        <v/>
      </c>
      <c r="FE125" s="85">
        <f>IF(CQ125="","",IFERROR(CQ125*HSTECH!$B$19*HSTECH!$G$19/HSTECH!$B$3,""))</f>
        <v/>
      </c>
      <c r="FF125" s="85">
        <f>IF(CR125="","",IFERROR(CR125*HSTECH!$B$19*HSTECH!$G$19/HSTECH!$B$3,""))</f>
        <v/>
      </c>
      <c r="FG125" s="85">
        <f>IF(CS125="","",IFERROR(CS125*HSTECH!$B$19*HSTECH!$G$19/HSTECH!$B$3,""))</f>
        <v/>
      </c>
      <c r="FH125" s="85">
        <f>IF(CT125="","",IFERROR(CT125*HSTECH!$B$19*HSTECH!$G$19/HSTECH!$B$3,""))</f>
        <v/>
      </c>
      <c r="FI125" s="85">
        <f>IF(CU125="","",IFERROR(CU125*HSTECH!$B$19*HSTECH!$G$19/HSTECH!$B$3,""))</f>
        <v/>
      </c>
      <c r="FJ125" s="85">
        <f>IF(CV125="","",IFERROR(CV125*HSTECH!$B$19*HSTECH!$G$19/HSTECH!$B$3,""))</f>
        <v/>
      </c>
      <c r="FK125" s="85">
        <f>IF(CW125="","",IFERROR(CW125*HSTECH!$B$19*HSTECH!$G$19/HSTECH!$B$3,""))</f>
        <v/>
      </c>
      <c r="FL125" s="85">
        <f>IF(CX125="","",IFERROR(CX125*HSTECH!$B$19*HSTECH!$G$19/HSTECH!$B$3,""))</f>
        <v/>
      </c>
      <c r="FM125" s="85">
        <f>IF(CY125="","",IFERROR(CY125*HSTECH!$B$19*HSTECH!$G$19/HSTECH!$B$3,""))</f>
        <v/>
      </c>
      <c r="FN125" s="85">
        <f>IF(CZ125="","",IFERROR(CZ125*HSTECH!$B$19*HSTECH!$G$19/HSTECH!$B$3,""))</f>
        <v/>
      </c>
      <c r="FO125" s="85">
        <f>IF(DA125="","",IFERROR(DA125*HSTECH!$B$19*HSTECH!$G$19/HSTECH!$B$3,""))</f>
        <v/>
      </c>
      <c r="FP125" s="85">
        <f>IF(DB125="","",IFERROR(DB125*HSTECH!$B$19*HSTECH!$G$19/HSTECH!$B$3,""))</f>
        <v/>
      </c>
      <c r="FQ125" s="85">
        <f>IF(DC125="","",IFERROR(DC125*HSTECH!$B$19*HSTECH!$G$19/HSTECH!$B$3,""))</f>
        <v/>
      </c>
      <c r="FR125" s="85">
        <f>IF(DD125="","",IFERROR(DD125*HSTECH!$B$19*HSTECH!$G$19/HSTECH!$B$3,""))</f>
        <v/>
      </c>
      <c r="FS125" s="85">
        <f>IF(DE125="","",IFERROR(DE125*HSTECH!$B$19*HSTECH!$G$19/HSTECH!$B$3,""))</f>
        <v/>
      </c>
      <c r="FT125" s="85">
        <f>IF(DF125="","",IFERROR(DF125*HSTECH!$B$19*HSTECH!$G$19/HSTECH!$B$3,""))</f>
        <v/>
      </c>
      <c r="FU125" s="85">
        <f>IF(DG125="","",IFERROR(DG125*HSTECH!$B$19*HSTECH!$G$19/HSTECH!$B$3,""))</f>
        <v/>
      </c>
      <c r="FV125" s="85">
        <f>IF(DH125="","",IFERROR(DH125*HSTECH!$B$19*HSTECH!$G$19/HSTECH!$B$3,""))</f>
        <v/>
      </c>
      <c r="FW125" s="85">
        <f>IF(DI125="","",IFERROR(DI125*HSTECH!$B$19*HSTECH!$G$19/HSTECH!$B$3,""))</f>
        <v/>
      </c>
      <c r="FX125" s="85">
        <f>IF(DJ125="","",IFERROR(DJ125*HSTECH!$B$19*HSTECH!$G$19/HSTECH!$B$3,""))</f>
        <v/>
      </c>
      <c r="FY125" s="85">
        <f>IF(DK125="","",IFERROR(DK125*HSTECH!$B$19*HSTECH!$G$19/HSTECH!$B$3,""))</f>
        <v/>
      </c>
      <c r="FZ125" s="85">
        <f>IF(DL125="","",IFERROR(DL125*HSTECH!$B$19*HSTECH!$G$19/HSTECH!$B$3,""))</f>
        <v/>
      </c>
      <c r="GA125" s="85">
        <f>IF(DM125="","",IFERROR(DM125*HSTECH!$B$19*HSTECH!$G$19/HSTECH!$B$3,""))</f>
        <v/>
      </c>
      <c r="GB125" s="85">
        <f>IF(DN125="","",IFERROR(DN125*HSTECH!$B$19*HSTECH!$G$19/HSTECH!$B$3,""))</f>
        <v/>
      </c>
      <c r="GC125" s="85">
        <f>IF(DO125="","",IFERROR(DO125*HSTECH!$B$19*HSTECH!$G$19/HSTECH!$B$3,""))</f>
        <v/>
      </c>
      <c r="GD125" s="85">
        <f>IF(DP125="","",IFERROR(DP125*HSTECH!$B$19*HSTECH!$G$19/HSTECH!$B$3,""))</f>
        <v/>
      </c>
      <c r="GE125" s="85">
        <f>IF(DQ125="","",IFERROR(DQ125*HSTECH!$B$19*HSTECH!$G$19/HSTECH!$B$3,""))</f>
        <v/>
      </c>
      <c r="GF125" s="85">
        <f>IF(DR125="","",IFERROR(DR125*HSTECH!$B$19*HSTECH!$G$19/HSTECH!$B$3,""))</f>
        <v/>
      </c>
      <c r="GG125" s="85">
        <f>IF(DS125="","",IFERROR(DS125*HSTECH!$B$19*HSTECH!$G$19/HSTECH!$B$3,""))</f>
        <v/>
      </c>
      <c r="GH125" s="85">
        <f>IF(DT125="","",IFERROR(DT125*HSTECH!$B$19*HSTECH!$G$19/HSTECH!$B$3,""))</f>
        <v/>
      </c>
      <c r="GI125" s="85">
        <f>IF(DU125="","",IFERROR(DU125*HSTECH!$B$19*HSTECH!$G$19/HSTECH!$B$3,""))</f>
        <v/>
      </c>
      <c r="GJ125" s="85">
        <f>IF(DV125="","",IFERROR(DV125*HSTECH!$B$19*HSTECH!$G$19/HSTECH!$B$3,""))</f>
        <v/>
      </c>
      <c r="GK125" s="85">
        <f>IF(DW125="","",IFERROR(DW125*HSTECH!$B$19*HSTECH!$G$19/HSTECH!$B$3,""))</f>
        <v/>
      </c>
      <c r="GL125" s="85">
        <f>IF(DX125="","",IFERROR(DX125*HSTECH!$B$19*HSTECH!$G$19/HSTECH!$B$3,""))</f>
        <v/>
      </c>
      <c r="GM125" s="85">
        <f>IF(DY125="","",IFERROR(DY125*HSTECH!$B$19*HSTECH!$G$19/HSTECH!$B$3,""))</f>
        <v/>
      </c>
      <c r="GN125" s="85">
        <f>IF(DZ125="","",IFERROR(DZ125*HSTECH!$B$19*HSTECH!$G$19/HSTECH!$B$3,""))</f>
        <v/>
      </c>
      <c r="GO125" s="85">
        <f>IF(EA125="","",IFERROR(EA125*HSTECH!$B$19*HSTECH!$G$19/HSTECH!$B$3,""))</f>
        <v/>
      </c>
      <c r="GP125" s="85">
        <f>IF(EB125="","",IFERROR(EB125*HSTECH!$B$19*HSTECH!$G$19/HSTECH!$B$3,""))</f>
        <v/>
      </c>
      <c r="GQ125" s="85">
        <f>IF(EC125="","",IFERROR(EC125*HSTECH!$B$19*HSTECH!$G$19/HSTECH!$B$3,""))</f>
        <v/>
      </c>
    </row>
    <row r="126">
      <c r="B126" s="2">
        <f>IF(HSTECH!$C$20="","",HSTECH!$C$20)</f>
        <v/>
      </c>
      <c r="C126" s="41">
        <f>IF(N('Dvd Calendar'!$E$1710)=0,"",IF(('Dvd Calendar'!$E$1710&gt;=MIN(DATE(Summary!$C$12,1,1),Summary!$C$11))*('Dvd Calendar'!$E$1710&lt;=MAX(DATE(Summary!$C$12,12,31),Summary!$C$15))*('Dvd Calendar'!$E$1710&lt;=Summary!$C$11)=0,"",'Dvd Calendar'!$E$1710*1000000000+ISNUMBER('Dvd Calendar'!$E$1711)*100000000+('Dvd Calendar'!$E$1715='Field Check'!$C$25)*10000000+(N('Dvd Calendar'!$E$1709)&gt;0)*1000000+14*1000+1))</f>
        <v/>
      </c>
      <c r="D126" s="41">
        <f>IF(N('Dvd Calendar'!$F$1710)=0,"",IF(('Dvd Calendar'!$F$1710&gt;=MIN(DATE(Summary!$C$12,1,1),Summary!$C$11))*('Dvd Calendar'!$F$1710&lt;=MAX(DATE(Summary!$C$12,12,31),Summary!$C$15))*('Dvd Calendar'!$F$1710&lt;=Summary!$C$11)=0,"",'Dvd Calendar'!$F$1710*1000000000+ISNUMBER('Dvd Calendar'!$F$1711)*100000000+('Dvd Calendar'!$F$1715='Field Check'!$C$25)*10000000+(N('Dvd Calendar'!$F$1709)&gt;0)*1000000+14*1000+2))</f>
        <v/>
      </c>
      <c r="E126" s="41">
        <f>IF(N('Dvd Calendar'!$G$1710)=0,"",IF(('Dvd Calendar'!$G$1710&gt;=MIN(DATE(Summary!$C$12,1,1),Summary!$C$11))*('Dvd Calendar'!$G$1710&lt;=MAX(DATE(Summary!$C$12,12,31),Summary!$C$15))*('Dvd Calendar'!$G$1710&lt;=Summary!$C$11)=0,"",'Dvd Calendar'!$G$1710*1000000000+ISNUMBER('Dvd Calendar'!$G$1711)*100000000+('Dvd Calendar'!$G$1715='Field Check'!$C$25)*10000000+(N('Dvd Calendar'!$G$1709)&gt;0)*1000000+14*1000+3))</f>
        <v/>
      </c>
      <c r="F126" s="41">
        <f>IF(N('Dvd Calendar'!$H$1710)=0,"",IF(('Dvd Calendar'!$H$1710&gt;=MIN(DATE(Summary!$C$12,1,1),Summary!$C$11))*('Dvd Calendar'!$H$1710&lt;=MAX(DATE(Summary!$C$12,12,31),Summary!$C$15))*('Dvd Calendar'!$H$1710&lt;=Summary!$C$11)=0,"",'Dvd Calendar'!$H$1710*1000000000+ISNUMBER('Dvd Calendar'!$H$1711)*100000000+('Dvd Calendar'!$H$1715='Field Check'!$C$25)*10000000+(N('Dvd Calendar'!$H$1709)&gt;0)*1000000+14*1000+4))</f>
        <v/>
      </c>
      <c r="G126" s="41">
        <f>IF(N('Dvd Calendar'!$I$1710)=0,"",IF(('Dvd Calendar'!$I$1710&gt;=MIN(DATE(Summary!$C$12,1,1),Summary!$C$11))*('Dvd Calendar'!$I$1710&lt;=MAX(DATE(Summary!$C$12,12,31),Summary!$C$15))*('Dvd Calendar'!$I$1710&lt;=Summary!$C$11)=0,"",'Dvd Calendar'!$I$1710*1000000000+ISNUMBER('Dvd Calendar'!$I$1711)*100000000+('Dvd Calendar'!$I$1715='Field Check'!$C$25)*10000000+(N('Dvd Calendar'!$I$1709)&gt;0)*1000000+14*1000+5))</f>
        <v/>
      </c>
      <c r="H126" s="41">
        <f>IF(N('Dvd Calendar'!$J$1710)=0,"",IF(('Dvd Calendar'!$J$1710&gt;=MIN(DATE(Summary!$C$12,1,1),Summary!$C$11))*('Dvd Calendar'!$J$1710&lt;=MAX(DATE(Summary!$C$12,12,31),Summary!$C$15))*('Dvd Calendar'!$J$1710&lt;=Summary!$C$11)=0,"",'Dvd Calendar'!$J$1710*1000000000+ISNUMBER('Dvd Calendar'!$J$1711)*100000000+('Dvd Calendar'!$J$1715='Field Check'!$C$25)*10000000+(N('Dvd Calendar'!$J$1709)&gt;0)*1000000+14*1000+6))</f>
        <v/>
      </c>
      <c r="I126" s="41">
        <f>IF(N('Dvd Calendar'!$K$1710)=0,"",IF(('Dvd Calendar'!$K$1710&gt;=MIN(DATE(Summary!$C$12,1,1),Summary!$C$11))*('Dvd Calendar'!$K$1710&lt;=MAX(DATE(Summary!$C$12,12,31),Summary!$C$15))*('Dvd Calendar'!$K$1710&lt;=Summary!$C$11)=0,"",'Dvd Calendar'!$K$1710*1000000000+ISNUMBER('Dvd Calendar'!$K$1711)*100000000+('Dvd Calendar'!$K$1715='Field Check'!$C$25)*10000000+(N('Dvd Calendar'!$K$1709)&gt;0)*1000000+14*1000+7))</f>
        <v/>
      </c>
      <c r="J126" s="41">
        <f>IF(N('Dvd Calendar'!$L$1710)=0,"",IF(('Dvd Calendar'!$L$1710&gt;=MIN(DATE(Summary!$C$12,1,1),Summary!$C$11))*('Dvd Calendar'!$L$1710&lt;=MAX(DATE(Summary!$C$12,12,31),Summary!$C$15))*('Dvd Calendar'!$L$1710&lt;=Summary!$C$11)=0,"",'Dvd Calendar'!$L$1710*1000000000+ISNUMBER('Dvd Calendar'!$L$1711)*100000000+('Dvd Calendar'!$L$1715='Field Check'!$C$25)*10000000+(N('Dvd Calendar'!$L$1709)&gt;0)*1000000+14*1000+8))</f>
        <v/>
      </c>
      <c r="K126" s="41">
        <f>IF(N('Dvd Calendar'!$M$1710)=0,"",IF(('Dvd Calendar'!$M$1710&gt;=MIN(DATE(Summary!$C$12,1,1),Summary!$C$11))*('Dvd Calendar'!$M$1710&lt;=MAX(DATE(Summary!$C$12,12,31),Summary!$C$15))*('Dvd Calendar'!$M$1710&lt;=Summary!$C$11)=0,"",'Dvd Calendar'!$M$1710*1000000000+ISNUMBER('Dvd Calendar'!$M$1711)*100000000+('Dvd Calendar'!$M$1715='Field Check'!$C$25)*10000000+(N('Dvd Calendar'!$M$1709)&gt;0)*1000000+14*1000+9))</f>
        <v/>
      </c>
      <c r="L126" s="41">
        <f>IF(N('Dvd Calendar'!$N$1710)=0,"",IF(('Dvd Calendar'!$N$1710&gt;=MIN(DATE(Summary!$C$12,1,1),Summary!$C$11))*('Dvd Calendar'!$N$1710&lt;=MAX(DATE(Summary!$C$12,12,31),Summary!$C$15))*('Dvd Calendar'!$N$1710&lt;=Summary!$C$11)=0,"",'Dvd Calendar'!$N$1710*1000000000+ISNUMBER('Dvd Calendar'!$N$1711)*100000000+('Dvd Calendar'!$N$1715='Field Check'!$C$25)*10000000+(N('Dvd Calendar'!$N$1709)&gt;0)*1000000+14*1000+10))</f>
        <v/>
      </c>
      <c r="M126" s="41">
        <f>IF(N('Dvd Calendar'!$O$1710)=0,"",IF(('Dvd Calendar'!$O$1710&gt;=MIN(DATE(Summary!$C$12,1,1),Summary!$C$11))*('Dvd Calendar'!$O$1710&lt;=MAX(DATE(Summary!$C$12,12,31),Summary!$C$15))*('Dvd Calendar'!$O$1710&lt;=Summary!$C$11)=0,"",'Dvd Calendar'!$O$1710*1000000000+ISNUMBER('Dvd Calendar'!$O$1711)*100000000+('Dvd Calendar'!$O$1715='Field Check'!$C$25)*10000000+(N('Dvd Calendar'!$O$1709)&gt;0)*1000000+14*1000+11))</f>
        <v/>
      </c>
      <c r="N126" s="41">
        <f>IF(N('Dvd Calendar'!$P$1710)=0,"",IF(('Dvd Calendar'!$P$1710&gt;=MIN(DATE(Summary!$C$12,1,1),Summary!$C$11))*('Dvd Calendar'!$P$1710&lt;=MAX(DATE(Summary!$C$12,12,31),Summary!$C$15))*('Dvd Calendar'!$P$1710&lt;=Summary!$C$11)=0,"",'Dvd Calendar'!$P$1710*1000000000+ISNUMBER('Dvd Calendar'!$P$1711)*100000000+('Dvd Calendar'!$P$1715='Field Check'!$C$25)*10000000+(N('Dvd Calendar'!$P$1709)&gt;0)*1000000+14*1000+12))</f>
        <v/>
      </c>
      <c r="O126" s="41">
        <f>IF(N('Dvd Calendar'!$Q$1710)=0,"",IF(('Dvd Calendar'!$Q$1710&gt;=MIN(DATE(Summary!$C$12,1,1),Summary!$C$11))*('Dvd Calendar'!$Q$1710&lt;=MAX(DATE(Summary!$C$12,12,31),Summary!$C$15))*('Dvd Calendar'!$Q$1710&lt;=Summary!$C$11)=0,"",'Dvd Calendar'!$Q$1710*1000000000+ISNUMBER('Dvd Calendar'!$Q$1711)*100000000+('Dvd Calendar'!$Q$1715='Field Check'!$C$25)*10000000+(N('Dvd Calendar'!$Q$1709)&gt;0)*1000000+14*1000+13))</f>
        <v/>
      </c>
      <c r="P126" s="41">
        <f>IF(N('Dvd Calendar'!$R$1710)=0,"",IF(('Dvd Calendar'!$R$1710&gt;=MIN(DATE(Summary!$C$12,1,1),Summary!$C$11))*('Dvd Calendar'!$R$1710&lt;=MAX(DATE(Summary!$C$12,12,31),Summary!$C$15))*('Dvd Calendar'!$R$1710&lt;=Summary!$C$11)=0,"",'Dvd Calendar'!$R$1710*1000000000+ISNUMBER('Dvd Calendar'!$R$1711)*100000000+('Dvd Calendar'!$R$1715='Field Check'!$C$25)*10000000+(N('Dvd Calendar'!$R$1709)&gt;0)*1000000+14*1000+14))</f>
        <v/>
      </c>
      <c r="Q126" s="41">
        <f>IF(N('Dvd Calendar'!$S$1710)=0,"",IF(('Dvd Calendar'!$S$1710&gt;=MIN(DATE(Summary!$C$12,1,1),Summary!$C$11))*('Dvd Calendar'!$S$1710&lt;=MAX(DATE(Summary!$C$12,12,31),Summary!$C$15))*('Dvd Calendar'!$S$1710&lt;=Summary!$C$11)=0,"",'Dvd Calendar'!$S$1710*1000000000+ISNUMBER('Dvd Calendar'!$S$1711)*100000000+('Dvd Calendar'!$S$1715='Field Check'!$C$25)*10000000+(N('Dvd Calendar'!$S$1709)&gt;0)*1000000+14*1000+15))</f>
        <v/>
      </c>
      <c r="R126" s="41">
        <f>IF(N('Dvd Calendar'!$T$1710)=0,"",IF(('Dvd Calendar'!$T$1710&gt;=MIN(DATE(Summary!$C$12,1,1),Summary!$C$11))*('Dvd Calendar'!$T$1710&lt;=MAX(DATE(Summary!$C$12,12,31),Summary!$C$15))*('Dvd Calendar'!$T$1710&lt;=Summary!$C$11)=0,"",'Dvd Calendar'!$T$1710*1000000000+ISNUMBER('Dvd Calendar'!$T$1711)*100000000+('Dvd Calendar'!$T$1715='Field Check'!$C$25)*10000000+(N('Dvd Calendar'!$T$1709)&gt;0)*1000000+14*1000+16))</f>
        <v/>
      </c>
      <c r="S126" s="41">
        <f>IF(N('Dvd Calendar'!$U$1710)=0,"",IF(('Dvd Calendar'!$U$1710&gt;=MIN(DATE(Summary!$C$12,1,1),Summary!$C$11))*('Dvd Calendar'!$U$1710&lt;=MAX(DATE(Summary!$C$12,12,31),Summary!$C$15))*('Dvd Calendar'!$U$1710&lt;=Summary!$C$11)=0,"",'Dvd Calendar'!$U$1710*1000000000+ISNUMBER('Dvd Calendar'!$U$1711)*100000000+('Dvd Calendar'!$U$1715='Field Check'!$C$25)*10000000+(N('Dvd Calendar'!$U$1709)&gt;0)*1000000+14*1000+17))</f>
        <v/>
      </c>
      <c r="T126" s="41">
        <f>IF(N('Dvd Calendar'!$V$1710)=0,"",IF(('Dvd Calendar'!$V$1710&gt;=MIN(DATE(Summary!$C$12,1,1),Summary!$C$11))*('Dvd Calendar'!$V$1710&lt;=MAX(DATE(Summary!$C$12,12,31),Summary!$C$15))*('Dvd Calendar'!$V$1710&lt;=Summary!$C$11)=0,"",'Dvd Calendar'!$V$1710*1000000000+ISNUMBER('Dvd Calendar'!$V$1711)*100000000+('Dvd Calendar'!$V$1715='Field Check'!$C$25)*10000000+(N('Dvd Calendar'!$V$1709)&gt;0)*1000000+14*1000+18))</f>
        <v/>
      </c>
      <c r="U126" s="41">
        <f>IF(N('Dvd Calendar'!$W$1710)=0,"",IF(('Dvd Calendar'!$W$1710&gt;=MIN(DATE(Summary!$C$12,1,1),Summary!$C$11))*('Dvd Calendar'!$W$1710&lt;=MAX(DATE(Summary!$C$12,12,31),Summary!$C$15))*('Dvd Calendar'!$W$1710&lt;=Summary!$C$11)=0,"",'Dvd Calendar'!$W$1710*1000000000+ISNUMBER('Dvd Calendar'!$W$1711)*100000000+('Dvd Calendar'!$W$1715='Field Check'!$C$25)*10000000+(N('Dvd Calendar'!$W$1709)&gt;0)*1000000+14*1000+19))</f>
        <v/>
      </c>
      <c r="V126" s="41">
        <f>IF(N('Dvd Calendar'!$X$1710)=0,"",IF(('Dvd Calendar'!$X$1710&gt;=MIN(DATE(Summary!$C$12,1,1),Summary!$C$11))*('Dvd Calendar'!$X$1710&lt;=MAX(DATE(Summary!$C$12,12,31),Summary!$C$15))*('Dvd Calendar'!$X$1710&lt;=Summary!$C$11)=0,"",'Dvd Calendar'!$X$1710*1000000000+ISNUMBER('Dvd Calendar'!$X$1711)*100000000+('Dvd Calendar'!$X$1715='Field Check'!$C$25)*10000000+(N('Dvd Calendar'!$X$1709)&gt;0)*1000000+14*1000+20))</f>
        <v/>
      </c>
      <c r="W126" s="41">
        <f>IF(N('Dvd Calendar'!$Y$1710)=0,"",IF(('Dvd Calendar'!$Y$1710&gt;=MIN(DATE(Summary!$C$12,1,1),Summary!$C$11))*('Dvd Calendar'!$Y$1710&lt;=MAX(DATE(Summary!$C$12,12,31),Summary!$C$15))*('Dvd Calendar'!$Y$1710&lt;=Summary!$C$11)=0,"",'Dvd Calendar'!$Y$1710*1000000000+ISNUMBER('Dvd Calendar'!$Y$1711)*100000000+('Dvd Calendar'!$Y$1715='Field Check'!$C$25)*10000000+(N('Dvd Calendar'!$Y$1709)&gt;0)*1000000+14*1000+21))</f>
        <v/>
      </c>
      <c r="X126" s="41">
        <f>IF(N('Dvd Calendar'!$Z$1710)=0,"",IF(('Dvd Calendar'!$Z$1710&gt;=MIN(DATE(Summary!$C$12,1,1),Summary!$C$11))*('Dvd Calendar'!$Z$1710&lt;=MAX(DATE(Summary!$C$12,12,31),Summary!$C$15))*('Dvd Calendar'!$Z$1710&lt;=Summary!$C$11)=0,"",'Dvd Calendar'!$Z$1710*1000000000+ISNUMBER('Dvd Calendar'!$Z$1711)*100000000+('Dvd Calendar'!$Z$1715='Field Check'!$C$25)*10000000+(N('Dvd Calendar'!$Z$1709)&gt;0)*1000000+14*1000+22))</f>
        <v/>
      </c>
      <c r="Y126" s="41">
        <f>IF(N('Dvd Calendar'!$AA$1710)=0,"",IF(('Dvd Calendar'!$AA$1710&gt;=MIN(DATE(Summary!$C$12,1,1),Summary!$C$11))*('Dvd Calendar'!$AA$1710&lt;=MAX(DATE(Summary!$C$12,12,31),Summary!$C$15))*('Dvd Calendar'!$AA$1710&lt;=Summary!$C$11)=0,"",'Dvd Calendar'!$AA$1710*1000000000+ISNUMBER('Dvd Calendar'!$AA$1711)*100000000+('Dvd Calendar'!$AA$1715='Field Check'!$C$25)*10000000+(N('Dvd Calendar'!$AA$1709)&gt;0)*1000000+14*1000+23))</f>
        <v/>
      </c>
      <c r="Z126" s="41">
        <f>IF(N('Dvd Calendar'!$AB$1710)=0,"",IF(('Dvd Calendar'!$AB$1710&gt;=MIN(DATE(Summary!$C$12,1,1),Summary!$C$11))*('Dvd Calendar'!$AB$1710&lt;=MAX(DATE(Summary!$C$12,12,31),Summary!$C$15))*('Dvd Calendar'!$AB$1710&lt;=Summary!$C$11)=0,"",'Dvd Calendar'!$AB$1710*1000000000+ISNUMBER('Dvd Calendar'!$AB$1711)*100000000+('Dvd Calendar'!$AB$1715='Field Check'!$C$25)*10000000+(N('Dvd Calendar'!$AB$1709)&gt;0)*1000000+14*1000+24))</f>
        <v/>
      </c>
      <c r="AA126" s="41">
        <f>IF(N('Dvd Calendar'!$AC$1710)=0,"",IF(('Dvd Calendar'!$AC$1710&gt;=MIN(DATE(Summary!$C$12,1,1),Summary!$C$11))*('Dvd Calendar'!$AC$1710&lt;=MAX(DATE(Summary!$C$12,12,31),Summary!$C$15))*('Dvd Calendar'!$AC$1710&lt;=Summary!$C$11)=0,"",'Dvd Calendar'!$AC$1710*1000000000+ISNUMBER('Dvd Calendar'!$AC$1711)*100000000+('Dvd Calendar'!$AC$1715='Field Check'!$C$25)*10000000+(N('Dvd Calendar'!$AC$1709)&gt;0)*1000000+14*1000+25))</f>
        <v/>
      </c>
      <c r="AB126" s="41">
        <f>IF(N('Dvd Calendar'!$AD$1710)=0,"",IF(('Dvd Calendar'!$AD$1710&gt;=MIN(DATE(Summary!$C$12,1,1),Summary!$C$11))*('Dvd Calendar'!$AD$1710&lt;=MAX(DATE(Summary!$C$12,12,31),Summary!$C$15))*('Dvd Calendar'!$AD$1710&lt;=Summary!$C$11)=0,"",'Dvd Calendar'!$AD$1710*1000000000+ISNUMBER('Dvd Calendar'!$AD$1711)*100000000+('Dvd Calendar'!$AD$1715='Field Check'!$C$25)*10000000+(N('Dvd Calendar'!$AD$1709)&gt;0)*1000000+14*1000+26))</f>
        <v/>
      </c>
      <c r="AC126" s="41">
        <f>IF(N('Dvd Calendar'!$AE$1710)=0,"",IF(('Dvd Calendar'!$AE$1710&gt;=MIN(DATE(Summary!$C$12,1,1),Summary!$C$11))*('Dvd Calendar'!$AE$1710&lt;=MAX(DATE(Summary!$C$12,12,31),Summary!$C$15))*('Dvd Calendar'!$AE$1710&lt;=Summary!$C$11)=0,"",'Dvd Calendar'!$AE$1710*1000000000+ISNUMBER('Dvd Calendar'!$AE$1711)*100000000+('Dvd Calendar'!$AE$1715='Field Check'!$C$25)*10000000+(N('Dvd Calendar'!$AE$1709)&gt;0)*1000000+14*1000+27))</f>
        <v/>
      </c>
      <c r="AD126" s="41">
        <f>IF(N('Dvd Calendar'!$AF$1710)=0,"",IF(('Dvd Calendar'!$AF$1710&gt;=MIN(DATE(Summary!$C$12,1,1),Summary!$C$11))*('Dvd Calendar'!$AF$1710&lt;=MAX(DATE(Summary!$C$12,12,31),Summary!$C$15))*('Dvd Calendar'!$AF$1710&lt;=Summary!$C$11)=0,"",'Dvd Calendar'!$AF$1710*1000000000+ISNUMBER('Dvd Calendar'!$AF$1711)*100000000+('Dvd Calendar'!$AF$1715='Field Check'!$C$25)*10000000+(N('Dvd Calendar'!$AF$1709)&gt;0)*1000000+14*1000+28))</f>
        <v/>
      </c>
      <c r="AE126" s="41">
        <f>IF(N('Dvd Calendar'!$AG$1710)=0,"",IF(('Dvd Calendar'!$AG$1710&gt;=MIN(DATE(Summary!$C$12,1,1),Summary!$C$11))*('Dvd Calendar'!$AG$1710&lt;=MAX(DATE(Summary!$C$12,12,31),Summary!$C$15))*('Dvd Calendar'!$AG$1710&lt;=Summary!$C$11)=0,"",'Dvd Calendar'!$AG$1710*1000000000+ISNUMBER('Dvd Calendar'!$AG$1711)*100000000+('Dvd Calendar'!$AG$1715='Field Check'!$C$25)*10000000+(N('Dvd Calendar'!$AG$1709)&gt;0)*1000000+14*1000+29))</f>
        <v/>
      </c>
      <c r="AF126" s="41">
        <f>IF(N('Dvd Calendar'!$AH$1710)=0,"",IF(('Dvd Calendar'!$AH$1710&gt;=MIN(DATE(Summary!$C$12,1,1),Summary!$C$11))*('Dvd Calendar'!$AH$1710&lt;=MAX(DATE(Summary!$C$12,12,31),Summary!$C$15))*('Dvd Calendar'!$AH$1710&lt;=Summary!$C$11)=0,"",'Dvd Calendar'!$AH$1710*1000000000+ISNUMBER('Dvd Calendar'!$AH$1711)*100000000+('Dvd Calendar'!$AH$1715='Field Check'!$C$25)*10000000+(N('Dvd Calendar'!$AH$1709)&gt;0)*1000000+14*1000+30))</f>
        <v/>
      </c>
      <c r="AG126" s="41">
        <f>IF(N('Dvd Calendar'!$AI$1710)=0,"",IF(('Dvd Calendar'!$AI$1710&gt;=MIN(DATE(Summary!$C$12,1,1),Summary!$C$11))*('Dvd Calendar'!$AI$1710&lt;=MAX(DATE(Summary!$C$12,12,31),Summary!$C$15))*('Dvd Calendar'!$AI$1710&lt;=Summary!$C$11)=0,"",'Dvd Calendar'!$AI$1710*1000000000+ISNUMBER('Dvd Calendar'!$AI$1711)*100000000+('Dvd Calendar'!$AI$1715='Field Check'!$C$25)*10000000+(N('Dvd Calendar'!$AI$1709)&gt;0)*1000000+14*1000+31))</f>
        <v/>
      </c>
      <c r="AH126" s="41">
        <f>IF(N('Dvd Calendar'!$AJ$1710)=0,"",IF(('Dvd Calendar'!$AJ$1710&gt;=MIN(DATE(Summary!$C$12,1,1),Summary!$C$11))*('Dvd Calendar'!$AJ$1710&lt;=MAX(DATE(Summary!$C$12,12,31),Summary!$C$15))*('Dvd Calendar'!$AJ$1710&lt;=Summary!$C$11)=0,"",'Dvd Calendar'!$AJ$1710*1000000000+ISNUMBER('Dvd Calendar'!$AJ$1711)*100000000+('Dvd Calendar'!$AJ$1715='Field Check'!$C$25)*10000000+(N('Dvd Calendar'!$AJ$1709)&gt;0)*1000000+14*1000+32))</f>
        <v/>
      </c>
      <c r="AI126" s="41">
        <f>IF(N('Dvd Calendar'!$AK$1710)=0,"",IF(('Dvd Calendar'!$AK$1710&gt;=MIN(DATE(Summary!$C$12,1,1),Summary!$C$11))*('Dvd Calendar'!$AK$1710&lt;=MAX(DATE(Summary!$C$12,12,31),Summary!$C$15))*('Dvd Calendar'!$AK$1710&lt;=Summary!$C$11)=0,"",'Dvd Calendar'!$AK$1710*1000000000+ISNUMBER('Dvd Calendar'!$AK$1711)*100000000+('Dvd Calendar'!$AK$1715='Field Check'!$C$25)*10000000+(N('Dvd Calendar'!$AK$1709)&gt;0)*1000000+14*1000+33))</f>
        <v/>
      </c>
      <c r="AJ126" s="41">
        <f>IF(N('Dvd Calendar'!$AL$1710)=0,"",IF(('Dvd Calendar'!$AL$1710&gt;=MIN(DATE(Summary!$C$12,1,1),Summary!$C$11))*('Dvd Calendar'!$AL$1710&lt;=MAX(DATE(Summary!$C$12,12,31),Summary!$C$15))*('Dvd Calendar'!$AL$1710&lt;=Summary!$C$11)=0,"",'Dvd Calendar'!$AL$1710*1000000000+ISNUMBER('Dvd Calendar'!$AL$1711)*100000000+('Dvd Calendar'!$AL$1715='Field Check'!$C$25)*10000000+(N('Dvd Calendar'!$AL$1709)&gt;0)*1000000+14*1000+34))</f>
        <v/>
      </c>
      <c r="AK126" s="41">
        <f>IF(N('Dvd Calendar'!$AM$1710)=0,"",IF(('Dvd Calendar'!$AM$1710&gt;=MIN(DATE(Summary!$C$12,1,1),Summary!$C$11))*('Dvd Calendar'!$AM$1710&lt;=MAX(DATE(Summary!$C$12,12,31),Summary!$C$15))*('Dvd Calendar'!$AM$1710&lt;=Summary!$C$11)=0,"",'Dvd Calendar'!$AM$1710*1000000000+ISNUMBER('Dvd Calendar'!$AM$1711)*100000000+('Dvd Calendar'!$AM$1715='Field Check'!$C$25)*10000000+(N('Dvd Calendar'!$AM$1709)&gt;0)*1000000+14*1000+35))</f>
        <v/>
      </c>
      <c r="AL126" s="41">
        <f>IF(N('Dvd Calendar'!$AN$1710)=0,"",IF(('Dvd Calendar'!$AN$1710&gt;=MIN(DATE(Summary!$C$12,1,1),Summary!$C$11))*('Dvd Calendar'!$AN$1710&lt;=MAX(DATE(Summary!$C$12,12,31),Summary!$C$15))*('Dvd Calendar'!$AN$1710&lt;=Summary!$C$11)=0,"",'Dvd Calendar'!$AN$1710*1000000000+ISNUMBER('Dvd Calendar'!$AN$1711)*100000000+('Dvd Calendar'!$AN$1715='Field Check'!$C$25)*10000000+(N('Dvd Calendar'!$AN$1709)&gt;0)*1000000+14*1000+36))</f>
        <v/>
      </c>
      <c r="AM126" s="41">
        <f>IF(N('Dvd Calendar'!$AO$1710)=0,"",IF(('Dvd Calendar'!$AO$1710&gt;=MIN(DATE(Summary!$C$12,1,1),Summary!$C$11))*('Dvd Calendar'!$AO$1710&lt;=MAX(DATE(Summary!$C$12,12,31),Summary!$C$15))*('Dvd Calendar'!$AO$1710&lt;=Summary!$C$11)=0,"",'Dvd Calendar'!$AO$1710*1000000000+ISNUMBER('Dvd Calendar'!$AO$1711)*100000000+('Dvd Calendar'!$AO$1715='Field Check'!$C$25)*10000000+(N('Dvd Calendar'!$AO$1709)&gt;0)*1000000+14*1000+37))</f>
        <v/>
      </c>
      <c r="AN126" s="41">
        <f>IF(N('Dvd Calendar'!$AP$1710)=0,"",IF(('Dvd Calendar'!$AP$1710&gt;=MIN(DATE(Summary!$C$12,1,1),Summary!$C$11))*('Dvd Calendar'!$AP$1710&lt;=MAX(DATE(Summary!$C$12,12,31),Summary!$C$15))*('Dvd Calendar'!$AP$1710&lt;=Summary!$C$11)=0,"",'Dvd Calendar'!$AP$1710*1000000000+ISNUMBER('Dvd Calendar'!$AP$1711)*100000000+('Dvd Calendar'!$AP$1715='Field Check'!$C$25)*10000000+(N('Dvd Calendar'!$AP$1709)&gt;0)*1000000+14*1000+38))</f>
        <v/>
      </c>
      <c r="AO126" s="41">
        <f>IF(N('Dvd Calendar'!$AQ$1710)=0,"",IF(('Dvd Calendar'!$AQ$1710&gt;=MIN(DATE(Summary!$C$12,1,1),Summary!$C$11))*('Dvd Calendar'!$AQ$1710&lt;=MAX(DATE(Summary!$C$12,12,31),Summary!$C$15))*('Dvd Calendar'!$AQ$1710&lt;=Summary!$C$11)=0,"",'Dvd Calendar'!$AQ$1710*1000000000+ISNUMBER('Dvd Calendar'!$AQ$1711)*100000000+('Dvd Calendar'!$AQ$1715='Field Check'!$C$25)*10000000+(N('Dvd Calendar'!$AQ$1709)&gt;0)*1000000+14*1000+39))</f>
        <v/>
      </c>
      <c r="AP126" s="41">
        <f>IF(N('Dvd Calendar'!$AR$1710)=0,"",IF(('Dvd Calendar'!$AR$1710&gt;=MIN(DATE(Summary!$C$12,1,1),Summary!$C$11))*('Dvd Calendar'!$AR$1710&lt;=MAX(DATE(Summary!$C$12,12,31),Summary!$C$15))*('Dvd Calendar'!$AR$1710&lt;=Summary!$C$11)=0,"",'Dvd Calendar'!$AR$1710*1000000000+ISNUMBER('Dvd Calendar'!$AR$1711)*100000000+('Dvd Calendar'!$AR$1715='Field Check'!$C$25)*10000000+(N('Dvd Calendar'!$AR$1709)&gt;0)*1000000+14*1000+40))</f>
        <v/>
      </c>
      <c r="AQ126" s="41">
        <f>IF(N('Dvd Calendar'!$E$1717)=0,"",IF(('Dvd Calendar'!$E$1717&gt;=MIN(DATE(Summary!$C$12,1,1),Summary!$C$11))*('Dvd Calendar'!$E$1717&lt;=MAX(DATE(Summary!$C$12,12,31),Summary!$C$15))*('Dvd Calendar'!$E$1717&gt;Summary!$C$11)=0,"",'Dvd Calendar'!$E$1717*1000000000+ISNUMBER('Dvd Calendar'!$E$1718)*100000000+('Dvd Calendar'!$E$1722='Field Check'!$C$25)*10000000+(N('Dvd Calendar'!$E$1716)&gt;0)*1000000+14*1000+41))</f>
        <v/>
      </c>
      <c r="AR126" s="41">
        <f>IF(N('Dvd Calendar'!$F$1717)=0,"",IF(('Dvd Calendar'!$F$1717&gt;=MIN(DATE(Summary!$C$12,1,1),Summary!$C$11))*('Dvd Calendar'!$F$1717&lt;=MAX(DATE(Summary!$C$12,12,31),Summary!$C$15))*('Dvd Calendar'!$F$1717&gt;Summary!$C$11)=0,"",'Dvd Calendar'!$F$1717*1000000000+ISNUMBER('Dvd Calendar'!$F$1718)*100000000+('Dvd Calendar'!$F$1722='Field Check'!$C$25)*10000000+(N('Dvd Calendar'!$F$1716)&gt;0)*1000000+14*1000+42))</f>
        <v/>
      </c>
      <c r="AS126" s="41">
        <f>IF(N('Dvd Calendar'!$G$1717)=0,"",IF(('Dvd Calendar'!$G$1717&gt;=MIN(DATE(Summary!$C$12,1,1),Summary!$C$11))*('Dvd Calendar'!$G$1717&lt;=MAX(DATE(Summary!$C$12,12,31),Summary!$C$15))*('Dvd Calendar'!$G$1717&gt;Summary!$C$11)=0,"",'Dvd Calendar'!$G$1717*1000000000+ISNUMBER('Dvd Calendar'!$G$1718)*100000000+('Dvd Calendar'!$G$1722='Field Check'!$C$25)*10000000+(N('Dvd Calendar'!$G$1716)&gt;0)*1000000+14*1000+43))</f>
        <v/>
      </c>
      <c r="AT126" s="41">
        <f>IF(N('Dvd Calendar'!$H$1717)=0,"",IF(('Dvd Calendar'!$H$1717&gt;=MIN(DATE(Summary!$C$12,1,1),Summary!$C$11))*('Dvd Calendar'!$H$1717&lt;=MAX(DATE(Summary!$C$12,12,31),Summary!$C$15))*('Dvd Calendar'!$H$1717&gt;Summary!$C$11)=0,"",'Dvd Calendar'!$H$1717*1000000000+ISNUMBER('Dvd Calendar'!$H$1718)*100000000+('Dvd Calendar'!$H$1722='Field Check'!$C$25)*10000000+(N('Dvd Calendar'!$H$1716)&gt;0)*1000000+14*1000+44))</f>
        <v/>
      </c>
      <c r="AU126" s="41">
        <f>IF(N('Dvd Calendar'!$I$1717)=0,"",IF(('Dvd Calendar'!$I$1717&gt;=MIN(DATE(Summary!$C$12,1,1),Summary!$C$11))*('Dvd Calendar'!$I$1717&lt;=MAX(DATE(Summary!$C$12,12,31),Summary!$C$15))*('Dvd Calendar'!$I$1717&gt;Summary!$C$11)=0,"",'Dvd Calendar'!$I$1717*1000000000+ISNUMBER('Dvd Calendar'!$I$1718)*100000000+('Dvd Calendar'!$I$1722='Field Check'!$C$25)*10000000+(N('Dvd Calendar'!$I$1716)&gt;0)*1000000+14*1000+45))</f>
        <v/>
      </c>
      <c r="AV126" s="41">
        <f>IF(N('Dvd Calendar'!$J$1717)=0,"",IF(('Dvd Calendar'!$J$1717&gt;=MIN(DATE(Summary!$C$12,1,1),Summary!$C$11))*('Dvd Calendar'!$J$1717&lt;=MAX(DATE(Summary!$C$12,12,31),Summary!$C$15))*('Dvd Calendar'!$J$1717&gt;Summary!$C$11)=0,"",'Dvd Calendar'!$J$1717*1000000000+ISNUMBER('Dvd Calendar'!$J$1718)*100000000+('Dvd Calendar'!$J$1722='Field Check'!$C$25)*10000000+(N('Dvd Calendar'!$J$1716)&gt;0)*1000000+14*1000+46))</f>
        <v/>
      </c>
      <c r="AW126" s="41">
        <f>IF(N('Dvd Calendar'!$K$1717)=0,"",IF(('Dvd Calendar'!$K$1717&gt;=MIN(DATE(Summary!$C$12,1,1),Summary!$C$11))*('Dvd Calendar'!$K$1717&lt;=MAX(DATE(Summary!$C$12,12,31),Summary!$C$15))*('Dvd Calendar'!$K$1717&gt;Summary!$C$11)=0,"",'Dvd Calendar'!$K$1717*1000000000+ISNUMBER('Dvd Calendar'!$K$1718)*100000000+('Dvd Calendar'!$K$1722='Field Check'!$C$25)*10000000+(N('Dvd Calendar'!$K$1716)&gt;0)*1000000+14*1000+47))</f>
        <v/>
      </c>
      <c r="AX126" s="41">
        <f>IF(N('Dvd Calendar'!$L$1717)=0,"",IF(('Dvd Calendar'!$L$1717&gt;=MIN(DATE(Summary!$C$12,1,1),Summary!$C$11))*('Dvd Calendar'!$L$1717&lt;=MAX(DATE(Summary!$C$12,12,31),Summary!$C$15))*('Dvd Calendar'!$L$1717&gt;Summary!$C$11)=0,"",'Dvd Calendar'!$L$1717*1000000000+ISNUMBER('Dvd Calendar'!$L$1718)*100000000+('Dvd Calendar'!$L$1722='Field Check'!$C$25)*10000000+(N('Dvd Calendar'!$L$1716)&gt;0)*1000000+14*1000+48))</f>
        <v/>
      </c>
      <c r="AY126" s="41">
        <f>IF(N('Dvd Calendar'!$M$1717)=0,"",IF(('Dvd Calendar'!$M$1717&gt;=MIN(DATE(Summary!$C$12,1,1),Summary!$C$11))*('Dvd Calendar'!$M$1717&lt;=MAX(DATE(Summary!$C$12,12,31),Summary!$C$15))*('Dvd Calendar'!$M$1717&gt;Summary!$C$11)=0,"",'Dvd Calendar'!$M$1717*1000000000+ISNUMBER('Dvd Calendar'!$M$1718)*100000000+('Dvd Calendar'!$M$1722='Field Check'!$C$25)*10000000+(N('Dvd Calendar'!$M$1716)&gt;0)*1000000+14*1000+49))</f>
        <v/>
      </c>
      <c r="AZ126" s="41">
        <f>IF(N('Dvd Calendar'!$N$1717)=0,"",IF(('Dvd Calendar'!$N$1717&gt;=MIN(DATE(Summary!$C$12,1,1),Summary!$C$11))*('Dvd Calendar'!$N$1717&lt;=MAX(DATE(Summary!$C$12,12,31),Summary!$C$15))*('Dvd Calendar'!$N$1717&gt;Summary!$C$11)=0,"",'Dvd Calendar'!$N$1717*1000000000+ISNUMBER('Dvd Calendar'!$N$1718)*100000000+('Dvd Calendar'!$N$1722='Field Check'!$C$25)*10000000+(N('Dvd Calendar'!$N$1716)&gt;0)*1000000+14*1000+50))</f>
        <v/>
      </c>
      <c r="BA126" s="41">
        <f>IF(N('Dvd Calendar'!$O$1717)=0,"",IF(('Dvd Calendar'!$O$1717&gt;=MIN(DATE(Summary!$C$12,1,1),Summary!$C$11))*('Dvd Calendar'!$O$1717&lt;=MAX(DATE(Summary!$C$12,12,31),Summary!$C$15))*('Dvd Calendar'!$O$1717&gt;Summary!$C$11)=0,"",'Dvd Calendar'!$O$1717*1000000000+ISNUMBER('Dvd Calendar'!$O$1718)*100000000+('Dvd Calendar'!$O$1722='Field Check'!$C$25)*10000000+(N('Dvd Calendar'!$O$1716)&gt;0)*1000000+14*1000+51))</f>
        <v/>
      </c>
      <c r="BB126" s="41">
        <f>IF(N('Dvd Calendar'!$P$1717)=0,"",IF(('Dvd Calendar'!$P$1717&gt;=MIN(DATE(Summary!$C$12,1,1),Summary!$C$11))*('Dvd Calendar'!$P$1717&lt;=MAX(DATE(Summary!$C$12,12,31),Summary!$C$15))*('Dvd Calendar'!$P$1717&gt;Summary!$C$11)=0,"",'Dvd Calendar'!$P$1717*1000000000+ISNUMBER('Dvd Calendar'!$P$1718)*100000000+('Dvd Calendar'!$P$1722='Field Check'!$C$25)*10000000+(N('Dvd Calendar'!$P$1716)&gt;0)*1000000+14*1000+52))</f>
        <v/>
      </c>
      <c r="BC126" s="41">
        <f>IF(N('Dvd Calendar'!$Q$1717)=0,"",IF(('Dvd Calendar'!$Q$1717&gt;=MIN(DATE(Summary!$C$12,1,1),Summary!$C$11))*('Dvd Calendar'!$Q$1717&lt;=MAX(DATE(Summary!$C$12,12,31),Summary!$C$15))*('Dvd Calendar'!$Q$1717&gt;Summary!$C$11)=0,"",'Dvd Calendar'!$Q$1717*1000000000+ISNUMBER('Dvd Calendar'!$Q$1718)*100000000+('Dvd Calendar'!$Q$1722='Field Check'!$C$25)*10000000+(N('Dvd Calendar'!$Q$1716)&gt;0)*1000000+14*1000+53))</f>
        <v/>
      </c>
      <c r="BD126" s="41">
        <f>IF(N('Dvd Calendar'!$R$1717)=0,"",IF(('Dvd Calendar'!$R$1717&gt;=MIN(DATE(Summary!$C$12,1,1),Summary!$C$11))*('Dvd Calendar'!$R$1717&lt;=MAX(DATE(Summary!$C$12,12,31),Summary!$C$15))*('Dvd Calendar'!$R$1717&gt;Summary!$C$11)=0,"",'Dvd Calendar'!$R$1717*1000000000+ISNUMBER('Dvd Calendar'!$R$1718)*100000000+('Dvd Calendar'!$R$1722='Field Check'!$C$25)*10000000+(N('Dvd Calendar'!$R$1716)&gt;0)*1000000+14*1000+54))</f>
        <v/>
      </c>
      <c r="BE126" s="41">
        <f>IF(N('Dvd Calendar'!$S$1717)=0,"",IF(('Dvd Calendar'!$S$1717&gt;=MIN(DATE(Summary!$C$12,1,1),Summary!$C$11))*('Dvd Calendar'!$S$1717&lt;=MAX(DATE(Summary!$C$12,12,31),Summary!$C$15))*('Dvd Calendar'!$S$1717&gt;Summary!$C$11)=0,"",'Dvd Calendar'!$S$1717*1000000000+ISNUMBER('Dvd Calendar'!$S$1718)*100000000+('Dvd Calendar'!$S$1722='Field Check'!$C$25)*10000000+(N('Dvd Calendar'!$S$1716)&gt;0)*1000000+14*1000+55))</f>
        <v/>
      </c>
      <c r="BF126" s="41">
        <f>IF(N('Dvd Calendar'!$T$1717)=0,"",IF(('Dvd Calendar'!$T$1717&gt;=MIN(DATE(Summary!$C$12,1,1),Summary!$C$11))*('Dvd Calendar'!$T$1717&lt;=MAX(DATE(Summary!$C$12,12,31),Summary!$C$15))*('Dvd Calendar'!$T$1717&gt;Summary!$C$11)=0,"",'Dvd Calendar'!$T$1717*1000000000+ISNUMBER('Dvd Calendar'!$T$1718)*100000000+('Dvd Calendar'!$T$1722='Field Check'!$C$25)*10000000+(N('Dvd Calendar'!$T$1716)&gt;0)*1000000+14*1000+56))</f>
        <v/>
      </c>
      <c r="BG126" s="41">
        <f>IF(N('Dvd Calendar'!$U$1717)=0,"",IF(('Dvd Calendar'!$U$1717&gt;=MIN(DATE(Summary!$C$12,1,1),Summary!$C$11))*('Dvd Calendar'!$U$1717&lt;=MAX(DATE(Summary!$C$12,12,31),Summary!$C$15))*('Dvd Calendar'!$U$1717&gt;Summary!$C$11)=0,"",'Dvd Calendar'!$U$1717*1000000000+ISNUMBER('Dvd Calendar'!$U$1718)*100000000+('Dvd Calendar'!$U$1722='Field Check'!$C$25)*10000000+(N('Dvd Calendar'!$U$1716)&gt;0)*1000000+14*1000+57))</f>
        <v/>
      </c>
      <c r="BH126" s="41">
        <f>IF(N('Dvd Calendar'!$V$1717)=0,"",IF(('Dvd Calendar'!$V$1717&gt;=MIN(DATE(Summary!$C$12,1,1),Summary!$C$11))*('Dvd Calendar'!$V$1717&lt;=MAX(DATE(Summary!$C$12,12,31),Summary!$C$15))*('Dvd Calendar'!$V$1717&gt;Summary!$C$11)=0,"",'Dvd Calendar'!$V$1717*1000000000+ISNUMBER('Dvd Calendar'!$V$1718)*100000000+('Dvd Calendar'!$V$1722='Field Check'!$C$25)*10000000+(N('Dvd Calendar'!$V$1716)&gt;0)*1000000+14*1000+58))</f>
        <v/>
      </c>
      <c r="BI126" s="41">
        <f>IF(N('Dvd Calendar'!$W$1717)=0,"",IF(('Dvd Calendar'!$W$1717&gt;=MIN(DATE(Summary!$C$12,1,1),Summary!$C$11))*('Dvd Calendar'!$W$1717&lt;=MAX(DATE(Summary!$C$12,12,31),Summary!$C$15))*('Dvd Calendar'!$W$1717&gt;Summary!$C$11)=0,"",'Dvd Calendar'!$W$1717*1000000000+ISNUMBER('Dvd Calendar'!$W$1718)*100000000+('Dvd Calendar'!$W$1722='Field Check'!$C$25)*10000000+(N('Dvd Calendar'!$W$1716)&gt;0)*1000000+14*1000+59))</f>
        <v/>
      </c>
      <c r="BJ126" s="41">
        <f>IF(N('Dvd Calendar'!$X$1717)=0,"",IF(('Dvd Calendar'!$X$1717&gt;=MIN(DATE(Summary!$C$12,1,1),Summary!$C$11))*('Dvd Calendar'!$X$1717&lt;=MAX(DATE(Summary!$C$12,12,31),Summary!$C$15))*('Dvd Calendar'!$X$1717&gt;Summary!$C$11)=0,"",'Dvd Calendar'!$X$1717*1000000000+ISNUMBER('Dvd Calendar'!$X$1718)*100000000+('Dvd Calendar'!$X$1722='Field Check'!$C$25)*10000000+(N('Dvd Calendar'!$X$1716)&gt;0)*1000000+14*1000+60))</f>
        <v/>
      </c>
      <c r="BK126" s="41">
        <f>IF(N('Dvd Calendar'!$Y$1717)=0,"",IF(('Dvd Calendar'!$Y$1717&gt;=MIN(DATE(Summary!$C$12,1,1),Summary!$C$11))*('Dvd Calendar'!$Y$1717&lt;=MAX(DATE(Summary!$C$12,12,31),Summary!$C$15))*('Dvd Calendar'!$Y$1717&gt;Summary!$C$11)=0,"",'Dvd Calendar'!$Y$1717*1000000000+ISNUMBER('Dvd Calendar'!$Y$1718)*100000000+('Dvd Calendar'!$Y$1722='Field Check'!$C$25)*10000000+(N('Dvd Calendar'!$Y$1716)&gt;0)*1000000+14*1000+61))</f>
        <v/>
      </c>
      <c r="BL126" s="41">
        <f>IF(N('Dvd Calendar'!$Z$1717)=0,"",IF(('Dvd Calendar'!$Z$1717&gt;=MIN(DATE(Summary!$C$12,1,1),Summary!$C$11))*('Dvd Calendar'!$Z$1717&lt;=MAX(DATE(Summary!$C$12,12,31),Summary!$C$15))*('Dvd Calendar'!$Z$1717&gt;Summary!$C$11)=0,"",'Dvd Calendar'!$Z$1717*1000000000+ISNUMBER('Dvd Calendar'!$Z$1718)*100000000+('Dvd Calendar'!$Z$1722='Field Check'!$C$25)*10000000+(N('Dvd Calendar'!$Z$1716)&gt;0)*1000000+14*1000+62))</f>
        <v/>
      </c>
      <c r="BM126" s="41">
        <f>IF(N('Dvd Calendar'!$AA$1717)=0,"",IF(('Dvd Calendar'!$AA$1717&gt;=MIN(DATE(Summary!$C$12,1,1),Summary!$C$11))*('Dvd Calendar'!$AA$1717&lt;=MAX(DATE(Summary!$C$12,12,31),Summary!$C$15))*('Dvd Calendar'!$AA$1717&gt;Summary!$C$11)=0,"",'Dvd Calendar'!$AA$1717*1000000000+ISNUMBER('Dvd Calendar'!$AA$1718)*100000000+('Dvd Calendar'!$AA$1722='Field Check'!$C$25)*10000000+(N('Dvd Calendar'!$AA$1716)&gt;0)*1000000+14*1000+63))</f>
        <v/>
      </c>
      <c r="BN126" s="41">
        <f>IF(N('Dvd Calendar'!$AB$1717)=0,"",IF(('Dvd Calendar'!$AB$1717&gt;=MIN(DATE(Summary!$C$12,1,1),Summary!$C$11))*('Dvd Calendar'!$AB$1717&lt;=MAX(DATE(Summary!$C$12,12,31),Summary!$C$15))*('Dvd Calendar'!$AB$1717&gt;Summary!$C$11)=0,"",'Dvd Calendar'!$AB$1717*1000000000+ISNUMBER('Dvd Calendar'!$AB$1718)*100000000+('Dvd Calendar'!$AB$1722='Field Check'!$C$25)*10000000+(N('Dvd Calendar'!$AB$1716)&gt;0)*1000000+14*1000+64))</f>
        <v/>
      </c>
      <c r="BO126" s="41">
        <f>IF(N('Dvd Calendar'!$AC$1717)=0,"",IF(('Dvd Calendar'!$AC$1717&gt;=MIN(DATE(Summary!$C$12,1,1),Summary!$C$11))*('Dvd Calendar'!$AC$1717&lt;=MAX(DATE(Summary!$C$12,12,31),Summary!$C$15))*('Dvd Calendar'!$AC$1717&gt;Summary!$C$11)=0,"",'Dvd Calendar'!$AC$1717*1000000000+ISNUMBER('Dvd Calendar'!$AC$1718)*100000000+('Dvd Calendar'!$AC$1722='Field Check'!$C$25)*10000000+(N('Dvd Calendar'!$AC$1716)&gt;0)*1000000+14*1000+65))</f>
        <v/>
      </c>
      <c r="BQ126" s="85">
        <f>IF(C126="","",IF(ISNUMBER('Dvd Calendar'!$E$1711)=FALSE,"",IF((Summary!$C$13="N")*('Dvd Calendar'!$E$1715='Field Check'!$C$25)&gt;0,"",'Dvd Calendar'!$E$1711)))</f>
        <v/>
      </c>
      <c r="BR126" s="85">
        <f>IF(D126="","",IF(ISNUMBER('Dvd Calendar'!$F$1711)=FALSE,"",IF((Summary!$C$13="N")*('Dvd Calendar'!$F$1715='Field Check'!$C$25)&gt;0,"",'Dvd Calendar'!$F$1711)))</f>
        <v/>
      </c>
      <c r="BS126" s="85">
        <f>IF(E126="","",IF(ISNUMBER('Dvd Calendar'!$G$1711)=FALSE,"",IF((Summary!$C$13="N")*('Dvd Calendar'!$G$1715='Field Check'!$C$25)&gt;0,"",'Dvd Calendar'!$G$1711)))</f>
        <v/>
      </c>
      <c r="BT126" s="85">
        <f>IF(F126="","",IF(ISNUMBER('Dvd Calendar'!$H$1711)=FALSE,"",IF((Summary!$C$13="N")*('Dvd Calendar'!$H$1715='Field Check'!$C$25)&gt;0,"",'Dvd Calendar'!$H$1711)))</f>
        <v/>
      </c>
      <c r="BU126" s="85">
        <f>IF(G126="","",IF(ISNUMBER('Dvd Calendar'!$I$1711)=FALSE,"",IF((Summary!$C$13="N")*('Dvd Calendar'!$I$1715='Field Check'!$C$25)&gt;0,"",'Dvd Calendar'!$I$1711)))</f>
        <v/>
      </c>
      <c r="BV126" s="85">
        <f>IF(H126="","",IF(ISNUMBER('Dvd Calendar'!$J$1711)=FALSE,"",IF((Summary!$C$13="N")*('Dvd Calendar'!$J$1715='Field Check'!$C$25)&gt;0,"",'Dvd Calendar'!$J$1711)))</f>
        <v/>
      </c>
      <c r="BW126" s="85">
        <f>IF(I126="","",IF(ISNUMBER('Dvd Calendar'!$K$1711)=FALSE,"",IF((Summary!$C$13="N")*('Dvd Calendar'!$K$1715='Field Check'!$C$25)&gt;0,"",'Dvd Calendar'!$K$1711)))</f>
        <v/>
      </c>
      <c r="BX126" s="85">
        <f>IF(J126="","",IF(ISNUMBER('Dvd Calendar'!$L$1711)=FALSE,"",IF((Summary!$C$13="N")*('Dvd Calendar'!$L$1715='Field Check'!$C$25)&gt;0,"",'Dvd Calendar'!$L$1711)))</f>
        <v/>
      </c>
      <c r="BY126" s="85">
        <f>IF(K126="","",IF(ISNUMBER('Dvd Calendar'!$M$1711)=FALSE,"",IF((Summary!$C$13="N")*('Dvd Calendar'!$M$1715='Field Check'!$C$25)&gt;0,"",'Dvd Calendar'!$M$1711)))</f>
        <v/>
      </c>
      <c r="BZ126" s="85">
        <f>IF(L126="","",IF(ISNUMBER('Dvd Calendar'!$N$1711)=FALSE,"",IF((Summary!$C$13="N")*('Dvd Calendar'!$N$1715='Field Check'!$C$25)&gt;0,"",'Dvd Calendar'!$N$1711)))</f>
        <v/>
      </c>
      <c r="CA126" s="85">
        <f>IF(M126="","",IF(ISNUMBER('Dvd Calendar'!$O$1711)=FALSE,"",IF((Summary!$C$13="N")*('Dvd Calendar'!$O$1715='Field Check'!$C$25)&gt;0,"",'Dvd Calendar'!$O$1711)))</f>
        <v/>
      </c>
      <c r="CB126" s="85">
        <f>IF(N126="","",IF(ISNUMBER('Dvd Calendar'!$P$1711)=FALSE,"",IF((Summary!$C$13="N")*('Dvd Calendar'!$P$1715='Field Check'!$C$25)&gt;0,"",'Dvd Calendar'!$P$1711)))</f>
        <v/>
      </c>
      <c r="CC126" s="85">
        <f>IF(O126="","",IF(ISNUMBER('Dvd Calendar'!$Q$1711)=FALSE,"",IF((Summary!$C$13="N")*('Dvd Calendar'!$Q$1715='Field Check'!$C$25)&gt;0,"",'Dvd Calendar'!$Q$1711)))</f>
        <v/>
      </c>
      <c r="CD126" s="85">
        <f>IF(P126="","",IF(ISNUMBER('Dvd Calendar'!$R$1711)=FALSE,"",IF((Summary!$C$13="N")*('Dvd Calendar'!$R$1715='Field Check'!$C$25)&gt;0,"",'Dvd Calendar'!$R$1711)))</f>
        <v/>
      </c>
      <c r="CE126" s="85">
        <f>IF(Q126="","",IF(ISNUMBER('Dvd Calendar'!$S$1711)=FALSE,"",IF((Summary!$C$13="N")*('Dvd Calendar'!$S$1715='Field Check'!$C$25)&gt;0,"",'Dvd Calendar'!$S$1711)))</f>
        <v/>
      </c>
      <c r="CF126" s="85">
        <f>IF(R126="","",IF(ISNUMBER('Dvd Calendar'!$T$1711)=FALSE,"",IF((Summary!$C$13="N")*('Dvd Calendar'!$T$1715='Field Check'!$C$25)&gt;0,"",'Dvd Calendar'!$T$1711)))</f>
        <v/>
      </c>
      <c r="CG126" s="85">
        <f>IF(S126="","",IF(ISNUMBER('Dvd Calendar'!$U$1711)=FALSE,"",IF((Summary!$C$13="N")*('Dvd Calendar'!$U$1715='Field Check'!$C$25)&gt;0,"",'Dvd Calendar'!$U$1711)))</f>
        <v/>
      </c>
      <c r="CH126" s="85">
        <f>IF(T126="","",IF(ISNUMBER('Dvd Calendar'!$V$1711)=FALSE,"",IF((Summary!$C$13="N")*('Dvd Calendar'!$V$1715='Field Check'!$C$25)&gt;0,"",'Dvd Calendar'!$V$1711)))</f>
        <v/>
      </c>
      <c r="CI126" s="85">
        <f>IF(U126="","",IF(ISNUMBER('Dvd Calendar'!$W$1711)=FALSE,"",IF((Summary!$C$13="N")*('Dvd Calendar'!$W$1715='Field Check'!$C$25)&gt;0,"",'Dvd Calendar'!$W$1711)))</f>
        <v/>
      </c>
      <c r="CJ126" s="85">
        <f>IF(V126="","",IF(ISNUMBER('Dvd Calendar'!$X$1711)=FALSE,"",IF((Summary!$C$13="N")*('Dvd Calendar'!$X$1715='Field Check'!$C$25)&gt;0,"",'Dvd Calendar'!$X$1711)))</f>
        <v/>
      </c>
      <c r="CK126" s="85">
        <f>IF(W126="","",IF(ISNUMBER('Dvd Calendar'!$Y$1711)=FALSE,"",IF((Summary!$C$13="N")*('Dvd Calendar'!$Y$1715='Field Check'!$C$25)&gt;0,"",'Dvd Calendar'!$Y$1711)))</f>
        <v/>
      </c>
      <c r="CL126" s="85">
        <f>IF(X126="","",IF(ISNUMBER('Dvd Calendar'!$Z$1711)=FALSE,"",IF((Summary!$C$13="N")*('Dvd Calendar'!$Z$1715='Field Check'!$C$25)&gt;0,"",'Dvd Calendar'!$Z$1711)))</f>
        <v/>
      </c>
      <c r="CM126" s="85">
        <f>IF(Y126="","",IF(ISNUMBER('Dvd Calendar'!$AA$1711)=FALSE,"",IF((Summary!$C$13="N")*('Dvd Calendar'!$AA$1715='Field Check'!$C$25)&gt;0,"",'Dvd Calendar'!$AA$1711)))</f>
        <v/>
      </c>
      <c r="CN126" s="85">
        <f>IF(Z126="","",IF(ISNUMBER('Dvd Calendar'!$AB$1711)=FALSE,"",IF((Summary!$C$13="N")*('Dvd Calendar'!$AB$1715='Field Check'!$C$25)&gt;0,"",'Dvd Calendar'!$AB$1711)))</f>
        <v/>
      </c>
      <c r="CO126" s="85">
        <f>IF(AA126="","",IF(ISNUMBER('Dvd Calendar'!$AC$1711)=FALSE,"",IF((Summary!$C$13="N")*('Dvd Calendar'!$AC$1715='Field Check'!$C$25)&gt;0,"",'Dvd Calendar'!$AC$1711)))</f>
        <v/>
      </c>
      <c r="CP126" s="85">
        <f>IF(AB126="","",IF(ISNUMBER('Dvd Calendar'!$AD$1711)=FALSE,"",IF((Summary!$C$13="N")*('Dvd Calendar'!$AD$1715='Field Check'!$C$25)&gt;0,"",'Dvd Calendar'!$AD$1711)))</f>
        <v/>
      </c>
      <c r="CQ126" s="85">
        <f>IF(AC126="","",IF(ISNUMBER('Dvd Calendar'!$AE$1711)=FALSE,"",IF((Summary!$C$13="N")*('Dvd Calendar'!$AE$1715='Field Check'!$C$25)&gt;0,"",'Dvd Calendar'!$AE$1711)))</f>
        <v/>
      </c>
      <c r="CR126" s="85">
        <f>IF(AD126="","",IF(ISNUMBER('Dvd Calendar'!$AF$1711)=FALSE,"",IF((Summary!$C$13="N")*('Dvd Calendar'!$AF$1715='Field Check'!$C$25)&gt;0,"",'Dvd Calendar'!$AF$1711)))</f>
        <v/>
      </c>
      <c r="CS126" s="85">
        <f>IF(AE126="","",IF(ISNUMBER('Dvd Calendar'!$AG$1711)=FALSE,"",IF((Summary!$C$13="N")*('Dvd Calendar'!$AG$1715='Field Check'!$C$25)&gt;0,"",'Dvd Calendar'!$AG$1711)))</f>
        <v/>
      </c>
      <c r="CT126" s="85">
        <f>IF(AF126="","",IF(ISNUMBER('Dvd Calendar'!$AH$1711)=FALSE,"",IF((Summary!$C$13="N")*('Dvd Calendar'!$AH$1715='Field Check'!$C$25)&gt;0,"",'Dvd Calendar'!$AH$1711)))</f>
        <v/>
      </c>
      <c r="CU126" s="85">
        <f>IF(AG126="","",IF(ISNUMBER('Dvd Calendar'!$AI$1711)=FALSE,"",IF((Summary!$C$13="N")*('Dvd Calendar'!$AI$1715='Field Check'!$C$25)&gt;0,"",'Dvd Calendar'!$AI$1711)))</f>
        <v/>
      </c>
      <c r="CV126" s="85">
        <f>IF(AH126="","",IF(ISNUMBER('Dvd Calendar'!$AJ$1711)=FALSE,"",IF((Summary!$C$13="N")*('Dvd Calendar'!$AJ$1715='Field Check'!$C$25)&gt;0,"",'Dvd Calendar'!$AJ$1711)))</f>
        <v/>
      </c>
      <c r="CW126" s="85">
        <f>IF(AI126="","",IF(ISNUMBER('Dvd Calendar'!$AK$1711)=FALSE,"",IF((Summary!$C$13="N")*('Dvd Calendar'!$AK$1715='Field Check'!$C$25)&gt;0,"",'Dvd Calendar'!$AK$1711)))</f>
        <v/>
      </c>
      <c r="CX126" s="85">
        <f>IF(AJ126="","",IF(ISNUMBER('Dvd Calendar'!$AL$1711)=FALSE,"",IF((Summary!$C$13="N")*('Dvd Calendar'!$AL$1715='Field Check'!$C$25)&gt;0,"",'Dvd Calendar'!$AL$1711)))</f>
        <v/>
      </c>
      <c r="CY126" s="85">
        <f>IF(AK126="","",IF(ISNUMBER('Dvd Calendar'!$AM$1711)=FALSE,"",IF((Summary!$C$13="N")*('Dvd Calendar'!$AM$1715='Field Check'!$C$25)&gt;0,"",'Dvd Calendar'!$AM$1711)))</f>
        <v/>
      </c>
      <c r="CZ126" s="85">
        <f>IF(AL126="","",IF(ISNUMBER('Dvd Calendar'!$AN$1711)=FALSE,"",IF((Summary!$C$13="N")*('Dvd Calendar'!$AN$1715='Field Check'!$C$25)&gt;0,"",'Dvd Calendar'!$AN$1711)))</f>
        <v/>
      </c>
      <c r="DA126" s="85">
        <f>IF(AM126="","",IF(ISNUMBER('Dvd Calendar'!$AO$1711)=FALSE,"",IF((Summary!$C$13="N")*('Dvd Calendar'!$AO$1715='Field Check'!$C$25)&gt;0,"",'Dvd Calendar'!$AO$1711)))</f>
        <v/>
      </c>
      <c r="DB126" s="85">
        <f>IF(AN126="","",IF(ISNUMBER('Dvd Calendar'!$AP$1711)=FALSE,"",IF((Summary!$C$13="N")*('Dvd Calendar'!$AP$1715='Field Check'!$C$25)&gt;0,"",'Dvd Calendar'!$AP$1711)))</f>
        <v/>
      </c>
      <c r="DC126" s="85">
        <f>IF(AO126="","",IF(ISNUMBER('Dvd Calendar'!$AQ$1711)=FALSE,"",IF((Summary!$C$13="N")*('Dvd Calendar'!$AQ$1715='Field Check'!$C$25)&gt;0,"",'Dvd Calendar'!$AQ$1711)))</f>
        <v/>
      </c>
      <c r="DD126" s="85">
        <f>IF(AP126="","",IF(ISNUMBER('Dvd Calendar'!$AR$1711)=FALSE,"",IF((Summary!$C$13="N")*('Dvd Calendar'!$AR$1715='Field Check'!$C$25)&gt;0,"",'Dvd Calendar'!$AR$1711)))</f>
        <v/>
      </c>
      <c r="DE126" s="85">
        <f>IF(AQ126="","",IF(ISNUMBER('Dvd Calendar'!$E$1718)=FALSE,"",IF((Summary!$C$13="N")*('Dvd Calendar'!$E$1722='Field Check'!$C$25)&gt;0,"",'Dvd Calendar'!$E$1718)))</f>
        <v/>
      </c>
      <c r="DF126" s="85">
        <f>IF(AR126="","",IF(ISNUMBER('Dvd Calendar'!$F$1718)=FALSE,"",IF((Summary!$C$13="N")*('Dvd Calendar'!$F$1722='Field Check'!$C$25)&gt;0,"",'Dvd Calendar'!$F$1718)))</f>
        <v/>
      </c>
      <c r="DG126" s="85">
        <f>IF(AS126="","",IF(ISNUMBER('Dvd Calendar'!$G$1718)=FALSE,"",IF((Summary!$C$13="N")*('Dvd Calendar'!$G$1722='Field Check'!$C$25)&gt;0,"",'Dvd Calendar'!$G$1718)))</f>
        <v/>
      </c>
      <c r="DH126" s="85">
        <f>IF(AT126="","",IF(ISNUMBER('Dvd Calendar'!$H$1718)=FALSE,"",IF((Summary!$C$13="N")*('Dvd Calendar'!$H$1722='Field Check'!$C$25)&gt;0,"",'Dvd Calendar'!$H$1718)))</f>
        <v/>
      </c>
      <c r="DI126" s="85">
        <f>IF(AU126="","",IF(ISNUMBER('Dvd Calendar'!$I$1718)=FALSE,"",IF((Summary!$C$13="N")*('Dvd Calendar'!$I$1722='Field Check'!$C$25)&gt;0,"",'Dvd Calendar'!$I$1718)))</f>
        <v/>
      </c>
      <c r="DJ126" s="85">
        <f>IF(AV126="","",IF(ISNUMBER('Dvd Calendar'!$J$1718)=FALSE,"",IF((Summary!$C$13="N")*('Dvd Calendar'!$J$1722='Field Check'!$C$25)&gt;0,"",'Dvd Calendar'!$J$1718)))</f>
        <v/>
      </c>
      <c r="DK126" s="85">
        <f>IF(AW126="","",IF(ISNUMBER('Dvd Calendar'!$K$1718)=FALSE,"",IF((Summary!$C$13="N")*('Dvd Calendar'!$K$1722='Field Check'!$C$25)&gt;0,"",'Dvd Calendar'!$K$1718)))</f>
        <v/>
      </c>
      <c r="DL126" s="85">
        <f>IF(AX126="","",IF(ISNUMBER('Dvd Calendar'!$L$1718)=FALSE,"",IF((Summary!$C$13="N")*('Dvd Calendar'!$L$1722='Field Check'!$C$25)&gt;0,"",'Dvd Calendar'!$L$1718)))</f>
        <v/>
      </c>
      <c r="DM126" s="85">
        <f>IF(AY126="","",IF(ISNUMBER('Dvd Calendar'!$M$1718)=FALSE,"",IF((Summary!$C$13="N")*('Dvd Calendar'!$M$1722='Field Check'!$C$25)&gt;0,"",'Dvd Calendar'!$M$1718)))</f>
        <v/>
      </c>
      <c r="DN126" s="85">
        <f>IF(AZ126="","",IF(ISNUMBER('Dvd Calendar'!$N$1718)=FALSE,"",IF((Summary!$C$13="N")*('Dvd Calendar'!$N$1722='Field Check'!$C$25)&gt;0,"",'Dvd Calendar'!$N$1718)))</f>
        <v/>
      </c>
      <c r="DO126" s="85">
        <f>IF(BA126="","",IF(ISNUMBER('Dvd Calendar'!$O$1718)=FALSE,"",IF((Summary!$C$13="N")*('Dvd Calendar'!$O$1722='Field Check'!$C$25)&gt;0,"",'Dvd Calendar'!$O$1718)))</f>
        <v/>
      </c>
      <c r="DP126" s="85">
        <f>IF(BB126="","",IF(ISNUMBER('Dvd Calendar'!$P$1718)=FALSE,"",IF((Summary!$C$13="N")*('Dvd Calendar'!$P$1722='Field Check'!$C$25)&gt;0,"",'Dvd Calendar'!$P$1718)))</f>
        <v/>
      </c>
      <c r="DQ126" s="85">
        <f>IF(BC126="","",IF(ISNUMBER('Dvd Calendar'!$Q$1718)=FALSE,"",IF((Summary!$C$13="N")*('Dvd Calendar'!$Q$1722='Field Check'!$C$25)&gt;0,"",'Dvd Calendar'!$Q$1718)))</f>
        <v/>
      </c>
      <c r="DR126" s="85">
        <f>IF(BD126="","",IF(ISNUMBER('Dvd Calendar'!$R$1718)=FALSE,"",IF((Summary!$C$13="N")*('Dvd Calendar'!$R$1722='Field Check'!$C$25)&gt;0,"",'Dvd Calendar'!$R$1718)))</f>
        <v/>
      </c>
      <c r="DS126" s="85">
        <f>IF(BE126="","",IF(ISNUMBER('Dvd Calendar'!$S$1718)=FALSE,"",IF((Summary!$C$13="N")*('Dvd Calendar'!$S$1722='Field Check'!$C$25)&gt;0,"",'Dvd Calendar'!$S$1718)))</f>
        <v/>
      </c>
      <c r="DT126" s="85">
        <f>IF(BF126="","",IF(ISNUMBER('Dvd Calendar'!$T$1718)=FALSE,"",IF((Summary!$C$13="N")*('Dvd Calendar'!$T$1722='Field Check'!$C$25)&gt;0,"",'Dvd Calendar'!$T$1718)))</f>
        <v/>
      </c>
      <c r="DU126" s="85">
        <f>IF(BG126="","",IF(ISNUMBER('Dvd Calendar'!$U$1718)=FALSE,"",IF((Summary!$C$13="N")*('Dvd Calendar'!$U$1722='Field Check'!$C$25)&gt;0,"",'Dvd Calendar'!$U$1718)))</f>
        <v/>
      </c>
      <c r="DV126" s="85">
        <f>IF(BH126="","",IF(ISNUMBER('Dvd Calendar'!$V$1718)=FALSE,"",IF((Summary!$C$13="N")*('Dvd Calendar'!$V$1722='Field Check'!$C$25)&gt;0,"",'Dvd Calendar'!$V$1718)))</f>
        <v/>
      </c>
      <c r="DW126" s="85">
        <f>IF(BI126="","",IF(ISNUMBER('Dvd Calendar'!$W$1718)=FALSE,"",IF((Summary!$C$13="N")*('Dvd Calendar'!$W$1722='Field Check'!$C$25)&gt;0,"",'Dvd Calendar'!$W$1718)))</f>
        <v/>
      </c>
      <c r="DX126" s="85">
        <f>IF(BJ126="","",IF(ISNUMBER('Dvd Calendar'!$X$1718)=FALSE,"",IF((Summary!$C$13="N")*('Dvd Calendar'!$X$1722='Field Check'!$C$25)&gt;0,"",'Dvd Calendar'!$X$1718)))</f>
        <v/>
      </c>
      <c r="DY126" s="85">
        <f>IF(BK126="","",IF(ISNUMBER('Dvd Calendar'!$Y$1718)=FALSE,"",IF((Summary!$C$13="N")*('Dvd Calendar'!$Y$1722='Field Check'!$C$25)&gt;0,"",'Dvd Calendar'!$Y$1718)))</f>
        <v/>
      </c>
      <c r="DZ126" s="85">
        <f>IF(BL126="","",IF(ISNUMBER('Dvd Calendar'!$Z$1718)=FALSE,"",IF((Summary!$C$13="N")*('Dvd Calendar'!$Z$1722='Field Check'!$C$25)&gt;0,"",'Dvd Calendar'!$Z$1718)))</f>
        <v/>
      </c>
      <c r="EA126" s="85">
        <f>IF(BM126="","",IF(ISNUMBER('Dvd Calendar'!$AA$1718)=FALSE,"",IF((Summary!$C$13="N")*('Dvd Calendar'!$AA$1722='Field Check'!$C$25)&gt;0,"",'Dvd Calendar'!$AA$1718)))</f>
        <v/>
      </c>
      <c r="EB126" s="85">
        <f>IF(BN126="","",IF(ISNUMBER('Dvd Calendar'!$AB$1718)=FALSE,"",IF((Summary!$C$13="N")*('Dvd Calendar'!$AB$1722='Field Check'!$C$25)&gt;0,"",'Dvd Calendar'!$AB$1718)))</f>
        <v/>
      </c>
      <c r="EC126" s="85">
        <f>IF(BO126="","",IF(ISNUMBER('Dvd Calendar'!$AC$1718)=FALSE,"",IF((Summary!$C$13="N")*('Dvd Calendar'!$AC$1722='Field Check'!$C$25)&gt;0,"",'Dvd Calendar'!$AC$1718)))</f>
        <v/>
      </c>
      <c r="EE126" s="85">
        <f>IF(BQ126="","",IFERROR(BQ126*HSTECH!$B$20*HSTECH!$G$20/HSTECH!$B$3,""))</f>
        <v/>
      </c>
      <c r="EF126" s="85">
        <f>IF(BR126="","",IFERROR(BR126*HSTECH!$B$20*HSTECH!$G$20/HSTECH!$B$3,""))</f>
        <v/>
      </c>
      <c r="EG126" s="85">
        <f>IF(BS126="","",IFERROR(BS126*HSTECH!$B$20*HSTECH!$G$20/HSTECH!$B$3,""))</f>
        <v/>
      </c>
      <c r="EH126" s="85">
        <f>IF(BT126="","",IFERROR(BT126*HSTECH!$B$20*HSTECH!$G$20/HSTECH!$B$3,""))</f>
        <v/>
      </c>
      <c r="EI126" s="85">
        <f>IF(BU126="","",IFERROR(BU126*HSTECH!$B$20*HSTECH!$G$20/HSTECH!$B$3,""))</f>
        <v/>
      </c>
      <c r="EJ126" s="85">
        <f>IF(BV126="","",IFERROR(BV126*HSTECH!$B$20*HSTECH!$G$20/HSTECH!$B$3,""))</f>
        <v/>
      </c>
      <c r="EK126" s="85">
        <f>IF(BW126="","",IFERROR(BW126*HSTECH!$B$20*HSTECH!$G$20/HSTECH!$B$3,""))</f>
        <v/>
      </c>
      <c r="EL126" s="85">
        <f>IF(BX126="","",IFERROR(BX126*HSTECH!$B$20*HSTECH!$G$20/HSTECH!$B$3,""))</f>
        <v/>
      </c>
      <c r="EM126" s="85">
        <f>IF(BY126="","",IFERROR(BY126*HSTECH!$B$20*HSTECH!$G$20/HSTECH!$B$3,""))</f>
        <v/>
      </c>
      <c r="EN126" s="85">
        <f>IF(BZ126="","",IFERROR(BZ126*HSTECH!$B$20*HSTECH!$G$20/HSTECH!$B$3,""))</f>
        <v/>
      </c>
      <c r="EO126" s="85">
        <f>IF(CA126="","",IFERROR(CA126*HSTECH!$B$20*HSTECH!$G$20/HSTECH!$B$3,""))</f>
        <v/>
      </c>
      <c r="EP126" s="85">
        <f>IF(CB126="","",IFERROR(CB126*HSTECH!$B$20*HSTECH!$G$20/HSTECH!$B$3,""))</f>
        <v/>
      </c>
      <c r="EQ126" s="85">
        <f>IF(CC126="","",IFERROR(CC126*HSTECH!$B$20*HSTECH!$G$20/HSTECH!$B$3,""))</f>
        <v/>
      </c>
      <c r="ER126" s="85">
        <f>IF(CD126="","",IFERROR(CD126*HSTECH!$B$20*HSTECH!$G$20/HSTECH!$B$3,""))</f>
        <v/>
      </c>
      <c r="ES126" s="85">
        <f>IF(CE126="","",IFERROR(CE126*HSTECH!$B$20*HSTECH!$G$20/HSTECH!$B$3,""))</f>
        <v/>
      </c>
      <c r="ET126" s="85">
        <f>IF(CF126="","",IFERROR(CF126*HSTECH!$B$20*HSTECH!$G$20/HSTECH!$B$3,""))</f>
        <v/>
      </c>
      <c r="EU126" s="85">
        <f>IF(CG126="","",IFERROR(CG126*HSTECH!$B$20*HSTECH!$G$20/HSTECH!$B$3,""))</f>
        <v/>
      </c>
      <c r="EV126" s="85">
        <f>IF(CH126="","",IFERROR(CH126*HSTECH!$B$20*HSTECH!$G$20/HSTECH!$B$3,""))</f>
        <v/>
      </c>
      <c r="EW126" s="85">
        <f>IF(CI126="","",IFERROR(CI126*HSTECH!$B$20*HSTECH!$G$20/HSTECH!$B$3,""))</f>
        <v/>
      </c>
      <c r="EX126" s="85">
        <f>IF(CJ126="","",IFERROR(CJ126*HSTECH!$B$20*HSTECH!$G$20/HSTECH!$B$3,""))</f>
        <v/>
      </c>
      <c r="EY126" s="85">
        <f>IF(CK126="","",IFERROR(CK126*HSTECH!$B$20*HSTECH!$G$20/HSTECH!$B$3,""))</f>
        <v/>
      </c>
      <c r="EZ126" s="85">
        <f>IF(CL126="","",IFERROR(CL126*HSTECH!$B$20*HSTECH!$G$20/HSTECH!$B$3,""))</f>
        <v/>
      </c>
      <c r="FA126" s="85">
        <f>IF(CM126="","",IFERROR(CM126*HSTECH!$B$20*HSTECH!$G$20/HSTECH!$B$3,""))</f>
        <v/>
      </c>
      <c r="FB126" s="85">
        <f>IF(CN126="","",IFERROR(CN126*HSTECH!$B$20*HSTECH!$G$20/HSTECH!$B$3,""))</f>
        <v/>
      </c>
      <c r="FC126" s="85">
        <f>IF(CO126="","",IFERROR(CO126*HSTECH!$B$20*HSTECH!$G$20/HSTECH!$B$3,""))</f>
        <v/>
      </c>
      <c r="FD126" s="85">
        <f>IF(CP126="","",IFERROR(CP126*HSTECH!$B$20*HSTECH!$G$20/HSTECH!$B$3,""))</f>
        <v/>
      </c>
      <c r="FE126" s="85">
        <f>IF(CQ126="","",IFERROR(CQ126*HSTECH!$B$20*HSTECH!$G$20/HSTECH!$B$3,""))</f>
        <v/>
      </c>
      <c r="FF126" s="85">
        <f>IF(CR126="","",IFERROR(CR126*HSTECH!$B$20*HSTECH!$G$20/HSTECH!$B$3,""))</f>
        <v/>
      </c>
      <c r="FG126" s="85">
        <f>IF(CS126="","",IFERROR(CS126*HSTECH!$B$20*HSTECH!$G$20/HSTECH!$B$3,""))</f>
        <v/>
      </c>
      <c r="FH126" s="85">
        <f>IF(CT126="","",IFERROR(CT126*HSTECH!$B$20*HSTECH!$G$20/HSTECH!$B$3,""))</f>
        <v/>
      </c>
      <c r="FI126" s="85">
        <f>IF(CU126="","",IFERROR(CU126*HSTECH!$B$20*HSTECH!$G$20/HSTECH!$B$3,""))</f>
        <v/>
      </c>
      <c r="FJ126" s="85">
        <f>IF(CV126="","",IFERROR(CV126*HSTECH!$B$20*HSTECH!$G$20/HSTECH!$B$3,""))</f>
        <v/>
      </c>
      <c r="FK126" s="85">
        <f>IF(CW126="","",IFERROR(CW126*HSTECH!$B$20*HSTECH!$G$20/HSTECH!$B$3,""))</f>
        <v/>
      </c>
      <c r="FL126" s="85">
        <f>IF(CX126="","",IFERROR(CX126*HSTECH!$B$20*HSTECH!$G$20/HSTECH!$B$3,""))</f>
        <v/>
      </c>
      <c r="FM126" s="85">
        <f>IF(CY126="","",IFERROR(CY126*HSTECH!$B$20*HSTECH!$G$20/HSTECH!$B$3,""))</f>
        <v/>
      </c>
      <c r="FN126" s="85">
        <f>IF(CZ126="","",IFERROR(CZ126*HSTECH!$B$20*HSTECH!$G$20/HSTECH!$B$3,""))</f>
        <v/>
      </c>
      <c r="FO126" s="85">
        <f>IF(DA126="","",IFERROR(DA126*HSTECH!$B$20*HSTECH!$G$20/HSTECH!$B$3,""))</f>
        <v/>
      </c>
      <c r="FP126" s="85">
        <f>IF(DB126="","",IFERROR(DB126*HSTECH!$B$20*HSTECH!$G$20/HSTECH!$B$3,""))</f>
        <v/>
      </c>
      <c r="FQ126" s="85">
        <f>IF(DC126="","",IFERROR(DC126*HSTECH!$B$20*HSTECH!$G$20/HSTECH!$B$3,""))</f>
        <v/>
      </c>
      <c r="FR126" s="85">
        <f>IF(DD126="","",IFERROR(DD126*HSTECH!$B$20*HSTECH!$G$20/HSTECH!$B$3,""))</f>
        <v/>
      </c>
      <c r="FS126" s="85">
        <f>IF(DE126="","",IFERROR(DE126*HSTECH!$B$20*HSTECH!$G$20/HSTECH!$B$3,""))</f>
        <v/>
      </c>
      <c r="FT126" s="85">
        <f>IF(DF126="","",IFERROR(DF126*HSTECH!$B$20*HSTECH!$G$20/HSTECH!$B$3,""))</f>
        <v/>
      </c>
      <c r="FU126" s="85">
        <f>IF(DG126="","",IFERROR(DG126*HSTECH!$B$20*HSTECH!$G$20/HSTECH!$B$3,""))</f>
        <v/>
      </c>
      <c r="FV126" s="85">
        <f>IF(DH126="","",IFERROR(DH126*HSTECH!$B$20*HSTECH!$G$20/HSTECH!$B$3,""))</f>
        <v/>
      </c>
      <c r="FW126" s="85">
        <f>IF(DI126="","",IFERROR(DI126*HSTECH!$B$20*HSTECH!$G$20/HSTECH!$B$3,""))</f>
        <v/>
      </c>
      <c r="FX126" s="85">
        <f>IF(DJ126="","",IFERROR(DJ126*HSTECH!$B$20*HSTECH!$G$20/HSTECH!$B$3,""))</f>
        <v/>
      </c>
      <c r="FY126" s="85">
        <f>IF(DK126="","",IFERROR(DK126*HSTECH!$B$20*HSTECH!$G$20/HSTECH!$B$3,""))</f>
        <v/>
      </c>
      <c r="FZ126" s="85">
        <f>IF(DL126="","",IFERROR(DL126*HSTECH!$B$20*HSTECH!$G$20/HSTECH!$B$3,""))</f>
        <v/>
      </c>
      <c r="GA126" s="85">
        <f>IF(DM126="","",IFERROR(DM126*HSTECH!$B$20*HSTECH!$G$20/HSTECH!$B$3,""))</f>
        <v/>
      </c>
      <c r="GB126" s="85">
        <f>IF(DN126="","",IFERROR(DN126*HSTECH!$B$20*HSTECH!$G$20/HSTECH!$B$3,""))</f>
        <v/>
      </c>
      <c r="GC126" s="85">
        <f>IF(DO126="","",IFERROR(DO126*HSTECH!$B$20*HSTECH!$G$20/HSTECH!$B$3,""))</f>
        <v/>
      </c>
      <c r="GD126" s="85">
        <f>IF(DP126="","",IFERROR(DP126*HSTECH!$B$20*HSTECH!$G$20/HSTECH!$B$3,""))</f>
        <v/>
      </c>
      <c r="GE126" s="85">
        <f>IF(DQ126="","",IFERROR(DQ126*HSTECH!$B$20*HSTECH!$G$20/HSTECH!$B$3,""))</f>
        <v/>
      </c>
      <c r="GF126" s="85">
        <f>IF(DR126="","",IFERROR(DR126*HSTECH!$B$20*HSTECH!$G$20/HSTECH!$B$3,""))</f>
        <v/>
      </c>
      <c r="GG126" s="85">
        <f>IF(DS126="","",IFERROR(DS126*HSTECH!$B$20*HSTECH!$G$20/HSTECH!$B$3,""))</f>
        <v/>
      </c>
      <c r="GH126" s="85">
        <f>IF(DT126="","",IFERROR(DT126*HSTECH!$B$20*HSTECH!$G$20/HSTECH!$B$3,""))</f>
        <v/>
      </c>
      <c r="GI126" s="85">
        <f>IF(DU126="","",IFERROR(DU126*HSTECH!$B$20*HSTECH!$G$20/HSTECH!$B$3,""))</f>
        <v/>
      </c>
      <c r="GJ126" s="85">
        <f>IF(DV126="","",IFERROR(DV126*HSTECH!$B$20*HSTECH!$G$20/HSTECH!$B$3,""))</f>
        <v/>
      </c>
      <c r="GK126" s="85">
        <f>IF(DW126="","",IFERROR(DW126*HSTECH!$B$20*HSTECH!$G$20/HSTECH!$B$3,""))</f>
        <v/>
      </c>
      <c r="GL126" s="85">
        <f>IF(DX126="","",IFERROR(DX126*HSTECH!$B$20*HSTECH!$G$20/HSTECH!$B$3,""))</f>
        <v/>
      </c>
      <c r="GM126" s="85">
        <f>IF(DY126="","",IFERROR(DY126*HSTECH!$B$20*HSTECH!$G$20/HSTECH!$B$3,""))</f>
        <v/>
      </c>
      <c r="GN126" s="85">
        <f>IF(DZ126="","",IFERROR(DZ126*HSTECH!$B$20*HSTECH!$G$20/HSTECH!$B$3,""))</f>
        <v/>
      </c>
      <c r="GO126" s="85">
        <f>IF(EA126="","",IFERROR(EA126*HSTECH!$B$20*HSTECH!$G$20/HSTECH!$B$3,""))</f>
        <v/>
      </c>
      <c r="GP126" s="85">
        <f>IF(EB126="","",IFERROR(EB126*HSTECH!$B$20*HSTECH!$G$20/HSTECH!$B$3,""))</f>
        <v/>
      </c>
      <c r="GQ126" s="85">
        <f>IF(EC126="","",IFERROR(EC126*HSTECH!$B$20*HSTECH!$G$20/HSTECH!$B$3,""))</f>
        <v/>
      </c>
    </row>
    <row r="127">
      <c r="B127" s="2">
        <f>IF(HSTECH!$C$21="","",HSTECH!$C$21)</f>
        <v/>
      </c>
      <c r="C127" s="41">
        <f>IF(N('Dvd Calendar'!$E$1725)=0,"",IF(('Dvd Calendar'!$E$1725&gt;=MIN(DATE(Summary!$C$12,1,1),Summary!$C$11))*('Dvd Calendar'!$E$1725&lt;=MAX(DATE(Summary!$C$12,12,31),Summary!$C$15))*('Dvd Calendar'!$E$1725&lt;=Summary!$C$11)=0,"",'Dvd Calendar'!$E$1725*1000000000+ISNUMBER('Dvd Calendar'!$E$1726)*100000000+('Dvd Calendar'!$E$1730='Field Check'!$C$25)*10000000+(N('Dvd Calendar'!$E$1724)&gt;0)*1000000+15*1000+1))</f>
        <v/>
      </c>
      <c r="D127" s="41">
        <f>IF(N('Dvd Calendar'!$F$1725)=0,"",IF(('Dvd Calendar'!$F$1725&gt;=MIN(DATE(Summary!$C$12,1,1),Summary!$C$11))*('Dvd Calendar'!$F$1725&lt;=MAX(DATE(Summary!$C$12,12,31),Summary!$C$15))*('Dvd Calendar'!$F$1725&lt;=Summary!$C$11)=0,"",'Dvd Calendar'!$F$1725*1000000000+ISNUMBER('Dvd Calendar'!$F$1726)*100000000+('Dvd Calendar'!$F$1730='Field Check'!$C$25)*10000000+(N('Dvd Calendar'!$F$1724)&gt;0)*1000000+15*1000+2))</f>
        <v/>
      </c>
      <c r="E127" s="41">
        <f>IF(N('Dvd Calendar'!$G$1725)=0,"",IF(('Dvd Calendar'!$G$1725&gt;=MIN(DATE(Summary!$C$12,1,1),Summary!$C$11))*('Dvd Calendar'!$G$1725&lt;=MAX(DATE(Summary!$C$12,12,31),Summary!$C$15))*('Dvd Calendar'!$G$1725&lt;=Summary!$C$11)=0,"",'Dvd Calendar'!$G$1725*1000000000+ISNUMBER('Dvd Calendar'!$G$1726)*100000000+('Dvd Calendar'!$G$1730='Field Check'!$C$25)*10000000+(N('Dvd Calendar'!$G$1724)&gt;0)*1000000+15*1000+3))</f>
        <v/>
      </c>
      <c r="F127" s="41">
        <f>IF(N('Dvd Calendar'!$H$1725)=0,"",IF(('Dvd Calendar'!$H$1725&gt;=MIN(DATE(Summary!$C$12,1,1),Summary!$C$11))*('Dvd Calendar'!$H$1725&lt;=MAX(DATE(Summary!$C$12,12,31),Summary!$C$15))*('Dvd Calendar'!$H$1725&lt;=Summary!$C$11)=0,"",'Dvd Calendar'!$H$1725*1000000000+ISNUMBER('Dvd Calendar'!$H$1726)*100000000+('Dvd Calendar'!$H$1730='Field Check'!$C$25)*10000000+(N('Dvd Calendar'!$H$1724)&gt;0)*1000000+15*1000+4))</f>
        <v/>
      </c>
      <c r="G127" s="41">
        <f>IF(N('Dvd Calendar'!$I$1725)=0,"",IF(('Dvd Calendar'!$I$1725&gt;=MIN(DATE(Summary!$C$12,1,1),Summary!$C$11))*('Dvd Calendar'!$I$1725&lt;=MAX(DATE(Summary!$C$12,12,31),Summary!$C$15))*('Dvd Calendar'!$I$1725&lt;=Summary!$C$11)=0,"",'Dvd Calendar'!$I$1725*1000000000+ISNUMBER('Dvd Calendar'!$I$1726)*100000000+('Dvd Calendar'!$I$1730='Field Check'!$C$25)*10000000+(N('Dvd Calendar'!$I$1724)&gt;0)*1000000+15*1000+5))</f>
        <v/>
      </c>
      <c r="H127" s="41">
        <f>IF(N('Dvd Calendar'!$J$1725)=0,"",IF(('Dvd Calendar'!$J$1725&gt;=MIN(DATE(Summary!$C$12,1,1),Summary!$C$11))*('Dvd Calendar'!$J$1725&lt;=MAX(DATE(Summary!$C$12,12,31),Summary!$C$15))*('Dvd Calendar'!$J$1725&lt;=Summary!$C$11)=0,"",'Dvd Calendar'!$J$1725*1000000000+ISNUMBER('Dvd Calendar'!$J$1726)*100000000+('Dvd Calendar'!$J$1730='Field Check'!$C$25)*10000000+(N('Dvd Calendar'!$J$1724)&gt;0)*1000000+15*1000+6))</f>
        <v/>
      </c>
      <c r="I127" s="41">
        <f>IF(N('Dvd Calendar'!$K$1725)=0,"",IF(('Dvd Calendar'!$K$1725&gt;=MIN(DATE(Summary!$C$12,1,1),Summary!$C$11))*('Dvd Calendar'!$K$1725&lt;=MAX(DATE(Summary!$C$12,12,31),Summary!$C$15))*('Dvd Calendar'!$K$1725&lt;=Summary!$C$11)=0,"",'Dvd Calendar'!$K$1725*1000000000+ISNUMBER('Dvd Calendar'!$K$1726)*100000000+('Dvd Calendar'!$K$1730='Field Check'!$C$25)*10000000+(N('Dvd Calendar'!$K$1724)&gt;0)*1000000+15*1000+7))</f>
        <v/>
      </c>
      <c r="J127" s="41">
        <f>IF(N('Dvd Calendar'!$L$1725)=0,"",IF(('Dvd Calendar'!$L$1725&gt;=MIN(DATE(Summary!$C$12,1,1),Summary!$C$11))*('Dvd Calendar'!$L$1725&lt;=MAX(DATE(Summary!$C$12,12,31),Summary!$C$15))*('Dvd Calendar'!$L$1725&lt;=Summary!$C$11)=0,"",'Dvd Calendar'!$L$1725*1000000000+ISNUMBER('Dvd Calendar'!$L$1726)*100000000+('Dvd Calendar'!$L$1730='Field Check'!$C$25)*10000000+(N('Dvd Calendar'!$L$1724)&gt;0)*1000000+15*1000+8))</f>
        <v/>
      </c>
      <c r="K127" s="41">
        <f>IF(N('Dvd Calendar'!$M$1725)=0,"",IF(('Dvd Calendar'!$M$1725&gt;=MIN(DATE(Summary!$C$12,1,1),Summary!$C$11))*('Dvd Calendar'!$M$1725&lt;=MAX(DATE(Summary!$C$12,12,31),Summary!$C$15))*('Dvd Calendar'!$M$1725&lt;=Summary!$C$11)=0,"",'Dvd Calendar'!$M$1725*1000000000+ISNUMBER('Dvd Calendar'!$M$1726)*100000000+('Dvd Calendar'!$M$1730='Field Check'!$C$25)*10000000+(N('Dvd Calendar'!$M$1724)&gt;0)*1000000+15*1000+9))</f>
        <v/>
      </c>
      <c r="L127" s="41">
        <f>IF(N('Dvd Calendar'!$N$1725)=0,"",IF(('Dvd Calendar'!$N$1725&gt;=MIN(DATE(Summary!$C$12,1,1),Summary!$C$11))*('Dvd Calendar'!$N$1725&lt;=MAX(DATE(Summary!$C$12,12,31),Summary!$C$15))*('Dvd Calendar'!$N$1725&lt;=Summary!$C$11)=0,"",'Dvd Calendar'!$N$1725*1000000000+ISNUMBER('Dvd Calendar'!$N$1726)*100000000+('Dvd Calendar'!$N$1730='Field Check'!$C$25)*10000000+(N('Dvd Calendar'!$N$1724)&gt;0)*1000000+15*1000+10))</f>
        <v/>
      </c>
      <c r="M127" s="41">
        <f>IF(N('Dvd Calendar'!$O$1725)=0,"",IF(('Dvd Calendar'!$O$1725&gt;=MIN(DATE(Summary!$C$12,1,1),Summary!$C$11))*('Dvd Calendar'!$O$1725&lt;=MAX(DATE(Summary!$C$12,12,31),Summary!$C$15))*('Dvd Calendar'!$O$1725&lt;=Summary!$C$11)=0,"",'Dvd Calendar'!$O$1725*1000000000+ISNUMBER('Dvd Calendar'!$O$1726)*100000000+('Dvd Calendar'!$O$1730='Field Check'!$C$25)*10000000+(N('Dvd Calendar'!$O$1724)&gt;0)*1000000+15*1000+11))</f>
        <v/>
      </c>
      <c r="N127" s="41">
        <f>IF(N('Dvd Calendar'!$P$1725)=0,"",IF(('Dvd Calendar'!$P$1725&gt;=MIN(DATE(Summary!$C$12,1,1),Summary!$C$11))*('Dvd Calendar'!$P$1725&lt;=MAX(DATE(Summary!$C$12,12,31),Summary!$C$15))*('Dvd Calendar'!$P$1725&lt;=Summary!$C$11)=0,"",'Dvd Calendar'!$P$1725*1000000000+ISNUMBER('Dvd Calendar'!$P$1726)*100000000+('Dvd Calendar'!$P$1730='Field Check'!$C$25)*10000000+(N('Dvd Calendar'!$P$1724)&gt;0)*1000000+15*1000+12))</f>
        <v/>
      </c>
      <c r="O127" s="41">
        <f>IF(N('Dvd Calendar'!$Q$1725)=0,"",IF(('Dvd Calendar'!$Q$1725&gt;=MIN(DATE(Summary!$C$12,1,1),Summary!$C$11))*('Dvd Calendar'!$Q$1725&lt;=MAX(DATE(Summary!$C$12,12,31),Summary!$C$15))*('Dvd Calendar'!$Q$1725&lt;=Summary!$C$11)=0,"",'Dvd Calendar'!$Q$1725*1000000000+ISNUMBER('Dvd Calendar'!$Q$1726)*100000000+('Dvd Calendar'!$Q$1730='Field Check'!$C$25)*10000000+(N('Dvd Calendar'!$Q$1724)&gt;0)*1000000+15*1000+13))</f>
        <v/>
      </c>
      <c r="P127" s="41">
        <f>IF(N('Dvd Calendar'!$R$1725)=0,"",IF(('Dvd Calendar'!$R$1725&gt;=MIN(DATE(Summary!$C$12,1,1),Summary!$C$11))*('Dvd Calendar'!$R$1725&lt;=MAX(DATE(Summary!$C$12,12,31),Summary!$C$15))*('Dvd Calendar'!$R$1725&lt;=Summary!$C$11)=0,"",'Dvd Calendar'!$R$1725*1000000000+ISNUMBER('Dvd Calendar'!$R$1726)*100000000+('Dvd Calendar'!$R$1730='Field Check'!$C$25)*10000000+(N('Dvd Calendar'!$R$1724)&gt;0)*1000000+15*1000+14))</f>
        <v/>
      </c>
      <c r="Q127" s="41">
        <f>IF(N('Dvd Calendar'!$S$1725)=0,"",IF(('Dvd Calendar'!$S$1725&gt;=MIN(DATE(Summary!$C$12,1,1),Summary!$C$11))*('Dvd Calendar'!$S$1725&lt;=MAX(DATE(Summary!$C$12,12,31),Summary!$C$15))*('Dvd Calendar'!$S$1725&lt;=Summary!$C$11)=0,"",'Dvd Calendar'!$S$1725*1000000000+ISNUMBER('Dvd Calendar'!$S$1726)*100000000+('Dvd Calendar'!$S$1730='Field Check'!$C$25)*10000000+(N('Dvd Calendar'!$S$1724)&gt;0)*1000000+15*1000+15))</f>
        <v/>
      </c>
      <c r="R127" s="41">
        <f>IF(N('Dvd Calendar'!$T$1725)=0,"",IF(('Dvd Calendar'!$T$1725&gt;=MIN(DATE(Summary!$C$12,1,1),Summary!$C$11))*('Dvd Calendar'!$T$1725&lt;=MAX(DATE(Summary!$C$12,12,31),Summary!$C$15))*('Dvd Calendar'!$T$1725&lt;=Summary!$C$11)=0,"",'Dvd Calendar'!$T$1725*1000000000+ISNUMBER('Dvd Calendar'!$T$1726)*100000000+('Dvd Calendar'!$T$1730='Field Check'!$C$25)*10000000+(N('Dvd Calendar'!$T$1724)&gt;0)*1000000+15*1000+16))</f>
        <v/>
      </c>
      <c r="S127" s="41">
        <f>IF(N('Dvd Calendar'!$U$1725)=0,"",IF(('Dvd Calendar'!$U$1725&gt;=MIN(DATE(Summary!$C$12,1,1),Summary!$C$11))*('Dvd Calendar'!$U$1725&lt;=MAX(DATE(Summary!$C$12,12,31),Summary!$C$15))*('Dvd Calendar'!$U$1725&lt;=Summary!$C$11)=0,"",'Dvd Calendar'!$U$1725*1000000000+ISNUMBER('Dvd Calendar'!$U$1726)*100000000+('Dvd Calendar'!$U$1730='Field Check'!$C$25)*10000000+(N('Dvd Calendar'!$U$1724)&gt;0)*1000000+15*1000+17))</f>
        <v/>
      </c>
      <c r="T127" s="41">
        <f>IF(N('Dvd Calendar'!$V$1725)=0,"",IF(('Dvd Calendar'!$V$1725&gt;=MIN(DATE(Summary!$C$12,1,1),Summary!$C$11))*('Dvd Calendar'!$V$1725&lt;=MAX(DATE(Summary!$C$12,12,31),Summary!$C$15))*('Dvd Calendar'!$V$1725&lt;=Summary!$C$11)=0,"",'Dvd Calendar'!$V$1725*1000000000+ISNUMBER('Dvd Calendar'!$V$1726)*100000000+('Dvd Calendar'!$V$1730='Field Check'!$C$25)*10000000+(N('Dvd Calendar'!$V$1724)&gt;0)*1000000+15*1000+18))</f>
        <v/>
      </c>
      <c r="U127" s="41">
        <f>IF(N('Dvd Calendar'!$W$1725)=0,"",IF(('Dvd Calendar'!$W$1725&gt;=MIN(DATE(Summary!$C$12,1,1),Summary!$C$11))*('Dvd Calendar'!$W$1725&lt;=MAX(DATE(Summary!$C$12,12,31),Summary!$C$15))*('Dvd Calendar'!$W$1725&lt;=Summary!$C$11)=0,"",'Dvd Calendar'!$W$1725*1000000000+ISNUMBER('Dvd Calendar'!$W$1726)*100000000+('Dvd Calendar'!$W$1730='Field Check'!$C$25)*10000000+(N('Dvd Calendar'!$W$1724)&gt;0)*1000000+15*1000+19))</f>
        <v/>
      </c>
      <c r="V127" s="41">
        <f>IF(N('Dvd Calendar'!$X$1725)=0,"",IF(('Dvd Calendar'!$X$1725&gt;=MIN(DATE(Summary!$C$12,1,1),Summary!$C$11))*('Dvd Calendar'!$X$1725&lt;=MAX(DATE(Summary!$C$12,12,31),Summary!$C$15))*('Dvd Calendar'!$X$1725&lt;=Summary!$C$11)=0,"",'Dvd Calendar'!$X$1725*1000000000+ISNUMBER('Dvd Calendar'!$X$1726)*100000000+('Dvd Calendar'!$X$1730='Field Check'!$C$25)*10000000+(N('Dvd Calendar'!$X$1724)&gt;0)*1000000+15*1000+20))</f>
        <v/>
      </c>
      <c r="W127" s="41">
        <f>IF(N('Dvd Calendar'!$Y$1725)=0,"",IF(('Dvd Calendar'!$Y$1725&gt;=MIN(DATE(Summary!$C$12,1,1),Summary!$C$11))*('Dvd Calendar'!$Y$1725&lt;=MAX(DATE(Summary!$C$12,12,31),Summary!$C$15))*('Dvd Calendar'!$Y$1725&lt;=Summary!$C$11)=0,"",'Dvd Calendar'!$Y$1725*1000000000+ISNUMBER('Dvd Calendar'!$Y$1726)*100000000+('Dvd Calendar'!$Y$1730='Field Check'!$C$25)*10000000+(N('Dvd Calendar'!$Y$1724)&gt;0)*1000000+15*1000+21))</f>
        <v/>
      </c>
      <c r="X127" s="41">
        <f>IF(N('Dvd Calendar'!$Z$1725)=0,"",IF(('Dvd Calendar'!$Z$1725&gt;=MIN(DATE(Summary!$C$12,1,1),Summary!$C$11))*('Dvd Calendar'!$Z$1725&lt;=MAX(DATE(Summary!$C$12,12,31),Summary!$C$15))*('Dvd Calendar'!$Z$1725&lt;=Summary!$C$11)=0,"",'Dvd Calendar'!$Z$1725*1000000000+ISNUMBER('Dvd Calendar'!$Z$1726)*100000000+('Dvd Calendar'!$Z$1730='Field Check'!$C$25)*10000000+(N('Dvd Calendar'!$Z$1724)&gt;0)*1000000+15*1000+22))</f>
        <v/>
      </c>
      <c r="Y127" s="41">
        <f>IF(N('Dvd Calendar'!$AA$1725)=0,"",IF(('Dvd Calendar'!$AA$1725&gt;=MIN(DATE(Summary!$C$12,1,1),Summary!$C$11))*('Dvd Calendar'!$AA$1725&lt;=MAX(DATE(Summary!$C$12,12,31),Summary!$C$15))*('Dvd Calendar'!$AA$1725&lt;=Summary!$C$11)=0,"",'Dvd Calendar'!$AA$1725*1000000000+ISNUMBER('Dvd Calendar'!$AA$1726)*100000000+('Dvd Calendar'!$AA$1730='Field Check'!$C$25)*10000000+(N('Dvd Calendar'!$AA$1724)&gt;0)*1000000+15*1000+23))</f>
        <v/>
      </c>
      <c r="Z127" s="41">
        <f>IF(N('Dvd Calendar'!$AB$1725)=0,"",IF(('Dvd Calendar'!$AB$1725&gt;=MIN(DATE(Summary!$C$12,1,1),Summary!$C$11))*('Dvd Calendar'!$AB$1725&lt;=MAX(DATE(Summary!$C$12,12,31),Summary!$C$15))*('Dvd Calendar'!$AB$1725&lt;=Summary!$C$11)=0,"",'Dvd Calendar'!$AB$1725*1000000000+ISNUMBER('Dvd Calendar'!$AB$1726)*100000000+('Dvd Calendar'!$AB$1730='Field Check'!$C$25)*10000000+(N('Dvd Calendar'!$AB$1724)&gt;0)*1000000+15*1000+24))</f>
        <v/>
      </c>
      <c r="AA127" s="41">
        <f>IF(N('Dvd Calendar'!$AC$1725)=0,"",IF(('Dvd Calendar'!$AC$1725&gt;=MIN(DATE(Summary!$C$12,1,1),Summary!$C$11))*('Dvd Calendar'!$AC$1725&lt;=MAX(DATE(Summary!$C$12,12,31),Summary!$C$15))*('Dvd Calendar'!$AC$1725&lt;=Summary!$C$11)=0,"",'Dvd Calendar'!$AC$1725*1000000000+ISNUMBER('Dvd Calendar'!$AC$1726)*100000000+('Dvd Calendar'!$AC$1730='Field Check'!$C$25)*10000000+(N('Dvd Calendar'!$AC$1724)&gt;0)*1000000+15*1000+25))</f>
        <v/>
      </c>
      <c r="AB127" s="41">
        <f>IF(N('Dvd Calendar'!$AD$1725)=0,"",IF(('Dvd Calendar'!$AD$1725&gt;=MIN(DATE(Summary!$C$12,1,1),Summary!$C$11))*('Dvd Calendar'!$AD$1725&lt;=MAX(DATE(Summary!$C$12,12,31),Summary!$C$15))*('Dvd Calendar'!$AD$1725&lt;=Summary!$C$11)=0,"",'Dvd Calendar'!$AD$1725*1000000000+ISNUMBER('Dvd Calendar'!$AD$1726)*100000000+('Dvd Calendar'!$AD$1730='Field Check'!$C$25)*10000000+(N('Dvd Calendar'!$AD$1724)&gt;0)*1000000+15*1000+26))</f>
        <v/>
      </c>
      <c r="AC127" s="41">
        <f>IF(N('Dvd Calendar'!$AE$1725)=0,"",IF(('Dvd Calendar'!$AE$1725&gt;=MIN(DATE(Summary!$C$12,1,1),Summary!$C$11))*('Dvd Calendar'!$AE$1725&lt;=MAX(DATE(Summary!$C$12,12,31),Summary!$C$15))*('Dvd Calendar'!$AE$1725&lt;=Summary!$C$11)=0,"",'Dvd Calendar'!$AE$1725*1000000000+ISNUMBER('Dvd Calendar'!$AE$1726)*100000000+('Dvd Calendar'!$AE$1730='Field Check'!$C$25)*10000000+(N('Dvd Calendar'!$AE$1724)&gt;0)*1000000+15*1000+27))</f>
        <v/>
      </c>
      <c r="AD127" s="41">
        <f>IF(N('Dvd Calendar'!$AF$1725)=0,"",IF(('Dvd Calendar'!$AF$1725&gt;=MIN(DATE(Summary!$C$12,1,1),Summary!$C$11))*('Dvd Calendar'!$AF$1725&lt;=MAX(DATE(Summary!$C$12,12,31),Summary!$C$15))*('Dvd Calendar'!$AF$1725&lt;=Summary!$C$11)=0,"",'Dvd Calendar'!$AF$1725*1000000000+ISNUMBER('Dvd Calendar'!$AF$1726)*100000000+('Dvd Calendar'!$AF$1730='Field Check'!$C$25)*10000000+(N('Dvd Calendar'!$AF$1724)&gt;0)*1000000+15*1000+28))</f>
        <v/>
      </c>
      <c r="AE127" s="41">
        <f>IF(N('Dvd Calendar'!$AG$1725)=0,"",IF(('Dvd Calendar'!$AG$1725&gt;=MIN(DATE(Summary!$C$12,1,1),Summary!$C$11))*('Dvd Calendar'!$AG$1725&lt;=MAX(DATE(Summary!$C$12,12,31),Summary!$C$15))*('Dvd Calendar'!$AG$1725&lt;=Summary!$C$11)=0,"",'Dvd Calendar'!$AG$1725*1000000000+ISNUMBER('Dvd Calendar'!$AG$1726)*100000000+('Dvd Calendar'!$AG$1730='Field Check'!$C$25)*10000000+(N('Dvd Calendar'!$AG$1724)&gt;0)*1000000+15*1000+29))</f>
        <v/>
      </c>
      <c r="AF127" s="41">
        <f>IF(N('Dvd Calendar'!$AH$1725)=0,"",IF(('Dvd Calendar'!$AH$1725&gt;=MIN(DATE(Summary!$C$12,1,1),Summary!$C$11))*('Dvd Calendar'!$AH$1725&lt;=MAX(DATE(Summary!$C$12,12,31),Summary!$C$15))*('Dvd Calendar'!$AH$1725&lt;=Summary!$C$11)=0,"",'Dvd Calendar'!$AH$1725*1000000000+ISNUMBER('Dvd Calendar'!$AH$1726)*100000000+('Dvd Calendar'!$AH$1730='Field Check'!$C$25)*10000000+(N('Dvd Calendar'!$AH$1724)&gt;0)*1000000+15*1000+30))</f>
        <v/>
      </c>
      <c r="AG127" s="41">
        <f>IF(N('Dvd Calendar'!$AI$1725)=0,"",IF(('Dvd Calendar'!$AI$1725&gt;=MIN(DATE(Summary!$C$12,1,1),Summary!$C$11))*('Dvd Calendar'!$AI$1725&lt;=MAX(DATE(Summary!$C$12,12,31),Summary!$C$15))*('Dvd Calendar'!$AI$1725&lt;=Summary!$C$11)=0,"",'Dvd Calendar'!$AI$1725*1000000000+ISNUMBER('Dvd Calendar'!$AI$1726)*100000000+('Dvd Calendar'!$AI$1730='Field Check'!$C$25)*10000000+(N('Dvd Calendar'!$AI$1724)&gt;0)*1000000+15*1000+31))</f>
        <v/>
      </c>
      <c r="AH127" s="41">
        <f>IF(N('Dvd Calendar'!$AJ$1725)=0,"",IF(('Dvd Calendar'!$AJ$1725&gt;=MIN(DATE(Summary!$C$12,1,1),Summary!$C$11))*('Dvd Calendar'!$AJ$1725&lt;=MAX(DATE(Summary!$C$12,12,31),Summary!$C$15))*('Dvd Calendar'!$AJ$1725&lt;=Summary!$C$11)=0,"",'Dvd Calendar'!$AJ$1725*1000000000+ISNUMBER('Dvd Calendar'!$AJ$1726)*100000000+('Dvd Calendar'!$AJ$1730='Field Check'!$C$25)*10000000+(N('Dvd Calendar'!$AJ$1724)&gt;0)*1000000+15*1000+32))</f>
        <v/>
      </c>
      <c r="AI127" s="41">
        <f>IF(N('Dvd Calendar'!$AK$1725)=0,"",IF(('Dvd Calendar'!$AK$1725&gt;=MIN(DATE(Summary!$C$12,1,1),Summary!$C$11))*('Dvd Calendar'!$AK$1725&lt;=MAX(DATE(Summary!$C$12,12,31),Summary!$C$15))*('Dvd Calendar'!$AK$1725&lt;=Summary!$C$11)=0,"",'Dvd Calendar'!$AK$1725*1000000000+ISNUMBER('Dvd Calendar'!$AK$1726)*100000000+('Dvd Calendar'!$AK$1730='Field Check'!$C$25)*10000000+(N('Dvd Calendar'!$AK$1724)&gt;0)*1000000+15*1000+33))</f>
        <v/>
      </c>
      <c r="AJ127" s="41">
        <f>IF(N('Dvd Calendar'!$AL$1725)=0,"",IF(('Dvd Calendar'!$AL$1725&gt;=MIN(DATE(Summary!$C$12,1,1),Summary!$C$11))*('Dvd Calendar'!$AL$1725&lt;=MAX(DATE(Summary!$C$12,12,31),Summary!$C$15))*('Dvd Calendar'!$AL$1725&lt;=Summary!$C$11)=0,"",'Dvd Calendar'!$AL$1725*1000000000+ISNUMBER('Dvd Calendar'!$AL$1726)*100000000+('Dvd Calendar'!$AL$1730='Field Check'!$C$25)*10000000+(N('Dvd Calendar'!$AL$1724)&gt;0)*1000000+15*1000+34))</f>
        <v/>
      </c>
      <c r="AK127" s="41">
        <f>IF(N('Dvd Calendar'!$AM$1725)=0,"",IF(('Dvd Calendar'!$AM$1725&gt;=MIN(DATE(Summary!$C$12,1,1),Summary!$C$11))*('Dvd Calendar'!$AM$1725&lt;=MAX(DATE(Summary!$C$12,12,31),Summary!$C$15))*('Dvd Calendar'!$AM$1725&lt;=Summary!$C$11)=0,"",'Dvd Calendar'!$AM$1725*1000000000+ISNUMBER('Dvd Calendar'!$AM$1726)*100000000+('Dvd Calendar'!$AM$1730='Field Check'!$C$25)*10000000+(N('Dvd Calendar'!$AM$1724)&gt;0)*1000000+15*1000+35))</f>
        <v/>
      </c>
      <c r="AL127" s="41">
        <f>IF(N('Dvd Calendar'!$AN$1725)=0,"",IF(('Dvd Calendar'!$AN$1725&gt;=MIN(DATE(Summary!$C$12,1,1),Summary!$C$11))*('Dvd Calendar'!$AN$1725&lt;=MAX(DATE(Summary!$C$12,12,31),Summary!$C$15))*('Dvd Calendar'!$AN$1725&lt;=Summary!$C$11)=0,"",'Dvd Calendar'!$AN$1725*1000000000+ISNUMBER('Dvd Calendar'!$AN$1726)*100000000+('Dvd Calendar'!$AN$1730='Field Check'!$C$25)*10000000+(N('Dvd Calendar'!$AN$1724)&gt;0)*1000000+15*1000+36))</f>
        <v/>
      </c>
      <c r="AM127" s="41">
        <f>IF(N('Dvd Calendar'!$AO$1725)=0,"",IF(('Dvd Calendar'!$AO$1725&gt;=MIN(DATE(Summary!$C$12,1,1),Summary!$C$11))*('Dvd Calendar'!$AO$1725&lt;=MAX(DATE(Summary!$C$12,12,31),Summary!$C$15))*('Dvd Calendar'!$AO$1725&lt;=Summary!$C$11)=0,"",'Dvd Calendar'!$AO$1725*1000000000+ISNUMBER('Dvd Calendar'!$AO$1726)*100000000+('Dvd Calendar'!$AO$1730='Field Check'!$C$25)*10000000+(N('Dvd Calendar'!$AO$1724)&gt;0)*1000000+15*1000+37))</f>
        <v/>
      </c>
      <c r="AN127" s="41">
        <f>IF(N('Dvd Calendar'!$AP$1725)=0,"",IF(('Dvd Calendar'!$AP$1725&gt;=MIN(DATE(Summary!$C$12,1,1),Summary!$C$11))*('Dvd Calendar'!$AP$1725&lt;=MAX(DATE(Summary!$C$12,12,31),Summary!$C$15))*('Dvd Calendar'!$AP$1725&lt;=Summary!$C$11)=0,"",'Dvd Calendar'!$AP$1725*1000000000+ISNUMBER('Dvd Calendar'!$AP$1726)*100000000+('Dvd Calendar'!$AP$1730='Field Check'!$C$25)*10000000+(N('Dvd Calendar'!$AP$1724)&gt;0)*1000000+15*1000+38))</f>
        <v/>
      </c>
      <c r="AO127" s="41">
        <f>IF(N('Dvd Calendar'!$AQ$1725)=0,"",IF(('Dvd Calendar'!$AQ$1725&gt;=MIN(DATE(Summary!$C$12,1,1),Summary!$C$11))*('Dvd Calendar'!$AQ$1725&lt;=MAX(DATE(Summary!$C$12,12,31),Summary!$C$15))*('Dvd Calendar'!$AQ$1725&lt;=Summary!$C$11)=0,"",'Dvd Calendar'!$AQ$1725*1000000000+ISNUMBER('Dvd Calendar'!$AQ$1726)*100000000+('Dvd Calendar'!$AQ$1730='Field Check'!$C$25)*10000000+(N('Dvd Calendar'!$AQ$1724)&gt;0)*1000000+15*1000+39))</f>
        <v/>
      </c>
      <c r="AP127" s="41">
        <f>IF(N('Dvd Calendar'!$AR$1725)=0,"",IF(('Dvd Calendar'!$AR$1725&gt;=MIN(DATE(Summary!$C$12,1,1),Summary!$C$11))*('Dvd Calendar'!$AR$1725&lt;=MAX(DATE(Summary!$C$12,12,31),Summary!$C$15))*('Dvd Calendar'!$AR$1725&lt;=Summary!$C$11)=0,"",'Dvd Calendar'!$AR$1725*1000000000+ISNUMBER('Dvd Calendar'!$AR$1726)*100000000+('Dvd Calendar'!$AR$1730='Field Check'!$C$25)*10000000+(N('Dvd Calendar'!$AR$1724)&gt;0)*1000000+15*1000+40))</f>
        <v/>
      </c>
      <c r="AQ127" s="41">
        <f>IF(N('Dvd Calendar'!$E$1732)=0,"",IF(('Dvd Calendar'!$E$1732&gt;=MIN(DATE(Summary!$C$12,1,1),Summary!$C$11))*('Dvd Calendar'!$E$1732&lt;=MAX(DATE(Summary!$C$12,12,31),Summary!$C$15))*('Dvd Calendar'!$E$1732&gt;Summary!$C$11)=0,"",'Dvd Calendar'!$E$1732*1000000000+ISNUMBER('Dvd Calendar'!$E$1733)*100000000+('Dvd Calendar'!$E$1737='Field Check'!$C$25)*10000000+(N('Dvd Calendar'!$E$1731)&gt;0)*1000000+15*1000+41))</f>
        <v/>
      </c>
      <c r="AR127" s="41">
        <f>IF(N('Dvd Calendar'!$F$1732)=0,"",IF(('Dvd Calendar'!$F$1732&gt;=MIN(DATE(Summary!$C$12,1,1),Summary!$C$11))*('Dvd Calendar'!$F$1732&lt;=MAX(DATE(Summary!$C$12,12,31),Summary!$C$15))*('Dvd Calendar'!$F$1732&gt;Summary!$C$11)=0,"",'Dvd Calendar'!$F$1732*1000000000+ISNUMBER('Dvd Calendar'!$F$1733)*100000000+('Dvd Calendar'!$F$1737='Field Check'!$C$25)*10000000+(N('Dvd Calendar'!$F$1731)&gt;0)*1000000+15*1000+42))</f>
        <v/>
      </c>
      <c r="AS127" s="41">
        <f>IF(N('Dvd Calendar'!$G$1732)=0,"",IF(('Dvd Calendar'!$G$1732&gt;=MIN(DATE(Summary!$C$12,1,1),Summary!$C$11))*('Dvd Calendar'!$G$1732&lt;=MAX(DATE(Summary!$C$12,12,31),Summary!$C$15))*('Dvd Calendar'!$G$1732&gt;Summary!$C$11)=0,"",'Dvd Calendar'!$G$1732*1000000000+ISNUMBER('Dvd Calendar'!$G$1733)*100000000+('Dvd Calendar'!$G$1737='Field Check'!$C$25)*10000000+(N('Dvd Calendar'!$G$1731)&gt;0)*1000000+15*1000+43))</f>
        <v/>
      </c>
      <c r="AT127" s="41">
        <f>IF(N('Dvd Calendar'!$H$1732)=0,"",IF(('Dvd Calendar'!$H$1732&gt;=MIN(DATE(Summary!$C$12,1,1),Summary!$C$11))*('Dvd Calendar'!$H$1732&lt;=MAX(DATE(Summary!$C$12,12,31),Summary!$C$15))*('Dvd Calendar'!$H$1732&gt;Summary!$C$11)=0,"",'Dvd Calendar'!$H$1732*1000000000+ISNUMBER('Dvd Calendar'!$H$1733)*100000000+('Dvd Calendar'!$H$1737='Field Check'!$C$25)*10000000+(N('Dvd Calendar'!$H$1731)&gt;0)*1000000+15*1000+44))</f>
        <v/>
      </c>
      <c r="AU127" s="41">
        <f>IF(N('Dvd Calendar'!$I$1732)=0,"",IF(('Dvd Calendar'!$I$1732&gt;=MIN(DATE(Summary!$C$12,1,1),Summary!$C$11))*('Dvd Calendar'!$I$1732&lt;=MAX(DATE(Summary!$C$12,12,31),Summary!$C$15))*('Dvd Calendar'!$I$1732&gt;Summary!$C$11)=0,"",'Dvd Calendar'!$I$1732*1000000000+ISNUMBER('Dvd Calendar'!$I$1733)*100000000+('Dvd Calendar'!$I$1737='Field Check'!$C$25)*10000000+(N('Dvd Calendar'!$I$1731)&gt;0)*1000000+15*1000+45))</f>
        <v/>
      </c>
      <c r="AV127" s="41">
        <f>IF(N('Dvd Calendar'!$J$1732)=0,"",IF(('Dvd Calendar'!$J$1732&gt;=MIN(DATE(Summary!$C$12,1,1),Summary!$C$11))*('Dvd Calendar'!$J$1732&lt;=MAX(DATE(Summary!$C$12,12,31),Summary!$C$15))*('Dvd Calendar'!$J$1732&gt;Summary!$C$11)=0,"",'Dvd Calendar'!$J$1732*1000000000+ISNUMBER('Dvd Calendar'!$J$1733)*100000000+('Dvd Calendar'!$J$1737='Field Check'!$C$25)*10000000+(N('Dvd Calendar'!$J$1731)&gt;0)*1000000+15*1000+46))</f>
        <v/>
      </c>
      <c r="AW127" s="41">
        <f>IF(N('Dvd Calendar'!$K$1732)=0,"",IF(('Dvd Calendar'!$K$1732&gt;=MIN(DATE(Summary!$C$12,1,1),Summary!$C$11))*('Dvd Calendar'!$K$1732&lt;=MAX(DATE(Summary!$C$12,12,31),Summary!$C$15))*('Dvd Calendar'!$K$1732&gt;Summary!$C$11)=0,"",'Dvd Calendar'!$K$1732*1000000000+ISNUMBER('Dvd Calendar'!$K$1733)*100000000+('Dvd Calendar'!$K$1737='Field Check'!$C$25)*10000000+(N('Dvd Calendar'!$K$1731)&gt;0)*1000000+15*1000+47))</f>
        <v/>
      </c>
      <c r="AX127" s="41">
        <f>IF(N('Dvd Calendar'!$L$1732)=0,"",IF(('Dvd Calendar'!$L$1732&gt;=MIN(DATE(Summary!$C$12,1,1),Summary!$C$11))*('Dvd Calendar'!$L$1732&lt;=MAX(DATE(Summary!$C$12,12,31),Summary!$C$15))*('Dvd Calendar'!$L$1732&gt;Summary!$C$11)=0,"",'Dvd Calendar'!$L$1732*1000000000+ISNUMBER('Dvd Calendar'!$L$1733)*100000000+('Dvd Calendar'!$L$1737='Field Check'!$C$25)*10000000+(N('Dvd Calendar'!$L$1731)&gt;0)*1000000+15*1000+48))</f>
        <v/>
      </c>
      <c r="AY127" s="41">
        <f>IF(N('Dvd Calendar'!$M$1732)=0,"",IF(('Dvd Calendar'!$M$1732&gt;=MIN(DATE(Summary!$C$12,1,1),Summary!$C$11))*('Dvd Calendar'!$M$1732&lt;=MAX(DATE(Summary!$C$12,12,31),Summary!$C$15))*('Dvd Calendar'!$M$1732&gt;Summary!$C$11)=0,"",'Dvd Calendar'!$M$1732*1000000000+ISNUMBER('Dvd Calendar'!$M$1733)*100000000+('Dvd Calendar'!$M$1737='Field Check'!$C$25)*10000000+(N('Dvd Calendar'!$M$1731)&gt;0)*1000000+15*1000+49))</f>
        <v/>
      </c>
      <c r="AZ127" s="41">
        <f>IF(N('Dvd Calendar'!$N$1732)=0,"",IF(('Dvd Calendar'!$N$1732&gt;=MIN(DATE(Summary!$C$12,1,1),Summary!$C$11))*('Dvd Calendar'!$N$1732&lt;=MAX(DATE(Summary!$C$12,12,31),Summary!$C$15))*('Dvd Calendar'!$N$1732&gt;Summary!$C$11)=0,"",'Dvd Calendar'!$N$1732*1000000000+ISNUMBER('Dvd Calendar'!$N$1733)*100000000+('Dvd Calendar'!$N$1737='Field Check'!$C$25)*10000000+(N('Dvd Calendar'!$N$1731)&gt;0)*1000000+15*1000+50))</f>
        <v/>
      </c>
      <c r="BA127" s="41">
        <f>IF(N('Dvd Calendar'!$O$1732)=0,"",IF(('Dvd Calendar'!$O$1732&gt;=MIN(DATE(Summary!$C$12,1,1),Summary!$C$11))*('Dvd Calendar'!$O$1732&lt;=MAX(DATE(Summary!$C$12,12,31),Summary!$C$15))*('Dvd Calendar'!$O$1732&gt;Summary!$C$11)=0,"",'Dvd Calendar'!$O$1732*1000000000+ISNUMBER('Dvd Calendar'!$O$1733)*100000000+('Dvd Calendar'!$O$1737='Field Check'!$C$25)*10000000+(N('Dvd Calendar'!$O$1731)&gt;0)*1000000+15*1000+51))</f>
        <v/>
      </c>
      <c r="BB127" s="41">
        <f>IF(N('Dvd Calendar'!$P$1732)=0,"",IF(('Dvd Calendar'!$P$1732&gt;=MIN(DATE(Summary!$C$12,1,1),Summary!$C$11))*('Dvd Calendar'!$P$1732&lt;=MAX(DATE(Summary!$C$12,12,31),Summary!$C$15))*('Dvd Calendar'!$P$1732&gt;Summary!$C$11)=0,"",'Dvd Calendar'!$P$1732*1000000000+ISNUMBER('Dvd Calendar'!$P$1733)*100000000+('Dvd Calendar'!$P$1737='Field Check'!$C$25)*10000000+(N('Dvd Calendar'!$P$1731)&gt;0)*1000000+15*1000+52))</f>
        <v/>
      </c>
      <c r="BC127" s="41">
        <f>IF(N('Dvd Calendar'!$Q$1732)=0,"",IF(('Dvd Calendar'!$Q$1732&gt;=MIN(DATE(Summary!$C$12,1,1),Summary!$C$11))*('Dvd Calendar'!$Q$1732&lt;=MAX(DATE(Summary!$C$12,12,31),Summary!$C$15))*('Dvd Calendar'!$Q$1732&gt;Summary!$C$11)=0,"",'Dvd Calendar'!$Q$1732*1000000000+ISNUMBER('Dvd Calendar'!$Q$1733)*100000000+('Dvd Calendar'!$Q$1737='Field Check'!$C$25)*10000000+(N('Dvd Calendar'!$Q$1731)&gt;0)*1000000+15*1000+53))</f>
        <v/>
      </c>
      <c r="BD127" s="41">
        <f>IF(N('Dvd Calendar'!$R$1732)=0,"",IF(('Dvd Calendar'!$R$1732&gt;=MIN(DATE(Summary!$C$12,1,1),Summary!$C$11))*('Dvd Calendar'!$R$1732&lt;=MAX(DATE(Summary!$C$12,12,31),Summary!$C$15))*('Dvd Calendar'!$R$1732&gt;Summary!$C$11)=0,"",'Dvd Calendar'!$R$1732*1000000000+ISNUMBER('Dvd Calendar'!$R$1733)*100000000+('Dvd Calendar'!$R$1737='Field Check'!$C$25)*10000000+(N('Dvd Calendar'!$R$1731)&gt;0)*1000000+15*1000+54))</f>
        <v/>
      </c>
      <c r="BE127" s="41">
        <f>IF(N('Dvd Calendar'!$S$1732)=0,"",IF(('Dvd Calendar'!$S$1732&gt;=MIN(DATE(Summary!$C$12,1,1),Summary!$C$11))*('Dvd Calendar'!$S$1732&lt;=MAX(DATE(Summary!$C$12,12,31),Summary!$C$15))*('Dvd Calendar'!$S$1732&gt;Summary!$C$11)=0,"",'Dvd Calendar'!$S$1732*1000000000+ISNUMBER('Dvd Calendar'!$S$1733)*100000000+('Dvd Calendar'!$S$1737='Field Check'!$C$25)*10000000+(N('Dvd Calendar'!$S$1731)&gt;0)*1000000+15*1000+55))</f>
        <v/>
      </c>
      <c r="BF127" s="41">
        <f>IF(N('Dvd Calendar'!$T$1732)=0,"",IF(('Dvd Calendar'!$T$1732&gt;=MIN(DATE(Summary!$C$12,1,1),Summary!$C$11))*('Dvd Calendar'!$T$1732&lt;=MAX(DATE(Summary!$C$12,12,31),Summary!$C$15))*('Dvd Calendar'!$T$1732&gt;Summary!$C$11)=0,"",'Dvd Calendar'!$T$1732*1000000000+ISNUMBER('Dvd Calendar'!$T$1733)*100000000+('Dvd Calendar'!$T$1737='Field Check'!$C$25)*10000000+(N('Dvd Calendar'!$T$1731)&gt;0)*1000000+15*1000+56))</f>
        <v/>
      </c>
      <c r="BG127" s="41">
        <f>IF(N('Dvd Calendar'!$U$1732)=0,"",IF(('Dvd Calendar'!$U$1732&gt;=MIN(DATE(Summary!$C$12,1,1),Summary!$C$11))*('Dvd Calendar'!$U$1732&lt;=MAX(DATE(Summary!$C$12,12,31),Summary!$C$15))*('Dvd Calendar'!$U$1732&gt;Summary!$C$11)=0,"",'Dvd Calendar'!$U$1732*1000000000+ISNUMBER('Dvd Calendar'!$U$1733)*100000000+('Dvd Calendar'!$U$1737='Field Check'!$C$25)*10000000+(N('Dvd Calendar'!$U$1731)&gt;0)*1000000+15*1000+57))</f>
        <v/>
      </c>
      <c r="BH127" s="41">
        <f>IF(N('Dvd Calendar'!$V$1732)=0,"",IF(('Dvd Calendar'!$V$1732&gt;=MIN(DATE(Summary!$C$12,1,1),Summary!$C$11))*('Dvd Calendar'!$V$1732&lt;=MAX(DATE(Summary!$C$12,12,31),Summary!$C$15))*('Dvd Calendar'!$V$1732&gt;Summary!$C$11)=0,"",'Dvd Calendar'!$V$1732*1000000000+ISNUMBER('Dvd Calendar'!$V$1733)*100000000+('Dvd Calendar'!$V$1737='Field Check'!$C$25)*10000000+(N('Dvd Calendar'!$V$1731)&gt;0)*1000000+15*1000+58))</f>
        <v/>
      </c>
      <c r="BI127" s="41">
        <f>IF(N('Dvd Calendar'!$W$1732)=0,"",IF(('Dvd Calendar'!$W$1732&gt;=MIN(DATE(Summary!$C$12,1,1),Summary!$C$11))*('Dvd Calendar'!$W$1732&lt;=MAX(DATE(Summary!$C$12,12,31),Summary!$C$15))*('Dvd Calendar'!$W$1732&gt;Summary!$C$11)=0,"",'Dvd Calendar'!$W$1732*1000000000+ISNUMBER('Dvd Calendar'!$W$1733)*100000000+('Dvd Calendar'!$W$1737='Field Check'!$C$25)*10000000+(N('Dvd Calendar'!$W$1731)&gt;0)*1000000+15*1000+59))</f>
        <v/>
      </c>
      <c r="BJ127" s="41">
        <f>IF(N('Dvd Calendar'!$X$1732)=0,"",IF(('Dvd Calendar'!$X$1732&gt;=MIN(DATE(Summary!$C$12,1,1),Summary!$C$11))*('Dvd Calendar'!$X$1732&lt;=MAX(DATE(Summary!$C$12,12,31),Summary!$C$15))*('Dvd Calendar'!$X$1732&gt;Summary!$C$11)=0,"",'Dvd Calendar'!$X$1732*1000000000+ISNUMBER('Dvd Calendar'!$X$1733)*100000000+('Dvd Calendar'!$X$1737='Field Check'!$C$25)*10000000+(N('Dvd Calendar'!$X$1731)&gt;0)*1000000+15*1000+60))</f>
        <v/>
      </c>
      <c r="BK127" s="41">
        <f>IF(N('Dvd Calendar'!$Y$1732)=0,"",IF(('Dvd Calendar'!$Y$1732&gt;=MIN(DATE(Summary!$C$12,1,1),Summary!$C$11))*('Dvd Calendar'!$Y$1732&lt;=MAX(DATE(Summary!$C$12,12,31),Summary!$C$15))*('Dvd Calendar'!$Y$1732&gt;Summary!$C$11)=0,"",'Dvd Calendar'!$Y$1732*1000000000+ISNUMBER('Dvd Calendar'!$Y$1733)*100000000+('Dvd Calendar'!$Y$1737='Field Check'!$C$25)*10000000+(N('Dvd Calendar'!$Y$1731)&gt;0)*1000000+15*1000+61))</f>
        <v/>
      </c>
      <c r="BL127" s="41">
        <f>IF(N('Dvd Calendar'!$Z$1732)=0,"",IF(('Dvd Calendar'!$Z$1732&gt;=MIN(DATE(Summary!$C$12,1,1),Summary!$C$11))*('Dvd Calendar'!$Z$1732&lt;=MAX(DATE(Summary!$C$12,12,31),Summary!$C$15))*('Dvd Calendar'!$Z$1732&gt;Summary!$C$11)=0,"",'Dvd Calendar'!$Z$1732*1000000000+ISNUMBER('Dvd Calendar'!$Z$1733)*100000000+('Dvd Calendar'!$Z$1737='Field Check'!$C$25)*10000000+(N('Dvd Calendar'!$Z$1731)&gt;0)*1000000+15*1000+62))</f>
        <v/>
      </c>
      <c r="BM127" s="41">
        <f>IF(N('Dvd Calendar'!$AA$1732)=0,"",IF(('Dvd Calendar'!$AA$1732&gt;=MIN(DATE(Summary!$C$12,1,1),Summary!$C$11))*('Dvd Calendar'!$AA$1732&lt;=MAX(DATE(Summary!$C$12,12,31),Summary!$C$15))*('Dvd Calendar'!$AA$1732&gt;Summary!$C$11)=0,"",'Dvd Calendar'!$AA$1732*1000000000+ISNUMBER('Dvd Calendar'!$AA$1733)*100000000+('Dvd Calendar'!$AA$1737='Field Check'!$C$25)*10000000+(N('Dvd Calendar'!$AA$1731)&gt;0)*1000000+15*1000+63))</f>
        <v/>
      </c>
      <c r="BN127" s="41">
        <f>IF(N('Dvd Calendar'!$AB$1732)=0,"",IF(('Dvd Calendar'!$AB$1732&gt;=MIN(DATE(Summary!$C$12,1,1),Summary!$C$11))*('Dvd Calendar'!$AB$1732&lt;=MAX(DATE(Summary!$C$12,12,31),Summary!$C$15))*('Dvd Calendar'!$AB$1732&gt;Summary!$C$11)=0,"",'Dvd Calendar'!$AB$1732*1000000000+ISNUMBER('Dvd Calendar'!$AB$1733)*100000000+('Dvd Calendar'!$AB$1737='Field Check'!$C$25)*10000000+(N('Dvd Calendar'!$AB$1731)&gt;0)*1000000+15*1000+64))</f>
        <v/>
      </c>
      <c r="BO127" s="41">
        <f>IF(N('Dvd Calendar'!$AC$1732)=0,"",IF(('Dvd Calendar'!$AC$1732&gt;=MIN(DATE(Summary!$C$12,1,1),Summary!$C$11))*('Dvd Calendar'!$AC$1732&lt;=MAX(DATE(Summary!$C$12,12,31),Summary!$C$15))*('Dvd Calendar'!$AC$1732&gt;Summary!$C$11)=0,"",'Dvd Calendar'!$AC$1732*1000000000+ISNUMBER('Dvd Calendar'!$AC$1733)*100000000+('Dvd Calendar'!$AC$1737='Field Check'!$C$25)*10000000+(N('Dvd Calendar'!$AC$1731)&gt;0)*1000000+15*1000+65))</f>
        <v/>
      </c>
      <c r="BQ127" s="85">
        <f>IF(C127="","",IF(ISNUMBER('Dvd Calendar'!$E$1726)=FALSE,"",IF((Summary!$C$13="N")*('Dvd Calendar'!$E$1730='Field Check'!$C$25)&gt;0,"",'Dvd Calendar'!$E$1726)))</f>
        <v/>
      </c>
      <c r="BR127" s="85">
        <f>IF(D127="","",IF(ISNUMBER('Dvd Calendar'!$F$1726)=FALSE,"",IF((Summary!$C$13="N")*('Dvd Calendar'!$F$1730='Field Check'!$C$25)&gt;0,"",'Dvd Calendar'!$F$1726)))</f>
        <v/>
      </c>
      <c r="BS127" s="85">
        <f>IF(E127="","",IF(ISNUMBER('Dvd Calendar'!$G$1726)=FALSE,"",IF((Summary!$C$13="N")*('Dvd Calendar'!$G$1730='Field Check'!$C$25)&gt;0,"",'Dvd Calendar'!$G$1726)))</f>
        <v/>
      </c>
      <c r="BT127" s="85">
        <f>IF(F127="","",IF(ISNUMBER('Dvd Calendar'!$H$1726)=FALSE,"",IF((Summary!$C$13="N")*('Dvd Calendar'!$H$1730='Field Check'!$C$25)&gt;0,"",'Dvd Calendar'!$H$1726)))</f>
        <v/>
      </c>
      <c r="BU127" s="85">
        <f>IF(G127="","",IF(ISNUMBER('Dvd Calendar'!$I$1726)=FALSE,"",IF((Summary!$C$13="N")*('Dvd Calendar'!$I$1730='Field Check'!$C$25)&gt;0,"",'Dvd Calendar'!$I$1726)))</f>
        <v/>
      </c>
      <c r="BV127" s="85">
        <f>IF(H127="","",IF(ISNUMBER('Dvd Calendar'!$J$1726)=FALSE,"",IF((Summary!$C$13="N")*('Dvd Calendar'!$J$1730='Field Check'!$C$25)&gt;0,"",'Dvd Calendar'!$J$1726)))</f>
        <v/>
      </c>
      <c r="BW127" s="85">
        <f>IF(I127="","",IF(ISNUMBER('Dvd Calendar'!$K$1726)=FALSE,"",IF((Summary!$C$13="N")*('Dvd Calendar'!$K$1730='Field Check'!$C$25)&gt;0,"",'Dvd Calendar'!$K$1726)))</f>
        <v/>
      </c>
      <c r="BX127" s="85">
        <f>IF(J127="","",IF(ISNUMBER('Dvd Calendar'!$L$1726)=FALSE,"",IF((Summary!$C$13="N")*('Dvd Calendar'!$L$1730='Field Check'!$C$25)&gt;0,"",'Dvd Calendar'!$L$1726)))</f>
        <v/>
      </c>
      <c r="BY127" s="85">
        <f>IF(K127="","",IF(ISNUMBER('Dvd Calendar'!$M$1726)=FALSE,"",IF((Summary!$C$13="N")*('Dvd Calendar'!$M$1730='Field Check'!$C$25)&gt;0,"",'Dvd Calendar'!$M$1726)))</f>
        <v/>
      </c>
      <c r="BZ127" s="85">
        <f>IF(L127="","",IF(ISNUMBER('Dvd Calendar'!$N$1726)=FALSE,"",IF((Summary!$C$13="N")*('Dvd Calendar'!$N$1730='Field Check'!$C$25)&gt;0,"",'Dvd Calendar'!$N$1726)))</f>
        <v/>
      </c>
      <c r="CA127" s="85">
        <f>IF(M127="","",IF(ISNUMBER('Dvd Calendar'!$O$1726)=FALSE,"",IF((Summary!$C$13="N")*('Dvd Calendar'!$O$1730='Field Check'!$C$25)&gt;0,"",'Dvd Calendar'!$O$1726)))</f>
        <v/>
      </c>
      <c r="CB127" s="85">
        <f>IF(N127="","",IF(ISNUMBER('Dvd Calendar'!$P$1726)=FALSE,"",IF((Summary!$C$13="N")*('Dvd Calendar'!$P$1730='Field Check'!$C$25)&gt;0,"",'Dvd Calendar'!$P$1726)))</f>
        <v/>
      </c>
      <c r="CC127" s="85">
        <f>IF(O127="","",IF(ISNUMBER('Dvd Calendar'!$Q$1726)=FALSE,"",IF((Summary!$C$13="N")*('Dvd Calendar'!$Q$1730='Field Check'!$C$25)&gt;0,"",'Dvd Calendar'!$Q$1726)))</f>
        <v/>
      </c>
      <c r="CD127" s="85">
        <f>IF(P127="","",IF(ISNUMBER('Dvd Calendar'!$R$1726)=FALSE,"",IF((Summary!$C$13="N")*('Dvd Calendar'!$R$1730='Field Check'!$C$25)&gt;0,"",'Dvd Calendar'!$R$1726)))</f>
        <v/>
      </c>
      <c r="CE127" s="85">
        <f>IF(Q127="","",IF(ISNUMBER('Dvd Calendar'!$S$1726)=FALSE,"",IF((Summary!$C$13="N")*('Dvd Calendar'!$S$1730='Field Check'!$C$25)&gt;0,"",'Dvd Calendar'!$S$1726)))</f>
        <v/>
      </c>
      <c r="CF127" s="85">
        <f>IF(R127="","",IF(ISNUMBER('Dvd Calendar'!$T$1726)=FALSE,"",IF((Summary!$C$13="N")*('Dvd Calendar'!$T$1730='Field Check'!$C$25)&gt;0,"",'Dvd Calendar'!$T$1726)))</f>
        <v/>
      </c>
      <c r="CG127" s="85">
        <f>IF(S127="","",IF(ISNUMBER('Dvd Calendar'!$U$1726)=FALSE,"",IF((Summary!$C$13="N")*('Dvd Calendar'!$U$1730='Field Check'!$C$25)&gt;0,"",'Dvd Calendar'!$U$1726)))</f>
        <v/>
      </c>
      <c r="CH127" s="85">
        <f>IF(T127="","",IF(ISNUMBER('Dvd Calendar'!$V$1726)=FALSE,"",IF((Summary!$C$13="N")*('Dvd Calendar'!$V$1730='Field Check'!$C$25)&gt;0,"",'Dvd Calendar'!$V$1726)))</f>
        <v/>
      </c>
      <c r="CI127" s="85">
        <f>IF(U127="","",IF(ISNUMBER('Dvd Calendar'!$W$1726)=FALSE,"",IF((Summary!$C$13="N")*('Dvd Calendar'!$W$1730='Field Check'!$C$25)&gt;0,"",'Dvd Calendar'!$W$1726)))</f>
        <v/>
      </c>
      <c r="CJ127" s="85">
        <f>IF(V127="","",IF(ISNUMBER('Dvd Calendar'!$X$1726)=FALSE,"",IF((Summary!$C$13="N")*('Dvd Calendar'!$X$1730='Field Check'!$C$25)&gt;0,"",'Dvd Calendar'!$X$1726)))</f>
        <v/>
      </c>
      <c r="CK127" s="85">
        <f>IF(W127="","",IF(ISNUMBER('Dvd Calendar'!$Y$1726)=FALSE,"",IF((Summary!$C$13="N")*('Dvd Calendar'!$Y$1730='Field Check'!$C$25)&gt;0,"",'Dvd Calendar'!$Y$1726)))</f>
        <v/>
      </c>
      <c r="CL127" s="85">
        <f>IF(X127="","",IF(ISNUMBER('Dvd Calendar'!$Z$1726)=FALSE,"",IF((Summary!$C$13="N")*('Dvd Calendar'!$Z$1730='Field Check'!$C$25)&gt;0,"",'Dvd Calendar'!$Z$1726)))</f>
        <v/>
      </c>
      <c r="CM127" s="85">
        <f>IF(Y127="","",IF(ISNUMBER('Dvd Calendar'!$AA$1726)=FALSE,"",IF((Summary!$C$13="N")*('Dvd Calendar'!$AA$1730='Field Check'!$C$25)&gt;0,"",'Dvd Calendar'!$AA$1726)))</f>
        <v/>
      </c>
      <c r="CN127" s="85">
        <f>IF(Z127="","",IF(ISNUMBER('Dvd Calendar'!$AB$1726)=FALSE,"",IF((Summary!$C$13="N")*('Dvd Calendar'!$AB$1730='Field Check'!$C$25)&gt;0,"",'Dvd Calendar'!$AB$1726)))</f>
        <v/>
      </c>
      <c r="CO127" s="85">
        <f>IF(AA127="","",IF(ISNUMBER('Dvd Calendar'!$AC$1726)=FALSE,"",IF((Summary!$C$13="N")*('Dvd Calendar'!$AC$1730='Field Check'!$C$25)&gt;0,"",'Dvd Calendar'!$AC$1726)))</f>
        <v/>
      </c>
      <c r="CP127" s="85">
        <f>IF(AB127="","",IF(ISNUMBER('Dvd Calendar'!$AD$1726)=FALSE,"",IF((Summary!$C$13="N")*('Dvd Calendar'!$AD$1730='Field Check'!$C$25)&gt;0,"",'Dvd Calendar'!$AD$1726)))</f>
        <v/>
      </c>
      <c r="CQ127" s="85">
        <f>IF(AC127="","",IF(ISNUMBER('Dvd Calendar'!$AE$1726)=FALSE,"",IF((Summary!$C$13="N")*('Dvd Calendar'!$AE$1730='Field Check'!$C$25)&gt;0,"",'Dvd Calendar'!$AE$1726)))</f>
        <v/>
      </c>
      <c r="CR127" s="85">
        <f>IF(AD127="","",IF(ISNUMBER('Dvd Calendar'!$AF$1726)=FALSE,"",IF((Summary!$C$13="N")*('Dvd Calendar'!$AF$1730='Field Check'!$C$25)&gt;0,"",'Dvd Calendar'!$AF$1726)))</f>
        <v/>
      </c>
      <c r="CS127" s="85">
        <f>IF(AE127="","",IF(ISNUMBER('Dvd Calendar'!$AG$1726)=FALSE,"",IF((Summary!$C$13="N")*('Dvd Calendar'!$AG$1730='Field Check'!$C$25)&gt;0,"",'Dvd Calendar'!$AG$1726)))</f>
        <v/>
      </c>
      <c r="CT127" s="85">
        <f>IF(AF127="","",IF(ISNUMBER('Dvd Calendar'!$AH$1726)=FALSE,"",IF((Summary!$C$13="N")*('Dvd Calendar'!$AH$1730='Field Check'!$C$25)&gt;0,"",'Dvd Calendar'!$AH$1726)))</f>
        <v/>
      </c>
      <c r="CU127" s="85">
        <f>IF(AG127="","",IF(ISNUMBER('Dvd Calendar'!$AI$1726)=FALSE,"",IF((Summary!$C$13="N")*('Dvd Calendar'!$AI$1730='Field Check'!$C$25)&gt;0,"",'Dvd Calendar'!$AI$1726)))</f>
        <v/>
      </c>
      <c r="CV127" s="85">
        <f>IF(AH127="","",IF(ISNUMBER('Dvd Calendar'!$AJ$1726)=FALSE,"",IF((Summary!$C$13="N")*('Dvd Calendar'!$AJ$1730='Field Check'!$C$25)&gt;0,"",'Dvd Calendar'!$AJ$1726)))</f>
        <v/>
      </c>
      <c r="CW127" s="85">
        <f>IF(AI127="","",IF(ISNUMBER('Dvd Calendar'!$AK$1726)=FALSE,"",IF((Summary!$C$13="N")*('Dvd Calendar'!$AK$1730='Field Check'!$C$25)&gt;0,"",'Dvd Calendar'!$AK$1726)))</f>
        <v/>
      </c>
      <c r="CX127" s="85">
        <f>IF(AJ127="","",IF(ISNUMBER('Dvd Calendar'!$AL$1726)=FALSE,"",IF((Summary!$C$13="N")*('Dvd Calendar'!$AL$1730='Field Check'!$C$25)&gt;0,"",'Dvd Calendar'!$AL$1726)))</f>
        <v/>
      </c>
      <c r="CY127" s="85">
        <f>IF(AK127="","",IF(ISNUMBER('Dvd Calendar'!$AM$1726)=FALSE,"",IF((Summary!$C$13="N")*('Dvd Calendar'!$AM$1730='Field Check'!$C$25)&gt;0,"",'Dvd Calendar'!$AM$1726)))</f>
        <v/>
      </c>
      <c r="CZ127" s="85">
        <f>IF(AL127="","",IF(ISNUMBER('Dvd Calendar'!$AN$1726)=FALSE,"",IF((Summary!$C$13="N")*('Dvd Calendar'!$AN$1730='Field Check'!$C$25)&gt;0,"",'Dvd Calendar'!$AN$1726)))</f>
        <v/>
      </c>
      <c r="DA127" s="85">
        <f>IF(AM127="","",IF(ISNUMBER('Dvd Calendar'!$AO$1726)=FALSE,"",IF((Summary!$C$13="N")*('Dvd Calendar'!$AO$1730='Field Check'!$C$25)&gt;0,"",'Dvd Calendar'!$AO$1726)))</f>
        <v/>
      </c>
      <c r="DB127" s="85">
        <f>IF(AN127="","",IF(ISNUMBER('Dvd Calendar'!$AP$1726)=FALSE,"",IF((Summary!$C$13="N")*('Dvd Calendar'!$AP$1730='Field Check'!$C$25)&gt;0,"",'Dvd Calendar'!$AP$1726)))</f>
        <v/>
      </c>
      <c r="DC127" s="85">
        <f>IF(AO127="","",IF(ISNUMBER('Dvd Calendar'!$AQ$1726)=FALSE,"",IF((Summary!$C$13="N")*('Dvd Calendar'!$AQ$1730='Field Check'!$C$25)&gt;0,"",'Dvd Calendar'!$AQ$1726)))</f>
        <v/>
      </c>
      <c r="DD127" s="85">
        <f>IF(AP127="","",IF(ISNUMBER('Dvd Calendar'!$AR$1726)=FALSE,"",IF((Summary!$C$13="N")*('Dvd Calendar'!$AR$1730='Field Check'!$C$25)&gt;0,"",'Dvd Calendar'!$AR$1726)))</f>
        <v/>
      </c>
      <c r="DE127" s="85">
        <f>IF(AQ127="","",IF(ISNUMBER('Dvd Calendar'!$E$1733)=FALSE,"",IF((Summary!$C$13="N")*('Dvd Calendar'!$E$1737='Field Check'!$C$25)&gt;0,"",'Dvd Calendar'!$E$1733)))</f>
        <v/>
      </c>
      <c r="DF127" s="85">
        <f>IF(AR127="","",IF(ISNUMBER('Dvd Calendar'!$F$1733)=FALSE,"",IF((Summary!$C$13="N")*('Dvd Calendar'!$F$1737='Field Check'!$C$25)&gt;0,"",'Dvd Calendar'!$F$1733)))</f>
        <v/>
      </c>
      <c r="DG127" s="85">
        <f>IF(AS127="","",IF(ISNUMBER('Dvd Calendar'!$G$1733)=FALSE,"",IF((Summary!$C$13="N")*('Dvd Calendar'!$G$1737='Field Check'!$C$25)&gt;0,"",'Dvd Calendar'!$G$1733)))</f>
        <v/>
      </c>
      <c r="DH127" s="85">
        <f>IF(AT127="","",IF(ISNUMBER('Dvd Calendar'!$H$1733)=FALSE,"",IF((Summary!$C$13="N")*('Dvd Calendar'!$H$1737='Field Check'!$C$25)&gt;0,"",'Dvd Calendar'!$H$1733)))</f>
        <v/>
      </c>
      <c r="DI127" s="85">
        <f>IF(AU127="","",IF(ISNUMBER('Dvd Calendar'!$I$1733)=FALSE,"",IF((Summary!$C$13="N")*('Dvd Calendar'!$I$1737='Field Check'!$C$25)&gt;0,"",'Dvd Calendar'!$I$1733)))</f>
        <v/>
      </c>
      <c r="DJ127" s="85">
        <f>IF(AV127="","",IF(ISNUMBER('Dvd Calendar'!$J$1733)=FALSE,"",IF((Summary!$C$13="N")*('Dvd Calendar'!$J$1737='Field Check'!$C$25)&gt;0,"",'Dvd Calendar'!$J$1733)))</f>
        <v/>
      </c>
      <c r="DK127" s="85">
        <f>IF(AW127="","",IF(ISNUMBER('Dvd Calendar'!$K$1733)=FALSE,"",IF((Summary!$C$13="N")*('Dvd Calendar'!$K$1737='Field Check'!$C$25)&gt;0,"",'Dvd Calendar'!$K$1733)))</f>
        <v/>
      </c>
      <c r="DL127" s="85">
        <f>IF(AX127="","",IF(ISNUMBER('Dvd Calendar'!$L$1733)=FALSE,"",IF((Summary!$C$13="N")*('Dvd Calendar'!$L$1737='Field Check'!$C$25)&gt;0,"",'Dvd Calendar'!$L$1733)))</f>
        <v/>
      </c>
      <c r="DM127" s="85">
        <f>IF(AY127="","",IF(ISNUMBER('Dvd Calendar'!$M$1733)=FALSE,"",IF((Summary!$C$13="N")*('Dvd Calendar'!$M$1737='Field Check'!$C$25)&gt;0,"",'Dvd Calendar'!$M$1733)))</f>
        <v/>
      </c>
      <c r="DN127" s="85">
        <f>IF(AZ127="","",IF(ISNUMBER('Dvd Calendar'!$N$1733)=FALSE,"",IF((Summary!$C$13="N")*('Dvd Calendar'!$N$1737='Field Check'!$C$25)&gt;0,"",'Dvd Calendar'!$N$1733)))</f>
        <v/>
      </c>
      <c r="DO127" s="85">
        <f>IF(BA127="","",IF(ISNUMBER('Dvd Calendar'!$O$1733)=FALSE,"",IF((Summary!$C$13="N")*('Dvd Calendar'!$O$1737='Field Check'!$C$25)&gt;0,"",'Dvd Calendar'!$O$1733)))</f>
        <v/>
      </c>
      <c r="DP127" s="85">
        <f>IF(BB127="","",IF(ISNUMBER('Dvd Calendar'!$P$1733)=FALSE,"",IF((Summary!$C$13="N")*('Dvd Calendar'!$P$1737='Field Check'!$C$25)&gt;0,"",'Dvd Calendar'!$P$1733)))</f>
        <v/>
      </c>
      <c r="DQ127" s="85">
        <f>IF(BC127="","",IF(ISNUMBER('Dvd Calendar'!$Q$1733)=FALSE,"",IF((Summary!$C$13="N")*('Dvd Calendar'!$Q$1737='Field Check'!$C$25)&gt;0,"",'Dvd Calendar'!$Q$1733)))</f>
        <v/>
      </c>
      <c r="DR127" s="85">
        <f>IF(BD127="","",IF(ISNUMBER('Dvd Calendar'!$R$1733)=FALSE,"",IF((Summary!$C$13="N")*('Dvd Calendar'!$R$1737='Field Check'!$C$25)&gt;0,"",'Dvd Calendar'!$R$1733)))</f>
        <v/>
      </c>
      <c r="DS127" s="85">
        <f>IF(BE127="","",IF(ISNUMBER('Dvd Calendar'!$S$1733)=FALSE,"",IF((Summary!$C$13="N")*('Dvd Calendar'!$S$1737='Field Check'!$C$25)&gt;0,"",'Dvd Calendar'!$S$1733)))</f>
        <v/>
      </c>
      <c r="DT127" s="85">
        <f>IF(BF127="","",IF(ISNUMBER('Dvd Calendar'!$T$1733)=FALSE,"",IF((Summary!$C$13="N")*('Dvd Calendar'!$T$1737='Field Check'!$C$25)&gt;0,"",'Dvd Calendar'!$T$1733)))</f>
        <v/>
      </c>
      <c r="DU127" s="85">
        <f>IF(BG127="","",IF(ISNUMBER('Dvd Calendar'!$U$1733)=FALSE,"",IF((Summary!$C$13="N")*('Dvd Calendar'!$U$1737='Field Check'!$C$25)&gt;0,"",'Dvd Calendar'!$U$1733)))</f>
        <v/>
      </c>
      <c r="DV127" s="85">
        <f>IF(BH127="","",IF(ISNUMBER('Dvd Calendar'!$V$1733)=FALSE,"",IF((Summary!$C$13="N")*('Dvd Calendar'!$V$1737='Field Check'!$C$25)&gt;0,"",'Dvd Calendar'!$V$1733)))</f>
        <v/>
      </c>
      <c r="DW127" s="85">
        <f>IF(BI127="","",IF(ISNUMBER('Dvd Calendar'!$W$1733)=FALSE,"",IF((Summary!$C$13="N")*('Dvd Calendar'!$W$1737='Field Check'!$C$25)&gt;0,"",'Dvd Calendar'!$W$1733)))</f>
        <v/>
      </c>
      <c r="DX127" s="85">
        <f>IF(BJ127="","",IF(ISNUMBER('Dvd Calendar'!$X$1733)=FALSE,"",IF((Summary!$C$13="N")*('Dvd Calendar'!$X$1737='Field Check'!$C$25)&gt;0,"",'Dvd Calendar'!$X$1733)))</f>
        <v/>
      </c>
      <c r="DY127" s="85">
        <f>IF(BK127="","",IF(ISNUMBER('Dvd Calendar'!$Y$1733)=FALSE,"",IF((Summary!$C$13="N")*('Dvd Calendar'!$Y$1737='Field Check'!$C$25)&gt;0,"",'Dvd Calendar'!$Y$1733)))</f>
        <v/>
      </c>
      <c r="DZ127" s="85">
        <f>IF(BL127="","",IF(ISNUMBER('Dvd Calendar'!$Z$1733)=FALSE,"",IF((Summary!$C$13="N")*('Dvd Calendar'!$Z$1737='Field Check'!$C$25)&gt;0,"",'Dvd Calendar'!$Z$1733)))</f>
        <v/>
      </c>
      <c r="EA127" s="85">
        <f>IF(BM127="","",IF(ISNUMBER('Dvd Calendar'!$AA$1733)=FALSE,"",IF((Summary!$C$13="N")*('Dvd Calendar'!$AA$1737='Field Check'!$C$25)&gt;0,"",'Dvd Calendar'!$AA$1733)))</f>
        <v/>
      </c>
      <c r="EB127" s="85">
        <f>IF(BN127="","",IF(ISNUMBER('Dvd Calendar'!$AB$1733)=FALSE,"",IF((Summary!$C$13="N")*('Dvd Calendar'!$AB$1737='Field Check'!$C$25)&gt;0,"",'Dvd Calendar'!$AB$1733)))</f>
        <v/>
      </c>
      <c r="EC127" s="85">
        <f>IF(BO127="","",IF(ISNUMBER('Dvd Calendar'!$AC$1733)=FALSE,"",IF((Summary!$C$13="N")*('Dvd Calendar'!$AC$1737='Field Check'!$C$25)&gt;0,"",'Dvd Calendar'!$AC$1733)))</f>
        <v/>
      </c>
      <c r="EE127" s="85">
        <f>IF(BQ127="","",IFERROR(BQ127*HSTECH!$B$21*HSTECH!$G$21/HSTECH!$B$3,""))</f>
        <v/>
      </c>
      <c r="EF127" s="85">
        <f>IF(BR127="","",IFERROR(BR127*HSTECH!$B$21*HSTECH!$G$21/HSTECH!$B$3,""))</f>
        <v/>
      </c>
      <c r="EG127" s="85">
        <f>IF(BS127="","",IFERROR(BS127*HSTECH!$B$21*HSTECH!$G$21/HSTECH!$B$3,""))</f>
        <v/>
      </c>
      <c r="EH127" s="85">
        <f>IF(BT127="","",IFERROR(BT127*HSTECH!$B$21*HSTECH!$G$21/HSTECH!$B$3,""))</f>
        <v/>
      </c>
      <c r="EI127" s="85">
        <f>IF(BU127="","",IFERROR(BU127*HSTECH!$B$21*HSTECH!$G$21/HSTECH!$B$3,""))</f>
        <v/>
      </c>
      <c r="EJ127" s="85">
        <f>IF(BV127="","",IFERROR(BV127*HSTECH!$B$21*HSTECH!$G$21/HSTECH!$B$3,""))</f>
        <v/>
      </c>
      <c r="EK127" s="85">
        <f>IF(BW127="","",IFERROR(BW127*HSTECH!$B$21*HSTECH!$G$21/HSTECH!$B$3,""))</f>
        <v/>
      </c>
      <c r="EL127" s="85">
        <f>IF(BX127="","",IFERROR(BX127*HSTECH!$B$21*HSTECH!$G$21/HSTECH!$B$3,""))</f>
        <v/>
      </c>
      <c r="EM127" s="85">
        <f>IF(BY127="","",IFERROR(BY127*HSTECH!$B$21*HSTECH!$G$21/HSTECH!$B$3,""))</f>
        <v/>
      </c>
      <c r="EN127" s="85">
        <f>IF(BZ127="","",IFERROR(BZ127*HSTECH!$B$21*HSTECH!$G$21/HSTECH!$B$3,""))</f>
        <v/>
      </c>
      <c r="EO127" s="85">
        <f>IF(CA127="","",IFERROR(CA127*HSTECH!$B$21*HSTECH!$G$21/HSTECH!$B$3,""))</f>
        <v/>
      </c>
      <c r="EP127" s="85">
        <f>IF(CB127="","",IFERROR(CB127*HSTECH!$B$21*HSTECH!$G$21/HSTECH!$B$3,""))</f>
        <v/>
      </c>
      <c r="EQ127" s="85">
        <f>IF(CC127="","",IFERROR(CC127*HSTECH!$B$21*HSTECH!$G$21/HSTECH!$B$3,""))</f>
        <v/>
      </c>
      <c r="ER127" s="85">
        <f>IF(CD127="","",IFERROR(CD127*HSTECH!$B$21*HSTECH!$G$21/HSTECH!$B$3,""))</f>
        <v/>
      </c>
      <c r="ES127" s="85">
        <f>IF(CE127="","",IFERROR(CE127*HSTECH!$B$21*HSTECH!$G$21/HSTECH!$B$3,""))</f>
        <v/>
      </c>
      <c r="ET127" s="85">
        <f>IF(CF127="","",IFERROR(CF127*HSTECH!$B$21*HSTECH!$G$21/HSTECH!$B$3,""))</f>
        <v/>
      </c>
      <c r="EU127" s="85">
        <f>IF(CG127="","",IFERROR(CG127*HSTECH!$B$21*HSTECH!$G$21/HSTECH!$B$3,""))</f>
        <v/>
      </c>
      <c r="EV127" s="85">
        <f>IF(CH127="","",IFERROR(CH127*HSTECH!$B$21*HSTECH!$G$21/HSTECH!$B$3,""))</f>
        <v/>
      </c>
      <c r="EW127" s="85">
        <f>IF(CI127="","",IFERROR(CI127*HSTECH!$B$21*HSTECH!$G$21/HSTECH!$B$3,""))</f>
        <v/>
      </c>
      <c r="EX127" s="85">
        <f>IF(CJ127="","",IFERROR(CJ127*HSTECH!$B$21*HSTECH!$G$21/HSTECH!$B$3,""))</f>
        <v/>
      </c>
      <c r="EY127" s="85">
        <f>IF(CK127="","",IFERROR(CK127*HSTECH!$B$21*HSTECH!$G$21/HSTECH!$B$3,""))</f>
        <v/>
      </c>
      <c r="EZ127" s="85">
        <f>IF(CL127="","",IFERROR(CL127*HSTECH!$B$21*HSTECH!$G$21/HSTECH!$B$3,""))</f>
        <v/>
      </c>
      <c r="FA127" s="85">
        <f>IF(CM127="","",IFERROR(CM127*HSTECH!$B$21*HSTECH!$G$21/HSTECH!$B$3,""))</f>
        <v/>
      </c>
      <c r="FB127" s="85">
        <f>IF(CN127="","",IFERROR(CN127*HSTECH!$B$21*HSTECH!$G$21/HSTECH!$B$3,""))</f>
        <v/>
      </c>
      <c r="FC127" s="85">
        <f>IF(CO127="","",IFERROR(CO127*HSTECH!$B$21*HSTECH!$G$21/HSTECH!$B$3,""))</f>
        <v/>
      </c>
      <c r="FD127" s="85">
        <f>IF(CP127="","",IFERROR(CP127*HSTECH!$B$21*HSTECH!$G$21/HSTECH!$B$3,""))</f>
        <v/>
      </c>
      <c r="FE127" s="85">
        <f>IF(CQ127="","",IFERROR(CQ127*HSTECH!$B$21*HSTECH!$G$21/HSTECH!$B$3,""))</f>
        <v/>
      </c>
      <c r="FF127" s="85">
        <f>IF(CR127="","",IFERROR(CR127*HSTECH!$B$21*HSTECH!$G$21/HSTECH!$B$3,""))</f>
        <v/>
      </c>
      <c r="FG127" s="85">
        <f>IF(CS127="","",IFERROR(CS127*HSTECH!$B$21*HSTECH!$G$21/HSTECH!$B$3,""))</f>
        <v/>
      </c>
      <c r="FH127" s="85">
        <f>IF(CT127="","",IFERROR(CT127*HSTECH!$B$21*HSTECH!$G$21/HSTECH!$B$3,""))</f>
        <v/>
      </c>
      <c r="FI127" s="85">
        <f>IF(CU127="","",IFERROR(CU127*HSTECH!$B$21*HSTECH!$G$21/HSTECH!$B$3,""))</f>
        <v/>
      </c>
      <c r="FJ127" s="85">
        <f>IF(CV127="","",IFERROR(CV127*HSTECH!$B$21*HSTECH!$G$21/HSTECH!$B$3,""))</f>
        <v/>
      </c>
      <c r="FK127" s="85">
        <f>IF(CW127="","",IFERROR(CW127*HSTECH!$B$21*HSTECH!$G$21/HSTECH!$B$3,""))</f>
        <v/>
      </c>
      <c r="FL127" s="85">
        <f>IF(CX127="","",IFERROR(CX127*HSTECH!$B$21*HSTECH!$G$21/HSTECH!$B$3,""))</f>
        <v/>
      </c>
      <c r="FM127" s="85">
        <f>IF(CY127="","",IFERROR(CY127*HSTECH!$B$21*HSTECH!$G$21/HSTECH!$B$3,""))</f>
        <v/>
      </c>
      <c r="FN127" s="85">
        <f>IF(CZ127="","",IFERROR(CZ127*HSTECH!$B$21*HSTECH!$G$21/HSTECH!$B$3,""))</f>
        <v/>
      </c>
      <c r="FO127" s="85">
        <f>IF(DA127="","",IFERROR(DA127*HSTECH!$B$21*HSTECH!$G$21/HSTECH!$B$3,""))</f>
        <v/>
      </c>
      <c r="FP127" s="85">
        <f>IF(DB127="","",IFERROR(DB127*HSTECH!$B$21*HSTECH!$G$21/HSTECH!$B$3,""))</f>
        <v/>
      </c>
      <c r="FQ127" s="85">
        <f>IF(DC127="","",IFERROR(DC127*HSTECH!$B$21*HSTECH!$G$21/HSTECH!$B$3,""))</f>
        <v/>
      </c>
      <c r="FR127" s="85">
        <f>IF(DD127="","",IFERROR(DD127*HSTECH!$B$21*HSTECH!$G$21/HSTECH!$B$3,""))</f>
        <v/>
      </c>
      <c r="FS127" s="85">
        <f>IF(DE127="","",IFERROR(DE127*HSTECH!$B$21*HSTECH!$G$21/HSTECH!$B$3,""))</f>
        <v/>
      </c>
      <c r="FT127" s="85">
        <f>IF(DF127="","",IFERROR(DF127*HSTECH!$B$21*HSTECH!$G$21/HSTECH!$B$3,""))</f>
        <v/>
      </c>
      <c r="FU127" s="85">
        <f>IF(DG127="","",IFERROR(DG127*HSTECH!$B$21*HSTECH!$G$21/HSTECH!$B$3,""))</f>
        <v/>
      </c>
      <c r="FV127" s="85">
        <f>IF(DH127="","",IFERROR(DH127*HSTECH!$B$21*HSTECH!$G$21/HSTECH!$B$3,""))</f>
        <v/>
      </c>
      <c r="FW127" s="85">
        <f>IF(DI127="","",IFERROR(DI127*HSTECH!$B$21*HSTECH!$G$21/HSTECH!$B$3,""))</f>
        <v/>
      </c>
      <c r="FX127" s="85">
        <f>IF(DJ127="","",IFERROR(DJ127*HSTECH!$B$21*HSTECH!$G$21/HSTECH!$B$3,""))</f>
        <v/>
      </c>
      <c r="FY127" s="85">
        <f>IF(DK127="","",IFERROR(DK127*HSTECH!$B$21*HSTECH!$G$21/HSTECH!$B$3,""))</f>
        <v/>
      </c>
      <c r="FZ127" s="85">
        <f>IF(DL127="","",IFERROR(DL127*HSTECH!$B$21*HSTECH!$G$21/HSTECH!$B$3,""))</f>
        <v/>
      </c>
      <c r="GA127" s="85">
        <f>IF(DM127="","",IFERROR(DM127*HSTECH!$B$21*HSTECH!$G$21/HSTECH!$B$3,""))</f>
        <v/>
      </c>
      <c r="GB127" s="85">
        <f>IF(DN127="","",IFERROR(DN127*HSTECH!$B$21*HSTECH!$G$21/HSTECH!$B$3,""))</f>
        <v/>
      </c>
      <c r="GC127" s="85">
        <f>IF(DO127="","",IFERROR(DO127*HSTECH!$B$21*HSTECH!$G$21/HSTECH!$B$3,""))</f>
        <v/>
      </c>
      <c r="GD127" s="85">
        <f>IF(DP127="","",IFERROR(DP127*HSTECH!$B$21*HSTECH!$G$21/HSTECH!$B$3,""))</f>
        <v/>
      </c>
      <c r="GE127" s="85">
        <f>IF(DQ127="","",IFERROR(DQ127*HSTECH!$B$21*HSTECH!$G$21/HSTECH!$B$3,""))</f>
        <v/>
      </c>
      <c r="GF127" s="85">
        <f>IF(DR127="","",IFERROR(DR127*HSTECH!$B$21*HSTECH!$G$21/HSTECH!$B$3,""))</f>
        <v/>
      </c>
      <c r="GG127" s="85">
        <f>IF(DS127="","",IFERROR(DS127*HSTECH!$B$21*HSTECH!$G$21/HSTECH!$B$3,""))</f>
        <v/>
      </c>
      <c r="GH127" s="85">
        <f>IF(DT127="","",IFERROR(DT127*HSTECH!$B$21*HSTECH!$G$21/HSTECH!$B$3,""))</f>
        <v/>
      </c>
      <c r="GI127" s="85">
        <f>IF(DU127="","",IFERROR(DU127*HSTECH!$B$21*HSTECH!$G$21/HSTECH!$B$3,""))</f>
        <v/>
      </c>
      <c r="GJ127" s="85">
        <f>IF(DV127="","",IFERROR(DV127*HSTECH!$B$21*HSTECH!$G$21/HSTECH!$B$3,""))</f>
        <v/>
      </c>
      <c r="GK127" s="85">
        <f>IF(DW127="","",IFERROR(DW127*HSTECH!$B$21*HSTECH!$G$21/HSTECH!$B$3,""))</f>
        <v/>
      </c>
      <c r="GL127" s="85">
        <f>IF(DX127="","",IFERROR(DX127*HSTECH!$B$21*HSTECH!$G$21/HSTECH!$B$3,""))</f>
        <v/>
      </c>
      <c r="GM127" s="85">
        <f>IF(DY127="","",IFERROR(DY127*HSTECH!$B$21*HSTECH!$G$21/HSTECH!$B$3,""))</f>
        <v/>
      </c>
      <c r="GN127" s="85">
        <f>IF(DZ127="","",IFERROR(DZ127*HSTECH!$B$21*HSTECH!$G$21/HSTECH!$B$3,""))</f>
        <v/>
      </c>
      <c r="GO127" s="85">
        <f>IF(EA127="","",IFERROR(EA127*HSTECH!$B$21*HSTECH!$G$21/HSTECH!$B$3,""))</f>
        <v/>
      </c>
      <c r="GP127" s="85">
        <f>IF(EB127="","",IFERROR(EB127*HSTECH!$B$21*HSTECH!$G$21/HSTECH!$B$3,""))</f>
        <v/>
      </c>
      <c r="GQ127" s="85">
        <f>IF(EC127="","",IFERROR(EC127*HSTECH!$B$21*HSTECH!$G$21/HSTECH!$B$3,""))</f>
        <v/>
      </c>
    </row>
    <row r="128">
      <c r="B128" s="2">
        <f>IF(HSTECH!$C$22="","",HSTECH!$C$22)</f>
        <v/>
      </c>
      <c r="C128" s="41">
        <f>IF(N('Dvd Calendar'!$E$1740)=0,"",IF(('Dvd Calendar'!$E$1740&gt;=MIN(DATE(Summary!$C$12,1,1),Summary!$C$11))*('Dvd Calendar'!$E$1740&lt;=MAX(DATE(Summary!$C$12,12,31),Summary!$C$15))*('Dvd Calendar'!$E$1740&lt;=Summary!$C$11)=0,"",'Dvd Calendar'!$E$1740*1000000000+ISNUMBER('Dvd Calendar'!$E$1741)*100000000+('Dvd Calendar'!$E$1745='Field Check'!$C$25)*10000000+(N('Dvd Calendar'!$E$1739)&gt;0)*1000000+16*1000+1))</f>
        <v/>
      </c>
      <c r="D128" s="41">
        <f>IF(N('Dvd Calendar'!$F$1740)=0,"",IF(('Dvd Calendar'!$F$1740&gt;=MIN(DATE(Summary!$C$12,1,1),Summary!$C$11))*('Dvd Calendar'!$F$1740&lt;=MAX(DATE(Summary!$C$12,12,31),Summary!$C$15))*('Dvd Calendar'!$F$1740&lt;=Summary!$C$11)=0,"",'Dvd Calendar'!$F$1740*1000000000+ISNUMBER('Dvd Calendar'!$F$1741)*100000000+('Dvd Calendar'!$F$1745='Field Check'!$C$25)*10000000+(N('Dvd Calendar'!$F$1739)&gt;0)*1000000+16*1000+2))</f>
        <v/>
      </c>
      <c r="E128" s="41">
        <f>IF(N('Dvd Calendar'!$G$1740)=0,"",IF(('Dvd Calendar'!$G$1740&gt;=MIN(DATE(Summary!$C$12,1,1),Summary!$C$11))*('Dvd Calendar'!$G$1740&lt;=MAX(DATE(Summary!$C$12,12,31),Summary!$C$15))*('Dvd Calendar'!$G$1740&lt;=Summary!$C$11)=0,"",'Dvd Calendar'!$G$1740*1000000000+ISNUMBER('Dvd Calendar'!$G$1741)*100000000+('Dvd Calendar'!$G$1745='Field Check'!$C$25)*10000000+(N('Dvd Calendar'!$G$1739)&gt;0)*1000000+16*1000+3))</f>
        <v/>
      </c>
      <c r="F128" s="41">
        <f>IF(N('Dvd Calendar'!$H$1740)=0,"",IF(('Dvd Calendar'!$H$1740&gt;=MIN(DATE(Summary!$C$12,1,1),Summary!$C$11))*('Dvd Calendar'!$H$1740&lt;=MAX(DATE(Summary!$C$12,12,31),Summary!$C$15))*('Dvd Calendar'!$H$1740&lt;=Summary!$C$11)=0,"",'Dvd Calendar'!$H$1740*1000000000+ISNUMBER('Dvd Calendar'!$H$1741)*100000000+('Dvd Calendar'!$H$1745='Field Check'!$C$25)*10000000+(N('Dvd Calendar'!$H$1739)&gt;0)*1000000+16*1000+4))</f>
        <v/>
      </c>
      <c r="G128" s="41">
        <f>IF(N('Dvd Calendar'!$I$1740)=0,"",IF(('Dvd Calendar'!$I$1740&gt;=MIN(DATE(Summary!$C$12,1,1),Summary!$C$11))*('Dvd Calendar'!$I$1740&lt;=MAX(DATE(Summary!$C$12,12,31),Summary!$C$15))*('Dvd Calendar'!$I$1740&lt;=Summary!$C$11)=0,"",'Dvd Calendar'!$I$1740*1000000000+ISNUMBER('Dvd Calendar'!$I$1741)*100000000+('Dvd Calendar'!$I$1745='Field Check'!$C$25)*10000000+(N('Dvd Calendar'!$I$1739)&gt;0)*1000000+16*1000+5))</f>
        <v/>
      </c>
      <c r="H128" s="41">
        <f>IF(N('Dvd Calendar'!$J$1740)=0,"",IF(('Dvd Calendar'!$J$1740&gt;=MIN(DATE(Summary!$C$12,1,1),Summary!$C$11))*('Dvd Calendar'!$J$1740&lt;=MAX(DATE(Summary!$C$12,12,31),Summary!$C$15))*('Dvd Calendar'!$J$1740&lt;=Summary!$C$11)=0,"",'Dvd Calendar'!$J$1740*1000000000+ISNUMBER('Dvd Calendar'!$J$1741)*100000000+('Dvd Calendar'!$J$1745='Field Check'!$C$25)*10000000+(N('Dvd Calendar'!$J$1739)&gt;0)*1000000+16*1000+6))</f>
        <v/>
      </c>
      <c r="I128" s="41">
        <f>IF(N('Dvd Calendar'!$K$1740)=0,"",IF(('Dvd Calendar'!$K$1740&gt;=MIN(DATE(Summary!$C$12,1,1),Summary!$C$11))*('Dvd Calendar'!$K$1740&lt;=MAX(DATE(Summary!$C$12,12,31),Summary!$C$15))*('Dvd Calendar'!$K$1740&lt;=Summary!$C$11)=0,"",'Dvd Calendar'!$K$1740*1000000000+ISNUMBER('Dvd Calendar'!$K$1741)*100000000+('Dvd Calendar'!$K$1745='Field Check'!$C$25)*10000000+(N('Dvd Calendar'!$K$1739)&gt;0)*1000000+16*1000+7))</f>
        <v/>
      </c>
      <c r="J128" s="41">
        <f>IF(N('Dvd Calendar'!$L$1740)=0,"",IF(('Dvd Calendar'!$L$1740&gt;=MIN(DATE(Summary!$C$12,1,1),Summary!$C$11))*('Dvd Calendar'!$L$1740&lt;=MAX(DATE(Summary!$C$12,12,31),Summary!$C$15))*('Dvd Calendar'!$L$1740&lt;=Summary!$C$11)=0,"",'Dvd Calendar'!$L$1740*1000000000+ISNUMBER('Dvd Calendar'!$L$1741)*100000000+('Dvd Calendar'!$L$1745='Field Check'!$C$25)*10000000+(N('Dvd Calendar'!$L$1739)&gt;0)*1000000+16*1000+8))</f>
        <v/>
      </c>
      <c r="K128" s="41">
        <f>IF(N('Dvd Calendar'!$M$1740)=0,"",IF(('Dvd Calendar'!$M$1740&gt;=MIN(DATE(Summary!$C$12,1,1),Summary!$C$11))*('Dvd Calendar'!$M$1740&lt;=MAX(DATE(Summary!$C$12,12,31),Summary!$C$15))*('Dvd Calendar'!$M$1740&lt;=Summary!$C$11)=0,"",'Dvd Calendar'!$M$1740*1000000000+ISNUMBER('Dvd Calendar'!$M$1741)*100000000+('Dvd Calendar'!$M$1745='Field Check'!$C$25)*10000000+(N('Dvd Calendar'!$M$1739)&gt;0)*1000000+16*1000+9))</f>
        <v/>
      </c>
      <c r="L128" s="41">
        <f>IF(N('Dvd Calendar'!$N$1740)=0,"",IF(('Dvd Calendar'!$N$1740&gt;=MIN(DATE(Summary!$C$12,1,1),Summary!$C$11))*('Dvd Calendar'!$N$1740&lt;=MAX(DATE(Summary!$C$12,12,31),Summary!$C$15))*('Dvd Calendar'!$N$1740&lt;=Summary!$C$11)=0,"",'Dvd Calendar'!$N$1740*1000000000+ISNUMBER('Dvd Calendar'!$N$1741)*100000000+('Dvd Calendar'!$N$1745='Field Check'!$C$25)*10000000+(N('Dvd Calendar'!$N$1739)&gt;0)*1000000+16*1000+10))</f>
        <v/>
      </c>
      <c r="M128" s="41">
        <f>IF(N('Dvd Calendar'!$O$1740)=0,"",IF(('Dvd Calendar'!$O$1740&gt;=MIN(DATE(Summary!$C$12,1,1),Summary!$C$11))*('Dvd Calendar'!$O$1740&lt;=MAX(DATE(Summary!$C$12,12,31),Summary!$C$15))*('Dvd Calendar'!$O$1740&lt;=Summary!$C$11)=0,"",'Dvd Calendar'!$O$1740*1000000000+ISNUMBER('Dvd Calendar'!$O$1741)*100000000+('Dvd Calendar'!$O$1745='Field Check'!$C$25)*10000000+(N('Dvd Calendar'!$O$1739)&gt;0)*1000000+16*1000+11))</f>
        <v/>
      </c>
      <c r="N128" s="41">
        <f>IF(N('Dvd Calendar'!$P$1740)=0,"",IF(('Dvd Calendar'!$P$1740&gt;=MIN(DATE(Summary!$C$12,1,1),Summary!$C$11))*('Dvd Calendar'!$P$1740&lt;=MAX(DATE(Summary!$C$12,12,31),Summary!$C$15))*('Dvd Calendar'!$P$1740&lt;=Summary!$C$11)=0,"",'Dvd Calendar'!$P$1740*1000000000+ISNUMBER('Dvd Calendar'!$P$1741)*100000000+('Dvd Calendar'!$P$1745='Field Check'!$C$25)*10000000+(N('Dvd Calendar'!$P$1739)&gt;0)*1000000+16*1000+12))</f>
        <v/>
      </c>
      <c r="O128" s="41">
        <f>IF(N('Dvd Calendar'!$Q$1740)=0,"",IF(('Dvd Calendar'!$Q$1740&gt;=MIN(DATE(Summary!$C$12,1,1),Summary!$C$11))*('Dvd Calendar'!$Q$1740&lt;=MAX(DATE(Summary!$C$12,12,31),Summary!$C$15))*('Dvd Calendar'!$Q$1740&lt;=Summary!$C$11)=0,"",'Dvd Calendar'!$Q$1740*1000000000+ISNUMBER('Dvd Calendar'!$Q$1741)*100000000+('Dvd Calendar'!$Q$1745='Field Check'!$C$25)*10000000+(N('Dvd Calendar'!$Q$1739)&gt;0)*1000000+16*1000+13))</f>
        <v/>
      </c>
      <c r="P128" s="41">
        <f>IF(N('Dvd Calendar'!$R$1740)=0,"",IF(('Dvd Calendar'!$R$1740&gt;=MIN(DATE(Summary!$C$12,1,1),Summary!$C$11))*('Dvd Calendar'!$R$1740&lt;=MAX(DATE(Summary!$C$12,12,31),Summary!$C$15))*('Dvd Calendar'!$R$1740&lt;=Summary!$C$11)=0,"",'Dvd Calendar'!$R$1740*1000000000+ISNUMBER('Dvd Calendar'!$R$1741)*100000000+('Dvd Calendar'!$R$1745='Field Check'!$C$25)*10000000+(N('Dvd Calendar'!$R$1739)&gt;0)*1000000+16*1000+14))</f>
        <v/>
      </c>
      <c r="Q128" s="41">
        <f>IF(N('Dvd Calendar'!$S$1740)=0,"",IF(('Dvd Calendar'!$S$1740&gt;=MIN(DATE(Summary!$C$12,1,1),Summary!$C$11))*('Dvd Calendar'!$S$1740&lt;=MAX(DATE(Summary!$C$12,12,31),Summary!$C$15))*('Dvd Calendar'!$S$1740&lt;=Summary!$C$11)=0,"",'Dvd Calendar'!$S$1740*1000000000+ISNUMBER('Dvd Calendar'!$S$1741)*100000000+('Dvd Calendar'!$S$1745='Field Check'!$C$25)*10000000+(N('Dvd Calendar'!$S$1739)&gt;0)*1000000+16*1000+15))</f>
        <v/>
      </c>
      <c r="R128" s="41">
        <f>IF(N('Dvd Calendar'!$T$1740)=0,"",IF(('Dvd Calendar'!$T$1740&gt;=MIN(DATE(Summary!$C$12,1,1),Summary!$C$11))*('Dvd Calendar'!$T$1740&lt;=MAX(DATE(Summary!$C$12,12,31),Summary!$C$15))*('Dvd Calendar'!$T$1740&lt;=Summary!$C$11)=0,"",'Dvd Calendar'!$T$1740*1000000000+ISNUMBER('Dvd Calendar'!$T$1741)*100000000+('Dvd Calendar'!$T$1745='Field Check'!$C$25)*10000000+(N('Dvd Calendar'!$T$1739)&gt;0)*1000000+16*1000+16))</f>
        <v/>
      </c>
      <c r="S128" s="41">
        <f>IF(N('Dvd Calendar'!$U$1740)=0,"",IF(('Dvd Calendar'!$U$1740&gt;=MIN(DATE(Summary!$C$12,1,1),Summary!$C$11))*('Dvd Calendar'!$U$1740&lt;=MAX(DATE(Summary!$C$12,12,31),Summary!$C$15))*('Dvd Calendar'!$U$1740&lt;=Summary!$C$11)=0,"",'Dvd Calendar'!$U$1740*1000000000+ISNUMBER('Dvd Calendar'!$U$1741)*100000000+('Dvd Calendar'!$U$1745='Field Check'!$C$25)*10000000+(N('Dvd Calendar'!$U$1739)&gt;0)*1000000+16*1000+17))</f>
        <v/>
      </c>
      <c r="T128" s="41">
        <f>IF(N('Dvd Calendar'!$V$1740)=0,"",IF(('Dvd Calendar'!$V$1740&gt;=MIN(DATE(Summary!$C$12,1,1),Summary!$C$11))*('Dvd Calendar'!$V$1740&lt;=MAX(DATE(Summary!$C$12,12,31),Summary!$C$15))*('Dvd Calendar'!$V$1740&lt;=Summary!$C$11)=0,"",'Dvd Calendar'!$V$1740*1000000000+ISNUMBER('Dvd Calendar'!$V$1741)*100000000+('Dvd Calendar'!$V$1745='Field Check'!$C$25)*10000000+(N('Dvd Calendar'!$V$1739)&gt;0)*1000000+16*1000+18))</f>
        <v/>
      </c>
      <c r="U128" s="41">
        <f>IF(N('Dvd Calendar'!$W$1740)=0,"",IF(('Dvd Calendar'!$W$1740&gt;=MIN(DATE(Summary!$C$12,1,1),Summary!$C$11))*('Dvd Calendar'!$W$1740&lt;=MAX(DATE(Summary!$C$12,12,31),Summary!$C$15))*('Dvd Calendar'!$W$1740&lt;=Summary!$C$11)=0,"",'Dvd Calendar'!$W$1740*1000000000+ISNUMBER('Dvd Calendar'!$W$1741)*100000000+('Dvd Calendar'!$W$1745='Field Check'!$C$25)*10000000+(N('Dvd Calendar'!$W$1739)&gt;0)*1000000+16*1000+19))</f>
        <v/>
      </c>
      <c r="V128" s="41">
        <f>IF(N('Dvd Calendar'!$X$1740)=0,"",IF(('Dvd Calendar'!$X$1740&gt;=MIN(DATE(Summary!$C$12,1,1),Summary!$C$11))*('Dvd Calendar'!$X$1740&lt;=MAX(DATE(Summary!$C$12,12,31),Summary!$C$15))*('Dvd Calendar'!$X$1740&lt;=Summary!$C$11)=0,"",'Dvd Calendar'!$X$1740*1000000000+ISNUMBER('Dvd Calendar'!$X$1741)*100000000+('Dvd Calendar'!$X$1745='Field Check'!$C$25)*10000000+(N('Dvd Calendar'!$X$1739)&gt;0)*1000000+16*1000+20))</f>
        <v/>
      </c>
      <c r="W128" s="41">
        <f>IF(N('Dvd Calendar'!$Y$1740)=0,"",IF(('Dvd Calendar'!$Y$1740&gt;=MIN(DATE(Summary!$C$12,1,1),Summary!$C$11))*('Dvd Calendar'!$Y$1740&lt;=MAX(DATE(Summary!$C$12,12,31),Summary!$C$15))*('Dvd Calendar'!$Y$1740&lt;=Summary!$C$11)=0,"",'Dvd Calendar'!$Y$1740*1000000000+ISNUMBER('Dvd Calendar'!$Y$1741)*100000000+('Dvd Calendar'!$Y$1745='Field Check'!$C$25)*10000000+(N('Dvd Calendar'!$Y$1739)&gt;0)*1000000+16*1000+21))</f>
        <v/>
      </c>
      <c r="X128" s="41">
        <f>IF(N('Dvd Calendar'!$Z$1740)=0,"",IF(('Dvd Calendar'!$Z$1740&gt;=MIN(DATE(Summary!$C$12,1,1),Summary!$C$11))*('Dvd Calendar'!$Z$1740&lt;=MAX(DATE(Summary!$C$12,12,31),Summary!$C$15))*('Dvd Calendar'!$Z$1740&lt;=Summary!$C$11)=0,"",'Dvd Calendar'!$Z$1740*1000000000+ISNUMBER('Dvd Calendar'!$Z$1741)*100000000+('Dvd Calendar'!$Z$1745='Field Check'!$C$25)*10000000+(N('Dvd Calendar'!$Z$1739)&gt;0)*1000000+16*1000+22))</f>
        <v/>
      </c>
      <c r="Y128" s="41">
        <f>IF(N('Dvd Calendar'!$AA$1740)=0,"",IF(('Dvd Calendar'!$AA$1740&gt;=MIN(DATE(Summary!$C$12,1,1),Summary!$C$11))*('Dvd Calendar'!$AA$1740&lt;=MAX(DATE(Summary!$C$12,12,31),Summary!$C$15))*('Dvd Calendar'!$AA$1740&lt;=Summary!$C$11)=0,"",'Dvd Calendar'!$AA$1740*1000000000+ISNUMBER('Dvd Calendar'!$AA$1741)*100000000+('Dvd Calendar'!$AA$1745='Field Check'!$C$25)*10000000+(N('Dvd Calendar'!$AA$1739)&gt;0)*1000000+16*1000+23))</f>
        <v/>
      </c>
      <c r="Z128" s="41">
        <f>IF(N('Dvd Calendar'!$AB$1740)=0,"",IF(('Dvd Calendar'!$AB$1740&gt;=MIN(DATE(Summary!$C$12,1,1),Summary!$C$11))*('Dvd Calendar'!$AB$1740&lt;=MAX(DATE(Summary!$C$12,12,31),Summary!$C$15))*('Dvd Calendar'!$AB$1740&lt;=Summary!$C$11)=0,"",'Dvd Calendar'!$AB$1740*1000000000+ISNUMBER('Dvd Calendar'!$AB$1741)*100000000+('Dvd Calendar'!$AB$1745='Field Check'!$C$25)*10000000+(N('Dvd Calendar'!$AB$1739)&gt;0)*1000000+16*1000+24))</f>
        <v/>
      </c>
      <c r="AA128" s="41">
        <f>IF(N('Dvd Calendar'!$AC$1740)=0,"",IF(('Dvd Calendar'!$AC$1740&gt;=MIN(DATE(Summary!$C$12,1,1),Summary!$C$11))*('Dvd Calendar'!$AC$1740&lt;=MAX(DATE(Summary!$C$12,12,31),Summary!$C$15))*('Dvd Calendar'!$AC$1740&lt;=Summary!$C$11)=0,"",'Dvd Calendar'!$AC$1740*1000000000+ISNUMBER('Dvd Calendar'!$AC$1741)*100000000+('Dvd Calendar'!$AC$1745='Field Check'!$C$25)*10000000+(N('Dvd Calendar'!$AC$1739)&gt;0)*1000000+16*1000+25))</f>
        <v/>
      </c>
      <c r="AB128" s="41">
        <f>IF(N('Dvd Calendar'!$AD$1740)=0,"",IF(('Dvd Calendar'!$AD$1740&gt;=MIN(DATE(Summary!$C$12,1,1),Summary!$C$11))*('Dvd Calendar'!$AD$1740&lt;=MAX(DATE(Summary!$C$12,12,31),Summary!$C$15))*('Dvd Calendar'!$AD$1740&lt;=Summary!$C$11)=0,"",'Dvd Calendar'!$AD$1740*1000000000+ISNUMBER('Dvd Calendar'!$AD$1741)*100000000+('Dvd Calendar'!$AD$1745='Field Check'!$C$25)*10000000+(N('Dvd Calendar'!$AD$1739)&gt;0)*1000000+16*1000+26))</f>
        <v/>
      </c>
      <c r="AC128" s="41">
        <f>IF(N('Dvd Calendar'!$AE$1740)=0,"",IF(('Dvd Calendar'!$AE$1740&gt;=MIN(DATE(Summary!$C$12,1,1),Summary!$C$11))*('Dvd Calendar'!$AE$1740&lt;=MAX(DATE(Summary!$C$12,12,31),Summary!$C$15))*('Dvd Calendar'!$AE$1740&lt;=Summary!$C$11)=0,"",'Dvd Calendar'!$AE$1740*1000000000+ISNUMBER('Dvd Calendar'!$AE$1741)*100000000+('Dvd Calendar'!$AE$1745='Field Check'!$C$25)*10000000+(N('Dvd Calendar'!$AE$1739)&gt;0)*1000000+16*1000+27))</f>
        <v/>
      </c>
      <c r="AD128" s="41">
        <f>IF(N('Dvd Calendar'!$AF$1740)=0,"",IF(('Dvd Calendar'!$AF$1740&gt;=MIN(DATE(Summary!$C$12,1,1),Summary!$C$11))*('Dvd Calendar'!$AF$1740&lt;=MAX(DATE(Summary!$C$12,12,31),Summary!$C$15))*('Dvd Calendar'!$AF$1740&lt;=Summary!$C$11)=0,"",'Dvd Calendar'!$AF$1740*1000000000+ISNUMBER('Dvd Calendar'!$AF$1741)*100000000+('Dvd Calendar'!$AF$1745='Field Check'!$C$25)*10000000+(N('Dvd Calendar'!$AF$1739)&gt;0)*1000000+16*1000+28))</f>
        <v/>
      </c>
      <c r="AE128" s="41">
        <f>IF(N('Dvd Calendar'!$AG$1740)=0,"",IF(('Dvd Calendar'!$AG$1740&gt;=MIN(DATE(Summary!$C$12,1,1),Summary!$C$11))*('Dvd Calendar'!$AG$1740&lt;=MAX(DATE(Summary!$C$12,12,31),Summary!$C$15))*('Dvd Calendar'!$AG$1740&lt;=Summary!$C$11)=0,"",'Dvd Calendar'!$AG$1740*1000000000+ISNUMBER('Dvd Calendar'!$AG$1741)*100000000+('Dvd Calendar'!$AG$1745='Field Check'!$C$25)*10000000+(N('Dvd Calendar'!$AG$1739)&gt;0)*1000000+16*1000+29))</f>
        <v/>
      </c>
      <c r="AF128" s="41">
        <f>IF(N('Dvd Calendar'!$AH$1740)=0,"",IF(('Dvd Calendar'!$AH$1740&gt;=MIN(DATE(Summary!$C$12,1,1),Summary!$C$11))*('Dvd Calendar'!$AH$1740&lt;=MAX(DATE(Summary!$C$12,12,31),Summary!$C$15))*('Dvd Calendar'!$AH$1740&lt;=Summary!$C$11)=0,"",'Dvd Calendar'!$AH$1740*1000000000+ISNUMBER('Dvd Calendar'!$AH$1741)*100000000+('Dvd Calendar'!$AH$1745='Field Check'!$C$25)*10000000+(N('Dvd Calendar'!$AH$1739)&gt;0)*1000000+16*1000+30))</f>
        <v/>
      </c>
      <c r="AG128" s="41">
        <f>IF(N('Dvd Calendar'!$AI$1740)=0,"",IF(('Dvd Calendar'!$AI$1740&gt;=MIN(DATE(Summary!$C$12,1,1),Summary!$C$11))*('Dvd Calendar'!$AI$1740&lt;=MAX(DATE(Summary!$C$12,12,31),Summary!$C$15))*('Dvd Calendar'!$AI$1740&lt;=Summary!$C$11)=0,"",'Dvd Calendar'!$AI$1740*1000000000+ISNUMBER('Dvd Calendar'!$AI$1741)*100000000+('Dvd Calendar'!$AI$1745='Field Check'!$C$25)*10000000+(N('Dvd Calendar'!$AI$1739)&gt;0)*1000000+16*1000+31))</f>
        <v/>
      </c>
      <c r="AH128" s="41">
        <f>IF(N('Dvd Calendar'!$AJ$1740)=0,"",IF(('Dvd Calendar'!$AJ$1740&gt;=MIN(DATE(Summary!$C$12,1,1),Summary!$C$11))*('Dvd Calendar'!$AJ$1740&lt;=MAX(DATE(Summary!$C$12,12,31),Summary!$C$15))*('Dvd Calendar'!$AJ$1740&lt;=Summary!$C$11)=0,"",'Dvd Calendar'!$AJ$1740*1000000000+ISNUMBER('Dvd Calendar'!$AJ$1741)*100000000+('Dvd Calendar'!$AJ$1745='Field Check'!$C$25)*10000000+(N('Dvd Calendar'!$AJ$1739)&gt;0)*1000000+16*1000+32))</f>
        <v/>
      </c>
      <c r="AI128" s="41">
        <f>IF(N('Dvd Calendar'!$AK$1740)=0,"",IF(('Dvd Calendar'!$AK$1740&gt;=MIN(DATE(Summary!$C$12,1,1),Summary!$C$11))*('Dvd Calendar'!$AK$1740&lt;=MAX(DATE(Summary!$C$12,12,31),Summary!$C$15))*('Dvd Calendar'!$AK$1740&lt;=Summary!$C$11)=0,"",'Dvd Calendar'!$AK$1740*1000000000+ISNUMBER('Dvd Calendar'!$AK$1741)*100000000+('Dvd Calendar'!$AK$1745='Field Check'!$C$25)*10000000+(N('Dvd Calendar'!$AK$1739)&gt;0)*1000000+16*1000+33))</f>
        <v/>
      </c>
      <c r="AJ128" s="41">
        <f>IF(N('Dvd Calendar'!$AL$1740)=0,"",IF(('Dvd Calendar'!$AL$1740&gt;=MIN(DATE(Summary!$C$12,1,1),Summary!$C$11))*('Dvd Calendar'!$AL$1740&lt;=MAX(DATE(Summary!$C$12,12,31),Summary!$C$15))*('Dvd Calendar'!$AL$1740&lt;=Summary!$C$11)=0,"",'Dvd Calendar'!$AL$1740*1000000000+ISNUMBER('Dvd Calendar'!$AL$1741)*100000000+('Dvd Calendar'!$AL$1745='Field Check'!$C$25)*10000000+(N('Dvd Calendar'!$AL$1739)&gt;0)*1000000+16*1000+34))</f>
        <v/>
      </c>
      <c r="AK128" s="41">
        <f>IF(N('Dvd Calendar'!$AM$1740)=0,"",IF(('Dvd Calendar'!$AM$1740&gt;=MIN(DATE(Summary!$C$12,1,1),Summary!$C$11))*('Dvd Calendar'!$AM$1740&lt;=MAX(DATE(Summary!$C$12,12,31),Summary!$C$15))*('Dvd Calendar'!$AM$1740&lt;=Summary!$C$11)=0,"",'Dvd Calendar'!$AM$1740*1000000000+ISNUMBER('Dvd Calendar'!$AM$1741)*100000000+('Dvd Calendar'!$AM$1745='Field Check'!$C$25)*10000000+(N('Dvd Calendar'!$AM$1739)&gt;0)*1000000+16*1000+35))</f>
        <v/>
      </c>
      <c r="AL128" s="41">
        <f>IF(N('Dvd Calendar'!$AN$1740)=0,"",IF(('Dvd Calendar'!$AN$1740&gt;=MIN(DATE(Summary!$C$12,1,1),Summary!$C$11))*('Dvd Calendar'!$AN$1740&lt;=MAX(DATE(Summary!$C$12,12,31),Summary!$C$15))*('Dvd Calendar'!$AN$1740&lt;=Summary!$C$11)=0,"",'Dvd Calendar'!$AN$1740*1000000000+ISNUMBER('Dvd Calendar'!$AN$1741)*100000000+('Dvd Calendar'!$AN$1745='Field Check'!$C$25)*10000000+(N('Dvd Calendar'!$AN$1739)&gt;0)*1000000+16*1000+36))</f>
        <v/>
      </c>
      <c r="AM128" s="41">
        <f>IF(N('Dvd Calendar'!$AO$1740)=0,"",IF(('Dvd Calendar'!$AO$1740&gt;=MIN(DATE(Summary!$C$12,1,1),Summary!$C$11))*('Dvd Calendar'!$AO$1740&lt;=MAX(DATE(Summary!$C$12,12,31),Summary!$C$15))*('Dvd Calendar'!$AO$1740&lt;=Summary!$C$11)=0,"",'Dvd Calendar'!$AO$1740*1000000000+ISNUMBER('Dvd Calendar'!$AO$1741)*100000000+('Dvd Calendar'!$AO$1745='Field Check'!$C$25)*10000000+(N('Dvd Calendar'!$AO$1739)&gt;0)*1000000+16*1000+37))</f>
        <v/>
      </c>
      <c r="AN128" s="41">
        <f>IF(N('Dvd Calendar'!$AP$1740)=0,"",IF(('Dvd Calendar'!$AP$1740&gt;=MIN(DATE(Summary!$C$12,1,1),Summary!$C$11))*('Dvd Calendar'!$AP$1740&lt;=MAX(DATE(Summary!$C$12,12,31),Summary!$C$15))*('Dvd Calendar'!$AP$1740&lt;=Summary!$C$11)=0,"",'Dvd Calendar'!$AP$1740*1000000000+ISNUMBER('Dvd Calendar'!$AP$1741)*100000000+('Dvd Calendar'!$AP$1745='Field Check'!$C$25)*10000000+(N('Dvd Calendar'!$AP$1739)&gt;0)*1000000+16*1000+38))</f>
        <v/>
      </c>
      <c r="AO128" s="41">
        <f>IF(N('Dvd Calendar'!$AQ$1740)=0,"",IF(('Dvd Calendar'!$AQ$1740&gt;=MIN(DATE(Summary!$C$12,1,1),Summary!$C$11))*('Dvd Calendar'!$AQ$1740&lt;=MAX(DATE(Summary!$C$12,12,31),Summary!$C$15))*('Dvd Calendar'!$AQ$1740&lt;=Summary!$C$11)=0,"",'Dvd Calendar'!$AQ$1740*1000000000+ISNUMBER('Dvd Calendar'!$AQ$1741)*100000000+('Dvd Calendar'!$AQ$1745='Field Check'!$C$25)*10000000+(N('Dvd Calendar'!$AQ$1739)&gt;0)*1000000+16*1000+39))</f>
        <v/>
      </c>
      <c r="AP128" s="41">
        <f>IF(N('Dvd Calendar'!$AR$1740)=0,"",IF(('Dvd Calendar'!$AR$1740&gt;=MIN(DATE(Summary!$C$12,1,1),Summary!$C$11))*('Dvd Calendar'!$AR$1740&lt;=MAX(DATE(Summary!$C$12,12,31),Summary!$C$15))*('Dvd Calendar'!$AR$1740&lt;=Summary!$C$11)=0,"",'Dvd Calendar'!$AR$1740*1000000000+ISNUMBER('Dvd Calendar'!$AR$1741)*100000000+('Dvd Calendar'!$AR$1745='Field Check'!$C$25)*10000000+(N('Dvd Calendar'!$AR$1739)&gt;0)*1000000+16*1000+40))</f>
        <v/>
      </c>
      <c r="AQ128" s="41">
        <f>IF(N('Dvd Calendar'!$E$1747)=0,"",IF(('Dvd Calendar'!$E$1747&gt;=MIN(DATE(Summary!$C$12,1,1),Summary!$C$11))*('Dvd Calendar'!$E$1747&lt;=MAX(DATE(Summary!$C$12,12,31),Summary!$C$15))*('Dvd Calendar'!$E$1747&gt;Summary!$C$11)=0,"",'Dvd Calendar'!$E$1747*1000000000+ISNUMBER('Dvd Calendar'!$E$1748)*100000000+('Dvd Calendar'!$E$1752='Field Check'!$C$25)*10000000+(N('Dvd Calendar'!$E$1746)&gt;0)*1000000+16*1000+41))</f>
        <v/>
      </c>
      <c r="AR128" s="41">
        <f>IF(N('Dvd Calendar'!$F$1747)=0,"",IF(('Dvd Calendar'!$F$1747&gt;=MIN(DATE(Summary!$C$12,1,1),Summary!$C$11))*('Dvd Calendar'!$F$1747&lt;=MAX(DATE(Summary!$C$12,12,31),Summary!$C$15))*('Dvd Calendar'!$F$1747&gt;Summary!$C$11)=0,"",'Dvd Calendar'!$F$1747*1000000000+ISNUMBER('Dvd Calendar'!$F$1748)*100000000+('Dvd Calendar'!$F$1752='Field Check'!$C$25)*10000000+(N('Dvd Calendar'!$F$1746)&gt;0)*1000000+16*1000+42))</f>
        <v/>
      </c>
      <c r="AS128" s="41">
        <f>IF(N('Dvd Calendar'!$G$1747)=0,"",IF(('Dvd Calendar'!$G$1747&gt;=MIN(DATE(Summary!$C$12,1,1),Summary!$C$11))*('Dvd Calendar'!$G$1747&lt;=MAX(DATE(Summary!$C$12,12,31),Summary!$C$15))*('Dvd Calendar'!$G$1747&gt;Summary!$C$11)=0,"",'Dvd Calendar'!$G$1747*1000000000+ISNUMBER('Dvd Calendar'!$G$1748)*100000000+('Dvd Calendar'!$G$1752='Field Check'!$C$25)*10000000+(N('Dvd Calendar'!$G$1746)&gt;0)*1000000+16*1000+43))</f>
        <v/>
      </c>
      <c r="AT128" s="41">
        <f>IF(N('Dvd Calendar'!$H$1747)=0,"",IF(('Dvd Calendar'!$H$1747&gt;=MIN(DATE(Summary!$C$12,1,1),Summary!$C$11))*('Dvd Calendar'!$H$1747&lt;=MAX(DATE(Summary!$C$12,12,31),Summary!$C$15))*('Dvd Calendar'!$H$1747&gt;Summary!$C$11)=0,"",'Dvd Calendar'!$H$1747*1000000000+ISNUMBER('Dvd Calendar'!$H$1748)*100000000+('Dvd Calendar'!$H$1752='Field Check'!$C$25)*10000000+(N('Dvd Calendar'!$H$1746)&gt;0)*1000000+16*1000+44))</f>
        <v/>
      </c>
      <c r="AU128" s="41">
        <f>IF(N('Dvd Calendar'!$I$1747)=0,"",IF(('Dvd Calendar'!$I$1747&gt;=MIN(DATE(Summary!$C$12,1,1),Summary!$C$11))*('Dvd Calendar'!$I$1747&lt;=MAX(DATE(Summary!$C$12,12,31),Summary!$C$15))*('Dvd Calendar'!$I$1747&gt;Summary!$C$11)=0,"",'Dvd Calendar'!$I$1747*1000000000+ISNUMBER('Dvd Calendar'!$I$1748)*100000000+('Dvd Calendar'!$I$1752='Field Check'!$C$25)*10000000+(N('Dvd Calendar'!$I$1746)&gt;0)*1000000+16*1000+45))</f>
        <v/>
      </c>
      <c r="AV128" s="41">
        <f>IF(N('Dvd Calendar'!$J$1747)=0,"",IF(('Dvd Calendar'!$J$1747&gt;=MIN(DATE(Summary!$C$12,1,1),Summary!$C$11))*('Dvd Calendar'!$J$1747&lt;=MAX(DATE(Summary!$C$12,12,31),Summary!$C$15))*('Dvd Calendar'!$J$1747&gt;Summary!$C$11)=0,"",'Dvd Calendar'!$J$1747*1000000000+ISNUMBER('Dvd Calendar'!$J$1748)*100000000+('Dvd Calendar'!$J$1752='Field Check'!$C$25)*10000000+(N('Dvd Calendar'!$J$1746)&gt;0)*1000000+16*1000+46))</f>
        <v/>
      </c>
      <c r="AW128" s="41">
        <f>IF(N('Dvd Calendar'!$K$1747)=0,"",IF(('Dvd Calendar'!$K$1747&gt;=MIN(DATE(Summary!$C$12,1,1),Summary!$C$11))*('Dvd Calendar'!$K$1747&lt;=MAX(DATE(Summary!$C$12,12,31),Summary!$C$15))*('Dvd Calendar'!$K$1747&gt;Summary!$C$11)=0,"",'Dvd Calendar'!$K$1747*1000000000+ISNUMBER('Dvd Calendar'!$K$1748)*100000000+('Dvd Calendar'!$K$1752='Field Check'!$C$25)*10000000+(N('Dvd Calendar'!$K$1746)&gt;0)*1000000+16*1000+47))</f>
        <v/>
      </c>
      <c r="AX128" s="41">
        <f>IF(N('Dvd Calendar'!$L$1747)=0,"",IF(('Dvd Calendar'!$L$1747&gt;=MIN(DATE(Summary!$C$12,1,1),Summary!$C$11))*('Dvd Calendar'!$L$1747&lt;=MAX(DATE(Summary!$C$12,12,31),Summary!$C$15))*('Dvd Calendar'!$L$1747&gt;Summary!$C$11)=0,"",'Dvd Calendar'!$L$1747*1000000000+ISNUMBER('Dvd Calendar'!$L$1748)*100000000+('Dvd Calendar'!$L$1752='Field Check'!$C$25)*10000000+(N('Dvd Calendar'!$L$1746)&gt;0)*1000000+16*1000+48))</f>
        <v/>
      </c>
      <c r="AY128" s="41">
        <f>IF(N('Dvd Calendar'!$M$1747)=0,"",IF(('Dvd Calendar'!$M$1747&gt;=MIN(DATE(Summary!$C$12,1,1),Summary!$C$11))*('Dvd Calendar'!$M$1747&lt;=MAX(DATE(Summary!$C$12,12,31),Summary!$C$15))*('Dvd Calendar'!$M$1747&gt;Summary!$C$11)=0,"",'Dvd Calendar'!$M$1747*1000000000+ISNUMBER('Dvd Calendar'!$M$1748)*100000000+('Dvd Calendar'!$M$1752='Field Check'!$C$25)*10000000+(N('Dvd Calendar'!$M$1746)&gt;0)*1000000+16*1000+49))</f>
        <v/>
      </c>
      <c r="AZ128" s="41">
        <f>IF(N('Dvd Calendar'!$N$1747)=0,"",IF(('Dvd Calendar'!$N$1747&gt;=MIN(DATE(Summary!$C$12,1,1),Summary!$C$11))*('Dvd Calendar'!$N$1747&lt;=MAX(DATE(Summary!$C$12,12,31),Summary!$C$15))*('Dvd Calendar'!$N$1747&gt;Summary!$C$11)=0,"",'Dvd Calendar'!$N$1747*1000000000+ISNUMBER('Dvd Calendar'!$N$1748)*100000000+('Dvd Calendar'!$N$1752='Field Check'!$C$25)*10000000+(N('Dvd Calendar'!$N$1746)&gt;0)*1000000+16*1000+50))</f>
        <v/>
      </c>
      <c r="BA128" s="41">
        <f>IF(N('Dvd Calendar'!$O$1747)=0,"",IF(('Dvd Calendar'!$O$1747&gt;=MIN(DATE(Summary!$C$12,1,1),Summary!$C$11))*('Dvd Calendar'!$O$1747&lt;=MAX(DATE(Summary!$C$12,12,31),Summary!$C$15))*('Dvd Calendar'!$O$1747&gt;Summary!$C$11)=0,"",'Dvd Calendar'!$O$1747*1000000000+ISNUMBER('Dvd Calendar'!$O$1748)*100000000+('Dvd Calendar'!$O$1752='Field Check'!$C$25)*10000000+(N('Dvd Calendar'!$O$1746)&gt;0)*1000000+16*1000+51))</f>
        <v/>
      </c>
      <c r="BB128" s="41">
        <f>IF(N('Dvd Calendar'!$P$1747)=0,"",IF(('Dvd Calendar'!$P$1747&gt;=MIN(DATE(Summary!$C$12,1,1),Summary!$C$11))*('Dvd Calendar'!$P$1747&lt;=MAX(DATE(Summary!$C$12,12,31),Summary!$C$15))*('Dvd Calendar'!$P$1747&gt;Summary!$C$11)=0,"",'Dvd Calendar'!$P$1747*1000000000+ISNUMBER('Dvd Calendar'!$P$1748)*100000000+('Dvd Calendar'!$P$1752='Field Check'!$C$25)*10000000+(N('Dvd Calendar'!$P$1746)&gt;0)*1000000+16*1000+52))</f>
        <v/>
      </c>
      <c r="BC128" s="41">
        <f>IF(N('Dvd Calendar'!$Q$1747)=0,"",IF(('Dvd Calendar'!$Q$1747&gt;=MIN(DATE(Summary!$C$12,1,1),Summary!$C$11))*('Dvd Calendar'!$Q$1747&lt;=MAX(DATE(Summary!$C$12,12,31),Summary!$C$15))*('Dvd Calendar'!$Q$1747&gt;Summary!$C$11)=0,"",'Dvd Calendar'!$Q$1747*1000000000+ISNUMBER('Dvd Calendar'!$Q$1748)*100000000+('Dvd Calendar'!$Q$1752='Field Check'!$C$25)*10000000+(N('Dvd Calendar'!$Q$1746)&gt;0)*1000000+16*1000+53))</f>
        <v/>
      </c>
      <c r="BD128" s="41">
        <f>IF(N('Dvd Calendar'!$R$1747)=0,"",IF(('Dvd Calendar'!$R$1747&gt;=MIN(DATE(Summary!$C$12,1,1),Summary!$C$11))*('Dvd Calendar'!$R$1747&lt;=MAX(DATE(Summary!$C$12,12,31),Summary!$C$15))*('Dvd Calendar'!$R$1747&gt;Summary!$C$11)=0,"",'Dvd Calendar'!$R$1747*1000000000+ISNUMBER('Dvd Calendar'!$R$1748)*100000000+('Dvd Calendar'!$R$1752='Field Check'!$C$25)*10000000+(N('Dvd Calendar'!$R$1746)&gt;0)*1000000+16*1000+54))</f>
        <v/>
      </c>
      <c r="BE128" s="41">
        <f>IF(N('Dvd Calendar'!$S$1747)=0,"",IF(('Dvd Calendar'!$S$1747&gt;=MIN(DATE(Summary!$C$12,1,1),Summary!$C$11))*('Dvd Calendar'!$S$1747&lt;=MAX(DATE(Summary!$C$12,12,31),Summary!$C$15))*('Dvd Calendar'!$S$1747&gt;Summary!$C$11)=0,"",'Dvd Calendar'!$S$1747*1000000000+ISNUMBER('Dvd Calendar'!$S$1748)*100000000+('Dvd Calendar'!$S$1752='Field Check'!$C$25)*10000000+(N('Dvd Calendar'!$S$1746)&gt;0)*1000000+16*1000+55))</f>
        <v/>
      </c>
      <c r="BF128" s="41">
        <f>IF(N('Dvd Calendar'!$T$1747)=0,"",IF(('Dvd Calendar'!$T$1747&gt;=MIN(DATE(Summary!$C$12,1,1),Summary!$C$11))*('Dvd Calendar'!$T$1747&lt;=MAX(DATE(Summary!$C$12,12,31),Summary!$C$15))*('Dvd Calendar'!$T$1747&gt;Summary!$C$11)=0,"",'Dvd Calendar'!$T$1747*1000000000+ISNUMBER('Dvd Calendar'!$T$1748)*100000000+('Dvd Calendar'!$T$1752='Field Check'!$C$25)*10000000+(N('Dvd Calendar'!$T$1746)&gt;0)*1000000+16*1000+56))</f>
        <v/>
      </c>
      <c r="BG128" s="41">
        <f>IF(N('Dvd Calendar'!$U$1747)=0,"",IF(('Dvd Calendar'!$U$1747&gt;=MIN(DATE(Summary!$C$12,1,1),Summary!$C$11))*('Dvd Calendar'!$U$1747&lt;=MAX(DATE(Summary!$C$12,12,31),Summary!$C$15))*('Dvd Calendar'!$U$1747&gt;Summary!$C$11)=0,"",'Dvd Calendar'!$U$1747*1000000000+ISNUMBER('Dvd Calendar'!$U$1748)*100000000+('Dvd Calendar'!$U$1752='Field Check'!$C$25)*10000000+(N('Dvd Calendar'!$U$1746)&gt;0)*1000000+16*1000+57))</f>
        <v/>
      </c>
      <c r="BH128" s="41">
        <f>IF(N('Dvd Calendar'!$V$1747)=0,"",IF(('Dvd Calendar'!$V$1747&gt;=MIN(DATE(Summary!$C$12,1,1),Summary!$C$11))*('Dvd Calendar'!$V$1747&lt;=MAX(DATE(Summary!$C$12,12,31),Summary!$C$15))*('Dvd Calendar'!$V$1747&gt;Summary!$C$11)=0,"",'Dvd Calendar'!$V$1747*1000000000+ISNUMBER('Dvd Calendar'!$V$1748)*100000000+('Dvd Calendar'!$V$1752='Field Check'!$C$25)*10000000+(N('Dvd Calendar'!$V$1746)&gt;0)*1000000+16*1000+58))</f>
        <v/>
      </c>
      <c r="BI128" s="41">
        <f>IF(N('Dvd Calendar'!$W$1747)=0,"",IF(('Dvd Calendar'!$W$1747&gt;=MIN(DATE(Summary!$C$12,1,1),Summary!$C$11))*('Dvd Calendar'!$W$1747&lt;=MAX(DATE(Summary!$C$12,12,31),Summary!$C$15))*('Dvd Calendar'!$W$1747&gt;Summary!$C$11)=0,"",'Dvd Calendar'!$W$1747*1000000000+ISNUMBER('Dvd Calendar'!$W$1748)*100000000+('Dvd Calendar'!$W$1752='Field Check'!$C$25)*10000000+(N('Dvd Calendar'!$W$1746)&gt;0)*1000000+16*1000+59))</f>
        <v/>
      </c>
      <c r="BJ128" s="41">
        <f>IF(N('Dvd Calendar'!$X$1747)=0,"",IF(('Dvd Calendar'!$X$1747&gt;=MIN(DATE(Summary!$C$12,1,1),Summary!$C$11))*('Dvd Calendar'!$X$1747&lt;=MAX(DATE(Summary!$C$12,12,31),Summary!$C$15))*('Dvd Calendar'!$X$1747&gt;Summary!$C$11)=0,"",'Dvd Calendar'!$X$1747*1000000000+ISNUMBER('Dvd Calendar'!$X$1748)*100000000+('Dvd Calendar'!$X$1752='Field Check'!$C$25)*10000000+(N('Dvd Calendar'!$X$1746)&gt;0)*1000000+16*1000+60))</f>
        <v/>
      </c>
      <c r="BK128" s="41">
        <f>IF(N('Dvd Calendar'!$Y$1747)=0,"",IF(('Dvd Calendar'!$Y$1747&gt;=MIN(DATE(Summary!$C$12,1,1),Summary!$C$11))*('Dvd Calendar'!$Y$1747&lt;=MAX(DATE(Summary!$C$12,12,31),Summary!$C$15))*('Dvd Calendar'!$Y$1747&gt;Summary!$C$11)=0,"",'Dvd Calendar'!$Y$1747*1000000000+ISNUMBER('Dvd Calendar'!$Y$1748)*100000000+('Dvd Calendar'!$Y$1752='Field Check'!$C$25)*10000000+(N('Dvd Calendar'!$Y$1746)&gt;0)*1000000+16*1000+61))</f>
        <v/>
      </c>
      <c r="BL128" s="41">
        <f>IF(N('Dvd Calendar'!$Z$1747)=0,"",IF(('Dvd Calendar'!$Z$1747&gt;=MIN(DATE(Summary!$C$12,1,1),Summary!$C$11))*('Dvd Calendar'!$Z$1747&lt;=MAX(DATE(Summary!$C$12,12,31),Summary!$C$15))*('Dvd Calendar'!$Z$1747&gt;Summary!$C$11)=0,"",'Dvd Calendar'!$Z$1747*1000000000+ISNUMBER('Dvd Calendar'!$Z$1748)*100000000+('Dvd Calendar'!$Z$1752='Field Check'!$C$25)*10000000+(N('Dvd Calendar'!$Z$1746)&gt;0)*1000000+16*1000+62))</f>
        <v/>
      </c>
      <c r="BM128" s="41">
        <f>IF(N('Dvd Calendar'!$AA$1747)=0,"",IF(('Dvd Calendar'!$AA$1747&gt;=MIN(DATE(Summary!$C$12,1,1),Summary!$C$11))*('Dvd Calendar'!$AA$1747&lt;=MAX(DATE(Summary!$C$12,12,31),Summary!$C$15))*('Dvd Calendar'!$AA$1747&gt;Summary!$C$11)=0,"",'Dvd Calendar'!$AA$1747*1000000000+ISNUMBER('Dvd Calendar'!$AA$1748)*100000000+('Dvd Calendar'!$AA$1752='Field Check'!$C$25)*10000000+(N('Dvd Calendar'!$AA$1746)&gt;0)*1000000+16*1000+63))</f>
        <v/>
      </c>
      <c r="BN128" s="41">
        <f>IF(N('Dvd Calendar'!$AB$1747)=0,"",IF(('Dvd Calendar'!$AB$1747&gt;=MIN(DATE(Summary!$C$12,1,1),Summary!$C$11))*('Dvd Calendar'!$AB$1747&lt;=MAX(DATE(Summary!$C$12,12,31),Summary!$C$15))*('Dvd Calendar'!$AB$1747&gt;Summary!$C$11)=0,"",'Dvd Calendar'!$AB$1747*1000000000+ISNUMBER('Dvd Calendar'!$AB$1748)*100000000+('Dvd Calendar'!$AB$1752='Field Check'!$C$25)*10000000+(N('Dvd Calendar'!$AB$1746)&gt;0)*1000000+16*1000+64))</f>
        <v/>
      </c>
      <c r="BO128" s="41">
        <f>IF(N('Dvd Calendar'!$AC$1747)=0,"",IF(('Dvd Calendar'!$AC$1747&gt;=MIN(DATE(Summary!$C$12,1,1),Summary!$C$11))*('Dvd Calendar'!$AC$1747&lt;=MAX(DATE(Summary!$C$12,12,31),Summary!$C$15))*('Dvd Calendar'!$AC$1747&gt;Summary!$C$11)=0,"",'Dvd Calendar'!$AC$1747*1000000000+ISNUMBER('Dvd Calendar'!$AC$1748)*100000000+('Dvd Calendar'!$AC$1752='Field Check'!$C$25)*10000000+(N('Dvd Calendar'!$AC$1746)&gt;0)*1000000+16*1000+65))</f>
        <v/>
      </c>
      <c r="BQ128" s="85">
        <f>IF(C128="","",IF(ISNUMBER('Dvd Calendar'!$E$1741)=FALSE,"",IF((Summary!$C$13="N")*('Dvd Calendar'!$E$1745='Field Check'!$C$25)&gt;0,"",'Dvd Calendar'!$E$1741)))</f>
        <v/>
      </c>
      <c r="BR128" s="85">
        <f>IF(D128="","",IF(ISNUMBER('Dvd Calendar'!$F$1741)=FALSE,"",IF((Summary!$C$13="N")*('Dvd Calendar'!$F$1745='Field Check'!$C$25)&gt;0,"",'Dvd Calendar'!$F$1741)))</f>
        <v/>
      </c>
      <c r="BS128" s="85">
        <f>IF(E128="","",IF(ISNUMBER('Dvd Calendar'!$G$1741)=FALSE,"",IF((Summary!$C$13="N")*('Dvd Calendar'!$G$1745='Field Check'!$C$25)&gt;0,"",'Dvd Calendar'!$G$1741)))</f>
        <v/>
      </c>
      <c r="BT128" s="85">
        <f>IF(F128="","",IF(ISNUMBER('Dvd Calendar'!$H$1741)=FALSE,"",IF((Summary!$C$13="N")*('Dvd Calendar'!$H$1745='Field Check'!$C$25)&gt;0,"",'Dvd Calendar'!$H$1741)))</f>
        <v/>
      </c>
      <c r="BU128" s="85">
        <f>IF(G128="","",IF(ISNUMBER('Dvd Calendar'!$I$1741)=FALSE,"",IF((Summary!$C$13="N")*('Dvd Calendar'!$I$1745='Field Check'!$C$25)&gt;0,"",'Dvd Calendar'!$I$1741)))</f>
        <v/>
      </c>
      <c r="BV128" s="85">
        <f>IF(H128="","",IF(ISNUMBER('Dvd Calendar'!$J$1741)=FALSE,"",IF((Summary!$C$13="N")*('Dvd Calendar'!$J$1745='Field Check'!$C$25)&gt;0,"",'Dvd Calendar'!$J$1741)))</f>
        <v/>
      </c>
      <c r="BW128" s="85">
        <f>IF(I128="","",IF(ISNUMBER('Dvd Calendar'!$K$1741)=FALSE,"",IF((Summary!$C$13="N")*('Dvd Calendar'!$K$1745='Field Check'!$C$25)&gt;0,"",'Dvd Calendar'!$K$1741)))</f>
        <v/>
      </c>
      <c r="BX128" s="85">
        <f>IF(J128="","",IF(ISNUMBER('Dvd Calendar'!$L$1741)=FALSE,"",IF((Summary!$C$13="N")*('Dvd Calendar'!$L$1745='Field Check'!$C$25)&gt;0,"",'Dvd Calendar'!$L$1741)))</f>
        <v/>
      </c>
      <c r="BY128" s="85">
        <f>IF(K128="","",IF(ISNUMBER('Dvd Calendar'!$M$1741)=FALSE,"",IF((Summary!$C$13="N")*('Dvd Calendar'!$M$1745='Field Check'!$C$25)&gt;0,"",'Dvd Calendar'!$M$1741)))</f>
        <v/>
      </c>
      <c r="BZ128" s="85">
        <f>IF(L128="","",IF(ISNUMBER('Dvd Calendar'!$N$1741)=FALSE,"",IF((Summary!$C$13="N")*('Dvd Calendar'!$N$1745='Field Check'!$C$25)&gt;0,"",'Dvd Calendar'!$N$1741)))</f>
        <v/>
      </c>
      <c r="CA128" s="85">
        <f>IF(M128="","",IF(ISNUMBER('Dvd Calendar'!$O$1741)=FALSE,"",IF((Summary!$C$13="N")*('Dvd Calendar'!$O$1745='Field Check'!$C$25)&gt;0,"",'Dvd Calendar'!$O$1741)))</f>
        <v/>
      </c>
      <c r="CB128" s="85">
        <f>IF(N128="","",IF(ISNUMBER('Dvd Calendar'!$P$1741)=FALSE,"",IF((Summary!$C$13="N")*('Dvd Calendar'!$P$1745='Field Check'!$C$25)&gt;0,"",'Dvd Calendar'!$P$1741)))</f>
        <v/>
      </c>
      <c r="CC128" s="85">
        <f>IF(O128="","",IF(ISNUMBER('Dvd Calendar'!$Q$1741)=FALSE,"",IF((Summary!$C$13="N")*('Dvd Calendar'!$Q$1745='Field Check'!$C$25)&gt;0,"",'Dvd Calendar'!$Q$1741)))</f>
        <v/>
      </c>
      <c r="CD128" s="85">
        <f>IF(P128="","",IF(ISNUMBER('Dvd Calendar'!$R$1741)=FALSE,"",IF((Summary!$C$13="N")*('Dvd Calendar'!$R$1745='Field Check'!$C$25)&gt;0,"",'Dvd Calendar'!$R$1741)))</f>
        <v/>
      </c>
      <c r="CE128" s="85">
        <f>IF(Q128="","",IF(ISNUMBER('Dvd Calendar'!$S$1741)=FALSE,"",IF((Summary!$C$13="N")*('Dvd Calendar'!$S$1745='Field Check'!$C$25)&gt;0,"",'Dvd Calendar'!$S$1741)))</f>
        <v/>
      </c>
      <c r="CF128" s="85">
        <f>IF(R128="","",IF(ISNUMBER('Dvd Calendar'!$T$1741)=FALSE,"",IF((Summary!$C$13="N")*('Dvd Calendar'!$T$1745='Field Check'!$C$25)&gt;0,"",'Dvd Calendar'!$T$1741)))</f>
        <v/>
      </c>
      <c r="CG128" s="85">
        <f>IF(S128="","",IF(ISNUMBER('Dvd Calendar'!$U$1741)=FALSE,"",IF((Summary!$C$13="N")*('Dvd Calendar'!$U$1745='Field Check'!$C$25)&gt;0,"",'Dvd Calendar'!$U$1741)))</f>
        <v/>
      </c>
      <c r="CH128" s="85">
        <f>IF(T128="","",IF(ISNUMBER('Dvd Calendar'!$V$1741)=FALSE,"",IF((Summary!$C$13="N")*('Dvd Calendar'!$V$1745='Field Check'!$C$25)&gt;0,"",'Dvd Calendar'!$V$1741)))</f>
        <v/>
      </c>
      <c r="CI128" s="85">
        <f>IF(U128="","",IF(ISNUMBER('Dvd Calendar'!$W$1741)=FALSE,"",IF((Summary!$C$13="N")*('Dvd Calendar'!$W$1745='Field Check'!$C$25)&gt;0,"",'Dvd Calendar'!$W$1741)))</f>
        <v/>
      </c>
      <c r="CJ128" s="85">
        <f>IF(V128="","",IF(ISNUMBER('Dvd Calendar'!$X$1741)=FALSE,"",IF((Summary!$C$13="N")*('Dvd Calendar'!$X$1745='Field Check'!$C$25)&gt;0,"",'Dvd Calendar'!$X$1741)))</f>
        <v/>
      </c>
      <c r="CK128" s="85">
        <f>IF(W128="","",IF(ISNUMBER('Dvd Calendar'!$Y$1741)=FALSE,"",IF((Summary!$C$13="N")*('Dvd Calendar'!$Y$1745='Field Check'!$C$25)&gt;0,"",'Dvd Calendar'!$Y$1741)))</f>
        <v/>
      </c>
      <c r="CL128" s="85">
        <f>IF(X128="","",IF(ISNUMBER('Dvd Calendar'!$Z$1741)=FALSE,"",IF((Summary!$C$13="N")*('Dvd Calendar'!$Z$1745='Field Check'!$C$25)&gt;0,"",'Dvd Calendar'!$Z$1741)))</f>
        <v/>
      </c>
      <c r="CM128" s="85">
        <f>IF(Y128="","",IF(ISNUMBER('Dvd Calendar'!$AA$1741)=FALSE,"",IF((Summary!$C$13="N")*('Dvd Calendar'!$AA$1745='Field Check'!$C$25)&gt;0,"",'Dvd Calendar'!$AA$1741)))</f>
        <v/>
      </c>
      <c r="CN128" s="85">
        <f>IF(Z128="","",IF(ISNUMBER('Dvd Calendar'!$AB$1741)=FALSE,"",IF((Summary!$C$13="N")*('Dvd Calendar'!$AB$1745='Field Check'!$C$25)&gt;0,"",'Dvd Calendar'!$AB$1741)))</f>
        <v/>
      </c>
      <c r="CO128" s="85">
        <f>IF(AA128="","",IF(ISNUMBER('Dvd Calendar'!$AC$1741)=FALSE,"",IF((Summary!$C$13="N")*('Dvd Calendar'!$AC$1745='Field Check'!$C$25)&gt;0,"",'Dvd Calendar'!$AC$1741)))</f>
        <v/>
      </c>
      <c r="CP128" s="85">
        <f>IF(AB128="","",IF(ISNUMBER('Dvd Calendar'!$AD$1741)=FALSE,"",IF((Summary!$C$13="N")*('Dvd Calendar'!$AD$1745='Field Check'!$C$25)&gt;0,"",'Dvd Calendar'!$AD$1741)))</f>
        <v/>
      </c>
      <c r="CQ128" s="85">
        <f>IF(AC128="","",IF(ISNUMBER('Dvd Calendar'!$AE$1741)=FALSE,"",IF((Summary!$C$13="N")*('Dvd Calendar'!$AE$1745='Field Check'!$C$25)&gt;0,"",'Dvd Calendar'!$AE$1741)))</f>
        <v/>
      </c>
      <c r="CR128" s="85">
        <f>IF(AD128="","",IF(ISNUMBER('Dvd Calendar'!$AF$1741)=FALSE,"",IF((Summary!$C$13="N")*('Dvd Calendar'!$AF$1745='Field Check'!$C$25)&gt;0,"",'Dvd Calendar'!$AF$1741)))</f>
        <v/>
      </c>
      <c r="CS128" s="85">
        <f>IF(AE128="","",IF(ISNUMBER('Dvd Calendar'!$AG$1741)=FALSE,"",IF((Summary!$C$13="N")*('Dvd Calendar'!$AG$1745='Field Check'!$C$25)&gt;0,"",'Dvd Calendar'!$AG$1741)))</f>
        <v/>
      </c>
      <c r="CT128" s="85">
        <f>IF(AF128="","",IF(ISNUMBER('Dvd Calendar'!$AH$1741)=FALSE,"",IF((Summary!$C$13="N")*('Dvd Calendar'!$AH$1745='Field Check'!$C$25)&gt;0,"",'Dvd Calendar'!$AH$1741)))</f>
        <v/>
      </c>
      <c r="CU128" s="85">
        <f>IF(AG128="","",IF(ISNUMBER('Dvd Calendar'!$AI$1741)=FALSE,"",IF((Summary!$C$13="N")*('Dvd Calendar'!$AI$1745='Field Check'!$C$25)&gt;0,"",'Dvd Calendar'!$AI$1741)))</f>
        <v/>
      </c>
      <c r="CV128" s="85">
        <f>IF(AH128="","",IF(ISNUMBER('Dvd Calendar'!$AJ$1741)=FALSE,"",IF((Summary!$C$13="N")*('Dvd Calendar'!$AJ$1745='Field Check'!$C$25)&gt;0,"",'Dvd Calendar'!$AJ$1741)))</f>
        <v/>
      </c>
      <c r="CW128" s="85">
        <f>IF(AI128="","",IF(ISNUMBER('Dvd Calendar'!$AK$1741)=FALSE,"",IF((Summary!$C$13="N")*('Dvd Calendar'!$AK$1745='Field Check'!$C$25)&gt;0,"",'Dvd Calendar'!$AK$1741)))</f>
        <v/>
      </c>
      <c r="CX128" s="85">
        <f>IF(AJ128="","",IF(ISNUMBER('Dvd Calendar'!$AL$1741)=FALSE,"",IF((Summary!$C$13="N")*('Dvd Calendar'!$AL$1745='Field Check'!$C$25)&gt;0,"",'Dvd Calendar'!$AL$1741)))</f>
        <v/>
      </c>
      <c r="CY128" s="85">
        <f>IF(AK128="","",IF(ISNUMBER('Dvd Calendar'!$AM$1741)=FALSE,"",IF((Summary!$C$13="N")*('Dvd Calendar'!$AM$1745='Field Check'!$C$25)&gt;0,"",'Dvd Calendar'!$AM$1741)))</f>
        <v/>
      </c>
      <c r="CZ128" s="85">
        <f>IF(AL128="","",IF(ISNUMBER('Dvd Calendar'!$AN$1741)=FALSE,"",IF((Summary!$C$13="N")*('Dvd Calendar'!$AN$1745='Field Check'!$C$25)&gt;0,"",'Dvd Calendar'!$AN$1741)))</f>
        <v/>
      </c>
      <c r="DA128" s="85">
        <f>IF(AM128="","",IF(ISNUMBER('Dvd Calendar'!$AO$1741)=FALSE,"",IF((Summary!$C$13="N")*('Dvd Calendar'!$AO$1745='Field Check'!$C$25)&gt;0,"",'Dvd Calendar'!$AO$1741)))</f>
        <v/>
      </c>
      <c r="DB128" s="85">
        <f>IF(AN128="","",IF(ISNUMBER('Dvd Calendar'!$AP$1741)=FALSE,"",IF((Summary!$C$13="N")*('Dvd Calendar'!$AP$1745='Field Check'!$C$25)&gt;0,"",'Dvd Calendar'!$AP$1741)))</f>
        <v/>
      </c>
      <c r="DC128" s="85">
        <f>IF(AO128="","",IF(ISNUMBER('Dvd Calendar'!$AQ$1741)=FALSE,"",IF((Summary!$C$13="N")*('Dvd Calendar'!$AQ$1745='Field Check'!$C$25)&gt;0,"",'Dvd Calendar'!$AQ$1741)))</f>
        <v/>
      </c>
      <c r="DD128" s="85">
        <f>IF(AP128="","",IF(ISNUMBER('Dvd Calendar'!$AR$1741)=FALSE,"",IF((Summary!$C$13="N")*('Dvd Calendar'!$AR$1745='Field Check'!$C$25)&gt;0,"",'Dvd Calendar'!$AR$1741)))</f>
        <v/>
      </c>
      <c r="DE128" s="85">
        <f>IF(AQ128="","",IF(ISNUMBER('Dvd Calendar'!$E$1748)=FALSE,"",IF((Summary!$C$13="N")*('Dvd Calendar'!$E$1752='Field Check'!$C$25)&gt;0,"",'Dvd Calendar'!$E$1748)))</f>
        <v/>
      </c>
      <c r="DF128" s="85">
        <f>IF(AR128="","",IF(ISNUMBER('Dvd Calendar'!$F$1748)=FALSE,"",IF((Summary!$C$13="N")*('Dvd Calendar'!$F$1752='Field Check'!$C$25)&gt;0,"",'Dvd Calendar'!$F$1748)))</f>
        <v/>
      </c>
      <c r="DG128" s="85">
        <f>IF(AS128="","",IF(ISNUMBER('Dvd Calendar'!$G$1748)=FALSE,"",IF((Summary!$C$13="N")*('Dvd Calendar'!$G$1752='Field Check'!$C$25)&gt;0,"",'Dvd Calendar'!$G$1748)))</f>
        <v/>
      </c>
      <c r="DH128" s="85">
        <f>IF(AT128="","",IF(ISNUMBER('Dvd Calendar'!$H$1748)=FALSE,"",IF((Summary!$C$13="N")*('Dvd Calendar'!$H$1752='Field Check'!$C$25)&gt;0,"",'Dvd Calendar'!$H$1748)))</f>
        <v/>
      </c>
      <c r="DI128" s="85">
        <f>IF(AU128="","",IF(ISNUMBER('Dvd Calendar'!$I$1748)=FALSE,"",IF((Summary!$C$13="N")*('Dvd Calendar'!$I$1752='Field Check'!$C$25)&gt;0,"",'Dvd Calendar'!$I$1748)))</f>
        <v/>
      </c>
      <c r="DJ128" s="85">
        <f>IF(AV128="","",IF(ISNUMBER('Dvd Calendar'!$J$1748)=FALSE,"",IF((Summary!$C$13="N")*('Dvd Calendar'!$J$1752='Field Check'!$C$25)&gt;0,"",'Dvd Calendar'!$J$1748)))</f>
        <v/>
      </c>
      <c r="DK128" s="85">
        <f>IF(AW128="","",IF(ISNUMBER('Dvd Calendar'!$K$1748)=FALSE,"",IF((Summary!$C$13="N")*('Dvd Calendar'!$K$1752='Field Check'!$C$25)&gt;0,"",'Dvd Calendar'!$K$1748)))</f>
        <v/>
      </c>
      <c r="DL128" s="85">
        <f>IF(AX128="","",IF(ISNUMBER('Dvd Calendar'!$L$1748)=FALSE,"",IF((Summary!$C$13="N")*('Dvd Calendar'!$L$1752='Field Check'!$C$25)&gt;0,"",'Dvd Calendar'!$L$1748)))</f>
        <v/>
      </c>
      <c r="DM128" s="85">
        <f>IF(AY128="","",IF(ISNUMBER('Dvd Calendar'!$M$1748)=FALSE,"",IF((Summary!$C$13="N")*('Dvd Calendar'!$M$1752='Field Check'!$C$25)&gt;0,"",'Dvd Calendar'!$M$1748)))</f>
        <v/>
      </c>
      <c r="DN128" s="85">
        <f>IF(AZ128="","",IF(ISNUMBER('Dvd Calendar'!$N$1748)=FALSE,"",IF((Summary!$C$13="N")*('Dvd Calendar'!$N$1752='Field Check'!$C$25)&gt;0,"",'Dvd Calendar'!$N$1748)))</f>
        <v/>
      </c>
      <c r="DO128" s="85">
        <f>IF(BA128="","",IF(ISNUMBER('Dvd Calendar'!$O$1748)=FALSE,"",IF((Summary!$C$13="N")*('Dvd Calendar'!$O$1752='Field Check'!$C$25)&gt;0,"",'Dvd Calendar'!$O$1748)))</f>
        <v/>
      </c>
      <c r="DP128" s="85">
        <f>IF(BB128="","",IF(ISNUMBER('Dvd Calendar'!$P$1748)=FALSE,"",IF((Summary!$C$13="N")*('Dvd Calendar'!$P$1752='Field Check'!$C$25)&gt;0,"",'Dvd Calendar'!$P$1748)))</f>
        <v/>
      </c>
      <c r="DQ128" s="85">
        <f>IF(BC128="","",IF(ISNUMBER('Dvd Calendar'!$Q$1748)=FALSE,"",IF((Summary!$C$13="N")*('Dvd Calendar'!$Q$1752='Field Check'!$C$25)&gt;0,"",'Dvd Calendar'!$Q$1748)))</f>
        <v/>
      </c>
      <c r="DR128" s="85">
        <f>IF(BD128="","",IF(ISNUMBER('Dvd Calendar'!$R$1748)=FALSE,"",IF((Summary!$C$13="N")*('Dvd Calendar'!$R$1752='Field Check'!$C$25)&gt;0,"",'Dvd Calendar'!$R$1748)))</f>
        <v/>
      </c>
      <c r="DS128" s="85">
        <f>IF(BE128="","",IF(ISNUMBER('Dvd Calendar'!$S$1748)=FALSE,"",IF((Summary!$C$13="N")*('Dvd Calendar'!$S$1752='Field Check'!$C$25)&gt;0,"",'Dvd Calendar'!$S$1748)))</f>
        <v/>
      </c>
      <c r="DT128" s="85">
        <f>IF(BF128="","",IF(ISNUMBER('Dvd Calendar'!$T$1748)=FALSE,"",IF((Summary!$C$13="N")*('Dvd Calendar'!$T$1752='Field Check'!$C$25)&gt;0,"",'Dvd Calendar'!$T$1748)))</f>
        <v/>
      </c>
      <c r="DU128" s="85">
        <f>IF(BG128="","",IF(ISNUMBER('Dvd Calendar'!$U$1748)=FALSE,"",IF((Summary!$C$13="N")*('Dvd Calendar'!$U$1752='Field Check'!$C$25)&gt;0,"",'Dvd Calendar'!$U$1748)))</f>
        <v/>
      </c>
      <c r="DV128" s="85">
        <f>IF(BH128="","",IF(ISNUMBER('Dvd Calendar'!$V$1748)=FALSE,"",IF((Summary!$C$13="N")*('Dvd Calendar'!$V$1752='Field Check'!$C$25)&gt;0,"",'Dvd Calendar'!$V$1748)))</f>
        <v/>
      </c>
      <c r="DW128" s="85">
        <f>IF(BI128="","",IF(ISNUMBER('Dvd Calendar'!$W$1748)=FALSE,"",IF((Summary!$C$13="N")*('Dvd Calendar'!$W$1752='Field Check'!$C$25)&gt;0,"",'Dvd Calendar'!$W$1748)))</f>
        <v/>
      </c>
      <c r="DX128" s="85">
        <f>IF(BJ128="","",IF(ISNUMBER('Dvd Calendar'!$X$1748)=FALSE,"",IF((Summary!$C$13="N")*('Dvd Calendar'!$X$1752='Field Check'!$C$25)&gt;0,"",'Dvd Calendar'!$X$1748)))</f>
        <v/>
      </c>
      <c r="DY128" s="85">
        <f>IF(BK128="","",IF(ISNUMBER('Dvd Calendar'!$Y$1748)=FALSE,"",IF((Summary!$C$13="N")*('Dvd Calendar'!$Y$1752='Field Check'!$C$25)&gt;0,"",'Dvd Calendar'!$Y$1748)))</f>
        <v/>
      </c>
      <c r="DZ128" s="85">
        <f>IF(BL128="","",IF(ISNUMBER('Dvd Calendar'!$Z$1748)=FALSE,"",IF((Summary!$C$13="N")*('Dvd Calendar'!$Z$1752='Field Check'!$C$25)&gt;0,"",'Dvd Calendar'!$Z$1748)))</f>
        <v/>
      </c>
      <c r="EA128" s="85">
        <f>IF(BM128="","",IF(ISNUMBER('Dvd Calendar'!$AA$1748)=FALSE,"",IF((Summary!$C$13="N")*('Dvd Calendar'!$AA$1752='Field Check'!$C$25)&gt;0,"",'Dvd Calendar'!$AA$1748)))</f>
        <v/>
      </c>
      <c r="EB128" s="85">
        <f>IF(BN128="","",IF(ISNUMBER('Dvd Calendar'!$AB$1748)=FALSE,"",IF((Summary!$C$13="N")*('Dvd Calendar'!$AB$1752='Field Check'!$C$25)&gt;0,"",'Dvd Calendar'!$AB$1748)))</f>
        <v/>
      </c>
      <c r="EC128" s="85">
        <f>IF(BO128="","",IF(ISNUMBER('Dvd Calendar'!$AC$1748)=FALSE,"",IF((Summary!$C$13="N")*('Dvd Calendar'!$AC$1752='Field Check'!$C$25)&gt;0,"",'Dvd Calendar'!$AC$1748)))</f>
        <v/>
      </c>
      <c r="EE128" s="85">
        <f>IF(BQ128="","",IFERROR(BQ128*HSTECH!$B$22*HSTECH!$G$22/HSTECH!$B$3,""))</f>
        <v/>
      </c>
      <c r="EF128" s="85">
        <f>IF(BR128="","",IFERROR(BR128*HSTECH!$B$22*HSTECH!$G$22/HSTECH!$B$3,""))</f>
        <v/>
      </c>
      <c r="EG128" s="85">
        <f>IF(BS128="","",IFERROR(BS128*HSTECH!$B$22*HSTECH!$G$22/HSTECH!$B$3,""))</f>
        <v/>
      </c>
      <c r="EH128" s="85">
        <f>IF(BT128="","",IFERROR(BT128*HSTECH!$B$22*HSTECH!$G$22/HSTECH!$B$3,""))</f>
        <v/>
      </c>
      <c r="EI128" s="85">
        <f>IF(BU128="","",IFERROR(BU128*HSTECH!$B$22*HSTECH!$G$22/HSTECH!$B$3,""))</f>
        <v/>
      </c>
      <c r="EJ128" s="85">
        <f>IF(BV128="","",IFERROR(BV128*HSTECH!$B$22*HSTECH!$G$22/HSTECH!$B$3,""))</f>
        <v/>
      </c>
      <c r="EK128" s="85">
        <f>IF(BW128="","",IFERROR(BW128*HSTECH!$B$22*HSTECH!$G$22/HSTECH!$B$3,""))</f>
        <v/>
      </c>
      <c r="EL128" s="85">
        <f>IF(BX128="","",IFERROR(BX128*HSTECH!$B$22*HSTECH!$G$22/HSTECH!$B$3,""))</f>
        <v/>
      </c>
      <c r="EM128" s="85">
        <f>IF(BY128="","",IFERROR(BY128*HSTECH!$B$22*HSTECH!$G$22/HSTECH!$B$3,""))</f>
        <v/>
      </c>
      <c r="EN128" s="85">
        <f>IF(BZ128="","",IFERROR(BZ128*HSTECH!$B$22*HSTECH!$G$22/HSTECH!$B$3,""))</f>
        <v/>
      </c>
      <c r="EO128" s="85">
        <f>IF(CA128="","",IFERROR(CA128*HSTECH!$B$22*HSTECH!$G$22/HSTECH!$B$3,""))</f>
        <v/>
      </c>
      <c r="EP128" s="85">
        <f>IF(CB128="","",IFERROR(CB128*HSTECH!$B$22*HSTECH!$G$22/HSTECH!$B$3,""))</f>
        <v/>
      </c>
      <c r="EQ128" s="85">
        <f>IF(CC128="","",IFERROR(CC128*HSTECH!$B$22*HSTECH!$G$22/HSTECH!$B$3,""))</f>
        <v/>
      </c>
      <c r="ER128" s="85">
        <f>IF(CD128="","",IFERROR(CD128*HSTECH!$B$22*HSTECH!$G$22/HSTECH!$B$3,""))</f>
        <v/>
      </c>
      <c r="ES128" s="85">
        <f>IF(CE128="","",IFERROR(CE128*HSTECH!$B$22*HSTECH!$G$22/HSTECH!$B$3,""))</f>
        <v/>
      </c>
      <c r="ET128" s="85">
        <f>IF(CF128="","",IFERROR(CF128*HSTECH!$B$22*HSTECH!$G$22/HSTECH!$B$3,""))</f>
        <v/>
      </c>
      <c r="EU128" s="85">
        <f>IF(CG128="","",IFERROR(CG128*HSTECH!$B$22*HSTECH!$G$22/HSTECH!$B$3,""))</f>
        <v/>
      </c>
      <c r="EV128" s="85">
        <f>IF(CH128="","",IFERROR(CH128*HSTECH!$B$22*HSTECH!$G$22/HSTECH!$B$3,""))</f>
        <v/>
      </c>
      <c r="EW128" s="85">
        <f>IF(CI128="","",IFERROR(CI128*HSTECH!$B$22*HSTECH!$G$22/HSTECH!$B$3,""))</f>
        <v/>
      </c>
      <c r="EX128" s="85">
        <f>IF(CJ128="","",IFERROR(CJ128*HSTECH!$B$22*HSTECH!$G$22/HSTECH!$B$3,""))</f>
        <v/>
      </c>
      <c r="EY128" s="85">
        <f>IF(CK128="","",IFERROR(CK128*HSTECH!$B$22*HSTECH!$G$22/HSTECH!$B$3,""))</f>
        <v/>
      </c>
      <c r="EZ128" s="85">
        <f>IF(CL128="","",IFERROR(CL128*HSTECH!$B$22*HSTECH!$G$22/HSTECH!$B$3,""))</f>
        <v/>
      </c>
      <c r="FA128" s="85">
        <f>IF(CM128="","",IFERROR(CM128*HSTECH!$B$22*HSTECH!$G$22/HSTECH!$B$3,""))</f>
        <v/>
      </c>
      <c r="FB128" s="85">
        <f>IF(CN128="","",IFERROR(CN128*HSTECH!$B$22*HSTECH!$G$22/HSTECH!$B$3,""))</f>
        <v/>
      </c>
      <c r="FC128" s="85">
        <f>IF(CO128="","",IFERROR(CO128*HSTECH!$B$22*HSTECH!$G$22/HSTECH!$B$3,""))</f>
        <v/>
      </c>
      <c r="FD128" s="85">
        <f>IF(CP128="","",IFERROR(CP128*HSTECH!$B$22*HSTECH!$G$22/HSTECH!$B$3,""))</f>
        <v/>
      </c>
      <c r="FE128" s="85">
        <f>IF(CQ128="","",IFERROR(CQ128*HSTECH!$B$22*HSTECH!$G$22/HSTECH!$B$3,""))</f>
        <v/>
      </c>
      <c r="FF128" s="85">
        <f>IF(CR128="","",IFERROR(CR128*HSTECH!$B$22*HSTECH!$G$22/HSTECH!$B$3,""))</f>
        <v/>
      </c>
      <c r="FG128" s="85">
        <f>IF(CS128="","",IFERROR(CS128*HSTECH!$B$22*HSTECH!$G$22/HSTECH!$B$3,""))</f>
        <v/>
      </c>
      <c r="FH128" s="85">
        <f>IF(CT128="","",IFERROR(CT128*HSTECH!$B$22*HSTECH!$G$22/HSTECH!$B$3,""))</f>
        <v/>
      </c>
      <c r="FI128" s="85">
        <f>IF(CU128="","",IFERROR(CU128*HSTECH!$B$22*HSTECH!$G$22/HSTECH!$B$3,""))</f>
        <v/>
      </c>
      <c r="FJ128" s="85">
        <f>IF(CV128="","",IFERROR(CV128*HSTECH!$B$22*HSTECH!$G$22/HSTECH!$B$3,""))</f>
        <v/>
      </c>
      <c r="FK128" s="85">
        <f>IF(CW128="","",IFERROR(CW128*HSTECH!$B$22*HSTECH!$G$22/HSTECH!$B$3,""))</f>
        <v/>
      </c>
      <c r="FL128" s="85">
        <f>IF(CX128="","",IFERROR(CX128*HSTECH!$B$22*HSTECH!$G$22/HSTECH!$B$3,""))</f>
        <v/>
      </c>
      <c r="FM128" s="85">
        <f>IF(CY128="","",IFERROR(CY128*HSTECH!$B$22*HSTECH!$G$22/HSTECH!$B$3,""))</f>
        <v/>
      </c>
      <c r="FN128" s="85">
        <f>IF(CZ128="","",IFERROR(CZ128*HSTECH!$B$22*HSTECH!$G$22/HSTECH!$B$3,""))</f>
        <v/>
      </c>
      <c r="FO128" s="85">
        <f>IF(DA128="","",IFERROR(DA128*HSTECH!$B$22*HSTECH!$G$22/HSTECH!$B$3,""))</f>
        <v/>
      </c>
      <c r="FP128" s="85">
        <f>IF(DB128="","",IFERROR(DB128*HSTECH!$B$22*HSTECH!$G$22/HSTECH!$B$3,""))</f>
        <v/>
      </c>
      <c r="FQ128" s="85">
        <f>IF(DC128="","",IFERROR(DC128*HSTECH!$B$22*HSTECH!$G$22/HSTECH!$B$3,""))</f>
        <v/>
      </c>
      <c r="FR128" s="85">
        <f>IF(DD128="","",IFERROR(DD128*HSTECH!$B$22*HSTECH!$G$22/HSTECH!$B$3,""))</f>
        <v/>
      </c>
      <c r="FS128" s="85">
        <f>IF(DE128="","",IFERROR(DE128*HSTECH!$B$22*HSTECH!$G$22/HSTECH!$B$3,""))</f>
        <v/>
      </c>
      <c r="FT128" s="85">
        <f>IF(DF128="","",IFERROR(DF128*HSTECH!$B$22*HSTECH!$G$22/HSTECH!$B$3,""))</f>
        <v/>
      </c>
      <c r="FU128" s="85">
        <f>IF(DG128="","",IFERROR(DG128*HSTECH!$B$22*HSTECH!$G$22/HSTECH!$B$3,""))</f>
        <v/>
      </c>
      <c r="FV128" s="85">
        <f>IF(DH128="","",IFERROR(DH128*HSTECH!$B$22*HSTECH!$G$22/HSTECH!$B$3,""))</f>
        <v/>
      </c>
      <c r="FW128" s="85">
        <f>IF(DI128="","",IFERROR(DI128*HSTECH!$B$22*HSTECH!$G$22/HSTECH!$B$3,""))</f>
        <v/>
      </c>
      <c r="FX128" s="85">
        <f>IF(DJ128="","",IFERROR(DJ128*HSTECH!$B$22*HSTECH!$G$22/HSTECH!$B$3,""))</f>
        <v/>
      </c>
      <c r="FY128" s="85">
        <f>IF(DK128="","",IFERROR(DK128*HSTECH!$B$22*HSTECH!$G$22/HSTECH!$B$3,""))</f>
        <v/>
      </c>
      <c r="FZ128" s="85">
        <f>IF(DL128="","",IFERROR(DL128*HSTECH!$B$22*HSTECH!$G$22/HSTECH!$B$3,""))</f>
        <v/>
      </c>
      <c r="GA128" s="85">
        <f>IF(DM128="","",IFERROR(DM128*HSTECH!$B$22*HSTECH!$G$22/HSTECH!$B$3,""))</f>
        <v/>
      </c>
      <c r="GB128" s="85">
        <f>IF(DN128="","",IFERROR(DN128*HSTECH!$B$22*HSTECH!$G$22/HSTECH!$B$3,""))</f>
        <v/>
      </c>
      <c r="GC128" s="85">
        <f>IF(DO128="","",IFERROR(DO128*HSTECH!$B$22*HSTECH!$G$22/HSTECH!$B$3,""))</f>
        <v/>
      </c>
      <c r="GD128" s="85">
        <f>IF(DP128="","",IFERROR(DP128*HSTECH!$B$22*HSTECH!$G$22/HSTECH!$B$3,""))</f>
        <v/>
      </c>
      <c r="GE128" s="85">
        <f>IF(DQ128="","",IFERROR(DQ128*HSTECH!$B$22*HSTECH!$G$22/HSTECH!$B$3,""))</f>
        <v/>
      </c>
      <c r="GF128" s="85">
        <f>IF(DR128="","",IFERROR(DR128*HSTECH!$B$22*HSTECH!$G$22/HSTECH!$B$3,""))</f>
        <v/>
      </c>
      <c r="GG128" s="85">
        <f>IF(DS128="","",IFERROR(DS128*HSTECH!$B$22*HSTECH!$G$22/HSTECH!$B$3,""))</f>
        <v/>
      </c>
      <c r="GH128" s="85">
        <f>IF(DT128="","",IFERROR(DT128*HSTECH!$B$22*HSTECH!$G$22/HSTECH!$B$3,""))</f>
        <v/>
      </c>
      <c r="GI128" s="85">
        <f>IF(DU128="","",IFERROR(DU128*HSTECH!$B$22*HSTECH!$G$22/HSTECH!$B$3,""))</f>
        <v/>
      </c>
      <c r="GJ128" s="85">
        <f>IF(DV128="","",IFERROR(DV128*HSTECH!$B$22*HSTECH!$G$22/HSTECH!$B$3,""))</f>
        <v/>
      </c>
      <c r="GK128" s="85">
        <f>IF(DW128="","",IFERROR(DW128*HSTECH!$B$22*HSTECH!$G$22/HSTECH!$B$3,""))</f>
        <v/>
      </c>
      <c r="GL128" s="85">
        <f>IF(DX128="","",IFERROR(DX128*HSTECH!$B$22*HSTECH!$G$22/HSTECH!$B$3,""))</f>
        <v/>
      </c>
      <c r="GM128" s="85">
        <f>IF(DY128="","",IFERROR(DY128*HSTECH!$B$22*HSTECH!$G$22/HSTECH!$B$3,""))</f>
        <v/>
      </c>
      <c r="GN128" s="85">
        <f>IF(DZ128="","",IFERROR(DZ128*HSTECH!$B$22*HSTECH!$G$22/HSTECH!$B$3,""))</f>
        <v/>
      </c>
      <c r="GO128" s="85">
        <f>IF(EA128="","",IFERROR(EA128*HSTECH!$B$22*HSTECH!$G$22/HSTECH!$B$3,""))</f>
        <v/>
      </c>
      <c r="GP128" s="85">
        <f>IF(EB128="","",IFERROR(EB128*HSTECH!$B$22*HSTECH!$G$22/HSTECH!$B$3,""))</f>
        <v/>
      </c>
      <c r="GQ128" s="85">
        <f>IF(EC128="","",IFERROR(EC128*HSTECH!$B$22*HSTECH!$G$22/HSTECH!$B$3,""))</f>
        <v/>
      </c>
    </row>
    <row r="129">
      <c r="B129" s="2">
        <f>IF(HSTECH!$C$23="","",HSTECH!$C$23)</f>
        <v/>
      </c>
      <c r="C129" s="41">
        <f>IF(N('Dvd Calendar'!$E$1755)=0,"",IF(('Dvd Calendar'!$E$1755&gt;=MIN(DATE(Summary!$C$12,1,1),Summary!$C$11))*('Dvd Calendar'!$E$1755&lt;=MAX(DATE(Summary!$C$12,12,31),Summary!$C$15))*('Dvd Calendar'!$E$1755&lt;=Summary!$C$11)=0,"",'Dvd Calendar'!$E$1755*1000000000+ISNUMBER('Dvd Calendar'!$E$1756)*100000000+('Dvd Calendar'!$E$1760='Field Check'!$C$25)*10000000+(N('Dvd Calendar'!$E$1754)&gt;0)*1000000+17*1000+1))</f>
        <v/>
      </c>
      <c r="D129" s="41">
        <f>IF(N('Dvd Calendar'!$F$1755)=0,"",IF(('Dvd Calendar'!$F$1755&gt;=MIN(DATE(Summary!$C$12,1,1),Summary!$C$11))*('Dvd Calendar'!$F$1755&lt;=MAX(DATE(Summary!$C$12,12,31),Summary!$C$15))*('Dvd Calendar'!$F$1755&lt;=Summary!$C$11)=0,"",'Dvd Calendar'!$F$1755*1000000000+ISNUMBER('Dvd Calendar'!$F$1756)*100000000+('Dvd Calendar'!$F$1760='Field Check'!$C$25)*10000000+(N('Dvd Calendar'!$F$1754)&gt;0)*1000000+17*1000+2))</f>
        <v/>
      </c>
      <c r="E129" s="41">
        <f>IF(N('Dvd Calendar'!$G$1755)=0,"",IF(('Dvd Calendar'!$G$1755&gt;=MIN(DATE(Summary!$C$12,1,1),Summary!$C$11))*('Dvd Calendar'!$G$1755&lt;=MAX(DATE(Summary!$C$12,12,31),Summary!$C$15))*('Dvd Calendar'!$G$1755&lt;=Summary!$C$11)=0,"",'Dvd Calendar'!$G$1755*1000000000+ISNUMBER('Dvd Calendar'!$G$1756)*100000000+('Dvd Calendar'!$G$1760='Field Check'!$C$25)*10000000+(N('Dvd Calendar'!$G$1754)&gt;0)*1000000+17*1000+3))</f>
        <v/>
      </c>
      <c r="F129" s="41">
        <f>IF(N('Dvd Calendar'!$H$1755)=0,"",IF(('Dvd Calendar'!$H$1755&gt;=MIN(DATE(Summary!$C$12,1,1),Summary!$C$11))*('Dvd Calendar'!$H$1755&lt;=MAX(DATE(Summary!$C$12,12,31),Summary!$C$15))*('Dvd Calendar'!$H$1755&lt;=Summary!$C$11)=0,"",'Dvd Calendar'!$H$1755*1000000000+ISNUMBER('Dvd Calendar'!$H$1756)*100000000+('Dvd Calendar'!$H$1760='Field Check'!$C$25)*10000000+(N('Dvd Calendar'!$H$1754)&gt;0)*1000000+17*1000+4))</f>
        <v/>
      </c>
      <c r="G129" s="41">
        <f>IF(N('Dvd Calendar'!$I$1755)=0,"",IF(('Dvd Calendar'!$I$1755&gt;=MIN(DATE(Summary!$C$12,1,1),Summary!$C$11))*('Dvd Calendar'!$I$1755&lt;=MAX(DATE(Summary!$C$12,12,31),Summary!$C$15))*('Dvd Calendar'!$I$1755&lt;=Summary!$C$11)=0,"",'Dvd Calendar'!$I$1755*1000000000+ISNUMBER('Dvd Calendar'!$I$1756)*100000000+('Dvd Calendar'!$I$1760='Field Check'!$C$25)*10000000+(N('Dvd Calendar'!$I$1754)&gt;0)*1000000+17*1000+5))</f>
        <v/>
      </c>
      <c r="H129" s="41">
        <f>IF(N('Dvd Calendar'!$J$1755)=0,"",IF(('Dvd Calendar'!$J$1755&gt;=MIN(DATE(Summary!$C$12,1,1),Summary!$C$11))*('Dvd Calendar'!$J$1755&lt;=MAX(DATE(Summary!$C$12,12,31),Summary!$C$15))*('Dvd Calendar'!$J$1755&lt;=Summary!$C$11)=0,"",'Dvd Calendar'!$J$1755*1000000000+ISNUMBER('Dvd Calendar'!$J$1756)*100000000+('Dvd Calendar'!$J$1760='Field Check'!$C$25)*10000000+(N('Dvd Calendar'!$J$1754)&gt;0)*1000000+17*1000+6))</f>
        <v/>
      </c>
      <c r="I129" s="41">
        <f>IF(N('Dvd Calendar'!$K$1755)=0,"",IF(('Dvd Calendar'!$K$1755&gt;=MIN(DATE(Summary!$C$12,1,1),Summary!$C$11))*('Dvd Calendar'!$K$1755&lt;=MAX(DATE(Summary!$C$12,12,31),Summary!$C$15))*('Dvd Calendar'!$K$1755&lt;=Summary!$C$11)=0,"",'Dvd Calendar'!$K$1755*1000000000+ISNUMBER('Dvd Calendar'!$K$1756)*100000000+('Dvd Calendar'!$K$1760='Field Check'!$C$25)*10000000+(N('Dvd Calendar'!$K$1754)&gt;0)*1000000+17*1000+7))</f>
        <v/>
      </c>
      <c r="J129" s="41">
        <f>IF(N('Dvd Calendar'!$L$1755)=0,"",IF(('Dvd Calendar'!$L$1755&gt;=MIN(DATE(Summary!$C$12,1,1),Summary!$C$11))*('Dvd Calendar'!$L$1755&lt;=MAX(DATE(Summary!$C$12,12,31),Summary!$C$15))*('Dvd Calendar'!$L$1755&lt;=Summary!$C$11)=0,"",'Dvd Calendar'!$L$1755*1000000000+ISNUMBER('Dvd Calendar'!$L$1756)*100000000+('Dvd Calendar'!$L$1760='Field Check'!$C$25)*10000000+(N('Dvd Calendar'!$L$1754)&gt;0)*1000000+17*1000+8))</f>
        <v/>
      </c>
      <c r="K129" s="41">
        <f>IF(N('Dvd Calendar'!$M$1755)=0,"",IF(('Dvd Calendar'!$M$1755&gt;=MIN(DATE(Summary!$C$12,1,1),Summary!$C$11))*('Dvd Calendar'!$M$1755&lt;=MAX(DATE(Summary!$C$12,12,31),Summary!$C$15))*('Dvd Calendar'!$M$1755&lt;=Summary!$C$11)=0,"",'Dvd Calendar'!$M$1755*1000000000+ISNUMBER('Dvd Calendar'!$M$1756)*100000000+('Dvd Calendar'!$M$1760='Field Check'!$C$25)*10000000+(N('Dvd Calendar'!$M$1754)&gt;0)*1000000+17*1000+9))</f>
        <v/>
      </c>
      <c r="L129" s="41">
        <f>IF(N('Dvd Calendar'!$N$1755)=0,"",IF(('Dvd Calendar'!$N$1755&gt;=MIN(DATE(Summary!$C$12,1,1),Summary!$C$11))*('Dvd Calendar'!$N$1755&lt;=MAX(DATE(Summary!$C$12,12,31),Summary!$C$15))*('Dvd Calendar'!$N$1755&lt;=Summary!$C$11)=0,"",'Dvd Calendar'!$N$1755*1000000000+ISNUMBER('Dvd Calendar'!$N$1756)*100000000+('Dvd Calendar'!$N$1760='Field Check'!$C$25)*10000000+(N('Dvd Calendar'!$N$1754)&gt;0)*1000000+17*1000+10))</f>
        <v/>
      </c>
      <c r="M129" s="41">
        <f>IF(N('Dvd Calendar'!$O$1755)=0,"",IF(('Dvd Calendar'!$O$1755&gt;=MIN(DATE(Summary!$C$12,1,1),Summary!$C$11))*('Dvd Calendar'!$O$1755&lt;=MAX(DATE(Summary!$C$12,12,31),Summary!$C$15))*('Dvd Calendar'!$O$1755&lt;=Summary!$C$11)=0,"",'Dvd Calendar'!$O$1755*1000000000+ISNUMBER('Dvd Calendar'!$O$1756)*100000000+('Dvd Calendar'!$O$1760='Field Check'!$C$25)*10000000+(N('Dvd Calendar'!$O$1754)&gt;0)*1000000+17*1000+11))</f>
        <v/>
      </c>
      <c r="N129" s="41">
        <f>IF(N('Dvd Calendar'!$P$1755)=0,"",IF(('Dvd Calendar'!$P$1755&gt;=MIN(DATE(Summary!$C$12,1,1),Summary!$C$11))*('Dvd Calendar'!$P$1755&lt;=MAX(DATE(Summary!$C$12,12,31),Summary!$C$15))*('Dvd Calendar'!$P$1755&lt;=Summary!$C$11)=0,"",'Dvd Calendar'!$P$1755*1000000000+ISNUMBER('Dvd Calendar'!$P$1756)*100000000+('Dvd Calendar'!$P$1760='Field Check'!$C$25)*10000000+(N('Dvd Calendar'!$P$1754)&gt;0)*1000000+17*1000+12))</f>
        <v/>
      </c>
      <c r="O129" s="41">
        <f>IF(N('Dvd Calendar'!$Q$1755)=0,"",IF(('Dvd Calendar'!$Q$1755&gt;=MIN(DATE(Summary!$C$12,1,1),Summary!$C$11))*('Dvd Calendar'!$Q$1755&lt;=MAX(DATE(Summary!$C$12,12,31),Summary!$C$15))*('Dvd Calendar'!$Q$1755&lt;=Summary!$C$11)=0,"",'Dvd Calendar'!$Q$1755*1000000000+ISNUMBER('Dvd Calendar'!$Q$1756)*100000000+('Dvd Calendar'!$Q$1760='Field Check'!$C$25)*10000000+(N('Dvd Calendar'!$Q$1754)&gt;0)*1000000+17*1000+13))</f>
        <v/>
      </c>
      <c r="P129" s="41">
        <f>IF(N('Dvd Calendar'!$R$1755)=0,"",IF(('Dvd Calendar'!$R$1755&gt;=MIN(DATE(Summary!$C$12,1,1),Summary!$C$11))*('Dvd Calendar'!$R$1755&lt;=MAX(DATE(Summary!$C$12,12,31),Summary!$C$15))*('Dvd Calendar'!$R$1755&lt;=Summary!$C$11)=0,"",'Dvd Calendar'!$R$1755*1000000000+ISNUMBER('Dvd Calendar'!$R$1756)*100000000+('Dvd Calendar'!$R$1760='Field Check'!$C$25)*10000000+(N('Dvd Calendar'!$R$1754)&gt;0)*1000000+17*1000+14))</f>
        <v/>
      </c>
      <c r="Q129" s="41">
        <f>IF(N('Dvd Calendar'!$S$1755)=0,"",IF(('Dvd Calendar'!$S$1755&gt;=MIN(DATE(Summary!$C$12,1,1),Summary!$C$11))*('Dvd Calendar'!$S$1755&lt;=MAX(DATE(Summary!$C$12,12,31),Summary!$C$15))*('Dvd Calendar'!$S$1755&lt;=Summary!$C$11)=0,"",'Dvd Calendar'!$S$1755*1000000000+ISNUMBER('Dvd Calendar'!$S$1756)*100000000+('Dvd Calendar'!$S$1760='Field Check'!$C$25)*10000000+(N('Dvd Calendar'!$S$1754)&gt;0)*1000000+17*1000+15))</f>
        <v/>
      </c>
      <c r="R129" s="41">
        <f>IF(N('Dvd Calendar'!$T$1755)=0,"",IF(('Dvd Calendar'!$T$1755&gt;=MIN(DATE(Summary!$C$12,1,1),Summary!$C$11))*('Dvd Calendar'!$T$1755&lt;=MAX(DATE(Summary!$C$12,12,31),Summary!$C$15))*('Dvd Calendar'!$T$1755&lt;=Summary!$C$11)=0,"",'Dvd Calendar'!$T$1755*1000000000+ISNUMBER('Dvd Calendar'!$T$1756)*100000000+('Dvd Calendar'!$T$1760='Field Check'!$C$25)*10000000+(N('Dvd Calendar'!$T$1754)&gt;0)*1000000+17*1000+16))</f>
        <v/>
      </c>
      <c r="S129" s="41">
        <f>IF(N('Dvd Calendar'!$U$1755)=0,"",IF(('Dvd Calendar'!$U$1755&gt;=MIN(DATE(Summary!$C$12,1,1),Summary!$C$11))*('Dvd Calendar'!$U$1755&lt;=MAX(DATE(Summary!$C$12,12,31),Summary!$C$15))*('Dvd Calendar'!$U$1755&lt;=Summary!$C$11)=0,"",'Dvd Calendar'!$U$1755*1000000000+ISNUMBER('Dvd Calendar'!$U$1756)*100000000+('Dvd Calendar'!$U$1760='Field Check'!$C$25)*10000000+(N('Dvd Calendar'!$U$1754)&gt;0)*1000000+17*1000+17))</f>
        <v/>
      </c>
      <c r="T129" s="41">
        <f>IF(N('Dvd Calendar'!$V$1755)=0,"",IF(('Dvd Calendar'!$V$1755&gt;=MIN(DATE(Summary!$C$12,1,1),Summary!$C$11))*('Dvd Calendar'!$V$1755&lt;=MAX(DATE(Summary!$C$12,12,31),Summary!$C$15))*('Dvd Calendar'!$V$1755&lt;=Summary!$C$11)=0,"",'Dvd Calendar'!$V$1755*1000000000+ISNUMBER('Dvd Calendar'!$V$1756)*100000000+('Dvd Calendar'!$V$1760='Field Check'!$C$25)*10000000+(N('Dvd Calendar'!$V$1754)&gt;0)*1000000+17*1000+18))</f>
        <v/>
      </c>
      <c r="U129" s="41">
        <f>IF(N('Dvd Calendar'!$W$1755)=0,"",IF(('Dvd Calendar'!$W$1755&gt;=MIN(DATE(Summary!$C$12,1,1),Summary!$C$11))*('Dvd Calendar'!$W$1755&lt;=MAX(DATE(Summary!$C$12,12,31),Summary!$C$15))*('Dvd Calendar'!$W$1755&lt;=Summary!$C$11)=0,"",'Dvd Calendar'!$W$1755*1000000000+ISNUMBER('Dvd Calendar'!$W$1756)*100000000+('Dvd Calendar'!$W$1760='Field Check'!$C$25)*10000000+(N('Dvd Calendar'!$W$1754)&gt;0)*1000000+17*1000+19))</f>
        <v/>
      </c>
      <c r="V129" s="41">
        <f>IF(N('Dvd Calendar'!$X$1755)=0,"",IF(('Dvd Calendar'!$X$1755&gt;=MIN(DATE(Summary!$C$12,1,1),Summary!$C$11))*('Dvd Calendar'!$X$1755&lt;=MAX(DATE(Summary!$C$12,12,31),Summary!$C$15))*('Dvd Calendar'!$X$1755&lt;=Summary!$C$11)=0,"",'Dvd Calendar'!$X$1755*1000000000+ISNUMBER('Dvd Calendar'!$X$1756)*100000000+('Dvd Calendar'!$X$1760='Field Check'!$C$25)*10000000+(N('Dvd Calendar'!$X$1754)&gt;0)*1000000+17*1000+20))</f>
        <v/>
      </c>
      <c r="W129" s="41">
        <f>IF(N('Dvd Calendar'!$Y$1755)=0,"",IF(('Dvd Calendar'!$Y$1755&gt;=MIN(DATE(Summary!$C$12,1,1),Summary!$C$11))*('Dvd Calendar'!$Y$1755&lt;=MAX(DATE(Summary!$C$12,12,31),Summary!$C$15))*('Dvd Calendar'!$Y$1755&lt;=Summary!$C$11)=0,"",'Dvd Calendar'!$Y$1755*1000000000+ISNUMBER('Dvd Calendar'!$Y$1756)*100000000+('Dvd Calendar'!$Y$1760='Field Check'!$C$25)*10000000+(N('Dvd Calendar'!$Y$1754)&gt;0)*1000000+17*1000+21))</f>
        <v/>
      </c>
      <c r="X129" s="41">
        <f>IF(N('Dvd Calendar'!$Z$1755)=0,"",IF(('Dvd Calendar'!$Z$1755&gt;=MIN(DATE(Summary!$C$12,1,1),Summary!$C$11))*('Dvd Calendar'!$Z$1755&lt;=MAX(DATE(Summary!$C$12,12,31),Summary!$C$15))*('Dvd Calendar'!$Z$1755&lt;=Summary!$C$11)=0,"",'Dvd Calendar'!$Z$1755*1000000000+ISNUMBER('Dvd Calendar'!$Z$1756)*100000000+('Dvd Calendar'!$Z$1760='Field Check'!$C$25)*10000000+(N('Dvd Calendar'!$Z$1754)&gt;0)*1000000+17*1000+22))</f>
        <v/>
      </c>
      <c r="Y129" s="41">
        <f>IF(N('Dvd Calendar'!$AA$1755)=0,"",IF(('Dvd Calendar'!$AA$1755&gt;=MIN(DATE(Summary!$C$12,1,1),Summary!$C$11))*('Dvd Calendar'!$AA$1755&lt;=MAX(DATE(Summary!$C$12,12,31),Summary!$C$15))*('Dvd Calendar'!$AA$1755&lt;=Summary!$C$11)=0,"",'Dvd Calendar'!$AA$1755*1000000000+ISNUMBER('Dvd Calendar'!$AA$1756)*100000000+('Dvd Calendar'!$AA$1760='Field Check'!$C$25)*10000000+(N('Dvd Calendar'!$AA$1754)&gt;0)*1000000+17*1000+23))</f>
        <v/>
      </c>
      <c r="Z129" s="41">
        <f>IF(N('Dvd Calendar'!$AB$1755)=0,"",IF(('Dvd Calendar'!$AB$1755&gt;=MIN(DATE(Summary!$C$12,1,1),Summary!$C$11))*('Dvd Calendar'!$AB$1755&lt;=MAX(DATE(Summary!$C$12,12,31),Summary!$C$15))*('Dvd Calendar'!$AB$1755&lt;=Summary!$C$11)=0,"",'Dvd Calendar'!$AB$1755*1000000000+ISNUMBER('Dvd Calendar'!$AB$1756)*100000000+('Dvd Calendar'!$AB$1760='Field Check'!$C$25)*10000000+(N('Dvd Calendar'!$AB$1754)&gt;0)*1000000+17*1000+24))</f>
        <v/>
      </c>
      <c r="AA129" s="41">
        <f>IF(N('Dvd Calendar'!$AC$1755)=0,"",IF(('Dvd Calendar'!$AC$1755&gt;=MIN(DATE(Summary!$C$12,1,1),Summary!$C$11))*('Dvd Calendar'!$AC$1755&lt;=MAX(DATE(Summary!$C$12,12,31),Summary!$C$15))*('Dvd Calendar'!$AC$1755&lt;=Summary!$C$11)=0,"",'Dvd Calendar'!$AC$1755*1000000000+ISNUMBER('Dvd Calendar'!$AC$1756)*100000000+('Dvd Calendar'!$AC$1760='Field Check'!$C$25)*10000000+(N('Dvd Calendar'!$AC$1754)&gt;0)*1000000+17*1000+25))</f>
        <v/>
      </c>
      <c r="AB129" s="41">
        <f>IF(N('Dvd Calendar'!$AD$1755)=0,"",IF(('Dvd Calendar'!$AD$1755&gt;=MIN(DATE(Summary!$C$12,1,1),Summary!$C$11))*('Dvd Calendar'!$AD$1755&lt;=MAX(DATE(Summary!$C$12,12,31),Summary!$C$15))*('Dvd Calendar'!$AD$1755&lt;=Summary!$C$11)=0,"",'Dvd Calendar'!$AD$1755*1000000000+ISNUMBER('Dvd Calendar'!$AD$1756)*100000000+('Dvd Calendar'!$AD$1760='Field Check'!$C$25)*10000000+(N('Dvd Calendar'!$AD$1754)&gt;0)*1000000+17*1000+26))</f>
        <v/>
      </c>
      <c r="AC129" s="41">
        <f>IF(N('Dvd Calendar'!$AE$1755)=0,"",IF(('Dvd Calendar'!$AE$1755&gt;=MIN(DATE(Summary!$C$12,1,1),Summary!$C$11))*('Dvd Calendar'!$AE$1755&lt;=MAX(DATE(Summary!$C$12,12,31),Summary!$C$15))*('Dvd Calendar'!$AE$1755&lt;=Summary!$C$11)=0,"",'Dvd Calendar'!$AE$1755*1000000000+ISNUMBER('Dvd Calendar'!$AE$1756)*100000000+('Dvd Calendar'!$AE$1760='Field Check'!$C$25)*10000000+(N('Dvd Calendar'!$AE$1754)&gt;0)*1000000+17*1000+27))</f>
        <v/>
      </c>
      <c r="AD129" s="41">
        <f>IF(N('Dvd Calendar'!$AF$1755)=0,"",IF(('Dvd Calendar'!$AF$1755&gt;=MIN(DATE(Summary!$C$12,1,1),Summary!$C$11))*('Dvd Calendar'!$AF$1755&lt;=MAX(DATE(Summary!$C$12,12,31),Summary!$C$15))*('Dvd Calendar'!$AF$1755&lt;=Summary!$C$11)=0,"",'Dvd Calendar'!$AF$1755*1000000000+ISNUMBER('Dvd Calendar'!$AF$1756)*100000000+('Dvd Calendar'!$AF$1760='Field Check'!$C$25)*10000000+(N('Dvd Calendar'!$AF$1754)&gt;0)*1000000+17*1000+28))</f>
        <v/>
      </c>
      <c r="AE129" s="41">
        <f>IF(N('Dvd Calendar'!$AG$1755)=0,"",IF(('Dvd Calendar'!$AG$1755&gt;=MIN(DATE(Summary!$C$12,1,1),Summary!$C$11))*('Dvd Calendar'!$AG$1755&lt;=MAX(DATE(Summary!$C$12,12,31),Summary!$C$15))*('Dvd Calendar'!$AG$1755&lt;=Summary!$C$11)=0,"",'Dvd Calendar'!$AG$1755*1000000000+ISNUMBER('Dvd Calendar'!$AG$1756)*100000000+('Dvd Calendar'!$AG$1760='Field Check'!$C$25)*10000000+(N('Dvd Calendar'!$AG$1754)&gt;0)*1000000+17*1000+29))</f>
        <v/>
      </c>
      <c r="AF129" s="41">
        <f>IF(N('Dvd Calendar'!$AH$1755)=0,"",IF(('Dvd Calendar'!$AH$1755&gt;=MIN(DATE(Summary!$C$12,1,1),Summary!$C$11))*('Dvd Calendar'!$AH$1755&lt;=MAX(DATE(Summary!$C$12,12,31),Summary!$C$15))*('Dvd Calendar'!$AH$1755&lt;=Summary!$C$11)=0,"",'Dvd Calendar'!$AH$1755*1000000000+ISNUMBER('Dvd Calendar'!$AH$1756)*100000000+('Dvd Calendar'!$AH$1760='Field Check'!$C$25)*10000000+(N('Dvd Calendar'!$AH$1754)&gt;0)*1000000+17*1000+30))</f>
        <v/>
      </c>
      <c r="AG129" s="41">
        <f>IF(N('Dvd Calendar'!$AI$1755)=0,"",IF(('Dvd Calendar'!$AI$1755&gt;=MIN(DATE(Summary!$C$12,1,1),Summary!$C$11))*('Dvd Calendar'!$AI$1755&lt;=MAX(DATE(Summary!$C$12,12,31),Summary!$C$15))*('Dvd Calendar'!$AI$1755&lt;=Summary!$C$11)=0,"",'Dvd Calendar'!$AI$1755*1000000000+ISNUMBER('Dvd Calendar'!$AI$1756)*100000000+('Dvd Calendar'!$AI$1760='Field Check'!$C$25)*10000000+(N('Dvd Calendar'!$AI$1754)&gt;0)*1000000+17*1000+31))</f>
        <v/>
      </c>
      <c r="AH129" s="41">
        <f>IF(N('Dvd Calendar'!$AJ$1755)=0,"",IF(('Dvd Calendar'!$AJ$1755&gt;=MIN(DATE(Summary!$C$12,1,1),Summary!$C$11))*('Dvd Calendar'!$AJ$1755&lt;=MAX(DATE(Summary!$C$12,12,31),Summary!$C$15))*('Dvd Calendar'!$AJ$1755&lt;=Summary!$C$11)=0,"",'Dvd Calendar'!$AJ$1755*1000000000+ISNUMBER('Dvd Calendar'!$AJ$1756)*100000000+('Dvd Calendar'!$AJ$1760='Field Check'!$C$25)*10000000+(N('Dvd Calendar'!$AJ$1754)&gt;0)*1000000+17*1000+32))</f>
        <v/>
      </c>
      <c r="AI129" s="41">
        <f>IF(N('Dvd Calendar'!$AK$1755)=0,"",IF(('Dvd Calendar'!$AK$1755&gt;=MIN(DATE(Summary!$C$12,1,1),Summary!$C$11))*('Dvd Calendar'!$AK$1755&lt;=MAX(DATE(Summary!$C$12,12,31),Summary!$C$15))*('Dvd Calendar'!$AK$1755&lt;=Summary!$C$11)=0,"",'Dvd Calendar'!$AK$1755*1000000000+ISNUMBER('Dvd Calendar'!$AK$1756)*100000000+('Dvd Calendar'!$AK$1760='Field Check'!$C$25)*10000000+(N('Dvd Calendar'!$AK$1754)&gt;0)*1000000+17*1000+33))</f>
        <v/>
      </c>
      <c r="AJ129" s="41">
        <f>IF(N('Dvd Calendar'!$AL$1755)=0,"",IF(('Dvd Calendar'!$AL$1755&gt;=MIN(DATE(Summary!$C$12,1,1),Summary!$C$11))*('Dvd Calendar'!$AL$1755&lt;=MAX(DATE(Summary!$C$12,12,31),Summary!$C$15))*('Dvd Calendar'!$AL$1755&lt;=Summary!$C$11)=0,"",'Dvd Calendar'!$AL$1755*1000000000+ISNUMBER('Dvd Calendar'!$AL$1756)*100000000+('Dvd Calendar'!$AL$1760='Field Check'!$C$25)*10000000+(N('Dvd Calendar'!$AL$1754)&gt;0)*1000000+17*1000+34))</f>
        <v/>
      </c>
      <c r="AK129" s="41">
        <f>IF(N('Dvd Calendar'!$AM$1755)=0,"",IF(('Dvd Calendar'!$AM$1755&gt;=MIN(DATE(Summary!$C$12,1,1),Summary!$C$11))*('Dvd Calendar'!$AM$1755&lt;=MAX(DATE(Summary!$C$12,12,31),Summary!$C$15))*('Dvd Calendar'!$AM$1755&lt;=Summary!$C$11)=0,"",'Dvd Calendar'!$AM$1755*1000000000+ISNUMBER('Dvd Calendar'!$AM$1756)*100000000+('Dvd Calendar'!$AM$1760='Field Check'!$C$25)*10000000+(N('Dvd Calendar'!$AM$1754)&gt;0)*1000000+17*1000+35))</f>
        <v/>
      </c>
      <c r="AL129" s="41">
        <f>IF(N('Dvd Calendar'!$AN$1755)=0,"",IF(('Dvd Calendar'!$AN$1755&gt;=MIN(DATE(Summary!$C$12,1,1),Summary!$C$11))*('Dvd Calendar'!$AN$1755&lt;=MAX(DATE(Summary!$C$12,12,31),Summary!$C$15))*('Dvd Calendar'!$AN$1755&lt;=Summary!$C$11)=0,"",'Dvd Calendar'!$AN$1755*1000000000+ISNUMBER('Dvd Calendar'!$AN$1756)*100000000+('Dvd Calendar'!$AN$1760='Field Check'!$C$25)*10000000+(N('Dvd Calendar'!$AN$1754)&gt;0)*1000000+17*1000+36))</f>
        <v/>
      </c>
      <c r="AM129" s="41">
        <f>IF(N('Dvd Calendar'!$AO$1755)=0,"",IF(('Dvd Calendar'!$AO$1755&gt;=MIN(DATE(Summary!$C$12,1,1),Summary!$C$11))*('Dvd Calendar'!$AO$1755&lt;=MAX(DATE(Summary!$C$12,12,31),Summary!$C$15))*('Dvd Calendar'!$AO$1755&lt;=Summary!$C$11)=0,"",'Dvd Calendar'!$AO$1755*1000000000+ISNUMBER('Dvd Calendar'!$AO$1756)*100000000+('Dvd Calendar'!$AO$1760='Field Check'!$C$25)*10000000+(N('Dvd Calendar'!$AO$1754)&gt;0)*1000000+17*1000+37))</f>
        <v/>
      </c>
      <c r="AN129" s="41">
        <f>IF(N('Dvd Calendar'!$AP$1755)=0,"",IF(('Dvd Calendar'!$AP$1755&gt;=MIN(DATE(Summary!$C$12,1,1),Summary!$C$11))*('Dvd Calendar'!$AP$1755&lt;=MAX(DATE(Summary!$C$12,12,31),Summary!$C$15))*('Dvd Calendar'!$AP$1755&lt;=Summary!$C$11)=0,"",'Dvd Calendar'!$AP$1755*1000000000+ISNUMBER('Dvd Calendar'!$AP$1756)*100000000+('Dvd Calendar'!$AP$1760='Field Check'!$C$25)*10000000+(N('Dvd Calendar'!$AP$1754)&gt;0)*1000000+17*1000+38))</f>
        <v/>
      </c>
      <c r="AO129" s="41">
        <f>IF(N('Dvd Calendar'!$AQ$1755)=0,"",IF(('Dvd Calendar'!$AQ$1755&gt;=MIN(DATE(Summary!$C$12,1,1),Summary!$C$11))*('Dvd Calendar'!$AQ$1755&lt;=MAX(DATE(Summary!$C$12,12,31),Summary!$C$15))*('Dvd Calendar'!$AQ$1755&lt;=Summary!$C$11)=0,"",'Dvd Calendar'!$AQ$1755*1000000000+ISNUMBER('Dvd Calendar'!$AQ$1756)*100000000+('Dvd Calendar'!$AQ$1760='Field Check'!$C$25)*10000000+(N('Dvd Calendar'!$AQ$1754)&gt;0)*1000000+17*1000+39))</f>
        <v/>
      </c>
      <c r="AP129" s="41">
        <f>IF(N('Dvd Calendar'!$AR$1755)=0,"",IF(('Dvd Calendar'!$AR$1755&gt;=MIN(DATE(Summary!$C$12,1,1),Summary!$C$11))*('Dvd Calendar'!$AR$1755&lt;=MAX(DATE(Summary!$C$12,12,31),Summary!$C$15))*('Dvd Calendar'!$AR$1755&lt;=Summary!$C$11)=0,"",'Dvd Calendar'!$AR$1755*1000000000+ISNUMBER('Dvd Calendar'!$AR$1756)*100000000+('Dvd Calendar'!$AR$1760='Field Check'!$C$25)*10000000+(N('Dvd Calendar'!$AR$1754)&gt;0)*1000000+17*1000+40))</f>
        <v/>
      </c>
      <c r="AQ129" s="41">
        <f>IF(N('Dvd Calendar'!$E$1762)=0,"",IF(('Dvd Calendar'!$E$1762&gt;=MIN(DATE(Summary!$C$12,1,1),Summary!$C$11))*('Dvd Calendar'!$E$1762&lt;=MAX(DATE(Summary!$C$12,12,31),Summary!$C$15))*('Dvd Calendar'!$E$1762&gt;Summary!$C$11)=0,"",'Dvd Calendar'!$E$1762*1000000000+ISNUMBER('Dvd Calendar'!$E$1763)*100000000+('Dvd Calendar'!$E$1767='Field Check'!$C$25)*10000000+(N('Dvd Calendar'!$E$1761)&gt;0)*1000000+17*1000+41))</f>
        <v/>
      </c>
      <c r="AR129" s="41">
        <f>IF(N('Dvd Calendar'!$F$1762)=0,"",IF(('Dvd Calendar'!$F$1762&gt;=MIN(DATE(Summary!$C$12,1,1),Summary!$C$11))*('Dvd Calendar'!$F$1762&lt;=MAX(DATE(Summary!$C$12,12,31),Summary!$C$15))*('Dvd Calendar'!$F$1762&gt;Summary!$C$11)=0,"",'Dvd Calendar'!$F$1762*1000000000+ISNUMBER('Dvd Calendar'!$F$1763)*100000000+('Dvd Calendar'!$F$1767='Field Check'!$C$25)*10000000+(N('Dvd Calendar'!$F$1761)&gt;0)*1000000+17*1000+42))</f>
        <v/>
      </c>
      <c r="AS129" s="41">
        <f>IF(N('Dvd Calendar'!$G$1762)=0,"",IF(('Dvd Calendar'!$G$1762&gt;=MIN(DATE(Summary!$C$12,1,1),Summary!$C$11))*('Dvd Calendar'!$G$1762&lt;=MAX(DATE(Summary!$C$12,12,31),Summary!$C$15))*('Dvd Calendar'!$G$1762&gt;Summary!$C$11)=0,"",'Dvd Calendar'!$G$1762*1000000000+ISNUMBER('Dvd Calendar'!$G$1763)*100000000+('Dvd Calendar'!$G$1767='Field Check'!$C$25)*10000000+(N('Dvd Calendar'!$G$1761)&gt;0)*1000000+17*1000+43))</f>
        <v/>
      </c>
      <c r="AT129" s="41">
        <f>IF(N('Dvd Calendar'!$H$1762)=0,"",IF(('Dvd Calendar'!$H$1762&gt;=MIN(DATE(Summary!$C$12,1,1),Summary!$C$11))*('Dvd Calendar'!$H$1762&lt;=MAX(DATE(Summary!$C$12,12,31),Summary!$C$15))*('Dvd Calendar'!$H$1762&gt;Summary!$C$11)=0,"",'Dvd Calendar'!$H$1762*1000000000+ISNUMBER('Dvd Calendar'!$H$1763)*100000000+('Dvd Calendar'!$H$1767='Field Check'!$C$25)*10000000+(N('Dvd Calendar'!$H$1761)&gt;0)*1000000+17*1000+44))</f>
        <v/>
      </c>
      <c r="AU129" s="41">
        <f>IF(N('Dvd Calendar'!$I$1762)=0,"",IF(('Dvd Calendar'!$I$1762&gt;=MIN(DATE(Summary!$C$12,1,1),Summary!$C$11))*('Dvd Calendar'!$I$1762&lt;=MAX(DATE(Summary!$C$12,12,31),Summary!$C$15))*('Dvd Calendar'!$I$1762&gt;Summary!$C$11)=0,"",'Dvd Calendar'!$I$1762*1000000000+ISNUMBER('Dvd Calendar'!$I$1763)*100000000+('Dvd Calendar'!$I$1767='Field Check'!$C$25)*10000000+(N('Dvd Calendar'!$I$1761)&gt;0)*1000000+17*1000+45))</f>
        <v/>
      </c>
      <c r="AV129" s="41">
        <f>IF(N('Dvd Calendar'!$J$1762)=0,"",IF(('Dvd Calendar'!$J$1762&gt;=MIN(DATE(Summary!$C$12,1,1),Summary!$C$11))*('Dvd Calendar'!$J$1762&lt;=MAX(DATE(Summary!$C$12,12,31),Summary!$C$15))*('Dvd Calendar'!$J$1762&gt;Summary!$C$11)=0,"",'Dvd Calendar'!$J$1762*1000000000+ISNUMBER('Dvd Calendar'!$J$1763)*100000000+('Dvd Calendar'!$J$1767='Field Check'!$C$25)*10000000+(N('Dvd Calendar'!$J$1761)&gt;0)*1000000+17*1000+46))</f>
        <v/>
      </c>
      <c r="AW129" s="41">
        <f>IF(N('Dvd Calendar'!$K$1762)=0,"",IF(('Dvd Calendar'!$K$1762&gt;=MIN(DATE(Summary!$C$12,1,1),Summary!$C$11))*('Dvd Calendar'!$K$1762&lt;=MAX(DATE(Summary!$C$12,12,31),Summary!$C$15))*('Dvd Calendar'!$K$1762&gt;Summary!$C$11)=0,"",'Dvd Calendar'!$K$1762*1000000000+ISNUMBER('Dvd Calendar'!$K$1763)*100000000+('Dvd Calendar'!$K$1767='Field Check'!$C$25)*10000000+(N('Dvd Calendar'!$K$1761)&gt;0)*1000000+17*1000+47))</f>
        <v/>
      </c>
      <c r="AX129" s="41">
        <f>IF(N('Dvd Calendar'!$L$1762)=0,"",IF(('Dvd Calendar'!$L$1762&gt;=MIN(DATE(Summary!$C$12,1,1),Summary!$C$11))*('Dvd Calendar'!$L$1762&lt;=MAX(DATE(Summary!$C$12,12,31),Summary!$C$15))*('Dvd Calendar'!$L$1762&gt;Summary!$C$11)=0,"",'Dvd Calendar'!$L$1762*1000000000+ISNUMBER('Dvd Calendar'!$L$1763)*100000000+('Dvd Calendar'!$L$1767='Field Check'!$C$25)*10000000+(N('Dvd Calendar'!$L$1761)&gt;0)*1000000+17*1000+48))</f>
        <v/>
      </c>
      <c r="AY129" s="41">
        <f>IF(N('Dvd Calendar'!$M$1762)=0,"",IF(('Dvd Calendar'!$M$1762&gt;=MIN(DATE(Summary!$C$12,1,1),Summary!$C$11))*('Dvd Calendar'!$M$1762&lt;=MAX(DATE(Summary!$C$12,12,31),Summary!$C$15))*('Dvd Calendar'!$M$1762&gt;Summary!$C$11)=0,"",'Dvd Calendar'!$M$1762*1000000000+ISNUMBER('Dvd Calendar'!$M$1763)*100000000+('Dvd Calendar'!$M$1767='Field Check'!$C$25)*10000000+(N('Dvd Calendar'!$M$1761)&gt;0)*1000000+17*1000+49))</f>
        <v/>
      </c>
      <c r="AZ129" s="41">
        <f>IF(N('Dvd Calendar'!$N$1762)=0,"",IF(('Dvd Calendar'!$N$1762&gt;=MIN(DATE(Summary!$C$12,1,1),Summary!$C$11))*('Dvd Calendar'!$N$1762&lt;=MAX(DATE(Summary!$C$12,12,31),Summary!$C$15))*('Dvd Calendar'!$N$1762&gt;Summary!$C$11)=0,"",'Dvd Calendar'!$N$1762*1000000000+ISNUMBER('Dvd Calendar'!$N$1763)*100000000+('Dvd Calendar'!$N$1767='Field Check'!$C$25)*10000000+(N('Dvd Calendar'!$N$1761)&gt;0)*1000000+17*1000+50))</f>
        <v/>
      </c>
      <c r="BA129" s="41">
        <f>IF(N('Dvd Calendar'!$O$1762)=0,"",IF(('Dvd Calendar'!$O$1762&gt;=MIN(DATE(Summary!$C$12,1,1),Summary!$C$11))*('Dvd Calendar'!$O$1762&lt;=MAX(DATE(Summary!$C$12,12,31),Summary!$C$15))*('Dvd Calendar'!$O$1762&gt;Summary!$C$11)=0,"",'Dvd Calendar'!$O$1762*1000000000+ISNUMBER('Dvd Calendar'!$O$1763)*100000000+('Dvd Calendar'!$O$1767='Field Check'!$C$25)*10000000+(N('Dvd Calendar'!$O$1761)&gt;0)*1000000+17*1000+51))</f>
        <v/>
      </c>
      <c r="BB129" s="41">
        <f>IF(N('Dvd Calendar'!$P$1762)=0,"",IF(('Dvd Calendar'!$P$1762&gt;=MIN(DATE(Summary!$C$12,1,1),Summary!$C$11))*('Dvd Calendar'!$P$1762&lt;=MAX(DATE(Summary!$C$12,12,31),Summary!$C$15))*('Dvd Calendar'!$P$1762&gt;Summary!$C$11)=0,"",'Dvd Calendar'!$P$1762*1000000000+ISNUMBER('Dvd Calendar'!$P$1763)*100000000+('Dvd Calendar'!$P$1767='Field Check'!$C$25)*10000000+(N('Dvd Calendar'!$P$1761)&gt;0)*1000000+17*1000+52))</f>
        <v/>
      </c>
      <c r="BC129" s="41">
        <f>IF(N('Dvd Calendar'!$Q$1762)=0,"",IF(('Dvd Calendar'!$Q$1762&gt;=MIN(DATE(Summary!$C$12,1,1),Summary!$C$11))*('Dvd Calendar'!$Q$1762&lt;=MAX(DATE(Summary!$C$12,12,31),Summary!$C$15))*('Dvd Calendar'!$Q$1762&gt;Summary!$C$11)=0,"",'Dvd Calendar'!$Q$1762*1000000000+ISNUMBER('Dvd Calendar'!$Q$1763)*100000000+('Dvd Calendar'!$Q$1767='Field Check'!$C$25)*10000000+(N('Dvd Calendar'!$Q$1761)&gt;0)*1000000+17*1000+53))</f>
        <v/>
      </c>
      <c r="BD129" s="41">
        <f>IF(N('Dvd Calendar'!$R$1762)=0,"",IF(('Dvd Calendar'!$R$1762&gt;=MIN(DATE(Summary!$C$12,1,1),Summary!$C$11))*('Dvd Calendar'!$R$1762&lt;=MAX(DATE(Summary!$C$12,12,31),Summary!$C$15))*('Dvd Calendar'!$R$1762&gt;Summary!$C$11)=0,"",'Dvd Calendar'!$R$1762*1000000000+ISNUMBER('Dvd Calendar'!$R$1763)*100000000+('Dvd Calendar'!$R$1767='Field Check'!$C$25)*10000000+(N('Dvd Calendar'!$R$1761)&gt;0)*1000000+17*1000+54))</f>
        <v/>
      </c>
      <c r="BE129" s="41">
        <f>IF(N('Dvd Calendar'!$S$1762)=0,"",IF(('Dvd Calendar'!$S$1762&gt;=MIN(DATE(Summary!$C$12,1,1),Summary!$C$11))*('Dvd Calendar'!$S$1762&lt;=MAX(DATE(Summary!$C$12,12,31),Summary!$C$15))*('Dvd Calendar'!$S$1762&gt;Summary!$C$11)=0,"",'Dvd Calendar'!$S$1762*1000000000+ISNUMBER('Dvd Calendar'!$S$1763)*100000000+('Dvd Calendar'!$S$1767='Field Check'!$C$25)*10000000+(N('Dvd Calendar'!$S$1761)&gt;0)*1000000+17*1000+55))</f>
        <v/>
      </c>
      <c r="BF129" s="41">
        <f>IF(N('Dvd Calendar'!$T$1762)=0,"",IF(('Dvd Calendar'!$T$1762&gt;=MIN(DATE(Summary!$C$12,1,1),Summary!$C$11))*('Dvd Calendar'!$T$1762&lt;=MAX(DATE(Summary!$C$12,12,31),Summary!$C$15))*('Dvd Calendar'!$T$1762&gt;Summary!$C$11)=0,"",'Dvd Calendar'!$T$1762*1000000000+ISNUMBER('Dvd Calendar'!$T$1763)*100000000+('Dvd Calendar'!$T$1767='Field Check'!$C$25)*10000000+(N('Dvd Calendar'!$T$1761)&gt;0)*1000000+17*1000+56))</f>
        <v/>
      </c>
      <c r="BG129" s="41">
        <f>IF(N('Dvd Calendar'!$U$1762)=0,"",IF(('Dvd Calendar'!$U$1762&gt;=MIN(DATE(Summary!$C$12,1,1),Summary!$C$11))*('Dvd Calendar'!$U$1762&lt;=MAX(DATE(Summary!$C$12,12,31),Summary!$C$15))*('Dvd Calendar'!$U$1762&gt;Summary!$C$11)=0,"",'Dvd Calendar'!$U$1762*1000000000+ISNUMBER('Dvd Calendar'!$U$1763)*100000000+('Dvd Calendar'!$U$1767='Field Check'!$C$25)*10000000+(N('Dvd Calendar'!$U$1761)&gt;0)*1000000+17*1000+57))</f>
        <v/>
      </c>
      <c r="BH129" s="41">
        <f>IF(N('Dvd Calendar'!$V$1762)=0,"",IF(('Dvd Calendar'!$V$1762&gt;=MIN(DATE(Summary!$C$12,1,1),Summary!$C$11))*('Dvd Calendar'!$V$1762&lt;=MAX(DATE(Summary!$C$12,12,31),Summary!$C$15))*('Dvd Calendar'!$V$1762&gt;Summary!$C$11)=0,"",'Dvd Calendar'!$V$1762*1000000000+ISNUMBER('Dvd Calendar'!$V$1763)*100000000+('Dvd Calendar'!$V$1767='Field Check'!$C$25)*10000000+(N('Dvd Calendar'!$V$1761)&gt;0)*1000000+17*1000+58))</f>
        <v/>
      </c>
      <c r="BI129" s="41">
        <f>IF(N('Dvd Calendar'!$W$1762)=0,"",IF(('Dvd Calendar'!$W$1762&gt;=MIN(DATE(Summary!$C$12,1,1),Summary!$C$11))*('Dvd Calendar'!$W$1762&lt;=MAX(DATE(Summary!$C$12,12,31),Summary!$C$15))*('Dvd Calendar'!$W$1762&gt;Summary!$C$11)=0,"",'Dvd Calendar'!$W$1762*1000000000+ISNUMBER('Dvd Calendar'!$W$1763)*100000000+('Dvd Calendar'!$W$1767='Field Check'!$C$25)*10000000+(N('Dvd Calendar'!$W$1761)&gt;0)*1000000+17*1000+59))</f>
        <v/>
      </c>
      <c r="BJ129" s="41">
        <f>IF(N('Dvd Calendar'!$X$1762)=0,"",IF(('Dvd Calendar'!$X$1762&gt;=MIN(DATE(Summary!$C$12,1,1),Summary!$C$11))*('Dvd Calendar'!$X$1762&lt;=MAX(DATE(Summary!$C$12,12,31),Summary!$C$15))*('Dvd Calendar'!$X$1762&gt;Summary!$C$11)=0,"",'Dvd Calendar'!$X$1762*1000000000+ISNUMBER('Dvd Calendar'!$X$1763)*100000000+('Dvd Calendar'!$X$1767='Field Check'!$C$25)*10000000+(N('Dvd Calendar'!$X$1761)&gt;0)*1000000+17*1000+60))</f>
        <v/>
      </c>
      <c r="BK129" s="41">
        <f>IF(N('Dvd Calendar'!$Y$1762)=0,"",IF(('Dvd Calendar'!$Y$1762&gt;=MIN(DATE(Summary!$C$12,1,1),Summary!$C$11))*('Dvd Calendar'!$Y$1762&lt;=MAX(DATE(Summary!$C$12,12,31),Summary!$C$15))*('Dvd Calendar'!$Y$1762&gt;Summary!$C$11)=0,"",'Dvd Calendar'!$Y$1762*1000000000+ISNUMBER('Dvd Calendar'!$Y$1763)*100000000+('Dvd Calendar'!$Y$1767='Field Check'!$C$25)*10000000+(N('Dvd Calendar'!$Y$1761)&gt;0)*1000000+17*1000+61))</f>
        <v/>
      </c>
      <c r="BL129" s="41">
        <f>IF(N('Dvd Calendar'!$Z$1762)=0,"",IF(('Dvd Calendar'!$Z$1762&gt;=MIN(DATE(Summary!$C$12,1,1),Summary!$C$11))*('Dvd Calendar'!$Z$1762&lt;=MAX(DATE(Summary!$C$12,12,31),Summary!$C$15))*('Dvd Calendar'!$Z$1762&gt;Summary!$C$11)=0,"",'Dvd Calendar'!$Z$1762*1000000000+ISNUMBER('Dvd Calendar'!$Z$1763)*100000000+('Dvd Calendar'!$Z$1767='Field Check'!$C$25)*10000000+(N('Dvd Calendar'!$Z$1761)&gt;0)*1000000+17*1000+62))</f>
        <v/>
      </c>
      <c r="BM129" s="41">
        <f>IF(N('Dvd Calendar'!$AA$1762)=0,"",IF(('Dvd Calendar'!$AA$1762&gt;=MIN(DATE(Summary!$C$12,1,1),Summary!$C$11))*('Dvd Calendar'!$AA$1762&lt;=MAX(DATE(Summary!$C$12,12,31),Summary!$C$15))*('Dvd Calendar'!$AA$1762&gt;Summary!$C$11)=0,"",'Dvd Calendar'!$AA$1762*1000000000+ISNUMBER('Dvd Calendar'!$AA$1763)*100000000+('Dvd Calendar'!$AA$1767='Field Check'!$C$25)*10000000+(N('Dvd Calendar'!$AA$1761)&gt;0)*1000000+17*1000+63))</f>
        <v/>
      </c>
      <c r="BN129" s="41">
        <f>IF(N('Dvd Calendar'!$AB$1762)=0,"",IF(('Dvd Calendar'!$AB$1762&gt;=MIN(DATE(Summary!$C$12,1,1),Summary!$C$11))*('Dvd Calendar'!$AB$1762&lt;=MAX(DATE(Summary!$C$12,12,31),Summary!$C$15))*('Dvd Calendar'!$AB$1762&gt;Summary!$C$11)=0,"",'Dvd Calendar'!$AB$1762*1000000000+ISNUMBER('Dvd Calendar'!$AB$1763)*100000000+('Dvd Calendar'!$AB$1767='Field Check'!$C$25)*10000000+(N('Dvd Calendar'!$AB$1761)&gt;0)*1000000+17*1000+64))</f>
        <v/>
      </c>
      <c r="BO129" s="41">
        <f>IF(N('Dvd Calendar'!$AC$1762)=0,"",IF(('Dvd Calendar'!$AC$1762&gt;=MIN(DATE(Summary!$C$12,1,1),Summary!$C$11))*('Dvd Calendar'!$AC$1762&lt;=MAX(DATE(Summary!$C$12,12,31),Summary!$C$15))*('Dvd Calendar'!$AC$1762&gt;Summary!$C$11)=0,"",'Dvd Calendar'!$AC$1762*1000000000+ISNUMBER('Dvd Calendar'!$AC$1763)*100000000+('Dvd Calendar'!$AC$1767='Field Check'!$C$25)*10000000+(N('Dvd Calendar'!$AC$1761)&gt;0)*1000000+17*1000+65))</f>
        <v/>
      </c>
      <c r="BQ129" s="85">
        <f>IF(C129="","",IF(ISNUMBER('Dvd Calendar'!$E$1756)=FALSE,"",IF((Summary!$C$13="N")*('Dvd Calendar'!$E$1760='Field Check'!$C$25)&gt;0,"",'Dvd Calendar'!$E$1756)))</f>
        <v/>
      </c>
      <c r="BR129" s="85">
        <f>IF(D129="","",IF(ISNUMBER('Dvd Calendar'!$F$1756)=FALSE,"",IF((Summary!$C$13="N")*('Dvd Calendar'!$F$1760='Field Check'!$C$25)&gt;0,"",'Dvd Calendar'!$F$1756)))</f>
        <v/>
      </c>
      <c r="BS129" s="85">
        <f>IF(E129="","",IF(ISNUMBER('Dvd Calendar'!$G$1756)=FALSE,"",IF((Summary!$C$13="N")*('Dvd Calendar'!$G$1760='Field Check'!$C$25)&gt;0,"",'Dvd Calendar'!$G$1756)))</f>
        <v/>
      </c>
      <c r="BT129" s="85">
        <f>IF(F129="","",IF(ISNUMBER('Dvd Calendar'!$H$1756)=FALSE,"",IF((Summary!$C$13="N")*('Dvd Calendar'!$H$1760='Field Check'!$C$25)&gt;0,"",'Dvd Calendar'!$H$1756)))</f>
        <v/>
      </c>
      <c r="BU129" s="85">
        <f>IF(G129="","",IF(ISNUMBER('Dvd Calendar'!$I$1756)=FALSE,"",IF((Summary!$C$13="N")*('Dvd Calendar'!$I$1760='Field Check'!$C$25)&gt;0,"",'Dvd Calendar'!$I$1756)))</f>
        <v/>
      </c>
      <c r="BV129" s="85">
        <f>IF(H129="","",IF(ISNUMBER('Dvd Calendar'!$J$1756)=FALSE,"",IF((Summary!$C$13="N")*('Dvd Calendar'!$J$1760='Field Check'!$C$25)&gt;0,"",'Dvd Calendar'!$J$1756)))</f>
        <v/>
      </c>
      <c r="BW129" s="85">
        <f>IF(I129="","",IF(ISNUMBER('Dvd Calendar'!$K$1756)=FALSE,"",IF((Summary!$C$13="N")*('Dvd Calendar'!$K$1760='Field Check'!$C$25)&gt;0,"",'Dvd Calendar'!$K$1756)))</f>
        <v/>
      </c>
      <c r="BX129" s="85">
        <f>IF(J129="","",IF(ISNUMBER('Dvd Calendar'!$L$1756)=FALSE,"",IF((Summary!$C$13="N")*('Dvd Calendar'!$L$1760='Field Check'!$C$25)&gt;0,"",'Dvd Calendar'!$L$1756)))</f>
        <v/>
      </c>
      <c r="BY129" s="85">
        <f>IF(K129="","",IF(ISNUMBER('Dvd Calendar'!$M$1756)=FALSE,"",IF((Summary!$C$13="N")*('Dvd Calendar'!$M$1760='Field Check'!$C$25)&gt;0,"",'Dvd Calendar'!$M$1756)))</f>
        <v/>
      </c>
      <c r="BZ129" s="85">
        <f>IF(L129="","",IF(ISNUMBER('Dvd Calendar'!$N$1756)=FALSE,"",IF((Summary!$C$13="N")*('Dvd Calendar'!$N$1760='Field Check'!$C$25)&gt;0,"",'Dvd Calendar'!$N$1756)))</f>
        <v/>
      </c>
      <c r="CA129" s="85">
        <f>IF(M129="","",IF(ISNUMBER('Dvd Calendar'!$O$1756)=FALSE,"",IF((Summary!$C$13="N")*('Dvd Calendar'!$O$1760='Field Check'!$C$25)&gt;0,"",'Dvd Calendar'!$O$1756)))</f>
        <v/>
      </c>
      <c r="CB129" s="85">
        <f>IF(N129="","",IF(ISNUMBER('Dvd Calendar'!$P$1756)=FALSE,"",IF((Summary!$C$13="N")*('Dvd Calendar'!$P$1760='Field Check'!$C$25)&gt;0,"",'Dvd Calendar'!$P$1756)))</f>
        <v/>
      </c>
      <c r="CC129" s="85">
        <f>IF(O129="","",IF(ISNUMBER('Dvd Calendar'!$Q$1756)=FALSE,"",IF((Summary!$C$13="N")*('Dvd Calendar'!$Q$1760='Field Check'!$C$25)&gt;0,"",'Dvd Calendar'!$Q$1756)))</f>
        <v/>
      </c>
      <c r="CD129" s="85">
        <f>IF(P129="","",IF(ISNUMBER('Dvd Calendar'!$R$1756)=FALSE,"",IF((Summary!$C$13="N")*('Dvd Calendar'!$R$1760='Field Check'!$C$25)&gt;0,"",'Dvd Calendar'!$R$1756)))</f>
        <v/>
      </c>
      <c r="CE129" s="85">
        <f>IF(Q129="","",IF(ISNUMBER('Dvd Calendar'!$S$1756)=FALSE,"",IF((Summary!$C$13="N")*('Dvd Calendar'!$S$1760='Field Check'!$C$25)&gt;0,"",'Dvd Calendar'!$S$1756)))</f>
        <v/>
      </c>
      <c r="CF129" s="85">
        <f>IF(R129="","",IF(ISNUMBER('Dvd Calendar'!$T$1756)=FALSE,"",IF((Summary!$C$13="N")*('Dvd Calendar'!$T$1760='Field Check'!$C$25)&gt;0,"",'Dvd Calendar'!$T$1756)))</f>
        <v/>
      </c>
      <c r="CG129" s="85">
        <f>IF(S129="","",IF(ISNUMBER('Dvd Calendar'!$U$1756)=FALSE,"",IF((Summary!$C$13="N")*('Dvd Calendar'!$U$1760='Field Check'!$C$25)&gt;0,"",'Dvd Calendar'!$U$1756)))</f>
        <v/>
      </c>
      <c r="CH129" s="85">
        <f>IF(T129="","",IF(ISNUMBER('Dvd Calendar'!$V$1756)=FALSE,"",IF((Summary!$C$13="N")*('Dvd Calendar'!$V$1760='Field Check'!$C$25)&gt;0,"",'Dvd Calendar'!$V$1756)))</f>
        <v/>
      </c>
      <c r="CI129" s="85">
        <f>IF(U129="","",IF(ISNUMBER('Dvd Calendar'!$W$1756)=FALSE,"",IF((Summary!$C$13="N")*('Dvd Calendar'!$W$1760='Field Check'!$C$25)&gt;0,"",'Dvd Calendar'!$W$1756)))</f>
        <v/>
      </c>
      <c r="CJ129" s="85">
        <f>IF(V129="","",IF(ISNUMBER('Dvd Calendar'!$X$1756)=FALSE,"",IF((Summary!$C$13="N")*('Dvd Calendar'!$X$1760='Field Check'!$C$25)&gt;0,"",'Dvd Calendar'!$X$1756)))</f>
        <v/>
      </c>
      <c r="CK129" s="85">
        <f>IF(W129="","",IF(ISNUMBER('Dvd Calendar'!$Y$1756)=FALSE,"",IF((Summary!$C$13="N")*('Dvd Calendar'!$Y$1760='Field Check'!$C$25)&gt;0,"",'Dvd Calendar'!$Y$1756)))</f>
        <v/>
      </c>
      <c r="CL129" s="85">
        <f>IF(X129="","",IF(ISNUMBER('Dvd Calendar'!$Z$1756)=FALSE,"",IF((Summary!$C$13="N")*('Dvd Calendar'!$Z$1760='Field Check'!$C$25)&gt;0,"",'Dvd Calendar'!$Z$1756)))</f>
        <v/>
      </c>
      <c r="CM129" s="85">
        <f>IF(Y129="","",IF(ISNUMBER('Dvd Calendar'!$AA$1756)=FALSE,"",IF((Summary!$C$13="N")*('Dvd Calendar'!$AA$1760='Field Check'!$C$25)&gt;0,"",'Dvd Calendar'!$AA$1756)))</f>
        <v/>
      </c>
      <c r="CN129" s="85">
        <f>IF(Z129="","",IF(ISNUMBER('Dvd Calendar'!$AB$1756)=FALSE,"",IF((Summary!$C$13="N")*('Dvd Calendar'!$AB$1760='Field Check'!$C$25)&gt;0,"",'Dvd Calendar'!$AB$1756)))</f>
        <v/>
      </c>
      <c r="CO129" s="85">
        <f>IF(AA129="","",IF(ISNUMBER('Dvd Calendar'!$AC$1756)=FALSE,"",IF((Summary!$C$13="N")*('Dvd Calendar'!$AC$1760='Field Check'!$C$25)&gt;0,"",'Dvd Calendar'!$AC$1756)))</f>
        <v/>
      </c>
      <c r="CP129" s="85">
        <f>IF(AB129="","",IF(ISNUMBER('Dvd Calendar'!$AD$1756)=FALSE,"",IF((Summary!$C$13="N")*('Dvd Calendar'!$AD$1760='Field Check'!$C$25)&gt;0,"",'Dvd Calendar'!$AD$1756)))</f>
        <v/>
      </c>
      <c r="CQ129" s="85">
        <f>IF(AC129="","",IF(ISNUMBER('Dvd Calendar'!$AE$1756)=FALSE,"",IF((Summary!$C$13="N")*('Dvd Calendar'!$AE$1760='Field Check'!$C$25)&gt;0,"",'Dvd Calendar'!$AE$1756)))</f>
        <v/>
      </c>
      <c r="CR129" s="85">
        <f>IF(AD129="","",IF(ISNUMBER('Dvd Calendar'!$AF$1756)=FALSE,"",IF((Summary!$C$13="N")*('Dvd Calendar'!$AF$1760='Field Check'!$C$25)&gt;0,"",'Dvd Calendar'!$AF$1756)))</f>
        <v/>
      </c>
      <c r="CS129" s="85">
        <f>IF(AE129="","",IF(ISNUMBER('Dvd Calendar'!$AG$1756)=FALSE,"",IF((Summary!$C$13="N")*('Dvd Calendar'!$AG$1760='Field Check'!$C$25)&gt;0,"",'Dvd Calendar'!$AG$1756)))</f>
        <v/>
      </c>
      <c r="CT129" s="85">
        <f>IF(AF129="","",IF(ISNUMBER('Dvd Calendar'!$AH$1756)=FALSE,"",IF((Summary!$C$13="N")*('Dvd Calendar'!$AH$1760='Field Check'!$C$25)&gt;0,"",'Dvd Calendar'!$AH$1756)))</f>
        <v/>
      </c>
      <c r="CU129" s="85">
        <f>IF(AG129="","",IF(ISNUMBER('Dvd Calendar'!$AI$1756)=FALSE,"",IF((Summary!$C$13="N")*('Dvd Calendar'!$AI$1760='Field Check'!$C$25)&gt;0,"",'Dvd Calendar'!$AI$1756)))</f>
        <v/>
      </c>
      <c r="CV129" s="85">
        <f>IF(AH129="","",IF(ISNUMBER('Dvd Calendar'!$AJ$1756)=FALSE,"",IF((Summary!$C$13="N")*('Dvd Calendar'!$AJ$1760='Field Check'!$C$25)&gt;0,"",'Dvd Calendar'!$AJ$1756)))</f>
        <v/>
      </c>
      <c r="CW129" s="85">
        <f>IF(AI129="","",IF(ISNUMBER('Dvd Calendar'!$AK$1756)=FALSE,"",IF((Summary!$C$13="N")*('Dvd Calendar'!$AK$1760='Field Check'!$C$25)&gt;0,"",'Dvd Calendar'!$AK$1756)))</f>
        <v/>
      </c>
      <c r="CX129" s="85">
        <f>IF(AJ129="","",IF(ISNUMBER('Dvd Calendar'!$AL$1756)=FALSE,"",IF((Summary!$C$13="N")*('Dvd Calendar'!$AL$1760='Field Check'!$C$25)&gt;0,"",'Dvd Calendar'!$AL$1756)))</f>
        <v/>
      </c>
      <c r="CY129" s="85">
        <f>IF(AK129="","",IF(ISNUMBER('Dvd Calendar'!$AM$1756)=FALSE,"",IF((Summary!$C$13="N")*('Dvd Calendar'!$AM$1760='Field Check'!$C$25)&gt;0,"",'Dvd Calendar'!$AM$1756)))</f>
        <v/>
      </c>
      <c r="CZ129" s="85">
        <f>IF(AL129="","",IF(ISNUMBER('Dvd Calendar'!$AN$1756)=FALSE,"",IF((Summary!$C$13="N")*('Dvd Calendar'!$AN$1760='Field Check'!$C$25)&gt;0,"",'Dvd Calendar'!$AN$1756)))</f>
        <v/>
      </c>
      <c r="DA129" s="85">
        <f>IF(AM129="","",IF(ISNUMBER('Dvd Calendar'!$AO$1756)=FALSE,"",IF((Summary!$C$13="N")*('Dvd Calendar'!$AO$1760='Field Check'!$C$25)&gt;0,"",'Dvd Calendar'!$AO$1756)))</f>
        <v/>
      </c>
      <c r="DB129" s="85">
        <f>IF(AN129="","",IF(ISNUMBER('Dvd Calendar'!$AP$1756)=FALSE,"",IF((Summary!$C$13="N")*('Dvd Calendar'!$AP$1760='Field Check'!$C$25)&gt;0,"",'Dvd Calendar'!$AP$1756)))</f>
        <v/>
      </c>
      <c r="DC129" s="85">
        <f>IF(AO129="","",IF(ISNUMBER('Dvd Calendar'!$AQ$1756)=FALSE,"",IF((Summary!$C$13="N")*('Dvd Calendar'!$AQ$1760='Field Check'!$C$25)&gt;0,"",'Dvd Calendar'!$AQ$1756)))</f>
        <v/>
      </c>
      <c r="DD129" s="85">
        <f>IF(AP129="","",IF(ISNUMBER('Dvd Calendar'!$AR$1756)=FALSE,"",IF((Summary!$C$13="N")*('Dvd Calendar'!$AR$1760='Field Check'!$C$25)&gt;0,"",'Dvd Calendar'!$AR$1756)))</f>
        <v/>
      </c>
      <c r="DE129" s="85">
        <f>IF(AQ129="","",IF(ISNUMBER('Dvd Calendar'!$E$1763)=FALSE,"",IF((Summary!$C$13="N")*('Dvd Calendar'!$E$1767='Field Check'!$C$25)&gt;0,"",'Dvd Calendar'!$E$1763)))</f>
        <v/>
      </c>
      <c r="DF129" s="85">
        <f>IF(AR129="","",IF(ISNUMBER('Dvd Calendar'!$F$1763)=FALSE,"",IF((Summary!$C$13="N")*('Dvd Calendar'!$F$1767='Field Check'!$C$25)&gt;0,"",'Dvd Calendar'!$F$1763)))</f>
        <v/>
      </c>
      <c r="DG129" s="85">
        <f>IF(AS129="","",IF(ISNUMBER('Dvd Calendar'!$G$1763)=FALSE,"",IF((Summary!$C$13="N")*('Dvd Calendar'!$G$1767='Field Check'!$C$25)&gt;0,"",'Dvd Calendar'!$G$1763)))</f>
        <v/>
      </c>
      <c r="DH129" s="85">
        <f>IF(AT129="","",IF(ISNUMBER('Dvd Calendar'!$H$1763)=FALSE,"",IF((Summary!$C$13="N")*('Dvd Calendar'!$H$1767='Field Check'!$C$25)&gt;0,"",'Dvd Calendar'!$H$1763)))</f>
        <v/>
      </c>
      <c r="DI129" s="85">
        <f>IF(AU129="","",IF(ISNUMBER('Dvd Calendar'!$I$1763)=FALSE,"",IF((Summary!$C$13="N")*('Dvd Calendar'!$I$1767='Field Check'!$C$25)&gt;0,"",'Dvd Calendar'!$I$1763)))</f>
        <v/>
      </c>
      <c r="DJ129" s="85">
        <f>IF(AV129="","",IF(ISNUMBER('Dvd Calendar'!$J$1763)=FALSE,"",IF((Summary!$C$13="N")*('Dvd Calendar'!$J$1767='Field Check'!$C$25)&gt;0,"",'Dvd Calendar'!$J$1763)))</f>
        <v/>
      </c>
      <c r="DK129" s="85">
        <f>IF(AW129="","",IF(ISNUMBER('Dvd Calendar'!$K$1763)=FALSE,"",IF((Summary!$C$13="N")*('Dvd Calendar'!$K$1767='Field Check'!$C$25)&gt;0,"",'Dvd Calendar'!$K$1763)))</f>
        <v/>
      </c>
      <c r="DL129" s="85">
        <f>IF(AX129="","",IF(ISNUMBER('Dvd Calendar'!$L$1763)=FALSE,"",IF((Summary!$C$13="N")*('Dvd Calendar'!$L$1767='Field Check'!$C$25)&gt;0,"",'Dvd Calendar'!$L$1763)))</f>
        <v/>
      </c>
      <c r="DM129" s="85">
        <f>IF(AY129="","",IF(ISNUMBER('Dvd Calendar'!$M$1763)=FALSE,"",IF((Summary!$C$13="N")*('Dvd Calendar'!$M$1767='Field Check'!$C$25)&gt;0,"",'Dvd Calendar'!$M$1763)))</f>
        <v/>
      </c>
      <c r="DN129" s="85">
        <f>IF(AZ129="","",IF(ISNUMBER('Dvd Calendar'!$N$1763)=FALSE,"",IF((Summary!$C$13="N")*('Dvd Calendar'!$N$1767='Field Check'!$C$25)&gt;0,"",'Dvd Calendar'!$N$1763)))</f>
        <v/>
      </c>
      <c r="DO129" s="85">
        <f>IF(BA129="","",IF(ISNUMBER('Dvd Calendar'!$O$1763)=FALSE,"",IF((Summary!$C$13="N")*('Dvd Calendar'!$O$1767='Field Check'!$C$25)&gt;0,"",'Dvd Calendar'!$O$1763)))</f>
        <v/>
      </c>
      <c r="DP129" s="85">
        <f>IF(BB129="","",IF(ISNUMBER('Dvd Calendar'!$P$1763)=FALSE,"",IF((Summary!$C$13="N")*('Dvd Calendar'!$P$1767='Field Check'!$C$25)&gt;0,"",'Dvd Calendar'!$P$1763)))</f>
        <v/>
      </c>
      <c r="DQ129" s="85">
        <f>IF(BC129="","",IF(ISNUMBER('Dvd Calendar'!$Q$1763)=FALSE,"",IF((Summary!$C$13="N")*('Dvd Calendar'!$Q$1767='Field Check'!$C$25)&gt;0,"",'Dvd Calendar'!$Q$1763)))</f>
        <v/>
      </c>
      <c r="DR129" s="85">
        <f>IF(BD129="","",IF(ISNUMBER('Dvd Calendar'!$R$1763)=FALSE,"",IF((Summary!$C$13="N")*('Dvd Calendar'!$R$1767='Field Check'!$C$25)&gt;0,"",'Dvd Calendar'!$R$1763)))</f>
        <v/>
      </c>
      <c r="DS129" s="85">
        <f>IF(BE129="","",IF(ISNUMBER('Dvd Calendar'!$S$1763)=FALSE,"",IF((Summary!$C$13="N")*('Dvd Calendar'!$S$1767='Field Check'!$C$25)&gt;0,"",'Dvd Calendar'!$S$1763)))</f>
        <v/>
      </c>
      <c r="DT129" s="85">
        <f>IF(BF129="","",IF(ISNUMBER('Dvd Calendar'!$T$1763)=FALSE,"",IF((Summary!$C$13="N")*('Dvd Calendar'!$T$1767='Field Check'!$C$25)&gt;0,"",'Dvd Calendar'!$T$1763)))</f>
        <v/>
      </c>
      <c r="DU129" s="85">
        <f>IF(BG129="","",IF(ISNUMBER('Dvd Calendar'!$U$1763)=FALSE,"",IF((Summary!$C$13="N")*('Dvd Calendar'!$U$1767='Field Check'!$C$25)&gt;0,"",'Dvd Calendar'!$U$1763)))</f>
        <v/>
      </c>
      <c r="DV129" s="85">
        <f>IF(BH129="","",IF(ISNUMBER('Dvd Calendar'!$V$1763)=FALSE,"",IF((Summary!$C$13="N")*('Dvd Calendar'!$V$1767='Field Check'!$C$25)&gt;0,"",'Dvd Calendar'!$V$1763)))</f>
        <v/>
      </c>
      <c r="DW129" s="85">
        <f>IF(BI129="","",IF(ISNUMBER('Dvd Calendar'!$W$1763)=FALSE,"",IF((Summary!$C$13="N")*('Dvd Calendar'!$W$1767='Field Check'!$C$25)&gt;0,"",'Dvd Calendar'!$W$1763)))</f>
        <v/>
      </c>
      <c r="DX129" s="85">
        <f>IF(BJ129="","",IF(ISNUMBER('Dvd Calendar'!$X$1763)=FALSE,"",IF((Summary!$C$13="N")*('Dvd Calendar'!$X$1767='Field Check'!$C$25)&gt;0,"",'Dvd Calendar'!$X$1763)))</f>
        <v/>
      </c>
      <c r="DY129" s="85">
        <f>IF(BK129="","",IF(ISNUMBER('Dvd Calendar'!$Y$1763)=FALSE,"",IF((Summary!$C$13="N")*('Dvd Calendar'!$Y$1767='Field Check'!$C$25)&gt;0,"",'Dvd Calendar'!$Y$1763)))</f>
        <v/>
      </c>
      <c r="DZ129" s="85">
        <f>IF(BL129="","",IF(ISNUMBER('Dvd Calendar'!$Z$1763)=FALSE,"",IF((Summary!$C$13="N")*('Dvd Calendar'!$Z$1767='Field Check'!$C$25)&gt;0,"",'Dvd Calendar'!$Z$1763)))</f>
        <v/>
      </c>
      <c r="EA129" s="85">
        <f>IF(BM129="","",IF(ISNUMBER('Dvd Calendar'!$AA$1763)=FALSE,"",IF((Summary!$C$13="N")*('Dvd Calendar'!$AA$1767='Field Check'!$C$25)&gt;0,"",'Dvd Calendar'!$AA$1763)))</f>
        <v/>
      </c>
      <c r="EB129" s="85">
        <f>IF(BN129="","",IF(ISNUMBER('Dvd Calendar'!$AB$1763)=FALSE,"",IF((Summary!$C$13="N")*('Dvd Calendar'!$AB$1767='Field Check'!$C$25)&gt;0,"",'Dvd Calendar'!$AB$1763)))</f>
        <v/>
      </c>
      <c r="EC129" s="85">
        <f>IF(BO129="","",IF(ISNUMBER('Dvd Calendar'!$AC$1763)=FALSE,"",IF((Summary!$C$13="N")*('Dvd Calendar'!$AC$1767='Field Check'!$C$25)&gt;0,"",'Dvd Calendar'!$AC$1763)))</f>
        <v/>
      </c>
      <c r="EE129" s="85">
        <f>IF(BQ129="","",IFERROR(BQ129*HSTECH!$B$23*HSTECH!$G$23/HSTECH!$B$3,""))</f>
        <v/>
      </c>
      <c r="EF129" s="85">
        <f>IF(BR129="","",IFERROR(BR129*HSTECH!$B$23*HSTECH!$G$23/HSTECH!$B$3,""))</f>
        <v/>
      </c>
      <c r="EG129" s="85">
        <f>IF(BS129="","",IFERROR(BS129*HSTECH!$B$23*HSTECH!$G$23/HSTECH!$B$3,""))</f>
        <v/>
      </c>
      <c r="EH129" s="85">
        <f>IF(BT129="","",IFERROR(BT129*HSTECH!$B$23*HSTECH!$G$23/HSTECH!$B$3,""))</f>
        <v/>
      </c>
      <c r="EI129" s="85">
        <f>IF(BU129="","",IFERROR(BU129*HSTECH!$B$23*HSTECH!$G$23/HSTECH!$B$3,""))</f>
        <v/>
      </c>
      <c r="EJ129" s="85">
        <f>IF(BV129="","",IFERROR(BV129*HSTECH!$B$23*HSTECH!$G$23/HSTECH!$B$3,""))</f>
        <v/>
      </c>
      <c r="EK129" s="85">
        <f>IF(BW129="","",IFERROR(BW129*HSTECH!$B$23*HSTECH!$G$23/HSTECH!$B$3,""))</f>
        <v/>
      </c>
      <c r="EL129" s="85">
        <f>IF(BX129="","",IFERROR(BX129*HSTECH!$B$23*HSTECH!$G$23/HSTECH!$B$3,""))</f>
        <v/>
      </c>
      <c r="EM129" s="85">
        <f>IF(BY129="","",IFERROR(BY129*HSTECH!$B$23*HSTECH!$G$23/HSTECH!$B$3,""))</f>
        <v/>
      </c>
      <c r="EN129" s="85">
        <f>IF(BZ129="","",IFERROR(BZ129*HSTECH!$B$23*HSTECH!$G$23/HSTECH!$B$3,""))</f>
        <v/>
      </c>
      <c r="EO129" s="85">
        <f>IF(CA129="","",IFERROR(CA129*HSTECH!$B$23*HSTECH!$G$23/HSTECH!$B$3,""))</f>
        <v/>
      </c>
      <c r="EP129" s="85">
        <f>IF(CB129="","",IFERROR(CB129*HSTECH!$B$23*HSTECH!$G$23/HSTECH!$B$3,""))</f>
        <v/>
      </c>
      <c r="EQ129" s="85">
        <f>IF(CC129="","",IFERROR(CC129*HSTECH!$B$23*HSTECH!$G$23/HSTECH!$B$3,""))</f>
        <v/>
      </c>
      <c r="ER129" s="85">
        <f>IF(CD129="","",IFERROR(CD129*HSTECH!$B$23*HSTECH!$G$23/HSTECH!$B$3,""))</f>
        <v/>
      </c>
      <c r="ES129" s="85">
        <f>IF(CE129="","",IFERROR(CE129*HSTECH!$B$23*HSTECH!$G$23/HSTECH!$B$3,""))</f>
        <v/>
      </c>
      <c r="ET129" s="85">
        <f>IF(CF129="","",IFERROR(CF129*HSTECH!$B$23*HSTECH!$G$23/HSTECH!$B$3,""))</f>
        <v/>
      </c>
      <c r="EU129" s="85">
        <f>IF(CG129="","",IFERROR(CG129*HSTECH!$B$23*HSTECH!$G$23/HSTECH!$B$3,""))</f>
        <v/>
      </c>
      <c r="EV129" s="85">
        <f>IF(CH129="","",IFERROR(CH129*HSTECH!$B$23*HSTECH!$G$23/HSTECH!$B$3,""))</f>
        <v/>
      </c>
      <c r="EW129" s="85">
        <f>IF(CI129="","",IFERROR(CI129*HSTECH!$B$23*HSTECH!$G$23/HSTECH!$B$3,""))</f>
        <v/>
      </c>
      <c r="EX129" s="85">
        <f>IF(CJ129="","",IFERROR(CJ129*HSTECH!$B$23*HSTECH!$G$23/HSTECH!$B$3,""))</f>
        <v/>
      </c>
      <c r="EY129" s="85">
        <f>IF(CK129="","",IFERROR(CK129*HSTECH!$B$23*HSTECH!$G$23/HSTECH!$B$3,""))</f>
        <v/>
      </c>
      <c r="EZ129" s="85">
        <f>IF(CL129="","",IFERROR(CL129*HSTECH!$B$23*HSTECH!$G$23/HSTECH!$B$3,""))</f>
        <v/>
      </c>
      <c r="FA129" s="85">
        <f>IF(CM129="","",IFERROR(CM129*HSTECH!$B$23*HSTECH!$G$23/HSTECH!$B$3,""))</f>
        <v/>
      </c>
      <c r="FB129" s="85">
        <f>IF(CN129="","",IFERROR(CN129*HSTECH!$B$23*HSTECH!$G$23/HSTECH!$B$3,""))</f>
        <v/>
      </c>
      <c r="FC129" s="85">
        <f>IF(CO129="","",IFERROR(CO129*HSTECH!$B$23*HSTECH!$G$23/HSTECH!$B$3,""))</f>
        <v/>
      </c>
      <c r="FD129" s="85">
        <f>IF(CP129="","",IFERROR(CP129*HSTECH!$B$23*HSTECH!$G$23/HSTECH!$B$3,""))</f>
        <v/>
      </c>
      <c r="FE129" s="85">
        <f>IF(CQ129="","",IFERROR(CQ129*HSTECH!$B$23*HSTECH!$G$23/HSTECH!$B$3,""))</f>
        <v/>
      </c>
      <c r="FF129" s="85">
        <f>IF(CR129="","",IFERROR(CR129*HSTECH!$B$23*HSTECH!$G$23/HSTECH!$B$3,""))</f>
        <v/>
      </c>
      <c r="FG129" s="85">
        <f>IF(CS129="","",IFERROR(CS129*HSTECH!$B$23*HSTECH!$G$23/HSTECH!$B$3,""))</f>
        <v/>
      </c>
      <c r="FH129" s="85">
        <f>IF(CT129="","",IFERROR(CT129*HSTECH!$B$23*HSTECH!$G$23/HSTECH!$B$3,""))</f>
        <v/>
      </c>
      <c r="FI129" s="85">
        <f>IF(CU129="","",IFERROR(CU129*HSTECH!$B$23*HSTECH!$G$23/HSTECH!$B$3,""))</f>
        <v/>
      </c>
      <c r="FJ129" s="85">
        <f>IF(CV129="","",IFERROR(CV129*HSTECH!$B$23*HSTECH!$G$23/HSTECH!$B$3,""))</f>
        <v/>
      </c>
      <c r="FK129" s="85">
        <f>IF(CW129="","",IFERROR(CW129*HSTECH!$B$23*HSTECH!$G$23/HSTECH!$B$3,""))</f>
        <v/>
      </c>
      <c r="FL129" s="85">
        <f>IF(CX129="","",IFERROR(CX129*HSTECH!$B$23*HSTECH!$G$23/HSTECH!$B$3,""))</f>
        <v/>
      </c>
      <c r="FM129" s="85">
        <f>IF(CY129="","",IFERROR(CY129*HSTECH!$B$23*HSTECH!$G$23/HSTECH!$B$3,""))</f>
        <v/>
      </c>
      <c r="FN129" s="85">
        <f>IF(CZ129="","",IFERROR(CZ129*HSTECH!$B$23*HSTECH!$G$23/HSTECH!$B$3,""))</f>
        <v/>
      </c>
      <c r="FO129" s="85">
        <f>IF(DA129="","",IFERROR(DA129*HSTECH!$B$23*HSTECH!$G$23/HSTECH!$B$3,""))</f>
        <v/>
      </c>
      <c r="FP129" s="85">
        <f>IF(DB129="","",IFERROR(DB129*HSTECH!$B$23*HSTECH!$G$23/HSTECH!$B$3,""))</f>
        <v/>
      </c>
      <c r="FQ129" s="85">
        <f>IF(DC129="","",IFERROR(DC129*HSTECH!$B$23*HSTECH!$G$23/HSTECH!$B$3,""))</f>
        <v/>
      </c>
      <c r="FR129" s="85">
        <f>IF(DD129="","",IFERROR(DD129*HSTECH!$B$23*HSTECH!$G$23/HSTECH!$B$3,""))</f>
        <v/>
      </c>
      <c r="FS129" s="85">
        <f>IF(DE129="","",IFERROR(DE129*HSTECH!$B$23*HSTECH!$G$23/HSTECH!$B$3,""))</f>
        <v/>
      </c>
      <c r="FT129" s="85">
        <f>IF(DF129="","",IFERROR(DF129*HSTECH!$B$23*HSTECH!$G$23/HSTECH!$B$3,""))</f>
        <v/>
      </c>
      <c r="FU129" s="85">
        <f>IF(DG129="","",IFERROR(DG129*HSTECH!$B$23*HSTECH!$G$23/HSTECH!$B$3,""))</f>
        <v/>
      </c>
      <c r="FV129" s="85">
        <f>IF(DH129="","",IFERROR(DH129*HSTECH!$B$23*HSTECH!$G$23/HSTECH!$B$3,""))</f>
        <v/>
      </c>
      <c r="FW129" s="85">
        <f>IF(DI129="","",IFERROR(DI129*HSTECH!$B$23*HSTECH!$G$23/HSTECH!$B$3,""))</f>
        <v/>
      </c>
      <c r="FX129" s="85">
        <f>IF(DJ129="","",IFERROR(DJ129*HSTECH!$B$23*HSTECH!$G$23/HSTECH!$B$3,""))</f>
        <v/>
      </c>
      <c r="FY129" s="85">
        <f>IF(DK129="","",IFERROR(DK129*HSTECH!$B$23*HSTECH!$G$23/HSTECH!$B$3,""))</f>
        <v/>
      </c>
      <c r="FZ129" s="85">
        <f>IF(DL129="","",IFERROR(DL129*HSTECH!$B$23*HSTECH!$G$23/HSTECH!$B$3,""))</f>
        <v/>
      </c>
      <c r="GA129" s="85">
        <f>IF(DM129="","",IFERROR(DM129*HSTECH!$B$23*HSTECH!$G$23/HSTECH!$B$3,""))</f>
        <v/>
      </c>
      <c r="GB129" s="85">
        <f>IF(DN129="","",IFERROR(DN129*HSTECH!$B$23*HSTECH!$G$23/HSTECH!$B$3,""))</f>
        <v/>
      </c>
      <c r="GC129" s="85">
        <f>IF(DO129="","",IFERROR(DO129*HSTECH!$B$23*HSTECH!$G$23/HSTECH!$B$3,""))</f>
        <v/>
      </c>
      <c r="GD129" s="85">
        <f>IF(DP129="","",IFERROR(DP129*HSTECH!$B$23*HSTECH!$G$23/HSTECH!$B$3,""))</f>
        <v/>
      </c>
      <c r="GE129" s="85">
        <f>IF(DQ129="","",IFERROR(DQ129*HSTECH!$B$23*HSTECH!$G$23/HSTECH!$B$3,""))</f>
        <v/>
      </c>
      <c r="GF129" s="85">
        <f>IF(DR129="","",IFERROR(DR129*HSTECH!$B$23*HSTECH!$G$23/HSTECH!$B$3,""))</f>
        <v/>
      </c>
      <c r="GG129" s="85">
        <f>IF(DS129="","",IFERROR(DS129*HSTECH!$B$23*HSTECH!$G$23/HSTECH!$B$3,""))</f>
        <v/>
      </c>
      <c r="GH129" s="85">
        <f>IF(DT129="","",IFERROR(DT129*HSTECH!$B$23*HSTECH!$G$23/HSTECH!$B$3,""))</f>
        <v/>
      </c>
      <c r="GI129" s="85">
        <f>IF(DU129="","",IFERROR(DU129*HSTECH!$B$23*HSTECH!$G$23/HSTECH!$B$3,""))</f>
        <v/>
      </c>
      <c r="GJ129" s="85">
        <f>IF(DV129="","",IFERROR(DV129*HSTECH!$B$23*HSTECH!$G$23/HSTECH!$B$3,""))</f>
        <v/>
      </c>
      <c r="GK129" s="85">
        <f>IF(DW129="","",IFERROR(DW129*HSTECH!$B$23*HSTECH!$G$23/HSTECH!$B$3,""))</f>
        <v/>
      </c>
      <c r="GL129" s="85">
        <f>IF(DX129="","",IFERROR(DX129*HSTECH!$B$23*HSTECH!$G$23/HSTECH!$B$3,""))</f>
        <v/>
      </c>
      <c r="GM129" s="85">
        <f>IF(DY129="","",IFERROR(DY129*HSTECH!$B$23*HSTECH!$G$23/HSTECH!$B$3,""))</f>
        <v/>
      </c>
      <c r="GN129" s="85">
        <f>IF(DZ129="","",IFERROR(DZ129*HSTECH!$B$23*HSTECH!$G$23/HSTECH!$B$3,""))</f>
        <v/>
      </c>
      <c r="GO129" s="85">
        <f>IF(EA129="","",IFERROR(EA129*HSTECH!$B$23*HSTECH!$G$23/HSTECH!$B$3,""))</f>
        <v/>
      </c>
      <c r="GP129" s="85">
        <f>IF(EB129="","",IFERROR(EB129*HSTECH!$B$23*HSTECH!$G$23/HSTECH!$B$3,""))</f>
        <v/>
      </c>
      <c r="GQ129" s="85">
        <f>IF(EC129="","",IFERROR(EC129*HSTECH!$B$23*HSTECH!$G$23/HSTECH!$B$3,""))</f>
        <v/>
      </c>
    </row>
    <row r="130">
      <c r="B130" s="2">
        <f>IF(HSTECH!$C$24="","",HSTECH!$C$24)</f>
        <v/>
      </c>
      <c r="C130" s="41">
        <f>IF(N('Dvd Calendar'!$E$1770)=0,"",IF(('Dvd Calendar'!$E$1770&gt;=MIN(DATE(Summary!$C$12,1,1),Summary!$C$11))*('Dvd Calendar'!$E$1770&lt;=MAX(DATE(Summary!$C$12,12,31),Summary!$C$15))*('Dvd Calendar'!$E$1770&lt;=Summary!$C$11)=0,"",'Dvd Calendar'!$E$1770*1000000000+ISNUMBER('Dvd Calendar'!$E$1771)*100000000+('Dvd Calendar'!$E$1775='Field Check'!$C$25)*10000000+(N('Dvd Calendar'!$E$1769)&gt;0)*1000000+18*1000+1))</f>
        <v/>
      </c>
      <c r="D130" s="41">
        <f>IF(N('Dvd Calendar'!$F$1770)=0,"",IF(('Dvd Calendar'!$F$1770&gt;=MIN(DATE(Summary!$C$12,1,1),Summary!$C$11))*('Dvd Calendar'!$F$1770&lt;=MAX(DATE(Summary!$C$12,12,31),Summary!$C$15))*('Dvd Calendar'!$F$1770&lt;=Summary!$C$11)=0,"",'Dvd Calendar'!$F$1770*1000000000+ISNUMBER('Dvd Calendar'!$F$1771)*100000000+('Dvd Calendar'!$F$1775='Field Check'!$C$25)*10000000+(N('Dvd Calendar'!$F$1769)&gt;0)*1000000+18*1000+2))</f>
        <v/>
      </c>
      <c r="E130" s="41">
        <f>IF(N('Dvd Calendar'!$G$1770)=0,"",IF(('Dvd Calendar'!$G$1770&gt;=MIN(DATE(Summary!$C$12,1,1),Summary!$C$11))*('Dvd Calendar'!$G$1770&lt;=MAX(DATE(Summary!$C$12,12,31),Summary!$C$15))*('Dvd Calendar'!$G$1770&lt;=Summary!$C$11)=0,"",'Dvd Calendar'!$G$1770*1000000000+ISNUMBER('Dvd Calendar'!$G$1771)*100000000+('Dvd Calendar'!$G$1775='Field Check'!$C$25)*10000000+(N('Dvd Calendar'!$G$1769)&gt;0)*1000000+18*1000+3))</f>
        <v/>
      </c>
      <c r="F130" s="41">
        <f>IF(N('Dvd Calendar'!$H$1770)=0,"",IF(('Dvd Calendar'!$H$1770&gt;=MIN(DATE(Summary!$C$12,1,1),Summary!$C$11))*('Dvd Calendar'!$H$1770&lt;=MAX(DATE(Summary!$C$12,12,31),Summary!$C$15))*('Dvd Calendar'!$H$1770&lt;=Summary!$C$11)=0,"",'Dvd Calendar'!$H$1770*1000000000+ISNUMBER('Dvd Calendar'!$H$1771)*100000000+('Dvd Calendar'!$H$1775='Field Check'!$C$25)*10000000+(N('Dvd Calendar'!$H$1769)&gt;0)*1000000+18*1000+4))</f>
        <v/>
      </c>
      <c r="G130" s="41">
        <f>IF(N('Dvd Calendar'!$I$1770)=0,"",IF(('Dvd Calendar'!$I$1770&gt;=MIN(DATE(Summary!$C$12,1,1),Summary!$C$11))*('Dvd Calendar'!$I$1770&lt;=MAX(DATE(Summary!$C$12,12,31),Summary!$C$15))*('Dvd Calendar'!$I$1770&lt;=Summary!$C$11)=0,"",'Dvd Calendar'!$I$1770*1000000000+ISNUMBER('Dvd Calendar'!$I$1771)*100000000+('Dvd Calendar'!$I$1775='Field Check'!$C$25)*10000000+(N('Dvd Calendar'!$I$1769)&gt;0)*1000000+18*1000+5))</f>
        <v/>
      </c>
      <c r="H130" s="41">
        <f>IF(N('Dvd Calendar'!$J$1770)=0,"",IF(('Dvd Calendar'!$J$1770&gt;=MIN(DATE(Summary!$C$12,1,1),Summary!$C$11))*('Dvd Calendar'!$J$1770&lt;=MAX(DATE(Summary!$C$12,12,31),Summary!$C$15))*('Dvd Calendar'!$J$1770&lt;=Summary!$C$11)=0,"",'Dvd Calendar'!$J$1770*1000000000+ISNUMBER('Dvd Calendar'!$J$1771)*100000000+('Dvd Calendar'!$J$1775='Field Check'!$C$25)*10000000+(N('Dvd Calendar'!$J$1769)&gt;0)*1000000+18*1000+6))</f>
        <v/>
      </c>
      <c r="I130" s="41">
        <f>IF(N('Dvd Calendar'!$K$1770)=0,"",IF(('Dvd Calendar'!$K$1770&gt;=MIN(DATE(Summary!$C$12,1,1),Summary!$C$11))*('Dvd Calendar'!$K$1770&lt;=MAX(DATE(Summary!$C$12,12,31),Summary!$C$15))*('Dvd Calendar'!$K$1770&lt;=Summary!$C$11)=0,"",'Dvd Calendar'!$K$1770*1000000000+ISNUMBER('Dvd Calendar'!$K$1771)*100000000+('Dvd Calendar'!$K$1775='Field Check'!$C$25)*10000000+(N('Dvd Calendar'!$K$1769)&gt;0)*1000000+18*1000+7))</f>
        <v/>
      </c>
      <c r="J130" s="41">
        <f>IF(N('Dvd Calendar'!$L$1770)=0,"",IF(('Dvd Calendar'!$L$1770&gt;=MIN(DATE(Summary!$C$12,1,1),Summary!$C$11))*('Dvd Calendar'!$L$1770&lt;=MAX(DATE(Summary!$C$12,12,31),Summary!$C$15))*('Dvd Calendar'!$L$1770&lt;=Summary!$C$11)=0,"",'Dvd Calendar'!$L$1770*1000000000+ISNUMBER('Dvd Calendar'!$L$1771)*100000000+('Dvd Calendar'!$L$1775='Field Check'!$C$25)*10000000+(N('Dvd Calendar'!$L$1769)&gt;0)*1000000+18*1000+8))</f>
        <v/>
      </c>
      <c r="K130" s="41">
        <f>IF(N('Dvd Calendar'!$M$1770)=0,"",IF(('Dvd Calendar'!$M$1770&gt;=MIN(DATE(Summary!$C$12,1,1),Summary!$C$11))*('Dvd Calendar'!$M$1770&lt;=MAX(DATE(Summary!$C$12,12,31),Summary!$C$15))*('Dvd Calendar'!$M$1770&lt;=Summary!$C$11)=0,"",'Dvd Calendar'!$M$1770*1000000000+ISNUMBER('Dvd Calendar'!$M$1771)*100000000+('Dvd Calendar'!$M$1775='Field Check'!$C$25)*10000000+(N('Dvd Calendar'!$M$1769)&gt;0)*1000000+18*1000+9))</f>
        <v/>
      </c>
      <c r="L130" s="41">
        <f>IF(N('Dvd Calendar'!$N$1770)=0,"",IF(('Dvd Calendar'!$N$1770&gt;=MIN(DATE(Summary!$C$12,1,1),Summary!$C$11))*('Dvd Calendar'!$N$1770&lt;=MAX(DATE(Summary!$C$12,12,31),Summary!$C$15))*('Dvd Calendar'!$N$1770&lt;=Summary!$C$11)=0,"",'Dvd Calendar'!$N$1770*1000000000+ISNUMBER('Dvd Calendar'!$N$1771)*100000000+('Dvd Calendar'!$N$1775='Field Check'!$C$25)*10000000+(N('Dvd Calendar'!$N$1769)&gt;0)*1000000+18*1000+10))</f>
        <v/>
      </c>
      <c r="M130" s="41">
        <f>IF(N('Dvd Calendar'!$O$1770)=0,"",IF(('Dvd Calendar'!$O$1770&gt;=MIN(DATE(Summary!$C$12,1,1),Summary!$C$11))*('Dvd Calendar'!$O$1770&lt;=MAX(DATE(Summary!$C$12,12,31),Summary!$C$15))*('Dvd Calendar'!$O$1770&lt;=Summary!$C$11)=0,"",'Dvd Calendar'!$O$1770*1000000000+ISNUMBER('Dvd Calendar'!$O$1771)*100000000+('Dvd Calendar'!$O$1775='Field Check'!$C$25)*10000000+(N('Dvd Calendar'!$O$1769)&gt;0)*1000000+18*1000+11))</f>
        <v/>
      </c>
      <c r="N130" s="41">
        <f>IF(N('Dvd Calendar'!$P$1770)=0,"",IF(('Dvd Calendar'!$P$1770&gt;=MIN(DATE(Summary!$C$12,1,1),Summary!$C$11))*('Dvd Calendar'!$P$1770&lt;=MAX(DATE(Summary!$C$12,12,31),Summary!$C$15))*('Dvd Calendar'!$P$1770&lt;=Summary!$C$11)=0,"",'Dvd Calendar'!$P$1770*1000000000+ISNUMBER('Dvd Calendar'!$P$1771)*100000000+('Dvd Calendar'!$P$1775='Field Check'!$C$25)*10000000+(N('Dvd Calendar'!$P$1769)&gt;0)*1000000+18*1000+12))</f>
        <v/>
      </c>
      <c r="O130" s="41">
        <f>IF(N('Dvd Calendar'!$Q$1770)=0,"",IF(('Dvd Calendar'!$Q$1770&gt;=MIN(DATE(Summary!$C$12,1,1),Summary!$C$11))*('Dvd Calendar'!$Q$1770&lt;=MAX(DATE(Summary!$C$12,12,31),Summary!$C$15))*('Dvd Calendar'!$Q$1770&lt;=Summary!$C$11)=0,"",'Dvd Calendar'!$Q$1770*1000000000+ISNUMBER('Dvd Calendar'!$Q$1771)*100000000+('Dvd Calendar'!$Q$1775='Field Check'!$C$25)*10000000+(N('Dvd Calendar'!$Q$1769)&gt;0)*1000000+18*1000+13))</f>
        <v/>
      </c>
      <c r="P130" s="41">
        <f>IF(N('Dvd Calendar'!$R$1770)=0,"",IF(('Dvd Calendar'!$R$1770&gt;=MIN(DATE(Summary!$C$12,1,1),Summary!$C$11))*('Dvd Calendar'!$R$1770&lt;=MAX(DATE(Summary!$C$12,12,31),Summary!$C$15))*('Dvd Calendar'!$R$1770&lt;=Summary!$C$11)=0,"",'Dvd Calendar'!$R$1770*1000000000+ISNUMBER('Dvd Calendar'!$R$1771)*100000000+('Dvd Calendar'!$R$1775='Field Check'!$C$25)*10000000+(N('Dvd Calendar'!$R$1769)&gt;0)*1000000+18*1000+14))</f>
        <v/>
      </c>
      <c r="Q130" s="41">
        <f>IF(N('Dvd Calendar'!$S$1770)=0,"",IF(('Dvd Calendar'!$S$1770&gt;=MIN(DATE(Summary!$C$12,1,1),Summary!$C$11))*('Dvd Calendar'!$S$1770&lt;=MAX(DATE(Summary!$C$12,12,31),Summary!$C$15))*('Dvd Calendar'!$S$1770&lt;=Summary!$C$11)=0,"",'Dvd Calendar'!$S$1770*1000000000+ISNUMBER('Dvd Calendar'!$S$1771)*100000000+('Dvd Calendar'!$S$1775='Field Check'!$C$25)*10000000+(N('Dvd Calendar'!$S$1769)&gt;0)*1000000+18*1000+15))</f>
        <v/>
      </c>
      <c r="R130" s="41">
        <f>IF(N('Dvd Calendar'!$T$1770)=0,"",IF(('Dvd Calendar'!$T$1770&gt;=MIN(DATE(Summary!$C$12,1,1),Summary!$C$11))*('Dvd Calendar'!$T$1770&lt;=MAX(DATE(Summary!$C$12,12,31),Summary!$C$15))*('Dvd Calendar'!$T$1770&lt;=Summary!$C$11)=0,"",'Dvd Calendar'!$T$1770*1000000000+ISNUMBER('Dvd Calendar'!$T$1771)*100000000+('Dvd Calendar'!$T$1775='Field Check'!$C$25)*10000000+(N('Dvd Calendar'!$T$1769)&gt;0)*1000000+18*1000+16))</f>
        <v/>
      </c>
      <c r="S130" s="41">
        <f>IF(N('Dvd Calendar'!$U$1770)=0,"",IF(('Dvd Calendar'!$U$1770&gt;=MIN(DATE(Summary!$C$12,1,1),Summary!$C$11))*('Dvd Calendar'!$U$1770&lt;=MAX(DATE(Summary!$C$12,12,31),Summary!$C$15))*('Dvd Calendar'!$U$1770&lt;=Summary!$C$11)=0,"",'Dvd Calendar'!$U$1770*1000000000+ISNUMBER('Dvd Calendar'!$U$1771)*100000000+('Dvd Calendar'!$U$1775='Field Check'!$C$25)*10000000+(N('Dvd Calendar'!$U$1769)&gt;0)*1000000+18*1000+17))</f>
        <v/>
      </c>
      <c r="T130" s="41">
        <f>IF(N('Dvd Calendar'!$V$1770)=0,"",IF(('Dvd Calendar'!$V$1770&gt;=MIN(DATE(Summary!$C$12,1,1),Summary!$C$11))*('Dvd Calendar'!$V$1770&lt;=MAX(DATE(Summary!$C$12,12,31),Summary!$C$15))*('Dvd Calendar'!$V$1770&lt;=Summary!$C$11)=0,"",'Dvd Calendar'!$V$1770*1000000000+ISNUMBER('Dvd Calendar'!$V$1771)*100000000+('Dvd Calendar'!$V$1775='Field Check'!$C$25)*10000000+(N('Dvd Calendar'!$V$1769)&gt;0)*1000000+18*1000+18))</f>
        <v/>
      </c>
      <c r="U130" s="41">
        <f>IF(N('Dvd Calendar'!$W$1770)=0,"",IF(('Dvd Calendar'!$W$1770&gt;=MIN(DATE(Summary!$C$12,1,1),Summary!$C$11))*('Dvd Calendar'!$W$1770&lt;=MAX(DATE(Summary!$C$12,12,31),Summary!$C$15))*('Dvd Calendar'!$W$1770&lt;=Summary!$C$11)=0,"",'Dvd Calendar'!$W$1770*1000000000+ISNUMBER('Dvd Calendar'!$W$1771)*100000000+('Dvd Calendar'!$W$1775='Field Check'!$C$25)*10000000+(N('Dvd Calendar'!$W$1769)&gt;0)*1000000+18*1000+19))</f>
        <v/>
      </c>
      <c r="V130" s="41">
        <f>IF(N('Dvd Calendar'!$X$1770)=0,"",IF(('Dvd Calendar'!$X$1770&gt;=MIN(DATE(Summary!$C$12,1,1),Summary!$C$11))*('Dvd Calendar'!$X$1770&lt;=MAX(DATE(Summary!$C$12,12,31),Summary!$C$15))*('Dvd Calendar'!$X$1770&lt;=Summary!$C$11)=0,"",'Dvd Calendar'!$X$1770*1000000000+ISNUMBER('Dvd Calendar'!$X$1771)*100000000+('Dvd Calendar'!$X$1775='Field Check'!$C$25)*10000000+(N('Dvd Calendar'!$X$1769)&gt;0)*1000000+18*1000+20))</f>
        <v/>
      </c>
      <c r="W130" s="41">
        <f>IF(N('Dvd Calendar'!$Y$1770)=0,"",IF(('Dvd Calendar'!$Y$1770&gt;=MIN(DATE(Summary!$C$12,1,1),Summary!$C$11))*('Dvd Calendar'!$Y$1770&lt;=MAX(DATE(Summary!$C$12,12,31),Summary!$C$15))*('Dvd Calendar'!$Y$1770&lt;=Summary!$C$11)=0,"",'Dvd Calendar'!$Y$1770*1000000000+ISNUMBER('Dvd Calendar'!$Y$1771)*100000000+('Dvd Calendar'!$Y$1775='Field Check'!$C$25)*10000000+(N('Dvd Calendar'!$Y$1769)&gt;0)*1000000+18*1000+21))</f>
        <v/>
      </c>
      <c r="X130" s="41">
        <f>IF(N('Dvd Calendar'!$Z$1770)=0,"",IF(('Dvd Calendar'!$Z$1770&gt;=MIN(DATE(Summary!$C$12,1,1),Summary!$C$11))*('Dvd Calendar'!$Z$1770&lt;=MAX(DATE(Summary!$C$12,12,31),Summary!$C$15))*('Dvd Calendar'!$Z$1770&lt;=Summary!$C$11)=0,"",'Dvd Calendar'!$Z$1770*1000000000+ISNUMBER('Dvd Calendar'!$Z$1771)*100000000+('Dvd Calendar'!$Z$1775='Field Check'!$C$25)*10000000+(N('Dvd Calendar'!$Z$1769)&gt;0)*1000000+18*1000+22))</f>
        <v/>
      </c>
      <c r="Y130" s="41">
        <f>IF(N('Dvd Calendar'!$AA$1770)=0,"",IF(('Dvd Calendar'!$AA$1770&gt;=MIN(DATE(Summary!$C$12,1,1),Summary!$C$11))*('Dvd Calendar'!$AA$1770&lt;=MAX(DATE(Summary!$C$12,12,31),Summary!$C$15))*('Dvd Calendar'!$AA$1770&lt;=Summary!$C$11)=0,"",'Dvd Calendar'!$AA$1770*1000000000+ISNUMBER('Dvd Calendar'!$AA$1771)*100000000+('Dvd Calendar'!$AA$1775='Field Check'!$C$25)*10000000+(N('Dvd Calendar'!$AA$1769)&gt;0)*1000000+18*1000+23))</f>
        <v/>
      </c>
      <c r="Z130" s="41">
        <f>IF(N('Dvd Calendar'!$AB$1770)=0,"",IF(('Dvd Calendar'!$AB$1770&gt;=MIN(DATE(Summary!$C$12,1,1),Summary!$C$11))*('Dvd Calendar'!$AB$1770&lt;=MAX(DATE(Summary!$C$12,12,31),Summary!$C$15))*('Dvd Calendar'!$AB$1770&lt;=Summary!$C$11)=0,"",'Dvd Calendar'!$AB$1770*1000000000+ISNUMBER('Dvd Calendar'!$AB$1771)*100000000+('Dvd Calendar'!$AB$1775='Field Check'!$C$25)*10000000+(N('Dvd Calendar'!$AB$1769)&gt;0)*1000000+18*1000+24))</f>
        <v/>
      </c>
      <c r="AA130" s="41">
        <f>IF(N('Dvd Calendar'!$AC$1770)=0,"",IF(('Dvd Calendar'!$AC$1770&gt;=MIN(DATE(Summary!$C$12,1,1),Summary!$C$11))*('Dvd Calendar'!$AC$1770&lt;=MAX(DATE(Summary!$C$12,12,31),Summary!$C$15))*('Dvd Calendar'!$AC$1770&lt;=Summary!$C$11)=0,"",'Dvd Calendar'!$AC$1770*1000000000+ISNUMBER('Dvd Calendar'!$AC$1771)*100000000+('Dvd Calendar'!$AC$1775='Field Check'!$C$25)*10000000+(N('Dvd Calendar'!$AC$1769)&gt;0)*1000000+18*1000+25))</f>
        <v/>
      </c>
      <c r="AB130" s="41">
        <f>IF(N('Dvd Calendar'!$AD$1770)=0,"",IF(('Dvd Calendar'!$AD$1770&gt;=MIN(DATE(Summary!$C$12,1,1),Summary!$C$11))*('Dvd Calendar'!$AD$1770&lt;=MAX(DATE(Summary!$C$12,12,31),Summary!$C$15))*('Dvd Calendar'!$AD$1770&lt;=Summary!$C$11)=0,"",'Dvd Calendar'!$AD$1770*1000000000+ISNUMBER('Dvd Calendar'!$AD$1771)*100000000+('Dvd Calendar'!$AD$1775='Field Check'!$C$25)*10000000+(N('Dvd Calendar'!$AD$1769)&gt;0)*1000000+18*1000+26))</f>
        <v/>
      </c>
      <c r="AC130" s="41">
        <f>IF(N('Dvd Calendar'!$AE$1770)=0,"",IF(('Dvd Calendar'!$AE$1770&gt;=MIN(DATE(Summary!$C$12,1,1),Summary!$C$11))*('Dvd Calendar'!$AE$1770&lt;=MAX(DATE(Summary!$C$12,12,31),Summary!$C$15))*('Dvd Calendar'!$AE$1770&lt;=Summary!$C$11)=0,"",'Dvd Calendar'!$AE$1770*1000000000+ISNUMBER('Dvd Calendar'!$AE$1771)*100000000+('Dvd Calendar'!$AE$1775='Field Check'!$C$25)*10000000+(N('Dvd Calendar'!$AE$1769)&gt;0)*1000000+18*1000+27))</f>
        <v/>
      </c>
      <c r="AD130" s="41">
        <f>IF(N('Dvd Calendar'!$AF$1770)=0,"",IF(('Dvd Calendar'!$AF$1770&gt;=MIN(DATE(Summary!$C$12,1,1),Summary!$C$11))*('Dvd Calendar'!$AF$1770&lt;=MAX(DATE(Summary!$C$12,12,31),Summary!$C$15))*('Dvd Calendar'!$AF$1770&lt;=Summary!$C$11)=0,"",'Dvd Calendar'!$AF$1770*1000000000+ISNUMBER('Dvd Calendar'!$AF$1771)*100000000+('Dvd Calendar'!$AF$1775='Field Check'!$C$25)*10000000+(N('Dvd Calendar'!$AF$1769)&gt;0)*1000000+18*1000+28))</f>
        <v/>
      </c>
      <c r="AE130" s="41">
        <f>IF(N('Dvd Calendar'!$AG$1770)=0,"",IF(('Dvd Calendar'!$AG$1770&gt;=MIN(DATE(Summary!$C$12,1,1),Summary!$C$11))*('Dvd Calendar'!$AG$1770&lt;=MAX(DATE(Summary!$C$12,12,31),Summary!$C$15))*('Dvd Calendar'!$AG$1770&lt;=Summary!$C$11)=0,"",'Dvd Calendar'!$AG$1770*1000000000+ISNUMBER('Dvd Calendar'!$AG$1771)*100000000+('Dvd Calendar'!$AG$1775='Field Check'!$C$25)*10000000+(N('Dvd Calendar'!$AG$1769)&gt;0)*1000000+18*1000+29))</f>
        <v/>
      </c>
      <c r="AF130" s="41">
        <f>IF(N('Dvd Calendar'!$AH$1770)=0,"",IF(('Dvd Calendar'!$AH$1770&gt;=MIN(DATE(Summary!$C$12,1,1),Summary!$C$11))*('Dvd Calendar'!$AH$1770&lt;=MAX(DATE(Summary!$C$12,12,31),Summary!$C$15))*('Dvd Calendar'!$AH$1770&lt;=Summary!$C$11)=0,"",'Dvd Calendar'!$AH$1770*1000000000+ISNUMBER('Dvd Calendar'!$AH$1771)*100000000+('Dvd Calendar'!$AH$1775='Field Check'!$C$25)*10000000+(N('Dvd Calendar'!$AH$1769)&gt;0)*1000000+18*1000+30))</f>
        <v/>
      </c>
      <c r="AG130" s="41">
        <f>IF(N('Dvd Calendar'!$AI$1770)=0,"",IF(('Dvd Calendar'!$AI$1770&gt;=MIN(DATE(Summary!$C$12,1,1),Summary!$C$11))*('Dvd Calendar'!$AI$1770&lt;=MAX(DATE(Summary!$C$12,12,31),Summary!$C$15))*('Dvd Calendar'!$AI$1770&lt;=Summary!$C$11)=0,"",'Dvd Calendar'!$AI$1770*1000000000+ISNUMBER('Dvd Calendar'!$AI$1771)*100000000+('Dvd Calendar'!$AI$1775='Field Check'!$C$25)*10000000+(N('Dvd Calendar'!$AI$1769)&gt;0)*1000000+18*1000+31))</f>
        <v/>
      </c>
      <c r="AH130" s="41">
        <f>IF(N('Dvd Calendar'!$AJ$1770)=0,"",IF(('Dvd Calendar'!$AJ$1770&gt;=MIN(DATE(Summary!$C$12,1,1),Summary!$C$11))*('Dvd Calendar'!$AJ$1770&lt;=MAX(DATE(Summary!$C$12,12,31),Summary!$C$15))*('Dvd Calendar'!$AJ$1770&lt;=Summary!$C$11)=0,"",'Dvd Calendar'!$AJ$1770*1000000000+ISNUMBER('Dvd Calendar'!$AJ$1771)*100000000+('Dvd Calendar'!$AJ$1775='Field Check'!$C$25)*10000000+(N('Dvd Calendar'!$AJ$1769)&gt;0)*1000000+18*1000+32))</f>
        <v/>
      </c>
      <c r="AI130" s="41">
        <f>IF(N('Dvd Calendar'!$AK$1770)=0,"",IF(('Dvd Calendar'!$AK$1770&gt;=MIN(DATE(Summary!$C$12,1,1),Summary!$C$11))*('Dvd Calendar'!$AK$1770&lt;=MAX(DATE(Summary!$C$12,12,31),Summary!$C$15))*('Dvd Calendar'!$AK$1770&lt;=Summary!$C$11)=0,"",'Dvd Calendar'!$AK$1770*1000000000+ISNUMBER('Dvd Calendar'!$AK$1771)*100000000+('Dvd Calendar'!$AK$1775='Field Check'!$C$25)*10000000+(N('Dvd Calendar'!$AK$1769)&gt;0)*1000000+18*1000+33))</f>
        <v/>
      </c>
      <c r="AJ130" s="41">
        <f>IF(N('Dvd Calendar'!$AL$1770)=0,"",IF(('Dvd Calendar'!$AL$1770&gt;=MIN(DATE(Summary!$C$12,1,1),Summary!$C$11))*('Dvd Calendar'!$AL$1770&lt;=MAX(DATE(Summary!$C$12,12,31),Summary!$C$15))*('Dvd Calendar'!$AL$1770&lt;=Summary!$C$11)=0,"",'Dvd Calendar'!$AL$1770*1000000000+ISNUMBER('Dvd Calendar'!$AL$1771)*100000000+('Dvd Calendar'!$AL$1775='Field Check'!$C$25)*10000000+(N('Dvd Calendar'!$AL$1769)&gt;0)*1000000+18*1000+34))</f>
        <v/>
      </c>
      <c r="AK130" s="41">
        <f>IF(N('Dvd Calendar'!$AM$1770)=0,"",IF(('Dvd Calendar'!$AM$1770&gt;=MIN(DATE(Summary!$C$12,1,1),Summary!$C$11))*('Dvd Calendar'!$AM$1770&lt;=MAX(DATE(Summary!$C$12,12,31),Summary!$C$15))*('Dvd Calendar'!$AM$1770&lt;=Summary!$C$11)=0,"",'Dvd Calendar'!$AM$1770*1000000000+ISNUMBER('Dvd Calendar'!$AM$1771)*100000000+('Dvd Calendar'!$AM$1775='Field Check'!$C$25)*10000000+(N('Dvd Calendar'!$AM$1769)&gt;0)*1000000+18*1000+35))</f>
        <v/>
      </c>
      <c r="AL130" s="41">
        <f>IF(N('Dvd Calendar'!$AN$1770)=0,"",IF(('Dvd Calendar'!$AN$1770&gt;=MIN(DATE(Summary!$C$12,1,1),Summary!$C$11))*('Dvd Calendar'!$AN$1770&lt;=MAX(DATE(Summary!$C$12,12,31),Summary!$C$15))*('Dvd Calendar'!$AN$1770&lt;=Summary!$C$11)=0,"",'Dvd Calendar'!$AN$1770*1000000000+ISNUMBER('Dvd Calendar'!$AN$1771)*100000000+('Dvd Calendar'!$AN$1775='Field Check'!$C$25)*10000000+(N('Dvd Calendar'!$AN$1769)&gt;0)*1000000+18*1000+36))</f>
        <v/>
      </c>
      <c r="AM130" s="41">
        <f>IF(N('Dvd Calendar'!$AO$1770)=0,"",IF(('Dvd Calendar'!$AO$1770&gt;=MIN(DATE(Summary!$C$12,1,1),Summary!$C$11))*('Dvd Calendar'!$AO$1770&lt;=MAX(DATE(Summary!$C$12,12,31),Summary!$C$15))*('Dvd Calendar'!$AO$1770&lt;=Summary!$C$11)=0,"",'Dvd Calendar'!$AO$1770*1000000000+ISNUMBER('Dvd Calendar'!$AO$1771)*100000000+('Dvd Calendar'!$AO$1775='Field Check'!$C$25)*10000000+(N('Dvd Calendar'!$AO$1769)&gt;0)*1000000+18*1000+37))</f>
        <v/>
      </c>
      <c r="AN130" s="41">
        <f>IF(N('Dvd Calendar'!$AP$1770)=0,"",IF(('Dvd Calendar'!$AP$1770&gt;=MIN(DATE(Summary!$C$12,1,1),Summary!$C$11))*('Dvd Calendar'!$AP$1770&lt;=MAX(DATE(Summary!$C$12,12,31),Summary!$C$15))*('Dvd Calendar'!$AP$1770&lt;=Summary!$C$11)=0,"",'Dvd Calendar'!$AP$1770*1000000000+ISNUMBER('Dvd Calendar'!$AP$1771)*100000000+('Dvd Calendar'!$AP$1775='Field Check'!$C$25)*10000000+(N('Dvd Calendar'!$AP$1769)&gt;0)*1000000+18*1000+38))</f>
        <v/>
      </c>
      <c r="AO130" s="41">
        <f>IF(N('Dvd Calendar'!$AQ$1770)=0,"",IF(('Dvd Calendar'!$AQ$1770&gt;=MIN(DATE(Summary!$C$12,1,1),Summary!$C$11))*('Dvd Calendar'!$AQ$1770&lt;=MAX(DATE(Summary!$C$12,12,31),Summary!$C$15))*('Dvd Calendar'!$AQ$1770&lt;=Summary!$C$11)=0,"",'Dvd Calendar'!$AQ$1770*1000000000+ISNUMBER('Dvd Calendar'!$AQ$1771)*100000000+('Dvd Calendar'!$AQ$1775='Field Check'!$C$25)*10000000+(N('Dvd Calendar'!$AQ$1769)&gt;0)*1000000+18*1000+39))</f>
        <v/>
      </c>
      <c r="AP130" s="41">
        <f>IF(N('Dvd Calendar'!$AR$1770)=0,"",IF(('Dvd Calendar'!$AR$1770&gt;=MIN(DATE(Summary!$C$12,1,1),Summary!$C$11))*('Dvd Calendar'!$AR$1770&lt;=MAX(DATE(Summary!$C$12,12,31),Summary!$C$15))*('Dvd Calendar'!$AR$1770&lt;=Summary!$C$11)=0,"",'Dvd Calendar'!$AR$1770*1000000000+ISNUMBER('Dvd Calendar'!$AR$1771)*100000000+('Dvd Calendar'!$AR$1775='Field Check'!$C$25)*10000000+(N('Dvd Calendar'!$AR$1769)&gt;0)*1000000+18*1000+40))</f>
        <v/>
      </c>
      <c r="AQ130" s="41">
        <f>IF(N('Dvd Calendar'!$E$1777)=0,"",IF(('Dvd Calendar'!$E$1777&gt;=MIN(DATE(Summary!$C$12,1,1),Summary!$C$11))*('Dvd Calendar'!$E$1777&lt;=MAX(DATE(Summary!$C$12,12,31),Summary!$C$15))*('Dvd Calendar'!$E$1777&gt;Summary!$C$11)=0,"",'Dvd Calendar'!$E$1777*1000000000+ISNUMBER('Dvd Calendar'!$E$1778)*100000000+('Dvd Calendar'!$E$1782='Field Check'!$C$25)*10000000+(N('Dvd Calendar'!$E$1776)&gt;0)*1000000+18*1000+41))</f>
        <v/>
      </c>
      <c r="AR130" s="41">
        <f>IF(N('Dvd Calendar'!$F$1777)=0,"",IF(('Dvd Calendar'!$F$1777&gt;=MIN(DATE(Summary!$C$12,1,1),Summary!$C$11))*('Dvd Calendar'!$F$1777&lt;=MAX(DATE(Summary!$C$12,12,31),Summary!$C$15))*('Dvd Calendar'!$F$1777&gt;Summary!$C$11)=0,"",'Dvd Calendar'!$F$1777*1000000000+ISNUMBER('Dvd Calendar'!$F$1778)*100000000+('Dvd Calendar'!$F$1782='Field Check'!$C$25)*10000000+(N('Dvd Calendar'!$F$1776)&gt;0)*1000000+18*1000+42))</f>
        <v/>
      </c>
      <c r="AS130" s="41">
        <f>IF(N('Dvd Calendar'!$G$1777)=0,"",IF(('Dvd Calendar'!$G$1777&gt;=MIN(DATE(Summary!$C$12,1,1),Summary!$C$11))*('Dvd Calendar'!$G$1777&lt;=MAX(DATE(Summary!$C$12,12,31),Summary!$C$15))*('Dvd Calendar'!$G$1777&gt;Summary!$C$11)=0,"",'Dvd Calendar'!$G$1777*1000000000+ISNUMBER('Dvd Calendar'!$G$1778)*100000000+('Dvd Calendar'!$G$1782='Field Check'!$C$25)*10000000+(N('Dvd Calendar'!$G$1776)&gt;0)*1000000+18*1000+43))</f>
        <v/>
      </c>
      <c r="AT130" s="41">
        <f>IF(N('Dvd Calendar'!$H$1777)=0,"",IF(('Dvd Calendar'!$H$1777&gt;=MIN(DATE(Summary!$C$12,1,1),Summary!$C$11))*('Dvd Calendar'!$H$1777&lt;=MAX(DATE(Summary!$C$12,12,31),Summary!$C$15))*('Dvd Calendar'!$H$1777&gt;Summary!$C$11)=0,"",'Dvd Calendar'!$H$1777*1000000000+ISNUMBER('Dvd Calendar'!$H$1778)*100000000+('Dvd Calendar'!$H$1782='Field Check'!$C$25)*10000000+(N('Dvd Calendar'!$H$1776)&gt;0)*1000000+18*1000+44))</f>
        <v/>
      </c>
      <c r="AU130" s="41">
        <f>IF(N('Dvd Calendar'!$I$1777)=0,"",IF(('Dvd Calendar'!$I$1777&gt;=MIN(DATE(Summary!$C$12,1,1),Summary!$C$11))*('Dvd Calendar'!$I$1777&lt;=MAX(DATE(Summary!$C$12,12,31),Summary!$C$15))*('Dvd Calendar'!$I$1777&gt;Summary!$C$11)=0,"",'Dvd Calendar'!$I$1777*1000000000+ISNUMBER('Dvd Calendar'!$I$1778)*100000000+('Dvd Calendar'!$I$1782='Field Check'!$C$25)*10000000+(N('Dvd Calendar'!$I$1776)&gt;0)*1000000+18*1000+45))</f>
        <v/>
      </c>
      <c r="AV130" s="41">
        <f>IF(N('Dvd Calendar'!$J$1777)=0,"",IF(('Dvd Calendar'!$J$1777&gt;=MIN(DATE(Summary!$C$12,1,1),Summary!$C$11))*('Dvd Calendar'!$J$1777&lt;=MAX(DATE(Summary!$C$12,12,31),Summary!$C$15))*('Dvd Calendar'!$J$1777&gt;Summary!$C$11)=0,"",'Dvd Calendar'!$J$1777*1000000000+ISNUMBER('Dvd Calendar'!$J$1778)*100000000+('Dvd Calendar'!$J$1782='Field Check'!$C$25)*10000000+(N('Dvd Calendar'!$J$1776)&gt;0)*1000000+18*1000+46))</f>
        <v/>
      </c>
      <c r="AW130" s="41">
        <f>IF(N('Dvd Calendar'!$K$1777)=0,"",IF(('Dvd Calendar'!$K$1777&gt;=MIN(DATE(Summary!$C$12,1,1),Summary!$C$11))*('Dvd Calendar'!$K$1777&lt;=MAX(DATE(Summary!$C$12,12,31),Summary!$C$15))*('Dvd Calendar'!$K$1777&gt;Summary!$C$11)=0,"",'Dvd Calendar'!$K$1777*1000000000+ISNUMBER('Dvd Calendar'!$K$1778)*100000000+('Dvd Calendar'!$K$1782='Field Check'!$C$25)*10000000+(N('Dvd Calendar'!$K$1776)&gt;0)*1000000+18*1000+47))</f>
        <v/>
      </c>
      <c r="AX130" s="41">
        <f>IF(N('Dvd Calendar'!$L$1777)=0,"",IF(('Dvd Calendar'!$L$1777&gt;=MIN(DATE(Summary!$C$12,1,1),Summary!$C$11))*('Dvd Calendar'!$L$1777&lt;=MAX(DATE(Summary!$C$12,12,31),Summary!$C$15))*('Dvd Calendar'!$L$1777&gt;Summary!$C$11)=0,"",'Dvd Calendar'!$L$1777*1000000000+ISNUMBER('Dvd Calendar'!$L$1778)*100000000+('Dvd Calendar'!$L$1782='Field Check'!$C$25)*10000000+(N('Dvd Calendar'!$L$1776)&gt;0)*1000000+18*1000+48))</f>
        <v/>
      </c>
      <c r="AY130" s="41">
        <f>IF(N('Dvd Calendar'!$M$1777)=0,"",IF(('Dvd Calendar'!$M$1777&gt;=MIN(DATE(Summary!$C$12,1,1),Summary!$C$11))*('Dvd Calendar'!$M$1777&lt;=MAX(DATE(Summary!$C$12,12,31),Summary!$C$15))*('Dvd Calendar'!$M$1777&gt;Summary!$C$11)=0,"",'Dvd Calendar'!$M$1777*1000000000+ISNUMBER('Dvd Calendar'!$M$1778)*100000000+('Dvd Calendar'!$M$1782='Field Check'!$C$25)*10000000+(N('Dvd Calendar'!$M$1776)&gt;0)*1000000+18*1000+49))</f>
        <v/>
      </c>
      <c r="AZ130" s="41">
        <f>IF(N('Dvd Calendar'!$N$1777)=0,"",IF(('Dvd Calendar'!$N$1777&gt;=MIN(DATE(Summary!$C$12,1,1),Summary!$C$11))*('Dvd Calendar'!$N$1777&lt;=MAX(DATE(Summary!$C$12,12,31),Summary!$C$15))*('Dvd Calendar'!$N$1777&gt;Summary!$C$11)=0,"",'Dvd Calendar'!$N$1777*1000000000+ISNUMBER('Dvd Calendar'!$N$1778)*100000000+('Dvd Calendar'!$N$1782='Field Check'!$C$25)*10000000+(N('Dvd Calendar'!$N$1776)&gt;0)*1000000+18*1000+50))</f>
        <v/>
      </c>
      <c r="BA130" s="41">
        <f>IF(N('Dvd Calendar'!$O$1777)=0,"",IF(('Dvd Calendar'!$O$1777&gt;=MIN(DATE(Summary!$C$12,1,1),Summary!$C$11))*('Dvd Calendar'!$O$1777&lt;=MAX(DATE(Summary!$C$12,12,31),Summary!$C$15))*('Dvd Calendar'!$O$1777&gt;Summary!$C$11)=0,"",'Dvd Calendar'!$O$1777*1000000000+ISNUMBER('Dvd Calendar'!$O$1778)*100000000+('Dvd Calendar'!$O$1782='Field Check'!$C$25)*10000000+(N('Dvd Calendar'!$O$1776)&gt;0)*1000000+18*1000+51))</f>
        <v/>
      </c>
      <c r="BB130" s="41">
        <f>IF(N('Dvd Calendar'!$P$1777)=0,"",IF(('Dvd Calendar'!$P$1777&gt;=MIN(DATE(Summary!$C$12,1,1),Summary!$C$11))*('Dvd Calendar'!$P$1777&lt;=MAX(DATE(Summary!$C$12,12,31),Summary!$C$15))*('Dvd Calendar'!$P$1777&gt;Summary!$C$11)=0,"",'Dvd Calendar'!$P$1777*1000000000+ISNUMBER('Dvd Calendar'!$P$1778)*100000000+('Dvd Calendar'!$P$1782='Field Check'!$C$25)*10000000+(N('Dvd Calendar'!$P$1776)&gt;0)*1000000+18*1000+52))</f>
        <v/>
      </c>
      <c r="BC130" s="41">
        <f>IF(N('Dvd Calendar'!$Q$1777)=0,"",IF(('Dvd Calendar'!$Q$1777&gt;=MIN(DATE(Summary!$C$12,1,1),Summary!$C$11))*('Dvd Calendar'!$Q$1777&lt;=MAX(DATE(Summary!$C$12,12,31),Summary!$C$15))*('Dvd Calendar'!$Q$1777&gt;Summary!$C$11)=0,"",'Dvd Calendar'!$Q$1777*1000000000+ISNUMBER('Dvd Calendar'!$Q$1778)*100000000+('Dvd Calendar'!$Q$1782='Field Check'!$C$25)*10000000+(N('Dvd Calendar'!$Q$1776)&gt;0)*1000000+18*1000+53))</f>
        <v/>
      </c>
      <c r="BD130" s="41">
        <f>IF(N('Dvd Calendar'!$R$1777)=0,"",IF(('Dvd Calendar'!$R$1777&gt;=MIN(DATE(Summary!$C$12,1,1),Summary!$C$11))*('Dvd Calendar'!$R$1777&lt;=MAX(DATE(Summary!$C$12,12,31),Summary!$C$15))*('Dvd Calendar'!$R$1777&gt;Summary!$C$11)=0,"",'Dvd Calendar'!$R$1777*1000000000+ISNUMBER('Dvd Calendar'!$R$1778)*100000000+('Dvd Calendar'!$R$1782='Field Check'!$C$25)*10000000+(N('Dvd Calendar'!$R$1776)&gt;0)*1000000+18*1000+54))</f>
        <v/>
      </c>
      <c r="BE130" s="41">
        <f>IF(N('Dvd Calendar'!$S$1777)=0,"",IF(('Dvd Calendar'!$S$1777&gt;=MIN(DATE(Summary!$C$12,1,1),Summary!$C$11))*('Dvd Calendar'!$S$1777&lt;=MAX(DATE(Summary!$C$12,12,31),Summary!$C$15))*('Dvd Calendar'!$S$1777&gt;Summary!$C$11)=0,"",'Dvd Calendar'!$S$1777*1000000000+ISNUMBER('Dvd Calendar'!$S$1778)*100000000+('Dvd Calendar'!$S$1782='Field Check'!$C$25)*10000000+(N('Dvd Calendar'!$S$1776)&gt;0)*1000000+18*1000+55))</f>
        <v/>
      </c>
      <c r="BF130" s="41">
        <f>IF(N('Dvd Calendar'!$T$1777)=0,"",IF(('Dvd Calendar'!$T$1777&gt;=MIN(DATE(Summary!$C$12,1,1),Summary!$C$11))*('Dvd Calendar'!$T$1777&lt;=MAX(DATE(Summary!$C$12,12,31),Summary!$C$15))*('Dvd Calendar'!$T$1777&gt;Summary!$C$11)=0,"",'Dvd Calendar'!$T$1777*1000000000+ISNUMBER('Dvd Calendar'!$T$1778)*100000000+('Dvd Calendar'!$T$1782='Field Check'!$C$25)*10000000+(N('Dvd Calendar'!$T$1776)&gt;0)*1000000+18*1000+56))</f>
        <v/>
      </c>
      <c r="BG130" s="41">
        <f>IF(N('Dvd Calendar'!$U$1777)=0,"",IF(('Dvd Calendar'!$U$1777&gt;=MIN(DATE(Summary!$C$12,1,1),Summary!$C$11))*('Dvd Calendar'!$U$1777&lt;=MAX(DATE(Summary!$C$12,12,31),Summary!$C$15))*('Dvd Calendar'!$U$1777&gt;Summary!$C$11)=0,"",'Dvd Calendar'!$U$1777*1000000000+ISNUMBER('Dvd Calendar'!$U$1778)*100000000+('Dvd Calendar'!$U$1782='Field Check'!$C$25)*10000000+(N('Dvd Calendar'!$U$1776)&gt;0)*1000000+18*1000+57))</f>
        <v/>
      </c>
      <c r="BH130" s="41">
        <f>IF(N('Dvd Calendar'!$V$1777)=0,"",IF(('Dvd Calendar'!$V$1777&gt;=MIN(DATE(Summary!$C$12,1,1),Summary!$C$11))*('Dvd Calendar'!$V$1777&lt;=MAX(DATE(Summary!$C$12,12,31),Summary!$C$15))*('Dvd Calendar'!$V$1777&gt;Summary!$C$11)=0,"",'Dvd Calendar'!$V$1777*1000000000+ISNUMBER('Dvd Calendar'!$V$1778)*100000000+('Dvd Calendar'!$V$1782='Field Check'!$C$25)*10000000+(N('Dvd Calendar'!$V$1776)&gt;0)*1000000+18*1000+58))</f>
        <v/>
      </c>
      <c r="BI130" s="41">
        <f>IF(N('Dvd Calendar'!$W$1777)=0,"",IF(('Dvd Calendar'!$W$1777&gt;=MIN(DATE(Summary!$C$12,1,1),Summary!$C$11))*('Dvd Calendar'!$W$1777&lt;=MAX(DATE(Summary!$C$12,12,31),Summary!$C$15))*('Dvd Calendar'!$W$1777&gt;Summary!$C$11)=0,"",'Dvd Calendar'!$W$1777*1000000000+ISNUMBER('Dvd Calendar'!$W$1778)*100000000+('Dvd Calendar'!$W$1782='Field Check'!$C$25)*10000000+(N('Dvd Calendar'!$W$1776)&gt;0)*1000000+18*1000+59))</f>
        <v/>
      </c>
      <c r="BJ130" s="41">
        <f>IF(N('Dvd Calendar'!$X$1777)=0,"",IF(('Dvd Calendar'!$X$1777&gt;=MIN(DATE(Summary!$C$12,1,1),Summary!$C$11))*('Dvd Calendar'!$X$1777&lt;=MAX(DATE(Summary!$C$12,12,31),Summary!$C$15))*('Dvd Calendar'!$X$1777&gt;Summary!$C$11)=0,"",'Dvd Calendar'!$X$1777*1000000000+ISNUMBER('Dvd Calendar'!$X$1778)*100000000+('Dvd Calendar'!$X$1782='Field Check'!$C$25)*10000000+(N('Dvd Calendar'!$X$1776)&gt;0)*1000000+18*1000+60))</f>
        <v/>
      </c>
      <c r="BK130" s="41">
        <f>IF(N('Dvd Calendar'!$Y$1777)=0,"",IF(('Dvd Calendar'!$Y$1777&gt;=MIN(DATE(Summary!$C$12,1,1),Summary!$C$11))*('Dvd Calendar'!$Y$1777&lt;=MAX(DATE(Summary!$C$12,12,31),Summary!$C$15))*('Dvd Calendar'!$Y$1777&gt;Summary!$C$11)=0,"",'Dvd Calendar'!$Y$1777*1000000000+ISNUMBER('Dvd Calendar'!$Y$1778)*100000000+('Dvd Calendar'!$Y$1782='Field Check'!$C$25)*10000000+(N('Dvd Calendar'!$Y$1776)&gt;0)*1000000+18*1000+61))</f>
        <v/>
      </c>
      <c r="BL130" s="41">
        <f>IF(N('Dvd Calendar'!$Z$1777)=0,"",IF(('Dvd Calendar'!$Z$1777&gt;=MIN(DATE(Summary!$C$12,1,1),Summary!$C$11))*('Dvd Calendar'!$Z$1777&lt;=MAX(DATE(Summary!$C$12,12,31),Summary!$C$15))*('Dvd Calendar'!$Z$1777&gt;Summary!$C$11)=0,"",'Dvd Calendar'!$Z$1777*1000000000+ISNUMBER('Dvd Calendar'!$Z$1778)*100000000+('Dvd Calendar'!$Z$1782='Field Check'!$C$25)*10000000+(N('Dvd Calendar'!$Z$1776)&gt;0)*1000000+18*1000+62))</f>
        <v/>
      </c>
      <c r="BM130" s="41">
        <f>IF(N('Dvd Calendar'!$AA$1777)=0,"",IF(('Dvd Calendar'!$AA$1777&gt;=MIN(DATE(Summary!$C$12,1,1),Summary!$C$11))*('Dvd Calendar'!$AA$1777&lt;=MAX(DATE(Summary!$C$12,12,31),Summary!$C$15))*('Dvd Calendar'!$AA$1777&gt;Summary!$C$11)=0,"",'Dvd Calendar'!$AA$1777*1000000000+ISNUMBER('Dvd Calendar'!$AA$1778)*100000000+('Dvd Calendar'!$AA$1782='Field Check'!$C$25)*10000000+(N('Dvd Calendar'!$AA$1776)&gt;0)*1000000+18*1000+63))</f>
        <v/>
      </c>
      <c r="BN130" s="41">
        <f>IF(N('Dvd Calendar'!$AB$1777)=0,"",IF(('Dvd Calendar'!$AB$1777&gt;=MIN(DATE(Summary!$C$12,1,1),Summary!$C$11))*('Dvd Calendar'!$AB$1777&lt;=MAX(DATE(Summary!$C$12,12,31),Summary!$C$15))*('Dvd Calendar'!$AB$1777&gt;Summary!$C$11)=0,"",'Dvd Calendar'!$AB$1777*1000000000+ISNUMBER('Dvd Calendar'!$AB$1778)*100000000+('Dvd Calendar'!$AB$1782='Field Check'!$C$25)*10000000+(N('Dvd Calendar'!$AB$1776)&gt;0)*1000000+18*1000+64))</f>
        <v/>
      </c>
      <c r="BO130" s="41">
        <f>IF(N('Dvd Calendar'!$AC$1777)=0,"",IF(('Dvd Calendar'!$AC$1777&gt;=MIN(DATE(Summary!$C$12,1,1),Summary!$C$11))*('Dvd Calendar'!$AC$1777&lt;=MAX(DATE(Summary!$C$12,12,31),Summary!$C$15))*('Dvd Calendar'!$AC$1777&gt;Summary!$C$11)=0,"",'Dvd Calendar'!$AC$1777*1000000000+ISNUMBER('Dvd Calendar'!$AC$1778)*100000000+('Dvd Calendar'!$AC$1782='Field Check'!$C$25)*10000000+(N('Dvd Calendar'!$AC$1776)&gt;0)*1000000+18*1000+65))</f>
        <v/>
      </c>
      <c r="BQ130" s="85">
        <f>IF(C130="","",IF(ISNUMBER('Dvd Calendar'!$E$1771)=FALSE,"",IF((Summary!$C$13="N")*('Dvd Calendar'!$E$1775='Field Check'!$C$25)&gt;0,"",'Dvd Calendar'!$E$1771)))</f>
        <v/>
      </c>
      <c r="BR130" s="85">
        <f>IF(D130="","",IF(ISNUMBER('Dvd Calendar'!$F$1771)=FALSE,"",IF((Summary!$C$13="N")*('Dvd Calendar'!$F$1775='Field Check'!$C$25)&gt;0,"",'Dvd Calendar'!$F$1771)))</f>
        <v/>
      </c>
      <c r="BS130" s="85">
        <f>IF(E130="","",IF(ISNUMBER('Dvd Calendar'!$G$1771)=FALSE,"",IF((Summary!$C$13="N")*('Dvd Calendar'!$G$1775='Field Check'!$C$25)&gt;0,"",'Dvd Calendar'!$G$1771)))</f>
        <v/>
      </c>
      <c r="BT130" s="85">
        <f>IF(F130="","",IF(ISNUMBER('Dvd Calendar'!$H$1771)=FALSE,"",IF((Summary!$C$13="N")*('Dvd Calendar'!$H$1775='Field Check'!$C$25)&gt;0,"",'Dvd Calendar'!$H$1771)))</f>
        <v/>
      </c>
      <c r="BU130" s="85">
        <f>IF(G130="","",IF(ISNUMBER('Dvd Calendar'!$I$1771)=FALSE,"",IF((Summary!$C$13="N")*('Dvd Calendar'!$I$1775='Field Check'!$C$25)&gt;0,"",'Dvd Calendar'!$I$1771)))</f>
        <v/>
      </c>
      <c r="BV130" s="85">
        <f>IF(H130="","",IF(ISNUMBER('Dvd Calendar'!$J$1771)=FALSE,"",IF((Summary!$C$13="N")*('Dvd Calendar'!$J$1775='Field Check'!$C$25)&gt;0,"",'Dvd Calendar'!$J$1771)))</f>
        <v/>
      </c>
      <c r="BW130" s="85">
        <f>IF(I130="","",IF(ISNUMBER('Dvd Calendar'!$K$1771)=FALSE,"",IF((Summary!$C$13="N")*('Dvd Calendar'!$K$1775='Field Check'!$C$25)&gt;0,"",'Dvd Calendar'!$K$1771)))</f>
        <v/>
      </c>
      <c r="BX130" s="85">
        <f>IF(J130="","",IF(ISNUMBER('Dvd Calendar'!$L$1771)=FALSE,"",IF((Summary!$C$13="N")*('Dvd Calendar'!$L$1775='Field Check'!$C$25)&gt;0,"",'Dvd Calendar'!$L$1771)))</f>
        <v/>
      </c>
      <c r="BY130" s="85">
        <f>IF(K130="","",IF(ISNUMBER('Dvd Calendar'!$M$1771)=FALSE,"",IF((Summary!$C$13="N")*('Dvd Calendar'!$M$1775='Field Check'!$C$25)&gt;0,"",'Dvd Calendar'!$M$1771)))</f>
        <v/>
      </c>
      <c r="BZ130" s="85">
        <f>IF(L130="","",IF(ISNUMBER('Dvd Calendar'!$N$1771)=FALSE,"",IF((Summary!$C$13="N")*('Dvd Calendar'!$N$1775='Field Check'!$C$25)&gt;0,"",'Dvd Calendar'!$N$1771)))</f>
        <v/>
      </c>
      <c r="CA130" s="85">
        <f>IF(M130="","",IF(ISNUMBER('Dvd Calendar'!$O$1771)=FALSE,"",IF((Summary!$C$13="N")*('Dvd Calendar'!$O$1775='Field Check'!$C$25)&gt;0,"",'Dvd Calendar'!$O$1771)))</f>
        <v/>
      </c>
      <c r="CB130" s="85">
        <f>IF(N130="","",IF(ISNUMBER('Dvd Calendar'!$P$1771)=FALSE,"",IF((Summary!$C$13="N")*('Dvd Calendar'!$P$1775='Field Check'!$C$25)&gt;0,"",'Dvd Calendar'!$P$1771)))</f>
        <v/>
      </c>
      <c r="CC130" s="85">
        <f>IF(O130="","",IF(ISNUMBER('Dvd Calendar'!$Q$1771)=FALSE,"",IF((Summary!$C$13="N")*('Dvd Calendar'!$Q$1775='Field Check'!$C$25)&gt;0,"",'Dvd Calendar'!$Q$1771)))</f>
        <v/>
      </c>
      <c r="CD130" s="85">
        <f>IF(P130="","",IF(ISNUMBER('Dvd Calendar'!$R$1771)=FALSE,"",IF((Summary!$C$13="N")*('Dvd Calendar'!$R$1775='Field Check'!$C$25)&gt;0,"",'Dvd Calendar'!$R$1771)))</f>
        <v/>
      </c>
      <c r="CE130" s="85">
        <f>IF(Q130="","",IF(ISNUMBER('Dvd Calendar'!$S$1771)=FALSE,"",IF((Summary!$C$13="N")*('Dvd Calendar'!$S$1775='Field Check'!$C$25)&gt;0,"",'Dvd Calendar'!$S$1771)))</f>
        <v/>
      </c>
      <c r="CF130" s="85">
        <f>IF(R130="","",IF(ISNUMBER('Dvd Calendar'!$T$1771)=FALSE,"",IF((Summary!$C$13="N")*('Dvd Calendar'!$T$1775='Field Check'!$C$25)&gt;0,"",'Dvd Calendar'!$T$1771)))</f>
        <v/>
      </c>
      <c r="CG130" s="85">
        <f>IF(S130="","",IF(ISNUMBER('Dvd Calendar'!$U$1771)=FALSE,"",IF((Summary!$C$13="N")*('Dvd Calendar'!$U$1775='Field Check'!$C$25)&gt;0,"",'Dvd Calendar'!$U$1771)))</f>
        <v/>
      </c>
      <c r="CH130" s="85">
        <f>IF(T130="","",IF(ISNUMBER('Dvd Calendar'!$V$1771)=FALSE,"",IF((Summary!$C$13="N")*('Dvd Calendar'!$V$1775='Field Check'!$C$25)&gt;0,"",'Dvd Calendar'!$V$1771)))</f>
        <v/>
      </c>
      <c r="CI130" s="85">
        <f>IF(U130="","",IF(ISNUMBER('Dvd Calendar'!$W$1771)=FALSE,"",IF((Summary!$C$13="N")*('Dvd Calendar'!$W$1775='Field Check'!$C$25)&gt;0,"",'Dvd Calendar'!$W$1771)))</f>
        <v/>
      </c>
      <c r="CJ130" s="85">
        <f>IF(V130="","",IF(ISNUMBER('Dvd Calendar'!$X$1771)=FALSE,"",IF((Summary!$C$13="N")*('Dvd Calendar'!$X$1775='Field Check'!$C$25)&gt;0,"",'Dvd Calendar'!$X$1771)))</f>
        <v/>
      </c>
      <c r="CK130" s="85">
        <f>IF(W130="","",IF(ISNUMBER('Dvd Calendar'!$Y$1771)=FALSE,"",IF((Summary!$C$13="N")*('Dvd Calendar'!$Y$1775='Field Check'!$C$25)&gt;0,"",'Dvd Calendar'!$Y$1771)))</f>
        <v/>
      </c>
      <c r="CL130" s="85">
        <f>IF(X130="","",IF(ISNUMBER('Dvd Calendar'!$Z$1771)=FALSE,"",IF((Summary!$C$13="N")*('Dvd Calendar'!$Z$1775='Field Check'!$C$25)&gt;0,"",'Dvd Calendar'!$Z$1771)))</f>
        <v/>
      </c>
      <c r="CM130" s="85">
        <f>IF(Y130="","",IF(ISNUMBER('Dvd Calendar'!$AA$1771)=FALSE,"",IF((Summary!$C$13="N")*('Dvd Calendar'!$AA$1775='Field Check'!$C$25)&gt;0,"",'Dvd Calendar'!$AA$1771)))</f>
        <v/>
      </c>
      <c r="CN130" s="85">
        <f>IF(Z130="","",IF(ISNUMBER('Dvd Calendar'!$AB$1771)=FALSE,"",IF((Summary!$C$13="N")*('Dvd Calendar'!$AB$1775='Field Check'!$C$25)&gt;0,"",'Dvd Calendar'!$AB$1771)))</f>
        <v/>
      </c>
      <c r="CO130" s="85">
        <f>IF(AA130="","",IF(ISNUMBER('Dvd Calendar'!$AC$1771)=FALSE,"",IF((Summary!$C$13="N")*('Dvd Calendar'!$AC$1775='Field Check'!$C$25)&gt;0,"",'Dvd Calendar'!$AC$1771)))</f>
        <v/>
      </c>
      <c r="CP130" s="85">
        <f>IF(AB130="","",IF(ISNUMBER('Dvd Calendar'!$AD$1771)=FALSE,"",IF((Summary!$C$13="N")*('Dvd Calendar'!$AD$1775='Field Check'!$C$25)&gt;0,"",'Dvd Calendar'!$AD$1771)))</f>
        <v/>
      </c>
      <c r="CQ130" s="85">
        <f>IF(AC130="","",IF(ISNUMBER('Dvd Calendar'!$AE$1771)=FALSE,"",IF((Summary!$C$13="N")*('Dvd Calendar'!$AE$1775='Field Check'!$C$25)&gt;0,"",'Dvd Calendar'!$AE$1771)))</f>
        <v/>
      </c>
      <c r="CR130" s="85">
        <f>IF(AD130="","",IF(ISNUMBER('Dvd Calendar'!$AF$1771)=FALSE,"",IF((Summary!$C$13="N")*('Dvd Calendar'!$AF$1775='Field Check'!$C$25)&gt;0,"",'Dvd Calendar'!$AF$1771)))</f>
        <v/>
      </c>
      <c r="CS130" s="85">
        <f>IF(AE130="","",IF(ISNUMBER('Dvd Calendar'!$AG$1771)=FALSE,"",IF((Summary!$C$13="N")*('Dvd Calendar'!$AG$1775='Field Check'!$C$25)&gt;0,"",'Dvd Calendar'!$AG$1771)))</f>
        <v/>
      </c>
      <c r="CT130" s="85">
        <f>IF(AF130="","",IF(ISNUMBER('Dvd Calendar'!$AH$1771)=FALSE,"",IF((Summary!$C$13="N")*('Dvd Calendar'!$AH$1775='Field Check'!$C$25)&gt;0,"",'Dvd Calendar'!$AH$1771)))</f>
        <v/>
      </c>
      <c r="CU130" s="85">
        <f>IF(AG130="","",IF(ISNUMBER('Dvd Calendar'!$AI$1771)=FALSE,"",IF((Summary!$C$13="N")*('Dvd Calendar'!$AI$1775='Field Check'!$C$25)&gt;0,"",'Dvd Calendar'!$AI$1771)))</f>
        <v/>
      </c>
      <c r="CV130" s="85">
        <f>IF(AH130="","",IF(ISNUMBER('Dvd Calendar'!$AJ$1771)=FALSE,"",IF((Summary!$C$13="N")*('Dvd Calendar'!$AJ$1775='Field Check'!$C$25)&gt;0,"",'Dvd Calendar'!$AJ$1771)))</f>
        <v/>
      </c>
      <c r="CW130" s="85">
        <f>IF(AI130="","",IF(ISNUMBER('Dvd Calendar'!$AK$1771)=FALSE,"",IF((Summary!$C$13="N")*('Dvd Calendar'!$AK$1775='Field Check'!$C$25)&gt;0,"",'Dvd Calendar'!$AK$1771)))</f>
        <v/>
      </c>
      <c r="CX130" s="85">
        <f>IF(AJ130="","",IF(ISNUMBER('Dvd Calendar'!$AL$1771)=FALSE,"",IF((Summary!$C$13="N")*('Dvd Calendar'!$AL$1775='Field Check'!$C$25)&gt;0,"",'Dvd Calendar'!$AL$1771)))</f>
        <v/>
      </c>
      <c r="CY130" s="85">
        <f>IF(AK130="","",IF(ISNUMBER('Dvd Calendar'!$AM$1771)=FALSE,"",IF((Summary!$C$13="N")*('Dvd Calendar'!$AM$1775='Field Check'!$C$25)&gt;0,"",'Dvd Calendar'!$AM$1771)))</f>
        <v/>
      </c>
      <c r="CZ130" s="85">
        <f>IF(AL130="","",IF(ISNUMBER('Dvd Calendar'!$AN$1771)=FALSE,"",IF((Summary!$C$13="N")*('Dvd Calendar'!$AN$1775='Field Check'!$C$25)&gt;0,"",'Dvd Calendar'!$AN$1771)))</f>
        <v/>
      </c>
      <c r="DA130" s="85">
        <f>IF(AM130="","",IF(ISNUMBER('Dvd Calendar'!$AO$1771)=FALSE,"",IF((Summary!$C$13="N")*('Dvd Calendar'!$AO$1775='Field Check'!$C$25)&gt;0,"",'Dvd Calendar'!$AO$1771)))</f>
        <v/>
      </c>
      <c r="DB130" s="85">
        <f>IF(AN130="","",IF(ISNUMBER('Dvd Calendar'!$AP$1771)=FALSE,"",IF((Summary!$C$13="N")*('Dvd Calendar'!$AP$1775='Field Check'!$C$25)&gt;0,"",'Dvd Calendar'!$AP$1771)))</f>
        <v/>
      </c>
      <c r="DC130" s="85">
        <f>IF(AO130="","",IF(ISNUMBER('Dvd Calendar'!$AQ$1771)=FALSE,"",IF((Summary!$C$13="N")*('Dvd Calendar'!$AQ$1775='Field Check'!$C$25)&gt;0,"",'Dvd Calendar'!$AQ$1771)))</f>
        <v/>
      </c>
      <c r="DD130" s="85">
        <f>IF(AP130="","",IF(ISNUMBER('Dvd Calendar'!$AR$1771)=FALSE,"",IF((Summary!$C$13="N")*('Dvd Calendar'!$AR$1775='Field Check'!$C$25)&gt;0,"",'Dvd Calendar'!$AR$1771)))</f>
        <v/>
      </c>
      <c r="DE130" s="85">
        <f>IF(AQ130="","",IF(ISNUMBER('Dvd Calendar'!$E$1778)=FALSE,"",IF((Summary!$C$13="N")*('Dvd Calendar'!$E$1782='Field Check'!$C$25)&gt;0,"",'Dvd Calendar'!$E$1778)))</f>
        <v/>
      </c>
      <c r="DF130" s="85">
        <f>IF(AR130="","",IF(ISNUMBER('Dvd Calendar'!$F$1778)=FALSE,"",IF((Summary!$C$13="N")*('Dvd Calendar'!$F$1782='Field Check'!$C$25)&gt;0,"",'Dvd Calendar'!$F$1778)))</f>
        <v/>
      </c>
      <c r="DG130" s="85">
        <f>IF(AS130="","",IF(ISNUMBER('Dvd Calendar'!$G$1778)=FALSE,"",IF((Summary!$C$13="N")*('Dvd Calendar'!$G$1782='Field Check'!$C$25)&gt;0,"",'Dvd Calendar'!$G$1778)))</f>
        <v/>
      </c>
      <c r="DH130" s="85">
        <f>IF(AT130="","",IF(ISNUMBER('Dvd Calendar'!$H$1778)=FALSE,"",IF((Summary!$C$13="N")*('Dvd Calendar'!$H$1782='Field Check'!$C$25)&gt;0,"",'Dvd Calendar'!$H$1778)))</f>
        <v/>
      </c>
      <c r="DI130" s="85">
        <f>IF(AU130="","",IF(ISNUMBER('Dvd Calendar'!$I$1778)=FALSE,"",IF((Summary!$C$13="N")*('Dvd Calendar'!$I$1782='Field Check'!$C$25)&gt;0,"",'Dvd Calendar'!$I$1778)))</f>
        <v/>
      </c>
      <c r="DJ130" s="85">
        <f>IF(AV130="","",IF(ISNUMBER('Dvd Calendar'!$J$1778)=FALSE,"",IF((Summary!$C$13="N")*('Dvd Calendar'!$J$1782='Field Check'!$C$25)&gt;0,"",'Dvd Calendar'!$J$1778)))</f>
        <v/>
      </c>
      <c r="DK130" s="85">
        <f>IF(AW130="","",IF(ISNUMBER('Dvd Calendar'!$K$1778)=FALSE,"",IF((Summary!$C$13="N")*('Dvd Calendar'!$K$1782='Field Check'!$C$25)&gt;0,"",'Dvd Calendar'!$K$1778)))</f>
        <v/>
      </c>
      <c r="DL130" s="85">
        <f>IF(AX130="","",IF(ISNUMBER('Dvd Calendar'!$L$1778)=FALSE,"",IF((Summary!$C$13="N")*('Dvd Calendar'!$L$1782='Field Check'!$C$25)&gt;0,"",'Dvd Calendar'!$L$1778)))</f>
        <v/>
      </c>
      <c r="DM130" s="85">
        <f>IF(AY130="","",IF(ISNUMBER('Dvd Calendar'!$M$1778)=FALSE,"",IF((Summary!$C$13="N")*('Dvd Calendar'!$M$1782='Field Check'!$C$25)&gt;0,"",'Dvd Calendar'!$M$1778)))</f>
        <v/>
      </c>
      <c r="DN130" s="85">
        <f>IF(AZ130="","",IF(ISNUMBER('Dvd Calendar'!$N$1778)=FALSE,"",IF((Summary!$C$13="N")*('Dvd Calendar'!$N$1782='Field Check'!$C$25)&gt;0,"",'Dvd Calendar'!$N$1778)))</f>
        <v/>
      </c>
      <c r="DO130" s="85">
        <f>IF(BA130="","",IF(ISNUMBER('Dvd Calendar'!$O$1778)=FALSE,"",IF((Summary!$C$13="N")*('Dvd Calendar'!$O$1782='Field Check'!$C$25)&gt;0,"",'Dvd Calendar'!$O$1778)))</f>
        <v/>
      </c>
      <c r="DP130" s="85">
        <f>IF(BB130="","",IF(ISNUMBER('Dvd Calendar'!$P$1778)=FALSE,"",IF((Summary!$C$13="N")*('Dvd Calendar'!$P$1782='Field Check'!$C$25)&gt;0,"",'Dvd Calendar'!$P$1778)))</f>
        <v/>
      </c>
      <c r="DQ130" s="85">
        <f>IF(BC130="","",IF(ISNUMBER('Dvd Calendar'!$Q$1778)=FALSE,"",IF((Summary!$C$13="N")*('Dvd Calendar'!$Q$1782='Field Check'!$C$25)&gt;0,"",'Dvd Calendar'!$Q$1778)))</f>
        <v/>
      </c>
      <c r="DR130" s="85">
        <f>IF(BD130="","",IF(ISNUMBER('Dvd Calendar'!$R$1778)=FALSE,"",IF((Summary!$C$13="N")*('Dvd Calendar'!$R$1782='Field Check'!$C$25)&gt;0,"",'Dvd Calendar'!$R$1778)))</f>
        <v/>
      </c>
      <c r="DS130" s="85">
        <f>IF(BE130="","",IF(ISNUMBER('Dvd Calendar'!$S$1778)=FALSE,"",IF((Summary!$C$13="N")*('Dvd Calendar'!$S$1782='Field Check'!$C$25)&gt;0,"",'Dvd Calendar'!$S$1778)))</f>
        <v/>
      </c>
      <c r="DT130" s="85">
        <f>IF(BF130="","",IF(ISNUMBER('Dvd Calendar'!$T$1778)=FALSE,"",IF((Summary!$C$13="N")*('Dvd Calendar'!$T$1782='Field Check'!$C$25)&gt;0,"",'Dvd Calendar'!$T$1778)))</f>
        <v/>
      </c>
      <c r="DU130" s="85">
        <f>IF(BG130="","",IF(ISNUMBER('Dvd Calendar'!$U$1778)=FALSE,"",IF((Summary!$C$13="N")*('Dvd Calendar'!$U$1782='Field Check'!$C$25)&gt;0,"",'Dvd Calendar'!$U$1778)))</f>
        <v/>
      </c>
      <c r="DV130" s="85">
        <f>IF(BH130="","",IF(ISNUMBER('Dvd Calendar'!$V$1778)=FALSE,"",IF((Summary!$C$13="N")*('Dvd Calendar'!$V$1782='Field Check'!$C$25)&gt;0,"",'Dvd Calendar'!$V$1778)))</f>
        <v/>
      </c>
      <c r="DW130" s="85">
        <f>IF(BI130="","",IF(ISNUMBER('Dvd Calendar'!$W$1778)=FALSE,"",IF((Summary!$C$13="N")*('Dvd Calendar'!$W$1782='Field Check'!$C$25)&gt;0,"",'Dvd Calendar'!$W$1778)))</f>
        <v/>
      </c>
      <c r="DX130" s="85">
        <f>IF(BJ130="","",IF(ISNUMBER('Dvd Calendar'!$X$1778)=FALSE,"",IF((Summary!$C$13="N")*('Dvd Calendar'!$X$1782='Field Check'!$C$25)&gt;0,"",'Dvd Calendar'!$X$1778)))</f>
        <v/>
      </c>
      <c r="DY130" s="85">
        <f>IF(BK130="","",IF(ISNUMBER('Dvd Calendar'!$Y$1778)=FALSE,"",IF((Summary!$C$13="N")*('Dvd Calendar'!$Y$1782='Field Check'!$C$25)&gt;0,"",'Dvd Calendar'!$Y$1778)))</f>
        <v/>
      </c>
      <c r="DZ130" s="85">
        <f>IF(BL130="","",IF(ISNUMBER('Dvd Calendar'!$Z$1778)=FALSE,"",IF((Summary!$C$13="N")*('Dvd Calendar'!$Z$1782='Field Check'!$C$25)&gt;0,"",'Dvd Calendar'!$Z$1778)))</f>
        <v/>
      </c>
      <c r="EA130" s="85">
        <f>IF(BM130="","",IF(ISNUMBER('Dvd Calendar'!$AA$1778)=FALSE,"",IF((Summary!$C$13="N")*('Dvd Calendar'!$AA$1782='Field Check'!$C$25)&gt;0,"",'Dvd Calendar'!$AA$1778)))</f>
        <v/>
      </c>
      <c r="EB130" s="85">
        <f>IF(BN130="","",IF(ISNUMBER('Dvd Calendar'!$AB$1778)=FALSE,"",IF((Summary!$C$13="N")*('Dvd Calendar'!$AB$1782='Field Check'!$C$25)&gt;0,"",'Dvd Calendar'!$AB$1778)))</f>
        <v/>
      </c>
      <c r="EC130" s="85">
        <f>IF(BO130="","",IF(ISNUMBER('Dvd Calendar'!$AC$1778)=FALSE,"",IF((Summary!$C$13="N")*('Dvd Calendar'!$AC$1782='Field Check'!$C$25)&gt;0,"",'Dvd Calendar'!$AC$1778)))</f>
        <v/>
      </c>
      <c r="EE130" s="85">
        <f>IF(BQ130="","",IFERROR(BQ130*HSTECH!$B$24*HSTECH!$G$24/HSTECH!$B$3,""))</f>
        <v/>
      </c>
      <c r="EF130" s="85">
        <f>IF(BR130="","",IFERROR(BR130*HSTECH!$B$24*HSTECH!$G$24/HSTECH!$B$3,""))</f>
        <v/>
      </c>
      <c r="EG130" s="85">
        <f>IF(BS130="","",IFERROR(BS130*HSTECH!$B$24*HSTECH!$G$24/HSTECH!$B$3,""))</f>
        <v/>
      </c>
      <c r="EH130" s="85">
        <f>IF(BT130="","",IFERROR(BT130*HSTECH!$B$24*HSTECH!$G$24/HSTECH!$B$3,""))</f>
        <v/>
      </c>
      <c r="EI130" s="85">
        <f>IF(BU130="","",IFERROR(BU130*HSTECH!$B$24*HSTECH!$G$24/HSTECH!$B$3,""))</f>
        <v/>
      </c>
      <c r="EJ130" s="85">
        <f>IF(BV130="","",IFERROR(BV130*HSTECH!$B$24*HSTECH!$G$24/HSTECH!$B$3,""))</f>
        <v/>
      </c>
      <c r="EK130" s="85">
        <f>IF(BW130="","",IFERROR(BW130*HSTECH!$B$24*HSTECH!$G$24/HSTECH!$B$3,""))</f>
        <v/>
      </c>
      <c r="EL130" s="85">
        <f>IF(BX130="","",IFERROR(BX130*HSTECH!$B$24*HSTECH!$G$24/HSTECH!$B$3,""))</f>
        <v/>
      </c>
      <c r="EM130" s="85">
        <f>IF(BY130="","",IFERROR(BY130*HSTECH!$B$24*HSTECH!$G$24/HSTECH!$B$3,""))</f>
        <v/>
      </c>
      <c r="EN130" s="85">
        <f>IF(BZ130="","",IFERROR(BZ130*HSTECH!$B$24*HSTECH!$G$24/HSTECH!$B$3,""))</f>
        <v/>
      </c>
      <c r="EO130" s="85">
        <f>IF(CA130="","",IFERROR(CA130*HSTECH!$B$24*HSTECH!$G$24/HSTECH!$B$3,""))</f>
        <v/>
      </c>
      <c r="EP130" s="85">
        <f>IF(CB130="","",IFERROR(CB130*HSTECH!$B$24*HSTECH!$G$24/HSTECH!$B$3,""))</f>
        <v/>
      </c>
      <c r="EQ130" s="85">
        <f>IF(CC130="","",IFERROR(CC130*HSTECH!$B$24*HSTECH!$G$24/HSTECH!$B$3,""))</f>
        <v/>
      </c>
      <c r="ER130" s="85">
        <f>IF(CD130="","",IFERROR(CD130*HSTECH!$B$24*HSTECH!$G$24/HSTECH!$B$3,""))</f>
        <v/>
      </c>
      <c r="ES130" s="85">
        <f>IF(CE130="","",IFERROR(CE130*HSTECH!$B$24*HSTECH!$G$24/HSTECH!$B$3,""))</f>
        <v/>
      </c>
      <c r="ET130" s="85">
        <f>IF(CF130="","",IFERROR(CF130*HSTECH!$B$24*HSTECH!$G$24/HSTECH!$B$3,""))</f>
        <v/>
      </c>
      <c r="EU130" s="85">
        <f>IF(CG130="","",IFERROR(CG130*HSTECH!$B$24*HSTECH!$G$24/HSTECH!$B$3,""))</f>
        <v/>
      </c>
      <c r="EV130" s="85">
        <f>IF(CH130="","",IFERROR(CH130*HSTECH!$B$24*HSTECH!$G$24/HSTECH!$B$3,""))</f>
        <v/>
      </c>
      <c r="EW130" s="85">
        <f>IF(CI130="","",IFERROR(CI130*HSTECH!$B$24*HSTECH!$G$24/HSTECH!$B$3,""))</f>
        <v/>
      </c>
      <c r="EX130" s="85">
        <f>IF(CJ130="","",IFERROR(CJ130*HSTECH!$B$24*HSTECH!$G$24/HSTECH!$B$3,""))</f>
        <v/>
      </c>
      <c r="EY130" s="85">
        <f>IF(CK130="","",IFERROR(CK130*HSTECH!$B$24*HSTECH!$G$24/HSTECH!$B$3,""))</f>
        <v/>
      </c>
      <c r="EZ130" s="85">
        <f>IF(CL130="","",IFERROR(CL130*HSTECH!$B$24*HSTECH!$G$24/HSTECH!$B$3,""))</f>
        <v/>
      </c>
      <c r="FA130" s="85">
        <f>IF(CM130="","",IFERROR(CM130*HSTECH!$B$24*HSTECH!$G$24/HSTECH!$B$3,""))</f>
        <v/>
      </c>
      <c r="FB130" s="85">
        <f>IF(CN130="","",IFERROR(CN130*HSTECH!$B$24*HSTECH!$G$24/HSTECH!$B$3,""))</f>
        <v/>
      </c>
      <c r="FC130" s="85">
        <f>IF(CO130="","",IFERROR(CO130*HSTECH!$B$24*HSTECH!$G$24/HSTECH!$B$3,""))</f>
        <v/>
      </c>
      <c r="FD130" s="85">
        <f>IF(CP130="","",IFERROR(CP130*HSTECH!$B$24*HSTECH!$G$24/HSTECH!$B$3,""))</f>
        <v/>
      </c>
      <c r="FE130" s="85">
        <f>IF(CQ130="","",IFERROR(CQ130*HSTECH!$B$24*HSTECH!$G$24/HSTECH!$B$3,""))</f>
        <v/>
      </c>
      <c r="FF130" s="85">
        <f>IF(CR130="","",IFERROR(CR130*HSTECH!$B$24*HSTECH!$G$24/HSTECH!$B$3,""))</f>
        <v/>
      </c>
      <c r="FG130" s="85">
        <f>IF(CS130="","",IFERROR(CS130*HSTECH!$B$24*HSTECH!$G$24/HSTECH!$B$3,""))</f>
        <v/>
      </c>
      <c r="FH130" s="85">
        <f>IF(CT130="","",IFERROR(CT130*HSTECH!$B$24*HSTECH!$G$24/HSTECH!$B$3,""))</f>
        <v/>
      </c>
      <c r="FI130" s="85">
        <f>IF(CU130="","",IFERROR(CU130*HSTECH!$B$24*HSTECH!$G$24/HSTECH!$B$3,""))</f>
        <v/>
      </c>
      <c r="FJ130" s="85">
        <f>IF(CV130="","",IFERROR(CV130*HSTECH!$B$24*HSTECH!$G$24/HSTECH!$B$3,""))</f>
        <v/>
      </c>
      <c r="FK130" s="85">
        <f>IF(CW130="","",IFERROR(CW130*HSTECH!$B$24*HSTECH!$G$24/HSTECH!$B$3,""))</f>
        <v/>
      </c>
      <c r="FL130" s="85">
        <f>IF(CX130="","",IFERROR(CX130*HSTECH!$B$24*HSTECH!$G$24/HSTECH!$B$3,""))</f>
        <v/>
      </c>
      <c r="FM130" s="85">
        <f>IF(CY130="","",IFERROR(CY130*HSTECH!$B$24*HSTECH!$G$24/HSTECH!$B$3,""))</f>
        <v/>
      </c>
      <c r="FN130" s="85">
        <f>IF(CZ130="","",IFERROR(CZ130*HSTECH!$B$24*HSTECH!$G$24/HSTECH!$B$3,""))</f>
        <v/>
      </c>
      <c r="FO130" s="85">
        <f>IF(DA130="","",IFERROR(DA130*HSTECH!$B$24*HSTECH!$G$24/HSTECH!$B$3,""))</f>
        <v/>
      </c>
      <c r="FP130" s="85">
        <f>IF(DB130="","",IFERROR(DB130*HSTECH!$B$24*HSTECH!$G$24/HSTECH!$B$3,""))</f>
        <v/>
      </c>
      <c r="FQ130" s="85">
        <f>IF(DC130="","",IFERROR(DC130*HSTECH!$B$24*HSTECH!$G$24/HSTECH!$B$3,""))</f>
        <v/>
      </c>
      <c r="FR130" s="85">
        <f>IF(DD130="","",IFERROR(DD130*HSTECH!$B$24*HSTECH!$G$24/HSTECH!$B$3,""))</f>
        <v/>
      </c>
      <c r="FS130" s="85">
        <f>IF(DE130="","",IFERROR(DE130*HSTECH!$B$24*HSTECH!$G$24/HSTECH!$B$3,""))</f>
        <v/>
      </c>
      <c r="FT130" s="85">
        <f>IF(DF130="","",IFERROR(DF130*HSTECH!$B$24*HSTECH!$G$24/HSTECH!$B$3,""))</f>
        <v/>
      </c>
      <c r="FU130" s="85">
        <f>IF(DG130="","",IFERROR(DG130*HSTECH!$B$24*HSTECH!$G$24/HSTECH!$B$3,""))</f>
        <v/>
      </c>
      <c r="FV130" s="85">
        <f>IF(DH130="","",IFERROR(DH130*HSTECH!$B$24*HSTECH!$G$24/HSTECH!$B$3,""))</f>
        <v/>
      </c>
      <c r="FW130" s="85">
        <f>IF(DI130="","",IFERROR(DI130*HSTECH!$B$24*HSTECH!$G$24/HSTECH!$B$3,""))</f>
        <v/>
      </c>
      <c r="FX130" s="85">
        <f>IF(DJ130="","",IFERROR(DJ130*HSTECH!$B$24*HSTECH!$G$24/HSTECH!$B$3,""))</f>
        <v/>
      </c>
      <c r="FY130" s="85">
        <f>IF(DK130="","",IFERROR(DK130*HSTECH!$B$24*HSTECH!$G$24/HSTECH!$B$3,""))</f>
        <v/>
      </c>
      <c r="FZ130" s="85">
        <f>IF(DL130="","",IFERROR(DL130*HSTECH!$B$24*HSTECH!$G$24/HSTECH!$B$3,""))</f>
        <v/>
      </c>
      <c r="GA130" s="85">
        <f>IF(DM130="","",IFERROR(DM130*HSTECH!$B$24*HSTECH!$G$24/HSTECH!$B$3,""))</f>
        <v/>
      </c>
      <c r="GB130" s="85">
        <f>IF(DN130="","",IFERROR(DN130*HSTECH!$B$24*HSTECH!$G$24/HSTECH!$B$3,""))</f>
        <v/>
      </c>
      <c r="GC130" s="85">
        <f>IF(DO130="","",IFERROR(DO130*HSTECH!$B$24*HSTECH!$G$24/HSTECH!$B$3,""))</f>
        <v/>
      </c>
      <c r="GD130" s="85">
        <f>IF(DP130="","",IFERROR(DP130*HSTECH!$B$24*HSTECH!$G$24/HSTECH!$B$3,""))</f>
        <v/>
      </c>
      <c r="GE130" s="85">
        <f>IF(DQ130="","",IFERROR(DQ130*HSTECH!$B$24*HSTECH!$G$24/HSTECH!$B$3,""))</f>
        <v/>
      </c>
      <c r="GF130" s="85">
        <f>IF(DR130="","",IFERROR(DR130*HSTECH!$B$24*HSTECH!$G$24/HSTECH!$B$3,""))</f>
        <v/>
      </c>
      <c r="GG130" s="85">
        <f>IF(DS130="","",IFERROR(DS130*HSTECH!$B$24*HSTECH!$G$24/HSTECH!$B$3,""))</f>
        <v/>
      </c>
      <c r="GH130" s="85">
        <f>IF(DT130="","",IFERROR(DT130*HSTECH!$B$24*HSTECH!$G$24/HSTECH!$B$3,""))</f>
        <v/>
      </c>
      <c r="GI130" s="85">
        <f>IF(DU130="","",IFERROR(DU130*HSTECH!$B$24*HSTECH!$G$24/HSTECH!$B$3,""))</f>
        <v/>
      </c>
      <c r="GJ130" s="85">
        <f>IF(DV130="","",IFERROR(DV130*HSTECH!$B$24*HSTECH!$G$24/HSTECH!$B$3,""))</f>
        <v/>
      </c>
      <c r="GK130" s="85">
        <f>IF(DW130="","",IFERROR(DW130*HSTECH!$B$24*HSTECH!$G$24/HSTECH!$B$3,""))</f>
        <v/>
      </c>
      <c r="GL130" s="85">
        <f>IF(DX130="","",IFERROR(DX130*HSTECH!$B$24*HSTECH!$G$24/HSTECH!$B$3,""))</f>
        <v/>
      </c>
      <c r="GM130" s="85">
        <f>IF(DY130="","",IFERROR(DY130*HSTECH!$B$24*HSTECH!$G$24/HSTECH!$B$3,""))</f>
        <v/>
      </c>
      <c r="GN130" s="85">
        <f>IF(DZ130="","",IFERROR(DZ130*HSTECH!$B$24*HSTECH!$G$24/HSTECH!$B$3,""))</f>
        <v/>
      </c>
      <c r="GO130" s="85">
        <f>IF(EA130="","",IFERROR(EA130*HSTECH!$B$24*HSTECH!$G$24/HSTECH!$B$3,""))</f>
        <v/>
      </c>
      <c r="GP130" s="85">
        <f>IF(EB130="","",IFERROR(EB130*HSTECH!$B$24*HSTECH!$G$24/HSTECH!$B$3,""))</f>
        <v/>
      </c>
      <c r="GQ130" s="85">
        <f>IF(EC130="","",IFERROR(EC130*HSTECH!$B$24*HSTECH!$G$24/HSTECH!$B$3,""))</f>
        <v/>
      </c>
    </row>
    <row r="131">
      <c r="B131" s="2">
        <f>IF(HSTECH!$C$25="","",HSTECH!$C$25)</f>
        <v/>
      </c>
      <c r="C131" s="41">
        <f>IF(N('Dvd Calendar'!$E$1785)=0,"",IF(('Dvd Calendar'!$E$1785&gt;=MIN(DATE(Summary!$C$12,1,1),Summary!$C$11))*('Dvd Calendar'!$E$1785&lt;=MAX(DATE(Summary!$C$12,12,31),Summary!$C$15))*('Dvd Calendar'!$E$1785&lt;=Summary!$C$11)=0,"",'Dvd Calendar'!$E$1785*1000000000+ISNUMBER('Dvd Calendar'!$E$1786)*100000000+('Dvd Calendar'!$E$1790='Field Check'!$C$25)*10000000+(N('Dvd Calendar'!$E$1784)&gt;0)*1000000+19*1000+1))</f>
        <v/>
      </c>
      <c r="D131" s="41">
        <f>IF(N('Dvd Calendar'!$F$1785)=0,"",IF(('Dvd Calendar'!$F$1785&gt;=MIN(DATE(Summary!$C$12,1,1),Summary!$C$11))*('Dvd Calendar'!$F$1785&lt;=MAX(DATE(Summary!$C$12,12,31),Summary!$C$15))*('Dvd Calendar'!$F$1785&lt;=Summary!$C$11)=0,"",'Dvd Calendar'!$F$1785*1000000000+ISNUMBER('Dvd Calendar'!$F$1786)*100000000+('Dvd Calendar'!$F$1790='Field Check'!$C$25)*10000000+(N('Dvd Calendar'!$F$1784)&gt;0)*1000000+19*1000+2))</f>
        <v/>
      </c>
      <c r="E131" s="41">
        <f>IF(N('Dvd Calendar'!$G$1785)=0,"",IF(('Dvd Calendar'!$G$1785&gt;=MIN(DATE(Summary!$C$12,1,1),Summary!$C$11))*('Dvd Calendar'!$G$1785&lt;=MAX(DATE(Summary!$C$12,12,31),Summary!$C$15))*('Dvd Calendar'!$G$1785&lt;=Summary!$C$11)=0,"",'Dvd Calendar'!$G$1785*1000000000+ISNUMBER('Dvd Calendar'!$G$1786)*100000000+('Dvd Calendar'!$G$1790='Field Check'!$C$25)*10000000+(N('Dvd Calendar'!$G$1784)&gt;0)*1000000+19*1000+3))</f>
        <v/>
      </c>
      <c r="F131" s="41">
        <f>IF(N('Dvd Calendar'!$H$1785)=0,"",IF(('Dvd Calendar'!$H$1785&gt;=MIN(DATE(Summary!$C$12,1,1),Summary!$C$11))*('Dvd Calendar'!$H$1785&lt;=MAX(DATE(Summary!$C$12,12,31),Summary!$C$15))*('Dvd Calendar'!$H$1785&lt;=Summary!$C$11)=0,"",'Dvd Calendar'!$H$1785*1000000000+ISNUMBER('Dvd Calendar'!$H$1786)*100000000+('Dvd Calendar'!$H$1790='Field Check'!$C$25)*10000000+(N('Dvd Calendar'!$H$1784)&gt;0)*1000000+19*1000+4))</f>
        <v/>
      </c>
      <c r="G131" s="41">
        <f>IF(N('Dvd Calendar'!$I$1785)=0,"",IF(('Dvd Calendar'!$I$1785&gt;=MIN(DATE(Summary!$C$12,1,1),Summary!$C$11))*('Dvd Calendar'!$I$1785&lt;=MAX(DATE(Summary!$C$12,12,31),Summary!$C$15))*('Dvd Calendar'!$I$1785&lt;=Summary!$C$11)=0,"",'Dvd Calendar'!$I$1785*1000000000+ISNUMBER('Dvd Calendar'!$I$1786)*100000000+('Dvd Calendar'!$I$1790='Field Check'!$C$25)*10000000+(N('Dvd Calendar'!$I$1784)&gt;0)*1000000+19*1000+5))</f>
        <v/>
      </c>
      <c r="H131" s="41">
        <f>IF(N('Dvd Calendar'!$J$1785)=0,"",IF(('Dvd Calendar'!$J$1785&gt;=MIN(DATE(Summary!$C$12,1,1),Summary!$C$11))*('Dvd Calendar'!$J$1785&lt;=MAX(DATE(Summary!$C$12,12,31),Summary!$C$15))*('Dvd Calendar'!$J$1785&lt;=Summary!$C$11)=0,"",'Dvd Calendar'!$J$1785*1000000000+ISNUMBER('Dvd Calendar'!$J$1786)*100000000+('Dvd Calendar'!$J$1790='Field Check'!$C$25)*10000000+(N('Dvd Calendar'!$J$1784)&gt;0)*1000000+19*1000+6))</f>
        <v/>
      </c>
      <c r="I131" s="41">
        <f>IF(N('Dvd Calendar'!$K$1785)=0,"",IF(('Dvd Calendar'!$K$1785&gt;=MIN(DATE(Summary!$C$12,1,1),Summary!$C$11))*('Dvd Calendar'!$K$1785&lt;=MAX(DATE(Summary!$C$12,12,31),Summary!$C$15))*('Dvd Calendar'!$K$1785&lt;=Summary!$C$11)=0,"",'Dvd Calendar'!$K$1785*1000000000+ISNUMBER('Dvd Calendar'!$K$1786)*100000000+('Dvd Calendar'!$K$1790='Field Check'!$C$25)*10000000+(N('Dvd Calendar'!$K$1784)&gt;0)*1000000+19*1000+7))</f>
        <v/>
      </c>
      <c r="J131" s="41">
        <f>IF(N('Dvd Calendar'!$L$1785)=0,"",IF(('Dvd Calendar'!$L$1785&gt;=MIN(DATE(Summary!$C$12,1,1),Summary!$C$11))*('Dvd Calendar'!$L$1785&lt;=MAX(DATE(Summary!$C$12,12,31),Summary!$C$15))*('Dvd Calendar'!$L$1785&lt;=Summary!$C$11)=0,"",'Dvd Calendar'!$L$1785*1000000000+ISNUMBER('Dvd Calendar'!$L$1786)*100000000+('Dvd Calendar'!$L$1790='Field Check'!$C$25)*10000000+(N('Dvd Calendar'!$L$1784)&gt;0)*1000000+19*1000+8))</f>
        <v/>
      </c>
      <c r="K131" s="41">
        <f>IF(N('Dvd Calendar'!$M$1785)=0,"",IF(('Dvd Calendar'!$M$1785&gt;=MIN(DATE(Summary!$C$12,1,1),Summary!$C$11))*('Dvd Calendar'!$M$1785&lt;=MAX(DATE(Summary!$C$12,12,31),Summary!$C$15))*('Dvd Calendar'!$M$1785&lt;=Summary!$C$11)=0,"",'Dvd Calendar'!$M$1785*1000000000+ISNUMBER('Dvd Calendar'!$M$1786)*100000000+('Dvd Calendar'!$M$1790='Field Check'!$C$25)*10000000+(N('Dvd Calendar'!$M$1784)&gt;0)*1000000+19*1000+9))</f>
        <v/>
      </c>
      <c r="L131" s="41">
        <f>IF(N('Dvd Calendar'!$N$1785)=0,"",IF(('Dvd Calendar'!$N$1785&gt;=MIN(DATE(Summary!$C$12,1,1),Summary!$C$11))*('Dvd Calendar'!$N$1785&lt;=MAX(DATE(Summary!$C$12,12,31),Summary!$C$15))*('Dvd Calendar'!$N$1785&lt;=Summary!$C$11)=0,"",'Dvd Calendar'!$N$1785*1000000000+ISNUMBER('Dvd Calendar'!$N$1786)*100000000+('Dvd Calendar'!$N$1790='Field Check'!$C$25)*10000000+(N('Dvd Calendar'!$N$1784)&gt;0)*1000000+19*1000+10))</f>
        <v/>
      </c>
      <c r="M131" s="41">
        <f>IF(N('Dvd Calendar'!$O$1785)=0,"",IF(('Dvd Calendar'!$O$1785&gt;=MIN(DATE(Summary!$C$12,1,1),Summary!$C$11))*('Dvd Calendar'!$O$1785&lt;=MAX(DATE(Summary!$C$12,12,31),Summary!$C$15))*('Dvd Calendar'!$O$1785&lt;=Summary!$C$11)=0,"",'Dvd Calendar'!$O$1785*1000000000+ISNUMBER('Dvd Calendar'!$O$1786)*100000000+('Dvd Calendar'!$O$1790='Field Check'!$C$25)*10000000+(N('Dvd Calendar'!$O$1784)&gt;0)*1000000+19*1000+11))</f>
        <v/>
      </c>
      <c r="N131" s="41">
        <f>IF(N('Dvd Calendar'!$P$1785)=0,"",IF(('Dvd Calendar'!$P$1785&gt;=MIN(DATE(Summary!$C$12,1,1),Summary!$C$11))*('Dvd Calendar'!$P$1785&lt;=MAX(DATE(Summary!$C$12,12,31),Summary!$C$15))*('Dvd Calendar'!$P$1785&lt;=Summary!$C$11)=0,"",'Dvd Calendar'!$P$1785*1000000000+ISNUMBER('Dvd Calendar'!$P$1786)*100000000+('Dvd Calendar'!$P$1790='Field Check'!$C$25)*10000000+(N('Dvd Calendar'!$P$1784)&gt;0)*1000000+19*1000+12))</f>
        <v/>
      </c>
      <c r="O131" s="41">
        <f>IF(N('Dvd Calendar'!$Q$1785)=0,"",IF(('Dvd Calendar'!$Q$1785&gt;=MIN(DATE(Summary!$C$12,1,1),Summary!$C$11))*('Dvd Calendar'!$Q$1785&lt;=MAX(DATE(Summary!$C$12,12,31),Summary!$C$15))*('Dvd Calendar'!$Q$1785&lt;=Summary!$C$11)=0,"",'Dvd Calendar'!$Q$1785*1000000000+ISNUMBER('Dvd Calendar'!$Q$1786)*100000000+('Dvd Calendar'!$Q$1790='Field Check'!$C$25)*10000000+(N('Dvd Calendar'!$Q$1784)&gt;0)*1000000+19*1000+13))</f>
        <v/>
      </c>
      <c r="P131" s="41">
        <f>IF(N('Dvd Calendar'!$R$1785)=0,"",IF(('Dvd Calendar'!$R$1785&gt;=MIN(DATE(Summary!$C$12,1,1),Summary!$C$11))*('Dvd Calendar'!$R$1785&lt;=MAX(DATE(Summary!$C$12,12,31),Summary!$C$15))*('Dvd Calendar'!$R$1785&lt;=Summary!$C$11)=0,"",'Dvd Calendar'!$R$1785*1000000000+ISNUMBER('Dvd Calendar'!$R$1786)*100000000+('Dvd Calendar'!$R$1790='Field Check'!$C$25)*10000000+(N('Dvd Calendar'!$R$1784)&gt;0)*1000000+19*1000+14))</f>
        <v/>
      </c>
      <c r="Q131" s="41">
        <f>IF(N('Dvd Calendar'!$S$1785)=0,"",IF(('Dvd Calendar'!$S$1785&gt;=MIN(DATE(Summary!$C$12,1,1),Summary!$C$11))*('Dvd Calendar'!$S$1785&lt;=MAX(DATE(Summary!$C$12,12,31),Summary!$C$15))*('Dvd Calendar'!$S$1785&lt;=Summary!$C$11)=0,"",'Dvd Calendar'!$S$1785*1000000000+ISNUMBER('Dvd Calendar'!$S$1786)*100000000+('Dvd Calendar'!$S$1790='Field Check'!$C$25)*10000000+(N('Dvd Calendar'!$S$1784)&gt;0)*1000000+19*1000+15))</f>
        <v/>
      </c>
      <c r="R131" s="41">
        <f>IF(N('Dvd Calendar'!$T$1785)=0,"",IF(('Dvd Calendar'!$T$1785&gt;=MIN(DATE(Summary!$C$12,1,1),Summary!$C$11))*('Dvd Calendar'!$T$1785&lt;=MAX(DATE(Summary!$C$12,12,31),Summary!$C$15))*('Dvd Calendar'!$T$1785&lt;=Summary!$C$11)=0,"",'Dvd Calendar'!$T$1785*1000000000+ISNUMBER('Dvd Calendar'!$T$1786)*100000000+('Dvd Calendar'!$T$1790='Field Check'!$C$25)*10000000+(N('Dvd Calendar'!$T$1784)&gt;0)*1000000+19*1000+16))</f>
        <v/>
      </c>
      <c r="S131" s="41">
        <f>IF(N('Dvd Calendar'!$U$1785)=0,"",IF(('Dvd Calendar'!$U$1785&gt;=MIN(DATE(Summary!$C$12,1,1),Summary!$C$11))*('Dvd Calendar'!$U$1785&lt;=MAX(DATE(Summary!$C$12,12,31),Summary!$C$15))*('Dvd Calendar'!$U$1785&lt;=Summary!$C$11)=0,"",'Dvd Calendar'!$U$1785*1000000000+ISNUMBER('Dvd Calendar'!$U$1786)*100000000+('Dvd Calendar'!$U$1790='Field Check'!$C$25)*10000000+(N('Dvd Calendar'!$U$1784)&gt;0)*1000000+19*1000+17))</f>
        <v/>
      </c>
      <c r="T131" s="41">
        <f>IF(N('Dvd Calendar'!$V$1785)=0,"",IF(('Dvd Calendar'!$V$1785&gt;=MIN(DATE(Summary!$C$12,1,1),Summary!$C$11))*('Dvd Calendar'!$V$1785&lt;=MAX(DATE(Summary!$C$12,12,31),Summary!$C$15))*('Dvd Calendar'!$V$1785&lt;=Summary!$C$11)=0,"",'Dvd Calendar'!$V$1785*1000000000+ISNUMBER('Dvd Calendar'!$V$1786)*100000000+('Dvd Calendar'!$V$1790='Field Check'!$C$25)*10000000+(N('Dvd Calendar'!$V$1784)&gt;0)*1000000+19*1000+18))</f>
        <v/>
      </c>
      <c r="U131" s="41">
        <f>IF(N('Dvd Calendar'!$W$1785)=0,"",IF(('Dvd Calendar'!$W$1785&gt;=MIN(DATE(Summary!$C$12,1,1),Summary!$C$11))*('Dvd Calendar'!$W$1785&lt;=MAX(DATE(Summary!$C$12,12,31),Summary!$C$15))*('Dvd Calendar'!$W$1785&lt;=Summary!$C$11)=0,"",'Dvd Calendar'!$W$1785*1000000000+ISNUMBER('Dvd Calendar'!$W$1786)*100000000+('Dvd Calendar'!$W$1790='Field Check'!$C$25)*10000000+(N('Dvd Calendar'!$W$1784)&gt;0)*1000000+19*1000+19))</f>
        <v/>
      </c>
      <c r="V131" s="41">
        <f>IF(N('Dvd Calendar'!$X$1785)=0,"",IF(('Dvd Calendar'!$X$1785&gt;=MIN(DATE(Summary!$C$12,1,1),Summary!$C$11))*('Dvd Calendar'!$X$1785&lt;=MAX(DATE(Summary!$C$12,12,31),Summary!$C$15))*('Dvd Calendar'!$X$1785&lt;=Summary!$C$11)=0,"",'Dvd Calendar'!$X$1785*1000000000+ISNUMBER('Dvd Calendar'!$X$1786)*100000000+('Dvd Calendar'!$X$1790='Field Check'!$C$25)*10000000+(N('Dvd Calendar'!$X$1784)&gt;0)*1000000+19*1000+20))</f>
        <v/>
      </c>
      <c r="W131" s="41">
        <f>IF(N('Dvd Calendar'!$Y$1785)=0,"",IF(('Dvd Calendar'!$Y$1785&gt;=MIN(DATE(Summary!$C$12,1,1),Summary!$C$11))*('Dvd Calendar'!$Y$1785&lt;=MAX(DATE(Summary!$C$12,12,31),Summary!$C$15))*('Dvd Calendar'!$Y$1785&lt;=Summary!$C$11)=0,"",'Dvd Calendar'!$Y$1785*1000000000+ISNUMBER('Dvd Calendar'!$Y$1786)*100000000+('Dvd Calendar'!$Y$1790='Field Check'!$C$25)*10000000+(N('Dvd Calendar'!$Y$1784)&gt;0)*1000000+19*1000+21))</f>
        <v/>
      </c>
      <c r="X131" s="41">
        <f>IF(N('Dvd Calendar'!$Z$1785)=0,"",IF(('Dvd Calendar'!$Z$1785&gt;=MIN(DATE(Summary!$C$12,1,1),Summary!$C$11))*('Dvd Calendar'!$Z$1785&lt;=MAX(DATE(Summary!$C$12,12,31),Summary!$C$15))*('Dvd Calendar'!$Z$1785&lt;=Summary!$C$11)=0,"",'Dvd Calendar'!$Z$1785*1000000000+ISNUMBER('Dvd Calendar'!$Z$1786)*100000000+('Dvd Calendar'!$Z$1790='Field Check'!$C$25)*10000000+(N('Dvd Calendar'!$Z$1784)&gt;0)*1000000+19*1000+22))</f>
        <v/>
      </c>
      <c r="Y131" s="41">
        <f>IF(N('Dvd Calendar'!$AA$1785)=0,"",IF(('Dvd Calendar'!$AA$1785&gt;=MIN(DATE(Summary!$C$12,1,1),Summary!$C$11))*('Dvd Calendar'!$AA$1785&lt;=MAX(DATE(Summary!$C$12,12,31),Summary!$C$15))*('Dvd Calendar'!$AA$1785&lt;=Summary!$C$11)=0,"",'Dvd Calendar'!$AA$1785*1000000000+ISNUMBER('Dvd Calendar'!$AA$1786)*100000000+('Dvd Calendar'!$AA$1790='Field Check'!$C$25)*10000000+(N('Dvd Calendar'!$AA$1784)&gt;0)*1000000+19*1000+23))</f>
        <v/>
      </c>
      <c r="Z131" s="41">
        <f>IF(N('Dvd Calendar'!$AB$1785)=0,"",IF(('Dvd Calendar'!$AB$1785&gt;=MIN(DATE(Summary!$C$12,1,1),Summary!$C$11))*('Dvd Calendar'!$AB$1785&lt;=MAX(DATE(Summary!$C$12,12,31),Summary!$C$15))*('Dvd Calendar'!$AB$1785&lt;=Summary!$C$11)=0,"",'Dvd Calendar'!$AB$1785*1000000000+ISNUMBER('Dvd Calendar'!$AB$1786)*100000000+('Dvd Calendar'!$AB$1790='Field Check'!$C$25)*10000000+(N('Dvd Calendar'!$AB$1784)&gt;0)*1000000+19*1000+24))</f>
        <v/>
      </c>
      <c r="AA131" s="41">
        <f>IF(N('Dvd Calendar'!$AC$1785)=0,"",IF(('Dvd Calendar'!$AC$1785&gt;=MIN(DATE(Summary!$C$12,1,1),Summary!$C$11))*('Dvd Calendar'!$AC$1785&lt;=MAX(DATE(Summary!$C$12,12,31),Summary!$C$15))*('Dvd Calendar'!$AC$1785&lt;=Summary!$C$11)=0,"",'Dvd Calendar'!$AC$1785*1000000000+ISNUMBER('Dvd Calendar'!$AC$1786)*100000000+('Dvd Calendar'!$AC$1790='Field Check'!$C$25)*10000000+(N('Dvd Calendar'!$AC$1784)&gt;0)*1000000+19*1000+25))</f>
        <v/>
      </c>
      <c r="AB131" s="41">
        <f>IF(N('Dvd Calendar'!$AD$1785)=0,"",IF(('Dvd Calendar'!$AD$1785&gt;=MIN(DATE(Summary!$C$12,1,1),Summary!$C$11))*('Dvd Calendar'!$AD$1785&lt;=MAX(DATE(Summary!$C$12,12,31),Summary!$C$15))*('Dvd Calendar'!$AD$1785&lt;=Summary!$C$11)=0,"",'Dvd Calendar'!$AD$1785*1000000000+ISNUMBER('Dvd Calendar'!$AD$1786)*100000000+('Dvd Calendar'!$AD$1790='Field Check'!$C$25)*10000000+(N('Dvd Calendar'!$AD$1784)&gt;0)*1000000+19*1000+26))</f>
        <v/>
      </c>
      <c r="AC131" s="41">
        <f>IF(N('Dvd Calendar'!$AE$1785)=0,"",IF(('Dvd Calendar'!$AE$1785&gt;=MIN(DATE(Summary!$C$12,1,1),Summary!$C$11))*('Dvd Calendar'!$AE$1785&lt;=MAX(DATE(Summary!$C$12,12,31),Summary!$C$15))*('Dvd Calendar'!$AE$1785&lt;=Summary!$C$11)=0,"",'Dvd Calendar'!$AE$1785*1000000000+ISNUMBER('Dvd Calendar'!$AE$1786)*100000000+('Dvd Calendar'!$AE$1790='Field Check'!$C$25)*10000000+(N('Dvd Calendar'!$AE$1784)&gt;0)*1000000+19*1000+27))</f>
        <v/>
      </c>
      <c r="AD131" s="41">
        <f>IF(N('Dvd Calendar'!$AF$1785)=0,"",IF(('Dvd Calendar'!$AF$1785&gt;=MIN(DATE(Summary!$C$12,1,1),Summary!$C$11))*('Dvd Calendar'!$AF$1785&lt;=MAX(DATE(Summary!$C$12,12,31),Summary!$C$15))*('Dvd Calendar'!$AF$1785&lt;=Summary!$C$11)=0,"",'Dvd Calendar'!$AF$1785*1000000000+ISNUMBER('Dvd Calendar'!$AF$1786)*100000000+('Dvd Calendar'!$AF$1790='Field Check'!$C$25)*10000000+(N('Dvd Calendar'!$AF$1784)&gt;0)*1000000+19*1000+28))</f>
        <v/>
      </c>
      <c r="AE131" s="41">
        <f>IF(N('Dvd Calendar'!$AG$1785)=0,"",IF(('Dvd Calendar'!$AG$1785&gt;=MIN(DATE(Summary!$C$12,1,1),Summary!$C$11))*('Dvd Calendar'!$AG$1785&lt;=MAX(DATE(Summary!$C$12,12,31),Summary!$C$15))*('Dvd Calendar'!$AG$1785&lt;=Summary!$C$11)=0,"",'Dvd Calendar'!$AG$1785*1000000000+ISNUMBER('Dvd Calendar'!$AG$1786)*100000000+('Dvd Calendar'!$AG$1790='Field Check'!$C$25)*10000000+(N('Dvd Calendar'!$AG$1784)&gt;0)*1000000+19*1000+29))</f>
        <v/>
      </c>
      <c r="AF131" s="41">
        <f>IF(N('Dvd Calendar'!$AH$1785)=0,"",IF(('Dvd Calendar'!$AH$1785&gt;=MIN(DATE(Summary!$C$12,1,1),Summary!$C$11))*('Dvd Calendar'!$AH$1785&lt;=MAX(DATE(Summary!$C$12,12,31),Summary!$C$15))*('Dvd Calendar'!$AH$1785&lt;=Summary!$C$11)=0,"",'Dvd Calendar'!$AH$1785*1000000000+ISNUMBER('Dvd Calendar'!$AH$1786)*100000000+('Dvd Calendar'!$AH$1790='Field Check'!$C$25)*10000000+(N('Dvd Calendar'!$AH$1784)&gt;0)*1000000+19*1000+30))</f>
        <v/>
      </c>
      <c r="AG131" s="41">
        <f>IF(N('Dvd Calendar'!$AI$1785)=0,"",IF(('Dvd Calendar'!$AI$1785&gt;=MIN(DATE(Summary!$C$12,1,1),Summary!$C$11))*('Dvd Calendar'!$AI$1785&lt;=MAX(DATE(Summary!$C$12,12,31),Summary!$C$15))*('Dvd Calendar'!$AI$1785&lt;=Summary!$C$11)=0,"",'Dvd Calendar'!$AI$1785*1000000000+ISNUMBER('Dvd Calendar'!$AI$1786)*100000000+('Dvd Calendar'!$AI$1790='Field Check'!$C$25)*10000000+(N('Dvd Calendar'!$AI$1784)&gt;0)*1000000+19*1000+31))</f>
        <v/>
      </c>
      <c r="AH131" s="41">
        <f>IF(N('Dvd Calendar'!$AJ$1785)=0,"",IF(('Dvd Calendar'!$AJ$1785&gt;=MIN(DATE(Summary!$C$12,1,1),Summary!$C$11))*('Dvd Calendar'!$AJ$1785&lt;=MAX(DATE(Summary!$C$12,12,31),Summary!$C$15))*('Dvd Calendar'!$AJ$1785&lt;=Summary!$C$11)=0,"",'Dvd Calendar'!$AJ$1785*1000000000+ISNUMBER('Dvd Calendar'!$AJ$1786)*100000000+('Dvd Calendar'!$AJ$1790='Field Check'!$C$25)*10000000+(N('Dvd Calendar'!$AJ$1784)&gt;0)*1000000+19*1000+32))</f>
        <v/>
      </c>
      <c r="AI131" s="41">
        <f>IF(N('Dvd Calendar'!$AK$1785)=0,"",IF(('Dvd Calendar'!$AK$1785&gt;=MIN(DATE(Summary!$C$12,1,1),Summary!$C$11))*('Dvd Calendar'!$AK$1785&lt;=MAX(DATE(Summary!$C$12,12,31),Summary!$C$15))*('Dvd Calendar'!$AK$1785&lt;=Summary!$C$11)=0,"",'Dvd Calendar'!$AK$1785*1000000000+ISNUMBER('Dvd Calendar'!$AK$1786)*100000000+('Dvd Calendar'!$AK$1790='Field Check'!$C$25)*10000000+(N('Dvd Calendar'!$AK$1784)&gt;0)*1000000+19*1000+33))</f>
        <v/>
      </c>
      <c r="AJ131" s="41">
        <f>IF(N('Dvd Calendar'!$AL$1785)=0,"",IF(('Dvd Calendar'!$AL$1785&gt;=MIN(DATE(Summary!$C$12,1,1),Summary!$C$11))*('Dvd Calendar'!$AL$1785&lt;=MAX(DATE(Summary!$C$12,12,31),Summary!$C$15))*('Dvd Calendar'!$AL$1785&lt;=Summary!$C$11)=0,"",'Dvd Calendar'!$AL$1785*1000000000+ISNUMBER('Dvd Calendar'!$AL$1786)*100000000+('Dvd Calendar'!$AL$1790='Field Check'!$C$25)*10000000+(N('Dvd Calendar'!$AL$1784)&gt;0)*1000000+19*1000+34))</f>
        <v/>
      </c>
      <c r="AK131" s="41">
        <f>IF(N('Dvd Calendar'!$AM$1785)=0,"",IF(('Dvd Calendar'!$AM$1785&gt;=MIN(DATE(Summary!$C$12,1,1),Summary!$C$11))*('Dvd Calendar'!$AM$1785&lt;=MAX(DATE(Summary!$C$12,12,31),Summary!$C$15))*('Dvd Calendar'!$AM$1785&lt;=Summary!$C$11)=0,"",'Dvd Calendar'!$AM$1785*1000000000+ISNUMBER('Dvd Calendar'!$AM$1786)*100000000+('Dvd Calendar'!$AM$1790='Field Check'!$C$25)*10000000+(N('Dvd Calendar'!$AM$1784)&gt;0)*1000000+19*1000+35))</f>
        <v/>
      </c>
      <c r="AL131" s="41">
        <f>IF(N('Dvd Calendar'!$AN$1785)=0,"",IF(('Dvd Calendar'!$AN$1785&gt;=MIN(DATE(Summary!$C$12,1,1),Summary!$C$11))*('Dvd Calendar'!$AN$1785&lt;=MAX(DATE(Summary!$C$12,12,31),Summary!$C$15))*('Dvd Calendar'!$AN$1785&lt;=Summary!$C$11)=0,"",'Dvd Calendar'!$AN$1785*1000000000+ISNUMBER('Dvd Calendar'!$AN$1786)*100000000+('Dvd Calendar'!$AN$1790='Field Check'!$C$25)*10000000+(N('Dvd Calendar'!$AN$1784)&gt;0)*1000000+19*1000+36))</f>
        <v/>
      </c>
      <c r="AM131" s="41">
        <f>IF(N('Dvd Calendar'!$AO$1785)=0,"",IF(('Dvd Calendar'!$AO$1785&gt;=MIN(DATE(Summary!$C$12,1,1),Summary!$C$11))*('Dvd Calendar'!$AO$1785&lt;=MAX(DATE(Summary!$C$12,12,31),Summary!$C$15))*('Dvd Calendar'!$AO$1785&lt;=Summary!$C$11)=0,"",'Dvd Calendar'!$AO$1785*1000000000+ISNUMBER('Dvd Calendar'!$AO$1786)*100000000+('Dvd Calendar'!$AO$1790='Field Check'!$C$25)*10000000+(N('Dvd Calendar'!$AO$1784)&gt;0)*1000000+19*1000+37))</f>
        <v/>
      </c>
      <c r="AN131" s="41">
        <f>IF(N('Dvd Calendar'!$AP$1785)=0,"",IF(('Dvd Calendar'!$AP$1785&gt;=MIN(DATE(Summary!$C$12,1,1),Summary!$C$11))*('Dvd Calendar'!$AP$1785&lt;=MAX(DATE(Summary!$C$12,12,31),Summary!$C$15))*('Dvd Calendar'!$AP$1785&lt;=Summary!$C$11)=0,"",'Dvd Calendar'!$AP$1785*1000000000+ISNUMBER('Dvd Calendar'!$AP$1786)*100000000+('Dvd Calendar'!$AP$1790='Field Check'!$C$25)*10000000+(N('Dvd Calendar'!$AP$1784)&gt;0)*1000000+19*1000+38))</f>
        <v/>
      </c>
      <c r="AO131" s="41">
        <f>IF(N('Dvd Calendar'!$AQ$1785)=0,"",IF(('Dvd Calendar'!$AQ$1785&gt;=MIN(DATE(Summary!$C$12,1,1),Summary!$C$11))*('Dvd Calendar'!$AQ$1785&lt;=MAX(DATE(Summary!$C$12,12,31),Summary!$C$15))*('Dvd Calendar'!$AQ$1785&lt;=Summary!$C$11)=0,"",'Dvd Calendar'!$AQ$1785*1000000000+ISNUMBER('Dvd Calendar'!$AQ$1786)*100000000+('Dvd Calendar'!$AQ$1790='Field Check'!$C$25)*10000000+(N('Dvd Calendar'!$AQ$1784)&gt;0)*1000000+19*1000+39))</f>
        <v/>
      </c>
      <c r="AP131" s="41">
        <f>IF(N('Dvd Calendar'!$AR$1785)=0,"",IF(('Dvd Calendar'!$AR$1785&gt;=MIN(DATE(Summary!$C$12,1,1),Summary!$C$11))*('Dvd Calendar'!$AR$1785&lt;=MAX(DATE(Summary!$C$12,12,31),Summary!$C$15))*('Dvd Calendar'!$AR$1785&lt;=Summary!$C$11)=0,"",'Dvd Calendar'!$AR$1785*1000000000+ISNUMBER('Dvd Calendar'!$AR$1786)*100000000+('Dvd Calendar'!$AR$1790='Field Check'!$C$25)*10000000+(N('Dvd Calendar'!$AR$1784)&gt;0)*1000000+19*1000+40))</f>
        <v/>
      </c>
      <c r="AQ131" s="41">
        <f>IF(N('Dvd Calendar'!$E$1792)=0,"",IF(('Dvd Calendar'!$E$1792&gt;=MIN(DATE(Summary!$C$12,1,1),Summary!$C$11))*('Dvd Calendar'!$E$1792&lt;=MAX(DATE(Summary!$C$12,12,31),Summary!$C$15))*('Dvd Calendar'!$E$1792&gt;Summary!$C$11)=0,"",'Dvd Calendar'!$E$1792*1000000000+ISNUMBER('Dvd Calendar'!$E$1793)*100000000+('Dvd Calendar'!$E$1797='Field Check'!$C$25)*10000000+(N('Dvd Calendar'!$E$1791)&gt;0)*1000000+19*1000+41))</f>
        <v/>
      </c>
      <c r="AR131" s="41">
        <f>IF(N('Dvd Calendar'!$F$1792)=0,"",IF(('Dvd Calendar'!$F$1792&gt;=MIN(DATE(Summary!$C$12,1,1),Summary!$C$11))*('Dvd Calendar'!$F$1792&lt;=MAX(DATE(Summary!$C$12,12,31),Summary!$C$15))*('Dvd Calendar'!$F$1792&gt;Summary!$C$11)=0,"",'Dvd Calendar'!$F$1792*1000000000+ISNUMBER('Dvd Calendar'!$F$1793)*100000000+('Dvd Calendar'!$F$1797='Field Check'!$C$25)*10000000+(N('Dvd Calendar'!$F$1791)&gt;0)*1000000+19*1000+42))</f>
        <v/>
      </c>
      <c r="AS131" s="41">
        <f>IF(N('Dvd Calendar'!$G$1792)=0,"",IF(('Dvd Calendar'!$G$1792&gt;=MIN(DATE(Summary!$C$12,1,1),Summary!$C$11))*('Dvd Calendar'!$G$1792&lt;=MAX(DATE(Summary!$C$12,12,31),Summary!$C$15))*('Dvd Calendar'!$G$1792&gt;Summary!$C$11)=0,"",'Dvd Calendar'!$G$1792*1000000000+ISNUMBER('Dvd Calendar'!$G$1793)*100000000+('Dvd Calendar'!$G$1797='Field Check'!$C$25)*10000000+(N('Dvd Calendar'!$G$1791)&gt;0)*1000000+19*1000+43))</f>
        <v/>
      </c>
      <c r="AT131" s="41">
        <f>IF(N('Dvd Calendar'!$H$1792)=0,"",IF(('Dvd Calendar'!$H$1792&gt;=MIN(DATE(Summary!$C$12,1,1),Summary!$C$11))*('Dvd Calendar'!$H$1792&lt;=MAX(DATE(Summary!$C$12,12,31),Summary!$C$15))*('Dvd Calendar'!$H$1792&gt;Summary!$C$11)=0,"",'Dvd Calendar'!$H$1792*1000000000+ISNUMBER('Dvd Calendar'!$H$1793)*100000000+('Dvd Calendar'!$H$1797='Field Check'!$C$25)*10000000+(N('Dvd Calendar'!$H$1791)&gt;0)*1000000+19*1000+44))</f>
        <v/>
      </c>
      <c r="AU131" s="41">
        <f>IF(N('Dvd Calendar'!$I$1792)=0,"",IF(('Dvd Calendar'!$I$1792&gt;=MIN(DATE(Summary!$C$12,1,1),Summary!$C$11))*('Dvd Calendar'!$I$1792&lt;=MAX(DATE(Summary!$C$12,12,31),Summary!$C$15))*('Dvd Calendar'!$I$1792&gt;Summary!$C$11)=0,"",'Dvd Calendar'!$I$1792*1000000000+ISNUMBER('Dvd Calendar'!$I$1793)*100000000+('Dvd Calendar'!$I$1797='Field Check'!$C$25)*10000000+(N('Dvd Calendar'!$I$1791)&gt;0)*1000000+19*1000+45))</f>
        <v/>
      </c>
      <c r="AV131" s="41">
        <f>IF(N('Dvd Calendar'!$J$1792)=0,"",IF(('Dvd Calendar'!$J$1792&gt;=MIN(DATE(Summary!$C$12,1,1),Summary!$C$11))*('Dvd Calendar'!$J$1792&lt;=MAX(DATE(Summary!$C$12,12,31),Summary!$C$15))*('Dvd Calendar'!$J$1792&gt;Summary!$C$11)=0,"",'Dvd Calendar'!$J$1792*1000000000+ISNUMBER('Dvd Calendar'!$J$1793)*100000000+('Dvd Calendar'!$J$1797='Field Check'!$C$25)*10000000+(N('Dvd Calendar'!$J$1791)&gt;0)*1000000+19*1000+46))</f>
        <v/>
      </c>
      <c r="AW131" s="41">
        <f>IF(N('Dvd Calendar'!$K$1792)=0,"",IF(('Dvd Calendar'!$K$1792&gt;=MIN(DATE(Summary!$C$12,1,1),Summary!$C$11))*('Dvd Calendar'!$K$1792&lt;=MAX(DATE(Summary!$C$12,12,31),Summary!$C$15))*('Dvd Calendar'!$K$1792&gt;Summary!$C$11)=0,"",'Dvd Calendar'!$K$1792*1000000000+ISNUMBER('Dvd Calendar'!$K$1793)*100000000+('Dvd Calendar'!$K$1797='Field Check'!$C$25)*10000000+(N('Dvd Calendar'!$K$1791)&gt;0)*1000000+19*1000+47))</f>
        <v/>
      </c>
      <c r="AX131" s="41">
        <f>IF(N('Dvd Calendar'!$L$1792)=0,"",IF(('Dvd Calendar'!$L$1792&gt;=MIN(DATE(Summary!$C$12,1,1),Summary!$C$11))*('Dvd Calendar'!$L$1792&lt;=MAX(DATE(Summary!$C$12,12,31),Summary!$C$15))*('Dvd Calendar'!$L$1792&gt;Summary!$C$11)=0,"",'Dvd Calendar'!$L$1792*1000000000+ISNUMBER('Dvd Calendar'!$L$1793)*100000000+('Dvd Calendar'!$L$1797='Field Check'!$C$25)*10000000+(N('Dvd Calendar'!$L$1791)&gt;0)*1000000+19*1000+48))</f>
        <v/>
      </c>
      <c r="AY131" s="41">
        <f>IF(N('Dvd Calendar'!$M$1792)=0,"",IF(('Dvd Calendar'!$M$1792&gt;=MIN(DATE(Summary!$C$12,1,1),Summary!$C$11))*('Dvd Calendar'!$M$1792&lt;=MAX(DATE(Summary!$C$12,12,31),Summary!$C$15))*('Dvd Calendar'!$M$1792&gt;Summary!$C$11)=0,"",'Dvd Calendar'!$M$1792*1000000000+ISNUMBER('Dvd Calendar'!$M$1793)*100000000+('Dvd Calendar'!$M$1797='Field Check'!$C$25)*10000000+(N('Dvd Calendar'!$M$1791)&gt;0)*1000000+19*1000+49))</f>
        <v/>
      </c>
      <c r="AZ131" s="41">
        <f>IF(N('Dvd Calendar'!$N$1792)=0,"",IF(('Dvd Calendar'!$N$1792&gt;=MIN(DATE(Summary!$C$12,1,1),Summary!$C$11))*('Dvd Calendar'!$N$1792&lt;=MAX(DATE(Summary!$C$12,12,31),Summary!$C$15))*('Dvd Calendar'!$N$1792&gt;Summary!$C$11)=0,"",'Dvd Calendar'!$N$1792*1000000000+ISNUMBER('Dvd Calendar'!$N$1793)*100000000+('Dvd Calendar'!$N$1797='Field Check'!$C$25)*10000000+(N('Dvd Calendar'!$N$1791)&gt;0)*1000000+19*1000+50))</f>
        <v/>
      </c>
      <c r="BA131" s="41">
        <f>IF(N('Dvd Calendar'!$O$1792)=0,"",IF(('Dvd Calendar'!$O$1792&gt;=MIN(DATE(Summary!$C$12,1,1),Summary!$C$11))*('Dvd Calendar'!$O$1792&lt;=MAX(DATE(Summary!$C$12,12,31),Summary!$C$15))*('Dvd Calendar'!$O$1792&gt;Summary!$C$11)=0,"",'Dvd Calendar'!$O$1792*1000000000+ISNUMBER('Dvd Calendar'!$O$1793)*100000000+('Dvd Calendar'!$O$1797='Field Check'!$C$25)*10000000+(N('Dvd Calendar'!$O$1791)&gt;0)*1000000+19*1000+51))</f>
        <v/>
      </c>
      <c r="BB131" s="41">
        <f>IF(N('Dvd Calendar'!$P$1792)=0,"",IF(('Dvd Calendar'!$P$1792&gt;=MIN(DATE(Summary!$C$12,1,1),Summary!$C$11))*('Dvd Calendar'!$P$1792&lt;=MAX(DATE(Summary!$C$12,12,31),Summary!$C$15))*('Dvd Calendar'!$P$1792&gt;Summary!$C$11)=0,"",'Dvd Calendar'!$P$1792*1000000000+ISNUMBER('Dvd Calendar'!$P$1793)*100000000+('Dvd Calendar'!$P$1797='Field Check'!$C$25)*10000000+(N('Dvd Calendar'!$P$1791)&gt;0)*1000000+19*1000+52))</f>
        <v/>
      </c>
      <c r="BC131" s="41">
        <f>IF(N('Dvd Calendar'!$Q$1792)=0,"",IF(('Dvd Calendar'!$Q$1792&gt;=MIN(DATE(Summary!$C$12,1,1),Summary!$C$11))*('Dvd Calendar'!$Q$1792&lt;=MAX(DATE(Summary!$C$12,12,31),Summary!$C$15))*('Dvd Calendar'!$Q$1792&gt;Summary!$C$11)=0,"",'Dvd Calendar'!$Q$1792*1000000000+ISNUMBER('Dvd Calendar'!$Q$1793)*100000000+('Dvd Calendar'!$Q$1797='Field Check'!$C$25)*10000000+(N('Dvd Calendar'!$Q$1791)&gt;0)*1000000+19*1000+53))</f>
        <v/>
      </c>
      <c r="BD131" s="41">
        <f>IF(N('Dvd Calendar'!$R$1792)=0,"",IF(('Dvd Calendar'!$R$1792&gt;=MIN(DATE(Summary!$C$12,1,1),Summary!$C$11))*('Dvd Calendar'!$R$1792&lt;=MAX(DATE(Summary!$C$12,12,31),Summary!$C$15))*('Dvd Calendar'!$R$1792&gt;Summary!$C$11)=0,"",'Dvd Calendar'!$R$1792*1000000000+ISNUMBER('Dvd Calendar'!$R$1793)*100000000+('Dvd Calendar'!$R$1797='Field Check'!$C$25)*10000000+(N('Dvd Calendar'!$R$1791)&gt;0)*1000000+19*1000+54))</f>
        <v/>
      </c>
      <c r="BE131" s="41">
        <f>IF(N('Dvd Calendar'!$S$1792)=0,"",IF(('Dvd Calendar'!$S$1792&gt;=MIN(DATE(Summary!$C$12,1,1),Summary!$C$11))*('Dvd Calendar'!$S$1792&lt;=MAX(DATE(Summary!$C$12,12,31),Summary!$C$15))*('Dvd Calendar'!$S$1792&gt;Summary!$C$11)=0,"",'Dvd Calendar'!$S$1792*1000000000+ISNUMBER('Dvd Calendar'!$S$1793)*100000000+('Dvd Calendar'!$S$1797='Field Check'!$C$25)*10000000+(N('Dvd Calendar'!$S$1791)&gt;0)*1000000+19*1000+55))</f>
        <v/>
      </c>
      <c r="BF131" s="41">
        <f>IF(N('Dvd Calendar'!$T$1792)=0,"",IF(('Dvd Calendar'!$T$1792&gt;=MIN(DATE(Summary!$C$12,1,1),Summary!$C$11))*('Dvd Calendar'!$T$1792&lt;=MAX(DATE(Summary!$C$12,12,31),Summary!$C$15))*('Dvd Calendar'!$T$1792&gt;Summary!$C$11)=0,"",'Dvd Calendar'!$T$1792*1000000000+ISNUMBER('Dvd Calendar'!$T$1793)*100000000+('Dvd Calendar'!$T$1797='Field Check'!$C$25)*10000000+(N('Dvd Calendar'!$T$1791)&gt;0)*1000000+19*1000+56))</f>
        <v/>
      </c>
      <c r="BG131" s="41">
        <f>IF(N('Dvd Calendar'!$U$1792)=0,"",IF(('Dvd Calendar'!$U$1792&gt;=MIN(DATE(Summary!$C$12,1,1),Summary!$C$11))*('Dvd Calendar'!$U$1792&lt;=MAX(DATE(Summary!$C$12,12,31),Summary!$C$15))*('Dvd Calendar'!$U$1792&gt;Summary!$C$11)=0,"",'Dvd Calendar'!$U$1792*1000000000+ISNUMBER('Dvd Calendar'!$U$1793)*100000000+('Dvd Calendar'!$U$1797='Field Check'!$C$25)*10000000+(N('Dvd Calendar'!$U$1791)&gt;0)*1000000+19*1000+57))</f>
        <v/>
      </c>
      <c r="BH131" s="41">
        <f>IF(N('Dvd Calendar'!$V$1792)=0,"",IF(('Dvd Calendar'!$V$1792&gt;=MIN(DATE(Summary!$C$12,1,1),Summary!$C$11))*('Dvd Calendar'!$V$1792&lt;=MAX(DATE(Summary!$C$12,12,31),Summary!$C$15))*('Dvd Calendar'!$V$1792&gt;Summary!$C$11)=0,"",'Dvd Calendar'!$V$1792*1000000000+ISNUMBER('Dvd Calendar'!$V$1793)*100000000+('Dvd Calendar'!$V$1797='Field Check'!$C$25)*10000000+(N('Dvd Calendar'!$V$1791)&gt;0)*1000000+19*1000+58))</f>
        <v/>
      </c>
      <c r="BI131" s="41">
        <f>IF(N('Dvd Calendar'!$W$1792)=0,"",IF(('Dvd Calendar'!$W$1792&gt;=MIN(DATE(Summary!$C$12,1,1),Summary!$C$11))*('Dvd Calendar'!$W$1792&lt;=MAX(DATE(Summary!$C$12,12,31),Summary!$C$15))*('Dvd Calendar'!$W$1792&gt;Summary!$C$11)=0,"",'Dvd Calendar'!$W$1792*1000000000+ISNUMBER('Dvd Calendar'!$W$1793)*100000000+('Dvd Calendar'!$W$1797='Field Check'!$C$25)*10000000+(N('Dvd Calendar'!$W$1791)&gt;0)*1000000+19*1000+59))</f>
        <v/>
      </c>
      <c r="BJ131" s="41">
        <f>IF(N('Dvd Calendar'!$X$1792)=0,"",IF(('Dvd Calendar'!$X$1792&gt;=MIN(DATE(Summary!$C$12,1,1),Summary!$C$11))*('Dvd Calendar'!$X$1792&lt;=MAX(DATE(Summary!$C$12,12,31),Summary!$C$15))*('Dvd Calendar'!$X$1792&gt;Summary!$C$11)=0,"",'Dvd Calendar'!$X$1792*1000000000+ISNUMBER('Dvd Calendar'!$X$1793)*100000000+('Dvd Calendar'!$X$1797='Field Check'!$C$25)*10000000+(N('Dvd Calendar'!$X$1791)&gt;0)*1000000+19*1000+60))</f>
        <v/>
      </c>
      <c r="BK131" s="41">
        <f>IF(N('Dvd Calendar'!$Y$1792)=0,"",IF(('Dvd Calendar'!$Y$1792&gt;=MIN(DATE(Summary!$C$12,1,1),Summary!$C$11))*('Dvd Calendar'!$Y$1792&lt;=MAX(DATE(Summary!$C$12,12,31),Summary!$C$15))*('Dvd Calendar'!$Y$1792&gt;Summary!$C$11)=0,"",'Dvd Calendar'!$Y$1792*1000000000+ISNUMBER('Dvd Calendar'!$Y$1793)*100000000+('Dvd Calendar'!$Y$1797='Field Check'!$C$25)*10000000+(N('Dvd Calendar'!$Y$1791)&gt;0)*1000000+19*1000+61))</f>
        <v/>
      </c>
      <c r="BL131" s="41">
        <f>IF(N('Dvd Calendar'!$Z$1792)=0,"",IF(('Dvd Calendar'!$Z$1792&gt;=MIN(DATE(Summary!$C$12,1,1),Summary!$C$11))*('Dvd Calendar'!$Z$1792&lt;=MAX(DATE(Summary!$C$12,12,31),Summary!$C$15))*('Dvd Calendar'!$Z$1792&gt;Summary!$C$11)=0,"",'Dvd Calendar'!$Z$1792*1000000000+ISNUMBER('Dvd Calendar'!$Z$1793)*100000000+('Dvd Calendar'!$Z$1797='Field Check'!$C$25)*10000000+(N('Dvd Calendar'!$Z$1791)&gt;0)*1000000+19*1000+62))</f>
        <v/>
      </c>
      <c r="BM131" s="41">
        <f>IF(N('Dvd Calendar'!$AA$1792)=0,"",IF(('Dvd Calendar'!$AA$1792&gt;=MIN(DATE(Summary!$C$12,1,1),Summary!$C$11))*('Dvd Calendar'!$AA$1792&lt;=MAX(DATE(Summary!$C$12,12,31),Summary!$C$15))*('Dvd Calendar'!$AA$1792&gt;Summary!$C$11)=0,"",'Dvd Calendar'!$AA$1792*1000000000+ISNUMBER('Dvd Calendar'!$AA$1793)*100000000+('Dvd Calendar'!$AA$1797='Field Check'!$C$25)*10000000+(N('Dvd Calendar'!$AA$1791)&gt;0)*1000000+19*1000+63))</f>
        <v/>
      </c>
      <c r="BN131" s="41">
        <f>IF(N('Dvd Calendar'!$AB$1792)=0,"",IF(('Dvd Calendar'!$AB$1792&gt;=MIN(DATE(Summary!$C$12,1,1),Summary!$C$11))*('Dvd Calendar'!$AB$1792&lt;=MAX(DATE(Summary!$C$12,12,31),Summary!$C$15))*('Dvd Calendar'!$AB$1792&gt;Summary!$C$11)=0,"",'Dvd Calendar'!$AB$1792*1000000000+ISNUMBER('Dvd Calendar'!$AB$1793)*100000000+('Dvd Calendar'!$AB$1797='Field Check'!$C$25)*10000000+(N('Dvd Calendar'!$AB$1791)&gt;0)*1000000+19*1000+64))</f>
        <v/>
      </c>
      <c r="BO131" s="41">
        <f>IF(N('Dvd Calendar'!$AC$1792)=0,"",IF(('Dvd Calendar'!$AC$1792&gt;=MIN(DATE(Summary!$C$12,1,1),Summary!$C$11))*('Dvd Calendar'!$AC$1792&lt;=MAX(DATE(Summary!$C$12,12,31),Summary!$C$15))*('Dvd Calendar'!$AC$1792&gt;Summary!$C$11)=0,"",'Dvd Calendar'!$AC$1792*1000000000+ISNUMBER('Dvd Calendar'!$AC$1793)*100000000+('Dvd Calendar'!$AC$1797='Field Check'!$C$25)*10000000+(N('Dvd Calendar'!$AC$1791)&gt;0)*1000000+19*1000+65))</f>
        <v/>
      </c>
      <c r="BQ131" s="85">
        <f>IF(C131="","",IF(ISNUMBER('Dvd Calendar'!$E$1786)=FALSE,"",IF((Summary!$C$13="N")*('Dvd Calendar'!$E$1790='Field Check'!$C$25)&gt;0,"",'Dvd Calendar'!$E$1786)))</f>
        <v/>
      </c>
      <c r="BR131" s="85">
        <f>IF(D131="","",IF(ISNUMBER('Dvd Calendar'!$F$1786)=FALSE,"",IF((Summary!$C$13="N")*('Dvd Calendar'!$F$1790='Field Check'!$C$25)&gt;0,"",'Dvd Calendar'!$F$1786)))</f>
        <v/>
      </c>
      <c r="BS131" s="85">
        <f>IF(E131="","",IF(ISNUMBER('Dvd Calendar'!$G$1786)=FALSE,"",IF((Summary!$C$13="N")*('Dvd Calendar'!$G$1790='Field Check'!$C$25)&gt;0,"",'Dvd Calendar'!$G$1786)))</f>
        <v/>
      </c>
      <c r="BT131" s="85">
        <f>IF(F131="","",IF(ISNUMBER('Dvd Calendar'!$H$1786)=FALSE,"",IF((Summary!$C$13="N")*('Dvd Calendar'!$H$1790='Field Check'!$C$25)&gt;0,"",'Dvd Calendar'!$H$1786)))</f>
        <v/>
      </c>
      <c r="BU131" s="85">
        <f>IF(G131="","",IF(ISNUMBER('Dvd Calendar'!$I$1786)=FALSE,"",IF((Summary!$C$13="N")*('Dvd Calendar'!$I$1790='Field Check'!$C$25)&gt;0,"",'Dvd Calendar'!$I$1786)))</f>
        <v/>
      </c>
      <c r="BV131" s="85">
        <f>IF(H131="","",IF(ISNUMBER('Dvd Calendar'!$J$1786)=FALSE,"",IF((Summary!$C$13="N")*('Dvd Calendar'!$J$1790='Field Check'!$C$25)&gt;0,"",'Dvd Calendar'!$J$1786)))</f>
        <v/>
      </c>
      <c r="BW131" s="85">
        <f>IF(I131="","",IF(ISNUMBER('Dvd Calendar'!$K$1786)=FALSE,"",IF((Summary!$C$13="N")*('Dvd Calendar'!$K$1790='Field Check'!$C$25)&gt;0,"",'Dvd Calendar'!$K$1786)))</f>
        <v/>
      </c>
      <c r="BX131" s="85">
        <f>IF(J131="","",IF(ISNUMBER('Dvd Calendar'!$L$1786)=FALSE,"",IF((Summary!$C$13="N")*('Dvd Calendar'!$L$1790='Field Check'!$C$25)&gt;0,"",'Dvd Calendar'!$L$1786)))</f>
        <v/>
      </c>
      <c r="BY131" s="85">
        <f>IF(K131="","",IF(ISNUMBER('Dvd Calendar'!$M$1786)=FALSE,"",IF((Summary!$C$13="N")*('Dvd Calendar'!$M$1790='Field Check'!$C$25)&gt;0,"",'Dvd Calendar'!$M$1786)))</f>
        <v/>
      </c>
      <c r="BZ131" s="85">
        <f>IF(L131="","",IF(ISNUMBER('Dvd Calendar'!$N$1786)=FALSE,"",IF((Summary!$C$13="N")*('Dvd Calendar'!$N$1790='Field Check'!$C$25)&gt;0,"",'Dvd Calendar'!$N$1786)))</f>
        <v/>
      </c>
      <c r="CA131" s="85">
        <f>IF(M131="","",IF(ISNUMBER('Dvd Calendar'!$O$1786)=FALSE,"",IF((Summary!$C$13="N")*('Dvd Calendar'!$O$1790='Field Check'!$C$25)&gt;0,"",'Dvd Calendar'!$O$1786)))</f>
        <v/>
      </c>
      <c r="CB131" s="85">
        <f>IF(N131="","",IF(ISNUMBER('Dvd Calendar'!$P$1786)=FALSE,"",IF((Summary!$C$13="N")*('Dvd Calendar'!$P$1790='Field Check'!$C$25)&gt;0,"",'Dvd Calendar'!$P$1786)))</f>
        <v/>
      </c>
      <c r="CC131" s="85">
        <f>IF(O131="","",IF(ISNUMBER('Dvd Calendar'!$Q$1786)=FALSE,"",IF((Summary!$C$13="N")*('Dvd Calendar'!$Q$1790='Field Check'!$C$25)&gt;0,"",'Dvd Calendar'!$Q$1786)))</f>
        <v/>
      </c>
      <c r="CD131" s="85">
        <f>IF(P131="","",IF(ISNUMBER('Dvd Calendar'!$R$1786)=FALSE,"",IF((Summary!$C$13="N")*('Dvd Calendar'!$R$1790='Field Check'!$C$25)&gt;0,"",'Dvd Calendar'!$R$1786)))</f>
        <v/>
      </c>
      <c r="CE131" s="85">
        <f>IF(Q131="","",IF(ISNUMBER('Dvd Calendar'!$S$1786)=FALSE,"",IF((Summary!$C$13="N")*('Dvd Calendar'!$S$1790='Field Check'!$C$25)&gt;0,"",'Dvd Calendar'!$S$1786)))</f>
        <v/>
      </c>
      <c r="CF131" s="85">
        <f>IF(R131="","",IF(ISNUMBER('Dvd Calendar'!$T$1786)=FALSE,"",IF((Summary!$C$13="N")*('Dvd Calendar'!$T$1790='Field Check'!$C$25)&gt;0,"",'Dvd Calendar'!$T$1786)))</f>
        <v/>
      </c>
      <c r="CG131" s="85">
        <f>IF(S131="","",IF(ISNUMBER('Dvd Calendar'!$U$1786)=FALSE,"",IF((Summary!$C$13="N")*('Dvd Calendar'!$U$1790='Field Check'!$C$25)&gt;0,"",'Dvd Calendar'!$U$1786)))</f>
        <v/>
      </c>
      <c r="CH131" s="85">
        <f>IF(T131="","",IF(ISNUMBER('Dvd Calendar'!$V$1786)=FALSE,"",IF((Summary!$C$13="N")*('Dvd Calendar'!$V$1790='Field Check'!$C$25)&gt;0,"",'Dvd Calendar'!$V$1786)))</f>
        <v/>
      </c>
      <c r="CI131" s="85">
        <f>IF(U131="","",IF(ISNUMBER('Dvd Calendar'!$W$1786)=FALSE,"",IF((Summary!$C$13="N")*('Dvd Calendar'!$W$1790='Field Check'!$C$25)&gt;0,"",'Dvd Calendar'!$W$1786)))</f>
        <v/>
      </c>
      <c r="CJ131" s="85">
        <f>IF(V131="","",IF(ISNUMBER('Dvd Calendar'!$X$1786)=FALSE,"",IF((Summary!$C$13="N")*('Dvd Calendar'!$X$1790='Field Check'!$C$25)&gt;0,"",'Dvd Calendar'!$X$1786)))</f>
        <v/>
      </c>
      <c r="CK131" s="85">
        <f>IF(W131="","",IF(ISNUMBER('Dvd Calendar'!$Y$1786)=FALSE,"",IF((Summary!$C$13="N")*('Dvd Calendar'!$Y$1790='Field Check'!$C$25)&gt;0,"",'Dvd Calendar'!$Y$1786)))</f>
        <v/>
      </c>
      <c r="CL131" s="85">
        <f>IF(X131="","",IF(ISNUMBER('Dvd Calendar'!$Z$1786)=FALSE,"",IF((Summary!$C$13="N")*('Dvd Calendar'!$Z$1790='Field Check'!$C$25)&gt;0,"",'Dvd Calendar'!$Z$1786)))</f>
        <v/>
      </c>
      <c r="CM131" s="85">
        <f>IF(Y131="","",IF(ISNUMBER('Dvd Calendar'!$AA$1786)=FALSE,"",IF((Summary!$C$13="N")*('Dvd Calendar'!$AA$1790='Field Check'!$C$25)&gt;0,"",'Dvd Calendar'!$AA$1786)))</f>
        <v/>
      </c>
      <c r="CN131" s="85">
        <f>IF(Z131="","",IF(ISNUMBER('Dvd Calendar'!$AB$1786)=FALSE,"",IF((Summary!$C$13="N")*('Dvd Calendar'!$AB$1790='Field Check'!$C$25)&gt;0,"",'Dvd Calendar'!$AB$1786)))</f>
        <v/>
      </c>
      <c r="CO131" s="85">
        <f>IF(AA131="","",IF(ISNUMBER('Dvd Calendar'!$AC$1786)=FALSE,"",IF((Summary!$C$13="N")*('Dvd Calendar'!$AC$1790='Field Check'!$C$25)&gt;0,"",'Dvd Calendar'!$AC$1786)))</f>
        <v/>
      </c>
      <c r="CP131" s="85">
        <f>IF(AB131="","",IF(ISNUMBER('Dvd Calendar'!$AD$1786)=FALSE,"",IF((Summary!$C$13="N")*('Dvd Calendar'!$AD$1790='Field Check'!$C$25)&gt;0,"",'Dvd Calendar'!$AD$1786)))</f>
        <v/>
      </c>
      <c r="CQ131" s="85">
        <f>IF(AC131="","",IF(ISNUMBER('Dvd Calendar'!$AE$1786)=FALSE,"",IF((Summary!$C$13="N")*('Dvd Calendar'!$AE$1790='Field Check'!$C$25)&gt;0,"",'Dvd Calendar'!$AE$1786)))</f>
        <v/>
      </c>
      <c r="CR131" s="85">
        <f>IF(AD131="","",IF(ISNUMBER('Dvd Calendar'!$AF$1786)=FALSE,"",IF((Summary!$C$13="N")*('Dvd Calendar'!$AF$1790='Field Check'!$C$25)&gt;0,"",'Dvd Calendar'!$AF$1786)))</f>
        <v/>
      </c>
      <c r="CS131" s="85">
        <f>IF(AE131="","",IF(ISNUMBER('Dvd Calendar'!$AG$1786)=FALSE,"",IF((Summary!$C$13="N")*('Dvd Calendar'!$AG$1790='Field Check'!$C$25)&gt;0,"",'Dvd Calendar'!$AG$1786)))</f>
        <v/>
      </c>
      <c r="CT131" s="85">
        <f>IF(AF131="","",IF(ISNUMBER('Dvd Calendar'!$AH$1786)=FALSE,"",IF((Summary!$C$13="N")*('Dvd Calendar'!$AH$1790='Field Check'!$C$25)&gt;0,"",'Dvd Calendar'!$AH$1786)))</f>
        <v/>
      </c>
      <c r="CU131" s="85">
        <f>IF(AG131="","",IF(ISNUMBER('Dvd Calendar'!$AI$1786)=FALSE,"",IF((Summary!$C$13="N")*('Dvd Calendar'!$AI$1790='Field Check'!$C$25)&gt;0,"",'Dvd Calendar'!$AI$1786)))</f>
        <v/>
      </c>
      <c r="CV131" s="85">
        <f>IF(AH131="","",IF(ISNUMBER('Dvd Calendar'!$AJ$1786)=FALSE,"",IF((Summary!$C$13="N")*('Dvd Calendar'!$AJ$1790='Field Check'!$C$25)&gt;0,"",'Dvd Calendar'!$AJ$1786)))</f>
        <v/>
      </c>
      <c r="CW131" s="85">
        <f>IF(AI131="","",IF(ISNUMBER('Dvd Calendar'!$AK$1786)=FALSE,"",IF((Summary!$C$13="N")*('Dvd Calendar'!$AK$1790='Field Check'!$C$25)&gt;0,"",'Dvd Calendar'!$AK$1786)))</f>
        <v/>
      </c>
      <c r="CX131" s="85">
        <f>IF(AJ131="","",IF(ISNUMBER('Dvd Calendar'!$AL$1786)=FALSE,"",IF((Summary!$C$13="N")*('Dvd Calendar'!$AL$1790='Field Check'!$C$25)&gt;0,"",'Dvd Calendar'!$AL$1786)))</f>
        <v/>
      </c>
      <c r="CY131" s="85">
        <f>IF(AK131="","",IF(ISNUMBER('Dvd Calendar'!$AM$1786)=FALSE,"",IF((Summary!$C$13="N")*('Dvd Calendar'!$AM$1790='Field Check'!$C$25)&gt;0,"",'Dvd Calendar'!$AM$1786)))</f>
        <v/>
      </c>
      <c r="CZ131" s="85">
        <f>IF(AL131="","",IF(ISNUMBER('Dvd Calendar'!$AN$1786)=FALSE,"",IF((Summary!$C$13="N")*('Dvd Calendar'!$AN$1790='Field Check'!$C$25)&gt;0,"",'Dvd Calendar'!$AN$1786)))</f>
        <v/>
      </c>
      <c r="DA131" s="85">
        <f>IF(AM131="","",IF(ISNUMBER('Dvd Calendar'!$AO$1786)=FALSE,"",IF((Summary!$C$13="N")*('Dvd Calendar'!$AO$1790='Field Check'!$C$25)&gt;0,"",'Dvd Calendar'!$AO$1786)))</f>
        <v/>
      </c>
      <c r="DB131" s="85">
        <f>IF(AN131="","",IF(ISNUMBER('Dvd Calendar'!$AP$1786)=FALSE,"",IF((Summary!$C$13="N")*('Dvd Calendar'!$AP$1790='Field Check'!$C$25)&gt;0,"",'Dvd Calendar'!$AP$1786)))</f>
        <v/>
      </c>
      <c r="DC131" s="85">
        <f>IF(AO131="","",IF(ISNUMBER('Dvd Calendar'!$AQ$1786)=FALSE,"",IF((Summary!$C$13="N")*('Dvd Calendar'!$AQ$1790='Field Check'!$C$25)&gt;0,"",'Dvd Calendar'!$AQ$1786)))</f>
        <v/>
      </c>
      <c r="DD131" s="85">
        <f>IF(AP131="","",IF(ISNUMBER('Dvd Calendar'!$AR$1786)=FALSE,"",IF((Summary!$C$13="N")*('Dvd Calendar'!$AR$1790='Field Check'!$C$25)&gt;0,"",'Dvd Calendar'!$AR$1786)))</f>
        <v/>
      </c>
      <c r="DE131" s="85">
        <f>IF(AQ131="","",IF(ISNUMBER('Dvd Calendar'!$E$1793)=FALSE,"",IF((Summary!$C$13="N")*('Dvd Calendar'!$E$1797='Field Check'!$C$25)&gt;0,"",'Dvd Calendar'!$E$1793)))</f>
        <v/>
      </c>
      <c r="DF131" s="85">
        <f>IF(AR131="","",IF(ISNUMBER('Dvd Calendar'!$F$1793)=FALSE,"",IF((Summary!$C$13="N")*('Dvd Calendar'!$F$1797='Field Check'!$C$25)&gt;0,"",'Dvd Calendar'!$F$1793)))</f>
        <v/>
      </c>
      <c r="DG131" s="85">
        <f>IF(AS131="","",IF(ISNUMBER('Dvd Calendar'!$G$1793)=FALSE,"",IF((Summary!$C$13="N")*('Dvd Calendar'!$G$1797='Field Check'!$C$25)&gt;0,"",'Dvd Calendar'!$G$1793)))</f>
        <v/>
      </c>
      <c r="DH131" s="85">
        <f>IF(AT131="","",IF(ISNUMBER('Dvd Calendar'!$H$1793)=FALSE,"",IF((Summary!$C$13="N")*('Dvd Calendar'!$H$1797='Field Check'!$C$25)&gt;0,"",'Dvd Calendar'!$H$1793)))</f>
        <v/>
      </c>
      <c r="DI131" s="85">
        <f>IF(AU131="","",IF(ISNUMBER('Dvd Calendar'!$I$1793)=FALSE,"",IF((Summary!$C$13="N")*('Dvd Calendar'!$I$1797='Field Check'!$C$25)&gt;0,"",'Dvd Calendar'!$I$1793)))</f>
        <v/>
      </c>
      <c r="DJ131" s="85">
        <f>IF(AV131="","",IF(ISNUMBER('Dvd Calendar'!$J$1793)=FALSE,"",IF((Summary!$C$13="N")*('Dvd Calendar'!$J$1797='Field Check'!$C$25)&gt;0,"",'Dvd Calendar'!$J$1793)))</f>
        <v/>
      </c>
      <c r="DK131" s="85">
        <f>IF(AW131="","",IF(ISNUMBER('Dvd Calendar'!$K$1793)=FALSE,"",IF((Summary!$C$13="N")*('Dvd Calendar'!$K$1797='Field Check'!$C$25)&gt;0,"",'Dvd Calendar'!$K$1793)))</f>
        <v/>
      </c>
      <c r="DL131" s="85">
        <f>IF(AX131="","",IF(ISNUMBER('Dvd Calendar'!$L$1793)=FALSE,"",IF((Summary!$C$13="N")*('Dvd Calendar'!$L$1797='Field Check'!$C$25)&gt;0,"",'Dvd Calendar'!$L$1793)))</f>
        <v/>
      </c>
      <c r="DM131" s="85">
        <f>IF(AY131="","",IF(ISNUMBER('Dvd Calendar'!$M$1793)=FALSE,"",IF((Summary!$C$13="N")*('Dvd Calendar'!$M$1797='Field Check'!$C$25)&gt;0,"",'Dvd Calendar'!$M$1793)))</f>
        <v/>
      </c>
      <c r="DN131" s="85">
        <f>IF(AZ131="","",IF(ISNUMBER('Dvd Calendar'!$N$1793)=FALSE,"",IF((Summary!$C$13="N")*('Dvd Calendar'!$N$1797='Field Check'!$C$25)&gt;0,"",'Dvd Calendar'!$N$1793)))</f>
        <v/>
      </c>
      <c r="DO131" s="85">
        <f>IF(BA131="","",IF(ISNUMBER('Dvd Calendar'!$O$1793)=FALSE,"",IF((Summary!$C$13="N")*('Dvd Calendar'!$O$1797='Field Check'!$C$25)&gt;0,"",'Dvd Calendar'!$O$1793)))</f>
        <v/>
      </c>
      <c r="DP131" s="85">
        <f>IF(BB131="","",IF(ISNUMBER('Dvd Calendar'!$P$1793)=FALSE,"",IF((Summary!$C$13="N")*('Dvd Calendar'!$P$1797='Field Check'!$C$25)&gt;0,"",'Dvd Calendar'!$P$1793)))</f>
        <v/>
      </c>
      <c r="DQ131" s="85">
        <f>IF(BC131="","",IF(ISNUMBER('Dvd Calendar'!$Q$1793)=FALSE,"",IF((Summary!$C$13="N")*('Dvd Calendar'!$Q$1797='Field Check'!$C$25)&gt;0,"",'Dvd Calendar'!$Q$1793)))</f>
        <v/>
      </c>
      <c r="DR131" s="85">
        <f>IF(BD131="","",IF(ISNUMBER('Dvd Calendar'!$R$1793)=FALSE,"",IF((Summary!$C$13="N")*('Dvd Calendar'!$R$1797='Field Check'!$C$25)&gt;0,"",'Dvd Calendar'!$R$1793)))</f>
        <v/>
      </c>
      <c r="DS131" s="85">
        <f>IF(BE131="","",IF(ISNUMBER('Dvd Calendar'!$S$1793)=FALSE,"",IF((Summary!$C$13="N")*('Dvd Calendar'!$S$1797='Field Check'!$C$25)&gt;0,"",'Dvd Calendar'!$S$1793)))</f>
        <v/>
      </c>
      <c r="DT131" s="85">
        <f>IF(BF131="","",IF(ISNUMBER('Dvd Calendar'!$T$1793)=FALSE,"",IF((Summary!$C$13="N")*('Dvd Calendar'!$T$1797='Field Check'!$C$25)&gt;0,"",'Dvd Calendar'!$T$1793)))</f>
        <v/>
      </c>
      <c r="DU131" s="85">
        <f>IF(BG131="","",IF(ISNUMBER('Dvd Calendar'!$U$1793)=FALSE,"",IF((Summary!$C$13="N")*('Dvd Calendar'!$U$1797='Field Check'!$C$25)&gt;0,"",'Dvd Calendar'!$U$1793)))</f>
        <v/>
      </c>
      <c r="DV131" s="85">
        <f>IF(BH131="","",IF(ISNUMBER('Dvd Calendar'!$V$1793)=FALSE,"",IF((Summary!$C$13="N")*('Dvd Calendar'!$V$1797='Field Check'!$C$25)&gt;0,"",'Dvd Calendar'!$V$1793)))</f>
        <v/>
      </c>
      <c r="DW131" s="85">
        <f>IF(BI131="","",IF(ISNUMBER('Dvd Calendar'!$W$1793)=FALSE,"",IF((Summary!$C$13="N")*('Dvd Calendar'!$W$1797='Field Check'!$C$25)&gt;0,"",'Dvd Calendar'!$W$1793)))</f>
        <v/>
      </c>
      <c r="DX131" s="85">
        <f>IF(BJ131="","",IF(ISNUMBER('Dvd Calendar'!$X$1793)=FALSE,"",IF((Summary!$C$13="N")*('Dvd Calendar'!$X$1797='Field Check'!$C$25)&gt;0,"",'Dvd Calendar'!$X$1793)))</f>
        <v/>
      </c>
      <c r="DY131" s="85">
        <f>IF(BK131="","",IF(ISNUMBER('Dvd Calendar'!$Y$1793)=FALSE,"",IF((Summary!$C$13="N")*('Dvd Calendar'!$Y$1797='Field Check'!$C$25)&gt;0,"",'Dvd Calendar'!$Y$1793)))</f>
        <v/>
      </c>
      <c r="DZ131" s="85">
        <f>IF(BL131="","",IF(ISNUMBER('Dvd Calendar'!$Z$1793)=FALSE,"",IF((Summary!$C$13="N")*('Dvd Calendar'!$Z$1797='Field Check'!$C$25)&gt;0,"",'Dvd Calendar'!$Z$1793)))</f>
        <v/>
      </c>
      <c r="EA131" s="85">
        <f>IF(BM131="","",IF(ISNUMBER('Dvd Calendar'!$AA$1793)=FALSE,"",IF((Summary!$C$13="N")*('Dvd Calendar'!$AA$1797='Field Check'!$C$25)&gt;0,"",'Dvd Calendar'!$AA$1793)))</f>
        <v/>
      </c>
      <c r="EB131" s="85">
        <f>IF(BN131="","",IF(ISNUMBER('Dvd Calendar'!$AB$1793)=FALSE,"",IF((Summary!$C$13="N")*('Dvd Calendar'!$AB$1797='Field Check'!$C$25)&gt;0,"",'Dvd Calendar'!$AB$1793)))</f>
        <v/>
      </c>
      <c r="EC131" s="85">
        <f>IF(BO131="","",IF(ISNUMBER('Dvd Calendar'!$AC$1793)=FALSE,"",IF((Summary!$C$13="N")*('Dvd Calendar'!$AC$1797='Field Check'!$C$25)&gt;0,"",'Dvd Calendar'!$AC$1793)))</f>
        <v/>
      </c>
      <c r="EE131" s="85">
        <f>IF(BQ131="","",IFERROR(BQ131*HSTECH!$B$25*HSTECH!$G$25/HSTECH!$B$3,""))</f>
        <v/>
      </c>
      <c r="EF131" s="85">
        <f>IF(BR131="","",IFERROR(BR131*HSTECH!$B$25*HSTECH!$G$25/HSTECH!$B$3,""))</f>
        <v/>
      </c>
      <c r="EG131" s="85">
        <f>IF(BS131="","",IFERROR(BS131*HSTECH!$B$25*HSTECH!$G$25/HSTECH!$B$3,""))</f>
        <v/>
      </c>
      <c r="EH131" s="85">
        <f>IF(BT131="","",IFERROR(BT131*HSTECH!$B$25*HSTECH!$G$25/HSTECH!$B$3,""))</f>
        <v/>
      </c>
      <c r="EI131" s="85">
        <f>IF(BU131="","",IFERROR(BU131*HSTECH!$B$25*HSTECH!$G$25/HSTECH!$B$3,""))</f>
        <v/>
      </c>
      <c r="EJ131" s="85">
        <f>IF(BV131="","",IFERROR(BV131*HSTECH!$B$25*HSTECH!$G$25/HSTECH!$B$3,""))</f>
        <v/>
      </c>
      <c r="EK131" s="85">
        <f>IF(BW131="","",IFERROR(BW131*HSTECH!$B$25*HSTECH!$G$25/HSTECH!$B$3,""))</f>
        <v/>
      </c>
      <c r="EL131" s="85">
        <f>IF(BX131="","",IFERROR(BX131*HSTECH!$B$25*HSTECH!$G$25/HSTECH!$B$3,""))</f>
        <v/>
      </c>
      <c r="EM131" s="85">
        <f>IF(BY131="","",IFERROR(BY131*HSTECH!$B$25*HSTECH!$G$25/HSTECH!$B$3,""))</f>
        <v/>
      </c>
      <c r="EN131" s="85">
        <f>IF(BZ131="","",IFERROR(BZ131*HSTECH!$B$25*HSTECH!$G$25/HSTECH!$B$3,""))</f>
        <v/>
      </c>
      <c r="EO131" s="85">
        <f>IF(CA131="","",IFERROR(CA131*HSTECH!$B$25*HSTECH!$G$25/HSTECH!$B$3,""))</f>
        <v/>
      </c>
      <c r="EP131" s="85">
        <f>IF(CB131="","",IFERROR(CB131*HSTECH!$B$25*HSTECH!$G$25/HSTECH!$B$3,""))</f>
        <v/>
      </c>
      <c r="EQ131" s="85">
        <f>IF(CC131="","",IFERROR(CC131*HSTECH!$B$25*HSTECH!$G$25/HSTECH!$B$3,""))</f>
        <v/>
      </c>
      <c r="ER131" s="85">
        <f>IF(CD131="","",IFERROR(CD131*HSTECH!$B$25*HSTECH!$G$25/HSTECH!$B$3,""))</f>
        <v/>
      </c>
      <c r="ES131" s="85">
        <f>IF(CE131="","",IFERROR(CE131*HSTECH!$B$25*HSTECH!$G$25/HSTECH!$B$3,""))</f>
        <v/>
      </c>
      <c r="ET131" s="85">
        <f>IF(CF131="","",IFERROR(CF131*HSTECH!$B$25*HSTECH!$G$25/HSTECH!$B$3,""))</f>
        <v/>
      </c>
      <c r="EU131" s="85">
        <f>IF(CG131="","",IFERROR(CG131*HSTECH!$B$25*HSTECH!$G$25/HSTECH!$B$3,""))</f>
        <v/>
      </c>
      <c r="EV131" s="85">
        <f>IF(CH131="","",IFERROR(CH131*HSTECH!$B$25*HSTECH!$G$25/HSTECH!$B$3,""))</f>
        <v/>
      </c>
      <c r="EW131" s="85">
        <f>IF(CI131="","",IFERROR(CI131*HSTECH!$B$25*HSTECH!$G$25/HSTECH!$B$3,""))</f>
        <v/>
      </c>
      <c r="EX131" s="85">
        <f>IF(CJ131="","",IFERROR(CJ131*HSTECH!$B$25*HSTECH!$G$25/HSTECH!$B$3,""))</f>
        <v/>
      </c>
      <c r="EY131" s="85">
        <f>IF(CK131="","",IFERROR(CK131*HSTECH!$B$25*HSTECH!$G$25/HSTECH!$B$3,""))</f>
        <v/>
      </c>
      <c r="EZ131" s="85">
        <f>IF(CL131="","",IFERROR(CL131*HSTECH!$B$25*HSTECH!$G$25/HSTECH!$B$3,""))</f>
        <v/>
      </c>
      <c r="FA131" s="85">
        <f>IF(CM131="","",IFERROR(CM131*HSTECH!$B$25*HSTECH!$G$25/HSTECH!$B$3,""))</f>
        <v/>
      </c>
      <c r="FB131" s="85">
        <f>IF(CN131="","",IFERROR(CN131*HSTECH!$B$25*HSTECH!$G$25/HSTECH!$B$3,""))</f>
        <v/>
      </c>
      <c r="FC131" s="85">
        <f>IF(CO131="","",IFERROR(CO131*HSTECH!$B$25*HSTECH!$G$25/HSTECH!$B$3,""))</f>
        <v/>
      </c>
      <c r="FD131" s="85">
        <f>IF(CP131="","",IFERROR(CP131*HSTECH!$B$25*HSTECH!$G$25/HSTECH!$B$3,""))</f>
        <v/>
      </c>
      <c r="FE131" s="85">
        <f>IF(CQ131="","",IFERROR(CQ131*HSTECH!$B$25*HSTECH!$G$25/HSTECH!$B$3,""))</f>
        <v/>
      </c>
      <c r="FF131" s="85">
        <f>IF(CR131="","",IFERROR(CR131*HSTECH!$B$25*HSTECH!$G$25/HSTECH!$B$3,""))</f>
        <v/>
      </c>
      <c r="FG131" s="85">
        <f>IF(CS131="","",IFERROR(CS131*HSTECH!$B$25*HSTECH!$G$25/HSTECH!$B$3,""))</f>
        <v/>
      </c>
      <c r="FH131" s="85">
        <f>IF(CT131="","",IFERROR(CT131*HSTECH!$B$25*HSTECH!$G$25/HSTECH!$B$3,""))</f>
        <v/>
      </c>
      <c r="FI131" s="85">
        <f>IF(CU131="","",IFERROR(CU131*HSTECH!$B$25*HSTECH!$G$25/HSTECH!$B$3,""))</f>
        <v/>
      </c>
      <c r="FJ131" s="85">
        <f>IF(CV131="","",IFERROR(CV131*HSTECH!$B$25*HSTECH!$G$25/HSTECH!$B$3,""))</f>
        <v/>
      </c>
      <c r="FK131" s="85">
        <f>IF(CW131="","",IFERROR(CW131*HSTECH!$B$25*HSTECH!$G$25/HSTECH!$B$3,""))</f>
        <v/>
      </c>
      <c r="FL131" s="85">
        <f>IF(CX131="","",IFERROR(CX131*HSTECH!$B$25*HSTECH!$G$25/HSTECH!$B$3,""))</f>
        <v/>
      </c>
      <c r="FM131" s="85">
        <f>IF(CY131="","",IFERROR(CY131*HSTECH!$B$25*HSTECH!$G$25/HSTECH!$B$3,""))</f>
        <v/>
      </c>
      <c r="FN131" s="85">
        <f>IF(CZ131="","",IFERROR(CZ131*HSTECH!$B$25*HSTECH!$G$25/HSTECH!$B$3,""))</f>
        <v/>
      </c>
      <c r="FO131" s="85">
        <f>IF(DA131="","",IFERROR(DA131*HSTECH!$B$25*HSTECH!$G$25/HSTECH!$B$3,""))</f>
        <v/>
      </c>
      <c r="FP131" s="85">
        <f>IF(DB131="","",IFERROR(DB131*HSTECH!$B$25*HSTECH!$G$25/HSTECH!$B$3,""))</f>
        <v/>
      </c>
      <c r="FQ131" s="85">
        <f>IF(DC131="","",IFERROR(DC131*HSTECH!$B$25*HSTECH!$G$25/HSTECH!$B$3,""))</f>
        <v/>
      </c>
      <c r="FR131" s="85">
        <f>IF(DD131="","",IFERROR(DD131*HSTECH!$B$25*HSTECH!$G$25/HSTECH!$B$3,""))</f>
        <v/>
      </c>
      <c r="FS131" s="85">
        <f>IF(DE131="","",IFERROR(DE131*HSTECH!$B$25*HSTECH!$G$25/HSTECH!$B$3,""))</f>
        <v/>
      </c>
      <c r="FT131" s="85">
        <f>IF(DF131="","",IFERROR(DF131*HSTECH!$B$25*HSTECH!$G$25/HSTECH!$B$3,""))</f>
        <v/>
      </c>
      <c r="FU131" s="85">
        <f>IF(DG131="","",IFERROR(DG131*HSTECH!$B$25*HSTECH!$G$25/HSTECH!$B$3,""))</f>
        <v/>
      </c>
      <c r="FV131" s="85">
        <f>IF(DH131="","",IFERROR(DH131*HSTECH!$B$25*HSTECH!$G$25/HSTECH!$B$3,""))</f>
        <v/>
      </c>
      <c r="FW131" s="85">
        <f>IF(DI131="","",IFERROR(DI131*HSTECH!$B$25*HSTECH!$G$25/HSTECH!$B$3,""))</f>
        <v/>
      </c>
      <c r="FX131" s="85">
        <f>IF(DJ131="","",IFERROR(DJ131*HSTECH!$B$25*HSTECH!$G$25/HSTECH!$B$3,""))</f>
        <v/>
      </c>
      <c r="FY131" s="85">
        <f>IF(DK131="","",IFERROR(DK131*HSTECH!$B$25*HSTECH!$G$25/HSTECH!$B$3,""))</f>
        <v/>
      </c>
      <c r="FZ131" s="85">
        <f>IF(DL131="","",IFERROR(DL131*HSTECH!$B$25*HSTECH!$G$25/HSTECH!$B$3,""))</f>
        <v/>
      </c>
      <c r="GA131" s="85">
        <f>IF(DM131="","",IFERROR(DM131*HSTECH!$B$25*HSTECH!$G$25/HSTECH!$B$3,""))</f>
        <v/>
      </c>
      <c r="GB131" s="85">
        <f>IF(DN131="","",IFERROR(DN131*HSTECH!$B$25*HSTECH!$G$25/HSTECH!$B$3,""))</f>
        <v/>
      </c>
      <c r="GC131" s="85">
        <f>IF(DO131="","",IFERROR(DO131*HSTECH!$B$25*HSTECH!$G$25/HSTECH!$B$3,""))</f>
        <v/>
      </c>
      <c r="GD131" s="85">
        <f>IF(DP131="","",IFERROR(DP131*HSTECH!$B$25*HSTECH!$G$25/HSTECH!$B$3,""))</f>
        <v/>
      </c>
      <c r="GE131" s="85">
        <f>IF(DQ131="","",IFERROR(DQ131*HSTECH!$B$25*HSTECH!$G$25/HSTECH!$B$3,""))</f>
        <v/>
      </c>
      <c r="GF131" s="85">
        <f>IF(DR131="","",IFERROR(DR131*HSTECH!$B$25*HSTECH!$G$25/HSTECH!$B$3,""))</f>
        <v/>
      </c>
      <c r="GG131" s="85">
        <f>IF(DS131="","",IFERROR(DS131*HSTECH!$B$25*HSTECH!$G$25/HSTECH!$B$3,""))</f>
        <v/>
      </c>
      <c r="GH131" s="85">
        <f>IF(DT131="","",IFERROR(DT131*HSTECH!$B$25*HSTECH!$G$25/HSTECH!$B$3,""))</f>
        <v/>
      </c>
      <c r="GI131" s="85">
        <f>IF(DU131="","",IFERROR(DU131*HSTECH!$B$25*HSTECH!$G$25/HSTECH!$B$3,""))</f>
        <v/>
      </c>
      <c r="GJ131" s="85">
        <f>IF(DV131="","",IFERROR(DV131*HSTECH!$B$25*HSTECH!$G$25/HSTECH!$B$3,""))</f>
        <v/>
      </c>
      <c r="GK131" s="85">
        <f>IF(DW131="","",IFERROR(DW131*HSTECH!$B$25*HSTECH!$G$25/HSTECH!$B$3,""))</f>
        <v/>
      </c>
      <c r="GL131" s="85">
        <f>IF(DX131="","",IFERROR(DX131*HSTECH!$B$25*HSTECH!$G$25/HSTECH!$B$3,""))</f>
        <v/>
      </c>
      <c r="GM131" s="85">
        <f>IF(DY131="","",IFERROR(DY131*HSTECH!$B$25*HSTECH!$G$25/HSTECH!$B$3,""))</f>
        <v/>
      </c>
      <c r="GN131" s="85">
        <f>IF(DZ131="","",IFERROR(DZ131*HSTECH!$B$25*HSTECH!$G$25/HSTECH!$B$3,""))</f>
        <v/>
      </c>
      <c r="GO131" s="85">
        <f>IF(EA131="","",IFERROR(EA131*HSTECH!$B$25*HSTECH!$G$25/HSTECH!$B$3,""))</f>
        <v/>
      </c>
      <c r="GP131" s="85">
        <f>IF(EB131="","",IFERROR(EB131*HSTECH!$B$25*HSTECH!$G$25/HSTECH!$B$3,""))</f>
        <v/>
      </c>
      <c r="GQ131" s="85">
        <f>IF(EC131="","",IFERROR(EC131*HSTECH!$B$25*HSTECH!$G$25/HSTECH!$B$3,""))</f>
        <v/>
      </c>
    </row>
    <row r="132">
      <c r="B132" s="2">
        <f>IF(HSTECH!$C$26="","",HSTECH!$C$26)</f>
        <v/>
      </c>
      <c r="C132" s="41">
        <f>IF(N('Dvd Calendar'!$E$1800)=0,"",IF(('Dvd Calendar'!$E$1800&gt;=MIN(DATE(Summary!$C$12,1,1),Summary!$C$11))*('Dvd Calendar'!$E$1800&lt;=MAX(DATE(Summary!$C$12,12,31),Summary!$C$15))*('Dvd Calendar'!$E$1800&lt;=Summary!$C$11)=0,"",'Dvd Calendar'!$E$1800*1000000000+ISNUMBER('Dvd Calendar'!$E$1801)*100000000+('Dvd Calendar'!$E$1805='Field Check'!$C$25)*10000000+(N('Dvd Calendar'!$E$1799)&gt;0)*1000000+20*1000+1))</f>
        <v/>
      </c>
      <c r="D132" s="41">
        <f>IF(N('Dvd Calendar'!$F$1800)=0,"",IF(('Dvd Calendar'!$F$1800&gt;=MIN(DATE(Summary!$C$12,1,1),Summary!$C$11))*('Dvd Calendar'!$F$1800&lt;=MAX(DATE(Summary!$C$12,12,31),Summary!$C$15))*('Dvd Calendar'!$F$1800&lt;=Summary!$C$11)=0,"",'Dvd Calendar'!$F$1800*1000000000+ISNUMBER('Dvd Calendar'!$F$1801)*100000000+('Dvd Calendar'!$F$1805='Field Check'!$C$25)*10000000+(N('Dvd Calendar'!$F$1799)&gt;0)*1000000+20*1000+2))</f>
        <v/>
      </c>
      <c r="E132" s="41">
        <f>IF(N('Dvd Calendar'!$G$1800)=0,"",IF(('Dvd Calendar'!$G$1800&gt;=MIN(DATE(Summary!$C$12,1,1),Summary!$C$11))*('Dvd Calendar'!$G$1800&lt;=MAX(DATE(Summary!$C$12,12,31),Summary!$C$15))*('Dvd Calendar'!$G$1800&lt;=Summary!$C$11)=0,"",'Dvd Calendar'!$G$1800*1000000000+ISNUMBER('Dvd Calendar'!$G$1801)*100000000+('Dvd Calendar'!$G$1805='Field Check'!$C$25)*10000000+(N('Dvd Calendar'!$G$1799)&gt;0)*1000000+20*1000+3))</f>
        <v/>
      </c>
      <c r="F132" s="41">
        <f>IF(N('Dvd Calendar'!$H$1800)=0,"",IF(('Dvd Calendar'!$H$1800&gt;=MIN(DATE(Summary!$C$12,1,1),Summary!$C$11))*('Dvd Calendar'!$H$1800&lt;=MAX(DATE(Summary!$C$12,12,31),Summary!$C$15))*('Dvd Calendar'!$H$1800&lt;=Summary!$C$11)=0,"",'Dvd Calendar'!$H$1800*1000000000+ISNUMBER('Dvd Calendar'!$H$1801)*100000000+('Dvd Calendar'!$H$1805='Field Check'!$C$25)*10000000+(N('Dvd Calendar'!$H$1799)&gt;0)*1000000+20*1000+4))</f>
        <v/>
      </c>
      <c r="G132" s="41">
        <f>IF(N('Dvd Calendar'!$I$1800)=0,"",IF(('Dvd Calendar'!$I$1800&gt;=MIN(DATE(Summary!$C$12,1,1),Summary!$C$11))*('Dvd Calendar'!$I$1800&lt;=MAX(DATE(Summary!$C$12,12,31),Summary!$C$15))*('Dvd Calendar'!$I$1800&lt;=Summary!$C$11)=0,"",'Dvd Calendar'!$I$1800*1000000000+ISNUMBER('Dvd Calendar'!$I$1801)*100000000+('Dvd Calendar'!$I$1805='Field Check'!$C$25)*10000000+(N('Dvd Calendar'!$I$1799)&gt;0)*1000000+20*1000+5))</f>
        <v/>
      </c>
      <c r="H132" s="41">
        <f>IF(N('Dvd Calendar'!$J$1800)=0,"",IF(('Dvd Calendar'!$J$1800&gt;=MIN(DATE(Summary!$C$12,1,1),Summary!$C$11))*('Dvd Calendar'!$J$1800&lt;=MAX(DATE(Summary!$C$12,12,31),Summary!$C$15))*('Dvd Calendar'!$J$1800&lt;=Summary!$C$11)=0,"",'Dvd Calendar'!$J$1800*1000000000+ISNUMBER('Dvd Calendar'!$J$1801)*100000000+('Dvd Calendar'!$J$1805='Field Check'!$C$25)*10000000+(N('Dvd Calendar'!$J$1799)&gt;0)*1000000+20*1000+6))</f>
        <v/>
      </c>
      <c r="I132" s="41">
        <f>IF(N('Dvd Calendar'!$K$1800)=0,"",IF(('Dvd Calendar'!$K$1800&gt;=MIN(DATE(Summary!$C$12,1,1),Summary!$C$11))*('Dvd Calendar'!$K$1800&lt;=MAX(DATE(Summary!$C$12,12,31),Summary!$C$15))*('Dvd Calendar'!$K$1800&lt;=Summary!$C$11)=0,"",'Dvd Calendar'!$K$1800*1000000000+ISNUMBER('Dvd Calendar'!$K$1801)*100000000+('Dvd Calendar'!$K$1805='Field Check'!$C$25)*10000000+(N('Dvd Calendar'!$K$1799)&gt;0)*1000000+20*1000+7))</f>
        <v/>
      </c>
      <c r="J132" s="41">
        <f>IF(N('Dvd Calendar'!$L$1800)=0,"",IF(('Dvd Calendar'!$L$1800&gt;=MIN(DATE(Summary!$C$12,1,1),Summary!$C$11))*('Dvd Calendar'!$L$1800&lt;=MAX(DATE(Summary!$C$12,12,31),Summary!$C$15))*('Dvd Calendar'!$L$1800&lt;=Summary!$C$11)=0,"",'Dvd Calendar'!$L$1800*1000000000+ISNUMBER('Dvd Calendar'!$L$1801)*100000000+('Dvd Calendar'!$L$1805='Field Check'!$C$25)*10000000+(N('Dvd Calendar'!$L$1799)&gt;0)*1000000+20*1000+8))</f>
        <v/>
      </c>
      <c r="K132" s="41">
        <f>IF(N('Dvd Calendar'!$M$1800)=0,"",IF(('Dvd Calendar'!$M$1800&gt;=MIN(DATE(Summary!$C$12,1,1),Summary!$C$11))*('Dvd Calendar'!$M$1800&lt;=MAX(DATE(Summary!$C$12,12,31),Summary!$C$15))*('Dvd Calendar'!$M$1800&lt;=Summary!$C$11)=0,"",'Dvd Calendar'!$M$1800*1000000000+ISNUMBER('Dvd Calendar'!$M$1801)*100000000+('Dvd Calendar'!$M$1805='Field Check'!$C$25)*10000000+(N('Dvd Calendar'!$M$1799)&gt;0)*1000000+20*1000+9))</f>
        <v/>
      </c>
      <c r="L132" s="41">
        <f>IF(N('Dvd Calendar'!$N$1800)=0,"",IF(('Dvd Calendar'!$N$1800&gt;=MIN(DATE(Summary!$C$12,1,1),Summary!$C$11))*('Dvd Calendar'!$N$1800&lt;=MAX(DATE(Summary!$C$12,12,31),Summary!$C$15))*('Dvd Calendar'!$N$1800&lt;=Summary!$C$11)=0,"",'Dvd Calendar'!$N$1800*1000000000+ISNUMBER('Dvd Calendar'!$N$1801)*100000000+('Dvd Calendar'!$N$1805='Field Check'!$C$25)*10000000+(N('Dvd Calendar'!$N$1799)&gt;0)*1000000+20*1000+10))</f>
        <v/>
      </c>
      <c r="M132" s="41">
        <f>IF(N('Dvd Calendar'!$O$1800)=0,"",IF(('Dvd Calendar'!$O$1800&gt;=MIN(DATE(Summary!$C$12,1,1),Summary!$C$11))*('Dvd Calendar'!$O$1800&lt;=MAX(DATE(Summary!$C$12,12,31),Summary!$C$15))*('Dvd Calendar'!$O$1800&lt;=Summary!$C$11)=0,"",'Dvd Calendar'!$O$1800*1000000000+ISNUMBER('Dvd Calendar'!$O$1801)*100000000+('Dvd Calendar'!$O$1805='Field Check'!$C$25)*10000000+(N('Dvd Calendar'!$O$1799)&gt;0)*1000000+20*1000+11))</f>
        <v/>
      </c>
      <c r="N132" s="41">
        <f>IF(N('Dvd Calendar'!$P$1800)=0,"",IF(('Dvd Calendar'!$P$1800&gt;=MIN(DATE(Summary!$C$12,1,1),Summary!$C$11))*('Dvd Calendar'!$P$1800&lt;=MAX(DATE(Summary!$C$12,12,31),Summary!$C$15))*('Dvd Calendar'!$P$1800&lt;=Summary!$C$11)=0,"",'Dvd Calendar'!$P$1800*1000000000+ISNUMBER('Dvd Calendar'!$P$1801)*100000000+('Dvd Calendar'!$P$1805='Field Check'!$C$25)*10000000+(N('Dvd Calendar'!$P$1799)&gt;0)*1000000+20*1000+12))</f>
        <v/>
      </c>
      <c r="O132" s="41">
        <f>IF(N('Dvd Calendar'!$Q$1800)=0,"",IF(('Dvd Calendar'!$Q$1800&gt;=MIN(DATE(Summary!$C$12,1,1),Summary!$C$11))*('Dvd Calendar'!$Q$1800&lt;=MAX(DATE(Summary!$C$12,12,31),Summary!$C$15))*('Dvd Calendar'!$Q$1800&lt;=Summary!$C$11)=0,"",'Dvd Calendar'!$Q$1800*1000000000+ISNUMBER('Dvd Calendar'!$Q$1801)*100000000+('Dvd Calendar'!$Q$1805='Field Check'!$C$25)*10000000+(N('Dvd Calendar'!$Q$1799)&gt;0)*1000000+20*1000+13))</f>
        <v/>
      </c>
      <c r="P132" s="41">
        <f>IF(N('Dvd Calendar'!$R$1800)=0,"",IF(('Dvd Calendar'!$R$1800&gt;=MIN(DATE(Summary!$C$12,1,1),Summary!$C$11))*('Dvd Calendar'!$R$1800&lt;=MAX(DATE(Summary!$C$12,12,31),Summary!$C$15))*('Dvd Calendar'!$R$1800&lt;=Summary!$C$11)=0,"",'Dvd Calendar'!$R$1800*1000000000+ISNUMBER('Dvd Calendar'!$R$1801)*100000000+('Dvd Calendar'!$R$1805='Field Check'!$C$25)*10000000+(N('Dvd Calendar'!$R$1799)&gt;0)*1000000+20*1000+14))</f>
        <v/>
      </c>
      <c r="Q132" s="41">
        <f>IF(N('Dvd Calendar'!$S$1800)=0,"",IF(('Dvd Calendar'!$S$1800&gt;=MIN(DATE(Summary!$C$12,1,1),Summary!$C$11))*('Dvd Calendar'!$S$1800&lt;=MAX(DATE(Summary!$C$12,12,31),Summary!$C$15))*('Dvd Calendar'!$S$1800&lt;=Summary!$C$11)=0,"",'Dvd Calendar'!$S$1800*1000000000+ISNUMBER('Dvd Calendar'!$S$1801)*100000000+('Dvd Calendar'!$S$1805='Field Check'!$C$25)*10000000+(N('Dvd Calendar'!$S$1799)&gt;0)*1000000+20*1000+15))</f>
        <v/>
      </c>
      <c r="R132" s="41">
        <f>IF(N('Dvd Calendar'!$T$1800)=0,"",IF(('Dvd Calendar'!$T$1800&gt;=MIN(DATE(Summary!$C$12,1,1),Summary!$C$11))*('Dvd Calendar'!$T$1800&lt;=MAX(DATE(Summary!$C$12,12,31),Summary!$C$15))*('Dvd Calendar'!$T$1800&lt;=Summary!$C$11)=0,"",'Dvd Calendar'!$T$1800*1000000000+ISNUMBER('Dvd Calendar'!$T$1801)*100000000+('Dvd Calendar'!$T$1805='Field Check'!$C$25)*10000000+(N('Dvd Calendar'!$T$1799)&gt;0)*1000000+20*1000+16))</f>
        <v/>
      </c>
      <c r="S132" s="41">
        <f>IF(N('Dvd Calendar'!$U$1800)=0,"",IF(('Dvd Calendar'!$U$1800&gt;=MIN(DATE(Summary!$C$12,1,1),Summary!$C$11))*('Dvd Calendar'!$U$1800&lt;=MAX(DATE(Summary!$C$12,12,31),Summary!$C$15))*('Dvd Calendar'!$U$1800&lt;=Summary!$C$11)=0,"",'Dvd Calendar'!$U$1800*1000000000+ISNUMBER('Dvd Calendar'!$U$1801)*100000000+('Dvd Calendar'!$U$1805='Field Check'!$C$25)*10000000+(N('Dvd Calendar'!$U$1799)&gt;0)*1000000+20*1000+17))</f>
        <v/>
      </c>
      <c r="T132" s="41">
        <f>IF(N('Dvd Calendar'!$V$1800)=0,"",IF(('Dvd Calendar'!$V$1800&gt;=MIN(DATE(Summary!$C$12,1,1),Summary!$C$11))*('Dvd Calendar'!$V$1800&lt;=MAX(DATE(Summary!$C$12,12,31),Summary!$C$15))*('Dvd Calendar'!$V$1800&lt;=Summary!$C$11)=0,"",'Dvd Calendar'!$V$1800*1000000000+ISNUMBER('Dvd Calendar'!$V$1801)*100000000+('Dvd Calendar'!$V$1805='Field Check'!$C$25)*10000000+(N('Dvd Calendar'!$V$1799)&gt;0)*1000000+20*1000+18))</f>
        <v/>
      </c>
      <c r="U132" s="41">
        <f>IF(N('Dvd Calendar'!$W$1800)=0,"",IF(('Dvd Calendar'!$W$1800&gt;=MIN(DATE(Summary!$C$12,1,1),Summary!$C$11))*('Dvd Calendar'!$W$1800&lt;=MAX(DATE(Summary!$C$12,12,31),Summary!$C$15))*('Dvd Calendar'!$W$1800&lt;=Summary!$C$11)=0,"",'Dvd Calendar'!$W$1800*1000000000+ISNUMBER('Dvd Calendar'!$W$1801)*100000000+('Dvd Calendar'!$W$1805='Field Check'!$C$25)*10000000+(N('Dvd Calendar'!$W$1799)&gt;0)*1000000+20*1000+19))</f>
        <v/>
      </c>
      <c r="V132" s="41">
        <f>IF(N('Dvd Calendar'!$X$1800)=0,"",IF(('Dvd Calendar'!$X$1800&gt;=MIN(DATE(Summary!$C$12,1,1),Summary!$C$11))*('Dvd Calendar'!$X$1800&lt;=MAX(DATE(Summary!$C$12,12,31),Summary!$C$15))*('Dvd Calendar'!$X$1800&lt;=Summary!$C$11)=0,"",'Dvd Calendar'!$X$1800*1000000000+ISNUMBER('Dvd Calendar'!$X$1801)*100000000+('Dvd Calendar'!$X$1805='Field Check'!$C$25)*10000000+(N('Dvd Calendar'!$X$1799)&gt;0)*1000000+20*1000+20))</f>
        <v/>
      </c>
      <c r="W132" s="41">
        <f>IF(N('Dvd Calendar'!$Y$1800)=0,"",IF(('Dvd Calendar'!$Y$1800&gt;=MIN(DATE(Summary!$C$12,1,1),Summary!$C$11))*('Dvd Calendar'!$Y$1800&lt;=MAX(DATE(Summary!$C$12,12,31),Summary!$C$15))*('Dvd Calendar'!$Y$1800&lt;=Summary!$C$11)=0,"",'Dvd Calendar'!$Y$1800*1000000000+ISNUMBER('Dvd Calendar'!$Y$1801)*100000000+('Dvd Calendar'!$Y$1805='Field Check'!$C$25)*10000000+(N('Dvd Calendar'!$Y$1799)&gt;0)*1000000+20*1000+21))</f>
        <v/>
      </c>
      <c r="X132" s="41">
        <f>IF(N('Dvd Calendar'!$Z$1800)=0,"",IF(('Dvd Calendar'!$Z$1800&gt;=MIN(DATE(Summary!$C$12,1,1),Summary!$C$11))*('Dvd Calendar'!$Z$1800&lt;=MAX(DATE(Summary!$C$12,12,31),Summary!$C$15))*('Dvd Calendar'!$Z$1800&lt;=Summary!$C$11)=0,"",'Dvd Calendar'!$Z$1800*1000000000+ISNUMBER('Dvd Calendar'!$Z$1801)*100000000+('Dvd Calendar'!$Z$1805='Field Check'!$C$25)*10000000+(N('Dvd Calendar'!$Z$1799)&gt;0)*1000000+20*1000+22))</f>
        <v/>
      </c>
      <c r="Y132" s="41">
        <f>IF(N('Dvd Calendar'!$AA$1800)=0,"",IF(('Dvd Calendar'!$AA$1800&gt;=MIN(DATE(Summary!$C$12,1,1),Summary!$C$11))*('Dvd Calendar'!$AA$1800&lt;=MAX(DATE(Summary!$C$12,12,31),Summary!$C$15))*('Dvd Calendar'!$AA$1800&lt;=Summary!$C$11)=0,"",'Dvd Calendar'!$AA$1800*1000000000+ISNUMBER('Dvd Calendar'!$AA$1801)*100000000+('Dvd Calendar'!$AA$1805='Field Check'!$C$25)*10000000+(N('Dvd Calendar'!$AA$1799)&gt;0)*1000000+20*1000+23))</f>
        <v/>
      </c>
      <c r="Z132" s="41">
        <f>IF(N('Dvd Calendar'!$AB$1800)=0,"",IF(('Dvd Calendar'!$AB$1800&gt;=MIN(DATE(Summary!$C$12,1,1),Summary!$C$11))*('Dvd Calendar'!$AB$1800&lt;=MAX(DATE(Summary!$C$12,12,31),Summary!$C$15))*('Dvd Calendar'!$AB$1800&lt;=Summary!$C$11)=0,"",'Dvd Calendar'!$AB$1800*1000000000+ISNUMBER('Dvd Calendar'!$AB$1801)*100000000+('Dvd Calendar'!$AB$1805='Field Check'!$C$25)*10000000+(N('Dvd Calendar'!$AB$1799)&gt;0)*1000000+20*1000+24))</f>
        <v/>
      </c>
      <c r="AA132" s="41">
        <f>IF(N('Dvd Calendar'!$AC$1800)=0,"",IF(('Dvd Calendar'!$AC$1800&gt;=MIN(DATE(Summary!$C$12,1,1),Summary!$C$11))*('Dvd Calendar'!$AC$1800&lt;=MAX(DATE(Summary!$C$12,12,31),Summary!$C$15))*('Dvd Calendar'!$AC$1800&lt;=Summary!$C$11)=0,"",'Dvd Calendar'!$AC$1800*1000000000+ISNUMBER('Dvd Calendar'!$AC$1801)*100000000+('Dvd Calendar'!$AC$1805='Field Check'!$C$25)*10000000+(N('Dvd Calendar'!$AC$1799)&gt;0)*1000000+20*1000+25))</f>
        <v/>
      </c>
      <c r="AB132" s="41">
        <f>IF(N('Dvd Calendar'!$AD$1800)=0,"",IF(('Dvd Calendar'!$AD$1800&gt;=MIN(DATE(Summary!$C$12,1,1),Summary!$C$11))*('Dvd Calendar'!$AD$1800&lt;=MAX(DATE(Summary!$C$12,12,31),Summary!$C$15))*('Dvd Calendar'!$AD$1800&lt;=Summary!$C$11)=0,"",'Dvd Calendar'!$AD$1800*1000000000+ISNUMBER('Dvd Calendar'!$AD$1801)*100000000+('Dvd Calendar'!$AD$1805='Field Check'!$C$25)*10000000+(N('Dvd Calendar'!$AD$1799)&gt;0)*1000000+20*1000+26))</f>
        <v/>
      </c>
      <c r="AC132" s="41">
        <f>IF(N('Dvd Calendar'!$AE$1800)=0,"",IF(('Dvd Calendar'!$AE$1800&gt;=MIN(DATE(Summary!$C$12,1,1),Summary!$C$11))*('Dvd Calendar'!$AE$1800&lt;=MAX(DATE(Summary!$C$12,12,31),Summary!$C$15))*('Dvd Calendar'!$AE$1800&lt;=Summary!$C$11)=0,"",'Dvd Calendar'!$AE$1800*1000000000+ISNUMBER('Dvd Calendar'!$AE$1801)*100000000+('Dvd Calendar'!$AE$1805='Field Check'!$C$25)*10000000+(N('Dvd Calendar'!$AE$1799)&gt;0)*1000000+20*1000+27))</f>
        <v/>
      </c>
      <c r="AD132" s="41">
        <f>IF(N('Dvd Calendar'!$AF$1800)=0,"",IF(('Dvd Calendar'!$AF$1800&gt;=MIN(DATE(Summary!$C$12,1,1),Summary!$C$11))*('Dvd Calendar'!$AF$1800&lt;=MAX(DATE(Summary!$C$12,12,31),Summary!$C$15))*('Dvd Calendar'!$AF$1800&lt;=Summary!$C$11)=0,"",'Dvd Calendar'!$AF$1800*1000000000+ISNUMBER('Dvd Calendar'!$AF$1801)*100000000+('Dvd Calendar'!$AF$1805='Field Check'!$C$25)*10000000+(N('Dvd Calendar'!$AF$1799)&gt;0)*1000000+20*1000+28))</f>
        <v/>
      </c>
      <c r="AE132" s="41">
        <f>IF(N('Dvd Calendar'!$AG$1800)=0,"",IF(('Dvd Calendar'!$AG$1800&gt;=MIN(DATE(Summary!$C$12,1,1),Summary!$C$11))*('Dvd Calendar'!$AG$1800&lt;=MAX(DATE(Summary!$C$12,12,31),Summary!$C$15))*('Dvd Calendar'!$AG$1800&lt;=Summary!$C$11)=0,"",'Dvd Calendar'!$AG$1800*1000000000+ISNUMBER('Dvd Calendar'!$AG$1801)*100000000+('Dvd Calendar'!$AG$1805='Field Check'!$C$25)*10000000+(N('Dvd Calendar'!$AG$1799)&gt;0)*1000000+20*1000+29))</f>
        <v/>
      </c>
      <c r="AF132" s="41">
        <f>IF(N('Dvd Calendar'!$AH$1800)=0,"",IF(('Dvd Calendar'!$AH$1800&gt;=MIN(DATE(Summary!$C$12,1,1),Summary!$C$11))*('Dvd Calendar'!$AH$1800&lt;=MAX(DATE(Summary!$C$12,12,31),Summary!$C$15))*('Dvd Calendar'!$AH$1800&lt;=Summary!$C$11)=0,"",'Dvd Calendar'!$AH$1800*1000000000+ISNUMBER('Dvd Calendar'!$AH$1801)*100000000+('Dvd Calendar'!$AH$1805='Field Check'!$C$25)*10000000+(N('Dvd Calendar'!$AH$1799)&gt;0)*1000000+20*1000+30))</f>
        <v/>
      </c>
      <c r="AG132" s="41">
        <f>IF(N('Dvd Calendar'!$AI$1800)=0,"",IF(('Dvd Calendar'!$AI$1800&gt;=MIN(DATE(Summary!$C$12,1,1),Summary!$C$11))*('Dvd Calendar'!$AI$1800&lt;=MAX(DATE(Summary!$C$12,12,31),Summary!$C$15))*('Dvd Calendar'!$AI$1800&lt;=Summary!$C$11)=0,"",'Dvd Calendar'!$AI$1800*1000000000+ISNUMBER('Dvd Calendar'!$AI$1801)*100000000+('Dvd Calendar'!$AI$1805='Field Check'!$C$25)*10000000+(N('Dvd Calendar'!$AI$1799)&gt;0)*1000000+20*1000+31))</f>
        <v/>
      </c>
      <c r="AH132" s="41">
        <f>IF(N('Dvd Calendar'!$AJ$1800)=0,"",IF(('Dvd Calendar'!$AJ$1800&gt;=MIN(DATE(Summary!$C$12,1,1),Summary!$C$11))*('Dvd Calendar'!$AJ$1800&lt;=MAX(DATE(Summary!$C$12,12,31),Summary!$C$15))*('Dvd Calendar'!$AJ$1800&lt;=Summary!$C$11)=0,"",'Dvd Calendar'!$AJ$1800*1000000000+ISNUMBER('Dvd Calendar'!$AJ$1801)*100000000+('Dvd Calendar'!$AJ$1805='Field Check'!$C$25)*10000000+(N('Dvd Calendar'!$AJ$1799)&gt;0)*1000000+20*1000+32))</f>
        <v/>
      </c>
      <c r="AI132" s="41">
        <f>IF(N('Dvd Calendar'!$AK$1800)=0,"",IF(('Dvd Calendar'!$AK$1800&gt;=MIN(DATE(Summary!$C$12,1,1),Summary!$C$11))*('Dvd Calendar'!$AK$1800&lt;=MAX(DATE(Summary!$C$12,12,31),Summary!$C$15))*('Dvd Calendar'!$AK$1800&lt;=Summary!$C$11)=0,"",'Dvd Calendar'!$AK$1800*1000000000+ISNUMBER('Dvd Calendar'!$AK$1801)*100000000+('Dvd Calendar'!$AK$1805='Field Check'!$C$25)*10000000+(N('Dvd Calendar'!$AK$1799)&gt;0)*1000000+20*1000+33))</f>
        <v/>
      </c>
      <c r="AJ132" s="41">
        <f>IF(N('Dvd Calendar'!$AL$1800)=0,"",IF(('Dvd Calendar'!$AL$1800&gt;=MIN(DATE(Summary!$C$12,1,1),Summary!$C$11))*('Dvd Calendar'!$AL$1800&lt;=MAX(DATE(Summary!$C$12,12,31),Summary!$C$15))*('Dvd Calendar'!$AL$1800&lt;=Summary!$C$11)=0,"",'Dvd Calendar'!$AL$1800*1000000000+ISNUMBER('Dvd Calendar'!$AL$1801)*100000000+('Dvd Calendar'!$AL$1805='Field Check'!$C$25)*10000000+(N('Dvd Calendar'!$AL$1799)&gt;0)*1000000+20*1000+34))</f>
        <v/>
      </c>
      <c r="AK132" s="41">
        <f>IF(N('Dvd Calendar'!$AM$1800)=0,"",IF(('Dvd Calendar'!$AM$1800&gt;=MIN(DATE(Summary!$C$12,1,1),Summary!$C$11))*('Dvd Calendar'!$AM$1800&lt;=MAX(DATE(Summary!$C$12,12,31),Summary!$C$15))*('Dvd Calendar'!$AM$1800&lt;=Summary!$C$11)=0,"",'Dvd Calendar'!$AM$1800*1000000000+ISNUMBER('Dvd Calendar'!$AM$1801)*100000000+('Dvd Calendar'!$AM$1805='Field Check'!$C$25)*10000000+(N('Dvd Calendar'!$AM$1799)&gt;0)*1000000+20*1000+35))</f>
        <v/>
      </c>
      <c r="AL132" s="41">
        <f>IF(N('Dvd Calendar'!$AN$1800)=0,"",IF(('Dvd Calendar'!$AN$1800&gt;=MIN(DATE(Summary!$C$12,1,1),Summary!$C$11))*('Dvd Calendar'!$AN$1800&lt;=MAX(DATE(Summary!$C$12,12,31),Summary!$C$15))*('Dvd Calendar'!$AN$1800&lt;=Summary!$C$11)=0,"",'Dvd Calendar'!$AN$1800*1000000000+ISNUMBER('Dvd Calendar'!$AN$1801)*100000000+('Dvd Calendar'!$AN$1805='Field Check'!$C$25)*10000000+(N('Dvd Calendar'!$AN$1799)&gt;0)*1000000+20*1000+36))</f>
        <v/>
      </c>
      <c r="AM132" s="41">
        <f>IF(N('Dvd Calendar'!$AO$1800)=0,"",IF(('Dvd Calendar'!$AO$1800&gt;=MIN(DATE(Summary!$C$12,1,1),Summary!$C$11))*('Dvd Calendar'!$AO$1800&lt;=MAX(DATE(Summary!$C$12,12,31),Summary!$C$15))*('Dvd Calendar'!$AO$1800&lt;=Summary!$C$11)=0,"",'Dvd Calendar'!$AO$1800*1000000000+ISNUMBER('Dvd Calendar'!$AO$1801)*100000000+('Dvd Calendar'!$AO$1805='Field Check'!$C$25)*10000000+(N('Dvd Calendar'!$AO$1799)&gt;0)*1000000+20*1000+37))</f>
        <v/>
      </c>
      <c r="AN132" s="41">
        <f>IF(N('Dvd Calendar'!$AP$1800)=0,"",IF(('Dvd Calendar'!$AP$1800&gt;=MIN(DATE(Summary!$C$12,1,1),Summary!$C$11))*('Dvd Calendar'!$AP$1800&lt;=MAX(DATE(Summary!$C$12,12,31),Summary!$C$15))*('Dvd Calendar'!$AP$1800&lt;=Summary!$C$11)=0,"",'Dvd Calendar'!$AP$1800*1000000000+ISNUMBER('Dvd Calendar'!$AP$1801)*100000000+('Dvd Calendar'!$AP$1805='Field Check'!$C$25)*10000000+(N('Dvd Calendar'!$AP$1799)&gt;0)*1000000+20*1000+38))</f>
        <v/>
      </c>
      <c r="AO132" s="41">
        <f>IF(N('Dvd Calendar'!$AQ$1800)=0,"",IF(('Dvd Calendar'!$AQ$1800&gt;=MIN(DATE(Summary!$C$12,1,1),Summary!$C$11))*('Dvd Calendar'!$AQ$1800&lt;=MAX(DATE(Summary!$C$12,12,31),Summary!$C$15))*('Dvd Calendar'!$AQ$1800&lt;=Summary!$C$11)=0,"",'Dvd Calendar'!$AQ$1800*1000000000+ISNUMBER('Dvd Calendar'!$AQ$1801)*100000000+('Dvd Calendar'!$AQ$1805='Field Check'!$C$25)*10000000+(N('Dvd Calendar'!$AQ$1799)&gt;0)*1000000+20*1000+39))</f>
        <v/>
      </c>
      <c r="AP132" s="41">
        <f>IF(N('Dvd Calendar'!$AR$1800)=0,"",IF(('Dvd Calendar'!$AR$1800&gt;=MIN(DATE(Summary!$C$12,1,1),Summary!$C$11))*('Dvd Calendar'!$AR$1800&lt;=MAX(DATE(Summary!$C$12,12,31),Summary!$C$15))*('Dvd Calendar'!$AR$1800&lt;=Summary!$C$11)=0,"",'Dvd Calendar'!$AR$1800*1000000000+ISNUMBER('Dvd Calendar'!$AR$1801)*100000000+('Dvd Calendar'!$AR$1805='Field Check'!$C$25)*10000000+(N('Dvd Calendar'!$AR$1799)&gt;0)*1000000+20*1000+40))</f>
        <v/>
      </c>
      <c r="AQ132" s="41">
        <f>IF(N('Dvd Calendar'!$E$1807)=0,"",IF(('Dvd Calendar'!$E$1807&gt;=MIN(DATE(Summary!$C$12,1,1),Summary!$C$11))*('Dvd Calendar'!$E$1807&lt;=MAX(DATE(Summary!$C$12,12,31),Summary!$C$15))*('Dvd Calendar'!$E$1807&gt;Summary!$C$11)=0,"",'Dvd Calendar'!$E$1807*1000000000+ISNUMBER('Dvd Calendar'!$E$1808)*100000000+('Dvd Calendar'!$E$1812='Field Check'!$C$25)*10000000+(N('Dvd Calendar'!$E$1806)&gt;0)*1000000+20*1000+41))</f>
        <v/>
      </c>
      <c r="AR132" s="41">
        <f>IF(N('Dvd Calendar'!$F$1807)=0,"",IF(('Dvd Calendar'!$F$1807&gt;=MIN(DATE(Summary!$C$12,1,1),Summary!$C$11))*('Dvd Calendar'!$F$1807&lt;=MAX(DATE(Summary!$C$12,12,31),Summary!$C$15))*('Dvd Calendar'!$F$1807&gt;Summary!$C$11)=0,"",'Dvd Calendar'!$F$1807*1000000000+ISNUMBER('Dvd Calendar'!$F$1808)*100000000+('Dvd Calendar'!$F$1812='Field Check'!$C$25)*10000000+(N('Dvd Calendar'!$F$1806)&gt;0)*1000000+20*1000+42))</f>
        <v/>
      </c>
      <c r="AS132" s="41">
        <f>IF(N('Dvd Calendar'!$G$1807)=0,"",IF(('Dvd Calendar'!$G$1807&gt;=MIN(DATE(Summary!$C$12,1,1),Summary!$C$11))*('Dvd Calendar'!$G$1807&lt;=MAX(DATE(Summary!$C$12,12,31),Summary!$C$15))*('Dvd Calendar'!$G$1807&gt;Summary!$C$11)=0,"",'Dvd Calendar'!$G$1807*1000000000+ISNUMBER('Dvd Calendar'!$G$1808)*100000000+('Dvd Calendar'!$G$1812='Field Check'!$C$25)*10000000+(N('Dvd Calendar'!$G$1806)&gt;0)*1000000+20*1000+43))</f>
        <v/>
      </c>
      <c r="AT132" s="41">
        <f>IF(N('Dvd Calendar'!$H$1807)=0,"",IF(('Dvd Calendar'!$H$1807&gt;=MIN(DATE(Summary!$C$12,1,1),Summary!$C$11))*('Dvd Calendar'!$H$1807&lt;=MAX(DATE(Summary!$C$12,12,31),Summary!$C$15))*('Dvd Calendar'!$H$1807&gt;Summary!$C$11)=0,"",'Dvd Calendar'!$H$1807*1000000000+ISNUMBER('Dvd Calendar'!$H$1808)*100000000+('Dvd Calendar'!$H$1812='Field Check'!$C$25)*10000000+(N('Dvd Calendar'!$H$1806)&gt;0)*1000000+20*1000+44))</f>
        <v/>
      </c>
      <c r="AU132" s="41">
        <f>IF(N('Dvd Calendar'!$I$1807)=0,"",IF(('Dvd Calendar'!$I$1807&gt;=MIN(DATE(Summary!$C$12,1,1),Summary!$C$11))*('Dvd Calendar'!$I$1807&lt;=MAX(DATE(Summary!$C$12,12,31),Summary!$C$15))*('Dvd Calendar'!$I$1807&gt;Summary!$C$11)=0,"",'Dvd Calendar'!$I$1807*1000000000+ISNUMBER('Dvd Calendar'!$I$1808)*100000000+('Dvd Calendar'!$I$1812='Field Check'!$C$25)*10000000+(N('Dvd Calendar'!$I$1806)&gt;0)*1000000+20*1000+45))</f>
        <v/>
      </c>
      <c r="AV132" s="41">
        <f>IF(N('Dvd Calendar'!$J$1807)=0,"",IF(('Dvd Calendar'!$J$1807&gt;=MIN(DATE(Summary!$C$12,1,1),Summary!$C$11))*('Dvd Calendar'!$J$1807&lt;=MAX(DATE(Summary!$C$12,12,31),Summary!$C$15))*('Dvd Calendar'!$J$1807&gt;Summary!$C$11)=0,"",'Dvd Calendar'!$J$1807*1000000000+ISNUMBER('Dvd Calendar'!$J$1808)*100000000+('Dvd Calendar'!$J$1812='Field Check'!$C$25)*10000000+(N('Dvd Calendar'!$J$1806)&gt;0)*1000000+20*1000+46))</f>
        <v/>
      </c>
      <c r="AW132" s="41">
        <f>IF(N('Dvd Calendar'!$K$1807)=0,"",IF(('Dvd Calendar'!$K$1807&gt;=MIN(DATE(Summary!$C$12,1,1),Summary!$C$11))*('Dvd Calendar'!$K$1807&lt;=MAX(DATE(Summary!$C$12,12,31),Summary!$C$15))*('Dvd Calendar'!$K$1807&gt;Summary!$C$11)=0,"",'Dvd Calendar'!$K$1807*1000000000+ISNUMBER('Dvd Calendar'!$K$1808)*100000000+('Dvd Calendar'!$K$1812='Field Check'!$C$25)*10000000+(N('Dvd Calendar'!$K$1806)&gt;0)*1000000+20*1000+47))</f>
        <v/>
      </c>
      <c r="AX132" s="41">
        <f>IF(N('Dvd Calendar'!$L$1807)=0,"",IF(('Dvd Calendar'!$L$1807&gt;=MIN(DATE(Summary!$C$12,1,1),Summary!$C$11))*('Dvd Calendar'!$L$1807&lt;=MAX(DATE(Summary!$C$12,12,31),Summary!$C$15))*('Dvd Calendar'!$L$1807&gt;Summary!$C$11)=0,"",'Dvd Calendar'!$L$1807*1000000000+ISNUMBER('Dvd Calendar'!$L$1808)*100000000+('Dvd Calendar'!$L$1812='Field Check'!$C$25)*10000000+(N('Dvd Calendar'!$L$1806)&gt;0)*1000000+20*1000+48))</f>
        <v/>
      </c>
      <c r="AY132" s="41">
        <f>IF(N('Dvd Calendar'!$M$1807)=0,"",IF(('Dvd Calendar'!$M$1807&gt;=MIN(DATE(Summary!$C$12,1,1),Summary!$C$11))*('Dvd Calendar'!$M$1807&lt;=MAX(DATE(Summary!$C$12,12,31),Summary!$C$15))*('Dvd Calendar'!$M$1807&gt;Summary!$C$11)=0,"",'Dvd Calendar'!$M$1807*1000000000+ISNUMBER('Dvd Calendar'!$M$1808)*100000000+('Dvd Calendar'!$M$1812='Field Check'!$C$25)*10000000+(N('Dvd Calendar'!$M$1806)&gt;0)*1000000+20*1000+49))</f>
        <v/>
      </c>
      <c r="AZ132" s="41">
        <f>IF(N('Dvd Calendar'!$N$1807)=0,"",IF(('Dvd Calendar'!$N$1807&gt;=MIN(DATE(Summary!$C$12,1,1),Summary!$C$11))*('Dvd Calendar'!$N$1807&lt;=MAX(DATE(Summary!$C$12,12,31),Summary!$C$15))*('Dvd Calendar'!$N$1807&gt;Summary!$C$11)=0,"",'Dvd Calendar'!$N$1807*1000000000+ISNUMBER('Dvd Calendar'!$N$1808)*100000000+('Dvd Calendar'!$N$1812='Field Check'!$C$25)*10000000+(N('Dvd Calendar'!$N$1806)&gt;0)*1000000+20*1000+50))</f>
        <v/>
      </c>
      <c r="BA132" s="41">
        <f>IF(N('Dvd Calendar'!$O$1807)=0,"",IF(('Dvd Calendar'!$O$1807&gt;=MIN(DATE(Summary!$C$12,1,1),Summary!$C$11))*('Dvd Calendar'!$O$1807&lt;=MAX(DATE(Summary!$C$12,12,31),Summary!$C$15))*('Dvd Calendar'!$O$1807&gt;Summary!$C$11)=0,"",'Dvd Calendar'!$O$1807*1000000000+ISNUMBER('Dvd Calendar'!$O$1808)*100000000+('Dvd Calendar'!$O$1812='Field Check'!$C$25)*10000000+(N('Dvd Calendar'!$O$1806)&gt;0)*1000000+20*1000+51))</f>
        <v/>
      </c>
      <c r="BB132" s="41">
        <f>IF(N('Dvd Calendar'!$P$1807)=0,"",IF(('Dvd Calendar'!$P$1807&gt;=MIN(DATE(Summary!$C$12,1,1),Summary!$C$11))*('Dvd Calendar'!$P$1807&lt;=MAX(DATE(Summary!$C$12,12,31),Summary!$C$15))*('Dvd Calendar'!$P$1807&gt;Summary!$C$11)=0,"",'Dvd Calendar'!$P$1807*1000000000+ISNUMBER('Dvd Calendar'!$P$1808)*100000000+('Dvd Calendar'!$P$1812='Field Check'!$C$25)*10000000+(N('Dvd Calendar'!$P$1806)&gt;0)*1000000+20*1000+52))</f>
        <v/>
      </c>
      <c r="BC132" s="41">
        <f>IF(N('Dvd Calendar'!$Q$1807)=0,"",IF(('Dvd Calendar'!$Q$1807&gt;=MIN(DATE(Summary!$C$12,1,1),Summary!$C$11))*('Dvd Calendar'!$Q$1807&lt;=MAX(DATE(Summary!$C$12,12,31),Summary!$C$15))*('Dvd Calendar'!$Q$1807&gt;Summary!$C$11)=0,"",'Dvd Calendar'!$Q$1807*1000000000+ISNUMBER('Dvd Calendar'!$Q$1808)*100000000+('Dvd Calendar'!$Q$1812='Field Check'!$C$25)*10000000+(N('Dvd Calendar'!$Q$1806)&gt;0)*1000000+20*1000+53))</f>
        <v/>
      </c>
      <c r="BD132" s="41">
        <f>IF(N('Dvd Calendar'!$R$1807)=0,"",IF(('Dvd Calendar'!$R$1807&gt;=MIN(DATE(Summary!$C$12,1,1),Summary!$C$11))*('Dvd Calendar'!$R$1807&lt;=MAX(DATE(Summary!$C$12,12,31),Summary!$C$15))*('Dvd Calendar'!$R$1807&gt;Summary!$C$11)=0,"",'Dvd Calendar'!$R$1807*1000000000+ISNUMBER('Dvd Calendar'!$R$1808)*100000000+('Dvd Calendar'!$R$1812='Field Check'!$C$25)*10000000+(N('Dvd Calendar'!$R$1806)&gt;0)*1000000+20*1000+54))</f>
        <v/>
      </c>
      <c r="BE132" s="41">
        <f>IF(N('Dvd Calendar'!$S$1807)=0,"",IF(('Dvd Calendar'!$S$1807&gt;=MIN(DATE(Summary!$C$12,1,1),Summary!$C$11))*('Dvd Calendar'!$S$1807&lt;=MAX(DATE(Summary!$C$12,12,31),Summary!$C$15))*('Dvd Calendar'!$S$1807&gt;Summary!$C$11)=0,"",'Dvd Calendar'!$S$1807*1000000000+ISNUMBER('Dvd Calendar'!$S$1808)*100000000+('Dvd Calendar'!$S$1812='Field Check'!$C$25)*10000000+(N('Dvd Calendar'!$S$1806)&gt;0)*1000000+20*1000+55))</f>
        <v/>
      </c>
      <c r="BF132" s="41">
        <f>IF(N('Dvd Calendar'!$T$1807)=0,"",IF(('Dvd Calendar'!$T$1807&gt;=MIN(DATE(Summary!$C$12,1,1),Summary!$C$11))*('Dvd Calendar'!$T$1807&lt;=MAX(DATE(Summary!$C$12,12,31),Summary!$C$15))*('Dvd Calendar'!$T$1807&gt;Summary!$C$11)=0,"",'Dvd Calendar'!$T$1807*1000000000+ISNUMBER('Dvd Calendar'!$T$1808)*100000000+('Dvd Calendar'!$T$1812='Field Check'!$C$25)*10000000+(N('Dvd Calendar'!$T$1806)&gt;0)*1000000+20*1000+56))</f>
        <v/>
      </c>
      <c r="BG132" s="41">
        <f>IF(N('Dvd Calendar'!$U$1807)=0,"",IF(('Dvd Calendar'!$U$1807&gt;=MIN(DATE(Summary!$C$12,1,1),Summary!$C$11))*('Dvd Calendar'!$U$1807&lt;=MAX(DATE(Summary!$C$12,12,31),Summary!$C$15))*('Dvd Calendar'!$U$1807&gt;Summary!$C$11)=0,"",'Dvd Calendar'!$U$1807*1000000000+ISNUMBER('Dvd Calendar'!$U$1808)*100000000+('Dvd Calendar'!$U$1812='Field Check'!$C$25)*10000000+(N('Dvd Calendar'!$U$1806)&gt;0)*1000000+20*1000+57))</f>
        <v/>
      </c>
      <c r="BH132" s="41">
        <f>IF(N('Dvd Calendar'!$V$1807)=0,"",IF(('Dvd Calendar'!$V$1807&gt;=MIN(DATE(Summary!$C$12,1,1),Summary!$C$11))*('Dvd Calendar'!$V$1807&lt;=MAX(DATE(Summary!$C$12,12,31),Summary!$C$15))*('Dvd Calendar'!$V$1807&gt;Summary!$C$11)=0,"",'Dvd Calendar'!$V$1807*1000000000+ISNUMBER('Dvd Calendar'!$V$1808)*100000000+('Dvd Calendar'!$V$1812='Field Check'!$C$25)*10000000+(N('Dvd Calendar'!$V$1806)&gt;0)*1000000+20*1000+58))</f>
        <v/>
      </c>
      <c r="BI132" s="41">
        <f>IF(N('Dvd Calendar'!$W$1807)=0,"",IF(('Dvd Calendar'!$W$1807&gt;=MIN(DATE(Summary!$C$12,1,1),Summary!$C$11))*('Dvd Calendar'!$W$1807&lt;=MAX(DATE(Summary!$C$12,12,31),Summary!$C$15))*('Dvd Calendar'!$W$1807&gt;Summary!$C$11)=0,"",'Dvd Calendar'!$W$1807*1000000000+ISNUMBER('Dvd Calendar'!$W$1808)*100000000+('Dvd Calendar'!$W$1812='Field Check'!$C$25)*10000000+(N('Dvd Calendar'!$W$1806)&gt;0)*1000000+20*1000+59))</f>
        <v/>
      </c>
      <c r="BJ132" s="41">
        <f>IF(N('Dvd Calendar'!$X$1807)=0,"",IF(('Dvd Calendar'!$X$1807&gt;=MIN(DATE(Summary!$C$12,1,1),Summary!$C$11))*('Dvd Calendar'!$X$1807&lt;=MAX(DATE(Summary!$C$12,12,31),Summary!$C$15))*('Dvd Calendar'!$X$1807&gt;Summary!$C$11)=0,"",'Dvd Calendar'!$X$1807*1000000000+ISNUMBER('Dvd Calendar'!$X$1808)*100000000+('Dvd Calendar'!$X$1812='Field Check'!$C$25)*10000000+(N('Dvd Calendar'!$X$1806)&gt;0)*1000000+20*1000+60))</f>
        <v/>
      </c>
      <c r="BK132" s="41">
        <f>IF(N('Dvd Calendar'!$Y$1807)=0,"",IF(('Dvd Calendar'!$Y$1807&gt;=MIN(DATE(Summary!$C$12,1,1),Summary!$C$11))*('Dvd Calendar'!$Y$1807&lt;=MAX(DATE(Summary!$C$12,12,31),Summary!$C$15))*('Dvd Calendar'!$Y$1807&gt;Summary!$C$11)=0,"",'Dvd Calendar'!$Y$1807*1000000000+ISNUMBER('Dvd Calendar'!$Y$1808)*100000000+('Dvd Calendar'!$Y$1812='Field Check'!$C$25)*10000000+(N('Dvd Calendar'!$Y$1806)&gt;0)*1000000+20*1000+61))</f>
        <v/>
      </c>
      <c r="BL132" s="41">
        <f>IF(N('Dvd Calendar'!$Z$1807)=0,"",IF(('Dvd Calendar'!$Z$1807&gt;=MIN(DATE(Summary!$C$12,1,1),Summary!$C$11))*('Dvd Calendar'!$Z$1807&lt;=MAX(DATE(Summary!$C$12,12,31),Summary!$C$15))*('Dvd Calendar'!$Z$1807&gt;Summary!$C$11)=0,"",'Dvd Calendar'!$Z$1807*1000000000+ISNUMBER('Dvd Calendar'!$Z$1808)*100000000+('Dvd Calendar'!$Z$1812='Field Check'!$C$25)*10000000+(N('Dvd Calendar'!$Z$1806)&gt;0)*1000000+20*1000+62))</f>
        <v/>
      </c>
      <c r="BM132" s="41">
        <f>IF(N('Dvd Calendar'!$AA$1807)=0,"",IF(('Dvd Calendar'!$AA$1807&gt;=MIN(DATE(Summary!$C$12,1,1),Summary!$C$11))*('Dvd Calendar'!$AA$1807&lt;=MAX(DATE(Summary!$C$12,12,31),Summary!$C$15))*('Dvd Calendar'!$AA$1807&gt;Summary!$C$11)=0,"",'Dvd Calendar'!$AA$1807*1000000000+ISNUMBER('Dvd Calendar'!$AA$1808)*100000000+('Dvd Calendar'!$AA$1812='Field Check'!$C$25)*10000000+(N('Dvd Calendar'!$AA$1806)&gt;0)*1000000+20*1000+63))</f>
        <v/>
      </c>
      <c r="BN132" s="41">
        <f>IF(N('Dvd Calendar'!$AB$1807)=0,"",IF(('Dvd Calendar'!$AB$1807&gt;=MIN(DATE(Summary!$C$12,1,1),Summary!$C$11))*('Dvd Calendar'!$AB$1807&lt;=MAX(DATE(Summary!$C$12,12,31),Summary!$C$15))*('Dvd Calendar'!$AB$1807&gt;Summary!$C$11)=0,"",'Dvd Calendar'!$AB$1807*1000000000+ISNUMBER('Dvd Calendar'!$AB$1808)*100000000+('Dvd Calendar'!$AB$1812='Field Check'!$C$25)*10000000+(N('Dvd Calendar'!$AB$1806)&gt;0)*1000000+20*1000+64))</f>
        <v/>
      </c>
      <c r="BO132" s="41">
        <f>IF(N('Dvd Calendar'!$AC$1807)=0,"",IF(('Dvd Calendar'!$AC$1807&gt;=MIN(DATE(Summary!$C$12,1,1),Summary!$C$11))*('Dvd Calendar'!$AC$1807&lt;=MAX(DATE(Summary!$C$12,12,31),Summary!$C$15))*('Dvd Calendar'!$AC$1807&gt;Summary!$C$11)=0,"",'Dvd Calendar'!$AC$1807*1000000000+ISNUMBER('Dvd Calendar'!$AC$1808)*100000000+('Dvd Calendar'!$AC$1812='Field Check'!$C$25)*10000000+(N('Dvd Calendar'!$AC$1806)&gt;0)*1000000+20*1000+65))</f>
        <v/>
      </c>
      <c r="BQ132" s="85">
        <f>IF(C132="","",IF(ISNUMBER('Dvd Calendar'!$E$1801)=FALSE,"",IF((Summary!$C$13="N")*('Dvd Calendar'!$E$1805='Field Check'!$C$25)&gt;0,"",'Dvd Calendar'!$E$1801)))</f>
        <v/>
      </c>
      <c r="BR132" s="85">
        <f>IF(D132="","",IF(ISNUMBER('Dvd Calendar'!$F$1801)=FALSE,"",IF((Summary!$C$13="N")*('Dvd Calendar'!$F$1805='Field Check'!$C$25)&gt;0,"",'Dvd Calendar'!$F$1801)))</f>
        <v/>
      </c>
      <c r="BS132" s="85">
        <f>IF(E132="","",IF(ISNUMBER('Dvd Calendar'!$G$1801)=FALSE,"",IF((Summary!$C$13="N")*('Dvd Calendar'!$G$1805='Field Check'!$C$25)&gt;0,"",'Dvd Calendar'!$G$1801)))</f>
        <v/>
      </c>
      <c r="BT132" s="85">
        <f>IF(F132="","",IF(ISNUMBER('Dvd Calendar'!$H$1801)=FALSE,"",IF((Summary!$C$13="N")*('Dvd Calendar'!$H$1805='Field Check'!$C$25)&gt;0,"",'Dvd Calendar'!$H$1801)))</f>
        <v/>
      </c>
      <c r="BU132" s="85">
        <f>IF(G132="","",IF(ISNUMBER('Dvd Calendar'!$I$1801)=FALSE,"",IF((Summary!$C$13="N")*('Dvd Calendar'!$I$1805='Field Check'!$C$25)&gt;0,"",'Dvd Calendar'!$I$1801)))</f>
        <v/>
      </c>
      <c r="BV132" s="85">
        <f>IF(H132="","",IF(ISNUMBER('Dvd Calendar'!$J$1801)=FALSE,"",IF((Summary!$C$13="N")*('Dvd Calendar'!$J$1805='Field Check'!$C$25)&gt;0,"",'Dvd Calendar'!$J$1801)))</f>
        <v/>
      </c>
      <c r="BW132" s="85">
        <f>IF(I132="","",IF(ISNUMBER('Dvd Calendar'!$K$1801)=FALSE,"",IF((Summary!$C$13="N")*('Dvd Calendar'!$K$1805='Field Check'!$C$25)&gt;0,"",'Dvd Calendar'!$K$1801)))</f>
        <v/>
      </c>
      <c r="BX132" s="85">
        <f>IF(J132="","",IF(ISNUMBER('Dvd Calendar'!$L$1801)=FALSE,"",IF((Summary!$C$13="N")*('Dvd Calendar'!$L$1805='Field Check'!$C$25)&gt;0,"",'Dvd Calendar'!$L$1801)))</f>
        <v/>
      </c>
      <c r="BY132" s="85">
        <f>IF(K132="","",IF(ISNUMBER('Dvd Calendar'!$M$1801)=FALSE,"",IF((Summary!$C$13="N")*('Dvd Calendar'!$M$1805='Field Check'!$C$25)&gt;0,"",'Dvd Calendar'!$M$1801)))</f>
        <v/>
      </c>
      <c r="BZ132" s="85">
        <f>IF(L132="","",IF(ISNUMBER('Dvd Calendar'!$N$1801)=FALSE,"",IF((Summary!$C$13="N")*('Dvd Calendar'!$N$1805='Field Check'!$C$25)&gt;0,"",'Dvd Calendar'!$N$1801)))</f>
        <v/>
      </c>
      <c r="CA132" s="85">
        <f>IF(M132="","",IF(ISNUMBER('Dvd Calendar'!$O$1801)=FALSE,"",IF((Summary!$C$13="N")*('Dvd Calendar'!$O$1805='Field Check'!$C$25)&gt;0,"",'Dvd Calendar'!$O$1801)))</f>
        <v/>
      </c>
      <c r="CB132" s="85">
        <f>IF(N132="","",IF(ISNUMBER('Dvd Calendar'!$P$1801)=FALSE,"",IF((Summary!$C$13="N")*('Dvd Calendar'!$P$1805='Field Check'!$C$25)&gt;0,"",'Dvd Calendar'!$P$1801)))</f>
        <v/>
      </c>
      <c r="CC132" s="85">
        <f>IF(O132="","",IF(ISNUMBER('Dvd Calendar'!$Q$1801)=FALSE,"",IF((Summary!$C$13="N")*('Dvd Calendar'!$Q$1805='Field Check'!$C$25)&gt;0,"",'Dvd Calendar'!$Q$1801)))</f>
        <v/>
      </c>
      <c r="CD132" s="85">
        <f>IF(P132="","",IF(ISNUMBER('Dvd Calendar'!$R$1801)=FALSE,"",IF((Summary!$C$13="N")*('Dvd Calendar'!$R$1805='Field Check'!$C$25)&gt;0,"",'Dvd Calendar'!$R$1801)))</f>
        <v/>
      </c>
      <c r="CE132" s="85">
        <f>IF(Q132="","",IF(ISNUMBER('Dvd Calendar'!$S$1801)=FALSE,"",IF((Summary!$C$13="N")*('Dvd Calendar'!$S$1805='Field Check'!$C$25)&gt;0,"",'Dvd Calendar'!$S$1801)))</f>
        <v/>
      </c>
      <c r="CF132" s="85">
        <f>IF(R132="","",IF(ISNUMBER('Dvd Calendar'!$T$1801)=FALSE,"",IF((Summary!$C$13="N")*('Dvd Calendar'!$T$1805='Field Check'!$C$25)&gt;0,"",'Dvd Calendar'!$T$1801)))</f>
        <v/>
      </c>
      <c r="CG132" s="85">
        <f>IF(S132="","",IF(ISNUMBER('Dvd Calendar'!$U$1801)=FALSE,"",IF((Summary!$C$13="N")*('Dvd Calendar'!$U$1805='Field Check'!$C$25)&gt;0,"",'Dvd Calendar'!$U$1801)))</f>
        <v/>
      </c>
      <c r="CH132" s="85">
        <f>IF(T132="","",IF(ISNUMBER('Dvd Calendar'!$V$1801)=FALSE,"",IF((Summary!$C$13="N")*('Dvd Calendar'!$V$1805='Field Check'!$C$25)&gt;0,"",'Dvd Calendar'!$V$1801)))</f>
        <v/>
      </c>
      <c r="CI132" s="85">
        <f>IF(U132="","",IF(ISNUMBER('Dvd Calendar'!$W$1801)=FALSE,"",IF((Summary!$C$13="N")*('Dvd Calendar'!$W$1805='Field Check'!$C$25)&gt;0,"",'Dvd Calendar'!$W$1801)))</f>
        <v/>
      </c>
      <c r="CJ132" s="85">
        <f>IF(V132="","",IF(ISNUMBER('Dvd Calendar'!$X$1801)=FALSE,"",IF((Summary!$C$13="N")*('Dvd Calendar'!$X$1805='Field Check'!$C$25)&gt;0,"",'Dvd Calendar'!$X$1801)))</f>
        <v/>
      </c>
      <c r="CK132" s="85">
        <f>IF(W132="","",IF(ISNUMBER('Dvd Calendar'!$Y$1801)=FALSE,"",IF((Summary!$C$13="N")*('Dvd Calendar'!$Y$1805='Field Check'!$C$25)&gt;0,"",'Dvd Calendar'!$Y$1801)))</f>
        <v/>
      </c>
      <c r="CL132" s="85">
        <f>IF(X132="","",IF(ISNUMBER('Dvd Calendar'!$Z$1801)=FALSE,"",IF((Summary!$C$13="N")*('Dvd Calendar'!$Z$1805='Field Check'!$C$25)&gt;0,"",'Dvd Calendar'!$Z$1801)))</f>
        <v/>
      </c>
      <c r="CM132" s="85">
        <f>IF(Y132="","",IF(ISNUMBER('Dvd Calendar'!$AA$1801)=FALSE,"",IF((Summary!$C$13="N")*('Dvd Calendar'!$AA$1805='Field Check'!$C$25)&gt;0,"",'Dvd Calendar'!$AA$1801)))</f>
        <v/>
      </c>
      <c r="CN132" s="85">
        <f>IF(Z132="","",IF(ISNUMBER('Dvd Calendar'!$AB$1801)=FALSE,"",IF((Summary!$C$13="N")*('Dvd Calendar'!$AB$1805='Field Check'!$C$25)&gt;0,"",'Dvd Calendar'!$AB$1801)))</f>
        <v/>
      </c>
      <c r="CO132" s="85">
        <f>IF(AA132="","",IF(ISNUMBER('Dvd Calendar'!$AC$1801)=FALSE,"",IF((Summary!$C$13="N")*('Dvd Calendar'!$AC$1805='Field Check'!$C$25)&gt;0,"",'Dvd Calendar'!$AC$1801)))</f>
        <v/>
      </c>
      <c r="CP132" s="85">
        <f>IF(AB132="","",IF(ISNUMBER('Dvd Calendar'!$AD$1801)=FALSE,"",IF((Summary!$C$13="N")*('Dvd Calendar'!$AD$1805='Field Check'!$C$25)&gt;0,"",'Dvd Calendar'!$AD$1801)))</f>
        <v/>
      </c>
      <c r="CQ132" s="85">
        <f>IF(AC132="","",IF(ISNUMBER('Dvd Calendar'!$AE$1801)=FALSE,"",IF((Summary!$C$13="N")*('Dvd Calendar'!$AE$1805='Field Check'!$C$25)&gt;0,"",'Dvd Calendar'!$AE$1801)))</f>
        <v/>
      </c>
      <c r="CR132" s="85">
        <f>IF(AD132="","",IF(ISNUMBER('Dvd Calendar'!$AF$1801)=FALSE,"",IF((Summary!$C$13="N")*('Dvd Calendar'!$AF$1805='Field Check'!$C$25)&gt;0,"",'Dvd Calendar'!$AF$1801)))</f>
        <v/>
      </c>
      <c r="CS132" s="85">
        <f>IF(AE132="","",IF(ISNUMBER('Dvd Calendar'!$AG$1801)=FALSE,"",IF((Summary!$C$13="N")*('Dvd Calendar'!$AG$1805='Field Check'!$C$25)&gt;0,"",'Dvd Calendar'!$AG$1801)))</f>
        <v/>
      </c>
      <c r="CT132" s="85">
        <f>IF(AF132="","",IF(ISNUMBER('Dvd Calendar'!$AH$1801)=FALSE,"",IF((Summary!$C$13="N")*('Dvd Calendar'!$AH$1805='Field Check'!$C$25)&gt;0,"",'Dvd Calendar'!$AH$1801)))</f>
        <v/>
      </c>
      <c r="CU132" s="85">
        <f>IF(AG132="","",IF(ISNUMBER('Dvd Calendar'!$AI$1801)=FALSE,"",IF((Summary!$C$13="N")*('Dvd Calendar'!$AI$1805='Field Check'!$C$25)&gt;0,"",'Dvd Calendar'!$AI$1801)))</f>
        <v/>
      </c>
      <c r="CV132" s="85">
        <f>IF(AH132="","",IF(ISNUMBER('Dvd Calendar'!$AJ$1801)=FALSE,"",IF((Summary!$C$13="N")*('Dvd Calendar'!$AJ$1805='Field Check'!$C$25)&gt;0,"",'Dvd Calendar'!$AJ$1801)))</f>
        <v/>
      </c>
      <c r="CW132" s="85">
        <f>IF(AI132="","",IF(ISNUMBER('Dvd Calendar'!$AK$1801)=FALSE,"",IF((Summary!$C$13="N")*('Dvd Calendar'!$AK$1805='Field Check'!$C$25)&gt;0,"",'Dvd Calendar'!$AK$1801)))</f>
        <v/>
      </c>
      <c r="CX132" s="85">
        <f>IF(AJ132="","",IF(ISNUMBER('Dvd Calendar'!$AL$1801)=FALSE,"",IF((Summary!$C$13="N")*('Dvd Calendar'!$AL$1805='Field Check'!$C$25)&gt;0,"",'Dvd Calendar'!$AL$1801)))</f>
        <v/>
      </c>
      <c r="CY132" s="85">
        <f>IF(AK132="","",IF(ISNUMBER('Dvd Calendar'!$AM$1801)=FALSE,"",IF((Summary!$C$13="N")*('Dvd Calendar'!$AM$1805='Field Check'!$C$25)&gt;0,"",'Dvd Calendar'!$AM$1801)))</f>
        <v/>
      </c>
      <c r="CZ132" s="85">
        <f>IF(AL132="","",IF(ISNUMBER('Dvd Calendar'!$AN$1801)=FALSE,"",IF((Summary!$C$13="N")*('Dvd Calendar'!$AN$1805='Field Check'!$C$25)&gt;0,"",'Dvd Calendar'!$AN$1801)))</f>
        <v/>
      </c>
      <c r="DA132" s="85">
        <f>IF(AM132="","",IF(ISNUMBER('Dvd Calendar'!$AO$1801)=FALSE,"",IF((Summary!$C$13="N")*('Dvd Calendar'!$AO$1805='Field Check'!$C$25)&gt;0,"",'Dvd Calendar'!$AO$1801)))</f>
        <v/>
      </c>
      <c r="DB132" s="85">
        <f>IF(AN132="","",IF(ISNUMBER('Dvd Calendar'!$AP$1801)=FALSE,"",IF((Summary!$C$13="N")*('Dvd Calendar'!$AP$1805='Field Check'!$C$25)&gt;0,"",'Dvd Calendar'!$AP$1801)))</f>
        <v/>
      </c>
      <c r="DC132" s="85">
        <f>IF(AO132="","",IF(ISNUMBER('Dvd Calendar'!$AQ$1801)=FALSE,"",IF((Summary!$C$13="N")*('Dvd Calendar'!$AQ$1805='Field Check'!$C$25)&gt;0,"",'Dvd Calendar'!$AQ$1801)))</f>
        <v/>
      </c>
      <c r="DD132" s="85">
        <f>IF(AP132="","",IF(ISNUMBER('Dvd Calendar'!$AR$1801)=FALSE,"",IF((Summary!$C$13="N")*('Dvd Calendar'!$AR$1805='Field Check'!$C$25)&gt;0,"",'Dvd Calendar'!$AR$1801)))</f>
        <v/>
      </c>
      <c r="DE132" s="85">
        <f>IF(AQ132="","",IF(ISNUMBER('Dvd Calendar'!$E$1808)=FALSE,"",IF((Summary!$C$13="N")*('Dvd Calendar'!$E$1812='Field Check'!$C$25)&gt;0,"",'Dvd Calendar'!$E$1808)))</f>
        <v/>
      </c>
      <c r="DF132" s="85">
        <f>IF(AR132="","",IF(ISNUMBER('Dvd Calendar'!$F$1808)=FALSE,"",IF((Summary!$C$13="N")*('Dvd Calendar'!$F$1812='Field Check'!$C$25)&gt;0,"",'Dvd Calendar'!$F$1808)))</f>
        <v/>
      </c>
      <c r="DG132" s="85">
        <f>IF(AS132="","",IF(ISNUMBER('Dvd Calendar'!$G$1808)=FALSE,"",IF((Summary!$C$13="N")*('Dvd Calendar'!$G$1812='Field Check'!$C$25)&gt;0,"",'Dvd Calendar'!$G$1808)))</f>
        <v/>
      </c>
      <c r="DH132" s="85">
        <f>IF(AT132="","",IF(ISNUMBER('Dvd Calendar'!$H$1808)=FALSE,"",IF((Summary!$C$13="N")*('Dvd Calendar'!$H$1812='Field Check'!$C$25)&gt;0,"",'Dvd Calendar'!$H$1808)))</f>
        <v/>
      </c>
      <c r="DI132" s="85">
        <f>IF(AU132="","",IF(ISNUMBER('Dvd Calendar'!$I$1808)=FALSE,"",IF((Summary!$C$13="N")*('Dvd Calendar'!$I$1812='Field Check'!$C$25)&gt;0,"",'Dvd Calendar'!$I$1808)))</f>
        <v/>
      </c>
      <c r="DJ132" s="85">
        <f>IF(AV132="","",IF(ISNUMBER('Dvd Calendar'!$J$1808)=FALSE,"",IF((Summary!$C$13="N")*('Dvd Calendar'!$J$1812='Field Check'!$C$25)&gt;0,"",'Dvd Calendar'!$J$1808)))</f>
        <v/>
      </c>
      <c r="DK132" s="85">
        <f>IF(AW132="","",IF(ISNUMBER('Dvd Calendar'!$K$1808)=FALSE,"",IF((Summary!$C$13="N")*('Dvd Calendar'!$K$1812='Field Check'!$C$25)&gt;0,"",'Dvd Calendar'!$K$1808)))</f>
        <v/>
      </c>
      <c r="DL132" s="85">
        <f>IF(AX132="","",IF(ISNUMBER('Dvd Calendar'!$L$1808)=FALSE,"",IF((Summary!$C$13="N")*('Dvd Calendar'!$L$1812='Field Check'!$C$25)&gt;0,"",'Dvd Calendar'!$L$1808)))</f>
        <v/>
      </c>
      <c r="DM132" s="85">
        <f>IF(AY132="","",IF(ISNUMBER('Dvd Calendar'!$M$1808)=FALSE,"",IF((Summary!$C$13="N")*('Dvd Calendar'!$M$1812='Field Check'!$C$25)&gt;0,"",'Dvd Calendar'!$M$1808)))</f>
        <v/>
      </c>
      <c r="DN132" s="85">
        <f>IF(AZ132="","",IF(ISNUMBER('Dvd Calendar'!$N$1808)=FALSE,"",IF((Summary!$C$13="N")*('Dvd Calendar'!$N$1812='Field Check'!$C$25)&gt;0,"",'Dvd Calendar'!$N$1808)))</f>
        <v/>
      </c>
      <c r="DO132" s="85">
        <f>IF(BA132="","",IF(ISNUMBER('Dvd Calendar'!$O$1808)=FALSE,"",IF((Summary!$C$13="N")*('Dvd Calendar'!$O$1812='Field Check'!$C$25)&gt;0,"",'Dvd Calendar'!$O$1808)))</f>
        <v/>
      </c>
      <c r="DP132" s="85">
        <f>IF(BB132="","",IF(ISNUMBER('Dvd Calendar'!$P$1808)=FALSE,"",IF((Summary!$C$13="N")*('Dvd Calendar'!$P$1812='Field Check'!$C$25)&gt;0,"",'Dvd Calendar'!$P$1808)))</f>
        <v/>
      </c>
      <c r="DQ132" s="85">
        <f>IF(BC132="","",IF(ISNUMBER('Dvd Calendar'!$Q$1808)=FALSE,"",IF((Summary!$C$13="N")*('Dvd Calendar'!$Q$1812='Field Check'!$C$25)&gt;0,"",'Dvd Calendar'!$Q$1808)))</f>
        <v/>
      </c>
      <c r="DR132" s="85">
        <f>IF(BD132="","",IF(ISNUMBER('Dvd Calendar'!$R$1808)=FALSE,"",IF((Summary!$C$13="N")*('Dvd Calendar'!$R$1812='Field Check'!$C$25)&gt;0,"",'Dvd Calendar'!$R$1808)))</f>
        <v/>
      </c>
      <c r="DS132" s="85">
        <f>IF(BE132="","",IF(ISNUMBER('Dvd Calendar'!$S$1808)=FALSE,"",IF((Summary!$C$13="N")*('Dvd Calendar'!$S$1812='Field Check'!$C$25)&gt;0,"",'Dvd Calendar'!$S$1808)))</f>
        <v/>
      </c>
      <c r="DT132" s="85">
        <f>IF(BF132="","",IF(ISNUMBER('Dvd Calendar'!$T$1808)=FALSE,"",IF((Summary!$C$13="N")*('Dvd Calendar'!$T$1812='Field Check'!$C$25)&gt;0,"",'Dvd Calendar'!$T$1808)))</f>
        <v/>
      </c>
      <c r="DU132" s="85">
        <f>IF(BG132="","",IF(ISNUMBER('Dvd Calendar'!$U$1808)=FALSE,"",IF((Summary!$C$13="N")*('Dvd Calendar'!$U$1812='Field Check'!$C$25)&gt;0,"",'Dvd Calendar'!$U$1808)))</f>
        <v/>
      </c>
      <c r="DV132" s="85">
        <f>IF(BH132="","",IF(ISNUMBER('Dvd Calendar'!$V$1808)=FALSE,"",IF((Summary!$C$13="N")*('Dvd Calendar'!$V$1812='Field Check'!$C$25)&gt;0,"",'Dvd Calendar'!$V$1808)))</f>
        <v/>
      </c>
      <c r="DW132" s="85">
        <f>IF(BI132="","",IF(ISNUMBER('Dvd Calendar'!$W$1808)=FALSE,"",IF((Summary!$C$13="N")*('Dvd Calendar'!$W$1812='Field Check'!$C$25)&gt;0,"",'Dvd Calendar'!$W$1808)))</f>
        <v/>
      </c>
      <c r="DX132" s="85">
        <f>IF(BJ132="","",IF(ISNUMBER('Dvd Calendar'!$X$1808)=FALSE,"",IF((Summary!$C$13="N")*('Dvd Calendar'!$X$1812='Field Check'!$C$25)&gt;0,"",'Dvd Calendar'!$X$1808)))</f>
        <v/>
      </c>
      <c r="DY132" s="85">
        <f>IF(BK132="","",IF(ISNUMBER('Dvd Calendar'!$Y$1808)=FALSE,"",IF((Summary!$C$13="N")*('Dvd Calendar'!$Y$1812='Field Check'!$C$25)&gt;0,"",'Dvd Calendar'!$Y$1808)))</f>
        <v/>
      </c>
      <c r="DZ132" s="85">
        <f>IF(BL132="","",IF(ISNUMBER('Dvd Calendar'!$Z$1808)=FALSE,"",IF((Summary!$C$13="N")*('Dvd Calendar'!$Z$1812='Field Check'!$C$25)&gt;0,"",'Dvd Calendar'!$Z$1808)))</f>
        <v/>
      </c>
      <c r="EA132" s="85">
        <f>IF(BM132="","",IF(ISNUMBER('Dvd Calendar'!$AA$1808)=FALSE,"",IF((Summary!$C$13="N")*('Dvd Calendar'!$AA$1812='Field Check'!$C$25)&gt;0,"",'Dvd Calendar'!$AA$1808)))</f>
        <v/>
      </c>
      <c r="EB132" s="85">
        <f>IF(BN132="","",IF(ISNUMBER('Dvd Calendar'!$AB$1808)=FALSE,"",IF((Summary!$C$13="N")*('Dvd Calendar'!$AB$1812='Field Check'!$C$25)&gt;0,"",'Dvd Calendar'!$AB$1808)))</f>
        <v/>
      </c>
      <c r="EC132" s="85">
        <f>IF(BO132="","",IF(ISNUMBER('Dvd Calendar'!$AC$1808)=FALSE,"",IF((Summary!$C$13="N")*('Dvd Calendar'!$AC$1812='Field Check'!$C$25)&gt;0,"",'Dvd Calendar'!$AC$1808)))</f>
        <v/>
      </c>
      <c r="EE132" s="85">
        <f>IF(BQ132="","",IFERROR(BQ132*HSTECH!$B$26*HSTECH!$G$26/HSTECH!$B$3,""))</f>
        <v/>
      </c>
      <c r="EF132" s="85">
        <f>IF(BR132="","",IFERROR(BR132*HSTECH!$B$26*HSTECH!$G$26/HSTECH!$B$3,""))</f>
        <v/>
      </c>
      <c r="EG132" s="85">
        <f>IF(BS132="","",IFERROR(BS132*HSTECH!$B$26*HSTECH!$G$26/HSTECH!$B$3,""))</f>
        <v/>
      </c>
      <c r="EH132" s="85">
        <f>IF(BT132="","",IFERROR(BT132*HSTECH!$B$26*HSTECH!$G$26/HSTECH!$B$3,""))</f>
        <v/>
      </c>
      <c r="EI132" s="85">
        <f>IF(BU132="","",IFERROR(BU132*HSTECH!$B$26*HSTECH!$G$26/HSTECH!$B$3,""))</f>
        <v/>
      </c>
      <c r="EJ132" s="85">
        <f>IF(BV132="","",IFERROR(BV132*HSTECH!$B$26*HSTECH!$G$26/HSTECH!$B$3,""))</f>
        <v/>
      </c>
      <c r="EK132" s="85">
        <f>IF(BW132="","",IFERROR(BW132*HSTECH!$B$26*HSTECH!$G$26/HSTECH!$B$3,""))</f>
        <v/>
      </c>
      <c r="EL132" s="85">
        <f>IF(BX132="","",IFERROR(BX132*HSTECH!$B$26*HSTECH!$G$26/HSTECH!$B$3,""))</f>
        <v/>
      </c>
      <c r="EM132" s="85">
        <f>IF(BY132="","",IFERROR(BY132*HSTECH!$B$26*HSTECH!$G$26/HSTECH!$B$3,""))</f>
        <v/>
      </c>
      <c r="EN132" s="85">
        <f>IF(BZ132="","",IFERROR(BZ132*HSTECH!$B$26*HSTECH!$G$26/HSTECH!$B$3,""))</f>
        <v/>
      </c>
      <c r="EO132" s="85">
        <f>IF(CA132="","",IFERROR(CA132*HSTECH!$B$26*HSTECH!$G$26/HSTECH!$B$3,""))</f>
        <v/>
      </c>
      <c r="EP132" s="85">
        <f>IF(CB132="","",IFERROR(CB132*HSTECH!$B$26*HSTECH!$G$26/HSTECH!$B$3,""))</f>
        <v/>
      </c>
      <c r="EQ132" s="85">
        <f>IF(CC132="","",IFERROR(CC132*HSTECH!$B$26*HSTECH!$G$26/HSTECH!$B$3,""))</f>
        <v/>
      </c>
      <c r="ER132" s="85">
        <f>IF(CD132="","",IFERROR(CD132*HSTECH!$B$26*HSTECH!$G$26/HSTECH!$B$3,""))</f>
        <v/>
      </c>
      <c r="ES132" s="85">
        <f>IF(CE132="","",IFERROR(CE132*HSTECH!$B$26*HSTECH!$G$26/HSTECH!$B$3,""))</f>
        <v/>
      </c>
      <c r="ET132" s="85">
        <f>IF(CF132="","",IFERROR(CF132*HSTECH!$B$26*HSTECH!$G$26/HSTECH!$B$3,""))</f>
        <v/>
      </c>
      <c r="EU132" s="85">
        <f>IF(CG132="","",IFERROR(CG132*HSTECH!$B$26*HSTECH!$G$26/HSTECH!$B$3,""))</f>
        <v/>
      </c>
      <c r="EV132" s="85">
        <f>IF(CH132="","",IFERROR(CH132*HSTECH!$B$26*HSTECH!$G$26/HSTECH!$B$3,""))</f>
        <v/>
      </c>
      <c r="EW132" s="85">
        <f>IF(CI132="","",IFERROR(CI132*HSTECH!$B$26*HSTECH!$G$26/HSTECH!$B$3,""))</f>
        <v/>
      </c>
      <c r="EX132" s="85">
        <f>IF(CJ132="","",IFERROR(CJ132*HSTECH!$B$26*HSTECH!$G$26/HSTECH!$B$3,""))</f>
        <v/>
      </c>
      <c r="EY132" s="85">
        <f>IF(CK132="","",IFERROR(CK132*HSTECH!$B$26*HSTECH!$G$26/HSTECH!$B$3,""))</f>
        <v/>
      </c>
      <c r="EZ132" s="85">
        <f>IF(CL132="","",IFERROR(CL132*HSTECH!$B$26*HSTECH!$G$26/HSTECH!$B$3,""))</f>
        <v/>
      </c>
      <c r="FA132" s="85">
        <f>IF(CM132="","",IFERROR(CM132*HSTECH!$B$26*HSTECH!$G$26/HSTECH!$B$3,""))</f>
        <v/>
      </c>
      <c r="FB132" s="85">
        <f>IF(CN132="","",IFERROR(CN132*HSTECH!$B$26*HSTECH!$G$26/HSTECH!$B$3,""))</f>
        <v/>
      </c>
      <c r="FC132" s="85">
        <f>IF(CO132="","",IFERROR(CO132*HSTECH!$B$26*HSTECH!$G$26/HSTECH!$B$3,""))</f>
        <v/>
      </c>
      <c r="FD132" s="85">
        <f>IF(CP132="","",IFERROR(CP132*HSTECH!$B$26*HSTECH!$G$26/HSTECH!$B$3,""))</f>
        <v/>
      </c>
      <c r="FE132" s="85">
        <f>IF(CQ132="","",IFERROR(CQ132*HSTECH!$B$26*HSTECH!$G$26/HSTECH!$B$3,""))</f>
        <v/>
      </c>
      <c r="FF132" s="85">
        <f>IF(CR132="","",IFERROR(CR132*HSTECH!$B$26*HSTECH!$G$26/HSTECH!$B$3,""))</f>
        <v/>
      </c>
      <c r="FG132" s="85">
        <f>IF(CS132="","",IFERROR(CS132*HSTECH!$B$26*HSTECH!$G$26/HSTECH!$B$3,""))</f>
        <v/>
      </c>
      <c r="FH132" s="85">
        <f>IF(CT132="","",IFERROR(CT132*HSTECH!$B$26*HSTECH!$G$26/HSTECH!$B$3,""))</f>
        <v/>
      </c>
      <c r="FI132" s="85">
        <f>IF(CU132="","",IFERROR(CU132*HSTECH!$B$26*HSTECH!$G$26/HSTECH!$B$3,""))</f>
        <v/>
      </c>
      <c r="FJ132" s="85">
        <f>IF(CV132="","",IFERROR(CV132*HSTECH!$B$26*HSTECH!$G$26/HSTECH!$B$3,""))</f>
        <v/>
      </c>
      <c r="FK132" s="85">
        <f>IF(CW132="","",IFERROR(CW132*HSTECH!$B$26*HSTECH!$G$26/HSTECH!$B$3,""))</f>
        <v/>
      </c>
      <c r="FL132" s="85">
        <f>IF(CX132="","",IFERROR(CX132*HSTECH!$B$26*HSTECH!$G$26/HSTECH!$B$3,""))</f>
        <v/>
      </c>
      <c r="FM132" s="85">
        <f>IF(CY132="","",IFERROR(CY132*HSTECH!$B$26*HSTECH!$G$26/HSTECH!$B$3,""))</f>
        <v/>
      </c>
      <c r="FN132" s="85">
        <f>IF(CZ132="","",IFERROR(CZ132*HSTECH!$B$26*HSTECH!$G$26/HSTECH!$B$3,""))</f>
        <v/>
      </c>
      <c r="FO132" s="85">
        <f>IF(DA132="","",IFERROR(DA132*HSTECH!$B$26*HSTECH!$G$26/HSTECH!$B$3,""))</f>
        <v/>
      </c>
      <c r="FP132" s="85">
        <f>IF(DB132="","",IFERROR(DB132*HSTECH!$B$26*HSTECH!$G$26/HSTECH!$B$3,""))</f>
        <v/>
      </c>
      <c r="FQ132" s="85">
        <f>IF(DC132="","",IFERROR(DC132*HSTECH!$B$26*HSTECH!$G$26/HSTECH!$B$3,""))</f>
        <v/>
      </c>
      <c r="FR132" s="85">
        <f>IF(DD132="","",IFERROR(DD132*HSTECH!$B$26*HSTECH!$G$26/HSTECH!$B$3,""))</f>
        <v/>
      </c>
      <c r="FS132" s="85">
        <f>IF(DE132="","",IFERROR(DE132*HSTECH!$B$26*HSTECH!$G$26/HSTECH!$B$3,""))</f>
        <v/>
      </c>
      <c r="FT132" s="85">
        <f>IF(DF132="","",IFERROR(DF132*HSTECH!$B$26*HSTECH!$G$26/HSTECH!$B$3,""))</f>
        <v/>
      </c>
      <c r="FU132" s="85">
        <f>IF(DG132="","",IFERROR(DG132*HSTECH!$B$26*HSTECH!$G$26/HSTECH!$B$3,""))</f>
        <v/>
      </c>
      <c r="FV132" s="85">
        <f>IF(DH132="","",IFERROR(DH132*HSTECH!$B$26*HSTECH!$G$26/HSTECH!$B$3,""))</f>
        <v/>
      </c>
      <c r="FW132" s="85">
        <f>IF(DI132="","",IFERROR(DI132*HSTECH!$B$26*HSTECH!$G$26/HSTECH!$B$3,""))</f>
        <v/>
      </c>
      <c r="FX132" s="85">
        <f>IF(DJ132="","",IFERROR(DJ132*HSTECH!$B$26*HSTECH!$G$26/HSTECH!$B$3,""))</f>
        <v/>
      </c>
      <c r="FY132" s="85">
        <f>IF(DK132="","",IFERROR(DK132*HSTECH!$B$26*HSTECH!$G$26/HSTECH!$B$3,""))</f>
        <v/>
      </c>
      <c r="FZ132" s="85">
        <f>IF(DL132="","",IFERROR(DL132*HSTECH!$B$26*HSTECH!$G$26/HSTECH!$B$3,""))</f>
        <v/>
      </c>
      <c r="GA132" s="85">
        <f>IF(DM132="","",IFERROR(DM132*HSTECH!$B$26*HSTECH!$G$26/HSTECH!$B$3,""))</f>
        <v/>
      </c>
      <c r="GB132" s="85">
        <f>IF(DN132="","",IFERROR(DN132*HSTECH!$B$26*HSTECH!$G$26/HSTECH!$B$3,""))</f>
        <v/>
      </c>
      <c r="GC132" s="85">
        <f>IF(DO132="","",IFERROR(DO132*HSTECH!$B$26*HSTECH!$G$26/HSTECH!$B$3,""))</f>
        <v/>
      </c>
      <c r="GD132" s="85">
        <f>IF(DP132="","",IFERROR(DP132*HSTECH!$B$26*HSTECH!$G$26/HSTECH!$B$3,""))</f>
        <v/>
      </c>
      <c r="GE132" s="85">
        <f>IF(DQ132="","",IFERROR(DQ132*HSTECH!$B$26*HSTECH!$G$26/HSTECH!$B$3,""))</f>
        <v/>
      </c>
      <c r="GF132" s="85">
        <f>IF(DR132="","",IFERROR(DR132*HSTECH!$B$26*HSTECH!$G$26/HSTECH!$B$3,""))</f>
        <v/>
      </c>
      <c r="GG132" s="85">
        <f>IF(DS132="","",IFERROR(DS132*HSTECH!$B$26*HSTECH!$G$26/HSTECH!$B$3,""))</f>
        <v/>
      </c>
      <c r="GH132" s="85">
        <f>IF(DT132="","",IFERROR(DT132*HSTECH!$B$26*HSTECH!$G$26/HSTECH!$B$3,""))</f>
        <v/>
      </c>
      <c r="GI132" s="85">
        <f>IF(DU132="","",IFERROR(DU132*HSTECH!$B$26*HSTECH!$G$26/HSTECH!$B$3,""))</f>
        <v/>
      </c>
      <c r="GJ132" s="85">
        <f>IF(DV132="","",IFERROR(DV132*HSTECH!$B$26*HSTECH!$G$26/HSTECH!$B$3,""))</f>
        <v/>
      </c>
      <c r="GK132" s="85">
        <f>IF(DW132="","",IFERROR(DW132*HSTECH!$B$26*HSTECH!$G$26/HSTECH!$B$3,""))</f>
        <v/>
      </c>
      <c r="GL132" s="85">
        <f>IF(DX132="","",IFERROR(DX132*HSTECH!$B$26*HSTECH!$G$26/HSTECH!$B$3,""))</f>
        <v/>
      </c>
      <c r="GM132" s="85">
        <f>IF(DY132="","",IFERROR(DY132*HSTECH!$B$26*HSTECH!$G$26/HSTECH!$B$3,""))</f>
        <v/>
      </c>
      <c r="GN132" s="85">
        <f>IF(DZ132="","",IFERROR(DZ132*HSTECH!$B$26*HSTECH!$G$26/HSTECH!$B$3,""))</f>
        <v/>
      </c>
      <c r="GO132" s="85">
        <f>IF(EA132="","",IFERROR(EA132*HSTECH!$B$26*HSTECH!$G$26/HSTECH!$B$3,""))</f>
        <v/>
      </c>
      <c r="GP132" s="85">
        <f>IF(EB132="","",IFERROR(EB132*HSTECH!$B$26*HSTECH!$G$26/HSTECH!$B$3,""))</f>
        <v/>
      </c>
      <c r="GQ132" s="85">
        <f>IF(EC132="","",IFERROR(EC132*HSTECH!$B$26*HSTECH!$G$26/HSTECH!$B$3,""))</f>
        <v/>
      </c>
    </row>
    <row r="133">
      <c r="B133" s="2">
        <f>IF(HSTECH!$C$27="","",HSTECH!$C$27)</f>
        <v/>
      </c>
      <c r="C133" s="41">
        <f>IF(N('Dvd Calendar'!$E$1815)=0,"",IF(('Dvd Calendar'!$E$1815&gt;=MIN(DATE(Summary!$C$12,1,1),Summary!$C$11))*('Dvd Calendar'!$E$1815&lt;=MAX(DATE(Summary!$C$12,12,31),Summary!$C$15))*('Dvd Calendar'!$E$1815&lt;=Summary!$C$11)=0,"",'Dvd Calendar'!$E$1815*1000000000+ISNUMBER('Dvd Calendar'!$E$1816)*100000000+('Dvd Calendar'!$E$1820='Field Check'!$C$25)*10000000+(N('Dvd Calendar'!$E$1814)&gt;0)*1000000+21*1000+1))</f>
        <v/>
      </c>
      <c r="D133" s="41">
        <f>IF(N('Dvd Calendar'!$F$1815)=0,"",IF(('Dvd Calendar'!$F$1815&gt;=MIN(DATE(Summary!$C$12,1,1),Summary!$C$11))*('Dvd Calendar'!$F$1815&lt;=MAX(DATE(Summary!$C$12,12,31),Summary!$C$15))*('Dvd Calendar'!$F$1815&lt;=Summary!$C$11)=0,"",'Dvd Calendar'!$F$1815*1000000000+ISNUMBER('Dvd Calendar'!$F$1816)*100000000+('Dvd Calendar'!$F$1820='Field Check'!$C$25)*10000000+(N('Dvd Calendar'!$F$1814)&gt;0)*1000000+21*1000+2))</f>
        <v/>
      </c>
      <c r="E133" s="41">
        <f>IF(N('Dvd Calendar'!$G$1815)=0,"",IF(('Dvd Calendar'!$G$1815&gt;=MIN(DATE(Summary!$C$12,1,1),Summary!$C$11))*('Dvd Calendar'!$G$1815&lt;=MAX(DATE(Summary!$C$12,12,31),Summary!$C$15))*('Dvd Calendar'!$G$1815&lt;=Summary!$C$11)=0,"",'Dvd Calendar'!$G$1815*1000000000+ISNUMBER('Dvd Calendar'!$G$1816)*100000000+('Dvd Calendar'!$G$1820='Field Check'!$C$25)*10000000+(N('Dvd Calendar'!$G$1814)&gt;0)*1000000+21*1000+3))</f>
        <v/>
      </c>
      <c r="F133" s="41">
        <f>IF(N('Dvd Calendar'!$H$1815)=0,"",IF(('Dvd Calendar'!$H$1815&gt;=MIN(DATE(Summary!$C$12,1,1),Summary!$C$11))*('Dvd Calendar'!$H$1815&lt;=MAX(DATE(Summary!$C$12,12,31),Summary!$C$15))*('Dvd Calendar'!$H$1815&lt;=Summary!$C$11)=0,"",'Dvd Calendar'!$H$1815*1000000000+ISNUMBER('Dvd Calendar'!$H$1816)*100000000+('Dvd Calendar'!$H$1820='Field Check'!$C$25)*10000000+(N('Dvd Calendar'!$H$1814)&gt;0)*1000000+21*1000+4))</f>
        <v/>
      </c>
      <c r="G133" s="41">
        <f>IF(N('Dvd Calendar'!$I$1815)=0,"",IF(('Dvd Calendar'!$I$1815&gt;=MIN(DATE(Summary!$C$12,1,1),Summary!$C$11))*('Dvd Calendar'!$I$1815&lt;=MAX(DATE(Summary!$C$12,12,31),Summary!$C$15))*('Dvd Calendar'!$I$1815&lt;=Summary!$C$11)=0,"",'Dvd Calendar'!$I$1815*1000000000+ISNUMBER('Dvd Calendar'!$I$1816)*100000000+('Dvd Calendar'!$I$1820='Field Check'!$C$25)*10000000+(N('Dvd Calendar'!$I$1814)&gt;0)*1000000+21*1000+5))</f>
        <v/>
      </c>
      <c r="H133" s="41">
        <f>IF(N('Dvd Calendar'!$J$1815)=0,"",IF(('Dvd Calendar'!$J$1815&gt;=MIN(DATE(Summary!$C$12,1,1),Summary!$C$11))*('Dvd Calendar'!$J$1815&lt;=MAX(DATE(Summary!$C$12,12,31),Summary!$C$15))*('Dvd Calendar'!$J$1815&lt;=Summary!$C$11)=0,"",'Dvd Calendar'!$J$1815*1000000000+ISNUMBER('Dvd Calendar'!$J$1816)*100000000+('Dvd Calendar'!$J$1820='Field Check'!$C$25)*10000000+(N('Dvd Calendar'!$J$1814)&gt;0)*1000000+21*1000+6))</f>
        <v/>
      </c>
      <c r="I133" s="41">
        <f>IF(N('Dvd Calendar'!$K$1815)=0,"",IF(('Dvd Calendar'!$K$1815&gt;=MIN(DATE(Summary!$C$12,1,1),Summary!$C$11))*('Dvd Calendar'!$K$1815&lt;=MAX(DATE(Summary!$C$12,12,31),Summary!$C$15))*('Dvd Calendar'!$K$1815&lt;=Summary!$C$11)=0,"",'Dvd Calendar'!$K$1815*1000000000+ISNUMBER('Dvd Calendar'!$K$1816)*100000000+('Dvd Calendar'!$K$1820='Field Check'!$C$25)*10000000+(N('Dvd Calendar'!$K$1814)&gt;0)*1000000+21*1000+7))</f>
        <v/>
      </c>
      <c r="J133" s="41">
        <f>IF(N('Dvd Calendar'!$L$1815)=0,"",IF(('Dvd Calendar'!$L$1815&gt;=MIN(DATE(Summary!$C$12,1,1),Summary!$C$11))*('Dvd Calendar'!$L$1815&lt;=MAX(DATE(Summary!$C$12,12,31),Summary!$C$15))*('Dvd Calendar'!$L$1815&lt;=Summary!$C$11)=0,"",'Dvd Calendar'!$L$1815*1000000000+ISNUMBER('Dvd Calendar'!$L$1816)*100000000+('Dvd Calendar'!$L$1820='Field Check'!$C$25)*10000000+(N('Dvd Calendar'!$L$1814)&gt;0)*1000000+21*1000+8))</f>
        <v/>
      </c>
      <c r="K133" s="41">
        <f>IF(N('Dvd Calendar'!$M$1815)=0,"",IF(('Dvd Calendar'!$M$1815&gt;=MIN(DATE(Summary!$C$12,1,1),Summary!$C$11))*('Dvd Calendar'!$M$1815&lt;=MAX(DATE(Summary!$C$12,12,31),Summary!$C$15))*('Dvd Calendar'!$M$1815&lt;=Summary!$C$11)=0,"",'Dvd Calendar'!$M$1815*1000000000+ISNUMBER('Dvd Calendar'!$M$1816)*100000000+('Dvd Calendar'!$M$1820='Field Check'!$C$25)*10000000+(N('Dvd Calendar'!$M$1814)&gt;0)*1000000+21*1000+9))</f>
        <v/>
      </c>
      <c r="L133" s="41">
        <f>IF(N('Dvd Calendar'!$N$1815)=0,"",IF(('Dvd Calendar'!$N$1815&gt;=MIN(DATE(Summary!$C$12,1,1),Summary!$C$11))*('Dvd Calendar'!$N$1815&lt;=MAX(DATE(Summary!$C$12,12,31),Summary!$C$15))*('Dvd Calendar'!$N$1815&lt;=Summary!$C$11)=0,"",'Dvd Calendar'!$N$1815*1000000000+ISNUMBER('Dvd Calendar'!$N$1816)*100000000+('Dvd Calendar'!$N$1820='Field Check'!$C$25)*10000000+(N('Dvd Calendar'!$N$1814)&gt;0)*1000000+21*1000+10))</f>
        <v/>
      </c>
      <c r="M133" s="41">
        <f>IF(N('Dvd Calendar'!$O$1815)=0,"",IF(('Dvd Calendar'!$O$1815&gt;=MIN(DATE(Summary!$C$12,1,1),Summary!$C$11))*('Dvd Calendar'!$O$1815&lt;=MAX(DATE(Summary!$C$12,12,31),Summary!$C$15))*('Dvd Calendar'!$O$1815&lt;=Summary!$C$11)=0,"",'Dvd Calendar'!$O$1815*1000000000+ISNUMBER('Dvd Calendar'!$O$1816)*100000000+('Dvd Calendar'!$O$1820='Field Check'!$C$25)*10000000+(N('Dvd Calendar'!$O$1814)&gt;0)*1000000+21*1000+11))</f>
        <v/>
      </c>
      <c r="N133" s="41">
        <f>IF(N('Dvd Calendar'!$P$1815)=0,"",IF(('Dvd Calendar'!$P$1815&gt;=MIN(DATE(Summary!$C$12,1,1),Summary!$C$11))*('Dvd Calendar'!$P$1815&lt;=MAX(DATE(Summary!$C$12,12,31),Summary!$C$15))*('Dvd Calendar'!$P$1815&lt;=Summary!$C$11)=0,"",'Dvd Calendar'!$P$1815*1000000000+ISNUMBER('Dvd Calendar'!$P$1816)*100000000+('Dvd Calendar'!$P$1820='Field Check'!$C$25)*10000000+(N('Dvd Calendar'!$P$1814)&gt;0)*1000000+21*1000+12))</f>
        <v/>
      </c>
      <c r="O133" s="41">
        <f>IF(N('Dvd Calendar'!$Q$1815)=0,"",IF(('Dvd Calendar'!$Q$1815&gt;=MIN(DATE(Summary!$C$12,1,1),Summary!$C$11))*('Dvd Calendar'!$Q$1815&lt;=MAX(DATE(Summary!$C$12,12,31),Summary!$C$15))*('Dvd Calendar'!$Q$1815&lt;=Summary!$C$11)=0,"",'Dvd Calendar'!$Q$1815*1000000000+ISNUMBER('Dvd Calendar'!$Q$1816)*100000000+('Dvd Calendar'!$Q$1820='Field Check'!$C$25)*10000000+(N('Dvd Calendar'!$Q$1814)&gt;0)*1000000+21*1000+13))</f>
        <v/>
      </c>
      <c r="P133" s="41">
        <f>IF(N('Dvd Calendar'!$R$1815)=0,"",IF(('Dvd Calendar'!$R$1815&gt;=MIN(DATE(Summary!$C$12,1,1),Summary!$C$11))*('Dvd Calendar'!$R$1815&lt;=MAX(DATE(Summary!$C$12,12,31),Summary!$C$15))*('Dvd Calendar'!$R$1815&lt;=Summary!$C$11)=0,"",'Dvd Calendar'!$R$1815*1000000000+ISNUMBER('Dvd Calendar'!$R$1816)*100000000+('Dvd Calendar'!$R$1820='Field Check'!$C$25)*10000000+(N('Dvd Calendar'!$R$1814)&gt;0)*1000000+21*1000+14))</f>
        <v/>
      </c>
      <c r="Q133" s="41">
        <f>IF(N('Dvd Calendar'!$S$1815)=0,"",IF(('Dvd Calendar'!$S$1815&gt;=MIN(DATE(Summary!$C$12,1,1),Summary!$C$11))*('Dvd Calendar'!$S$1815&lt;=MAX(DATE(Summary!$C$12,12,31),Summary!$C$15))*('Dvd Calendar'!$S$1815&lt;=Summary!$C$11)=0,"",'Dvd Calendar'!$S$1815*1000000000+ISNUMBER('Dvd Calendar'!$S$1816)*100000000+('Dvd Calendar'!$S$1820='Field Check'!$C$25)*10000000+(N('Dvd Calendar'!$S$1814)&gt;0)*1000000+21*1000+15))</f>
        <v/>
      </c>
      <c r="R133" s="41">
        <f>IF(N('Dvd Calendar'!$T$1815)=0,"",IF(('Dvd Calendar'!$T$1815&gt;=MIN(DATE(Summary!$C$12,1,1),Summary!$C$11))*('Dvd Calendar'!$T$1815&lt;=MAX(DATE(Summary!$C$12,12,31),Summary!$C$15))*('Dvd Calendar'!$T$1815&lt;=Summary!$C$11)=0,"",'Dvd Calendar'!$T$1815*1000000000+ISNUMBER('Dvd Calendar'!$T$1816)*100000000+('Dvd Calendar'!$T$1820='Field Check'!$C$25)*10000000+(N('Dvd Calendar'!$T$1814)&gt;0)*1000000+21*1000+16))</f>
        <v/>
      </c>
      <c r="S133" s="41">
        <f>IF(N('Dvd Calendar'!$U$1815)=0,"",IF(('Dvd Calendar'!$U$1815&gt;=MIN(DATE(Summary!$C$12,1,1),Summary!$C$11))*('Dvd Calendar'!$U$1815&lt;=MAX(DATE(Summary!$C$12,12,31),Summary!$C$15))*('Dvd Calendar'!$U$1815&lt;=Summary!$C$11)=0,"",'Dvd Calendar'!$U$1815*1000000000+ISNUMBER('Dvd Calendar'!$U$1816)*100000000+('Dvd Calendar'!$U$1820='Field Check'!$C$25)*10000000+(N('Dvd Calendar'!$U$1814)&gt;0)*1000000+21*1000+17))</f>
        <v/>
      </c>
      <c r="T133" s="41">
        <f>IF(N('Dvd Calendar'!$V$1815)=0,"",IF(('Dvd Calendar'!$V$1815&gt;=MIN(DATE(Summary!$C$12,1,1),Summary!$C$11))*('Dvd Calendar'!$V$1815&lt;=MAX(DATE(Summary!$C$12,12,31),Summary!$C$15))*('Dvd Calendar'!$V$1815&lt;=Summary!$C$11)=0,"",'Dvd Calendar'!$V$1815*1000000000+ISNUMBER('Dvd Calendar'!$V$1816)*100000000+('Dvd Calendar'!$V$1820='Field Check'!$C$25)*10000000+(N('Dvd Calendar'!$V$1814)&gt;0)*1000000+21*1000+18))</f>
        <v/>
      </c>
      <c r="U133" s="41">
        <f>IF(N('Dvd Calendar'!$W$1815)=0,"",IF(('Dvd Calendar'!$W$1815&gt;=MIN(DATE(Summary!$C$12,1,1),Summary!$C$11))*('Dvd Calendar'!$W$1815&lt;=MAX(DATE(Summary!$C$12,12,31),Summary!$C$15))*('Dvd Calendar'!$W$1815&lt;=Summary!$C$11)=0,"",'Dvd Calendar'!$W$1815*1000000000+ISNUMBER('Dvd Calendar'!$W$1816)*100000000+('Dvd Calendar'!$W$1820='Field Check'!$C$25)*10000000+(N('Dvd Calendar'!$W$1814)&gt;0)*1000000+21*1000+19))</f>
        <v/>
      </c>
      <c r="V133" s="41">
        <f>IF(N('Dvd Calendar'!$X$1815)=0,"",IF(('Dvd Calendar'!$X$1815&gt;=MIN(DATE(Summary!$C$12,1,1),Summary!$C$11))*('Dvd Calendar'!$X$1815&lt;=MAX(DATE(Summary!$C$12,12,31),Summary!$C$15))*('Dvd Calendar'!$X$1815&lt;=Summary!$C$11)=0,"",'Dvd Calendar'!$X$1815*1000000000+ISNUMBER('Dvd Calendar'!$X$1816)*100000000+('Dvd Calendar'!$X$1820='Field Check'!$C$25)*10000000+(N('Dvd Calendar'!$X$1814)&gt;0)*1000000+21*1000+20))</f>
        <v/>
      </c>
      <c r="W133" s="41">
        <f>IF(N('Dvd Calendar'!$Y$1815)=0,"",IF(('Dvd Calendar'!$Y$1815&gt;=MIN(DATE(Summary!$C$12,1,1),Summary!$C$11))*('Dvd Calendar'!$Y$1815&lt;=MAX(DATE(Summary!$C$12,12,31),Summary!$C$15))*('Dvd Calendar'!$Y$1815&lt;=Summary!$C$11)=0,"",'Dvd Calendar'!$Y$1815*1000000000+ISNUMBER('Dvd Calendar'!$Y$1816)*100000000+('Dvd Calendar'!$Y$1820='Field Check'!$C$25)*10000000+(N('Dvd Calendar'!$Y$1814)&gt;0)*1000000+21*1000+21))</f>
        <v/>
      </c>
      <c r="X133" s="41">
        <f>IF(N('Dvd Calendar'!$Z$1815)=0,"",IF(('Dvd Calendar'!$Z$1815&gt;=MIN(DATE(Summary!$C$12,1,1),Summary!$C$11))*('Dvd Calendar'!$Z$1815&lt;=MAX(DATE(Summary!$C$12,12,31),Summary!$C$15))*('Dvd Calendar'!$Z$1815&lt;=Summary!$C$11)=0,"",'Dvd Calendar'!$Z$1815*1000000000+ISNUMBER('Dvd Calendar'!$Z$1816)*100000000+('Dvd Calendar'!$Z$1820='Field Check'!$C$25)*10000000+(N('Dvd Calendar'!$Z$1814)&gt;0)*1000000+21*1000+22))</f>
        <v/>
      </c>
      <c r="Y133" s="41">
        <f>IF(N('Dvd Calendar'!$AA$1815)=0,"",IF(('Dvd Calendar'!$AA$1815&gt;=MIN(DATE(Summary!$C$12,1,1),Summary!$C$11))*('Dvd Calendar'!$AA$1815&lt;=MAX(DATE(Summary!$C$12,12,31),Summary!$C$15))*('Dvd Calendar'!$AA$1815&lt;=Summary!$C$11)=0,"",'Dvd Calendar'!$AA$1815*1000000000+ISNUMBER('Dvd Calendar'!$AA$1816)*100000000+('Dvd Calendar'!$AA$1820='Field Check'!$C$25)*10000000+(N('Dvd Calendar'!$AA$1814)&gt;0)*1000000+21*1000+23))</f>
        <v/>
      </c>
      <c r="Z133" s="41">
        <f>IF(N('Dvd Calendar'!$AB$1815)=0,"",IF(('Dvd Calendar'!$AB$1815&gt;=MIN(DATE(Summary!$C$12,1,1),Summary!$C$11))*('Dvd Calendar'!$AB$1815&lt;=MAX(DATE(Summary!$C$12,12,31),Summary!$C$15))*('Dvd Calendar'!$AB$1815&lt;=Summary!$C$11)=0,"",'Dvd Calendar'!$AB$1815*1000000000+ISNUMBER('Dvd Calendar'!$AB$1816)*100000000+('Dvd Calendar'!$AB$1820='Field Check'!$C$25)*10000000+(N('Dvd Calendar'!$AB$1814)&gt;0)*1000000+21*1000+24))</f>
        <v/>
      </c>
      <c r="AA133" s="41">
        <f>IF(N('Dvd Calendar'!$AC$1815)=0,"",IF(('Dvd Calendar'!$AC$1815&gt;=MIN(DATE(Summary!$C$12,1,1),Summary!$C$11))*('Dvd Calendar'!$AC$1815&lt;=MAX(DATE(Summary!$C$12,12,31),Summary!$C$15))*('Dvd Calendar'!$AC$1815&lt;=Summary!$C$11)=0,"",'Dvd Calendar'!$AC$1815*1000000000+ISNUMBER('Dvd Calendar'!$AC$1816)*100000000+('Dvd Calendar'!$AC$1820='Field Check'!$C$25)*10000000+(N('Dvd Calendar'!$AC$1814)&gt;0)*1000000+21*1000+25))</f>
        <v/>
      </c>
      <c r="AB133" s="41">
        <f>IF(N('Dvd Calendar'!$AD$1815)=0,"",IF(('Dvd Calendar'!$AD$1815&gt;=MIN(DATE(Summary!$C$12,1,1),Summary!$C$11))*('Dvd Calendar'!$AD$1815&lt;=MAX(DATE(Summary!$C$12,12,31),Summary!$C$15))*('Dvd Calendar'!$AD$1815&lt;=Summary!$C$11)=0,"",'Dvd Calendar'!$AD$1815*1000000000+ISNUMBER('Dvd Calendar'!$AD$1816)*100000000+('Dvd Calendar'!$AD$1820='Field Check'!$C$25)*10000000+(N('Dvd Calendar'!$AD$1814)&gt;0)*1000000+21*1000+26))</f>
        <v/>
      </c>
      <c r="AC133" s="41">
        <f>IF(N('Dvd Calendar'!$AE$1815)=0,"",IF(('Dvd Calendar'!$AE$1815&gt;=MIN(DATE(Summary!$C$12,1,1),Summary!$C$11))*('Dvd Calendar'!$AE$1815&lt;=MAX(DATE(Summary!$C$12,12,31),Summary!$C$15))*('Dvd Calendar'!$AE$1815&lt;=Summary!$C$11)=0,"",'Dvd Calendar'!$AE$1815*1000000000+ISNUMBER('Dvd Calendar'!$AE$1816)*100000000+('Dvd Calendar'!$AE$1820='Field Check'!$C$25)*10000000+(N('Dvd Calendar'!$AE$1814)&gt;0)*1000000+21*1000+27))</f>
        <v/>
      </c>
      <c r="AD133" s="41">
        <f>IF(N('Dvd Calendar'!$AF$1815)=0,"",IF(('Dvd Calendar'!$AF$1815&gt;=MIN(DATE(Summary!$C$12,1,1),Summary!$C$11))*('Dvd Calendar'!$AF$1815&lt;=MAX(DATE(Summary!$C$12,12,31),Summary!$C$15))*('Dvd Calendar'!$AF$1815&lt;=Summary!$C$11)=0,"",'Dvd Calendar'!$AF$1815*1000000000+ISNUMBER('Dvd Calendar'!$AF$1816)*100000000+('Dvd Calendar'!$AF$1820='Field Check'!$C$25)*10000000+(N('Dvd Calendar'!$AF$1814)&gt;0)*1000000+21*1000+28))</f>
        <v/>
      </c>
      <c r="AE133" s="41">
        <f>IF(N('Dvd Calendar'!$AG$1815)=0,"",IF(('Dvd Calendar'!$AG$1815&gt;=MIN(DATE(Summary!$C$12,1,1),Summary!$C$11))*('Dvd Calendar'!$AG$1815&lt;=MAX(DATE(Summary!$C$12,12,31),Summary!$C$15))*('Dvd Calendar'!$AG$1815&lt;=Summary!$C$11)=0,"",'Dvd Calendar'!$AG$1815*1000000000+ISNUMBER('Dvd Calendar'!$AG$1816)*100000000+('Dvd Calendar'!$AG$1820='Field Check'!$C$25)*10000000+(N('Dvd Calendar'!$AG$1814)&gt;0)*1000000+21*1000+29))</f>
        <v/>
      </c>
      <c r="AF133" s="41">
        <f>IF(N('Dvd Calendar'!$AH$1815)=0,"",IF(('Dvd Calendar'!$AH$1815&gt;=MIN(DATE(Summary!$C$12,1,1),Summary!$C$11))*('Dvd Calendar'!$AH$1815&lt;=MAX(DATE(Summary!$C$12,12,31),Summary!$C$15))*('Dvd Calendar'!$AH$1815&lt;=Summary!$C$11)=0,"",'Dvd Calendar'!$AH$1815*1000000000+ISNUMBER('Dvd Calendar'!$AH$1816)*100000000+('Dvd Calendar'!$AH$1820='Field Check'!$C$25)*10000000+(N('Dvd Calendar'!$AH$1814)&gt;0)*1000000+21*1000+30))</f>
        <v/>
      </c>
      <c r="AG133" s="41">
        <f>IF(N('Dvd Calendar'!$AI$1815)=0,"",IF(('Dvd Calendar'!$AI$1815&gt;=MIN(DATE(Summary!$C$12,1,1),Summary!$C$11))*('Dvd Calendar'!$AI$1815&lt;=MAX(DATE(Summary!$C$12,12,31),Summary!$C$15))*('Dvd Calendar'!$AI$1815&lt;=Summary!$C$11)=0,"",'Dvd Calendar'!$AI$1815*1000000000+ISNUMBER('Dvd Calendar'!$AI$1816)*100000000+('Dvd Calendar'!$AI$1820='Field Check'!$C$25)*10000000+(N('Dvd Calendar'!$AI$1814)&gt;0)*1000000+21*1000+31))</f>
        <v/>
      </c>
      <c r="AH133" s="41">
        <f>IF(N('Dvd Calendar'!$AJ$1815)=0,"",IF(('Dvd Calendar'!$AJ$1815&gt;=MIN(DATE(Summary!$C$12,1,1),Summary!$C$11))*('Dvd Calendar'!$AJ$1815&lt;=MAX(DATE(Summary!$C$12,12,31),Summary!$C$15))*('Dvd Calendar'!$AJ$1815&lt;=Summary!$C$11)=0,"",'Dvd Calendar'!$AJ$1815*1000000000+ISNUMBER('Dvd Calendar'!$AJ$1816)*100000000+('Dvd Calendar'!$AJ$1820='Field Check'!$C$25)*10000000+(N('Dvd Calendar'!$AJ$1814)&gt;0)*1000000+21*1000+32))</f>
        <v/>
      </c>
      <c r="AI133" s="41">
        <f>IF(N('Dvd Calendar'!$AK$1815)=0,"",IF(('Dvd Calendar'!$AK$1815&gt;=MIN(DATE(Summary!$C$12,1,1),Summary!$C$11))*('Dvd Calendar'!$AK$1815&lt;=MAX(DATE(Summary!$C$12,12,31),Summary!$C$15))*('Dvd Calendar'!$AK$1815&lt;=Summary!$C$11)=0,"",'Dvd Calendar'!$AK$1815*1000000000+ISNUMBER('Dvd Calendar'!$AK$1816)*100000000+('Dvd Calendar'!$AK$1820='Field Check'!$C$25)*10000000+(N('Dvd Calendar'!$AK$1814)&gt;0)*1000000+21*1000+33))</f>
        <v/>
      </c>
      <c r="AJ133" s="41">
        <f>IF(N('Dvd Calendar'!$AL$1815)=0,"",IF(('Dvd Calendar'!$AL$1815&gt;=MIN(DATE(Summary!$C$12,1,1),Summary!$C$11))*('Dvd Calendar'!$AL$1815&lt;=MAX(DATE(Summary!$C$12,12,31),Summary!$C$15))*('Dvd Calendar'!$AL$1815&lt;=Summary!$C$11)=0,"",'Dvd Calendar'!$AL$1815*1000000000+ISNUMBER('Dvd Calendar'!$AL$1816)*100000000+('Dvd Calendar'!$AL$1820='Field Check'!$C$25)*10000000+(N('Dvd Calendar'!$AL$1814)&gt;0)*1000000+21*1000+34))</f>
        <v/>
      </c>
      <c r="AK133" s="41">
        <f>IF(N('Dvd Calendar'!$AM$1815)=0,"",IF(('Dvd Calendar'!$AM$1815&gt;=MIN(DATE(Summary!$C$12,1,1),Summary!$C$11))*('Dvd Calendar'!$AM$1815&lt;=MAX(DATE(Summary!$C$12,12,31),Summary!$C$15))*('Dvd Calendar'!$AM$1815&lt;=Summary!$C$11)=0,"",'Dvd Calendar'!$AM$1815*1000000000+ISNUMBER('Dvd Calendar'!$AM$1816)*100000000+('Dvd Calendar'!$AM$1820='Field Check'!$C$25)*10000000+(N('Dvd Calendar'!$AM$1814)&gt;0)*1000000+21*1000+35))</f>
        <v/>
      </c>
      <c r="AL133" s="41">
        <f>IF(N('Dvd Calendar'!$AN$1815)=0,"",IF(('Dvd Calendar'!$AN$1815&gt;=MIN(DATE(Summary!$C$12,1,1),Summary!$C$11))*('Dvd Calendar'!$AN$1815&lt;=MAX(DATE(Summary!$C$12,12,31),Summary!$C$15))*('Dvd Calendar'!$AN$1815&lt;=Summary!$C$11)=0,"",'Dvd Calendar'!$AN$1815*1000000000+ISNUMBER('Dvd Calendar'!$AN$1816)*100000000+('Dvd Calendar'!$AN$1820='Field Check'!$C$25)*10000000+(N('Dvd Calendar'!$AN$1814)&gt;0)*1000000+21*1000+36))</f>
        <v/>
      </c>
      <c r="AM133" s="41">
        <f>IF(N('Dvd Calendar'!$AO$1815)=0,"",IF(('Dvd Calendar'!$AO$1815&gt;=MIN(DATE(Summary!$C$12,1,1),Summary!$C$11))*('Dvd Calendar'!$AO$1815&lt;=MAX(DATE(Summary!$C$12,12,31),Summary!$C$15))*('Dvd Calendar'!$AO$1815&lt;=Summary!$C$11)=0,"",'Dvd Calendar'!$AO$1815*1000000000+ISNUMBER('Dvd Calendar'!$AO$1816)*100000000+('Dvd Calendar'!$AO$1820='Field Check'!$C$25)*10000000+(N('Dvd Calendar'!$AO$1814)&gt;0)*1000000+21*1000+37))</f>
        <v/>
      </c>
      <c r="AN133" s="41">
        <f>IF(N('Dvd Calendar'!$AP$1815)=0,"",IF(('Dvd Calendar'!$AP$1815&gt;=MIN(DATE(Summary!$C$12,1,1),Summary!$C$11))*('Dvd Calendar'!$AP$1815&lt;=MAX(DATE(Summary!$C$12,12,31),Summary!$C$15))*('Dvd Calendar'!$AP$1815&lt;=Summary!$C$11)=0,"",'Dvd Calendar'!$AP$1815*1000000000+ISNUMBER('Dvd Calendar'!$AP$1816)*100000000+('Dvd Calendar'!$AP$1820='Field Check'!$C$25)*10000000+(N('Dvd Calendar'!$AP$1814)&gt;0)*1000000+21*1000+38))</f>
        <v/>
      </c>
      <c r="AO133" s="41">
        <f>IF(N('Dvd Calendar'!$AQ$1815)=0,"",IF(('Dvd Calendar'!$AQ$1815&gt;=MIN(DATE(Summary!$C$12,1,1),Summary!$C$11))*('Dvd Calendar'!$AQ$1815&lt;=MAX(DATE(Summary!$C$12,12,31),Summary!$C$15))*('Dvd Calendar'!$AQ$1815&lt;=Summary!$C$11)=0,"",'Dvd Calendar'!$AQ$1815*1000000000+ISNUMBER('Dvd Calendar'!$AQ$1816)*100000000+('Dvd Calendar'!$AQ$1820='Field Check'!$C$25)*10000000+(N('Dvd Calendar'!$AQ$1814)&gt;0)*1000000+21*1000+39))</f>
        <v/>
      </c>
      <c r="AP133" s="41">
        <f>IF(N('Dvd Calendar'!$AR$1815)=0,"",IF(('Dvd Calendar'!$AR$1815&gt;=MIN(DATE(Summary!$C$12,1,1),Summary!$C$11))*('Dvd Calendar'!$AR$1815&lt;=MAX(DATE(Summary!$C$12,12,31),Summary!$C$15))*('Dvd Calendar'!$AR$1815&lt;=Summary!$C$11)=0,"",'Dvd Calendar'!$AR$1815*1000000000+ISNUMBER('Dvd Calendar'!$AR$1816)*100000000+('Dvd Calendar'!$AR$1820='Field Check'!$C$25)*10000000+(N('Dvd Calendar'!$AR$1814)&gt;0)*1000000+21*1000+40))</f>
        <v/>
      </c>
      <c r="AQ133" s="41">
        <f>IF(N('Dvd Calendar'!$E$1822)=0,"",IF(('Dvd Calendar'!$E$1822&gt;=MIN(DATE(Summary!$C$12,1,1),Summary!$C$11))*('Dvd Calendar'!$E$1822&lt;=MAX(DATE(Summary!$C$12,12,31),Summary!$C$15))*('Dvd Calendar'!$E$1822&gt;Summary!$C$11)=0,"",'Dvd Calendar'!$E$1822*1000000000+ISNUMBER('Dvd Calendar'!$E$1823)*100000000+('Dvd Calendar'!$E$1827='Field Check'!$C$25)*10000000+(N('Dvd Calendar'!$E$1821)&gt;0)*1000000+21*1000+41))</f>
        <v/>
      </c>
      <c r="AR133" s="41">
        <f>IF(N('Dvd Calendar'!$F$1822)=0,"",IF(('Dvd Calendar'!$F$1822&gt;=MIN(DATE(Summary!$C$12,1,1),Summary!$C$11))*('Dvd Calendar'!$F$1822&lt;=MAX(DATE(Summary!$C$12,12,31),Summary!$C$15))*('Dvd Calendar'!$F$1822&gt;Summary!$C$11)=0,"",'Dvd Calendar'!$F$1822*1000000000+ISNUMBER('Dvd Calendar'!$F$1823)*100000000+('Dvd Calendar'!$F$1827='Field Check'!$C$25)*10000000+(N('Dvd Calendar'!$F$1821)&gt;0)*1000000+21*1000+42))</f>
        <v/>
      </c>
      <c r="AS133" s="41">
        <f>IF(N('Dvd Calendar'!$G$1822)=0,"",IF(('Dvd Calendar'!$G$1822&gt;=MIN(DATE(Summary!$C$12,1,1),Summary!$C$11))*('Dvd Calendar'!$G$1822&lt;=MAX(DATE(Summary!$C$12,12,31),Summary!$C$15))*('Dvd Calendar'!$G$1822&gt;Summary!$C$11)=0,"",'Dvd Calendar'!$G$1822*1000000000+ISNUMBER('Dvd Calendar'!$G$1823)*100000000+('Dvd Calendar'!$G$1827='Field Check'!$C$25)*10000000+(N('Dvd Calendar'!$G$1821)&gt;0)*1000000+21*1000+43))</f>
        <v/>
      </c>
      <c r="AT133" s="41">
        <f>IF(N('Dvd Calendar'!$H$1822)=0,"",IF(('Dvd Calendar'!$H$1822&gt;=MIN(DATE(Summary!$C$12,1,1),Summary!$C$11))*('Dvd Calendar'!$H$1822&lt;=MAX(DATE(Summary!$C$12,12,31),Summary!$C$15))*('Dvd Calendar'!$H$1822&gt;Summary!$C$11)=0,"",'Dvd Calendar'!$H$1822*1000000000+ISNUMBER('Dvd Calendar'!$H$1823)*100000000+('Dvd Calendar'!$H$1827='Field Check'!$C$25)*10000000+(N('Dvd Calendar'!$H$1821)&gt;0)*1000000+21*1000+44))</f>
        <v/>
      </c>
      <c r="AU133" s="41">
        <f>IF(N('Dvd Calendar'!$I$1822)=0,"",IF(('Dvd Calendar'!$I$1822&gt;=MIN(DATE(Summary!$C$12,1,1),Summary!$C$11))*('Dvd Calendar'!$I$1822&lt;=MAX(DATE(Summary!$C$12,12,31),Summary!$C$15))*('Dvd Calendar'!$I$1822&gt;Summary!$C$11)=0,"",'Dvd Calendar'!$I$1822*1000000000+ISNUMBER('Dvd Calendar'!$I$1823)*100000000+('Dvd Calendar'!$I$1827='Field Check'!$C$25)*10000000+(N('Dvd Calendar'!$I$1821)&gt;0)*1000000+21*1000+45))</f>
        <v/>
      </c>
      <c r="AV133" s="41">
        <f>IF(N('Dvd Calendar'!$J$1822)=0,"",IF(('Dvd Calendar'!$J$1822&gt;=MIN(DATE(Summary!$C$12,1,1),Summary!$C$11))*('Dvd Calendar'!$J$1822&lt;=MAX(DATE(Summary!$C$12,12,31),Summary!$C$15))*('Dvd Calendar'!$J$1822&gt;Summary!$C$11)=0,"",'Dvd Calendar'!$J$1822*1000000000+ISNUMBER('Dvd Calendar'!$J$1823)*100000000+('Dvd Calendar'!$J$1827='Field Check'!$C$25)*10000000+(N('Dvd Calendar'!$J$1821)&gt;0)*1000000+21*1000+46))</f>
        <v/>
      </c>
      <c r="AW133" s="41">
        <f>IF(N('Dvd Calendar'!$K$1822)=0,"",IF(('Dvd Calendar'!$K$1822&gt;=MIN(DATE(Summary!$C$12,1,1),Summary!$C$11))*('Dvd Calendar'!$K$1822&lt;=MAX(DATE(Summary!$C$12,12,31),Summary!$C$15))*('Dvd Calendar'!$K$1822&gt;Summary!$C$11)=0,"",'Dvd Calendar'!$K$1822*1000000000+ISNUMBER('Dvd Calendar'!$K$1823)*100000000+('Dvd Calendar'!$K$1827='Field Check'!$C$25)*10000000+(N('Dvd Calendar'!$K$1821)&gt;0)*1000000+21*1000+47))</f>
        <v/>
      </c>
      <c r="AX133" s="41">
        <f>IF(N('Dvd Calendar'!$L$1822)=0,"",IF(('Dvd Calendar'!$L$1822&gt;=MIN(DATE(Summary!$C$12,1,1),Summary!$C$11))*('Dvd Calendar'!$L$1822&lt;=MAX(DATE(Summary!$C$12,12,31),Summary!$C$15))*('Dvd Calendar'!$L$1822&gt;Summary!$C$11)=0,"",'Dvd Calendar'!$L$1822*1000000000+ISNUMBER('Dvd Calendar'!$L$1823)*100000000+('Dvd Calendar'!$L$1827='Field Check'!$C$25)*10000000+(N('Dvd Calendar'!$L$1821)&gt;0)*1000000+21*1000+48))</f>
        <v/>
      </c>
      <c r="AY133" s="41">
        <f>IF(N('Dvd Calendar'!$M$1822)=0,"",IF(('Dvd Calendar'!$M$1822&gt;=MIN(DATE(Summary!$C$12,1,1),Summary!$C$11))*('Dvd Calendar'!$M$1822&lt;=MAX(DATE(Summary!$C$12,12,31),Summary!$C$15))*('Dvd Calendar'!$M$1822&gt;Summary!$C$11)=0,"",'Dvd Calendar'!$M$1822*1000000000+ISNUMBER('Dvd Calendar'!$M$1823)*100000000+('Dvd Calendar'!$M$1827='Field Check'!$C$25)*10000000+(N('Dvd Calendar'!$M$1821)&gt;0)*1000000+21*1000+49))</f>
        <v/>
      </c>
      <c r="AZ133" s="41">
        <f>IF(N('Dvd Calendar'!$N$1822)=0,"",IF(('Dvd Calendar'!$N$1822&gt;=MIN(DATE(Summary!$C$12,1,1),Summary!$C$11))*('Dvd Calendar'!$N$1822&lt;=MAX(DATE(Summary!$C$12,12,31),Summary!$C$15))*('Dvd Calendar'!$N$1822&gt;Summary!$C$11)=0,"",'Dvd Calendar'!$N$1822*1000000000+ISNUMBER('Dvd Calendar'!$N$1823)*100000000+('Dvd Calendar'!$N$1827='Field Check'!$C$25)*10000000+(N('Dvd Calendar'!$N$1821)&gt;0)*1000000+21*1000+50))</f>
        <v/>
      </c>
      <c r="BA133" s="41">
        <f>IF(N('Dvd Calendar'!$O$1822)=0,"",IF(('Dvd Calendar'!$O$1822&gt;=MIN(DATE(Summary!$C$12,1,1),Summary!$C$11))*('Dvd Calendar'!$O$1822&lt;=MAX(DATE(Summary!$C$12,12,31),Summary!$C$15))*('Dvd Calendar'!$O$1822&gt;Summary!$C$11)=0,"",'Dvd Calendar'!$O$1822*1000000000+ISNUMBER('Dvd Calendar'!$O$1823)*100000000+('Dvd Calendar'!$O$1827='Field Check'!$C$25)*10000000+(N('Dvd Calendar'!$O$1821)&gt;0)*1000000+21*1000+51))</f>
        <v/>
      </c>
      <c r="BB133" s="41">
        <f>IF(N('Dvd Calendar'!$P$1822)=0,"",IF(('Dvd Calendar'!$P$1822&gt;=MIN(DATE(Summary!$C$12,1,1),Summary!$C$11))*('Dvd Calendar'!$P$1822&lt;=MAX(DATE(Summary!$C$12,12,31),Summary!$C$15))*('Dvd Calendar'!$P$1822&gt;Summary!$C$11)=0,"",'Dvd Calendar'!$P$1822*1000000000+ISNUMBER('Dvd Calendar'!$P$1823)*100000000+('Dvd Calendar'!$P$1827='Field Check'!$C$25)*10000000+(N('Dvd Calendar'!$P$1821)&gt;0)*1000000+21*1000+52))</f>
        <v/>
      </c>
      <c r="BC133" s="41">
        <f>IF(N('Dvd Calendar'!$Q$1822)=0,"",IF(('Dvd Calendar'!$Q$1822&gt;=MIN(DATE(Summary!$C$12,1,1),Summary!$C$11))*('Dvd Calendar'!$Q$1822&lt;=MAX(DATE(Summary!$C$12,12,31),Summary!$C$15))*('Dvd Calendar'!$Q$1822&gt;Summary!$C$11)=0,"",'Dvd Calendar'!$Q$1822*1000000000+ISNUMBER('Dvd Calendar'!$Q$1823)*100000000+('Dvd Calendar'!$Q$1827='Field Check'!$C$25)*10000000+(N('Dvd Calendar'!$Q$1821)&gt;0)*1000000+21*1000+53))</f>
        <v/>
      </c>
      <c r="BD133" s="41">
        <f>IF(N('Dvd Calendar'!$R$1822)=0,"",IF(('Dvd Calendar'!$R$1822&gt;=MIN(DATE(Summary!$C$12,1,1),Summary!$C$11))*('Dvd Calendar'!$R$1822&lt;=MAX(DATE(Summary!$C$12,12,31),Summary!$C$15))*('Dvd Calendar'!$R$1822&gt;Summary!$C$11)=0,"",'Dvd Calendar'!$R$1822*1000000000+ISNUMBER('Dvd Calendar'!$R$1823)*100000000+('Dvd Calendar'!$R$1827='Field Check'!$C$25)*10000000+(N('Dvd Calendar'!$R$1821)&gt;0)*1000000+21*1000+54))</f>
        <v/>
      </c>
      <c r="BE133" s="41">
        <f>IF(N('Dvd Calendar'!$S$1822)=0,"",IF(('Dvd Calendar'!$S$1822&gt;=MIN(DATE(Summary!$C$12,1,1),Summary!$C$11))*('Dvd Calendar'!$S$1822&lt;=MAX(DATE(Summary!$C$12,12,31),Summary!$C$15))*('Dvd Calendar'!$S$1822&gt;Summary!$C$11)=0,"",'Dvd Calendar'!$S$1822*1000000000+ISNUMBER('Dvd Calendar'!$S$1823)*100000000+('Dvd Calendar'!$S$1827='Field Check'!$C$25)*10000000+(N('Dvd Calendar'!$S$1821)&gt;0)*1000000+21*1000+55))</f>
        <v/>
      </c>
      <c r="BF133" s="41">
        <f>IF(N('Dvd Calendar'!$T$1822)=0,"",IF(('Dvd Calendar'!$T$1822&gt;=MIN(DATE(Summary!$C$12,1,1),Summary!$C$11))*('Dvd Calendar'!$T$1822&lt;=MAX(DATE(Summary!$C$12,12,31),Summary!$C$15))*('Dvd Calendar'!$T$1822&gt;Summary!$C$11)=0,"",'Dvd Calendar'!$T$1822*1000000000+ISNUMBER('Dvd Calendar'!$T$1823)*100000000+('Dvd Calendar'!$T$1827='Field Check'!$C$25)*10000000+(N('Dvd Calendar'!$T$1821)&gt;0)*1000000+21*1000+56))</f>
        <v/>
      </c>
      <c r="BG133" s="41">
        <f>IF(N('Dvd Calendar'!$U$1822)=0,"",IF(('Dvd Calendar'!$U$1822&gt;=MIN(DATE(Summary!$C$12,1,1),Summary!$C$11))*('Dvd Calendar'!$U$1822&lt;=MAX(DATE(Summary!$C$12,12,31),Summary!$C$15))*('Dvd Calendar'!$U$1822&gt;Summary!$C$11)=0,"",'Dvd Calendar'!$U$1822*1000000000+ISNUMBER('Dvd Calendar'!$U$1823)*100000000+('Dvd Calendar'!$U$1827='Field Check'!$C$25)*10000000+(N('Dvd Calendar'!$U$1821)&gt;0)*1000000+21*1000+57))</f>
        <v/>
      </c>
      <c r="BH133" s="41">
        <f>IF(N('Dvd Calendar'!$V$1822)=0,"",IF(('Dvd Calendar'!$V$1822&gt;=MIN(DATE(Summary!$C$12,1,1),Summary!$C$11))*('Dvd Calendar'!$V$1822&lt;=MAX(DATE(Summary!$C$12,12,31),Summary!$C$15))*('Dvd Calendar'!$V$1822&gt;Summary!$C$11)=0,"",'Dvd Calendar'!$V$1822*1000000000+ISNUMBER('Dvd Calendar'!$V$1823)*100000000+('Dvd Calendar'!$V$1827='Field Check'!$C$25)*10000000+(N('Dvd Calendar'!$V$1821)&gt;0)*1000000+21*1000+58))</f>
        <v/>
      </c>
      <c r="BI133" s="41">
        <f>IF(N('Dvd Calendar'!$W$1822)=0,"",IF(('Dvd Calendar'!$W$1822&gt;=MIN(DATE(Summary!$C$12,1,1),Summary!$C$11))*('Dvd Calendar'!$W$1822&lt;=MAX(DATE(Summary!$C$12,12,31),Summary!$C$15))*('Dvd Calendar'!$W$1822&gt;Summary!$C$11)=0,"",'Dvd Calendar'!$W$1822*1000000000+ISNUMBER('Dvd Calendar'!$W$1823)*100000000+('Dvd Calendar'!$W$1827='Field Check'!$C$25)*10000000+(N('Dvd Calendar'!$W$1821)&gt;0)*1000000+21*1000+59))</f>
        <v/>
      </c>
      <c r="BJ133" s="41">
        <f>IF(N('Dvd Calendar'!$X$1822)=0,"",IF(('Dvd Calendar'!$X$1822&gt;=MIN(DATE(Summary!$C$12,1,1),Summary!$C$11))*('Dvd Calendar'!$X$1822&lt;=MAX(DATE(Summary!$C$12,12,31),Summary!$C$15))*('Dvd Calendar'!$X$1822&gt;Summary!$C$11)=0,"",'Dvd Calendar'!$X$1822*1000000000+ISNUMBER('Dvd Calendar'!$X$1823)*100000000+('Dvd Calendar'!$X$1827='Field Check'!$C$25)*10000000+(N('Dvd Calendar'!$X$1821)&gt;0)*1000000+21*1000+60))</f>
        <v/>
      </c>
      <c r="BK133" s="41">
        <f>IF(N('Dvd Calendar'!$Y$1822)=0,"",IF(('Dvd Calendar'!$Y$1822&gt;=MIN(DATE(Summary!$C$12,1,1),Summary!$C$11))*('Dvd Calendar'!$Y$1822&lt;=MAX(DATE(Summary!$C$12,12,31),Summary!$C$15))*('Dvd Calendar'!$Y$1822&gt;Summary!$C$11)=0,"",'Dvd Calendar'!$Y$1822*1000000000+ISNUMBER('Dvd Calendar'!$Y$1823)*100000000+('Dvd Calendar'!$Y$1827='Field Check'!$C$25)*10000000+(N('Dvd Calendar'!$Y$1821)&gt;0)*1000000+21*1000+61))</f>
        <v/>
      </c>
      <c r="BL133" s="41">
        <f>IF(N('Dvd Calendar'!$Z$1822)=0,"",IF(('Dvd Calendar'!$Z$1822&gt;=MIN(DATE(Summary!$C$12,1,1),Summary!$C$11))*('Dvd Calendar'!$Z$1822&lt;=MAX(DATE(Summary!$C$12,12,31),Summary!$C$15))*('Dvd Calendar'!$Z$1822&gt;Summary!$C$11)=0,"",'Dvd Calendar'!$Z$1822*1000000000+ISNUMBER('Dvd Calendar'!$Z$1823)*100000000+('Dvd Calendar'!$Z$1827='Field Check'!$C$25)*10000000+(N('Dvd Calendar'!$Z$1821)&gt;0)*1000000+21*1000+62))</f>
        <v/>
      </c>
      <c r="BM133" s="41">
        <f>IF(N('Dvd Calendar'!$AA$1822)=0,"",IF(('Dvd Calendar'!$AA$1822&gt;=MIN(DATE(Summary!$C$12,1,1),Summary!$C$11))*('Dvd Calendar'!$AA$1822&lt;=MAX(DATE(Summary!$C$12,12,31),Summary!$C$15))*('Dvd Calendar'!$AA$1822&gt;Summary!$C$11)=0,"",'Dvd Calendar'!$AA$1822*1000000000+ISNUMBER('Dvd Calendar'!$AA$1823)*100000000+('Dvd Calendar'!$AA$1827='Field Check'!$C$25)*10000000+(N('Dvd Calendar'!$AA$1821)&gt;0)*1000000+21*1000+63))</f>
        <v/>
      </c>
      <c r="BN133" s="41">
        <f>IF(N('Dvd Calendar'!$AB$1822)=0,"",IF(('Dvd Calendar'!$AB$1822&gt;=MIN(DATE(Summary!$C$12,1,1),Summary!$C$11))*('Dvd Calendar'!$AB$1822&lt;=MAX(DATE(Summary!$C$12,12,31),Summary!$C$15))*('Dvd Calendar'!$AB$1822&gt;Summary!$C$11)=0,"",'Dvd Calendar'!$AB$1822*1000000000+ISNUMBER('Dvd Calendar'!$AB$1823)*100000000+('Dvd Calendar'!$AB$1827='Field Check'!$C$25)*10000000+(N('Dvd Calendar'!$AB$1821)&gt;0)*1000000+21*1000+64))</f>
        <v/>
      </c>
      <c r="BO133" s="41">
        <f>IF(N('Dvd Calendar'!$AC$1822)=0,"",IF(('Dvd Calendar'!$AC$1822&gt;=MIN(DATE(Summary!$C$12,1,1),Summary!$C$11))*('Dvd Calendar'!$AC$1822&lt;=MAX(DATE(Summary!$C$12,12,31),Summary!$C$15))*('Dvd Calendar'!$AC$1822&gt;Summary!$C$11)=0,"",'Dvd Calendar'!$AC$1822*1000000000+ISNUMBER('Dvd Calendar'!$AC$1823)*100000000+('Dvd Calendar'!$AC$1827='Field Check'!$C$25)*10000000+(N('Dvd Calendar'!$AC$1821)&gt;0)*1000000+21*1000+65))</f>
        <v/>
      </c>
      <c r="BQ133" s="85">
        <f>IF(C133="","",IF(ISNUMBER('Dvd Calendar'!$E$1816)=FALSE,"",IF((Summary!$C$13="N")*('Dvd Calendar'!$E$1820='Field Check'!$C$25)&gt;0,"",'Dvd Calendar'!$E$1816)))</f>
        <v/>
      </c>
      <c r="BR133" s="85">
        <f>IF(D133="","",IF(ISNUMBER('Dvd Calendar'!$F$1816)=FALSE,"",IF((Summary!$C$13="N")*('Dvd Calendar'!$F$1820='Field Check'!$C$25)&gt;0,"",'Dvd Calendar'!$F$1816)))</f>
        <v/>
      </c>
      <c r="BS133" s="85">
        <f>IF(E133="","",IF(ISNUMBER('Dvd Calendar'!$G$1816)=FALSE,"",IF((Summary!$C$13="N")*('Dvd Calendar'!$G$1820='Field Check'!$C$25)&gt;0,"",'Dvd Calendar'!$G$1816)))</f>
        <v/>
      </c>
      <c r="BT133" s="85">
        <f>IF(F133="","",IF(ISNUMBER('Dvd Calendar'!$H$1816)=FALSE,"",IF((Summary!$C$13="N")*('Dvd Calendar'!$H$1820='Field Check'!$C$25)&gt;0,"",'Dvd Calendar'!$H$1816)))</f>
        <v/>
      </c>
      <c r="BU133" s="85">
        <f>IF(G133="","",IF(ISNUMBER('Dvd Calendar'!$I$1816)=FALSE,"",IF((Summary!$C$13="N")*('Dvd Calendar'!$I$1820='Field Check'!$C$25)&gt;0,"",'Dvd Calendar'!$I$1816)))</f>
        <v/>
      </c>
      <c r="BV133" s="85">
        <f>IF(H133="","",IF(ISNUMBER('Dvd Calendar'!$J$1816)=FALSE,"",IF((Summary!$C$13="N")*('Dvd Calendar'!$J$1820='Field Check'!$C$25)&gt;0,"",'Dvd Calendar'!$J$1816)))</f>
        <v/>
      </c>
      <c r="BW133" s="85">
        <f>IF(I133="","",IF(ISNUMBER('Dvd Calendar'!$K$1816)=FALSE,"",IF((Summary!$C$13="N")*('Dvd Calendar'!$K$1820='Field Check'!$C$25)&gt;0,"",'Dvd Calendar'!$K$1816)))</f>
        <v/>
      </c>
      <c r="BX133" s="85">
        <f>IF(J133="","",IF(ISNUMBER('Dvd Calendar'!$L$1816)=FALSE,"",IF((Summary!$C$13="N")*('Dvd Calendar'!$L$1820='Field Check'!$C$25)&gt;0,"",'Dvd Calendar'!$L$1816)))</f>
        <v/>
      </c>
      <c r="BY133" s="85">
        <f>IF(K133="","",IF(ISNUMBER('Dvd Calendar'!$M$1816)=FALSE,"",IF((Summary!$C$13="N")*('Dvd Calendar'!$M$1820='Field Check'!$C$25)&gt;0,"",'Dvd Calendar'!$M$1816)))</f>
        <v/>
      </c>
      <c r="BZ133" s="85">
        <f>IF(L133="","",IF(ISNUMBER('Dvd Calendar'!$N$1816)=FALSE,"",IF((Summary!$C$13="N")*('Dvd Calendar'!$N$1820='Field Check'!$C$25)&gt;0,"",'Dvd Calendar'!$N$1816)))</f>
        <v/>
      </c>
      <c r="CA133" s="85">
        <f>IF(M133="","",IF(ISNUMBER('Dvd Calendar'!$O$1816)=FALSE,"",IF((Summary!$C$13="N")*('Dvd Calendar'!$O$1820='Field Check'!$C$25)&gt;0,"",'Dvd Calendar'!$O$1816)))</f>
        <v/>
      </c>
      <c r="CB133" s="85">
        <f>IF(N133="","",IF(ISNUMBER('Dvd Calendar'!$P$1816)=FALSE,"",IF((Summary!$C$13="N")*('Dvd Calendar'!$P$1820='Field Check'!$C$25)&gt;0,"",'Dvd Calendar'!$P$1816)))</f>
        <v/>
      </c>
      <c r="CC133" s="85">
        <f>IF(O133="","",IF(ISNUMBER('Dvd Calendar'!$Q$1816)=FALSE,"",IF((Summary!$C$13="N")*('Dvd Calendar'!$Q$1820='Field Check'!$C$25)&gt;0,"",'Dvd Calendar'!$Q$1816)))</f>
        <v/>
      </c>
      <c r="CD133" s="85">
        <f>IF(P133="","",IF(ISNUMBER('Dvd Calendar'!$R$1816)=FALSE,"",IF((Summary!$C$13="N")*('Dvd Calendar'!$R$1820='Field Check'!$C$25)&gt;0,"",'Dvd Calendar'!$R$1816)))</f>
        <v/>
      </c>
      <c r="CE133" s="85">
        <f>IF(Q133="","",IF(ISNUMBER('Dvd Calendar'!$S$1816)=FALSE,"",IF((Summary!$C$13="N")*('Dvd Calendar'!$S$1820='Field Check'!$C$25)&gt;0,"",'Dvd Calendar'!$S$1816)))</f>
        <v/>
      </c>
      <c r="CF133" s="85">
        <f>IF(R133="","",IF(ISNUMBER('Dvd Calendar'!$T$1816)=FALSE,"",IF((Summary!$C$13="N")*('Dvd Calendar'!$T$1820='Field Check'!$C$25)&gt;0,"",'Dvd Calendar'!$T$1816)))</f>
        <v/>
      </c>
      <c r="CG133" s="85">
        <f>IF(S133="","",IF(ISNUMBER('Dvd Calendar'!$U$1816)=FALSE,"",IF((Summary!$C$13="N")*('Dvd Calendar'!$U$1820='Field Check'!$C$25)&gt;0,"",'Dvd Calendar'!$U$1816)))</f>
        <v/>
      </c>
      <c r="CH133" s="85">
        <f>IF(T133="","",IF(ISNUMBER('Dvd Calendar'!$V$1816)=FALSE,"",IF((Summary!$C$13="N")*('Dvd Calendar'!$V$1820='Field Check'!$C$25)&gt;0,"",'Dvd Calendar'!$V$1816)))</f>
        <v/>
      </c>
      <c r="CI133" s="85">
        <f>IF(U133="","",IF(ISNUMBER('Dvd Calendar'!$W$1816)=FALSE,"",IF((Summary!$C$13="N")*('Dvd Calendar'!$W$1820='Field Check'!$C$25)&gt;0,"",'Dvd Calendar'!$W$1816)))</f>
        <v/>
      </c>
      <c r="CJ133" s="85">
        <f>IF(V133="","",IF(ISNUMBER('Dvd Calendar'!$X$1816)=FALSE,"",IF((Summary!$C$13="N")*('Dvd Calendar'!$X$1820='Field Check'!$C$25)&gt;0,"",'Dvd Calendar'!$X$1816)))</f>
        <v/>
      </c>
      <c r="CK133" s="85">
        <f>IF(W133="","",IF(ISNUMBER('Dvd Calendar'!$Y$1816)=FALSE,"",IF((Summary!$C$13="N")*('Dvd Calendar'!$Y$1820='Field Check'!$C$25)&gt;0,"",'Dvd Calendar'!$Y$1816)))</f>
        <v/>
      </c>
      <c r="CL133" s="85">
        <f>IF(X133="","",IF(ISNUMBER('Dvd Calendar'!$Z$1816)=FALSE,"",IF((Summary!$C$13="N")*('Dvd Calendar'!$Z$1820='Field Check'!$C$25)&gt;0,"",'Dvd Calendar'!$Z$1816)))</f>
        <v/>
      </c>
      <c r="CM133" s="85">
        <f>IF(Y133="","",IF(ISNUMBER('Dvd Calendar'!$AA$1816)=FALSE,"",IF((Summary!$C$13="N")*('Dvd Calendar'!$AA$1820='Field Check'!$C$25)&gt;0,"",'Dvd Calendar'!$AA$1816)))</f>
        <v/>
      </c>
      <c r="CN133" s="85">
        <f>IF(Z133="","",IF(ISNUMBER('Dvd Calendar'!$AB$1816)=FALSE,"",IF((Summary!$C$13="N")*('Dvd Calendar'!$AB$1820='Field Check'!$C$25)&gt;0,"",'Dvd Calendar'!$AB$1816)))</f>
        <v/>
      </c>
      <c r="CO133" s="85">
        <f>IF(AA133="","",IF(ISNUMBER('Dvd Calendar'!$AC$1816)=FALSE,"",IF((Summary!$C$13="N")*('Dvd Calendar'!$AC$1820='Field Check'!$C$25)&gt;0,"",'Dvd Calendar'!$AC$1816)))</f>
        <v/>
      </c>
      <c r="CP133" s="85">
        <f>IF(AB133="","",IF(ISNUMBER('Dvd Calendar'!$AD$1816)=FALSE,"",IF((Summary!$C$13="N")*('Dvd Calendar'!$AD$1820='Field Check'!$C$25)&gt;0,"",'Dvd Calendar'!$AD$1816)))</f>
        <v/>
      </c>
      <c r="CQ133" s="85">
        <f>IF(AC133="","",IF(ISNUMBER('Dvd Calendar'!$AE$1816)=FALSE,"",IF((Summary!$C$13="N")*('Dvd Calendar'!$AE$1820='Field Check'!$C$25)&gt;0,"",'Dvd Calendar'!$AE$1816)))</f>
        <v/>
      </c>
      <c r="CR133" s="85">
        <f>IF(AD133="","",IF(ISNUMBER('Dvd Calendar'!$AF$1816)=FALSE,"",IF((Summary!$C$13="N")*('Dvd Calendar'!$AF$1820='Field Check'!$C$25)&gt;0,"",'Dvd Calendar'!$AF$1816)))</f>
        <v/>
      </c>
      <c r="CS133" s="85">
        <f>IF(AE133="","",IF(ISNUMBER('Dvd Calendar'!$AG$1816)=FALSE,"",IF((Summary!$C$13="N")*('Dvd Calendar'!$AG$1820='Field Check'!$C$25)&gt;0,"",'Dvd Calendar'!$AG$1816)))</f>
        <v/>
      </c>
      <c r="CT133" s="85">
        <f>IF(AF133="","",IF(ISNUMBER('Dvd Calendar'!$AH$1816)=FALSE,"",IF((Summary!$C$13="N")*('Dvd Calendar'!$AH$1820='Field Check'!$C$25)&gt;0,"",'Dvd Calendar'!$AH$1816)))</f>
        <v/>
      </c>
      <c r="CU133" s="85">
        <f>IF(AG133="","",IF(ISNUMBER('Dvd Calendar'!$AI$1816)=FALSE,"",IF((Summary!$C$13="N")*('Dvd Calendar'!$AI$1820='Field Check'!$C$25)&gt;0,"",'Dvd Calendar'!$AI$1816)))</f>
        <v/>
      </c>
      <c r="CV133" s="85">
        <f>IF(AH133="","",IF(ISNUMBER('Dvd Calendar'!$AJ$1816)=FALSE,"",IF((Summary!$C$13="N")*('Dvd Calendar'!$AJ$1820='Field Check'!$C$25)&gt;0,"",'Dvd Calendar'!$AJ$1816)))</f>
        <v/>
      </c>
      <c r="CW133" s="85">
        <f>IF(AI133="","",IF(ISNUMBER('Dvd Calendar'!$AK$1816)=FALSE,"",IF((Summary!$C$13="N")*('Dvd Calendar'!$AK$1820='Field Check'!$C$25)&gt;0,"",'Dvd Calendar'!$AK$1816)))</f>
        <v/>
      </c>
      <c r="CX133" s="85">
        <f>IF(AJ133="","",IF(ISNUMBER('Dvd Calendar'!$AL$1816)=FALSE,"",IF((Summary!$C$13="N")*('Dvd Calendar'!$AL$1820='Field Check'!$C$25)&gt;0,"",'Dvd Calendar'!$AL$1816)))</f>
        <v/>
      </c>
      <c r="CY133" s="85">
        <f>IF(AK133="","",IF(ISNUMBER('Dvd Calendar'!$AM$1816)=FALSE,"",IF((Summary!$C$13="N")*('Dvd Calendar'!$AM$1820='Field Check'!$C$25)&gt;0,"",'Dvd Calendar'!$AM$1816)))</f>
        <v/>
      </c>
      <c r="CZ133" s="85">
        <f>IF(AL133="","",IF(ISNUMBER('Dvd Calendar'!$AN$1816)=FALSE,"",IF((Summary!$C$13="N")*('Dvd Calendar'!$AN$1820='Field Check'!$C$25)&gt;0,"",'Dvd Calendar'!$AN$1816)))</f>
        <v/>
      </c>
      <c r="DA133" s="85">
        <f>IF(AM133="","",IF(ISNUMBER('Dvd Calendar'!$AO$1816)=FALSE,"",IF((Summary!$C$13="N")*('Dvd Calendar'!$AO$1820='Field Check'!$C$25)&gt;0,"",'Dvd Calendar'!$AO$1816)))</f>
        <v/>
      </c>
      <c r="DB133" s="85">
        <f>IF(AN133="","",IF(ISNUMBER('Dvd Calendar'!$AP$1816)=FALSE,"",IF((Summary!$C$13="N")*('Dvd Calendar'!$AP$1820='Field Check'!$C$25)&gt;0,"",'Dvd Calendar'!$AP$1816)))</f>
        <v/>
      </c>
      <c r="DC133" s="85">
        <f>IF(AO133="","",IF(ISNUMBER('Dvd Calendar'!$AQ$1816)=FALSE,"",IF((Summary!$C$13="N")*('Dvd Calendar'!$AQ$1820='Field Check'!$C$25)&gt;0,"",'Dvd Calendar'!$AQ$1816)))</f>
        <v/>
      </c>
      <c r="DD133" s="85">
        <f>IF(AP133="","",IF(ISNUMBER('Dvd Calendar'!$AR$1816)=FALSE,"",IF((Summary!$C$13="N")*('Dvd Calendar'!$AR$1820='Field Check'!$C$25)&gt;0,"",'Dvd Calendar'!$AR$1816)))</f>
        <v/>
      </c>
      <c r="DE133" s="85">
        <f>IF(AQ133="","",IF(ISNUMBER('Dvd Calendar'!$E$1823)=FALSE,"",IF((Summary!$C$13="N")*('Dvd Calendar'!$E$1827='Field Check'!$C$25)&gt;0,"",'Dvd Calendar'!$E$1823)))</f>
        <v/>
      </c>
      <c r="DF133" s="85">
        <f>IF(AR133="","",IF(ISNUMBER('Dvd Calendar'!$F$1823)=FALSE,"",IF((Summary!$C$13="N")*('Dvd Calendar'!$F$1827='Field Check'!$C$25)&gt;0,"",'Dvd Calendar'!$F$1823)))</f>
        <v/>
      </c>
      <c r="DG133" s="85">
        <f>IF(AS133="","",IF(ISNUMBER('Dvd Calendar'!$G$1823)=FALSE,"",IF((Summary!$C$13="N")*('Dvd Calendar'!$G$1827='Field Check'!$C$25)&gt;0,"",'Dvd Calendar'!$G$1823)))</f>
        <v/>
      </c>
      <c r="DH133" s="85">
        <f>IF(AT133="","",IF(ISNUMBER('Dvd Calendar'!$H$1823)=FALSE,"",IF((Summary!$C$13="N")*('Dvd Calendar'!$H$1827='Field Check'!$C$25)&gt;0,"",'Dvd Calendar'!$H$1823)))</f>
        <v/>
      </c>
      <c r="DI133" s="85">
        <f>IF(AU133="","",IF(ISNUMBER('Dvd Calendar'!$I$1823)=FALSE,"",IF((Summary!$C$13="N")*('Dvd Calendar'!$I$1827='Field Check'!$C$25)&gt;0,"",'Dvd Calendar'!$I$1823)))</f>
        <v/>
      </c>
      <c r="DJ133" s="85">
        <f>IF(AV133="","",IF(ISNUMBER('Dvd Calendar'!$J$1823)=FALSE,"",IF((Summary!$C$13="N")*('Dvd Calendar'!$J$1827='Field Check'!$C$25)&gt;0,"",'Dvd Calendar'!$J$1823)))</f>
        <v/>
      </c>
      <c r="DK133" s="85">
        <f>IF(AW133="","",IF(ISNUMBER('Dvd Calendar'!$K$1823)=FALSE,"",IF((Summary!$C$13="N")*('Dvd Calendar'!$K$1827='Field Check'!$C$25)&gt;0,"",'Dvd Calendar'!$K$1823)))</f>
        <v/>
      </c>
      <c r="DL133" s="85">
        <f>IF(AX133="","",IF(ISNUMBER('Dvd Calendar'!$L$1823)=FALSE,"",IF((Summary!$C$13="N")*('Dvd Calendar'!$L$1827='Field Check'!$C$25)&gt;0,"",'Dvd Calendar'!$L$1823)))</f>
        <v/>
      </c>
      <c r="DM133" s="85">
        <f>IF(AY133="","",IF(ISNUMBER('Dvd Calendar'!$M$1823)=FALSE,"",IF((Summary!$C$13="N")*('Dvd Calendar'!$M$1827='Field Check'!$C$25)&gt;0,"",'Dvd Calendar'!$M$1823)))</f>
        <v/>
      </c>
      <c r="DN133" s="85">
        <f>IF(AZ133="","",IF(ISNUMBER('Dvd Calendar'!$N$1823)=FALSE,"",IF((Summary!$C$13="N")*('Dvd Calendar'!$N$1827='Field Check'!$C$25)&gt;0,"",'Dvd Calendar'!$N$1823)))</f>
        <v/>
      </c>
      <c r="DO133" s="85">
        <f>IF(BA133="","",IF(ISNUMBER('Dvd Calendar'!$O$1823)=FALSE,"",IF((Summary!$C$13="N")*('Dvd Calendar'!$O$1827='Field Check'!$C$25)&gt;0,"",'Dvd Calendar'!$O$1823)))</f>
        <v/>
      </c>
      <c r="DP133" s="85">
        <f>IF(BB133="","",IF(ISNUMBER('Dvd Calendar'!$P$1823)=FALSE,"",IF((Summary!$C$13="N")*('Dvd Calendar'!$P$1827='Field Check'!$C$25)&gt;0,"",'Dvd Calendar'!$P$1823)))</f>
        <v/>
      </c>
      <c r="DQ133" s="85">
        <f>IF(BC133="","",IF(ISNUMBER('Dvd Calendar'!$Q$1823)=FALSE,"",IF((Summary!$C$13="N")*('Dvd Calendar'!$Q$1827='Field Check'!$C$25)&gt;0,"",'Dvd Calendar'!$Q$1823)))</f>
        <v/>
      </c>
      <c r="DR133" s="85">
        <f>IF(BD133="","",IF(ISNUMBER('Dvd Calendar'!$R$1823)=FALSE,"",IF((Summary!$C$13="N")*('Dvd Calendar'!$R$1827='Field Check'!$C$25)&gt;0,"",'Dvd Calendar'!$R$1823)))</f>
        <v/>
      </c>
      <c r="DS133" s="85">
        <f>IF(BE133="","",IF(ISNUMBER('Dvd Calendar'!$S$1823)=FALSE,"",IF((Summary!$C$13="N")*('Dvd Calendar'!$S$1827='Field Check'!$C$25)&gt;0,"",'Dvd Calendar'!$S$1823)))</f>
        <v/>
      </c>
      <c r="DT133" s="85">
        <f>IF(BF133="","",IF(ISNUMBER('Dvd Calendar'!$T$1823)=FALSE,"",IF((Summary!$C$13="N")*('Dvd Calendar'!$T$1827='Field Check'!$C$25)&gt;0,"",'Dvd Calendar'!$T$1823)))</f>
        <v/>
      </c>
      <c r="DU133" s="85">
        <f>IF(BG133="","",IF(ISNUMBER('Dvd Calendar'!$U$1823)=FALSE,"",IF((Summary!$C$13="N")*('Dvd Calendar'!$U$1827='Field Check'!$C$25)&gt;0,"",'Dvd Calendar'!$U$1823)))</f>
        <v/>
      </c>
      <c r="DV133" s="85">
        <f>IF(BH133="","",IF(ISNUMBER('Dvd Calendar'!$V$1823)=FALSE,"",IF((Summary!$C$13="N")*('Dvd Calendar'!$V$1827='Field Check'!$C$25)&gt;0,"",'Dvd Calendar'!$V$1823)))</f>
        <v/>
      </c>
      <c r="DW133" s="85">
        <f>IF(BI133="","",IF(ISNUMBER('Dvd Calendar'!$W$1823)=FALSE,"",IF((Summary!$C$13="N")*('Dvd Calendar'!$W$1827='Field Check'!$C$25)&gt;0,"",'Dvd Calendar'!$W$1823)))</f>
        <v/>
      </c>
      <c r="DX133" s="85">
        <f>IF(BJ133="","",IF(ISNUMBER('Dvd Calendar'!$X$1823)=FALSE,"",IF((Summary!$C$13="N")*('Dvd Calendar'!$X$1827='Field Check'!$C$25)&gt;0,"",'Dvd Calendar'!$X$1823)))</f>
        <v/>
      </c>
      <c r="DY133" s="85">
        <f>IF(BK133="","",IF(ISNUMBER('Dvd Calendar'!$Y$1823)=FALSE,"",IF((Summary!$C$13="N")*('Dvd Calendar'!$Y$1827='Field Check'!$C$25)&gt;0,"",'Dvd Calendar'!$Y$1823)))</f>
        <v/>
      </c>
      <c r="DZ133" s="85">
        <f>IF(BL133="","",IF(ISNUMBER('Dvd Calendar'!$Z$1823)=FALSE,"",IF((Summary!$C$13="N")*('Dvd Calendar'!$Z$1827='Field Check'!$C$25)&gt;0,"",'Dvd Calendar'!$Z$1823)))</f>
        <v/>
      </c>
      <c r="EA133" s="85">
        <f>IF(BM133="","",IF(ISNUMBER('Dvd Calendar'!$AA$1823)=FALSE,"",IF((Summary!$C$13="N")*('Dvd Calendar'!$AA$1827='Field Check'!$C$25)&gt;0,"",'Dvd Calendar'!$AA$1823)))</f>
        <v/>
      </c>
      <c r="EB133" s="85">
        <f>IF(BN133="","",IF(ISNUMBER('Dvd Calendar'!$AB$1823)=FALSE,"",IF((Summary!$C$13="N")*('Dvd Calendar'!$AB$1827='Field Check'!$C$25)&gt;0,"",'Dvd Calendar'!$AB$1823)))</f>
        <v/>
      </c>
      <c r="EC133" s="85">
        <f>IF(BO133="","",IF(ISNUMBER('Dvd Calendar'!$AC$1823)=FALSE,"",IF((Summary!$C$13="N")*('Dvd Calendar'!$AC$1827='Field Check'!$C$25)&gt;0,"",'Dvd Calendar'!$AC$1823)))</f>
        <v/>
      </c>
      <c r="EE133" s="85">
        <f>IF(BQ133="","",IFERROR(BQ133*HSTECH!$B$27*HSTECH!$G$27/HSTECH!$B$3,""))</f>
        <v/>
      </c>
      <c r="EF133" s="85">
        <f>IF(BR133="","",IFERROR(BR133*HSTECH!$B$27*HSTECH!$G$27/HSTECH!$B$3,""))</f>
        <v/>
      </c>
      <c r="EG133" s="85">
        <f>IF(BS133="","",IFERROR(BS133*HSTECH!$B$27*HSTECH!$G$27/HSTECH!$B$3,""))</f>
        <v/>
      </c>
      <c r="EH133" s="85">
        <f>IF(BT133="","",IFERROR(BT133*HSTECH!$B$27*HSTECH!$G$27/HSTECH!$B$3,""))</f>
        <v/>
      </c>
      <c r="EI133" s="85">
        <f>IF(BU133="","",IFERROR(BU133*HSTECH!$B$27*HSTECH!$G$27/HSTECH!$B$3,""))</f>
        <v/>
      </c>
      <c r="EJ133" s="85">
        <f>IF(BV133="","",IFERROR(BV133*HSTECH!$B$27*HSTECH!$G$27/HSTECH!$B$3,""))</f>
        <v/>
      </c>
      <c r="EK133" s="85">
        <f>IF(BW133="","",IFERROR(BW133*HSTECH!$B$27*HSTECH!$G$27/HSTECH!$B$3,""))</f>
        <v/>
      </c>
      <c r="EL133" s="85">
        <f>IF(BX133="","",IFERROR(BX133*HSTECH!$B$27*HSTECH!$G$27/HSTECH!$B$3,""))</f>
        <v/>
      </c>
      <c r="EM133" s="85">
        <f>IF(BY133="","",IFERROR(BY133*HSTECH!$B$27*HSTECH!$G$27/HSTECH!$B$3,""))</f>
        <v/>
      </c>
      <c r="EN133" s="85">
        <f>IF(BZ133="","",IFERROR(BZ133*HSTECH!$B$27*HSTECH!$G$27/HSTECH!$B$3,""))</f>
        <v/>
      </c>
      <c r="EO133" s="85">
        <f>IF(CA133="","",IFERROR(CA133*HSTECH!$B$27*HSTECH!$G$27/HSTECH!$B$3,""))</f>
        <v/>
      </c>
      <c r="EP133" s="85">
        <f>IF(CB133="","",IFERROR(CB133*HSTECH!$B$27*HSTECH!$G$27/HSTECH!$B$3,""))</f>
        <v/>
      </c>
      <c r="EQ133" s="85">
        <f>IF(CC133="","",IFERROR(CC133*HSTECH!$B$27*HSTECH!$G$27/HSTECH!$B$3,""))</f>
        <v/>
      </c>
      <c r="ER133" s="85">
        <f>IF(CD133="","",IFERROR(CD133*HSTECH!$B$27*HSTECH!$G$27/HSTECH!$B$3,""))</f>
        <v/>
      </c>
      <c r="ES133" s="85">
        <f>IF(CE133="","",IFERROR(CE133*HSTECH!$B$27*HSTECH!$G$27/HSTECH!$B$3,""))</f>
        <v/>
      </c>
      <c r="ET133" s="85">
        <f>IF(CF133="","",IFERROR(CF133*HSTECH!$B$27*HSTECH!$G$27/HSTECH!$B$3,""))</f>
        <v/>
      </c>
      <c r="EU133" s="85">
        <f>IF(CG133="","",IFERROR(CG133*HSTECH!$B$27*HSTECH!$G$27/HSTECH!$B$3,""))</f>
        <v/>
      </c>
      <c r="EV133" s="85">
        <f>IF(CH133="","",IFERROR(CH133*HSTECH!$B$27*HSTECH!$G$27/HSTECH!$B$3,""))</f>
        <v/>
      </c>
      <c r="EW133" s="85">
        <f>IF(CI133="","",IFERROR(CI133*HSTECH!$B$27*HSTECH!$G$27/HSTECH!$B$3,""))</f>
        <v/>
      </c>
      <c r="EX133" s="85">
        <f>IF(CJ133="","",IFERROR(CJ133*HSTECH!$B$27*HSTECH!$G$27/HSTECH!$B$3,""))</f>
        <v/>
      </c>
      <c r="EY133" s="85">
        <f>IF(CK133="","",IFERROR(CK133*HSTECH!$B$27*HSTECH!$G$27/HSTECH!$B$3,""))</f>
        <v/>
      </c>
      <c r="EZ133" s="85">
        <f>IF(CL133="","",IFERROR(CL133*HSTECH!$B$27*HSTECH!$G$27/HSTECH!$B$3,""))</f>
        <v/>
      </c>
      <c r="FA133" s="85">
        <f>IF(CM133="","",IFERROR(CM133*HSTECH!$B$27*HSTECH!$G$27/HSTECH!$B$3,""))</f>
        <v/>
      </c>
      <c r="FB133" s="85">
        <f>IF(CN133="","",IFERROR(CN133*HSTECH!$B$27*HSTECH!$G$27/HSTECH!$B$3,""))</f>
        <v/>
      </c>
      <c r="FC133" s="85">
        <f>IF(CO133="","",IFERROR(CO133*HSTECH!$B$27*HSTECH!$G$27/HSTECH!$B$3,""))</f>
        <v/>
      </c>
      <c r="FD133" s="85">
        <f>IF(CP133="","",IFERROR(CP133*HSTECH!$B$27*HSTECH!$G$27/HSTECH!$B$3,""))</f>
        <v/>
      </c>
      <c r="FE133" s="85">
        <f>IF(CQ133="","",IFERROR(CQ133*HSTECH!$B$27*HSTECH!$G$27/HSTECH!$B$3,""))</f>
        <v/>
      </c>
      <c r="FF133" s="85">
        <f>IF(CR133="","",IFERROR(CR133*HSTECH!$B$27*HSTECH!$G$27/HSTECH!$B$3,""))</f>
        <v/>
      </c>
      <c r="FG133" s="85">
        <f>IF(CS133="","",IFERROR(CS133*HSTECH!$B$27*HSTECH!$G$27/HSTECH!$B$3,""))</f>
        <v/>
      </c>
      <c r="FH133" s="85">
        <f>IF(CT133="","",IFERROR(CT133*HSTECH!$B$27*HSTECH!$G$27/HSTECH!$B$3,""))</f>
        <v/>
      </c>
      <c r="FI133" s="85">
        <f>IF(CU133="","",IFERROR(CU133*HSTECH!$B$27*HSTECH!$G$27/HSTECH!$B$3,""))</f>
        <v/>
      </c>
      <c r="FJ133" s="85">
        <f>IF(CV133="","",IFERROR(CV133*HSTECH!$B$27*HSTECH!$G$27/HSTECH!$B$3,""))</f>
        <v/>
      </c>
      <c r="FK133" s="85">
        <f>IF(CW133="","",IFERROR(CW133*HSTECH!$B$27*HSTECH!$G$27/HSTECH!$B$3,""))</f>
        <v/>
      </c>
      <c r="FL133" s="85">
        <f>IF(CX133="","",IFERROR(CX133*HSTECH!$B$27*HSTECH!$G$27/HSTECH!$B$3,""))</f>
        <v/>
      </c>
      <c r="FM133" s="85">
        <f>IF(CY133="","",IFERROR(CY133*HSTECH!$B$27*HSTECH!$G$27/HSTECH!$B$3,""))</f>
        <v/>
      </c>
      <c r="FN133" s="85">
        <f>IF(CZ133="","",IFERROR(CZ133*HSTECH!$B$27*HSTECH!$G$27/HSTECH!$B$3,""))</f>
        <v/>
      </c>
      <c r="FO133" s="85">
        <f>IF(DA133="","",IFERROR(DA133*HSTECH!$B$27*HSTECH!$G$27/HSTECH!$B$3,""))</f>
        <v/>
      </c>
      <c r="FP133" s="85">
        <f>IF(DB133="","",IFERROR(DB133*HSTECH!$B$27*HSTECH!$G$27/HSTECH!$B$3,""))</f>
        <v/>
      </c>
      <c r="FQ133" s="85">
        <f>IF(DC133="","",IFERROR(DC133*HSTECH!$B$27*HSTECH!$G$27/HSTECH!$B$3,""))</f>
        <v/>
      </c>
      <c r="FR133" s="85">
        <f>IF(DD133="","",IFERROR(DD133*HSTECH!$B$27*HSTECH!$G$27/HSTECH!$B$3,""))</f>
        <v/>
      </c>
      <c r="FS133" s="85">
        <f>IF(DE133="","",IFERROR(DE133*HSTECH!$B$27*HSTECH!$G$27/HSTECH!$B$3,""))</f>
        <v/>
      </c>
      <c r="FT133" s="85">
        <f>IF(DF133="","",IFERROR(DF133*HSTECH!$B$27*HSTECH!$G$27/HSTECH!$B$3,""))</f>
        <v/>
      </c>
      <c r="FU133" s="85">
        <f>IF(DG133="","",IFERROR(DG133*HSTECH!$B$27*HSTECH!$G$27/HSTECH!$B$3,""))</f>
        <v/>
      </c>
      <c r="FV133" s="85">
        <f>IF(DH133="","",IFERROR(DH133*HSTECH!$B$27*HSTECH!$G$27/HSTECH!$B$3,""))</f>
        <v/>
      </c>
      <c r="FW133" s="85">
        <f>IF(DI133="","",IFERROR(DI133*HSTECH!$B$27*HSTECH!$G$27/HSTECH!$B$3,""))</f>
        <v/>
      </c>
      <c r="FX133" s="85">
        <f>IF(DJ133="","",IFERROR(DJ133*HSTECH!$B$27*HSTECH!$G$27/HSTECH!$B$3,""))</f>
        <v/>
      </c>
      <c r="FY133" s="85">
        <f>IF(DK133="","",IFERROR(DK133*HSTECH!$B$27*HSTECH!$G$27/HSTECH!$B$3,""))</f>
        <v/>
      </c>
      <c r="FZ133" s="85">
        <f>IF(DL133="","",IFERROR(DL133*HSTECH!$B$27*HSTECH!$G$27/HSTECH!$B$3,""))</f>
        <v/>
      </c>
      <c r="GA133" s="85">
        <f>IF(DM133="","",IFERROR(DM133*HSTECH!$B$27*HSTECH!$G$27/HSTECH!$B$3,""))</f>
        <v/>
      </c>
      <c r="GB133" s="85">
        <f>IF(DN133="","",IFERROR(DN133*HSTECH!$B$27*HSTECH!$G$27/HSTECH!$B$3,""))</f>
        <v/>
      </c>
      <c r="GC133" s="85">
        <f>IF(DO133="","",IFERROR(DO133*HSTECH!$B$27*HSTECH!$G$27/HSTECH!$B$3,""))</f>
        <v/>
      </c>
      <c r="GD133" s="85">
        <f>IF(DP133="","",IFERROR(DP133*HSTECH!$B$27*HSTECH!$G$27/HSTECH!$B$3,""))</f>
        <v/>
      </c>
      <c r="GE133" s="85">
        <f>IF(DQ133="","",IFERROR(DQ133*HSTECH!$B$27*HSTECH!$G$27/HSTECH!$B$3,""))</f>
        <v/>
      </c>
      <c r="GF133" s="85">
        <f>IF(DR133="","",IFERROR(DR133*HSTECH!$B$27*HSTECH!$G$27/HSTECH!$B$3,""))</f>
        <v/>
      </c>
      <c r="GG133" s="85">
        <f>IF(DS133="","",IFERROR(DS133*HSTECH!$B$27*HSTECH!$G$27/HSTECH!$B$3,""))</f>
        <v/>
      </c>
      <c r="GH133" s="85">
        <f>IF(DT133="","",IFERROR(DT133*HSTECH!$B$27*HSTECH!$G$27/HSTECH!$B$3,""))</f>
        <v/>
      </c>
      <c r="GI133" s="85">
        <f>IF(DU133="","",IFERROR(DU133*HSTECH!$B$27*HSTECH!$G$27/HSTECH!$B$3,""))</f>
        <v/>
      </c>
      <c r="GJ133" s="85">
        <f>IF(DV133="","",IFERROR(DV133*HSTECH!$B$27*HSTECH!$G$27/HSTECH!$B$3,""))</f>
        <v/>
      </c>
      <c r="GK133" s="85">
        <f>IF(DW133="","",IFERROR(DW133*HSTECH!$B$27*HSTECH!$G$27/HSTECH!$B$3,""))</f>
        <v/>
      </c>
      <c r="GL133" s="85">
        <f>IF(DX133="","",IFERROR(DX133*HSTECH!$B$27*HSTECH!$G$27/HSTECH!$B$3,""))</f>
        <v/>
      </c>
      <c r="GM133" s="85">
        <f>IF(DY133="","",IFERROR(DY133*HSTECH!$B$27*HSTECH!$G$27/HSTECH!$B$3,""))</f>
        <v/>
      </c>
      <c r="GN133" s="85">
        <f>IF(DZ133="","",IFERROR(DZ133*HSTECH!$B$27*HSTECH!$G$27/HSTECH!$B$3,""))</f>
        <v/>
      </c>
      <c r="GO133" s="85">
        <f>IF(EA133="","",IFERROR(EA133*HSTECH!$B$27*HSTECH!$G$27/HSTECH!$B$3,""))</f>
        <v/>
      </c>
      <c r="GP133" s="85">
        <f>IF(EB133="","",IFERROR(EB133*HSTECH!$B$27*HSTECH!$G$27/HSTECH!$B$3,""))</f>
        <v/>
      </c>
      <c r="GQ133" s="85">
        <f>IF(EC133="","",IFERROR(EC133*HSTECH!$B$27*HSTECH!$G$27/HSTECH!$B$3,""))</f>
        <v/>
      </c>
    </row>
    <row r="134">
      <c r="B134" s="2">
        <f>IF(HSTECH!$C$28="","",HSTECH!$C$28)</f>
        <v/>
      </c>
      <c r="C134" s="41">
        <f>IF(N('Dvd Calendar'!$E$1830)=0,"",IF(('Dvd Calendar'!$E$1830&gt;=MIN(DATE(Summary!$C$12,1,1),Summary!$C$11))*('Dvd Calendar'!$E$1830&lt;=MAX(DATE(Summary!$C$12,12,31),Summary!$C$15))*('Dvd Calendar'!$E$1830&lt;=Summary!$C$11)=0,"",'Dvd Calendar'!$E$1830*1000000000+ISNUMBER('Dvd Calendar'!$E$1831)*100000000+('Dvd Calendar'!$E$1835='Field Check'!$C$25)*10000000+(N('Dvd Calendar'!$E$1829)&gt;0)*1000000+22*1000+1))</f>
        <v/>
      </c>
      <c r="D134" s="41">
        <f>IF(N('Dvd Calendar'!$F$1830)=0,"",IF(('Dvd Calendar'!$F$1830&gt;=MIN(DATE(Summary!$C$12,1,1),Summary!$C$11))*('Dvd Calendar'!$F$1830&lt;=MAX(DATE(Summary!$C$12,12,31),Summary!$C$15))*('Dvd Calendar'!$F$1830&lt;=Summary!$C$11)=0,"",'Dvd Calendar'!$F$1830*1000000000+ISNUMBER('Dvd Calendar'!$F$1831)*100000000+('Dvd Calendar'!$F$1835='Field Check'!$C$25)*10000000+(N('Dvd Calendar'!$F$1829)&gt;0)*1000000+22*1000+2))</f>
        <v/>
      </c>
      <c r="E134" s="41">
        <f>IF(N('Dvd Calendar'!$G$1830)=0,"",IF(('Dvd Calendar'!$G$1830&gt;=MIN(DATE(Summary!$C$12,1,1),Summary!$C$11))*('Dvd Calendar'!$G$1830&lt;=MAX(DATE(Summary!$C$12,12,31),Summary!$C$15))*('Dvd Calendar'!$G$1830&lt;=Summary!$C$11)=0,"",'Dvd Calendar'!$G$1830*1000000000+ISNUMBER('Dvd Calendar'!$G$1831)*100000000+('Dvd Calendar'!$G$1835='Field Check'!$C$25)*10000000+(N('Dvd Calendar'!$G$1829)&gt;0)*1000000+22*1000+3))</f>
        <v/>
      </c>
      <c r="F134" s="41">
        <f>IF(N('Dvd Calendar'!$H$1830)=0,"",IF(('Dvd Calendar'!$H$1830&gt;=MIN(DATE(Summary!$C$12,1,1),Summary!$C$11))*('Dvd Calendar'!$H$1830&lt;=MAX(DATE(Summary!$C$12,12,31),Summary!$C$15))*('Dvd Calendar'!$H$1830&lt;=Summary!$C$11)=0,"",'Dvd Calendar'!$H$1830*1000000000+ISNUMBER('Dvd Calendar'!$H$1831)*100000000+('Dvd Calendar'!$H$1835='Field Check'!$C$25)*10000000+(N('Dvd Calendar'!$H$1829)&gt;0)*1000000+22*1000+4))</f>
        <v/>
      </c>
      <c r="G134" s="41">
        <f>IF(N('Dvd Calendar'!$I$1830)=0,"",IF(('Dvd Calendar'!$I$1830&gt;=MIN(DATE(Summary!$C$12,1,1),Summary!$C$11))*('Dvd Calendar'!$I$1830&lt;=MAX(DATE(Summary!$C$12,12,31),Summary!$C$15))*('Dvd Calendar'!$I$1830&lt;=Summary!$C$11)=0,"",'Dvd Calendar'!$I$1830*1000000000+ISNUMBER('Dvd Calendar'!$I$1831)*100000000+('Dvd Calendar'!$I$1835='Field Check'!$C$25)*10000000+(N('Dvd Calendar'!$I$1829)&gt;0)*1000000+22*1000+5))</f>
        <v/>
      </c>
      <c r="H134" s="41">
        <f>IF(N('Dvd Calendar'!$J$1830)=0,"",IF(('Dvd Calendar'!$J$1830&gt;=MIN(DATE(Summary!$C$12,1,1),Summary!$C$11))*('Dvd Calendar'!$J$1830&lt;=MAX(DATE(Summary!$C$12,12,31),Summary!$C$15))*('Dvd Calendar'!$J$1830&lt;=Summary!$C$11)=0,"",'Dvd Calendar'!$J$1830*1000000000+ISNUMBER('Dvd Calendar'!$J$1831)*100000000+('Dvd Calendar'!$J$1835='Field Check'!$C$25)*10000000+(N('Dvd Calendar'!$J$1829)&gt;0)*1000000+22*1000+6))</f>
        <v/>
      </c>
      <c r="I134" s="41">
        <f>IF(N('Dvd Calendar'!$K$1830)=0,"",IF(('Dvd Calendar'!$K$1830&gt;=MIN(DATE(Summary!$C$12,1,1),Summary!$C$11))*('Dvd Calendar'!$K$1830&lt;=MAX(DATE(Summary!$C$12,12,31),Summary!$C$15))*('Dvd Calendar'!$K$1830&lt;=Summary!$C$11)=0,"",'Dvd Calendar'!$K$1830*1000000000+ISNUMBER('Dvd Calendar'!$K$1831)*100000000+('Dvd Calendar'!$K$1835='Field Check'!$C$25)*10000000+(N('Dvd Calendar'!$K$1829)&gt;0)*1000000+22*1000+7))</f>
        <v/>
      </c>
      <c r="J134" s="41">
        <f>IF(N('Dvd Calendar'!$L$1830)=0,"",IF(('Dvd Calendar'!$L$1830&gt;=MIN(DATE(Summary!$C$12,1,1),Summary!$C$11))*('Dvd Calendar'!$L$1830&lt;=MAX(DATE(Summary!$C$12,12,31),Summary!$C$15))*('Dvd Calendar'!$L$1830&lt;=Summary!$C$11)=0,"",'Dvd Calendar'!$L$1830*1000000000+ISNUMBER('Dvd Calendar'!$L$1831)*100000000+('Dvd Calendar'!$L$1835='Field Check'!$C$25)*10000000+(N('Dvd Calendar'!$L$1829)&gt;0)*1000000+22*1000+8))</f>
        <v/>
      </c>
      <c r="K134" s="41">
        <f>IF(N('Dvd Calendar'!$M$1830)=0,"",IF(('Dvd Calendar'!$M$1830&gt;=MIN(DATE(Summary!$C$12,1,1),Summary!$C$11))*('Dvd Calendar'!$M$1830&lt;=MAX(DATE(Summary!$C$12,12,31),Summary!$C$15))*('Dvd Calendar'!$M$1830&lt;=Summary!$C$11)=0,"",'Dvd Calendar'!$M$1830*1000000000+ISNUMBER('Dvd Calendar'!$M$1831)*100000000+('Dvd Calendar'!$M$1835='Field Check'!$C$25)*10000000+(N('Dvd Calendar'!$M$1829)&gt;0)*1000000+22*1000+9))</f>
        <v/>
      </c>
      <c r="L134" s="41">
        <f>IF(N('Dvd Calendar'!$N$1830)=0,"",IF(('Dvd Calendar'!$N$1830&gt;=MIN(DATE(Summary!$C$12,1,1),Summary!$C$11))*('Dvd Calendar'!$N$1830&lt;=MAX(DATE(Summary!$C$12,12,31),Summary!$C$15))*('Dvd Calendar'!$N$1830&lt;=Summary!$C$11)=0,"",'Dvd Calendar'!$N$1830*1000000000+ISNUMBER('Dvd Calendar'!$N$1831)*100000000+('Dvd Calendar'!$N$1835='Field Check'!$C$25)*10000000+(N('Dvd Calendar'!$N$1829)&gt;0)*1000000+22*1000+10))</f>
        <v/>
      </c>
      <c r="M134" s="41">
        <f>IF(N('Dvd Calendar'!$O$1830)=0,"",IF(('Dvd Calendar'!$O$1830&gt;=MIN(DATE(Summary!$C$12,1,1),Summary!$C$11))*('Dvd Calendar'!$O$1830&lt;=MAX(DATE(Summary!$C$12,12,31),Summary!$C$15))*('Dvd Calendar'!$O$1830&lt;=Summary!$C$11)=0,"",'Dvd Calendar'!$O$1830*1000000000+ISNUMBER('Dvd Calendar'!$O$1831)*100000000+('Dvd Calendar'!$O$1835='Field Check'!$C$25)*10000000+(N('Dvd Calendar'!$O$1829)&gt;0)*1000000+22*1000+11))</f>
        <v/>
      </c>
      <c r="N134" s="41">
        <f>IF(N('Dvd Calendar'!$P$1830)=0,"",IF(('Dvd Calendar'!$P$1830&gt;=MIN(DATE(Summary!$C$12,1,1),Summary!$C$11))*('Dvd Calendar'!$P$1830&lt;=MAX(DATE(Summary!$C$12,12,31),Summary!$C$15))*('Dvd Calendar'!$P$1830&lt;=Summary!$C$11)=0,"",'Dvd Calendar'!$P$1830*1000000000+ISNUMBER('Dvd Calendar'!$P$1831)*100000000+('Dvd Calendar'!$P$1835='Field Check'!$C$25)*10000000+(N('Dvd Calendar'!$P$1829)&gt;0)*1000000+22*1000+12))</f>
        <v/>
      </c>
      <c r="O134" s="41">
        <f>IF(N('Dvd Calendar'!$Q$1830)=0,"",IF(('Dvd Calendar'!$Q$1830&gt;=MIN(DATE(Summary!$C$12,1,1),Summary!$C$11))*('Dvd Calendar'!$Q$1830&lt;=MAX(DATE(Summary!$C$12,12,31),Summary!$C$15))*('Dvd Calendar'!$Q$1830&lt;=Summary!$C$11)=0,"",'Dvd Calendar'!$Q$1830*1000000000+ISNUMBER('Dvd Calendar'!$Q$1831)*100000000+('Dvd Calendar'!$Q$1835='Field Check'!$C$25)*10000000+(N('Dvd Calendar'!$Q$1829)&gt;0)*1000000+22*1000+13))</f>
        <v/>
      </c>
      <c r="P134" s="41">
        <f>IF(N('Dvd Calendar'!$R$1830)=0,"",IF(('Dvd Calendar'!$R$1830&gt;=MIN(DATE(Summary!$C$12,1,1),Summary!$C$11))*('Dvd Calendar'!$R$1830&lt;=MAX(DATE(Summary!$C$12,12,31),Summary!$C$15))*('Dvd Calendar'!$R$1830&lt;=Summary!$C$11)=0,"",'Dvd Calendar'!$R$1830*1000000000+ISNUMBER('Dvd Calendar'!$R$1831)*100000000+('Dvd Calendar'!$R$1835='Field Check'!$C$25)*10000000+(N('Dvd Calendar'!$R$1829)&gt;0)*1000000+22*1000+14))</f>
        <v/>
      </c>
      <c r="Q134" s="41">
        <f>IF(N('Dvd Calendar'!$S$1830)=0,"",IF(('Dvd Calendar'!$S$1830&gt;=MIN(DATE(Summary!$C$12,1,1),Summary!$C$11))*('Dvd Calendar'!$S$1830&lt;=MAX(DATE(Summary!$C$12,12,31),Summary!$C$15))*('Dvd Calendar'!$S$1830&lt;=Summary!$C$11)=0,"",'Dvd Calendar'!$S$1830*1000000000+ISNUMBER('Dvd Calendar'!$S$1831)*100000000+('Dvd Calendar'!$S$1835='Field Check'!$C$25)*10000000+(N('Dvd Calendar'!$S$1829)&gt;0)*1000000+22*1000+15))</f>
        <v/>
      </c>
      <c r="R134" s="41">
        <f>IF(N('Dvd Calendar'!$T$1830)=0,"",IF(('Dvd Calendar'!$T$1830&gt;=MIN(DATE(Summary!$C$12,1,1),Summary!$C$11))*('Dvd Calendar'!$T$1830&lt;=MAX(DATE(Summary!$C$12,12,31),Summary!$C$15))*('Dvd Calendar'!$T$1830&lt;=Summary!$C$11)=0,"",'Dvd Calendar'!$T$1830*1000000000+ISNUMBER('Dvd Calendar'!$T$1831)*100000000+('Dvd Calendar'!$T$1835='Field Check'!$C$25)*10000000+(N('Dvd Calendar'!$T$1829)&gt;0)*1000000+22*1000+16))</f>
        <v/>
      </c>
      <c r="S134" s="41">
        <f>IF(N('Dvd Calendar'!$U$1830)=0,"",IF(('Dvd Calendar'!$U$1830&gt;=MIN(DATE(Summary!$C$12,1,1),Summary!$C$11))*('Dvd Calendar'!$U$1830&lt;=MAX(DATE(Summary!$C$12,12,31),Summary!$C$15))*('Dvd Calendar'!$U$1830&lt;=Summary!$C$11)=0,"",'Dvd Calendar'!$U$1830*1000000000+ISNUMBER('Dvd Calendar'!$U$1831)*100000000+('Dvd Calendar'!$U$1835='Field Check'!$C$25)*10000000+(N('Dvd Calendar'!$U$1829)&gt;0)*1000000+22*1000+17))</f>
        <v/>
      </c>
      <c r="T134" s="41">
        <f>IF(N('Dvd Calendar'!$V$1830)=0,"",IF(('Dvd Calendar'!$V$1830&gt;=MIN(DATE(Summary!$C$12,1,1),Summary!$C$11))*('Dvd Calendar'!$V$1830&lt;=MAX(DATE(Summary!$C$12,12,31),Summary!$C$15))*('Dvd Calendar'!$V$1830&lt;=Summary!$C$11)=0,"",'Dvd Calendar'!$V$1830*1000000000+ISNUMBER('Dvd Calendar'!$V$1831)*100000000+('Dvd Calendar'!$V$1835='Field Check'!$C$25)*10000000+(N('Dvd Calendar'!$V$1829)&gt;0)*1000000+22*1000+18))</f>
        <v/>
      </c>
      <c r="U134" s="41">
        <f>IF(N('Dvd Calendar'!$W$1830)=0,"",IF(('Dvd Calendar'!$W$1830&gt;=MIN(DATE(Summary!$C$12,1,1),Summary!$C$11))*('Dvd Calendar'!$W$1830&lt;=MAX(DATE(Summary!$C$12,12,31),Summary!$C$15))*('Dvd Calendar'!$W$1830&lt;=Summary!$C$11)=0,"",'Dvd Calendar'!$W$1830*1000000000+ISNUMBER('Dvd Calendar'!$W$1831)*100000000+('Dvd Calendar'!$W$1835='Field Check'!$C$25)*10000000+(N('Dvd Calendar'!$W$1829)&gt;0)*1000000+22*1000+19))</f>
        <v/>
      </c>
      <c r="V134" s="41">
        <f>IF(N('Dvd Calendar'!$X$1830)=0,"",IF(('Dvd Calendar'!$X$1830&gt;=MIN(DATE(Summary!$C$12,1,1),Summary!$C$11))*('Dvd Calendar'!$X$1830&lt;=MAX(DATE(Summary!$C$12,12,31),Summary!$C$15))*('Dvd Calendar'!$X$1830&lt;=Summary!$C$11)=0,"",'Dvd Calendar'!$X$1830*1000000000+ISNUMBER('Dvd Calendar'!$X$1831)*100000000+('Dvd Calendar'!$X$1835='Field Check'!$C$25)*10000000+(N('Dvd Calendar'!$X$1829)&gt;0)*1000000+22*1000+20))</f>
        <v/>
      </c>
      <c r="W134" s="41">
        <f>IF(N('Dvd Calendar'!$Y$1830)=0,"",IF(('Dvd Calendar'!$Y$1830&gt;=MIN(DATE(Summary!$C$12,1,1),Summary!$C$11))*('Dvd Calendar'!$Y$1830&lt;=MAX(DATE(Summary!$C$12,12,31),Summary!$C$15))*('Dvd Calendar'!$Y$1830&lt;=Summary!$C$11)=0,"",'Dvd Calendar'!$Y$1830*1000000000+ISNUMBER('Dvd Calendar'!$Y$1831)*100000000+('Dvd Calendar'!$Y$1835='Field Check'!$C$25)*10000000+(N('Dvd Calendar'!$Y$1829)&gt;0)*1000000+22*1000+21))</f>
        <v/>
      </c>
      <c r="X134" s="41">
        <f>IF(N('Dvd Calendar'!$Z$1830)=0,"",IF(('Dvd Calendar'!$Z$1830&gt;=MIN(DATE(Summary!$C$12,1,1),Summary!$C$11))*('Dvd Calendar'!$Z$1830&lt;=MAX(DATE(Summary!$C$12,12,31),Summary!$C$15))*('Dvd Calendar'!$Z$1830&lt;=Summary!$C$11)=0,"",'Dvd Calendar'!$Z$1830*1000000000+ISNUMBER('Dvd Calendar'!$Z$1831)*100000000+('Dvd Calendar'!$Z$1835='Field Check'!$C$25)*10000000+(N('Dvd Calendar'!$Z$1829)&gt;0)*1000000+22*1000+22))</f>
        <v/>
      </c>
      <c r="Y134" s="41">
        <f>IF(N('Dvd Calendar'!$AA$1830)=0,"",IF(('Dvd Calendar'!$AA$1830&gt;=MIN(DATE(Summary!$C$12,1,1),Summary!$C$11))*('Dvd Calendar'!$AA$1830&lt;=MAX(DATE(Summary!$C$12,12,31),Summary!$C$15))*('Dvd Calendar'!$AA$1830&lt;=Summary!$C$11)=0,"",'Dvd Calendar'!$AA$1830*1000000000+ISNUMBER('Dvd Calendar'!$AA$1831)*100000000+('Dvd Calendar'!$AA$1835='Field Check'!$C$25)*10000000+(N('Dvd Calendar'!$AA$1829)&gt;0)*1000000+22*1000+23))</f>
        <v/>
      </c>
      <c r="Z134" s="41">
        <f>IF(N('Dvd Calendar'!$AB$1830)=0,"",IF(('Dvd Calendar'!$AB$1830&gt;=MIN(DATE(Summary!$C$12,1,1),Summary!$C$11))*('Dvd Calendar'!$AB$1830&lt;=MAX(DATE(Summary!$C$12,12,31),Summary!$C$15))*('Dvd Calendar'!$AB$1830&lt;=Summary!$C$11)=0,"",'Dvd Calendar'!$AB$1830*1000000000+ISNUMBER('Dvd Calendar'!$AB$1831)*100000000+('Dvd Calendar'!$AB$1835='Field Check'!$C$25)*10000000+(N('Dvd Calendar'!$AB$1829)&gt;0)*1000000+22*1000+24))</f>
        <v/>
      </c>
      <c r="AA134" s="41">
        <f>IF(N('Dvd Calendar'!$AC$1830)=0,"",IF(('Dvd Calendar'!$AC$1830&gt;=MIN(DATE(Summary!$C$12,1,1),Summary!$C$11))*('Dvd Calendar'!$AC$1830&lt;=MAX(DATE(Summary!$C$12,12,31),Summary!$C$15))*('Dvd Calendar'!$AC$1830&lt;=Summary!$C$11)=0,"",'Dvd Calendar'!$AC$1830*1000000000+ISNUMBER('Dvd Calendar'!$AC$1831)*100000000+('Dvd Calendar'!$AC$1835='Field Check'!$C$25)*10000000+(N('Dvd Calendar'!$AC$1829)&gt;0)*1000000+22*1000+25))</f>
        <v/>
      </c>
      <c r="AB134" s="41">
        <f>IF(N('Dvd Calendar'!$AD$1830)=0,"",IF(('Dvd Calendar'!$AD$1830&gt;=MIN(DATE(Summary!$C$12,1,1),Summary!$C$11))*('Dvd Calendar'!$AD$1830&lt;=MAX(DATE(Summary!$C$12,12,31),Summary!$C$15))*('Dvd Calendar'!$AD$1830&lt;=Summary!$C$11)=0,"",'Dvd Calendar'!$AD$1830*1000000000+ISNUMBER('Dvd Calendar'!$AD$1831)*100000000+('Dvd Calendar'!$AD$1835='Field Check'!$C$25)*10000000+(N('Dvd Calendar'!$AD$1829)&gt;0)*1000000+22*1000+26))</f>
        <v/>
      </c>
      <c r="AC134" s="41">
        <f>IF(N('Dvd Calendar'!$AE$1830)=0,"",IF(('Dvd Calendar'!$AE$1830&gt;=MIN(DATE(Summary!$C$12,1,1),Summary!$C$11))*('Dvd Calendar'!$AE$1830&lt;=MAX(DATE(Summary!$C$12,12,31),Summary!$C$15))*('Dvd Calendar'!$AE$1830&lt;=Summary!$C$11)=0,"",'Dvd Calendar'!$AE$1830*1000000000+ISNUMBER('Dvd Calendar'!$AE$1831)*100000000+('Dvd Calendar'!$AE$1835='Field Check'!$C$25)*10000000+(N('Dvd Calendar'!$AE$1829)&gt;0)*1000000+22*1000+27))</f>
        <v/>
      </c>
      <c r="AD134" s="41">
        <f>IF(N('Dvd Calendar'!$AF$1830)=0,"",IF(('Dvd Calendar'!$AF$1830&gt;=MIN(DATE(Summary!$C$12,1,1),Summary!$C$11))*('Dvd Calendar'!$AF$1830&lt;=MAX(DATE(Summary!$C$12,12,31),Summary!$C$15))*('Dvd Calendar'!$AF$1830&lt;=Summary!$C$11)=0,"",'Dvd Calendar'!$AF$1830*1000000000+ISNUMBER('Dvd Calendar'!$AF$1831)*100000000+('Dvd Calendar'!$AF$1835='Field Check'!$C$25)*10000000+(N('Dvd Calendar'!$AF$1829)&gt;0)*1000000+22*1000+28))</f>
        <v/>
      </c>
      <c r="AE134" s="41">
        <f>IF(N('Dvd Calendar'!$AG$1830)=0,"",IF(('Dvd Calendar'!$AG$1830&gt;=MIN(DATE(Summary!$C$12,1,1),Summary!$C$11))*('Dvd Calendar'!$AG$1830&lt;=MAX(DATE(Summary!$C$12,12,31),Summary!$C$15))*('Dvd Calendar'!$AG$1830&lt;=Summary!$C$11)=0,"",'Dvd Calendar'!$AG$1830*1000000000+ISNUMBER('Dvd Calendar'!$AG$1831)*100000000+('Dvd Calendar'!$AG$1835='Field Check'!$C$25)*10000000+(N('Dvd Calendar'!$AG$1829)&gt;0)*1000000+22*1000+29))</f>
        <v/>
      </c>
      <c r="AF134" s="41">
        <f>IF(N('Dvd Calendar'!$AH$1830)=0,"",IF(('Dvd Calendar'!$AH$1830&gt;=MIN(DATE(Summary!$C$12,1,1),Summary!$C$11))*('Dvd Calendar'!$AH$1830&lt;=MAX(DATE(Summary!$C$12,12,31),Summary!$C$15))*('Dvd Calendar'!$AH$1830&lt;=Summary!$C$11)=0,"",'Dvd Calendar'!$AH$1830*1000000000+ISNUMBER('Dvd Calendar'!$AH$1831)*100000000+('Dvd Calendar'!$AH$1835='Field Check'!$C$25)*10000000+(N('Dvd Calendar'!$AH$1829)&gt;0)*1000000+22*1000+30))</f>
        <v/>
      </c>
      <c r="AG134" s="41">
        <f>IF(N('Dvd Calendar'!$AI$1830)=0,"",IF(('Dvd Calendar'!$AI$1830&gt;=MIN(DATE(Summary!$C$12,1,1),Summary!$C$11))*('Dvd Calendar'!$AI$1830&lt;=MAX(DATE(Summary!$C$12,12,31),Summary!$C$15))*('Dvd Calendar'!$AI$1830&lt;=Summary!$C$11)=0,"",'Dvd Calendar'!$AI$1830*1000000000+ISNUMBER('Dvd Calendar'!$AI$1831)*100000000+('Dvd Calendar'!$AI$1835='Field Check'!$C$25)*10000000+(N('Dvd Calendar'!$AI$1829)&gt;0)*1000000+22*1000+31))</f>
        <v/>
      </c>
      <c r="AH134" s="41">
        <f>IF(N('Dvd Calendar'!$AJ$1830)=0,"",IF(('Dvd Calendar'!$AJ$1830&gt;=MIN(DATE(Summary!$C$12,1,1),Summary!$C$11))*('Dvd Calendar'!$AJ$1830&lt;=MAX(DATE(Summary!$C$12,12,31),Summary!$C$15))*('Dvd Calendar'!$AJ$1830&lt;=Summary!$C$11)=0,"",'Dvd Calendar'!$AJ$1830*1000000000+ISNUMBER('Dvd Calendar'!$AJ$1831)*100000000+('Dvd Calendar'!$AJ$1835='Field Check'!$C$25)*10000000+(N('Dvd Calendar'!$AJ$1829)&gt;0)*1000000+22*1000+32))</f>
        <v/>
      </c>
      <c r="AI134" s="41">
        <f>IF(N('Dvd Calendar'!$AK$1830)=0,"",IF(('Dvd Calendar'!$AK$1830&gt;=MIN(DATE(Summary!$C$12,1,1),Summary!$C$11))*('Dvd Calendar'!$AK$1830&lt;=MAX(DATE(Summary!$C$12,12,31),Summary!$C$15))*('Dvd Calendar'!$AK$1830&lt;=Summary!$C$11)=0,"",'Dvd Calendar'!$AK$1830*1000000000+ISNUMBER('Dvd Calendar'!$AK$1831)*100000000+('Dvd Calendar'!$AK$1835='Field Check'!$C$25)*10000000+(N('Dvd Calendar'!$AK$1829)&gt;0)*1000000+22*1000+33))</f>
        <v/>
      </c>
      <c r="AJ134" s="41">
        <f>IF(N('Dvd Calendar'!$AL$1830)=0,"",IF(('Dvd Calendar'!$AL$1830&gt;=MIN(DATE(Summary!$C$12,1,1),Summary!$C$11))*('Dvd Calendar'!$AL$1830&lt;=MAX(DATE(Summary!$C$12,12,31),Summary!$C$15))*('Dvd Calendar'!$AL$1830&lt;=Summary!$C$11)=0,"",'Dvd Calendar'!$AL$1830*1000000000+ISNUMBER('Dvd Calendar'!$AL$1831)*100000000+('Dvd Calendar'!$AL$1835='Field Check'!$C$25)*10000000+(N('Dvd Calendar'!$AL$1829)&gt;0)*1000000+22*1000+34))</f>
        <v/>
      </c>
      <c r="AK134" s="41">
        <f>IF(N('Dvd Calendar'!$AM$1830)=0,"",IF(('Dvd Calendar'!$AM$1830&gt;=MIN(DATE(Summary!$C$12,1,1),Summary!$C$11))*('Dvd Calendar'!$AM$1830&lt;=MAX(DATE(Summary!$C$12,12,31),Summary!$C$15))*('Dvd Calendar'!$AM$1830&lt;=Summary!$C$11)=0,"",'Dvd Calendar'!$AM$1830*1000000000+ISNUMBER('Dvd Calendar'!$AM$1831)*100000000+('Dvd Calendar'!$AM$1835='Field Check'!$C$25)*10000000+(N('Dvd Calendar'!$AM$1829)&gt;0)*1000000+22*1000+35))</f>
        <v/>
      </c>
      <c r="AL134" s="41">
        <f>IF(N('Dvd Calendar'!$AN$1830)=0,"",IF(('Dvd Calendar'!$AN$1830&gt;=MIN(DATE(Summary!$C$12,1,1),Summary!$C$11))*('Dvd Calendar'!$AN$1830&lt;=MAX(DATE(Summary!$C$12,12,31),Summary!$C$15))*('Dvd Calendar'!$AN$1830&lt;=Summary!$C$11)=0,"",'Dvd Calendar'!$AN$1830*1000000000+ISNUMBER('Dvd Calendar'!$AN$1831)*100000000+('Dvd Calendar'!$AN$1835='Field Check'!$C$25)*10000000+(N('Dvd Calendar'!$AN$1829)&gt;0)*1000000+22*1000+36))</f>
        <v/>
      </c>
      <c r="AM134" s="41">
        <f>IF(N('Dvd Calendar'!$AO$1830)=0,"",IF(('Dvd Calendar'!$AO$1830&gt;=MIN(DATE(Summary!$C$12,1,1),Summary!$C$11))*('Dvd Calendar'!$AO$1830&lt;=MAX(DATE(Summary!$C$12,12,31),Summary!$C$15))*('Dvd Calendar'!$AO$1830&lt;=Summary!$C$11)=0,"",'Dvd Calendar'!$AO$1830*1000000000+ISNUMBER('Dvd Calendar'!$AO$1831)*100000000+('Dvd Calendar'!$AO$1835='Field Check'!$C$25)*10000000+(N('Dvd Calendar'!$AO$1829)&gt;0)*1000000+22*1000+37))</f>
        <v/>
      </c>
      <c r="AN134" s="41">
        <f>IF(N('Dvd Calendar'!$AP$1830)=0,"",IF(('Dvd Calendar'!$AP$1830&gt;=MIN(DATE(Summary!$C$12,1,1),Summary!$C$11))*('Dvd Calendar'!$AP$1830&lt;=MAX(DATE(Summary!$C$12,12,31),Summary!$C$15))*('Dvd Calendar'!$AP$1830&lt;=Summary!$C$11)=0,"",'Dvd Calendar'!$AP$1830*1000000000+ISNUMBER('Dvd Calendar'!$AP$1831)*100000000+('Dvd Calendar'!$AP$1835='Field Check'!$C$25)*10000000+(N('Dvd Calendar'!$AP$1829)&gt;0)*1000000+22*1000+38))</f>
        <v/>
      </c>
      <c r="AO134" s="41">
        <f>IF(N('Dvd Calendar'!$AQ$1830)=0,"",IF(('Dvd Calendar'!$AQ$1830&gt;=MIN(DATE(Summary!$C$12,1,1),Summary!$C$11))*('Dvd Calendar'!$AQ$1830&lt;=MAX(DATE(Summary!$C$12,12,31),Summary!$C$15))*('Dvd Calendar'!$AQ$1830&lt;=Summary!$C$11)=0,"",'Dvd Calendar'!$AQ$1830*1000000000+ISNUMBER('Dvd Calendar'!$AQ$1831)*100000000+('Dvd Calendar'!$AQ$1835='Field Check'!$C$25)*10000000+(N('Dvd Calendar'!$AQ$1829)&gt;0)*1000000+22*1000+39))</f>
        <v/>
      </c>
      <c r="AP134" s="41">
        <f>IF(N('Dvd Calendar'!$AR$1830)=0,"",IF(('Dvd Calendar'!$AR$1830&gt;=MIN(DATE(Summary!$C$12,1,1),Summary!$C$11))*('Dvd Calendar'!$AR$1830&lt;=MAX(DATE(Summary!$C$12,12,31),Summary!$C$15))*('Dvd Calendar'!$AR$1830&lt;=Summary!$C$11)=0,"",'Dvd Calendar'!$AR$1830*1000000000+ISNUMBER('Dvd Calendar'!$AR$1831)*100000000+('Dvd Calendar'!$AR$1835='Field Check'!$C$25)*10000000+(N('Dvd Calendar'!$AR$1829)&gt;0)*1000000+22*1000+40))</f>
        <v/>
      </c>
      <c r="AQ134" s="41">
        <f>IF(N('Dvd Calendar'!$E$1837)=0,"",IF(('Dvd Calendar'!$E$1837&gt;=MIN(DATE(Summary!$C$12,1,1),Summary!$C$11))*('Dvd Calendar'!$E$1837&lt;=MAX(DATE(Summary!$C$12,12,31),Summary!$C$15))*('Dvd Calendar'!$E$1837&gt;Summary!$C$11)=0,"",'Dvd Calendar'!$E$1837*1000000000+ISNUMBER('Dvd Calendar'!$E$1838)*100000000+('Dvd Calendar'!$E$1842='Field Check'!$C$25)*10000000+(N('Dvd Calendar'!$E$1836)&gt;0)*1000000+22*1000+41))</f>
        <v/>
      </c>
      <c r="AR134" s="41">
        <f>IF(N('Dvd Calendar'!$F$1837)=0,"",IF(('Dvd Calendar'!$F$1837&gt;=MIN(DATE(Summary!$C$12,1,1),Summary!$C$11))*('Dvd Calendar'!$F$1837&lt;=MAX(DATE(Summary!$C$12,12,31),Summary!$C$15))*('Dvd Calendar'!$F$1837&gt;Summary!$C$11)=0,"",'Dvd Calendar'!$F$1837*1000000000+ISNUMBER('Dvd Calendar'!$F$1838)*100000000+('Dvd Calendar'!$F$1842='Field Check'!$C$25)*10000000+(N('Dvd Calendar'!$F$1836)&gt;0)*1000000+22*1000+42))</f>
        <v/>
      </c>
      <c r="AS134" s="41">
        <f>IF(N('Dvd Calendar'!$G$1837)=0,"",IF(('Dvd Calendar'!$G$1837&gt;=MIN(DATE(Summary!$C$12,1,1),Summary!$C$11))*('Dvd Calendar'!$G$1837&lt;=MAX(DATE(Summary!$C$12,12,31),Summary!$C$15))*('Dvd Calendar'!$G$1837&gt;Summary!$C$11)=0,"",'Dvd Calendar'!$G$1837*1000000000+ISNUMBER('Dvd Calendar'!$G$1838)*100000000+('Dvd Calendar'!$G$1842='Field Check'!$C$25)*10000000+(N('Dvd Calendar'!$G$1836)&gt;0)*1000000+22*1000+43))</f>
        <v/>
      </c>
      <c r="AT134" s="41">
        <f>IF(N('Dvd Calendar'!$H$1837)=0,"",IF(('Dvd Calendar'!$H$1837&gt;=MIN(DATE(Summary!$C$12,1,1),Summary!$C$11))*('Dvd Calendar'!$H$1837&lt;=MAX(DATE(Summary!$C$12,12,31),Summary!$C$15))*('Dvd Calendar'!$H$1837&gt;Summary!$C$11)=0,"",'Dvd Calendar'!$H$1837*1000000000+ISNUMBER('Dvd Calendar'!$H$1838)*100000000+('Dvd Calendar'!$H$1842='Field Check'!$C$25)*10000000+(N('Dvd Calendar'!$H$1836)&gt;0)*1000000+22*1000+44))</f>
        <v/>
      </c>
      <c r="AU134" s="41">
        <f>IF(N('Dvd Calendar'!$I$1837)=0,"",IF(('Dvd Calendar'!$I$1837&gt;=MIN(DATE(Summary!$C$12,1,1),Summary!$C$11))*('Dvd Calendar'!$I$1837&lt;=MAX(DATE(Summary!$C$12,12,31),Summary!$C$15))*('Dvd Calendar'!$I$1837&gt;Summary!$C$11)=0,"",'Dvd Calendar'!$I$1837*1000000000+ISNUMBER('Dvd Calendar'!$I$1838)*100000000+('Dvd Calendar'!$I$1842='Field Check'!$C$25)*10000000+(N('Dvd Calendar'!$I$1836)&gt;0)*1000000+22*1000+45))</f>
        <v/>
      </c>
      <c r="AV134" s="41">
        <f>IF(N('Dvd Calendar'!$J$1837)=0,"",IF(('Dvd Calendar'!$J$1837&gt;=MIN(DATE(Summary!$C$12,1,1),Summary!$C$11))*('Dvd Calendar'!$J$1837&lt;=MAX(DATE(Summary!$C$12,12,31),Summary!$C$15))*('Dvd Calendar'!$J$1837&gt;Summary!$C$11)=0,"",'Dvd Calendar'!$J$1837*1000000000+ISNUMBER('Dvd Calendar'!$J$1838)*100000000+('Dvd Calendar'!$J$1842='Field Check'!$C$25)*10000000+(N('Dvd Calendar'!$J$1836)&gt;0)*1000000+22*1000+46))</f>
        <v/>
      </c>
      <c r="AW134" s="41">
        <f>IF(N('Dvd Calendar'!$K$1837)=0,"",IF(('Dvd Calendar'!$K$1837&gt;=MIN(DATE(Summary!$C$12,1,1),Summary!$C$11))*('Dvd Calendar'!$K$1837&lt;=MAX(DATE(Summary!$C$12,12,31),Summary!$C$15))*('Dvd Calendar'!$K$1837&gt;Summary!$C$11)=0,"",'Dvd Calendar'!$K$1837*1000000000+ISNUMBER('Dvd Calendar'!$K$1838)*100000000+('Dvd Calendar'!$K$1842='Field Check'!$C$25)*10000000+(N('Dvd Calendar'!$K$1836)&gt;0)*1000000+22*1000+47))</f>
        <v/>
      </c>
      <c r="AX134" s="41">
        <f>IF(N('Dvd Calendar'!$L$1837)=0,"",IF(('Dvd Calendar'!$L$1837&gt;=MIN(DATE(Summary!$C$12,1,1),Summary!$C$11))*('Dvd Calendar'!$L$1837&lt;=MAX(DATE(Summary!$C$12,12,31),Summary!$C$15))*('Dvd Calendar'!$L$1837&gt;Summary!$C$11)=0,"",'Dvd Calendar'!$L$1837*1000000000+ISNUMBER('Dvd Calendar'!$L$1838)*100000000+('Dvd Calendar'!$L$1842='Field Check'!$C$25)*10000000+(N('Dvd Calendar'!$L$1836)&gt;0)*1000000+22*1000+48))</f>
        <v/>
      </c>
      <c r="AY134" s="41">
        <f>IF(N('Dvd Calendar'!$M$1837)=0,"",IF(('Dvd Calendar'!$M$1837&gt;=MIN(DATE(Summary!$C$12,1,1),Summary!$C$11))*('Dvd Calendar'!$M$1837&lt;=MAX(DATE(Summary!$C$12,12,31),Summary!$C$15))*('Dvd Calendar'!$M$1837&gt;Summary!$C$11)=0,"",'Dvd Calendar'!$M$1837*1000000000+ISNUMBER('Dvd Calendar'!$M$1838)*100000000+('Dvd Calendar'!$M$1842='Field Check'!$C$25)*10000000+(N('Dvd Calendar'!$M$1836)&gt;0)*1000000+22*1000+49))</f>
        <v/>
      </c>
      <c r="AZ134" s="41">
        <f>IF(N('Dvd Calendar'!$N$1837)=0,"",IF(('Dvd Calendar'!$N$1837&gt;=MIN(DATE(Summary!$C$12,1,1),Summary!$C$11))*('Dvd Calendar'!$N$1837&lt;=MAX(DATE(Summary!$C$12,12,31),Summary!$C$15))*('Dvd Calendar'!$N$1837&gt;Summary!$C$11)=0,"",'Dvd Calendar'!$N$1837*1000000000+ISNUMBER('Dvd Calendar'!$N$1838)*100000000+('Dvd Calendar'!$N$1842='Field Check'!$C$25)*10000000+(N('Dvd Calendar'!$N$1836)&gt;0)*1000000+22*1000+50))</f>
        <v/>
      </c>
      <c r="BA134" s="41">
        <f>IF(N('Dvd Calendar'!$O$1837)=0,"",IF(('Dvd Calendar'!$O$1837&gt;=MIN(DATE(Summary!$C$12,1,1),Summary!$C$11))*('Dvd Calendar'!$O$1837&lt;=MAX(DATE(Summary!$C$12,12,31),Summary!$C$15))*('Dvd Calendar'!$O$1837&gt;Summary!$C$11)=0,"",'Dvd Calendar'!$O$1837*1000000000+ISNUMBER('Dvd Calendar'!$O$1838)*100000000+('Dvd Calendar'!$O$1842='Field Check'!$C$25)*10000000+(N('Dvd Calendar'!$O$1836)&gt;0)*1000000+22*1000+51))</f>
        <v/>
      </c>
      <c r="BB134" s="41">
        <f>IF(N('Dvd Calendar'!$P$1837)=0,"",IF(('Dvd Calendar'!$P$1837&gt;=MIN(DATE(Summary!$C$12,1,1),Summary!$C$11))*('Dvd Calendar'!$P$1837&lt;=MAX(DATE(Summary!$C$12,12,31),Summary!$C$15))*('Dvd Calendar'!$P$1837&gt;Summary!$C$11)=0,"",'Dvd Calendar'!$P$1837*1000000000+ISNUMBER('Dvd Calendar'!$P$1838)*100000000+('Dvd Calendar'!$P$1842='Field Check'!$C$25)*10000000+(N('Dvd Calendar'!$P$1836)&gt;0)*1000000+22*1000+52))</f>
        <v/>
      </c>
      <c r="BC134" s="41">
        <f>IF(N('Dvd Calendar'!$Q$1837)=0,"",IF(('Dvd Calendar'!$Q$1837&gt;=MIN(DATE(Summary!$C$12,1,1),Summary!$C$11))*('Dvd Calendar'!$Q$1837&lt;=MAX(DATE(Summary!$C$12,12,31),Summary!$C$15))*('Dvd Calendar'!$Q$1837&gt;Summary!$C$11)=0,"",'Dvd Calendar'!$Q$1837*1000000000+ISNUMBER('Dvd Calendar'!$Q$1838)*100000000+('Dvd Calendar'!$Q$1842='Field Check'!$C$25)*10000000+(N('Dvd Calendar'!$Q$1836)&gt;0)*1000000+22*1000+53))</f>
        <v/>
      </c>
      <c r="BD134" s="41">
        <f>IF(N('Dvd Calendar'!$R$1837)=0,"",IF(('Dvd Calendar'!$R$1837&gt;=MIN(DATE(Summary!$C$12,1,1),Summary!$C$11))*('Dvd Calendar'!$R$1837&lt;=MAX(DATE(Summary!$C$12,12,31),Summary!$C$15))*('Dvd Calendar'!$R$1837&gt;Summary!$C$11)=0,"",'Dvd Calendar'!$R$1837*1000000000+ISNUMBER('Dvd Calendar'!$R$1838)*100000000+('Dvd Calendar'!$R$1842='Field Check'!$C$25)*10000000+(N('Dvd Calendar'!$R$1836)&gt;0)*1000000+22*1000+54))</f>
        <v/>
      </c>
      <c r="BE134" s="41">
        <f>IF(N('Dvd Calendar'!$S$1837)=0,"",IF(('Dvd Calendar'!$S$1837&gt;=MIN(DATE(Summary!$C$12,1,1),Summary!$C$11))*('Dvd Calendar'!$S$1837&lt;=MAX(DATE(Summary!$C$12,12,31),Summary!$C$15))*('Dvd Calendar'!$S$1837&gt;Summary!$C$11)=0,"",'Dvd Calendar'!$S$1837*1000000000+ISNUMBER('Dvd Calendar'!$S$1838)*100000000+('Dvd Calendar'!$S$1842='Field Check'!$C$25)*10000000+(N('Dvd Calendar'!$S$1836)&gt;0)*1000000+22*1000+55))</f>
        <v/>
      </c>
      <c r="BF134" s="41">
        <f>IF(N('Dvd Calendar'!$T$1837)=0,"",IF(('Dvd Calendar'!$T$1837&gt;=MIN(DATE(Summary!$C$12,1,1),Summary!$C$11))*('Dvd Calendar'!$T$1837&lt;=MAX(DATE(Summary!$C$12,12,31),Summary!$C$15))*('Dvd Calendar'!$T$1837&gt;Summary!$C$11)=0,"",'Dvd Calendar'!$T$1837*1000000000+ISNUMBER('Dvd Calendar'!$T$1838)*100000000+('Dvd Calendar'!$T$1842='Field Check'!$C$25)*10000000+(N('Dvd Calendar'!$T$1836)&gt;0)*1000000+22*1000+56))</f>
        <v/>
      </c>
      <c r="BG134" s="41">
        <f>IF(N('Dvd Calendar'!$U$1837)=0,"",IF(('Dvd Calendar'!$U$1837&gt;=MIN(DATE(Summary!$C$12,1,1),Summary!$C$11))*('Dvd Calendar'!$U$1837&lt;=MAX(DATE(Summary!$C$12,12,31),Summary!$C$15))*('Dvd Calendar'!$U$1837&gt;Summary!$C$11)=0,"",'Dvd Calendar'!$U$1837*1000000000+ISNUMBER('Dvd Calendar'!$U$1838)*100000000+('Dvd Calendar'!$U$1842='Field Check'!$C$25)*10000000+(N('Dvd Calendar'!$U$1836)&gt;0)*1000000+22*1000+57))</f>
        <v/>
      </c>
      <c r="BH134" s="41">
        <f>IF(N('Dvd Calendar'!$V$1837)=0,"",IF(('Dvd Calendar'!$V$1837&gt;=MIN(DATE(Summary!$C$12,1,1),Summary!$C$11))*('Dvd Calendar'!$V$1837&lt;=MAX(DATE(Summary!$C$12,12,31),Summary!$C$15))*('Dvd Calendar'!$V$1837&gt;Summary!$C$11)=0,"",'Dvd Calendar'!$V$1837*1000000000+ISNUMBER('Dvd Calendar'!$V$1838)*100000000+('Dvd Calendar'!$V$1842='Field Check'!$C$25)*10000000+(N('Dvd Calendar'!$V$1836)&gt;0)*1000000+22*1000+58))</f>
        <v/>
      </c>
      <c r="BI134" s="41">
        <f>IF(N('Dvd Calendar'!$W$1837)=0,"",IF(('Dvd Calendar'!$W$1837&gt;=MIN(DATE(Summary!$C$12,1,1),Summary!$C$11))*('Dvd Calendar'!$W$1837&lt;=MAX(DATE(Summary!$C$12,12,31),Summary!$C$15))*('Dvd Calendar'!$W$1837&gt;Summary!$C$11)=0,"",'Dvd Calendar'!$W$1837*1000000000+ISNUMBER('Dvd Calendar'!$W$1838)*100000000+('Dvd Calendar'!$W$1842='Field Check'!$C$25)*10000000+(N('Dvd Calendar'!$W$1836)&gt;0)*1000000+22*1000+59))</f>
        <v/>
      </c>
      <c r="BJ134" s="41">
        <f>IF(N('Dvd Calendar'!$X$1837)=0,"",IF(('Dvd Calendar'!$X$1837&gt;=MIN(DATE(Summary!$C$12,1,1),Summary!$C$11))*('Dvd Calendar'!$X$1837&lt;=MAX(DATE(Summary!$C$12,12,31),Summary!$C$15))*('Dvd Calendar'!$X$1837&gt;Summary!$C$11)=0,"",'Dvd Calendar'!$X$1837*1000000000+ISNUMBER('Dvd Calendar'!$X$1838)*100000000+('Dvd Calendar'!$X$1842='Field Check'!$C$25)*10000000+(N('Dvd Calendar'!$X$1836)&gt;0)*1000000+22*1000+60))</f>
        <v/>
      </c>
      <c r="BK134" s="41">
        <f>IF(N('Dvd Calendar'!$Y$1837)=0,"",IF(('Dvd Calendar'!$Y$1837&gt;=MIN(DATE(Summary!$C$12,1,1),Summary!$C$11))*('Dvd Calendar'!$Y$1837&lt;=MAX(DATE(Summary!$C$12,12,31),Summary!$C$15))*('Dvd Calendar'!$Y$1837&gt;Summary!$C$11)=0,"",'Dvd Calendar'!$Y$1837*1000000000+ISNUMBER('Dvd Calendar'!$Y$1838)*100000000+('Dvd Calendar'!$Y$1842='Field Check'!$C$25)*10000000+(N('Dvd Calendar'!$Y$1836)&gt;0)*1000000+22*1000+61))</f>
        <v/>
      </c>
      <c r="BL134" s="41">
        <f>IF(N('Dvd Calendar'!$Z$1837)=0,"",IF(('Dvd Calendar'!$Z$1837&gt;=MIN(DATE(Summary!$C$12,1,1),Summary!$C$11))*('Dvd Calendar'!$Z$1837&lt;=MAX(DATE(Summary!$C$12,12,31),Summary!$C$15))*('Dvd Calendar'!$Z$1837&gt;Summary!$C$11)=0,"",'Dvd Calendar'!$Z$1837*1000000000+ISNUMBER('Dvd Calendar'!$Z$1838)*100000000+('Dvd Calendar'!$Z$1842='Field Check'!$C$25)*10000000+(N('Dvd Calendar'!$Z$1836)&gt;0)*1000000+22*1000+62))</f>
        <v/>
      </c>
      <c r="BM134" s="41">
        <f>IF(N('Dvd Calendar'!$AA$1837)=0,"",IF(('Dvd Calendar'!$AA$1837&gt;=MIN(DATE(Summary!$C$12,1,1),Summary!$C$11))*('Dvd Calendar'!$AA$1837&lt;=MAX(DATE(Summary!$C$12,12,31),Summary!$C$15))*('Dvd Calendar'!$AA$1837&gt;Summary!$C$11)=0,"",'Dvd Calendar'!$AA$1837*1000000000+ISNUMBER('Dvd Calendar'!$AA$1838)*100000000+('Dvd Calendar'!$AA$1842='Field Check'!$C$25)*10000000+(N('Dvd Calendar'!$AA$1836)&gt;0)*1000000+22*1000+63))</f>
        <v/>
      </c>
      <c r="BN134" s="41">
        <f>IF(N('Dvd Calendar'!$AB$1837)=0,"",IF(('Dvd Calendar'!$AB$1837&gt;=MIN(DATE(Summary!$C$12,1,1),Summary!$C$11))*('Dvd Calendar'!$AB$1837&lt;=MAX(DATE(Summary!$C$12,12,31),Summary!$C$15))*('Dvd Calendar'!$AB$1837&gt;Summary!$C$11)=0,"",'Dvd Calendar'!$AB$1837*1000000000+ISNUMBER('Dvd Calendar'!$AB$1838)*100000000+('Dvd Calendar'!$AB$1842='Field Check'!$C$25)*10000000+(N('Dvd Calendar'!$AB$1836)&gt;0)*1000000+22*1000+64))</f>
        <v/>
      </c>
      <c r="BO134" s="41">
        <f>IF(N('Dvd Calendar'!$AC$1837)=0,"",IF(('Dvd Calendar'!$AC$1837&gt;=MIN(DATE(Summary!$C$12,1,1),Summary!$C$11))*('Dvd Calendar'!$AC$1837&lt;=MAX(DATE(Summary!$C$12,12,31),Summary!$C$15))*('Dvd Calendar'!$AC$1837&gt;Summary!$C$11)=0,"",'Dvd Calendar'!$AC$1837*1000000000+ISNUMBER('Dvd Calendar'!$AC$1838)*100000000+('Dvd Calendar'!$AC$1842='Field Check'!$C$25)*10000000+(N('Dvd Calendar'!$AC$1836)&gt;0)*1000000+22*1000+65))</f>
        <v/>
      </c>
      <c r="BQ134" s="85">
        <f>IF(C134="","",IF(ISNUMBER('Dvd Calendar'!$E$1831)=FALSE,"",IF((Summary!$C$13="N")*('Dvd Calendar'!$E$1835='Field Check'!$C$25)&gt;0,"",'Dvd Calendar'!$E$1831)))</f>
        <v/>
      </c>
      <c r="BR134" s="85">
        <f>IF(D134="","",IF(ISNUMBER('Dvd Calendar'!$F$1831)=FALSE,"",IF((Summary!$C$13="N")*('Dvd Calendar'!$F$1835='Field Check'!$C$25)&gt;0,"",'Dvd Calendar'!$F$1831)))</f>
        <v/>
      </c>
      <c r="BS134" s="85">
        <f>IF(E134="","",IF(ISNUMBER('Dvd Calendar'!$G$1831)=FALSE,"",IF((Summary!$C$13="N")*('Dvd Calendar'!$G$1835='Field Check'!$C$25)&gt;0,"",'Dvd Calendar'!$G$1831)))</f>
        <v/>
      </c>
      <c r="BT134" s="85">
        <f>IF(F134="","",IF(ISNUMBER('Dvd Calendar'!$H$1831)=FALSE,"",IF((Summary!$C$13="N")*('Dvd Calendar'!$H$1835='Field Check'!$C$25)&gt;0,"",'Dvd Calendar'!$H$1831)))</f>
        <v/>
      </c>
      <c r="BU134" s="85">
        <f>IF(G134="","",IF(ISNUMBER('Dvd Calendar'!$I$1831)=FALSE,"",IF((Summary!$C$13="N")*('Dvd Calendar'!$I$1835='Field Check'!$C$25)&gt;0,"",'Dvd Calendar'!$I$1831)))</f>
        <v/>
      </c>
      <c r="BV134" s="85">
        <f>IF(H134="","",IF(ISNUMBER('Dvd Calendar'!$J$1831)=FALSE,"",IF((Summary!$C$13="N")*('Dvd Calendar'!$J$1835='Field Check'!$C$25)&gt;0,"",'Dvd Calendar'!$J$1831)))</f>
        <v/>
      </c>
      <c r="BW134" s="85">
        <f>IF(I134="","",IF(ISNUMBER('Dvd Calendar'!$K$1831)=FALSE,"",IF((Summary!$C$13="N")*('Dvd Calendar'!$K$1835='Field Check'!$C$25)&gt;0,"",'Dvd Calendar'!$K$1831)))</f>
        <v/>
      </c>
      <c r="BX134" s="85">
        <f>IF(J134="","",IF(ISNUMBER('Dvd Calendar'!$L$1831)=FALSE,"",IF((Summary!$C$13="N")*('Dvd Calendar'!$L$1835='Field Check'!$C$25)&gt;0,"",'Dvd Calendar'!$L$1831)))</f>
        <v/>
      </c>
      <c r="BY134" s="85">
        <f>IF(K134="","",IF(ISNUMBER('Dvd Calendar'!$M$1831)=FALSE,"",IF((Summary!$C$13="N")*('Dvd Calendar'!$M$1835='Field Check'!$C$25)&gt;0,"",'Dvd Calendar'!$M$1831)))</f>
        <v/>
      </c>
      <c r="BZ134" s="85">
        <f>IF(L134="","",IF(ISNUMBER('Dvd Calendar'!$N$1831)=FALSE,"",IF((Summary!$C$13="N")*('Dvd Calendar'!$N$1835='Field Check'!$C$25)&gt;0,"",'Dvd Calendar'!$N$1831)))</f>
        <v/>
      </c>
      <c r="CA134" s="85">
        <f>IF(M134="","",IF(ISNUMBER('Dvd Calendar'!$O$1831)=FALSE,"",IF((Summary!$C$13="N")*('Dvd Calendar'!$O$1835='Field Check'!$C$25)&gt;0,"",'Dvd Calendar'!$O$1831)))</f>
        <v/>
      </c>
      <c r="CB134" s="85">
        <f>IF(N134="","",IF(ISNUMBER('Dvd Calendar'!$P$1831)=FALSE,"",IF((Summary!$C$13="N")*('Dvd Calendar'!$P$1835='Field Check'!$C$25)&gt;0,"",'Dvd Calendar'!$P$1831)))</f>
        <v/>
      </c>
      <c r="CC134" s="85">
        <f>IF(O134="","",IF(ISNUMBER('Dvd Calendar'!$Q$1831)=FALSE,"",IF((Summary!$C$13="N")*('Dvd Calendar'!$Q$1835='Field Check'!$C$25)&gt;0,"",'Dvd Calendar'!$Q$1831)))</f>
        <v/>
      </c>
      <c r="CD134" s="85">
        <f>IF(P134="","",IF(ISNUMBER('Dvd Calendar'!$R$1831)=FALSE,"",IF((Summary!$C$13="N")*('Dvd Calendar'!$R$1835='Field Check'!$C$25)&gt;0,"",'Dvd Calendar'!$R$1831)))</f>
        <v/>
      </c>
      <c r="CE134" s="85">
        <f>IF(Q134="","",IF(ISNUMBER('Dvd Calendar'!$S$1831)=FALSE,"",IF((Summary!$C$13="N")*('Dvd Calendar'!$S$1835='Field Check'!$C$25)&gt;0,"",'Dvd Calendar'!$S$1831)))</f>
        <v/>
      </c>
      <c r="CF134" s="85">
        <f>IF(R134="","",IF(ISNUMBER('Dvd Calendar'!$T$1831)=FALSE,"",IF((Summary!$C$13="N")*('Dvd Calendar'!$T$1835='Field Check'!$C$25)&gt;0,"",'Dvd Calendar'!$T$1831)))</f>
        <v/>
      </c>
      <c r="CG134" s="85">
        <f>IF(S134="","",IF(ISNUMBER('Dvd Calendar'!$U$1831)=FALSE,"",IF((Summary!$C$13="N")*('Dvd Calendar'!$U$1835='Field Check'!$C$25)&gt;0,"",'Dvd Calendar'!$U$1831)))</f>
        <v/>
      </c>
      <c r="CH134" s="85">
        <f>IF(T134="","",IF(ISNUMBER('Dvd Calendar'!$V$1831)=FALSE,"",IF((Summary!$C$13="N")*('Dvd Calendar'!$V$1835='Field Check'!$C$25)&gt;0,"",'Dvd Calendar'!$V$1831)))</f>
        <v/>
      </c>
      <c r="CI134" s="85">
        <f>IF(U134="","",IF(ISNUMBER('Dvd Calendar'!$W$1831)=FALSE,"",IF((Summary!$C$13="N")*('Dvd Calendar'!$W$1835='Field Check'!$C$25)&gt;0,"",'Dvd Calendar'!$W$1831)))</f>
        <v/>
      </c>
      <c r="CJ134" s="85">
        <f>IF(V134="","",IF(ISNUMBER('Dvd Calendar'!$X$1831)=FALSE,"",IF((Summary!$C$13="N")*('Dvd Calendar'!$X$1835='Field Check'!$C$25)&gt;0,"",'Dvd Calendar'!$X$1831)))</f>
        <v/>
      </c>
      <c r="CK134" s="85">
        <f>IF(W134="","",IF(ISNUMBER('Dvd Calendar'!$Y$1831)=FALSE,"",IF((Summary!$C$13="N")*('Dvd Calendar'!$Y$1835='Field Check'!$C$25)&gt;0,"",'Dvd Calendar'!$Y$1831)))</f>
        <v/>
      </c>
      <c r="CL134" s="85">
        <f>IF(X134="","",IF(ISNUMBER('Dvd Calendar'!$Z$1831)=FALSE,"",IF((Summary!$C$13="N")*('Dvd Calendar'!$Z$1835='Field Check'!$C$25)&gt;0,"",'Dvd Calendar'!$Z$1831)))</f>
        <v/>
      </c>
      <c r="CM134" s="85">
        <f>IF(Y134="","",IF(ISNUMBER('Dvd Calendar'!$AA$1831)=FALSE,"",IF((Summary!$C$13="N")*('Dvd Calendar'!$AA$1835='Field Check'!$C$25)&gt;0,"",'Dvd Calendar'!$AA$1831)))</f>
        <v/>
      </c>
      <c r="CN134" s="85">
        <f>IF(Z134="","",IF(ISNUMBER('Dvd Calendar'!$AB$1831)=FALSE,"",IF((Summary!$C$13="N")*('Dvd Calendar'!$AB$1835='Field Check'!$C$25)&gt;0,"",'Dvd Calendar'!$AB$1831)))</f>
        <v/>
      </c>
      <c r="CO134" s="85">
        <f>IF(AA134="","",IF(ISNUMBER('Dvd Calendar'!$AC$1831)=FALSE,"",IF((Summary!$C$13="N")*('Dvd Calendar'!$AC$1835='Field Check'!$C$25)&gt;0,"",'Dvd Calendar'!$AC$1831)))</f>
        <v/>
      </c>
      <c r="CP134" s="85">
        <f>IF(AB134="","",IF(ISNUMBER('Dvd Calendar'!$AD$1831)=FALSE,"",IF((Summary!$C$13="N")*('Dvd Calendar'!$AD$1835='Field Check'!$C$25)&gt;0,"",'Dvd Calendar'!$AD$1831)))</f>
        <v/>
      </c>
      <c r="CQ134" s="85">
        <f>IF(AC134="","",IF(ISNUMBER('Dvd Calendar'!$AE$1831)=FALSE,"",IF((Summary!$C$13="N")*('Dvd Calendar'!$AE$1835='Field Check'!$C$25)&gt;0,"",'Dvd Calendar'!$AE$1831)))</f>
        <v/>
      </c>
      <c r="CR134" s="85">
        <f>IF(AD134="","",IF(ISNUMBER('Dvd Calendar'!$AF$1831)=FALSE,"",IF((Summary!$C$13="N")*('Dvd Calendar'!$AF$1835='Field Check'!$C$25)&gt;0,"",'Dvd Calendar'!$AF$1831)))</f>
        <v/>
      </c>
      <c r="CS134" s="85">
        <f>IF(AE134="","",IF(ISNUMBER('Dvd Calendar'!$AG$1831)=FALSE,"",IF((Summary!$C$13="N")*('Dvd Calendar'!$AG$1835='Field Check'!$C$25)&gt;0,"",'Dvd Calendar'!$AG$1831)))</f>
        <v/>
      </c>
      <c r="CT134" s="85">
        <f>IF(AF134="","",IF(ISNUMBER('Dvd Calendar'!$AH$1831)=FALSE,"",IF((Summary!$C$13="N")*('Dvd Calendar'!$AH$1835='Field Check'!$C$25)&gt;0,"",'Dvd Calendar'!$AH$1831)))</f>
        <v/>
      </c>
      <c r="CU134" s="85">
        <f>IF(AG134="","",IF(ISNUMBER('Dvd Calendar'!$AI$1831)=FALSE,"",IF((Summary!$C$13="N")*('Dvd Calendar'!$AI$1835='Field Check'!$C$25)&gt;0,"",'Dvd Calendar'!$AI$1831)))</f>
        <v/>
      </c>
      <c r="CV134" s="85">
        <f>IF(AH134="","",IF(ISNUMBER('Dvd Calendar'!$AJ$1831)=FALSE,"",IF((Summary!$C$13="N")*('Dvd Calendar'!$AJ$1835='Field Check'!$C$25)&gt;0,"",'Dvd Calendar'!$AJ$1831)))</f>
        <v/>
      </c>
      <c r="CW134" s="85">
        <f>IF(AI134="","",IF(ISNUMBER('Dvd Calendar'!$AK$1831)=FALSE,"",IF((Summary!$C$13="N")*('Dvd Calendar'!$AK$1835='Field Check'!$C$25)&gt;0,"",'Dvd Calendar'!$AK$1831)))</f>
        <v/>
      </c>
      <c r="CX134" s="85">
        <f>IF(AJ134="","",IF(ISNUMBER('Dvd Calendar'!$AL$1831)=FALSE,"",IF((Summary!$C$13="N")*('Dvd Calendar'!$AL$1835='Field Check'!$C$25)&gt;0,"",'Dvd Calendar'!$AL$1831)))</f>
        <v/>
      </c>
      <c r="CY134" s="85">
        <f>IF(AK134="","",IF(ISNUMBER('Dvd Calendar'!$AM$1831)=FALSE,"",IF((Summary!$C$13="N")*('Dvd Calendar'!$AM$1835='Field Check'!$C$25)&gt;0,"",'Dvd Calendar'!$AM$1831)))</f>
        <v/>
      </c>
      <c r="CZ134" s="85">
        <f>IF(AL134="","",IF(ISNUMBER('Dvd Calendar'!$AN$1831)=FALSE,"",IF((Summary!$C$13="N")*('Dvd Calendar'!$AN$1835='Field Check'!$C$25)&gt;0,"",'Dvd Calendar'!$AN$1831)))</f>
        <v/>
      </c>
      <c r="DA134" s="85">
        <f>IF(AM134="","",IF(ISNUMBER('Dvd Calendar'!$AO$1831)=FALSE,"",IF((Summary!$C$13="N")*('Dvd Calendar'!$AO$1835='Field Check'!$C$25)&gt;0,"",'Dvd Calendar'!$AO$1831)))</f>
        <v/>
      </c>
      <c r="DB134" s="85">
        <f>IF(AN134="","",IF(ISNUMBER('Dvd Calendar'!$AP$1831)=FALSE,"",IF((Summary!$C$13="N")*('Dvd Calendar'!$AP$1835='Field Check'!$C$25)&gt;0,"",'Dvd Calendar'!$AP$1831)))</f>
        <v/>
      </c>
      <c r="DC134" s="85">
        <f>IF(AO134="","",IF(ISNUMBER('Dvd Calendar'!$AQ$1831)=FALSE,"",IF((Summary!$C$13="N")*('Dvd Calendar'!$AQ$1835='Field Check'!$C$25)&gt;0,"",'Dvd Calendar'!$AQ$1831)))</f>
        <v/>
      </c>
      <c r="DD134" s="85">
        <f>IF(AP134="","",IF(ISNUMBER('Dvd Calendar'!$AR$1831)=FALSE,"",IF((Summary!$C$13="N")*('Dvd Calendar'!$AR$1835='Field Check'!$C$25)&gt;0,"",'Dvd Calendar'!$AR$1831)))</f>
        <v/>
      </c>
      <c r="DE134" s="85">
        <f>IF(AQ134="","",IF(ISNUMBER('Dvd Calendar'!$E$1838)=FALSE,"",IF((Summary!$C$13="N")*('Dvd Calendar'!$E$1842='Field Check'!$C$25)&gt;0,"",'Dvd Calendar'!$E$1838)))</f>
        <v/>
      </c>
      <c r="DF134" s="85">
        <f>IF(AR134="","",IF(ISNUMBER('Dvd Calendar'!$F$1838)=FALSE,"",IF((Summary!$C$13="N")*('Dvd Calendar'!$F$1842='Field Check'!$C$25)&gt;0,"",'Dvd Calendar'!$F$1838)))</f>
        <v/>
      </c>
      <c r="DG134" s="85">
        <f>IF(AS134="","",IF(ISNUMBER('Dvd Calendar'!$G$1838)=FALSE,"",IF((Summary!$C$13="N")*('Dvd Calendar'!$G$1842='Field Check'!$C$25)&gt;0,"",'Dvd Calendar'!$G$1838)))</f>
        <v/>
      </c>
      <c r="DH134" s="85">
        <f>IF(AT134="","",IF(ISNUMBER('Dvd Calendar'!$H$1838)=FALSE,"",IF((Summary!$C$13="N")*('Dvd Calendar'!$H$1842='Field Check'!$C$25)&gt;0,"",'Dvd Calendar'!$H$1838)))</f>
        <v/>
      </c>
      <c r="DI134" s="85">
        <f>IF(AU134="","",IF(ISNUMBER('Dvd Calendar'!$I$1838)=FALSE,"",IF((Summary!$C$13="N")*('Dvd Calendar'!$I$1842='Field Check'!$C$25)&gt;0,"",'Dvd Calendar'!$I$1838)))</f>
        <v/>
      </c>
      <c r="DJ134" s="85">
        <f>IF(AV134="","",IF(ISNUMBER('Dvd Calendar'!$J$1838)=FALSE,"",IF((Summary!$C$13="N")*('Dvd Calendar'!$J$1842='Field Check'!$C$25)&gt;0,"",'Dvd Calendar'!$J$1838)))</f>
        <v/>
      </c>
      <c r="DK134" s="85">
        <f>IF(AW134="","",IF(ISNUMBER('Dvd Calendar'!$K$1838)=FALSE,"",IF((Summary!$C$13="N")*('Dvd Calendar'!$K$1842='Field Check'!$C$25)&gt;0,"",'Dvd Calendar'!$K$1838)))</f>
        <v/>
      </c>
      <c r="DL134" s="85">
        <f>IF(AX134="","",IF(ISNUMBER('Dvd Calendar'!$L$1838)=FALSE,"",IF((Summary!$C$13="N")*('Dvd Calendar'!$L$1842='Field Check'!$C$25)&gt;0,"",'Dvd Calendar'!$L$1838)))</f>
        <v/>
      </c>
      <c r="DM134" s="85">
        <f>IF(AY134="","",IF(ISNUMBER('Dvd Calendar'!$M$1838)=FALSE,"",IF((Summary!$C$13="N")*('Dvd Calendar'!$M$1842='Field Check'!$C$25)&gt;0,"",'Dvd Calendar'!$M$1838)))</f>
        <v/>
      </c>
      <c r="DN134" s="85">
        <f>IF(AZ134="","",IF(ISNUMBER('Dvd Calendar'!$N$1838)=FALSE,"",IF((Summary!$C$13="N")*('Dvd Calendar'!$N$1842='Field Check'!$C$25)&gt;0,"",'Dvd Calendar'!$N$1838)))</f>
        <v/>
      </c>
      <c r="DO134" s="85">
        <f>IF(BA134="","",IF(ISNUMBER('Dvd Calendar'!$O$1838)=FALSE,"",IF((Summary!$C$13="N")*('Dvd Calendar'!$O$1842='Field Check'!$C$25)&gt;0,"",'Dvd Calendar'!$O$1838)))</f>
        <v/>
      </c>
      <c r="DP134" s="85">
        <f>IF(BB134="","",IF(ISNUMBER('Dvd Calendar'!$P$1838)=FALSE,"",IF((Summary!$C$13="N")*('Dvd Calendar'!$P$1842='Field Check'!$C$25)&gt;0,"",'Dvd Calendar'!$P$1838)))</f>
        <v/>
      </c>
      <c r="DQ134" s="85">
        <f>IF(BC134="","",IF(ISNUMBER('Dvd Calendar'!$Q$1838)=FALSE,"",IF((Summary!$C$13="N")*('Dvd Calendar'!$Q$1842='Field Check'!$C$25)&gt;0,"",'Dvd Calendar'!$Q$1838)))</f>
        <v/>
      </c>
      <c r="DR134" s="85">
        <f>IF(BD134="","",IF(ISNUMBER('Dvd Calendar'!$R$1838)=FALSE,"",IF((Summary!$C$13="N")*('Dvd Calendar'!$R$1842='Field Check'!$C$25)&gt;0,"",'Dvd Calendar'!$R$1838)))</f>
        <v/>
      </c>
      <c r="DS134" s="85">
        <f>IF(BE134="","",IF(ISNUMBER('Dvd Calendar'!$S$1838)=FALSE,"",IF((Summary!$C$13="N")*('Dvd Calendar'!$S$1842='Field Check'!$C$25)&gt;0,"",'Dvd Calendar'!$S$1838)))</f>
        <v/>
      </c>
      <c r="DT134" s="85">
        <f>IF(BF134="","",IF(ISNUMBER('Dvd Calendar'!$T$1838)=FALSE,"",IF((Summary!$C$13="N")*('Dvd Calendar'!$T$1842='Field Check'!$C$25)&gt;0,"",'Dvd Calendar'!$T$1838)))</f>
        <v/>
      </c>
      <c r="DU134" s="85">
        <f>IF(BG134="","",IF(ISNUMBER('Dvd Calendar'!$U$1838)=FALSE,"",IF((Summary!$C$13="N")*('Dvd Calendar'!$U$1842='Field Check'!$C$25)&gt;0,"",'Dvd Calendar'!$U$1838)))</f>
        <v/>
      </c>
      <c r="DV134" s="85">
        <f>IF(BH134="","",IF(ISNUMBER('Dvd Calendar'!$V$1838)=FALSE,"",IF((Summary!$C$13="N")*('Dvd Calendar'!$V$1842='Field Check'!$C$25)&gt;0,"",'Dvd Calendar'!$V$1838)))</f>
        <v/>
      </c>
      <c r="DW134" s="85">
        <f>IF(BI134="","",IF(ISNUMBER('Dvd Calendar'!$W$1838)=FALSE,"",IF((Summary!$C$13="N")*('Dvd Calendar'!$W$1842='Field Check'!$C$25)&gt;0,"",'Dvd Calendar'!$W$1838)))</f>
        <v/>
      </c>
      <c r="DX134" s="85">
        <f>IF(BJ134="","",IF(ISNUMBER('Dvd Calendar'!$X$1838)=FALSE,"",IF((Summary!$C$13="N")*('Dvd Calendar'!$X$1842='Field Check'!$C$25)&gt;0,"",'Dvd Calendar'!$X$1838)))</f>
        <v/>
      </c>
      <c r="DY134" s="85">
        <f>IF(BK134="","",IF(ISNUMBER('Dvd Calendar'!$Y$1838)=FALSE,"",IF((Summary!$C$13="N")*('Dvd Calendar'!$Y$1842='Field Check'!$C$25)&gt;0,"",'Dvd Calendar'!$Y$1838)))</f>
        <v/>
      </c>
      <c r="DZ134" s="85">
        <f>IF(BL134="","",IF(ISNUMBER('Dvd Calendar'!$Z$1838)=FALSE,"",IF((Summary!$C$13="N")*('Dvd Calendar'!$Z$1842='Field Check'!$C$25)&gt;0,"",'Dvd Calendar'!$Z$1838)))</f>
        <v/>
      </c>
      <c r="EA134" s="85">
        <f>IF(BM134="","",IF(ISNUMBER('Dvd Calendar'!$AA$1838)=FALSE,"",IF((Summary!$C$13="N")*('Dvd Calendar'!$AA$1842='Field Check'!$C$25)&gt;0,"",'Dvd Calendar'!$AA$1838)))</f>
        <v/>
      </c>
      <c r="EB134" s="85">
        <f>IF(BN134="","",IF(ISNUMBER('Dvd Calendar'!$AB$1838)=FALSE,"",IF((Summary!$C$13="N")*('Dvd Calendar'!$AB$1842='Field Check'!$C$25)&gt;0,"",'Dvd Calendar'!$AB$1838)))</f>
        <v/>
      </c>
      <c r="EC134" s="85">
        <f>IF(BO134="","",IF(ISNUMBER('Dvd Calendar'!$AC$1838)=FALSE,"",IF((Summary!$C$13="N")*('Dvd Calendar'!$AC$1842='Field Check'!$C$25)&gt;0,"",'Dvd Calendar'!$AC$1838)))</f>
        <v/>
      </c>
      <c r="EE134" s="85">
        <f>IF(BQ134="","",IFERROR(BQ134*HSTECH!$B$28*HSTECH!$G$28/HSTECH!$B$3,""))</f>
        <v/>
      </c>
      <c r="EF134" s="85">
        <f>IF(BR134="","",IFERROR(BR134*HSTECH!$B$28*HSTECH!$G$28/HSTECH!$B$3,""))</f>
        <v/>
      </c>
      <c r="EG134" s="85">
        <f>IF(BS134="","",IFERROR(BS134*HSTECH!$B$28*HSTECH!$G$28/HSTECH!$B$3,""))</f>
        <v/>
      </c>
      <c r="EH134" s="85">
        <f>IF(BT134="","",IFERROR(BT134*HSTECH!$B$28*HSTECH!$G$28/HSTECH!$B$3,""))</f>
        <v/>
      </c>
      <c r="EI134" s="85">
        <f>IF(BU134="","",IFERROR(BU134*HSTECH!$B$28*HSTECH!$G$28/HSTECH!$B$3,""))</f>
        <v/>
      </c>
      <c r="EJ134" s="85">
        <f>IF(BV134="","",IFERROR(BV134*HSTECH!$B$28*HSTECH!$G$28/HSTECH!$B$3,""))</f>
        <v/>
      </c>
      <c r="EK134" s="85">
        <f>IF(BW134="","",IFERROR(BW134*HSTECH!$B$28*HSTECH!$G$28/HSTECH!$B$3,""))</f>
        <v/>
      </c>
      <c r="EL134" s="85">
        <f>IF(BX134="","",IFERROR(BX134*HSTECH!$B$28*HSTECH!$G$28/HSTECH!$B$3,""))</f>
        <v/>
      </c>
      <c r="EM134" s="85">
        <f>IF(BY134="","",IFERROR(BY134*HSTECH!$B$28*HSTECH!$G$28/HSTECH!$B$3,""))</f>
        <v/>
      </c>
      <c r="EN134" s="85">
        <f>IF(BZ134="","",IFERROR(BZ134*HSTECH!$B$28*HSTECH!$G$28/HSTECH!$B$3,""))</f>
        <v/>
      </c>
      <c r="EO134" s="85">
        <f>IF(CA134="","",IFERROR(CA134*HSTECH!$B$28*HSTECH!$G$28/HSTECH!$B$3,""))</f>
        <v/>
      </c>
      <c r="EP134" s="85">
        <f>IF(CB134="","",IFERROR(CB134*HSTECH!$B$28*HSTECH!$G$28/HSTECH!$B$3,""))</f>
        <v/>
      </c>
      <c r="EQ134" s="85">
        <f>IF(CC134="","",IFERROR(CC134*HSTECH!$B$28*HSTECH!$G$28/HSTECH!$B$3,""))</f>
        <v/>
      </c>
      <c r="ER134" s="85">
        <f>IF(CD134="","",IFERROR(CD134*HSTECH!$B$28*HSTECH!$G$28/HSTECH!$B$3,""))</f>
        <v/>
      </c>
      <c r="ES134" s="85">
        <f>IF(CE134="","",IFERROR(CE134*HSTECH!$B$28*HSTECH!$G$28/HSTECH!$B$3,""))</f>
        <v/>
      </c>
      <c r="ET134" s="85">
        <f>IF(CF134="","",IFERROR(CF134*HSTECH!$B$28*HSTECH!$G$28/HSTECH!$B$3,""))</f>
        <v/>
      </c>
      <c r="EU134" s="85">
        <f>IF(CG134="","",IFERROR(CG134*HSTECH!$B$28*HSTECH!$G$28/HSTECH!$B$3,""))</f>
        <v/>
      </c>
      <c r="EV134" s="85">
        <f>IF(CH134="","",IFERROR(CH134*HSTECH!$B$28*HSTECH!$G$28/HSTECH!$B$3,""))</f>
        <v/>
      </c>
      <c r="EW134" s="85">
        <f>IF(CI134="","",IFERROR(CI134*HSTECH!$B$28*HSTECH!$G$28/HSTECH!$B$3,""))</f>
        <v/>
      </c>
      <c r="EX134" s="85">
        <f>IF(CJ134="","",IFERROR(CJ134*HSTECH!$B$28*HSTECH!$G$28/HSTECH!$B$3,""))</f>
        <v/>
      </c>
      <c r="EY134" s="85">
        <f>IF(CK134="","",IFERROR(CK134*HSTECH!$B$28*HSTECH!$G$28/HSTECH!$B$3,""))</f>
        <v/>
      </c>
      <c r="EZ134" s="85">
        <f>IF(CL134="","",IFERROR(CL134*HSTECH!$B$28*HSTECH!$G$28/HSTECH!$B$3,""))</f>
        <v/>
      </c>
      <c r="FA134" s="85">
        <f>IF(CM134="","",IFERROR(CM134*HSTECH!$B$28*HSTECH!$G$28/HSTECH!$B$3,""))</f>
        <v/>
      </c>
      <c r="FB134" s="85">
        <f>IF(CN134="","",IFERROR(CN134*HSTECH!$B$28*HSTECH!$G$28/HSTECH!$B$3,""))</f>
        <v/>
      </c>
      <c r="FC134" s="85">
        <f>IF(CO134="","",IFERROR(CO134*HSTECH!$B$28*HSTECH!$G$28/HSTECH!$B$3,""))</f>
        <v/>
      </c>
      <c r="FD134" s="85">
        <f>IF(CP134="","",IFERROR(CP134*HSTECH!$B$28*HSTECH!$G$28/HSTECH!$B$3,""))</f>
        <v/>
      </c>
      <c r="FE134" s="85">
        <f>IF(CQ134="","",IFERROR(CQ134*HSTECH!$B$28*HSTECH!$G$28/HSTECH!$B$3,""))</f>
        <v/>
      </c>
      <c r="FF134" s="85">
        <f>IF(CR134="","",IFERROR(CR134*HSTECH!$B$28*HSTECH!$G$28/HSTECH!$B$3,""))</f>
        <v/>
      </c>
      <c r="FG134" s="85">
        <f>IF(CS134="","",IFERROR(CS134*HSTECH!$B$28*HSTECH!$G$28/HSTECH!$B$3,""))</f>
        <v/>
      </c>
      <c r="FH134" s="85">
        <f>IF(CT134="","",IFERROR(CT134*HSTECH!$B$28*HSTECH!$G$28/HSTECH!$B$3,""))</f>
        <v/>
      </c>
      <c r="FI134" s="85">
        <f>IF(CU134="","",IFERROR(CU134*HSTECH!$B$28*HSTECH!$G$28/HSTECH!$B$3,""))</f>
        <v/>
      </c>
      <c r="FJ134" s="85">
        <f>IF(CV134="","",IFERROR(CV134*HSTECH!$B$28*HSTECH!$G$28/HSTECH!$B$3,""))</f>
        <v/>
      </c>
      <c r="FK134" s="85">
        <f>IF(CW134="","",IFERROR(CW134*HSTECH!$B$28*HSTECH!$G$28/HSTECH!$B$3,""))</f>
        <v/>
      </c>
      <c r="FL134" s="85">
        <f>IF(CX134="","",IFERROR(CX134*HSTECH!$B$28*HSTECH!$G$28/HSTECH!$B$3,""))</f>
        <v/>
      </c>
      <c r="FM134" s="85">
        <f>IF(CY134="","",IFERROR(CY134*HSTECH!$B$28*HSTECH!$G$28/HSTECH!$B$3,""))</f>
        <v/>
      </c>
      <c r="FN134" s="85">
        <f>IF(CZ134="","",IFERROR(CZ134*HSTECH!$B$28*HSTECH!$G$28/HSTECH!$B$3,""))</f>
        <v/>
      </c>
      <c r="FO134" s="85">
        <f>IF(DA134="","",IFERROR(DA134*HSTECH!$B$28*HSTECH!$G$28/HSTECH!$B$3,""))</f>
        <v/>
      </c>
      <c r="FP134" s="85">
        <f>IF(DB134="","",IFERROR(DB134*HSTECH!$B$28*HSTECH!$G$28/HSTECH!$B$3,""))</f>
        <v/>
      </c>
      <c r="FQ134" s="85">
        <f>IF(DC134="","",IFERROR(DC134*HSTECH!$B$28*HSTECH!$G$28/HSTECH!$B$3,""))</f>
        <v/>
      </c>
      <c r="FR134" s="85">
        <f>IF(DD134="","",IFERROR(DD134*HSTECH!$B$28*HSTECH!$G$28/HSTECH!$B$3,""))</f>
        <v/>
      </c>
      <c r="FS134" s="85">
        <f>IF(DE134="","",IFERROR(DE134*HSTECH!$B$28*HSTECH!$G$28/HSTECH!$B$3,""))</f>
        <v/>
      </c>
      <c r="FT134" s="85">
        <f>IF(DF134="","",IFERROR(DF134*HSTECH!$B$28*HSTECH!$G$28/HSTECH!$B$3,""))</f>
        <v/>
      </c>
      <c r="FU134" s="85">
        <f>IF(DG134="","",IFERROR(DG134*HSTECH!$B$28*HSTECH!$G$28/HSTECH!$B$3,""))</f>
        <v/>
      </c>
      <c r="FV134" s="85">
        <f>IF(DH134="","",IFERROR(DH134*HSTECH!$B$28*HSTECH!$G$28/HSTECH!$B$3,""))</f>
        <v/>
      </c>
      <c r="FW134" s="85">
        <f>IF(DI134="","",IFERROR(DI134*HSTECH!$B$28*HSTECH!$G$28/HSTECH!$B$3,""))</f>
        <v/>
      </c>
      <c r="FX134" s="85">
        <f>IF(DJ134="","",IFERROR(DJ134*HSTECH!$B$28*HSTECH!$G$28/HSTECH!$B$3,""))</f>
        <v/>
      </c>
      <c r="FY134" s="85">
        <f>IF(DK134="","",IFERROR(DK134*HSTECH!$B$28*HSTECH!$G$28/HSTECH!$B$3,""))</f>
        <v/>
      </c>
      <c r="FZ134" s="85">
        <f>IF(DL134="","",IFERROR(DL134*HSTECH!$B$28*HSTECH!$G$28/HSTECH!$B$3,""))</f>
        <v/>
      </c>
      <c r="GA134" s="85">
        <f>IF(DM134="","",IFERROR(DM134*HSTECH!$B$28*HSTECH!$G$28/HSTECH!$B$3,""))</f>
        <v/>
      </c>
      <c r="GB134" s="85">
        <f>IF(DN134="","",IFERROR(DN134*HSTECH!$B$28*HSTECH!$G$28/HSTECH!$B$3,""))</f>
        <v/>
      </c>
      <c r="GC134" s="85">
        <f>IF(DO134="","",IFERROR(DO134*HSTECH!$B$28*HSTECH!$G$28/HSTECH!$B$3,""))</f>
        <v/>
      </c>
      <c r="GD134" s="85">
        <f>IF(DP134="","",IFERROR(DP134*HSTECH!$B$28*HSTECH!$G$28/HSTECH!$B$3,""))</f>
        <v/>
      </c>
      <c r="GE134" s="85">
        <f>IF(DQ134="","",IFERROR(DQ134*HSTECH!$B$28*HSTECH!$G$28/HSTECH!$B$3,""))</f>
        <v/>
      </c>
      <c r="GF134" s="85">
        <f>IF(DR134="","",IFERROR(DR134*HSTECH!$B$28*HSTECH!$G$28/HSTECH!$B$3,""))</f>
        <v/>
      </c>
      <c r="GG134" s="85">
        <f>IF(DS134="","",IFERROR(DS134*HSTECH!$B$28*HSTECH!$G$28/HSTECH!$B$3,""))</f>
        <v/>
      </c>
      <c r="GH134" s="85">
        <f>IF(DT134="","",IFERROR(DT134*HSTECH!$B$28*HSTECH!$G$28/HSTECH!$B$3,""))</f>
        <v/>
      </c>
      <c r="GI134" s="85">
        <f>IF(DU134="","",IFERROR(DU134*HSTECH!$B$28*HSTECH!$G$28/HSTECH!$B$3,""))</f>
        <v/>
      </c>
      <c r="GJ134" s="85">
        <f>IF(DV134="","",IFERROR(DV134*HSTECH!$B$28*HSTECH!$G$28/HSTECH!$B$3,""))</f>
        <v/>
      </c>
      <c r="GK134" s="85">
        <f>IF(DW134="","",IFERROR(DW134*HSTECH!$B$28*HSTECH!$G$28/HSTECH!$B$3,""))</f>
        <v/>
      </c>
      <c r="GL134" s="85">
        <f>IF(DX134="","",IFERROR(DX134*HSTECH!$B$28*HSTECH!$G$28/HSTECH!$B$3,""))</f>
        <v/>
      </c>
      <c r="GM134" s="85">
        <f>IF(DY134="","",IFERROR(DY134*HSTECH!$B$28*HSTECH!$G$28/HSTECH!$B$3,""))</f>
        <v/>
      </c>
      <c r="GN134" s="85">
        <f>IF(DZ134="","",IFERROR(DZ134*HSTECH!$B$28*HSTECH!$G$28/HSTECH!$B$3,""))</f>
        <v/>
      </c>
      <c r="GO134" s="85">
        <f>IF(EA134="","",IFERROR(EA134*HSTECH!$B$28*HSTECH!$G$28/HSTECH!$B$3,""))</f>
        <v/>
      </c>
      <c r="GP134" s="85">
        <f>IF(EB134="","",IFERROR(EB134*HSTECH!$B$28*HSTECH!$G$28/HSTECH!$B$3,""))</f>
        <v/>
      </c>
      <c r="GQ134" s="85">
        <f>IF(EC134="","",IFERROR(EC134*HSTECH!$B$28*HSTECH!$G$28/HSTECH!$B$3,""))</f>
        <v/>
      </c>
    </row>
    <row r="135">
      <c r="B135" s="2">
        <f>IF(HSTECH!$C$29="","",HSTECH!$C$29)</f>
        <v/>
      </c>
      <c r="C135" s="41">
        <f>IF(N('Dvd Calendar'!$E$1845)=0,"",IF(('Dvd Calendar'!$E$1845&gt;=MIN(DATE(Summary!$C$12,1,1),Summary!$C$11))*('Dvd Calendar'!$E$1845&lt;=MAX(DATE(Summary!$C$12,12,31),Summary!$C$15))*('Dvd Calendar'!$E$1845&lt;=Summary!$C$11)=0,"",'Dvd Calendar'!$E$1845*1000000000+ISNUMBER('Dvd Calendar'!$E$1846)*100000000+('Dvd Calendar'!$E$1850='Field Check'!$C$25)*10000000+(N('Dvd Calendar'!$E$1844)&gt;0)*1000000+23*1000+1))</f>
        <v/>
      </c>
      <c r="D135" s="41">
        <f>IF(N('Dvd Calendar'!$F$1845)=0,"",IF(('Dvd Calendar'!$F$1845&gt;=MIN(DATE(Summary!$C$12,1,1),Summary!$C$11))*('Dvd Calendar'!$F$1845&lt;=MAX(DATE(Summary!$C$12,12,31),Summary!$C$15))*('Dvd Calendar'!$F$1845&lt;=Summary!$C$11)=0,"",'Dvd Calendar'!$F$1845*1000000000+ISNUMBER('Dvd Calendar'!$F$1846)*100000000+('Dvd Calendar'!$F$1850='Field Check'!$C$25)*10000000+(N('Dvd Calendar'!$F$1844)&gt;0)*1000000+23*1000+2))</f>
        <v/>
      </c>
      <c r="E135" s="41">
        <f>IF(N('Dvd Calendar'!$G$1845)=0,"",IF(('Dvd Calendar'!$G$1845&gt;=MIN(DATE(Summary!$C$12,1,1),Summary!$C$11))*('Dvd Calendar'!$G$1845&lt;=MAX(DATE(Summary!$C$12,12,31),Summary!$C$15))*('Dvd Calendar'!$G$1845&lt;=Summary!$C$11)=0,"",'Dvd Calendar'!$G$1845*1000000000+ISNUMBER('Dvd Calendar'!$G$1846)*100000000+('Dvd Calendar'!$G$1850='Field Check'!$C$25)*10000000+(N('Dvd Calendar'!$G$1844)&gt;0)*1000000+23*1000+3))</f>
        <v/>
      </c>
      <c r="F135" s="41">
        <f>IF(N('Dvd Calendar'!$H$1845)=0,"",IF(('Dvd Calendar'!$H$1845&gt;=MIN(DATE(Summary!$C$12,1,1),Summary!$C$11))*('Dvd Calendar'!$H$1845&lt;=MAX(DATE(Summary!$C$12,12,31),Summary!$C$15))*('Dvd Calendar'!$H$1845&lt;=Summary!$C$11)=0,"",'Dvd Calendar'!$H$1845*1000000000+ISNUMBER('Dvd Calendar'!$H$1846)*100000000+('Dvd Calendar'!$H$1850='Field Check'!$C$25)*10000000+(N('Dvd Calendar'!$H$1844)&gt;0)*1000000+23*1000+4))</f>
        <v/>
      </c>
      <c r="G135" s="41">
        <f>IF(N('Dvd Calendar'!$I$1845)=0,"",IF(('Dvd Calendar'!$I$1845&gt;=MIN(DATE(Summary!$C$12,1,1),Summary!$C$11))*('Dvd Calendar'!$I$1845&lt;=MAX(DATE(Summary!$C$12,12,31),Summary!$C$15))*('Dvd Calendar'!$I$1845&lt;=Summary!$C$11)=0,"",'Dvd Calendar'!$I$1845*1000000000+ISNUMBER('Dvd Calendar'!$I$1846)*100000000+('Dvd Calendar'!$I$1850='Field Check'!$C$25)*10000000+(N('Dvd Calendar'!$I$1844)&gt;0)*1000000+23*1000+5))</f>
        <v/>
      </c>
      <c r="H135" s="41">
        <f>IF(N('Dvd Calendar'!$J$1845)=0,"",IF(('Dvd Calendar'!$J$1845&gt;=MIN(DATE(Summary!$C$12,1,1),Summary!$C$11))*('Dvd Calendar'!$J$1845&lt;=MAX(DATE(Summary!$C$12,12,31),Summary!$C$15))*('Dvd Calendar'!$J$1845&lt;=Summary!$C$11)=0,"",'Dvd Calendar'!$J$1845*1000000000+ISNUMBER('Dvd Calendar'!$J$1846)*100000000+('Dvd Calendar'!$J$1850='Field Check'!$C$25)*10000000+(N('Dvd Calendar'!$J$1844)&gt;0)*1000000+23*1000+6))</f>
        <v/>
      </c>
      <c r="I135" s="41">
        <f>IF(N('Dvd Calendar'!$K$1845)=0,"",IF(('Dvd Calendar'!$K$1845&gt;=MIN(DATE(Summary!$C$12,1,1),Summary!$C$11))*('Dvd Calendar'!$K$1845&lt;=MAX(DATE(Summary!$C$12,12,31),Summary!$C$15))*('Dvd Calendar'!$K$1845&lt;=Summary!$C$11)=0,"",'Dvd Calendar'!$K$1845*1000000000+ISNUMBER('Dvd Calendar'!$K$1846)*100000000+('Dvd Calendar'!$K$1850='Field Check'!$C$25)*10000000+(N('Dvd Calendar'!$K$1844)&gt;0)*1000000+23*1000+7))</f>
        <v/>
      </c>
      <c r="J135" s="41">
        <f>IF(N('Dvd Calendar'!$L$1845)=0,"",IF(('Dvd Calendar'!$L$1845&gt;=MIN(DATE(Summary!$C$12,1,1),Summary!$C$11))*('Dvd Calendar'!$L$1845&lt;=MAX(DATE(Summary!$C$12,12,31),Summary!$C$15))*('Dvd Calendar'!$L$1845&lt;=Summary!$C$11)=0,"",'Dvd Calendar'!$L$1845*1000000000+ISNUMBER('Dvd Calendar'!$L$1846)*100000000+('Dvd Calendar'!$L$1850='Field Check'!$C$25)*10000000+(N('Dvd Calendar'!$L$1844)&gt;0)*1000000+23*1000+8))</f>
        <v/>
      </c>
      <c r="K135" s="41">
        <f>IF(N('Dvd Calendar'!$M$1845)=0,"",IF(('Dvd Calendar'!$M$1845&gt;=MIN(DATE(Summary!$C$12,1,1),Summary!$C$11))*('Dvd Calendar'!$M$1845&lt;=MAX(DATE(Summary!$C$12,12,31),Summary!$C$15))*('Dvd Calendar'!$M$1845&lt;=Summary!$C$11)=0,"",'Dvd Calendar'!$M$1845*1000000000+ISNUMBER('Dvd Calendar'!$M$1846)*100000000+('Dvd Calendar'!$M$1850='Field Check'!$C$25)*10000000+(N('Dvd Calendar'!$M$1844)&gt;0)*1000000+23*1000+9))</f>
        <v/>
      </c>
      <c r="L135" s="41">
        <f>IF(N('Dvd Calendar'!$N$1845)=0,"",IF(('Dvd Calendar'!$N$1845&gt;=MIN(DATE(Summary!$C$12,1,1),Summary!$C$11))*('Dvd Calendar'!$N$1845&lt;=MAX(DATE(Summary!$C$12,12,31),Summary!$C$15))*('Dvd Calendar'!$N$1845&lt;=Summary!$C$11)=0,"",'Dvd Calendar'!$N$1845*1000000000+ISNUMBER('Dvd Calendar'!$N$1846)*100000000+('Dvd Calendar'!$N$1850='Field Check'!$C$25)*10000000+(N('Dvd Calendar'!$N$1844)&gt;0)*1000000+23*1000+10))</f>
        <v/>
      </c>
      <c r="M135" s="41">
        <f>IF(N('Dvd Calendar'!$O$1845)=0,"",IF(('Dvd Calendar'!$O$1845&gt;=MIN(DATE(Summary!$C$12,1,1),Summary!$C$11))*('Dvd Calendar'!$O$1845&lt;=MAX(DATE(Summary!$C$12,12,31),Summary!$C$15))*('Dvd Calendar'!$O$1845&lt;=Summary!$C$11)=0,"",'Dvd Calendar'!$O$1845*1000000000+ISNUMBER('Dvd Calendar'!$O$1846)*100000000+('Dvd Calendar'!$O$1850='Field Check'!$C$25)*10000000+(N('Dvd Calendar'!$O$1844)&gt;0)*1000000+23*1000+11))</f>
        <v/>
      </c>
      <c r="N135" s="41">
        <f>IF(N('Dvd Calendar'!$P$1845)=0,"",IF(('Dvd Calendar'!$P$1845&gt;=MIN(DATE(Summary!$C$12,1,1),Summary!$C$11))*('Dvd Calendar'!$P$1845&lt;=MAX(DATE(Summary!$C$12,12,31),Summary!$C$15))*('Dvd Calendar'!$P$1845&lt;=Summary!$C$11)=0,"",'Dvd Calendar'!$P$1845*1000000000+ISNUMBER('Dvd Calendar'!$P$1846)*100000000+('Dvd Calendar'!$P$1850='Field Check'!$C$25)*10000000+(N('Dvd Calendar'!$P$1844)&gt;0)*1000000+23*1000+12))</f>
        <v/>
      </c>
      <c r="O135" s="41">
        <f>IF(N('Dvd Calendar'!$Q$1845)=0,"",IF(('Dvd Calendar'!$Q$1845&gt;=MIN(DATE(Summary!$C$12,1,1),Summary!$C$11))*('Dvd Calendar'!$Q$1845&lt;=MAX(DATE(Summary!$C$12,12,31),Summary!$C$15))*('Dvd Calendar'!$Q$1845&lt;=Summary!$C$11)=0,"",'Dvd Calendar'!$Q$1845*1000000000+ISNUMBER('Dvd Calendar'!$Q$1846)*100000000+('Dvd Calendar'!$Q$1850='Field Check'!$C$25)*10000000+(N('Dvd Calendar'!$Q$1844)&gt;0)*1000000+23*1000+13))</f>
        <v/>
      </c>
      <c r="P135" s="41">
        <f>IF(N('Dvd Calendar'!$R$1845)=0,"",IF(('Dvd Calendar'!$R$1845&gt;=MIN(DATE(Summary!$C$12,1,1),Summary!$C$11))*('Dvd Calendar'!$R$1845&lt;=MAX(DATE(Summary!$C$12,12,31),Summary!$C$15))*('Dvd Calendar'!$R$1845&lt;=Summary!$C$11)=0,"",'Dvd Calendar'!$R$1845*1000000000+ISNUMBER('Dvd Calendar'!$R$1846)*100000000+('Dvd Calendar'!$R$1850='Field Check'!$C$25)*10000000+(N('Dvd Calendar'!$R$1844)&gt;0)*1000000+23*1000+14))</f>
        <v/>
      </c>
      <c r="Q135" s="41">
        <f>IF(N('Dvd Calendar'!$S$1845)=0,"",IF(('Dvd Calendar'!$S$1845&gt;=MIN(DATE(Summary!$C$12,1,1),Summary!$C$11))*('Dvd Calendar'!$S$1845&lt;=MAX(DATE(Summary!$C$12,12,31),Summary!$C$15))*('Dvd Calendar'!$S$1845&lt;=Summary!$C$11)=0,"",'Dvd Calendar'!$S$1845*1000000000+ISNUMBER('Dvd Calendar'!$S$1846)*100000000+('Dvd Calendar'!$S$1850='Field Check'!$C$25)*10000000+(N('Dvd Calendar'!$S$1844)&gt;0)*1000000+23*1000+15))</f>
        <v/>
      </c>
      <c r="R135" s="41">
        <f>IF(N('Dvd Calendar'!$T$1845)=0,"",IF(('Dvd Calendar'!$T$1845&gt;=MIN(DATE(Summary!$C$12,1,1),Summary!$C$11))*('Dvd Calendar'!$T$1845&lt;=MAX(DATE(Summary!$C$12,12,31),Summary!$C$15))*('Dvd Calendar'!$T$1845&lt;=Summary!$C$11)=0,"",'Dvd Calendar'!$T$1845*1000000000+ISNUMBER('Dvd Calendar'!$T$1846)*100000000+('Dvd Calendar'!$T$1850='Field Check'!$C$25)*10000000+(N('Dvd Calendar'!$T$1844)&gt;0)*1000000+23*1000+16))</f>
        <v/>
      </c>
      <c r="S135" s="41">
        <f>IF(N('Dvd Calendar'!$U$1845)=0,"",IF(('Dvd Calendar'!$U$1845&gt;=MIN(DATE(Summary!$C$12,1,1),Summary!$C$11))*('Dvd Calendar'!$U$1845&lt;=MAX(DATE(Summary!$C$12,12,31),Summary!$C$15))*('Dvd Calendar'!$U$1845&lt;=Summary!$C$11)=0,"",'Dvd Calendar'!$U$1845*1000000000+ISNUMBER('Dvd Calendar'!$U$1846)*100000000+('Dvd Calendar'!$U$1850='Field Check'!$C$25)*10000000+(N('Dvd Calendar'!$U$1844)&gt;0)*1000000+23*1000+17))</f>
        <v/>
      </c>
      <c r="T135" s="41">
        <f>IF(N('Dvd Calendar'!$V$1845)=0,"",IF(('Dvd Calendar'!$V$1845&gt;=MIN(DATE(Summary!$C$12,1,1),Summary!$C$11))*('Dvd Calendar'!$V$1845&lt;=MAX(DATE(Summary!$C$12,12,31),Summary!$C$15))*('Dvd Calendar'!$V$1845&lt;=Summary!$C$11)=0,"",'Dvd Calendar'!$V$1845*1000000000+ISNUMBER('Dvd Calendar'!$V$1846)*100000000+('Dvd Calendar'!$V$1850='Field Check'!$C$25)*10000000+(N('Dvd Calendar'!$V$1844)&gt;0)*1000000+23*1000+18))</f>
        <v/>
      </c>
      <c r="U135" s="41">
        <f>IF(N('Dvd Calendar'!$W$1845)=0,"",IF(('Dvd Calendar'!$W$1845&gt;=MIN(DATE(Summary!$C$12,1,1),Summary!$C$11))*('Dvd Calendar'!$W$1845&lt;=MAX(DATE(Summary!$C$12,12,31),Summary!$C$15))*('Dvd Calendar'!$W$1845&lt;=Summary!$C$11)=0,"",'Dvd Calendar'!$W$1845*1000000000+ISNUMBER('Dvd Calendar'!$W$1846)*100000000+('Dvd Calendar'!$W$1850='Field Check'!$C$25)*10000000+(N('Dvd Calendar'!$W$1844)&gt;0)*1000000+23*1000+19))</f>
        <v/>
      </c>
      <c r="V135" s="41">
        <f>IF(N('Dvd Calendar'!$X$1845)=0,"",IF(('Dvd Calendar'!$X$1845&gt;=MIN(DATE(Summary!$C$12,1,1),Summary!$C$11))*('Dvd Calendar'!$X$1845&lt;=MAX(DATE(Summary!$C$12,12,31),Summary!$C$15))*('Dvd Calendar'!$X$1845&lt;=Summary!$C$11)=0,"",'Dvd Calendar'!$X$1845*1000000000+ISNUMBER('Dvd Calendar'!$X$1846)*100000000+('Dvd Calendar'!$X$1850='Field Check'!$C$25)*10000000+(N('Dvd Calendar'!$X$1844)&gt;0)*1000000+23*1000+20))</f>
        <v/>
      </c>
      <c r="W135" s="41">
        <f>IF(N('Dvd Calendar'!$Y$1845)=0,"",IF(('Dvd Calendar'!$Y$1845&gt;=MIN(DATE(Summary!$C$12,1,1),Summary!$C$11))*('Dvd Calendar'!$Y$1845&lt;=MAX(DATE(Summary!$C$12,12,31),Summary!$C$15))*('Dvd Calendar'!$Y$1845&lt;=Summary!$C$11)=0,"",'Dvd Calendar'!$Y$1845*1000000000+ISNUMBER('Dvd Calendar'!$Y$1846)*100000000+('Dvd Calendar'!$Y$1850='Field Check'!$C$25)*10000000+(N('Dvd Calendar'!$Y$1844)&gt;0)*1000000+23*1000+21))</f>
        <v/>
      </c>
      <c r="X135" s="41">
        <f>IF(N('Dvd Calendar'!$Z$1845)=0,"",IF(('Dvd Calendar'!$Z$1845&gt;=MIN(DATE(Summary!$C$12,1,1),Summary!$C$11))*('Dvd Calendar'!$Z$1845&lt;=MAX(DATE(Summary!$C$12,12,31),Summary!$C$15))*('Dvd Calendar'!$Z$1845&lt;=Summary!$C$11)=0,"",'Dvd Calendar'!$Z$1845*1000000000+ISNUMBER('Dvd Calendar'!$Z$1846)*100000000+('Dvd Calendar'!$Z$1850='Field Check'!$C$25)*10000000+(N('Dvd Calendar'!$Z$1844)&gt;0)*1000000+23*1000+22))</f>
        <v/>
      </c>
      <c r="Y135" s="41">
        <f>IF(N('Dvd Calendar'!$AA$1845)=0,"",IF(('Dvd Calendar'!$AA$1845&gt;=MIN(DATE(Summary!$C$12,1,1),Summary!$C$11))*('Dvd Calendar'!$AA$1845&lt;=MAX(DATE(Summary!$C$12,12,31),Summary!$C$15))*('Dvd Calendar'!$AA$1845&lt;=Summary!$C$11)=0,"",'Dvd Calendar'!$AA$1845*1000000000+ISNUMBER('Dvd Calendar'!$AA$1846)*100000000+('Dvd Calendar'!$AA$1850='Field Check'!$C$25)*10000000+(N('Dvd Calendar'!$AA$1844)&gt;0)*1000000+23*1000+23))</f>
        <v/>
      </c>
      <c r="Z135" s="41">
        <f>IF(N('Dvd Calendar'!$AB$1845)=0,"",IF(('Dvd Calendar'!$AB$1845&gt;=MIN(DATE(Summary!$C$12,1,1),Summary!$C$11))*('Dvd Calendar'!$AB$1845&lt;=MAX(DATE(Summary!$C$12,12,31),Summary!$C$15))*('Dvd Calendar'!$AB$1845&lt;=Summary!$C$11)=0,"",'Dvd Calendar'!$AB$1845*1000000000+ISNUMBER('Dvd Calendar'!$AB$1846)*100000000+('Dvd Calendar'!$AB$1850='Field Check'!$C$25)*10000000+(N('Dvd Calendar'!$AB$1844)&gt;0)*1000000+23*1000+24))</f>
        <v/>
      </c>
      <c r="AA135" s="41">
        <f>IF(N('Dvd Calendar'!$AC$1845)=0,"",IF(('Dvd Calendar'!$AC$1845&gt;=MIN(DATE(Summary!$C$12,1,1),Summary!$C$11))*('Dvd Calendar'!$AC$1845&lt;=MAX(DATE(Summary!$C$12,12,31),Summary!$C$15))*('Dvd Calendar'!$AC$1845&lt;=Summary!$C$11)=0,"",'Dvd Calendar'!$AC$1845*1000000000+ISNUMBER('Dvd Calendar'!$AC$1846)*100000000+('Dvd Calendar'!$AC$1850='Field Check'!$C$25)*10000000+(N('Dvd Calendar'!$AC$1844)&gt;0)*1000000+23*1000+25))</f>
        <v/>
      </c>
      <c r="AB135" s="41">
        <f>IF(N('Dvd Calendar'!$AD$1845)=0,"",IF(('Dvd Calendar'!$AD$1845&gt;=MIN(DATE(Summary!$C$12,1,1),Summary!$C$11))*('Dvd Calendar'!$AD$1845&lt;=MAX(DATE(Summary!$C$12,12,31),Summary!$C$15))*('Dvd Calendar'!$AD$1845&lt;=Summary!$C$11)=0,"",'Dvd Calendar'!$AD$1845*1000000000+ISNUMBER('Dvd Calendar'!$AD$1846)*100000000+('Dvd Calendar'!$AD$1850='Field Check'!$C$25)*10000000+(N('Dvd Calendar'!$AD$1844)&gt;0)*1000000+23*1000+26))</f>
        <v/>
      </c>
      <c r="AC135" s="41">
        <f>IF(N('Dvd Calendar'!$AE$1845)=0,"",IF(('Dvd Calendar'!$AE$1845&gt;=MIN(DATE(Summary!$C$12,1,1),Summary!$C$11))*('Dvd Calendar'!$AE$1845&lt;=MAX(DATE(Summary!$C$12,12,31),Summary!$C$15))*('Dvd Calendar'!$AE$1845&lt;=Summary!$C$11)=0,"",'Dvd Calendar'!$AE$1845*1000000000+ISNUMBER('Dvd Calendar'!$AE$1846)*100000000+('Dvd Calendar'!$AE$1850='Field Check'!$C$25)*10000000+(N('Dvd Calendar'!$AE$1844)&gt;0)*1000000+23*1000+27))</f>
        <v/>
      </c>
      <c r="AD135" s="41">
        <f>IF(N('Dvd Calendar'!$AF$1845)=0,"",IF(('Dvd Calendar'!$AF$1845&gt;=MIN(DATE(Summary!$C$12,1,1),Summary!$C$11))*('Dvd Calendar'!$AF$1845&lt;=MAX(DATE(Summary!$C$12,12,31),Summary!$C$15))*('Dvd Calendar'!$AF$1845&lt;=Summary!$C$11)=0,"",'Dvd Calendar'!$AF$1845*1000000000+ISNUMBER('Dvd Calendar'!$AF$1846)*100000000+('Dvd Calendar'!$AF$1850='Field Check'!$C$25)*10000000+(N('Dvd Calendar'!$AF$1844)&gt;0)*1000000+23*1000+28))</f>
        <v/>
      </c>
      <c r="AE135" s="41">
        <f>IF(N('Dvd Calendar'!$AG$1845)=0,"",IF(('Dvd Calendar'!$AG$1845&gt;=MIN(DATE(Summary!$C$12,1,1),Summary!$C$11))*('Dvd Calendar'!$AG$1845&lt;=MAX(DATE(Summary!$C$12,12,31),Summary!$C$15))*('Dvd Calendar'!$AG$1845&lt;=Summary!$C$11)=0,"",'Dvd Calendar'!$AG$1845*1000000000+ISNUMBER('Dvd Calendar'!$AG$1846)*100000000+('Dvd Calendar'!$AG$1850='Field Check'!$C$25)*10000000+(N('Dvd Calendar'!$AG$1844)&gt;0)*1000000+23*1000+29))</f>
        <v/>
      </c>
      <c r="AF135" s="41">
        <f>IF(N('Dvd Calendar'!$AH$1845)=0,"",IF(('Dvd Calendar'!$AH$1845&gt;=MIN(DATE(Summary!$C$12,1,1),Summary!$C$11))*('Dvd Calendar'!$AH$1845&lt;=MAX(DATE(Summary!$C$12,12,31),Summary!$C$15))*('Dvd Calendar'!$AH$1845&lt;=Summary!$C$11)=0,"",'Dvd Calendar'!$AH$1845*1000000000+ISNUMBER('Dvd Calendar'!$AH$1846)*100000000+('Dvd Calendar'!$AH$1850='Field Check'!$C$25)*10000000+(N('Dvd Calendar'!$AH$1844)&gt;0)*1000000+23*1000+30))</f>
        <v/>
      </c>
      <c r="AG135" s="41">
        <f>IF(N('Dvd Calendar'!$AI$1845)=0,"",IF(('Dvd Calendar'!$AI$1845&gt;=MIN(DATE(Summary!$C$12,1,1),Summary!$C$11))*('Dvd Calendar'!$AI$1845&lt;=MAX(DATE(Summary!$C$12,12,31),Summary!$C$15))*('Dvd Calendar'!$AI$1845&lt;=Summary!$C$11)=0,"",'Dvd Calendar'!$AI$1845*1000000000+ISNUMBER('Dvd Calendar'!$AI$1846)*100000000+('Dvd Calendar'!$AI$1850='Field Check'!$C$25)*10000000+(N('Dvd Calendar'!$AI$1844)&gt;0)*1000000+23*1000+31))</f>
        <v/>
      </c>
      <c r="AH135" s="41">
        <f>IF(N('Dvd Calendar'!$AJ$1845)=0,"",IF(('Dvd Calendar'!$AJ$1845&gt;=MIN(DATE(Summary!$C$12,1,1),Summary!$C$11))*('Dvd Calendar'!$AJ$1845&lt;=MAX(DATE(Summary!$C$12,12,31),Summary!$C$15))*('Dvd Calendar'!$AJ$1845&lt;=Summary!$C$11)=0,"",'Dvd Calendar'!$AJ$1845*1000000000+ISNUMBER('Dvd Calendar'!$AJ$1846)*100000000+('Dvd Calendar'!$AJ$1850='Field Check'!$C$25)*10000000+(N('Dvd Calendar'!$AJ$1844)&gt;0)*1000000+23*1000+32))</f>
        <v/>
      </c>
      <c r="AI135" s="41">
        <f>IF(N('Dvd Calendar'!$AK$1845)=0,"",IF(('Dvd Calendar'!$AK$1845&gt;=MIN(DATE(Summary!$C$12,1,1),Summary!$C$11))*('Dvd Calendar'!$AK$1845&lt;=MAX(DATE(Summary!$C$12,12,31),Summary!$C$15))*('Dvd Calendar'!$AK$1845&lt;=Summary!$C$11)=0,"",'Dvd Calendar'!$AK$1845*1000000000+ISNUMBER('Dvd Calendar'!$AK$1846)*100000000+('Dvd Calendar'!$AK$1850='Field Check'!$C$25)*10000000+(N('Dvd Calendar'!$AK$1844)&gt;0)*1000000+23*1000+33))</f>
        <v/>
      </c>
      <c r="AJ135" s="41">
        <f>IF(N('Dvd Calendar'!$AL$1845)=0,"",IF(('Dvd Calendar'!$AL$1845&gt;=MIN(DATE(Summary!$C$12,1,1),Summary!$C$11))*('Dvd Calendar'!$AL$1845&lt;=MAX(DATE(Summary!$C$12,12,31),Summary!$C$15))*('Dvd Calendar'!$AL$1845&lt;=Summary!$C$11)=0,"",'Dvd Calendar'!$AL$1845*1000000000+ISNUMBER('Dvd Calendar'!$AL$1846)*100000000+('Dvd Calendar'!$AL$1850='Field Check'!$C$25)*10000000+(N('Dvd Calendar'!$AL$1844)&gt;0)*1000000+23*1000+34))</f>
        <v/>
      </c>
      <c r="AK135" s="41">
        <f>IF(N('Dvd Calendar'!$AM$1845)=0,"",IF(('Dvd Calendar'!$AM$1845&gt;=MIN(DATE(Summary!$C$12,1,1),Summary!$C$11))*('Dvd Calendar'!$AM$1845&lt;=MAX(DATE(Summary!$C$12,12,31),Summary!$C$15))*('Dvd Calendar'!$AM$1845&lt;=Summary!$C$11)=0,"",'Dvd Calendar'!$AM$1845*1000000000+ISNUMBER('Dvd Calendar'!$AM$1846)*100000000+('Dvd Calendar'!$AM$1850='Field Check'!$C$25)*10000000+(N('Dvd Calendar'!$AM$1844)&gt;0)*1000000+23*1000+35))</f>
        <v/>
      </c>
      <c r="AL135" s="41">
        <f>IF(N('Dvd Calendar'!$AN$1845)=0,"",IF(('Dvd Calendar'!$AN$1845&gt;=MIN(DATE(Summary!$C$12,1,1),Summary!$C$11))*('Dvd Calendar'!$AN$1845&lt;=MAX(DATE(Summary!$C$12,12,31),Summary!$C$15))*('Dvd Calendar'!$AN$1845&lt;=Summary!$C$11)=0,"",'Dvd Calendar'!$AN$1845*1000000000+ISNUMBER('Dvd Calendar'!$AN$1846)*100000000+('Dvd Calendar'!$AN$1850='Field Check'!$C$25)*10000000+(N('Dvd Calendar'!$AN$1844)&gt;0)*1000000+23*1000+36))</f>
        <v/>
      </c>
      <c r="AM135" s="41">
        <f>IF(N('Dvd Calendar'!$AO$1845)=0,"",IF(('Dvd Calendar'!$AO$1845&gt;=MIN(DATE(Summary!$C$12,1,1),Summary!$C$11))*('Dvd Calendar'!$AO$1845&lt;=MAX(DATE(Summary!$C$12,12,31),Summary!$C$15))*('Dvd Calendar'!$AO$1845&lt;=Summary!$C$11)=0,"",'Dvd Calendar'!$AO$1845*1000000000+ISNUMBER('Dvd Calendar'!$AO$1846)*100000000+('Dvd Calendar'!$AO$1850='Field Check'!$C$25)*10000000+(N('Dvd Calendar'!$AO$1844)&gt;0)*1000000+23*1000+37))</f>
        <v/>
      </c>
      <c r="AN135" s="41">
        <f>IF(N('Dvd Calendar'!$AP$1845)=0,"",IF(('Dvd Calendar'!$AP$1845&gt;=MIN(DATE(Summary!$C$12,1,1),Summary!$C$11))*('Dvd Calendar'!$AP$1845&lt;=MAX(DATE(Summary!$C$12,12,31),Summary!$C$15))*('Dvd Calendar'!$AP$1845&lt;=Summary!$C$11)=0,"",'Dvd Calendar'!$AP$1845*1000000000+ISNUMBER('Dvd Calendar'!$AP$1846)*100000000+('Dvd Calendar'!$AP$1850='Field Check'!$C$25)*10000000+(N('Dvd Calendar'!$AP$1844)&gt;0)*1000000+23*1000+38))</f>
        <v/>
      </c>
      <c r="AO135" s="41">
        <f>IF(N('Dvd Calendar'!$AQ$1845)=0,"",IF(('Dvd Calendar'!$AQ$1845&gt;=MIN(DATE(Summary!$C$12,1,1),Summary!$C$11))*('Dvd Calendar'!$AQ$1845&lt;=MAX(DATE(Summary!$C$12,12,31),Summary!$C$15))*('Dvd Calendar'!$AQ$1845&lt;=Summary!$C$11)=0,"",'Dvd Calendar'!$AQ$1845*1000000000+ISNUMBER('Dvd Calendar'!$AQ$1846)*100000000+('Dvd Calendar'!$AQ$1850='Field Check'!$C$25)*10000000+(N('Dvd Calendar'!$AQ$1844)&gt;0)*1000000+23*1000+39))</f>
        <v/>
      </c>
      <c r="AP135" s="41">
        <f>IF(N('Dvd Calendar'!$AR$1845)=0,"",IF(('Dvd Calendar'!$AR$1845&gt;=MIN(DATE(Summary!$C$12,1,1),Summary!$C$11))*('Dvd Calendar'!$AR$1845&lt;=MAX(DATE(Summary!$C$12,12,31),Summary!$C$15))*('Dvd Calendar'!$AR$1845&lt;=Summary!$C$11)=0,"",'Dvd Calendar'!$AR$1845*1000000000+ISNUMBER('Dvd Calendar'!$AR$1846)*100000000+('Dvd Calendar'!$AR$1850='Field Check'!$C$25)*10000000+(N('Dvd Calendar'!$AR$1844)&gt;0)*1000000+23*1000+40))</f>
        <v/>
      </c>
      <c r="AQ135" s="41">
        <f>IF(N('Dvd Calendar'!$E$1852)=0,"",IF(('Dvd Calendar'!$E$1852&gt;=MIN(DATE(Summary!$C$12,1,1),Summary!$C$11))*('Dvd Calendar'!$E$1852&lt;=MAX(DATE(Summary!$C$12,12,31),Summary!$C$15))*('Dvd Calendar'!$E$1852&gt;Summary!$C$11)=0,"",'Dvd Calendar'!$E$1852*1000000000+ISNUMBER('Dvd Calendar'!$E$1853)*100000000+('Dvd Calendar'!$E$1857='Field Check'!$C$25)*10000000+(N('Dvd Calendar'!$E$1851)&gt;0)*1000000+23*1000+41))</f>
        <v/>
      </c>
      <c r="AR135" s="41">
        <f>IF(N('Dvd Calendar'!$F$1852)=0,"",IF(('Dvd Calendar'!$F$1852&gt;=MIN(DATE(Summary!$C$12,1,1),Summary!$C$11))*('Dvd Calendar'!$F$1852&lt;=MAX(DATE(Summary!$C$12,12,31),Summary!$C$15))*('Dvd Calendar'!$F$1852&gt;Summary!$C$11)=0,"",'Dvd Calendar'!$F$1852*1000000000+ISNUMBER('Dvd Calendar'!$F$1853)*100000000+('Dvd Calendar'!$F$1857='Field Check'!$C$25)*10000000+(N('Dvd Calendar'!$F$1851)&gt;0)*1000000+23*1000+42))</f>
        <v/>
      </c>
      <c r="AS135" s="41">
        <f>IF(N('Dvd Calendar'!$G$1852)=0,"",IF(('Dvd Calendar'!$G$1852&gt;=MIN(DATE(Summary!$C$12,1,1),Summary!$C$11))*('Dvd Calendar'!$G$1852&lt;=MAX(DATE(Summary!$C$12,12,31),Summary!$C$15))*('Dvd Calendar'!$G$1852&gt;Summary!$C$11)=0,"",'Dvd Calendar'!$G$1852*1000000000+ISNUMBER('Dvd Calendar'!$G$1853)*100000000+('Dvd Calendar'!$G$1857='Field Check'!$C$25)*10000000+(N('Dvd Calendar'!$G$1851)&gt;0)*1000000+23*1000+43))</f>
        <v/>
      </c>
      <c r="AT135" s="41">
        <f>IF(N('Dvd Calendar'!$H$1852)=0,"",IF(('Dvd Calendar'!$H$1852&gt;=MIN(DATE(Summary!$C$12,1,1),Summary!$C$11))*('Dvd Calendar'!$H$1852&lt;=MAX(DATE(Summary!$C$12,12,31),Summary!$C$15))*('Dvd Calendar'!$H$1852&gt;Summary!$C$11)=0,"",'Dvd Calendar'!$H$1852*1000000000+ISNUMBER('Dvd Calendar'!$H$1853)*100000000+('Dvd Calendar'!$H$1857='Field Check'!$C$25)*10000000+(N('Dvd Calendar'!$H$1851)&gt;0)*1000000+23*1000+44))</f>
        <v/>
      </c>
      <c r="AU135" s="41">
        <f>IF(N('Dvd Calendar'!$I$1852)=0,"",IF(('Dvd Calendar'!$I$1852&gt;=MIN(DATE(Summary!$C$12,1,1),Summary!$C$11))*('Dvd Calendar'!$I$1852&lt;=MAX(DATE(Summary!$C$12,12,31),Summary!$C$15))*('Dvd Calendar'!$I$1852&gt;Summary!$C$11)=0,"",'Dvd Calendar'!$I$1852*1000000000+ISNUMBER('Dvd Calendar'!$I$1853)*100000000+('Dvd Calendar'!$I$1857='Field Check'!$C$25)*10000000+(N('Dvd Calendar'!$I$1851)&gt;0)*1000000+23*1000+45))</f>
        <v/>
      </c>
      <c r="AV135" s="41">
        <f>IF(N('Dvd Calendar'!$J$1852)=0,"",IF(('Dvd Calendar'!$J$1852&gt;=MIN(DATE(Summary!$C$12,1,1),Summary!$C$11))*('Dvd Calendar'!$J$1852&lt;=MAX(DATE(Summary!$C$12,12,31),Summary!$C$15))*('Dvd Calendar'!$J$1852&gt;Summary!$C$11)=0,"",'Dvd Calendar'!$J$1852*1000000000+ISNUMBER('Dvd Calendar'!$J$1853)*100000000+('Dvd Calendar'!$J$1857='Field Check'!$C$25)*10000000+(N('Dvd Calendar'!$J$1851)&gt;0)*1000000+23*1000+46))</f>
        <v/>
      </c>
      <c r="AW135" s="41">
        <f>IF(N('Dvd Calendar'!$K$1852)=0,"",IF(('Dvd Calendar'!$K$1852&gt;=MIN(DATE(Summary!$C$12,1,1),Summary!$C$11))*('Dvd Calendar'!$K$1852&lt;=MAX(DATE(Summary!$C$12,12,31),Summary!$C$15))*('Dvd Calendar'!$K$1852&gt;Summary!$C$11)=0,"",'Dvd Calendar'!$K$1852*1000000000+ISNUMBER('Dvd Calendar'!$K$1853)*100000000+('Dvd Calendar'!$K$1857='Field Check'!$C$25)*10000000+(N('Dvd Calendar'!$K$1851)&gt;0)*1000000+23*1000+47))</f>
        <v/>
      </c>
      <c r="AX135" s="41">
        <f>IF(N('Dvd Calendar'!$L$1852)=0,"",IF(('Dvd Calendar'!$L$1852&gt;=MIN(DATE(Summary!$C$12,1,1),Summary!$C$11))*('Dvd Calendar'!$L$1852&lt;=MAX(DATE(Summary!$C$12,12,31),Summary!$C$15))*('Dvd Calendar'!$L$1852&gt;Summary!$C$11)=0,"",'Dvd Calendar'!$L$1852*1000000000+ISNUMBER('Dvd Calendar'!$L$1853)*100000000+('Dvd Calendar'!$L$1857='Field Check'!$C$25)*10000000+(N('Dvd Calendar'!$L$1851)&gt;0)*1000000+23*1000+48))</f>
        <v/>
      </c>
      <c r="AY135" s="41">
        <f>IF(N('Dvd Calendar'!$M$1852)=0,"",IF(('Dvd Calendar'!$M$1852&gt;=MIN(DATE(Summary!$C$12,1,1),Summary!$C$11))*('Dvd Calendar'!$M$1852&lt;=MAX(DATE(Summary!$C$12,12,31),Summary!$C$15))*('Dvd Calendar'!$M$1852&gt;Summary!$C$11)=0,"",'Dvd Calendar'!$M$1852*1000000000+ISNUMBER('Dvd Calendar'!$M$1853)*100000000+('Dvd Calendar'!$M$1857='Field Check'!$C$25)*10000000+(N('Dvd Calendar'!$M$1851)&gt;0)*1000000+23*1000+49))</f>
        <v/>
      </c>
      <c r="AZ135" s="41">
        <f>IF(N('Dvd Calendar'!$N$1852)=0,"",IF(('Dvd Calendar'!$N$1852&gt;=MIN(DATE(Summary!$C$12,1,1),Summary!$C$11))*('Dvd Calendar'!$N$1852&lt;=MAX(DATE(Summary!$C$12,12,31),Summary!$C$15))*('Dvd Calendar'!$N$1852&gt;Summary!$C$11)=0,"",'Dvd Calendar'!$N$1852*1000000000+ISNUMBER('Dvd Calendar'!$N$1853)*100000000+('Dvd Calendar'!$N$1857='Field Check'!$C$25)*10000000+(N('Dvd Calendar'!$N$1851)&gt;0)*1000000+23*1000+50))</f>
        <v/>
      </c>
      <c r="BA135" s="41">
        <f>IF(N('Dvd Calendar'!$O$1852)=0,"",IF(('Dvd Calendar'!$O$1852&gt;=MIN(DATE(Summary!$C$12,1,1),Summary!$C$11))*('Dvd Calendar'!$O$1852&lt;=MAX(DATE(Summary!$C$12,12,31),Summary!$C$15))*('Dvd Calendar'!$O$1852&gt;Summary!$C$11)=0,"",'Dvd Calendar'!$O$1852*1000000000+ISNUMBER('Dvd Calendar'!$O$1853)*100000000+('Dvd Calendar'!$O$1857='Field Check'!$C$25)*10000000+(N('Dvd Calendar'!$O$1851)&gt;0)*1000000+23*1000+51))</f>
        <v/>
      </c>
      <c r="BB135" s="41">
        <f>IF(N('Dvd Calendar'!$P$1852)=0,"",IF(('Dvd Calendar'!$P$1852&gt;=MIN(DATE(Summary!$C$12,1,1),Summary!$C$11))*('Dvd Calendar'!$P$1852&lt;=MAX(DATE(Summary!$C$12,12,31),Summary!$C$15))*('Dvd Calendar'!$P$1852&gt;Summary!$C$11)=0,"",'Dvd Calendar'!$P$1852*1000000000+ISNUMBER('Dvd Calendar'!$P$1853)*100000000+('Dvd Calendar'!$P$1857='Field Check'!$C$25)*10000000+(N('Dvd Calendar'!$P$1851)&gt;0)*1000000+23*1000+52))</f>
        <v/>
      </c>
      <c r="BC135" s="41">
        <f>IF(N('Dvd Calendar'!$Q$1852)=0,"",IF(('Dvd Calendar'!$Q$1852&gt;=MIN(DATE(Summary!$C$12,1,1),Summary!$C$11))*('Dvd Calendar'!$Q$1852&lt;=MAX(DATE(Summary!$C$12,12,31),Summary!$C$15))*('Dvd Calendar'!$Q$1852&gt;Summary!$C$11)=0,"",'Dvd Calendar'!$Q$1852*1000000000+ISNUMBER('Dvd Calendar'!$Q$1853)*100000000+('Dvd Calendar'!$Q$1857='Field Check'!$C$25)*10000000+(N('Dvd Calendar'!$Q$1851)&gt;0)*1000000+23*1000+53))</f>
        <v/>
      </c>
      <c r="BD135" s="41">
        <f>IF(N('Dvd Calendar'!$R$1852)=0,"",IF(('Dvd Calendar'!$R$1852&gt;=MIN(DATE(Summary!$C$12,1,1),Summary!$C$11))*('Dvd Calendar'!$R$1852&lt;=MAX(DATE(Summary!$C$12,12,31),Summary!$C$15))*('Dvd Calendar'!$R$1852&gt;Summary!$C$11)=0,"",'Dvd Calendar'!$R$1852*1000000000+ISNUMBER('Dvd Calendar'!$R$1853)*100000000+('Dvd Calendar'!$R$1857='Field Check'!$C$25)*10000000+(N('Dvd Calendar'!$R$1851)&gt;0)*1000000+23*1000+54))</f>
        <v/>
      </c>
      <c r="BE135" s="41">
        <f>IF(N('Dvd Calendar'!$S$1852)=0,"",IF(('Dvd Calendar'!$S$1852&gt;=MIN(DATE(Summary!$C$12,1,1),Summary!$C$11))*('Dvd Calendar'!$S$1852&lt;=MAX(DATE(Summary!$C$12,12,31),Summary!$C$15))*('Dvd Calendar'!$S$1852&gt;Summary!$C$11)=0,"",'Dvd Calendar'!$S$1852*1000000000+ISNUMBER('Dvd Calendar'!$S$1853)*100000000+('Dvd Calendar'!$S$1857='Field Check'!$C$25)*10000000+(N('Dvd Calendar'!$S$1851)&gt;0)*1000000+23*1000+55))</f>
        <v/>
      </c>
      <c r="BF135" s="41">
        <f>IF(N('Dvd Calendar'!$T$1852)=0,"",IF(('Dvd Calendar'!$T$1852&gt;=MIN(DATE(Summary!$C$12,1,1),Summary!$C$11))*('Dvd Calendar'!$T$1852&lt;=MAX(DATE(Summary!$C$12,12,31),Summary!$C$15))*('Dvd Calendar'!$T$1852&gt;Summary!$C$11)=0,"",'Dvd Calendar'!$T$1852*1000000000+ISNUMBER('Dvd Calendar'!$T$1853)*100000000+('Dvd Calendar'!$T$1857='Field Check'!$C$25)*10000000+(N('Dvd Calendar'!$T$1851)&gt;0)*1000000+23*1000+56))</f>
        <v/>
      </c>
      <c r="BG135" s="41">
        <f>IF(N('Dvd Calendar'!$U$1852)=0,"",IF(('Dvd Calendar'!$U$1852&gt;=MIN(DATE(Summary!$C$12,1,1),Summary!$C$11))*('Dvd Calendar'!$U$1852&lt;=MAX(DATE(Summary!$C$12,12,31),Summary!$C$15))*('Dvd Calendar'!$U$1852&gt;Summary!$C$11)=0,"",'Dvd Calendar'!$U$1852*1000000000+ISNUMBER('Dvd Calendar'!$U$1853)*100000000+('Dvd Calendar'!$U$1857='Field Check'!$C$25)*10000000+(N('Dvd Calendar'!$U$1851)&gt;0)*1000000+23*1000+57))</f>
        <v/>
      </c>
      <c r="BH135" s="41">
        <f>IF(N('Dvd Calendar'!$V$1852)=0,"",IF(('Dvd Calendar'!$V$1852&gt;=MIN(DATE(Summary!$C$12,1,1),Summary!$C$11))*('Dvd Calendar'!$V$1852&lt;=MAX(DATE(Summary!$C$12,12,31),Summary!$C$15))*('Dvd Calendar'!$V$1852&gt;Summary!$C$11)=0,"",'Dvd Calendar'!$V$1852*1000000000+ISNUMBER('Dvd Calendar'!$V$1853)*100000000+('Dvd Calendar'!$V$1857='Field Check'!$C$25)*10000000+(N('Dvd Calendar'!$V$1851)&gt;0)*1000000+23*1000+58))</f>
        <v/>
      </c>
      <c r="BI135" s="41">
        <f>IF(N('Dvd Calendar'!$W$1852)=0,"",IF(('Dvd Calendar'!$W$1852&gt;=MIN(DATE(Summary!$C$12,1,1),Summary!$C$11))*('Dvd Calendar'!$W$1852&lt;=MAX(DATE(Summary!$C$12,12,31),Summary!$C$15))*('Dvd Calendar'!$W$1852&gt;Summary!$C$11)=0,"",'Dvd Calendar'!$W$1852*1000000000+ISNUMBER('Dvd Calendar'!$W$1853)*100000000+('Dvd Calendar'!$W$1857='Field Check'!$C$25)*10000000+(N('Dvd Calendar'!$W$1851)&gt;0)*1000000+23*1000+59))</f>
        <v/>
      </c>
      <c r="BJ135" s="41">
        <f>IF(N('Dvd Calendar'!$X$1852)=0,"",IF(('Dvd Calendar'!$X$1852&gt;=MIN(DATE(Summary!$C$12,1,1),Summary!$C$11))*('Dvd Calendar'!$X$1852&lt;=MAX(DATE(Summary!$C$12,12,31),Summary!$C$15))*('Dvd Calendar'!$X$1852&gt;Summary!$C$11)=0,"",'Dvd Calendar'!$X$1852*1000000000+ISNUMBER('Dvd Calendar'!$X$1853)*100000000+('Dvd Calendar'!$X$1857='Field Check'!$C$25)*10000000+(N('Dvd Calendar'!$X$1851)&gt;0)*1000000+23*1000+60))</f>
        <v/>
      </c>
      <c r="BK135" s="41">
        <f>IF(N('Dvd Calendar'!$Y$1852)=0,"",IF(('Dvd Calendar'!$Y$1852&gt;=MIN(DATE(Summary!$C$12,1,1),Summary!$C$11))*('Dvd Calendar'!$Y$1852&lt;=MAX(DATE(Summary!$C$12,12,31),Summary!$C$15))*('Dvd Calendar'!$Y$1852&gt;Summary!$C$11)=0,"",'Dvd Calendar'!$Y$1852*1000000000+ISNUMBER('Dvd Calendar'!$Y$1853)*100000000+('Dvd Calendar'!$Y$1857='Field Check'!$C$25)*10000000+(N('Dvd Calendar'!$Y$1851)&gt;0)*1000000+23*1000+61))</f>
        <v/>
      </c>
      <c r="BL135" s="41">
        <f>IF(N('Dvd Calendar'!$Z$1852)=0,"",IF(('Dvd Calendar'!$Z$1852&gt;=MIN(DATE(Summary!$C$12,1,1),Summary!$C$11))*('Dvd Calendar'!$Z$1852&lt;=MAX(DATE(Summary!$C$12,12,31),Summary!$C$15))*('Dvd Calendar'!$Z$1852&gt;Summary!$C$11)=0,"",'Dvd Calendar'!$Z$1852*1000000000+ISNUMBER('Dvd Calendar'!$Z$1853)*100000000+('Dvd Calendar'!$Z$1857='Field Check'!$C$25)*10000000+(N('Dvd Calendar'!$Z$1851)&gt;0)*1000000+23*1000+62))</f>
        <v/>
      </c>
      <c r="BM135" s="41">
        <f>IF(N('Dvd Calendar'!$AA$1852)=0,"",IF(('Dvd Calendar'!$AA$1852&gt;=MIN(DATE(Summary!$C$12,1,1),Summary!$C$11))*('Dvd Calendar'!$AA$1852&lt;=MAX(DATE(Summary!$C$12,12,31),Summary!$C$15))*('Dvd Calendar'!$AA$1852&gt;Summary!$C$11)=0,"",'Dvd Calendar'!$AA$1852*1000000000+ISNUMBER('Dvd Calendar'!$AA$1853)*100000000+('Dvd Calendar'!$AA$1857='Field Check'!$C$25)*10000000+(N('Dvd Calendar'!$AA$1851)&gt;0)*1000000+23*1000+63))</f>
        <v/>
      </c>
      <c r="BN135" s="41">
        <f>IF(N('Dvd Calendar'!$AB$1852)=0,"",IF(('Dvd Calendar'!$AB$1852&gt;=MIN(DATE(Summary!$C$12,1,1),Summary!$C$11))*('Dvd Calendar'!$AB$1852&lt;=MAX(DATE(Summary!$C$12,12,31),Summary!$C$15))*('Dvd Calendar'!$AB$1852&gt;Summary!$C$11)=0,"",'Dvd Calendar'!$AB$1852*1000000000+ISNUMBER('Dvd Calendar'!$AB$1853)*100000000+('Dvd Calendar'!$AB$1857='Field Check'!$C$25)*10000000+(N('Dvd Calendar'!$AB$1851)&gt;0)*1000000+23*1000+64))</f>
        <v/>
      </c>
      <c r="BO135" s="41">
        <f>IF(N('Dvd Calendar'!$AC$1852)=0,"",IF(('Dvd Calendar'!$AC$1852&gt;=MIN(DATE(Summary!$C$12,1,1),Summary!$C$11))*('Dvd Calendar'!$AC$1852&lt;=MAX(DATE(Summary!$C$12,12,31),Summary!$C$15))*('Dvd Calendar'!$AC$1852&gt;Summary!$C$11)=0,"",'Dvd Calendar'!$AC$1852*1000000000+ISNUMBER('Dvd Calendar'!$AC$1853)*100000000+('Dvd Calendar'!$AC$1857='Field Check'!$C$25)*10000000+(N('Dvd Calendar'!$AC$1851)&gt;0)*1000000+23*1000+65))</f>
        <v/>
      </c>
      <c r="BQ135" s="85">
        <f>IF(C135="","",IF(ISNUMBER('Dvd Calendar'!$E$1846)=FALSE,"",IF((Summary!$C$13="N")*('Dvd Calendar'!$E$1850='Field Check'!$C$25)&gt;0,"",'Dvd Calendar'!$E$1846)))</f>
        <v/>
      </c>
      <c r="BR135" s="85">
        <f>IF(D135="","",IF(ISNUMBER('Dvd Calendar'!$F$1846)=FALSE,"",IF((Summary!$C$13="N")*('Dvd Calendar'!$F$1850='Field Check'!$C$25)&gt;0,"",'Dvd Calendar'!$F$1846)))</f>
        <v/>
      </c>
      <c r="BS135" s="85">
        <f>IF(E135="","",IF(ISNUMBER('Dvd Calendar'!$G$1846)=FALSE,"",IF((Summary!$C$13="N")*('Dvd Calendar'!$G$1850='Field Check'!$C$25)&gt;0,"",'Dvd Calendar'!$G$1846)))</f>
        <v/>
      </c>
      <c r="BT135" s="85">
        <f>IF(F135="","",IF(ISNUMBER('Dvd Calendar'!$H$1846)=FALSE,"",IF((Summary!$C$13="N")*('Dvd Calendar'!$H$1850='Field Check'!$C$25)&gt;0,"",'Dvd Calendar'!$H$1846)))</f>
        <v/>
      </c>
      <c r="BU135" s="85">
        <f>IF(G135="","",IF(ISNUMBER('Dvd Calendar'!$I$1846)=FALSE,"",IF((Summary!$C$13="N")*('Dvd Calendar'!$I$1850='Field Check'!$C$25)&gt;0,"",'Dvd Calendar'!$I$1846)))</f>
        <v/>
      </c>
      <c r="BV135" s="85">
        <f>IF(H135="","",IF(ISNUMBER('Dvd Calendar'!$J$1846)=FALSE,"",IF((Summary!$C$13="N")*('Dvd Calendar'!$J$1850='Field Check'!$C$25)&gt;0,"",'Dvd Calendar'!$J$1846)))</f>
        <v/>
      </c>
      <c r="BW135" s="85">
        <f>IF(I135="","",IF(ISNUMBER('Dvd Calendar'!$K$1846)=FALSE,"",IF((Summary!$C$13="N")*('Dvd Calendar'!$K$1850='Field Check'!$C$25)&gt;0,"",'Dvd Calendar'!$K$1846)))</f>
        <v/>
      </c>
      <c r="BX135" s="85">
        <f>IF(J135="","",IF(ISNUMBER('Dvd Calendar'!$L$1846)=FALSE,"",IF((Summary!$C$13="N")*('Dvd Calendar'!$L$1850='Field Check'!$C$25)&gt;0,"",'Dvd Calendar'!$L$1846)))</f>
        <v/>
      </c>
      <c r="BY135" s="85">
        <f>IF(K135="","",IF(ISNUMBER('Dvd Calendar'!$M$1846)=FALSE,"",IF((Summary!$C$13="N")*('Dvd Calendar'!$M$1850='Field Check'!$C$25)&gt;0,"",'Dvd Calendar'!$M$1846)))</f>
        <v/>
      </c>
      <c r="BZ135" s="85">
        <f>IF(L135="","",IF(ISNUMBER('Dvd Calendar'!$N$1846)=FALSE,"",IF((Summary!$C$13="N")*('Dvd Calendar'!$N$1850='Field Check'!$C$25)&gt;0,"",'Dvd Calendar'!$N$1846)))</f>
        <v/>
      </c>
      <c r="CA135" s="85">
        <f>IF(M135="","",IF(ISNUMBER('Dvd Calendar'!$O$1846)=FALSE,"",IF((Summary!$C$13="N")*('Dvd Calendar'!$O$1850='Field Check'!$C$25)&gt;0,"",'Dvd Calendar'!$O$1846)))</f>
        <v/>
      </c>
      <c r="CB135" s="85">
        <f>IF(N135="","",IF(ISNUMBER('Dvd Calendar'!$P$1846)=FALSE,"",IF((Summary!$C$13="N")*('Dvd Calendar'!$P$1850='Field Check'!$C$25)&gt;0,"",'Dvd Calendar'!$P$1846)))</f>
        <v/>
      </c>
      <c r="CC135" s="85">
        <f>IF(O135="","",IF(ISNUMBER('Dvd Calendar'!$Q$1846)=FALSE,"",IF((Summary!$C$13="N")*('Dvd Calendar'!$Q$1850='Field Check'!$C$25)&gt;0,"",'Dvd Calendar'!$Q$1846)))</f>
        <v/>
      </c>
      <c r="CD135" s="85">
        <f>IF(P135="","",IF(ISNUMBER('Dvd Calendar'!$R$1846)=FALSE,"",IF((Summary!$C$13="N")*('Dvd Calendar'!$R$1850='Field Check'!$C$25)&gt;0,"",'Dvd Calendar'!$R$1846)))</f>
        <v/>
      </c>
      <c r="CE135" s="85">
        <f>IF(Q135="","",IF(ISNUMBER('Dvd Calendar'!$S$1846)=FALSE,"",IF((Summary!$C$13="N")*('Dvd Calendar'!$S$1850='Field Check'!$C$25)&gt;0,"",'Dvd Calendar'!$S$1846)))</f>
        <v/>
      </c>
      <c r="CF135" s="85">
        <f>IF(R135="","",IF(ISNUMBER('Dvd Calendar'!$T$1846)=FALSE,"",IF((Summary!$C$13="N")*('Dvd Calendar'!$T$1850='Field Check'!$C$25)&gt;0,"",'Dvd Calendar'!$T$1846)))</f>
        <v/>
      </c>
      <c r="CG135" s="85">
        <f>IF(S135="","",IF(ISNUMBER('Dvd Calendar'!$U$1846)=FALSE,"",IF((Summary!$C$13="N")*('Dvd Calendar'!$U$1850='Field Check'!$C$25)&gt;0,"",'Dvd Calendar'!$U$1846)))</f>
        <v/>
      </c>
      <c r="CH135" s="85">
        <f>IF(T135="","",IF(ISNUMBER('Dvd Calendar'!$V$1846)=FALSE,"",IF((Summary!$C$13="N")*('Dvd Calendar'!$V$1850='Field Check'!$C$25)&gt;0,"",'Dvd Calendar'!$V$1846)))</f>
        <v/>
      </c>
      <c r="CI135" s="85">
        <f>IF(U135="","",IF(ISNUMBER('Dvd Calendar'!$W$1846)=FALSE,"",IF((Summary!$C$13="N")*('Dvd Calendar'!$W$1850='Field Check'!$C$25)&gt;0,"",'Dvd Calendar'!$W$1846)))</f>
        <v/>
      </c>
      <c r="CJ135" s="85">
        <f>IF(V135="","",IF(ISNUMBER('Dvd Calendar'!$X$1846)=FALSE,"",IF((Summary!$C$13="N")*('Dvd Calendar'!$X$1850='Field Check'!$C$25)&gt;0,"",'Dvd Calendar'!$X$1846)))</f>
        <v/>
      </c>
      <c r="CK135" s="85">
        <f>IF(W135="","",IF(ISNUMBER('Dvd Calendar'!$Y$1846)=FALSE,"",IF((Summary!$C$13="N")*('Dvd Calendar'!$Y$1850='Field Check'!$C$25)&gt;0,"",'Dvd Calendar'!$Y$1846)))</f>
        <v/>
      </c>
      <c r="CL135" s="85">
        <f>IF(X135="","",IF(ISNUMBER('Dvd Calendar'!$Z$1846)=FALSE,"",IF((Summary!$C$13="N")*('Dvd Calendar'!$Z$1850='Field Check'!$C$25)&gt;0,"",'Dvd Calendar'!$Z$1846)))</f>
        <v/>
      </c>
      <c r="CM135" s="85">
        <f>IF(Y135="","",IF(ISNUMBER('Dvd Calendar'!$AA$1846)=FALSE,"",IF((Summary!$C$13="N")*('Dvd Calendar'!$AA$1850='Field Check'!$C$25)&gt;0,"",'Dvd Calendar'!$AA$1846)))</f>
        <v/>
      </c>
      <c r="CN135" s="85">
        <f>IF(Z135="","",IF(ISNUMBER('Dvd Calendar'!$AB$1846)=FALSE,"",IF((Summary!$C$13="N")*('Dvd Calendar'!$AB$1850='Field Check'!$C$25)&gt;0,"",'Dvd Calendar'!$AB$1846)))</f>
        <v/>
      </c>
      <c r="CO135" s="85">
        <f>IF(AA135="","",IF(ISNUMBER('Dvd Calendar'!$AC$1846)=FALSE,"",IF((Summary!$C$13="N")*('Dvd Calendar'!$AC$1850='Field Check'!$C$25)&gt;0,"",'Dvd Calendar'!$AC$1846)))</f>
        <v/>
      </c>
      <c r="CP135" s="85">
        <f>IF(AB135="","",IF(ISNUMBER('Dvd Calendar'!$AD$1846)=FALSE,"",IF((Summary!$C$13="N")*('Dvd Calendar'!$AD$1850='Field Check'!$C$25)&gt;0,"",'Dvd Calendar'!$AD$1846)))</f>
        <v/>
      </c>
      <c r="CQ135" s="85">
        <f>IF(AC135="","",IF(ISNUMBER('Dvd Calendar'!$AE$1846)=FALSE,"",IF((Summary!$C$13="N")*('Dvd Calendar'!$AE$1850='Field Check'!$C$25)&gt;0,"",'Dvd Calendar'!$AE$1846)))</f>
        <v/>
      </c>
      <c r="CR135" s="85">
        <f>IF(AD135="","",IF(ISNUMBER('Dvd Calendar'!$AF$1846)=FALSE,"",IF((Summary!$C$13="N")*('Dvd Calendar'!$AF$1850='Field Check'!$C$25)&gt;0,"",'Dvd Calendar'!$AF$1846)))</f>
        <v/>
      </c>
      <c r="CS135" s="85">
        <f>IF(AE135="","",IF(ISNUMBER('Dvd Calendar'!$AG$1846)=FALSE,"",IF((Summary!$C$13="N")*('Dvd Calendar'!$AG$1850='Field Check'!$C$25)&gt;0,"",'Dvd Calendar'!$AG$1846)))</f>
        <v/>
      </c>
      <c r="CT135" s="85">
        <f>IF(AF135="","",IF(ISNUMBER('Dvd Calendar'!$AH$1846)=FALSE,"",IF((Summary!$C$13="N")*('Dvd Calendar'!$AH$1850='Field Check'!$C$25)&gt;0,"",'Dvd Calendar'!$AH$1846)))</f>
        <v/>
      </c>
      <c r="CU135" s="85">
        <f>IF(AG135="","",IF(ISNUMBER('Dvd Calendar'!$AI$1846)=FALSE,"",IF((Summary!$C$13="N")*('Dvd Calendar'!$AI$1850='Field Check'!$C$25)&gt;0,"",'Dvd Calendar'!$AI$1846)))</f>
        <v/>
      </c>
      <c r="CV135" s="85">
        <f>IF(AH135="","",IF(ISNUMBER('Dvd Calendar'!$AJ$1846)=FALSE,"",IF((Summary!$C$13="N")*('Dvd Calendar'!$AJ$1850='Field Check'!$C$25)&gt;0,"",'Dvd Calendar'!$AJ$1846)))</f>
        <v/>
      </c>
      <c r="CW135" s="85">
        <f>IF(AI135="","",IF(ISNUMBER('Dvd Calendar'!$AK$1846)=FALSE,"",IF((Summary!$C$13="N")*('Dvd Calendar'!$AK$1850='Field Check'!$C$25)&gt;0,"",'Dvd Calendar'!$AK$1846)))</f>
        <v/>
      </c>
      <c r="CX135" s="85">
        <f>IF(AJ135="","",IF(ISNUMBER('Dvd Calendar'!$AL$1846)=FALSE,"",IF((Summary!$C$13="N")*('Dvd Calendar'!$AL$1850='Field Check'!$C$25)&gt;0,"",'Dvd Calendar'!$AL$1846)))</f>
        <v/>
      </c>
      <c r="CY135" s="85">
        <f>IF(AK135="","",IF(ISNUMBER('Dvd Calendar'!$AM$1846)=FALSE,"",IF((Summary!$C$13="N")*('Dvd Calendar'!$AM$1850='Field Check'!$C$25)&gt;0,"",'Dvd Calendar'!$AM$1846)))</f>
        <v/>
      </c>
      <c r="CZ135" s="85">
        <f>IF(AL135="","",IF(ISNUMBER('Dvd Calendar'!$AN$1846)=FALSE,"",IF((Summary!$C$13="N")*('Dvd Calendar'!$AN$1850='Field Check'!$C$25)&gt;0,"",'Dvd Calendar'!$AN$1846)))</f>
        <v/>
      </c>
      <c r="DA135" s="85">
        <f>IF(AM135="","",IF(ISNUMBER('Dvd Calendar'!$AO$1846)=FALSE,"",IF((Summary!$C$13="N")*('Dvd Calendar'!$AO$1850='Field Check'!$C$25)&gt;0,"",'Dvd Calendar'!$AO$1846)))</f>
        <v/>
      </c>
      <c r="DB135" s="85">
        <f>IF(AN135="","",IF(ISNUMBER('Dvd Calendar'!$AP$1846)=FALSE,"",IF((Summary!$C$13="N")*('Dvd Calendar'!$AP$1850='Field Check'!$C$25)&gt;0,"",'Dvd Calendar'!$AP$1846)))</f>
        <v/>
      </c>
      <c r="DC135" s="85">
        <f>IF(AO135="","",IF(ISNUMBER('Dvd Calendar'!$AQ$1846)=FALSE,"",IF((Summary!$C$13="N")*('Dvd Calendar'!$AQ$1850='Field Check'!$C$25)&gt;0,"",'Dvd Calendar'!$AQ$1846)))</f>
        <v/>
      </c>
      <c r="DD135" s="85">
        <f>IF(AP135="","",IF(ISNUMBER('Dvd Calendar'!$AR$1846)=FALSE,"",IF((Summary!$C$13="N")*('Dvd Calendar'!$AR$1850='Field Check'!$C$25)&gt;0,"",'Dvd Calendar'!$AR$1846)))</f>
        <v/>
      </c>
      <c r="DE135" s="85">
        <f>IF(AQ135="","",IF(ISNUMBER('Dvd Calendar'!$E$1853)=FALSE,"",IF((Summary!$C$13="N")*('Dvd Calendar'!$E$1857='Field Check'!$C$25)&gt;0,"",'Dvd Calendar'!$E$1853)))</f>
        <v/>
      </c>
      <c r="DF135" s="85">
        <f>IF(AR135="","",IF(ISNUMBER('Dvd Calendar'!$F$1853)=FALSE,"",IF((Summary!$C$13="N")*('Dvd Calendar'!$F$1857='Field Check'!$C$25)&gt;0,"",'Dvd Calendar'!$F$1853)))</f>
        <v/>
      </c>
      <c r="DG135" s="85">
        <f>IF(AS135="","",IF(ISNUMBER('Dvd Calendar'!$G$1853)=FALSE,"",IF((Summary!$C$13="N")*('Dvd Calendar'!$G$1857='Field Check'!$C$25)&gt;0,"",'Dvd Calendar'!$G$1853)))</f>
        <v/>
      </c>
      <c r="DH135" s="85">
        <f>IF(AT135="","",IF(ISNUMBER('Dvd Calendar'!$H$1853)=FALSE,"",IF((Summary!$C$13="N")*('Dvd Calendar'!$H$1857='Field Check'!$C$25)&gt;0,"",'Dvd Calendar'!$H$1853)))</f>
        <v/>
      </c>
      <c r="DI135" s="85">
        <f>IF(AU135="","",IF(ISNUMBER('Dvd Calendar'!$I$1853)=FALSE,"",IF((Summary!$C$13="N")*('Dvd Calendar'!$I$1857='Field Check'!$C$25)&gt;0,"",'Dvd Calendar'!$I$1853)))</f>
        <v/>
      </c>
      <c r="DJ135" s="85">
        <f>IF(AV135="","",IF(ISNUMBER('Dvd Calendar'!$J$1853)=FALSE,"",IF((Summary!$C$13="N")*('Dvd Calendar'!$J$1857='Field Check'!$C$25)&gt;0,"",'Dvd Calendar'!$J$1853)))</f>
        <v/>
      </c>
      <c r="DK135" s="85">
        <f>IF(AW135="","",IF(ISNUMBER('Dvd Calendar'!$K$1853)=FALSE,"",IF((Summary!$C$13="N")*('Dvd Calendar'!$K$1857='Field Check'!$C$25)&gt;0,"",'Dvd Calendar'!$K$1853)))</f>
        <v/>
      </c>
      <c r="DL135" s="85">
        <f>IF(AX135="","",IF(ISNUMBER('Dvd Calendar'!$L$1853)=FALSE,"",IF((Summary!$C$13="N")*('Dvd Calendar'!$L$1857='Field Check'!$C$25)&gt;0,"",'Dvd Calendar'!$L$1853)))</f>
        <v/>
      </c>
      <c r="DM135" s="85">
        <f>IF(AY135="","",IF(ISNUMBER('Dvd Calendar'!$M$1853)=FALSE,"",IF((Summary!$C$13="N")*('Dvd Calendar'!$M$1857='Field Check'!$C$25)&gt;0,"",'Dvd Calendar'!$M$1853)))</f>
        <v/>
      </c>
      <c r="DN135" s="85">
        <f>IF(AZ135="","",IF(ISNUMBER('Dvd Calendar'!$N$1853)=FALSE,"",IF((Summary!$C$13="N")*('Dvd Calendar'!$N$1857='Field Check'!$C$25)&gt;0,"",'Dvd Calendar'!$N$1853)))</f>
        <v/>
      </c>
      <c r="DO135" s="85">
        <f>IF(BA135="","",IF(ISNUMBER('Dvd Calendar'!$O$1853)=FALSE,"",IF((Summary!$C$13="N")*('Dvd Calendar'!$O$1857='Field Check'!$C$25)&gt;0,"",'Dvd Calendar'!$O$1853)))</f>
        <v/>
      </c>
      <c r="DP135" s="85">
        <f>IF(BB135="","",IF(ISNUMBER('Dvd Calendar'!$P$1853)=FALSE,"",IF((Summary!$C$13="N")*('Dvd Calendar'!$P$1857='Field Check'!$C$25)&gt;0,"",'Dvd Calendar'!$P$1853)))</f>
        <v/>
      </c>
      <c r="DQ135" s="85">
        <f>IF(BC135="","",IF(ISNUMBER('Dvd Calendar'!$Q$1853)=FALSE,"",IF((Summary!$C$13="N")*('Dvd Calendar'!$Q$1857='Field Check'!$C$25)&gt;0,"",'Dvd Calendar'!$Q$1853)))</f>
        <v/>
      </c>
      <c r="DR135" s="85">
        <f>IF(BD135="","",IF(ISNUMBER('Dvd Calendar'!$R$1853)=FALSE,"",IF((Summary!$C$13="N")*('Dvd Calendar'!$R$1857='Field Check'!$C$25)&gt;0,"",'Dvd Calendar'!$R$1853)))</f>
        <v/>
      </c>
      <c r="DS135" s="85">
        <f>IF(BE135="","",IF(ISNUMBER('Dvd Calendar'!$S$1853)=FALSE,"",IF((Summary!$C$13="N")*('Dvd Calendar'!$S$1857='Field Check'!$C$25)&gt;0,"",'Dvd Calendar'!$S$1853)))</f>
        <v/>
      </c>
      <c r="DT135" s="85">
        <f>IF(BF135="","",IF(ISNUMBER('Dvd Calendar'!$T$1853)=FALSE,"",IF((Summary!$C$13="N")*('Dvd Calendar'!$T$1857='Field Check'!$C$25)&gt;0,"",'Dvd Calendar'!$T$1853)))</f>
        <v/>
      </c>
      <c r="DU135" s="85">
        <f>IF(BG135="","",IF(ISNUMBER('Dvd Calendar'!$U$1853)=FALSE,"",IF((Summary!$C$13="N")*('Dvd Calendar'!$U$1857='Field Check'!$C$25)&gt;0,"",'Dvd Calendar'!$U$1853)))</f>
        <v/>
      </c>
      <c r="DV135" s="85">
        <f>IF(BH135="","",IF(ISNUMBER('Dvd Calendar'!$V$1853)=FALSE,"",IF((Summary!$C$13="N")*('Dvd Calendar'!$V$1857='Field Check'!$C$25)&gt;0,"",'Dvd Calendar'!$V$1853)))</f>
        <v/>
      </c>
      <c r="DW135" s="85">
        <f>IF(BI135="","",IF(ISNUMBER('Dvd Calendar'!$W$1853)=FALSE,"",IF((Summary!$C$13="N")*('Dvd Calendar'!$W$1857='Field Check'!$C$25)&gt;0,"",'Dvd Calendar'!$W$1853)))</f>
        <v/>
      </c>
      <c r="DX135" s="85">
        <f>IF(BJ135="","",IF(ISNUMBER('Dvd Calendar'!$X$1853)=FALSE,"",IF((Summary!$C$13="N")*('Dvd Calendar'!$X$1857='Field Check'!$C$25)&gt;0,"",'Dvd Calendar'!$X$1853)))</f>
        <v/>
      </c>
      <c r="DY135" s="85">
        <f>IF(BK135="","",IF(ISNUMBER('Dvd Calendar'!$Y$1853)=FALSE,"",IF((Summary!$C$13="N")*('Dvd Calendar'!$Y$1857='Field Check'!$C$25)&gt;0,"",'Dvd Calendar'!$Y$1853)))</f>
        <v/>
      </c>
      <c r="DZ135" s="85">
        <f>IF(BL135="","",IF(ISNUMBER('Dvd Calendar'!$Z$1853)=FALSE,"",IF((Summary!$C$13="N")*('Dvd Calendar'!$Z$1857='Field Check'!$C$25)&gt;0,"",'Dvd Calendar'!$Z$1853)))</f>
        <v/>
      </c>
      <c r="EA135" s="85">
        <f>IF(BM135="","",IF(ISNUMBER('Dvd Calendar'!$AA$1853)=FALSE,"",IF((Summary!$C$13="N")*('Dvd Calendar'!$AA$1857='Field Check'!$C$25)&gt;0,"",'Dvd Calendar'!$AA$1853)))</f>
        <v/>
      </c>
      <c r="EB135" s="85">
        <f>IF(BN135="","",IF(ISNUMBER('Dvd Calendar'!$AB$1853)=FALSE,"",IF((Summary!$C$13="N")*('Dvd Calendar'!$AB$1857='Field Check'!$C$25)&gt;0,"",'Dvd Calendar'!$AB$1853)))</f>
        <v/>
      </c>
      <c r="EC135" s="85">
        <f>IF(BO135="","",IF(ISNUMBER('Dvd Calendar'!$AC$1853)=FALSE,"",IF((Summary!$C$13="N")*('Dvd Calendar'!$AC$1857='Field Check'!$C$25)&gt;0,"",'Dvd Calendar'!$AC$1853)))</f>
        <v/>
      </c>
      <c r="EE135" s="85">
        <f>IF(BQ135="","",IFERROR(BQ135*HSTECH!$B$29*HSTECH!$G$29/HSTECH!$B$3,""))</f>
        <v/>
      </c>
      <c r="EF135" s="85">
        <f>IF(BR135="","",IFERROR(BR135*HSTECH!$B$29*HSTECH!$G$29/HSTECH!$B$3,""))</f>
        <v/>
      </c>
      <c r="EG135" s="85">
        <f>IF(BS135="","",IFERROR(BS135*HSTECH!$B$29*HSTECH!$G$29/HSTECH!$B$3,""))</f>
        <v/>
      </c>
      <c r="EH135" s="85">
        <f>IF(BT135="","",IFERROR(BT135*HSTECH!$B$29*HSTECH!$G$29/HSTECH!$B$3,""))</f>
        <v/>
      </c>
      <c r="EI135" s="85">
        <f>IF(BU135="","",IFERROR(BU135*HSTECH!$B$29*HSTECH!$G$29/HSTECH!$B$3,""))</f>
        <v/>
      </c>
      <c r="EJ135" s="85">
        <f>IF(BV135="","",IFERROR(BV135*HSTECH!$B$29*HSTECH!$G$29/HSTECH!$B$3,""))</f>
        <v/>
      </c>
      <c r="EK135" s="85">
        <f>IF(BW135="","",IFERROR(BW135*HSTECH!$B$29*HSTECH!$G$29/HSTECH!$B$3,""))</f>
        <v/>
      </c>
      <c r="EL135" s="85">
        <f>IF(BX135="","",IFERROR(BX135*HSTECH!$B$29*HSTECH!$G$29/HSTECH!$B$3,""))</f>
        <v/>
      </c>
      <c r="EM135" s="85">
        <f>IF(BY135="","",IFERROR(BY135*HSTECH!$B$29*HSTECH!$G$29/HSTECH!$B$3,""))</f>
        <v/>
      </c>
      <c r="EN135" s="85">
        <f>IF(BZ135="","",IFERROR(BZ135*HSTECH!$B$29*HSTECH!$G$29/HSTECH!$B$3,""))</f>
        <v/>
      </c>
      <c r="EO135" s="85">
        <f>IF(CA135="","",IFERROR(CA135*HSTECH!$B$29*HSTECH!$G$29/HSTECH!$B$3,""))</f>
        <v/>
      </c>
      <c r="EP135" s="85">
        <f>IF(CB135="","",IFERROR(CB135*HSTECH!$B$29*HSTECH!$G$29/HSTECH!$B$3,""))</f>
        <v/>
      </c>
      <c r="EQ135" s="85">
        <f>IF(CC135="","",IFERROR(CC135*HSTECH!$B$29*HSTECH!$G$29/HSTECH!$B$3,""))</f>
        <v/>
      </c>
      <c r="ER135" s="85">
        <f>IF(CD135="","",IFERROR(CD135*HSTECH!$B$29*HSTECH!$G$29/HSTECH!$B$3,""))</f>
        <v/>
      </c>
      <c r="ES135" s="85">
        <f>IF(CE135="","",IFERROR(CE135*HSTECH!$B$29*HSTECH!$G$29/HSTECH!$B$3,""))</f>
        <v/>
      </c>
      <c r="ET135" s="85">
        <f>IF(CF135="","",IFERROR(CF135*HSTECH!$B$29*HSTECH!$G$29/HSTECH!$B$3,""))</f>
        <v/>
      </c>
      <c r="EU135" s="85">
        <f>IF(CG135="","",IFERROR(CG135*HSTECH!$B$29*HSTECH!$G$29/HSTECH!$B$3,""))</f>
        <v/>
      </c>
      <c r="EV135" s="85">
        <f>IF(CH135="","",IFERROR(CH135*HSTECH!$B$29*HSTECH!$G$29/HSTECH!$B$3,""))</f>
        <v/>
      </c>
      <c r="EW135" s="85">
        <f>IF(CI135="","",IFERROR(CI135*HSTECH!$B$29*HSTECH!$G$29/HSTECH!$B$3,""))</f>
        <v/>
      </c>
      <c r="EX135" s="85">
        <f>IF(CJ135="","",IFERROR(CJ135*HSTECH!$B$29*HSTECH!$G$29/HSTECH!$B$3,""))</f>
        <v/>
      </c>
      <c r="EY135" s="85">
        <f>IF(CK135="","",IFERROR(CK135*HSTECH!$B$29*HSTECH!$G$29/HSTECH!$B$3,""))</f>
        <v/>
      </c>
      <c r="EZ135" s="85">
        <f>IF(CL135="","",IFERROR(CL135*HSTECH!$B$29*HSTECH!$G$29/HSTECH!$B$3,""))</f>
        <v/>
      </c>
      <c r="FA135" s="85">
        <f>IF(CM135="","",IFERROR(CM135*HSTECH!$B$29*HSTECH!$G$29/HSTECH!$B$3,""))</f>
        <v/>
      </c>
      <c r="FB135" s="85">
        <f>IF(CN135="","",IFERROR(CN135*HSTECH!$B$29*HSTECH!$G$29/HSTECH!$B$3,""))</f>
        <v/>
      </c>
      <c r="FC135" s="85">
        <f>IF(CO135="","",IFERROR(CO135*HSTECH!$B$29*HSTECH!$G$29/HSTECH!$B$3,""))</f>
        <v/>
      </c>
      <c r="FD135" s="85">
        <f>IF(CP135="","",IFERROR(CP135*HSTECH!$B$29*HSTECH!$G$29/HSTECH!$B$3,""))</f>
        <v/>
      </c>
      <c r="FE135" s="85">
        <f>IF(CQ135="","",IFERROR(CQ135*HSTECH!$B$29*HSTECH!$G$29/HSTECH!$B$3,""))</f>
        <v/>
      </c>
      <c r="FF135" s="85">
        <f>IF(CR135="","",IFERROR(CR135*HSTECH!$B$29*HSTECH!$G$29/HSTECH!$B$3,""))</f>
        <v/>
      </c>
      <c r="FG135" s="85">
        <f>IF(CS135="","",IFERROR(CS135*HSTECH!$B$29*HSTECH!$G$29/HSTECH!$B$3,""))</f>
        <v/>
      </c>
      <c r="FH135" s="85">
        <f>IF(CT135="","",IFERROR(CT135*HSTECH!$B$29*HSTECH!$G$29/HSTECH!$B$3,""))</f>
        <v/>
      </c>
      <c r="FI135" s="85">
        <f>IF(CU135="","",IFERROR(CU135*HSTECH!$B$29*HSTECH!$G$29/HSTECH!$B$3,""))</f>
        <v/>
      </c>
      <c r="FJ135" s="85">
        <f>IF(CV135="","",IFERROR(CV135*HSTECH!$B$29*HSTECH!$G$29/HSTECH!$B$3,""))</f>
        <v/>
      </c>
      <c r="FK135" s="85">
        <f>IF(CW135="","",IFERROR(CW135*HSTECH!$B$29*HSTECH!$G$29/HSTECH!$B$3,""))</f>
        <v/>
      </c>
      <c r="FL135" s="85">
        <f>IF(CX135="","",IFERROR(CX135*HSTECH!$B$29*HSTECH!$G$29/HSTECH!$B$3,""))</f>
        <v/>
      </c>
      <c r="FM135" s="85">
        <f>IF(CY135="","",IFERROR(CY135*HSTECH!$B$29*HSTECH!$G$29/HSTECH!$B$3,""))</f>
        <v/>
      </c>
      <c r="FN135" s="85">
        <f>IF(CZ135="","",IFERROR(CZ135*HSTECH!$B$29*HSTECH!$G$29/HSTECH!$B$3,""))</f>
        <v/>
      </c>
      <c r="FO135" s="85">
        <f>IF(DA135="","",IFERROR(DA135*HSTECH!$B$29*HSTECH!$G$29/HSTECH!$B$3,""))</f>
        <v/>
      </c>
      <c r="FP135" s="85">
        <f>IF(DB135="","",IFERROR(DB135*HSTECH!$B$29*HSTECH!$G$29/HSTECH!$B$3,""))</f>
        <v/>
      </c>
      <c r="FQ135" s="85">
        <f>IF(DC135="","",IFERROR(DC135*HSTECH!$B$29*HSTECH!$G$29/HSTECH!$B$3,""))</f>
        <v/>
      </c>
      <c r="FR135" s="85">
        <f>IF(DD135="","",IFERROR(DD135*HSTECH!$B$29*HSTECH!$G$29/HSTECH!$B$3,""))</f>
        <v/>
      </c>
      <c r="FS135" s="85">
        <f>IF(DE135="","",IFERROR(DE135*HSTECH!$B$29*HSTECH!$G$29/HSTECH!$B$3,""))</f>
        <v/>
      </c>
      <c r="FT135" s="85">
        <f>IF(DF135="","",IFERROR(DF135*HSTECH!$B$29*HSTECH!$G$29/HSTECH!$B$3,""))</f>
        <v/>
      </c>
      <c r="FU135" s="85">
        <f>IF(DG135="","",IFERROR(DG135*HSTECH!$B$29*HSTECH!$G$29/HSTECH!$B$3,""))</f>
        <v/>
      </c>
      <c r="FV135" s="85">
        <f>IF(DH135="","",IFERROR(DH135*HSTECH!$B$29*HSTECH!$G$29/HSTECH!$B$3,""))</f>
        <v/>
      </c>
      <c r="FW135" s="85">
        <f>IF(DI135="","",IFERROR(DI135*HSTECH!$B$29*HSTECH!$G$29/HSTECH!$B$3,""))</f>
        <v/>
      </c>
      <c r="FX135" s="85">
        <f>IF(DJ135="","",IFERROR(DJ135*HSTECH!$B$29*HSTECH!$G$29/HSTECH!$B$3,""))</f>
        <v/>
      </c>
      <c r="FY135" s="85">
        <f>IF(DK135="","",IFERROR(DK135*HSTECH!$B$29*HSTECH!$G$29/HSTECH!$B$3,""))</f>
        <v/>
      </c>
      <c r="FZ135" s="85">
        <f>IF(DL135="","",IFERROR(DL135*HSTECH!$B$29*HSTECH!$G$29/HSTECH!$B$3,""))</f>
        <v/>
      </c>
      <c r="GA135" s="85">
        <f>IF(DM135="","",IFERROR(DM135*HSTECH!$B$29*HSTECH!$G$29/HSTECH!$B$3,""))</f>
        <v/>
      </c>
      <c r="GB135" s="85">
        <f>IF(DN135="","",IFERROR(DN135*HSTECH!$B$29*HSTECH!$G$29/HSTECH!$B$3,""))</f>
        <v/>
      </c>
      <c r="GC135" s="85">
        <f>IF(DO135="","",IFERROR(DO135*HSTECH!$B$29*HSTECH!$G$29/HSTECH!$B$3,""))</f>
        <v/>
      </c>
      <c r="GD135" s="85">
        <f>IF(DP135="","",IFERROR(DP135*HSTECH!$B$29*HSTECH!$G$29/HSTECH!$B$3,""))</f>
        <v/>
      </c>
      <c r="GE135" s="85">
        <f>IF(DQ135="","",IFERROR(DQ135*HSTECH!$B$29*HSTECH!$G$29/HSTECH!$B$3,""))</f>
        <v/>
      </c>
      <c r="GF135" s="85">
        <f>IF(DR135="","",IFERROR(DR135*HSTECH!$B$29*HSTECH!$G$29/HSTECH!$B$3,""))</f>
        <v/>
      </c>
      <c r="GG135" s="85">
        <f>IF(DS135="","",IFERROR(DS135*HSTECH!$B$29*HSTECH!$G$29/HSTECH!$B$3,""))</f>
        <v/>
      </c>
      <c r="GH135" s="85">
        <f>IF(DT135="","",IFERROR(DT135*HSTECH!$B$29*HSTECH!$G$29/HSTECH!$B$3,""))</f>
        <v/>
      </c>
      <c r="GI135" s="85">
        <f>IF(DU135="","",IFERROR(DU135*HSTECH!$B$29*HSTECH!$G$29/HSTECH!$B$3,""))</f>
        <v/>
      </c>
      <c r="GJ135" s="85">
        <f>IF(DV135="","",IFERROR(DV135*HSTECH!$B$29*HSTECH!$G$29/HSTECH!$B$3,""))</f>
        <v/>
      </c>
      <c r="GK135" s="85">
        <f>IF(DW135="","",IFERROR(DW135*HSTECH!$B$29*HSTECH!$G$29/HSTECH!$B$3,""))</f>
        <v/>
      </c>
      <c r="GL135" s="85">
        <f>IF(DX135="","",IFERROR(DX135*HSTECH!$B$29*HSTECH!$G$29/HSTECH!$B$3,""))</f>
        <v/>
      </c>
      <c r="GM135" s="85">
        <f>IF(DY135="","",IFERROR(DY135*HSTECH!$B$29*HSTECH!$G$29/HSTECH!$B$3,""))</f>
        <v/>
      </c>
      <c r="GN135" s="85">
        <f>IF(DZ135="","",IFERROR(DZ135*HSTECH!$B$29*HSTECH!$G$29/HSTECH!$B$3,""))</f>
        <v/>
      </c>
      <c r="GO135" s="85">
        <f>IF(EA135="","",IFERROR(EA135*HSTECH!$B$29*HSTECH!$G$29/HSTECH!$B$3,""))</f>
        <v/>
      </c>
      <c r="GP135" s="85">
        <f>IF(EB135="","",IFERROR(EB135*HSTECH!$B$29*HSTECH!$G$29/HSTECH!$B$3,""))</f>
        <v/>
      </c>
      <c r="GQ135" s="85">
        <f>IF(EC135="","",IFERROR(EC135*HSTECH!$B$29*HSTECH!$G$29/HSTECH!$B$3,""))</f>
        <v/>
      </c>
    </row>
    <row r="136">
      <c r="B136" s="2">
        <f>IF(HSTECH!$C$30="","",HSTECH!$C$30)</f>
        <v/>
      </c>
      <c r="C136" s="41">
        <f>IF(N('Dvd Calendar'!$E$1860)=0,"",IF(('Dvd Calendar'!$E$1860&gt;=MIN(DATE(Summary!$C$12,1,1),Summary!$C$11))*('Dvd Calendar'!$E$1860&lt;=MAX(DATE(Summary!$C$12,12,31),Summary!$C$15))*('Dvd Calendar'!$E$1860&lt;=Summary!$C$11)=0,"",'Dvd Calendar'!$E$1860*1000000000+ISNUMBER('Dvd Calendar'!$E$1861)*100000000+('Dvd Calendar'!$E$1865='Field Check'!$C$25)*10000000+(N('Dvd Calendar'!$E$1859)&gt;0)*1000000+24*1000+1))</f>
        <v/>
      </c>
      <c r="D136" s="41">
        <f>IF(N('Dvd Calendar'!$F$1860)=0,"",IF(('Dvd Calendar'!$F$1860&gt;=MIN(DATE(Summary!$C$12,1,1),Summary!$C$11))*('Dvd Calendar'!$F$1860&lt;=MAX(DATE(Summary!$C$12,12,31),Summary!$C$15))*('Dvd Calendar'!$F$1860&lt;=Summary!$C$11)=0,"",'Dvd Calendar'!$F$1860*1000000000+ISNUMBER('Dvd Calendar'!$F$1861)*100000000+('Dvd Calendar'!$F$1865='Field Check'!$C$25)*10000000+(N('Dvd Calendar'!$F$1859)&gt;0)*1000000+24*1000+2))</f>
        <v/>
      </c>
      <c r="E136" s="41">
        <f>IF(N('Dvd Calendar'!$G$1860)=0,"",IF(('Dvd Calendar'!$G$1860&gt;=MIN(DATE(Summary!$C$12,1,1),Summary!$C$11))*('Dvd Calendar'!$G$1860&lt;=MAX(DATE(Summary!$C$12,12,31),Summary!$C$15))*('Dvd Calendar'!$G$1860&lt;=Summary!$C$11)=0,"",'Dvd Calendar'!$G$1860*1000000000+ISNUMBER('Dvd Calendar'!$G$1861)*100000000+('Dvd Calendar'!$G$1865='Field Check'!$C$25)*10000000+(N('Dvd Calendar'!$G$1859)&gt;0)*1000000+24*1000+3))</f>
        <v/>
      </c>
      <c r="F136" s="41">
        <f>IF(N('Dvd Calendar'!$H$1860)=0,"",IF(('Dvd Calendar'!$H$1860&gt;=MIN(DATE(Summary!$C$12,1,1),Summary!$C$11))*('Dvd Calendar'!$H$1860&lt;=MAX(DATE(Summary!$C$12,12,31),Summary!$C$15))*('Dvd Calendar'!$H$1860&lt;=Summary!$C$11)=0,"",'Dvd Calendar'!$H$1860*1000000000+ISNUMBER('Dvd Calendar'!$H$1861)*100000000+('Dvd Calendar'!$H$1865='Field Check'!$C$25)*10000000+(N('Dvd Calendar'!$H$1859)&gt;0)*1000000+24*1000+4))</f>
        <v/>
      </c>
      <c r="G136" s="41">
        <f>IF(N('Dvd Calendar'!$I$1860)=0,"",IF(('Dvd Calendar'!$I$1860&gt;=MIN(DATE(Summary!$C$12,1,1),Summary!$C$11))*('Dvd Calendar'!$I$1860&lt;=MAX(DATE(Summary!$C$12,12,31),Summary!$C$15))*('Dvd Calendar'!$I$1860&lt;=Summary!$C$11)=0,"",'Dvd Calendar'!$I$1860*1000000000+ISNUMBER('Dvd Calendar'!$I$1861)*100000000+('Dvd Calendar'!$I$1865='Field Check'!$C$25)*10000000+(N('Dvd Calendar'!$I$1859)&gt;0)*1000000+24*1000+5))</f>
        <v/>
      </c>
      <c r="H136" s="41">
        <f>IF(N('Dvd Calendar'!$J$1860)=0,"",IF(('Dvd Calendar'!$J$1860&gt;=MIN(DATE(Summary!$C$12,1,1),Summary!$C$11))*('Dvd Calendar'!$J$1860&lt;=MAX(DATE(Summary!$C$12,12,31),Summary!$C$15))*('Dvd Calendar'!$J$1860&lt;=Summary!$C$11)=0,"",'Dvd Calendar'!$J$1860*1000000000+ISNUMBER('Dvd Calendar'!$J$1861)*100000000+('Dvd Calendar'!$J$1865='Field Check'!$C$25)*10000000+(N('Dvd Calendar'!$J$1859)&gt;0)*1000000+24*1000+6))</f>
        <v/>
      </c>
      <c r="I136" s="41">
        <f>IF(N('Dvd Calendar'!$K$1860)=0,"",IF(('Dvd Calendar'!$K$1860&gt;=MIN(DATE(Summary!$C$12,1,1),Summary!$C$11))*('Dvd Calendar'!$K$1860&lt;=MAX(DATE(Summary!$C$12,12,31),Summary!$C$15))*('Dvd Calendar'!$K$1860&lt;=Summary!$C$11)=0,"",'Dvd Calendar'!$K$1860*1000000000+ISNUMBER('Dvd Calendar'!$K$1861)*100000000+('Dvd Calendar'!$K$1865='Field Check'!$C$25)*10000000+(N('Dvd Calendar'!$K$1859)&gt;0)*1000000+24*1000+7))</f>
        <v/>
      </c>
      <c r="J136" s="41">
        <f>IF(N('Dvd Calendar'!$L$1860)=0,"",IF(('Dvd Calendar'!$L$1860&gt;=MIN(DATE(Summary!$C$12,1,1),Summary!$C$11))*('Dvd Calendar'!$L$1860&lt;=MAX(DATE(Summary!$C$12,12,31),Summary!$C$15))*('Dvd Calendar'!$L$1860&lt;=Summary!$C$11)=0,"",'Dvd Calendar'!$L$1860*1000000000+ISNUMBER('Dvd Calendar'!$L$1861)*100000000+('Dvd Calendar'!$L$1865='Field Check'!$C$25)*10000000+(N('Dvd Calendar'!$L$1859)&gt;0)*1000000+24*1000+8))</f>
        <v/>
      </c>
      <c r="K136" s="41">
        <f>IF(N('Dvd Calendar'!$M$1860)=0,"",IF(('Dvd Calendar'!$M$1860&gt;=MIN(DATE(Summary!$C$12,1,1),Summary!$C$11))*('Dvd Calendar'!$M$1860&lt;=MAX(DATE(Summary!$C$12,12,31),Summary!$C$15))*('Dvd Calendar'!$M$1860&lt;=Summary!$C$11)=0,"",'Dvd Calendar'!$M$1860*1000000000+ISNUMBER('Dvd Calendar'!$M$1861)*100000000+('Dvd Calendar'!$M$1865='Field Check'!$C$25)*10000000+(N('Dvd Calendar'!$M$1859)&gt;0)*1000000+24*1000+9))</f>
        <v/>
      </c>
      <c r="L136" s="41">
        <f>IF(N('Dvd Calendar'!$N$1860)=0,"",IF(('Dvd Calendar'!$N$1860&gt;=MIN(DATE(Summary!$C$12,1,1),Summary!$C$11))*('Dvd Calendar'!$N$1860&lt;=MAX(DATE(Summary!$C$12,12,31),Summary!$C$15))*('Dvd Calendar'!$N$1860&lt;=Summary!$C$11)=0,"",'Dvd Calendar'!$N$1860*1000000000+ISNUMBER('Dvd Calendar'!$N$1861)*100000000+('Dvd Calendar'!$N$1865='Field Check'!$C$25)*10000000+(N('Dvd Calendar'!$N$1859)&gt;0)*1000000+24*1000+10))</f>
        <v/>
      </c>
      <c r="M136" s="41">
        <f>IF(N('Dvd Calendar'!$O$1860)=0,"",IF(('Dvd Calendar'!$O$1860&gt;=MIN(DATE(Summary!$C$12,1,1),Summary!$C$11))*('Dvd Calendar'!$O$1860&lt;=MAX(DATE(Summary!$C$12,12,31),Summary!$C$15))*('Dvd Calendar'!$O$1860&lt;=Summary!$C$11)=0,"",'Dvd Calendar'!$O$1860*1000000000+ISNUMBER('Dvd Calendar'!$O$1861)*100000000+('Dvd Calendar'!$O$1865='Field Check'!$C$25)*10000000+(N('Dvd Calendar'!$O$1859)&gt;0)*1000000+24*1000+11))</f>
        <v/>
      </c>
      <c r="N136" s="41">
        <f>IF(N('Dvd Calendar'!$P$1860)=0,"",IF(('Dvd Calendar'!$P$1860&gt;=MIN(DATE(Summary!$C$12,1,1),Summary!$C$11))*('Dvd Calendar'!$P$1860&lt;=MAX(DATE(Summary!$C$12,12,31),Summary!$C$15))*('Dvd Calendar'!$P$1860&lt;=Summary!$C$11)=0,"",'Dvd Calendar'!$P$1860*1000000000+ISNUMBER('Dvd Calendar'!$P$1861)*100000000+('Dvd Calendar'!$P$1865='Field Check'!$C$25)*10000000+(N('Dvd Calendar'!$P$1859)&gt;0)*1000000+24*1000+12))</f>
        <v/>
      </c>
      <c r="O136" s="41">
        <f>IF(N('Dvd Calendar'!$Q$1860)=0,"",IF(('Dvd Calendar'!$Q$1860&gt;=MIN(DATE(Summary!$C$12,1,1),Summary!$C$11))*('Dvd Calendar'!$Q$1860&lt;=MAX(DATE(Summary!$C$12,12,31),Summary!$C$15))*('Dvd Calendar'!$Q$1860&lt;=Summary!$C$11)=0,"",'Dvd Calendar'!$Q$1860*1000000000+ISNUMBER('Dvd Calendar'!$Q$1861)*100000000+('Dvd Calendar'!$Q$1865='Field Check'!$C$25)*10000000+(N('Dvd Calendar'!$Q$1859)&gt;0)*1000000+24*1000+13))</f>
        <v/>
      </c>
      <c r="P136" s="41">
        <f>IF(N('Dvd Calendar'!$R$1860)=0,"",IF(('Dvd Calendar'!$R$1860&gt;=MIN(DATE(Summary!$C$12,1,1),Summary!$C$11))*('Dvd Calendar'!$R$1860&lt;=MAX(DATE(Summary!$C$12,12,31),Summary!$C$15))*('Dvd Calendar'!$R$1860&lt;=Summary!$C$11)=0,"",'Dvd Calendar'!$R$1860*1000000000+ISNUMBER('Dvd Calendar'!$R$1861)*100000000+('Dvd Calendar'!$R$1865='Field Check'!$C$25)*10000000+(N('Dvd Calendar'!$R$1859)&gt;0)*1000000+24*1000+14))</f>
        <v/>
      </c>
      <c r="Q136" s="41">
        <f>IF(N('Dvd Calendar'!$S$1860)=0,"",IF(('Dvd Calendar'!$S$1860&gt;=MIN(DATE(Summary!$C$12,1,1),Summary!$C$11))*('Dvd Calendar'!$S$1860&lt;=MAX(DATE(Summary!$C$12,12,31),Summary!$C$15))*('Dvd Calendar'!$S$1860&lt;=Summary!$C$11)=0,"",'Dvd Calendar'!$S$1860*1000000000+ISNUMBER('Dvd Calendar'!$S$1861)*100000000+('Dvd Calendar'!$S$1865='Field Check'!$C$25)*10000000+(N('Dvd Calendar'!$S$1859)&gt;0)*1000000+24*1000+15))</f>
        <v/>
      </c>
      <c r="R136" s="41">
        <f>IF(N('Dvd Calendar'!$T$1860)=0,"",IF(('Dvd Calendar'!$T$1860&gt;=MIN(DATE(Summary!$C$12,1,1),Summary!$C$11))*('Dvd Calendar'!$T$1860&lt;=MAX(DATE(Summary!$C$12,12,31),Summary!$C$15))*('Dvd Calendar'!$T$1860&lt;=Summary!$C$11)=0,"",'Dvd Calendar'!$T$1860*1000000000+ISNUMBER('Dvd Calendar'!$T$1861)*100000000+('Dvd Calendar'!$T$1865='Field Check'!$C$25)*10000000+(N('Dvd Calendar'!$T$1859)&gt;0)*1000000+24*1000+16))</f>
        <v/>
      </c>
      <c r="S136" s="41">
        <f>IF(N('Dvd Calendar'!$U$1860)=0,"",IF(('Dvd Calendar'!$U$1860&gt;=MIN(DATE(Summary!$C$12,1,1),Summary!$C$11))*('Dvd Calendar'!$U$1860&lt;=MAX(DATE(Summary!$C$12,12,31),Summary!$C$15))*('Dvd Calendar'!$U$1860&lt;=Summary!$C$11)=0,"",'Dvd Calendar'!$U$1860*1000000000+ISNUMBER('Dvd Calendar'!$U$1861)*100000000+('Dvd Calendar'!$U$1865='Field Check'!$C$25)*10000000+(N('Dvd Calendar'!$U$1859)&gt;0)*1000000+24*1000+17))</f>
        <v/>
      </c>
      <c r="T136" s="41">
        <f>IF(N('Dvd Calendar'!$V$1860)=0,"",IF(('Dvd Calendar'!$V$1860&gt;=MIN(DATE(Summary!$C$12,1,1),Summary!$C$11))*('Dvd Calendar'!$V$1860&lt;=MAX(DATE(Summary!$C$12,12,31),Summary!$C$15))*('Dvd Calendar'!$V$1860&lt;=Summary!$C$11)=0,"",'Dvd Calendar'!$V$1860*1000000000+ISNUMBER('Dvd Calendar'!$V$1861)*100000000+('Dvd Calendar'!$V$1865='Field Check'!$C$25)*10000000+(N('Dvd Calendar'!$V$1859)&gt;0)*1000000+24*1000+18))</f>
        <v/>
      </c>
      <c r="U136" s="41">
        <f>IF(N('Dvd Calendar'!$W$1860)=0,"",IF(('Dvd Calendar'!$W$1860&gt;=MIN(DATE(Summary!$C$12,1,1),Summary!$C$11))*('Dvd Calendar'!$W$1860&lt;=MAX(DATE(Summary!$C$12,12,31),Summary!$C$15))*('Dvd Calendar'!$W$1860&lt;=Summary!$C$11)=0,"",'Dvd Calendar'!$W$1860*1000000000+ISNUMBER('Dvd Calendar'!$W$1861)*100000000+('Dvd Calendar'!$W$1865='Field Check'!$C$25)*10000000+(N('Dvd Calendar'!$W$1859)&gt;0)*1000000+24*1000+19))</f>
        <v/>
      </c>
      <c r="V136" s="41">
        <f>IF(N('Dvd Calendar'!$X$1860)=0,"",IF(('Dvd Calendar'!$X$1860&gt;=MIN(DATE(Summary!$C$12,1,1),Summary!$C$11))*('Dvd Calendar'!$X$1860&lt;=MAX(DATE(Summary!$C$12,12,31),Summary!$C$15))*('Dvd Calendar'!$X$1860&lt;=Summary!$C$11)=0,"",'Dvd Calendar'!$X$1860*1000000000+ISNUMBER('Dvd Calendar'!$X$1861)*100000000+('Dvd Calendar'!$X$1865='Field Check'!$C$25)*10000000+(N('Dvd Calendar'!$X$1859)&gt;0)*1000000+24*1000+20))</f>
        <v/>
      </c>
      <c r="W136" s="41">
        <f>IF(N('Dvd Calendar'!$Y$1860)=0,"",IF(('Dvd Calendar'!$Y$1860&gt;=MIN(DATE(Summary!$C$12,1,1),Summary!$C$11))*('Dvd Calendar'!$Y$1860&lt;=MAX(DATE(Summary!$C$12,12,31),Summary!$C$15))*('Dvd Calendar'!$Y$1860&lt;=Summary!$C$11)=0,"",'Dvd Calendar'!$Y$1860*1000000000+ISNUMBER('Dvd Calendar'!$Y$1861)*100000000+('Dvd Calendar'!$Y$1865='Field Check'!$C$25)*10000000+(N('Dvd Calendar'!$Y$1859)&gt;0)*1000000+24*1000+21))</f>
        <v/>
      </c>
      <c r="X136" s="41">
        <f>IF(N('Dvd Calendar'!$Z$1860)=0,"",IF(('Dvd Calendar'!$Z$1860&gt;=MIN(DATE(Summary!$C$12,1,1),Summary!$C$11))*('Dvd Calendar'!$Z$1860&lt;=MAX(DATE(Summary!$C$12,12,31),Summary!$C$15))*('Dvd Calendar'!$Z$1860&lt;=Summary!$C$11)=0,"",'Dvd Calendar'!$Z$1860*1000000000+ISNUMBER('Dvd Calendar'!$Z$1861)*100000000+('Dvd Calendar'!$Z$1865='Field Check'!$C$25)*10000000+(N('Dvd Calendar'!$Z$1859)&gt;0)*1000000+24*1000+22))</f>
        <v/>
      </c>
      <c r="Y136" s="41">
        <f>IF(N('Dvd Calendar'!$AA$1860)=0,"",IF(('Dvd Calendar'!$AA$1860&gt;=MIN(DATE(Summary!$C$12,1,1),Summary!$C$11))*('Dvd Calendar'!$AA$1860&lt;=MAX(DATE(Summary!$C$12,12,31),Summary!$C$15))*('Dvd Calendar'!$AA$1860&lt;=Summary!$C$11)=0,"",'Dvd Calendar'!$AA$1860*1000000000+ISNUMBER('Dvd Calendar'!$AA$1861)*100000000+('Dvd Calendar'!$AA$1865='Field Check'!$C$25)*10000000+(N('Dvd Calendar'!$AA$1859)&gt;0)*1000000+24*1000+23))</f>
        <v/>
      </c>
      <c r="Z136" s="41">
        <f>IF(N('Dvd Calendar'!$AB$1860)=0,"",IF(('Dvd Calendar'!$AB$1860&gt;=MIN(DATE(Summary!$C$12,1,1),Summary!$C$11))*('Dvd Calendar'!$AB$1860&lt;=MAX(DATE(Summary!$C$12,12,31),Summary!$C$15))*('Dvd Calendar'!$AB$1860&lt;=Summary!$C$11)=0,"",'Dvd Calendar'!$AB$1860*1000000000+ISNUMBER('Dvd Calendar'!$AB$1861)*100000000+('Dvd Calendar'!$AB$1865='Field Check'!$C$25)*10000000+(N('Dvd Calendar'!$AB$1859)&gt;0)*1000000+24*1000+24))</f>
        <v/>
      </c>
      <c r="AA136" s="41">
        <f>IF(N('Dvd Calendar'!$AC$1860)=0,"",IF(('Dvd Calendar'!$AC$1860&gt;=MIN(DATE(Summary!$C$12,1,1),Summary!$C$11))*('Dvd Calendar'!$AC$1860&lt;=MAX(DATE(Summary!$C$12,12,31),Summary!$C$15))*('Dvd Calendar'!$AC$1860&lt;=Summary!$C$11)=0,"",'Dvd Calendar'!$AC$1860*1000000000+ISNUMBER('Dvd Calendar'!$AC$1861)*100000000+('Dvd Calendar'!$AC$1865='Field Check'!$C$25)*10000000+(N('Dvd Calendar'!$AC$1859)&gt;0)*1000000+24*1000+25))</f>
        <v/>
      </c>
      <c r="AB136" s="41">
        <f>IF(N('Dvd Calendar'!$AD$1860)=0,"",IF(('Dvd Calendar'!$AD$1860&gt;=MIN(DATE(Summary!$C$12,1,1),Summary!$C$11))*('Dvd Calendar'!$AD$1860&lt;=MAX(DATE(Summary!$C$12,12,31),Summary!$C$15))*('Dvd Calendar'!$AD$1860&lt;=Summary!$C$11)=0,"",'Dvd Calendar'!$AD$1860*1000000000+ISNUMBER('Dvd Calendar'!$AD$1861)*100000000+('Dvd Calendar'!$AD$1865='Field Check'!$C$25)*10000000+(N('Dvd Calendar'!$AD$1859)&gt;0)*1000000+24*1000+26))</f>
        <v/>
      </c>
      <c r="AC136" s="41">
        <f>IF(N('Dvd Calendar'!$AE$1860)=0,"",IF(('Dvd Calendar'!$AE$1860&gt;=MIN(DATE(Summary!$C$12,1,1),Summary!$C$11))*('Dvd Calendar'!$AE$1860&lt;=MAX(DATE(Summary!$C$12,12,31),Summary!$C$15))*('Dvd Calendar'!$AE$1860&lt;=Summary!$C$11)=0,"",'Dvd Calendar'!$AE$1860*1000000000+ISNUMBER('Dvd Calendar'!$AE$1861)*100000000+('Dvd Calendar'!$AE$1865='Field Check'!$C$25)*10000000+(N('Dvd Calendar'!$AE$1859)&gt;0)*1000000+24*1000+27))</f>
        <v/>
      </c>
      <c r="AD136" s="41">
        <f>IF(N('Dvd Calendar'!$AF$1860)=0,"",IF(('Dvd Calendar'!$AF$1860&gt;=MIN(DATE(Summary!$C$12,1,1),Summary!$C$11))*('Dvd Calendar'!$AF$1860&lt;=MAX(DATE(Summary!$C$12,12,31),Summary!$C$15))*('Dvd Calendar'!$AF$1860&lt;=Summary!$C$11)=0,"",'Dvd Calendar'!$AF$1860*1000000000+ISNUMBER('Dvd Calendar'!$AF$1861)*100000000+('Dvd Calendar'!$AF$1865='Field Check'!$C$25)*10000000+(N('Dvd Calendar'!$AF$1859)&gt;0)*1000000+24*1000+28))</f>
        <v/>
      </c>
      <c r="AE136" s="41">
        <f>IF(N('Dvd Calendar'!$AG$1860)=0,"",IF(('Dvd Calendar'!$AG$1860&gt;=MIN(DATE(Summary!$C$12,1,1),Summary!$C$11))*('Dvd Calendar'!$AG$1860&lt;=MAX(DATE(Summary!$C$12,12,31),Summary!$C$15))*('Dvd Calendar'!$AG$1860&lt;=Summary!$C$11)=0,"",'Dvd Calendar'!$AG$1860*1000000000+ISNUMBER('Dvd Calendar'!$AG$1861)*100000000+('Dvd Calendar'!$AG$1865='Field Check'!$C$25)*10000000+(N('Dvd Calendar'!$AG$1859)&gt;0)*1000000+24*1000+29))</f>
        <v/>
      </c>
      <c r="AF136" s="41">
        <f>IF(N('Dvd Calendar'!$AH$1860)=0,"",IF(('Dvd Calendar'!$AH$1860&gt;=MIN(DATE(Summary!$C$12,1,1),Summary!$C$11))*('Dvd Calendar'!$AH$1860&lt;=MAX(DATE(Summary!$C$12,12,31),Summary!$C$15))*('Dvd Calendar'!$AH$1860&lt;=Summary!$C$11)=0,"",'Dvd Calendar'!$AH$1860*1000000000+ISNUMBER('Dvd Calendar'!$AH$1861)*100000000+('Dvd Calendar'!$AH$1865='Field Check'!$C$25)*10000000+(N('Dvd Calendar'!$AH$1859)&gt;0)*1000000+24*1000+30))</f>
        <v/>
      </c>
      <c r="AG136" s="41">
        <f>IF(N('Dvd Calendar'!$AI$1860)=0,"",IF(('Dvd Calendar'!$AI$1860&gt;=MIN(DATE(Summary!$C$12,1,1),Summary!$C$11))*('Dvd Calendar'!$AI$1860&lt;=MAX(DATE(Summary!$C$12,12,31),Summary!$C$15))*('Dvd Calendar'!$AI$1860&lt;=Summary!$C$11)=0,"",'Dvd Calendar'!$AI$1860*1000000000+ISNUMBER('Dvd Calendar'!$AI$1861)*100000000+('Dvd Calendar'!$AI$1865='Field Check'!$C$25)*10000000+(N('Dvd Calendar'!$AI$1859)&gt;0)*1000000+24*1000+31))</f>
        <v/>
      </c>
      <c r="AH136" s="41">
        <f>IF(N('Dvd Calendar'!$AJ$1860)=0,"",IF(('Dvd Calendar'!$AJ$1860&gt;=MIN(DATE(Summary!$C$12,1,1),Summary!$C$11))*('Dvd Calendar'!$AJ$1860&lt;=MAX(DATE(Summary!$C$12,12,31),Summary!$C$15))*('Dvd Calendar'!$AJ$1860&lt;=Summary!$C$11)=0,"",'Dvd Calendar'!$AJ$1860*1000000000+ISNUMBER('Dvd Calendar'!$AJ$1861)*100000000+('Dvd Calendar'!$AJ$1865='Field Check'!$C$25)*10000000+(N('Dvd Calendar'!$AJ$1859)&gt;0)*1000000+24*1000+32))</f>
        <v/>
      </c>
      <c r="AI136" s="41">
        <f>IF(N('Dvd Calendar'!$AK$1860)=0,"",IF(('Dvd Calendar'!$AK$1860&gt;=MIN(DATE(Summary!$C$12,1,1),Summary!$C$11))*('Dvd Calendar'!$AK$1860&lt;=MAX(DATE(Summary!$C$12,12,31),Summary!$C$15))*('Dvd Calendar'!$AK$1860&lt;=Summary!$C$11)=0,"",'Dvd Calendar'!$AK$1860*1000000000+ISNUMBER('Dvd Calendar'!$AK$1861)*100000000+('Dvd Calendar'!$AK$1865='Field Check'!$C$25)*10000000+(N('Dvd Calendar'!$AK$1859)&gt;0)*1000000+24*1000+33))</f>
        <v/>
      </c>
      <c r="AJ136" s="41">
        <f>IF(N('Dvd Calendar'!$AL$1860)=0,"",IF(('Dvd Calendar'!$AL$1860&gt;=MIN(DATE(Summary!$C$12,1,1),Summary!$C$11))*('Dvd Calendar'!$AL$1860&lt;=MAX(DATE(Summary!$C$12,12,31),Summary!$C$15))*('Dvd Calendar'!$AL$1860&lt;=Summary!$C$11)=0,"",'Dvd Calendar'!$AL$1860*1000000000+ISNUMBER('Dvd Calendar'!$AL$1861)*100000000+('Dvd Calendar'!$AL$1865='Field Check'!$C$25)*10000000+(N('Dvd Calendar'!$AL$1859)&gt;0)*1000000+24*1000+34))</f>
        <v/>
      </c>
      <c r="AK136" s="41">
        <f>IF(N('Dvd Calendar'!$AM$1860)=0,"",IF(('Dvd Calendar'!$AM$1860&gt;=MIN(DATE(Summary!$C$12,1,1),Summary!$C$11))*('Dvd Calendar'!$AM$1860&lt;=MAX(DATE(Summary!$C$12,12,31),Summary!$C$15))*('Dvd Calendar'!$AM$1860&lt;=Summary!$C$11)=0,"",'Dvd Calendar'!$AM$1860*1000000000+ISNUMBER('Dvd Calendar'!$AM$1861)*100000000+('Dvd Calendar'!$AM$1865='Field Check'!$C$25)*10000000+(N('Dvd Calendar'!$AM$1859)&gt;0)*1000000+24*1000+35))</f>
        <v/>
      </c>
      <c r="AL136" s="41">
        <f>IF(N('Dvd Calendar'!$AN$1860)=0,"",IF(('Dvd Calendar'!$AN$1860&gt;=MIN(DATE(Summary!$C$12,1,1),Summary!$C$11))*('Dvd Calendar'!$AN$1860&lt;=MAX(DATE(Summary!$C$12,12,31),Summary!$C$15))*('Dvd Calendar'!$AN$1860&lt;=Summary!$C$11)=0,"",'Dvd Calendar'!$AN$1860*1000000000+ISNUMBER('Dvd Calendar'!$AN$1861)*100000000+('Dvd Calendar'!$AN$1865='Field Check'!$C$25)*10000000+(N('Dvd Calendar'!$AN$1859)&gt;0)*1000000+24*1000+36))</f>
        <v/>
      </c>
      <c r="AM136" s="41">
        <f>IF(N('Dvd Calendar'!$AO$1860)=0,"",IF(('Dvd Calendar'!$AO$1860&gt;=MIN(DATE(Summary!$C$12,1,1),Summary!$C$11))*('Dvd Calendar'!$AO$1860&lt;=MAX(DATE(Summary!$C$12,12,31),Summary!$C$15))*('Dvd Calendar'!$AO$1860&lt;=Summary!$C$11)=0,"",'Dvd Calendar'!$AO$1860*1000000000+ISNUMBER('Dvd Calendar'!$AO$1861)*100000000+('Dvd Calendar'!$AO$1865='Field Check'!$C$25)*10000000+(N('Dvd Calendar'!$AO$1859)&gt;0)*1000000+24*1000+37))</f>
        <v/>
      </c>
      <c r="AN136" s="41">
        <f>IF(N('Dvd Calendar'!$AP$1860)=0,"",IF(('Dvd Calendar'!$AP$1860&gt;=MIN(DATE(Summary!$C$12,1,1),Summary!$C$11))*('Dvd Calendar'!$AP$1860&lt;=MAX(DATE(Summary!$C$12,12,31),Summary!$C$15))*('Dvd Calendar'!$AP$1860&lt;=Summary!$C$11)=0,"",'Dvd Calendar'!$AP$1860*1000000000+ISNUMBER('Dvd Calendar'!$AP$1861)*100000000+('Dvd Calendar'!$AP$1865='Field Check'!$C$25)*10000000+(N('Dvd Calendar'!$AP$1859)&gt;0)*1000000+24*1000+38))</f>
        <v/>
      </c>
      <c r="AO136" s="41">
        <f>IF(N('Dvd Calendar'!$AQ$1860)=0,"",IF(('Dvd Calendar'!$AQ$1860&gt;=MIN(DATE(Summary!$C$12,1,1),Summary!$C$11))*('Dvd Calendar'!$AQ$1860&lt;=MAX(DATE(Summary!$C$12,12,31),Summary!$C$15))*('Dvd Calendar'!$AQ$1860&lt;=Summary!$C$11)=0,"",'Dvd Calendar'!$AQ$1860*1000000000+ISNUMBER('Dvd Calendar'!$AQ$1861)*100000000+('Dvd Calendar'!$AQ$1865='Field Check'!$C$25)*10000000+(N('Dvd Calendar'!$AQ$1859)&gt;0)*1000000+24*1000+39))</f>
        <v/>
      </c>
      <c r="AP136" s="41">
        <f>IF(N('Dvd Calendar'!$AR$1860)=0,"",IF(('Dvd Calendar'!$AR$1860&gt;=MIN(DATE(Summary!$C$12,1,1),Summary!$C$11))*('Dvd Calendar'!$AR$1860&lt;=MAX(DATE(Summary!$C$12,12,31),Summary!$C$15))*('Dvd Calendar'!$AR$1860&lt;=Summary!$C$11)=0,"",'Dvd Calendar'!$AR$1860*1000000000+ISNUMBER('Dvd Calendar'!$AR$1861)*100000000+('Dvd Calendar'!$AR$1865='Field Check'!$C$25)*10000000+(N('Dvd Calendar'!$AR$1859)&gt;0)*1000000+24*1000+40))</f>
        <v/>
      </c>
      <c r="AQ136" s="41">
        <f>IF(N('Dvd Calendar'!$E$1867)=0,"",IF(('Dvd Calendar'!$E$1867&gt;=MIN(DATE(Summary!$C$12,1,1),Summary!$C$11))*('Dvd Calendar'!$E$1867&lt;=MAX(DATE(Summary!$C$12,12,31),Summary!$C$15))*('Dvd Calendar'!$E$1867&gt;Summary!$C$11)=0,"",'Dvd Calendar'!$E$1867*1000000000+ISNUMBER('Dvd Calendar'!$E$1868)*100000000+('Dvd Calendar'!$E$1872='Field Check'!$C$25)*10000000+(N('Dvd Calendar'!$E$1866)&gt;0)*1000000+24*1000+41))</f>
        <v/>
      </c>
      <c r="AR136" s="41">
        <f>IF(N('Dvd Calendar'!$F$1867)=0,"",IF(('Dvd Calendar'!$F$1867&gt;=MIN(DATE(Summary!$C$12,1,1),Summary!$C$11))*('Dvd Calendar'!$F$1867&lt;=MAX(DATE(Summary!$C$12,12,31),Summary!$C$15))*('Dvd Calendar'!$F$1867&gt;Summary!$C$11)=0,"",'Dvd Calendar'!$F$1867*1000000000+ISNUMBER('Dvd Calendar'!$F$1868)*100000000+('Dvd Calendar'!$F$1872='Field Check'!$C$25)*10000000+(N('Dvd Calendar'!$F$1866)&gt;0)*1000000+24*1000+42))</f>
        <v/>
      </c>
      <c r="AS136" s="41">
        <f>IF(N('Dvd Calendar'!$G$1867)=0,"",IF(('Dvd Calendar'!$G$1867&gt;=MIN(DATE(Summary!$C$12,1,1),Summary!$C$11))*('Dvd Calendar'!$G$1867&lt;=MAX(DATE(Summary!$C$12,12,31),Summary!$C$15))*('Dvd Calendar'!$G$1867&gt;Summary!$C$11)=0,"",'Dvd Calendar'!$G$1867*1000000000+ISNUMBER('Dvd Calendar'!$G$1868)*100000000+('Dvd Calendar'!$G$1872='Field Check'!$C$25)*10000000+(N('Dvd Calendar'!$G$1866)&gt;0)*1000000+24*1000+43))</f>
        <v/>
      </c>
      <c r="AT136" s="41">
        <f>IF(N('Dvd Calendar'!$H$1867)=0,"",IF(('Dvd Calendar'!$H$1867&gt;=MIN(DATE(Summary!$C$12,1,1),Summary!$C$11))*('Dvd Calendar'!$H$1867&lt;=MAX(DATE(Summary!$C$12,12,31),Summary!$C$15))*('Dvd Calendar'!$H$1867&gt;Summary!$C$11)=0,"",'Dvd Calendar'!$H$1867*1000000000+ISNUMBER('Dvd Calendar'!$H$1868)*100000000+('Dvd Calendar'!$H$1872='Field Check'!$C$25)*10000000+(N('Dvd Calendar'!$H$1866)&gt;0)*1000000+24*1000+44))</f>
        <v/>
      </c>
      <c r="AU136" s="41">
        <f>IF(N('Dvd Calendar'!$I$1867)=0,"",IF(('Dvd Calendar'!$I$1867&gt;=MIN(DATE(Summary!$C$12,1,1),Summary!$C$11))*('Dvd Calendar'!$I$1867&lt;=MAX(DATE(Summary!$C$12,12,31),Summary!$C$15))*('Dvd Calendar'!$I$1867&gt;Summary!$C$11)=0,"",'Dvd Calendar'!$I$1867*1000000000+ISNUMBER('Dvd Calendar'!$I$1868)*100000000+('Dvd Calendar'!$I$1872='Field Check'!$C$25)*10000000+(N('Dvd Calendar'!$I$1866)&gt;0)*1000000+24*1000+45))</f>
        <v/>
      </c>
      <c r="AV136" s="41">
        <f>IF(N('Dvd Calendar'!$J$1867)=0,"",IF(('Dvd Calendar'!$J$1867&gt;=MIN(DATE(Summary!$C$12,1,1),Summary!$C$11))*('Dvd Calendar'!$J$1867&lt;=MAX(DATE(Summary!$C$12,12,31),Summary!$C$15))*('Dvd Calendar'!$J$1867&gt;Summary!$C$11)=0,"",'Dvd Calendar'!$J$1867*1000000000+ISNUMBER('Dvd Calendar'!$J$1868)*100000000+('Dvd Calendar'!$J$1872='Field Check'!$C$25)*10000000+(N('Dvd Calendar'!$J$1866)&gt;0)*1000000+24*1000+46))</f>
        <v/>
      </c>
      <c r="AW136" s="41">
        <f>IF(N('Dvd Calendar'!$K$1867)=0,"",IF(('Dvd Calendar'!$K$1867&gt;=MIN(DATE(Summary!$C$12,1,1),Summary!$C$11))*('Dvd Calendar'!$K$1867&lt;=MAX(DATE(Summary!$C$12,12,31),Summary!$C$15))*('Dvd Calendar'!$K$1867&gt;Summary!$C$11)=0,"",'Dvd Calendar'!$K$1867*1000000000+ISNUMBER('Dvd Calendar'!$K$1868)*100000000+('Dvd Calendar'!$K$1872='Field Check'!$C$25)*10000000+(N('Dvd Calendar'!$K$1866)&gt;0)*1000000+24*1000+47))</f>
        <v/>
      </c>
      <c r="AX136" s="41">
        <f>IF(N('Dvd Calendar'!$L$1867)=0,"",IF(('Dvd Calendar'!$L$1867&gt;=MIN(DATE(Summary!$C$12,1,1),Summary!$C$11))*('Dvd Calendar'!$L$1867&lt;=MAX(DATE(Summary!$C$12,12,31),Summary!$C$15))*('Dvd Calendar'!$L$1867&gt;Summary!$C$11)=0,"",'Dvd Calendar'!$L$1867*1000000000+ISNUMBER('Dvd Calendar'!$L$1868)*100000000+('Dvd Calendar'!$L$1872='Field Check'!$C$25)*10000000+(N('Dvd Calendar'!$L$1866)&gt;0)*1000000+24*1000+48))</f>
        <v/>
      </c>
      <c r="AY136" s="41">
        <f>IF(N('Dvd Calendar'!$M$1867)=0,"",IF(('Dvd Calendar'!$M$1867&gt;=MIN(DATE(Summary!$C$12,1,1),Summary!$C$11))*('Dvd Calendar'!$M$1867&lt;=MAX(DATE(Summary!$C$12,12,31),Summary!$C$15))*('Dvd Calendar'!$M$1867&gt;Summary!$C$11)=0,"",'Dvd Calendar'!$M$1867*1000000000+ISNUMBER('Dvd Calendar'!$M$1868)*100000000+('Dvd Calendar'!$M$1872='Field Check'!$C$25)*10000000+(N('Dvd Calendar'!$M$1866)&gt;0)*1000000+24*1000+49))</f>
        <v/>
      </c>
      <c r="AZ136" s="41">
        <f>IF(N('Dvd Calendar'!$N$1867)=0,"",IF(('Dvd Calendar'!$N$1867&gt;=MIN(DATE(Summary!$C$12,1,1),Summary!$C$11))*('Dvd Calendar'!$N$1867&lt;=MAX(DATE(Summary!$C$12,12,31),Summary!$C$15))*('Dvd Calendar'!$N$1867&gt;Summary!$C$11)=0,"",'Dvd Calendar'!$N$1867*1000000000+ISNUMBER('Dvd Calendar'!$N$1868)*100000000+('Dvd Calendar'!$N$1872='Field Check'!$C$25)*10000000+(N('Dvd Calendar'!$N$1866)&gt;0)*1000000+24*1000+50))</f>
        <v/>
      </c>
      <c r="BA136" s="41">
        <f>IF(N('Dvd Calendar'!$O$1867)=0,"",IF(('Dvd Calendar'!$O$1867&gt;=MIN(DATE(Summary!$C$12,1,1),Summary!$C$11))*('Dvd Calendar'!$O$1867&lt;=MAX(DATE(Summary!$C$12,12,31),Summary!$C$15))*('Dvd Calendar'!$O$1867&gt;Summary!$C$11)=0,"",'Dvd Calendar'!$O$1867*1000000000+ISNUMBER('Dvd Calendar'!$O$1868)*100000000+('Dvd Calendar'!$O$1872='Field Check'!$C$25)*10000000+(N('Dvd Calendar'!$O$1866)&gt;0)*1000000+24*1000+51))</f>
        <v/>
      </c>
      <c r="BB136" s="41">
        <f>IF(N('Dvd Calendar'!$P$1867)=0,"",IF(('Dvd Calendar'!$P$1867&gt;=MIN(DATE(Summary!$C$12,1,1),Summary!$C$11))*('Dvd Calendar'!$P$1867&lt;=MAX(DATE(Summary!$C$12,12,31),Summary!$C$15))*('Dvd Calendar'!$P$1867&gt;Summary!$C$11)=0,"",'Dvd Calendar'!$P$1867*1000000000+ISNUMBER('Dvd Calendar'!$P$1868)*100000000+('Dvd Calendar'!$P$1872='Field Check'!$C$25)*10000000+(N('Dvd Calendar'!$P$1866)&gt;0)*1000000+24*1000+52))</f>
        <v/>
      </c>
      <c r="BC136" s="41">
        <f>IF(N('Dvd Calendar'!$Q$1867)=0,"",IF(('Dvd Calendar'!$Q$1867&gt;=MIN(DATE(Summary!$C$12,1,1),Summary!$C$11))*('Dvd Calendar'!$Q$1867&lt;=MAX(DATE(Summary!$C$12,12,31),Summary!$C$15))*('Dvd Calendar'!$Q$1867&gt;Summary!$C$11)=0,"",'Dvd Calendar'!$Q$1867*1000000000+ISNUMBER('Dvd Calendar'!$Q$1868)*100000000+('Dvd Calendar'!$Q$1872='Field Check'!$C$25)*10000000+(N('Dvd Calendar'!$Q$1866)&gt;0)*1000000+24*1000+53))</f>
        <v/>
      </c>
      <c r="BD136" s="41">
        <f>IF(N('Dvd Calendar'!$R$1867)=0,"",IF(('Dvd Calendar'!$R$1867&gt;=MIN(DATE(Summary!$C$12,1,1),Summary!$C$11))*('Dvd Calendar'!$R$1867&lt;=MAX(DATE(Summary!$C$12,12,31),Summary!$C$15))*('Dvd Calendar'!$R$1867&gt;Summary!$C$11)=0,"",'Dvd Calendar'!$R$1867*1000000000+ISNUMBER('Dvd Calendar'!$R$1868)*100000000+('Dvd Calendar'!$R$1872='Field Check'!$C$25)*10000000+(N('Dvd Calendar'!$R$1866)&gt;0)*1000000+24*1000+54))</f>
        <v/>
      </c>
      <c r="BE136" s="41">
        <f>IF(N('Dvd Calendar'!$S$1867)=0,"",IF(('Dvd Calendar'!$S$1867&gt;=MIN(DATE(Summary!$C$12,1,1),Summary!$C$11))*('Dvd Calendar'!$S$1867&lt;=MAX(DATE(Summary!$C$12,12,31),Summary!$C$15))*('Dvd Calendar'!$S$1867&gt;Summary!$C$11)=0,"",'Dvd Calendar'!$S$1867*1000000000+ISNUMBER('Dvd Calendar'!$S$1868)*100000000+('Dvd Calendar'!$S$1872='Field Check'!$C$25)*10000000+(N('Dvd Calendar'!$S$1866)&gt;0)*1000000+24*1000+55))</f>
        <v/>
      </c>
      <c r="BF136" s="41">
        <f>IF(N('Dvd Calendar'!$T$1867)=0,"",IF(('Dvd Calendar'!$T$1867&gt;=MIN(DATE(Summary!$C$12,1,1),Summary!$C$11))*('Dvd Calendar'!$T$1867&lt;=MAX(DATE(Summary!$C$12,12,31),Summary!$C$15))*('Dvd Calendar'!$T$1867&gt;Summary!$C$11)=0,"",'Dvd Calendar'!$T$1867*1000000000+ISNUMBER('Dvd Calendar'!$T$1868)*100000000+('Dvd Calendar'!$T$1872='Field Check'!$C$25)*10000000+(N('Dvd Calendar'!$T$1866)&gt;0)*1000000+24*1000+56))</f>
        <v/>
      </c>
      <c r="BG136" s="41">
        <f>IF(N('Dvd Calendar'!$U$1867)=0,"",IF(('Dvd Calendar'!$U$1867&gt;=MIN(DATE(Summary!$C$12,1,1),Summary!$C$11))*('Dvd Calendar'!$U$1867&lt;=MAX(DATE(Summary!$C$12,12,31),Summary!$C$15))*('Dvd Calendar'!$U$1867&gt;Summary!$C$11)=0,"",'Dvd Calendar'!$U$1867*1000000000+ISNUMBER('Dvd Calendar'!$U$1868)*100000000+('Dvd Calendar'!$U$1872='Field Check'!$C$25)*10000000+(N('Dvd Calendar'!$U$1866)&gt;0)*1000000+24*1000+57))</f>
        <v/>
      </c>
      <c r="BH136" s="41">
        <f>IF(N('Dvd Calendar'!$V$1867)=0,"",IF(('Dvd Calendar'!$V$1867&gt;=MIN(DATE(Summary!$C$12,1,1),Summary!$C$11))*('Dvd Calendar'!$V$1867&lt;=MAX(DATE(Summary!$C$12,12,31),Summary!$C$15))*('Dvd Calendar'!$V$1867&gt;Summary!$C$11)=0,"",'Dvd Calendar'!$V$1867*1000000000+ISNUMBER('Dvd Calendar'!$V$1868)*100000000+('Dvd Calendar'!$V$1872='Field Check'!$C$25)*10000000+(N('Dvd Calendar'!$V$1866)&gt;0)*1000000+24*1000+58))</f>
        <v/>
      </c>
      <c r="BI136" s="41">
        <f>IF(N('Dvd Calendar'!$W$1867)=0,"",IF(('Dvd Calendar'!$W$1867&gt;=MIN(DATE(Summary!$C$12,1,1),Summary!$C$11))*('Dvd Calendar'!$W$1867&lt;=MAX(DATE(Summary!$C$12,12,31),Summary!$C$15))*('Dvd Calendar'!$W$1867&gt;Summary!$C$11)=0,"",'Dvd Calendar'!$W$1867*1000000000+ISNUMBER('Dvd Calendar'!$W$1868)*100000000+('Dvd Calendar'!$W$1872='Field Check'!$C$25)*10000000+(N('Dvd Calendar'!$W$1866)&gt;0)*1000000+24*1000+59))</f>
        <v/>
      </c>
      <c r="BJ136" s="41">
        <f>IF(N('Dvd Calendar'!$X$1867)=0,"",IF(('Dvd Calendar'!$X$1867&gt;=MIN(DATE(Summary!$C$12,1,1),Summary!$C$11))*('Dvd Calendar'!$X$1867&lt;=MAX(DATE(Summary!$C$12,12,31),Summary!$C$15))*('Dvd Calendar'!$X$1867&gt;Summary!$C$11)=0,"",'Dvd Calendar'!$X$1867*1000000000+ISNUMBER('Dvd Calendar'!$X$1868)*100000000+('Dvd Calendar'!$X$1872='Field Check'!$C$25)*10000000+(N('Dvd Calendar'!$X$1866)&gt;0)*1000000+24*1000+60))</f>
        <v/>
      </c>
      <c r="BK136" s="41">
        <f>IF(N('Dvd Calendar'!$Y$1867)=0,"",IF(('Dvd Calendar'!$Y$1867&gt;=MIN(DATE(Summary!$C$12,1,1),Summary!$C$11))*('Dvd Calendar'!$Y$1867&lt;=MAX(DATE(Summary!$C$12,12,31),Summary!$C$15))*('Dvd Calendar'!$Y$1867&gt;Summary!$C$11)=0,"",'Dvd Calendar'!$Y$1867*1000000000+ISNUMBER('Dvd Calendar'!$Y$1868)*100000000+('Dvd Calendar'!$Y$1872='Field Check'!$C$25)*10000000+(N('Dvd Calendar'!$Y$1866)&gt;0)*1000000+24*1000+61))</f>
        <v/>
      </c>
      <c r="BL136" s="41">
        <f>IF(N('Dvd Calendar'!$Z$1867)=0,"",IF(('Dvd Calendar'!$Z$1867&gt;=MIN(DATE(Summary!$C$12,1,1),Summary!$C$11))*('Dvd Calendar'!$Z$1867&lt;=MAX(DATE(Summary!$C$12,12,31),Summary!$C$15))*('Dvd Calendar'!$Z$1867&gt;Summary!$C$11)=0,"",'Dvd Calendar'!$Z$1867*1000000000+ISNUMBER('Dvd Calendar'!$Z$1868)*100000000+('Dvd Calendar'!$Z$1872='Field Check'!$C$25)*10000000+(N('Dvd Calendar'!$Z$1866)&gt;0)*1000000+24*1000+62))</f>
        <v/>
      </c>
      <c r="BM136" s="41">
        <f>IF(N('Dvd Calendar'!$AA$1867)=0,"",IF(('Dvd Calendar'!$AA$1867&gt;=MIN(DATE(Summary!$C$12,1,1),Summary!$C$11))*('Dvd Calendar'!$AA$1867&lt;=MAX(DATE(Summary!$C$12,12,31),Summary!$C$15))*('Dvd Calendar'!$AA$1867&gt;Summary!$C$11)=0,"",'Dvd Calendar'!$AA$1867*1000000000+ISNUMBER('Dvd Calendar'!$AA$1868)*100000000+('Dvd Calendar'!$AA$1872='Field Check'!$C$25)*10000000+(N('Dvd Calendar'!$AA$1866)&gt;0)*1000000+24*1000+63))</f>
        <v/>
      </c>
      <c r="BN136" s="41">
        <f>IF(N('Dvd Calendar'!$AB$1867)=0,"",IF(('Dvd Calendar'!$AB$1867&gt;=MIN(DATE(Summary!$C$12,1,1),Summary!$C$11))*('Dvd Calendar'!$AB$1867&lt;=MAX(DATE(Summary!$C$12,12,31),Summary!$C$15))*('Dvd Calendar'!$AB$1867&gt;Summary!$C$11)=0,"",'Dvd Calendar'!$AB$1867*1000000000+ISNUMBER('Dvd Calendar'!$AB$1868)*100000000+('Dvd Calendar'!$AB$1872='Field Check'!$C$25)*10000000+(N('Dvd Calendar'!$AB$1866)&gt;0)*1000000+24*1000+64))</f>
        <v/>
      </c>
      <c r="BO136" s="41">
        <f>IF(N('Dvd Calendar'!$AC$1867)=0,"",IF(('Dvd Calendar'!$AC$1867&gt;=MIN(DATE(Summary!$C$12,1,1),Summary!$C$11))*('Dvd Calendar'!$AC$1867&lt;=MAX(DATE(Summary!$C$12,12,31),Summary!$C$15))*('Dvd Calendar'!$AC$1867&gt;Summary!$C$11)=0,"",'Dvd Calendar'!$AC$1867*1000000000+ISNUMBER('Dvd Calendar'!$AC$1868)*100000000+('Dvd Calendar'!$AC$1872='Field Check'!$C$25)*10000000+(N('Dvd Calendar'!$AC$1866)&gt;0)*1000000+24*1000+65))</f>
        <v/>
      </c>
      <c r="BQ136" s="85">
        <f>IF(C136="","",IF(ISNUMBER('Dvd Calendar'!$E$1861)=FALSE,"",IF((Summary!$C$13="N")*('Dvd Calendar'!$E$1865='Field Check'!$C$25)&gt;0,"",'Dvd Calendar'!$E$1861)))</f>
        <v/>
      </c>
      <c r="BR136" s="85">
        <f>IF(D136="","",IF(ISNUMBER('Dvd Calendar'!$F$1861)=FALSE,"",IF((Summary!$C$13="N")*('Dvd Calendar'!$F$1865='Field Check'!$C$25)&gt;0,"",'Dvd Calendar'!$F$1861)))</f>
        <v/>
      </c>
      <c r="BS136" s="85">
        <f>IF(E136="","",IF(ISNUMBER('Dvd Calendar'!$G$1861)=FALSE,"",IF((Summary!$C$13="N")*('Dvd Calendar'!$G$1865='Field Check'!$C$25)&gt;0,"",'Dvd Calendar'!$G$1861)))</f>
        <v/>
      </c>
      <c r="BT136" s="85">
        <f>IF(F136="","",IF(ISNUMBER('Dvd Calendar'!$H$1861)=FALSE,"",IF((Summary!$C$13="N")*('Dvd Calendar'!$H$1865='Field Check'!$C$25)&gt;0,"",'Dvd Calendar'!$H$1861)))</f>
        <v/>
      </c>
      <c r="BU136" s="85">
        <f>IF(G136="","",IF(ISNUMBER('Dvd Calendar'!$I$1861)=FALSE,"",IF((Summary!$C$13="N")*('Dvd Calendar'!$I$1865='Field Check'!$C$25)&gt;0,"",'Dvd Calendar'!$I$1861)))</f>
        <v/>
      </c>
      <c r="BV136" s="85">
        <f>IF(H136="","",IF(ISNUMBER('Dvd Calendar'!$J$1861)=FALSE,"",IF((Summary!$C$13="N")*('Dvd Calendar'!$J$1865='Field Check'!$C$25)&gt;0,"",'Dvd Calendar'!$J$1861)))</f>
        <v/>
      </c>
      <c r="BW136" s="85">
        <f>IF(I136="","",IF(ISNUMBER('Dvd Calendar'!$K$1861)=FALSE,"",IF((Summary!$C$13="N")*('Dvd Calendar'!$K$1865='Field Check'!$C$25)&gt;0,"",'Dvd Calendar'!$K$1861)))</f>
        <v/>
      </c>
      <c r="BX136" s="85">
        <f>IF(J136="","",IF(ISNUMBER('Dvd Calendar'!$L$1861)=FALSE,"",IF((Summary!$C$13="N")*('Dvd Calendar'!$L$1865='Field Check'!$C$25)&gt;0,"",'Dvd Calendar'!$L$1861)))</f>
        <v/>
      </c>
      <c r="BY136" s="85">
        <f>IF(K136="","",IF(ISNUMBER('Dvd Calendar'!$M$1861)=FALSE,"",IF((Summary!$C$13="N")*('Dvd Calendar'!$M$1865='Field Check'!$C$25)&gt;0,"",'Dvd Calendar'!$M$1861)))</f>
        <v/>
      </c>
      <c r="BZ136" s="85">
        <f>IF(L136="","",IF(ISNUMBER('Dvd Calendar'!$N$1861)=FALSE,"",IF((Summary!$C$13="N")*('Dvd Calendar'!$N$1865='Field Check'!$C$25)&gt;0,"",'Dvd Calendar'!$N$1861)))</f>
        <v/>
      </c>
      <c r="CA136" s="85">
        <f>IF(M136="","",IF(ISNUMBER('Dvd Calendar'!$O$1861)=FALSE,"",IF((Summary!$C$13="N")*('Dvd Calendar'!$O$1865='Field Check'!$C$25)&gt;0,"",'Dvd Calendar'!$O$1861)))</f>
        <v/>
      </c>
      <c r="CB136" s="85">
        <f>IF(N136="","",IF(ISNUMBER('Dvd Calendar'!$P$1861)=FALSE,"",IF((Summary!$C$13="N")*('Dvd Calendar'!$P$1865='Field Check'!$C$25)&gt;0,"",'Dvd Calendar'!$P$1861)))</f>
        <v/>
      </c>
      <c r="CC136" s="85">
        <f>IF(O136="","",IF(ISNUMBER('Dvd Calendar'!$Q$1861)=FALSE,"",IF((Summary!$C$13="N")*('Dvd Calendar'!$Q$1865='Field Check'!$C$25)&gt;0,"",'Dvd Calendar'!$Q$1861)))</f>
        <v/>
      </c>
      <c r="CD136" s="85">
        <f>IF(P136="","",IF(ISNUMBER('Dvd Calendar'!$R$1861)=FALSE,"",IF((Summary!$C$13="N")*('Dvd Calendar'!$R$1865='Field Check'!$C$25)&gt;0,"",'Dvd Calendar'!$R$1861)))</f>
        <v/>
      </c>
      <c r="CE136" s="85">
        <f>IF(Q136="","",IF(ISNUMBER('Dvd Calendar'!$S$1861)=FALSE,"",IF((Summary!$C$13="N")*('Dvd Calendar'!$S$1865='Field Check'!$C$25)&gt;0,"",'Dvd Calendar'!$S$1861)))</f>
        <v/>
      </c>
      <c r="CF136" s="85">
        <f>IF(R136="","",IF(ISNUMBER('Dvd Calendar'!$T$1861)=FALSE,"",IF((Summary!$C$13="N")*('Dvd Calendar'!$T$1865='Field Check'!$C$25)&gt;0,"",'Dvd Calendar'!$T$1861)))</f>
        <v/>
      </c>
      <c r="CG136" s="85">
        <f>IF(S136="","",IF(ISNUMBER('Dvd Calendar'!$U$1861)=FALSE,"",IF((Summary!$C$13="N")*('Dvd Calendar'!$U$1865='Field Check'!$C$25)&gt;0,"",'Dvd Calendar'!$U$1861)))</f>
        <v/>
      </c>
      <c r="CH136" s="85">
        <f>IF(T136="","",IF(ISNUMBER('Dvd Calendar'!$V$1861)=FALSE,"",IF((Summary!$C$13="N")*('Dvd Calendar'!$V$1865='Field Check'!$C$25)&gt;0,"",'Dvd Calendar'!$V$1861)))</f>
        <v/>
      </c>
      <c r="CI136" s="85">
        <f>IF(U136="","",IF(ISNUMBER('Dvd Calendar'!$W$1861)=FALSE,"",IF((Summary!$C$13="N")*('Dvd Calendar'!$W$1865='Field Check'!$C$25)&gt;0,"",'Dvd Calendar'!$W$1861)))</f>
        <v/>
      </c>
      <c r="CJ136" s="85">
        <f>IF(V136="","",IF(ISNUMBER('Dvd Calendar'!$X$1861)=FALSE,"",IF((Summary!$C$13="N")*('Dvd Calendar'!$X$1865='Field Check'!$C$25)&gt;0,"",'Dvd Calendar'!$X$1861)))</f>
        <v/>
      </c>
      <c r="CK136" s="85">
        <f>IF(W136="","",IF(ISNUMBER('Dvd Calendar'!$Y$1861)=FALSE,"",IF((Summary!$C$13="N")*('Dvd Calendar'!$Y$1865='Field Check'!$C$25)&gt;0,"",'Dvd Calendar'!$Y$1861)))</f>
        <v/>
      </c>
      <c r="CL136" s="85">
        <f>IF(X136="","",IF(ISNUMBER('Dvd Calendar'!$Z$1861)=FALSE,"",IF((Summary!$C$13="N")*('Dvd Calendar'!$Z$1865='Field Check'!$C$25)&gt;0,"",'Dvd Calendar'!$Z$1861)))</f>
        <v/>
      </c>
      <c r="CM136" s="85">
        <f>IF(Y136="","",IF(ISNUMBER('Dvd Calendar'!$AA$1861)=FALSE,"",IF((Summary!$C$13="N")*('Dvd Calendar'!$AA$1865='Field Check'!$C$25)&gt;0,"",'Dvd Calendar'!$AA$1861)))</f>
        <v/>
      </c>
      <c r="CN136" s="85">
        <f>IF(Z136="","",IF(ISNUMBER('Dvd Calendar'!$AB$1861)=FALSE,"",IF((Summary!$C$13="N")*('Dvd Calendar'!$AB$1865='Field Check'!$C$25)&gt;0,"",'Dvd Calendar'!$AB$1861)))</f>
        <v/>
      </c>
      <c r="CO136" s="85">
        <f>IF(AA136="","",IF(ISNUMBER('Dvd Calendar'!$AC$1861)=FALSE,"",IF((Summary!$C$13="N")*('Dvd Calendar'!$AC$1865='Field Check'!$C$25)&gt;0,"",'Dvd Calendar'!$AC$1861)))</f>
        <v/>
      </c>
      <c r="CP136" s="85">
        <f>IF(AB136="","",IF(ISNUMBER('Dvd Calendar'!$AD$1861)=FALSE,"",IF((Summary!$C$13="N")*('Dvd Calendar'!$AD$1865='Field Check'!$C$25)&gt;0,"",'Dvd Calendar'!$AD$1861)))</f>
        <v/>
      </c>
      <c r="CQ136" s="85">
        <f>IF(AC136="","",IF(ISNUMBER('Dvd Calendar'!$AE$1861)=FALSE,"",IF((Summary!$C$13="N")*('Dvd Calendar'!$AE$1865='Field Check'!$C$25)&gt;0,"",'Dvd Calendar'!$AE$1861)))</f>
        <v/>
      </c>
      <c r="CR136" s="85">
        <f>IF(AD136="","",IF(ISNUMBER('Dvd Calendar'!$AF$1861)=FALSE,"",IF((Summary!$C$13="N")*('Dvd Calendar'!$AF$1865='Field Check'!$C$25)&gt;0,"",'Dvd Calendar'!$AF$1861)))</f>
        <v/>
      </c>
      <c r="CS136" s="85">
        <f>IF(AE136="","",IF(ISNUMBER('Dvd Calendar'!$AG$1861)=FALSE,"",IF((Summary!$C$13="N")*('Dvd Calendar'!$AG$1865='Field Check'!$C$25)&gt;0,"",'Dvd Calendar'!$AG$1861)))</f>
        <v/>
      </c>
      <c r="CT136" s="85">
        <f>IF(AF136="","",IF(ISNUMBER('Dvd Calendar'!$AH$1861)=FALSE,"",IF((Summary!$C$13="N")*('Dvd Calendar'!$AH$1865='Field Check'!$C$25)&gt;0,"",'Dvd Calendar'!$AH$1861)))</f>
        <v/>
      </c>
      <c r="CU136" s="85">
        <f>IF(AG136="","",IF(ISNUMBER('Dvd Calendar'!$AI$1861)=FALSE,"",IF((Summary!$C$13="N")*('Dvd Calendar'!$AI$1865='Field Check'!$C$25)&gt;0,"",'Dvd Calendar'!$AI$1861)))</f>
        <v/>
      </c>
      <c r="CV136" s="85">
        <f>IF(AH136="","",IF(ISNUMBER('Dvd Calendar'!$AJ$1861)=FALSE,"",IF((Summary!$C$13="N")*('Dvd Calendar'!$AJ$1865='Field Check'!$C$25)&gt;0,"",'Dvd Calendar'!$AJ$1861)))</f>
        <v/>
      </c>
      <c r="CW136" s="85">
        <f>IF(AI136="","",IF(ISNUMBER('Dvd Calendar'!$AK$1861)=FALSE,"",IF((Summary!$C$13="N")*('Dvd Calendar'!$AK$1865='Field Check'!$C$25)&gt;0,"",'Dvd Calendar'!$AK$1861)))</f>
        <v/>
      </c>
      <c r="CX136" s="85">
        <f>IF(AJ136="","",IF(ISNUMBER('Dvd Calendar'!$AL$1861)=FALSE,"",IF((Summary!$C$13="N")*('Dvd Calendar'!$AL$1865='Field Check'!$C$25)&gt;0,"",'Dvd Calendar'!$AL$1861)))</f>
        <v/>
      </c>
      <c r="CY136" s="85">
        <f>IF(AK136="","",IF(ISNUMBER('Dvd Calendar'!$AM$1861)=FALSE,"",IF((Summary!$C$13="N")*('Dvd Calendar'!$AM$1865='Field Check'!$C$25)&gt;0,"",'Dvd Calendar'!$AM$1861)))</f>
        <v/>
      </c>
      <c r="CZ136" s="85">
        <f>IF(AL136="","",IF(ISNUMBER('Dvd Calendar'!$AN$1861)=FALSE,"",IF((Summary!$C$13="N")*('Dvd Calendar'!$AN$1865='Field Check'!$C$25)&gt;0,"",'Dvd Calendar'!$AN$1861)))</f>
        <v/>
      </c>
      <c r="DA136" s="85">
        <f>IF(AM136="","",IF(ISNUMBER('Dvd Calendar'!$AO$1861)=FALSE,"",IF((Summary!$C$13="N")*('Dvd Calendar'!$AO$1865='Field Check'!$C$25)&gt;0,"",'Dvd Calendar'!$AO$1861)))</f>
        <v/>
      </c>
      <c r="DB136" s="85">
        <f>IF(AN136="","",IF(ISNUMBER('Dvd Calendar'!$AP$1861)=FALSE,"",IF((Summary!$C$13="N")*('Dvd Calendar'!$AP$1865='Field Check'!$C$25)&gt;0,"",'Dvd Calendar'!$AP$1861)))</f>
        <v/>
      </c>
      <c r="DC136" s="85">
        <f>IF(AO136="","",IF(ISNUMBER('Dvd Calendar'!$AQ$1861)=FALSE,"",IF((Summary!$C$13="N")*('Dvd Calendar'!$AQ$1865='Field Check'!$C$25)&gt;0,"",'Dvd Calendar'!$AQ$1861)))</f>
        <v/>
      </c>
      <c r="DD136" s="85">
        <f>IF(AP136="","",IF(ISNUMBER('Dvd Calendar'!$AR$1861)=FALSE,"",IF((Summary!$C$13="N")*('Dvd Calendar'!$AR$1865='Field Check'!$C$25)&gt;0,"",'Dvd Calendar'!$AR$1861)))</f>
        <v/>
      </c>
      <c r="DE136" s="85">
        <f>IF(AQ136="","",IF(ISNUMBER('Dvd Calendar'!$E$1868)=FALSE,"",IF((Summary!$C$13="N")*('Dvd Calendar'!$E$1872='Field Check'!$C$25)&gt;0,"",'Dvd Calendar'!$E$1868)))</f>
        <v/>
      </c>
      <c r="DF136" s="85">
        <f>IF(AR136="","",IF(ISNUMBER('Dvd Calendar'!$F$1868)=FALSE,"",IF((Summary!$C$13="N")*('Dvd Calendar'!$F$1872='Field Check'!$C$25)&gt;0,"",'Dvd Calendar'!$F$1868)))</f>
        <v/>
      </c>
      <c r="DG136" s="85">
        <f>IF(AS136="","",IF(ISNUMBER('Dvd Calendar'!$G$1868)=FALSE,"",IF((Summary!$C$13="N")*('Dvd Calendar'!$G$1872='Field Check'!$C$25)&gt;0,"",'Dvd Calendar'!$G$1868)))</f>
        <v/>
      </c>
      <c r="DH136" s="85">
        <f>IF(AT136="","",IF(ISNUMBER('Dvd Calendar'!$H$1868)=FALSE,"",IF((Summary!$C$13="N")*('Dvd Calendar'!$H$1872='Field Check'!$C$25)&gt;0,"",'Dvd Calendar'!$H$1868)))</f>
        <v/>
      </c>
      <c r="DI136" s="85">
        <f>IF(AU136="","",IF(ISNUMBER('Dvd Calendar'!$I$1868)=FALSE,"",IF((Summary!$C$13="N")*('Dvd Calendar'!$I$1872='Field Check'!$C$25)&gt;0,"",'Dvd Calendar'!$I$1868)))</f>
        <v/>
      </c>
      <c r="DJ136" s="85">
        <f>IF(AV136="","",IF(ISNUMBER('Dvd Calendar'!$J$1868)=FALSE,"",IF((Summary!$C$13="N")*('Dvd Calendar'!$J$1872='Field Check'!$C$25)&gt;0,"",'Dvd Calendar'!$J$1868)))</f>
        <v/>
      </c>
      <c r="DK136" s="85">
        <f>IF(AW136="","",IF(ISNUMBER('Dvd Calendar'!$K$1868)=FALSE,"",IF((Summary!$C$13="N")*('Dvd Calendar'!$K$1872='Field Check'!$C$25)&gt;0,"",'Dvd Calendar'!$K$1868)))</f>
        <v/>
      </c>
      <c r="DL136" s="85">
        <f>IF(AX136="","",IF(ISNUMBER('Dvd Calendar'!$L$1868)=FALSE,"",IF((Summary!$C$13="N")*('Dvd Calendar'!$L$1872='Field Check'!$C$25)&gt;0,"",'Dvd Calendar'!$L$1868)))</f>
        <v/>
      </c>
      <c r="DM136" s="85">
        <f>IF(AY136="","",IF(ISNUMBER('Dvd Calendar'!$M$1868)=FALSE,"",IF((Summary!$C$13="N")*('Dvd Calendar'!$M$1872='Field Check'!$C$25)&gt;0,"",'Dvd Calendar'!$M$1868)))</f>
        <v/>
      </c>
      <c r="DN136" s="85">
        <f>IF(AZ136="","",IF(ISNUMBER('Dvd Calendar'!$N$1868)=FALSE,"",IF((Summary!$C$13="N")*('Dvd Calendar'!$N$1872='Field Check'!$C$25)&gt;0,"",'Dvd Calendar'!$N$1868)))</f>
        <v/>
      </c>
      <c r="DO136" s="85">
        <f>IF(BA136="","",IF(ISNUMBER('Dvd Calendar'!$O$1868)=FALSE,"",IF((Summary!$C$13="N")*('Dvd Calendar'!$O$1872='Field Check'!$C$25)&gt;0,"",'Dvd Calendar'!$O$1868)))</f>
        <v/>
      </c>
      <c r="DP136" s="85">
        <f>IF(BB136="","",IF(ISNUMBER('Dvd Calendar'!$P$1868)=FALSE,"",IF((Summary!$C$13="N")*('Dvd Calendar'!$P$1872='Field Check'!$C$25)&gt;0,"",'Dvd Calendar'!$P$1868)))</f>
        <v/>
      </c>
      <c r="DQ136" s="85">
        <f>IF(BC136="","",IF(ISNUMBER('Dvd Calendar'!$Q$1868)=FALSE,"",IF((Summary!$C$13="N")*('Dvd Calendar'!$Q$1872='Field Check'!$C$25)&gt;0,"",'Dvd Calendar'!$Q$1868)))</f>
        <v/>
      </c>
      <c r="DR136" s="85">
        <f>IF(BD136="","",IF(ISNUMBER('Dvd Calendar'!$R$1868)=FALSE,"",IF((Summary!$C$13="N")*('Dvd Calendar'!$R$1872='Field Check'!$C$25)&gt;0,"",'Dvd Calendar'!$R$1868)))</f>
        <v/>
      </c>
      <c r="DS136" s="85">
        <f>IF(BE136="","",IF(ISNUMBER('Dvd Calendar'!$S$1868)=FALSE,"",IF((Summary!$C$13="N")*('Dvd Calendar'!$S$1872='Field Check'!$C$25)&gt;0,"",'Dvd Calendar'!$S$1868)))</f>
        <v/>
      </c>
      <c r="DT136" s="85">
        <f>IF(BF136="","",IF(ISNUMBER('Dvd Calendar'!$T$1868)=FALSE,"",IF((Summary!$C$13="N")*('Dvd Calendar'!$T$1872='Field Check'!$C$25)&gt;0,"",'Dvd Calendar'!$T$1868)))</f>
        <v/>
      </c>
      <c r="DU136" s="85">
        <f>IF(BG136="","",IF(ISNUMBER('Dvd Calendar'!$U$1868)=FALSE,"",IF((Summary!$C$13="N")*('Dvd Calendar'!$U$1872='Field Check'!$C$25)&gt;0,"",'Dvd Calendar'!$U$1868)))</f>
        <v/>
      </c>
      <c r="DV136" s="85">
        <f>IF(BH136="","",IF(ISNUMBER('Dvd Calendar'!$V$1868)=FALSE,"",IF((Summary!$C$13="N")*('Dvd Calendar'!$V$1872='Field Check'!$C$25)&gt;0,"",'Dvd Calendar'!$V$1868)))</f>
        <v/>
      </c>
      <c r="DW136" s="85">
        <f>IF(BI136="","",IF(ISNUMBER('Dvd Calendar'!$W$1868)=FALSE,"",IF((Summary!$C$13="N")*('Dvd Calendar'!$W$1872='Field Check'!$C$25)&gt;0,"",'Dvd Calendar'!$W$1868)))</f>
        <v/>
      </c>
      <c r="DX136" s="85">
        <f>IF(BJ136="","",IF(ISNUMBER('Dvd Calendar'!$X$1868)=FALSE,"",IF((Summary!$C$13="N")*('Dvd Calendar'!$X$1872='Field Check'!$C$25)&gt;0,"",'Dvd Calendar'!$X$1868)))</f>
        <v/>
      </c>
      <c r="DY136" s="85">
        <f>IF(BK136="","",IF(ISNUMBER('Dvd Calendar'!$Y$1868)=FALSE,"",IF((Summary!$C$13="N")*('Dvd Calendar'!$Y$1872='Field Check'!$C$25)&gt;0,"",'Dvd Calendar'!$Y$1868)))</f>
        <v/>
      </c>
      <c r="DZ136" s="85">
        <f>IF(BL136="","",IF(ISNUMBER('Dvd Calendar'!$Z$1868)=FALSE,"",IF((Summary!$C$13="N")*('Dvd Calendar'!$Z$1872='Field Check'!$C$25)&gt;0,"",'Dvd Calendar'!$Z$1868)))</f>
        <v/>
      </c>
      <c r="EA136" s="85">
        <f>IF(BM136="","",IF(ISNUMBER('Dvd Calendar'!$AA$1868)=FALSE,"",IF((Summary!$C$13="N")*('Dvd Calendar'!$AA$1872='Field Check'!$C$25)&gt;0,"",'Dvd Calendar'!$AA$1868)))</f>
        <v/>
      </c>
      <c r="EB136" s="85">
        <f>IF(BN136="","",IF(ISNUMBER('Dvd Calendar'!$AB$1868)=FALSE,"",IF((Summary!$C$13="N")*('Dvd Calendar'!$AB$1872='Field Check'!$C$25)&gt;0,"",'Dvd Calendar'!$AB$1868)))</f>
        <v/>
      </c>
      <c r="EC136" s="85">
        <f>IF(BO136="","",IF(ISNUMBER('Dvd Calendar'!$AC$1868)=FALSE,"",IF((Summary!$C$13="N")*('Dvd Calendar'!$AC$1872='Field Check'!$C$25)&gt;0,"",'Dvd Calendar'!$AC$1868)))</f>
        <v/>
      </c>
      <c r="EE136" s="85">
        <f>IF(BQ136="","",IFERROR(BQ136*HSTECH!$B$30*HSTECH!$G$30/HSTECH!$B$3,""))</f>
        <v/>
      </c>
      <c r="EF136" s="85">
        <f>IF(BR136="","",IFERROR(BR136*HSTECH!$B$30*HSTECH!$G$30/HSTECH!$B$3,""))</f>
        <v/>
      </c>
      <c r="EG136" s="85">
        <f>IF(BS136="","",IFERROR(BS136*HSTECH!$B$30*HSTECH!$G$30/HSTECH!$B$3,""))</f>
        <v/>
      </c>
      <c r="EH136" s="85">
        <f>IF(BT136="","",IFERROR(BT136*HSTECH!$B$30*HSTECH!$G$30/HSTECH!$B$3,""))</f>
        <v/>
      </c>
      <c r="EI136" s="85">
        <f>IF(BU136="","",IFERROR(BU136*HSTECH!$B$30*HSTECH!$G$30/HSTECH!$B$3,""))</f>
        <v/>
      </c>
      <c r="EJ136" s="85">
        <f>IF(BV136="","",IFERROR(BV136*HSTECH!$B$30*HSTECH!$G$30/HSTECH!$B$3,""))</f>
        <v/>
      </c>
      <c r="EK136" s="85">
        <f>IF(BW136="","",IFERROR(BW136*HSTECH!$B$30*HSTECH!$G$30/HSTECH!$B$3,""))</f>
        <v/>
      </c>
      <c r="EL136" s="85">
        <f>IF(BX136="","",IFERROR(BX136*HSTECH!$B$30*HSTECH!$G$30/HSTECH!$B$3,""))</f>
        <v/>
      </c>
      <c r="EM136" s="85">
        <f>IF(BY136="","",IFERROR(BY136*HSTECH!$B$30*HSTECH!$G$30/HSTECH!$B$3,""))</f>
        <v/>
      </c>
      <c r="EN136" s="85">
        <f>IF(BZ136="","",IFERROR(BZ136*HSTECH!$B$30*HSTECH!$G$30/HSTECH!$B$3,""))</f>
        <v/>
      </c>
      <c r="EO136" s="85">
        <f>IF(CA136="","",IFERROR(CA136*HSTECH!$B$30*HSTECH!$G$30/HSTECH!$B$3,""))</f>
        <v/>
      </c>
      <c r="EP136" s="85">
        <f>IF(CB136="","",IFERROR(CB136*HSTECH!$B$30*HSTECH!$G$30/HSTECH!$B$3,""))</f>
        <v/>
      </c>
      <c r="EQ136" s="85">
        <f>IF(CC136="","",IFERROR(CC136*HSTECH!$B$30*HSTECH!$G$30/HSTECH!$B$3,""))</f>
        <v/>
      </c>
      <c r="ER136" s="85">
        <f>IF(CD136="","",IFERROR(CD136*HSTECH!$B$30*HSTECH!$G$30/HSTECH!$B$3,""))</f>
        <v/>
      </c>
      <c r="ES136" s="85">
        <f>IF(CE136="","",IFERROR(CE136*HSTECH!$B$30*HSTECH!$G$30/HSTECH!$B$3,""))</f>
        <v/>
      </c>
      <c r="ET136" s="85">
        <f>IF(CF136="","",IFERROR(CF136*HSTECH!$B$30*HSTECH!$G$30/HSTECH!$B$3,""))</f>
        <v/>
      </c>
      <c r="EU136" s="85">
        <f>IF(CG136="","",IFERROR(CG136*HSTECH!$B$30*HSTECH!$G$30/HSTECH!$B$3,""))</f>
        <v/>
      </c>
      <c r="EV136" s="85">
        <f>IF(CH136="","",IFERROR(CH136*HSTECH!$B$30*HSTECH!$G$30/HSTECH!$B$3,""))</f>
        <v/>
      </c>
      <c r="EW136" s="85">
        <f>IF(CI136="","",IFERROR(CI136*HSTECH!$B$30*HSTECH!$G$30/HSTECH!$B$3,""))</f>
        <v/>
      </c>
      <c r="EX136" s="85">
        <f>IF(CJ136="","",IFERROR(CJ136*HSTECH!$B$30*HSTECH!$G$30/HSTECH!$B$3,""))</f>
        <v/>
      </c>
      <c r="EY136" s="85">
        <f>IF(CK136="","",IFERROR(CK136*HSTECH!$B$30*HSTECH!$G$30/HSTECH!$B$3,""))</f>
        <v/>
      </c>
      <c r="EZ136" s="85">
        <f>IF(CL136="","",IFERROR(CL136*HSTECH!$B$30*HSTECH!$G$30/HSTECH!$B$3,""))</f>
        <v/>
      </c>
      <c r="FA136" s="85">
        <f>IF(CM136="","",IFERROR(CM136*HSTECH!$B$30*HSTECH!$G$30/HSTECH!$B$3,""))</f>
        <v/>
      </c>
      <c r="FB136" s="85">
        <f>IF(CN136="","",IFERROR(CN136*HSTECH!$B$30*HSTECH!$G$30/HSTECH!$B$3,""))</f>
        <v/>
      </c>
      <c r="FC136" s="85">
        <f>IF(CO136="","",IFERROR(CO136*HSTECH!$B$30*HSTECH!$G$30/HSTECH!$B$3,""))</f>
        <v/>
      </c>
      <c r="FD136" s="85">
        <f>IF(CP136="","",IFERROR(CP136*HSTECH!$B$30*HSTECH!$G$30/HSTECH!$B$3,""))</f>
        <v/>
      </c>
      <c r="FE136" s="85">
        <f>IF(CQ136="","",IFERROR(CQ136*HSTECH!$B$30*HSTECH!$G$30/HSTECH!$B$3,""))</f>
        <v/>
      </c>
      <c r="FF136" s="85">
        <f>IF(CR136="","",IFERROR(CR136*HSTECH!$B$30*HSTECH!$G$30/HSTECH!$B$3,""))</f>
        <v/>
      </c>
      <c r="FG136" s="85">
        <f>IF(CS136="","",IFERROR(CS136*HSTECH!$B$30*HSTECH!$G$30/HSTECH!$B$3,""))</f>
        <v/>
      </c>
      <c r="FH136" s="85">
        <f>IF(CT136="","",IFERROR(CT136*HSTECH!$B$30*HSTECH!$G$30/HSTECH!$B$3,""))</f>
        <v/>
      </c>
      <c r="FI136" s="85">
        <f>IF(CU136="","",IFERROR(CU136*HSTECH!$B$30*HSTECH!$G$30/HSTECH!$B$3,""))</f>
        <v/>
      </c>
      <c r="FJ136" s="85">
        <f>IF(CV136="","",IFERROR(CV136*HSTECH!$B$30*HSTECH!$G$30/HSTECH!$B$3,""))</f>
        <v/>
      </c>
      <c r="FK136" s="85">
        <f>IF(CW136="","",IFERROR(CW136*HSTECH!$B$30*HSTECH!$G$30/HSTECH!$B$3,""))</f>
        <v/>
      </c>
      <c r="FL136" s="85">
        <f>IF(CX136="","",IFERROR(CX136*HSTECH!$B$30*HSTECH!$G$30/HSTECH!$B$3,""))</f>
        <v/>
      </c>
      <c r="FM136" s="85">
        <f>IF(CY136="","",IFERROR(CY136*HSTECH!$B$30*HSTECH!$G$30/HSTECH!$B$3,""))</f>
        <v/>
      </c>
      <c r="FN136" s="85">
        <f>IF(CZ136="","",IFERROR(CZ136*HSTECH!$B$30*HSTECH!$G$30/HSTECH!$B$3,""))</f>
        <v/>
      </c>
      <c r="FO136" s="85">
        <f>IF(DA136="","",IFERROR(DA136*HSTECH!$B$30*HSTECH!$G$30/HSTECH!$B$3,""))</f>
        <v/>
      </c>
      <c r="FP136" s="85">
        <f>IF(DB136="","",IFERROR(DB136*HSTECH!$B$30*HSTECH!$G$30/HSTECH!$B$3,""))</f>
        <v/>
      </c>
      <c r="FQ136" s="85">
        <f>IF(DC136="","",IFERROR(DC136*HSTECH!$B$30*HSTECH!$G$30/HSTECH!$B$3,""))</f>
        <v/>
      </c>
      <c r="FR136" s="85">
        <f>IF(DD136="","",IFERROR(DD136*HSTECH!$B$30*HSTECH!$G$30/HSTECH!$B$3,""))</f>
        <v/>
      </c>
      <c r="FS136" s="85">
        <f>IF(DE136="","",IFERROR(DE136*HSTECH!$B$30*HSTECH!$G$30/HSTECH!$B$3,""))</f>
        <v/>
      </c>
      <c r="FT136" s="85">
        <f>IF(DF136="","",IFERROR(DF136*HSTECH!$B$30*HSTECH!$G$30/HSTECH!$B$3,""))</f>
        <v/>
      </c>
      <c r="FU136" s="85">
        <f>IF(DG136="","",IFERROR(DG136*HSTECH!$B$30*HSTECH!$G$30/HSTECH!$B$3,""))</f>
        <v/>
      </c>
      <c r="FV136" s="85">
        <f>IF(DH136="","",IFERROR(DH136*HSTECH!$B$30*HSTECH!$G$30/HSTECH!$B$3,""))</f>
        <v/>
      </c>
      <c r="FW136" s="85">
        <f>IF(DI136="","",IFERROR(DI136*HSTECH!$B$30*HSTECH!$G$30/HSTECH!$B$3,""))</f>
        <v/>
      </c>
      <c r="FX136" s="85">
        <f>IF(DJ136="","",IFERROR(DJ136*HSTECH!$B$30*HSTECH!$G$30/HSTECH!$B$3,""))</f>
        <v/>
      </c>
      <c r="FY136" s="85">
        <f>IF(DK136="","",IFERROR(DK136*HSTECH!$B$30*HSTECH!$G$30/HSTECH!$B$3,""))</f>
        <v/>
      </c>
      <c r="FZ136" s="85">
        <f>IF(DL136="","",IFERROR(DL136*HSTECH!$B$30*HSTECH!$G$30/HSTECH!$B$3,""))</f>
        <v/>
      </c>
      <c r="GA136" s="85">
        <f>IF(DM136="","",IFERROR(DM136*HSTECH!$B$30*HSTECH!$G$30/HSTECH!$B$3,""))</f>
        <v/>
      </c>
      <c r="GB136" s="85">
        <f>IF(DN136="","",IFERROR(DN136*HSTECH!$B$30*HSTECH!$G$30/HSTECH!$B$3,""))</f>
        <v/>
      </c>
      <c r="GC136" s="85">
        <f>IF(DO136="","",IFERROR(DO136*HSTECH!$B$30*HSTECH!$G$30/HSTECH!$B$3,""))</f>
        <v/>
      </c>
      <c r="GD136" s="85">
        <f>IF(DP136="","",IFERROR(DP136*HSTECH!$B$30*HSTECH!$G$30/HSTECH!$B$3,""))</f>
        <v/>
      </c>
      <c r="GE136" s="85">
        <f>IF(DQ136="","",IFERROR(DQ136*HSTECH!$B$30*HSTECH!$G$30/HSTECH!$B$3,""))</f>
        <v/>
      </c>
      <c r="GF136" s="85">
        <f>IF(DR136="","",IFERROR(DR136*HSTECH!$B$30*HSTECH!$G$30/HSTECH!$B$3,""))</f>
        <v/>
      </c>
      <c r="GG136" s="85">
        <f>IF(DS136="","",IFERROR(DS136*HSTECH!$B$30*HSTECH!$G$30/HSTECH!$B$3,""))</f>
        <v/>
      </c>
      <c r="GH136" s="85">
        <f>IF(DT136="","",IFERROR(DT136*HSTECH!$B$30*HSTECH!$G$30/HSTECH!$B$3,""))</f>
        <v/>
      </c>
      <c r="GI136" s="85">
        <f>IF(DU136="","",IFERROR(DU136*HSTECH!$B$30*HSTECH!$G$30/HSTECH!$B$3,""))</f>
        <v/>
      </c>
      <c r="GJ136" s="85">
        <f>IF(DV136="","",IFERROR(DV136*HSTECH!$B$30*HSTECH!$G$30/HSTECH!$B$3,""))</f>
        <v/>
      </c>
      <c r="GK136" s="85">
        <f>IF(DW136="","",IFERROR(DW136*HSTECH!$B$30*HSTECH!$G$30/HSTECH!$B$3,""))</f>
        <v/>
      </c>
      <c r="GL136" s="85">
        <f>IF(DX136="","",IFERROR(DX136*HSTECH!$B$30*HSTECH!$G$30/HSTECH!$B$3,""))</f>
        <v/>
      </c>
      <c r="GM136" s="85">
        <f>IF(DY136="","",IFERROR(DY136*HSTECH!$B$30*HSTECH!$G$30/HSTECH!$B$3,""))</f>
        <v/>
      </c>
      <c r="GN136" s="85">
        <f>IF(DZ136="","",IFERROR(DZ136*HSTECH!$B$30*HSTECH!$G$30/HSTECH!$B$3,""))</f>
        <v/>
      </c>
      <c r="GO136" s="85">
        <f>IF(EA136="","",IFERROR(EA136*HSTECH!$B$30*HSTECH!$G$30/HSTECH!$B$3,""))</f>
        <v/>
      </c>
      <c r="GP136" s="85">
        <f>IF(EB136="","",IFERROR(EB136*HSTECH!$B$30*HSTECH!$G$30/HSTECH!$B$3,""))</f>
        <v/>
      </c>
      <c r="GQ136" s="85">
        <f>IF(EC136="","",IFERROR(EC136*HSTECH!$B$30*HSTECH!$G$30/HSTECH!$B$3,""))</f>
        <v/>
      </c>
    </row>
    <row r="137">
      <c r="B137" s="2">
        <f>IF(HSTECH!$C$31="","",HSTECH!$C$31)</f>
        <v/>
      </c>
      <c r="C137" s="41">
        <f>IF(N('Dvd Calendar'!$E$1875)=0,"",IF(('Dvd Calendar'!$E$1875&gt;=MIN(DATE(Summary!$C$12,1,1),Summary!$C$11))*('Dvd Calendar'!$E$1875&lt;=MAX(DATE(Summary!$C$12,12,31),Summary!$C$15))*('Dvd Calendar'!$E$1875&lt;=Summary!$C$11)=0,"",'Dvd Calendar'!$E$1875*1000000000+ISNUMBER('Dvd Calendar'!$E$1876)*100000000+('Dvd Calendar'!$E$1880='Field Check'!$C$25)*10000000+(N('Dvd Calendar'!$E$1874)&gt;0)*1000000+25*1000+1))</f>
        <v/>
      </c>
      <c r="D137" s="41">
        <f>IF(N('Dvd Calendar'!$F$1875)=0,"",IF(('Dvd Calendar'!$F$1875&gt;=MIN(DATE(Summary!$C$12,1,1),Summary!$C$11))*('Dvd Calendar'!$F$1875&lt;=MAX(DATE(Summary!$C$12,12,31),Summary!$C$15))*('Dvd Calendar'!$F$1875&lt;=Summary!$C$11)=0,"",'Dvd Calendar'!$F$1875*1000000000+ISNUMBER('Dvd Calendar'!$F$1876)*100000000+('Dvd Calendar'!$F$1880='Field Check'!$C$25)*10000000+(N('Dvd Calendar'!$F$1874)&gt;0)*1000000+25*1000+2))</f>
        <v/>
      </c>
      <c r="E137" s="41">
        <f>IF(N('Dvd Calendar'!$G$1875)=0,"",IF(('Dvd Calendar'!$G$1875&gt;=MIN(DATE(Summary!$C$12,1,1),Summary!$C$11))*('Dvd Calendar'!$G$1875&lt;=MAX(DATE(Summary!$C$12,12,31),Summary!$C$15))*('Dvd Calendar'!$G$1875&lt;=Summary!$C$11)=0,"",'Dvd Calendar'!$G$1875*1000000000+ISNUMBER('Dvd Calendar'!$G$1876)*100000000+('Dvd Calendar'!$G$1880='Field Check'!$C$25)*10000000+(N('Dvd Calendar'!$G$1874)&gt;0)*1000000+25*1000+3))</f>
        <v/>
      </c>
      <c r="F137" s="41">
        <f>IF(N('Dvd Calendar'!$H$1875)=0,"",IF(('Dvd Calendar'!$H$1875&gt;=MIN(DATE(Summary!$C$12,1,1),Summary!$C$11))*('Dvd Calendar'!$H$1875&lt;=MAX(DATE(Summary!$C$12,12,31),Summary!$C$15))*('Dvd Calendar'!$H$1875&lt;=Summary!$C$11)=0,"",'Dvd Calendar'!$H$1875*1000000000+ISNUMBER('Dvd Calendar'!$H$1876)*100000000+('Dvd Calendar'!$H$1880='Field Check'!$C$25)*10000000+(N('Dvd Calendar'!$H$1874)&gt;0)*1000000+25*1000+4))</f>
        <v/>
      </c>
      <c r="G137" s="41">
        <f>IF(N('Dvd Calendar'!$I$1875)=0,"",IF(('Dvd Calendar'!$I$1875&gt;=MIN(DATE(Summary!$C$12,1,1),Summary!$C$11))*('Dvd Calendar'!$I$1875&lt;=MAX(DATE(Summary!$C$12,12,31),Summary!$C$15))*('Dvd Calendar'!$I$1875&lt;=Summary!$C$11)=0,"",'Dvd Calendar'!$I$1875*1000000000+ISNUMBER('Dvd Calendar'!$I$1876)*100000000+('Dvd Calendar'!$I$1880='Field Check'!$C$25)*10000000+(N('Dvd Calendar'!$I$1874)&gt;0)*1000000+25*1000+5))</f>
        <v/>
      </c>
      <c r="H137" s="41">
        <f>IF(N('Dvd Calendar'!$J$1875)=0,"",IF(('Dvd Calendar'!$J$1875&gt;=MIN(DATE(Summary!$C$12,1,1),Summary!$C$11))*('Dvd Calendar'!$J$1875&lt;=MAX(DATE(Summary!$C$12,12,31),Summary!$C$15))*('Dvd Calendar'!$J$1875&lt;=Summary!$C$11)=0,"",'Dvd Calendar'!$J$1875*1000000000+ISNUMBER('Dvd Calendar'!$J$1876)*100000000+('Dvd Calendar'!$J$1880='Field Check'!$C$25)*10000000+(N('Dvd Calendar'!$J$1874)&gt;0)*1000000+25*1000+6))</f>
        <v/>
      </c>
      <c r="I137" s="41">
        <f>IF(N('Dvd Calendar'!$K$1875)=0,"",IF(('Dvd Calendar'!$K$1875&gt;=MIN(DATE(Summary!$C$12,1,1),Summary!$C$11))*('Dvd Calendar'!$K$1875&lt;=MAX(DATE(Summary!$C$12,12,31),Summary!$C$15))*('Dvd Calendar'!$K$1875&lt;=Summary!$C$11)=0,"",'Dvd Calendar'!$K$1875*1000000000+ISNUMBER('Dvd Calendar'!$K$1876)*100000000+('Dvd Calendar'!$K$1880='Field Check'!$C$25)*10000000+(N('Dvd Calendar'!$K$1874)&gt;0)*1000000+25*1000+7))</f>
        <v/>
      </c>
      <c r="J137" s="41">
        <f>IF(N('Dvd Calendar'!$L$1875)=0,"",IF(('Dvd Calendar'!$L$1875&gt;=MIN(DATE(Summary!$C$12,1,1),Summary!$C$11))*('Dvd Calendar'!$L$1875&lt;=MAX(DATE(Summary!$C$12,12,31),Summary!$C$15))*('Dvd Calendar'!$L$1875&lt;=Summary!$C$11)=0,"",'Dvd Calendar'!$L$1875*1000000000+ISNUMBER('Dvd Calendar'!$L$1876)*100000000+('Dvd Calendar'!$L$1880='Field Check'!$C$25)*10000000+(N('Dvd Calendar'!$L$1874)&gt;0)*1000000+25*1000+8))</f>
        <v/>
      </c>
      <c r="K137" s="41">
        <f>IF(N('Dvd Calendar'!$M$1875)=0,"",IF(('Dvd Calendar'!$M$1875&gt;=MIN(DATE(Summary!$C$12,1,1),Summary!$C$11))*('Dvd Calendar'!$M$1875&lt;=MAX(DATE(Summary!$C$12,12,31),Summary!$C$15))*('Dvd Calendar'!$M$1875&lt;=Summary!$C$11)=0,"",'Dvd Calendar'!$M$1875*1000000000+ISNUMBER('Dvd Calendar'!$M$1876)*100000000+('Dvd Calendar'!$M$1880='Field Check'!$C$25)*10000000+(N('Dvd Calendar'!$M$1874)&gt;0)*1000000+25*1000+9))</f>
        <v/>
      </c>
      <c r="L137" s="41">
        <f>IF(N('Dvd Calendar'!$N$1875)=0,"",IF(('Dvd Calendar'!$N$1875&gt;=MIN(DATE(Summary!$C$12,1,1),Summary!$C$11))*('Dvd Calendar'!$N$1875&lt;=MAX(DATE(Summary!$C$12,12,31),Summary!$C$15))*('Dvd Calendar'!$N$1875&lt;=Summary!$C$11)=0,"",'Dvd Calendar'!$N$1875*1000000000+ISNUMBER('Dvd Calendar'!$N$1876)*100000000+('Dvd Calendar'!$N$1880='Field Check'!$C$25)*10000000+(N('Dvd Calendar'!$N$1874)&gt;0)*1000000+25*1000+10))</f>
        <v/>
      </c>
      <c r="M137" s="41">
        <f>IF(N('Dvd Calendar'!$O$1875)=0,"",IF(('Dvd Calendar'!$O$1875&gt;=MIN(DATE(Summary!$C$12,1,1),Summary!$C$11))*('Dvd Calendar'!$O$1875&lt;=MAX(DATE(Summary!$C$12,12,31),Summary!$C$15))*('Dvd Calendar'!$O$1875&lt;=Summary!$C$11)=0,"",'Dvd Calendar'!$O$1875*1000000000+ISNUMBER('Dvd Calendar'!$O$1876)*100000000+('Dvd Calendar'!$O$1880='Field Check'!$C$25)*10000000+(N('Dvd Calendar'!$O$1874)&gt;0)*1000000+25*1000+11))</f>
        <v/>
      </c>
      <c r="N137" s="41">
        <f>IF(N('Dvd Calendar'!$P$1875)=0,"",IF(('Dvd Calendar'!$P$1875&gt;=MIN(DATE(Summary!$C$12,1,1),Summary!$C$11))*('Dvd Calendar'!$P$1875&lt;=MAX(DATE(Summary!$C$12,12,31),Summary!$C$15))*('Dvd Calendar'!$P$1875&lt;=Summary!$C$11)=0,"",'Dvd Calendar'!$P$1875*1000000000+ISNUMBER('Dvd Calendar'!$P$1876)*100000000+('Dvd Calendar'!$P$1880='Field Check'!$C$25)*10000000+(N('Dvd Calendar'!$P$1874)&gt;0)*1000000+25*1000+12))</f>
        <v/>
      </c>
      <c r="O137" s="41">
        <f>IF(N('Dvd Calendar'!$Q$1875)=0,"",IF(('Dvd Calendar'!$Q$1875&gt;=MIN(DATE(Summary!$C$12,1,1),Summary!$C$11))*('Dvd Calendar'!$Q$1875&lt;=MAX(DATE(Summary!$C$12,12,31),Summary!$C$15))*('Dvd Calendar'!$Q$1875&lt;=Summary!$C$11)=0,"",'Dvd Calendar'!$Q$1875*1000000000+ISNUMBER('Dvd Calendar'!$Q$1876)*100000000+('Dvd Calendar'!$Q$1880='Field Check'!$C$25)*10000000+(N('Dvd Calendar'!$Q$1874)&gt;0)*1000000+25*1000+13))</f>
        <v/>
      </c>
      <c r="P137" s="41">
        <f>IF(N('Dvd Calendar'!$R$1875)=0,"",IF(('Dvd Calendar'!$R$1875&gt;=MIN(DATE(Summary!$C$12,1,1),Summary!$C$11))*('Dvd Calendar'!$R$1875&lt;=MAX(DATE(Summary!$C$12,12,31),Summary!$C$15))*('Dvd Calendar'!$R$1875&lt;=Summary!$C$11)=0,"",'Dvd Calendar'!$R$1875*1000000000+ISNUMBER('Dvd Calendar'!$R$1876)*100000000+('Dvd Calendar'!$R$1880='Field Check'!$C$25)*10000000+(N('Dvd Calendar'!$R$1874)&gt;0)*1000000+25*1000+14))</f>
        <v/>
      </c>
      <c r="Q137" s="41">
        <f>IF(N('Dvd Calendar'!$S$1875)=0,"",IF(('Dvd Calendar'!$S$1875&gt;=MIN(DATE(Summary!$C$12,1,1),Summary!$C$11))*('Dvd Calendar'!$S$1875&lt;=MAX(DATE(Summary!$C$12,12,31),Summary!$C$15))*('Dvd Calendar'!$S$1875&lt;=Summary!$C$11)=0,"",'Dvd Calendar'!$S$1875*1000000000+ISNUMBER('Dvd Calendar'!$S$1876)*100000000+('Dvd Calendar'!$S$1880='Field Check'!$C$25)*10000000+(N('Dvd Calendar'!$S$1874)&gt;0)*1000000+25*1000+15))</f>
        <v/>
      </c>
      <c r="R137" s="41">
        <f>IF(N('Dvd Calendar'!$T$1875)=0,"",IF(('Dvd Calendar'!$T$1875&gt;=MIN(DATE(Summary!$C$12,1,1),Summary!$C$11))*('Dvd Calendar'!$T$1875&lt;=MAX(DATE(Summary!$C$12,12,31),Summary!$C$15))*('Dvd Calendar'!$T$1875&lt;=Summary!$C$11)=0,"",'Dvd Calendar'!$T$1875*1000000000+ISNUMBER('Dvd Calendar'!$T$1876)*100000000+('Dvd Calendar'!$T$1880='Field Check'!$C$25)*10000000+(N('Dvd Calendar'!$T$1874)&gt;0)*1000000+25*1000+16))</f>
        <v/>
      </c>
      <c r="S137" s="41">
        <f>IF(N('Dvd Calendar'!$U$1875)=0,"",IF(('Dvd Calendar'!$U$1875&gt;=MIN(DATE(Summary!$C$12,1,1),Summary!$C$11))*('Dvd Calendar'!$U$1875&lt;=MAX(DATE(Summary!$C$12,12,31),Summary!$C$15))*('Dvd Calendar'!$U$1875&lt;=Summary!$C$11)=0,"",'Dvd Calendar'!$U$1875*1000000000+ISNUMBER('Dvd Calendar'!$U$1876)*100000000+('Dvd Calendar'!$U$1880='Field Check'!$C$25)*10000000+(N('Dvd Calendar'!$U$1874)&gt;0)*1000000+25*1000+17))</f>
        <v/>
      </c>
      <c r="T137" s="41">
        <f>IF(N('Dvd Calendar'!$V$1875)=0,"",IF(('Dvd Calendar'!$V$1875&gt;=MIN(DATE(Summary!$C$12,1,1),Summary!$C$11))*('Dvd Calendar'!$V$1875&lt;=MAX(DATE(Summary!$C$12,12,31),Summary!$C$15))*('Dvd Calendar'!$V$1875&lt;=Summary!$C$11)=0,"",'Dvd Calendar'!$V$1875*1000000000+ISNUMBER('Dvd Calendar'!$V$1876)*100000000+('Dvd Calendar'!$V$1880='Field Check'!$C$25)*10000000+(N('Dvd Calendar'!$V$1874)&gt;0)*1000000+25*1000+18))</f>
        <v/>
      </c>
      <c r="U137" s="41">
        <f>IF(N('Dvd Calendar'!$W$1875)=0,"",IF(('Dvd Calendar'!$W$1875&gt;=MIN(DATE(Summary!$C$12,1,1),Summary!$C$11))*('Dvd Calendar'!$W$1875&lt;=MAX(DATE(Summary!$C$12,12,31),Summary!$C$15))*('Dvd Calendar'!$W$1875&lt;=Summary!$C$11)=0,"",'Dvd Calendar'!$W$1875*1000000000+ISNUMBER('Dvd Calendar'!$W$1876)*100000000+('Dvd Calendar'!$W$1880='Field Check'!$C$25)*10000000+(N('Dvd Calendar'!$W$1874)&gt;0)*1000000+25*1000+19))</f>
        <v/>
      </c>
      <c r="V137" s="41">
        <f>IF(N('Dvd Calendar'!$X$1875)=0,"",IF(('Dvd Calendar'!$X$1875&gt;=MIN(DATE(Summary!$C$12,1,1),Summary!$C$11))*('Dvd Calendar'!$X$1875&lt;=MAX(DATE(Summary!$C$12,12,31),Summary!$C$15))*('Dvd Calendar'!$X$1875&lt;=Summary!$C$11)=0,"",'Dvd Calendar'!$X$1875*1000000000+ISNUMBER('Dvd Calendar'!$X$1876)*100000000+('Dvd Calendar'!$X$1880='Field Check'!$C$25)*10000000+(N('Dvd Calendar'!$X$1874)&gt;0)*1000000+25*1000+20))</f>
        <v/>
      </c>
      <c r="W137" s="41">
        <f>IF(N('Dvd Calendar'!$Y$1875)=0,"",IF(('Dvd Calendar'!$Y$1875&gt;=MIN(DATE(Summary!$C$12,1,1),Summary!$C$11))*('Dvd Calendar'!$Y$1875&lt;=MAX(DATE(Summary!$C$12,12,31),Summary!$C$15))*('Dvd Calendar'!$Y$1875&lt;=Summary!$C$11)=0,"",'Dvd Calendar'!$Y$1875*1000000000+ISNUMBER('Dvd Calendar'!$Y$1876)*100000000+('Dvd Calendar'!$Y$1880='Field Check'!$C$25)*10000000+(N('Dvd Calendar'!$Y$1874)&gt;0)*1000000+25*1000+21))</f>
        <v/>
      </c>
      <c r="X137" s="41">
        <f>IF(N('Dvd Calendar'!$Z$1875)=0,"",IF(('Dvd Calendar'!$Z$1875&gt;=MIN(DATE(Summary!$C$12,1,1),Summary!$C$11))*('Dvd Calendar'!$Z$1875&lt;=MAX(DATE(Summary!$C$12,12,31),Summary!$C$15))*('Dvd Calendar'!$Z$1875&lt;=Summary!$C$11)=0,"",'Dvd Calendar'!$Z$1875*1000000000+ISNUMBER('Dvd Calendar'!$Z$1876)*100000000+('Dvd Calendar'!$Z$1880='Field Check'!$C$25)*10000000+(N('Dvd Calendar'!$Z$1874)&gt;0)*1000000+25*1000+22))</f>
        <v/>
      </c>
      <c r="Y137" s="41">
        <f>IF(N('Dvd Calendar'!$AA$1875)=0,"",IF(('Dvd Calendar'!$AA$1875&gt;=MIN(DATE(Summary!$C$12,1,1),Summary!$C$11))*('Dvd Calendar'!$AA$1875&lt;=MAX(DATE(Summary!$C$12,12,31),Summary!$C$15))*('Dvd Calendar'!$AA$1875&lt;=Summary!$C$11)=0,"",'Dvd Calendar'!$AA$1875*1000000000+ISNUMBER('Dvd Calendar'!$AA$1876)*100000000+('Dvd Calendar'!$AA$1880='Field Check'!$C$25)*10000000+(N('Dvd Calendar'!$AA$1874)&gt;0)*1000000+25*1000+23))</f>
        <v/>
      </c>
      <c r="Z137" s="41">
        <f>IF(N('Dvd Calendar'!$AB$1875)=0,"",IF(('Dvd Calendar'!$AB$1875&gt;=MIN(DATE(Summary!$C$12,1,1),Summary!$C$11))*('Dvd Calendar'!$AB$1875&lt;=MAX(DATE(Summary!$C$12,12,31),Summary!$C$15))*('Dvd Calendar'!$AB$1875&lt;=Summary!$C$11)=0,"",'Dvd Calendar'!$AB$1875*1000000000+ISNUMBER('Dvd Calendar'!$AB$1876)*100000000+('Dvd Calendar'!$AB$1880='Field Check'!$C$25)*10000000+(N('Dvd Calendar'!$AB$1874)&gt;0)*1000000+25*1000+24))</f>
        <v/>
      </c>
      <c r="AA137" s="41">
        <f>IF(N('Dvd Calendar'!$AC$1875)=0,"",IF(('Dvd Calendar'!$AC$1875&gt;=MIN(DATE(Summary!$C$12,1,1),Summary!$C$11))*('Dvd Calendar'!$AC$1875&lt;=MAX(DATE(Summary!$C$12,12,31),Summary!$C$15))*('Dvd Calendar'!$AC$1875&lt;=Summary!$C$11)=0,"",'Dvd Calendar'!$AC$1875*1000000000+ISNUMBER('Dvd Calendar'!$AC$1876)*100000000+('Dvd Calendar'!$AC$1880='Field Check'!$C$25)*10000000+(N('Dvd Calendar'!$AC$1874)&gt;0)*1000000+25*1000+25))</f>
        <v/>
      </c>
      <c r="AB137" s="41">
        <f>IF(N('Dvd Calendar'!$AD$1875)=0,"",IF(('Dvd Calendar'!$AD$1875&gt;=MIN(DATE(Summary!$C$12,1,1),Summary!$C$11))*('Dvd Calendar'!$AD$1875&lt;=MAX(DATE(Summary!$C$12,12,31),Summary!$C$15))*('Dvd Calendar'!$AD$1875&lt;=Summary!$C$11)=0,"",'Dvd Calendar'!$AD$1875*1000000000+ISNUMBER('Dvd Calendar'!$AD$1876)*100000000+('Dvd Calendar'!$AD$1880='Field Check'!$C$25)*10000000+(N('Dvd Calendar'!$AD$1874)&gt;0)*1000000+25*1000+26))</f>
        <v/>
      </c>
      <c r="AC137" s="41">
        <f>IF(N('Dvd Calendar'!$AE$1875)=0,"",IF(('Dvd Calendar'!$AE$1875&gt;=MIN(DATE(Summary!$C$12,1,1),Summary!$C$11))*('Dvd Calendar'!$AE$1875&lt;=MAX(DATE(Summary!$C$12,12,31),Summary!$C$15))*('Dvd Calendar'!$AE$1875&lt;=Summary!$C$11)=0,"",'Dvd Calendar'!$AE$1875*1000000000+ISNUMBER('Dvd Calendar'!$AE$1876)*100000000+('Dvd Calendar'!$AE$1880='Field Check'!$C$25)*10000000+(N('Dvd Calendar'!$AE$1874)&gt;0)*1000000+25*1000+27))</f>
        <v/>
      </c>
      <c r="AD137" s="41">
        <f>IF(N('Dvd Calendar'!$AF$1875)=0,"",IF(('Dvd Calendar'!$AF$1875&gt;=MIN(DATE(Summary!$C$12,1,1),Summary!$C$11))*('Dvd Calendar'!$AF$1875&lt;=MAX(DATE(Summary!$C$12,12,31),Summary!$C$15))*('Dvd Calendar'!$AF$1875&lt;=Summary!$C$11)=0,"",'Dvd Calendar'!$AF$1875*1000000000+ISNUMBER('Dvd Calendar'!$AF$1876)*100000000+('Dvd Calendar'!$AF$1880='Field Check'!$C$25)*10000000+(N('Dvd Calendar'!$AF$1874)&gt;0)*1000000+25*1000+28))</f>
        <v/>
      </c>
      <c r="AE137" s="41">
        <f>IF(N('Dvd Calendar'!$AG$1875)=0,"",IF(('Dvd Calendar'!$AG$1875&gt;=MIN(DATE(Summary!$C$12,1,1),Summary!$C$11))*('Dvd Calendar'!$AG$1875&lt;=MAX(DATE(Summary!$C$12,12,31),Summary!$C$15))*('Dvd Calendar'!$AG$1875&lt;=Summary!$C$11)=0,"",'Dvd Calendar'!$AG$1875*1000000000+ISNUMBER('Dvd Calendar'!$AG$1876)*100000000+('Dvd Calendar'!$AG$1880='Field Check'!$C$25)*10000000+(N('Dvd Calendar'!$AG$1874)&gt;0)*1000000+25*1000+29))</f>
        <v/>
      </c>
      <c r="AF137" s="41">
        <f>IF(N('Dvd Calendar'!$AH$1875)=0,"",IF(('Dvd Calendar'!$AH$1875&gt;=MIN(DATE(Summary!$C$12,1,1),Summary!$C$11))*('Dvd Calendar'!$AH$1875&lt;=MAX(DATE(Summary!$C$12,12,31),Summary!$C$15))*('Dvd Calendar'!$AH$1875&lt;=Summary!$C$11)=0,"",'Dvd Calendar'!$AH$1875*1000000000+ISNUMBER('Dvd Calendar'!$AH$1876)*100000000+('Dvd Calendar'!$AH$1880='Field Check'!$C$25)*10000000+(N('Dvd Calendar'!$AH$1874)&gt;0)*1000000+25*1000+30))</f>
        <v/>
      </c>
      <c r="AG137" s="41">
        <f>IF(N('Dvd Calendar'!$AI$1875)=0,"",IF(('Dvd Calendar'!$AI$1875&gt;=MIN(DATE(Summary!$C$12,1,1),Summary!$C$11))*('Dvd Calendar'!$AI$1875&lt;=MAX(DATE(Summary!$C$12,12,31),Summary!$C$15))*('Dvd Calendar'!$AI$1875&lt;=Summary!$C$11)=0,"",'Dvd Calendar'!$AI$1875*1000000000+ISNUMBER('Dvd Calendar'!$AI$1876)*100000000+('Dvd Calendar'!$AI$1880='Field Check'!$C$25)*10000000+(N('Dvd Calendar'!$AI$1874)&gt;0)*1000000+25*1000+31))</f>
        <v/>
      </c>
      <c r="AH137" s="41">
        <f>IF(N('Dvd Calendar'!$AJ$1875)=0,"",IF(('Dvd Calendar'!$AJ$1875&gt;=MIN(DATE(Summary!$C$12,1,1),Summary!$C$11))*('Dvd Calendar'!$AJ$1875&lt;=MAX(DATE(Summary!$C$12,12,31),Summary!$C$15))*('Dvd Calendar'!$AJ$1875&lt;=Summary!$C$11)=0,"",'Dvd Calendar'!$AJ$1875*1000000000+ISNUMBER('Dvd Calendar'!$AJ$1876)*100000000+('Dvd Calendar'!$AJ$1880='Field Check'!$C$25)*10000000+(N('Dvd Calendar'!$AJ$1874)&gt;0)*1000000+25*1000+32))</f>
        <v/>
      </c>
      <c r="AI137" s="41">
        <f>IF(N('Dvd Calendar'!$AK$1875)=0,"",IF(('Dvd Calendar'!$AK$1875&gt;=MIN(DATE(Summary!$C$12,1,1),Summary!$C$11))*('Dvd Calendar'!$AK$1875&lt;=MAX(DATE(Summary!$C$12,12,31),Summary!$C$15))*('Dvd Calendar'!$AK$1875&lt;=Summary!$C$11)=0,"",'Dvd Calendar'!$AK$1875*1000000000+ISNUMBER('Dvd Calendar'!$AK$1876)*100000000+('Dvd Calendar'!$AK$1880='Field Check'!$C$25)*10000000+(N('Dvd Calendar'!$AK$1874)&gt;0)*1000000+25*1000+33))</f>
        <v/>
      </c>
      <c r="AJ137" s="41">
        <f>IF(N('Dvd Calendar'!$AL$1875)=0,"",IF(('Dvd Calendar'!$AL$1875&gt;=MIN(DATE(Summary!$C$12,1,1),Summary!$C$11))*('Dvd Calendar'!$AL$1875&lt;=MAX(DATE(Summary!$C$12,12,31),Summary!$C$15))*('Dvd Calendar'!$AL$1875&lt;=Summary!$C$11)=0,"",'Dvd Calendar'!$AL$1875*1000000000+ISNUMBER('Dvd Calendar'!$AL$1876)*100000000+('Dvd Calendar'!$AL$1880='Field Check'!$C$25)*10000000+(N('Dvd Calendar'!$AL$1874)&gt;0)*1000000+25*1000+34))</f>
        <v/>
      </c>
      <c r="AK137" s="41">
        <f>IF(N('Dvd Calendar'!$AM$1875)=0,"",IF(('Dvd Calendar'!$AM$1875&gt;=MIN(DATE(Summary!$C$12,1,1),Summary!$C$11))*('Dvd Calendar'!$AM$1875&lt;=MAX(DATE(Summary!$C$12,12,31),Summary!$C$15))*('Dvd Calendar'!$AM$1875&lt;=Summary!$C$11)=0,"",'Dvd Calendar'!$AM$1875*1000000000+ISNUMBER('Dvd Calendar'!$AM$1876)*100000000+('Dvd Calendar'!$AM$1880='Field Check'!$C$25)*10000000+(N('Dvd Calendar'!$AM$1874)&gt;0)*1000000+25*1000+35))</f>
        <v/>
      </c>
      <c r="AL137" s="41">
        <f>IF(N('Dvd Calendar'!$AN$1875)=0,"",IF(('Dvd Calendar'!$AN$1875&gt;=MIN(DATE(Summary!$C$12,1,1),Summary!$C$11))*('Dvd Calendar'!$AN$1875&lt;=MAX(DATE(Summary!$C$12,12,31),Summary!$C$15))*('Dvd Calendar'!$AN$1875&lt;=Summary!$C$11)=0,"",'Dvd Calendar'!$AN$1875*1000000000+ISNUMBER('Dvd Calendar'!$AN$1876)*100000000+('Dvd Calendar'!$AN$1880='Field Check'!$C$25)*10000000+(N('Dvd Calendar'!$AN$1874)&gt;0)*1000000+25*1000+36))</f>
        <v/>
      </c>
      <c r="AM137" s="41">
        <f>IF(N('Dvd Calendar'!$AO$1875)=0,"",IF(('Dvd Calendar'!$AO$1875&gt;=MIN(DATE(Summary!$C$12,1,1),Summary!$C$11))*('Dvd Calendar'!$AO$1875&lt;=MAX(DATE(Summary!$C$12,12,31),Summary!$C$15))*('Dvd Calendar'!$AO$1875&lt;=Summary!$C$11)=0,"",'Dvd Calendar'!$AO$1875*1000000000+ISNUMBER('Dvd Calendar'!$AO$1876)*100000000+('Dvd Calendar'!$AO$1880='Field Check'!$C$25)*10000000+(N('Dvd Calendar'!$AO$1874)&gt;0)*1000000+25*1000+37))</f>
        <v/>
      </c>
      <c r="AN137" s="41">
        <f>IF(N('Dvd Calendar'!$AP$1875)=0,"",IF(('Dvd Calendar'!$AP$1875&gt;=MIN(DATE(Summary!$C$12,1,1),Summary!$C$11))*('Dvd Calendar'!$AP$1875&lt;=MAX(DATE(Summary!$C$12,12,31),Summary!$C$15))*('Dvd Calendar'!$AP$1875&lt;=Summary!$C$11)=0,"",'Dvd Calendar'!$AP$1875*1000000000+ISNUMBER('Dvd Calendar'!$AP$1876)*100000000+('Dvd Calendar'!$AP$1880='Field Check'!$C$25)*10000000+(N('Dvd Calendar'!$AP$1874)&gt;0)*1000000+25*1000+38))</f>
        <v/>
      </c>
      <c r="AO137" s="41">
        <f>IF(N('Dvd Calendar'!$AQ$1875)=0,"",IF(('Dvd Calendar'!$AQ$1875&gt;=MIN(DATE(Summary!$C$12,1,1),Summary!$C$11))*('Dvd Calendar'!$AQ$1875&lt;=MAX(DATE(Summary!$C$12,12,31),Summary!$C$15))*('Dvd Calendar'!$AQ$1875&lt;=Summary!$C$11)=0,"",'Dvd Calendar'!$AQ$1875*1000000000+ISNUMBER('Dvd Calendar'!$AQ$1876)*100000000+('Dvd Calendar'!$AQ$1880='Field Check'!$C$25)*10000000+(N('Dvd Calendar'!$AQ$1874)&gt;0)*1000000+25*1000+39))</f>
        <v/>
      </c>
      <c r="AP137" s="41">
        <f>IF(N('Dvd Calendar'!$AR$1875)=0,"",IF(('Dvd Calendar'!$AR$1875&gt;=MIN(DATE(Summary!$C$12,1,1),Summary!$C$11))*('Dvd Calendar'!$AR$1875&lt;=MAX(DATE(Summary!$C$12,12,31),Summary!$C$15))*('Dvd Calendar'!$AR$1875&lt;=Summary!$C$11)=0,"",'Dvd Calendar'!$AR$1875*1000000000+ISNUMBER('Dvd Calendar'!$AR$1876)*100000000+('Dvd Calendar'!$AR$1880='Field Check'!$C$25)*10000000+(N('Dvd Calendar'!$AR$1874)&gt;0)*1000000+25*1000+40))</f>
        <v/>
      </c>
      <c r="AQ137" s="41">
        <f>IF(N('Dvd Calendar'!$E$1882)=0,"",IF(('Dvd Calendar'!$E$1882&gt;=MIN(DATE(Summary!$C$12,1,1),Summary!$C$11))*('Dvd Calendar'!$E$1882&lt;=MAX(DATE(Summary!$C$12,12,31),Summary!$C$15))*('Dvd Calendar'!$E$1882&gt;Summary!$C$11)=0,"",'Dvd Calendar'!$E$1882*1000000000+ISNUMBER('Dvd Calendar'!$E$1883)*100000000+('Dvd Calendar'!$E$1887='Field Check'!$C$25)*10000000+(N('Dvd Calendar'!$E$1881)&gt;0)*1000000+25*1000+41))</f>
        <v/>
      </c>
      <c r="AR137" s="41">
        <f>IF(N('Dvd Calendar'!$F$1882)=0,"",IF(('Dvd Calendar'!$F$1882&gt;=MIN(DATE(Summary!$C$12,1,1),Summary!$C$11))*('Dvd Calendar'!$F$1882&lt;=MAX(DATE(Summary!$C$12,12,31),Summary!$C$15))*('Dvd Calendar'!$F$1882&gt;Summary!$C$11)=0,"",'Dvd Calendar'!$F$1882*1000000000+ISNUMBER('Dvd Calendar'!$F$1883)*100000000+('Dvd Calendar'!$F$1887='Field Check'!$C$25)*10000000+(N('Dvd Calendar'!$F$1881)&gt;0)*1000000+25*1000+42))</f>
        <v/>
      </c>
      <c r="AS137" s="41">
        <f>IF(N('Dvd Calendar'!$G$1882)=0,"",IF(('Dvd Calendar'!$G$1882&gt;=MIN(DATE(Summary!$C$12,1,1),Summary!$C$11))*('Dvd Calendar'!$G$1882&lt;=MAX(DATE(Summary!$C$12,12,31),Summary!$C$15))*('Dvd Calendar'!$G$1882&gt;Summary!$C$11)=0,"",'Dvd Calendar'!$G$1882*1000000000+ISNUMBER('Dvd Calendar'!$G$1883)*100000000+('Dvd Calendar'!$G$1887='Field Check'!$C$25)*10000000+(N('Dvd Calendar'!$G$1881)&gt;0)*1000000+25*1000+43))</f>
        <v/>
      </c>
      <c r="AT137" s="41">
        <f>IF(N('Dvd Calendar'!$H$1882)=0,"",IF(('Dvd Calendar'!$H$1882&gt;=MIN(DATE(Summary!$C$12,1,1),Summary!$C$11))*('Dvd Calendar'!$H$1882&lt;=MAX(DATE(Summary!$C$12,12,31),Summary!$C$15))*('Dvd Calendar'!$H$1882&gt;Summary!$C$11)=0,"",'Dvd Calendar'!$H$1882*1000000000+ISNUMBER('Dvd Calendar'!$H$1883)*100000000+('Dvd Calendar'!$H$1887='Field Check'!$C$25)*10000000+(N('Dvd Calendar'!$H$1881)&gt;0)*1000000+25*1000+44))</f>
        <v/>
      </c>
      <c r="AU137" s="41">
        <f>IF(N('Dvd Calendar'!$I$1882)=0,"",IF(('Dvd Calendar'!$I$1882&gt;=MIN(DATE(Summary!$C$12,1,1),Summary!$C$11))*('Dvd Calendar'!$I$1882&lt;=MAX(DATE(Summary!$C$12,12,31),Summary!$C$15))*('Dvd Calendar'!$I$1882&gt;Summary!$C$11)=0,"",'Dvd Calendar'!$I$1882*1000000000+ISNUMBER('Dvd Calendar'!$I$1883)*100000000+('Dvd Calendar'!$I$1887='Field Check'!$C$25)*10000000+(N('Dvd Calendar'!$I$1881)&gt;0)*1000000+25*1000+45))</f>
        <v/>
      </c>
      <c r="AV137" s="41">
        <f>IF(N('Dvd Calendar'!$J$1882)=0,"",IF(('Dvd Calendar'!$J$1882&gt;=MIN(DATE(Summary!$C$12,1,1),Summary!$C$11))*('Dvd Calendar'!$J$1882&lt;=MAX(DATE(Summary!$C$12,12,31),Summary!$C$15))*('Dvd Calendar'!$J$1882&gt;Summary!$C$11)=0,"",'Dvd Calendar'!$J$1882*1000000000+ISNUMBER('Dvd Calendar'!$J$1883)*100000000+('Dvd Calendar'!$J$1887='Field Check'!$C$25)*10000000+(N('Dvd Calendar'!$J$1881)&gt;0)*1000000+25*1000+46))</f>
        <v/>
      </c>
      <c r="AW137" s="41">
        <f>IF(N('Dvd Calendar'!$K$1882)=0,"",IF(('Dvd Calendar'!$K$1882&gt;=MIN(DATE(Summary!$C$12,1,1),Summary!$C$11))*('Dvd Calendar'!$K$1882&lt;=MAX(DATE(Summary!$C$12,12,31),Summary!$C$15))*('Dvd Calendar'!$K$1882&gt;Summary!$C$11)=0,"",'Dvd Calendar'!$K$1882*1000000000+ISNUMBER('Dvd Calendar'!$K$1883)*100000000+('Dvd Calendar'!$K$1887='Field Check'!$C$25)*10000000+(N('Dvd Calendar'!$K$1881)&gt;0)*1000000+25*1000+47))</f>
        <v/>
      </c>
      <c r="AX137" s="41">
        <f>IF(N('Dvd Calendar'!$L$1882)=0,"",IF(('Dvd Calendar'!$L$1882&gt;=MIN(DATE(Summary!$C$12,1,1),Summary!$C$11))*('Dvd Calendar'!$L$1882&lt;=MAX(DATE(Summary!$C$12,12,31),Summary!$C$15))*('Dvd Calendar'!$L$1882&gt;Summary!$C$11)=0,"",'Dvd Calendar'!$L$1882*1000000000+ISNUMBER('Dvd Calendar'!$L$1883)*100000000+('Dvd Calendar'!$L$1887='Field Check'!$C$25)*10000000+(N('Dvd Calendar'!$L$1881)&gt;0)*1000000+25*1000+48))</f>
        <v/>
      </c>
      <c r="AY137" s="41">
        <f>IF(N('Dvd Calendar'!$M$1882)=0,"",IF(('Dvd Calendar'!$M$1882&gt;=MIN(DATE(Summary!$C$12,1,1),Summary!$C$11))*('Dvd Calendar'!$M$1882&lt;=MAX(DATE(Summary!$C$12,12,31),Summary!$C$15))*('Dvd Calendar'!$M$1882&gt;Summary!$C$11)=0,"",'Dvd Calendar'!$M$1882*1000000000+ISNUMBER('Dvd Calendar'!$M$1883)*100000000+('Dvd Calendar'!$M$1887='Field Check'!$C$25)*10000000+(N('Dvd Calendar'!$M$1881)&gt;0)*1000000+25*1000+49))</f>
        <v/>
      </c>
      <c r="AZ137" s="41">
        <f>IF(N('Dvd Calendar'!$N$1882)=0,"",IF(('Dvd Calendar'!$N$1882&gt;=MIN(DATE(Summary!$C$12,1,1),Summary!$C$11))*('Dvd Calendar'!$N$1882&lt;=MAX(DATE(Summary!$C$12,12,31),Summary!$C$15))*('Dvd Calendar'!$N$1882&gt;Summary!$C$11)=0,"",'Dvd Calendar'!$N$1882*1000000000+ISNUMBER('Dvd Calendar'!$N$1883)*100000000+('Dvd Calendar'!$N$1887='Field Check'!$C$25)*10000000+(N('Dvd Calendar'!$N$1881)&gt;0)*1000000+25*1000+50))</f>
        <v/>
      </c>
      <c r="BA137" s="41">
        <f>IF(N('Dvd Calendar'!$O$1882)=0,"",IF(('Dvd Calendar'!$O$1882&gt;=MIN(DATE(Summary!$C$12,1,1),Summary!$C$11))*('Dvd Calendar'!$O$1882&lt;=MAX(DATE(Summary!$C$12,12,31),Summary!$C$15))*('Dvd Calendar'!$O$1882&gt;Summary!$C$11)=0,"",'Dvd Calendar'!$O$1882*1000000000+ISNUMBER('Dvd Calendar'!$O$1883)*100000000+('Dvd Calendar'!$O$1887='Field Check'!$C$25)*10000000+(N('Dvd Calendar'!$O$1881)&gt;0)*1000000+25*1000+51))</f>
        <v/>
      </c>
      <c r="BB137" s="41">
        <f>IF(N('Dvd Calendar'!$P$1882)=0,"",IF(('Dvd Calendar'!$P$1882&gt;=MIN(DATE(Summary!$C$12,1,1),Summary!$C$11))*('Dvd Calendar'!$P$1882&lt;=MAX(DATE(Summary!$C$12,12,31),Summary!$C$15))*('Dvd Calendar'!$P$1882&gt;Summary!$C$11)=0,"",'Dvd Calendar'!$P$1882*1000000000+ISNUMBER('Dvd Calendar'!$P$1883)*100000000+('Dvd Calendar'!$P$1887='Field Check'!$C$25)*10000000+(N('Dvd Calendar'!$P$1881)&gt;0)*1000000+25*1000+52))</f>
        <v/>
      </c>
      <c r="BC137" s="41">
        <f>IF(N('Dvd Calendar'!$Q$1882)=0,"",IF(('Dvd Calendar'!$Q$1882&gt;=MIN(DATE(Summary!$C$12,1,1),Summary!$C$11))*('Dvd Calendar'!$Q$1882&lt;=MAX(DATE(Summary!$C$12,12,31),Summary!$C$15))*('Dvd Calendar'!$Q$1882&gt;Summary!$C$11)=0,"",'Dvd Calendar'!$Q$1882*1000000000+ISNUMBER('Dvd Calendar'!$Q$1883)*100000000+('Dvd Calendar'!$Q$1887='Field Check'!$C$25)*10000000+(N('Dvd Calendar'!$Q$1881)&gt;0)*1000000+25*1000+53))</f>
        <v/>
      </c>
      <c r="BD137" s="41">
        <f>IF(N('Dvd Calendar'!$R$1882)=0,"",IF(('Dvd Calendar'!$R$1882&gt;=MIN(DATE(Summary!$C$12,1,1),Summary!$C$11))*('Dvd Calendar'!$R$1882&lt;=MAX(DATE(Summary!$C$12,12,31),Summary!$C$15))*('Dvd Calendar'!$R$1882&gt;Summary!$C$11)=0,"",'Dvd Calendar'!$R$1882*1000000000+ISNUMBER('Dvd Calendar'!$R$1883)*100000000+('Dvd Calendar'!$R$1887='Field Check'!$C$25)*10000000+(N('Dvd Calendar'!$R$1881)&gt;0)*1000000+25*1000+54))</f>
        <v/>
      </c>
      <c r="BE137" s="41">
        <f>IF(N('Dvd Calendar'!$S$1882)=0,"",IF(('Dvd Calendar'!$S$1882&gt;=MIN(DATE(Summary!$C$12,1,1),Summary!$C$11))*('Dvd Calendar'!$S$1882&lt;=MAX(DATE(Summary!$C$12,12,31),Summary!$C$15))*('Dvd Calendar'!$S$1882&gt;Summary!$C$11)=0,"",'Dvd Calendar'!$S$1882*1000000000+ISNUMBER('Dvd Calendar'!$S$1883)*100000000+('Dvd Calendar'!$S$1887='Field Check'!$C$25)*10000000+(N('Dvd Calendar'!$S$1881)&gt;0)*1000000+25*1000+55))</f>
        <v/>
      </c>
      <c r="BF137" s="41">
        <f>IF(N('Dvd Calendar'!$T$1882)=0,"",IF(('Dvd Calendar'!$T$1882&gt;=MIN(DATE(Summary!$C$12,1,1),Summary!$C$11))*('Dvd Calendar'!$T$1882&lt;=MAX(DATE(Summary!$C$12,12,31),Summary!$C$15))*('Dvd Calendar'!$T$1882&gt;Summary!$C$11)=0,"",'Dvd Calendar'!$T$1882*1000000000+ISNUMBER('Dvd Calendar'!$T$1883)*100000000+('Dvd Calendar'!$T$1887='Field Check'!$C$25)*10000000+(N('Dvd Calendar'!$T$1881)&gt;0)*1000000+25*1000+56))</f>
        <v/>
      </c>
      <c r="BG137" s="41">
        <f>IF(N('Dvd Calendar'!$U$1882)=0,"",IF(('Dvd Calendar'!$U$1882&gt;=MIN(DATE(Summary!$C$12,1,1),Summary!$C$11))*('Dvd Calendar'!$U$1882&lt;=MAX(DATE(Summary!$C$12,12,31),Summary!$C$15))*('Dvd Calendar'!$U$1882&gt;Summary!$C$11)=0,"",'Dvd Calendar'!$U$1882*1000000000+ISNUMBER('Dvd Calendar'!$U$1883)*100000000+('Dvd Calendar'!$U$1887='Field Check'!$C$25)*10000000+(N('Dvd Calendar'!$U$1881)&gt;0)*1000000+25*1000+57))</f>
        <v/>
      </c>
      <c r="BH137" s="41">
        <f>IF(N('Dvd Calendar'!$V$1882)=0,"",IF(('Dvd Calendar'!$V$1882&gt;=MIN(DATE(Summary!$C$12,1,1),Summary!$C$11))*('Dvd Calendar'!$V$1882&lt;=MAX(DATE(Summary!$C$12,12,31),Summary!$C$15))*('Dvd Calendar'!$V$1882&gt;Summary!$C$11)=0,"",'Dvd Calendar'!$V$1882*1000000000+ISNUMBER('Dvd Calendar'!$V$1883)*100000000+('Dvd Calendar'!$V$1887='Field Check'!$C$25)*10000000+(N('Dvd Calendar'!$V$1881)&gt;0)*1000000+25*1000+58))</f>
        <v/>
      </c>
      <c r="BI137" s="41">
        <f>IF(N('Dvd Calendar'!$W$1882)=0,"",IF(('Dvd Calendar'!$W$1882&gt;=MIN(DATE(Summary!$C$12,1,1),Summary!$C$11))*('Dvd Calendar'!$W$1882&lt;=MAX(DATE(Summary!$C$12,12,31),Summary!$C$15))*('Dvd Calendar'!$W$1882&gt;Summary!$C$11)=0,"",'Dvd Calendar'!$W$1882*1000000000+ISNUMBER('Dvd Calendar'!$W$1883)*100000000+('Dvd Calendar'!$W$1887='Field Check'!$C$25)*10000000+(N('Dvd Calendar'!$W$1881)&gt;0)*1000000+25*1000+59))</f>
        <v/>
      </c>
      <c r="BJ137" s="41">
        <f>IF(N('Dvd Calendar'!$X$1882)=0,"",IF(('Dvd Calendar'!$X$1882&gt;=MIN(DATE(Summary!$C$12,1,1),Summary!$C$11))*('Dvd Calendar'!$X$1882&lt;=MAX(DATE(Summary!$C$12,12,31),Summary!$C$15))*('Dvd Calendar'!$X$1882&gt;Summary!$C$11)=0,"",'Dvd Calendar'!$X$1882*1000000000+ISNUMBER('Dvd Calendar'!$X$1883)*100000000+('Dvd Calendar'!$X$1887='Field Check'!$C$25)*10000000+(N('Dvd Calendar'!$X$1881)&gt;0)*1000000+25*1000+60))</f>
        <v/>
      </c>
      <c r="BK137" s="41">
        <f>IF(N('Dvd Calendar'!$Y$1882)=0,"",IF(('Dvd Calendar'!$Y$1882&gt;=MIN(DATE(Summary!$C$12,1,1),Summary!$C$11))*('Dvd Calendar'!$Y$1882&lt;=MAX(DATE(Summary!$C$12,12,31),Summary!$C$15))*('Dvd Calendar'!$Y$1882&gt;Summary!$C$11)=0,"",'Dvd Calendar'!$Y$1882*1000000000+ISNUMBER('Dvd Calendar'!$Y$1883)*100000000+('Dvd Calendar'!$Y$1887='Field Check'!$C$25)*10000000+(N('Dvd Calendar'!$Y$1881)&gt;0)*1000000+25*1000+61))</f>
        <v/>
      </c>
      <c r="BL137" s="41">
        <f>IF(N('Dvd Calendar'!$Z$1882)=0,"",IF(('Dvd Calendar'!$Z$1882&gt;=MIN(DATE(Summary!$C$12,1,1),Summary!$C$11))*('Dvd Calendar'!$Z$1882&lt;=MAX(DATE(Summary!$C$12,12,31),Summary!$C$15))*('Dvd Calendar'!$Z$1882&gt;Summary!$C$11)=0,"",'Dvd Calendar'!$Z$1882*1000000000+ISNUMBER('Dvd Calendar'!$Z$1883)*100000000+('Dvd Calendar'!$Z$1887='Field Check'!$C$25)*10000000+(N('Dvd Calendar'!$Z$1881)&gt;0)*1000000+25*1000+62))</f>
        <v/>
      </c>
      <c r="BM137" s="41">
        <f>IF(N('Dvd Calendar'!$AA$1882)=0,"",IF(('Dvd Calendar'!$AA$1882&gt;=MIN(DATE(Summary!$C$12,1,1),Summary!$C$11))*('Dvd Calendar'!$AA$1882&lt;=MAX(DATE(Summary!$C$12,12,31),Summary!$C$15))*('Dvd Calendar'!$AA$1882&gt;Summary!$C$11)=0,"",'Dvd Calendar'!$AA$1882*1000000000+ISNUMBER('Dvd Calendar'!$AA$1883)*100000000+('Dvd Calendar'!$AA$1887='Field Check'!$C$25)*10000000+(N('Dvd Calendar'!$AA$1881)&gt;0)*1000000+25*1000+63))</f>
        <v/>
      </c>
      <c r="BN137" s="41">
        <f>IF(N('Dvd Calendar'!$AB$1882)=0,"",IF(('Dvd Calendar'!$AB$1882&gt;=MIN(DATE(Summary!$C$12,1,1),Summary!$C$11))*('Dvd Calendar'!$AB$1882&lt;=MAX(DATE(Summary!$C$12,12,31),Summary!$C$15))*('Dvd Calendar'!$AB$1882&gt;Summary!$C$11)=0,"",'Dvd Calendar'!$AB$1882*1000000000+ISNUMBER('Dvd Calendar'!$AB$1883)*100000000+('Dvd Calendar'!$AB$1887='Field Check'!$C$25)*10000000+(N('Dvd Calendar'!$AB$1881)&gt;0)*1000000+25*1000+64))</f>
        <v/>
      </c>
      <c r="BO137" s="41">
        <f>IF(N('Dvd Calendar'!$AC$1882)=0,"",IF(('Dvd Calendar'!$AC$1882&gt;=MIN(DATE(Summary!$C$12,1,1),Summary!$C$11))*('Dvd Calendar'!$AC$1882&lt;=MAX(DATE(Summary!$C$12,12,31),Summary!$C$15))*('Dvd Calendar'!$AC$1882&gt;Summary!$C$11)=0,"",'Dvd Calendar'!$AC$1882*1000000000+ISNUMBER('Dvd Calendar'!$AC$1883)*100000000+('Dvd Calendar'!$AC$1887='Field Check'!$C$25)*10000000+(N('Dvd Calendar'!$AC$1881)&gt;0)*1000000+25*1000+65))</f>
        <v/>
      </c>
      <c r="BQ137" s="85">
        <f>IF(C137="","",IF(ISNUMBER('Dvd Calendar'!$E$1876)=FALSE,"",IF((Summary!$C$13="N")*('Dvd Calendar'!$E$1880='Field Check'!$C$25)&gt;0,"",'Dvd Calendar'!$E$1876)))</f>
        <v/>
      </c>
      <c r="BR137" s="85">
        <f>IF(D137="","",IF(ISNUMBER('Dvd Calendar'!$F$1876)=FALSE,"",IF((Summary!$C$13="N")*('Dvd Calendar'!$F$1880='Field Check'!$C$25)&gt;0,"",'Dvd Calendar'!$F$1876)))</f>
        <v/>
      </c>
      <c r="BS137" s="85">
        <f>IF(E137="","",IF(ISNUMBER('Dvd Calendar'!$G$1876)=FALSE,"",IF((Summary!$C$13="N")*('Dvd Calendar'!$G$1880='Field Check'!$C$25)&gt;0,"",'Dvd Calendar'!$G$1876)))</f>
        <v/>
      </c>
      <c r="BT137" s="85">
        <f>IF(F137="","",IF(ISNUMBER('Dvd Calendar'!$H$1876)=FALSE,"",IF((Summary!$C$13="N")*('Dvd Calendar'!$H$1880='Field Check'!$C$25)&gt;0,"",'Dvd Calendar'!$H$1876)))</f>
        <v/>
      </c>
      <c r="BU137" s="85">
        <f>IF(G137="","",IF(ISNUMBER('Dvd Calendar'!$I$1876)=FALSE,"",IF((Summary!$C$13="N")*('Dvd Calendar'!$I$1880='Field Check'!$C$25)&gt;0,"",'Dvd Calendar'!$I$1876)))</f>
        <v/>
      </c>
      <c r="BV137" s="85">
        <f>IF(H137="","",IF(ISNUMBER('Dvd Calendar'!$J$1876)=FALSE,"",IF((Summary!$C$13="N")*('Dvd Calendar'!$J$1880='Field Check'!$C$25)&gt;0,"",'Dvd Calendar'!$J$1876)))</f>
        <v/>
      </c>
      <c r="BW137" s="85">
        <f>IF(I137="","",IF(ISNUMBER('Dvd Calendar'!$K$1876)=FALSE,"",IF((Summary!$C$13="N")*('Dvd Calendar'!$K$1880='Field Check'!$C$25)&gt;0,"",'Dvd Calendar'!$K$1876)))</f>
        <v/>
      </c>
      <c r="BX137" s="85">
        <f>IF(J137="","",IF(ISNUMBER('Dvd Calendar'!$L$1876)=FALSE,"",IF((Summary!$C$13="N")*('Dvd Calendar'!$L$1880='Field Check'!$C$25)&gt;0,"",'Dvd Calendar'!$L$1876)))</f>
        <v/>
      </c>
      <c r="BY137" s="85">
        <f>IF(K137="","",IF(ISNUMBER('Dvd Calendar'!$M$1876)=FALSE,"",IF((Summary!$C$13="N")*('Dvd Calendar'!$M$1880='Field Check'!$C$25)&gt;0,"",'Dvd Calendar'!$M$1876)))</f>
        <v/>
      </c>
      <c r="BZ137" s="85">
        <f>IF(L137="","",IF(ISNUMBER('Dvd Calendar'!$N$1876)=FALSE,"",IF((Summary!$C$13="N")*('Dvd Calendar'!$N$1880='Field Check'!$C$25)&gt;0,"",'Dvd Calendar'!$N$1876)))</f>
        <v/>
      </c>
      <c r="CA137" s="85">
        <f>IF(M137="","",IF(ISNUMBER('Dvd Calendar'!$O$1876)=FALSE,"",IF((Summary!$C$13="N")*('Dvd Calendar'!$O$1880='Field Check'!$C$25)&gt;0,"",'Dvd Calendar'!$O$1876)))</f>
        <v/>
      </c>
      <c r="CB137" s="85">
        <f>IF(N137="","",IF(ISNUMBER('Dvd Calendar'!$P$1876)=FALSE,"",IF((Summary!$C$13="N")*('Dvd Calendar'!$P$1880='Field Check'!$C$25)&gt;0,"",'Dvd Calendar'!$P$1876)))</f>
        <v/>
      </c>
      <c r="CC137" s="85">
        <f>IF(O137="","",IF(ISNUMBER('Dvd Calendar'!$Q$1876)=FALSE,"",IF((Summary!$C$13="N")*('Dvd Calendar'!$Q$1880='Field Check'!$C$25)&gt;0,"",'Dvd Calendar'!$Q$1876)))</f>
        <v/>
      </c>
      <c r="CD137" s="85">
        <f>IF(P137="","",IF(ISNUMBER('Dvd Calendar'!$R$1876)=FALSE,"",IF((Summary!$C$13="N")*('Dvd Calendar'!$R$1880='Field Check'!$C$25)&gt;0,"",'Dvd Calendar'!$R$1876)))</f>
        <v/>
      </c>
      <c r="CE137" s="85">
        <f>IF(Q137="","",IF(ISNUMBER('Dvd Calendar'!$S$1876)=FALSE,"",IF((Summary!$C$13="N")*('Dvd Calendar'!$S$1880='Field Check'!$C$25)&gt;0,"",'Dvd Calendar'!$S$1876)))</f>
        <v/>
      </c>
      <c r="CF137" s="85">
        <f>IF(R137="","",IF(ISNUMBER('Dvd Calendar'!$T$1876)=FALSE,"",IF((Summary!$C$13="N")*('Dvd Calendar'!$T$1880='Field Check'!$C$25)&gt;0,"",'Dvd Calendar'!$T$1876)))</f>
        <v/>
      </c>
      <c r="CG137" s="85">
        <f>IF(S137="","",IF(ISNUMBER('Dvd Calendar'!$U$1876)=FALSE,"",IF((Summary!$C$13="N")*('Dvd Calendar'!$U$1880='Field Check'!$C$25)&gt;0,"",'Dvd Calendar'!$U$1876)))</f>
        <v/>
      </c>
      <c r="CH137" s="85">
        <f>IF(T137="","",IF(ISNUMBER('Dvd Calendar'!$V$1876)=FALSE,"",IF((Summary!$C$13="N")*('Dvd Calendar'!$V$1880='Field Check'!$C$25)&gt;0,"",'Dvd Calendar'!$V$1876)))</f>
        <v/>
      </c>
      <c r="CI137" s="85">
        <f>IF(U137="","",IF(ISNUMBER('Dvd Calendar'!$W$1876)=FALSE,"",IF((Summary!$C$13="N")*('Dvd Calendar'!$W$1880='Field Check'!$C$25)&gt;0,"",'Dvd Calendar'!$W$1876)))</f>
        <v/>
      </c>
      <c r="CJ137" s="85">
        <f>IF(V137="","",IF(ISNUMBER('Dvd Calendar'!$X$1876)=FALSE,"",IF((Summary!$C$13="N")*('Dvd Calendar'!$X$1880='Field Check'!$C$25)&gt;0,"",'Dvd Calendar'!$X$1876)))</f>
        <v/>
      </c>
      <c r="CK137" s="85">
        <f>IF(W137="","",IF(ISNUMBER('Dvd Calendar'!$Y$1876)=FALSE,"",IF((Summary!$C$13="N")*('Dvd Calendar'!$Y$1880='Field Check'!$C$25)&gt;0,"",'Dvd Calendar'!$Y$1876)))</f>
        <v/>
      </c>
      <c r="CL137" s="85">
        <f>IF(X137="","",IF(ISNUMBER('Dvd Calendar'!$Z$1876)=FALSE,"",IF((Summary!$C$13="N")*('Dvd Calendar'!$Z$1880='Field Check'!$C$25)&gt;0,"",'Dvd Calendar'!$Z$1876)))</f>
        <v/>
      </c>
      <c r="CM137" s="85">
        <f>IF(Y137="","",IF(ISNUMBER('Dvd Calendar'!$AA$1876)=FALSE,"",IF((Summary!$C$13="N")*('Dvd Calendar'!$AA$1880='Field Check'!$C$25)&gt;0,"",'Dvd Calendar'!$AA$1876)))</f>
        <v/>
      </c>
      <c r="CN137" s="85">
        <f>IF(Z137="","",IF(ISNUMBER('Dvd Calendar'!$AB$1876)=FALSE,"",IF((Summary!$C$13="N")*('Dvd Calendar'!$AB$1880='Field Check'!$C$25)&gt;0,"",'Dvd Calendar'!$AB$1876)))</f>
        <v/>
      </c>
      <c r="CO137" s="85">
        <f>IF(AA137="","",IF(ISNUMBER('Dvd Calendar'!$AC$1876)=FALSE,"",IF((Summary!$C$13="N")*('Dvd Calendar'!$AC$1880='Field Check'!$C$25)&gt;0,"",'Dvd Calendar'!$AC$1876)))</f>
        <v/>
      </c>
      <c r="CP137" s="85">
        <f>IF(AB137="","",IF(ISNUMBER('Dvd Calendar'!$AD$1876)=FALSE,"",IF((Summary!$C$13="N")*('Dvd Calendar'!$AD$1880='Field Check'!$C$25)&gt;0,"",'Dvd Calendar'!$AD$1876)))</f>
        <v/>
      </c>
      <c r="CQ137" s="85">
        <f>IF(AC137="","",IF(ISNUMBER('Dvd Calendar'!$AE$1876)=FALSE,"",IF((Summary!$C$13="N")*('Dvd Calendar'!$AE$1880='Field Check'!$C$25)&gt;0,"",'Dvd Calendar'!$AE$1876)))</f>
        <v/>
      </c>
      <c r="CR137" s="85">
        <f>IF(AD137="","",IF(ISNUMBER('Dvd Calendar'!$AF$1876)=FALSE,"",IF((Summary!$C$13="N")*('Dvd Calendar'!$AF$1880='Field Check'!$C$25)&gt;0,"",'Dvd Calendar'!$AF$1876)))</f>
        <v/>
      </c>
      <c r="CS137" s="85">
        <f>IF(AE137="","",IF(ISNUMBER('Dvd Calendar'!$AG$1876)=FALSE,"",IF((Summary!$C$13="N")*('Dvd Calendar'!$AG$1880='Field Check'!$C$25)&gt;0,"",'Dvd Calendar'!$AG$1876)))</f>
        <v/>
      </c>
      <c r="CT137" s="85">
        <f>IF(AF137="","",IF(ISNUMBER('Dvd Calendar'!$AH$1876)=FALSE,"",IF((Summary!$C$13="N")*('Dvd Calendar'!$AH$1880='Field Check'!$C$25)&gt;0,"",'Dvd Calendar'!$AH$1876)))</f>
        <v/>
      </c>
      <c r="CU137" s="85">
        <f>IF(AG137="","",IF(ISNUMBER('Dvd Calendar'!$AI$1876)=FALSE,"",IF((Summary!$C$13="N")*('Dvd Calendar'!$AI$1880='Field Check'!$C$25)&gt;0,"",'Dvd Calendar'!$AI$1876)))</f>
        <v/>
      </c>
      <c r="CV137" s="85">
        <f>IF(AH137="","",IF(ISNUMBER('Dvd Calendar'!$AJ$1876)=FALSE,"",IF((Summary!$C$13="N")*('Dvd Calendar'!$AJ$1880='Field Check'!$C$25)&gt;0,"",'Dvd Calendar'!$AJ$1876)))</f>
        <v/>
      </c>
      <c r="CW137" s="85">
        <f>IF(AI137="","",IF(ISNUMBER('Dvd Calendar'!$AK$1876)=FALSE,"",IF((Summary!$C$13="N")*('Dvd Calendar'!$AK$1880='Field Check'!$C$25)&gt;0,"",'Dvd Calendar'!$AK$1876)))</f>
        <v/>
      </c>
      <c r="CX137" s="85">
        <f>IF(AJ137="","",IF(ISNUMBER('Dvd Calendar'!$AL$1876)=FALSE,"",IF((Summary!$C$13="N")*('Dvd Calendar'!$AL$1880='Field Check'!$C$25)&gt;0,"",'Dvd Calendar'!$AL$1876)))</f>
        <v/>
      </c>
      <c r="CY137" s="85">
        <f>IF(AK137="","",IF(ISNUMBER('Dvd Calendar'!$AM$1876)=FALSE,"",IF((Summary!$C$13="N")*('Dvd Calendar'!$AM$1880='Field Check'!$C$25)&gt;0,"",'Dvd Calendar'!$AM$1876)))</f>
        <v/>
      </c>
      <c r="CZ137" s="85">
        <f>IF(AL137="","",IF(ISNUMBER('Dvd Calendar'!$AN$1876)=FALSE,"",IF((Summary!$C$13="N")*('Dvd Calendar'!$AN$1880='Field Check'!$C$25)&gt;0,"",'Dvd Calendar'!$AN$1876)))</f>
        <v/>
      </c>
      <c r="DA137" s="85">
        <f>IF(AM137="","",IF(ISNUMBER('Dvd Calendar'!$AO$1876)=FALSE,"",IF((Summary!$C$13="N")*('Dvd Calendar'!$AO$1880='Field Check'!$C$25)&gt;0,"",'Dvd Calendar'!$AO$1876)))</f>
        <v/>
      </c>
      <c r="DB137" s="85">
        <f>IF(AN137="","",IF(ISNUMBER('Dvd Calendar'!$AP$1876)=FALSE,"",IF((Summary!$C$13="N")*('Dvd Calendar'!$AP$1880='Field Check'!$C$25)&gt;0,"",'Dvd Calendar'!$AP$1876)))</f>
        <v/>
      </c>
      <c r="DC137" s="85">
        <f>IF(AO137="","",IF(ISNUMBER('Dvd Calendar'!$AQ$1876)=FALSE,"",IF((Summary!$C$13="N")*('Dvd Calendar'!$AQ$1880='Field Check'!$C$25)&gt;0,"",'Dvd Calendar'!$AQ$1876)))</f>
        <v/>
      </c>
      <c r="DD137" s="85">
        <f>IF(AP137="","",IF(ISNUMBER('Dvd Calendar'!$AR$1876)=FALSE,"",IF((Summary!$C$13="N")*('Dvd Calendar'!$AR$1880='Field Check'!$C$25)&gt;0,"",'Dvd Calendar'!$AR$1876)))</f>
        <v/>
      </c>
      <c r="DE137" s="85">
        <f>IF(AQ137="","",IF(ISNUMBER('Dvd Calendar'!$E$1883)=FALSE,"",IF((Summary!$C$13="N")*('Dvd Calendar'!$E$1887='Field Check'!$C$25)&gt;0,"",'Dvd Calendar'!$E$1883)))</f>
        <v/>
      </c>
      <c r="DF137" s="85">
        <f>IF(AR137="","",IF(ISNUMBER('Dvd Calendar'!$F$1883)=FALSE,"",IF((Summary!$C$13="N")*('Dvd Calendar'!$F$1887='Field Check'!$C$25)&gt;0,"",'Dvd Calendar'!$F$1883)))</f>
        <v/>
      </c>
      <c r="DG137" s="85">
        <f>IF(AS137="","",IF(ISNUMBER('Dvd Calendar'!$G$1883)=FALSE,"",IF((Summary!$C$13="N")*('Dvd Calendar'!$G$1887='Field Check'!$C$25)&gt;0,"",'Dvd Calendar'!$G$1883)))</f>
        <v/>
      </c>
      <c r="DH137" s="85">
        <f>IF(AT137="","",IF(ISNUMBER('Dvd Calendar'!$H$1883)=FALSE,"",IF((Summary!$C$13="N")*('Dvd Calendar'!$H$1887='Field Check'!$C$25)&gt;0,"",'Dvd Calendar'!$H$1883)))</f>
        <v/>
      </c>
      <c r="DI137" s="85">
        <f>IF(AU137="","",IF(ISNUMBER('Dvd Calendar'!$I$1883)=FALSE,"",IF((Summary!$C$13="N")*('Dvd Calendar'!$I$1887='Field Check'!$C$25)&gt;0,"",'Dvd Calendar'!$I$1883)))</f>
        <v/>
      </c>
      <c r="DJ137" s="85">
        <f>IF(AV137="","",IF(ISNUMBER('Dvd Calendar'!$J$1883)=FALSE,"",IF((Summary!$C$13="N")*('Dvd Calendar'!$J$1887='Field Check'!$C$25)&gt;0,"",'Dvd Calendar'!$J$1883)))</f>
        <v/>
      </c>
      <c r="DK137" s="85">
        <f>IF(AW137="","",IF(ISNUMBER('Dvd Calendar'!$K$1883)=FALSE,"",IF((Summary!$C$13="N")*('Dvd Calendar'!$K$1887='Field Check'!$C$25)&gt;0,"",'Dvd Calendar'!$K$1883)))</f>
        <v/>
      </c>
      <c r="DL137" s="85">
        <f>IF(AX137="","",IF(ISNUMBER('Dvd Calendar'!$L$1883)=FALSE,"",IF((Summary!$C$13="N")*('Dvd Calendar'!$L$1887='Field Check'!$C$25)&gt;0,"",'Dvd Calendar'!$L$1883)))</f>
        <v/>
      </c>
      <c r="DM137" s="85">
        <f>IF(AY137="","",IF(ISNUMBER('Dvd Calendar'!$M$1883)=FALSE,"",IF((Summary!$C$13="N")*('Dvd Calendar'!$M$1887='Field Check'!$C$25)&gt;0,"",'Dvd Calendar'!$M$1883)))</f>
        <v/>
      </c>
      <c r="DN137" s="85">
        <f>IF(AZ137="","",IF(ISNUMBER('Dvd Calendar'!$N$1883)=FALSE,"",IF((Summary!$C$13="N")*('Dvd Calendar'!$N$1887='Field Check'!$C$25)&gt;0,"",'Dvd Calendar'!$N$1883)))</f>
        <v/>
      </c>
      <c r="DO137" s="85">
        <f>IF(BA137="","",IF(ISNUMBER('Dvd Calendar'!$O$1883)=FALSE,"",IF((Summary!$C$13="N")*('Dvd Calendar'!$O$1887='Field Check'!$C$25)&gt;0,"",'Dvd Calendar'!$O$1883)))</f>
        <v/>
      </c>
      <c r="DP137" s="85">
        <f>IF(BB137="","",IF(ISNUMBER('Dvd Calendar'!$P$1883)=FALSE,"",IF((Summary!$C$13="N")*('Dvd Calendar'!$P$1887='Field Check'!$C$25)&gt;0,"",'Dvd Calendar'!$P$1883)))</f>
        <v/>
      </c>
      <c r="DQ137" s="85">
        <f>IF(BC137="","",IF(ISNUMBER('Dvd Calendar'!$Q$1883)=FALSE,"",IF((Summary!$C$13="N")*('Dvd Calendar'!$Q$1887='Field Check'!$C$25)&gt;0,"",'Dvd Calendar'!$Q$1883)))</f>
        <v/>
      </c>
      <c r="DR137" s="85">
        <f>IF(BD137="","",IF(ISNUMBER('Dvd Calendar'!$R$1883)=FALSE,"",IF((Summary!$C$13="N")*('Dvd Calendar'!$R$1887='Field Check'!$C$25)&gt;0,"",'Dvd Calendar'!$R$1883)))</f>
        <v/>
      </c>
      <c r="DS137" s="85">
        <f>IF(BE137="","",IF(ISNUMBER('Dvd Calendar'!$S$1883)=FALSE,"",IF((Summary!$C$13="N")*('Dvd Calendar'!$S$1887='Field Check'!$C$25)&gt;0,"",'Dvd Calendar'!$S$1883)))</f>
        <v/>
      </c>
      <c r="DT137" s="85">
        <f>IF(BF137="","",IF(ISNUMBER('Dvd Calendar'!$T$1883)=FALSE,"",IF((Summary!$C$13="N")*('Dvd Calendar'!$T$1887='Field Check'!$C$25)&gt;0,"",'Dvd Calendar'!$T$1883)))</f>
        <v/>
      </c>
      <c r="DU137" s="85">
        <f>IF(BG137="","",IF(ISNUMBER('Dvd Calendar'!$U$1883)=FALSE,"",IF((Summary!$C$13="N")*('Dvd Calendar'!$U$1887='Field Check'!$C$25)&gt;0,"",'Dvd Calendar'!$U$1883)))</f>
        <v/>
      </c>
      <c r="DV137" s="85">
        <f>IF(BH137="","",IF(ISNUMBER('Dvd Calendar'!$V$1883)=FALSE,"",IF((Summary!$C$13="N")*('Dvd Calendar'!$V$1887='Field Check'!$C$25)&gt;0,"",'Dvd Calendar'!$V$1883)))</f>
        <v/>
      </c>
      <c r="DW137" s="85">
        <f>IF(BI137="","",IF(ISNUMBER('Dvd Calendar'!$W$1883)=FALSE,"",IF((Summary!$C$13="N")*('Dvd Calendar'!$W$1887='Field Check'!$C$25)&gt;0,"",'Dvd Calendar'!$W$1883)))</f>
        <v/>
      </c>
      <c r="DX137" s="85">
        <f>IF(BJ137="","",IF(ISNUMBER('Dvd Calendar'!$X$1883)=FALSE,"",IF((Summary!$C$13="N")*('Dvd Calendar'!$X$1887='Field Check'!$C$25)&gt;0,"",'Dvd Calendar'!$X$1883)))</f>
        <v/>
      </c>
      <c r="DY137" s="85">
        <f>IF(BK137="","",IF(ISNUMBER('Dvd Calendar'!$Y$1883)=FALSE,"",IF((Summary!$C$13="N")*('Dvd Calendar'!$Y$1887='Field Check'!$C$25)&gt;0,"",'Dvd Calendar'!$Y$1883)))</f>
        <v/>
      </c>
      <c r="DZ137" s="85">
        <f>IF(BL137="","",IF(ISNUMBER('Dvd Calendar'!$Z$1883)=FALSE,"",IF((Summary!$C$13="N")*('Dvd Calendar'!$Z$1887='Field Check'!$C$25)&gt;0,"",'Dvd Calendar'!$Z$1883)))</f>
        <v/>
      </c>
      <c r="EA137" s="85">
        <f>IF(BM137="","",IF(ISNUMBER('Dvd Calendar'!$AA$1883)=FALSE,"",IF((Summary!$C$13="N")*('Dvd Calendar'!$AA$1887='Field Check'!$C$25)&gt;0,"",'Dvd Calendar'!$AA$1883)))</f>
        <v/>
      </c>
      <c r="EB137" s="85">
        <f>IF(BN137="","",IF(ISNUMBER('Dvd Calendar'!$AB$1883)=FALSE,"",IF((Summary!$C$13="N")*('Dvd Calendar'!$AB$1887='Field Check'!$C$25)&gt;0,"",'Dvd Calendar'!$AB$1883)))</f>
        <v/>
      </c>
      <c r="EC137" s="85">
        <f>IF(BO137="","",IF(ISNUMBER('Dvd Calendar'!$AC$1883)=FALSE,"",IF((Summary!$C$13="N")*('Dvd Calendar'!$AC$1887='Field Check'!$C$25)&gt;0,"",'Dvd Calendar'!$AC$1883)))</f>
        <v/>
      </c>
      <c r="EE137" s="85">
        <f>IF(BQ137="","",IFERROR(BQ137*HSTECH!$B$31*HSTECH!$G$31/HSTECH!$B$3,""))</f>
        <v/>
      </c>
      <c r="EF137" s="85">
        <f>IF(BR137="","",IFERROR(BR137*HSTECH!$B$31*HSTECH!$G$31/HSTECH!$B$3,""))</f>
        <v/>
      </c>
      <c r="EG137" s="85">
        <f>IF(BS137="","",IFERROR(BS137*HSTECH!$B$31*HSTECH!$G$31/HSTECH!$B$3,""))</f>
        <v/>
      </c>
      <c r="EH137" s="85">
        <f>IF(BT137="","",IFERROR(BT137*HSTECH!$B$31*HSTECH!$G$31/HSTECH!$B$3,""))</f>
        <v/>
      </c>
      <c r="EI137" s="85">
        <f>IF(BU137="","",IFERROR(BU137*HSTECH!$B$31*HSTECH!$G$31/HSTECH!$B$3,""))</f>
        <v/>
      </c>
      <c r="EJ137" s="85">
        <f>IF(BV137="","",IFERROR(BV137*HSTECH!$B$31*HSTECH!$G$31/HSTECH!$B$3,""))</f>
        <v/>
      </c>
      <c r="EK137" s="85">
        <f>IF(BW137="","",IFERROR(BW137*HSTECH!$B$31*HSTECH!$G$31/HSTECH!$B$3,""))</f>
        <v/>
      </c>
      <c r="EL137" s="85">
        <f>IF(BX137="","",IFERROR(BX137*HSTECH!$B$31*HSTECH!$G$31/HSTECH!$B$3,""))</f>
        <v/>
      </c>
      <c r="EM137" s="85">
        <f>IF(BY137="","",IFERROR(BY137*HSTECH!$B$31*HSTECH!$G$31/HSTECH!$B$3,""))</f>
        <v/>
      </c>
      <c r="EN137" s="85">
        <f>IF(BZ137="","",IFERROR(BZ137*HSTECH!$B$31*HSTECH!$G$31/HSTECH!$B$3,""))</f>
        <v/>
      </c>
      <c r="EO137" s="85">
        <f>IF(CA137="","",IFERROR(CA137*HSTECH!$B$31*HSTECH!$G$31/HSTECH!$B$3,""))</f>
        <v/>
      </c>
      <c r="EP137" s="85">
        <f>IF(CB137="","",IFERROR(CB137*HSTECH!$B$31*HSTECH!$G$31/HSTECH!$B$3,""))</f>
        <v/>
      </c>
      <c r="EQ137" s="85">
        <f>IF(CC137="","",IFERROR(CC137*HSTECH!$B$31*HSTECH!$G$31/HSTECH!$B$3,""))</f>
        <v/>
      </c>
      <c r="ER137" s="85">
        <f>IF(CD137="","",IFERROR(CD137*HSTECH!$B$31*HSTECH!$G$31/HSTECH!$B$3,""))</f>
        <v/>
      </c>
      <c r="ES137" s="85">
        <f>IF(CE137="","",IFERROR(CE137*HSTECH!$B$31*HSTECH!$G$31/HSTECH!$B$3,""))</f>
        <v/>
      </c>
      <c r="ET137" s="85">
        <f>IF(CF137="","",IFERROR(CF137*HSTECH!$B$31*HSTECH!$G$31/HSTECH!$B$3,""))</f>
        <v/>
      </c>
      <c r="EU137" s="85">
        <f>IF(CG137="","",IFERROR(CG137*HSTECH!$B$31*HSTECH!$G$31/HSTECH!$B$3,""))</f>
        <v/>
      </c>
      <c r="EV137" s="85">
        <f>IF(CH137="","",IFERROR(CH137*HSTECH!$B$31*HSTECH!$G$31/HSTECH!$B$3,""))</f>
        <v/>
      </c>
      <c r="EW137" s="85">
        <f>IF(CI137="","",IFERROR(CI137*HSTECH!$B$31*HSTECH!$G$31/HSTECH!$B$3,""))</f>
        <v/>
      </c>
      <c r="EX137" s="85">
        <f>IF(CJ137="","",IFERROR(CJ137*HSTECH!$B$31*HSTECH!$G$31/HSTECH!$B$3,""))</f>
        <v/>
      </c>
      <c r="EY137" s="85">
        <f>IF(CK137="","",IFERROR(CK137*HSTECH!$B$31*HSTECH!$G$31/HSTECH!$B$3,""))</f>
        <v/>
      </c>
      <c r="EZ137" s="85">
        <f>IF(CL137="","",IFERROR(CL137*HSTECH!$B$31*HSTECH!$G$31/HSTECH!$B$3,""))</f>
        <v/>
      </c>
      <c r="FA137" s="85">
        <f>IF(CM137="","",IFERROR(CM137*HSTECH!$B$31*HSTECH!$G$31/HSTECH!$B$3,""))</f>
        <v/>
      </c>
      <c r="FB137" s="85">
        <f>IF(CN137="","",IFERROR(CN137*HSTECH!$B$31*HSTECH!$G$31/HSTECH!$B$3,""))</f>
        <v/>
      </c>
      <c r="FC137" s="85">
        <f>IF(CO137="","",IFERROR(CO137*HSTECH!$B$31*HSTECH!$G$31/HSTECH!$B$3,""))</f>
        <v/>
      </c>
      <c r="FD137" s="85">
        <f>IF(CP137="","",IFERROR(CP137*HSTECH!$B$31*HSTECH!$G$31/HSTECH!$B$3,""))</f>
        <v/>
      </c>
      <c r="FE137" s="85">
        <f>IF(CQ137="","",IFERROR(CQ137*HSTECH!$B$31*HSTECH!$G$31/HSTECH!$B$3,""))</f>
        <v/>
      </c>
      <c r="FF137" s="85">
        <f>IF(CR137="","",IFERROR(CR137*HSTECH!$B$31*HSTECH!$G$31/HSTECH!$B$3,""))</f>
        <v/>
      </c>
      <c r="FG137" s="85">
        <f>IF(CS137="","",IFERROR(CS137*HSTECH!$B$31*HSTECH!$G$31/HSTECH!$B$3,""))</f>
        <v/>
      </c>
      <c r="FH137" s="85">
        <f>IF(CT137="","",IFERROR(CT137*HSTECH!$B$31*HSTECH!$G$31/HSTECH!$B$3,""))</f>
        <v/>
      </c>
      <c r="FI137" s="85">
        <f>IF(CU137="","",IFERROR(CU137*HSTECH!$B$31*HSTECH!$G$31/HSTECH!$B$3,""))</f>
        <v/>
      </c>
      <c r="FJ137" s="85">
        <f>IF(CV137="","",IFERROR(CV137*HSTECH!$B$31*HSTECH!$G$31/HSTECH!$B$3,""))</f>
        <v/>
      </c>
      <c r="FK137" s="85">
        <f>IF(CW137="","",IFERROR(CW137*HSTECH!$B$31*HSTECH!$G$31/HSTECH!$B$3,""))</f>
        <v/>
      </c>
      <c r="FL137" s="85">
        <f>IF(CX137="","",IFERROR(CX137*HSTECH!$B$31*HSTECH!$G$31/HSTECH!$B$3,""))</f>
        <v/>
      </c>
      <c r="FM137" s="85">
        <f>IF(CY137="","",IFERROR(CY137*HSTECH!$B$31*HSTECH!$G$31/HSTECH!$B$3,""))</f>
        <v/>
      </c>
      <c r="FN137" s="85">
        <f>IF(CZ137="","",IFERROR(CZ137*HSTECH!$B$31*HSTECH!$G$31/HSTECH!$B$3,""))</f>
        <v/>
      </c>
      <c r="FO137" s="85">
        <f>IF(DA137="","",IFERROR(DA137*HSTECH!$B$31*HSTECH!$G$31/HSTECH!$B$3,""))</f>
        <v/>
      </c>
      <c r="FP137" s="85">
        <f>IF(DB137="","",IFERROR(DB137*HSTECH!$B$31*HSTECH!$G$31/HSTECH!$B$3,""))</f>
        <v/>
      </c>
      <c r="FQ137" s="85">
        <f>IF(DC137="","",IFERROR(DC137*HSTECH!$B$31*HSTECH!$G$31/HSTECH!$B$3,""))</f>
        <v/>
      </c>
      <c r="FR137" s="85">
        <f>IF(DD137="","",IFERROR(DD137*HSTECH!$B$31*HSTECH!$G$31/HSTECH!$B$3,""))</f>
        <v/>
      </c>
      <c r="FS137" s="85">
        <f>IF(DE137="","",IFERROR(DE137*HSTECH!$B$31*HSTECH!$G$31/HSTECH!$B$3,""))</f>
        <v/>
      </c>
      <c r="FT137" s="85">
        <f>IF(DF137="","",IFERROR(DF137*HSTECH!$B$31*HSTECH!$G$31/HSTECH!$B$3,""))</f>
        <v/>
      </c>
      <c r="FU137" s="85">
        <f>IF(DG137="","",IFERROR(DG137*HSTECH!$B$31*HSTECH!$G$31/HSTECH!$B$3,""))</f>
        <v/>
      </c>
      <c r="FV137" s="85">
        <f>IF(DH137="","",IFERROR(DH137*HSTECH!$B$31*HSTECH!$G$31/HSTECH!$B$3,""))</f>
        <v/>
      </c>
      <c r="FW137" s="85">
        <f>IF(DI137="","",IFERROR(DI137*HSTECH!$B$31*HSTECH!$G$31/HSTECH!$B$3,""))</f>
        <v/>
      </c>
      <c r="FX137" s="85">
        <f>IF(DJ137="","",IFERROR(DJ137*HSTECH!$B$31*HSTECH!$G$31/HSTECH!$B$3,""))</f>
        <v/>
      </c>
      <c r="FY137" s="85">
        <f>IF(DK137="","",IFERROR(DK137*HSTECH!$B$31*HSTECH!$G$31/HSTECH!$B$3,""))</f>
        <v/>
      </c>
      <c r="FZ137" s="85">
        <f>IF(DL137="","",IFERROR(DL137*HSTECH!$B$31*HSTECH!$G$31/HSTECH!$B$3,""))</f>
        <v/>
      </c>
      <c r="GA137" s="85">
        <f>IF(DM137="","",IFERROR(DM137*HSTECH!$B$31*HSTECH!$G$31/HSTECH!$B$3,""))</f>
        <v/>
      </c>
      <c r="GB137" s="85">
        <f>IF(DN137="","",IFERROR(DN137*HSTECH!$B$31*HSTECH!$G$31/HSTECH!$B$3,""))</f>
        <v/>
      </c>
      <c r="GC137" s="85">
        <f>IF(DO137="","",IFERROR(DO137*HSTECH!$B$31*HSTECH!$G$31/HSTECH!$B$3,""))</f>
        <v/>
      </c>
      <c r="GD137" s="85">
        <f>IF(DP137="","",IFERROR(DP137*HSTECH!$B$31*HSTECH!$G$31/HSTECH!$B$3,""))</f>
        <v/>
      </c>
      <c r="GE137" s="85">
        <f>IF(DQ137="","",IFERROR(DQ137*HSTECH!$B$31*HSTECH!$G$31/HSTECH!$B$3,""))</f>
        <v/>
      </c>
      <c r="GF137" s="85">
        <f>IF(DR137="","",IFERROR(DR137*HSTECH!$B$31*HSTECH!$G$31/HSTECH!$B$3,""))</f>
        <v/>
      </c>
      <c r="GG137" s="85">
        <f>IF(DS137="","",IFERROR(DS137*HSTECH!$B$31*HSTECH!$G$31/HSTECH!$B$3,""))</f>
        <v/>
      </c>
      <c r="GH137" s="85">
        <f>IF(DT137="","",IFERROR(DT137*HSTECH!$B$31*HSTECH!$G$31/HSTECH!$B$3,""))</f>
        <v/>
      </c>
      <c r="GI137" s="85">
        <f>IF(DU137="","",IFERROR(DU137*HSTECH!$B$31*HSTECH!$G$31/HSTECH!$B$3,""))</f>
        <v/>
      </c>
      <c r="GJ137" s="85">
        <f>IF(DV137="","",IFERROR(DV137*HSTECH!$B$31*HSTECH!$G$31/HSTECH!$B$3,""))</f>
        <v/>
      </c>
      <c r="GK137" s="85">
        <f>IF(DW137="","",IFERROR(DW137*HSTECH!$B$31*HSTECH!$G$31/HSTECH!$B$3,""))</f>
        <v/>
      </c>
      <c r="GL137" s="85">
        <f>IF(DX137="","",IFERROR(DX137*HSTECH!$B$31*HSTECH!$G$31/HSTECH!$B$3,""))</f>
        <v/>
      </c>
      <c r="GM137" s="85">
        <f>IF(DY137="","",IFERROR(DY137*HSTECH!$B$31*HSTECH!$G$31/HSTECH!$B$3,""))</f>
        <v/>
      </c>
      <c r="GN137" s="85">
        <f>IF(DZ137="","",IFERROR(DZ137*HSTECH!$B$31*HSTECH!$G$31/HSTECH!$B$3,""))</f>
        <v/>
      </c>
      <c r="GO137" s="85">
        <f>IF(EA137="","",IFERROR(EA137*HSTECH!$B$31*HSTECH!$G$31/HSTECH!$B$3,""))</f>
        <v/>
      </c>
      <c r="GP137" s="85">
        <f>IF(EB137="","",IFERROR(EB137*HSTECH!$B$31*HSTECH!$G$31/HSTECH!$B$3,""))</f>
        <v/>
      </c>
      <c r="GQ137" s="85">
        <f>IF(EC137="","",IFERROR(EC137*HSTECH!$B$31*HSTECH!$G$31/HSTECH!$B$3,""))</f>
        <v/>
      </c>
    </row>
    <row r="138">
      <c r="B138" s="2">
        <f>IF(HSTECH!$C$32="","",HSTECH!$C$32)</f>
        <v/>
      </c>
      <c r="C138" s="41">
        <f>IF(N('Dvd Calendar'!$E$1890)=0,"",IF(('Dvd Calendar'!$E$1890&gt;=MIN(DATE(Summary!$C$12,1,1),Summary!$C$11))*('Dvd Calendar'!$E$1890&lt;=MAX(DATE(Summary!$C$12,12,31),Summary!$C$15))*('Dvd Calendar'!$E$1890&lt;=Summary!$C$11)=0,"",'Dvd Calendar'!$E$1890*1000000000+ISNUMBER('Dvd Calendar'!$E$1891)*100000000+('Dvd Calendar'!$E$1895='Field Check'!$C$25)*10000000+(N('Dvd Calendar'!$E$1889)&gt;0)*1000000+26*1000+1))</f>
        <v/>
      </c>
      <c r="D138" s="41">
        <f>IF(N('Dvd Calendar'!$F$1890)=0,"",IF(('Dvd Calendar'!$F$1890&gt;=MIN(DATE(Summary!$C$12,1,1),Summary!$C$11))*('Dvd Calendar'!$F$1890&lt;=MAX(DATE(Summary!$C$12,12,31),Summary!$C$15))*('Dvd Calendar'!$F$1890&lt;=Summary!$C$11)=0,"",'Dvd Calendar'!$F$1890*1000000000+ISNUMBER('Dvd Calendar'!$F$1891)*100000000+('Dvd Calendar'!$F$1895='Field Check'!$C$25)*10000000+(N('Dvd Calendar'!$F$1889)&gt;0)*1000000+26*1000+2))</f>
        <v/>
      </c>
      <c r="E138" s="41">
        <f>IF(N('Dvd Calendar'!$G$1890)=0,"",IF(('Dvd Calendar'!$G$1890&gt;=MIN(DATE(Summary!$C$12,1,1),Summary!$C$11))*('Dvd Calendar'!$G$1890&lt;=MAX(DATE(Summary!$C$12,12,31),Summary!$C$15))*('Dvd Calendar'!$G$1890&lt;=Summary!$C$11)=0,"",'Dvd Calendar'!$G$1890*1000000000+ISNUMBER('Dvd Calendar'!$G$1891)*100000000+('Dvd Calendar'!$G$1895='Field Check'!$C$25)*10000000+(N('Dvd Calendar'!$G$1889)&gt;0)*1000000+26*1000+3))</f>
        <v/>
      </c>
      <c r="F138" s="41">
        <f>IF(N('Dvd Calendar'!$H$1890)=0,"",IF(('Dvd Calendar'!$H$1890&gt;=MIN(DATE(Summary!$C$12,1,1),Summary!$C$11))*('Dvd Calendar'!$H$1890&lt;=MAX(DATE(Summary!$C$12,12,31),Summary!$C$15))*('Dvd Calendar'!$H$1890&lt;=Summary!$C$11)=0,"",'Dvd Calendar'!$H$1890*1000000000+ISNUMBER('Dvd Calendar'!$H$1891)*100000000+('Dvd Calendar'!$H$1895='Field Check'!$C$25)*10000000+(N('Dvd Calendar'!$H$1889)&gt;0)*1000000+26*1000+4))</f>
        <v/>
      </c>
      <c r="G138" s="41">
        <f>IF(N('Dvd Calendar'!$I$1890)=0,"",IF(('Dvd Calendar'!$I$1890&gt;=MIN(DATE(Summary!$C$12,1,1),Summary!$C$11))*('Dvd Calendar'!$I$1890&lt;=MAX(DATE(Summary!$C$12,12,31),Summary!$C$15))*('Dvd Calendar'!$I$1890&lt;=Summary!$C$11)=0,"",'Dvd Calendar'!$I$1890*1000000000+ISNUMBER('Dvd Calendar'!$I$1891)*100000000+('Dvd Calendar'!$I$1895='Field Check'!$C$25)*10000000+(N('Dvd Calendar'!$I$1889)&gt;0)*1000000+26*1000+5))</f>
        <v/>
      </c>
      <c r="H138" s="41">
        <f>IF(N('Dvd Calendar'!$J$1890)=0,"",IF(('Dvd Calendar'!$J$1890&gt;=MIN(DATE(Summary!$C$12,1,1),Summary!$C$11))*('Dvd Calendar'!$J$1890&lt;=MAX(DATE(Summary!$C$12,12,31),Summary!$C$15))*('Dvd Calendar'!$J$1890&lt;=Summary!$C$11)=0,"",'Dvd Calendar'!$J$1890*1000000000+ISNUMBER('Dvd Calendar'!$J$1891)*100000000+('Dvd Calendar'!$J$1895='Field Check'!$C$25)*10000000+(N('Dvd Calendar'!$J$1889)&gt;0)*1000000+26*1000+6))</f>
        <v/>
      </c>
      <c r="I138" s="41">
        <f>IF(N('Dvd Calendar'!$K$1890)=0,"",IF(('Dvd Calendar'!$K$1890&gt;=MIN(DATE(Summary!$C$12,1,1),Summary!$C$11))*('Dvd Calendar'!$K$1890&lt;=MAX(DATE(Summary!$C$12,12,31),Summary!$C$15))*('Dvd Calendar'!$K$1890&lt;=Summary!$C$11)=0,"",'Dvd Calendar'!$K$1890*1000000000+ISNUMBER('Dvd Calendar'!$K$1891)*100000000+('Dvd Calendar'!$K$1895='Field Check'!$C$25)*10000000+(N('Dvd Calendar'!$K$1889)&gt;0)*1000000+26*1000+7))</f>
        <v/>
      </c>
      <c r="J138" s="41">
        <f>IF(N('Dvd Calendar'!$L$1890)=0,"",IF(('Dvd Calendar'!$L$1890&gt;=MIN(DATE(Summary!$C$12,1,1),Summary!$C$11))*('Dvd Calendar'!$L$1890&lt;=MAX(DATE(Summary!$C$12,12,31),Summary!$C$15))*('Dvd Calendar'!$L$1890&lt;=Summary!$C$11)=0,"",'Dvd Calendar'!$L$1890*1000000000+ISNUMBER('Dvd Calendar'!$L$1891)*100000000+('Dvd Calendar'!$L$1895='Field Check'!$C$25)*10000000+(N('Dvd Calendar'!$L$1889)&gt;0)*1000000+26*1000+8))</f>
        <v/>
      </c>
      <c r="K138" s="41">
        <f>IF(N('Dvd Calendar'!$M$1890)=0,"",IF(('Dvd Calendar'!$M$1890&gt;=MIN(DATE(Summary!$C$12,1,1),Summary!$C$11))*('Dvd Calendar'!$M$1890&lt;=MAX(DATE(Summary!$C$12,12,31),Summary!$C$15))*('Dvd Calendar'!$M$1890&lt;=Summary!$C$11)=0,"",'Dvd Calendar'!$M$1890*1000000000+ISNUMBER('Dvd Calendar'!$M$1891)*100000000+('Dvd Calendar'!$M$1895='Field Check'!$C$25)*10000000+(N('Dvd Calendar'!$M$1889)&gt;0)*1000000+26*1000+9))</f>
        <v/>
      </c>
      <c r="L138" s="41">
        <f>IF(N('Dvd Calendar'!$N$1890)=0,"",IF(('Dvd Calendar'!$N$1890&gt;=MIN(DATE(Summary!$C$12,1,1),Summary!$C$11))*('Dvd Calendar'!$N$1890&lt;=MAX(DATE(Summary!$C$12,12,31),Summary!$C$15))*('Dvd Calendar'!$N$1890&lt;=Summary!$C$11)=0,"",'Dvd Calendar'!$N$1890*1000000000+ISNUMBER('Dvd Calendar'!$N$1891)*100000000+('Dvd Calendar'!$N$1895='Field Check'!$C$25)*10000000+(N('Dvd Calendar'!$N$1889)&gt;0)*1000000+26*1000+10))</f>
        <v/>
      </c>
      <c r="M138" s="41">
        <f>IF(N('Dvd Calendar'!$O$1890)=0,"",IF(('Dvd Calendar'!$O$1890&gt;=MIN(DATE(Summary!$C$12,1,1),Summary!$C$11))*('Dvd Calendar'!$O$1890&lt;=MAX(DATE(Summary!$C$12,12,31),Summary!$C$15))*('Dvd Calendar'!$O$1890&lt;=Summary!$C$11)=0,"",'Dvd Calendar'!$O$1890*1000000000+ISNUMBER('Dvd Calendar'!$O$1891)*100000000+('Dvd Calendar'!$O$1895='Field Check'!$C$25)*10000000+(N('Dvd Calendar'!$O$1889)&gt;0)*1000000+26*1000+11))</f>
        <v/>
      </c>
      <c r="N138" s="41">
        <f>IF(N('Dvd Calendar'!$P$1890)=0,"",IF(('Dvd Calendar'!$P$1890&gt;=MIN(DATE(Summary!$C$12,1,1),Summary!$C$11))*('Dvd Calendar'!$P$1890&lt;=MAX(DATE(Summary!$C$12,12,31),Summary!$C$15))*('Dvd Calendar'!$P$1890&lt;=Summary!$C$11)=0,"",'Dvd Calendar'!$P$1890*1000000000+ISNUMBER('Dvd Calendar'!$P$1891)*100000000+('Dvd Calendar'!$P$1895='Field Check'!$C$25)*10000000+(N('Dvd Calendar'!$P$1889)&gt;0)*1000000+26*1000+12))</f>
        <v/>
      </c>
      <c r="O138" s="41">
        <f>IF(N('Dvd Calendar'!$Q$1890)=0,"",IF(('Dvd Calendar'!$Q$1890&gt;=MIN(DATE(Summary!$C$12,1,1),Summary!$C$11))*('Dvd Calendar'!$Q$1890&lt;=MAX(DATE(Summary!$C$12,12,31),Summary!$C$15))*('Dvd Calendar'!$Q$1890&lt;=Summary!$C$11)=0,"",'Dvd Calendar'!$Q$1890*1000000000+ISNUMBER('Dvd Calendar'!$Q$1891)*100000000+('Dvd Calendar'!$Q$1895='Field Check'!$C$25)*10000000+(N('Dvd Calendar'!$Q$1889)&gt;0)*1000000+26*1000+13))</f>
        <v/>
      </c>
      <c r="P138" s="41">
        <f>IF(N('Dvd Calendar'!$R$1890)=0,"",IF(('Dvd Calendar'!$R$1890&gt;=MIN(DATE(Summary!$C$12,1,1),Summary!$C$11))*('Dvd Calendar'!$R$1890&lt;=MAX(DATE(Summary!$C$12,12,31),Summary!$C$15))*('Dvd Calendar'!$R$1890&lt;=Summary!$C$11)=0,"",'Dvd Calendar'!$R$1890*1000000000+ISNUMBER('Dvd Calendar'!$R$1891)*100000000+('Dvd Calendar'!$R$1895='Field Check'!$C$25)*10000000+(N('Dvd Calendar'!$R$1889)&gt;0)*1000000+26*1000+14))</f>
        <v/>
      </c>
      <c r="Q138" s="41">
        <f>IF(N('Dvd Calendar'!$S$1890)=0,"",IF(('Dvd Calendar'!$S$1890&gt;=MIN(DATE(Summary!$C$12,1,1),Summary!$C$11))*('Dvd Calendar'!$S$1890&lt;=MAX(DATE(Summary!$C$12,12,31),Summary!$C$15))*('Dvd Calendar'!$S$1890&lt;=Summary!$C$11)=0,"",'Dvd Calendar'!$S$1890*1000000000+ISNUMBER('Dvd Calendar'!$S$1891)*100000000+('Dvd Calendar'!$S$1895='Field Check'!$C$25)*10000000+(N('Dvd Calendar'!$S$1889)&gt;0)*1000000+26*1000+15))</f>
        <v/>
      </c>
      <c r="R138" s="41">
        <f>IF(N('Dvd Calendar'!$T$1890)=0,"",IF(('Dvd Calendar'!$T$1890&gt;=MIN(DATE(Summary!$C$12,1,1),Summary!$C$11))*('Dvd Calendar'!$T$1890&lt;=MAX(DATE(Summary!$C$12,12,31),Summary!$C$15))*('Dvd Calendar'!$T$1890&lt;=Summary!$C$11)=0,"",'Dvd Calendar'!$T$1890*1000000000+ISNUMBER('Dvd Calendar'!$T$1891)*100000000+('Dvd Calendar'!$T$1895='Field Check'!$C$25)*10000000+(N('Dvd Calendar'!$T$1889)&gt;0)*1000000+26*1000+16))</f>
        <v/>
      </c>
      <c r="S138" s="41">
        <f>IF(N('Dvd Calendar'!$U$1890)=0,"",IF(('Dvd Calendar'!$U$1890&gt;=MIN(DATE(Summary!$C$12,1,1),Summary!$C$11))*('Dvd Calendar'!$U$1890&lt;=MAX(DATE(Summary!$C$12,12,31),Summary!$C$15))*('Dvd Calendar'!$U$1890&lt;=Summary!$C$11)=0,"",'Dvd Calendar'!$U$1890*1000000000+ISNUMBER('Dvd Calendar'!$U$1891)*100000000+('Dvd Calendar'!$U$1895='Field Check'!$C$25)*10000000+(N('Dvd Calendar'!$U$1889)&gt;0)*1000000+26*1000+17))</f>
        <v/>
      </c>
      <c r="T138" s="41">
        <f>IF(N('Dvd Calendar'!$V$1890)=0,"",IF(('Dvd Calendar'!$V$1890&gt;=MIN(DATE(Summary!$C$12,1,1),Summary!$C$11))*('Dvd Calendar'!$V$1890&lt;=MAX(DATE(Summary!$C$12,12,31),Summary!$C$15))*('Dvd Calendar'!$V$1890&lt;=Summary!$C$11)=0,"",'Dvd Calendar'!$V$1890*1000000000+ISNUMBER('Dvd Calendar'!$V$1891)*100000000+('Dvd Calendar'!$V$1895='Field Check'!$C$25)*10000000+(N('Dvd Calendar'!$V$1889)&gt;0)*1000000+26*1000+18))</f>
        <v/>
      </c>
      <c r="U138" s="41">
        <f>IF(N('Dvd Calendar'!$W$1890)=0,"",IF(('Dvd Calendar'!$W$1890&gt;=MIN(DATE(Summary!$C$12,1,1),Summary!$C$11))*('Dvd Calendar'!$W$1890&lt;=MAX(DATE(Summary!$C$12,12,31),Summary!$C$15))*('Dvd Calendar'!$W$1890&lt;=Summary!$C$11)=0,"",'Dvd Calendar'!$W$1890*1000000000+ISNUMBER('Dvd Calendar'!$W$1891)*100000000+('Dvd Calendar'!$W$1895='Field Check'!$C$25)*10000000+(N('Dvd Calendar'!$W$1889)&gt;0)*1000000+26*1000+19))</f>
        <v/>
      </c>
      <c r="V138" s="41">
        <f>IF(N('Dvd Calendar'!$X$1890)=0,"",IF(('Dvd Calendar'!$X$1890&gt;=MIN(DATE(Summary!$C$12,1,1),Summary!$C$11))*('Dvd Calendar'!$X$1890&lt;=MAX(DATE(Summary!$C$12,12,31),Summary!$C$15))*('Dvd Calendar'!$X$1890&lt;=Summary!$C$11)=0,"",'Dvd Calendar'!$X$1890*1000000000+ISNUMBER('Dvd Calendar'!$X$1891)*100000000+('Dvd Calendar'!$X$1895='Field Check'!$C$25)*10000000+(N('Dvd Calendar'!$X$1889)&gt;0)*1000000+26*1000+20))</f>
        <v/>
      </c>
      <c r="W138" s="41">
        <f>IF(N('Dvd Calendar'!$Y$1890)=0,"",IF(('Dvd Calendar'!$Y$1890&gt;=MIN(DATE(Summary!$C$12,1,1),Summary!$C$11))*('Dvd Calendar'!$Y$1890&lt;=MAX(DATE(Summary!$C$12,12,31),Summary!$C$15))*('Dvd Calendar'!$Y$1890&lt;=Summary!$C$11)=0,"",'Dvd Calendar'!$Y$1890*1000000000+ISNUMBER('Dvd Calendar'!$Y$1891)*100000000+('Dvd Calendar'!$Y$1895='Field Check'!$C$25)*10000000+(N('Dvd Calendar'!$Y$1889)&gt;0)*1000000+26*1000+21))</f>
        <v/>
      </c>
      <c r="X138" s="41">
        <f>IF(N('Dvd Calendar'!$Z$1890)=0,"",IF(('Dvd Calendar'!$Z$1890&gt;=MIN(DATE(Summary!$C$12,1,1),Summary!$C$11))*('Dvd Calendar'!$Z$1890&lt;=MAX(DATE(Summary!$C$12,12,31),Summary!$C$15))*('Dvd Calendar'!$Z$1890&lt;=Summary!$C$11)=0,"",'Dvd Calendar'!$Z$1890*1000000000+ISNUMBER('Dvd Calendar'!$Z$1891)*100000000+('Dvd Calendar'!$Z$1895='Field Check'!$C$25)*10000000+(N('Dvd Calendar'!$Z$1889)&gt;0)*1000000+26*1000+22))</f>
        <v/>
      </c>
      <c r="Y138" s="41">
        <f>IF(N('Dvd Calendar'!$AA$1890)=0,"",IF(('Dvd Calendar'!$AA$1890&gt;=MIN(DATE(Summary!$C$12,1,1),Summary!$C$11))*('Dvd Calendar'!$AA$1890&lt;=MAX(DATE(Summary!$C$12,12,31),Summary!$C$15))*('Dvd Calendar'!$AA$1890&lt;=Summary!$C$11)=0,"",'Dvd Calendar'!$AA$1890*1000000000+ISNUMBER('Dvd Calendar'!$AA$1891)*100000000+('Dvd Calendar'!$AA$1895='Field Check'!$C$25)*10000000+(N('Dvd Calendar'!$AA$1889)&gt;0)*1000000+26*1000+23))</f>
        <v/>
      </c>
      <c r="Z138" s="41">
        <f>IF(N('Dvd Calendar'!$AB$1890)=0,"",IF(('Dvd Calendar'!$AB$1890&gt;=MIN(DATE(Summary!$C$12,1,1),Summary!$C$11))*('Dvd Calendar'!$AB$1890&lt;=MAX(DATE(Summary!$C$12,12,31),Summary!$C$15))*('Dvd Calendar'!$AB$1890&lt;=Summary!$C$11)=0,"",'Dvd Calendar'!$AB$1890*1000000000+ISNUMBER('Dvd Calendar'!$AB$1891)*100000000+('Dvd Calendar'!$AB$1895='Field Check'!$C$25)*10000000+(N('Dvd Calendar'!$AB$1889)&gt;0)*1000000+26*1000+24))</f>
        <v/>
      </c>
      <c r="AA138" s="41">
        <f>IF(N('Dvd Calendar'!$AC$1890)=0,"",IF(('Dvd Calendar'!$AC$1890&gt;=MIN(DATE(Summary!$C$12,1,1),Summary!$C$11))*('Dvd Calendar'!$AC$1890&lt;=MAX(DATE(Summary!$C$12,12,31),Summary!$C$15))*('Dvd Calendar'!$AC$1890&lt;=Summary!$C$11)=0,"",'Dvd Calendar'!$AC$1890*1000000000+ISNUMBER('Dvd Calendar'!$AC$1891)*100000000+('Dvd Calendar'!$AC$1895='Field Check'!$C$25)*10000000+(N('Dvd Calendar'!$AC$1889)&gt;0)*1000000+26*1000+25))</f>
        <v/>
      </c>
      <c r="AB138" s="41">
        <f>IF(N('Dvd Calendar'!$AD$1890)=0,"",IF(('Dvd Calendar'!$AD$1890&gt;=MIN(DATE(Summary!$C$12,1,1),Summary!$C$11))*('Dvd Calendar'!$AD$1890&lt;=MAX(DATE(Summary!$C$12,12,31),Summary!$C$15))*('Dvd Calendar'!$AD$1890&lt;=Summary!$C$11)=0,"",'Dvd Calendar'!$AD$1890*1000000000+ISNUMBER('Dvd Calendar'!$AD$1891)*100000000+('Dvd Calendar'!$AD$1895='Field Check'!$C$25)*10000000+(N('Dvd Calendar'!$AD$1889)&gt;0)*1000000+26*1000+26))</f>
        <v/>
      </c>
      <c r="AC138" s="41">
        <f>IF(N('Dvd Calendar'!$AE$1890)=0,"",IF(('Dvd Calendar'!$AE$1890&gt;=MIN(DATE(Summary!$C$12,1,1),Summary!$C$11))*('Dvd Calendar'!$AE$1890&lt;=MAX(DATE(Summary!$C$12,12,31),Summary!$C$15))*('Dvd Calendar'!$AE$1890&lt;=Summary!$C$11)=0,"",'Dvd Calendar'!$AE$1890*1000000000+ISNUMBER('Dvd Calendar'!$AE$1891)*100000000+('Dvd Calendar'!$AE$1895='Field Check'!$C$25)*10000000+(N('Dvd Calendar'!$AE$1889)&gt;0)*1000000+26*1000+27))</f>
        <v/>
      </c>
      <c r="AD138" s="41">
        <f>IF(N('Dvd Calendar'!$AF$1890)=0,"",IF(('Dvd Calendar'!$AF$1890&gt;=MIN(DATE(Summary!$C$12,1,1),Summary!$C$11))*('Dvd Calendar'!$AF$1890&lt;=MAX(DATE(Summary!$C$12,12,31),Summary!$C$15))*('Dvd Calendar'!$AF$1890&lt;=Summary!$C$11)=0,"",'Dvd Calendar'!$AF$1890*1000000000+ISNUMBER('Dvd Calendar'!$AF$1891)*100000000+('Dvd Calendar'!$AF$1895='Field Check'!$C$25)*10000000+(N('Dvd Calendar'!$AF$1889)&gt;0)*1000000+26*1000+28))</f>
        <v/>
      </c>
      <c r="AE138" s="41">
        <f>IF(N('Dvd Calendar'!$AG$1890)=0,"",IF(('Dvd Calendar'!$AG$1890&gt;=MIN(DATE(Summary!$C$12,1,1),Summary!$C$11))*('Dvd Calendar'!$AG$1890&lt;=MAX(DATE(Summary!$C$12,12,31),Summary!$C$15))*('Dvd Calendar'!$AG$1890&lt;=Summary!$C$11)=0,"",'Dvd Calendar'!$AG$1890*1000000000+ISNUMBER('Dvd Calendar'!$AG$1891)*100000000+('Dvd Calendar'!$AG$1895='Field Check'!$C$25)*10000000+(N('Dvd Calendar'!$AG$1889)&gt;0)*1000000+26*1000+29))</f>
        <v/>
      </c>
      <c r="AF138" s="41">
        <f>IF(N('Dvd Calendar'!$AH$1890)=0,"",IF(('Dvd Calendar'!$AH$1890&gt;=MIN(DATE(Summary!$C$12,1,1),Summary!$C$11))*('Dvd Calendar'!$AH$1890&lt;=MAX(DATE(Summary!$C$12,12,31),Summary!$C$15))*('Dvd Calendar'!$AH$1890&lt;=Summary!$C$11)=0,"",'Dvd Calendar'!$AH$1890*1000000000+ISNUMBER('Dvd Calendar'!$AH$1891)*100000000+('Dvd Calendar'!$AH$1895='Field Check'!$C$25)*10000000+(N('Dvd Calendar'!$AH$1889)&gt;0)*1000000+26*1000+30))</f>
        <v/>
      </c>
      <c r="AG138" s="41">
        <f>IF(N('Dvd Calendar'!$AI$1890)=0,"",IF(('Dvd Calendar'!$AI$1890&gt;=MIN(DATE(Summary!$C$12,1,1),Summary!$C$11))*('Dvd Calendar'!$AI$1890&lt;=MAX(DATE(Summary!$C$12,12,31),Summary!$C$15))*('Dvd Calendar'!$AI$1890&lt;=Summary!$C$11)=0,"",'Dvd Calendar'!$AI$1890*1000000000+ISNUMBER('Dvd Calendar'!$AI$1891)*100000000+('Dvd Calendar'!$AI$1895='Field Check'!$C$25)*10000000+(N('Dvd Calendar'!$AI$1889)&gt;0)*1000000+26*1000+31))</f>
        <v/>
      </c>
      <c r="AH138" s="41">
        <f>IF(N('Dvd Calendar'!$AJ$1890)=0,"",IF(('Dvd Calendar'!$AJ$1890&gt;=MIN(DATE(Summary!$C$12,1,1),Summary!$C$11))*('Dvd Calendar'!$AJ$1890&lt;=MAX(DATE(Summary!$C$12,12,31),Summary!$C$15))*('Dvd Calendar'!$AJ$1890&lt;=Summary!$C$11)=0,"",'Dvd Calendar'!$AJ$1890*1000000000+ISNUMBER('Dvd Calendar'!$AJ$1891)*100000000+('Dvd Calendar'!$AJ$1895='Field Check'!$C$25)*10000000+(N('Dvd Calendar'!$AJ$1889)&gt;0)*1000000+26*1000+32))</f>
        <v/>
      </c>
      <c r="AI138" s="41">
        <f>IF(N('Dvd Calendar'!$AK$1890)=0,"",IF(('Dvd Calendar'!$AK$1890&gt;=MIN(DATE(Summary!$C$12,1,1),Summary!$C$11))*('Dvd Calendar'!$AK$1890&lt;=MAX(DATE(Summary!$C$12,12,31),Summary!$C$15))*('Dvd Calendar'!$AK$1890&lt;=Summary!$C$11)=0,"",'Dvd Calendar'!$AK$1890*1000000000+ISNUMBER('Dvd Calendar'!$AK$1891)*100000000+('Dvd Calendar'!$AK$1895='Field Check'!$C$25)*10000000+(N('Dvd Calendar'!$AK$1889)&gt;0)*1000000+26*1000+33))</f>
        <v/>
      </c>
      <c r="AJ138" s="41">
        <f>IF(N('Dvd Calendar'!$AL$1890)=0,"",IF(('Dvd Calendar'!$AL$1890&gt;=MIN(DATE(Summary!$C$12,1,1),Summary!$C$11))*('Dvd Calendar'!$AL$1890&lt;=MAX(DATE(Summary!$C$12,12,31),Summary!$C$15))*('Dvd Calendar'!$AL$1890&lt;=Summary!$C$11)=0,"",'Dvd Calendar'!$AL$1890*1000000000+ISNUMBER('Dvd Calendar'!$AL$1891)*100000000+('Dvd Calendar'!$AL$1895='Field Check'!$C$25)*10000000+(N('Dvd Calendar'!$AL$1889)&gt;0)*1000000+26*1000+34))</f>
        <v/>
      </c>
      <c r="AK138" s="41">
        <f>IF(N('Dvd Calendar'!$AM$1890)=0,"",IF(('Dvd Calendar'!$AM$1890&gt;=MIN(DATE(Summary!$C$12,1,1),Summary!$C$11))*('Dvd Calendar'!$AM$1890&lt;=MAX(DATE(Summary!$C$12,12,31),Summary!$C$15))*('Dvd Calendar'!$AM$1890&lt;=Summary!$C$11)=0,"",'Dvd Calendar'!$AM$1890*1000000000+ISNUMBER('Dvd Calendar'!$AM$1891)*100000000+('Dvd Calendar'!$AM$1895='Field Check'!$C$25)*10000000+(N('Dvd Calendar'!$AM$1889)&gt;0)*1000000+26*1000+35))</f>
        <v/>
      </c>
      <c r="AL138" s="41">
        <f>IF(N('Dvd Calendar'!$AN$1890)=0,"",IF(('Dvd Calendar'!$AN$1890&gt;=MIN(DATE(Summary!$C$12,1,1),Summary!$C$11))*('Dvd Calendar'!$AN$1890&lt;=MAX(DATE(Summary!$C$12,12,31),Summary!$C$15))*('Dvd Calendar'!$AN$1890&lt;=Summary!$C$11)=0,"",'Dvd Calendar'!$AN$1890*1000000000+ISNUMBER('Dvd Calendar'!$AN$1891)*100000000+('Dvd Calendar'!$AN$1895='Field Check'!$C$25)*10000000+(N('Dvd Calendar'!$AN$1889)&gt;0)*1000000+26*1000+36))</f>
        <v/>
      </c>
      <c r="AM138" s="41">
        <f>IF(N('Dvd Calendar'!$AO$1890)=0,"",IF(('Dvd Calendar'!$AO$1890&gt;=MIN(DATE(Summary!$C$12,1,1),Summary!$C$11))*('Dvd Calendar'!$AO$1890&lt;=MAX(DATE(Summary!$C$12,12,31),Summary!$C$15))*('Dvd Calendar'!$AO$1890&lt;=Summary!$C$11)=0,"",'Dvd Calendar'!$AO$1890*1000000000+ISNUMBER('Dvd Calendar'!$AO$1891)*100000000+('Dvd Calendar'!$AO$1895='Field Check'!$C$25)*10000000+(N('Dvd Calendar'!$AO$1889)&gt;0)*1000000+26*1000+37))</f>
        <v/>
      </c>
      <c r="AN138" s="41">
        <f>IF(N('Dvd Calendar'!$AP$1890)=0,"",IF(('Dvd Calendar'!$AP$1890&gt;=MIN(DATE(Summary!$C$12,1,1),Summary!$C$11))*('Dvd Calendar'!$AP$1890&lt;=MAX(DATE(Summary!$C$12,12,31),Summary!$C$15))*('Dvd Calendar'!$AP$1890&lt;=Summary!$C$11)=0,"",'Dvd Calendar'!$AP$1890*1000000000+ISNUMBER('Dvd Calendar'!$AP$1891)*100000000+('Dvd Calendar'!$AP$1895='Field Check'!$C$25)*10000000+(N('Dvd Calendar'!$AP$1889)&gt;0)*1000000+26*1000+38))</f>
        <v/>
      </c>
      <c r="AO138" s="41">
        <f>IF(N('Dvd Calendar'!$AQ$1890)=0,"",IF(('Dvd Calendar'!$AQ$1890&gt;=MIN(DATE(Summary!$C$12,1,1),Summary!$C$11))*('Dvd Calendar'!$AQ$1890&lt;=MAX(DATE(Summary!$C$12,12,31),Summary!$C$15))*('Dvd Calendar'!$AQ$1890&lt;=Summary!$C$11)=0,"",'Dvd Calendar'!$AQ$1890*1000000000+ISNUMBER('Dvd Calendar'!$AQ$1891)*100000000+('Dvd Calendar'!$AQ$1895='Field Check'!$C$25)*10000000+(N('Dvd Calendar'!$AQ$1889)&gt;0)*1000000+26*1000+39))</f>
        <v/>
      </c>
      <c r="AP138" s="41">
        <f>IF(N('Dvd Calendar'!$AR$1890)=0,"",IF(('Dvd Calendar'!$AR$1890&gt;=MIN(DATE(Summary!$C$12,1,1),Summary!$C$11))*('Dvd Calendar'!$AR$1890&lt;=MAX(DATE(Summary!$C$12,12,31),Summary!$C$15))*('Dvd Calendar'!$AR$1890&lt;=Summary!$C$11)=0,"",'Dvd Calendar'!$AR$1890*1000000000+ISNUMBER('Dvd Calendar'!$AR$1891)*100000000+('Dvd Calendar'!$AR$1895='Field Check'!$C$25)*10000000+(N('Dvd Calendar'!$AR$1889)&gt;0)*1000000+26*1000+40))</f>
        <v/>
      </c>
      <c r="AQ138" s="41">
        <f>IF(N('Dvd Calendar'!$E$1897)=0,"",IF(('Dvd Calendar'!$E$1897&gt;=MIN(DATE(Summary!$C$12,1,1),Summary!$C$11))*('Dvd Calendar'!$E$1897&lt;=MAX(DATE(Summary!$C$12,12,31),Summary!$C$15))*('Dvd Calendar'!$E$1897&gt;Summary!$C$11)=0,"",'Dvd Calendar'!$E$1897*1000000000+ISNUMBER('Dvd Calendar'!$E$1898)*100000000+('Dvd Calendar'!$E$1902='Field Check'!$C$25)*10000000+(N('Dvd Calendar'!$E$1896)&gt;0)*1000000+26*1000+41))</f>
        <v/>
      </c>
      <c r="AR138" s="41">
        <f>IF(N('Dvd Calendar'!$F$1897)=0,"",IF(('Dvd Calendar'!$F$1897&gt;=MIN(DATE(Summary!$C$12,1,1),Summary!$C$11))*('Dvd Calendar'!$F$1897&lt;=MAX(DATE(Summary!$C$12,12,31),Summary!$C$15))*('Dvd Calendar'!$F$1897&gt;Summary!$C$11)=0,"",'Dvd Calendar'!$F$1897*1000000000+ISNUMBER('Dvd Calendar'!$F$1898)*100000000+('Dvd Calendar'!$F$1902='Field Check'!$C$25)*10000000+(N('Dvd Calendar'!$F$1896)&gt;0)*1000000+26*1000+42))</f>
        <v/>
      </c>
      <c r="AS138" s="41">
        <f>IF(N('Dvd Calendar'!$G$1897)=0,"",IF(('Dvd Calendar'!$G$1897&gt;=MIN(DATE(Summary!$C$12,1,1),Summary!$C$11))*('Dvd Calendar'!$G$1897&lt;=MAX(DATE(Summary!$C$12,12,31),Summary!$C$15))*('Dvd Calendar'!$G$1897&gt;Summary!$C$11)=0,"",'Dvd Calendar'!$G$1897*1000000000+ISNUMBER('Dvd Calendar'!$G$1898)*100000000+('Dvd Calendar'!$G$1902='Field Check'!$C$25)*10000000+(N('Dvd Calendar'!$G$1896)&gt;0)*1000000+26*1000+43))</f>
        <v/>
      </c>
      <c r="AT138" s="41">
        <f>IF(N('Dvd Calendar'!$H$1897)=0,"",IF(('Dvd Calendar'!$H$1897&gt;=MIN(DATE(Summary!$C$12,1,1),Summary!$C$11))*('Dvd Calendar'!$H$1897&lt;=MAX(DATE(Summary!$C$12,12,31),Summary!$C$15))*('Dvd Calendar'!$H$1897&gt;Summary!$C$11)=0,"",'Dvd Calendar'!$H$1897*1000000000+ISNUMBER('Dvd Calendar'!$H$1898)*100000000+('Dvd Calendar'!$H$1902='Field Check'!$C$25)*10000000+(N('Dvd Calendar'!$H$1896)&gt;0)*1000000+26*1000+44))</f>
        <v/>
      </c>
      <c r="AU138" s="41">
        <f>IF(N('Dvd Calendar'!$I$1897)=0,"",IF(('Dvd Calendar'!$I$1897&gt;=MIN(DATE(Summary!$C$12,1,1),Summary!$C$11))*('Dvd Calendar'!$I$1897&lt;=MAX(DATE(Summary!$C$12,12,31),Summary!$C$15))*('Dvd Calendar'!$I$1897&gt;Summary!$C$11)=0,"",'Dvd Calendar'!$I$1897*1000000000+ISNUMBER('Dvd Calendar'!$I$1898)*100000000+('Dvd Calendar'!$I$1902='Field Check'!$C$25)*10000000+(N('Dvd Calendar'!$I$1896)&gt;0)*1000000+26*1000+45))</f>
        <v/>
      </c>
      <c r="AV138" s="41">
        <f>IF(N('Dvd Calendar'!$J$1897)=0,"",IF(('Dvd Calendar'!$J$1897&gt;=MIN(DATE(Summary!$C$12,1,1),Summary!$C$11))*('Dvd Calendar'!$J$1897&lt;=MAX(DATE(Summary!$C$12,12,31),Summary!$C$15))*('Dvd Calendar'!$J$1897&gt;Summary!$C$11)=0,"",'Dvd Calendar'!$J$1897*1000000000+ISNUMBER('Dvd Calendar'!$J$1898)*100000000+('Dvd Calendar'!$J$1902='Field Check'!$C$25)*10000000+(N('Dvd Calendar'!$J$1896)&gt;0)*1000000+26*1000+46))</f>
        <v/>
      </c>
      <c r="AW138" s="41">
        <f>IF(N('Dvd Calendar'!$K$1897)=0,"",IF(('Dvd Calendar'!$K$1897&gt;=MIN(DATE(Summary!$C$12,1,1),Summary!$C$11))*('Dvd Calendar'!$K$1897&lt;=MAX(DATE(Summary!$C$12,12,31),Summary!$C$15))*('Dvd Calendar'!$K$1897&gt;Summary!$C$11)=0,"",'Dvd Calendar'!$K$1897*1000000000+ISNUMBER('Dvd Calendar'!$K$1898)*100000000+('Dvd Calendar'!$K$1902='Field Check'!$C$25)*10000000+(N('Dvd Calendar'!$K$1896)&gt;0)*1000000+26*1000+47))</f>
        <v/>
      </c>
      <c r="AX138" s="41">
        <f>IF(N('Dvd Calendar'!$L$1897)=0,"",IF(('Dvd Calendar'!$L$1897&gt;=MIN(DATE(Summary!$C$12,1,1),Summary!$C$11))*('Dvd Calendar'!$L$1897&lt;=MAX(DATE(Summary!$C$12,12,31),Summary!$C$15))*('Dvd Calendar'!$L$1897&gt;Summary!$C$11)=0,"",'Dvd Calendar'!$L$1897*1000000000+ISNUMBER('Dvd Calendar'!$L$1898)*100000000+('Dvd Calendar'!$L$1902='Field Check'!$C$25)*10000000+(N('Dvd Calendar'!$L$1896)&gt;0)*1000000+26*1000+48))</f>
        <v/>
      </c>
      <c r="AY138" s="41">
        <f>IF(N('Dvd Calendar'!$M$1897)=0,"",IF(('Dvd Calendar'!$M$1897&gt;=MIN(DATE(Summary!$C$12,1,1),Summary!$C$11))*('Dvd Calendar'!$M$1897&lt;=MAX(DATE(Summary!$C$12,12,31),Summary!$C$15))*('Dvd Calendar'!$M$1897&gt;Summary!$C$11)=0,"",'Dvd Calendar'!$M$1897*1000000000+ISNUMBER('Dvd Calendar'!$M$1898)*100000000+('Dvd Calendar'!$M$1902='Field Check'!$C$25)*10000000+(N('Dvd Calendar'!$M$1896)&gt;0)*1000000+26*1000+49))</f>
        <v/>
      </c>
      <c r="AZ138" s="41">
        <f>IF(N('Dvd Calendar'!$N$1897)=0,"",IF(('Dvd Calendar'!$N$1897&gt;=MIN(DATE(Summary!$C$12,1,1),Summary!$C$11))*('Dvd Calendar'!$N$1897&lt;=MAX(DATE(Summary!$C$12,12,31),Summary!$C$15))*('Dvd Calendar'!$N$1897&gt;Summary!$C$11)=0,"",'Dvd Calendar'!$N$1897*1000000000+ISNUMBER('Dvd Calendar'!$N$1898)*100000000+('Dvd Calendar'!$N$1902='Field Check'!$C$25)*10000000+(N('Dvd Calendar'!$N$1896)&gt;0)*1000000+26*1000+50))</f>
        <v/>
      </c>
      <c r="BA138" s="41">
        <f>IF(N('Dvd Calendar'!$O$1897)=0,"",IF(('Dvd Calendar'!$O$1897&gt;=MIN(DATE(Summary!$C$12,1,1),Summary!$C$11))*('Dvd Calendar'!$O$1897&lt;=MAX(DATE(Summary!$C$12,12,31),Summary!$C$15))*('Dvd Calendar'!$O$1897&gt;Summary!$C$11)=0,"",'Dvd Calendar'!$O$1897*1000000000+ISNUMBER('Dvd Calendar'!$O$1898)*100000000+('Dvd Calendar'!$O$1902='Field Check'!$C$25)*10000000+(N('Dvd Calendar'!$O$1896)&gt;0)*1000000+26*1000+51))</f>
        <v/>
      </c>
      <c r="BB138" s="41">
        <f>IF(N('Dvd Calendar'!$P$1897)=0,"",IF(('Dvd Calendar'!$P$1897&gt;=MIN(DATE(Summary!$C$12,1,1),Summary!$C$11))*('Dvd Calendar'!$P$1897&lt;=MAX(DATE(Summary!$C$12,12,31),Summary!$C$15))*('Dvd Calendar'!$P$1897&gt;Summary!$C$11)=0,"",'Dvd Calendar'!$P$1897*1000000000+ISNUMBER('Dvd Calendar'!$P$1898)*100000000+('Dvd Calendar'!$P$1902='Field Check'!$C$25)*10000000+(N('Dvd Calendar'!$P$1896)&gt;0)*1000000+26*1000+52))</f>
        <v/>
      </c>
      <c r="BC138" s="41">
        <f>IF(N('Dvd Calendar'!$Q$1897)=0,"",IF(('Dvd Calendar'!$Q$1897&gt;=MIN(DATE(Summary!$C$12,1,1),Summary!$C$11))*('Dvd Calendar'!$Q$1897&lt;=MAX(DATE(Summary!$C$12,12,31),Summary!$C$15))*('Dvd Calendar'!$Q$1897&gt;Summary!$C$11)=0,"",'Dvd Calendar'!$Q$1897*1000000000+ISNUMBER('Dvd Calendar'!$Q$1898)*100000000+('Dvd Calendar'!$Q$1902='Field Check'!$C$25)*10000000+(N('Dvd Calendar'!$Q$1896)&gt;0)*1000000+26*1000+53))</f>
        <v/>
      </c>
      <c r="BD138" s="41">
        <f>IF(N('Dvd Calendar'!$R$1897)=0,"",IF(('Dvd Calendar'!$R$1897&gt;=MIN(DATE(Summary!$C$12,1,1),Summary!$C$11))*('Dvd Calendar'!$R$1897&lt;=MAX(DATE(Summary!$C$12,12,31),Summary!$C$15))*('Dvd Calendar'!$R$1897&gt;Summary!$C$11)=0,"",'Dvd Calendar'!$R$1897*1000000000+ISNUMBER('Dvd Calendar'!$R$1898)*100000000+('Dvd Calendar'!$R$1902='Field Check'!$C$25)*10000000+(N('Dvd Calendar'!$R$1896)&gt;0)*1000000+26*1000+54))</f>
        <v/>
      </c>
      <c r="BE138" s="41">
        <f>IF(N('Dvd Calendar'!$S$1897)=0,"",IF(('Dvd Calendar'!$S$1897&gt;=MIN(DATE(Summary!$C$12,1,1),Summary!$C$11))*('Dvd Calendar'!$S$1897&lt;=MAX(DATE(Summary!$C$12,12,31),Summary!$C$15))*('Dvd Calendar'!$S$1897&gt;Summary!$C$11)=0,"",'Dvd Calendar'!$S$1897*1000000000+ISNUMBER('Dvd Calendar'!$S$1898)*100000000+('Dvd Calendar'!$S$1902='Field Check'!$C$25)*10000000+(N('Dvd Calendar'!$S$1896)&gt;0)*1000000+26*1000+55))</f>
        <v/>
      </c>
      <c r="BF138" s="41">
        <f>IF(N('Dvd Calendar'!$T$1897)=0,"",IF(('Dvd Calendar'!$T$1897&gt;=MIN(DATE(Summary!$C$12,1,1),Summary!$C$11))*('Dvd Calendar'!$T$1897&lt;=MAX(DATE(Summary!$C$12,12,31),Summary!$C$15))*('Dvd Calendar'!$T$1897&gt;Summary!$C$11)=0,"",'Dvd Calendar'!$T$1897*1000000000+ISNUMBER('Dvd Calendar'!$T$1898)*100000000+('Dvd Calendar'!$T$1902='Field Check'!$C$25)*10000000+(N('Dvd Calendar'!$T$1896)&gt;0)*1000000+26*1000+56))</f>
        <v/>
      </c>
      <c r="BG138" s="41">
        <f>IF(N('Dvd Calendar'!$U$1897)=0,"",IF(('Dvd Calendar'!$U$1897&gt;=MIN(DATE(Summary!$C$12,1,1),Summary!$C$11))*('Dvd Calendar'!$U$1897&lt;=MAX(DATE(Summary!$C$12,12,31),Summary!$C$15))*('Dvd Calendar'!$U$1897&gt;Summary!$C$11)=0,"",'Dvd Calendar'!$U$1897*1000000000+ISNUMBER('Dvd Calendar'!$U$1898)*100000000+('Dvd Calendar'!$U$1902='Field Check'!$C$25)*10000000+(N('Dvd Calendar'!$U$1896)&gt;0)*1000000+26*1000+57))</f>
        <v/>
      </c>
      <c r="BH138" s="41">
        <f>IF(N('Dvd Calendar'!$V$1897)=0,"",IF(('Dvd Calendar'!$V$1897&gt;=MIN(DATE(Summary!$C$12,1,1),Summary!$C$11))*('Dvd Calendar'!$V$1897&lt;=MAX(DATE(Summary!$C$12,12,31),Summary!$C$15))*('Dvd Calendar'!$V$1897&gt;Summary!$C$11)=0,"",'Dvd Calendar'!$V$1897*1000000000+ISNUMBER('Dvd Calendar'!$V$1898)*100000000+('Dvd Calendar'!$V$1902='Field Check'!$C$25)*10000000+(N('Dvd Calendar'!$V$1896)&gt;0)*1000000+26*1000+58))</f>
        <v/>
      </c>
      <c r="BI138" s="41">
        <f>IF(N('Dvd Calendar'!$W$1897)=0,"",IF(('Dvd Calendar'!$W$1897&gt;=MIN(DATE(Summary!$C$12,1,1),Summary!$C$11))*('Dvd Calendar'!$W$1897&lt;=MAX(DATE(Summary!$C$12,12,31),Summary!$C$15))*('Dvd Calendar'!$W$1897&gt;Summary!$C$11)=0,"",'Dvd Calendar'!$W$1897*1000000000+ISNUMBER('Dvd Calendar'!$W$1898)*100000000+('Dvd Calendar'!$W$1902='Field Check'!$C$25)*10000000+(N('Dvd Calendar'!$W$1896)&gt;0)*1000000+26*1000+59))</f>
        <v/>
      </c>
      <c r="BJ138" s="41">
        <f>IF(N('Dvd Calendar'!$X$1897)=0,"",IF(('Dvd Calendar'!$X$1897&gt;=MIN(DATE(Summary!$C$12,1,1),Summary!$C$11))*('Dvd Calendar'!$X$1897&lt;=MAX(DATE(Summary!$C$12,12,31),Summary!$C$15))*('Dvd Calendar'!$X$1897&gt;Summary!$C$11)=0,"",'Dvd Calendar'!$X$1897*1000000000+ISNUMBER('Dvd Calendar'!$X$1898)*100000000+('Dvd Calendar'!$X$1902='Field Check'!$C$25)*10000000+(N('Dvd Calendar'!$X$1896)&gt;0)*1000000+26*1000+60))</f>
        <v/>
      </c>
      <c r="BK138" s="41">
        <f>IF(N('Dvd Calendar'!$Y$1897)=0,"",IF(('Dvd Calendar'!$Y$1897&gt;=MIN(DATE(Summary!$C$12,1,1),Summary!$C$11))*('Dvd Calendar'!$Y$1897&lt;=MAX(DATE(Summary!$C$12,12,31),Summary!$C$15))*('Dvd Calendar'!$Y$1897&gt;Summary!$C$11)=0,"",'Dvd Calendar'!$Y$1897*1000000000+ISNUMBER('Dvd Calendar'!$Y$1898)*100000000+('Dvd Calendar'!$Y$1902='Field Check'!$C$25)*10000000+(N('Dvd Calendar'!$Y$1896)&gt;0)*1000000+26*1000+61))</f>
        <v/>
      </c>
      <c r="BL138" s="41">
        <f>IF(N('Dvd Calendar'!$Z$1897)=0,"",IF(('Dvd Calendar'!$Z$1897&gt;=MIN(DATE(Summary!$C$12,1,1),Summary!$C$11))*('Dvd Calendar'!$Z$1897&lt;=MAX(DATE(Summary!$C$12,12,31),Summary!$C$15))*('Dvd Calendar'!$Z$1897&gt;Summary!$C$11)=0,"",'Dvd Calendar'!$Z$1897*1000000000+ISNUMBER('Dvd Calendar'!$Z$1898)*100000000+('Dvd Calendar'!$Z$1902='Field Check'!$C$25)*10000000+(N('Dvd Calendar'!$Z$1896)&gt;0)*1000000+26*1000+62))</f>
        <v/>
      </c>
      <c r="BM138" s="41">
        <f>IF(N('Dvd Calendar'!$AA$1897)=0,"",IF(('Dvd Calendar'!$AA$1897&gt;=MIN(DATE(Summary!$C$12,1,1),Summary!$C$11))*('Dvd Calendar'!$AA$1897&lt;=MAX(DATE(Summary!$C$12,12,31),Summary!$C$15))*('Dvd Calendar'!$AA$1897&gt;Summary!$C$11)=0,"",'Dvd Calendar'!$AA$1897*1000000000+ISNUMBER('Dvd Calendar'!$AA$1898)*100000000+('Dvd Calendar'!$AA$1902='Field Check'!$C$25)*10000000+(N('Dvd Calendar'!$AA$1896)&gt;0)*1000000+26*1000+63))</f>
        <v/>
      </c>
      <c r="BN138" s="41">
        <f>IF(N('Dvd Calendar'!$AB$1897)=0,"",IF(('Dvd Calendar'!$AB$1897&gt;=MIN(DATE(Summary!$C$12,1,1),Summary!$C$11))*('Dvd Calendar'!$AB$1897&lt;=MAX(DATE(Summary!$C$12,12,31),Summary!$C$15))*('Dvd Calendar'!$AB$1897&gt;Summary!$C$11)=0,"",'Dvd Calendar'!$AB$1897*1000000000+ISNUMBER('Dvd Calendar'!$AB$1898)*100000000+('Dvd Calendar'!$AB$1902='Field Check'!$C$25)*10000000+(N('Dvd Calendar'!$AB$1896)&gt;0)*1000000+26*1000+64))</f>
        <v/>
      </c>
      <c r="BO138" s="41">
        <f>IF(N('Dvd Calendar'!$AC$1897)=0,"",IF(('Dvd Calendar'!$AC$1897&gt;=MIN(DATE(Summary!$C$12,1,1),Summary!$C$11))*('Dvd Calendar'!$AC$1897&lt;=MAX(DATE(Summary!$C$12,12,31),Summary!$C$15))*('Dvd Calendar'!$AC$1897&gt;Summary!$C$11)=0,"",'Dvd Calendar'!$AC$1897*1000000000+ISNUMBER('Dvd Calendar'!$AC$1898)*100000000+('Dvd Calendar'!$AC$1902='Field Check'!$C$25)*10000000+(N('Dvd Calendar'!$AC$1896)&gt;0)*1000000+26*1000+65))</f>
        <v/>
      </c>
      <c r="BQ138" s="85">
        <f>IF(C138="","",IF(ISNUMBER('Dvd Calendar'!$E$1891)=FALSE,"",IF((Summary!$C$13="N")*('Dvd Calendar'!$E$1895='Field Check'!$C$25)&gt;0,"",'Dvd Calendar'!$E$1891)))</f>
        <v/>
      </c>
      <c r="BR138" s="85">
        <f>IF(D138="","",IF(ISNUMBER('Dvd Calendar'!$F$1891)=FALSE,"",IF((Summary!$C$13="N")*('Dvd Calendar'!$F$1895='Field Check'!$C$25)&gt;0,"",'Dvd Calendar'!$F$1891)))</f>
        <v/>
      </c>
      <c r="BS138" s="85">
        <f>IF(E138="","",IF(ISNUMBER('Dvd Calendar'!$G$1891)=FALSE,"",IF((Summary!$C$13="N")*('Dvd Calendar'!$G$1895='Field Check'!$C$25)&gt;0,"",'Dvd Calendar'!$G$1891)))</f>
        <v/>
      </c>
      <c r="BT138" s="85">
        <f>IF(F138="","",IF(ISNUMBER('Dvd Calendar'!$H$1891)=FALSE,"",IF((Summary!$C$13="N")*('Dvd Calendar'!$H$1895='Field Check'!$C$25)&gt;0,"",'Dvd Calendar'!$H$1891)))</f>
        <v/>
      </c>
      <c r="BU138" s="85">
        <f>IF(G138="","",IF(ISNUMBER('Dvd Calendar'!$I$1891)=FALSE,"",IF((Summary!$C$13="N")*('Dvd Calendar'!$I$1895='Field Check'!$C$25)&gt;0,"",'Dvd Calendar'!$I$1891)))</f>
        <v/>
      </c>
      <c r="BV138" s="85">
        <f>IF(H138="","",IF(ISNUMBER('Dvd Calendar'!$J$1891)=FALSE,"",IF((Summary!$C$13="N")*('Dvd Calendar'!$J$1895='Field Check'!$C$25)&gt;0,"",'Dvd Calendar'!$J$1891)))</f>
        <v/>
      </c>
      <c r="BW138" s="85">
        <f>IF(I138="","",IF(ISNUMBER('Dvd Calendar'!$K$1891)=FALSE,"",IF((Summary!$C$13="N")*('Dvd Calendar'!$K$1895='Field Check'!$C$25)&gt;0,"",'Dvd Calendar'!$K$1891)))</f>
        <v/>
      </c>
      <c r="BX138" s="85">
        <f>IF(J138="","",IF(ISNUMBER('Dvd Calendar'!$L$1891)=FALSE,"",IF((Summary!$C$13="N")*('Dvd Calendar'!$L$1895='Field Check'!$C$25)&gt;0,"",'Dvd Calendar'!$L$1891)))</f>
        <v/>
      </c>
      <c r="BY138" s="85">
        <f>IF(K138="","",IF(ISNUMBER('Dvd Calendar'!$M$1891)=FALSE,"",IF((Summary!$C$13="N")*('Dvd Calendar'!$M$1895='Field Check'!$C$25)&gt;0,"",'Dvd Calendar'!$M$1891)))</f>
        <v/>
      </c>
      <c r="BZ138" s="85">
        <f>IF(L138="","",IF(ISNUMBER('Dvd Calendar'!$N$1891)=FALSE,"",IF((Summary!$C$13="N")*('Dvd Calendar'!$N$1895='Field Check'!$C$25)&gt;0,"",'Dvd Calendar'!$N$1891)))</f>
        <v/>
      </c>
      <c r="CA138" s="85">
        <f>IF(M138="","",IF(ISNUMBER('Dvd Calendar'!$O$1891)=FALSE,"",IF((Summary!$C$13="N")*('Dvd Calendar'!$O$1895='Field Check'!$C$25)&gt;0,"",'Dvd Calendar'!$O$1891)))</f>
        <v/>
      </c>
      <c r="CB138" s="85">
        <f>IF(N138="","",IF(ISNUMBER('Dvd Calendar'!$P$1891)=FALSE,"",IF((Summary!$C$13="N")*('Dvd Calendar'!$P$1895='Field Check'!$C$25)&gt;0,"",'Dvd Calendar'!$P$1891)))</f>
        <v/>
      </c>
      <c r="CC138" s="85">
        <f>IF(O138="","",IF(ISNUMBER('Dvd Calendar'!$Q$1891)=FALSE,"",IF((Summary!$C$13="N")*('Dvd Calendar'!$Q$1895='Field Check'!$C$25)&gt;0,"",'Dvd Calendar'!$Q$1891)))</f>
        <v/>
      </c>
      <c r="CD138" s="85">
        <f>IF(P138="","",IF(ISNUMBER('Dvd Calendar'!$R$1891)=FALSE,"",IF((Summary!$C$13="N")*('Dvd Calendar'!$R$1895='Field Check'!$C$25)&gt;0,"",'Dvd Calendar'!$R$1891)))</f>
        <v/>
      </c>
      <c r="CE138" s="85">
        <f>IF(Q138="","",IF(ISNUMBER('Dvd Calendar'!$S$1891)=FALSE,"",IF((Summary!$C$13="N")*('Dvd Calendar'!$S$1895='Field Check'!$C$25)&gt;0,"",'Dvd Calendar'!$S$1891)))</f>
        <v/>
      </c>
      <c r="CF138" s="85">
        <f>IF(R138="","",IF(ISNUMBER('Dvd Calendar'!$T$1891)=FALSE,"",IF((Summary!$C$13="N")*('Dvd Calendar'!$T$1895='Field Check'!$C$25)&gt;0,"",'Dvd Calendar'!$T$1891)))</f>
        <v/>
      </c>
      <c r="CG138" s="85">
        <f>IF(S138="","",IF(ISNUMBER('Dvd Calendar'!$U$1891)=FALSE,"",IF((Summary!$C$13="N")*('Dvd Calendar'!$U$1895='Field Check'!$C$25)&gt;0,"",'Dvd Calendar'!$U$1891)))</f>
        <v/>
      </c>
      <c r="CH138" s="85">
        <f>IF(T138="","",IF(ISNUMBER('Dvd Calendar'!$V$1891)=FALSE,"",IF((Summary!$C$13="N")*('Dvd Calendar'!$V$1895='Field Check'!$C$25)&gt;0,"",'Dvd Calendar'!$V$1891)))</f>
        <v/>
      </c>
      <c r="CI138" s="85">
        <f>IF(U138="","",IF(ISNUMBER('Dvd Calendar'!$W$1891)=FALSE,"",IF((Summary!$C$13="N")*('Dvd Calendar'!$W$1895='Field Check'!$C$25)&gt;0,"",'Dvd Calendar'!$W$1891)))</f>
        <v/>
      </c>
      <c r="CJ138" s="85">
        <f>IF(V138="","",IF(ISNUMBER('Dvd Calendar'!$X$1891)=FALSE,"",IF((Summary!$C$13="N")*('Dvd Calendar'!$X$1895='Field Check'!$C$25)&gt;0,"",'Dvd Calendar'!$X$1891)))</f>
        <v/>
      </c>
      <c r="CK138" s="85">
        <f>IF(W138="","",IF(ISNUMBER('Dvd Calendar'!$Y$1891)=FALSE,"",IF((Summary!$C$13="N")*('Dvd Calendar'!$Y$1895='Field Check'!$C$25)&gt;0,"",'Dvd Calendar'!$Y$1891)))</f>
        <v/>
      </c>
      <c r="CL138" s="85">
        <f>IF(X138="","",IF(ISNUMBER('Dvd Calendar'!$Z$1891)=FALSE,"",IF((Summary!$C$13="N")*('Dvd Calendar'!$Z$1895='Field Check'!$C$25)&gt;0,"",'Dvd Calendar'!$Z$1891)))</f>
        <v/>
      </c>
      <c r="CM138" s="85">
        <f>IF(Y138="","",IF(ISNUMBER('Dvd Calendar'!$AA$1891)=FALSE,"",IF((Summary!$C$13="N")*('Dvd Calendar'!$AA$1895='Field Check'!$C$25)&gt;0,"",'Dvd Calendar'!$AA$1891)))</f>
        <v/>
      </c>
      <c r="CN138" s="85">
        <f>IF(Z138="","",IF(ISNUMBER('Dvd Calendar'!$AB$1891)=FALSE,"",IF((Summary!$C$13="N")*('Dvd Calendar'!$AB$1895='Field Check'!$C$25)&gt;0,"",'Dvd Calendar'!$AB$1891)))</f>
        <v/>
      </c>
      <c r="CO138" s="85">
        <f>IF(AA138="","",IF(ISNUMBER('Dvd Calendar'!$AC$1891)=FALSE,"",IF((Summary!$C$13="N")*('Dvd Calendar'!$AC$1895='Field Check'!$C$25)&gt;0,"",'Dvd Calendar'!$AC$1891)))</f>
        <v/>
      </c>
      <c r="CP138" s="85">
        <f>IF(AB138="","",IF(ISNUMBER('Dvd Calendar'!$AD$1891)=FALSE,"",IF((Summary!$C$13="N")*('Dvd Calendar'!$AD$1895='Field Check'!$C$25)&gt;0,"",'Dvd Calendar'!$AD$1891)))</f>
        <v/>
      </c>
      <c r="CQ138" s="85">
        <f>IF(AC138="","",IF(ISNUMBER('Dvd Calendar'!$AE$1891)=FALSE,"",IF((Summary!$C$13="N")*('Dvd Calendar'!$AE$1895='Field Check'!$C$25)&gt;0,"",'Dvd Calendar'!$AE$1891)))</f>
        <v/>
      </c>
      <c r="CR138" s="85">
        <f>IF(AD138="","",IF(ISNUMBER('Dvd Calendar'!$AF$1891)=FALSE,"",IF((Summary!$C$13="N")*('Dvd Calendar'!$AF$1895='Field Check'!$C$25)&gt;0,"",'Dvd Calendar'!$AF$1891)))</f>
        <v/>
      </c>
      <c r="CS138" s="85">
        <f>IF(AE138="","",IF(ISNUMBER('Dvd Calendar'!$AG$1891)=FALSE,"",IF((Summary!$C$13="N")*('Dvd Calendar'!$AG$1895='Field Check'!$C$25)&gt;0,"",'Dvd Calendar'!$AG$1891)))</f>
        <v/>
      </c>
      <c r="CT138" s="85">
        <f>IF(AF138="","",IF(ISNUMBER('Dvd Calendar'!$AH$1891)=FALSE,"",IF((Summary!$C$13="N")*('Dvd Calendar'!$AH$1895='Field Check'!$C$25)&gt;0,"",'Dvd Calendar'!$AH$1891)))</f>
        <v/>
      </c>
      <c r="CU138" s="85">
        <f>IF(AG138="","",IF(ISNUMBER('Dvd Calendar'!$AI$1891)=FALSE,"",IF((Summary!$C$13="N")*('Dvd Calendar'!$AI$1895='Field Check'!$C$25)&gt;0,"",'Dvd Calendar'!$AI$1891)))</f>
        <v/>
      </c>
      <c r="CV138" s="85">
        <f>IF(AH138="","",IF(ISNUMBER('Dvd Calendar'!$AJ$1891)=FALSE,"",IF((Summary!$C$13="N")*('Dvd Calendar'!$AJ$1895='Field Check'!$C$25)&gt;0,"",'Dvd Calendar'!$AJ$1891)))</f>
        <v/>
      </c>
      <c r="CW138" s="85">
        <f>IF(AI138="","",IF(ISNUMBER('Dvd Calendar'!$AK$1891)=FALSE,"",IF((Summary!$C$13="N")*('Dvd Calendar'!$AK$1895='Field Check'!$C$25)&gt;0,"",'Dvd Calendar'!$AK$1891)))</f>
        <v/>
      </c>
      <c r="CX138" s="85">
        <f>IF(AJ138="","",IF(ISNUMBER('Dvd Calendar'!$AL$1891)=FALSE,"",IF((Summary!$C$13="N")*('Dvd Calendar'!$AL$1895='Field Check'!$C$25)&gt;0,"",'Dvd Calendar'!$AL$1891)))</f>
        <v/>
      </c>
      <c r="CY138" s="85">
        <f>IF(AK138="","",IF(ISNUMBER('Dvd Calendar'!$AM$1891)=FALSE,"",IF((Summary!$C$13="N")*('Dvd Calendar'!$AM$1895='Field Check'!$C$25)&gt;0,"",'Dvd Calendar'!$AM$1891)))</f>
        <v/>
      </c>
      <c r="CZ138" s="85">
        <f>IF(AL138="","",IF(ISNUMBER('Dvd Calendar'!$AN$1891)=FALSE,"",IF((Summary!$C$13="N")*('Dvd Calendar'!$AN$1895='Field Check'!$C$25)&gt;0,"",'Dvd Calendar'!$AN$1891)))</f>
        <v/>
      </c>
      <c r="DA138" s="85">
        <f>IF(AM138="","",IF(ISNUMBER('Dvd Calendar'!$AO$1891)=FALSE,"",IF((Summary!$C$13="N")*('Dvd Calendar'!$AO$1895='Field Check'!$C$25)&gt;0,"",'Dvd Calendar'!$AO$1891)))</f>
        <v/>
      </c>
      <c r="DB138" s="85">
        <f>IF(AN138="","",IF(ISNUMBER('Dvd Calendar'!$AP$1891)=FALSE,"",IF((Summary!$C$13="N")*('Dvd Calendar'!$AP$1895='Field Check'!$C$25)&gt;0,"",'Dvd Calendar'!$AP$1891)))</f>
        <v/>
      </c>
      <c r="DC138" s="85">
        <f>IF(AO138="","",IF(ISNUMBER('Dvd Calendar'!$AQ$1891)=FALSE,"",IF((Summary!$C$13="N")*('Dvd Calendar'!$AQ$1895='Field Check'!$C$25)&gt;0,"",'Dvd Calendar'!$AQ$1891)))</f>
        <v/>
      </c>
      <c r="DD138" s="85">
        <f>IF(AP138="","",IF(ISNUMBER('Dvd Calendar'!$AR$1891)=FALSE,"",IF((Summary!$C$13="N")*('Dvd Calendar'!$AR$1895='Field Check'!$C$25)&gt;0,"",'Dvd Calendar'!$AR$1891)))</f>
        <v/>
      </c>
      <c r="DE138" s="85">
        <f>IF(AQ138="","",IF(ISNUMBER('Dvd Calendar'!$E$1898)=FALSE,"",IF((Summary!$C$13="N")*('Dvd Calendar'!$E$1902='Field Check'!$C$25)&gt;0,"",'Dvd Calendar'!$E$1898)))</f>
        <v/>
      </c>
      <c r="DF138" s="85">
        <f>IF(AR138="","",IF(ISNUMBER('Dvd Calendar'!$F$1898)=FALSE,"",IF((Summary!$C$13="N")*('Dvd Calendar'!$F$1902='Field Check'!$C$25)&gt;0,"",'Dvd Calendar'!$F$1898)))</f>
        <v/>
      </c>
      <c r="DG138" s="85">
        <f>IF(AS138="","",IF(ISNUMBER('Dvd Calendar'!$G$1898)=FALSE,"",IF((Summary!$C$13="N")*('Dvd Calendar'!$G$1902='Field Check'!$C$25)&gt;0,"",'Dvd Calendar'!$G$1898)))</f>
        <v/>
      </c>
      <c r="DH138" s="85">
        <f>IF(AT138="","",IF(ISNUMBER('Dvd Calendar'!$H$1898)=FALSE,"",IF((Summary!$C$13="N")*('Dvd Calendar'!$H$1902='Field Check'!$C$25)&gt;0,"",'Dvd Calendar'!$H$1898)))</f>
        <v/>
      </c>
      <c r="DI138" s="85">
        <f>IF(AU138="","",IF(ISNUMBER('Dvd Calendar'!$I$1898)=FALSE,"",IF((Summary!$C$13="N")*('Dvd Calendar'!$I$1902='Field Check'!$C$25)&gt;0,"",'Dvd Calendar'!$I$1898)))</f>
        <v/>
      </c>
      <c r="DJ138" s="85">
        <f>IF(AV138="","",IF(ISNUMBER('Dvd Calendar'!$J$1898)=FALSE,"",IF((Summary!$C$13="N")*('Dvd Calendar'!$J$1902='Field Check'!$C$25)&gt;0,"",'Dvd Calendar'!$J$1898)))</f>
        <v/>
      </c>
      <c r="DK138" s="85">
        <f>IF(AW138="","",IF(ISNUMBER('Dvd Calendar'!$K$1898)=FALSE,"",IF((Summary!$C$13="N")*('Dvd Calendar'!$K$1902='Field Check'!$C$25)&gt;0,"",'Dvd Calendar'!$K$1898)))</f>
        <v/>
      </c>
      <c r="DL138" s="85">
        <f>IF(AX138="","",IF(ISNUMBER('Dvd Calendar'!$L$1898)=FALSE,"",IF((Summary!$C$13="N")*('Dvd Calendar'!$L$1902='Field Check'!$C$25)&gt;0,"",'Dvd Calendar'!$L$1898)))</f>
        <v/>
      </c>
      <c r="DM138" s="85">
        <f>IF(AY138="","",IF(ISNUMBER('Dvd Calendar'!$M$1898)=FALSE,"",IF((Summary!$C$13="N")*('Dvd Calendar'!$M$1902='Field Check'!$C$25)&gt;0,"",'Dvd Calendar'!$M$1898)))</f>
        <v/>
      </c>
      <c r="DN138" s="85">
        <f>IF(AZ138="","",IF(ISNUMBER('Dvd Calendar'!$N$1898)=FALSE,"",IF((Summary!$C$13="N")*('Dvd Calendar'!$N$1902='Field Check'!$C$25)&gt;0,"",'Dvd Calendar'!$N$1898)))</f>
        <v/>
      </c>
      <c r="DO138" s="85">
        <f>IF(BA138="","",IF(ISNUMBER('Dvd Calendar'!$O$1898)=FALSE,"",IF((Summary!$C$13="N")*('Dvd Calendar'!$O$1902='Field Check'!$C$25)&gt;0,"",'Dvd Calendar'!$O$1898)))</f>
        <v/>
      </c>
      <c r="DP138" s="85">
        <f>IF(BB138="","",IF(ISNUMBER('Dvd Calendar'!$P$1898)=FALSE,"",IF((Summary!$C$13="N")*('Dvd Calendar'!$P$1902='Field Check'!$C$25)&gt;0,"",'Dvd Calendar'!$P$1898)))</f>
        <v/>
      </c>
      <c r="DQ138" s="85">
        <f>IF(BC138="","",IF(ISNUMBER('Dvd Calendar'!$Q$1898)=FALSE,"",IF((Summary!$C$13="N")*('Dvd Calendar'!$Q$1902='Field Check'!$C$25)&gt;0,"",'Dvd Calendar'!$Q$1898)))</f>
        <v/>
      </c>
      <c r="DR138" s="85">
        <f>IF(BD138="","",IF(ISNUMBER('Dvd Calendar'!$R$1898)=FALSE,"",IF((Summary!$C$13="N")*('Dvd Calendar'!$R$1902='Field Check'!$C$25)&gt;0,"",'Dvd Calendar'!$R$1898)))</f>
        <v/>
      </c>
      <c r="DS138" s="85">
        <f>IF(BE138="","",IF(ISNUMBER('Dvd Calendar'!$S$1898)=FALSE,"",IF((Summary!$C$13="N")*('Dvd Calendar'!$S$1902='Field Check'!$C$25)&gt;0,"",'Dvd Calendar'!$S$1898)))</f>
        <v/>
      </c>
      <c r="DT138" s="85">
        <f>IF(BF138="","",IF(ISNUMBER('Dvd Calendar'!$T$1898)=FALSE,"",IF((Summary!$C$13="N")*('Dvd Calendar'!$T$1902='Field Check'!$C$25)&gt;0,"",'Dvd Calendar'!$T$1898)))</f>
        <v/>
      </c>
      <c r="DU138" s="85">
        <f>IF(BG138="","",IF(ISNUMBER('Dvd Calendar'!$U$1898)=FALSE,"",IF((Summary!$C$13="N")*('Dvd Calendar'!$U$1902='Field Check'!$C$25)&gt;0,"",'Dvd Calendar'!$U$1898)))</f>
        <v/>
      </c>
      <c r="DV138" s="85">
        <f>IF(BH138="","",IF(ISNUMBER('Dvd Calendar'!$V$1898)=FALSE,"",IF((Summary!$C$13="N")*('Dvd Calendar'!$V$1902='Field Check'!$C$25)&gt;0,"",'Dvd Calendar'!$V$1898)))</f>
        <v/>
      </c>
      <c r="DW138" s="85">
        <f>IF(BI138="","",IF(ISNUMBER('Dvd Calendar'!$W$1898)=FALSE,"",IF((Summary!$C$13="N")*('Dvd Calendar'!$W$1902='Field Check'!$C$25)&gt;0,"",'Dvd Calendar'!$W$1898)))</f>
        <v/>
      </c>
      <c r="DX138" s="85">
        <f>IF(BJ138="","",IF(ISNUMBER('Dvd Calendar'!$X$1898)=FALSE,"",IF((Summary!$C$13="N")*('Dvd Calendar'!$X$1902='Field Check'!$C$25)&gt;0,"",'Dvd Calendar'!$X$1898)))</f>
        <v/>
      </c>
      <c r="DY138" s="85">
        <f>IF(BK138="","",IF(ISNUMBER('Dvd Calendar'!$Y$1898)=FALSE,"",IF((Summary!$C$13="N")*('Dvd Calendar'!$Y$1902='Field Check'!$C$25)&gt;0,"",'Dvd Calendar'!$Y$1898)))</f>
        <v/>
      </c>
      <c r="DZ138" s="85">
        <f>IF(BL138="","",IF(ISNUMBER('Dvd Calendar'!$Z$1898)=FALSE,"",IF((Summary!$C$13="N")*('Dvd Calendar'!$Z$1902='Field Check'!$C$25)&gt;0,"",'Dvd Calendar'!$Z$1898)))</f>
        <v/>
      </c>
      <c r="EA138" s="85">
        <f>IF(BM138="","",IF(ISNUMBER('Dvd Calendar'!$AA$1898)=FALSE,"",IF((Summary!$C$13="N")*('Dvd Calendar'!$AA$1902='Field Check'!$C$25)&gt;0,"",'Dvd Calendar'!$AA$1898)))</f>
        <v/>
      </c>
      <c r="EB138" s="85">
        <f>IF(BN138="","",IF(ISNUMBER('Dvd Calendar'!$AB$1898)=FALSE,"",IF((Summary!$C$13="N")*('Dvd Calendar'!$AB$1902='Field Check'!$C$25)&gt;0,"",'Dvd Calendar'!$AB$1898)))</f>
        <v/>
      </c>
      <c r="EC138" s="85">
        <f>IF(BO138="","",IF(ISNUMBER('Dvd Calendar'!$AC$1898)=FALSE,"",IF((Summary!$C$13="N")*('Dvd Calendar'!$AC$1902='Field Check'!$C$25)&gt;0,"",'Dvd Calendar'!$AC$1898)))</f>
        <v/>
      </c>
      <c r="EE138" s="85">
        <f>IF(BQ138="","",IFERROR(BQ138*HSTECH!$B$32*HSTECH!$G$32/HSTECH!$B$3,""))</f>
        <v/>
      </c>
      <c r="EF138" s="85">
        <f>IF(BR138="","",IFERROR(BR138*HSTECH!$B$32*HSTECH!$G$32/HSTECH!$B$3,""))</f>
        <v/>
      </c>
      <c r="EG138" s="85">
        <f>IF(BS138="","",IFERROR(BS138*HSTECH!$B$32*HSTECH!$G$32/HSTECH!$B$3,""))</f>
        <v/>
      </c>
      <c r="EH138" s="85">
        <f>IF(BT138="","",IFERROR(BT138*HSTECH!$B$32*HSTECH!$G$32/HSTECH!$B$3,""))</f>
        <v/>
      </c>
      <c r="EI138" s="85">
        <f>IF(BU138="","",IFERROR(BU138*HSTECH!$B$32*HSTECH!$G$32/HSTECH!$B$3,""))</f>
        <v/>
      </c>
      <c r="EJ138" s="85">
        <f>IF(BV138="","",IFERROR(BV138*HSTECH!$B$32*HSTECH!$G$32/HSTECH!$B$3,""))</f>
        <v/>
      </c>
      <c r="EK138" s="85">
        <f>IF(BW138="","",IFERROR(BW138*HSTECH!$B$32*HSTECH!$G$32/HSTECH!$B$3,""))</f>
        <v/>
      </c>
      <c r="EL138" s="85">
        <f>IF(BX138="","",IFERROR(BX138*HSTECH!$B$32*HSTECH!$G$32/HSTECH!$B$3,""))</f>
        <v/>
      </c>
      <c r="EM138" s="85">
        <f>IF(BY138="","",IFERROR(BY138*HSTECH!$B$32*HSTECH!$G$32/HSTECH!$B$3,""))</f>
        <v/>
      </c>
      <c r="EN138" s="85">
        <f>IF(BZ138="","",IFERROR(BZ138*HSTECH!$B$32*HSTECH!$G$32/HSTECH!$B$3,""))</f>
        <v/>
      </c>
      <c r="EO138" s="85">
        <f>IF(CA138="","",IFERROR(CA138*HSTECH!$B$32*HSTECH!$G$32/HSTECH!$B$3,""))</f>
        <v/>
      </c>
      <c r="EP138" s="85">
        <f>IF(CB138="","",IFERROR(CB138*HSTECH!$B$32*HSTECH!$G$32/HSTECH!$B$3,""))</f>
        <v/>
      </c>
      <c r="EQ138" s="85">
        <f>IF(CC138="","",IFERROR(CC138*HSTECH!$B$32*HSTECH!$G$32/HSTECH!$B$3,""))</f>
        <v/>
      </c>
      <c r="ER138" s="85">
        <f>IF(CD138="","",IFERROR(CD138*HSTECH!$B$32*HSTECH!$G$32/HSTECH!$B$3,""))</f>
        <v/>
      </c>
      <c r="ES138" s="85">
        <f>IF(CE138="","",IFERROR(CE138*HSTECH!$B$32*HSTECH!$G$32/HSTECH!$B$3,""))</f>
        <v/>
      </c>
      <c r="ET138" s="85">
        <f>IF(CF138="","",IFERROR(CF138*HSTECH!$B$32*HSTECH!$G$32/HSTECH!$B$3,""))</f>
        <v/>
      </c>
      <c r="EU138" s="85">
        <f>IF(CG138="","",IFERROR(CG138*HSTECH!$B$32*HSTECH!$G$32/HSTECH!$B$3,""))</f>
        <v/>
      </c>
      <c r="EV138" s="85">
        <f>IF(CH138="","",IFERROR(CH138*HSTECH!$B$32*HSTECH!$G$32/HSTECH!$B$3,""))</f>
        <v/>
      </c>
      <c r="EW138" s="85">
        <f>IF(CI138="","",IFERROR(CI138*HSTECH!$B$32*HSTECH!$G$32/HSTECH!$B$3,""))</f>
        <v/>
      </c>
      <c r="EX138" s="85">
        <f>IF(CJ138="","",IFERROR(CJ138*HSTECH!$B$32*HSTECH!$G$32/HSTECH!$B$3,""))</f>
        <v/>
      </c>
      <c r="EY138" s="85">
        <f>IF(CK138="","",IFERROR(CK138*HSTECH!$B$32*HSTECH!$G$32/HSTECH!$B$3,""))</f>
        <v/>
      </c>
      <c r="EZ138" s="85">
        <f>IF(CL138="","",IFERROR(CL138*HSTECH!$B$32*HSTECH!$G$32/HSTECH!$B$3,""))</f>
        <v/>
      </c>
      <c r="FA138" s="85">
        <f>IF(CM138="","",IFERROR(CM138*HSTECH!$B$32*HSTECH!$G$32/HSTECH!$B$3,""))</f>
        <v/>
      </c>
      <c r="FB138" s="85">
        <f>IF(CN138="","",IFERROR(CN138*HSTECH!$B$32*HSTECH!$G$32/HSTECH!$B$3,""))</f>
        <v/>
      </c>
      <c r="FC138" s="85">
        <f>IF(CO138="","",IFERROR(CO138*HSTECH!$B$32*HSTECH!$G$32/HSTECH!$B$3,""))</f>
        <v/>
      </c>
      <c r="FD138" s="85">
        <f>IF(CP138="","",IFERROR(CP138*HSTECH!$B$32*HSTECH!$G$32/HSTECH!$B$3,""))</f>
        <v/>
      </c>
      <c r="FE138" s="85">
        <f>IF(CQ138="","",IFERROR(CQ138*HSTECH!$B$32*HSTECH!$G$32/HSTECH!$B$3,""))</f>
        <v/>
      </c>
      <c r="FF138" s="85">
        <f>IF(CR138="","",IFERROR(CR138*HSTECH!$B$32*HSTECH!$G$32/HSTECH!$B$3,""))</f>
        <v/>
      </c>
      <c r="FG138" s="85">
        <f>IF(CS138="","",IFERROR(CS138*HSTECH!$B$32*HSTECH!$G$32/HSTECH!$B$3,""))</f>
        <v/>
      </c>
      <c r="FH138" s="85">
        <f>IF(CT138="","",IFERROR(CT138*HSTECH!$B$32*HSTECH!$G$32/HSTECH!$B$3,""))</f>
        <v/>
      </c>
      <c r="FI138" s="85">
        <f>IF(CU138="","",IFERROR(CU138*HSTECH!$B$32*HSTECH!$G$32/HSTECH!$B$3,""))</f>
        <v/>
      </c>
      <c r="FJ138" s="85">
        <f>IF(CV138="","",IFERROR(CV138*HSTECH!$B$32*HSTECH!$G$32/HSTECH!$B$3,""))</f>
        <v/>
      </c>
      <c r="FK138" s="85">
        <f>IF(CW138="","",IFERROR(CW138*HSTECH!$B$32*HSTECH!$G$32/HSTECH!$B$3,""))</f>
        <v/>
      </c>
      <c r="FL138" s="85">
        <f>IF(CX138="","",IFERROR(CX138*HSTECH!$B$32*HSTECH!$G$32/HSTECH!$B$3,""))</f>
        <v/>
      </c>
      <c r="FM138" s="85">
        <f>IF(CY138="","",IFERROR(CY138*HSTECH!$B$32*HSTECH!$G$32/HSTECH!$B$3,""))</f>
        <v/>
      </c>
      <c r="FN138" s="85">
        <f>IF(CZ138="","",IFERROR(CZ138*HSTECH!$B$32*HSTECH!$G$32/HSTECH!$B$3,""))</f>
        <v/>
      </c>
      <c r="FO138" s="85">
        <f>IF(DA138="","",IFERROR(DA138*HSTECH!$B$32*HSTECH!$G$32/HSTECH!$B$3,""))</f>
        <v/>
      </c>
      <c r="FP138" s="85">
        <f>IF(DB138="","",IFERROR(DB138*HSTECH!$B$32*HSTECH!$G$32/HSTECH!$B$3,""))</f>
        <v/>
      </c>
      <c r="FQ138" s="85">
        <f>IF(DC138="","",IFERROR(DC138*HSTECH!$B$32*HSTECH!$G$32/HSTECH!$B$3,""))</f>
        <v/>
      </c>
      <c r="FR138" s="85">
        <f>IF(DD138="","",IFERROR(DD138*HSTECH!$B$32*HSTECH!$G$32/HSTECH!$B$3,""))</f>
        <v/>
      </c>
      <c r="FS138" s="85">
        <f>IF(DE138="","",IFERROR(DE138*HSTECH!$B$32*HSTECH!$G$32/HSTECH!$B$3,""))</f>
        <v/>
      </c>
      <c r="FT138" s="85">
        <f>IF(DF138="","",IFERROR(DF138*HSTECH!$B$32*HSTECH!$G$32/HSTECH!$B$3,""))</f>
        <v/>
      </c>
      <c r="FU138" s="85">
        <f>IF(DG138="","",IFERROR(DG138*HSTECH!$B$32*HSTECH!$G$32/HSTECH!$B$3,""))</f>
        <v/>
      </c>
      <c r="FV138" s="85">
        <f>IF(DH138="","",IFERROR(DH138*HSTECH!$B$32*HSTECH!$G$32/HSTECH!$B$3,""))</f>
        <v/>
      </c>
      <c r="FW138" s="85">
        <f>IF(DI138="","",IFERROR(DI138*HSTECH!$B$32*HSTECH!$G$32/HSTECH!$B$3,""))</f>
        <v/>
      </c>
      <c r="FX138" s="85">
        <f>IF(DJ138="","",IFERROR(DJ138*HSTECH!$B$32*HSTECH!$G$32/HSTECH!$B$3,""))</f>
        <v/>
      </c>
      <c r="FY138" s="85">
        <f>IF(DK138="","",IFERROR(DK138*HSTECH!$B$32*HSTECH!$G$32/HSTECH!$B$3,""))</f>
        <v/>
      </c>
      <c r="FZ138" s="85">
        <f>IF(DL138="","",IFERROR(DL138*HSTECH!$B$32*HSTECH!$G$32/HSTECH!$B$3,""))</f>
        <v/>
      </c>
      <c r="GA138" s="85">
        <f>IF(DM138="","",IFERROR(DM138*HSTECH!$B$32*HSTECH!$G$32/HSTECH!$B$3,""))</f>
        <v/>
      </c>
      <c r="GB138" s="85">
        <f>IF(DN138="","",IFERROR(DN138*HSTECH!$B$32*HSTECH!$G$32/HSTECH!$B$3,""))</f>
        <v/>
      </c>
      <c r="GC138" s="85">
        <f>IF(DO138="","",IFERROR(DO138*HSTECH!$B$32*HSTECH!$G$32/HSTECH!$B$3,""))</f>
        <v/>
      </c>
      <c r="GD138" s="85">
        <f>IF(DP138="","",IFERROR(DP138*HSTECH!$B$32*HSTECH!$G$32/HSTECH!$B$3,""))</f>
        <v/>
      </c>
      <c r="GE138" s="85">
        <f>IF(DQ138="","",IFERROR(DQ138*HSTECH!$B$32*HSTECH!$G$32/HSTECH!$B$3,""))</f>
        <v/>
      </c>
      <c r="GF138" s="85">
        <f>IF(DR138="","",IFERROR(DR138*HSTECH!$B$32*HSTECH!$G$32/HSTECH!$B$3,""))</f>
        <v/>
      </c>
      <c r="GG138" s="85">
        <f>IF(DS138="","",IFERROR(DS138*HSTECH!$B$32*HSTECH!$G$32/HSTECH!$B$3,""))</f>
        <v/>
      </c>
      <c r="GH138" s="85">
        <f>IF(DT138="","",IFERROR(DT138*HSTECH!$B$32*HSTECH!$G$32/HSTECH!$B$3,""))</f>
        <v/>
      </c>
      <c r="GI138" s="85">
        <f>IF(DU138="","",IFERROR(DU138*HSTECH!$B$32*HSTECH!$G$32/HSTECH!$B$3,""))</f>
        <v/>
      </c>
      <c r="GJ138" s="85">
        <f>IF(DV138="","",IFERROR(DV138*HSTECH!$B$32*HSTECH!$G$32/HSTECH!$B$3,""))</f>
        <v/>
      </c>
      <c r="GK138" s="85">
        <f>IF(DW138="","",IFERROR(DW138*HSTECH!$B$32*HSTECH!$G$32/HSTECH!$B$3,""))</f>
        <v/>
      </c>
      <c r="GL138" s="85">
        <f>IF(DX138="","",IFERROR(DX138*HSTECH!$B$32*HSTECH!$G$32/HSTECH!$B$3,""))</f>
        <v/>
      </c>
      <c r="GM138" s="85">
        <f>IF(DY138="","",IFERROR(DY138*HSTECH!$B$32*HSTECH!$G$32/HSTECH!$B$3,""))</f>
        <v/>
      </c>
      <c r="GN138" s="85">
        <f>IF(DZ138="","",IFERROR(DZ138*HSTECH!$B$32*HSTECH!$G$32/HSTECH!$B$3,""))</f>
        <v/>
      </c>
      <c r="GO138" s="85">
        <f>IF(EA138="","",IFERROR(EA138*HSTECH!$B$32*HSTECH!$G$32/HSTECH!$B$3,""))</f>
        <v/>
      </c>
      <c r="GP138" s="85">
        <f>IF(EB138="","",IFERROR(EB138*HSTECH!$B$32*HSTECH!$G$32/HSTECH!$B$3,""))</f>
        <v/>
      </c>
      <c r="GQ138" s="85">
        <f>IF(EC138="","",IFERROR(EC138*HSTECH!$B$32*HSTECH!$G$32/HSTECH!$B$3,""))</f>
        <v/>
      </c>
    </row>
    <row r="139">
      <c r="B139" s="2">
        <f>IF(HSTECH!$C$33="","",HSTECH!$C$33)</f>
        <v/>
      </c>
      <c r="C139" s="41">
        <f>IF(N('Dvd Calendar'!$E$1905)=0,"",IF(('Dvd Calendar'!$E$1905&gt;=MIN(DATE(Summary!$C$12,1,1),Summary!$C$11))*('Dvd Calendar'!$E$1905&lt;=MAX(DATE(Summary!$C$12,12,31),Summary!$C$15))*('Dvd Calendar'!$E$1905&lt;=Summary!$C$11)=0,"",'Dvd Calendar'!$E$1905*1000000000+ISNUMBER('Dvd Calendar'!$E$1906)*100000000+('Dvd Calendar'!$E$1910='Field Check'!$C$25)*10000000+(N('Dvd Calendar'!$E$1904)&gt;0)*1000000+27*1000+1))</f>
        <v/>
      </c>
      <c r="D139" s="41">
        <f>IF(N('Dvd Calendar'!$F$1905)=0,"",IF(('Dvd Calendar'!$F$1905&gt;=MIN(DATE(Summary!$C$12,1,1),Summary!$C$11))*('Dvd Calendar'!$F$1905&lt;=MAX(DATE(Summary!$C$12,12,31),Summary!$C$15))*('Dvd Calendar'!$F$1905&lt;=Summary!$C$11)=0,"",'Dvd Calendar'!$F$1905*1000000000+ISNUMBER('Dvd Calendar'!$F$1906)*100000000+('Dvd Calendar'!$F$1910='Field Check'!$C$25)*10000000+(N('Dvd Calendar'!$F$1904)&gt;0)*1000000+27*1000+2))</f>
        <v/>
      </c>
      <c r="E139" s="41">
        <f>IF(N('Dvd Calendar'!$G$1905)=0,"",IF(('Dvd Calendar'!$G$1905&gt;=MIN(DATE(Summary!$C$12,1,1),Summary!$C$11))*('Dvd Calendar'!$G$1905&lt;=MAX(DATE(Summary!$C$12,12,31),Summary!$C$15))*('Dvd Calendar'!$G$1905&lt;=Summary!$C$11)=0,"",'Dvd Calendar'!$G$1905*1000000000+ISNUMBER('Dvd Calendar'!$G$1906)*100000000+('Dvd Calendar'!$G$1910='Field Check'!$C$25)*10000000+(N('Dvd Calendar'!$G$1904)&gt;0)*1000000+27*1000+3))</f>
        <v/>
      </c>
      <c r="F139" s="41">
        <f>IF(N('Dvd Calendar'!$H$1905)=0,"",IF(('Dvd Calendar'!$H$1905&gt;=MIN(DATE(Summary!$C$12,1,1),Summary!$C$11))*('Dvd Calendar'!$H$1905&lt;=MAX(DATE(Summary!$C$12,12,31),Summary!$C$15))*('Dvd Calendar'!$H$1905&lt;=Summary!$C$11)=0,"",'Dvd Calendar'!$H$1905*1000000000+ISNUMBER('Dvd Calendar'!$H$1906)*100000000+('Dvd Calendar'!$H$1910='Field Check'!$C$25)*10000000+(N('Dvd Calendar'!$H$1904)&gt;0)*1000000+27*1000+4))</f>
        <v/>
      </c>
      <c r="G139" s="41">
        <f>IF(N('Dvd Calendar'!$I$1905)=0,"",IF(('Dvd Calendar'!$I$1905&gt;=MIN(DATE(Summary!$C$12,1,1),Summary!$C$11))*('Dvd Calendar'!$I$1905&lt;=MAX(DATE(Summary!$C$12,12,31),Summary!$C$15))*('Dvd Calendar'!$I$1905&lt;=Summary!$C$11)=0,"",'Dvd Calendar'!$I$1905*1000000000+ISNUMBER('Dvd Calendar'!$I$1906)*100000000+('Dvd Calendar'!$I$1910='Field Check'!$C$25)*10000000+(N('Dvd Calendar'!$I$1904)&gt;0)*1000000+27*1000+5))</f>
        <v/>
      </c>
      <c r="H139" s="41">
        <f>IF(N('Dvd Calendar'!$J$1905)=0,"",IF(('Dvd Calendar'!$J$1905&gt;=MIN(DATE(Summary!$C$12,1,1),Summary!$C$11))*('Dvd Calendar'!$J$1905&lt;=MAX(DATE(Summary!$C$12,12,31),Summary!$C$15))*('Dvd Calendar'!$J$1905&lt;=Summary!$C$11)=0,"",'Dvd Calendar'!$J$1905*1000000000+ISNUMBER('Dvd Calendar'!$J$1906)*100000000+('Dvd Calendar'!$J$1910='Field Check'!$C$25)*10000000+(N('Dvd Calendar'!$J$1904)&gt;0)*1000000+27*1000+6))</f>
        <v/>
      </c>
      <c r="I139" s="41">
        <f>IF(N('Dvd Calendar'!$K$1905)=0,"",IF(('Dvd Calendar'!$K$1905&gt;=MIN(DATE(Summary!$C$12,1,1),Summary!$C$11))*('Dvd Calendar'!$K$1905&lt;=MAX(DATE(Summary!$C$12,12,31),Summary!$C$15))*('Dvd Calendar'!$K$1905&lt;=Summary!$C$11)=0,"",'Dvd Calendar'!$K$1905*1000000000+ISNUMBER('Dvd Calendar'!$K$1906)*100000000+('Dvd Calendar'!$K$1910='Field Check'!$C$25)*10000000+(N('Dvd Calendar'!$K$1904)&gt;0)*1000000+27*1000+7))</f>
        <v/>
      </c>
      <c r="J139" s="41">
        <f>IF(N('Dvd Calendar'!$L$1905)=0,"",IF(('Dvd Calendar'!$L$1905&gt;=MIN(DATE(Summary!$C$12,1,1),Summary!$C$11))*('Dvd Calendar'!$L$1905&lt;=MAX(DATE(Summary!$C$12,12,31),Summary!$C$15))*('Dvd Calendar'!$L$1905&lt;=Summary!$C$11)=0,"",'Dvd Calendar'!$L$1905*1000000000+ISNUMBER('Dvd Calendar'!$L$1906)*100000000+('Dvd Calendar'!$L$1910='Field Check'!$C$25)*10000000+(N('Dvd Calendar'!$L$1904)&gt;0)*1000000+27*1000+8))</f>
        <v/>
      </c>
      <c r="K139" s="41">
        <f>IF(N('Dvd Calendar'!$M$1905)=0,"",IF(('Dvd Calendar'!$M$1905&gt;=MIN(DATE(Summary!$C$12,1,1),Summary!$C$11))*('Dvd Calendar'!$M$1905&lt;=MAX(DATE(Summary!$C$12,12,31),Summary!$C$15))*('Dvd Calendar'!$M$1905&lt;=Summary!$C$11)=0,"",'Dvd Calendar'!$M$1905*1000000000+ISNUMBER('Dvd Calendar'!$M$1906)*100000000+('Dvd Calendar'!$M$1910='Field Check'!$C$25)*10000000+(N('Dvd Calendar'!$M$1904)&gt;0)*1000000+27*1000+9))</f>
        <v/>
      </c>
      <c r="L139" s="41">
        <f>IF(N('Dvd Calendar'!$N$1905)=0,"",IF(('Dvd Calendar'!$N$1905&gt;=MIN(DATE(Summary!$C$12,1,1),Summary!$C$11))*('Dvd Calendar'!$N$1905&lt;=MAX(DATE(Summary!$C$12,12,31),Summary!$C$15))*('Dvd Calendar'!$N$1905&lt;=Summary!$C$11)=0,"",'Dvd Calendar'!$N$1905*1000000000+ISNUMBER('Dvd Calendar'!$N$1906)*100000000+('Dvd Calendar'!$N$1910='Field Check'!$C$25)*10000000+(N('Dvd Calendar'!$N$1904)&gt;0)*1000000+27*1000+10))</f>
        <v/>
      </c>
      <c r="M139" s="41">
        <f>IF(N('Dvd Calendar'!$O$1905)=0,"",IF(('Dvd Calendar'!$O$1905&gt;=MIN(DATE(Summary!$C$12,1,1),Summary!$C$11))*('Dvd Calendar'!$O$1905&lt;=MAX(DATE(Summary!$C$12,12,31),Summary!$C$15))*('Dvd Calendar'!$O$1905&lt;=Summary!$C$11)=0,"",'Dvd Calendar'!$O$1905*1000000000+ISNUMBER('Dvd Calendar'!$O$1906)*100000000+('Dvd Calendar'!$O$1910='Field Check'!$C$25)*10000000+(N('Dvd Calendar'!$O$1904)&gt;0)*1000000+27*1000+11))</f>
        <v/>
      </c>
      <c r="N139" s="41">
        <f>IF(N('Dvd Calendar'!$P$1905)=0,"",IF(('Dvd Calendar'!$P$1905&gt;=MIN(DATE(Summary!$C$12,1,1),Summary!$C$11))*('Dvd Calendar'!$P$1905&lt;=MAX(DATE(Summary!$C$12,12,31),Summary!$C$15))*('Dvd Calendar'!$P$1905&lt;=Summary!$C$11)=0,"",'Dvd Calendar'!$P$1905*1000000000+ISNUMBER('Dvd Calendar'!$P$1906)*100000000+('Dvd Calendar'!$P$1910='Field Check'!$C$25)*10000000+(N('Dvd Calendar'!$P$1904)&gt;0)*1000000+27*1000+12))</f>
        <v/>
      </c>
      <c r="O139" s="41">
        <f>IF(N('Dvd Calendar'!$Q$1905)=0,"",IF(('Dvd Calendar'!$Q$1905&gt;=MIN(DATE(Summary!$C$12,1,1),Summary!$C$11))*('Dvd Calendar'!$Q$1905&lt;=MAX(DATE(Summary!$C$12,12,31),Summary!$C$15))*('Dvd Calendar'!$Q$1905&lt;=Summary!$C$11)=0,"",'Dvd Calendar'!$Q$1905*1000000000+ISNUMBER('Dvd Calendar'!$Q$1906)*100000000+('Dvd Calendar'!$Q$1910='Field Check'!$C$25)*10000000+(N('Dvd Calendar'!$Q$1904)&gt;0)*1000000+27*1000+13))</f>
        <v/>
      </c>
      <c r="P139" s="41">
        <f>IF(N('Dvd Calendar'!$R$1905)=0,"",IF(('Dvd Calendar'!$R$1905&gt;=MIN(DATE(Summary!$C$12,1,1),Summary!$C$11))*('Dvd Calendar'!$R$1905&lt;=MAX(DATE(Summary!$C$12,12,31),Summary!$C$15))*('Dvd Calendar'!$R$1905&lt;=Summary!$C$11)=0,"",'Dvd Calendar'!$R$1905*1000000000+ISNUMBER('Dvd Calendar'!$R$1906)*100000000+('Dvd Calendar'!$R$1910='Field Check'!$C$25)*10000000+(N('Dvd Calendar'!$R$1904)&gt;0)*1000000+27*1000+14))</f>
        <v/>
      </c>
      <c r="Q139" s="41">
        <f>IF(N('Dvd Calendar'!$S$1905)=0,"",IF(('Dvd Calendar'!$S$1905&gt;=MIN(DATE(Summary!$C$12,1,1),Summary!$C$11))*('Dvd Calendar'!$S$1905&lt;=MAX(DATE(Summary!$C$12,12,31),Summary!$C$15))*('Dvd Calendar'!$S$1905&lt;=Summary!$C$11)=0,"",'Dvd Calendar'!$S$1905*1000000000+ISNUMBER('Dvd Calendar'!$S$1906)*100000000+('Dvd Calendar'!$S$1910='Field Check'!$C$25)*10000000+(N('Dvd Calendar'!$S$1904)&gt;0)*1000000+27*1000+15))</f>
        <v/>
      </c>
      <c r="R139" s="41">
        <f>IF(N('Dvd Calendar'!$T$1905)=0,"",IF(('Dvd Calendar'!$T$1905&gt;=MIN(DATE(Summary!$C$12,1,1),Summary!$C$11))*('Dvd Calendar'!$T$1905&lt;=MAX(DATE(Summary!$C$12,12,31),Summary!$C$15))*('Dvd Calendar'!$T$1905&lt;=Summary!$C$11)=0,"",'Dvd Calendar'!$T$1905*1000000000+ISNUMBER('Dvd Calendar'!$T$1906)*100000000+('Dvd Calendar'!$T$1910='Field Check'!$C$25)*10000000+(N('Dvd Calendar'!$T$1904)&gt;0)*1000000+27*1000+16))</f>
        <v/>
      </c>
      <c r="S139" s="41">
        <f>IF(N('Dvd Calendar'!$U$1905)=0,"",IF(('Dvd Calendar'!$U$1905&gt;=MIN(DATE(Summary!$C$12,1,1),Summary!$C$11))*('Dvd Calendar'!$U$1905&lt;=MAX(DATE(Summary!$C$12,12,31),Summary!$C$15))*('Dvd Calendar'!$U$1905&lt;=Summary!$C$11)=0,"",'Dvd Calendar'!$U$1905*1000000000+ISNUMBER('Dvd Calendar'!$U$1906)*100000000+('Dvd Calendar'!$U$1910='Field Check'!$C$25)*10000000+(N('Dvd Calendar'!$U$1904)&gt;0)*1000000+27*1000+17))</f>
        <v/>
      </c>
      <c r="T139" s="41">
        <f>IF(N('Dvd Calendar'!$V$1905)=0,"",IF(('Dvd Calendar'!$V$1905&gt;=MIN(DATE(Summary!$C$12,1,1),Summary!$C$11))*('Dvd Calendar'!$V$1905&lt;=MAX(DATE(Summary!$C$12,12,31),Summary!$C$15))*('Dvd Calendar'!$V$1905&lt;=Summary!$C$11)=0,"",'Dvd Calendar'!$V$1905*1000000000+ISNUMBER('Dvd Calendar'!$V$1906)*100000000+('Dvd Calendar'!$V$1910='Field Check'!$C$25)*10000000+(N('Dvd Calendar'!$V$1904)&gt;0)*1000000+27*1000+18))</f>
        <v/>
      </c>
      <c r="U139" s="41">
        <f>IF(N('Dvd Calendar'!$W$1905)=0,"",IF(('Dvd Calendar'!$W$1905&gt;=MIN(DATE(Summary!$C$12,1,1),Summary!$C$11))*('Dvd Calendar'!$W$1905&lt;=MAX(DATE(Summary!$C$12,12,31),Summary!$C$15))*('Dvd Calendar'!$W$1905&lt;=Summary!$C$11)=0,"",'Dvd Calendar'!$W$1905*1000000000+ISNUMBER('Dvd Calendar'!$W$1906)*100000000+('Dvd Calendar'!$W$1910='Field Check'!$C$25)*10000000+(N('Dvd Calendar'!$W$1904)&gt;0)*1000000+27*1000+19))</f>
        <v/>
      </c>
      <c r="V139" s="41">
        <f>IF(N('Dvd Calendar'!$X$1905)=0,"",IF(('Dvd Calendar'!$X$1905&gt;=MIN(DATE(Summary!$C$12,1,1),Summary!$C$11))*('Dvd Calendar'!$X$1905&lt;=MAX(DATE(Summary!$C$12,12,31),Summary!$C$15))*('Dvd Calendar'!$X$1905&lt;=Summary!$C$11)=0,"",'Dvd Calendar'!$X$1905*1000000000+ISNUMBER('Dvd Calendar'!$X$1906)*100000000+('Dvd Calendar'!$X$1910='Field Check'!$C$25)*10000000+(N('Dvd Calendar'!$X$1904)&gt;0)*1000000+27*1000+20))</f>
        <v/>
      </c>
      <c r="W139" s="41">
        <f>IF(N('Dvd Calendar'!$Y$1905)=0,"",IF(('Dvd Calendar'!$Y$1905&gt;=MIN(DATE(Summary!$C$12,1,1),Summary!$C$11))*('Dvd Calendar'!$Y$1905&lt;=MAX(DATE(Summary!$C$12,12,31),Summary!$C$15))*('Dvd Calendar'!$Y$1905&lt;=Summary!$C$11)=0,"",'Dvd Calendar'!$Y$1905*1000000000+ISNUMBER('Dvd Calendar'!$Y$1906)*100000000+('Dvd Calendar'!$Y$1910='Field Check'!$C$25)*10000000+(N('Dvd Calendar'!$Y$1904)&gt;0)*1000000+27*1000+21))</f>
        <v/>
      </c>
      <c r="X139" s="41">
        <f>IF(N('Dvd Calendar'!$Z$1905)=0,"",IF(('Dvd Calendar'!$Z$1905&gt;=MIN(DATE(Summary!$C$12,1,1),Summary!$C$11))*('Dvd Calendar'!$Z$1905&lt;=MAX(DATE(Summary!$C$12,12,31),Summary!$C$15))*('Dvd Calendar'!$Z$1905&lt;=Summary!$C$11)=0,"",'Dvd Calendar'!$Z$1905*1000000000+ISNUMBER('Dvd Calendar'!$Z$1906)*100000000+('Dvd Calendar'!$Z$1910='Field Check'!$C$25)*10000000+(N('Dvd Calendar'!$Z$1904)&gt;0)*1000000+27*1000+22))</f>
        <v/>
      </c>
      <c r="Y139" s="41">
        <f>IF(N('Dvd Calendar'!$AA$1905)=0,"",IF(('Dvd Calendar'!$AA$1905&gt;=MIN(DATE(Summary!$C$12,1,1),Summary!$C$11))*('Dvd Calendar'!$AA$1905&lt;=MAX(DATE(Summary!$C$12,12,31),Summary!$C$15))*('Dvd Calendar'!$AA$1905&lt;=Summary!$C$11)=0,"",'Dvd Calendar'!$AA$1905*1000000000+ISNUMBER('Dvd Calendar'!$AA$1906)*100000000+('Dvd Calendar'!$AA$1910='Field Check'!$C$25)*10000000+(N('Dvd Calendar'!$AA$1904)&gt;0)*1000000+27*1000+23))</f>
        <v/>
      </c>
      <c r="Z139" s="41">
        <f>IF(N('Dvd Calendar'!$AB$1905)=0,"",IF(('Dvd Calendar'!$AB$1905&gt;=MIN(DATE(Summary!$C$12,1,1),Summary!$C$11))*('Dvd Calendar'!$AB$1905&lt;=MAX(DATE(Summary!$C$12,12,31),Summary!$C$15))*('Dvd Calendar'!$AB$1905&lt;=Summary!$C$11)=0,"",'Dvd Calendar'!$AB$1905*1000000000+ISNUMBER('Dvd Calendar'!$AB$1906)*100000000+('Dvd Calendar'!$AB$1910='Field Check'!$C$25)*10000000+(N('Dvd Calendar'!$AB$1904)&gt;0)*1000000+27*1000+24))</f>
        <v/>
      </c>
      <c r="AA139" s="41">
        <f>IF(N('Dvd Calendar'!$AC$1905)=0,"",IF(('Dvd Calendar'!$AC$1905&gt;=MIN(DATE(Summary!$C$12,1,1),Summary!$C$11))*('Dvd Calendar'!$AC$1905&lt;=MAX(DATE(Summary!$C$12,12,31),Summary!$C$15))*('Dvd Calendar'!$AC$1905&lt;=Summary!$C$11)=0,"",'Dvd Calendar'!$AC$1905*1000000000+ISNUMBER('Dvd Calendar'!$AC$1906)*100000000+('Dvd Calendar'!$AC$1910='Field Check'!$C$25)*10000000+(N('Dvd Calendar'!$AC$1904)&gt;0)*1000000+27*1000+25))</f>
        <v/>
      </c>
      <c r="AB139" s="41">
        <f>IF(N('Dvd Calendar'!$AD$1905)=0,"",IF(('Dvd Calendar'!$AD$1905&gt;=MIN(DATE(Summary!$C$12,1,1),Summary!$C$11))*('Dvd Calendar'!$AD$1905&lt;=MAX(DATE(Summary!$C$12,12,31),Summary!$C$15))*('Dvd Calendar'!$AD$1905&lt;=Summary!$C$11)=0,"",'Dvd Calendar'!$AD$1905*1000000000+ISNUMBER('Dvd Calendar'!$AD$1906)*100000000+('Dvd Calendar'!$AD$1910='Field Check'!$C$25)*10000000+(N('Dvd Calendar'!$AD$1904)&gt;0)*1000000+27*1000+26))</f>
        <v/>
      </c>
      <c r="AC139" s="41">
        <f>IF(N('Dvd Calendar'!$AE$1905)=0,"",IF(('Dvd Calendar'!$AE$1905&gt;=MIN(DATE(Summary!$C$12,1,1),Summary!$C$11))*('Dvd Calendar'!$AE$1905&lt;=MAX(DATE(Summary!$C$12,12,31),Summary!$C$15))*('Dvd Calendar'!$AE$1905&lt;=Summary!$C$11)=0,"",'Dvd Calendar'!$AE$1905*1000000000+ISNUMBER('Dvd Calendar'!$AE$1906)*100000000+('Dvd Calendar'!$AE$1910='Field Check'!$C$25)*10000000+(N('Dvd Calendar'!$AE$1904)&gt;0)*1000000+27*1000+27))</f>
        <v/>
      </c>
      <c r="AD139" s="41">
        <f>IF(N('Dvd Calendar'!$AF$1905)=0,"",IF(('Dvd Calendar'!$AF$1905&gt;=MIN(DATE(Summary!$C$12,1,1),Summary!$C$11))*('Dvd Calendar'!$AF$1905&lt;=MAX(DATE(Summary!$C$12,12,31),Summary!$C$15))*('Dvd Calendar'!$AF$1905&lt;=Summary!$C$11)=0,"",'Dvd Calendar'!$AF$1905*1000000000+ISNUMBER('Dvd Calendar'!$AF$1906)*100000000+('Dvd Calendar'!$AF$1910='Field Check'!$C$25)*10000000+(N('Dvd Calendar'!$AF$1904)&gt;0)*1000000+27*1000+28))</f>
        <v/>
      </c>
      <c r="AE139" s="41">
        <f>IF(N('Dvd Calendar'!$AG$1905)=0,"",IF(('Dvd Calendar'!$AG$1905&gt;=MIN(DATE(Summary!$C$12,1,1),Summary!$C$11))*('Dvd Calendar'!$AG$1905&lt;=MAX(DATE(Summary!$C$12,12,31),Summary!$C$15))*('Dvd Calendar'!$AG$1905&lt;=Summary!$C$11)=0,"",'Dvd Calendar'!$AG$1905*1000000000+ISNUMBER('Dvd Calendar'!$AG$1906)*100000000+('Dvd Calendar'!$AG$1910='Field Check'!$C$25)*10000000+(N('Dvd Calendar'!$AG$1904)&gt;0)*1000000+27*1000+29))</f>
        <v/>
      </c>
      <c r="AF139" s="41">
        <f>IF(N('Dvd Calendar'!$AH$1905)=0,"",IF(('Dvd Calendar'!$AH$1905&gt;=MIN(DATE(Summary!$C$12,1,1),Summary!$C$11))*('Dvd Calendar'!$AH$1905&lt;=MAX(DATE(Summary!$C$12,12,31),Summary!$C$15))*('Dvd Calendar'!$AH$1905&lt;=Summary!$C$11)=0,"",'Dvd Calendar'!$AH$1905*1000000000+ISNUMBER('Dvd Calendar'!$AH$1906)*100000000+('Dvd Calendar'!$AH$1910='Field Check'!$C$25)*10000000+(N('Dvd Calendar'!$AH$1904)&gt;0)*1000000+27*1000+30))</f>
        <v/>
      </c>
      <c r="AG139" s="41">
        <f>IF(N('Dvd Calendar'!$AI$1905)=0,"",IF(('Dvd Calendar'!$AI$1905&gt;=MIN(DATE(Summary!$C$12,1,1),Summary!$C$11))*('Dvd Calendar'!$AI$1905&lt;=MAX(DATE(Summary!$C$12,12,31),Summary!$C$15))*('Dvd Calendar'!$AI$1905&lt;=Summary!$C$11)=0,"",'Dvd Calendar'!$AI$1905*1000000000+ISNUMBER('Dvd Calendar'!$AI$1906)*100000000+('Dvd Calendar'!$AI$1910='Field Check'!$C$25)*10000000+(N('Dvd Calendar'!$AI$1904)&gt;0)*1000000+27*1000+31))</f>
        <v/>
      </c>
      <c r="AH139" s="41">
        <f>IF(N('Dvd Calendar'!$AJ$1905)=0,"",IF(('Dvd Calendar'!$AJ$1905&gt;=MIN(DATE(Summary!$C$12,1,1),Summary!$C$11))*('Dvd Calendar'!$AJ$1905&lt;=MAX(DATE(Summary!$C$12,12,31),Summary!$C$15))*('Dvd Calendar'!$AJ$1905&lt;=Summary!$C$11)=0,"",'Dvd Calendar'!$AJ$1905*1000000000+ISNUMBER('Dvd Calendar'!$AJ$1906)*100000000+('Dvd Calendar'!$AJ$1910='Field Check'!$C$25)*10000000+(N('Dvd Calendar'!$AJ$1904)&gt;0)*1000000+27*1000+32))</f>
        <v/>
      </c>
      <c r="AI139" s="41">
        <f>IF(N('Dvd Calendar'!$AK$1905)=0,"",IF(('Dvd Calendar'!$AK$1905&gt;=MIN(DATE(Summary!$C$12,1,1),Summary!$C$11))*('Dvd Calendar'!$AK$1905&lt;=MAX(DATE(Summary!$C$12,12,31),Summary!$C$15))*('Dvd Calendar'!$AK$1905&lt;=Summary!$C$11)=0,"",'Dvd Calendar'!$AK$1905*1000000000+ISNUMBER('Dvd Calendar'!$AK$1906)*100000000+('Dvd Calendar'!$AK$1910='Field Check'!$C$25)*10000000+(N('Dvd Calendar'!$AK$1904)&gt;0)*1000000+27*1000+33))</f>
        <v/>
      </c>
      <c r="AJ139" s="41">
        <f>IF(N('Dvd Calendar'!$AL$1905)=0,"",IF(('Dvd Calendar'!$AL$1905&gt;=MIN(DATE(Summary!$C$12,1,1),Summary!$C$11))*('Dvd Calendar'!$AL$1905&lt;=MAX(DATE(Summary!$C$12,12,31),Summary!$C$15))*('Dvd Calendar'!$AL$1905&lt;=Summary!$C$11)=0,"",'Dvd Calendar'!$AL$1905*1000000000+ISNUMBER('Dvd Calendar'!$AL$1906)*100000000+('Dvd Calendar'!$AL$1910='Field Check'!$C$25)*10000000+(N('Dvd Calendar'!$AL$1904)&gt;0)*1000000+27*1000+34))</f>
        <v/>
      </c>
      <c r="AK139" s="41">
        <f>IF(N('Dvd Calendar'!$AM$1905)=0,"",IF(('Dvd Calendar'!$AM$1905&gt;=MIN(DATE(Summary!$C$12,1,1),Summary!$C$11))*('Dvd Calendar'!$AM$1905&lt;=MAX(DATE(Summary!$C$12,12,31),Summary!$C$15))*('Dvd Calendar'!$AM$1905&lt;=Summary!$C$11)=0,"",'Dvd Calendar'!$AM$1905*1000000000+ISNUMBER('Dvd Calendar'!$AM$1906)*100000000+('Dvd Calendar'!$AM$1910='Field Check'!$C$25)*10000000+(N('Dvd Calendar'!$AM$1904)&gt;0)*1000000+27*1000+35))</f>
        <v/>
      </c>
      <c r="AL139" s="41">
        <f>IF(N('Dvd Calendar'!$AN$1905)=0,"",IF(('Dvd Calendar'!$AN$1905&gt;=MIN(DATE(Summary!$C$12,1,1),Summary!$C$11))*('Dvd Calendar'!$AN$1905&lt;=MAX(DATE(Summary!$C$12,12,31),Summary!$C$15))*('Dvd Calendar'!$AN$1905&lt;=Summary!$C$11)=0,"",'Dvd Calendar'!$AN$1905*1000000000+ISNUMBER('Dvd Calendar'!$AN$1906)*100000000+('Dvd Calendar'!$AN$1910='Field Check'!$C$25)*10000000+(N('Dvd Calendar'!$AN$1904)&gt;0)*1000000+27*1000+36))</f>
        <v/>
      </c>
      <c r="AM139" s="41">
        <f>IF(N('Dvd Calendar'!$AO$1905)=0,"",IF(('Dvd Calendar'!$AO$1905&gt;=MIN(DATE(Summary!$C$12,1,1),Summary!$C$11))*('Dvd Calendar'!$AO$1905&lt;=MAX(DATE(Summary!$C$12,12,31),Summary!$C$15))*('Dvd Calendar'!$AO$1905&lt;=Summary!$C$11)=0,"",'Dvd Calendar'!$AO$1905*1000000000+ISNUMBER('Dvd Calendar'!$AO$1906)*100000000+('Dvd Calendar'!$AO$1910='Field Check'!$C$25)*10000000+(N('Dvd Calendar'!$AO$1904)&gt;0)*1000000+27*1000+37))</f>
        <v/>
      </c>
      <c r="AN139" s="41">
        <f>IF(N('Dvd Calendar'!$AP$1905)=0,"",IF(('Dvd Calendar'!$AP$1905&gt;=MIN(DATE(Summary!$C$12,1,1),Summary!$C$11))*('Dvd Calendar'!$AP$1905&lt;=MAX(DATE(Summary!$C$12,12,31),Summary!$C$15))*('Dvd Calendar'!$AP$1905&lt;=Summary!$C$11)=0,"",'Dvd Calendar'!$AP$1905*1000000000+ISNUMBER('Dvd Calendar'!$AP$1906)*100000000+('Dvd Calendar'!$AP$1910='Field Check'!$C$25)*10000000+(N('Dvd Calendar'!$AP$1904)&gt;0)*1000000+27*1000+38))</f>
        <v/>
      </c>
      <c r="AO139" s="41">
        <f>IF(N('Dvd Calendar'!$AQ$1905)=0,"",IF(('Dvd Calendar'!$AQ$1905&gt;=MIN(DATE(Summary!$C$12,1,1),Summary!$C$11))*('Dvd Calendar'!$AQ$1905&lt;=MAX(DATE(Summary!$C$12,12,31),Summary!$C$15))*('Dvd Calendar'!$AQ$1905&lt;=Summary!$C$11)=0,"",'Dvd Calendar'!$AQ$1905*1000000000+ISNUMBER('Dvd Calendar'!$AQ$1906)*100000000+('Dvd Calendar'!$AQ$1910='Field Check'!$C$25)*10000000+(N('Dvd Calendar'!$AQ$1904)&gt;0)*1000000+27*1000+39))</f>
        <v/>
      </c>
      <c r="AP139" s="41">
        <f>IF(N('Dvd Calendar'!$AR$1905)=0,"",IF(('Dvd Calendar'!$AR$1905&gt;=MIN(DATE(Summary!$C$12,1,1),Summary!$C$11))*('Dvd Calendar'!$AR$1905&lt;=MAX(DATE(Summary!$C$12,12,31),Summary!$C$15))*('Dvd Calendar'!$AR$1905&lt;=Summary!$C$11)=0,"",'Dvd Calendar'!$AR$1905*1000000000+ISNUMBER('Dvd Calendar'!$AR$1906)*100000000+('Dvd Calendar'!$AR$1910='Field Check'!$C$25)*10000000+(N('Dvd Calendar'!$AR$1904)&gt;0)*1000000+27*1000+40))</f>
        <v/>
      </c>
      <c r="AQ139" s="41">
        <f>IF(N('Dvd Calendar'!$E$1912)=0,"",IF(('Dvd Calendar'!$E$1912&gt;=MIN(DATE(Summary!$C$12,1,1),Summary!$C$11))*('Dvd Calendar'!$E$1912&lt;=MAX(DATE(Summary!$C$12,12,31),Summary!$C$15))*('Dvd Calendar'!$E$1912&gt;Summary!$C$11)=0,"",'Dvd Calendar'!$E$1912*1000000000+ISNUMBER('Dvd Calendar'!$E$1913)*100000000+('Dvd Calendar'!$E$1917='Field Check'!$C$25)*10000000+(N('Dvd Calendar'!$E$1911)&gt;0)*1000000+27*1000+41))</f>
        <v/>
      </c>
      <c r="AR139" s="41">
        <f>IF(N('Dvd Calendar'!$F$1912)=0,"",IF(('Dvd Calendar'!$F$1912&gt;=MIN(DATE(Summary!$C$12,1,1),Summary!$C$11))*('Dvd Calendar'!$F$1912&lt;=MAX(DATE(Summary!$C$12,12,31),Summary!$C$15))*('Dvd Calendar'!$F$1912&gt;Summary!$C$11)=0,"",'Dvd Calendar'!$F$1912*1000000000+ISNUMBER('Dvd Calendar'!$F$1913)*100000000+('Dvd Calendar'!$F$1917='Field Check'!$C$25)*10000000+(N('Dvd Calendar'!$F$1911)&gt;0)*1000000+27*1000+42))</f>
        <v/>
      </c>
      <c r="AS139" s="41">
        <f>IF(N('Dvd Calendar'!$G$1912)=0,"",IF(('Dvd Calendar'!$G$1912&gt;=MIN(DATE(Summary!$C$12,1,1),Summary!$C$11))*('Dvd Calendar'!$G$1912&lt;=MAX(DATE(Summary!$C$12,12,31),Summary!$C$15))*('Dvd Calendar'!$G$1912&gt;Summary!$C$11)=0,"",'Dvd Calendar'!$G$1912*1000000000+ISNUMBER('Dvd Calendar'!$G$1913)*100000000+('Dvd Calendar'!$G$1917='Field Check'!$C$25)*10000000+(N('Dvd Calendar'!$G$1911)&gt;0)*1000000+27*1000+43))</f>
        <v/>
      </c>
      <c r="AT139" s="41">
        <f>IF(N('Dvd Calendar'!$H$1912)=0,"",IF(('Dvd Calendar'!$H$1912&gt;=MIN(DATE(Summary!$C$12,1,1),Summary!$C$11))*('Dvd Calendar'!$H$1912&lt;=MAX(DATE(Summary!$C$12,12,31),Summary!$C$15))*('Dvd Calendar'!$H$1912&gt;Summary!$C$11)=0,"",'Dvd Calendar'!$H$1912*1000000000+ISNUMBER('Dvd Calendar'!$H$1913)*100000000+('Dvd Calendar'!$H$1917='Field Check'!$C$25)*10000000+(N('Dvd Calendar'!$H$1911)&gt;0)*1000000+27*1000+44))</f>
        <v/>
      </c>
      <c r="AU139" s="41">
        <f>IF(N('Dvd Calendar'!$I$1912)=0,"",IF(('Dvd Calendar'!$I$1912&gt;=MIN(DATE(Summary!$C$12,1,1),Summary!$C$11))*('Dvd Calendar'!$I$1912&lt;=MAX(DATE(Summary!$C$12,12,31),Summary!$C$15))*('Dvd Calendar'!$I$1912&gt;Summary!$C$11)=0,"",'Dvd Calendar'!$I$1912*1000000000+ISNUMBER('Dvd Calendar'!$I$1913)*100000000+('Dvd Calendar'!$I$1917='Field Check'!$C$25)*10000000+(N('Dvd Calendar'!$I$1911)&gt;0)*1000000+27*1000+45))</f>
        <v/>
      </c>
      <c r="AV139" s="41">
        <f>IF(N('Dvd Calendar'!$J$1912)=0,"",IF(('Dvd Calendar'!$J$1912&gt;=MIN(DATE(Summary!$C$12,1,1),Summary!$C$11))*('Dvd Calendar'!$J$1912&lt;=MAX(DATE(Summary!$C$12,12,31),Summary!$C$15))*('Dvd Calendar'!$J$1912&gt;Summary!$C$11)=0,"",'Dvd Calendar'!$J$1912*1000000000+ISNUMBER('Dvd Calendar'!$J$1913)*100000000+('Dvd Calendar'!$J$1917='Field Check'!$C$25)*10000000+(N('Dvd Calendar'!$J$1911)&gt;0)*1000000+27*1000+46))</f>
        <v/>
      </c>
      <c r="AW139" s="41">
        <f>IF(N('Dvd Calendar'!$K$1912)=0,"",IF(('Dvd Calendar'!$K$1912&gt;=MIN(DATE(Summary!$C$12,1,1),Summary!$C$11))*('Dvd Calendar'!$K$1912&lt;=MAX(DATE(Summary!$C$12,12,31),Summary!$C$15))*('Dvd Calendar'!$K$1912&gt;Summary!$C$11)=0,"",'Dvd Calendar'!$K$1912*1000000000+ISNUMBER('Dvd Calendar'!$K$1913)*100000000+('Dvd Calendar'!$K$1917='Field Check'!$C$25)*10000000+(N('Dvd Calendar'!$K$1911)&gt;0)*1000000+27*1000+47))</f>
        <v/>
      </c>
      <c r="AX139" s="41">
        <f>IF(N('Dvd Calendar'!$L$1912)=0,"",IF(('Dvd Calendar'!$L$1912&gt;=MIN(DATE(Summary!$C$12,1,1),Summary!$C$11))*('Dvd Calendar'!$L$1912&lt;=MAX(DATE(Summary!$C$12,12,31),Summary!$C$15))*('Dvd Calendar'!$L$1912&gt;Summary!$C$11)=0,"",'Dvd Calendar'!$L$1912*1000000000+ISNUMBER('Dvd Calendar'!$L$1913)*100000000+('Dvd Calendar'!$L$1917='Field Check'!$C$25)*10000000+(N('Dvd Calendar'!$L$1911)&gt;0)*1000000+27*1000+48))</f>
        <v/>
      </c>
      <c r="AY139" s="41">
        <f>IF(N('Dvd Calendar'!$M$1912)=0,"",IF(('Dvd Calendar'!$M$1912&gt;=MIN(DATE(Summary!$C$12,1,1),Summary!$C$11))*('Dvd Calendar'!$M$1912&lt;=MAX(DATE(Summary!$C$12,12,31),Summary!$C$15))*('Dvd Calendar'!$M$1912&gt;Summary!$C$11)=0,"",'Dvd Calendar'!$M$1912*1000000000+ISNUMBER('Dvd Calendar'!$M$1913)*100000000+('Dvd Calendar'!$M$1917='Field Check'!$C$25)*10000000+(N('Dvd Calendar'!$M$1911)&gt;0)*1000000+27*1000+49))</f>
        <v/>
      </c>
      <c r="AZ139" s="41">
        <f>IF(N('Dvd Calendar'!$N$1912)=0,"",IF(('Dvd Calendar'!$N$1912&gt;=MIN(DATE(Summary!$C$12,1,1),Summary!$C$11))*('Dvd Calendar'!$N$1912&lt;=MAX(DATE(Summary!$C$12,12,31),Summary!$C$15))*('Dvd Calendar'!$N$1912&gt;Summary!$C$11)=0,"",'Dvd Calendar'!$N$1912*1000000000+ISNUMBER('Dvd Calendar'!$N$1913)*100000000+('Dvd Calendar'!$N$1917='Field Check'!$C$25)*10000000+(N('Dvd Calendar'!$N$1911)&gt;0)*1000000+27*1000+50))</f>
        <v/>
      </c>
      <c r="BA139" s="41">
        <f>IF(N('Dvd Calendar'!$O$1912)=0,"",IF(('Dvd Calendar'!$O$1912&gt;=MIN(DATE(Summary!$C$12,1,1),Summary!$C$11))*('Dvd Calendar'!$O$1912&lt;=MAX(DATE(Summary!$C$12,12,31),Summary!$C$15))*('Dvd Calendar'!$O$1912&gt;Summary!$C$11)=0,"",'Dvd Calendar'!$O$1912*1000000000+ISNUMBER('Dvd Calendar'!$O$1913)*100000000+('Dvd Calendar'!$O$1917='Field Check'!$C$25)*10000000+(N('Dvd Calendar'!$O$1911)&gt;0)*1000000+27*1000+51))</f>
        <v/>
      </c>
      <c r="BB139" s="41">
        <f>IF(N('Dvd Calendar'!$P$1912)=0,"",IF(('Dvd Calendar'!$P$1912&gt;=MIN(DATE(Summary!$C$12,1,1),Summary!$C$11))*('Dvd Calendar'!$P$1912&lt;=MAX(DATE(Summary!$C$12,12,31),Summary!$C$15))*('Dvd Calendar'!$P$1912&gt;Summary!$C$11)=0,"",'Dvd Calendar'!$P$1912*1000000000+ISNUMBER('Dvd Calendar'!$P$1913)*100000000+('Dvd Calendar'!$P$1917='Field Check'!$C$25)*10000000+(N('Dvd Calendar'!$P$1911)&gt;0)*1000000+27*1000+52))</f>
        <v/>
      </c>
      <c r="BC139" s="41">
        <f>IF(N('Dvd Calendar'!$Q$1912)=0,"",IF(('Dvd Calendar'!$Q$1912&gt;=MIN(DATE(Summary!$C$12,1,1),Summary!$C$11))*('Dvd Calendar'!$Q$1912&lt;=MAX(DATE(Summary!$C$12,12,31),Summary!$C$15))*('Dvd Calendar'!$Q$1912&gt;Summary!$C$11)=0,"",'Dvd Calendar'!$Q$1912*1000000000+ISNUMBER('Dvd Calendar'!$Q$1913)*100000000+('Dvd Calendar'!$Q$1917='Field Check'!$C$25)*10000000+(N('Dvd Calendar'!$Q$1911)&gt;0)*1000000+27*1000+53))</f>
        <v/>
      </c>
      <c r="BD139" s="41">
        <f>IF(N('Dvd Calendar'!$R$1912)=0,"",IF(('Dvd Calendar'!$R$1912&gt;=MIN(DATE(Summary!$C$12,1,1),Summary!$C$11))*('Dvd Calendar'!$R$1912&lt;=MAX(DATE(Summary!$C$12,12,31),Summary!$C$15))*('Dvd Calendar'!$R$1912&gt;Summary!$C$11)=0,"",'Dvd Calendar'!$R$1912*1000000000+ISNUMBER('Dvd Calendar'!$R$1913)*100000000+('Dvd Calendar'!$R$1917='Field Check'!$C$25)*10000000+(N('Dvd Calendar'!$R$1911)&gt;0)*1000000+27*1000+54))</f>
        <v/>
      </c>
      <c r="BE139" s="41">
        <f>IF(N('Dvd Calendar'!$S$1912)=0,"",IF(('Dvd Calendar'!$S$1912&gt;=MIN(DATE(Summary!$C$12,1,1),Summary!$C$11))*('Dvd Calendar'!$S$1912&lt;=MAX(DATE(Summary!$C$12,12,31),Summary!$C$15))*('Dvd Calendar'!$S$1912&gt;Summary!$C$11)=0,"",'Dvd Calendar'!$S$1912*1000000000+ISNUMBER('Dvd Calendar'!$S$1913)*100000000+('Dvd Calendar'!$S$1917='Field Check'!$C$25)*10000000+(N('Dvd Calendar'!$S$1911)&gt;0)*1000000+27*1000+55))</f>
        <v/>
      </c>
      <c r="BF139" s="41">
        <f>IF(N('Dvd Calendar'!$T$1912)=0,"",IF(('Dvd Calendar'!$T$1912&gt;=MIN(DATE(Summary!$C$12,1,1),Summary!$C$11))*('Dvd Calendar'!$T$1912&lt;=MAX(DATE(Summary!$C$12,12,31),Summary!$C$15))*('Dvd Calendar'!$T$1912&gt;Summary!$C$11)=0,"",'Dvd Calendar'!$T$1912*1000000000+ISNUMBER('Dvd Calendar'!$T$1913)*100000000+('Dvd Calendar'!$T$1917='Field Check'!$C$25)*10000000+(N('Dvd Calendar'!$T$1911)&gt;0)*1000000+27*1000+56))</f>
        <v/>
      </c>
      <c r="BG139" s="41">
        <f>IF(N('Dvd Calendar'!$U$1912)=0,"",IF(('Dvd Calendar'!$U$1912&gt;=MIN(DATE(Summary!$C$12,1,1),Summary!$C$11))*('Dvd Calendar'!$U$1912&lt;=MAX(DATE(Summary!$C$12,12,31),Summary!$C$15))*('Dvd Calendar'!$U$1912&gt;Summary!$C$11)=0,"",'Dvd Calendar'!$U$1912*1000000000+ISNUMBER('Dvd Calendar'!$U$1913)*100000000+('Dvd Calendar'!$U$1917='Field Check'!$C$25)*10000000+(N('Dvd Calendar'!$U$1911)&gt;0)*1000000+27*1000+57))</f>
        <v/>
      </c>
      <c r="BH139" s="41">
        <f>IF(N('Dvd Calendar'!$V$1912)=0,"",IF(('Dvd Calendar'!$V$1912&gt;=MIN(DATE(Summary!$C$12,1,1),Summary!$C$11))*('Dvd Calendar'!$V$1912&lt;=MAX(DATE(Summary!$C$12,12,31),Summary!$C$15))*('Dvd Calendar'!$V$1912&gt;Summary!$C$11)=0,"",'Dvd Calendar'!$V$1912*1000000000+ISNUMBER('Dvd Calendar'!$V$1913)*100000000+('Dvd Calendar'!$V$1917='Field Check'!$C$25)*10000000+(N('Dvd Calendar'!$V$1911)&gt;0)*1000000+27*1000+58))</f>
        <v/>
      </c>
      <c r="BI139" s="41">
        <f>IF(N('Dvd Calendar'!$W$1912)=0,"",IF(('Dvd Calendar'!$W$1912&gt;=MIN(DATE(Summary!$C$12,1,1),Summary!$C$11))*('Dvd Calendar'!$W$1912&lt;=MAX(DATE(Summary!$C$12,12,31),Summary!$C$15))*('Dvd Calendar'!$W$1912&gt;Summary!$C$11)=0,"",'Dvd Calendar'!$W$1912*1000000000+ISNUMBER('Dvd Calendar'!$W$1913)*100000000+('Dvd Calendar'!$W$1917='Field Check'!$C$25)*10000000+(N('Dvd Calendar'!$W$1911)&gt;0)*1000000+27*1000+59))</f>
        <v/>
      </c>
      <c r="BJ139" s="41">
        <f>IF(N('Dvd Calendar'!$X$1912)=0,"",IF(('Dvd Calendar'!$X$1912&gt;=MIN(DATE(Summary!$C$12,1,1),Summary!$C$11))*('Dvd Calendar'!$X$1912&lt;=MAX(DATE(Summary!$C$12,12,31),Summary!$C$15))*('Dvd Calendar'!$X$1912&gt;Summary!$C$11)=0,"",'Dvd Calendar'!$X$1912*1000000000+ISNUMBER('Dvd Calendar'!$X$1913)*100000000+('Dvd Calendar'!$X$1917='Field Check'!$C$25)*10000000+(N('Dvd Calendar'!$X$1911)&gt;0)*1000000+27*1000+60))</f>
        <v/>
      </c>
      <c r="BK139" s="41">
        <f>IF(N('Dvd Calendar'!$Y$1912)=0,"",IF(('Dvd Calendar'!$Y$1912&gt;=MIN(DATE(Summary!$C$12,1,1),Summary!$C$11))*('Dvd Calendar'!$Y$1912&lt;=MAX(DATE(Summary!$C$12,12,31),Summary!$C$15))*('Dvd Calendar'!$Y$1912&gt;Summary!$C$11)=0,"",'Dvd Calendar'!$Y$1912*1000000000+ISNUMBER('Dvd Calendar'!$Y$1913)*100000000+('Dvd Calendar'!$Y$1917='Field Check'!$C$25)*10000000+(N('Dvd Calendar'!$Y$1911)&gt;0)*1000000+27*1000+61))</f>
        <v/>
      </c>
      <c r="BL139" s="41">
        <f>IF(N('Dvd Calendar'!$Z$1912)=0,"",IF(('Dvd Calendar'!$Z$1912&gt;=MIN(DATE(Summary!$C$12,1,1),Summary!$C$11))*('Dvd Calendar'!$Z$1912&lt;=MAX(DATE(Summary!$C$12,12,31),Summary!$C$15))*('Dvd Calendar'!$Z$1912&gt;Summary!$C$11)=0,"",'Dvd Calendar'!$Z$1912*1000000000+ISNUMBER('Dvd Calendar'!$Z$1913)*100000000+('Dvd Calendar'!$Z$1917='Field Check'!$C$25)*10000000+(N('Dvd Calendar'!$Z$1911)&gt;0)*1000000+27*1000+62))</f>
        <v/>
      </c>
      <c r="BM139" s="41">
        <f>IF(N('Dvd Calendar'!$AA$1912)=0,"",IF(('Dvd Calendar'!$AA$1912&gt;=MIN(DATE(Summary!$C$12,1,1),Summary!$C$11))*('Dvd Calendar'!$AA$1912&lt;=MAX(DATE(Summary!$C$12,12,31),Summary!$C$15))*('Dvd Calendar'!$AA$1912&gt;Summary!$C$11)=0,"",'Dvd Calendar'!$AA$1912*1000000000+ISNUMBER('Dvd Calendar'!$AA$1913)*100000000+('Dvd Calendar'!$AA$1917='Field Check'!$C$25)*10000000+(N('Dvd Calendar'!$AA$1911)&gt;0)*1000000+27*1000+63))</f>
        <v/>
      </c>
      <c r="BN139" s="41">
        <f>IF(N('Dvd Calendar'!$AB$1912)=0,"",IF(('Dvd Calendar'!$AB$1912&gt;=MIN(DATE(Summary!$C$12,1,1),Summary!$C$11))*('Dvd Calendar'!$AB$1912&lt;=MAX(DATE(Summary!$C$12,12,31),Summary!$C$15))*('Dvd Calendar'!$AB$1912&gt;Summary!$C$11)=0,"",'Dvd Calendar'!$AB$1912*1000000000+ISNUMBER('Dvd Calendar'!$AB$1913)*100000000+('Dvd Calendar'!$AB$1917='Field Check'!$C$25)*10000000+(N('Dvd Calendar'!$AB$1911)&gt;0)*1000000+27*1000+64))</f>
        <v/>
      </c>
      <c r="BO139" s="41">
        <f>IF(N('Dvd Calendar'!$AC$1912)=0,"",IF(('Dvd Calendar'!$AC$1912&gt;=MIN(DATE(Summary!$C$12,1,1),Summary!$C$11))*('Dvd Calendar'!$AC$1912&lt;=MAX(DATE(Summary!$C$12,12,31),Summary!$C$15))*('Dvd Calendar'!$AC$1912&gt;Summary!$C$11)=0,"",'Dvd Calendar'!$AC$1912*1000000000+ISNUMBER('Dvd Calendar'!$AC$1913)*100000000+('Dvd Calendar'!$AC$1917='Field Check'!$C$25)*10000000+(N('Dvd Calendar'!$AC$1911)&gt;0)*1000000+27*1000+65))</f>
        <v/>
      </c>
      <c r="BQ139" s="85">
        <f>IF(C139="","",IF(ISNUMBER('Dvd Calendar'!$E$1906)=FALSE,"",IF((Summary!$C$13="N")*('Dvd Calendar'!$E$1910='Field Check'!$C$25)&gt;0,"",'Dvd Calendar'!$E$1906)))</f>
        <v/>
      </c>
      <c r="BR139" s="85">
        <f>IF(D139="","",IF(ISNUMBER('Dvd Calendar'!$F$1906)=FALSE,"",IF((Summary!$C$13="N")*('Dvd Calendar'!$F$1910='Field Check'!$C$25)&gt;0,"",'Dvd Calendar'!$F$1906)))</f>
        <v/>
      </c>
      <c r="BS139" s="85">
        <f>IF(E139="","",IF(ISNUMBER('Dvd Calendar'!$G$1906)=FALSE,"",IF((Summary!$C$13="N")*('Dvd Calendar'!$G$1910='Field Check'!$C$25)&gt;0,"",'Dvd Calendar'!$G$1906)))</f>
        <v/>
      </c>
      <c r="BT139" s="85">
        <f>IF(F139="","",IF(ISNUMBER('Dvd Calendar'!$H$1906)=FALSE,"",IF((Summary!$C$13="N")*('Dvd Calendar'!$H$1910='Field Check'!$C$25)&gt;0,"",'Dvd Calendar'!$H$1906)))</f>
        <v/>
      </c>
      <c r="BU139" s="85">
        <f>IF(G139="","",IF(ISNUMBER('Dvd Calendar'!$I$1906)=FALSE,"",IF((Summary!$C$13="N")*('Dvd Calendar'!$I$1910='Field Check'!$C$25)&gt;0,"",'Dvd Calendar'!$I$1906)))</f>
        <v/>
      </c>
      <c r="BV139" s="85">
        <f>IF(H139="","",IF(ISNUMBER('Dvd Calendar'!$J$1906)=FALSE,"",IF((Summary!$C$13="N")*('Dvd Calendar'!$J$1910='Field Check'!$C$25)&gt;0,"",'Dvd Calendar'!$J$1906)))</f>
        <v/>
      </c>
      <c r="BW139" s="85">
        <f>IF(I139="","",IF(ISNUMBER('Dvd Calendar'!$K$1906)=FALSE,"",IF((Summary!$C$13="N")*('Dvd Calendar'!$K$1910='Field Check'!$C$25)&gt;0,"",'Dvd Calendar'!$K$1906)))</f>
        <v/>
      </c>
      <c r="BX139" s="85">
        <f>IF(J139="","",IF(ISNUMBER('Dvd Calendar'!$L$1906)=FALSE,"",IF((Summary!$C$13="N")*('Dvd Calendar'!$L$1910='Field Check'!$C$25)&gt;0,"",'Dvd Calendar'!$L$1906)))</f>
        <v/>
      </c>
      <c r="BY139" s="85">
        <f>IF(K139="","",IF(ISNUMBER('Dvd Calendar'!$M$1906)=FALSE,"",IF((Summary!$C$13="N")*('Dvd Calendar'!$M$1910='Field Check'!$C$25)&gt;0,"",'Dvd Calendar'!$M$1906)))</f>
        <v/>
      </c>
      <c r="BZ139" s="85">
        <f>IF(L139="","",IF(ISNUMBER('Dvd Calendar'!$N$1906)=FALSE,"",IF((Summary!$C$13="N")*('Dvd Calendar'!$N$1910='Field Check'!$C$25)&gt;0,"",'Dvd Calendar'!$N$1906)))</f>
        <v/>
      </c>
      <c r="CA139" s="85">
        <f>IF(M139="","",IF(ISNUMBER('Dvd Calendar'!$O$1906)=FALSE,"",IF((Summary!$C$13="N")*('Dvd Calendar'!$O$1910='Field Check'!$C$25)&gt;0,"",'Dvd Calendar'!$O$1906)))</f>
        <v/>
      </c>
      <c r="CB139" s="85">
        <f>IF(N139="","",IF(ISNUMBER('Dvd Calendar'!$P$1906)=FALSE,"",IF((Summary!$C$13="N")*('Dvd Calendar'!$P$1910='Field Check'!$C$25)&gt;0,"",'Dvd Calendar'!$P$1906)))</f>
        <v/>
      </c>
      <c r="CC139" s="85">
        <f>IF(O139="","",IF(ISNUMBER('Dvd Calendar'!$Q$1906)=FALSE,"",IF((Summary!$C$13="N")*('Dvd Calendar'!$Q$1910='Field Check'!$C$25)&gt;0,"",'Dvd Calendar'!$Q$1906)))</f>
        <v/>
      </c>
      <c r="CD139" s="85">
        <f>IF(P139="","",IF(ISNUMBER('Dvd Calendar'!$R$1906)=FALSE,"",IF((Summary!$C$13="N")*('Dvd Calendar'!$R$1910='Field Check'!$C$25)&gt;0,"",'Dvd Calendar'!$R$1906)))</f>
        <v/>
      </c>
      <c r="CE139" s="85">
        <f>IF(Q139="","",IF(ISNUMBER('Dvd Calendar'!$S$1906)=FALSE,"",IF((Summary!$C$13="N")*('Dvd Calendar'!$S$1910='Field Check'!$C$25)&gt;0,"",'Dvd Calendar'!$S$1906)))</f>
        <v/>
      </c>
      <c r="CF139" s="85">
        <f>IF(R139="","",IF(ISNUMBER('Dvd Calendar'!$T$1906)=FALSE,"",IF((Summary!$C$13="N")*('Dvd Calendar'!$T$1910='Field Check'!$C$25)&gt;0,"",'Dvd Calendar'!$T$1906)))</f>
        <v/>
      </c>
      <c r="CG139" s="85">
        <f>IF(S139="","",IF(ISNUMBER('Dvd Calendar'!$U$1906)=FALSE,"",IF((Summary!$C$13="N")*('Dvd Calendar'!$U$1910='Field Check'!$C$25)&gt;0,"",'Dvd Calendar'!$U$1906)))</f>
        <v/>
      </c>
      <c r="CH139" s="85">
        <f>IF(T139="","",IF(ISNUMBER('Dvd Calendar'!$V$1906)=FALSE,"",IF((Summary!$C$13="N")*('Dvd Calendar'!$V$1910='Field Check'!$C$25)&gt;0,"",'Dvd Calendar'!$V$1906)))</f>
        <v/>
      </c>
      <c r="CI139" s="85">
        <f>IF(U139="","",IF(ISNUMBER('Dvd Calendar'!$W$1906)=FALSE,"",IF((Summary!$C$13="N")*('Dvd Calendar'!$W$1910='Field Check'!$C$25)&gt;0,"",'Dvd Calendar'!$W$1906)))</f>
        <v/>
      </c>
      <c r="CJ139" s="85">
        <f>IF(V139="","",IF(ISNUMBER('Dvd Calendar'!$X$1906)=FALSE,"",IF((Summary!$C$13="N")*('Dvd Calendar'!$X$1910='Field Check'!$C$25)&gt;0,"",'Dvd Calendar'!$X$1906)))</f>
        <v/>
      </c>
      <c r="CK139" s="85">
        <f>IF(W139="","",IF(ISNUMBER('Dvd Calendar'!$Y$1906)=FALSE,"",IF((Summary!$C$13="N")*('Dvd Calendar'!$Y$1910='Field Check'!$C$25)&gt;0,"",'Dvd Calendar'!$Y$1906)))</f>
        <v/>
      </c>
      <c r="CL139" s="85">
        <f>IF(X139="","",IF(ISNUMBER('Dvd Calendar'!$Z$1906)=FALSE,"",IF((Summary!$C$13="N")*('Dvd Calendar'!$Z$1910='Field Check'!$C$25)&gt;0,"",'Dvd Calendar'!$Z$1906)))</f>
        <v/>
      </c>
      <c r="CM139" s="85">
        <f>IF(Y139="","",IF(ISNUMBER('Dvd Calendar'!$AA$1906)=FALSE,"",IF((Summary!$C$13="N")*('Dvd Calendar'!$AA$1910='Field Check'!$C$25)&gt;0,"",'Dvd Calendar'!$AA$1906)))</f>
        <v/>
      </c>
      <c r="CN139" s="85">
        <f>IF(Z139="","",IF(ISNUMBER('Dvd Calendar'!$AB$1906)=FALSE,"",IF((Summary!$C$13="N")*('Dvd Calendar'!$AB$1910='Field Check'!$C$25)&gt;0,"",'Dvd Calendar'!$AB$1906)))</f>
        <v/>
      </c>
      <c r="CO139" s="85">
        <f>IF(AA139="","",IF(ISNUMBER('Dvd Calendar'!$AC$1906)=FALSE,"",IF((Summary!$C$13="N")*('Dvd Calendar'!$AC$1910='Field Check'!$C$25)&gt;0,"",'Dvd Calendar'!$AC$1906)))</f>
        <v/>
      </c>
      <c r="CP139" s="85">
        <f>IF(AB139="","",IF(ISNUMBER('Dvd Calendar'!$AD$1906)=FALSE,"",IF((Summary!$C$13="N")*('Dvd Calendar'!$AD$1910='Field Check'!$C$25)&gt;0,"",'Dvd Calendar'!$AD$1906)))</f>
        <v/>
      </c>
      <c r="CQ139" s="85">
        <f>IF(AC139="","",IF(ISNUMBER('Dvd Calendar'!$AE$1906)=FALSE,"",IF((Summary!$C$13="N")*('Dvd Calendar'!$AE$1910='Field Check'!$C$25)&gt;0,"",'Dvd Calendar'!$AE$1906)))</f>
        <v/>
      </c>
      <c r="CR139" s="85">
        <f>IF(AD139="","",IF(ISNUMBER('Dvd Calendar'!$AF$1906)=FALSE,"",IF((Summary!$C$13="N")*('Dvd Calendar'!$AF$1910='Field Check'!$C$25)&gt;0,"",'Dvd Calendar'!$AF$1906)))</f>
        <v/>
      </c>
      <c r="CS139" s="85">
        <f>IF(AE139="","",IF(ISNUMBER('Dvd Calendar'!$AG$1906)=FALSE,"",IF((Summary!$C$13="N")*('Dvd Calendar'!$AG$1910='Field Check'!$C$25)&gt;0,"",'Dvd Calendar'!$AG$1906)))</f>
        <v/>
      </c>
      <c r="CT139" s="85">
        <f>IF(AF139="","",IF(ISNUMBER('Dvd Calendar'!$AH$1906)=FALSE,"",IF((Summary!$C$13="N")*('Dvd Calendar'!$AH$1910='Field Check'!$C$25)&gt;0,"",'Dvd Calendar'!$AH$1906)))</f>
        <v/>
      </c>
      <c r="CU139" s="85">
        <f>IF(AG139="","",IF(ISNUMBER('Dvd Calendar'!$AI$1906)=FALSE,"",IF((Summary!$C$13="N")*('Dvd Calendar'!$AI$1910='Field Check'!$C$25)&gt;0,"",'Dvd Calendar'!$AI$1906)))</f>
        <v/>
      </c>
      <c r="CV139" s="85">
        <f>IF(AH139="","",IF(ISNUMBER('Dvd Calendar'!$AJ$1906)=FALSE,"",IF((Summary!$C$13="N")*('Dvd Calendar'!$AJ$1910='Field Check'!$C$25)&gt;0,"",'Dvd Calendar'!$AJ$1906)))</f>
        <v/>
      </c>
      <c r="CW139" s="85">
        <f>IF(AI139="","",IF(ISNUMBER('Dvd Calendar'!$AK$1906)=FALSE,"",IF((Summary!$C$13="N")*('Dvd Calendar'!$AK$1910='Field Check'!$C$25)&gt;0,"",'Dvd Calendar'!$AK$1906)))</f>
        <v/>
      </c>
      <c r="CX139" s="85">
        <f>IF(AJ139="","",IF(ISNUMBER('Dvd Calendar'!$AL$1906)=FALSE,"",IF((Summary!$C$13="N")*('Dvd Calendar'!$AL$1910='Field Check'!$C$25)&gt;0,"",'Dvd Calendar'!$AL$1906)))</f>
        <v/>
      </c>
      <c r="CY139" s="85">
        <f>IF(AK139="","",IF(ISNUMBER('Dvd Calendar'!$AM$1906)=FALSE,"",IF((Summary!$C$13="N")*('Dvd Calendar'!$AM$1910='Field Check'!$C$25)&gt;0,"",'Dvd Calendar'!$AM$1906)))</f>
        <v/>
      </c>
      <c r="CZ139" s="85">
        <f>IF(AL139="","",IF(ISNUMBER('Dvd Calendar'!$AN$1906)=FALSE,"",IF((Summary!$C$13="N")*('Dvd Calendar'!$AN$1910='Field Check'!$C$25)&gt;0,"",'Dvd Calendar'!$AN$1906)))</f>
        <v/>
      </c>
      <c r="DA139" s="85">
        <f>IF(AM139="","",IF(ISNUMBER('Dvd Calendar'!$AO$1906)=FALSE,"",IF((Summary!$C$13="N")*('Dvd Calendar'!$AO$1910='Field Check'!$C$25)&gt;0,"",'Dvd Calendar'!$AO$1906)))</f>
        <v/>
      </c>
      <c r="DB139" s="85">
        <f>IF(AN139="","",IF(ISNUMBER('Dvd Calendar'!$AP$1906)=FALSE,"",IF((Summary!$C$13="N")*('Dvd Calendar'!$AP$1910='Field Check'!$C$25)&gt;0,"",'Dvd Calendar'!$AP$1906)))</f>
        <v/>
      </c>
      <c r="DC139" s="85">
        <f>IF(AO139="","",IF(ISNUMBER('Dvd Calendar'!$AQ$1906)=FALSE,"",IF((Summary!$C$13="N")*('Dvd Calendar'!$AQ$1910='Field Check'!$C$25)&gt;0,"",'Dvd Calendar'!$AQ$1906)))</f>
        <v/>
      </c>
      <c r="DD139" s="85">
        <f>IF(AP139="","",IF(ISNUMBER('Dvd Calendar'!$AR$1906)=FALSE,"",IF((Summary!$C$13="N")*('Dvd Calendar'!$AR$1910='Field Check'!$C$25)&gt;0,"",'Dvd Calendar'!$AR$1906)))</f>
        <v/>
      </c>
      <c r="DE139" s="85">
        <f>IF(AQ139="","",IF(ISNUMBER('Dvd Calendar'!$E$1913)=FALSE,"",IF((Summary!$C$13="N")*('Dvd Calendar'!$E$1917='Field Check'!$C$25)&gt;0,"",'Dvd Calendar'!$E$1913)))</f>
        <v/>
      </c>
      <c r="DF139" s="85">
        <f>IF(AR139="","",IF(ISNUMBER('Dvd Calendar'!$F$1913)=FALSE,"",IF((Summary!$C$13="N")*('Dvd Calendar'!$F$1917='Field Check'!$C$25)&gt;0,"",'Dvd Calendar'!$F$1913)))</f>
        <v/>
      </c>
      <c r="DG139" s="85">
        <f>IF(AS139="","",IF(ISNUMBER('Dvd Calendar'!$G$1913)=FALSE,"",IF((Summary!$C$13="N")*('Dvd Calendar'!$G$1917='Field Check'!$C$25)&gt;0,"",'Dvd Calendar'!$G$1913)))</f>
        <v/>
      </c>
      <c r="DH139" s="85">
        <f>IF(AT139="","",IF(ISNUMBER('Dvd Calendar'!$H$1913)=FALSE,"",IF((Summary!$C$13="N")*('Dvd Calendar'!$H$1917='Field Check'!$C$25)&gt;0,"",'Dvd Calendar'!$H$1913)))</f>
        <v/>
      </c>
      <c r="DI139" s="85">
        <f>IF(AU139="","",IF(ISNUMBER('Dvd Calendar'!$I$1913)=FALSE,"",IF((Summary!$C$13="N")*('Dvd Calendar'!$I$1917='Field Check'!$C$25)&gt;0,"",'Dvd Calendar'!$I$1913)))</f>
        <v/>
      </c>
      <c r="DJ139" s="85">
        <f>IF(AV139="","",IF(ISNUMBER('Dvd Calendar'!$J$1913)=FALSE,"",IF((Summary!$C$13="N")*('Dvd Calendar'!$J$1917='Field Check'!$C$25)&gt;0,"",'Dvd Calendar'!$J$1913)))</f>
        <v/>
      </c>
      <c r="DK139" s="85">
        <f>IF(AW139="","",IF(ISNUMBER('Dvd Calendar'!$K$1913)=FALSE,"",IF((Summary!$C$13="N")*('Dvd Calendar'!$K$1917='Field Check'!$C$25)&gt;0,"",'Dvd Calendar'!$K$1913)))</f>
        <v/>
      </c>
      <c r="DL139" s="85">
        <f>IF(AX139="","",IF(ISNUMBER('Dvd Calendar'!$L$1913)=FALSE,"",IF((Summary!$C$13="N")*('Dvd Calendar'!$L$1917='Field Check'!$C$25)&gt;0,"",'Dvd Calendar'!$L$1913)))</f>
        <v/>
      </c>
      <c r="DM139" s="85">
        <f>IF(AY139="","",IF(ISNUMBER('Dvd Calendar'!$M$1913)=FALSE,"",IF((Summary!$C$13="N")*('Dvd Calendar'!$M$1917='Field Check'!$C$25)&gt;0,"",'Dvd Calendar'!$M$1913)))</f>
        <v/>
      </c>
      <c r="DN139" s="85">
        <f>IF(AZ139="","",IF(ISNUMBER('Dvd Calendar'!$N$1913)=FALSE,"",IF((Summary!$C$13="N")*('Dvd Calendar'!$N$1917='Field Check'!$C$25)&gt;0,"",'Dvd Calendar'!$N$1913)))</f>
        <v/>
      </c>
      <c r="DO139" s="85">
        <f>IF(BA139="","",IF(ISNUMBER('Dvd Calendar'!$O$1913)=FALSE,"",IF((Summary!$C$13="N")*('Dvd Calendar'!$O$1917='Field Check'!$C$25)&gt;0,"",'Dvd Calendar'!$O$1913)))</f>
        <v/>
      </c>
      <c r="DP139" s="85">
        <f>IF(BB139="","",IF(ISNUMBER('Dvd Calendar'!$P$1913)=FALSE,"",IF((Summary!$C$13="N")*('Dvd Calendar'!$P$1917='Field Check'!$C$25)&gt;0,"",'Dvd Calendar'!$P$1913)))</f>
        <v/>
      </c>
      <c r="DQ139" s="85">
        <f>IF(BC139="","",IF(ISNUMBER('Dvd Calendar'!$Q$1913)=FALSE,"",IF((Summary!$C$13="N")*('Dvd Calendar'!$Q$1917='Field Check'!$C$25)&gt;0,"",'Dvd Calendar'!$Q$1913)))</f>
        <v/>
      </c>
      <c r="DR139" s="85">
        <f>IF(BD139="","",IF(ISNUMBER('Dvd Calendar'!$R$1913)=FALSE,"",IF((Summary!$C$13="N")*('Dvd Calendar'!$R$1917='Field Check'!$C$25)&gt;0,"",'Dvd Calendar'!$R$1913)))</f>
        <v/>
      </c>
      <c r="DS139" s="85">
        <f>IF(BE139="","",IF(ISNUMBER('Dvd Calendar'!$S$1913)=FALSE,"",IF((Summary!$C$13="N")*('Dvd Calendar'!$S$1917='Field Check'!$C$25)&gt;0,"",'Dvd Calendar'!$S$1913)))</f>
        <v/>
      </c>
      <c r="DT139" s="85">
        <f>IF(BF139="","",IF(ISNUMBER('Dvd Calendar'!$T$1913)=FALSE,"",IF((Summary!$C$13="N")*('Dvd Calendar'!$T$1917='Field Check'!$C$25)&gt;0,"",'Dvd Calendar'!$T$1913)))</f>
        <v/>
      </c>
      <c r="DU139" s="85">
        <f>IF(BG139="","",IF(ISNUMBER('Dvd Calendar'!$U$1913)=FALSE,"",IF((Summary!$C$13="N")*('Dvd Calendar'!$U$1917='Field Check'!$C$25)&gt;0,"",'Dvd Calendar'!$U$1913)))</f>
        <v/>
      </c>
      <c r="DV139" s="85">
        <f>IF(BH139="","",IF(ISNUMBER('Dvd Calendar'!$V$1913)=FALSE,"",IF((Summary!$C$13="N")*('Dvd Calendar'!$V$1917='Field Check'!$C$25)&gt;0,"",'Dvd Calendar'!$V$1913)))</f>
        <v/>
      </c>
      <c r="DW139" s="85">
        <f>IF(BI139="","",IF(ISNUMBER('Dvd Calendar'!$W$1913)=FALSE,"",IF((Summary!$C$13="N")*('Dvd Calendar'!$W$1917='Field Check'!$C$25)&gt;0,"",'Dvd Calendar'!$W$1913)))</f>
        <v/>
      </c>
      <c r="DX139" s="85">
        <f>IF(BJ139="","",IF(ISNUMBER('Dvd Calendar'!$X$1913)=FALSE,"",IF((Summary!$C$13="N")*('Dvd Calendar'!$X$1917='Field Check'!$C$25)&gt;0,"",'Dvd Calendar'!$X$1913)))</f>
        <v/>
      </c>
      <c r="DY139" s="85">
        <f>IF(BK139="","",IF(ISNUMBER('Dvd Calendar'!$Y$1913)=FALSE,"",IF((Summary!$C$13="N")*('Dvd Calendar'!$Y$1917='Field Check'!$C$25)&gt;0,"",'Dvd Calendar'!$Y$1913)))</f>
        <v/>
      </c>
      <c r="DZ139" s="85">
        <f>IF(BL139="","",IF(ISNUMBER('Dvd Calendar'!$Z$1913)=FALSE,"",IF((Summary!$C$13="N")*('Dvd Calendar'!$Z$1917='Field Check'!$C$25)&gt;0,"",'Dvd Calendar'!$Z$1913)))</f>
        <v/>
      </c>
      <c r="EA139" s="85">
        <f>IF(BM139="","",IF(ISNUMBER('Dvd Calendar'!$AA$1913)=FALSE,"",IF((Summary!$C$13="N")*('Dvd Calendar'!$AA$1917='Field Check'!$C$25)&gt;0,"",'Dvd Calendar'!$AA$1913)))</f>
        <v/>
      </c>
      <c r="EB139" s="85">
        <f>IF(BN139="","",IF(ISNUMBER('Dvd Calendar'!$AB$1913)=FALSE,"",IF((Summary!$C$13="N")*('Dvd Calendar'!$AB$1917='Field Check'!$C$25)&gt;0,"",'Dvd Calendar'!$AB$1913)))</f>
        <v/>
      </c>
      <c r="EC139" s="85">
        <f>IF(BO139="","",IF(ISNUMBER('Dvd Calendar'!$AC$1913)=FALSE,"",IF((Summary!$C$13="N")*('Dvd Calendar'!$AC$1917='Field Check'!$C$25)&gt;0,"",'Dvd Calendar'!$AC$1913)))</f>
        <v/>
      </c>
      <c r="EE139" s="85">
        <f>IF(BQ139="","",IFERROR(BQ139*HSTECH!$B$33*HSTECH!$G$33/HSTECH!$B$3,""))</f>
        <v/>
      </c>
      <c r="EF139" s="85">
        <f>IF(BR139="","",IFERROR(BR139*HSTECH!$B$33*HSTECH!$G$33/HSTECH!$B$3,""))</f>
        <v/>
      </c>
      <c r="EG139" s="85">
        <f>IF(BS139="","",IFERROR(BS139*HSTECH!$B$33*HSTECH!$G$33/HSTECH!$B$3,""))</f>
        <v/>
      </c>
      <c r="EH139" s="85">
        <f>IF(BT139="","",IFERROR(BT139*HSTECH!$B$33*HSTECH!$G$33/HSTECH!$B$3,""))</f>
        <v/>
      </c>
      <c r="EI139" s="85">
        <f>IF(BU139="","",IFERROR(BU139*HSTECH!$B$33*HSTECH!$G$33/HSTECH!$B$3,""))</f>
        <v/>
      </c>
      <c r="EJ139" s="85">
        <f>IF(BV139="","",IFERROR(BV139*HSTECH!$B$33*HSTECH!$G$33/HSTECH!$B$3,""))</f>
        <v/>
      </c>
      <c r="EK139" s="85">
        <f>IF(BW139="","",IFERROR(BW139*HSTECH!$B$33*HSTECH!$G$33/HSTECH!$B$3,""))</f>
        <v/>
      </c>
      <c r="EL139" s="85">
        <f>IF(BX139="","",IFERROR(BX139*HSTECH!$B$33*HSTECH!$G$33/HSTECH!$B$3,""))</f>
        <v/>
      </c>
      <c r="EM139" s="85">
        <f>IF(BY139="","",IFERROR(BY139*HSTECH!$B$33*HSTECH!$G$33/HSTECH!$B$3,""))</f>
        <v/>
      </c>
      <c r="EN139" s="85">
        <f>IF(BZ139="","",IFERROR(BZ139*HSTECH!$B$33*HSTECH!$G$33/HSTECH!$B$3,""))</f>
        <v/>
      </c>
      <c r="EO139" s="85">
        <f>IF(CA139="","",IFERROR(CA139*HSTECH!$B$33*HSTECH!$G$33/HSTECH!$B$3,""))</f>
        <v/>
      </c>
      <c r="EP139" s="85">
        <f>IF(CB139="","",IFERROR(CB139*HSTECH!$B$33*HSTECH!$G$33/HSTECH!$B$3,""))</f>
        <v/>
      </c>
      <c r="EQ139" s="85">
        <f>IF(CC139="","",IFERROR(CC139*HSTECH!$B$33*HSTECH!$G$33/HSTECH!$B$3,""))</f>
        <v/>
      </c>
      <c r="ER139" s="85">
        <f>IF(CD139="","",IFERROR(CD139*HSTECH!$B$33*HSTECH!$G$33/HSTECH!$B$3,""))</f>
        <v/>
      </c>
      <c r="ES139" s="85">
        <f>IF(CE139="","",IFERROR(CE139*HSTECH!$B$33*HSTECH!$G$33/HSTECH!$B$3,""))</f>
        <v/>
      </c>
      <c r="ET139" s="85">
        <f>IF(CF139="","",IFERROR(CF139*HSTECH!$B$33*HSTECH!$G$33/HSTECH!$B$3,""))</f>
        <v/>
      </c>
      <c r="EU139" s="85">
        <f>IF(CG139="","",IFERROR(CG139*HSTECH!$B$33*HSTECH!$G$33/HSTECH!$B$3,""))</f>
        <v/>
      </c>
      <c r="EV139" s="85">
        <f>IF(CH139="","",IFERROR(CH139*HSTECH!$B$33*HSTECH!$G$33/HSTECH!$B$3,""))</f>
        <v/>
      </c>
      <c r="EW139" s="85">
        <f>IF(CI139="","",IFERROR(CI139*HSTECH!$B$33*HSTECH!$G$33/HSTECH!$B$3,""))</f>
        <v/>
      </c>
      <c r="EX139" s="85">
        <f>IF(CJ139="","",IFERROR(CJ139*HSTECH!$B$33*HSTECH!$G$33/HSTECH!$B$3,""))</f>
        <v/>
      </c>
      <c r="EY139" s="85">
        <f>IF(CK139="","",IFERROR(CK139*HSTECH!$B$33*HSTECH!$G$33/HSTECH!$B$3,""))</f>
        <v/>
      </c>
      <c r="EZ139" s="85">
        <f>IF(CL139="","",IFERROR(CL139*HSTECH!$B$33*HSTECH!$G$33/HSTECH!$B$3,""))</f>
        <v/>
      </c>
      <c r="FA139" s="85">
        <f>IF(CM139="","",IFERROR(CM139*HSTECH!$B$33*HSTECH!$G$33/HSTECH!$B$3,""))</f>
        <v/>
      </c>
      <c r="FB139" s="85">
        <f>IF(CN139="","",IFERROR(CN139*HSTECH!$B$33*HSTECH!$G$33/HSTECH!$B$3,""))</f>
        <v/>
      </c>
      <c r="FC139" s="85">
        <f>IF(CO139="","",IFERROR(CO139*HSTECH!$B$33*HSTECH!$G$33/HSTECH!$B$3,""))</f>
        <v/>
      </c>
      <c r="FD139" s="85">
        <f>IF(CP139="","",IFERROR(CP139*HSTECH!$B$33*HSTECH!$G$33/HSTECH!$B$3,""))</f>
        <v/>
      </c>
      <c r="FE139" s="85">
        <f>IF(CQ139="","",IFERROR(CQ139*HSTECH!$B$33*HSTECH!$G$33/HSTECH!$B$3,""))</f>
        <v/>
      </c>
      <c r="FF139" s="85">
        <f>IF(CR139="","",IFERROR(CR139*HSTECH!$B$33*HSTECH!$G$33/HSTECH!$B$3,""))</f>
        <v/>
      </c>
      <c r="FG139" s="85">
        <f>IF(CS139="","",IFERROR(CS139*HSTECH!$B$33*HSTECH!$G$33/HSTECH!$B$3,""))</f>
        <v/>
      </c>
      <c r="FH139" s="85">
        <f>IF(CT139="","",IFERROR(CT139*HSTECH!$B$33*HSTECH!$G$33/HSTECH!$B$3,""))</f>
        <v/>
      </c>
      <c r="FI139" s="85">
        <f>IF(CU139="","",IFERROR(CU139*HSTECH!$B$33*HSTECH!$G$33/HSTECH!$B$3,""))</f>
        <v/>
      </c>
      <c r="FJ139" s="85">
        <f>IF(CV139="","",IFERROR(CV139*HSTECH!$B$33*HSTECH!$G$33/HSTECH!$B$3,""))</f>
        <v/>
      </c>
      <c r="FK139" s="85">
        <f>IF(CW139="","",IFERROR(CW139*HSTECH!$B$33*HSTECH!$G$33/HSTECH!$B$3,""))</f>
        <v/>
      </c>
      <c r="FL139" s="85">
        <f>IF(CX139="","",IFERROR(CX139*HSTECH!$B$33*HSTECH!$G$33/HSTECH!$B$3,""))</f>
        <v/>
      </c>
      <c r="FM139" s="85">
        <f>IF(CY139="","",IFERROR(CY139*HSTECH!$B$33*HSTECH!$G$33/HSTECH!$B$3,""))</f>
        <v/>
      </c>
      <c r="FN139" s="85">
        <f>IF(CZ139="","",IFERROR(CZ139*HSTECH!$B$33*HSTECH!$G$33/HSTECH!$B$3,""))</f>
        <v/>
      </c>
      <c r="FO139" s="85">
        <f>IF(DA139="","",IFERROR(DA139*HSTECH!$B$33*HSTECH!$G$33/HSTECH!$B$3,""))</f>
        <v/>
      </c>
      <c r="FP139" s="85">
        <f>IF(DB139="","",IFERROR(DB139*HSTECH!$B$33*HSTECH!$G$33/HSTECH!$B$3,""))</f>
        <v/>
      </c>
      <c r="FQ139" s="85">
        <f>IF(DC139="","",IFERROR(DC139*HSTECH!$B$33*HSTECH!$G$33/HSTECH!$B$3,""))</f>
        <v/>
      </c>
      <c r="FR139" s="85">
        <f>IF(DD139="","",IFERROR(DD139*HSTECH!$B$33*HSTECH!$G$33/HSTECH!$B$3,""))</f>
        <v/>
      </c>
      <c r="FS139" s="85">
        <f>IF(DE139="","",IFERROR(DE139*HSTECH!$B$33*HSTECH!$G$33/HSTECH!$B$3,""))</f>
        <v/>
      </c>
      <c r="FT139" s="85">
        <f>IF(DF139="","",IFERROR(DF139*HSTECH!$B$33*HSTECH!$G$33/HSTECH!$B$3,""))</f>
        <v/>
      </c>
      <c r="FU139" s="85">
        <f>IF(DG139="","",IFERROR(DG139*HSTECH!$B$33*HSTECH!$G$33/HSTECH!$B$3,""))</f>
        <v/>
      </c>
      <c r="FV139" s="85">
        <f>IF(DH139="","",IFERROR(DH139*HSTECH!$B$33*HSTECH!$G$33/HSTECH!$B$3,""))</f>
        <v/>
      </c>
      <c r="FW139" s="85">
        <f>IF(DI139="","",IFERROR(DI139*HSTECH!$B$33*HSTECH!$G$33/HSTECH!$B$3,""))</f>
        <v/>
      </c>
      <c r="FX139" s="85">
        <f>IF(DJ139="","",IFERROR(DJ139*HSTECH!$B$33*HSTECH!$G$33/HSTECH!$B$3,""))</f>
        <v/>
      </c>
      <c r="FY139" s="85">
        <f>IF(DK139="","",IFERROR(DK139*HSTECH!$B$33*HSTECH!$G$33/HSTECH!$B$3,""))</f>
        <v/>
      </c>
      <c r="FZ139" s="85">
        <f>IF(DL139="","",IFERROR(DL139*HSTECH!$B$33*HSTECH!$G$33/HSTECH!$B$3,""))</f>
        <v/>
      </c>
      <c r="GA139" s="85">
        <f>IF(DM139="","",IFERROR(DM139*HSTECH!$B$33*HSTECH!$G$33/HSTECH!$B$3,""))</f>
        <v/>
      </c>
      <c r="GB139" s="85">
        <f>IF(DN139="","",IFERROR(DN139*HSTECH!$B$33*HSTECH!$G$33/HSTECH!$B$3,""))</f>
        <v/>
      </c>
      <c r="GC139" s="85">
        <f>IF(DO139="","",IFERROR(DO139*HSTECH!$B$33*HSTECH!$G$33/HSTECH!$B$3,""))</f>
        <v/>
      </c>
      <c r="GD139" s="85">
        <f>IF(DP139="","",IFERROR(DP139*HSTECH!$B$33*HSTECH!$G$33/HSTECH!$B$3,""))</f>
        <v/>
      </c>
      <c r="GE139" s="85">
        <f>IF(DQ139="","",IFERROR(DQ139*HSTECH!$B$33*HSTECH!$G$33/HSTECH!$B$3,""))</f>
        <v/>
      </c>
      <c r="GF139" s="85">
        <f>IF(DR139="","",IFERROR(DR139*HSTECH!$B$33*HSTECH!$G$33/HSTECH!$B$3,""))</f>
        <v/>
      </c>
      <c r="GG139" s="85">
        <f>IF(DS139="","",IFERROR(DS139*HSTECH!$B$33*HSTECH!$G$33/HSTECH!$B$3,""))</f>
        <v/>
      </c>
      <c r="GH139" s="85">
        <f>IF(DT139="","",IFERROR(DT139*HSTECH!$B$33*HSTECH!$G$33/HSTECH!$B$3,""))</f>
        <v/>
      </c>
      <c r="GI139" s="85">
        <f>IF(DU139="","",IFERROR(DU139*HSTECH!$B$33*HSTECH!$G$33/HSTECH!$B$3,""))</f>
        <v/>
      </c>
      <c r="GJ139" s="85">
        <f>IF(DV139="","",IFERROR(DV139*HSTECH!$B$33*HSTECH!$G$33/HSTECH!$B$3,""))</f>
        <v/>
      </c>
      <c r="GK139" s="85">
        <f>IF(DW139="","",IFERROR(DW139*HSTECH!$B$33*HSTECH!$G$33/HSTECH!$B$3,""))</f>
        <v/>
      </c>
      <c r="GL139" s="85">
        <f>IF(DX139="","",IFERROR(DX139*HSTECH!$B$33*HSTECH!$G$33/HSTECH!$B$3,""))</f>
        <v/>
      </c>
      <c r="GM139" s="85">
        <f>IF(DY139="","",IFERROR(DY139*HSTECH!$B$33*HSTECH!$G$33/HSTECH!$B$3,""))</f>
        <v/>
      </c>
      <c r="GN139" s="85">
        <f>IF(DZ139="","",IFERROR(DZ139*HSTECH!$B$33*HSTECH!$G$33/HSTECH!$B$3,""))</f>
        <v/>
      </c>
      <c r="GO139" s="85">
        <f>IF(EA139="","",IFERROR(EA139*HSTECH!$B$33*HSTECH!$G$33/HSTECH!$B$3,""))</f>
        <v/>
      </c>
      <c r="GP139" s="85">
        <f>IF(EB139="","",IFERROR(EB139*HSTECH!$B$33*HSTECH!$G$33/HSTECH!$B$3,""))</f>
        <v/>
      </c>
      <c r="GQ139" s="85">
        <f>IF(EC139="","",IFERROR(EC139*HSTECH!$B$33*HSTECH!$G$33/HSTECH!$B$3,""))</f>
        <v/>
      </c>
    </row>
    <row r="140">
      <c r="B140" s="2">
        <f>IF(HSTECH!$C$34="","",HSTECH!$C$34)</f>
        <v/>
      </c>
      <c r="C140" s="41">
        <f>IF(N('Dvd Calendar'!$E$1920)=0,"",IF(('Dvd Calendar'!$E$1920&gt;=MIN(DATE(Summary!$C$12,1,1),Summary!$C$11))*('Dvd Calendar'!$E$1920&lt;=MAX(DATE(Summary!$C$12,12,31),Summary!$C$15))*('Dvd Calendar'!$E$1920&lt;=Summary!$C$11)=0,"",'Dvd Calendar'!$E$1920*1000000000+ISNUMBER('Dvd Calendar'!$E$1921)*100000000+('Dvd Calendar'!$E$1925='Field Check'!$C$25)*10000000+(N('Dvd Calendar'!$E$1919)&gt;0)*1000000+28*1000+1))</f>
        <v/>
      </c>
      <c r="D140" s="41">
        <f>IF(N('Dvd Calendar'!$F$1920)=0,"",IF(('Dvd Calendar'!$F$1920&gt;=MIN(DATE(Summary!$C$12,1,1),Summary!$C$11))*('Dvd Calendar'!$F$1920&lt;=MAX(DATE(Summary!$C$12,12,31),Summary!$C$15))*('Dvd Calendar'!$F$1920&lt;=Summary!$C$11)=0,"",'Dvd Calendar'!$F$1920*1000000000+ISNUMBER('Dvd Calendar'!$F$1921)*100000000+('Dvd Calendar'!$F$1925='Field Check'!$C$25)*10000000+(N('Dvd Calendar'!$F$1919)&gt;0)*1000000+28*1000+2))</f>
        <v/>
      </c>
      <c r="E140" s="41">
        <f>IF(N('Dvd Calendar'!$G$1920)=0,"",IF(('Dvd Calendar'!$G$1920&gt;=MIN(DATE(Summary!$C$12,1,1),Summary!$C$11))*('Dvd Calendar'!$G$1920&lt;=MAX(DATE(Summary!$C$12,12,31),Summary!$C$15))*('Dvd Calendar'!$G$1920&lt;=Summary!$C$11)=0,"",'Dvd Calendar'!$G$1920*1000000000+ISNUMBER('Dvd Calendar'!$G$1921)*100000000+('Dvd Calendar'!$G$1925='Field Check'!$C$25)*10000000+(N('Dvd Calendar'!$G$1919)&gt;0)*1000000+28*1000+3))</f>
        <v/>
      </c>
      <c r="F140" s="41">
        <f>IF(N('Dvd Calendar'!$H$1920)=0,"",IF(('Dvd Calendar'!$H$1920&gt;=MIN(DATE(Summary!$C$12,1,1),Summary!$C$11))*('Dvd Calendar'!$H$1920&lt;=MAX(DATE(Summary!$C$12,12,31),Summary!$C$15))*('Dvd Calendar'!$H$1920&lt;=Summary!$C$11)=0,"",'Dvd Calendar'!$H$1920*1000000000+ISNUMBER('Dvd Calendar'!$H$1921)*100000000+('Dvd Calendar'!$H$1925='Field Check'!$C$25)*10000000+(N('Dvd Calendar'!$H$1919)&gt;0)*1000000+28*1000+4))</f>
        <v/>
      </c>
      <c r="G140" s="41">
        <f>IF(N('Dvd Calendar'!$I$1920)=0,"",IF(('Dvd Calendar'!$I$1920&gt;=MIN(DATE(Summary!$C$12,1,1),Summary!$C$11))*('Dvd Calendar'!$I$1920&lt;=MAX(DATE(Summary!$C$12,12,31),Summary!$C$15))*('Dvd Calendar'!$I$1920&lt;=Summary!$C$11)=0,"",'Dvd Calendar'!$I$1920*1000000000+ISNUMBER('Dvd Calendar'!$I$1921)*100000000+('Dvd Calendar'!$I$1925='Field Check'!$C$25)*10000000+(N('Dvd Calendar'!$I$1919)&gt;0)*1000000+28*1000+5))</f>
        <v/>
      </c>
      <c r="H140" s="41">
        <f>IF(N('Dvd Calendar'!$J$1920)=0,"",IF(('Dvd Calendar'!$J$1920&gt;=MIN(DATE(Summary!$C$12,1,1),Summary!$C$11))*('Dvd Calendar'!$J$1920&lt;=MAX(DATE(Summary!$C$12,12,31),Summary!$C$15))*('Dvd Calendar'!$J$1920&lt;=Summary!$C$11)=0,"",'Dvd Calendar'!$J$1920*1000000000+ISNUMBER('Dvd Calendar'!$J$1921)*100000000+('Dvd Calendar'!$J$1925='Field Check'!$C$25)*10000000+(N('Dvd Calendar'!$J$1919)&gt;0)*1000000+28*1000+6))</f>
        <v/>
      </c>
      <c r="I140" s="41">
        <f>IF(N('Dvd Calendar'!$K$1920)=0,"",IF(('Dvd Calendar'!$K$1920&gt;=MIN(DATE(Summary!$C$12,1,1),Summary!$C$11))*('Dvd Calendar'!$K$1920&lt;=MAX(DATE(Summary!$C$12,12,31),Summary!$C$15))*('Dvd Calendar'!$K$1920&lt;=Summary!$C$11)=0,"",'Dvd Calendar'!$K$1920*1000000000+ISNUMBER('Dvd Calendar'!$K$1921)*100000000+('Dvd Calendar'!$K$1925='Field Check'!$C$25)*10000000+(N('Dvd Calendar'!$K$1919)&gt;0)*1000000+28*1000+7))</f>
        <v/>
      </c>
      <c r="J140" s="41">
        <f>IF(N('Dvd Calendar'!$L$1920)=0,"",IF(('Dvd Calendar'!$L$1920&gt;=MIN(DATE(Summary!$C$12,1,1),Summary!$C$11))*('Dvd Calendar'!$L$1920&lt;=MAX(DATE(Summary!$C$12,12,31),Summary!$C$15))*('Dvd Calendar'!$L$1920&lt;=Summary!$C$11)=0,"",'Dvd Calendar'!$L$1920*1000000000+ISNUMBER('Dvd Calendar'!$L$1921)*100000000+('Dvd Calendar'!$L$1925='Field Check'!$C$25)*10000000+(N('Dvd Calendar'!$L$1919)&gt;0)*1000000+28*1000+8))</f>
        <v/>
      </c>
      <c r="K140" s="41">
        <f>IF(N('Dvd Calendar'!$M$1920)=0,"",IF(('Dvd Calendar'!$M$1920&gt;=MIN(DATE(Summary!$C$12,1,1),Summary!$C$11))*('Dvd Calendar'!$M$1920&lt;=MAX(DATE(Summary!$C$12,12,31),Summary!$C$15))*('Dvd Calendar'!$M$1920&lt;=Summary!$C$11)=0,"",'Dvd Calendar'!$M$1920*1000000000+ISNUMBER('Dvd Calendar'!$M$1921)*100000000+('Dvd Calendar'!$M$1925='Field Check'!$C$25)*10000000+(N('Dvd Calendar'!$M$1919)&gt;0)*1000000+28*1000+9))</f>
        <v/>
      </c>
      <c r="L140" s="41">
        <f>IF(N('Dvd Calendar'!$N$1920)=0,"",IF(('Dvd Calendar'!$N$1920&gt;=MIN(DATE(Summary!$C$12,1,1),Summary!$C$11))*('Dvd Calendar'!$N$1920&lt;=MAX(DATE(Summary!$C$12,12,31),Summary!$C$15))*('Dvd Calendar'!$N$1920&lt;=Summary!$C$11)=0,"",'Dvd Calendar'!$N$1920*1000000000+ISNUMBER('Dvd Calendar'!$N$1921)*100000000+('Dvd Calendar'!$N$1925='Field Check'!$C$25)*10000000+(N('Dvd Calendar'!$N$1919)&gt;0)*1000000+28*1000+10))</f>
        <v/>
      </c>
      <c r="M140" s="41">
        <f>IF(N('Dvd Calendar'!$O$1920)=0,"",IF(('Dvd Calendar'!$O$1920&gt;=MIN(DATE(Summary!$C$12,1,1),Summary!$C$11))*('Dvd Calendar'!$O$1920&lt;=MAX(DATE(Summary!$C$12,12,31),Summary!$C$15))*('Dvd Calendar'!$O$1920&lt;=Summary!$C$11)=0,"",'Dvd Calendar'!$O$1920*1000000000+ISNUMBER('Dvd Calendar'!$O$1921)*100000000+('Dvd Calendar'!$O$1925='Field Check'!$C$25)*10000000+(N('Dvd Calendar'!$O$1919)&gt;0)*1000000+28*1000+11))</f>
        <v/>
      </c>
      <c r="N140" s="41">
        <f>IF(N('Dvd Calendar'!$P$1920)=0,"",IF(('Dvd Calendar'!$P$1920&gt;=MIN(DATE(Summary!$C$12,1,1),Summary!$C$11))*('Dvd Calendar'!$P$1920&lt;=MAX(DATE(Summary!$C$12,12,31),Summary!$C$15))*('Dvd Calendar'!$P$1920&lt;=Summary!$C$11)=0,"",'Dvd Calendar'!$P$1920*1000000000+ISNUMBER('Dvd Calendar'!$P$1921)*100000000+('Dvd Calendar'!$P$1925='Field Check'!$C$25)*10000000+(N('Dvd Calendar'!$P$1919)&gt;0)*1000000+28*1000+12))</f>
        <v/>
      </c>
      <c r="O140" s="41">
        <f>IF(N('Dvd Calendar'!$Q$1920)=0,"",IF(('Dvd Calendar'!$Q$1920&gt;=MIN(DATE(Summary!$C$12,1,1),Summary!$C$11))*('Dvd Calendar'!$Q$1920&lt;=MAX(DATE(Summary!$C$12,12,31),Summary!$C$15))*('Dvd Calendar'!$Q$1920&lt;=Summary!$C$11)=0,"",'Dvd Calendar'!$Q$1920*1000000000+ISNUMBER('Dvd Calendar'!$Q$1921)*100000000+('Dvd Calendar'!$Q$1925='Field Check'!$C$25)*10000000+(N('Dvd Calendar'!$Q$1919)&gt;0)*1000000+28*1000+13))</f>
        <v/>
      </c>
      <c r="P140" s="41">
        <f>IF(N('Dvd Calendar'!$R$1920)=0,"",IF(('Dvd Calendar'!$R$1920&gt;=MIN(DATE(Summary!$C$12,1,1),Summary!$C$11))*('Dvd Calendar'!$R$1920&lt;=MAX(DATE(Summary!$C$12,12,31),Summary!$C$15))*('Dvd Calendar'!$R$1920&lt;=Summary!$C$11)=0,"",'Dvd Calendar'!$R$1920*1000000000+ISNUMBER('Dvd Calendar'!$R$1921)*100000000+('Dvd Calendar'!$R$1925='Field Check'!$C$25)*10000000+(N('Dvd Calendar'!$R$1919)&gt;0)*1000000+28*1000+14))</f>
        <v/>
      </c>
      <c r="Q140" s="41">
        <f>IF(N('Dvd Calendar'!$S$1920)=0,"",IF(('Dvd Calendar'!$S$1920&gt;=MIN(DATE(Summary!$C$12,1,1),Summary!$C$11))*('Dvd Calendar'!$S$1920&lt;=MAX(DATE(Summary!$C$12,12,31),Summary!$C$15))*('Dvd Calendar'!$S$1920&lt;=Summary!$C$11)=0,"",'Dvd Calendar'!$S$1920*1000000000+ISNUMBER('Dvd Calendar'!$S$1921)*100000000+('Dvd Calendar'!$S$1925='Field Check'!$C$25)*10000000+(N('Dvd Calendar'!$S$1919)&gt;0)*1000000+28*1000+15))</f>
        <v/>
      </c>
      <c r="R140" s="41">
        <f>IF(N('Dvd Calendar'!$T$1920)=0,"",IF(('Dvd Calendar'!$T$1920&gt;=MIN(DATE(Summary!$C$12,1,1),Summary!$C$11))*('Dvd Calendar'!$T$1920&lt;=MAX(DATE(Summary!$C$12,12,31),Summary!$C$15))*('Dvd Calendar'!$T$1920&lt;=Summary!$C$11)=0,"",'Dvd Calendar'!$T$1920*1000000000+ISNUMBER('Dvd Calendar'!$T$1921)*100000000+('Dvd Calendar'!$T$1925='Field Check'!$C$25)*10000000+(N('Dvd Calendar'!$T$1919)&gt;0)*1000000+28*1000+16))</f>
        <v/>
      </c>
      <c r="S140" s="41">
        <f>IF(N('Dvd Calendar'!$U$1920)=0,"",IF(('Dvd Calendar'!$U$1920&gt;=MIN(DATE(Summary!$C$12,1,1),Summary!$C$11))*('Dvd Calendar'!$U$1920&lt;=MAX(DATE(Summary!$C$12,12,31),Summary!$C$15))*('Dvd Calendar'!$U$1920&lt;=Summary!$C$11)=0,"",'Dvd Calendar'!$U$1920*1000000000+ISNUMBER('Dvd Calendar'!$U$1921)*100000000+('Dvd Calendar'!$U$1925='Field Check'!$C$25)*10000000+(N('Dvd Calendar'!$U$1919)&gt;0)*1000000+28*1000+17))</f>
        <v/>
      </c>
      <c r="T140" s="41">
        <f>IF(N('Dvd Calendar'!$V$1920)=0,"",IF(('Dvd Calendar'!$V$1920&gt;=MIN(DATE(Summary!$C$12,1,1),Summary!$C$11))*('Dvd Calendar'!$V$1920&lt;=MAX(DATE(Summary!$C$12,12,31),Summary!$C$15))*('Dvd Calendar'!$V$1920&lt;=Summary!$C$11)=0,"",'Dvd Calendar'!$V$1920*1000000000+ISNUMBER('Dvd Calendar'!$V$1921)*100000000+('Dvd Calendar'!$V$1925='Field Check'!$C$25)*10000000+(N('Dvd Calendar'!$V$1919)&gt;0)*1000000+28*1000+18))</f>
        <v/>
      </c>
      <c r="U140" s="41">
        <f>IF(N('Dvd Calendar'!$W$1920)=0,"",IF(('Dvd Calendar'!$W$1920&gt;=MIN(DATE(Summary!$C$12,1,1),Summary!$C$11))*('Dvd Calendar'!$W$1920&lt;=MAX(DATE(Summary!$C$12,12,31),Summary!$C$15))*('Dvd Calendar'!$W$1920&lt;=Summary!$C$11)=0,"",'Dvd Calendar'!$W$1920*1000000000+ISNUMBER('Dvd Calendar'!$W$1921)*100000000+('Dvd Calendar'!$W$1925='Field Check'!$C$25)*10000000+(N('Dvd Calendar'!$W$1919)&gt;0)*1000000+28*1000+19))</f>
        <v/>
      </c>
      <c r="V140" s="41">
        <f>IF(N('Dvd Calendar'!$X$1920)=0,"",IF(('Dvd Calendar'!$X$1920&gt;=MIN(DATE(Summary!$C$12,1,1),Summary!$C$11))*('Dvd Calendar'!$X$1920&lt;=MAX(DATE(Summary!$C$12,12,31),Summary!$C$15))*('Dvd Calendar'!$X$1920&lt;=Summary!$C$11)=0,"",'Dvd Calendar'!$X$1920*1000000000+ISNUMBER('Dvd Calendar'!$X$1921)*100000000+('Dvd Calendar'!$X$1925='Field Check'!$C$25)*10000000+(N('Dvd Calendar'!$X$1919)&gt;0)*1000000+28*1000+20))</f>
        <v/>
      </c>
      <c r="W140" s="41">
        <f>IF(N('Dvd Calendar'!$Y$1920)=0,"",IF(('Dvd Calendar'!$Y$1920&gt;=MIN(DATE(Summary!$C$12,1,1),Summary!$C$11))*('Dvd Calendar'!$Y$1920&lt;=MAX(DATE(Summary!$C$12,12,31),Summary!$C$15))*('Dvd Calendar'!$Y$1920&lt;=Summary!$C$11)=0,"",'Dvd Calendar'!$Y$1920*1000000000+ISNUMBER('Dvd Calendar'!$Y$1921)*100000000+('Dvd Calendar'!$Y$1925='Field Check'!$C$25)*10000000+(N('Dvd Calendar'!$Y$1919)&gt;0)*1000000+28*1000+21))</f>
        <v/>
      </c>
      <c r="X140" s="41">
        <f>IF(N('Dvd Calendar'!$Z$1920)=0,"",IF(('Dvd Calendar'!$Z$1920&gt;=MIN(DATE(Summary!$C$12,1,1),Summary!$C$11))*('Dvd Calendar'!$Z$1920&lt;=MAX(DATE(Summary!$C$12,12,31),Summary!$C$15))*('Dvd Calendar'!$Z$1920&lt;=Summary!$C$11)=0,"",'Dvd Calendar'!$Z$1920*1000000000+ISNUMBER('Dvd Calendar'!$Z$1921)*100000000+('Dvd Calendar'!$Z$1925='Field Check'!$C$25)*10000000+(N('Dvd Calendar'!$Z$1919)&gt;0)*1000000+28*1000+22))</f>
        <v/>
      </c>
      <c r="Y140" s="41">
        <f>IF(N('Dvd Calendar'!$AA$1920)=0,"",IF(('Dvd Calendar'!$AA$1920&gt;=MIN(DATE(Summary!$C$12,1,1),Summary!$C$11))*('Dvd Calendar'!$AA$1920&lt;=MAX(DATE(Summary!$C$12,12,31),Summary!$C$15))*('Dvd Calendar'!$AA$1920&lt;=Summary!$C$11)=0,"",'Dvd Calendar'!$AA$1920*1000000000+ISNUMBER('Dvd Calendar'!$AA$1921)*100000000+('Dvd Calendar'!$AA$1925='Field Check'!$C$25)*10000000+(N('Dvd Calendar'!$AA$1919)&gt;0)*1000000+28*1000+23))</f>
        <v/>
      </c>
      <c r="Z140" s="41">
        <f>IF(N('Dvd Calendar'!$AB$1920)=0,"",IF(('Dvd Calendar'!$AB$1920&gt;=MIN(DATE(Summary!$C$12,1,1),Summary!$C$11))*('Dvd Calendar'!$AB$1920&lt;=MAX(DATE(Summary!$C$12,12,31),Summary!$C$15))*('Dvd Calendar'!$AB$1920&lt;=Summary!$C$11)=0,"",'Dvd Calendar'!$AB$1920*1000000000+ISNUMBER('Dvd Calendar'!$AB$1921)*100000000+('Dvd Calendar'!$AB$1925='Field Check'!$C$25)*10000000+(N('Dvd Calendar'!$AB$1919)&gt;0)*1000000+28*1000+24))</f>
        <v/>
      </c>
      <c r="AA140" s="41">
        <f>IF(N('Dvd Calendar'!$AC$1920)=0,"",IF(('Dvd Calendar'!$AC$1920&gt;=MIN(DATE(Summary!$C$12,1,1),Summary!$C$11))*('Dvd Calendar'!$AC$1920&lt;=MAX(DATE(Summary!$C$12,12,31),Summary!$C$15))*('Dvd Calendar'!$AC$1920&lt;=Summary!$C$11)=0,"",'Dvd Calendar'!$AC$1920*1000000000+ISNUMBER('Dvd Calendar'!$AC$1921)*100000000+('Dvd Calendar'!$AC$1925='Field Check'!$C$25)*10000000+(N('Dvd Calendar'!$AC$1919)&gt;0)*1000000+28*1000+25))</f>
        <v/>
      </c>
      <c r="AB140" s="41">
        <f>IF(N('Dvd Calendar'!$AD$1920)=0,"",IF(('Dvd Calendar'!$AD$1920&gt;=MIN(DATE(Summary!$C$12,1,1),Summary!$C$11))*('Dvd Calendar'!$AD$1920&lt;=MAX(DATE(Summary!$C$12,12,31),Summary!$C$15))*('Dvd Calendar'!$AD$1920&lt;=Summary!$C$11)=0,"",'Dvd Calendar'!$AD$1920*1000000000+ISNUMBER('Dvd Calendar'!$AD$1921)*100000000+('Dvd Calendar'!$AD$1925='Field Check'!$C$25)*10000000+(N('Dvd Calendar'!$AD$1919)&gt;0)*1000000+28*1000+26))</f>
        <v/>
      </c>
      <c r="AC140" s="41">
        <f>IF(N('Dvd Calendar'!$AE$1920)=0,"",IF(('Dvd Calendar'!$AE$1920&gt;=MIN(DATE(Summary!$C$12,1,1),Summary!$C$11))*('Dvd Calendar'!$AE$1920&lt;=MAX(DATE(Summary!$C$12,12,31),Summary!$C$15))*('Dvd Calendar'!$AE$1920&lt;=Summary!$C$11)=0,"",'Dvd Calendar'!$AE$1920*1000000000+ISNUMBER('Dvd Calendar'!$AE$1921)*100000000+('Dvd Calendar'!$AE$1925='Field Check'!$C$25)*10000000+(N('Dvd Calendar'!$AE$1919)&gt;0)*1000000+28*1000+27))</f>
        <v/>
      </c>
      <c r="AD140" s="41">
        <f>IF(N('Dvd Calendar'!$AF$1920)=0,"",IF(('Dvd Calendar'!$AF$1920&gt;=MIN(DATE(Summary!$C$12,1,1),Summary!$C$11))*('Dvd Calendar'!$AF$1920&lt;=MAX(DATE(Summary!$C$12,12,31),Summary!$C$15))*('Dvd Calendar'!$AF$1920&lt;=Summary!$C$11)=0,"",'Dvd Calendar'!$AF$1920*1000000000+ISNUMBER('Dvd Calendar'!$AF$1921)*100000000+('Dvd Calendar'!$AF$1925='Field Check'!$C$25)*10000000+(N('Dvd Calendar'!$AF$1919)&gt;0)*1000000+28*1000+28))</f>
        <v/>
      </c>
      <c r="AE140" s="41">
        <f>IF(N('Dvd Calendar'!$AG$1920)=0,"",IF(('Dvd Calendar'!$AG$1920&gt;=MIN(DATE(Summary!$C$12,1,1),Summary!$C$11))*('Dvd Calendar'!$AG$1920&lt;=MAX(DATE(Summary!$C$12,12,31),Summary!$C$15))*('Dvd Calendar'!$AG$1920&lt;=Summary!$C$11)=0,"",'Dvd Calendar'!$AG$1920*1000000000+ISNUMBER('Dvd Calendar'!$AG$1921)*100000000+('Dvd Calendar'!$AG$1925='Field Check'!$C$25)*10000000+(N('Dvd Calendar'!$AG$1919)&gt;0)*1000000+28*1000+29))</f>
        <v/>
      </c>
      <c r="AF140" s="41">
        <f>IF(N('Dvd Calendar'!$AH$1920)=0,"",IF(('Dvd Calendar'!$AH$1920&gt;=MIN(DATE(Summary!$C$12,1,1),Summary!$C$11))*('Dvd Calendar'!$AH$1920&lt;=MAX(DATE(Summary!$C$12,12,31),Summary!$C$15))*('Dvd Calendar'!$AH$1920&lt;=Summary!$C$11)=0,"",'Dvd Calendar'!$AH$1920*1000000000+ISNUMBER('Dvd Calendar'!$AH$1921)*100000000+('Dvd Calendar'!$AH$1925='Field Check'!$C$25)*10000000+(N('Dvd Calendar'!$AH$1919)&gt;0)*1000000+28*1000+30))</f>
        <v/>
      </c>
      <c r="AG140" s="41">
        <f>IF(N('Dvd Calendar'!$AI$1920)=0,"",IF(('Dvd Calendar'!$AI$1920&gt;=MIN(DATE(Summary!$C$12,1,1),Summary!$C$11))*('Dvd Calendar'!$AI$1920&lt;=MAX(DATE(Summary!$C$12,12,31),Summary!$C$15))*('Dvd Calendar'!$AI$1920&lt;=Summary!$C$11)=0,"",'Dvd Calendar'!$AI$1920*1000000000+ISNUMBER('Dvd Calendar'!$AI$1921)*100000000+('Dvd Calendar'!$AI$1925='Field Check'!$C$25)*10000000+(N('Dvd Calendar'!$AI$1919)&gt;0)*1000000+28*1000+31))</f>
        <v/>
      </c>
      <c r="AH140" s="41">
        <f>IF(N('Dvd Calendar'!$AJ$1920)=0,"",IF(('Dvd Calendar'!$AJ$1920&gt;=MIN(DATE(Summary!$C$12,1,1),Summary!$C$11))*('Dvd Calendar'!$AJ$1920&lt;=MAX(DATE(Summary!$C$12,12,31),Summary!$C$15))*('Dvd Calendar'!$AJ$1920&lt;=Summary!$C$11)=0,"",'Dvd Calendar'!$AJ$1920*1000000000+ISNUMBER('Dvd Calendar'!$AJ$1921)*100000000+('Dvd Calendar'!$AJ$1925='Field Check'!$C$25)*10000000+(N('Dvd Calendar'!$AJ$1919)&gt;0)*1000000+28*1000+32))</f>
        <v/>
      </c>
      <c r="AI140" s="41">
        <f>IF(N('Dvd Calendar'!$AK$1920)=0,"",IF(('Dvd Calendar'!$AK$1920&gt;=MIN(DATE(Summary!$C$12,1,1),Summary!$C$11))*('Dvd Calendar'!$AK$1920&lt;=MAX(DATE(Summary!$C$12,12,31),Summary!$C$15))*('Dvd Calendar'!$AK$1920&lt;=Summary!$C$11)=0,"",'Dvd Calendar'!$AK$1920*1000000000+ISNUMBER('Dvd Calendar'!$AK$1921)*100000000+('Dvd Calendar'!$AK$1925='Field Check'!$C$25)*10000000+(N('Dvd Calendar'!$AK$1919)&gt;0)*1000000+28*1000+33))</f>
        <v/>
      </c>
      <c r="AJ140" s="41">
        <f>IF(N('Dvd Calendar'!$AL$1920)=0,"",IF(('Dvd Calendar'!$AL$1920&gt;=MIN(DATE(Summary!$C$12,1,1),Summary!$C$11))*('Dvd Calendar'!$AL$1920&lt;=MAX(DATE(Summary!$C$12,12,31),Summary!$C$15))*('Dvd Calendar'!$AL$1920&lt;=Summary!$C$11)=0,"",'Dvd Calendar'!$AL$1920*1000000000+ISNUMBER('Dvd Calendar'!$AL$1921)*100000000+('Dvd Calendar'!$AL$1925='Field Check'!$C$25)*10000000+(N('Dvd Calendar'!$AL$1919)&gt;0)*1000000+28*1000+34))</f>
        <v/>
      </c>
      <c r="AK140" s="41">
        <f>IF(N('Dvd Calendar'!$AM$1920)=0,"",IF(('Dvd Calendar'!$AM$1920&gt;=MIN(DATE(Summary!$C$12,1,1),Summary!$C$11))*('Dvd Calendar'!$AM$1920&lt;=MAX(DATE(Summary!$C$12,12,31),Summary!$C$15))*('Dvd Calendar'!$AM$1920&lt;=Summary!$C$11)=0,"",'Dvd Calendar'!$AM$1920*1000000000+ISNUMBER('Dvd Calendar'!$AM$1921)*100000000+('Dvd Calendar'!$AM$1925='Field Check'!$C$25)*10000000+(N('Dvd Calendar'!$AM$1919)&gt;0)*1000000+28*1000+35))</f>
        <v/>
      </c>
      <c r="AL140" s="41">
        <f>IF(N('Dvd Calendar'!$AN$1920)=0,"",IF(('Dvd Calendar'!$AN$1920&gt;=MIN(DATE(Summary!$C$12,1,1),Summary!$C$11))*('Dvd Calendar'!$AN$1920&lt;=MAX(DATE(Summary!$C$12,12,31),Summary!$C$15))*('Dvd Calendar'!$AN$1920&lt;=Summary!$C$11)=0,"",'Dvd Calendar'!$AN$1920*1000000000+ISNUMBER('Dvd Calendar'!$AN$1921)*100000000+('Dvd Calendar'!$AN$1925='Field Check'!$C$25)*10000000+(N('Dvd Calendar'!$AN$1919)&gt;0)*1000000+28*1000+36))</f>
        <v/>
      </c>
      <c r="AM140" s="41">
        <f>IF(N('Dvd Calendar'!$AO$1920)=0,"",IF(('Dvd Calendar'!$AO$1920&gt;=MIN(DATE(Summary!$C$12,1,1),Summary!$C$11))*('Dvd Calendar'!$AO$1920&lt;=MAX(DATE(Summary!$C$12,12,31),Summary!$C$15))*('Dvd Calendar'!$AO$1920&lt;=Summary!$C$11)=0,"",'Dvd Calendar'!$AO$1920*1000000000+ISNUMBER('Dvd Calendar'!$AO$1921)*100000000+('Dvd Calendar'!$AO$1925='Field Check'!$C$25)*10000000+(N('Dvd Calendar'!$AO$1919)&gt;0)*1000000+28*1000+37))</f>
        <v/>
      </c>
      <c r="AN140" s="41">
        <f>IF(N('Dvd Calendar'!$AP$1920)=0,"",IF(('Dvd Calendar'!$AP$1920&gt;=MIN(DATE(Summary!$C$12,1,1),Summary!$C$11))*('Dvd Calendar'!$AP$1920&lt;=MAX(DATE(Summary!$C$12,12,31),Summary!$C$15))*('Dvd Calendar'!$AP$1920&lt;=Summary!$C$11)=0,"",'Dvd Calendar'!$AP$1920*1000000000+ISNUMBER('Dvd Calendar'!$AP$1921)*100000000+('Dvd Calendar'!$AP$1925='Field Check'!$C$25)*10000000+(N('Dvd Calendar'!$AP$1919)&gt;0)*1000000+28*1000+38))</f>
        <v/>
      </c>
      <c r="AO140" s="41">
        <f>IF(N('Dvd Calendar'!$AQ$1920)=0,"",IF(('Dvd Calendar'!$AQ$1920&gt;=MIN(DATE(Summary!$C$12,1,1),Summary!$C$11))*('Dvd Calendar'!$AQ$1920&lt;=MAX(DATE(Summary!$C$12,12,31),Summary!$C$15))*('Dvd Calendar'!$AQ$1920&lt;=Summary!$C$11)=0,"",'Dvd Calendar'!$AQ$1920*1000000000+ISNUMBER('Dvd Calendar'!$AQ$1921)*100000000+('Dvd Calendar'!$AQ$1925='Field Check'!$C$25)*10000000+(N('Dvd Calendar'!$AQ$1919)&gt;0)*1000000+28*1000+39))</f>
        <v/>
      </c>
      <c r="AP140" s="41">
        <f>IF(N('Dvd Calendar'!$AR$1920)=0,"",IF(('Dvd Calendar'!$AR$1920&gt;=MIN(DATE(Summary!$C$12,1,1),Summary!$C$11))*('Dvd Calendar'!$AR$1920&lt;=MAX(DATE(Summary!$C$12,12,31),Summary!$C$15))*('Dvd Calendar'!$AR$1920&lt;=Summary!$C$11)=0,"",'Dvd Calendar'!$AR$1920*1000000000+ISNUMBER('Dvd Calendar'!$AR$1921)*100000000+('Dvd Calendar'!$AR$1925='Field Check'!$C$25)*10000000+(N('Dvd Calendar'!$AR$1919)&gt;0)*1000000+28*1000+40))</f>
        <v/>
      </c>
      <c r="AQ140" s="41">
        <f>IF(N('Dvd Calendar'!$E$1927)=0,"",IF(('Dvd Calendar'!$E$1927&gt;=MIN(DATE(Summary!$C$12,1,1),Summary!$C$11))*('Dvd Calendar'!$E$1927&lt;=MAX(DATE(Summary!$C$12,12,31),Summary!$C$15))*('Dvd Calendar'!$E$1927&gt;Summary!$C$11)=0,"",'Dvd Calendar'!$E$1927*1000000000+ISNUMBER('Dvd Calendar'!$E$1928)*100000000+('Dvd Calendar'!$E$1932='Field Check'!$C$25)*10000000+(N('Dvd Calendar'!$E$1926)&gt;0)*1000000+28*1000+41))</f>
        <v/>
      </c>
      <c r="AR140" s="41">
        <f>IF(N('Dvd Calendar'!$F$1927)=0,"",IF(('Dvd Calendar'!$F$1927&gt;=MIN(DATE(Summary!$C$12,1,1),Summary!$C$11))*('Dvd Calendar'!$F$1927&lt;=MAX(DATE(Summary!$C$12,12,31),Summary!$C$15))*('Dvd Calendar'!$F$1927&gt;Summary!$C$11)=0,"",'Dvd Calendar'!$F$1927*1000000000+ISNUMBER('Dvd Calendar'!$F$1928)*100000000+('Dvd Calendar'!$F$1932='Field Check'!$C$25)*10000000+(N('Dvd Calendar'!$F$1926)&gt;0)*1000000+28*1000+42))</f>
        <v/>
      </c>
      <c r="AS140" s="41">
        <f>IF(N('Dvd Calendar'!$G$1927)=0,"",IF(('Dvd Calendar'!$G$1927&gt;=MIN(DATE(Summary!$C$12,1,1),Summary!$C$11))*('Dvd Calendar'!$G$1927&lt;=MAX(DATE(Summary!$C$12,12,31),Summary!$C$15))*('Dvd Calendar'!$G$1927&gt;Summary!$C$11)=0,"",'Dvd Calendar'!$G$1927*1000000000+ISNUMBER('Dvd Calendar'!$G$1928)*100000000+('Dvd Calendar'!$G$1932='Field Check'!$C$25)*10000000+(N('Dvd Calendar'!$G$1926)&gt;0)*1000000+28*1000+43))</f>
        <v/>
      </c>
      <c r="AT140" s="41">
        <f>IF(N('Dvd Calendar'!$H$1927)=0,"",IF(('Dvd Calendar'!$H$1927&gt;=MIN(DATE(Summary!$C$12,1,1),Summary!$C$11))*('Dvd Calendar'!$H$1927&lt;=MAX(DATE(Summary!$C$12,12,31),Summary!$C$15))*('Dvd Calendar'!$H$1927&gt;Summary!$C$11)=0,"",'Dvd Calendar'!$H$1927*1000000000+ISNUMBER('Dvd Calendar'!$H$1928)*100000000+('Dvd Calendar'!$H$1932='Field Check'!$C$25)*10000000+(N('Dvd Calendar'!$H$1926)&gt;0)*1000000+28*1000+44))</f>
        <v/>
      </c>
      <c r="AU140" s="41">
        <f>IF(N('Dvd Calendar'!$I$1927)=0,"",IF(('Dvd Calendar'!$I$1927&gt;=MIN(DATE(Summary!$C$12,1,1),Summary!$C$11))*('Dvd Calendar'!$I$1927&lt;=MAX(DATE(Summary!$C$12,12,31),Summary!$C$15))*('Dvd Calendar'!$I$1927&gt;Summary!$C$11)=0,"",'Dvd Calendar'!$I$1927*1000000000+ISNUMBER('Dvd Calendar'!$I$1928)*100000000+('Dvd Calendar'!$I$1932='Field Check'!$C$25)*10000000+(N('Dvd Calendar'!$I$1926)&gt;0)*1000000+28*1000+45))</f>
        <v/>
      </c>
      <c r="AV140" s="41">
        <f>IF(N('Dvd Calendar'!$J$1927)=0,"",IF(('Dvd Calendar'!$J$1927&gt;=MIN(DATE(Summary!$C$12,1,1),Summary!$C$11))*('Dvd Calendar'!$J$1927&lt;=MAX(DATE(Summary!$C$12,12,31),Summary!$C$15))*('Dvd Calendar'!$J$1927&gt;Summary!$C$11)=0,"",'Dvd Calendar'!$J$1927*1000000000+ISNUMBER('Dvd Calendar'!$J$1928)*100000000+('Dvd Calendar'!$J$1932='Field Check'!$C$25)*10000000+(N('Dvd Calendar'!$J$1926)&gt;0)*1000000+28*1000+46))</f>
        <v/>
      </c>
      <c r="AW140" s="41">
        <f>IF(N('Dvd Calendar'!$K$1927)=0,"",IF(('Dvd Calendar'!$K$1927&gt;=MIN(DATE(Summary!$C$12,1,1),Summary!$C$11))*('Dvd Calendar'!$K$1927&lt;=MAX(DATE(Summary!$C$12,12,31),Summary!$C$15))*('Dvd Calendar'!$K$1927&gt;Summary!$C$11)=0,"",'Dvd Calendar'!$K$1927*1000000000+ISNUMBER('Dvd Calendar'!$K$1928)*100000000+('Dvd Calendar'!$K$1932='Field Check'!$C$25)*10000000+(N('Dvd Calendar'!$K$1926)&gt;0)*1000000+28*1000+47))</f>
        <v/>
      </c>
      <c r="AX140" s="41">
        <f>IF(N('Dvd Calendar'!$L$1927)=0,"",IF(('Dvd Calendar'!$L$1927&gt;=MIN(DATE(Summary!$C$12,1,1),Summary!$C$11))*('Dvd Calendar'!$L$1927&lt;=MAX(DATE(Summary!$C$12,12,31),Summary!$C$15))*('Dvd Calendar'!$L$1927&gt;Summary!$C$11)=0,"",'Dvd Calendar'!$L$1927*1000000000+ISNUMBER('Dvd Calendar'!$L$1928)*100000000+('Dvd Calendar'!$L$1932='Field Check'!$C$25)*10000000+(N('Dvd Calendar'!$L$1926)&gt;0)*1000000+28*1000+48))</f>
        <v/>
      </c>
      <c r="AY140" s="41">
        <f>IF(N('Dvd Calendar'!$M$1927)=0,"",IF(('Dvd Calendar'!$M$1927&gt;=MIN(DATE(Summary!$C$12,1,1),Summary!$C$11))*('Dvd Calendar'!$M$1927&lt;=MAX(DATE(Summary!$C$12,12,31),Summary!$C$15))*('Dvd Calendar'!$M$1927&gt;Summary!$C$11)=0,"",'Dvd Calendar'!$M$1927*1000000000+ISNUMBER('Dvd Calendar'!$M$1928)*100000000+('Dvd Calendar'!$M$1932='Field Check'!$C$25)*10000000+(N('Dvd Calendar'!$M$1926)&gt;0)*1000000+28*1000+49))</f>
        <v/>
      </c>
      <c r="AZ140" s="41">
        <f>IF(N('Dvd Calendar'!$N$1927)=0,"",IF(('Dvd Calendar'!$N$1927&gt;=MIN(DATE(Summary!$C$12,1,1),Summary!$C$11))*('Dvd Calendar'!$N$1927&lt;=MAX(DATE(Summary!$C$12,12,31),Summary!$C$15))*('Dvd Calendar'!$N$1927&gt;Summary!$C$11)=0,"",'Dvd Calendar'!$N$1927*1000000000+ISNUMBER('Dvd Calendar'!$N$1928)*100000000+('Dvd Calendar'!$N$1932='Field Check'!$C$25)*10000000+(N('Dvd Calendar'!$N$1926)&gt;0)*1000000+28*1000+50))</f>
        <v/>
      </c>
      <c r="BA140" s="41">
        <f>IF(N('Dvd Calendar'!$O$1927)=0,"",IF(('Dvd Calendar'!$O$1927&gt;=MIN(DATE(Summary!$C$12,1,1),Summary!$C$11))*('Dvd Calendar'!$O$1927&lt;=MAX(DATE(Summary!$C$12,12,31),Summary!$C$15))*('Dvd Calendar'!$O$1927&gt;Summary!$C$11)=0,"",'Dvd Calendar'!$O$1927*1000000000+ISNUMBER('Dvd Calendar'!$O$1928)*100000000+('Dvd Calendar'!$O$1932='Field Check'!$C$25)*10000000+(N('Dvd Calendar'!$O$1926)&gt;0)*1000000+28*1000+51))</f>
        <v/>
      </c>
      <c r="BB140" s="41">
        <f>IF(N('Dvd Calendar'!$P$1927)=0,"",IF(('Dvd Calendar'!$P$1927&gt;=MIN(DATE(Summary!$C$12,1,1),Summary!$C$11))*('Dvd Calendar'!$P$1927&lt;=MAX(DATE(Summary!$C$12,12,31),Summary!$C$15))*('Dvd Calendar'!$P$1927&gt;Summary!$C$11)=0,"",'Dvd Calendar'!$P$1927*1000000000+ISNUMBER('Dvd Calendar'!$P$1928)*100000000+('Dvd Calendar'!$P$1932='Field Check'!$C$25)*10000000+(N('Dvd Calendar'!$P$1926)&gt;0)*1000000+28*1000+52))</f>
        <v/>
      </c>
      <c r="BC140" s="41">
        <f>IF(N('Dvd Calendar'!$Q$1927)=0,"",IF(('Dvd Calendar'!$Q$1927&gt;=MIN(DATE(Summary!$C$12,1,1),Summary!$C$11))*('Dvd Calendar'!$Q$1927&lt;=MAX(DATE(Summary!$C$12,12,31),Summary!$C$15))*('Dvd Calendar'!$Q$1927&gt;Summary!$C$11)=0,"",'Dvd Calendar'!$Q$1927*1000000000+ISNUMBER('Dvd Calendar'!$Q$1928)*100000000+('Dvd Calendar'!$Q$1932='Field Check'!$C$25)*10000000+(N('Dvd Calendar'!$Q$1926)&gt;0)*1000000+28*1000+53))</f>
        <v/>
      </c>
      <c r="BD140" s="41">
        <f>IF(N('Dvd Calendar'!$R$1927)=0,"",IF(('Dvd Calendar'!$R$1927&gt;=MIN(DATE(Summary!$C$12,1,1),Summary!$C$11))*('Dvd Calendar'!$R$1927&lt;=MAX(DATE(Summary!$C$12,12,31),Summary!$C$15))*('Dvd Calendar'!$R$1927&gt;Summary!$C$11)=0,"",'Dvd Calendar'!$R$1927*1000000000+ISNUMBER('Dvd Calendar'!$R$1928)*100000000+('Dvd Calendar'!$R$1932='Field Check'!$C$25)*10000000+(N('Dvd Calendar'!$R$1926)&gt;0)*1000000+28*1000+54))</f>
        <v/>
      </c>
      <c r="BE140" s="41">
        <f>IF(N('Dvd Calendar'!$S$1927)=0,"",IF(('Dvd Calendar'!$S$1927&gt;=MIN(DATE(Summary!$C$12,1,1),Summary!$C$11))*('Dvd Calendar'!$S$1927&lt;=MAX(DATE(Summary!$C$12,12,31),Summary!$C$15))*('Dvd Calendar'!$S$1927&gt;Summary!$C$11)=0,"",'Dvd Calendar'!$S$1927*1000000000+ISNUMBER('Dvd Calendar'!$S$1928)*100000000+('Dvd Calendar'!$S$1932='Field Check'!$C$25)*10000000+(N('Dvd Calendar'!$S$1926)&gt;0)*1000000+28*1000+55))</f>
        <v/>
      </c>
      <c r="BF140" s="41">
        <f>IF(N('Dvd Calendar'!$T$1927)=0,"",IF(('Dvd Calendar'!$T$1927&gt;=MIN(DATE(Summary!$C$12,1,1),Summary!$C$11))*('Dvd Calendar'!$T$1927&lt;=MAX(DATE(Summary!$C$12,12,31),Summary!$C$15))*('Dvd Calendar'!$T$1927&gt;Summary!$C$11)=0,"",'Dvd Calendar'!$T$1927*1000000000+ISNUMBER('Dvd Calendar'!$T$1928)*100000000+('Dvd Calendar'!$T$1932='Field Check'!$C$25)*10000000+(N('Dvd Calendar'!$T$1926)&gt;0)*1000000+28*1000+56))</f>
        <v/>
      </c>
      <c r="BG140" s="41">
        <f>IF(N('Dvd Calendar'!$U$1927)=0,"",IF(('Dvd Calendar'!$U$1927&gt;=MIN(DATE(Summary!$C$12,1,1),Summary!$C$11))*('Dvd Calendar'!$U$1927&lt;=MAX(DATE(Summary!$C$12,12,31),Summary!$C$15))*('Dvd Calendar'!$U$1927&gt;Summary!$C$11)=0,"",'Dvd Calendar'!$U$1927*1000000000+ISNUMBER('Dvd Calendar'!$U$1928)*100000000+('Dvd Calendar'!$U$1932='Field Check'!$C$25)*10000000+(N('Dvd Calendar'!$U$1926)&gt;0)*1000000+28*1000+57))</f>
        <v/>
      </c>
      <c r="BH140" s="41">
        <f>IF(N('Dvd Calendar'!$V$1927)=0,"",IF(('Dvd Calendar'!$V$1927&gt;=MIN(DATE(Summary!$C$12,1,1),Summary!$C$11))*('Dvd Calendar'!$V$1927&lt;=MAX(DATE(Summary!$C$12,12,31),Summary!$C$15))*('Dvd Calendar'!$V$1927&gt;Summary!$C$11)=0,"",'Dvd Calendar'!$V$1927*1000000000+ISNUMBER('Dvd Calendar'!$V$1928)*100000000+('Dvd Calendar'!$V$1932='Field Check'!$C$25)*10000000+(N('Dvd Calendar'!$V$1926)&gt;0)*1000000+28*1000+58))</f>
        <v/>
      </c>
      <c r="BI140" s="41">
        <f>IF(N('Dvd Calendar'!$W$1927)=0,"",IF(('Dvd Calendar'!$W$1927&gt;=MIN(DATE(Summary!$C$12,1,1),Summary!$C$11))*('Dvd Calendar'!$W$1927&lt;=MAX(DATE(Summary!$C$12,12,31),Summary!$C$15))*('Dvd Calendar'!$W$1927&gt;Summary!$C$11)=0,"",'Dvd Calendar'!$W$1927*1000000000+ISNUMBER('Dvd Calendar'!$W$1928)*100000000+('Dvd Calendar'!$W$1932='Field Check'!$C$25)*10000000+(N('Dvd Calendar'!$W$1926)&gt;0)*1000000+28*1000+59))</f>
        <v/>
      </c>
      <c r="BJ140" s="41">
        <f>IF(N('Dvd Calendar'!$X$1927)=0,"",IF(('Dvd Calendar'!$X$1927&gt;=MIN(DATE(Summary!$C$12,1,1),Summary!$C$11))*('Dvd Calendar'!$X$1927&lt;=MAX(DATE(Summary!$C$12,12,31),Summary!$C$15))*('Dvd Calendar'!$X$1927&gt;Summary!$C$11)=0,"",'Dvd Calendar'!$X$1927*1000000000+ISNUMBER('Dvd Calendar'!$X$1928)*100000000+('Dvd Calendar'!$X$1932='Field Check'!$C$25)*10000000+(N('Dvd Calendar'!$X$1926)&gt;0)*1000000+28*1000+60))</f>
        <v/>
      </c>
      <c r="BK140" s="41">
        <f>IF(N('Dvd Calendar'!$Y$1927)=0,"",IF(('Dvd Calendar'!$Y$1927&gt;=MIN(DATE(Summary!$C$12,1,1),Summary!$C$11))*('Dvd Calendar'!$Y$1927&lt;=MAX(DATE(Summary!$C$12,12,31),Summary!$C$15))*('Dvd Calendar'!$Y$1927&gt;Summary!$C$11)=0,"",'Dvd Calendar'!$Y$1927*1000000000+ISNUMBER('Dvd Calendar'!$Y$1928)*100000000+('Dvd Calendar'!$Y$1932='Field Check'!$C$25)*10000000+(N('Dvd Calendar'!$Y$1926)&gt;0)*1000000+28*1000+61))</f>
        <v/>
      </c>
      <c r="BL140" s="41">
        <f>IF(N('Dvd Calendar'!$Z$1927)=0,"",IF(('Dvd Calendar'!$Z$1927&gt;=MIN(DATE(Summary!$C$12,1,1),Summary!$C$11))*('Dvd Calendar'!$Z$1927&lt;=MAX(DATE(Summary!$C$12,12,31),Summary!$C$15))*('Dvd Calendar'!$Z$1927&gt;Summary!$C$11)=0,"",'Dvd Calendar'!$Z$1927*1000000000+ISNUMBER('Dvd Calendar'!$Z$1928)*100000000+('Dvd Calendar'!$Z$1932='Field Check'!$C$25)*10000000+(N('Dvd Calendar'!$Z$1926)&gt;0)*1000000+28*1000+62))</f>
        <v/>
      </c>
      <c r="BM140" s="41">
        <f>IF(N('Dvd Calendar'!$AA$1927)=0,"",IF(('Dvd Calendar'!$AA$1927&gt;=MIN(DATE(Summary!$C$12,1,1),Summary!$C$11))*('Dvd Calendar'!$AA$1927&lt;=MAX(DATE(Summary!$C$12,12,31),Summary!$C$15))*('Dvd Calendar'!$AA$1927&gt;Summary!$C$11)=0,"",'Dvd Calendar'!$AA$1927*1000000000+ISNUMBER('Dvd Calendar'!$AA$1928)*100000000+('Dvd Calendar'!$AA$1932='Field Check'!$C$25)*10000000+(N('Dvd Calendar'!$AA$1926)&gt;0)*1000000+28*1000+63))</f>
        <v/>
      </c>
      <c r="BN140" s="41">
        <f>IF(N('Dvd Calendar'!$AB$1927)=0,"",IF(('Dvd Calendar'!$AB$1927&gt;=MIN(DATE(Summary!$C$12,1,1),Summary!$C$11))*('Dvd Calendar'!$AB$1927&lt;=MAX(DATE(Summary!$C$12,12,31),Summary!$C$15))*('Dvd Calendar'!$AB$1927&gt;Summary!$C$11)=0,"",'Dvd Calendar'!$AB$1927*1000000000+ISNUMBER('Dvd Calendar'!$AB$1928)*100000000+('Dvd Calendar'!$AB$1932='Field Check'!$C$25)*10000000+(N('Dvd Calendar'!$AB$1926)&gt;0)*1000000+28*1000+64))</f>
        <v/>
      </c>
      <c r="BO140" s="41">
        <f>IF(N('Dvd Calendar'!$AC$1927)=0,"",IF(('Dvd Calendar'!$AC$1927&gt;=MIN(DATE(Summary!$C$12,1,1),Summary!$C$11))*('Dvd Calendar'!$AC$1927&lt;=MAX(DATE(Summary!$C$12,12,31),Summary!$C$15))*('Dvd Calendar'!$AC$1927&gt;Summary!$C$11)=0,"",'Dvd Calendar'!$AC$1927*1000000000+ISNUMBER('Dvd Calendar'!$AC$1928)*100000000+('Dvd Calendar'!$AC$1932='Field Check'!$C$25)*10000000+(N('Dvd Calendar'!$AC$1926)&gt;0)*1000000+28*1000+65))</f>
        <v/>
      </c>
      <c r="BQ140" s="85">
        <f>IF(C140="","",IF(ISNUMBER('Dvd Calendar'!$E$1921)=FALSE,"",IF((Summary!$C$13="N")*('Dvd Calendar'!$E$1925='Field Check'!$C$25)&gt;0,"",'Dvd Calendar'!$E$1921)))</f>
        <v/>
      </c>
      <c r="BR140" s="85">
        <f>IF(D140="","",IF(ISNUMBER('Dvd Calendar'!$F$1921)=FALSE,"",IF((Summary!$C$13="N")*('Dvd Calendar'!$F$1925='Field Check'!$C$25)&gt;0,"",'Dvd Calendar'!$F$1921)))</f>
        <v/>
      </c>
      <c r="BS140" s="85">
        <f>IF(E140="","",IF(ISNUMBER('Dvd Calendar'!$G$1921)=FALSE,"",IF((Summary!$C$13="N")*('Dvd Calendar'!$G$1925='Field Check'!$C$25)&gt;0,"",'Dvd Calendar'!$G$1921)))</f>
        <v/>
      </c>
      <c r="BT140" s="85">
        <f>IF(F140="","",IF(ISNUMBER('Dvd Calendar'!$H$1921)=FALSE,"",IF((Summary!$C$13="N")*('Dvd Calendar'!$H$1925='Field Check'!$C$25)&gt;0,"",'Dvd Calendar'!$H$1921)))</f>
        <v/>
      </c>
      <c r="BU140" s="85">
        <f>IF(G140="","",IF(ISNUMBER('Dvd Calendar'!$I$1921)=FALSE,"",IF((Summary!$C$13="N")*('Dvd Calendar'!$I$1925='Field Check'!$C$25)&gt;0,"",'Dvd Calendar'!$I$1921)))</f>
        <v/>
      </c>
      <c r="BV140" s="85">
        <f>IF(H140="","",IF(ISNUMBER('Dvd Calendar'!$J$1921)=FALSE,"",IF((Summary!$C$13="N")*('Dvd Calendar'!$J$1925='Field Check'!$C$25)&gt;0,"",'Dvd Calendar'!$J$1921)))</f>
        <v/>
      </c>
      <c r="BW140" s="85">
        <f>IF(I140="","",IF(ISNUMBER('Dvd Calendar'!$K$1921)=FALSE,"",IF((Summary!$C$13="N")*('Dvd Calendar'!$K$1925='Field Check'!$C$25)&gt;0,"",'Dvd Calendar'!$K$1921)))</f>
        <v/>
      </c>
      <c r="BX140" s="85">
        <f>IF(J140="","",IF(ISNUMBER('Dvd Calendar'!$L$1921)=FALSE,"",IF((Summary!$C$13="N")*('Dvd Calendar'!$L$1925='Field Check'!$C$25)&gt;0,"",'Dvd Calendar'!$L$1921)))</f>
        <v/>
      </c>
      <c r="BY140" s="85">
        <f>IF(K140="","",IF(ISNUMBER('Dvd Calendar'!$M$1921)=FALSE,"",IF((Summary!$C$13="N")*('Dvd Calendar'!$M$1925='Field Check'!$C$25)&gt;0,"",'Dvd Calendar'!$M$1921)))</f>
        <v/>
      </c>
      <c r="BZ140" s="85">
        <f>IF(L140="","",IF(ISNUMBER('Dvd Calendar'!$N$1921)=FALSE,"",IF((Summary!$C$13="N")*('Dvd Calendar'!$N$1925='Field Check'!$C$25)&gt;0,"",'Dvd Calendar'!$N$1921)))</f>
        <v/>
      </c>
      <c r="CA140" s="85">
        <f>IF(M140="","",IF(ISNUMBER('Dvd Calendar'!$O$1921)=FALSE,"",IF((Summary!$C$13="N")*('Dvd Calendar'!$O$1925='Field Check'!$C$25)&gt;0,"",'Dvd Calendar'!$O$1921)))</f>
        <v/>
      </c>
      <c r="CB140" s="85">
        <f>IF(N140="","",IF(ISNUMBER('Dvd Calendar'!$P$1921)=FALSE,"",IF((Summary!$C$13="N")*('Dvd Calendar'!$P$1925='Field Check'!$C$25)&gt;0,"",'Dvd Calendar'!$P$1921)))</f>
        <v/>
      </c>
      <c r="CC140" s="85">
        <f>IF(O140="","",IF(ISNUMBER('Dvd Calendar'!$Q$1921)=FALSE,"",IF((Summary!$C$13="N")*('Dvd Calendar'!$Q$1925='Field Check'!$C$25)&gt;0,"",'Dvd Calendar'!$Q$1921)))</f>
        <v/>
      </c>
      <c r="CD140" s="85">
        <f>IF(P140="","",IF(ISNUMBER('Dvd Calendar'!$R$1921)=FALSE,"",IF((Summary!$C$13="N")*('Dvd Calendar'!$R$1925='Field Check'!$C$25)&gt;0,"",'Dvd Calendar'!$R$1921)))</f>
        <v/>
      </c>
      <c r="CE140" s="85">
        <f>IF(Q140="","",IF(ISNUMBER('Dvd Calendar'!$S$1921)=FALSE,"",IF((Summary!$C$13="N")*('Dvd Calendar'!$S$1925='Field Check'!$C$25)&gt;0,"",'Dvd Calendar'!$S$1921)))</f>
        <v/>
      </c>
      <c r="CF140" s="85">
        <f>IF(R140="","",IF(ISNUMBER('Dvd Calendar'!$T$1921)=FALSE,"",IF((Summary!$C$13="N")*('Dvd Calendar'!$T$1925='Field Check'!$C$25)&gt;0,"",'Dvd Calendar'!$T$1921)))</f>
        <v/>
      </c>
      <c r="CG140" s="85">
        <f>IF(S140="","",IF(ISNUMBER('Dvd Calendar'!$U$1921)=FALSE,"",IF((Summary!$C$13="N")*('Dvd Calendar'!$U$1925='Field Check'!$C$25)&gt;0,"",'Dvd Calendar'!$U$1921)))</f>
        <v/>
      </c>
      <c r="CH140" s="85">
        <f>IF(T140="","",IF(ISNUMBER('Dvd Calendar'!$V$1921)=FALSE,"",IF((Summary!$C$13="N")*('Dvd Calendar'!$V$1925='Field Check'!$C$25)&gt;0,"",'Dvd Calendar'!$V$1921)))</f>
        <v/>
      </c>
      <c r="CI140" s="85">
        <f>IF(U140="","",IF(ISNUMBER('Dvd Calendar'!$W$1921)=FALSE,"",IF((Summary!$C$13="N")*('Dvd Calendar'!$W$1925='Field Check'!$C$25)&gt;0,"",'Dvd Calendar'!$W$1921)))</f>
        <v/>
      </c>
      <c r="CJ140" s="85">
        <f>IF(V140="","",IF(ISNUMBER('Dvd Calendar'!$X$1921)=FALSE,"",IF((Summary!$C$13="N")*('Dvd Calendar'!$X$1925='Field Check'!$C$25)&gt;0,"",'Dvd Calendar'!$X$1921)))</f>
        <v/>
      </c>
      <c r="CK140" s="85">
        <f>IF(W140="","",IF(ISNUMBER('Dvd Calendar'!$Y$1921)=FALSE,"",IF((Summary!$C$13="N")*('Dvd Calendar'!$Y$1925='Field Check'!$C$25)&gt;0,"",'Dvd Calendar'!$Y$1921)))</f>
        <v/>
      </c>
      <c r="CL140" s="85">
        <f>IF(X140="","",IF(ISNUMBER('Dvd Calendar'!$Z$1921)=FALSE,"",IF((Summary!$C$13="N")*('Dvd Calendar'!$Z$1925='Field Check'!$C$25)&gt;0,"",'Dvd Calendar'!$Z$1921)))</f>
        <v/>
      </c>
      <c r="CM140" s="85">
        <f>IF(Y140="","",IF(ISNUMBER('Dvd Calendar'!$AA$1921)=FALSE,"",IF((Summary!$C$13="N")*('Dvd Calendar'!$AA$1925='Field Check'!$C$25)&gt;0,"",'Dvd Calendar'!$AA$1921)))</f>
        <v/>
      </c>
      <c r="CN140" s="85">
        <f>IF(Z140="","",IF(ISNUMBER('Dvd Calendar'!$AB$1921)=FALSE,"",IF((Summary!$C$13="N")*('Dvd Calendar'!$AB$1925='Field Check'!$C$25)&gt;0,"",'Dvd Calendar'!$AB$1921)))</f>
        <v/>
      </c>
      <c r="CO140" s="85">
        <f>IF(AA140="","",IF(ISNUMBER('Dvd Calendar'!$AC$1921)=FALSE,"",IF((Summary!$C$13="N")*('Dvd Calendar'!$AC$1925='Field Check'!$C$25)&gt;0,"",'Dvd Calendar'!$AC$1921)))</f>
        <v/>
      </c>
      <c r="CP140" s="85">
        <f>IF(AB140="","",IF(ISNUMBER('Dvd Calendar'!$AD$1921)=FALSE,"",IF((Summary!$C$13="N")*('Dvd Calendar'!$AD$1925='Field Check'!$C$25)&gt;0,"",'Dvd Calendar'!$AD$1921)))</f>
        <v/>
      </c>
      <c r="CQ140" s="85">
        <f>IF(AC140="","",IF(ISNUMBER('Dvd Calendar'!$AE$1921)=FALSE,"",IF((Summary!$C$13="N")*('Dvd Calendar'!$AE$1925='Field Check'!$C$25)&gt;0,"",'Dvd Calendar'!$AE$1921)))</f>
        <v/>
      </c>
      <c r="CR140" s="85">
        <f>IF(AD140="","",IF(ISNUMBER('Dvd Calendar'!$AF$1921)=FALSE,"",IF((Summary!$C$13="N")*('Dvd Calendar'!$AF$1925='Field Check'!$C$25)&gt;0,"",'Dvd Calendar'!$AF$1921)))</f>
        <v/>
      </c>
      <c r="CS140" s="85">
        <f>IF(AE140="","",IF(ISNUMBER('Dvd Calendar'!$AG$1921)=FALSE,"",IF((Summary!$C$13="N")*('Dvd Calendar'!$AG$1925='Field Check'!$C$25)&gt;0,"",'Dvd Calendar'!$AG$1921)))</f>
        <v/>
      </c>
      <c r="CT140" s="85">
        <f>IF(AF140="","",IF(ISNUMBER('Dvd Calendar'!$AH$1921)=FALSE,"",IF((Summary!$C$13="N")*('Dvd Calendar'!$AH$1925='Field Check'!$C$25)&gt;0,"",'Dvd Calendar'!$AH$1921)))</f>
        <v/>
      </c>
      <c r="CU140" s="85">
        <f>IF(AG140="","",IF(ISNUMBER('Dvd Calendar'!$AI$1921)=FALSE,"",IF((Summary!$C$13="N")*('Dvd Calendar'!$AI$1925='Field Check'!$C$25)&gt;0,"",'Dvd Calendar'!$AI$1921)))</f>
        <v/>
      </c>
      <c r="CV140" s="85">
        <f>IF(AH140="","",IF(ISNUMBER('Dvd Calendar'!$AJ$1921)=FALSE,"",IF((Summary!$C$13="N")*('Dvd Calendar'!$AJ$1925='Field Check'!$C$25)&gt;0,"",'Dvd Calendar'!$AJ$1921)))</f>
        <v/>
      </c>
      <c r="CW140" s="85">
        <f>IF(AI140="","",IF(ISNUMBER('Dvd Calendar'!$AK$1921)=FALSE,"",IF((Summary!$C$13="N")*('Dvd Calendar'!$AK$1925='Field Check'!$C$25)&gt;0,"",'Dvd Calendar'!$AK$1921)))</f>
        <v/>
      </c>
      <c r="CX140" s="85">
        <f>IF(AJ140="","",IF(ISNUMBER('Dvd Calendar'!$AL$1921)=FALSE,"",IF((Summary!$C$13="N")*('Dvd Calendar'!$AL$1925='Field Check'!$C$25)&gt;0,"",'Dvd Calendar'!$AL$1921)))</f>
        <v/>
      </c>
      <c r="CY140" s="85">
        <f>IF(AK140="","",IF(ISNUMBER('Dvd Calendar'!$AM$1921)=FALSE,"",IF((Summary!$C$13="N")*('Dvd Calendar'!$AM$1925='Field Check'!$C$25)&gt;0,"",'Dvd Calendar'!$AM$1921)))</f>
        <v/>
      </c>
      <c r="CZ140" s="85">
        <f>IF(AL140="","",IF(ISNUMBER('Dvd Calendar'!$AN$1921)=FALSE,"",IF((Summary!$C$13="N")*('Dvd Calendar'!$AN$1925='Field Check'!$C$25)&gt;0,"",'Dvd Calendar'!$AN$1921)))</f>
        <v/>
      </c>
      <c r="DA140" s="85">
        <f>IF(AM140="","",IF(ISNUMBER('Dvd Calendar'!$AO$1921)=FALSE,"",IF((Summary!$C$13="N")*('Dvd Calendar'!$AO$1925='Field Check'!$C$25)&gt;0,"",'Dvd Calendar'!$AO$1921)))</f>
        <v/>
      </c>
      <c r="DB140" s="85">
        <f>IF(AN140="","",IF(ISNUMBER('Dvd Calendar'!$AP$1921)=FALSE,"",IF((Summary!$C$13="N")*('Dvd Calendar'!$AP$1925='Field Check'!$C$25)&gt;0,"",'Dvd Calendar'!$AP$1921)))</f>
        <v/>
      </c>
      <c r="DC140" s="85">
        <f>IF(AO140="","",IF(ISNUMBER('Dvd Calendar'!$AQ$1921)=FALSE,"",IF((Summary!$C$13="N")*('Dvd Calendar'!$AQ$1925='Field Check'!$C$25)&gt;0,"",'Dvd Calendar'!$AQ$1921)))</f>
        <v/>
      </c>
      <c r="DD140" s="85">
        <f>IF(AP140="","",IF(ISNUMBER('Dvd Calendar'!$AR$1921)=FALSE,"",IF((Summary!$C$13="N")*('Dvd Calendar'!$AR$1925='Field Check'!$C$25)&gt;0,"",'Dvd Calendar'!$AR$1921)))</f>
        <v/>
      </c>
      <c r="DE140" s="85">
        <f>IF(AQ140="","",IF(ISNUMBER('Dvd Calendar'!$E$1928)=FALSE,"",IF((Summary!$C$13="N")*('Dvd Calendar'!$E$1932='Field Check'!$C$25)&gt;0,"",'Dvd Calendar'!$E$1928)))</f>
        <v/>
      </c>
      <c r="DF140" s="85">
        <f>IF(AR140="","",IF(ISNUMBER('Dvd Calendar'!$F$1928)=FALSE,"",IF((Summary!$C$13="N")*('Dvd Calendar'!$F$1932='Field Check'!$C$25)&gt;0,"",'Dvd Calendar'!$F$1928)))</f>
        <v/>
      </c>
      <c r="DG140" s="85">
        <f>IF(AS140="","",IF(ISNUMBER('Dvd Calendar'!$G$1928)=FALSE,"",IF((Summary!$C$13="N")*('Dvd Calendar'!$G$1932='Field Check'!$C$25)&gt;0,"",'Dvd Calendar'!$G$1928)))</f>
        <v/>
      </c>
      <c r="DH140" s="85">
        <f>IF(AT140="","",IF(ISNUMBER('Dvd Calendar'!$H$1928)=FALSE,"",IF((Summary!$C$13="N")*('Dvd Calendar'!$H$1932='Field Check'!$C$25)&gt;0,"",'Dvd Calendar'!$H$1928)))</f>
        <v/>
      </c>
      <c r="DI140" s="85">
        <f>IF(AU140="","",IF(ISNUMBER('Dvd Calendar'!$I$1928)=FALSE,"",IF((Summary!$C$13="N")*('Dvd Calendar'!$I$1932='Field Check'!$C$25)&gt;0,"",'Dvd Calendar'!$I$1928)))</f>
        <v/>
      </c>
      <c r="DJ140" s="85">
        <f>IF(AV140="","",IF(ISNUMBER('Dvd Calendar'!$J$1928)=FALSE,"",IF((Summary!$C$13="N")*('Dvd Calendar'!$J$1932='Field Check'!$C$25)&gt;0,"",'Dvd Calendar'!$J$1928)))</f>
        <v/>
      </c>
      <c r="DK140" s="85">
        <f>IF(AW140="","",IF(ISNUMBER('Dvd Calendar'!$K$1928)=FALSE,"",IF((Summary!$C$13="N")*('Dvd Calendar'!$K$1932='Field Check'!$C$25)&gt;0,"",'Dvd Calendar'!$K$1928)))</f>
        <v/>
      </c>
      <c r="DL140" s="85">
        <f>IF(AX140="","",IF(ISNUMBER('Dvd Calendar'!$L$1928)=FALSE,"",IF((Summary!$C$13="N")*('Dvd Calendar'!$L$1932='Field Check'!$C$25)&gt;0,"",'Dvd Calendar'!$L$1928)))</f>
        <v/>
      </c>
      <c r="DM140" s="85">
        <f>IF(AY140="","",IF(ISNUMBER('Dvd Calendar'!$M$1928)=FALSE,"",IF((Summary!$C$13="N")*('Dvd Calendar'!$M$1932='Field Check'!$C$25)&gt;0,"",'Dvd Calendar'!$M$1928)))</f>
        <v/>
      </c>
      <c r="DN140" s="85">
        <f>IF(AZ140="","",IF(ISNUMBER('Dvd Calendar'!$N$1928)=FALSE,"",IF((Summary!$C$13="N")*('Dvd Calendar'!$N$1932='Field Check'!$C$25)&gt;0,"",'Dvd Calendar'!$N$1928)))</f>
        <v/>
      </c>
      <c r="DO140" s="85">
        <f>IF(BA140="","",IF(ISNUMBER('Dvd Calendar'!$O$1928)=FALSE,"",IF((Summary!$C$13="N")*('Dvd Calendar'!$O$1932='Field Check'!$C$25)&gt;0,"",'Dvd Calendar'!$O$1928)))</f>
        <v/>
      </c>
      <c r="DP140" s="85">
        <f>IF(BB140="","",IF(ISNUMBER('Dvd Calendar'!$P$1928)=FALSE,"",IF((Summary!$C$13="N")*('Dvd Calendar'!$P$1932='Field Check'!$C$25)&gt;0,"",'Dvd Calendar'!$P$1928)))</f>
        <v/>
      </c>
      <c r="DQ140" s="85">
        <f>IF(BC140="","",IF(ISNUMBER('Dvd Calendar'!$Q$1928)=FALSE,"",IF((Summary!$C$13="N")*('Dvd Calendar'!$Q$1932='Field Check'!$C$25)&gt;0,"",'Dvd Calendar'!$Q$1928)))</f>
        <v/>
      </c>
      <c r="DR140" s="85">
        <f>IF(BD140="","",IF(ISNUMBER('Dvd Calendar'!$R$1928)=FALSE,"",IF((Summary!$C$13="N")*('Dvd Calendar'!$R$1932='Field Check'!$C$25)&gt;0,"",'Dvd Calendar'!$R$1928)))</f>
        <v/>
      </c>
      <c r="DS140" s="85">
        <f>IF(BE140="","",IF(ISNUMBER('Dvd Calendar'!$S$1928)=FALSE,"",IF((Summary!$C$13="N")*('Dvd Calendar'!$S$1932='Field Check'!$C$25)&gt;0,"",'Dvd Calendar'!$S$1928)))</f>
        <v/>
      </c>
      <c r="DT140" s="85">
        <f>IF(BF140="","",IF(ISNUMBER('Dvd Calendar'!$T$1928)=FALSE,"",IF((Summary!$C$13="N")*('Dvd Calendar'!$T$1932='Field Check'!$C$25)&gt;0,"",'Dvd Calendar'!$T$1928)))</f>
        <v/>
      </c>
      <c r="DU140" s="85">
        <f>IF(BG140="","",IF(ISNUMBER('Dvd Calendar'!$U$1928)=FALSE,"",IF((Summary!$C$13="N")*('Dvd Calendar'!$U$1932='Field Check'!$C$25)&gt;0,"",'Dvd Calendar'!$U$1928)))</f>
        <v/>
      </c>
      <c r="DV140" s="85">
        <f>IF(BH140="","",IF(ISNUMBER('Dvd Calendar'!$V$1928)=FALSE,"",IF((Summary!$C$13="N")*('Dvd Calendar'!$V$1932='Field Check'!$C$25)&gt;0,"",'Dvd Calendar'!$V$1928)))</f>
        <v/>
      </c>
      <c r="DW140" s="85">
        <f>IF(BI140="","",IF(ISNUMBER('Dvd Calendar'!$W$1928)=FALSE,"",IF((Summary!$C$13="N")*('Dvd Calendar'!$W$1932='Field Check'!$C$25)&gt;0,"",'Dvd Calendar'!$W$1928)))</f>
        <v/>
      </c>
      <c r="DX140" s="85">
        <f>IF(BJ140="","",IF(ISNUMBER('Dvd Calendar'!$X$1928)=FALSE,"",IF((Summary!$C$13="N")*('Dvd Calendar'!$X$1932='Field Check'!$C$25)&gt;0,"",'Dvd Calendar'!$X$1928)))</f>
        <v/>
      </c>
      <c r="DY140" s="85">
        <f>IF(BK140="","",IF(ISNUMBER('Dvd Calendar'!$Y$1928)=FALSE,"",IF((Summary!$C$13="N")*('Dvd Calendar'!$Y$1932='Field Check'!$C$25)&gt;0,"",'Dvd Calendar'!$Y$1928)))</f>
        <v/>
      </c>
      <c r="DZ140" s="85">
        <f>IF(BL140="","",IF(ISNUMBER('Dvd Calendar'!$Z$1928)=FALSE,"",IF((Summary!$C$13="N")*('Dvd Calendar'!$Z$1932='Field Check'!$C$25)&gt;0,"",'Dvd Calendar'!$Z$1928)))</f>
        <v/>
      </c>
      <c r="EA140" s="85">
        <f>IF(BM140="","",IF(ISNUMBER('Dvd Calendar'!$AA$1928)=FALSE,"",IF((Summary!$C$13="N")*('Dvd Calendar'!$AA$1932='Field Check'!$C$25)&gt;0,"",'Dvd Calendar'!$AA$1928)))</f>
        <v/>
      </c>
      <c r="EB140" s="85">
        <f>IF(BN140="","",IF(ISNUMBER('Dvd Calendar'!$AB$1928)=FALSE,"",IF((Summary!$C$13="N")*('Dvd Calendar'!$AB$1932='Field Check'!$C$25)&gt;0,"",'Dvd Calendar'!$AB$1928)))</f>
        <v/>
      </c>
      <c r="EC140" s="85">
        <f>IF(BO140="","",IF(ISNUMBER('Dvd Calendar'!$AC$1928)=FALSE,"",IF((Summary!$C$13="N")*('Dvd Calendar'!$AC$1932='Field Check'!$C$25)&gt;0,"",'Dvd Calendar'!$AC$1928)))</f>
        <v/>
      </c>
      <c r="EE140" s="85">
        <f>IF(BQ140="","",IFERROR(BQ140*HSTECH!$B$34*HSTECH!$G$34/HSTECH!$B$3,""))</f>
        <v/>
      </c>
      <c r="EF140" s="85">
        <f>IF(BR140="","",IFERROR(BR140*HSTECH!$B$34*HSTECH!$G$34/HSTECH!$B$3,""))</f>
        <v/>
      </c>
      <c r="EG140" s="85">
        <f>IF(BS140="","",IFERROR(BS140*HSTECH!$B$34*HSTECH!$G$34/HSTECH!$B$3,""))</f>
        <v/>
      </c>
      <c r="EH140" s="85">
        <f>IF(BT140="","",IFERROR(BT140*HSTECH!$B$34*HSTECH!$G$34/HSTECH!$B$3,""))</f>
        <v/>
      </c>
      <c r="EI140" s="85">
        <f>IF(BU140="","",IFERROR(BU140*HSTECH!$B$34*HSTECH!$G$34/HSTECH!$B$3,""))</f>
        <v/>
      </c>
      <c r="EJ140" s="85">
        <f>IF(BV140="","",IFERROR(BV140*HSTECH!$B$34*HSTECH!$G$34/HSTECH!$B$3,""))</f>
        <v/>
      </c>
      <c r="EK140" s="85">
        <f>IF(BW140="","",IFERROR(BW140*HSTECH!$B$34*HSTECH!$G$34/HSTECH!$B$3,""))</f>
        <v/>
      </c>
      <c r="EL140" s="85">
        <f>IF(BX140="","",IFERROR(BX140*HSTECH!$B$34*HSTECH!$G$34/HSTECH!$B$3,""))</f>
        <v/>
      </c>
      <c r="EM140" s="85">
        <f>IF(BY140="","",IFERROR(BY140*HSTECH!$B$34*HSTECH!$G$34/HSTECH!$B$3,""))</f>
        <v/>
      </c>
      <c r="EN140" s="85">
        <f>IF(BZ140="","",IFERROR(BZ140*HSTECH!$B$34*HSTECH!$G$34/HSTECH!$B$3,""))</f>
        <v/>
      </c>
      <c r="EO140" s="85">
        <f>IF(CA140="","",IFERROR(CA140*HSTECH!$B$34*HSTECH!$G$34/HSTECH!$B$3,""))</f>
        <v/>
      </c>
      <c r="EP140" s="85">
        <f>IF(CB140="","",IFERROR(CB140*HSTECH!$B$34*HSTECH!$G$34/HSTECH!$B$3,""))</f>
        <v/>
      </c>
      <c r="EQ140" s="85">
        <f>IF(CC140="","",IFERROR(CC140*HSTECH!$B$34*HSTECH!$G$34/HSTECH!$B$3,""))</f>
        <v/>
      </c>
      <c r="ER140" s="85">
        <f>IF(CD140="","",IFERROR(CD140*HSTECH!$B$34*HSTECH!$G$34/HSTECH!$B$3,""))</f>
        <v/>
      </c>
      <c r="ES140" s="85">
        <f>IF(CE140="","",IFERROR(CE140*HSTECH!$B$34*HSTECH!$G$34/HSTECH!$B$3,""))</f>
        <v/>
      </c>
      <c r="ET140" s="85">
        <f>IF(CF140="","",IFERROR(CF140*HSTECH!$B$34*HSTECH!$G$34/HSTECH!$B$3,""))</f>
        <v/>
      </c>
      <c r="EU140" s="85">
        <f>IF(CG140="","",IFERROR(CG140*HSTECH!$B$34*HSTECH!$G$34/HSTECH!$B$3,""))</f>
        <v/>
      </c>
      <c r="EV140" s="85">
        <f>IF(CH140="","",IFERROR(CH140*HSTECH!$B$34*HSTECH!$G$34/HSTECH!$B$3,""))</f>
        <v/>
      </c>
      <c r="EW140" s="85">
        <f>IF(CI140="","",IFERROR(CI140*HSTECH!$B$34*HSTECH!$G$34/HSTECH!$B$3,""))</f>
        <v/>
      </c>
      <c r="EX140" s="85">
        <f>IF(CJ140="","",IFERROR(CJ140*HSTECH!$B$34*HSTECH!$G$34/HSTECH!$B$3,""))</f>
        <v/>
      </c>
      <c r="EY140" s="85">
        <f>IF(CK140="","",IFERROR(CK140*HSTECH!$B$34*HSTECH!$G$34/HSTECH!$B$3,""))</f>
        <v/>
      </c>
      <c r="EZ140" s="85">
        <f>IF(CL140="","",IFERROR(CL140*HSTECH!$B$34*HSTECH!$G$34/HSTECH!$B$3,""))</f>
        <v/>
      </c>
      <c r="FA140" s="85">
        <f>IF(CM140="","",IFERROR(CM140*HSTECH!$B$34*HSTECH!$G$34/HSTECH!$B$3,""))</f>
        <v/>
      </c>
      <c r="FB140" s="85">
        <f>IF(CN140="","",IFERROR(CN140*HSTECH!$B$34*HSTECH!$G$34/HSTECH!$B$3,""))</f>
        <v/>
      </c>
      <c r="FC140" s="85">
        <f>IF(CO140="","",IFERROR(CO140*HSTECH!$B$34*HSTECH!$G$34/HSTECH!$B$3,""))</f>
        <v/>
      </c>
      <c r="FD140" s="85">
        <f>IF(CP140="","",IFERROR(CP140*HSTECH!$B$34*HSTECH!$G$34/HSTECH!$B$3,""))</f>
        <v/>
      </c>
      <c r="FE140" s="85">
        <f>IF(CQ140="","",IFERROR(CQ140*HSTECH!$B$34*HSTECH!$G$34/HSTECH!$B$3,""))</f>
        <v/>
      </c>
      <c r="FF140" s="85">
        <f>IF(CR140="","",IFERROR(CR140*HSTECH!$B$34*HSTECH!$G$34/HSTECH!$B$3,""))</f>
        <v/>
      </c>
      <c r="FG140" s="85">
        <f>IF(CS140="","",IFERROR(CS140*HSTECH!$B$34*HSTECH!$G$34/HSTECH!$B$3,""))</f>
        <v/>
      </c>
      <c r="FH140" s="85">
        <f>IF(CT140="","",IFERROR(CT140*HSTECH!$B$34*HSTECH!$G$34/HSTECH!$B$3,""))</f>
        <v/>
      </c>
      <c r="FI140" s="85">
        <f>IF(CU140="","",IFERROR(CU140*HSTECH!$B$34*HSTECH!$G$34/HSTECH!$B$3,""))</f>
        <v/>
      </c>
      <c r="FJ140" s="85">
        <f>IF(CV140="","",IFERROR(CV140*HSTECH!$B$34*HSTECH!$G$34/HSTECH!$B$3,""))</f>
        <v/>
      </c>
      <c r="FK140" s="85">
        <f>IF(CW140="","",IFERROR(CW140*HSTECH!$B$34*HSTECH!$G$34/HSTECH!$B$3,""))</f>
        <v/>
      </c>
      <c r="FL140" s="85">
        <f>IF(CX140="","",IFERROR(CX140*HSTECH!$B$34*HSTECH!$G$34/HSTECH!$B$3,""))</f>
        <v/>
      </c>
      <c r="FM140" s="85">
        <f>IF(CY140="","",IFERROR(CY140*HSTECH!$B$34*HSTECH!$G$34/HSTECH!$B$3,""))</f>
        <v/>
      </c>
      <c r="FN140" s="85">
        <f>IF(CZ140="","",IFERROR(CZ140*HSTECH!$B$34*HSTECH!$G$34/HSTECH!$B$3,""))</f>
        <v/>
      </c>
      <c r="FO140" s="85">
        <f>IF(DA140="","",IFERROR(DA140*HSTECH!$B$34*HSTECH!$G$34/HSTECH!$B$3,""))</f>
        <v/>
      </c>
      <c r="FP140" s="85">
        <f>IF(DB140="","",IFERROR(DB140*HSTECH!$B$34*HSTECH!$G$34/HSTECH!$B$3,""))</f>
        <v/>
      </c>
      <c r="FQ140" s="85">
        <f>IF(DC140="","",IFERROR(DC140*HSTECH!$B$34*HSTECH!$G$34/HSTECH!$B$3,""))</f>
        <v/>
      </c>
      <c r="FR140" s="85">
        <f>IF(DD140="","",IFERROR(DD140*HSTECH!$B$34*HSTECH!$G$34/HSTECH!$B$3,""))</f>
        <v/>
      </c>
      <c r="FS140" s="85">
        <f>IF(DE140="","",IFERROR(DE140*HSTECH!$B$34*HSTECH!$G$34/HSTECH!$B$3,""))</f>
        <v/>
      </c>
      <c r="FT140" s="85">
        <f>IF(DF140="","",IFERROR(DF140*HSTECH!$B$34*HSTECH!$G$34/HSTECH!$B$3,""))</f>
        <v/>
      </c>
      <c r="FU140" s="85">
        <f>IF(DG140="","",IFERROR(DG140*HSTECH!$B$34*HSTECH!$G$34/HSTECH!$B$3,""))</f>
        <v/>
      </c>
      <c r="FV140" s="85">
        <f>IF(DH140="","",IFERROR(DH140*HSTECH!$B$34*HSTECH!$G$34/HSTECH!$B$3,""))</f>
        <v/>
      </c>
      <c r="FW140" s="85">
        <f>IF(DI140="","",IFERROR(DI140*HSTECH!$B$34*HSTECH!$G$34/HSTECH!$B$3,""))</f>
        <v/>
      </c>
      <c r="FX140" s="85">
        <f>IF(DJ140="","",IFERROR(DJ140*HSTECH!$B$34*HSTECH!$G$34/HSTECH!$B$3,""))</f>
        <v/>
      </c>
      <c r="FY140" s="85">
        <f>IF(DK140="","",IFERROR(DK140*HSTECH!$B$34*HSTECH!$G$34/HSTECH!$B$3,""))</f>
        <v/>
      </c>
      <c r="FZ140" s="85">
        <f>IF(DL140="","",IFERROR(DL140*HSTECH!$B$34*HSTECH!$G$34/HSTECH!$B$3,""))</f>
        <v/>
      </c>
      <c r="GA140" s="85">
        <f>IF(DM140="","",IFERROR(DM140*HSTECH!$B$34*HSTECH!$G$34/HSTECH!$B$3,""))</f>
        <v/>
      </c>
      <c r="GB140" s="85">
        <f>IF(DN140="","",IFERROR(DN140*HSTECH!$B$34*HSTECH!$G$34/HSTECH!$B$3,""))</f>
        <v/>
      </c>
      <c r="GC140" s="85">
        <f>IF(DO140="","",IFERROR(DO140*HSTECH!$B$34*HSTECH!$G$34/HSTECH!$B$3,""))</f>
        <v/>
      </c>
      <c r="GD140" s="85">
        <f>IF(DP140="","",IFERROR(DP140*HSTECH!$B$34*HSTECH!$G$34/HSTECH!$B$3,""))</f>
        <v/>
      </c>
      <c r="GE140" s="85">
        <f>IF(DQ140="","",IFERROR(DQ140*HSTECH!$B$34*HSTECH!$G$34/HSTECH!$B$3,""))</f>
        <v/>
      </c>
      <c r="GF140" s="85">
        <f>IF(DR140="","",IFERROR(DR140*HSTECH!$B$34*HSTECH!$G$34/HSTECH!$B$3,""))</f>
        <v/>
      </c>
      <c r="GG140" s="85">
        <f>IF(DS140="","",IFERROR(DS140*HSTECH!$B$34*HSTECH!$G$34/HSTECH!$B$3,""))</f>
        <v/>
      </c>
      <c r="GH140" s="85">
        <f>IF(DT140="","",IFERROR(DT140*HSTECH!$B$34*HSTECH!$G$34/HSTECH!$B$3,""))</f>
        <v/>
      </c>
      <c r="GI140" s="85">
        <f>IF(DU140="","",IFERROR(DU140*HSTECH!$B$34*HSTECH!$G$34/HSTECH!$B$3,""))</f>
        <v/>
      </c>
      <c r="GJ140" s="85">
        <f>IF(DV140="","",IFERROR(DV140*HSTECH!$B$34*HSTECH!$G$34/HSTECH!$B$3,""))</f>
        <v/>
      </c>
      <c r="GK140" s="85">
        <f>IF(DW140="","",IFERROR(DW140*HSTECH!$B$34*HSTECH!$G$34/HSTECH!$B$3,""))</f>
        <v/>
      </c>
      <c r="GL140" s="85">
        <f>IF(DX140="","",IFERROR(DX140*HSTECH!$B$34*HSTECH!$G$34/HSTECH!$B$3,""))</f>
        <v/>
      </c>
      <c r="GM140" s="85">
        <f>IF(DY140="","",IFERROR(DY140*HSTECH!$B$34*HSTECH!$G$34/HSTECH!$B$3,""))</f>
        <v/>
      </c>
      <c r="GN140" s="85">
        <f>IF(DZ140="","",IFERROR(DZ140*HSTECH!$B$34*HSTECH!$G$34/HSTECH!$B$3,""))</f>
        <v/>
      </c>
      <c r="GO140" s="85">
        <f>IF(EA140="","",IFERROR(EA140*HSTECH!$B$34*HSTECH!$G$34/HSTECH!$B$3,""))</f>
        <v/>
      </c>
      <c r="GP140" s="85">
        <f>IF(EB140="","",IFERROR(EB140*HSTECH!$B$34*HSTECH!$G$34/HSTECH!$B$3,""))</f>
        <v/>
      </c>
      <c r="GQ140" s="85">
        <f>IF(EC140="","",IFERROR(EC140*HSTECH!$B$34*HSTECH!$G$34/HSTECH!$B$3,""))</f>
        <v/>
      </c>
    </row>
    <row r="141">
      <c r="B141" s="2">
        <f>IF(HSTECH!$C$35="","",HSTECH!$C$35)</f>
        <v/>
      </c>
      <c r="C141" s="41">
        <f>IF(N('Dvd Calendar'!$E$1935)=0,"",IF(('Dvd Calendar'!$E$1935&gt;=MIN(DATE(Summary!$C$12,1,1),Summary!$C$11))*('Dvd Calendar'!$E$1935&lt;=MAX(DATE(Summary!$C$12,12,31),Summary!$C$15))*('Dvd Calendar'!$E$1935&lt;=Summary!$C$11)=0,"",'Dvd Calendar'!$E$1935*1000000000+ISNUMBER('Dvd Calendar'!$E$1936)*100000000+('Dvd Calendar'!$E$1940='Field Check'!$C$25)*10000000+(N('Dvd Calendar'!$E$1934)&gt;0)*1000000+29*1000+1))</f>
        <v/>
      </c>
      <c r="D141" s="41">
        <f>IF(N('Dvd Calendar'!$F$1935)=0,"",IF(('Dvd Calendar'!$F$1935&gt;=MIN(DATE(Summary!$C$12,1,1),Summary!$C$11))*('Dvd Calendar'!$F$1935&lt;=MAX(DATE(Summary!$C$12,12,31),Summary!$C$15))*('Dvd Calendar'!$F$1935&lt;=Summary!$C$11)=0,"",'Dvd Calendar'!$F$1935*1000000000+ISNUMBER('Dvd Calendar'!$F$1936)*100000000+('Dvd Calendar'!$F$1940='Field Check'!$C$25)*10000000+(N('Dvd Calendar'!$F$1934)&gt;0)*1000000+29*1000+2))</f>
        <v/>
      </c>
      <c r="E141" s="41">
        <f>IF(N('Dvd Calendar'!$G$1935)=0,"",IF(('Dvd Calendar'!$G$1935&gt;=MIN(DATE(Summary!$C$12,1,1),Summary!$C$11))*('Dvd Calendar'!$G$1935&lt;=MAX(DATE(Summary!$C$12,12,31),Summary!$C$15))*('Dvd Calendar'!$G$1935&lt;=Summary!$C$11)=0,"",'Dvd Calendar'!$G$1935*1000000000+ISNUMBER('Dvd Calendar'!$G$1936)*100000000+('Dvd Calendar'!$G$1940='Field Check'!$C$25)*10000000+(N('Dvd Calendar'!$G$1934)&gt;0)*1000000+29*1000+3))</f>
        <v/>
      </c>
      <c r="F141" s="41">
        <f>IF(N('Dvd Calendar'!$H$1935)=0,"",IF(('Dvd Calendar'!$H$1935&gt;=MIN(DATE(Summary!$C$12,1,1),Summary!$C$11))*('Dvd Calendar'!$H$1935&lt;=MAX(DATE(Summary!$C$12,12,31),Summary!$C$15))*('Dvd Calendar'!$H$1935&lt;=Summary!$C$11)=0,"",'Dvd Calendar'!$H$1935*1000000000+ISNUMBER('Dvd Calendar'!$H$1936)*100000000+('Dvd Calendar'!$H$1940='Field Check'!$C$25)*10000000+(N('Dvd Calendar'!$H$1934)&gt;0)*1000000+29*1000+4))</f>
        <v/>
      </c>
      <c r="G141" s="41">
        <f>IF(N('Dvd Calendar'!$I$1935)=0,"",IF(('Dvd Calendar'!$I$1935&gt;=MIN(DATE(Summary!$C$12,1,1),Summary!$C$11))*('Dvd Calendar'!$I$1935&lt;=MAX(DATE(Summary!$C$12,12,31),Summary!$C$15))*('Dvd Calendar'!$I$1935&lt;=Summary!$C$11)=0,"",'Dvd Calendar'!$I$1935*1000000000+ISNUMBER('Dvd Calendar'!$I$1936)*100000000+('Dvd Calendar'!$I$1940='Field Check'!$C$25)*10000000+(N('Dvd Calendar'!$I$1934)&gt;0)*1000000+29*1000+5))</f>
        <v/>
      </c>
      <c r="H141" s="41">
        <f>IF(N('Dvd Calendar'!$J$1935)=0,"",IF(('Dvd Calendar'!$J$1935&gt;=MIN(DATE(Summary!$C$12,1,1),Summary!$C$11))*('Dvd Calendar'!$J$1935&lt;=MAX(DATE(Summary!$C$12,12,31),Summary!$C$15))*('Dvd Calendar'!$J$1935&lt;=Summary!$C$11)=0,"",'Dvd Calendar'!$J$1935*1000000000+ISNUMBER('Dvd Calendar'!$J$1936)*100000000+('Dvd Calendar'!$J$1940='Field Check'!$C$25)*10000000+(N('Dvd Calendar'!$J$1934)&gt;0)*1000000+29*1000+6))</f>
        <v/>
      </c>
      <c r="I141" s="41">
        <f>IF(N('Dvd Calendar'!$K$1935)=0,"",IF(('Dvd Calendar'!$K$1935&gt;=MIN(DATE(Summary!$C$12,1,1),Summary!$C$11))*('Dvd Calendar'!$K$1935&lt;=MAX(DATE(Summary!$C$12,12,31),Summary!$C$15))*('Dvd Calendar'!$K$1935&lt;=Summary!$C$11)=0,"",'Dvd Calendar'!$K$1935*1000000000+ISNUMBER('Dvd Calendar'!$K$1936)*100000000+('Dvd Calendar'!$K$1940='Field Check'!$C$25)*10000000+(N('Dvd Calendar'!$K$1934)&gt;0)*1000000+29*1000+7))</f>
        <v/>
      </c>
      <c r="J141" s="41">
        <f>IF(N('Dvd Calendar'!$L$1935)=0,"",IF(('Dvd Calendar'!$L$1935&gt;=MIN(DATE(Summary!$C$12,1,1),Summary!$C$11))*('Dvd Calendar'!$L$1935&lt;=MAX(DATE(Summary!$C$12,12,31),Summary!$C$15))*('Dvd Calendar'!$L$1935&lt;=Summary!$C$11)=0,"",'Dvd Calendar'!$L$1935*1000000000+ISNUMBER('Dvd Calendar'!$L$1936)*100000000+('Dvd Calendar'!$L$1940='Field Check'!$C$25)*10000000+(N('Dvd Calendar'!$L$1934)&gt;0)*1000000+29*1000+8))</f>
        <v/>
      </c>
      <c r="K141" s="41">
        <f>IF(N('Dvd Calendar'!$M$1935)=0,"",IF(('Dvd Calendar'!$M$1935&gt;=MIN(DATE(Summary!$C$12,1,1),Summary!$C$11))*('Dvd Calendar'!$M$1935&lt;=MAX(DATE(Summary!$C$12,12,31),Summary!$C$15))*('Dvd Calendar'!$M$1935&lt;=Summary!$C$11)=0,"",'Dvd Calendar'!$M$1935*1000000000+ISNUMBER('Dvd Calendar'!$M$1936)*100000000+('Dvd Calendar'!$M$1940='Field Check'!$C$25)*10000000+(N('Dvd Calendar'!$M$1934)&gt;0)*1000000+29*1000+9))</f>
        <v/>
      </c>
      <c r="L141" s="41">
        <f>IF(N('Dvd Calendar'!$N$1935)=0,"",IF(('Dvd Calendar'!$N$1935&gt;=MIN(DATE(Summary!$C$12,1,1),Summary!$C$11))*('Dvd Calendar'!$N$1935&lt;=MAX(DATE(Summary!$C$12,12,31),Summary!$C$15))*('Dvd Calendar'!$N$1935&lt;=Summary!$C$11)=0,"",'Dvd Calendar'!$N$1935*1000000000+ISNUMBER('Dvd Calendar'!$N$1936)*100000000+('Dvd Calendar'!$N$1940='Field Check'!$C$25)*10000000+(N('Dvd Calendar'!$N$1934)&gt;0)*1000000+29*1000+10))</f>
        <v/>
      </c>
      <c r="M141" s="41">
        <f>IF(N('Dvd Calendar'!$O$1935)=0,"",IF(('Dvd Calendar'!$O$1935&gt;=MIN(DATE(Summary!$C$12,1,1),Summary!$C$11))*('Dvd Calendar'!$O$1935&lt;=MAX(DATE(Summary!$C$12,12,31),Summary!$C$15))*('Dvd Calendar'!$O$1935&lt;=Summary!$C$11)=0,"",'Dvd Calendar'!$O$1935*1000000000+ISNUMBER('Dvd Calendar'!$O$1936)*100000000+('Dvd Calendar'!$O$1940='Field Check'!$C$25)*10000000+(N('Dvd Calendar'!$O$1934)&gt;0)*1000000+29*1000+11))</f>
        <v/>
      </c>
      <c r="N141" s="41">
        <f>IF(N('Dvd Calendar'!$P$1935)=0,"",IF(('Dvd Calendar'!$P$1935&gt;=MIN(DATE(Summary!$C$12,1,1),Summary!$C$11))*('Dvd Calendar'!$P$1935&lt;=MAX(DATE(Summary!$C$12,12,31),Summary!$C$15))*('Dvd Calendar'!$P$1935&lt;=Summary!$C$11)=0,"",'Dvd Calendar'!$P$1935*1000000000+ISNUMBER('Dvd Calendar'!$P$1936)*100000000+('Dvd Calendar'!$P$1940='Field Check'!$C$25)*10000000+(N('Dvd Calendar'!$P$1934)&gt;0)*1000000+29*1000+12))</f>
        <v/>
      </c>
      <c r="O141" s="41">
        <f>IF(N('Dvd Calendar'!$Q$1935)=0,"",IF(('Dvd Calendar'!$Q$1935&gt;=MIN(DATE(Summary!$C$12,1,1),Summary!$C$11))*('Dvd Calendar'!$Q$1935&lt;=MAX(DATE(Summary!$C$12,12,31),Summary!$C$15))*('Dvd Calendar'!$Q$1935&lt;=Summary!$C$11)=0,"",'Dvd Calendar'!$Q$1935*1000000000+ISNUMBER('Dvd Calendar'!$Q$1936)*100000000+('Dvd Calendar'!$Q$1940='Field Check'!$C$25)*10000000+(N('Dvd Calendar'!$Q$1934)&gt;0)*1000000+29*1000+13))</f>
        <v/>
      </c>
      <c r="P141" s="41">
        <f>IF(N('Dvd Calendar'!$R$1935)=0,"",IF(('Dvd Calendar'!$R$1935&gt;=MIN(DATE(Summary!$C$12,1,1),Summary!$C$11))*('Dvd Calendar'!$R$1935&lt;=MAX(DATE(Summary!$C$12,12,31),Summary!$C$15))*('Dvd Calendar'!$R$1935&lt;=Summary!$C$11)=0,"",'Dvd Calendar'!$R$1935*1000000000+ISNUMBER('Dvd Calendar'!$R$1936)*100000000+('Dvd Calendar'!$R$1940='Field Check'!$C$25)*10000000+(N('Dvd Calendar'!$R$1934)&gt;0)*1000000+29*1000+14))</f>
        <v/>
      </c>
      <c r="Q141" s="41">
        <f>IF(N('Dvd Calendar'!$S$1935)=0,"",IF(('Dvd Calendar'!$S$1935&gt;=MIN(DATE(Summary!$C$12,1,1),Summary!$C$11))*('Dvd Calendar'!$S$1935&lt;=MAX(DATE(Summary!$C$12,12,31),Summary!$C$15))*('Dvd Calendar'!$S$1935&lt;=Summary!$C$11)=0,"",'Dvd Calendar'!$S$1935*1000000000+ISNUMBER('Dvd Calendar'!$S$1936)*100000000+('Dvd Calendar'!$S$1940='Field Check'!$C$25)*10000000+(N('Dvd Calendar'!$S$1934)&gt;0)*1000000+29*1000+15))</f>
        <v/>
      </c>
      <c r="R141" s="41">
        <f>IF(N('Dvd Calendar'!$T$1935)=0,"",IF(('Dvd Calendar'!$T$1935&gt;=MIN(DATE(Summary!$C$12,1,1),Summary!$C$11))*('Dvd Calendar'!$T$1935&lt;=MAX(DATE(Summary!$C$12,12,31),Summary!$C$15))*('Dvd Calendar'!$T$1935&lt;=Summary!$C$11)=0,"",'Dvd Calendar'!$T$1935*1000000000+ISNUMBER('Dvd Calendar'!$T$1936)*100000000+('Dvd Calendar'!$T$1940='Field Check'!$C$25)*10000000+(N('Dvd Calendar'!$T$1934)&gt;0)*1000000+29*1000+16))</f>
        <v/>
      </c>
      <c r="S141" s="41">
        <f>IF(N('Dvd Calendar'!$U$1935)=0,"",IF(('Dvd Calendar'!$U$1935&gt;=MIN(DATE(Summary!$C$12,1,1),Summary!$C$11))*('Dvd Calendar'!$U$1935&lt;=MAX(DATE(Summary!$C$12,12,31),Summary!$C$15))*('Dvd Calendar'!$U$1935&lt;=Summary!$C$11)=0,"",'Dvd Calendar'!$U$1935*1000000000+ISNUMBER('Dvd Calendar'!$U$1936)*100000000+('Dvd Calendar'!$U$1940='Field Check'!$C$25)*10000000+(N('Dvd Calendar'!$U$1934)&gt;0)*1000000+29*1000+17))</f>
        <v/>
      </c>
      <c r="T141" s="41">
        <f>IF(N('Dvd Calendar'!$V$1935)=0,"",IF(('Dvd Calendar'!$V$1935&gt;=MIN(DATE(Summary!$C$12,1,1),Summary!$C$11))*('Dvd Calendar'!$V$1935&lt;=MAX(DATE(Summary!$C$12,12,31),Summary!$C$15))*('Dvd Calendar'!$V$1935&lt;=Summary!$C$11)=0,"",'Dvd Calendar'!$V$1935*1000000000+ISNUMBER('Dvd Calendar'!$V$1936)*100000000+('Dvd Calendar'!$V$1940='Field Check'!$C$25)*10000000+(N('Dvd Calendar'!$V$1934)&gt;0)*1000000+29*1000+18))</f>
        <v/>
      </c>
      <c r="U141" s="41">
        <f>IF(N('Dvd Calendar'!$W$1935)=0,"",IF(('Dvd Calendar'!$W$1935&gt;=MIN(DATE(Summary!$C$12,1,1),Summary!$C$11))*('Dvd Calendar'!$W$1935&lt;=MAX(DATE(Summary!$C$12,12,31),Summary!$C$15))*('Dvd Calendar'!$W$1935&lt;=Summary!$C$11)=0,"",'Dvd Calendar'!$W$1935*1000000000+ISNUMBER('Dvd Calendar'!$W$1936)*100000000+('Dvd Calendar'!$W$1940='Field Check'!$C$25)*10000000+(N('Dvd Calendar'!$W$1934)&gt;0)*1000000+29*1000+19))</f>
        <v/>
      </c>
      <c r="V141" s="41">
        <f>IF(N('Dvd Calendar'!$X$1935)=0,"",IF(('Dvd Calendar'!$X$1935&gt;=MIN(DATE(Summary!$C$12,1,1),Summary!$C$11))*('Dvd Calendar'!$X$1935&lt;=MAX(DATE(Summary!$C$12,12,31),Summary!$C$15))*('Dvd Calendar'!$X$1935&lt;=Summary!$C$11)=0,"",'Dvd Calendar'!$X$1935*1000000000+ISNUMBER('Dvd Calendar'!$X$1936)*100000000+('Dvd Calendar'!$X$1940='Field Check'!$C$25)*10000000+(N('Dvd Calendar'!$X$1934)&gt;0)*1000000+29*1000+20))</f>
        <v/>
      </c>
      <c r="W141" s="41">
        <f>IF(N('Dvd Calendar'!$Y$1935)=0,"",IF(('Dvd Calendar'!$Y$1935&gt;=MIN(DATE(Summary!$C$12,1,1),Summary!$C$11))*('Dvd Calendar'!$Y$1935&lt;=MAX(DATE(Summary!$C$12,12,31),Summary!$C$15))*('Dvd Calendar'!$Y$1935&lt;=Summary!$C$11)=0,"",'Dvd Calendar'!$Y$1935*1000000000+ISNUMBER('Dvd Calendar'!$Y$1936)*100000000+('Dvd Calendar'!$Y$1940='Field Check'!$C$25)*10000000+(N('Dvd Calendar'!$Y$1934)&gt;0)*1000000+29*1000+21))</f>
        <v/>
      </c>
      <c r="X141" s="41">
        <f>IF(N('Dvd Calendar'!$Z$1935)=0,"",IF(('Dvd Calendar'!$Z$1935&gt;=MIN(DATE(Summary!$C$12,1,1),Summary!$C$11))*('Dvd Calendar'!$Z$1935&lt;=MAX(DATE(Summary!$C$12,12,31),Summary!$C$15))*('Dvd Calendar'!$Z$1935&lt;=Summary!$C$11)=0,"",'Dvd Calendar'!$Z$1935*1000000000+ISNUMBER('Dvd Calendar'!$Z$1936)*100000000+('Dvd Calendar'!$Z$1940='Field Check'!$C$25)*10000000+(N('Dvd Calendar'!$Z$1934)&gt;0)*1000000+29*1000+22))</f>
        <v/>
      </c>
      <c r="Y141" s="41">
        <f>IF(N('Dvd Calendar'!$AA$1935)=0,"",IF(('Dvd Calendar'!$AA$1935&gt;=MIN(DATE(Summary!$C$12,1,1),Summary!$C$11))*('Dvd Calendar'!$AA$1935&lt;=MAX(DATE(Summary!$C$12,12,31),Summary!$C$15))*('Dvd Calendar'!$AA$1935&lt;=Summary!$C$11)=0,"",'Dvd Calendar'!$AA$1935*1000000000+ISNUMBER('Dvd Calendar'!$AA$1936)*100000000+('Dvd Calendar'!$AA$1940='Field Check'!$C$25)*10000000+(N('Dvd Calendar'!$AA$1934)&gt;0)*1000000+29*1000+23))</f>
        <v/>
      </c>
      <c r="Z141" s="41">
        <f>IF(N('Dvd Calendar'!$AB$1935)=0,"",IF(('Dvd Calendar'!$AB$1935&gt;=MIN(DATE(Summary!$C$12,1,1),Summary!$C$11))*('Dvd Calendar'!$AB$1935&lt;=MAX(DATE(Summary!$C$12,12,31),Summary!$C$15))*('Dvd Calendar'!$AB$1935&lt;=Summary!$C$11)=0,"",'Dvd Calendar'!$AB$1935*1000000000+ISNUMBER('Dvd Calendar'!$AB$1936)*100000000+('Dvd Calendar'!$AB$1940='Field Check'!$C$25)*10000000+(N('Dvd Calendar'!$AB$1934)&gt;0)*1000000+29*1000+24))</f>
        <v/>
      </c>
      <c r="AA141" s="41">
        <f>IF(N('Dvd Calendar'!$AC$1935)=0,"",IF(('Dvd Calendar'!$AC$1935&gt;=MIN(DATE(Summary!$C$12,1,1),Summary!$C$11))*('Dvd Calendar'!$AC$1935&lt;=MAX(DATE(Summary!$C$12,12,31),Summary!$C$15))*('Dvd Calendar'!$AC$1935&lt;=Summary!$C$11)=0,"",'Dvd Calendar'!$AC$1935*1000000000+ISNUMBER('Dvd Calendar'!$AC$1936)*100000000+('Dvd Calendar'!$AC$1940='Field Check'!$C$25)*10000000+(N('Dvd Calendar'!$AC$1934)&gt;0)*1000000+29*1000+25))</f>
        <v/>
      </c>
      <c r="AB141" s="41">
        <f>IF(N('Dvd Calendar'!$AD$1935)=0,"",IF(('Dvd Calendar'!$AD$1935&gt;=MIN(DATE(Summary!$C$12,1,1),Summary!$C$11))*('Dvd Calendar'!$AD$1935&lt;=MAX(DATE(Summary!$C$12,12,31),Summary!$C$15))*('Dvd Calendar'!$AD$1935&lt;=Summary!$C$11)=0,"",'Dvd Calendar'!$AD$1935*1000000000+ISNUMBER('Dvd Calendar'!$AD$1936)*100000000+('Dvd Calendar'!$AD$1940='Field Check'!$C$25)*10000000+(N('Dvd Calendar'!$AD$1934)&gt;0)*1000000+29*1000+26))</f>
        <v/>
      </c>
      <c r="AC141" s="41">
        <f>IF(N('Dvd Calendar'!$AE$1935)=0,"",IF(('Dvd Calendar'!$AE$1935&gt;=MIN(DATE(Summary!$C$12,1,1),Summary!$C$11))*('Dvd Calendar'!$AE$1935&lt;=MAX(DATE(Summary!$C$12,12,31),Summary!$C$15))*('Dvd Calendar'!$AE$1935&lt;=Summary!$C$11)=0,"",'Dvd Calendar'!$AE$1935*1000000000+ISNUMBER('Dvd Calendar'!$AE$1936)*100000000+('Dvd Calendar'!$AE$1940='Field Check'!$C$25)*10000000+(N('Dvd Calendar'!$AE$1934)&gt;0)*1000000+29*1000+27))</f>
        <v/>
      </c>
      <c r="AD141" s="41">
        <f>IF(N('Dvd Calendar'!$AF$1935)=0,"",IF(('Dvd Calendar'!$AF$1935&gt;=MIN(DATE(Summary!$C$12,1,1),Summary!$C$11))*('Dvd Calendar'!$AF$1935&lt;=MAX(DATE(Summary!$C$12,12,31),Summary!$C$15))*('Dvd Calendar'!$AF$1935&lt;=Summary!$C$11)=0,"",'Dvd Calendar'!$AF$1935*1000000000+ISNUMBER('Dvd Calendar'!$AF$1936)*100000000+('Dvd Calendar'!$AF$1940='Field Check'!$C$25)*10000000+(N('Dvd Calendar'!$AF$1934)&gt;0)*1000000+29*1000+28))</f>
        <v/>
      </c>
      <c r="AE141" s="41">
        <f>IF(N('Dvd Calendar'!$AG$1935)=0,"",IF(('Dvd Calendar'!$AG$1935&gt;=MIN(DATE(Summary!$C$12,1,1),Summary!$C$11))*('Dvd Calendar'!$AG$1935&lt;=MAX(DATE(Summary!$C$12,12,31),Summary!$C$15))*('Dvd Calendar'!$AG$1935&lt;=Summary!$C$11)=0,"",'Dvd Calendar'!$AG$1935*1000000000+ISNUMBER('Dvd Calendar'!$AG$1936)*100000000+('Dvd Calendar'!$AG$1940='Field Check'!$C$25)*10000000+(N('Dvd Calendar'!$AG$1934)&gt;0)*1000000+29*1000+29))</f>
        <v/>
      </c>
      <c r="AF141" s="41">
        <f>IF(N('Dvd Calendar'!$AH$1935)=0,"",IF(('Dvd Calendar'!$AH$1935&gt;=MIN(DATE(Summary!$C$12,1,1),Summary!$C$11))*('Dvd Calendar'!$AH$1935&lt;=MAX(DATE(Summary!$C$12,12,31),Summary!$C$15))*('Dvd Calendar'!$AH$1935&lt;=Summary!$C$11)=0,"",'Dvd Calendar'!$AH$1935*1000000000+ISNUMBER('Dvd Calendar'!$AH$1936)*100000000+('Dvd Calendar'!$AH$1940='Field Check'!$C$25)*10000000+(N('Dvd Calendar'!$AH$1934)&gt;0)*1000000+29*1000+30))</f>
        <v/>
      </c>
      <c r="AG141" s="41">
        <f>IF(N('Dvd Calendar'!$AI$1935)=0,"",IF(('Dvd Calendar'!$AI$1935&gt;=MIN(DATE(Summary!$C$12,1,1),Summary!$C$11))*('Dvd Calendar'!$AI$1935&lt;=MAX(DATE(Summary!$C$12,12,31),Summary!$C$15))*('Dvd Calendar'!$AI$1935&lt;=Summary!$C$11)=0,"",'Dvd Calendar'!$AI$1935*1000000000+ISNUMBER('Dvd Calendar'!$AI$1936)*100000000+('Dvd Calendar'!$AI$1940='Field Check'!$C$25)*10000000+(N('Dvd Calendar'!$AI$1934)&gt;0)*1000000+29*1000+31))</f>
        <v/>
      </c>
      <c r="AH141" s="41">
        <f>IF(N('Dvd Calendar'!$AJ$1935)=0,"",IF(('Dvd Calendar'!$AJ$1935&gt;=MIN(DATE(Summary!$C$12,1,1),Summary!$C$11))*('Dvd Calendar'!$AJ$1935&lt;=MAX(DATE(Summary!$C$12,12,31),Summary!$C$15))*('Dvd Calendar'!$AJ$1935&lt;=Summary!$C$11)=0,"",'Dvd Calendar'!$AJ$1935*1000000000+ISNUMBER('Dvd Calendar'!$AJ$1936)*100000000+('Dvd Calendar'!$AJ$1940='Field Check'!$C$25)*10000000+(N('Dvd Calendar'!$AJ$1934)&gt;0)*1000000+29*1000+32))</f>
        <v/>
      </c>
      <c r="AI141" s="41">
        <f>IF(N('Dvd Calendar'!$AK$1935)=0,"",IF(('Dvd Calendar'!$AK$1935&gt;=MIN(DATE(Summary!$C$12,1,1),Summary!$C$11))*('Dvd Calendar'!$AK$1935&lt;=MAX(DATE(Summary!$C$12,12,31),Summary!$C$15))*('Dvd Calendar'!$AK$1935&lt;=Summary!$C$11)=0,"",'Dvd Calendar'!$AK$1935*1000000000+ISNUMBER('Dvd Calendar'!$AK$1936)*100000000+('Dvd Calendar'!$AK$1940='Field Check'!$C$25)*10000000+(N('Dvd Calendar'!$AK$1934)&gt;0)*1000000+29*1000+33))</f>
        <v/>
      </c>
      <c r="AJ141" s="41">
        <f>IF(N('Dvd Calendar'!$AL$1935)=0,"",IF(('Dvd Calendar'!$AL$1935&gt;=MIN(DATE(Summary!$C$12,1,1),Summary!$C$11))*('Dvd Calendar'!$AL$1935&lt;=MAX(DATE(Summary!$C$12,12,31),Summary!$C$15))*('Dvd Calendar'!$AL$1935&lt;=Summary!$C$11)=0,"",'Dvd Calendar'!$AL$1935*1000000000+ISNUMBER('Dvd Calendar'!$AL$1936)*100000000+('Dvd Calendar'!$AL$1940='Field Check'!$C$25)*10000000+(N('Dvd Calendar'!$AL$1934)&gt;0)*1000000+29*1000+34))</f>
        <v/>
      </c>
      <c r="AK141" s="41">
        <f>IF(N('Dvd Calendar'!$AM$1935)=0,"",IF(('Dvd Calendar'!$AM$1935&gt;=MIN(DATE(Summary!$C$12,1,1),Summary!$C$11))*('Dvd Calendar'!$AM$1935&lt;=MAX(DATE(Summary!$C$12,12,31),Summary!$C$15))*('Dvd Calendar'!$AM$1935&lt;=Summary!$C$11)=0,"",'Dvd Calendar'!$AM$1935*1000000000+ISNUMBER('Dvd Calendar'!$AM$1936)*100000000+('Dvd Calendar'!$AM$1940='Field Check'!$C$25)*10000000+(N('Dvd Calendar'!$AM$1934)&gt;0)*1000000+29*1000+35))</f>
        <v/>
      </c>
      <c r="AL141" s="41">
        <f>IF(N('Dvd Calendar'!$AN$1935)=0,"",IF(('Dvd Calendar'!$AN$1935&gt;=MIN(DATE(Summary!$C$12,1,1),Summary!$C$11))*('Dvd Calendar'!$AN$1935&lt;=MAX(DATE(Summary!$C$12,12,31),Summary!$C$15))*('Dvd Calendar'!$AN$1935&lt;=Summary!$C$11)=0,"",'Dvd Calendar'!$AN$1935*1000000000+ISNUMBER('Dvd Calendar'!$AN$1936)*100000000+('Dvd Calendar'!$AN$1940='Field Check'!$C$25)*10000000+(N('Dvd Calendar'!$AN$1934)&gt;0)*1000000+29*1000+36))</f>
        <v/>
      </c>
      <c r="AM141" s="41">
        <f>IF(N('Dvd Calendar'!$AO$1935)=0,"",IF(('Dvd Calendar'!$AO$1935&gt;=MIN(DATE(Summary!$C$12,1,1),Summary!$C$11))*('Dvd Calendar'!$AO$1935&lt;=MAX(DATE(Summary!$C$12,12,31),Summary!$C$15))*('Dvd Calendar'!$AO$1935&lt;=Summary!$C$11)=0,"",'Dvd Calendar'!$AO$1935*1000000000+ISNUMBER('Dvd Calendar'!$AO$1936)*100000000+('Dvd Calendar'!$AO$1940='Field Check'!$C$25)*10000000+(N('Dvd Calendar'!$AO$1934)&gt;0)*1000000+29*1000+37))</f>
        <v/>
      </c>
      <c r="AN141" s="41">
        <f>IF(N('Dvd Calendar'!$AP$1935)=0,"",IF(('Dvd Calendar'!$AP$1935&gt;=MIN(DATE(Summary!$C$12,1,1),Summary!$C$11))*('Dvd Calendar'!$AP$1935&lt;=MAX(DATE(Summary!$C$12,12,31),Summary!$C$15))*('Dvd Calendar'!$AP$1935&lt;=Summary!$C$11)=0,"",'Dvd Calendar'!$AP$1935*1000000000+ISNUMBER('Dvd Calendar'!$AP$1936)*100000000+('Dvd Calendar'!$AP$1940='Field Check'!$C$25)*10000000+(N('Dvd Calendar'!$AP$1934)&gt;0)*1000000+29*1000+38))</f>
        <v/>
      </c>
      <c r="AO141" s="41">
        <f>IF(N('Dvd Calendar'!$AQ$1935)=0,"",IF(('Dvd Calendar'!$AQ$1935&gt;=MIN(DATE(Summary!$C$12,1,1),Summary!$C$11))*('Dvd Calendar'!$AQ$1935&lt;=MAX(DATE(Summary!$C$12,12,31),Summary!$C$15))*('Dvd Calendar'!$AQ$1935&lt;=Summary!$C$11)=0,"",'Dvd Calendar'!$AQ$1935*1000000000+ISNUMBER('Dvd Calendar'!$AQ$1936)*100000000+('Dvd Calendar'!$AQ$1940='Field Check'!$C$25)*10000000+(N('Dvd Calendar'!$AQ$1934)&gt;0)*1000000+29*1000+39))</f>
        <v/>
      </c>
      <c r="AP141" s="41">
        <f>IF(N('Dvd Calendar'!$AR$1935)=0,"",IF(('Dvd Calendar'!$AR$1935&gt;=MIN(DATE(Summary!$C$12,1,1),Summary!$C$11))*('Dvd Calendar'!$AR$1935&lt;=MAX(DATE(Summary!$C$12,12,31),Summary!$C$15))*('Dvd Calendar'!$AR$1935&lt;=Summary!$C$11)=0,"",'Dvd Calendar'!$AR$1935*1000000000+ISNUMBER('Dvd Calendar'!$AR$1936)*100000000+('Dvd Calendar'!$AR$1940='Field Check'!$C$25)*10000000+(N('Dvd Calendar'!$AR$1934)&gt;0)*1000000+29*1000+40))</f>
        <v/>
      </c>
      <c r="AQ141" s="41">
        <f>IF(N('Dvd Calendar'!$E$1942)=0,"",IF(('Dvd Calendar'!$E$1942&gt;=MIN(DATE(Summary!$C$12,1,1),Summary!$C$11))*('Dvd Calendar'!$E$1942&lt;=MAX(DATE(Summary!$C$12,12,31),Summary!$C$15))*('Dvd Calendar'!$E$1942&gt;Summary!$C$11)=0,"",'Dvd Calendar'!$E$1942*1000000000+ISNUMBER('Dvd Calendar'!$E$1943)*100000000+('Dvd Calendar'!$E$1947='Field Check'!$C$25)*10000000+(N('Dvd Calendar'!$E$1941)&gt;0)*1000000+29*1000+41))</f>
        <v/>
      </c>
      <c r="AR141" s="41">
        <f>IF(N('Dvd Calendar'!$F$1942)=0,"",IF(('Dvd Calendar'!$F$1942&gt;=MIN(DATE(Summary!$C$12,1,1),Summary!$C$11))*('Dvd Calendar'!$F$1942&lt;=MAX(DATE(Summary!$C$12,12,31),Summary!$C$15))*('Dvd Calendar'!$F$1942&gt;Summary!$C$11)=0,"",'Dvd Calendar'!$F$1942*1000000000+ISNUMBER('Dvd Calendar'!$F$1943)*100000000+('Dvd Calendar'!$F$1947='Field Check'!$C$25)*10000000+(N('Dvd Calendar'!$F$1941)&gt;0)*1000000+29*1000+42))</f>
        <v/>
      </c>
      <c r="AS141" s="41">
        <f>IF(N('Dvd Calendar'!$G$1942)=0,"",IF(('Dvd Calendar'!$G$1942&gt;=MIN(DATE(Summary!$C$12,1,1),Summary!$C$11))*('Dvd Calendar'!$G$1942&lt;=MAX(DATE(Summary!$C$12,12,31),Summary!$C$15))*('Dvd Calendar'!$G$1942&gt;Summary!$C$11)=0,"",'Dvd Calendar'!$G$1942*1000000000+ISNUMBER('Dvd Calendar'!$G$1943)*100000000+('Dvd Calendar'!$G$1947='Field Check'!$C$25)*10000000+(N('Dvd Calendar'!$G$1941)&gt;0)*1000000+29*1000+43))</f>
        <v/>
      </c>
      <c r="AT141" s="41">
        <f>IF(N('Dvd Calendar'!$H$1942)=0,"",IF(('Dvd Calendar'!$H$1942&gt;=MIN(DATE(Summary!$C$12,1,1),Summary!$C$11))*('Dvd Calendar'!$H$1942&lt;=MAX(DATE(Summary!$C$12,12,31),Summary!$C$15))*('Dvd Calendar'!$H$1942&gt;Summary!$C$11)=0,"",'Dvd Calendar'!$H$1942*1000000000+ISNUMBER('Dvd Calendar'!$H$1943)*100000000+('Dvd Calendar'!$H$1947='Field Check'!$C$25)*10000000+(N('Dvd Calendar'!$H$1941)&gt;0)*1000000+29*1000+44))</f>
        <v/>
      </c>
      <c r="AU141" s="41">
        <f>IF(N('Dvd Calendar'!$I$1942)=0,"",IF(('Dvd Calendar'!$I$1942&gt;=MIN(DATE(Summary!$C$12,1,1),Summary!$C$11))*('Dvd Calendar'!$I$1942&lt;=MAX(DATE(Summary!$C$12,12,31),Summary!$C$15))*('Dvd Calendar'!$I$1942&gt;Summary!$C$11)=0,"",'Dvd Calendar'!$I$1942*1000000000+ISNUMBER('Dvd Calendar'!$I$1943)*100000000+('Dvd Calendar'!$I$1947='Field Check'!$C$25)*10000000+(N('Dvd Calendar'!$I$1941)&gt;0)*1000000+29*1000+45))</f>
        <v/>
      </c>
      <c r="AV141" s="41">
        <f>IF(N('Dvd Calendar'!$J$1942)=0,"",IF(('Dvd Calendar'!$J$1942&gt;=MIN(DATE(Summary!$C$12,1,1),Summary!$C$11))*('Dvd Calendar'!$J$1942&lt;=MAX(DATE(Summary!$C$12,12,31),Summary!$C$15))*('Dvd Calendar'!$J$1942&gt;Summary!$C$11)=0,"",'Dvd Calendar'!$J$1942*1000000000+ISNUMBER('Dvd Calendar'!$J$1943)*100000000+('Dvd Calendar'!$J$1947='Field Check'!$C$25)*10000000+(N('Dvd Calendar'!$J$1941)&gt;0)*1000000+29*1000+46))</f>
        <v/>
      </c>
      <c r="AW141" s="41">
        <f>IF(N('Dvd Calendar'!$K$1942)=0,"",IF(('Dvd Calendar'!$K$1942&gt;=MIN(DATE(Summary!$C$12,1,1),Summary!$C$11))*('Dvd Calendar'!$K$1942&lt;=MAX(DATE(Summary!$C$12,12,31),Summary!$C$15))*('Dvd Calendar'!$K$1942&gt;Summary!$C$11)=0,"",'Dvd Calendar'!$K$1942*1000000000+ISNUMBER('Dvd Calendar'!$K$1943)*100000000+('Dvd Calendar'!$K$1947='Field Check'!$C$25)*10000000+(N('Dvd Calendar'!$K$1941)&gt;0)*1000000+29*1000+47))</f>
        <v/>
      </c>
      <c r="AX141" s="41">
        <f>IF(N('Dvd Calendar'!$L$1942)=0,"",IF(('Dvd Calendar'!$L$1942&gt;=MIN(DATE(Summary!$C$12,1,1),Summary!$C$11))*('Dvd Calendar'!$L$1942&lt;=MAX(DATE(Summary!$C$12,12,31),Summary!$C$15))*('Dvd Calendar'!$L$1942&gt;Summary!$C$11)=0,"",'Dvd Calendar'!$L$1942*1000000000+ISNUMBER('Dvd Calendar'!$L$1943)*100000000+('Dvd Calendar'!$L$1947='Field Check'!$C$25)*10000000+(N('Dvd Calendar'!$L$1941)&gt;0)*1000000+29*1000+48))</f>
        <v/>
      </c>
      <c r="AY141" s="41">
        <f>IF(N('Dvd Calendar'!$M$1942)=0,"",IF(('Dvd Calendar'!$M$1942&gt;=MIN(DATE(Summary!$C$12,1,1),Summary!$C$11))*('Dvd Calendar'!$M$1942&lt;=MAX(DATE(Summary!$C$12,12,31),Summary!$C$15))*('Dvd Calendar'!$M$1942&gt;Summary!$C$11)=0,"",'Dvd Calendar'!$M$1942*1000000000+ISNUMBER('Dvd Calendar'!$M$1943)*100000000+('Dvd Calendar'!$M$1947='Field Check'!$C$25)*10000000+(N('Dvd Calendar'!$M$1941)&gt;0)*1000000+29*1000+49))</f>
        <v/>
      </c>
      <c r="AZ141" s="41">
        <f>IF(N('Dvd Calendar'!$N$1942)=0,"",IF(('Dvd Calendar'!$N$1942&gt;=MIN(DATE(Summary!$C$12,1,1),Summary!$C$11))*('Dvd Calendar'!$N$1942&lt;=MAX(DATE(Summary!$C$12,12,31),Summary!$C$15))*('Dvd Calendar'!$N$1942&gt;Summary!$C$11)=0,"",'Dvd Calendar'!$N$1942*1000000000+ISNUMBER('Dvd Calendar'!$N$1943)*100000000+('Dvd Calendar'!$N$1947='Field Check'!$C$25)*10000000+(N('Dvd Calendar'!$N$1941)&gt;0)*1000000+29*1000+50))</f>
        <v/>
      </c>
      <c r="BA141" s="41">
        <f>IF(N('Dvd Calendar'!$O$1942)=0,"",IF(('Dvd Calendar'!$O$1942&gt;=MIN(DATE(Summary!$C$12,1,1),Summary!$C$11))*('Dvd Calendar'!$O$1942&lt;=MAX(DATE(Summary!$C$12,12,31),Summary!$C$15))*('Dvd Calendar'!$O$1942&gt;Summary!$C$11)=0,"",'Dvd Calendar'!$O$1942*1000000000+ISNUMBER('Dvd Calendar'!$O$1943)*100000000+('Dvd Calendar'!$O$1947='Field Check'!$C$25)*10000000+(N('Dvd Calendar'!$O$1941)&gt;0)*1000000+29*1000+51))</f>
        <v/>
      </c>
      <c r="BB141" s="41">
        <f>IF(N('Dvd Calendar'!$P$1942)=0,"",IF(('Dvd Calendar'!$P$1942&gt;=MIN(DATE(Summary!$C$12,1,1),Summary!$C$11))*('Dvd Calendar'!$P$1942&lt;=MAX(DATE(Summary!$C$12,12,31),Summary!$C$15))*('Dvd Calendar'!$P$1942&gt;Summary!$C$11)=0,"",'Dvd Calendar'!$P$1942*1000000000+ISNUMBER('Dvd Calendar'!$P$1943)*100000000+('Dvd Calendar'!$P$1947='Field Check'!$C$25)*10000000+(N('Dvd Calendar'!$P$1941)&gt;0)*1000000+29*1000+52))</f>
        <v/>
      </c>
      <c r="BC141" s="41">
        <f>IF(N('Dvd Calendar'!$Q$1942)=0,"",IF(('Dvd Calendar'!$Q$1942&gt;=MIN(DATE(Summary!$C$12,1,1),Summary!$C$11))*('Dvd Calendar'!$Q$1942&lt;=MAX(DATE(Summary!$C$12,12,31),Summary!$C$15))*('Dvd Calendar'!$Q$1942&gt;Summary!$C$11)=0,"",'Dvd Calendar'!$Q$1942*1000000000+ISNUMBER('Dvd Calendar'!$Q$1943)*100000000+('Dvd Calendar'!$Q$1947='Field Check'!$C$25)*10000000+(N('Dvd Calendar'!$Q$1941)&gt;0)*1000000+29*1000+53))</f>
        <v/>
      </c>
      <c r="BD141" s="41">
        <f>IF(N('Dvd Calendar'!$R$1942)=0,"",IF(('Dvd Calendar'!$R$1942&gt;=MIN(DATE(Summary!$C$12,1,1),Summary!$C$11))*('Dvd Calendar'!$R$1942&lt;=MAX(DATE(Summary!$C$12,12,31),Summary!$C$15))*('Dvd Calendar'!$R$1942&gt;Summary!$C$11)=0,"",'Dvd Calendar'!$R$1942*1000000000+ISNUMBER('Dvd Calendar'!$R$1943)*100000000+('Dvd Calendar'!$R$1947='Field Check'!$C$25)*10000000+(N('Dvd Calendar'!$R$1941)&gt;0)*1000000+29*1000+54))</f>
        <v/>
      </c>
      <c r="BE141" s="41">
        <f>IF(N('Dvd Calendar'!$S$1942)=0,"",IF(('Dvd Calendar'!$S$1942&gt;=MIN(DATE(Summary!$C$12,1,1),Summary!$C$11))*('Dvd Calendar'!$S$1942&lt;=MAX(DATE(Summary!$C$12,12,31),Summary!$C$15))*('Dvd Calendar'!$S$1942&gt;Summary!$C$11)=0,"",'Dvd Calendar'!$S$1942*1000000000+ISNUMBER('Dvd Calendar'!$S$1943)*100000000+('Dvd Calendar'!$S$1947='Field Check'!$C$25)*10000000+(N('Dvd Calendar'!$S$1941)&gt;0)*1000000+29*1000+55))</f>
        <v/>
      </c>
      <c r="BF141" s="41">
        <f>IF(N('Dvd Calendar'!$T$1942)=0,"",IF(('Dvd Calendar'!$T$1942&gt;=MIN(DATE(Summary!$C$12,1,1),Summary!$C$11))*('Dvd Calendar'!$T$1942&lt;=MAX(DATE(Summary!$C$12,12,31),Summary!$C$15))*('Dvd Calendar'!$T$1942&gt;Summary!$C$11)=0,"",'Dvd Calendar'!$T$1942*1000000000+ISNUMBER('Dvd Calendar'!$T$1943)*100000000+('Dvd Calendar'!$T$1947='Field Check'!$C$25)*10000000+(N('Dvd Calendar'!$T$1941)&gt;0)*1000000+29*1000+56))</f>
        <v/>
      </c>
      <c r="BG141" s="41">
        <f>IF(N('Dvd Calendar'!$U$1942)=0,"",IF(('Dvd Calendar'!$U$1942&gt;=MIN(DATE(Summary!$C$12,1,1),Summary!$C$11))*('Dvd Calendar'!$U$1942&lt;=MAX(DATE(Summary!$C$12,12,31),Summary!$C$15))*('Dvd Calendar'!$U$1942&gt;Summary!$C$11)=0,"",'Dvd Calendar'!$U$1942*1000000000+ISNUMBER('Dvd Calendar'!$U$1943)*100000000+('Dvd Calendar'!$U$1947='Field Check'!$C$25)*10000000+(N('Dvd Calendar'!$U$1941)&gt;0)*1000000+29*1000+57))</f>
        <v/>
      </c>
      <c r="BH141" s="41">
        <f>IF(N('Dvd Calendar'!$V$1942)=0,"",IF(('Dvd Calendar'!$V$1942&gt;=MIN(DATE(Summary!$C$12,1,1),Summary!$C$11))*('Dvd Calendar'!$V$1942&lt;=MAX(DATE(Summary!$C$12,12,31),Summary!$C$15))*('Dvd Calendar'!$V$1942&gt;Summary!$C$11)=0,"",'Dvd Calendar'!$V$1942*1000000000+ISNUMBER('Dvd Calendar'!$V$1943)*100000000+('Dvd Calendar'!$V$1947='Field Check'!$C$25)*10000000+(N('Dvd Calendar'!$V$1941)&gt;0)*1000000+29*1000+58))</f>
        <v/>
      </c>
      <c r="BI141" s="41">
        <f>IF(N('Dvd Calendar'!$W$1942)=0,"",IF(('Dvd Calendar'!$W$1942&gt;=MIN(DATE(Summary!$C$12,1,1),Summary!$C$11))*('Dvd Calendar'!$W$1942&lt;=MAX(DATE(Summary!$C$12,12,31),Summary!$C$15))*('Dvd Calendar'!$W$1942&gt;Summary!$C$11)=0,"",'Dvd Calendar'!$W$1942*1000000000+ISNUMBER('Dvd Calendar'!$W$1943)*100000000+('Dvd Calendar'!$W$1947='Field Check'!$C$25)*10000000+(N('Dvd Calendar'!$W$1941)&gt;0)*1000000+29*1000+59))</f>
        <v/>
      </c>
      <c r="BJ141" s="41">
        <f>IF(N('Dvd Calendar'!$X$1942)=0,"",IF(('Dvd Calendar'!$X$1942&gt;=MIN(DATE(Summary!$C$12,1,1),Summary!$C$11))*('Dvd Calendar'!$X$1942&lt;=MAX(DATE(Summary!$C$12,12,31),Summary!$C$15))*('Dvd Calendar'!$X$1942&gt;Summary!$C$11)=0,"",'Dvd Calendar'!$X$1942*1000000000+ISNUMBER('Dvd Calendar'!$X$1943)*100000000+('Dvd Calendar'!$X$1947='Field Check'!$C$25)*10000000+(N('Dvd Calendar'!$X$1941)&gt;0)*1000000+29*1000+60))</f>
        <v/>
      </c>
      <c r="BK141" s="41">
        <f>IF(N('Dvd Calendar'!$Y$1942)=0,"",IF(('Dvd Calendar'!$Y$1942&gt;=MIN(DATE(Summary!$C$12,1,1),Summary!$C$11))*('Dvd Calendar'!$Y$1942&lt;=MAX(DATE(Summary!$C$12,12,31),Summary!$C$15))*('Dvd Calendar'!$Y$1942&gt;Summary!$C$11)=0,"",'Dvd Calendar'!$Y$1942*1000000000+ISNUMBER('Dvd Calendar'!$Y$1943)*100000000+('Dvd Calendar'!$Y$1947='Field Check'!$C$25)*10000000+(N('Dvd Calendar'!$Y$1941)&gt;0)*1000000+29*1000+61))</f>
        <v/>
      </c>
      <c r="BL141" s="41">
        <f>IF(N('Dvd Calendar'!$Z$1942)=0,"",IF(('Dvd Calendar'!$Z$1942&gt;=MIN(DATE(Summary!$C$12,1,1),Summary!$C$11))*('Dvd Calendar'!$Z$1942&lt;=MAX(DATE(Summary!$C$12,12,31),Summary!$C$15))*('Dvd Calendar'!$Z$1942&gt;Summary!$C$11)=0,"",'Dvd Calendar'!$Z$1942*1000000000+ISNUMBER('Dvd Calendar'!$Z$1943)*100000000+('Dvd Calendar'!$Z$1947='Field Check'!$C$25)*10000000+(N('Dvd Calendar'!$Z$1941)&gt;0)*1000000+29*1000+62))</f>
        <v/>
      </c>
      <c r="BM141" s="41">
        <f>IF(N('Dvd Calendar'!$AA$1942)=0,"",IF(('Dvd Calendar'!$AA$1942&gt;=MIN(DATE(Summary!$C$12,1,1),Summary!$C$11))*('Dvd Calendar'!$AA$1942&lt;=MAX(DATE(Summary!$C$12,12,31),Summary!$C$15))*('Dvd Calendar'!$AA$1942&gt;Summary!$C$11)=0,"",'Dvd Calendar'!$AA$1942*1000000000+ISNUMBER('Dvd Calendar'!$AA$1943)*100000000+('Dvd Calendar'!$AA$1947='Field Check'!$C$25)*10000000+(N('Dvd Calendar'!$AA$1941)&gt;0)*1000000+29*1000+63))</f>
        <v/>
      </c>
      <c r="BN141" s="41">
        <f>IF(N('Dvd Calendar'!$AB$1942)=0,"",IF(('Dvd Calendar'!$AB$1942&gt;=MIN(DATE(Summary!$C$12,1,1),Summary!$C$11))*('Dvd Calendar'!$AB$1942&lt;=MAX(DATE(Summary!$C$12,12,31),Summary!$C$15))*('Dvd Calendar'!$AB$1942&gt;Summary!$C$11)=0,"",'Dvd Calendar'!$AB$1942*1000000000+ISNUMBER('Dvd Calendar'!$AB$1943)*100000000+('Dvd Calendar'!$AB$1947='Field Check'!$C$25)*10000000+(N('Dvd Calendar'!$AB$1941)&gt;0)*1000000+29*1000+64))</f>
        <v/>
      </c>
      <c r="BO141" s="41">
        <f>IF(N('Dvd Calendar'!$AC$1942)=0,"",IF(('Dvd Calendar'!$AC$1942&gt;=MIN(DATE(Summary!$C$12,1,1),Summary!$C$11))*('Dvd Calendar'!$AC$1942&lt;=MAX(DATE(Summary!$C$12,12,31),Summary!$C$15))*('Dvd Calendar'!$AC$1942&gt;Summary!$C$11)=0,"",'Dvd Calendar'!$AC$1942*1000000000+ISNUMBER('Dvd Calendar'!$AC$1943)*100000000+('Dvd Calendar'!$AC$1947='Field Check'!$C$25)*10000000+(N('Dvd Calendar'!$AC$1941)&gt;0)*1000000+29*1000+65))</f>
        <v/>
      </c>
      <c r="BQ141" s="85">
        <f>IF(C141="","",IF(ISNUMBER('Dvd Calendar'!$E$1936)=FALSE,"",IF((Summary!$C$13="N")*('Dvd Calendar'!$E$1940='Field Check'!$C$25)&gt;0,"",'Dvd Calendar'!$E$1936)))</f>
        <v/>
      </c>
      <c r="BR141" s="85">
        <f>IF(D141="","",IF(ISNUMBER('Dvd Calendar'!$F$1936)=FALSE,"",IF((Summary!$C$13="N")*('Dvd Calendar'!$F$1940='Field Check'!$C$25)&gt;0,"",'Dvd Calendar'!$F$1936)))</f>
        <v/>
      </c>
      <c r="BS141" s="85">
        <f>IF(E141="","",IF(ISNUMBER('Dvd Calendar'!$G$1936)=FALSE,"",IF((Summary!$C$13="N")*('Dvd Calendar'!$G$1940='Field Check'!$C$25)&gt;0,"",'Dvd Calendar'!$G$1936)))</f>
        <v/>
      </c>
      <c r="BT141" s="85">
        <f>IF(F141="","",IF(ISNUMBER('Dvd Calendar'!$H$1936)=FALSE,"",IF((Summary!$C$13="N")*('Dvd Calendar'!$H$1940='Field Check'!$C$25)&gt;0,"",'Dvd Calendar'!$H$1936)))</f>
        <v/>
      </c>
      <c r="BU141" s="85">
        <f>IF(G141="","",IF(ISNUMBER('Dvd Calendar'!$I$1936)=FALSE,"",IF((Summary!$C$13="N")*('Dvd Calendar'!$I$1940='Field Check'!$C$25)&gt;0,"",'Dvd Calendar'!$I$1936)))</f>
        <v/>
      </c>
      <c r="BV141" s="85">
        <f>IF(H141="","",IF(ISNUMBER('Dvd Calendar'!$J$1936)=FALSE,"",IF((Summary!$C$13="N")*('Dvd Calendar'!$J$1940='Field Check'!$C$25)&gt;0,"",'Dvd Calendar'!$J$1936)))</f>
        <v/>
      </c>
      <c r="BW141" s="85">
        <f>IF(I141="","",IF(ISNUMBER('Dvd Calendar'!$K$1936)=FALSE,"",IF((Summary!$C$13="N")*('Dvd Calendar'!$K$1940='Field Check'!$C$25)&gt;0,"",'Dvd Calendar'!$K$1936)))</f>
        <v/>
      </c>
      <c r="BX141" s="85">
        <f>IF(J141="","",IF(ISNUMBER('Dvd Calendar'!$L$1936)=FALSE,"",IF((Summary!$C$13="N")*('Dvd Calendar'!$L$1940='Field Check'!$C$25)&gt;0,"",'Dvd Calendar'!$L$1936)))</f>
        <v/>
      </c>
      <c r="BY141" s="85">
        <f>IF(K141="","",IF(ISNUMBER('Dvd Calendar'!$M$1936)=FALSE,"",IF((Summary!$C$13="N")*('Dvd Calendar'!$M$1940='Field Check'!$C$25)&gt;0,"",'Dvd Calendar'!$M$1936)))</f>
        <v/>
      </c>
      <c r="BZ141" s="85">
        <f>IF(L141="","",IF(ISNUMBER('Dvd Calendar'!$N$1936)=FALSE,"",IF((Summary!$C$13="N")*('Dvd Calendar'!$N$1940='Field Check'!$C$25)&gt;0,"",'Dvd Calendar'!$N$1936)))</f>
        <v/>
      </c>
      <c r="CA141" s="85">
        <f>IF(M141="","",IF(ISNUMBER('Dvd Calendar'!$O$1936)=FALSE,"",IF((Summary!$C$13="N")*('Dvd Calendar'!$O$1940='Field Check'!$C$25)&gt;0,"",'Dvd Calendar'!$O$1936)))</f>
        <v/>
      </c>
      <c r="CB141" s="85">
        <f>IF(N141="","",IF(ISNUMBER('Dvd Calendar'!$P$1936)=FALSE,"",IF((Summary!$C$13="N")*('Dvd Calendar'!$P$1940='Field Check'!$C$25)&gt;0,"",'Dvd Calendar'!$P$1936)))</f>
        <v/>
      </c>
      <c r="CC141" s="85">
        <f>IF(O141="","",IF(ISNUMBER('Dvd Calendar'!$Q$1936)=FALSE,"",IF((Summary!$C$13="N")*('Dvd Calendar'!$Q$1940='Field Check'!$C$25)&gt;0,"",'Dvd Calendar'!$Q$1936)))</f>
        <v/>
      </c>
      <c r="CD141" s="85">
        <f>IF(P141="","",IF(ISNUMBER('Dvd Calendar'!$R$1936)=FALSE,"",IF((Summary!$C$13="N")*('Dvd Calendar'!$R$1940='Field Check'!$C$25)&gt;0,"",'Dvd Calendar'!$R$1936)))</f>
        <v/>
      </c>
      <c r="CE141" s="85">
        <f>IF(Q141="","",IF(ISNUMBER('Dvd Calendar'!$S$1936)=FALSE,"",IF((Summary!$C$13="N")*('Dvd Calendar'!$S$1940='Field Check'!$C$25)&gt;0,"",'Dvd Calendar'!$S$1936)))</f>
        <v/>
      </c>
      <c r="CF141" s="85">
        <f>IF(R141="","",IF(ISNUMBER('Dvd Calendar'!$T$1936)=FALSE,"",IF((Summary!$C$13="N")*('Dvd Calendar'!$T$1940='Field Check'!$C$25)&gt;0,"",'Dvd Calendar'!$T$1936)))</f>
        <v/>
      </c>
      <c r="CG141" s="85">
        <f>IF(S141="","",IF(ISNUMBER('Dvd Calendar'!$U$1936)=FALSE,"",IF((Summary!$C$13="N")*('Dvd Calendar'!$U$1940='Field Check'!$C$25)&gt;0,"",'Dvd Calendar'!$U$1936)))</f>
        <v/>
      </c>
      <c r="CH141" s="85">
        <f>IF(T141="","",IF(ISNUMBER('Dvd Calendar'!$V$1936)=FALSE,"",IF((Summary!$C$13="N")*('Dvd Calendar'!$V$1940='Field Check'!$C$25)&gt;0,"",'Dvd Calendar'!$V$1936)))</f>
        <v/>
      </c>
      <c r="CI141" s="85">
        <f>IF(U141="","",IF(ISNUMBER('Dvd Calendar'!$W$1936)=FALSE,"",IF((Summary!$C$13="N")*('Dvd Calendar'!$W$1940='Field Check'!$C$25)&gt;0,"",'Dvd Calendar'!$W$1936)))</f>
        <v/>
      </c>
      <c r="CJ141" s="85">
        <f>IF(V141="","",IF(ISNUMBER('Dvd Calendar'!$X$1936)=FALSE,"",IF((Summary!$C$13="N")*('Dvd Calendar'!$X$1940='Field Check'!$C$25)&gt;0,"",'Dvd Calendar'!$X$1936)))</f>
        <v/>
      </c>
      <c r="CK141" s="85">
        <f>IF(W141="","",IF(ISNUMBER('Dvd Calendar'!$Y$1936)=FALSE,"",IF((Summary!$C$13="N")*('Dvd Calendar'!$Y$1940='Field Check'!$C$25)&gt;0,"",'Dvd Calendar'!$Y$1936)))</f>
        <v/>
      </c>
      <c r="CL141" s="85">
        <f>IF(X141="","",IF(ISNUMBER('Dvd Calendar'!$Z$1936)=FALSE,"",IF((Summary!$C$13="N")*('Dvd Calendar'!$Z$1940='Field Check'!$C$25)&gt;0,"",'Dvd Calendar'!$Z$1936)))</f>
        <v/>
      </c>
      <c r="CM141" s="85">
        <f>IF(Y141="","",IF(ISNUMBER('Dvd Calendar'!$AA$1936)=FALSE,"",IF((Summary!$C$13="N")*('Dvd Calendar'!$AA$1940='Field Check'!$C$25)&gt;0,"",'Dvd Calendar'!$AA$1936)))</f>
        <v/>
      </c>
      <c r="CN141" s="85">
        <f>IF(Z141="","",IF(ISNUMBER('Dvd Calendar'!$AB$1936)=FALSE,"",IF((Summary!$C$13="N")*('Dvd Calendar'!$AB$1940='Field Check'!$C$25)&gt;0,"",'Dvd Calendar'!$AB$1936)))</f>
        <v/>
      </c>
      <c r="CO141" s="85">
        <f>IF(AA141="","",IF(ISNUMBER('Dvd Calendar'!$AC$1936)=FALSE,"",IF((Summary!$C$13="N")*('Dvd Calendar'!$AC$1940='Field Check'!$C$25)&gt;0,"",'Dvd Calendar'!$AC$1936)))</f>
        <v/>
      </c>
      <c r="CP141" s="85">
        <f>IF(AB141="","",IF(ISNUMBER('Dvd Calendar'!$AD$1936)=FALSE,"",IF((Summary!$C$13="N")*('Dvd Calendar'!$AD$1940='Field Check'!$C$25)&gt;0,"",'Dvd Calendar'!$AD$1936)))</f>
        <v/>
      </c>
      <c r="CQ141" s="85">
        <f>IF(AC141="","",IF(ISNUMBER('Dvd Calendar'!$AE$1936)=FALSE,"",IF((Summary!$C$13="N")*('Dvd Calendar'!$AE$1940='Field Check'!$C$25)&gt;0,"",'Dvd Calendar'!$AE$1936)))</f>
        <v/>
      </c>
      <c r="CR141" s="85">
        <f>IF(AD141="","",IF(ISNUMBER('Dvd Calendar'!$AF$1936)=FALSE,"",IF((Summary!$C$13="N")*('Dvd Calendar'!$AF$1940='Field Check'!$C$25)&gt;0,"",'Dvd Calendar'!$AF$1936)))</f>
        <v/>
      </c>
      <c r="CS141" s="85">
        <f>IF(AE141="","",IF(ISNUMBER('Dvd Calendar'!$AG$1936)=FALSE,"",IF((Summary!$C$13="N")*('Dvd Calendar'!$AG$1940='Field Check'!$C$25)&gt;0,"",'Dvd Calendar'!$AG$1936)))</f>
        <v/>
      </c>
      <c r="CT141" s="85">
        <f>IF(AF141="","",IF(ISNUMBER('Dvd Calendar'!$AH$1936)=FALSE,"",IF((Summary!$C$13="N")*('Dvd Calendar'!$AH$1940='Field Check'!$C$25)&gt;0,"",'Dvd Calendar'!$AH$1936)))</f>
        <v/>
      </c>
      <c r="CU141" s="85">
        <f>IF(AG141="","",IF(ISNUMBER('Dvd Calendar'!$AI$1936)=FALSE,"",IF((Summary!$C$13="N")*('Dvd Calendar'!$AI$1940='Field Check'!$C$25)&gt;0,"",'Dvd Calendar'!$AI$1936)))</f>
        <v/>
      </c>
      <c r="CV141" s="85">
        <f>IF(AH141="","",IF(ISNUMBER('Dvd Calendar'!$AJ$1936)=FALSE,"",IF((Summary!$C$13="N")*('Dvd Calendar'!$AJ$1940='Field Check'!$C$25)&gt;0,"",'Dvd Calendar'!$AJ$1936)))</f>
        <v/>
      </c>
      <c r="CW141" s="85">
        <f>IF(AI141="","",IF(ISNUMBER('Dvd Calendar'!$AK$1936)=FALSE,"",IF((Summary!$C$13="N")*('Dvd Calendar'!$AK$1940='Field Check'!$C$25)&gt;0,"",'Dvd Calendar'!$AK$1936)))</f>
        <v/>
      </c>
      <c r="CX141" s="85">
        <f>IF(AJ141="","",IF(ISNUMBER('Dvd Calendar'!$AL$1936)=FALSE,"",IF((Summary!$C$13="N")*('Dvd Calendar'!$AL$1940='Field Check'!$C$25)&gt;0,"",'Dvd Calendar'!$AL$1936)))</f>
        <v/>
      </c>
      <c r="CY141" s="85">
        <f>IF(AK141="","",IF(ISNUMBER('Dvd Calendar'!$AM$1936)=FALSE,"",IF((Summary!$C$13="N")*('Dvd Calendar'!$AM$1940='Field Check'!$C$25)&gt;0,"",'Dvd Calendar'!$AM$1936)))</f>
        <v/>
      </c>
      <c r="CZ141" s="85">
        <f>IF(AL141="","",IF(ISNUMBER('Dvd Calendar'!$AN$1936)=FALSE,"",IF((Summary!$C$13="N")*('Dvd Calendar'!$AN$1940='Field Check'!$C$25)&gt;0,"",'Dvd Calendar'!$AN$1936)))</f>
        <v/>
      </c>
      <c r="DA141" s="85">
        <f>IF(AM141="","",IF(ISNUMBER('Dvd Calendar'!$AO$1936)=FALSE,"",IF((Summary!$C$13="N")*('Dvd Calendar'!$AO$1940='Field Check'!$C$25)&gt;0,"",'Dvd Calendar'!$AO$1936)))</f>
        <v/>
      </c>
      <c r="DB141" s="85">
        <f>IF(AN141="","",IF(ISNUMBER('Dvd Calendar'!$AP$1936)=FALSE,"",IF((Summary!$C$13="N")*('Dvd Calendar'!$AP$1940='Field Check'!$C$25)&gt;0,"",'Dvd Calendar'!$AP$1936)))</f>
        <v/>
      </c>
      <c r="DC141" s="85">
        <f>IF(AO141="","",IF(ISNUMBER('Dvd Calendar'!$AQ$1936)=FALSE,"",IF((Summary!$C$13="N")*('Dvd Calendar'!$AQ$1940='Field Check'!$C$25)&gt;0,"",'Dvd Calendar'!$AQ$1936)))</f>
        <v/>
      </c>
      <c r="DD141" s="85">
        <f>IF(AP141="","",IF(ISNUMBER('Dvd Calendar'!$AR$1936)=FALSE,"",IF((Summary!$C$13="N")*('Dvd Calendar'!$AR$1940='Field Check'!$C$25)&gt;0,"",'Dvd Calendar'!$AR$1936)))</f>
        <v/>
      </c>
      <c r="DE141" s="85">
        <f>IF(AQ141="","",IF(ISNUMBER('Dvd Calendar'!$E$1943)=FALSE,"",IF((Summary!$C$13="N")*('Dvd Calendar'!$E$1947='Field Check'!$C$25)&gt;0,"",'Dvd Calendar'!$E$1943)))</f>
        <v/>
      </c>
      <c r="DF141" s="85">
        <f>IF(AR141="","",IF(ISNUMBER('Dvd Calendar'!$F$1943)=FALSE,"",IF((Summary!$C$13="N")*('Dvd Calendar'!$F$1947='Field Check'!$C$25)&gt;0,"",'Dvd Calendar'!$F$1943)))</f>
        <v/>
      </c>
      <c r="DG141" s="85">
        <f>IF(AS141="","",IF(ISNUMBER('Dvd Calendar'!$G$1943)=FALSE,"",IF((Summary!$C$13="N")*('Dvd Calendar'!$G$1947='Field Check'!$C$25)&gt;0,"",'Dvd Calendar'!$G$1943)))</f>
        <v/>
      </c>
      <c r="DH141" s="85">
        <f>IF(AT141="","",IF(ISNUMBER('Dvd Calendar'!$H$1943)=FALSE,"",IF((Summary!$C$13="N")*('Dvd Calendar'!$H$1947='Field Check'!$C$25)&gt;0,"",'Dvd Calendar'!$H$1943)))</f>
        <v/>
      </c>
      <c r="DI141" s="85">
        <f>IF(AU141="","",IF(ISNUMBER('Dvd Calendar'!$I$1943)=FALSE,"",IF((Summary!$C$13="N")*('Dvd Calendar'!$I$1947='Field Check'!$C$25)&gt;0,"",'Dvd Calendar'!$I$1943)))</f>
        <v/>
      </c>
      <c r="DJ141" s="85">
        <f>IF(AV141="","",IF(ISNUMBER('Dvd Calendar'!$J$1943)=FALSE,"",IF((Summary!$C$13="N")*('Dvd Calendar'!$J$1947='Field Check'!$C$25)&gt;0,"",'Dvd Calendar'!$J$1943)))</f>
        <v/>
      </c>
      <c r="DK141" s="85">
        <f>IF(AW141="","",IF(ISNUMBER('Dvd Calendar'!$K$1943)=FALSE,"",IF((Summary!$C$13="N")*('Dvd Calendar'!$K$1947='Field Check'!$C$25)&gt;0,"",'Dvd Calendar'!$K$1943)))</f>
        <v/>
      </c>
      <c r="DL141" s="85">
        <f>IF(AX141="","",IF(ISNUMBER('Dvd Calendar'!$L$1943)=FALSE,"",IF((Summary!$C$13="N")*('Dvd Calendar'!$L$1947='Field Check'!$C$25)&gt;0,"",'Dvd Calendar'!$L$1943)))</f>
        <v/>
      </c>
      <c r="DM141" s="85">
        <f>IF(AY141="","",IF(ISNUMBER('Dvd Calendar'!$M$1943)=FALSE,"",IF((Summary!$C$13="N")*('Dvd Calendar'!$M$1947='Field Check'!$C$25)&gt;0,"",'Dvd Calendar'!$M$1943)))</f>
        <v/>
      </c>
      <c r="DN141" s="85">
        <f>IF(AZ141="","",IF(ISNUMBER('Dvd Calendar'!$N$1943)=FALSE,"",IF((Summary!$C$13="N")*('Dvd Calendar'!$N$1947='Field Check'!$C$25)&gt;0,"",'Dvd Calendar'!$N$1943)))</f>
        <v/>
      </c>
      <c r="DO141" s="85">
        <f>IF(BA141="","",IF(ISNUMBER('Dvd Calendar'!$O$1943)=FALSE,"",IF((Summary!$C$13="N")*('Dvd Calendar'!$O$1947='Field Check'!$C$25)&gt;0,"",'Dvd Calendar'!$O$1943)))</f>
        <v/>
      </c>
      <c r="DP141" s="85">
        <f>IF(BB141="","",IF(ISNUMBER('Dvd Calendar'!$P$1943)=FALSE,"",IF((Summary!$C$13="N")*('Dvd Calendar'!$P$1947='Field Check'!$C$25)&gt;0,"",'Dvd Calendar'!$P$1943)))</f>
        <v/>
      </c>
      <c r="DQ141" s="85">
        <f>IF(BC141="","",IF(ISNUMBER('Dvd Calendar'!$Q$1943)=FALSE,"",IF((Summary!$C$13="N")*('Dvd Calendar'!$Q$1947='Field Check'!$C$25)&gt;0,"",'Dvd Calendar'!$Q$1943)))</f>
        <v/>
      </c>
      <c r="DR141" s="85">
        <f>IF(BD141="","",IF(ISNUMBER('Dvd Calendar'!$R$1943)=FALSE,"",IF((Summary!$C$13="N")*('Dvd Calendar'!$R$1947='Field Check'!$C$25)&gt;0,"",'Dvd Calendar'!$R$1943)))</f>
        <v/>
      </c>
      <c r="DS141" s="85">
        <f>IF(BE141="","",IF(ISNUMBER('Dvd Calendar'!$S$1943)=FALSE,"",IF((Summary!$C$13="N")*('Dvd Calendar'!$S$1947='Field Check'!$C$25)&gt;0,"",'Dvd Calendar'!$S$1943)))</f>
        <v/>
      </c>
      <c r="DT141" s="85">
        <f>IF(BF141="","",IF(ISNUMBER('Dvd Calendar'!$T$1943)=FALSE,"",IF((Summary!$C$13="N")*('Dvd Calendar'!$T$1947='Field Check'!$C$25)&gt;0,"",'Dvd Calendar'!$T$1943)))</f>
        <v/>
      </c>
      <c r="DU141" s="85">
        <f>IF(BG141="","",IF(ISNUMBER('Dvd Calendar'!$U$1943)=FALSE,"",IF((Summary!$C$13="N")*('Dvd Calendar'!$U$1947='Field Check'!$C$25)&gt;0,"",'Dvd Calendar'!$U$1943)))</f>
        <v/>
      </c>
      <c r="DV141" s="85">
        <f>IF(BH141="","",IF(ISNUMBER('Dvd Calendar'!$V$1943)=FALSE,"",IF((Summary!$C$13="N")*('Dvd Calendar'!$V$1947='Field Check'!$C$25)&gt;0,"",'Dvd Calendar'!$V$1943)))</f>
        <v/>
      </c>
      <c r="DW141" s="85">
        <f>IF(BI141="","",IF(ISNUMBER('Dvd Calendar'!$W$1943)=FALSE,"",IF((Summary!$C$13="N")*('Dvd Calendar'!$W$1947='Field Check'!$C$25)&gt;0,"",'Dvd Calendar'!$W$1943)))</f>
        <v/>
      </c>
      <c r="DX141" s="85">
        <f>IF(BJ141="","",IF(ISNUMBER('Dvd Calendar'!$X$1943)=FALSE,"",IF((Summary!$C$13="N")*('Dvd Calendar'!$X$1947='Field Check'!$C$25)&gt;0,"",'Dvd Calendar'!$X$1943)))</f>
        <v/>
      </c>
      <c r="DY141" s="85">
        <f>IF(BK141="","",IF(ISNUMBER('Dvd Calendar'!$Y$1943)=FALSE,"",IF((Summary!$C$13="N")*('Dvd Calendar'!$Y$1947='Field Check'!$C$25)&gt;0,"",'Dvd Calendar'!$Y$1943)))</f>
        <v/>
      </c>
      <c r="DZ141" s="85">
        <f>IF(BL141="","",IF(ISNUMBER('Dvd Calendar'!$Z$1943)=FALSE,"",IF((Summary!$C$13="N")*('Dvd Calendar'!$Z$1947='Field Check'!$C$25)&gt;0,"",'Dvd Calendar'!$Z$1943)))</f>
        <v/>
      </c>
      <c r="EA141" s="85">
        <f>IF(BM141="","",IF(ISNUMBER('Dvd Calendar'!$AA$1943)=FALSE,"",IF((Summary!$C$13="N")*('Dvd Calendar'!$AA$1947='Field Check'!$C$25)&gt;0,"",'Dvd Calendar'!$AA$1943)))</f>
        <v/>
      </c>
      <c r="EB141" s="85">
        <f>IF(BN141="","",IF(ISNUMBER('Dvd Calendar'!$AB$1943)=FALSE,"",IF((Summary!$C$13="N")*('Dvd Calendar'!$AB$1947='Field Check'!$C$25)&gt;0,"",'Dvd Calendar'!$AB$1943)))</f>
        <v/>
      </c>
      <c r="EC141" s="85">
        <f>IF(BO141="","",IF(ISNUMBER('Dvd Calendar'!$AC$1943)=FALSE,"",IF((Summary!$C$13="N")*('Dvd Calendar'!$AC$1947='Field Check'!$C$25)&gt;0,"",'Dvd Calendar'!$AC$1943)))</f>
        <v/>
      </c>
      <c r="EE141" s="85">
        <f>IF(BQ141="","",IFERROR(BQ141*HSTECH!$B$35*HSTECH!$G$35/HSTECH!$B$3,""))</f>
        <v/>
      </c>
      <c r="EF141" s="85">
        <f>IF(BR141="","",IFERROR(BR141*HSTECH!$B$35*HSTECH!$G$35/HSTECH!$B$3,""))</f>
        <v/>
      </c>
      <c r="EG141" s="85">
        <f>IF(BS141="","",IFERROR(BS141*HSTECH!$B$35*HSTECH!$G$35/HSTECH!$B$3,""))</f>
        <v/>
      </c>
      <c r="EH141" s="85">
        <f>IF(BT141="","",IFERROR(BT141*HSTECH!$B$35*HSTECH!$G$35/HSTECH!$B$3,""))</f>
        <v/>
      </c>
      <c r="EI141" s="85">
        <f>IF(BU141="","",IFERROR(BU141*HSTECH!$B$35*HSTECH!$G$35/HSTECH!$B$3,""))</f>
        <v/>
      </c>
      <c r="EJ141" s="85">
        <f>IF(BV141="","",IFERROR(BV141*HSTECH!$B$35*HSTECH!$G$35/HSTECH!$B$3,""))</f>
        <v/>
      </c>
      <c r="EK141" s="85">
        <f>IF(BW141="","",IFERROR(BW141*HSTECH!$B$35*HSTECH!$G$35/HSTECH!$B$3,""))</f>
        <v/>
      </c>
      <c r="EL141" s="85">
        <f>IF(BX141="","",IFERROR(BX141*HSTECH!$B$35*HSTECH!$G$35/HSTECH!$B$3,""))</f>
        <v/>
      </c>
      <c r="EM141" s="85">
        <f>IF(BY141="","",IFERROR(BY141*HSTECH!$B$35*HSTECH!$G$35/HSTECH!$B$3,""))</f>
        <v/>
      </c>
      <c r="EN141" s="85">
        <f>IF(BZ141="","",IFERROR(BZ141*HSTECH!$B$35*HSTECH!$G$35/HSTECH!$B$3,""))</f>
        <v/>
      </c>
      <c r="EO141" s="85">
        <f>IF(CA141="","",IFERROR(CA141*HSTECH!$B$35*HSTECH!$G$35/HSTECH!$B$3,""))</f>
        <v/>
      </c>
      <c r="EP141" s="85">
        <f>IF(CB141="","",IFERROR(CB141*HSTECH!$B$35*HSTECH!$G$35/HSTECH!$B$3,""))</f>
        <v/>
      </c>
      <c r="EQ141" s="85">
        <f>IF(CC141="","",IFERROR(CC141*HSTECH!$B$35*HSTECH!$G$35/HSTECH!$B$3,""))</f>
        <v/>
      </c>
      <c r="ER141" s="85">
        <f>IF(CD141="","",IFERROR(CD141*HSTECH!$B$35*HSTECH!$G$35/HSTECH!$B$3,""))</f>
        <v/>
      </c>
      <c r="ES141" s="85">
        <f>IF(CE141="","",IFERROR(CE141*HSTECH!$B$35*HSTECH!$G$35/HSTECH!$B$3,""))</f>
        <v/>
      </c>
      <c r="ET141" s="85">
        <f>IF(CF141="","",IFERROR(CF141*HSTECH!$B$35*HSTECH!$G$35/HSTECH!$B$3,""))</f>
        <v/>
      </c>
      <c r="EU141" s="85">
        <f>IF(CG141="","",IFERROR(CG141*HSTECH!$B$35*HSTECH!$G$35/HSTECH!$B$3,""))</f>
        <v/>
      </c>
      <c r="EV141" s="85">
        <f>IF(CH141="","",IFERROR(CH141*HSTECH!$B$35*HSTECH!$G$35/HSTECH!$B$3,""))</f>
        <v/>
      </c>
      <c r="EW141" s="85">
        <f>IF(CI141="","",IFERROR(CI141*HSTECH!$B$35*HSTECH!$G$35/HSTECH!$B$3,""))</f>
        <v/>
      </c>
      <c r="EX141" s="85">
        <f>IF(CJ141="","",IFERROR(CJ141*HSTECH!$B$35*HSTECH!$G$35/HSTECH!$B$3,""))</f>
        <v/>
      </c>
      <c r="EY141" s="85">
        <f>IF(CK141="","",IFERROR(CK141*HSTECH!$B$35*HSTECH!$G$35/HSTECH!$B$3,""))</f>
        <v/>
      </c>
      <c r="EZ141" s="85">
        <f>IF(CL141="","",IFERROR(CL141*HSTECH!$B$35*HSTECH!$G$35/HSTECH!$B$3,""))</f>
        <v/>
      </c>
      <c r="FA141" s="85">
        <f>IF(CM141="","",IFERROR(CM141*HSTECH!$B$35*HSTECH!$G$35/HSTECH!$B$3,""))</f>
        <v/>
      </c>
      <c r="FB141" s="85">
        <f>IF(CN141="","",IFERROR(CN141*HSTECH!$B$35*HSTECH!$G$35/HSTECH!$B$3,""))</f>
        <v/>
      </c>
      <c r="FC141" s="85">
        <f>IF(CO141="","",IFERROR(CO141*HSTECH!$B$35*HSTECH!$G$35/HSTECH!$B$3,""))</f>
        <v/>
      </c>
      <c r="FD141" s="85">
        <f>IF(CP141="","",IFERROR(CP141*HSTECH!$B$35*HSTECH!$G$35/HSTECH!$B$3,""))</f>
        <v/>
      </c>
      <c r="FE141" s="85">
        <f>IF(CQ141="","",IFERROR(CQ141*HSTECH!$B$35*HSTECH!$G$35/HSTECH!$B$3,""))</f>
        <v/>
      </c>
      <c r="FF141" s="85">
        <f>IF(CR141="","",IFERROR(CR141*HSTECH!$B$35*HSTECH!$G$35/HSTECH!$B$3,""))</f>
        <v/>
      </c>
      <c r="FG141" s="85">
        <f>IF(CS141="","",IFERROR(CS141*HSTECH!$B$35*HSTECH!$G$35/HSTECH!$B$3,""))</f>
        <v/>
      </c>
      <c r="FH141" s="85">
        <f>IF(CT141="","",IFERROR(CT141*HSTECH!$B$35*HSTECH!$G$35/HSTECH!$B$3,""))</f>
        <v/>
      </c>
      <c r="FI141" s="85">
        <f>IF(CU141="","",IFERROR(CU141*HSTECH!$B$35*HSTECH!$G$35/HSTECH!$B$3,""))</f>
        <v/>
      </c>
      <c r="FJ141" s="85">
        <f>IF(CV141="","",IFERROR(CV141*HSTECH!$B$35*HSTECH!$G$35/HSTECH!$B$3,""))</f>
        <v/>
      </c>
      <c r="FK141" s="85">
        <f>IF(CW141="","",IFERROR(CW141*HSTECH!$B$35*HSTECH!$G$35/HSTECH!$B$3,""))</f>
        <v/>
      </c>
      <c r="FL141" s="85">
        <f>IF(CX141="","",IFERROR(CX141*HSTECH!$B$35*HSTECH!$G$35/HSTECH!$B$3,""))</f>
        <v/>
      </c>
      <c r="FM141" s="85">
        <f>IF(CY141="","",IFERROR(CY141*HSTECH!$B$35*HSTECH!$G$35/HSTECH!$B$3,""))</f>
        <v/>
      </c>
      <c r="FN141" s="85">
        <f>IF(CZ141="","",IFERROR(CZ141*HSTECH!$B$35*HSTECH!$G$35/HSTECH!$B$3,""))</f>
        <v/>
      </c>
      <c r="FO141" s="85">
        <f>IF(DA141="","",IFERROR(DA141*HSTECH!$B$35*HSTECH!$G$35/HSTECH!$B$3,""))</f>
        <v/>
      </c>
      <c r="FP141" s="85">
        <f>IF(DB141="","",IFERROR(DB141*HSTECH!$B$35*HSTECH!$G$35/HSTECH!$B$3,""))</f>
        <v/>
      </c>
      <c r="FQ141" s="85">
        <f>IF(DC141="","",IFERROR(DC141*HSTECH!$B$35*HSTECH!$G$35/HSTECH!$B$3,""))</f>
        <v/>
      </c>
      <c r="FR141" s="85">
        <f>IF(DD141="","",IFERROR(DD141*HSTECH!$B$35*HSTECH!$G$35/HSTECH!$B$3,""))</f>
        <v/>
      </c>
      <c r="FS141" s="85">
        <f>IF(DE141="","",IFERROR(DE141*HSTECH!$B$35*HSTECH!$G$35/HSTECH!$B$3,""))</f>
        <v/>
      </c>
      <c r="FT141" s="85">
        <f>IF(DF141="","",IFERROR(DF141*HSTECH!$B$35*HSTECH!$G$35/HSTECH!$B$3,""))</f>
        <v/>
      </c>
      <c r="FU141" s="85">
        <f>IF(DG141="","",IFERROR(DG141*HSTECH!$B$35*HSTECH!$G$35/HSTECH!$B$3,""))</f>
        <v/>
      </c>
      <c r="FV141" s="85">
        <f>IF(DH141="","",IFERROR(DH141*HSTECH!$B$35*HSTECH!$G$35/HSTECH!$B$3,""))</f>
        <v/>
      </c>
      <c r="FW141" s="85">
        <f>IF(DI141="","",IFERROR(DI141*HSTECH!$B$35*HSTECH!$G$35/HSTECH!$B$3,""))</f>
        <v/>
      </c>
      <c r="FX141" s="85">
        <f>IF(DJ141="","",IFERROR(DJ141*HSTECH!$B$35*HSTECH!$G$35/HSTECH!$B$3,""))</f>
        <v/>
      </c>
      <c r="FY141" s="85">
        <f>IF(DK141="","",IFERROR(DK141*HSTECH!$B$35*HSTECH!$G$35/HSTECH!$B$3,""))</f>
        <v/>
      </c>
      <c r="FZ141" s="85">
        <f>IF(DL141="","",IFERROR(DL141*HSTECH!$B$35*HSTECH!$G$35/HSTECH!$B$3,""))</f>
        <v/>
      </c>
      <c r="GA141" s="85">
        <f>IF(DM141="","",IFERROR(DM141*HSTECH!$B$35*HSTECH!$G$35/HSTECH!$B$3,""))</f>
        <v/>
      </c>
      <c r="GB141" s="85">
        <f>IF(DN141="","",IFERROR(DN141*HSTECH!$B$35*HSTECH!$G$35/HSTECH!$B$3,""))</f>
        <v/>
      </c>
      <c r="GC141" s="85">
        <f>IF(DO141="","",IFERROR(DO141*HSTECH!$B$35*HSTECH!$G$35/HSTECH!$B$3,""))</f>
        <v/>
      </c>
      <c r="GD141" s="85">
        <f>IF(DP141="","",IFERROR(DP141*HSTECH!$B$35*HSTECH!$G$35/HSTECH!$B$3,""))</f>
        <v/>
      </c>
      <c r="GE141" s="85">
        <f>IF(DQ141="","",IFERROR(DQ141*HSTECH!$B$35*HSTECH!$G$35/HSTECH!$B$3,""))</f>
        <v/>
      </c>
      <c r="GF141" s="85">
        <f>IF(DR141="","",IFERROR(DR141*HSTECH!$B$35*HSTECH!$G$35/HSTECH!$B$3,""))</f>
        <v/>
      </c>
      <c r="GG141" s="85">
        <f>IF(DS141="","",IFERROR(DS141*HSTECH!$B$35*HSTECH!$G$35/HSTECH!$B$3,""))</f>
        <v/>
      </c>
      <c r="GH141" s="85">
        <f>IF(DT141="","",IFERROR(DT141*HSTECH!$B$35*HSTECH!$G$35/HSTECH!$B$3,""))</f>
        <v/>
      </c>
      <c r="GI141" s="85">
        <f>IF(DU141="","",IFERROR(DU141*HSTECH!$B$35*HSTECH!$G$35/HSTECH!$B$3,""))</f>
        <v/>
      </c>
      <c r="GJ141" s="85">
        <f>IF(DV141="","",IFERROR(DV141*HSTECH!$B$35*HSTECH!$G$35/HSTECH!$B$3,""))</f>
        <v/>
      </c>
      <c r="GK141" s="85">
        <f>IF(DW141="","",IFERROR(DW141*HSTECH!$B$35*HSTECH!$G$35/HSTECH!$B$3,""))</f>
        <v/>
      </c>
      <c r="GL141" s="85">
        <f>IF(DX141="","",IFERROR(DX141*HSTECH!$B$35*HSTECH!$G$35/HSTECH!$B$3,""))</f>
        <v/>
      </c>
      <c r="GM141" s="85">
        <f>IF(DY141="","",IFERROR(DY141*HSTECH!$B$35*HSTECH!$G$35/HSTECH!$B$3,""))</f>
        <v/>
      </c>
      <c r="GN141" s="85">
        <f>IF(DZ141="","",IFERROR(DZ141*HSTECH!$B$35*HSTECH!$G$35/HSTECH!$B$3,""))</f>
        <v/>
      </c>
      <c r="GO141" s="85">
        <f>IF(EA141="","",IFERROR(EA141*HSTECH!$B$35*HSTECH!$G$35/HSTECH!$B$3,""))</f>
        <v/>
      </c>
      <c r="GP141" s="85">
        <f>IF(EB141="","",IFERROR(EB141*HSTECH!$B$35*HSTECH!$G$35/HSTECH!$B$3,""))</f>
        <v/>
      </c>
      <c r="GQ141" s="85">
        <f>IF(EC141="","",IFERROR(EC141*HSTECH!$B$35*HSTECH!$G$35/HSTECH!$B$3,""))</f>
        <v/>
      </c>
    </row>
    <row r="142">
      <c r="B142" s="2">
        <f>IF(HSTECH!$C$36="","",HSTECH!$C$36)</f>
        <v/>
      </c>
      <c r="C142" s="41">
        <f>IF(N('Dvd Calendar'!$E$1950)=0,"",IF(('Dvd Calendar'!$E$1950&gt;=MIN(DATE(Summary!$C$12,1,1),Summary!$C$11))*('Dvd Calendar'!$E$1950&lt;=MAX(DATE(Summary!$C$12,12,31),Summary!$C$15))*('Dvd Calendar'!$E$1950&lt;=Summary!$C$11)=0,"",'Dvd Calendar'!$E$1950*1000000000+ISNUMBER('Dvd Calendar'!$E$1951)*100000000+('Dvd Calendar'!$E$1955='Field Check'!$C$25)*10000000+(N('Dvd Calendar'!$E$1949)&gt;0)*1000000+30*1000+1))</f>
        <v/>
      </c>
      <c r="D142" s="41">
        <f>IF(N('Dvd Calendar'!$F$1950)=0,"",IF(('Dvd Calendar'!$F$1950&gt;=MIN(DATE(Summary!$C$12,1,1),Summary!$C$11))*('Dvd Calendar'!$F$1950&lt;=MAX(DATE(Summary!$C$12,12,31),Summary!$C$15))*('Dvd Calendar'!$F$1950&lt;=Summary!$C$11)=0,"",'Dvd Calendar'!$F$1950*1000000000+ISNUMBER('Dvd Calendar'!$F$1951)*100000000+('Dvd Calendar'!$F$1955='Field Check'!$C$25)*10000000+(N('Dvd Calendar'!$F$1949)&gt;0)*1000000+30*1000+2))</f>
        <v/>
      </c>
      <c r="E142" s="41">
        <f>IF(N('Dvd Calendar'!$G$1950)=0,"",IF(('Dvd Calendar'!$G$1950&gt;=MIN(DATE(Summary!$C$12,1,1),Summary!$C$11))*('Dvd Calendar'!$G$1950&lt;=MAX(DATE(Summary!$C$12,12,31),Summary!$C$15))*('Dvd Calendar'!$G$1950&lt;=Summary!$C$11)=0,"",'Dvd Calendar'!$G$1950*1000000000+ISNUMBER('Dvd Calendar'!$G$1951)*100000000+('Dvd Calendar'!$G$1955='Field Check'!$C$25)*10000000+(N('Dvd Calendar'!$G$1949)&gt;0)*1000000+30*1000+3))</f>
        <v/>
      </c>
      <c r="F142" s="41">
        <f>IF(N('Dvd Calendar'!$H$1950)=0,"",IF(('Dvd Calendar'!$H$1950&gt;=MIN(DATE(Summary!$C$12,1,1),Summary!$C$11))*('Dvd Calendar'!$H$1950&lt;=MAX(DATE(Summary!$C$12,12,31),Summary!$C$15))*('Dvd Calendar'!$H$1950&lt;=Summary!$C$11)=0,"",'Dvd Calendar'!$H$1950*1000000000+ISNUMBER('Dvd Calendar'!$H$1951)*100000000+('Dvd Calendar'!$H$1955='Field Check'!$C$25)*10000000+(N('Dvd Calendar'!$H$1949)&gt;0)*1000000+30*1000+4))</f>
        <v/>
      </c>
      <c r="G142" s="41">
        <f>IF(N('Dvd Calendar'!$I$1950)=0,"",IF(('Dvd Calendar'!$I$1950&gt;=MIN(DATE(Summary!$C$12,1,1),Summary!$C$11))*('Dvd Calendar'!$I$1950&lt;=MAX(DATE(Summary!$C$12,12,31),Summary!$C$15))*('Dvd Calendar'!$I$1950&lt;=Summary!$C$11)=0,"",'Dvd Calendar'!$I$1950*1000000000+ISNUMBER('Dvd Calendar'!$I$1951)*100000000+('Dvd Calendar'!$I$1955='Field Check'!$C$25)*10000000+(N('Dvd Calendar'!$I$1949)&gt;0)*1000000+30*1000+5))</f>
        <v/>
      </c>
      <c r="H142" s="41">
        <f>IF(N('Dvd Calendar'!$J$1950)=0,"",IF(('Dvd Calendar'!$J$1950&gt;=MIN(DATE(Summary!$C$12,1,1),Summary!$C$11))*('Dvd Calendar'!$J$1950&lt;=MAX(DATE(Summary!$C$12,12,31),Summary!$C$15))*('Dvd Calendar'!$J$1950&lt;=Summary!$C$11)=0,"",'Dvd Calendar'!$J$1950*1000000000+ISNUMBER('Dvd Calendar'!$J$1951)*100000000+('Dvd Calendar'!$J$1955='Field Check'!$C$25)*10000000+(N('Dvd Calendar'!$J$1949)&gt;0)*1000000+30*1000+6))</f>
        <v/>
      </c>
      <c r="I142" s="41">
        <f>IF(N('Dvd Calendar'!$K$1950)=0,"",IF(('Dvd Calendar'!$K$1950&gt;=MIN(DATE(Summary!$C$12,1,1),Summary!$C$11))*('Dvd Calendar'!$K$1950&lt;=MAX(DATE(Summary!$C$12,12,31),Summary!$C$15))*('Dvd Calendar'!$K$1950&lt;=Summary!$C$11)=0,"",'Dvd Calendar'!$K$1950*1000000000+ISNUMBER('Dvd Calendar'!$K$1951)*100000000+('Dvd Calendar'!$K$1955='Field Check'!$C$25)*10000000+(N('Dvd Calendar'!$K$1949)&gt;0)*1000000+30*1000+7))</f>
        <v/>
      </c>
      <c r="J142" s="41">
        <f>IF(N('Dvd Calendar'!$L$1950)=0,"",IF(('Dvd Calendar'!$L$1950&gt;=MIN(DATE(Summary!$C$12,1,1),Summary!$C$11))*('Dvd Calendar'!$L$1950&lt;=MAX(DATE(Summary!$C$12,12,31),Summary!$C$15))*('Dvd Calendar'!$L$1950&lt;=Summary!$C$11)=0,"",'Dvd Calendar'!$L$1950*1000000000+ISNUMBER('Dvd Calendar'!$L$1951)*100000000+('Dvd Calendar'!$L$1955='Field Check'!$C$25)*10000000+(N('Dvd Calendar'!$L$1949)&gt;0)*1000000+30*1000+8))</f>
        <v/>
      </c>
      <c r="K142" s="41">
        <f>IF(N('Dvd Calendar'!$M$1950)=0,"",IF(('Dvd Calendar'!$M$1950&gt;=MIN(DATE(Summary!$C$12,1,1),Summary!$C$11))*('Dvd Calendar'!$M$1950&lt;=MAX(DATE(Summary!$C$12,12,31),Summary!$C$15))*('Dvd Calendar'!$M$1950&lt;=Summary!$C$11)=0,"",'Dvd Calendar'!$M$1950*1000000000+ISNUMBER('Dvd Calendar'!$M$1951)*100000000+('Dvd Calendar'!$M$1955='Field Check'!$C$25)*10000000+(N('Dvd Calendar'!$M$1949)&gt;0)*1000000+30*1000+9))</f>
        <v/>
      </c>
      <c r="L142" s="41">
        <f>IF(N('Dvd Calendar'!$N$1950)=0,"",IF(('Dvd Calendar'!$N$1950&gt;=MIN(DATE(Summary!$C$12,1,1),Summary!$C$11))*('Dvd Calendar'!$N$1950&lt;=MAX(DATE(Summary!$C$12,12,31),Summary!$C$15))*('Dvd Calendar'!$N$1950&lt;=Summary!$C$11)=0,"",'Dvd Calendar'!$N$1950*1000000000+ISNUMBER('Dvd Calendar'!$N$1951)*100000000+('Dvd Calendar'!$N$1955='Field Check'!$C$25)*10000000+(N('Dvd Calendar'!$N$1949)&gt;0)*1000000+30*1000+10))</f>
        <v/>
      </c>
      <c r="M142" s="41">
        <f>IF(N('Dvd Calendar'!$O$1950)=0,"",IF(('Dvd Calendar'!$O$1950&gt;=MIN(DATE(Summary!$C$12,1,1),Summary!$C$11))*('Dvd Calendar'!$O$1950&lt;=MAX(DATE(Summary!$C$12,12,31),Summary!$C$15))*('Dvd Calendar'!$O$1950&lt;=Summary!$C$11)=0,"",'Dvd Calendar'!$O$1950*1000000000+ISNUMBER('Dvd Calendar'!$O$1951)*100000000+('Dvd Calendar'!$O$1955='Field Check'!$C$25)*10000000+(N('Dvd Calendar'!$O$1949)&gt;0)*1000000+30*1000+11))</f>
        <v/>
      </c>
      <c r="N142" s="41">
        <f>IF(N('Dvd Calendar'!$P$1950)=0,"",IF(('Dvd Calendar'!$P$1950&gt;=MIN(DATE(Summary!$C$12,1,1),Summary!$C$11))*('Dvd Calendar'!$P$1950&lt;=MAX(DATE(Summary!$C$12,12,31),Summary!$C$15))*('Dvd Calendar'!$P$1950&lt;=Summary!$C$11)=0,"",'Dvd Calendar'!$P$1950*1000000000+ISNUMBER('Dvd Calendar'!$P$1951)*100000000+('Dvd Calendar'!$P$1955='Field Check'!$C$25)*10000000+(N('Dvd Calendar'!$P$1949)&gt;0)*1000000+30*1000+12))</f>
        <v/>
      </c>
      <c r="O142" s="41">
        <f>IF(N('Dvd Calendar'!$Q$1950)=0,"",IF(('Dvd Calendar'!$Q$1950&gt;=MIN(DATE(Summary!$C$12,1,1),Summary!$C$11))*('Dvd Calendar'!$Q$1950&lt;=MAX(DATE(Summary!$C$12,12,31),Summary!$C$15))*('Dvd Calendar'!$Q$1950&lt;=Summary!$C$11)=0,"",'Dvd Calendar'!$Q$1950*1000000000+ISNUMBER('Dvd Calendar'!$Q$1951)*100000000+('Dvd Calendar'!$Q$1955='Field Check'!$C$25)*10000000+(N('Dvd Calendar'!$Q$1949)&gt;0)*1000000+30*1000+13))</f>
        <v/>
      </c>
      <c r="P142" s="41">
        <f>IF(N('Dvd Calendar'!$R$1950)=0,"",IF(('Dvd Calendar'!$R$1950&gt;=MIN(DATE(Summary!$C$12,1,1),Summary!$C$11))*('Dvd Calendar'!$R$1950&lt;=MAX(DATE(Summary!$C$12,12,31),Summary!$C$15))*('Dvd Calendar'!$R$1950&lt;=Summary!$C$11)=0,"",'Dvd Calendar'!$R$1950*1000000000+ISNUMBER('Dvd Calendar'!$R$1951)*100000000+('Dvd Calendar'!$R$1955='Field Check'!$C$25)*10000000+(N('Dvd Calendar'!$R$1949)&gt;0)*1000000+30*1000+14))</f>
        <v/>
      </c>
      <c r="Q142" s="41">
        <f>IF(N('Dvd Calendar'!$S$1950)=0,"",IF(('Dvd Calendar'!$S$1950&gt;=MIN(DATE(Summary!$C$12,1,1),Summary!$C$11))*('Dvd Calendar'!$S$1950&lt;=MAX(DATE(Summary!$C$12,12,31),Summary!$C$15))*('Dvd Calendar'!$S$1950&lt;=Summary!$C$11)=0,"",'Dvd Calendar'!$S$1950*1000000000+ISNUMBER('Dvd Calendar'!$S$1951)*100000000+('Dvd Calendar'!$S$1955='Field Check'!$C$25)*10000000+(N('Dvd Calendar'!$S$1949)&gt;0)*1000000+30*1000+15))</f>
        <v/>
      </c>
      <c r="R142" s="41">
        <f>IF(N('Dvd Calendar'!$T$1950)=0,"",IF(('Dvd Calendar'!$T$1950&gt;=MIN(DATE(Summary!$C$12,1,1),Summary!$C$11))*('Dvd Calendar'!$T$1950&lt;=MAX(DATE(Summary!$C$12,12,31),Summary!$C$15))*('Dvd Calendar'!$T$1950&lt;=Summary!$C$11)=0,"",'Dvd Calendar'!$T$1950*1000000000+ISNUMBER('Dvd Calendar'!$T$1951)*100000000+('Dvd Calendar'!$T$1955='Field Check'!$C$25)*10000000+(N('Dvd Calendar'!$T$1949)&gt;0)*1000000+30*1000+16))</f>
        <v/>
      </c>
      <c r="S142" s="41">
        <f>IF(N('Dvd Calendar'!$U$1950)=0,"",IF(('Dvd Calendar'!$U$1950&gt;=MIN(DATE(Summary!$C$12,1,1),Summary!$C$11))*('Dvd Calendar'!$U$1950&lt;=MAX(DATE(Summary!$C$12,12,31),Summary!$C$15))*('Dvd Calendar'!$U$1950&lt;=Summary!$C$11)=0,"",'Dvd Calendar'!$U$1950*1000000000+ISNUMBER('Dvd Calendar'!$U$1951)*100000000+('Dvd Calendar'!$U$1955='Field Check'!$C$25)*10000000+(N('Dvd Calendar'!$U$1949)&gt;0)*1000000+30*1000+17))</f>
        <v/>
      </c>
      <c r="T142" s="41">
        <f>IF(N('Dvd Calendar'!$V$1950)=0,"",IF(('Dvd Calendar'!$V$1950&gt;=MIN(DATE(Summary!$C$12,1,1),Summary!$C$11))*('Dvd Calendar'!$V$1950&lt;=MAX(DATE(Summary!$C$12,12,31),Summary!$C$15))*('Dvd Calendar'!$V$1950&lt;=Summary!$C$11)=0,"",'Dvd Calendar'!$V$1950*1000000000+ISNUMBER('Dvd Calendar'!$V$1951)*100000000+('Dvd Calendar'!$V$1955='Field Check'!$C$25)*10000000+(N('Dvd Calendar'!$V$1949)&gt;0)*1000000+30*1000+18))</f>
        <v/>
      </c>
      <c r="U142" s="41">
        <f>IF(N('Dvd Calendar'!$W$1950)=0,"",IF(('Dvd Calendar'!$W$1950&gt;=MIN(DATE(Summary!$C$12,1,1),Summary!$C$11))*('Dvd Calendar'!$W$1950&lt;=MAX(DATE(Summary!$C$12,12,31),Summary!$C$15))*('Dvd Calendar'!$W$1950&lt;=Summary!$C$11)=0,"",'Dvd Calendar'!$W$1950*1000000000+ISNUMBER('Dvd Calendar'!$W$1951)*100000000+('Dvd Calendar'!$W$1955='Field Check'!$C$25)*10000000+(N('Dvd Calendar'!$W$1949)&gt;0)*1000000+30*1000+19))</f>
        <v/>
      </c>
      <c r="V142" s="41">
        <f>IF(N('Dvd Calendar'!$X$1950)=0,"",IF(('Dvd Calendar'!$X$1950&gt;=MIN(DATE(Summary!$C$12,1,1),Summary!$C$11))*('Dvd Calendar'!$X$1950&lt;=MAX(DATE(Summary!$C$12,12,31),Summary!$C$15))*('Dvd Calendar'!$X$1950&lt;=Summary!$C$11)=0,"",'Dvd Calendar'!$X$1950*1000000000+ISNUMBER('Dvd Calendar'!$X$1951)*100000000+('Dvd Calendar'!$X$1955='Field Check'!$C$25)*10000000+(N('Dvd Calendar'!$X$1949)&gt;0)*1000000+30*1000+20))</f>
        <v/>
      </c>
      <c r="W142" s="41">
        <f>IF(N('Dvd Calendar'!$Y$1950)=0,"",IF(('Dvd Calendar'!$Y$1950&gt;=MIN(DATE(Summary!$C$12,1,1),Summary!$C$11))*('Dvd Calendar'!$Y$1950&lt;=MAX(DATE(Summary!$C$12,12,31),Summary!$C$15))*('Dvd Calendar'!$Y$1950&lt;=Summary!$C$11)=0,"",'Dvd Calendar'!$Y$1950*1000000000+ISNUMBER('Dvd Calendar'!$Y$1951)*100000000+('Dvd Calendar'!$Y$1955='Field Check'!$C$25)*10000000+(N('Dvd Calendar'!$Y$1949)&gt;0)*1000000+30*1000+21))</f>
        <v/>
      </c>
      <c r="X142" s="41">
        <f>IF(N('Dvd Calendar'!$Z$1950)=0,"",IF(('Dvd Calendar'!$Z$1950&gt;=MIN(DATE(Summary!$C$12,1,1),Summary!$C$11))*('Dvd Calendar'!$Z$1950&lt;=MAX(DATE(Summary!$C$12,12,31),Summary!$C$15))*('Dvd Calendar'!$Z$1950&lt;=Summary!$C$11)=0,"",'Dvd Calendar'!$Z$1950*1000000000+ISNUMBER('Dvd Calendar'!$Z$1951)*100000000+('Dvd Calendar'!$Z$1955='Field Check'!$C$25)*10000000+(N('Dvd Calendar'!$Z$1949)&gt;0)*1000000+30*1000+22))</f>
        <v/>
      </c>
      <c r="Y142" s="41">
        <f>IF(N('Dvd Calendar'!$AA$1950)=0,"",IF(('Dvd Calendar'!$AA$1950&gt;=MIN(DATE(Summary!$C$12,1,1),Summary!$C$11))*('Dvd Calendar'!$AA$1950&lt;=MAX(DATE(Summary!$C$12,12,31),Summary!$C$15))*('Dvd Calendar'!$AA$1950&lt;=Summary!$C$11)=0,"",'Dvd Calendar'!$AA$1950*1000000000+ISNUMBER('Dvd Calendar'!$AA$1951)*100000000+('Dvd Calendar'!$AA$1955='Field Check'!$C$25)*10000000+(N('Dvd Calendar'!$AA$1949)&gt;0)*1000000+30*1000+23))</f>
        <v/>
      </c>
      <c r="Z142" s="41">
        <f>IF(N('Dvd Calendar'!$AB$1950)=0,"",IF(('Dvd Calendar'!$AB$1950&gt;=MIN(DATE(Summary!$C$12,1,1),Summary!$C$11))*('Dvd Calendar'!$AB$1950&lt;=MAX(DATE(Summary!$C$12,12,31),Summary!$C$15))*('Dvd Calendar'!$AB$1950&lt;=Summary!$C$11)=0,"",'Dvd Calendar'!$AB$1950*1000000000+ISNUMBER('Dvd Calendar'!$AB$1951)*100000000+('Dvd Calendar'!$AB$1955='Field Check'!$C$25)*10000000+(N('Dvd Calendar'!$AB$1949)&gt;0)*1000000+30*1000+24))</f>
        <v/>
      </c>
      <c r="AA142" s="41">
        <f>IF(N('Dvd Calendar'!$AC$1950)=0,"",IF(('Dvd Calendar'!$AC$1950&gt;=MIN(DATE(Summary!$C$12,1,1),Summary!$C$11))*('Dvd Calendar'!$AC$1950&lt;=MAX(DATE(Summary!$C$12,12,31),Summary!$C$15))*('Dvd Calendar'!$AC$1950&lt;=Summary!$C$11)=0,"",'Dvd Calendar'!$AC$1950*1000000000+ISNUMBER('Dvd Calendar'!$AC$1951)*100000000+('Dvd Calendar'!$AC$1955='Field Check'!$C$25)*10000000+(N('Dvd Calendar'!$AC$1949)&gt;0)*1000000+30*1000+25))</f>
        <v/>
      </c>
      <c r="AB142" s="41">
        <f>IF(N('Dvd Calendar'!$AD$1950)=0,"",IF(('Dvd Calendar'!$AD$1950&gt;=MIN(DATE(Summary!$C$12,1,1),Summary!$C$11))*('Dvd Calendar'!$AD$1950&lt;=MAX(DATE(Summary!$C$12,12,31),Summary!$C$15))*('Dvd Calendar'!$AD$1950&lt;=Summary!$C$11)=0,"",'Dvd Calendar'!$AD$1950*1000000000+ISNUMBER('Dvd Calendar'!$AD$1951)*100000000+('Dvd Calendar'!$AD$1955='Field Check'!$C$25)*10000000+(N('Dvd Calendar'!$AD$1949)&gt;0)*1000000+30*1000+26))</f>
        <v/>
      </c>
      <c r="AC142" s="41">
        <f>IF(N('Dvd Calendar'!$AE$1950)=0,"",IF(('Dvd Calendar'!$AE$1950&gt;=MIN(DATE(Summary!$C$12,1,1),Summary!$C$11))*('Dvd Calendar'!$AE$1950&lt;=MAX(DATE(Summary!$C$12,12,31),Summary!$C$15))*('Dvd Calendar'!$AE$1950&lt;=Summary!$C$11)=0,"",'Dvd Calendar'!$AE$1950*1000000000+ISNUMBER('Dvd Calendar'!$AE$1951)*100000000+('Dvd Calendar'!$AE$1955='Field Check'!$C$25)*10000000+(N('Dvd Calendar'!$AE$1949)&gt;0)*1000000+30*1000+27))</f>
        <v/>
      </c>
      <c r="AD142" s="41">
        <f>IF(N('Dvd Calendar'!$AF$1950)=0,"",IF(('Dvd Calendar'!$AF$1950&gt;=MIN(DATE(Summary!$C$12,1,1),Summary!$C$11))*('Dvd Calendar'!$AF$1950&lt;=MAX(DATE(Summary!$C$12,12,31),Summary!$C$15))*('Dvd Calendar'!$AF$1950&lt;=Summary!$C$11)=0,"",'Dvd Calendar'!$AF$1950*1000000000+ISNUMBER('Dvd Calendar'!$AF$1951)*100000000+('Dvd Calendar'!$AF$1955='Field Check'!$C$25)*10000000+(N('Dvd Calendar'!$AF$1949)&gt;0)*1000000+30*1000+28))</f>
        <v/>
      </c>
      <c r="AE142" s="41">
        <f>IF(N('Dvd Calendar'!$AG$1950)=0,"",IF(('Dvd Calendar'!$AG$1950&gt;=MIN(DATE(Summary!$C$12,1,1),Summary!$C$11))*('Dvd Calendar'!$AG$1950&lt;=MAX(DATE(Summary!$C$12,12,31),Summary!$C$15))*('Dvd Calendar'!$AG$1950&lt;=Summary!$C$11)=0,"",'Dvd Calendar'!$AG$1950*1000000000+ISNUMBER('Dvd Calendar'!$AG$1951)*100000000+('Dvd Calendar'!$AG$1955='Field Check'!$C$25)*10000000+(N('Dvd Calendar'!$AG$1949)&gt;0)*1000000+30*1000+29))</f>
        <v/>
      </c>
      <c r="AF142" s="41">
        <f>IF(N('Dvd Calendar'!$AH$1950)=0,"",IF(('Dvd Calendar'!$AH$1950&gt;=MIN(DATE(Summary!$C$12,1,1),Summary!$C$11))*('Dvd Calendar'!$AH$1950&lt;=MAX(DATE(Summary!$C$12,12,31),Summary!$C$15))*('Dvd Calendar'!$AH$1950&lt;=Summary!$C$11)=0,"",'Dvd Calendar'!$AH$1950*1000000000+ISNUMBER('Dvd Calendar'!$AH$1951)*100000000+('Dvd Calendar'!$AH$1955='Field Check'!$C$25)*10000000+(N('Dvd Calendar'!$AH$1949)&gt;0)*1000000+30*1000+30))</f>
        <v/>
      </c>
      <c r="AG142" s="41">
        <f>IF(N('Dvd Calendar'!$AI$1950)=0,"",IF(('Dvd Calendar'!$AI$1950&gt;=MIN(DATE(Summary!$C$12,1,1),Summary!$C$11))*('Dvd Calendar'!$AI$1950&lt;=MAX(DATE(Summary!$C$12,12,31),Summary!$C$15))*('Dvd Calendar'!$AI$1950&lt;=Summary!$C$11)=0,"",'Dvd Calendar'!$AI$1950*1000000000+ISNUMBER('Dvd Calendar'!$AI$1951)*100000000+('Dvd Calendar'!$AI$1955='Field Check'!$C$25)*10000000+(N('Dvd Calendar'!$AI$1949)&gt;0)*1000000+30*1000+31))</f>
        <v/>
      </c>
      <c r="AH142" s="41">
        <f>IF(N('Dvd Calendar'!$AJ$1950)=0,"",IF(('Dvd Calendar'!$AJ$1950&gt;=MIN(DATE(Summary!$C$12,1,1),Summary!$C$11))*('Dvd Calendar'!$AJ$1950&lt;=MAX(DATE(Summary!$C$12,12,31),Summary!$C$15))*('Dvd Calendar'!$AJ$1950&lt;=Summary!$C$11)=0,"",'Dvd Calendar'!$AJ$1950*1000000000+ISNUMBER('Dvd Calendar'!$AJ$1951)*100000000+('Dvd Calendar'!$AJ$1955='Field Check'!$C$25)*10000000+(N('Dvd Calendar'!$AJ$1949)&gt;0)*1000000+30*1000+32))</f>
        <v/>
      </c>
      <c r="AI142" s="41">
        <f>IF(N('Dvd Calendar'!$AK$1950)=0,"",IF(('Dvd Calendar'!$AK$1950&gt;=MIN(DATE(Summary!$C$12,1,1),Summary!$C$11))*('Dvd Calendar'!$AK$1950&lt;=MAX(DATE(Summary!$C$12,12,31),Summary!$C$15))*('Dvd Calendar'!$AK$1950&lt;=Summary!$C$11)=0,"",'Dvd Calendar'!$AK$1950*1000000000+ISNUMBER('Dvd Calendar'!$AK$1951)*100000000+('Dvd Calendar'!$AK$1955='Field Check'!$C$25)*10000000+(N('Dvd Calendar'!$AK$1949)&gt;0)*1000000+30*1000+33))</f>
        <v/>
      </c>
      <c r="AJ142" s="41">
        <f>IF(N('Dvd Calendar'!$AL$1950)=0,"",IF(('Dvd Calendar'!$AL$1950&gt;=MIN(DATE(Summary!$C$12,1,1),Summary!$C$11))*('Dvd Calendar'!$AL$1950&lt;=MAX(DATE(Summary!$C$12,12,31),Summary!$C$15))*('Dvd Calendar'!$AL$1950&lt;=Summary!$C$11)=0,"",'Dvd Calendar'!$AL$1950*1000000000+ISNUMBER('Dvd Calendar'!$AL$1951)*100000000+('Dvd Calendar'!$AL$1955='Field Check'!$C$25)*10000000+(N('Dvd Calendar'!$AL$1949)&gt;0)*1000000+30*1000+34))</f>
        <v/>
      </c>
      <c r="AK142" s="41">
        <f>IF(N('Dvd Calendar'!$AM$1950)=0,"",IF(('Dvd Calendar'!$AM$1950&gt;=MIN(DATE(Summary!$C$12,1,1),Summary!$C$11))*('Dvd Calendar'!$AM$1950&lt;=MAX(DATE(Summary!$C$12,12,31),Summary!$C$15))*('Dvd Calendar'!$AM$1950&lt;=Summary!$C$11)=0,"",'Dvd Calendar'!$AM$1950*1000000000+ISNUMBER('Dvd Calendar'!$AM$1951)*100000000+('Dvd Calendar'!$AM$1955='Field Check'!$C$25)*10000000+(N('Dvd Calendar'!$AM$1949)&gt;0)*1000000+30*1000+35))</f>
        <v/>
      </c>
      <c r="AL142" s="41">
        <f>IF(N('Dvd Calendar'!$AN$1950)=0,"",IF(('Dvd Calendar'!$AN$1950&gt;=MIN(DATE(Summary!$C$12,1,1),Summary!$C$11))*('Dvd Calendar'!$AN$1950&lt;=MAX(DATE(Summary!$C$12,12,31),Summary!$C$15))*('Dvd Calendar'!$AN$1950&lt;=Summary!$C$11)=0,"",'Dvd Calendar'!$AN$1950*1000000000+ISNUMBER('Dvd Calendar'!$AN$1951)*100000000+('Dvd Calendar'!$AN$1955='Field Check'!$C$25)*10000000+(N('Dvd Calendar'!$AN$1949)&gt;0)*1000000+30*1000+36))</f>
        <v/>
      </c>
      <c r="AM142" s="41">
        <f>IF(N('Dvd Calendar'!$AO$1950)=0,"",IF(('Dvd Calendar'!$AO$1950&gt;=MIN(DATE(Summary!$C$12,1,1),Summary!$C$11))*('Dvd Calendar'!$AO$1950&lt;=MAX(DATE(Summary!$C$12,12,31),Summary!$C$15))*('Dvd Calendar'!$AO$1950&lt;=Summary!$C$11)=0,"",'Dvd Calendar'!$AO$1950*1000000000+ISNUMBER('Dvd Calendar'!$AO$1951)*100000000+('Dvd Calendar'!$AO$1955='Field Check'!$C$25)*10000000+(N('Dvd Calendar'!$AO$1949)&gt;0)*1000000+30*1000+37))</f>
        <v/>
      </c>
      <c r="AN142" s="41">
        <f>IF(N('Dvd Calendar'!$AP$1950)=0,"",IF(('Dvd Calendar'!$AP$1950&gt;=MIN(DATE(Summary!$C$12,1,1),Summary!$C$11))*('Dvd Calendar'!$AP$1950&lt;=MAX(DATE(Summary!$C$12,12,31),Summary!$C$15))*('Dvd Calendar'!$AP$1950&lt;=Summary!$C$11)=0,"",'Dvd Calendar'!$AP$1950*1000000000+ISNUMBER('Dvd Calendar'!$AP$1951)*100000000+('Dvd Calendar'!$AP$1955='Field Check'!$C$25)*10000000+(N('Dvd Calendar'!$AP$1949)&gt;0)*1000000+30*1000+38))</f>
        <v/>
      </c>
      <c r="AO142" s="41">
        <f>IF(N('Dvd Calendar'!$AQ$1950)=0,"",IF(('Dvd Calendar'!$AQ$1950&gt;=MIN(DATE(Summary!$C$12,1,1),Summary!$C$11))*('Dvd Calendar'!$AQ$1950&lt;=MAX(DATE(Summary!$C$12,12,31),Summary!$C$15))*('Dvd Calendar'!$AQ$1950&lt;=Summary!$C$11)=0,"",'Dvd Calendar'!$AQ$1950*1000000000+ISNUMBER('Dvd Calendar'!$AQ$1951)*100000000+('Dvd Calendar'!$AQ$1955='Field Check'!$C$25)*10000000+(N('Dvd Calendar'!$AQ$1949)&gt;0)*1000000+30*1000+39))</f>
        <v/>
      </c>
      <c r="AP142" s="41">
        <f>IF(N('Dvd Calendar'!$AR$1950)=0,"",IF(('Dvd Calendar'!$AR$1950&gt;=MIN(DATE(Summary!$C$12,1,1),Summary!$C$11))*('Dvd Calendar'!$AR$1950&lt;=MAX(DATE(Summary!$C$12,12,31),Summary!$C$15))*('Dvd Calendar'!$AR$1950&lt;=Summary!$C$11)=0,"",'Dvd Calendar'!$AR$1950*1000000000+ISNUMBER('Dvd Calendar'!$AR$1951)*100000000+('Dvd Calendar'!$AR$1955='Field Check'!$C$25)*10000000+(N('Dvd Calendar'!$AR$1949)&gt;0)*1000000+30*1000+40))</f>
        <v/>
      </c>
      <c r="AQ142" s="41">
        <f>IF(N('Dvd Calendar'!$E$1957)=0,"",IF(('Dvd Calendar'!$E$1957&gt;=MIN(DATE(Summary!$C$12,1,1),Summary!$C$11))*('Dvd Calendar'!$E$1957&lt;=MAX(DATE(Summary!$C$12,12,31),Summary!$C$15))*('Dvd Calendar'!$E$1957&gt;Summary!$C$11)=0,"",'Dvd Calendar'!$E$1957*1000000000+ISNUMBER('Dvd Calendar'!$E$1958)*100000000+('Dvd Calendar'!$E$1962='Field Check'!$C$25)*10000000+(N('Dvd Calendar'!$E$1956)&gt;0)*1000000+30*1000+41))</f>
        <v/>
      </c>
      <c r="AR142" s="41">
        <f>IF(N('Dvd Calendar'!$F$1957)=0,"",IF(('Dvd Calendar'!$F$1957&gt;=MIN(DATE(Summary!$C$12,1,1),Summary!$C$11))*('Dvd Calendar'!$F$1957&lt;=MAX(DATE(Summary!$C$12,12,31),Summary!$C$15))*('Dvd Calendar'!$F$1957&gt;Summary!$C$11)=0,"",'Dvd Calendar'!$F$1957*1000000000+ISNUMBER('Dvd Calendar'!$F$1958)*100000000+('Dvd Calendar'!$F$1962='Field Check'!$C$25)*10000000+(N('Dvd Calendar'!$F$1956)&gt;0)*1000000+30*1000+42))</f>
        <v/>
      </c>
      <c r="AS142" s="41">
        <f>IF(N('Dvd Calendar'!$G$1957)=0,"",IF(('Dvd Calendar'!$G$1957&gt;=MIN(DATE(Summary!$C$12,1,1),Summary!$C$11))*('Dvd Calendar'!$G$1957&lt;=MAX(DATE(Summary!$C$12,12,31),Summary!$C$15))*('Dvd Calendar'!$G$1957&gt;Summary!$C$11)=0,"",'Dvd Calendar'!$G$1957*1000000000+ISNUMBER('Dvd Calendar'!$G$1958)*100000000+('Dvd Calendar'!$G$1962='Field Check'!$C$25)*10000000+(N('Dvd Calendar'!$G$1956)&gt;0)*1000000+30*1000+43))</f>
        <v/>
      </c>
      <c r="AT142" s="41">
        <f>IF(N('Dvd Calendar'!$H$1957)=0,"",IF(('Dvd Calendar'!$H$1957&gt;=MIN(DATE(Summary!$C$12,1,1),Summary!$C$11))*('Dvd Calendar'!$H$1957&lt;=MAX(DATE(Summary!$C$12,12,31),Summary!$C$15))*('Dvd Calendar'!$H$1957&gt;Summary!$C$11)=0,"",'Dvd Calendar'!$H$1957*1000000000+ISNUMBER('Dvd Calendar'!$H$1958)*100000000+('Dvd Calendar'!$H$1962='Field Check'!$C$25)*10000000+(N('Dvd Calendar'!$H$1956)&gt;0)*1000000+30*1000+44))</f>
        <v/>
      </c>
      <c r="AU142" s="41">
        <f>IF(N('Dvd Calendar'!$I$1957)=0,"",IF(('Dvd Calendar'!$I$1957&gt;=MIN(DATE(Summary!$C$12,1,1),Summary!$C$11))*('Dvd Calendar'!$I$1957&lt;=MAX(DATE(Summary!$C$12,12,31),Summary!$C$15))*('Dvd Calendar'!$I$1957&gt;Summary!$C$11)=0,"",'Dvd Calendar'!$I$1957*1000000000+ISNUMBER('Dvd Calendar'!$I$1958)*100000000+('Dvd Calendar'!$I$1962='Field Check'!$C$25)*10000000+(N('Dvd Calendar'!$I$1956)&gt;0)*1000000+30*1000+45))</f>
        <v/>
      </c>
      <c r="AV142" s="41">
        <f>IF(N('Dvd Calendar'!$J$1957)=0,"",IF(('Dvd Calendar'!$J$1957&gt;=MIN(DATE(Summary!$C$12,1,1),Summary!$C$11))*('Dvd Calendar'!$J$1957&lt;=MAX(DATE(Summary!$C$12,12,31),Summary!$C$15))*('Dvd Calendar'!$J$1957&gt;Summary!$C$11)=0,"",'Dvd Calendar'!$J$1957*1000000000+ISNUMBER('Dvd Calendar'!$J$1958)*100000000+('Dvd Calendar'!$J$1962='Field Check'!$C$25)*10000000+(N('Dvd Calendar'!$J$1956)&gt;0)*1000000+30*1000+46))</f>
        <v/>
      </c>
      <c r="AW142" s="41">
        <f>IF(N('Dvd Calendar'!$K$1957)=0,"",IF(('Dvd Calendar'!$K$1957&gt;=MIN(DATE(Summary!$C$12,1,1),Summary!$C$11))*('Dvd Calendar'!$K$1957&lt;=MAX(DATE(Summary!$C$12,12,31),Summary!$C$15))*('Dvd Calendar'!$K$1957&gt;Summary!$C$11)=0,"",'Dvd Calendar'!$K$1957*1000000000+ISNUMBER('Dvd Calendar'!$K$1958)*100000000+('Dvd Calendar'!$K$1962='Field Check'!$C$25)*10000000+(N('Dvd Calendar'!$K$1956)&gt;0)*1000000+30*1000+47))</f>
        <v/>
      </c>
      <c r="AX142" s="41">
        <f>IF(N('Dvd Calendar'!$L$1957)=0,"",IF(('Dvd Calendar'!$L$1957&gt;=MIN(DATE(Summary!$C$12,1,1),Summary!$C$11))*('Dvd Calendar'!$L$1957&lt;=MAX(DATE(Summary!$C$12,12,31),Summary!$C$15))*('Dvd Calendar'!$L$1957&gt;Summary!$C$11)=0,"",'Dvd Calendar'!$L$1957*1000000000+ISNUMBER('Dvd Calendar'!$L$1958)*100000000+('Dvd Calendar'!$L$1962='Field Check'!$C$25)*10000000+(N('Dvd Calendar'!$L$1956)&gt;0)*1000000+30*1000+48))</f>
        <v/>
      </c>
      <c r="AY142" s="41">
        <f>IF(N('Dvd Calendar'!$M$1957)=0,"",IF(('Dvd Calendar'!$M$1957&gt;=MIN(DATE(Summary!$C$12,1,1),Summary!$C$11))*('Dvd Calendar'!$M$1957&lt;=MAX(DATE(Summary!$C$12,12,31),Summary!$C$15))*('Dvd Calendar'!$M$1957&gt;Summary!$C$11)=0,"",'Dvd Calendar'!$M$1957*1000000000+ISNUMBER('Dvd Calendar'!$M$1958)*100000000+('Dvd Calendar'!$M$1962='Field Check'!$C$25)*10000000+(N('Dvd Calendar'!$M$1956)&gt;0)*1000000+30*1000+49))</f>
        <v/>
      </c>
      <c r="AZ142" s="41">
        <f>IF(N('Dvd Calendar'!$N$1957)=0,"",IF(('Dvd Calendar'!$N$1957&gt;=MIN(DATE(Summary!$C$12,1,1),Summary!$C$11))*('Dvd Calendar'!$N$1957&lt;=MAX(DATE(Summary!$C$12,12,31),Summary!$C$15))*('Dvd Calendar'!$N$1957&gt;Summary!$C$11)=0,"",'Dvd Calendar'!$N$1957*1000000000+ISNUMBER('Dvd Calendar'!$N$1958)*100000000+('Dvd Calendar'!$N$1962='Field Check'!$C$25)*10000000+(N('Dvd Calendar'!$N$1956)&gt;0)*1000000+30*1000+50))</f>
        <v/>
      </c>
      <c r="BA142" s="41">
        <f>IF(N('Dvd Calendar'!$O$1957)=0,"",IF(('Dvd Calendar'!$O$1957&gt;=MIN(DATE(Summary!$C$12,1,1),Summary!$C$11))*('Dvd Calendar'!$O$1957&lt;=MAX(DATE(Summary!$C$12,12,31),Summary!$C$15))*('Dvd Calendar'!$O$1957&gt;Summary!$C$11)=0,"",'Dvd Calendar'!$O$1957*1000000000+ISNUMBER('Dvd Calendar'!$O$1958)*100000000+('Dvd Calendar'!$O$1962='Field Check'!$C$25)*10000000+(N('Dvd Calendar'!$O$1956)&gt;0)*1000000+30*1000+51))</f>
        <v/>
      </c>
      <c r="BB142" s="41">
        <f>IF(N('Dvd Calendar'!$P$1957)=0,"",IF(('Dvd Calendar'!$P$1957&gt;=MIN(DATE(Summary!$C$12,1,1),Summary!$C$11))*('Dvd Calendar'!$P$1957&lt;=MAX(DATE(Summary!$C$12,12,31),Summary!$C$15))*('Dvd Calendar'!$P$1957&gt;Summary!$C$11)=0,"",'Dvd Calendar'!$P$1957*1000000000+ISNUMBER('Dvd Calendar'!$P$1958)*100000000+('Dvd Calendar'!$P$1962='Field Check'!$C$25)*10000000+(N('Dvd Calendar'!$P$1956)&gt;0)*1000000+30*1000+52))</f>
        <v/>
      </c>
      <c r="BC142" s="41">
        <f>IF(N('Dvd Calendar'!$Q$1957)=0,"",IF(('Dvd Calendar'!$Q$1957&gt;=MIN(DATE(Summary!$C$12,1,1),Summary!$C$11))*('Dvd Calendar'!$Q$1957&lt;=MAX(DATE(Summary!$C$12,12,31),Summary!$C$15))*('Dvd Calendar'!$Q$1957&gt;Summary!$C$11)=0,"",'Dvd Calendar'!$Q$1957*1000000000+ISNUMBER('Dvd Calendar'!$Q$1958)*100000000+('Dvd Calendar'!$Q$1962='Field Check'!$C$25)*10000000+(N('Dvd Calendar'!$Q$1956)&gt;0)*1000000+30*1000+53))</f>
        <v/>
      </c>
      <c r="BD142" s="41">
        <f>IF(N('Dvd Calendar'!$R$1957)=0,"",IF(('Dvd Calendar'!$R$1957&gt;=MIN(DATE(Summary!$C$12,1,1),Summary!$C$11))*('Dvd Calendar'!$R$1957&lt;=MAX(DATE(Summary!$C$12,12,31),Summary!$C$15))*('Dvd Calendar'!$R$1957&gt;Summary!$C$11)=0,"",'Dvd Calendar'!$R$1957*1000000000+ISNUMBER('Dvd Calendar'!$R$1958)*100000000+('Dvd Calendar'!$R$1962='Field Check'!$C$25)*10000000+(N('Dvd Calendar'!$R$1956)&gt;0)*1000000+30*1000+54))</f>
        <v/>
      </c>
      <c r="BE142" s="41">
        <f>IF(N('Dvd Calendar'!$S$1957)=0,"",IF(('Dvd Calendar'!$S$1957&gt;=MIN(DATE(Summary!$C$12,1,1),Summary!$C$11))*('Dvd Calendar'!$S$1957&lt;=MAX(DATE(Summary!$C$12,12,31),Summary!$C$15))*('Dvd Calendar'!$S$1957&gt;Summary!$C$11)=0,"",'Dvd Calendar'!$S$1957*1000000000+ISNUMBER('Dvd Calendar'!$S$1958)*100000000+('Dvd Calendar'!$S$1962='Field Check'!$C$25)*10000000+(N('Dvd Calendar'!$S$1956)&gt;0)*1000000+30*1000+55))</f>
        <v/>
      </c>
      <c r="BF142" s="41">
        <f>IF(N('Dvd Calendar'!$T$1957)=0,"",IF(('Dvd Calendar'!$T$1957&gt;=MIN(DATE(Summary!$C$12,1,1),Summary!$C$11))*('Dvd Calendar'!$T$1957&lt;=MAX(DATE(Summary!$C$12,12,31),Summary!$C$15))*('Dvd Calendar'!$T$1957&gt;Summary!$C$11)=0,"",'Dvd Calendar'!$T$1957*1000000000+ISNUMBER('Dvd Calendar'!$T$1958)*100000000+('Dvd Calendar'!$T$1962='Field Check'!$C$25)*10000000+(N('Dvd Calendar'!$T$1956)&gt;0)*1000000+30*1000+56))</f>
        <v/>
      </c>
      <c r="BG142" s="41">
        <f>IF(N('Dvd Calendar'!$U$1957)=0,"",IF(('Dvd Calendar'!$U$1957&gt;=MIN(DATE(Summary!$C$12,1,1),Summary!$C$11))*('Dvd Calendar'!$U$1957&lt;=MAX(DATE(Summary!$C$12,12,31),Summary!$C$15))*('Dvd Calendar'!$U$1957&gt;Summary!$C$11)=0,"",'Dvd Calendar'!$U$1957*1000000000+ISNUMBER('Dvd Calendar'!$U$1958)*100000000+('Dvd Calendar'!$U$1962='Field Check'!$C$25)*10000000+(N('Dvd Calendar'!$U$1956)&gt;0)*1000000+30*1000+57))</f>
        <v/>
      </c>
      <c r="BH142" s="41">
        <f>IF(N('Dvd Calendar'!$V$1957)=0,"",IF(('Dvd Calendar'!$V$1957&gt;=MIN(DATE(Summary!$C$12,1,1),Summary!$C$11))*('Dvd Calendar'!$V$1957&lt;=MAX(DATE(Summary!$C$12,12,31),Summary!$C$15))*('Dvd Calendar'!$V$1957&gt;Summary!$C$11)=0,"",'Dvd Calendar'!$V$1957*1000000000+ISNUMBER('Dvd Calendar'!$V$1958)*100000000+('Dvd Calendar'!$V$1962='Field Check'!$C$25)*10000000+(N('Dvd Calendar'!$V$1956)&gt;0)*1000000+30*1000+58))</f>
        <v/>
      </c>
      <c r="BI142" s="41">
        <f>IF(N('Dvd Calendar'!$W$1957)=0,"",IF(('Dvd Calendar'!$W$1957&gt;=MIN(DATE(Summary!$C$12,1,1),Summary!$C$11))*('Dvd Calendar'!$W$1957&lt;=MAX(DATE(Summary!$C$12,12,31),Summary!$C$15))*('Dvd Calendar'!$W$1957&gt;Summary!$C$11)=0,"",'Dvd Calendar'!$W$1957*1000000000+ISNUMBER('Dvd Calendar'!$W$1958)*100000000+('Dvd Calendar'!$W$1962='Field Check'!$C$25)*10000000+(N('Dvd Calendar'!$W$1956)&gt;0)*1000000+30*1000+59))</f>
        <v/>
      </c>
      <c r="BJ142" s="41">
        <f>IF(N('Dvd Calendar'!$X$1957)=0,"",IF(('Dvd Calendar'!$X$1957&gt;=MIN(DATE(Summary!$C$12,1,1),Summary!$C$11))*('Dvd Calendar'!$X$1957&lt;=MAX(DATE(Summary!$C$12,12,31),Summary!$C$15))*('Dvd Calendar'!$X$1957&gt;Summary!$C$11)=0,"",'Dvd Calendar'!$X$1957*1000000000+ISNUMBER('Dvd Calendar'!$X$1958)*100000000+('Dvd Calendar'!$X$1962='Field Check'!$C$25)*10000000+(N('Dvd Calendar'!$X$1956)&gt;0)*1000000+30*1000+60))</f>
        <v/>
      </c>
      <c r="BK142" s="41">
        <f>IF(N('Dvd Calendar'!$Y$1957)=0,"",IF(('Dvd Calendar'!$Y$1957&gt;=MIN(DATE(Summary!$C$12,1,1),Summary!$C$11))*('Dvd Calendar'!$Y$1957&lt;=MAX(DATE(Summary!$C$12,12,31),Summary!$C$15))*('Dvd Calendar'!$Y$1957&gt;Summary!$C$11)=0,"",'Dvd Calendar'!$Y$1957*1000000000+ISNUMBER('Dvd Calendar'!$Y$1958)*100000000+('Dvd Calendar'!$Y$1962='Field Check'!$C$25)*10000000+(N('Dvd Calendar'!$Y$1956)&gt;0)*1000000+30*1000+61))</f>
        <v/>
      </c>
      <c r="BL142" s="41">
        <f>IF(N('Dvd Calendar'!$Z$1957)=0,"",IF(('Dvd Calendar'!$Z$1957&gt;=MIN(DATE(Summary!$C$12,1,1),Summary!$C$11))*('Dvd Calendar'!$Z$1957&lt;=MAX(DATE(Summary!$C$12,12,31),Summary!$C$15))*('Dvd Calendar'!$Z$1957&gt;Summary!$C$11)=0,"",'Dvd Calendar'!$Z$1957*1000000000+ISNUMBER('Dvd Calendar'!$Z$1958)*100000000+('Dvd Calendar'!$Z$1962='Field Check'!$C$25)*10000000+(N('Dvd Calendar'!$Z$1956)&gt;0)*1000000+30*1000+62))</f>
        <v/>
      </c>
      <c r="BM142" s="41">
        <f>IF(N('Dvd Calendar'!$AA$1957)=0,"",IF(('Dvd Calendar'!$AA$1957&gt;=MIN(DATE(Summary!$C$12,1,1),Summary!$C$11))*('Dvd Calendar'!$AA$1957&lt;=MAX(DATE(Summary!$C$12,12,31),Summary!$C$15))*('Dvd Calendar'!$AA$1957&gt;Summary!$C$11)=0,"",'Dvd Calendar'!$AA$1957*1000000000+ISNUMBER('Dvd Calendar'!$AA$1958)*100000000+('Dvd Calendar'!$AA$1962='Field Check'!$C$25)*10000000+(N('Dvd Calendar'!$AA$1956)&gt;0)*1000000+30*1000+63))</f>
        <v/>
      </c>
      <c r="BN142" s="41">
        <f>IF(N('Dvd Calendar'!$AB$1957)=0,"",IF(('Dvd Calendar'!$AB$1957&gt;=MIN(DATE(Summary!$C$12,1,1),Summary!$C$11))*('Dvd Calendar'!$AB$1957&lt;=MAX(DATE(Summary!$C$12,12,31),Summary!$C$15))*('Dvd Calendar'!$AB$1957&gt;Summary!$C$11)=0,"",'Dvd Calendar'!$AB$1957*1000000000+ISNUMBER('Dvd Calendar'!$AB$1958)*100000000+('Dvd Calendar'!$AB$1962='Field Check'!$C$25)*10000000+(N('Dvd Calendar'!$AB$1956)&gt;0)*1000000+30*1000+64))</f>
        <v/>
      </c>
      <c r="BO142" s="41">
        <f>IF(N('Dvd Calendar'!$AC$1957)=0,"",IF(('Dvd Calendar'!$AC$1957&gt;=MIN(DATE(Summary!$C$12,1,1),Summary!$C$11))*('Dvd Calendar'!$AC$1957&lt;=MAX(DATE(Summary!$C$12,12,31),Summary!$C$15))*('Dvd Calendar'!$AC$1957&gt;Summary!$C$11)=0,"",'Dvd Calendar'!$AC$1957*1000000000+ISNUMBER('Dvd Calendar'!$AC$1958)*100000000+('Dvd Calendar'!$AC$1962='Field Check'!$C$25)*10000000+(N('Dvd Calendar'!$AC$1956)&gt;0)*1000000+30*1000+65))</f>
        <v/>
      </c>
      <c r="BQ142" s="85">
        <f>IF(C142="","",IF(ISNUMBER('Dvd Calendar'!$E$1951)=FALSE,"",IF((Summary!$C$13="N")*('Dvd Calendar'!$E$1955='Field Check'!$C$25)&gt;0,"",'Dvd Calendar'!$E$1951)))</f>
        <v/>
      </c>
      <c r="BR142" s="85">
        <f>IF(D142="","",IF(ISNUMBER('Dvd Calendar'!$F$1951)=FALSE,"",IF((Summary!$C$13="N")*('Dvd Calendar'!$F$1955='Field Check'!$C$25)&gt;0,"",'Dvd Calendar'!$F$1951)))</f>
        <v/>
      </c>
      <c r="BS142" s="85">
        <f>IF(E142="","",IF(ISNUMBER('Dvd Calendar'!$G$1951)=FALSE,"",IF((Summary!$C$13="N")*('Dvd Calendar'!$G$1955='Field Check'!$C$25)&gt;0,"",'Dvd Calendar'!$G$1951)))</f>
        <v/>
      </c>
      <c r="BT142" s="85">
        <f>IF(F142="","",IF(ISNUMBER('Dvd Calendar'!$H$1951)=FALSE,"",IF((Summary!$C$13="N")*('Dvd Calendar'!$H$1955='Field Check'!$C$25)&gt;0,"",'Dvd Calendar'!$H$1951)))</f>
        <v/>
      </c>
      <c r="BU142" s="85">
        <f>IF(G142="","",IF(ISNUMBER('Dvd Calendar'!$I$1951)=FALSE,"",IF((Summary!$C$13="N")*('Dvd Calendar'!$I$1955='Field Check'!$C$25)&gt;0,"",'Dvd Calendar'!$I$1951)))</f>
        <v/>
      </c>
      <c r="BV142" s="85">
        <f>IF(H142="","",IF(ISNUMBER('Dvd Calendar'!$J$1951)=FALSE,"",IF((Summary!$C$13="N")*('Dvd Calendar'!$J$1955='Field Check'!$C$25)&gt;0,"",'Dvd Calendar'!$J$1951)))</f>
        <v/>
      </c>
      <c r="BW142" s="85">
        <f>IF(I142="","",IF(ISNUMBER('Dvd Calendar'!$K$1951)=FALSE,"",IF((Summary!$C$13="N")*('Dvd Calendar'!$K$1955='Field Check'!$C$25)&gt;0,"",'Dvd Calendar'!$K$1951)))</f>
        <v/>
      </c>
      <c r="BX142" s="85">
        <f>IF(J142="","",IF(ISNUMBER('Dvd Calendar'!$L$1951)=FALSE,"",IF((Summary!$C$13="N")*('Dvd Calendar'!$L$1955='Field Check'!$C$25)&gt;0,"",'Dvd Calendar'!$L$1951)))</f>
        <v/>
      </c>
      <c r="BY142" s="85">
        <f>IF(K142="","",IF(ISNUMBER('Dvd Calendar'!$M$1951)=FALSE,"",IF((Summary!$C$13="N")*('Dvd Calendar'!$M$1955='Field Check'!$C$25)&gt;0,"",'Dvd Calendar'!$M$1951)))</f>
        <v/>
      </c>
      <c r="BZ142" s="85">
        <f>IF(L142="","",IF(ISNUMBER('Dvd Calendar'!$N$1951)=FALSE,"",IF((Summary!$C$13="N")*('Dvd Calendar'!$N$1955='Field Check'!$C$25)&gt;0,"",'Dvd Calendar'!$N$1951)))</f>
        <v/>
      </c>
      <c r="CA142" s="85">
        <f>IF(M142="","",IF(ISNUMBER('Dvd Calendar'!$O$1951)=FALSE,"",IF((Summary!$C$13="N")*('Dvd Calendar'!$O$1955='Field Check'!$C$25)&gt;0,"",'Dvd Calendar'!$O$1951)))</f>
        <v/>
      </c>
      <c r="CB142" s="85">
        <f>IF(N142="","",IF(ISNUMBER('Dvd Calendar'!$P$1951)=FALSE,"",IF((Summary!$C$13="N")*('Dvd Calendar'!$P$1955='Field Check'!$C$25)&gt;0,"",'Dvd Calendar'!$P$1951)))</f>
        <v/>
      </c>
      <c r="CC142" s="85">
        <f>IF(O142="","",IF(ISNUMBER('Dvd Calendar'!$Q$1951)=FALSE,"",IF((Summary!$C$13="N")*('Dvd Calendar'!$Q$1955='Field Check'!$C$25)&gt;0,"",'Dvd Calendar'!$Q$1951)))</f>
        <v/>
      </c>
      <c r="CD142" s="85">
        <f>IF(P142="","",IF(ISNUMBER('Dvd Calendar'!$R$1951)=FALSE,"",IF((Summary!$C$13="N")*('Dvd Calendar'!$R$1955='Field Check'!$C$25)&gt;0,"",'Dvd Calendar'!$R$1951)))</f>
        <v/>
      </c>
      <c r="CE142" s="85">
        <f>IF(Q142="","",IF(ISNUMBER('Dvd Calendar'!$S$1951)=FALSE,"",IF((Summary!$C$13="N")*('Dvd Calendar'!$S$1955='Field Check'!$C$25)&gt;0,"",'Dvd Calendar'!$S$1951)))</f>
        <v/>
      </c>
      <c r="CF142" s="85">
        <f>IF(R142="","",IF(ISNUMBER('Dvd Calendar'!$T$1951)=FALSE,"",IF((Summary!$C$13="N")*('Dvd Calendar'!$T$1955='Field Check'!$C$25)&gt;0,"",'Dvd Calendar'!$T$1951)))</f>
        <v/>
      </c>
      <c r="CG142" s="85">
        <f>IF(S142="","",IF(ISNUMBER('Dvd Calendar'!$U$1951)=FALSE,"",IF((Summary!$C$13="N")*('Dvd Calendar'!$U$1955='Field Check'!$C$25)&gt;0,"",'Dvd Calendar'!$U$1951)))</f>
        <v/>
      </c>
      <c r="CH142" s="85">
        <f>IF(T142="","",IF(ISNUMBER('Dvd Calendar'!$V$1951)=FALSE,"",IF((Summary!$C$13="N")*('Dvd Calendar'!$V$1955='Field Check'!$C$25)&gt;0,"",'Dvd Calendar'!$V$1951)))</f>
        <v/>
      </c>
      <c r="CI142" s="85">
        <f>IF(U142="","",IF(ISNUMBER('Dvd Calendar'!$W$1951)=FALSE,"",IF((Summary!$C$13="N")*('Dvd Calendar'!$W$1955='Field Check'!$C$25)&gt;0,"",'Dvd Calendar'!$W$1951)))</f>
        <v/>
      </c>
      <c r="CJ142" s="85">
        <f>IF(V142="","",IF(ISNUMBER('Dvd Calendar'!$X$1951)=FALSE,"",IF((Summary!$C$13="N")*('Dvd Calendar'!$X$1955='Field Check'!$C$25)&gt;0,"",'Dvd Calendar'!$X$1951)))</f>
        <v/>
      </c>
      <c r="CK142" s="85">
        <f>IF(W142="","",IF(ISNUMBER('Dvd Calendar'!$Y$1951)=FALSE,"",IF((Summary!$C$13="N")*('Dvd Calendar'!$Y$1955='Field Check'!$C$25)&gt;0,"",'Dvd Calendar'!$Y$1951)))</f>
        <v/>
      </c>
      <c r="CL142" s="85">
        <f>IF(X142="","",IF(ISNUMBER('Dvd Calendar'!$Z$1951)=FALSE,"",IF((Summary!$C$13="N")*('Dvd Calendar'!$Z$1955='Field Check'!$C$25)&gt;0,"",'Dvd Calendar'!$Z$1951)))</f>
        <v/>
      </c>
      <c r="CM142" s="85">
        <f>IF(Y142="","",IF(ISNUMBER('Dvd Calendar'!$AA$1951)=FALSE,"",IF((Summary!$C$13="N")*('Dvd Calendar'!$AA$1955='Field Check'!$C$25)&gt;0,"",'Dvd Calendar'!$AA$1951)))</f>
        <v/>
      </c>
      <c r="CN142" s="85">
        <f>IF(Z142="","",IF(ISNUMBER('Dvd Calendar'!$AB$1951)=FALSE,"",IF((Summary!$C$13="N")*('Dvd Calendar'!$AB$1955='Field Check'!$C$25)&gt;0,"",'Dvd Calendar'!$AB$1951)))</f>
        <v/>
      </c>
      <c r="CO142" s="85">
        <f>IF(AA142="","",IF(ISNUMBER('Dvd Calendar'!$AC$1951)=FALSE,"",IF((Summary!$C$13="N")*('Dvd Calendar'!$AC$1955='Field Check'!$C$25)&gt;0,"",'Dvd Calendar'!$AC$1951)))</f>
        <v/>
      </c>
      <c r="CP142" s="85">
        <f>IF(AB142="","",IF(ISNUMBER('Dvd Calendar'!$AD$1951)=FALSE,"",IF((Summary!$C$13="N")*('Dvd Calendar'!$AD$1955='Field Check'!$C$25)&gt;0,"",'Dvd Calendar'!$AD$1951)))</f>
        <v/>
      </c>
      <c r="CQ142" s="85">
        <f>IF(AC142="","",IF(ISNUMBER('Dvd Calendar'!$AE$1951)=FALSE,"",IF((Summary!$C$13="N")*('Dvd Calendar'!$AE$1955='Field Check'!$C$25)&gt;0,"",'Dvd Calendar'!$AE$1951)))</f>
        <v/>
      </c>
      <c r="CR142" s="85">
        <f>IF(AD142="","",IF(ISNUMBER('Dvd Calendar'!$AF$1951)=FALSE,"",IF((Summary!$C$13="N")*('Dvd Calendar'!$AF$1955='Field Check'!$C$25)&gt;0,"",'Dvd Calendar'!$AF$1951)))</f>
        <v/>
      </c>
      <c r="CS142" s="85">
        <f>IF(AE142="","",IF(ISNUMBER('Dvd Calendar'!$AG$1951)=FALSE,"",IF((Summary!$C$13="N")*('Dvd Calendar'!$AG$1955='Field Check'!$C$25)&gt;0,"",'Dvd Calendar'!$AG$1951)))</f>
        <v/>
      </c>
      <c r="CT142" s="85">
        <f>IF(AF142="","",IF(ISNUMBER('Dvd Calendar'!$AH$1951)=FALSE,"",IF((Summary!$C$13="N")*('Dvd Calendar'!$AH$1955='Field Check'!$C$25)&gt;0,"",'Dvd Calendar'!$AH$1951)))</f>
        <v/>
      </c>
      <c r="CU142" s="85">
        <f>IF(AG142="","",IF(ISNUMBER('Dvd Calendar'!$AI$1951)=FALSE,"",IF((Summary!$C$13="N")*('Dvd Calendar'!$AI$1955='Field Check'!$C$25)&gt;0,"",'Dvd Calendar'!$AI$1951)))</f>
        <v/>
      </c>
      <c r="CV142" s="85">
        <f>IF(AH142="","",IF(ISNUMBER('Dvd Calendar'!$AJ$1951)=FALSE,"",IF((Summary!$C$13="N")*('Dvd Calendar'!$AJ$1955='Field Check'!$C$25)&gt;0,"",'Dvd Calendar'!$AJ$1951)))</f>
        <v/>
      </c>
      <c r="CW142" s="85">
        <f>IF(AI142="","",IF(ISNUMBER('Dvd Calendar'!$AK$1951)=FALSE,"",IF((Summary!$C$13="N")*('Dvd Calendar'!$AK$1955='Field Check'!$C$25)&gt;0,"",'Dvd Calendar'!$AK$1951)))</f>
        <v/>
      </c>
      <c r="CX142" s="85">
        <f>IF(AJ142="","",IF(ISNUMBER('Dvd Calendar'!$AL$1951)=FALSE,"",IF((Summary!$C$13="N")*('Dvd Calendar'!$AL$1955='Field Check'!$C$25)&gt;0,"",'Dvd Calendar'!$AL$1951)))</f>
        <v/>
      </c>
      <c r="CY142" s="85">
        <f>IF(AK142="","",IF(ISNUMBER('Dvd Calendar'!$AM$1951)=FALSE,"",IF((Summary!$C$13="N")*('Dvd Calendar'!$AM$1955='Field Check'!$C$25)&gt;0,"",'Dvd Calendar'!$AM$1951)))</f>
        <v/>
      </c>
      <c r="CZ142" s="85">
        <f>IF(AL142="","",IF(ISNUMBER('Dvd Calendar'!$AN$1951)=FALSE,"",IF((Summary!$C$13="N")*('Dvd Calendar'!$AN$1955='Field Check'!$C$25)&gt;0,"",'Dvd Calendar'!$AN$1951)))</f>
        <v/>
      </c>
      <c r="DA142" s="85">
        <f>IF(AM142="","",IF(ISNUMBER('Dvd Calendar'!$AO$1951)=FALSE,"",IF((Summary!$C$13="N")*('Dvd Calendar'!$AO$1955='Field Check'!$C$25)&gt;0,"",'Dvd Calendar'!$AO$1951)))</f>
        <v/>
      </c>
      <c r="DB142" s="85">
        <f>IF(AN142="","",IF(ISNUMBER('Dvd Calendar'!$AP$1951)=FALSE,"",IF((Summary!$C$13="N")*('Dvd Calendar'!$AP$1955='Field Check'!$C$25)&gt;0,"",'Dvd Calendar'!$AP$1951)))</f>
        <v/>
      </c>
      <c r="DC142" s="85">
        <f>IF(AO142="","",IF(ISNUMBER('Dvd Calendar'!$AQ$1951)=FALSE,"",IF((Summary!$C$13="N")*('Dvd Calendar'!$AQ$1955='Field Check'!$C$25)&gt;0,"",'Dvd Calendar'!$AQ$1951)))</f>
        <v/>
      </c>
      <c r="DD142" s="85">
        <f>IF(AP142="","",IF(ISNUMBER('Dvd Calendar'!$AR$1951)=FALSE,"",IF((Summary!$C$13="N")*('Dvd Calendar'!$AR$1955='Field Check'!$C$25)&gt;0,"",'Dvd Calendar'!$AR$1951)))</f>
        <v/>
      </c>
      <c r="DE142" s="85">
        <f>IF(AQ142="","",IF(ISNUMBER('Dvd Calendar'!$E$1958)=FALSE,"",IF((Summary!$C$13="N")*('Dvd Calendar'!$E$1962='Field Check'!$C$25)&gt;0,"",'Dvd Calendar'!$E$1958)))</f>
        <v/>
      </c>
      <c r="DF142" s="85">
        <f>IF(AR142="","",IF(ISNUMBER('Dvd Calendar'!$F$1958)=FALSE,"",IF((Summary!$C$13="N")*('Dvd Calendar'!$F$1962='Field Check'!$C$25)&gt;0,"",'Dvd Calendar'!$F$1958)))</f>
        <v/>
      </c>
      <c r="DG142" s="85">
        <f>IF(AS142="","",IF(ISNUMBER('Dvd Calendar'!$G$1958)=FALSE,"",IF((Summary!$C$13="N")*('Dvd Calendar'!$G$1962='Field Check'!$C$25)&gt;0,"",'Dvd Calendar'!$G$1958)))</f>
        <v/>
      </c>
      <c r="DH142" s="85">
        <f>IF(AT142="","",IF(ISNUMBER('Dvd Calendar'!$H$1958)=FALSE,"",IF((Summary!$C$13="N")*('Dvd Calendar'!$H$1962='Field Check'!$C$25)&gt;0,"",'Dvd Calendar'!$H$1958)))</f>
        <v/>
      </c>
      <c r="DI142" s="85">
        <f>IF(AU142="","",IF(ISNUMBER('Dvd Calendar'!$I$1958)=FALSE,"",IF((Summary!$C$13="N")*('Dvd Calendar'!$I$1962='Field Check'!$C$25)&gt;0,"",'Dvd Calendar'!$I$1958)))</f>
        <v/>
      </c>
      <c r="DJ142" s="85">
        <f>IF(AV142="","",IF(ISNUMBER('Dvd Calendar'!$J$1958)=FALSE,"",IF((Summary!$C$13="N")*('Dvd Calendar'!$J$1962='Field Check'!$C$25)&gt;0,"",'Dvd Calendar'!$J$1958)))</f>
        <v/>
      </c>
      <c r="DK142" s="85">
        <f>IF(AW142="","",IF(ISNUMBER('Dvd Calendar'!$K$1958)=FALSE,"",IF((Summary!$C$13="N")*('Dvd Calendar'!$K$1962='Field Check'!$C$25)&gt;0,"",'Dvd Calendar'!$K$1958)))</f>
        <v/>
      </c>
      <c r="DL142" s="85">
        <f>IF(AX142="","",IF(ISNUMBER('Dvd Calendar'!$L$1958)=FALSE,"",IF((Summary!$C$13="N")*('Dvd Calendar'!$L$1962='Field Check'!$C$25)&gt;0,"",'Dvd Calendar'!$L$1958)))</f>
        <v/>
      </c>
      <c r="DM142" s="85">
        <f>IF(AY142="","",IF(ISNUMBER('Dvd Calendar'!$M$1958)=FALSE,"",IF((Summary!$C$13="N")*('Dvd Calendar'!$M$1962='Field Check'!$C$25)&gt;0,"",'Dvd Calendar'!$M$1958)))</f>
        <v/>
      </c>
      <c r="DN142" s="85">
        <f>IF(AZ142="","",IF(ISNUMBER('Dvd Calendar'!$N$1958)=FALSE,"",IF((Summary!$C$13="N")*('Dvd Calendar'!$N$1962='Field Check'!$C$25)&gt;0,"",'Dvd Calendar'!$N$1958)))</f>
        <v/>
      </c>
      <c r="DO142" s="85">
        <f>IF(BA142="","",IF(ISNUMBER('Dvd Calendar'!$O$1958)=FALSE,"",IF((Summary!$C$13="N")*('Dvd Calendar'!$O$1962='Field Check'!$C$25)&gt;0,"",'Dvd Calendar'!$O$1958)))</f>
        <v/>
      </c>
      <c r="DP142" s="85">
        <f>IF(BB142="","",IF(ISNUMBER('Dvd Calendar'!$P$1958)=FALSE,"",IF((Summary!$C$13="N")*('Dvd Calendar'!$P$1962='Field Check'!$C$25)&gt;0,"",'Dvd Calendar'!$P$1958)))</f>
        <v/>
      </c>
      <c r="DQ142" s="85">
        <f>IF(BC142="","",IF(ISNUMBER('Dvd Calendar'!$Q$1958)=FALSE,"",IF((Summary!$C$13="N")*('Dvd Calendar'!$Q$1962='Field Check'!$C$25)&gt;0,"",'Dvd Calendar'!$Q$1958)))</f>
        <v/>
      </c>
      <c r="DR142" s="85">
        <f>IF(BD142="","",IF(ISNUMBER('Dvd Calendar'!$R$1958)=FALSE,"",IF((Summary!$C$13="N")*('Dvd Calendar'!$R$1962='Field Check'!$C$25)&gt;0,"",'Dvd Calendar'!$R$1958)))</f>
        <v/>
      </c>
      <c r="DS142" s="85">
        <f>IF(BE142="","",IF(ISNUMBER('Dvd Calendar'!$S$1958)=FALSE,"",IF((Summary!$C$13="N")*('Dvd Calendar'!$S$1962='Field Check'!$C$25)&gt;0,"",'Dvd Calendar'!$S$1958)))</f>
        <v/>
      </c>
      <c r="DT142" s="85">
        <f>IF(BF142="","",IF(ISNUMBER('Dvd Calendar'!$T$1958)=FALSE,"",IF((Summary!$C$13="N")*('Dvd Calendar'!$T$1962='Field Check'!$C$25)&gt;0,"",'Dvd Calendar'!$T$1958)))</f>
        <v/>
      </c>
      <c r="DU142" s="85">
        <f>IF(BG142="","",IF(ISNUMBER('Dvd Calendar'!$U$1958)=FALSE,"",IF((Summary!$C$13="N")*('Dvd Calendar'!$U$1962='Field Check'!$C$25)&gt;0,"",'Dvd Calendar'!$U$1958)))</f>
        <v/>
      </c>
      <c r="DV142" s="85">
        <f>IF(BH142="","",IF(ISNUMBER('Dvd Calendar'!$V$1958)=FALSE,"",IF((Summary!$C$13="N")*('Dvd Calendar'!$V$1962='Field Check'!$C$25)&gt;0,"",'Dvd Calendar'!$V$1958)))</f>
        <v/>
      </c>
      <c r="DW142" s="85">
        <f>IF(BI142="","",IF(ISNUMBER('Dvd Calendar'!$W$1958)=FALSE,"",IF((Summary!$C$13="N")*('Dvd Calendar'!$W$1962='Field Check'!$C$25)&gt;0,"",'Dvd Calendar'!$W$1958)))</f>
        <v/>
      </c>
      <c r="DX142" s="85">
        <f>IF(BJ142="","",IF(ISNUMBER('Dvd Calendar'!$X$1958)=FALSE,"",IF((Summary!$C$13="N")*('Dvd Calendar'!$X$1962='Field Check'!$C$25)&gt;0,"",'Dvd Calendar'!$X$1958)))</f>
        <v/>
      </c>
      <c r="DY142" s="85">
        <f>IF(BK142="","",IF(ISNUMBER('Dvd Calendar'!$Y$1958)=FALSE,"",IF((Summary!$C$13="N")*('Dvd Calendar'!$Y$1962='Field Check'!$C$25)&gt;0,"",'Dvd Calendar'!$Y$1958)))</f>
        <v/>
      </c>
      <c r="DZ142" s="85">
        <f>IF(BL142="","",IF(ISNUMBER('Dvd Calendar'!$Z$1958)=FALSE,"",IF((Summary!$C$13="N")*('Dvd Calendar'!$Z$1962='Field Check'!$C$25)&gt;0,"",'Dvd Calendar'!$Z$1958)))</f>
        <v/>
      </c>
      <c r="EA142" s="85">
        <f>IF(BM142="","",IF(ISNUMBER('Dvd Calendar'!$AA$1958)=FALSE,"",IF((Summary!$C$13="N")*('Dvd Calendar'!$AA$1962='Field Check'!$C$25)&gt;0,"",'Dvd Calendar'!$AA$1958)))</f>
        <v/>
      </c>
      <c r="EB142" s="85">
        <f>IF(BN142="","",IF(ISNUMBER('Dvd Calendar'!$AB$1958)=FALSE,"",IF((Summary!$C$13="N")*('Dvd Calendar'!$AB$1962='Field Check'!$C$25)&gt;0,"",'Dvd Calendar'!$AB$1958)))</f>
        <v/>
      </c>
      <c r="EC142" s="85">
        <f>IF(BO142="","",IF(ISNUMBER('Dvd Calendar'!$AC$1958)=FALSE,"",IF((Summary!$C$13="N")*('Dvd Calendar'!$AC$1962='Field Check'!$C$25)&gt;0,"",'Dvd Calendar'!$AC$1958)))</f>
        <v/>
      </c>
      <c r="EE142" s="85">
        <f>IF(BQ142="","",IFERROR(BQ142*HSTECH!$B$36*HSTECH!$G$36/HSTECH!$B$3,""))</f>
        <v/>
      </c>
      <c r="EF142" s="85">
        <f>IF(BR142="","",IFERROR(BR142*HSTECH!$B$36*HSTECH!$G$36/HSTECH!$B$3,""))</f>
        <v/>
      </c>
      <c r="EG142" s="85">
        <f>IF(BS142="","",IFERROR(BS142*HSTECH!$B$36*HSTECH!$G$36/HSTECH!$B$3,""))</f>
        <v/>
      </c>
      <c r="EH142" s="85">
        <f>IF(BT142="","",IFERROR(BT142*HSTECH!$B$36*HSTECH!$G$36/HSTECH!$B$3,""))</f>
        <v/>
      </c>
      <c r="EI142" s="85">
        <f>IF(BU142="","",IFERROR(BU142*HSTECH!$B$36*HSTECH!$G$36/HSTECH!$B$3,""))</f>
        <v/>
      </c>
      <c r="EJ142" s="85">
        <f>IF(BV142="","",IFERROR(BV142*HSTECH!$B$36*HSTECH!$G$36/HSTECH!$B$3,""))</f>
        <v/>
      </c>
      <c r="EK142" s="85">
        <f>IF(BW142="","",IFERROR(BW142*HSTECH!$B$36*HSTECH!$G$36/HSTECH!$B$3,""))</f>
        <v/>
      </c>
      <c r="EL142" s="85">
        <f>IF(BX142="","",IFERROR(BX142*HSTECH!$B$36*HSTECH!$G$36/HSTECH!$B$3,""))</f>
        <v/>
      </c>
      <c r="EM142" s="85">
        <f>IF(BY142="","",IFERROR(BY142*HSTECH!$B$36*HSTECH!$G$36/HSTECH!$B$3,""))</f>
        <v/>
      </c>
      <c r="EN142" s="85">
        <f>IF(BZ142="","",IFERROR(BZ142*HSTECH!$B$36*HSTECH!$G$36/HSTECH!$B$3,""))</f>
        <v/>
      </c>
      <c r="EO142" s="85">
        <f>IF(CA142="","",IFERROR(CA142*HSTECH!$B$36*HSTECH!$G$36/HSTECH!$B$3,""))</f>
        <v/>
      </c>
      <c r="EP142" s="85">
        <f>IF(CB142="","",IFERROR(CB142*HSTECH!$B$36*HSTECH!$G$36/HSTECH!$B$3,""))</f>
        <v/>
      </c>
      <c r="EQ142" s="85">
        <f>IF(CC142="","",IFERROR(CC142*HSTECH!$B$36*HSTECH!$G$36/HSTECH!$B$3,""))</f>
        <v/>
      </c>
      <c r="ER142" s="85">
        <f>IF(CD142="","",IFERROR(CD142*HSTECH!$B$36*HSTECH!$G$36/HSTECH!$B$3,""))</f>
        <v/>
      </c>
      <c r="ES142" s="85">
        <f>IF(CE142="","",IFERROR(CE142*HSTECH!$B$36*HSTECH!$G$36/HSTECH!$B$3,""))</f>
        <v/>
      </c>
      <c r="ET142" s="85">
        <f>IF(CF142="","",IFERROR(CF142*HSTECH!$B$36*HSTECH!$G$36/HSTECH!$B$3,""))</f>
        <v/>
      </c>
      <c r="EU142" s="85">
        <f>IF(CG142="","",IFERROR(CG142*HSTECH!$B$36*HSTECH!$G$36/HSTECH!$B$3,""))</f>
        <v/>
      </c>
      <c r="EV142" s="85">
        <f>IF(CH142="","",IFERROR(CH142*HSTECH!$B$36*HSTECH!$G$36/HSTECH!$B$3,""))</f>
        <v/>
      </c>
      <c r="EW142" s="85">
        <f>IF(CI142="","",IFERROR(CI142*HSTECH!$B$36*HSTECH!$G$36/HSTECH!$B$3,""))</f>
        <v/>
      </c>
      <c r="EX142" s="85">
        <f>IF(CJ142="","",IFERROR(CJ142*HSTECH!$B$36*HSTECH!$G$36/HSTECH!$B$3,""))</f>
        <v/>
      </c>
      <c r="EY142" s="85">
        <f>IF(CK142="","",IFERROR(CK142*HSTECH!$B$36*HSTECH!$G$36/HSTECH!$B$3,""))</f>
        <v/>
      </c>
      <c r="EZ142" s="85">
        <f>IF(CL142="","",IFERROR(CL142*HSTECH!$B$36*HSTECH!$G$36/HSTECH!$B$3,""))</f>
        <v/>
      </c>
      <c r="FA142" s="85">
        <f>IF(CM142="","",IFERROR(CM142*HSTECH!$B$36*HSTECH!$G$36/HSTECH!$B$3,""))</f>
        <v/>
      </c>
      <c r="FB142" s="85">
        <f>IF(CN142="","",IFERROR(CN142*HSTECH!$B$36*HSTECH!$G$36/HSTECH!$B$3,""))</f>
        <v/>
      </c>
      <c r="FC142" s="85">
        <f>IF(CO142="","",IFERROR(CO142*HSTECH!$B$36*HSTECH!$G$36/HSTECH!$B$3,""))</f>
        <v/>
      </c>
      <c r="FD142" s="85">
        <f>IF(CP142="","",IFERROR(CP142*HSTECH!$B$36*HSTECH!$G$36/HSTECH!$B$3,""))</f>
        <v/>
      </c>
      <c r="FE142" s="85">
        <f>IF(CQ142="","",IFERROR(CQ142*HSTECH!$B$36*HSTECH!$G$36/HSTECH!$B$3,""))</f>
        <v/>
      </c>
      <c r="FF142" s="85">
        <f>IF(CR142="","",IFERROR(CR142*HSTECH!$B$36*HSTECH!$G$36/HSTECH!$B$3,""))</f>
        <v/>
      </c>
      <c r="FG142" s="85">
        <f>IF(CS142="","",IFERROR(CS142*HSTECH!$B$36*HSTECH!$G$36/HSTECH!$B$3,""))</f>
        <v/>
      </c>
      <c r="FH142" s="85">
        <f>IF(CT142="","",IFERROR(CT142*HSTECH!$B$36*HSTECH!$G$36/HSTECH!$B$3,""))</f>
        <v/>
      </c>
      <c r="FI142" s="85">
        <f>IF(CU142="","",IFERROR(CU142*HSTECH!$B$36*HSTECH!$G$36/HSTECH!$B$3,""))</f>
        <v/>
      </c>
      <c r="FJ142" s="85">
        <f>IF(CV142="","",IFERROR(CV142*HSTECH!$B$36*HSTECH!$G$36/HSTECH!$B$3,""))</f>
        <v/>
      </c>
      <c r="FK142" s="85">
        <f>IF(CW142="","",IFERROR(CW142*HSTECH!$B$36*HSTECH!$G$36/HSTECH!$B$3,""))</f>
        <v/>
      </c>
      <c r="FL142" s="85">
        <f>IF(CX142="","",IFERROR(CX142*HSTECH!$B$36*HSTECH!$G$36/HSTECH!$B$3,""))</f>
        <v/>
      </c>
      <c r="FM142" s="85">
        <f>IF(CY142="","",IFERROR(CY142*HSTECH!$B$36*HSTECH!$G$36/HSTECH!$B$3,""))</f>
        <v/>
      </c>
      <c r="FN142" s="85">
        <f>IF(CZ142="","",IFERROR(CZ142*HSTECH!$B$36*HSTECH!$G$36/HSTECH!$B$3,""))</f>
        <v/>
      </c>
      <c r="FO142" s="85">
        <f>IF(DA142="","",IFERROR(DA142*HSTECH!$B$36*HSTECH!$G$36/HSTECH!$B$3,""))</f>
        <v/>
      </c>
      <c r="FP142" s="85">
        <f>IF(DB142="","",IFERROR(DB142*HSTECH!$B$36*HSTECH!$G$36/HSTECH!$B$3,""))</f>
        <v/>
      </c>
      <c r="FQ142" s="85">
        <f>IF(DC142="","",IFERROR(DC142*HSTECH!$B$36*HSTECH!$G$36/HSTECH!$B$3,""))</f>
        <v/>
      </c>
      <c r="FR142" s="85">
        <f>IF(DD142="","",IFERROR(DD142*HSTECH!$B$36*HSTECH!$G$36/HSTECH!$B$3,""))</f>
        <v/>
      </c>
      <c r="FS142" s="85">
        <f>IF(DE142="","",IFERROR(DE142*HSTECH!$B$36*HSTECH!$G$36/HSTECH!$B$3,""))</f>
        <v/>
      </c>
      <c r="FT142" s="85">
        <f>IF(DF142="","",IFERROR(DF142*HSTECH!$B$36*HSTECH!$G$36/HSTECH!$B$3,""))</f>
        <v/>
      </c>
      <c r="FU142" s="85">
        <f>IF(DG142="","",IFERROR(DG142*HSTECH!$B$36*HSTECH!$G$36/HSTECH!$B$3,""))</f>
        <v/>
      </c>
      <c r="FV142" s="85">
        <f>IF(DH142="","",IFERROR(DH142*HSTECH!$B$36*HSTECH!$G$36/HSTECH!$B$3,""))</f>
        <v/>
      </c>
      <c r="FW142" s="85">
        <f>IF(DI142="","",IFERROR(DI142*HSTECH!$B$36*HSTECH!$G$36/HSTECH!$B$3,""))</f>
        <v/>
      </c>
      <c r="FX142" s="85">
        <f>IF(DJ142="","",IFERROR(DJ142*HSTECH!$B$36*HSTECH!$G$36/HSTECH!$B$3,""))</f>
        <v/>
      </c>
      <c r="FY142" s="85">
        <f>IF(DK142="","",IFERROR(DK142*HSTECH!$B$36*HSTECH!$G$36/HSTECH!$B$3,""))</f>
        <v/>
      </c>
      <c r="FZ142" s="85">
        <f>IF(DL142="","",IFERROR(DL142*HSTECH!$B$36*HSTECH!$G$36/HSTECH!$B$3,""))</f>
        <v/>
      </c>
      <c r="GA142" s="85">
        <f>IF(DM142="","",IFERROR(DM142*HSTECH!$B$36*HSTECH!$G$36/HSTECH!$B$3,""))</f>
        <v/>
      </c>
      <c r="GB142" s="85">
        <f>IF(DN142="","",IFERROR(DN142*HSTECH!$B$36*HSTECH!$G$36/HSTECH!$B$3,""))</f>
        <v/>
      </c>
      <c r="GC142" s="85">
        <f>IF(DO142="","",IFERROR(DO142*HSTECH!$B$36*HSTECH!$G$36/HSTECH!$B$3,""))</f>
        <v/>
      </c>
      <c r="GD142" s="85">
        <f>IF(DP142="","",IFERROR(DP142*HSTECH!$B$36*HSTECH!$G$36/HSTECH!$B$3,""))</f>
        <v/>
      </c>
      <c r="GE142" s="85">
        <f>IF(DQ142="","",IFERROR(DQ142*HSTECH!$B$36*HSTECH!$G$36/HSTECH!$B$3,""))</f>
        <v/>
      </c>
      <c r="GF142" s="85">
        <f>IF(DR142="","",IFERROR(DR142*HSTECH!$B$36*HSTECH!$G$36/HSTECH!$B$3,""))</f>
        <v/>
      </c>
      <c r="GG142" s="85">
        <f>IF(DS142="","",IFERROR(DS142*HSTECH!$B$36*HSTECH!$G$36/HSTECH!$B$3,""))</f>
        <v/>
      </c>
      <c r="GH142" s="85">
        <f>IF(DT142="","",IFERROR(DT142*HSTECH!$B$36*HSTECH!$G$36/HSTECH!$B$3,""))</f>
        <v/>
      </c>
      <c r="GI142" s="85">
        <f>IF(DU142="","",IFERROR(DU142*HSTECH!$B$36*HSTECH!$G$36/HSTECH!$B$3,""))</f>
        <v/>
      </c>
      <c r="GJ142" s="85">
        <f>IF(DV142="","",IFERROR(DV142*HSTECH!$B$36*HSTECH!$G$36/HSTECH!$B$3,""))</f>
        <v/>
      </c>
      <c r="GK142" s="85">
        <f>IF(DW142="","",IFERROR(DW142*HSTECH!$B$36*HSTECH!$G$36/HSTECH!$B$3,""))</f>
        <v/>
      </c>
      <c r="GL142" s="85">
        <f>IF(DX142="","",IFERROR(DX142*HSTECH!$B$36*HSTECH!$G$36/HSTECH!$B$3,""))</f>
        <v/>
      </c>
      <c r="GM142" s="85">
        <f>IF(DY142="","",IFERROR(DY142*HSTECH!$B$36*HSTECH!$G$36/HSTECH!$B$3,""))</f>
        <v/>
      </c>
      <c r="GN142" s="85">
        <f>IF(DZ142="","",IFERROR(DZ142*HSTECH!$B$36*HSTECH!$G$36/HSTECH!$B$3,""))</f>
        <v/>
      </c>
      <c r="GO142" s="85">
        <f>IF(EA142="","",IFERROR(EA142*HSTECH!$B$36*HSTECH!$G$36/HSTECH!$B$3,""))</f>
        <v/>
      </c>
      <c r="GP142" s="85">
        <f>IF(EB142="","",IFERROR(EB142*HSTECH!$B$36*HSTECH!$G$36/HSTECH!$B$3,""))</f>
        <v/>
      </c>
      <c r="GQ142" s="85">
        <f>IF(EC142="","",IFERROR(EC142*HSTECH!$B$36*HSTECH!$G$36/HSTECH!$B$3,""))</f>
        <v/>
      </c>
    </row>
    <row r="143">
      <c r="B143" s="2">
        <f>IF(HSTECH!$C$37="","",HSTECH!$C$37)</f>
        <v/>
      </c>
      <c r="C143" s="41">
        <f>IF(N('Dvd Calendar'!$E$1965)=0,"",IF(('Dvd Calendar'!$E$1965&gt;=MIN(DATE(Summary!$C$12,1,1),Summary!$C$11))*('Dvd Calendar'!$E$1965&lt;=MAX(DATE(Summary!$C$12,12,31),Summary!$C$15))*('Dvd Calendar'!$E$1965&lt;=Summary!$C$11)=0,"",'Dvd Calendar'!$E$1965*1000000000+ISNUMBER('Dvd Calendar'!$E$1966)*100000000+('Dvd Calendar'!$E$1970='Field Check'!$C$25)*10000000+(N('Dvd Calendar'!$E$1964)&gt;0)*1000000+31*1000+1))</f>
        <v/>
      </c>
      <c r="D143" s="41">
        <f>IF(N('Dvd Calendar'!$F$1965)=0,"",IF(('Dvd Calendar'!$F$1965&gt;=MIN(DATE(Summary!$C$12,1,1),Summary!$C$11))*('Dvd Calendar'!$F$1965&lt;=MAX(DATE(Summary!$C$12,12,31),Summary!$C$15))*('Dvd Calendar'!$F$1965&lt;=Summary!$C$11)=0,"",'Dvd Calendar'!$F$1965*1000000000+ISNUMBER('Dvd Calendar'!$F$1966)*100000000+('Dvd Calendar'!$F$1970='Field Check'!$C$25)*10000000+(N('Dvd Calendar'!$F$1964)&gt;0)*1000000+31*1000+2))</f>
        <v/>
      </c>
      <c r="E143" s="41">
        <f>IF(N('Dvd Calendar'!$G$1965)=0,"",IF(('Dvd Calendar'!$G$1965&gt;=MIN(DATE(Summary!$C$12,1,1),Summary!$C$11))*('Dvd Calendar'!$G$1965&lt;=MAX(DATE(Summary!$C$12,12,31),Summary!$C$15))*('Dvd Calendar'!$G$1965&lt;=Summary!$C$11)=0,"",'Dvd Calendar'!$G$1965*1000000000+ISNUMBER('Dvd Calendar'!$G$1966)*100000000+('Dvd Calendar'!$G$1970='Field Check'!$C$25)*10000000+(N('Dvd Calendar'!$G$1964)&gt;0)*1000000+31*1000+3))</f>
        <v/>
      </c>
      <c r="F143" s="41">
        <f>IF(N('Dvd Calendar'!$H$1965)=0,"",IF(('Dvd Calendar'!$H$1965&gt;=MIN(DATE(Summary!$C$12,1,1),Summary!$C$11))*('Dvd Calendar'!$H$1965&lt;=MAX(DATE(Summary!$C$12,12,31),Summary!$C$15))*('Dvd Calendar'!$H$1965&lt;=Summary!$C$11)=0,"",'Dvd Calendar'!$H$1965*1000000000+ISNUMBER('Dvd Calendar'!$H$1966)*100000000+('Dvd Calendar'!$H$1970='Field Check'!$C$25)*10000000+(N('Dvd Calendar'!$H$1964)&gt;0)*1000000+31*1000+4))</f>
        <v/>
      </c>
      <c r="G143" s="41">
        <f>IF(N('Dvd Calendar'!$I$1965)=0,"",IF(('Dvd Calendar'!$I$1965&gt;=MIN(DATE(Summary!$C$12,1,1),Summary!$C$11))*('Dvd Calendar'!$I$1965&lt;=MAX(DATE(Summary!$C$12,12,31),Summary!$C$15))*('Dvd Calendar'!$I$1965&lt;=Summary!$C$11)=0,"",'Dvd Calendar'!$I$1965*1000000000+ISNUMBER('Dvd Calendar'!$I$1966)*100000000+('Dvd Calendar'!$I$1970='Field Check'!$C$25)*10000000+(N('Dvd Calendar'!$I$1964)&gt;0)*1000000+31*1000+5))</f>
        <v/>
      </c>
      <c r="H143" s="41">
        <f>IF(N('Dvd Calendar'!$J$1965)=0,"",IF(('Dvd Calendar'!$J$1965&gt;=MIN(DATE(Summary!$C$12,1,1),Summary!$C$11))*('Dvd Calendar'!$J$1965&lt;=MAX(DATE(Summary!$C$12,12,31),Summary!$C$15))*('Dvd Calendar'!$J$1965&lt;=Summary!$C$11)=0,"",'Dvd Calendar'!$J$1965*1000000000+ISNUMBER('Dvd Calendar'!$J$1966)*100000000+('Dvd Calendar'!$J$1970='Field Check'!$C$25)*10000000+(N('Dvd Calendar'!$J$1964)&gt;0)*1000000+31*1000+6))</f>
        <v/>
      </c>
      <c r="I143" s="41">
        <f>IF(N('Dvd Calendar'!$K$1965)=0,"",IF(('Dvd Calendar'!$K$1965&gt;=MIN(DATE(Summary!$C$12,1,1),Summary!$C$11))*('Dvd Calendar'!$K$1965&lt;=MAX(DATE(Summary!$C$12,12,31),Summary!$C$15))*('Dvd Calendar'!$K$1965&lt;=Summary!$C$11)=0,"",'Dvd Calendar'!$K$1965*1000000000+ISNUMBER('Dvd Calendar'!$K$1966)*100000000+('Dvd Calendar'!$K$1970='Field Check'!$C$25)*10000000+(N('Dvd Calendar'!$K$1964)&gt;0)*1000000+31*1000+7))</f>
        <v/>
      </c>
      <c r="J143" s="41">
        <f>IF(N('Dvd Calendar'!$L$1965)=0,"",IF(('Dvd Calendar'!$L$1965&gt;=MIN(DATE(Summary!$C$12,1,1),Summary!$C$11))*('Dvd Calendar'!$L$1965&lt;=MAX(DATE(Summary!$C$12,12,31),Summary!$C$15))*('Dvd Calendar'!$L$1965&lt;=Summary!$C$11)=0,"",'Dvd Calendar'!$L$1965*1000000000+ISNUMBER('Dvd Calendar'!$L$1966)*100000000+('Dvd Calendar'!$L$1970='Field Check'!$C$25)*10000000+(N('Dvd Calendar'!$L$1964)&gt;0)*1000000+31*1000+8))</f>
        <v/>
      </c>
      <c r="K143" s="41">
        <f>IF(N('Dvd Calendar'!$M$1965)=0,"",IF(('Dvd Calendar'!$M$1965&gt;=MIN(DATE(Summary!$C$12,1,1),Summary!$C$11))*('Dvd Calendar'!$M$1965&lt;=MAX(DATE(Summary!$C$12,12,31),Summary!$C$15))*('Dvd Calendar'!$M$1965&lt;=Summary!$C$11)=0,"",'Dvd Calendar'!$M$1965*1000000000+ISNUMBER('Dvd Calendar'!$M$1966)*100000000+('Dvd Calendar'!$M$1970='Field Check'!$C$25)*10000000+(N('Dvd Calendar'!$M$1964)&gt;0)*1000000+31*1000+9))</f>
        <v/>
      </c>
      <c r="L143" s="41">
        <f>IF(N('Dvd Calendar'!$N$1965)=0,"",IF(('Dvd Calendar'!$N$1965&gt;=MIN(DATE(Summary!$C$12,1,1),Summary!$C$11))*('Dvd Calendar'!$N$1965&lt;=MAX(DATE(Summary!$C$12,12,31),Summary!$C$15))*('Dvd Calendar'!$N$1965&lt;=Summary!$C$11)=0,"",'Dvd Calendar'!$N$1965*1000000000+ISNUMBER('Dvd Calendar'!$N$1966)*100000000+('Dvd Calendar'!$N$1970='Field Check'!$C$25)*10000000+(N('Dvd Calendar'!$N$1964)&gt;0)*1000000+31*1000+10))</f>
        <v/>
      </c>
      <c r="M143" s="41">
        <f>IF(N('Dvd Calendar'!$O$1965)=0,"",IF(('Dvd Calendar'!$O$1965&gt;=MIN(DATE(Summary!$C$12,1,1),Summary!$C$11))*('Dvd Calendar'!$O$1965&lt;=MAX(DATE(Summary!$C$12,12,31),Summary!$C$15))*('Dvd Calendar'!$O$1965&lt;=Summary!$C$11)=0,"",'Dvd Calendar'!$O$1965*1000000000+ISNUMBER('Dvd Calendar'!$O$1966)*100000000+('Dvd Calendar'!$O$1970='Field Check'!$C$25)*10000000+(N('Dvd Calendar'!$O$1964)&gt;0)*1000000+31*1000+11))</f>
        <v/>
      </c>
      <c r="N143" s="41">
        <f>IF(N('Dvd Calendar'!$P$1965)=0,"",IF(('Dvd Calendar'!$P$1965&gt;=MIN(DATE(Summary!$C$12,1,1),Summary!$C$11))*('Dvd Calendar'!$P$1965&lt;=MAX(DATE(Summary!$C$12,12,31),Summary!$C$15))*('Dvd Calendar'!$P$1965&lt;=Summary!$C$11)=0,"",'Dvd Calendar'!$P$1965*1000000000+ISNUMBER('Dvd Calendar'!$P$1966)*100000000+('Dvd Calendar'!$P$1970='Field Check'!$C$25)*10000000+(N('Dvd Calendar'!$P$1964)&gt;0)*1000000+31*1000+12))</f>
        <v/>
      </c>
      <c r="O143" s="41">
        <f>IF(N('Dvd Calendar'!$Q$1965)=0,"",IF(('Dvd Calendar'!$Q$1965&gt;=MIN(DATE(Summary!$C$12,1,1),Summary!$C$11))*('Dvd Calendar'!$Q$1965&lt;=MAX(DATE(Summary!$C$12,12,31),Summary!$C$15))*('Dvd Calendar'!$Q$1965&lt;=Summary!$C$11)=0,"",'Dvd Calendar'!$Q$1965*1000000000+ISNUMBER('Dvd Calendar'!$Q$1966)*100000000+('Dvd Calendar'!$Q$1970='Field Check'!$C$25)*10000000+(N('Dvd Calendar'!$Q$1964)&gt;0)*1000000+31*1000+13))</f>
        <v/>
      </c>
      <c r="P143" s="41">
        <f>IF(N('Dvd Calendar'!$R$1965)=0,"",IF(('Dvd Calendar'!$R$1965&gt;=MIN(DATE(Summary!$C$12,1,1),Summary!$C$11))*('Dvd Calendar'!$R$1965&lt;=MAX(DATE(Summary!$C$12,12,31),Summary!$C$15))*('Dvd Calendar'!$R$1965&lt;=Summary!$C$11)=0,"",'Dvd Calendar'!$R$1965*1000000000+ISNUMBER('Dvd Calendar'!$R$1966)*100000000+('Dvd Calendar'!$R$1970='Field Check'!$C$25)*10000000+(N('Dvd Calendar'!$R$1964)&gt;0)*1000000+31*1000+14))</f>
        <v/>
      </c>
      <c r="Q143" s="41">
        <f>IF(N('Dvd Calendar'!$S$1965)=0,"",IF(('Dvd Calendar'!$S$1965&gt;=MIN(DATE(Summary!$C$12,1,1),Summary!$C$11))*('Dvd Calendar'!$S$1965&lt;=MAX(DATE(Summary!$C$12,12,31),Summary!$C$15))*('Dvd Calendar'!$S$1965&lt;=Summary!$C$11)=0,"",'Dvd Calendar'!$S$1965*1000000000+ISNUMBER('Dvd Calendar'!$S$1966)*100000000+('Dvd Calendar'!$S$1970='Field Check'!$C$25)*10000000+(N('Dvd Calendar'!$S$1964)&gt;0)*1000000+31*1000+15))</f>
        <v/>
      </c>
      <c r="R143" s="41">
        <f>IF(N('Dvd Calendar'!$T$1965)=0,"",IF(('Dvd Calendar'!$T$1965&gt;=MIN(DATE(Summary!$C$12,1,1),Summary!$C$11))*('Dvd Calendar'!$T$1965&lt;=MAX(DATE(Summary!$C$12,12,31),Summary!$C$15))*('Dvd Calendar'!$T$1965&lt;=Summary!$C$11)=0,"",'Dvd Calendar'!$T$1965*1000000000+ISNUMBER('Dvd Calendar'!$T$1966)*100000000+('Dvd Calendar'!$T$1970='Field Check'!$C$25)*10000000+(N('Dvd Calendar'!$T$1964)&gt;0)*1000000+31*1000+16))</f>
        <v/>
      </c>
      <c r="S143" s="41">
        <f>IF(N('Dvd Calendar'!$U$1965)=0,"",IF(('Dvd Calendar'!$U$1965&gt;=MIN(DATE(Summary!$C$12,1,1),Summary!$C$11))*('Dvd Calendar'!$U$1965&lt;=MAX(DATE(Summary!$C$12,12,31),Summary!$C$15))*('Dvd Calendar'!$U$1965&lt;=Summary!$C$11)=0,"",'Dvd Calendar'!$U$1965*1000000000+ISNUMBER('Dvd Calendar'!$U$1966)*100000000+('Dvd Calendar'!$U$1970='Field Check'!$C$25)*10000000+(N('Dvd Calendar'!$U$1964)&gt;0)*1000000+31*1000+17))</f>
        <v/>
      </c>
      <c r="T143" s="41">
        <f>IF(N('Dvd Calendar'!$V$1965)=0,"",IF(('Dvd Calendar'!$V$1965&gt;=MIN(DATE(Summary!$C$12,1,1),Summary!$C$11))*('Dvd Calendar'!$V$1965&lt;=MAX(DATE(Summary!$C$12,12,31),Summary!$C$15))*('Dvd Calendar'!$V$1965&lt;=Summary!$C$11)=0,"",'Dvd Calendar'!$V$1965*1000000000+ISNUMBER('Dvd Calendar'!$V$1966)*100000000+('Dvd Calendar'!$V$1970='Field Check'!$C$25)*10000000+(N('Dvd Calendar'!$V$1964)&gt;0)*1000000+31*1000+18))</f>
        <v/>
      </c>
      <c r="U143" s="41">
        <f>IF(N('Dvd Calendar'!$W$1965)=0,"",IF(('Dvd Calendar'!$W$1965&gt;=MIN(DATE(Summary!$C$12,1,1),Summary!$C$11))*('Dvd Calendar'!$W$1965&lt;=MAX(DATE(Summary!$C$12,12,31),Summary!$C$15))*('Dvd Calendar'!$W$1965&lt;=Summary!$C$11)=0,"",'Dvd Calendar'!$W$1965*1000000000+ISNUMBER('Dvd Calendar'!$W$1966)*100000000+('Dvd Calendar'!$W$1970='Field Check'!$C$25)*10000000+(N('Dvd Calendar'!$W$1964)&gt;0)*1000000+31*1000+19))</f>
        <v/>
      </c>
      <c r="V143" s="41">
        <f>IF(N('Dvd Calendar'!$X$1965)=0,"",IF(('Dvd Calendar'!$X$1965&gt;=MIN(DATE(Summary!$C$12,1,1),Summary!$C$11))*('Dvd Calendar'!$X$1965&lt;=MAX(DATE(Summary!$C$12,12,31),Summary!$C$15))*('Dvd Calendar'!$X$1965&lt;=Summary!$C$11)=0,"",'Dvd Calendar'!$X$1965*1000000000+ISNUMBER('Dvd Calendar'!$X$1966)*100000000+('Dvd Calendar'!$X$1970='Field Check'!$C$25)*10000000+(N('Dvd Calendar'!$X$1964)&gt;0)*1000000+31*1000+20))</f>
        <v/>
      </c>
      <c r="W143" s="41">
        <f>IF(N('Dvd Calendar'!$Y$1965)=0,"",IF(('Dvd Calendar'!$Y$1965&gt;=MIN(DATE(Summary!$C$12,1,1),Summary!$C$11))*('Dvd Calendar'!$Y$1965&lt;=MAX(DATE(Summary!$C$12,12,31),Summary!$C$15))*('Dvd Calendar'!$Y$1965&lt;=Summary!$C$11)=0,"",'Dvd Calendar'!$Y$1965*1000000000+ISNUMBER('Dvd Calendar'!$Y$1966)*100000000+('Dvd Calendar'!$Y$1970='Field Check'!$C$25)*10000000+(N('Dvd Calendar'!$Y$1964)&gt;0)*1000000+31*1000+21))</f>
        <v/>
      </c>
      <c r="X143" s="41">
        <f>IF(N('Dvd Calendar'!$Z$1965)=0,"",IF(('Dvd Calendar'!$Z$1965&gt;=MIN(DATE(Summary!$C$12,1,1),Summary!$C$11))*('Dvd Calendar'!$Z$1965&lt;=MAX(DATE(Summary!$C$12,12,31),Summary!$C$15))*('Dvd Calendar'!$Z$1965&lt;=Summary!$C$11)=0,"",'Dvd Calendar'!$Z$1965*1000000000+ISNUMBER('Dvd Calendar'!$Z$1966)*100000000+('Dvd Calendar'!$Z$1970='Field Check'!$C$25)*10000000+(N('Dvd Calendar'!$Z$1964)&gt;0)*1000000+31*1000+22))</f>
        <v/>
      </c>
      <c r="Y143" s="41">
        <f>IF(N('Dvd Calendar'!$AA$1965)=0,"",IF(('Dvd Calendar'!$AA$1965&gt;=MIN(DATE(Summary!$C$12,1,1),Summary!$C$11))*('Dvd Calendar'!$AA$1965&lt;=MAX(DATE(Summary!$C$12,12,31),Summary!$C$15))*('Dvd Calendar'!$AA$1965&lt;=Summary!$C$11)=0,"",'Dvd Calendar'!$AA$1965*1000000000+ISNUMBER('Dvd Calendar'!$AA$1966)*100000000+('Dvd Calendar'!$AA$1970='Field Check'!$C$25)*10000000+(N('Dvd Calendar'!$AA$1964)&gt;0)*1000000+31*1000+23))</f>
        <v/>
      </c>
      <c r="Z143" s="41">
        <f>IF(N('Dvd Calendar'!$AB$1965)=0,"",IF(('Dvd Calendar'!$AB$1965&gt;=MIN(DATE(Summary!$C$12,1,1),Summary!$C$11))*('Dvd Calendar'!$AB$1965&lt;=MAX(DATE(Summary!$C$12,12,31),Summary!$C$15))*('Dvd Calendar'!$AB$1965&lt;=Summary!$C$11)=0,"",'Dvd Calendar'!$AB$1965*1000000000+ISNUMBER('Dvd Calendar'!$AB$1966)*100000000+('Dvd Calendar'!$AB$1970='Field Check'!$C$25)*10000000+(N('Dvd Calendar'!$AB$1964)&gt;0)*1000000+31*1000+24))</f>
        <v/>
      </c>
      <c r="AA143" s="41">
        <f>IF(N('Dvd Calendar'!$AC$1965)=0,"",IF(('Dvd Calendar'!$AC$1965&gt;=MIN(DATE(Summary!$C$12,1,1),Summary!$C$11))*('Dvd Calendar'!$AC$1965&lt;=MAX(DATE(Summary!$C$12,12,31),Summary!$C$15))*('Dvd Calendar'!$AC$1965&lt;=Summary!$C$11)=0,"",'Dvd Calendar'!$AC$1965*1000000000+ISNUMBER('Dvd Calendar'!$AC$1966)*100000000+('Dvd Calendar'!$AC$1970='Field Check'!$C$25)*10000000+(N('Dvd Calendar'!$AC$1964)&gt;0)*1000000+31*1000+25))</f>
        <v/>
      </c>
      <c r="AB143" s="41">
        <f>IF(N('Dvd Calendar'!$AD$1965)=0,"",IF(('Dvd Calendar'!$AD$1965&gt;=MIN(DATE(Summary!$C$12,1,1),Summary!$C$11))*('Dvd Calendar'!$AD$1965&lt;=MAX(DATE(Summary!$C$12,12,31),Summary!$C$15))*('Dvd Calendar'!$AD$1965&lt;=Summary!$C$11)=0,"",'Dvd Calendar'!$AD$1965*1000000000+ISNUMBER('Dvd Calendar'!$AD$1966)*100000000+('Dvd Calendar'!$AD$1970='Field Check'!$C$25)*10000000+(N('Dvd Calendar'!$AD$1964)&gt;0)*1000000+31*1000+26))</f>
        <v/>
      </c>
      <c r="AC143" s="41">
        <f>IF(N('Dvd Calendar'!$AE$1965)=0,"",IF(('Dvd Calendar'!$AE$1965&gt;=MIN(DATE(Summary!$C$12,1,1),Summary!$C$11))*('Dvd Calendar'!$AE$1965&lt;=MAX(DATE(Summary!$C$12,12,31),Summary!$C$15))*('Dvd Calendar'!$AE$1965&lt;=Summary!$C$11)=0,"",'Dvd Calendar'!$AE$1965*1000000000+ISNUMBER('Dvd Calendar'!$AE$1966)*100000000+('Dvd Calendar'!$AE$1970='Field Check'!$C$25)*10000000+(N('Dvd Calendar'!$AE$1964)&gt;0)*1000000+31*1000+27))</f>
        <v/>
      </c>
      <c r="AD143" s="41">
        <f>IF(N('Dvd Calendar'!$AF$1965)=0,"",IF(('Dvd Calendar'!$AF$1965&gt;=MIN(DATE(Summary!$C$12,1,1),Summary!$C$11))*('Dvd Calendar'!$AF$1965&lt;=MAX(DATE(Summary!$C$12,12,31),Summary!$C$15))*('Dvd Calendar'!$AF$1965&lt;=Summary!$C$11)=0,"",'Dvd Calendar'!$AF$1965*1000000000+ISNUMBER('Dvd Calendar'!$AF$1966)*100000000+('Dvd Calendar'!$AF$1970='Field Check'!$C$25)*10000000+(N('Dvd Calendar'!$AF$1964)&gt;0)*1000000+31*1000+28))</f>
        <v/>
      </c>
      <c r="AE143" s="41">
        <f>IF(N('Dvd Calendar'!$AG$1965)=0,"",IF(('Dvd Calendar'!$AG$1965&gt;=MIN(DATE(Summary!$C$12,1,1),Summary!$C$11))*('Dvd Calendar'!$AG$1965&lt;=MAX(DATE(Summary!$C$12,12,31),Summary!$C$15))*('Dvd Calendar'!$AG$1965&lt;=Summary!$C$11)=0,"",'Dvd Calendar'!$AG$1965*1000000000+ISNUMBER('Dvd Calendar'!$AG$1966)*100000000+('Dvd Calendar'!$AG$1970='Field Check'!$C$25)*10000000+(N('Dvd Calendar'!$AG$1964)&gt;0)*1000000+31*1000+29))</f>
        <v/>
      </c>
      <c r="AF143" s="41">
        <f>IF(N('Dvd Calendar'!$AH$1965)=0,"",IF(('Dvd Calendar'!$AH$1965&gt;=MIN(DATE(Summary!$C$12,1,1),Summary!$C$11))*('Dvd Calendar'!$AH$1965&lt;=MAX(DATE(Summary!$C$12,12,31),Summary!$C$15))*('Dvd Calendar'!$AH$1965&lt;=Summary!$C$11)=0,"",'Dvd Calendar'!$AH$1965*1000000000+ISNUMBER('Dvd Calendar'!$AH$1966)*100000000+('Dvd Calendar'!$AH$1970='Field Check'!$C$25)*10000000+(N('Dvd Calendar'!$AH$1964)&gt;0)*1000000+31*1000+30))</f>
        <v/>
      </c>
      <c r="AG143" s="41">
        <f>IF(N('Dvd Calendar'!$AI$1965)=0,"",IF(('Dvd Calendar'!$AI$1965&gt;=MIN(DATE(Summary!$C$12,1,1),Summary!$C$11))*('Dvd Calendar'!$AI$1965&lt;=MAX(DATE(Summary!$C$12,12,31),Summary!$C$15))*('Dvd Calendar'!$AI$1965&lt;=Summary!$C$11)=0,"",'Dvd Calendar'!$AI$1965*1000000000+ISNUMBER('Dvd Calendar'!$AI$1966)*100000000+('Dvd Calendar'!$AI$1970='Field Check'!$C$25)*10000000+(N('Dvd Calendar'!$AI$1964)&gt;0)*1000000+31*1000+31))</f>
        <v/>
      </c>
      <c r="AH143" s="41">
        <f>IF(N('Dvd Calendar'!$AJ$1965)=0,"",IF(('Dvd Calendar'!$AJ$1965&gt;=MIN(DATE(Summary!$C$12,1,1),Summary!$C$11))*('Dvd Calendar'!$AJ$1965&lt;=MAX(DATE(Summary!$C$12,12,31),Summary!$C$15))*('Dvd Calendar'!$AJ$1965&lt;=Summary!$C$11)=0,"",'Dvd Calendar'!$AJ$1965*1000000000+ISNUMBER('Dvd Calendar'!$AJ$1966)*100000000+('Dvd Calendar'!$AJ$1970='Field Check'!$C$25)*10000000+(N('Dvd Calendar'!$AJ$1964)&gt;0)*1000000+31*1000+32))</f>
        <v/>
      </c>
      <c r="AI143" s="41">
        <f>IF(N('Dvd Calendar'!$AK$1965)=0,"",IF(('Dvd Calendar'!$AK$1965&gt;=MIN(DATE(Summary!$C$12,1,1),Summary!$C$11))*('Dvd Calendar'!$AK$1965&lt;=MAX(DATE(Summary!$C$12,12,31),Summary!$C$15))*('Dvd Calendar'!$AK$1965&lt;=Summary!$C$11)=0,"",'Dvd Calendar'!$AK$1965*1000000000+ISNUMBER('Dvd Calendar'!$AK$1966)*100000000+('Dvd Calendar'!$AK$1970='Field Check'!$C$25)*10000000+(N('Dvd Calendar'!$AK$1964)&gt;0)*1000000+31*1000+33))</f>
        <v/>
      </c>
      <c r="AJ143" s="41">
        <f>IF(N('Dvd Calendar'!$AL$1965)=0,"",IF(('Dvd Calendar'!$AL$1965&gt;=MIN(DATE(Summary!$C$12,1,1),Summary!$C$11))*('Dvd Calendar'!$AL$1965&lt;=MAX(DATE(Summary!$C$12,12,31),Summary!$C$15))*('Dvd Calendar'!$AL$1965&lt;=Summary!$C$11)=0,"",'Dvd Calendar'!$AL$1965*1000000000+ISNUMBER('Dvd Calendar'!$AL$1966)*100000000+('Dvd Calendar'!$AL$1970='Field Check'!$C$25)*10000000+(N('Dvd Calendar'!$AL$1964)&gt;0)*1000000+31*1000+34))</f>
        <v/>
      </c>
      <c r="AK143" s="41">
        <f>IF(N('Dvd Calendar'!$AM$1965)=0,"",IF(('Dvd Calendar'!$AM$1965&gt;=MIN(DATE(Summary!$C$12,1,1),Summary!$C$11))*('Dvd Calendar'!$AM$1965&lt;=MAX(DATE(Summary!$C$12,12,31),Summary!$C$15))*('Dvd Calendar'!$AM$1965&lt;=Summary!$C$11)=0,"",'Dvd Calendar'!$AM$1965*1000000000+ISNUMBER('Dvd Calendar'!$AM$1966)*100000000+('Dvd Calendar'!$AM$1970='Field Check'!$C$25)*10000000+(N('Dvd Calendar'!$AM$1964)&gt;0)*1000000+31*1000+35))</f>
        <v/>
      </c>
      <c r="AL143" s="41">
        <f>IF(N('Dvd Calendar'!$AN$1965)=0,"",IF(('Dvd Calendar'!$AN$1965&gt;=MIN(DATE(Summary!$C$12,1,1),Summary!$C$11))*('Dvd Calendar'!$AN$1965&lt;=MAX(DATE(Summary!$C$12,12,31),Summary!$C$15))*('Dvd Calendar'!$AN$1965&lt;=Summary!$C$11)=0,"",'Dvd Calendar'!$AN$1965*1000000000+ISNUMBER('Dvd Calendar'!$AN$1966)*100000000+('Dvd Calendar'!$AN$1970='Field Check'!$C$25)*10000000+(N('Dvd Calendar'!$AN$1964)&gt;0)*1000000+31*1000+36))</f>
        <v/>
      </c>
      <c r="AM143" s="41">
        <f>IF(N('Dvd Calendar'!$AO$1965)=0,"",IF(('Dvd Calendar'!$AO$1965&gt;=MIN(DATE(Summary!$C$12,1,1),Summary!$C$11))*('Dvd Calendar'!$AO$1965&lt;=MAX(DATE(Summary!$C$12,12,31),Summary!$C$15))*('Dvd Calendar'!$AO$1965&lt;=Summary!$C$11)=0,"",'Dvd Calendar'!$AO$1965*1000000000+ISNUMBER('Dvd Calendar'!$AO$1966)*100000000+('Dvd Calendar'!$AO$1970='Field Check'!$C$25)*10000000+(N('Dvd Calendar'!$AO$1964)&gt;0)*1000000+31*1000+37))</f>
        <v/>
      </c>
      <c r="AN143" s="41">
        <f>IF(N('Dvd Calendar'!$AP$1965)=0,"",IF(('Dvd Calendar'!$AP$1965&gt;=MIN(DATE(Summary!$C$12,1,1),Summary!$C$11))*('Dvd Calendar'!$AP$1965&lt;=MAX(DATE(Summary!$C$12,12,31),Summary!$C$15))*('Dvd Calendar'!$AP$1965&lt;=Summary!$C$11)=0,"",'Dvd Calendar'!$AP$1965*1000000000+ISNUMBER('Dvd Calendar'!$AP$1966)*100000000+('Dvd Calendar'!$AP$1970='Field Check'!$C$25)*10000000+(N('Dvd Calendar'!$AP$1964)&gt;0)*1000000+31*1000+38))</f>
        <v/>
      </c>
      <c r="AO143" s="41">
        <f>IF(N('Dvd Calendar'!$AQ$1965)=0,"",IF(('Dvd Calendar'!$AQ$1965&gt;=MIN(DATE(Summary!$C$12,1,1),Summary!$C$11))*('Dvd Calendar'!$AQ$1965&lt;=MAX(DATE(Summary!$C$12,12,31),Summary!$C$15))*('Dvd Calendar'!$AQ$1965&lt;=Summary!$C$11)=0,"",'Dvd Calendar'!$AQ$1965*1000000000+ISNUMBER('Dvd Calendar'!$AQ$1966)*100000000+('Dvd Calendar'!$AQ$1970='Field Check'!$C$25)*10000000+(N('Dvd Calendar'!$AQ$1964)&gt;0)*1000000+31*1000+39))</f>
        <v/>
      </c>
      <c r="AP143" s="41">
        <f>IF(N('Dvd Calendar'!$AR$1965)=0,"",IF(('Dvd Calendar'!$AR$1965&gt;=MIN(DATE(Summary!$C$12,1,1),Summary!$C$11))*('Dvd Calendar'!$AR$1965&lt;=MAX(DATE(Summary!$C$12,12,31),Summary!$C$15))*('Dvd Calendar'!$AR$1965&lt;=Summary!$C$11)=0,"",'Dvd Calendar'!$AR$1965*1000000000+ISNUMBER('Dvd Calendar'!$AR$1966)*100000000+('Dvd Calendar'!$AR$1970='Field Check'!$C$25)*10000000+(N('Dvd Calendar'!$AR$1964)&gt;0)*1000000+31*1000+40))</f>
        <v/>
      </c>
      <c r="AQ143" s="41">
        <f>IF(N('Dvd Calendar'!$E$1972)=0,"",IF(('Dvd Calendar'!$E$1972&gt;=MIN(DATE(Summary!$C$12,1,1),Summary!$C$11))*('Dvd Calendar'!$E$1972&lt;=MAX(DATE(Summary!$C$12,12,31),Summary!$C$15))*('Dvd Calendar'!$E$1972&gt;Summary!$C$11)=0,"",'Dvd Calendar'!$E$1972*1000000000+ISNUMBER('Dvd Calendar'!$E$1973)*100000000+('Dvd Calendar'!$E$1977='Field Check'!$C$25)*10000000+(N('Dvd Calendar'!$E$1971)&gt;0)*1000000+31*1000+41))</f>
        <v/>
      </c>
      <c r="AR143" s="41">
        <f>IF(N('Dvd Calendar'!$F$1972)=0,"",IF(('Dvd Calendar'!$F$1972&gt;=MIN(DATE(Summary!$C$12,1,1),Summary!$C$11))*('Dvd Calendar'!$F$1972&lt;=MAX(DATE(Summary!$C$12,12,31),Summary!$C$15))*('Dvd Calendar'!$F$1972&gt;Summary!$C$11)=0,"",'Dvd Calendar'!$F$1972*1000000000+ISNUMBER('Dvd Calendar'!$F$1973)*100000000+('Dvd Calendar'!$F$1977='Field Check'!$C$25)*10000000+(N('Dvd Calendar'!$F$1971)&gt;0)*1000000+31*1000+42))</f>
        <v/>
      </c>
      <c r="AS143" s="41">
        <f>IF(N('Dvd Calendar'!$G$1972)=0,"",IF(('Dvd Calendar'!$G$1972&gt;=MIN(DATE(Summary!$C$12,1,1),Summary!$C$11))*('Dvd Calendar'!$G$1972&lt;=MAX(DATE(Summary!$C$12,12,31),Summary!$C$15))*('Dvd Calendar'!$G$1972&gt;Summary!$C$11)=0,"",'Dvd Calendar'!$G$1972*1000000000+ISNUMBER('Dvd Calendar'!$G$1973)*100000000+('Dvd Calendar'!$G$1977='Field Check'!$C$25)*10000000+(N('Dvd Calendar'!$G$1971)&gt;0)*1000000+31*1000+43))</f>
        <v/>
      </c>
      <c r="AT143" s="41">
        <f>IF(N('Dvd Calendar'!$H$1972)=0,"",IF(('Dvd Calendar'!$H$1972&gt;=MIN(DATE(Summary!$C$12,1,1),Summary!$C$11))*('Dvd Calendar'!$H$1972&lt;=MAX(DATE(Summary!$C$12,12,31),Summary!$C$15))*('Dvd Calendar'!$H$1972&gt;Summary!$C$11)=0,"",'Dvd Calendar'!$H$1972*1000000000+ISNUMBER('Dvd Calendar'!$H$1973)*100000000+('Dvd Calendar'!$H$1977='Field Check'!$C$25)*10000000+(N('Dvd Calendar'!$H$1971)&gt;0)*1000000+31*1000+44))</f>
        <v/>
      </c>
      <c r="AU143" s="41">
        <f>IF(N('Dvd Calendar'!$I$1972)=0,"",IF(('Dvd Calendar'!$I$1972&gt;=MIN(DATE(Summary!$C$12,1,1),Summary!$C$11))*('Dvd Calendar'!$I$1972&lt;=MAX(DATE(Summary!$C$12,12,31),Summary!$C$15))*('Dvd Calendar'!$I$1972&gt;Summary!$C$11)=0,"",'Dvd Calendar'!$I$1972*1000000000+ISNUMBER('Dvd Calendar'!$I$1973)*100000000+('Dvd Calendar'!$I$1977='Field Check'!$C$25)*10000000+(N('Dvd Calendar'!$I$1971)&gt;0)*1000000+31*1000+45))</f>
        <v/>
      </c>
      <c r="AV143" s="41">
        <f>IF(N('Dvd Calendar'!$J$1972)=0,"",IF(('Dvd Calendar'!$J$1972&gt;=MIN(DATE(Summary!$C$12,1,1),Summary!$C$11))*('Dvd Calendar'!$J$1972&lt;=MAX(DATE(Summary!$C$12,12,31),Summary!$C$15))*('Dvd Calendar'!$J$1972&gt;Summary!$C$11)=0,"",'Dvd Calendar'!$J$1972*1000000000+ISNUMBER('Dvd Calendar'!$J$1973)*100000000+('Dvd Calendar'!$J$1977='Field Check'!$C$25)*10000000+(N('Dvd Calendar'!$J$1971)&gt;0)*1000000+31*1000+46))</f>
        <v/>
      </c>
      <c r="AW143" s="41">
        <f>IF(N('Dvd Calendar'!$K$1972)=0,"",IF(('Dvd Calendar'!$K$1972&gt;=MIN(DATE(Summary!$C$12,1,1),Summary!$C$11))*('Dvd Calendar'!$K$1972&lt;=MAX(DATE(Summary!$C$12,12,31),Summary!$C$15))*('Dvd Calendar'!$K$1972&gt;Summary!$C$11)=0,"",'Dvd Calendar'!$K$1972*1000000000+ISNUMBER('Dvd Calendar'!$K$1973)*100000000+('Dvd Calendar'!$K$1977='Field Check'!$C$25)*10000000+(N('Dvd Calendar'!$K$1971)&gt;0)*1000000+31*1000+47))</f>
        <v/>
      </c>
      <c r="AX143" s="41">
        <f>IF(N('Dvd Calendar'!$L$1972)=0,"",IF(('Dvd Calendar'!$L$1972&gt;=MIN(DATE(Summary!$C$12,1,1),Summary!$C$11))*('Dvd Calendar'!$L$1972&lt;=MAX(DATE(Summary!$C$12,12,31),Summary!$C$15))*('Dvd Calendar'!$L$1972&gt;Summary!$C$11)=0,"",'Dvd Calendar'!$L$1972*1000000000+ISNUMBER('Dvd Calendar'!$L$1973)*100000000+('Dvd Calendar'!$L$1977='Field Check'!$C$25)*10000000+(N('Dvd Calendar'!$L$1971)&gt;0)*1000000+31*1000+48))</f>
        <v/>
      </c>
      <c r="AY143" s="41">
        <f>IF(N('Dvd Calendar'!$M$1972)=0,"",IF(('Dvd Calendar'!$M$1972&gt;=MIN(DATE(Summary!$C$12,1,1),Summary!$C$11))*('Dvd Calendar'!$M$1972&lt;=MAX(DATE(Summary!$C$12,12,31),Summary!$C$15))*('Dvd Calendar'!$M$1972&gt;Summary!$C$11)=0,"",'Dvd Calendar'!$M$1972*1000000000+ISNUMBER('Dvd Calendar'!$M$1973)*100000000+('Dvd Calendar'!$M$1977='Field Check'!$C$25)*10000000+(N('Dvd Calendar'!$M$1971)&gt;0)*1000000+31*1000+49))</f>
        <v/>
      </c>
      <c r="AZ143" s="41">
        <f>IF(N('Dvd Calendar'!$N$1972)=0,"",IF(('Dvd Calendar'!$N$1972&gt;=MIN(DATE(Summary!$C$12,1,1),Summary!$C$11))*('Dvd Calendar'!$N$1972&lt;=MAX(DATE(Summary!$C$12,12,31),Summary!$C$15))*('Dvd Calendar'!$N$1972&gt;Summary!$C$11)=0,"",'Dvd Calendar'!$N$1972*1000000000+ISNUMBER('Dvd Calendar'!$N$1973)*100000000+('Dvd Calendar'!$N$1977='Field Check'!$C$25)*10000000+(N('Dvd Calendar'!$N$1971)&gt;0)*1000000+31*1000+50))</f>
        <v/>
      </c>
      <c r="BA143" s="41">
        <f>IF(N('Dvd Calendar'!$O$1972)=0,"",IF(('Dvd Calendar'!$O$1972&gt;=MIN(DATE(Summary!$C$12,1,1),Summary!$C$11))*('Dvd Calendar'!$O$1972&lt;=MAX(DATE(Summary!$C$12,12,31),Summary!$C$15))*('Dvd Calendar'!$O$1972&gt;Summary!$C$11)=0,"",'Dvd Calendar'!$O$1972*1000000000+ISNUMBER('Dvd Calendar'!$O$1973)*100000000+('Dvd Calendar'!$O$1977='Field Check'!$C$25)*10000000+(N('Dvd Calendar'!$O$1971)&gt;0)*1000000+31*1000+51))</f>
        <v/>
      </c>
      <c r="BB143" s="41">
        <f>IF(N('Dvd Calendar'!$P$1972)=0,"",IF(('Dvd Calendar'!$P$1972&gt;=MIN(DATE(Summary!$C$12,1,1),Summary!$C$11))*('Dvd Calendar'!$P$1972&lt;=MAX(DATE(Summary!$C$12,12,31),Summary!$C$15))*('Dvd Calendar'!$P$1972&gt;Summary!$C$11)=0,"",'Dvd Calendar'!$P$1972*1000000000+ISNUMBER('Dvd Calendar'!$P$1973)*100000000+('Dvd Calendar'!$P$1977='Field Check'!$C$25)*10000000+(N('Dvd Calendar'!$P$1971)&gt;0)*1000000+31*1000+52))</f>
        <v/>
      </c>
      <c r="BC143" s="41">
        <f>IF(N('Dvd Calendar'!$Q$1972)=0,"",IF(('Dvd Calendar'!$Q$1972&gt;=MIN(DATE(Summary!$C$12,1,1),Summary!$C$11))*('Dvd Calendar'!$Q$1972&lt;=MAX(DATE(Summary!$C$12,12,31),Summary!$C$15))*('Dvd Calendar'!$Q$1972&gt;Summary!$C$11)=0,"",'Dvd Calendar'!$Q$1972*1000000000+ISNUMBER('Dvd Calendar'!$Q$1973)*100000000+('Dvd Calendar'!$Q$1977='Field Check'!$C$25)*10000000+(N('Dvd Calendar'!$Q$1971)&gt;0)*1000000+31*1000+53))</f>
        <v/>
      </c>
      <c r="BD143" s="41">
        <f>IF(N('Dvd Calendar'!$R$1972)=0,"",IF(('Dvd Calendar'!$R$1972&gt;=MIN(DATE(Summary!$C$12,1,1),Summary!$C$11))*('Dvd Calendar'!$R$1972&lt;=MAX(DATE(Summary!$C$12,12,31),Summary!$C$15))*('Dvd Calendar'!$R$1972&gt;Summary!$C$11)=0,"",'Dvd Calendar'!$R$1972*1000000000+ISNUMBER('Dvd Calendar'!$R$1973)*100000000+('Dvd Calendar'!$R$1977='Field Check'!$C$25)*10000000+(N('Dvd Calendar'!$R$1971)&gt;0)*1000000+31*1000+54))</f>
        <v/>
      </c>
      <c r="BE143" s="41">
        <f>IF(N('Dvd Calendar'!$S$1972)=0,"",IF(('Dvd Calendar'!$S$1972&gt;=MIN(DATE(Summary!$C$12,1,1),Summary!$C$11))*('Dvd Calendar'!$S$1972&lt;=MAX(DATE(Summary!$C$12,12,31),Summary!$C$15))*('Dvd Calendar'!$S$1972&gt;Summary!$C$11)=0,"",'Dvd Calendar'!$S$1972*1000000000+ISNUMBER('Dvd Calendar'!$S$1973)*100000000+('Dvd Calendar'!$S$1977='Field Check'!$C$25)*10000000+(N('Dvd Calendar'!$S$1971)&gt;0)*1000000+31*1000+55))</f>
        <v/>
      </c>
      <c r="BF143" s="41">
        <f>IF(N('Dvd Calendar'!$T$1972)=0,"",IF(('Dvd Calendar'!$T$1972&gt;=MIN(DATE(Summary!$C$12,1,1),Summary!$C$11))*('Dvd Calendar'!$T$1972&lt;=MAX(DATE(Summary!$C$12,12,31),Summary!$C$15))*('Dvd Calendar'!$T$1972&gt;Summary!$C$11)=0,"",'Dvd Calendar'!$T$1972*1000000000+ISNUMBER('Dvd Calendar'!$T$1973)*100000000+('Dvd Calendar'!$T$1977='Field Check'!$C$25)*10000000+(N('Dvd Calendar'!$T$1971)&gt;0)*1000000+31*1000+56))</f>
        <v/>
      </c>
      <c r="BG143" s="41">
        <f>IF(N('Dvd Calendar'!$U$1972)=0,"",IF(('Dvd Calendar'!$U$1972&gt;=MIN(DATE(Summary!$C$12,1,1),Summary!$C$11))*('Dvd Calendar'!$U$1972&lt;=MAX(DATE(Summary!$C$12,12,31),Summary!$C$15))*('Dvd Calendar'!$U$1972&gt;Summary!$C$11)=0,"",'Dvd Calendar'!$U$1972*1000000000+ISNUMBER('Dvd Calendar'!$U$1973)*100000000+('Dvd Calendar'!$U$1977='Field Check'!$C$25)*10000000+(N('Dvd Calendar'!$U$1971)&gt;0)*1000000+31*1000+57))</f>
        <v/>
      </c>
      <c r="BH143" s="41">
        <f>IF(N('Dvd Calendar'!$V$1972)=0,"",IF(('Dvd Calendar'!$V$1972&gt;=MIN(DATE(Summary!$C$12,1,1),Summary!$C$11))*('Dvd Calendar'!$V$1972&lt;=MAX(DATE(Summary!$C$12,12,31),Summary!$C$15))*('Dvd Calendar'!$V$1972&gt;Summary!$C$11)=0,"",'Dvd Calendar'!$V$1972*1000000000+ISNUMBER('Dvd Calendar'!$V$1973)*100000000+('Dvd Calendar'!$V$1977='Field Check'!$C$25)*10000000+(N('Dvd Calendar'!$V$1971)&gt;0)*1000000+31*1000+58))</f>
        <v/>
      </c>
      <c r="BI143" s="41">
        <f>IF(N('Dvd Calendar'!$W$1972)=0,"",IF(('Dvd Calendar'!$W$1972&gt;=MIN(DATE(Summary!$C$12,1,1),Summary!$C$11))*('Dvd Calendar'!$W$1972&lt;=MAX(DATE(Summary!$C$12,12,31),Summary!$C$15))*('Dvd Calendar'!$W$1972&gt;Summary!$C$11)=0,"",'Dvd Calendar'!$W$1972*1000000000+ISNUMBER('Dvd Calendar'!$W$1973)*100000000+('Dvd Calendar'!$W$1977='Field Check'!$C$25)*10000000+(N('Dvd Calendar'!$W$1971)&gt;0)*1000000+31*1000+59))</f>
        <v/>
      </c>
      <c r="BJ143" s="41">
        <f>IF(N('Dvd Calendar'!$X$1972)=0,"",IF(('Dvd Calendar'!$X$1972&gt;=MIN(DATE(Summary!$C$12,1,1),Summary!$C$11))*('Dvd Calendar'!$X$1972&lt;=MAX(DATE(Summary!$C$12,12,31),Summary!$C$15))*('Dvd Calendar'!$X$1972&gt;Summary!$C$11)=0,"",'Dvd Calendar'!$X$1972*1000000000+ISNUMBER('Dvd Calendar'!$X$1973)*100000000+('Dvd Calendar'!$X$1977='Field Check'!$C$25)*10000000+(N('Dvd Calendar'!$X$1971)&gt;0)*1000000+31*1000+60))</f>
        <v/>
      </c>
      <c r="BK143" s="41">
        <f>IF(N('Dvd Calendar'!$Y$1972)=0,"",IF(('Dvd Calendar'!$Y$1972&gt;=MIN(DATE(Summary!$C$12,1,1),Summary!$C$11))*('Dvd Calendar'!$Y$1972&lt;=MAX(DATE(Summary!$C$12,12,31),Summary!$C$15))*('Dvd Calendar'!$Y$1972&gt;Summary!$C$11)=0,"",'Dvd Calendar'!$Y$1972*1000000000+ISNUMBER('Dvd Calendar'!$Y$1973)*100000000+('Dvd Calendar'!$Y$1977='Field Check'!$C$25)*10000000+(N('Dvd Calendar'!$Y$1971)&gt;0)*1000000+31*1000+61))</f>
        <v/>
      </c>
      <c r="BL143" s="41">
        <f>IF(N('Dvd Calendar'!$Z$1972)=0,"",IF(('Dvd Calendar'!$Z$1972&gt;=MIN(DATE(Summary!$C$12,1,1),Summary!$C$11))*('Dvd Calendar'!$Z$1972&lt;=MAX(DATE(Summary!$C$12,12,31),Summary!$C$15))*('Dvd Calendar'!$Z$1972&gt;Summary!$C$11)=0,"",'Dvd Calendar'!$Z$1972*1000000000+ISNUMBER('Dvd Calendar'!$Z$1973)*100000000+('Dvd Calendar'!$Z$1977='Field Check'!$C$25)*10000000+(N('Dvd Calendar'!$Z$1971)&gt;0)*1000000+31*1000+62))</f>
        <v/>
      </c>
      <c r="BM143" s="41">
        <f>IF(N('Dvd Calendar'!$AA$1972)=0,"",IF(('Dvd Calendar'!$AA$1972&gt;=MIN(DATE(Summary!$C$12,1,1),Summary!$C$11))*('Dvd Calendar'!$AA$1972&lt;=MAX(DATE(Summary!$C$12,12,31),Summary!$C$15))*('Dvd Calendar'!$AA$1972&gt;Summary!$C$11)=0,"",'Dvd Calendar'!$AA$1972*1000000000+ISNUMBER('Dvd Calendar'!$AA$1973)*100000000+('Dvd Calendar'!$AA$1977='Field Check'!$C$25)*10000000+(N('Dvd Calendar'!$AA$1971)&gt;0)*1000000+31*1000+63))</f>
        <v/>
      </c>
      <c r="BN143" s="41">
        <f>IF(N('Dvd Calendar'!$AB$1972)=0,"",IF(('Dvd Calendar'!$AB$1972&gt;=MIN(DATE(Summary!$C$12,1,1),Summary!$C$11))*('Dvd Calendar'!$AB$1972&lt;=MAX(DATE(Summary!$C$12,12,31),Summary!$C$15))*('Dvd Calendar'!$AB$1972&gt;Summary!$C$11)=0,"",'Dvd Calendar'!$AB$1972*1000000000+ISNUMBER('Dvd Calendar'!$AB$1973)*100000000+('Dvd Calendar'!$AB$1977='Field Check'!$C$25)*10000000+(N('Dvd Calendar'!$AB$1971)&gt;0)*1000000+31*1000+64))</f>
        <v/>
      </c>
      <c r="BO143" s="41">
        <f>IF(N('Dvd Calendar'!$AC$1972)=0,"",IF(('Dvd Calendar'!$AC$1972&gt;=MIN(DATE(Summary!$C$12,1,1),Summary!$C$11))*('Dvd Calendar'!$AC$1972&lt;=MAX(DATE(Summary!$C$12,12,31),Summary!$C$15))*('Dvd Calendar'!$AC$1972&gt;Summary!$C$11)=0,"",'Dvd Calendar'!$AC$1972*1000000000+ISNUMBER('Dvd Calendar'!$AC$1973)*100000000+('Dvd Calendar'!$AC$1977='Field Check'!$C$25)*10000000+(N('Dvd Calendar'!$AC$1971)&gt;0)*1000000+31*1000+65))</f>
        <v/>
      </c>
      <c r="BQ143" s="85">
        <f>IF(C143="","",IF(ISNUMBER('Dvd Calendar'!$E$1966)=FALSE,"",IF((Summary!$C$13="N")*('Dvd Calendar'!$E$1970='Field Check'!$C$25)&gt;0,"",'Dvd Calendar'!$E$1966)))</f>
        <v/>
      </c>
      <c r="BR143" s="85">
        <f>IF(D143="","",IF(ISNUMBER('Dvd Calendar'!$F$1966)=FALSE,"",IF((Summary!$C$13="N")*('Dvd Calendar'!$F$1970='Field Check'!$C$25)&gt;0,"",'Dvd Calendar'!$F$1966)))</f>
        <v/>
      </c>
      <c r="BS143" s="85">
        <f>IF(E143="","",IF(ISNUMBER('Dvd Calendar'!$G$1966)=FALSE,"",IF((Summary!$C$13="N")*('Dvd Calendar'!$G$1970='Field Check'!$C$25)&gt;0,"",'Dvd Calendar'!$G$1966)))</f>
        <v/>
      </c>
      <c r="BT143" s="85">
        <f>IF(F143="","",IF(ISNUMBER('Dvd Calendar'!$H$1966)=FALSE,"",IF((Summary!$C$13="N")*('Dvd Calendar'!$H$1970='Field Check'!$C$25)&gt;0,"",'Dvd Calendar'!$H$1966)))</f>
        <v/>
      </c>
      <c r="BU143" s="85">
        <f>IF(G143="","",IF(ISNUMBER('Dvd Calendar'!$I$1966)=FALSE,"",IF((Summary!$C$13="N")*('Dvd Calendar'!$I$1970='Field Check'!$C$25)&gt;0,"",'Dvd Calendar'!$I$1966)))</f>
        <v/>
      </c>
      <c r="BV143" s="85">
        <f>IF(H143="","",IF(ISNUMBER('Dvd Calendar'!$J$1966)=FALSE,"",IF((Summary!$C$13="N")*('Dvd Calendar'!$J$1970='Field Check'!$C$25)&gt;0,"",'Dvd Calendar'!$J$1966)))</f>
        <v/>
      </c>
      <c r="BW143" s="85">
        <f>IF(I143="","",IF(ISNUMBER('Dvd Calendar'!$K$1966)=FALSE,"",IF((Summary!$C$13="N")*('Dvd Calendar'!$K$1970='Field Check'!$C$25)&gt;0,"",'Dvd Calendar'!$K$1966)))</f>
        <v/>
      </c>
      <c r="BX143" s="85">
        <f>IF(J143="","",IF(ISNUMBER('Dvd Calendar'!$L$1966)=FALSE,"",IF((Summary!$C$13="N")*('Dvd Calendar'!$L$1970='Field Check'!$C$25)&gt;0,"",'Dvd Calendar'!$L$1966)))</f>
        <v/>
      </c>
      <c r="BY143" s="85">
        <f>IF(K143="","",IF(ISNUMBER('Dvd Calendar'!$M$1966)=FALSE,"",IF((Summary!$C$13="N")*('Dvd Calendar'!$M$1970='Field Check'!$C$25)&gt;0,"",'Dvd Calendar'!$M$1966)))</f>
        <v/>
      </c>
      <c r="BZ143" s="85">
        <f>IF(L143="","",IF(ISNUMBER('Dvd Calendar'!$N$1966)=FALSE,"",IF((Summary!$C$13="N")*('Dvd Calendar'!$N$1970='Field Check'!$C$25)&gt;0,"",'Dvd Calendar'!$N$1966)))</f>
        <v/>
      </c>
      <c r="CA143" s="85">
        <f>IF(M143="","",IF(ISNUMBER('Dvd Calendar'!$O$1966)=FALSE,"",IF((Summary!$C$13="N")*('Dvd Calendar'!$O$1970='Field Check'!$C$25)&gt;0,"",'Dvd Calendar'!$O$1966)))</f>
        <v/>
      </c>
      <c r="CB143" s="85">
        <f>IF(N143="","",IF(ISNUMBER('Dvd Calendar'!$P$1966)=FALSE,"",IF((Summary!$C$13="N")*('Dvd Calendar'!$P$1970='Field Check'!$C$25)&gt;0,"",'Dvd Calendar'!$P$1966)))</f>
        <v/>
      </c>
      <c r="CC143" s="85">
        <f>IF(O143="","",IF(ISNUMBER('Dvd Calendar'!$Q$1966)=FALSE,"",IF((Summary!$C$13="N")*('Dvd Calendar'!$Q$1970='Field Check'!$C$25)&gt;0,"",'Dvd Calendar'!$Q$1966)))</f>
        <v/>
      </c>
      <c r="CD143" s="85">
        <f>IF(P143="","",IF(ISNUMBER('Dvd Calendar'!$R$1966)=FALSE,"",IF((Summary!$C$13="N")*('Dvd Calendar'!$R$1970='Field Check'!$C$25)&gt;0,"",'Dvd Calendar'!$R$1966)))</f>
        <v/>
      </c>
      <c r="CE143" s="85">
        <f>IF(Q143="","",IF(ISNUMBER('Dvd Calendar'!$S$1966)=FALSE,"",IF((Summary!$C$13="N")*('Dvd Calendar'!$S$1970='Field Check'!$C$25)&gt;0,"",'Dvd Calendar'!$S$1966)))</f>
        <v/>
      </c>
      <c r="CF143" s="85">
        <f>IF(R143="","",IF(ISNUMBER('Dvd Calendar'!$T$1966)=FALSE,"",IF((Summary!$C$13="N")*('Dvd Calendar'!$T$1970='Field Check'!$C$25)&gt;0,"",'Dvd Calendar'!$T$1966)))</f>
        <v/>
      </c>
      <c r="CG143" s="85">
        <f>IF(S143="","",IF(ISNUMBER('Dvd Calendar'!$U$1966)=FALSE,"",IF((Summary!$C$13="N")*('Dvd Calendar'!$U$1970='Field Check'!$C$25)&gt;0,"",'Dvd Calendar'!$U$1966)))</f>
        <v/>
      </c>
      <c r="CH143" s="85">
        <f>IF(T143="","",IF(ISNUMBER('Dvd Calendar'!$V$1966)=FALSE,"",IF((Summary!$C$13="N")*('Dvd Calendar'!$V$1970='Field Check'!$C$25)&gt;0,"",'Dvd Calendar'!$V$1966)))</f>
        <v/>
      </c>
      <c r="CI143" s="85">
        <f>IF(U143="","",IF(ISNUMBER('Dvd Calendar'!$W$1966)=FALSE,"",IF((Summary!$C$13="N")*('Dvd Calendar'!$W$1970='Field Check'!$C$25)&gt;0,"",'Dvd Calendar'!$W$1966)))</f>
        <v/>
      </c>
      <c r="CJ143" s="85">
        <f>IF(V143="","",IF(ISNUMBER('Dvd Calendar'!$X$1966)=FALSE,"",IF((Summary!$C$13="N")*('Dvd Calendar'!$X$1970='Field Check'!$C$25)&gt;0,"",'Dvd Calendar'!$X$1966)))</f>
        <v/>
      </c>
      <c r="CK143" s="85">
        <f>IF(W143="","",IF(ISNUMBER('Dvd Calendar'!$Y$1966)=FALSE,"",IF((Summary!$C$13="N")*('Dvd Calendar'!$Y$1970='Field Check'!$C$25)&gt;0,"",'Dvd Calendar'!$Y$1966)))</f>
        <v/>
      </c>
      <c r="CL143" s="85">
        <f>IF(X143="","",IF(ISNUMBER('Dvd Calendar'!$Z$1966)=FALSE,"",IF((Summary!$C$13="N")*('Dvd Calendar'!$Z$1970='Field Check'!$C$25)&gt;0,"",'Dvd Calendar'!$Z$1966)))</f>
        <v/>
      </c>
      <c r="CM143" s="85">
        <f>IF(Y143="","",IF(ISNUMBER('Dvd Calendar'!$AA$1966)=FALSE,"",IF((Summary!$C$13="N")*('Dvd Calendar'!$AA$1970='Field Check'!$C$25)&gt;0,"",'Dvd Calendar'!$AA$1966)))</f>
        <v/>
      </c>
      <c r="CN143" s="85">
        <f>IF(Z143="","",IF(ISNUMBER('Dvd Calendar'!$AB$1966)=FALSE,"",IF((Summary!$C$13="N")*('Dvd Calendar'!$AB$1970='Field Check'!$C$25)&gt;0,"",'Dvd Calendar'!$AB$1966)))</f>
        <v/>
      </c>
      <c r="CO143" s="85">
        <f>IF(AA143="","",IF(ISNUMBER('Dvd Calendar'!$AC$1966)=FALSE,"",IF((Summary!$C$13="N")*('Dvd Calendar'!$AC$1970='Field Check'!$C$25)&gt;0,"",'Dvd Calendar'!$AC$1966)))</f>
        <v/>
      </c>
      <c r="CP143" s="85">
        <f>IF(AB143="","",IF(ISNUMBER('Dvd Calendar'!$AD$1966)=FALSE,"",IF((Summary!$C$13="N")*('Dvd Calendar'!$AD$1970='Field Check'!$C$25)&gt;0,"",'Dvd Calendar'!$AD$1966)))</f>
        <v/>
      </c>
      <c r="CQ143" s="85">
        <f>IF(AC143="","",IF(ISNUMBER('Dvd Calendar'!$AE$1966)=FALSE,"",IF((Summary!$C$13="N")*('Dvd Calendar'!$AE$1970='Field Check'!$C$25)&gt;0,"",'Dvd Calendar'!$AE$1966)))</f>
        <v/>
      </c>
      <c r="CR143" s="85">
        <f>IF(AD143="","",IF(ISNUMBER('Dvd Calendar'!$AF$1966)=FALSE,"",IF((Summary!$C$13="N")*('Dvd Calendar'!$AF$1970='Field Check'!$C$25)&gt;0,"",'Dvd Calendar'!$AF$1966)))</f>
        <v/>
      </c>
      <c r="CS143" s="85">
        <f>IF(AE143="","",IF(ISNUMBER('Dvd Calendar'!$AG$1966)=FALSE,"",IF((Summary!$C$13="N")*('Dvd Calendar'!$AG$1970='Field Check'!$C$25)&gt;0,"",'Dvd Calendar'!$AG$1966)))</f>
        <v/>
      </c>
      <c r="CT143" s="85">
        <f>IF(AF143="","",IF(ISNUMBER('Dvd Calendar'!$AH$1966)=FALSE,"",IF((Summary!$C$13="N")*('Dvd Calendar'!$AH$1970='Field Check'!$C$25)&gt;0,"",'Dvd Calendar'!$AH$1966)))</f>
        <v/>
      </c>
      <c r="CU143" s="85">
        <f>IF(AG143="","",IF(ISNUMBER('Dvd Calendar'!$AI$1966)=FALSE,"",IF((Summary!$C$13="N")*('Dvd Calendar'!$AI$1970='Field Check'!$C$25)&gt;0,"",'Dvd Calendar'!$AI$1966)))</f>
        <v/>
      </c>
      <c r="CV143" s="85">
        <f>IF(AH143="","",IF(ISNUMBER('Dvd Calendar'!$AJ$1966)=FALSE,"",IF((Summary!$C$13="N")*('Dvd Calendar'!$AJ$1970='Field Check'!$C$25)&gt;0,"",'Dvd Calendar'!$AJ$1966)))</f>
        <v/>
      </c>
      <c r="CW143" s="85">
        <f>IF(AI143="","",IF(ISNUMBER('Dvd Calendar'!$AK$1966)=FALSE,"",IF((Summary!$C$13="N")*('Dvd Calendar'!$AK$1970='Field Check'!$C$25)&gt;0,"",'Dvd Calendar'!$AK$1966)))</f>
        <v/>
      </c>
      <c r="CX143" s="85">
        <f>IF(AJ143="","",IF(ISNUMBER('Dvd Calendar'!$AL$1966)=FALSE,"",IF((Summary!$C$13="N")*('Dvd Calendar'!$AL$1970='Field Check'!$C$25)&gt;0,"",'Dvd Calendar'!$AL$1966)))</f>
        <v/>
      </c>
      <c r="CY143" s="85">
        <f>IF(AK143="","",IF(ISNUMBER('Dvd Calendar'!$AM$1966)=FALSE,"",IF((Summary!$C$13="N")*('Dvd Calendar'!$AM$1970='Field Check'!$C$25)&gt;0,"",'Dvd Calendar'!$AM$1966)))</f>
        <v/>
      </c>
      <c r="CZ143" s="85">
        <f>IF(AL143="","",IF(ISNUMBER('Dvd Calendar'!$AN$1966)=FALSE,"",IF((Summary!$C$13="N")*('Dvd Calendar'!$AN$1970='Field Check'!$C$25)&gt;0,"",'Dvd Calendar'!$AN$1966)))</f>
        <v/>
      </c>
      <c r="DA143" s="85">
        <f>IF(AM143="","",IF(ISNUMBER('Dvd Calendar'!$AO$1966)=FALSE,"",IF((Summary!$C$13="N")*('Dvd Calendar'!$AO$1970='Field Check'!$C$25)&gt;0,"",'Dvd Calendar'!$AO$1966)))</f>
        <v/>
      </c>
      <c r="DB143" s="85">
        <f>IF(AN143="","",IF(ISNUMBER('Dvd Calendar'!$AP$1966)=FALSE,"",IF((Summary!$C$13="N")*('Dvd Calendar'!$AP$1970='Field Check'!$C$25)&gt;0,"",'Dvd Calendar'!$AP$1966)))</f>
        <v/>
      </c>
      <c r="DC143" s="85">
        <f>IF(AO143="","",IF(ISNUMBER('Dvd Calendar'!$AQ$1966)=FALSE,"",IF((Summary!$C$13="N")*('Dvd Calendar'!$AQ$1970='Field Check'!$C$25)&gt;0,"",'Dvd Calendar'!$AQ$1966)))</f>
        <v/>
      </c>
      <c r="DD143" s="85">
        <f>IF(AP143="","",IF(ISNUMBER('Dvd Calendar'!$AR$1966)=FALSE,"",IF((Summary!$C$13="N")*('Dvd Calendar'!$AR$1970='Field Check'!$C$25)&gt;0,"",'Dvd Calendar'!$AR$1966)))</f>
        <v/>
      </c>
      <c r="DE143" s="85">
        <f>IF(AQ143="","",IF(ISNUMBER('Dvd Calendar'!$E$1973)=FALSE,"",IF((Summary!$C$13="N")*('Dvd Calendar'!$E$1977='Field Check'!$C$25)&gt;0,"",'Dvd Calendar'!$E$1973)))</f>
        <v/>
      </c>
      <c r="DF143" s="85">
        <f>IF(AR143="","",IF(ISNUMBER('Dvd Calendar'!$F$1973)=FALSE,"",IF((Summary!$C$13="N")*('Dvd Calendar'!$F$1977='Field Check'!$C$25)&gt;0,"",'Dvd Calendar'!$F$1973)))</f>
        <v/>
      </c>
      <c r="DG143" s="85">
        <f>IF(AS143="","",IF(ISNUMBER('Dvd Calendar'!$G$1973)=FALSE,"",IF((Summary!$C$13="N")*('Dvd Calendar'!$G$1977='Field Check'!$C$25)&gt;0,"",'Dvd Calendar'!$G$1973)))</f>
        <v/>
      </c>
      <c r="DH143" s="85">
        <f>IF(AT143="","",IF(ISNUMBER('Dvd Calendar'!$H$1973)=FALSE,"",IF((Summary!$C$13="N")*('Dvd Calendar'!$H$1977='Field Check'!$C$25)&gt;0,"",'Dvd Calendar'!$H$1973)))</f>
        <v/>
      </c>
      <c r="DI143" s="85">
        <f>IF(AU143="","",IF(ISNUMBER('Dvd Calendar'!$I$1973)=FALSE,"",IF((Summary!$C$13="N")*('Dvd Calendar'!$I$1977='Field Check'!$C$25)&gt;0,"",'Dvd Calendar'!$I$1973)))</f>
        <v/>
      </c>
      <c r="DJ143" s="85">
        <f>IF(AV143="","",IF(ISNUMBER('Dvd Calendar'!$J$1973)=FALSE,"",IF((Summary!$C$13="N")*('Dvd Calendar'!$J$1977='Field Check'!$C$25)&gt;0,"",'Dvd Calendar'!$J$1973)))</f>
        <v/>
      </c>
      <c r="DK143" s="85">
        <f>IF(AW143="","",IF(ISNUMBER('Dvd Calendar'!$K$1973)=FALSE,"",IF((Summary!$C$13="N")*('Dvd Calendar'!$K$1977='Field Check'!$C$25)&gt;0,"",'Dvd Calendar'!$K$1973)))</f>
        <v/>
      </c>
      <c r="DL143" s="85">
        <f>IF(AX143="","",IF(ISNUMBER('Dvd Calendar'!$L$1973)=FALSE,"",IF((Summary!$C$13="N")*('Dvd Calendar'!$L$1977='Field Check'!$C$25)&gt;0,"",'Dvd Calendar'!$L$1973)))</f>
        <v/>
      </c>
      <c r="DM143" s="85">
        <f>IF(AY143="","",IF(ISNUMBER('Dvd Calendar'!$M$1973)=FALSE,"",IF((Summary!$C$13="N")*('Dvd Calendar'!$M$1977='Field Check'!$C$25)&gt;0,"",'Dvd Calendar'!$M$1973)))</f>
        <v/>
      </c>
      <c r="DN143" s="85">
        <f>IF(AZ143="","",IF(ISNUMBER('Dvd Calendar'!$N$1973)=FALSE,"",IF((Summary!$C$13="N")*('Dvd Calendar'!$N$1977='Field Check'!$C$25)&gt;0,"",'Dvd Calendar'!$N$1973)))</f>
        <v/>
      </c>
      <c r="DO143" s="85">
        <f>IF(BA143="","",IF(ISNUMBER('Dvd Calendar'!$O$1973)=FALSE,"",IF((Summary!$C$13="N")*('Dvd Calendar'!$O$1977='Field Check'!$C$25)&gt;0,"",'Dvd Calendar'!$O$1973)))</f>
        <v/>
      </c>
      <c r="DP143" s="85">
        <f>IF(BB143="","",IF(ISNUMBER('Dvd Calendar'!$P$1973)=FALSE,"",IF((Summary!$C$13="N")*('Dvd Calendar'!$P$1977='Field Check'!$C$25)&gt;0,"",'Dvd Calendar'!$P$1973)))</f>
        <v/>
      </c>
      <c r="DQ143" s="85">
        <f>IF(BC143="","",IF(ISNUMBER('Dvd Calendar'!$Q$1973)=FALSE,"",IF((Summary!$C$13="N")*('Dvd Calendar'!$Q$1977='Field Check'!$C$25)&gt;0,"",'Dvd Calendar'!$Q$1973)))</f>
        <v/>
      </c>
      <c r="DR143" s="85">
        <f>IF(BD143="","",IF(ISNUMBER('Dvd Calendar'!$R$1973)=FALSE,"",IF((Summary!$C$13="N")*('Dvd Calendar'!$R$1977='Field Check'!$C$25)&gt;0,"",'Dvd Calendar'!$R$1973)))</f>
        <v/>
      </c>
      <c r="DS143" s="85">
        <f>IF(BE143="","",IF(ISNUMBER('Dvd Calendar'!$S$1973)=FALSE,"",IF((Summary!$C$13="N")*('Dvd Calendar'!$S$1977='Field Check'!$C$25)&gt;0,"",'Dvd Calendar'!$S$1973)))</f>
        <v/>
      </c>
      <c r="DT143" s="85">
        <f>IF(BF143="","",IF(ISNUMBER('Dvd Calendar'!$T$1973)=FALSE,"",IF((Summary!$C$13="N")*('Dvd Calendar'!$T$1977='Field Check'!$C$25)&gt;0,"",'Dvd Calendar'!$T$1973)))</f>
        <v/>
      </c>
      <c r="DU143" s="85">
        <f>IF(BG143="","",IF(ISNUMBER('Dvd Calendar'!$U$1973)=FALSE,"",IF((Summary!$C$13="N")*('Dvd Calendar'!$U$1977='Field Check'!$C$25)&gt;0,"",'Dvd Calendar'!$U$1973)))</f>
        <v/>
      </c>
      <c r="DV143" s="85">
        <f>IF(BH143="","",IF(ISNUMBER('Dvd Calendar'!$V$1973)=FALSE,"",IF((Summary!$C$13="N")*('Dvd Calendar'!$V$1977='Field Check'!$C$25)&gt;0,"",'Dvd Calendar'!$V$1973)))</f>
        <v/>
      </c>
      <c r="DW143" s="85">
        <f>IF(BI143="","",IF(ISNUMBER('Dvd Calendar'!$W$1973)=FALSE,"",IF((Summary!$C$13="N")*('Dvd Calendar'!$W$1977='Field Check'!$C$25)&gt;0,"",'Dvd Calendar'!$W$1973)))</f>
        <v/>
      </c>
      <c r="DX143" s="85">
        <f>IF(BJ143="","",IF(ISNUMBER('Dvd Calendar'!$X$1973)=FALSE,"",IF((Summary!$C$13="N")*('Dvd Calendar'!$X$1977='Field Check'!$C$25)&gt;0,"",'Dvd Calendar'!$X$1973)))</f>
        <v/>
      </c>
      <c r="DY143" s="85">
        <f>IF(BK143="","",IF(ISNUMBER('Dvd Calendar'!$Y$1973)=FALSE,"",IF((Summary!$C$13="N")*('Dvd Calendar'!$Y$1977='Field Check'!$C$25)&gt;0,"",'Dvd Calendar'!$Y$1973)))</f>
        <v/>
      </c>
      <c r="DZ143" s="85">
        <f>IF(BL143="","",IF(ISNUMBER('Dvd Calendar'!$Z$1973)=FALSE,"",IF((Summary!$C$13="N")*('Dvd Calendar'!$Z$1977='Field Check'!$C$25)&gt;0,"",'Dvd Calendar'!$Z$1973)))</f>
        <v/>
      </c>
      <c r="EA143" s="85">
        <f>IF(BM143="","",IF(ISNUMBER('Dvd Calendar'!$AA$1973)=FALSE,"",IF((Summary!$C$13="N")*('Dvd Calendar'!$AA$1977='Field Check'!$C$25)&gt;0,"",'Dvd Calendar'!$AA$1973)))</f>
        <v/>
      </c>
      <c r="EB143" s="85">
        <f>IF(BN143="","",IF(ISNUMBER('Dvd Calendar'!$AB$1973)=FALSE,"",IF((Summary!$C$13="N")*('Dvd Calendar'!$AB$1977='Field Check'!$C$25)&gt;0,"",'Dvd Calendar'!$AB$1973)))</f>
        <v/>
      </c>
      <c r="EC143" s="85">
        <f>IF(BO143="","",IF(ISNUMBER('Dvd Calendar'!$AC$1973)=FALSE,"",IF((Summary!$C$13="N")*('Dvd Calendar'!$AC$1977='Field Check'!$C$25)&gt;0,"",'Dvd Calendar'!$AC$1973)))</f>
        <v/>
      </c>
      <c r="EE143" s="85">
        <f>IF(BQ143="","",IFERROR(BQ143*HSTECH!$B$37*HSTECH!$G$37/HSTECH!$B$3,""))</f>
        <v/>
      </c>
      <c r="EF143" s="85">
        <f>IF(BR143="","",IFERROR(BR143*HSTECH!$B$37*HSTECH!$G$37/HSTECH!$B$3,""))</f>
        <v/>
      </c>
      <c r="EG143" s="85">
        <f>IF(BS143="","",IFERROR(BS143*HSTECH!$B$37*HSTECH!$G$37/HSTECH!$B$3,""))</f>
        <v/>
      </c>
      <c r="EH143" s="85">
        <f>IF(BT143="","",IFERROR(BT143*HSTECH!$B$37*HSTECH!$G$37/HSTECH!$B$3,""))</f>
        <v/>
      </c>
      <c r="EI143" s="85">
        <f>IF(BU143="","",IFERROR(BU143*HSTECH!$B$37*HSTECH!$G$37/HSTECH!$B$3,""))</f>
        <v/>
      </c>
      <c r="EJ143" s="85">
        <f>IF(BV143="","",IFERROR(BV143*HSTECH!$B$37*HSTECH!$G$37/HSTECH!$B$3,""))</f>
        <v/>
      </c>
      <c r="EK143" s="85">
        <f>IF(BW143="","",IFERROR(BW143*HSTECH!$B$37*HSTECH!$G$37/HSTECH!$B$3,""))</f>
        <v/>
      </c>
      <c r="EL143" s="85">
        <f>IF(BX143="","",IFERROR(BX143*HSTECH!$B$37*HSTECH!$G$37/HSTECH!$B$3,""))</f>
        <v/>
      </c>
      <c r="EM143" s="85">
        <f>IF(BY143="","",IFERROR(BY143*HSTECH!$B$37*HSTECH!$G$37/HSTECH!$B$3,""))</f>
        <v/>
      </c>
      <c r="EN143" s="85">
        <f>IF(BZ143="","",IFERROR(BZ143*HSTECH!$B$37*HSTECH!$G$37/HSTECH!$B$3,""))</f>
        <v/>
      </c>
      <c r="EO143" s="85">
        <f>IF(CA143="","",IFERROR(CA143*HSTECH!$B$37*HSTECH!$G$37/HSTECH!$B$3,""))</f>
        <v/>
      </c>
      <c r="EP143" s="85">
        <f>IF(CB143="","",IFERROR(CB143*HSTECH!$B$37*HSTECH!$G$37/HSTECH!$B$3,""))</f>
        <v/>
      </c>
      <c r="EQ143" s="85">
        <f>IF(CC143="","",IFERROR(CC143*HSTECH!$B$37*HSTECH!$G$37/HSTECH!$B$3,""))</f>
        <v/>
      </c>
      <c r="ER143" s="85">
        <f>IF(CD143="","",IFERROR(CD143*HSTECH!$B$37*HSTECH!$G$37/HSTECH!$B$3,""))</f>
        <v/>
      </c>
      <c r="ES143" s="85">
        <f>IF(CE143="","",IFERROR(CE143*HSTECH!$B$37*HSTECH!$G$37/HSTECH!$B$3,""))</f>
        <v/>
      </c>
      <c r="ET143" s="85">
        <f>IF(CF143="","",IFERROR(CF143*HSTECH!$B$37*HSTECH!$G$37/HSTECH!$B$3,""))</f>
        <v/>
      </c>
      <c r="EU143" s="85">
        <f>IF(CG143="","",IFERROR(CG143*HSTECH!$B$37*HSTECH!$G$37/HSTECH!$B$3,""))</f>
        <v/>
      </c>
      <c r="EV143" s="85">
        <f>IF(CH143="","",IFERROR(CH143*HSTECH!$B$37*HSTECH!$G$37/HSTECH!$B$3,""))</f>
        <v/>
      </c>
      <c r="EW143" s="85">
        <f>IF(CI143="","",IFERROR(CI143*HSTECH!$B$37*HSTECH!$G$37/HSTECH!$B$3,""))</f>
        <v/>
      </c>
      <c r="EX143" s="85">
        <f>IF(CJ143="","",IFERROR(CJ143*HSTECH!$B$37*HSTECH!$G$37/HSTECH!$B$3,""))</f>
        <v/>
      </c>
      <c r="EY143" s="85">
        <f>IF(CK143="","",IFERROR(CK143*HSTECH!$B$37*HSTECH!$G$37/HSTECH!$B$3,""))</f>
        <v/>
      </c>
      <c r="EZ143" s="85">
        <f>IF(CL143="","",IFERROR(CL143*HSTECH!$B$37*HSTECH!$G$37/HSTECH!$B$3,""))</f>
        <v/>
      </c>
      <c r="FA143" s="85">
        <f>IF(CM143="","",IFERROR(CM143*HSTECH!$B$37*HSTECH!$G$37/HSTECH!$B$3,""))</f>
        <v/>
      </c>
      <c r="FB143" s="85">
        <f>IF(CN143="","",IFERROR(CN143*HSTECH!$B$37*HSTECH!$G$37/HSTECH!$B$3,""))</f>
        <v/>
      </c>
      <c r="FC143" s="85">
        <f>IF(CO143="","",IFERROR(CO143*HSTECH!$B$37*HSTECH!$G$37/HSTECH!$B$3,""))</f>
        <v/>
      </c>
      <c r="FD143" s="85">
        <f>IF(CP143="","",IFERROR(CP143*HSTECH!$B$37*HSTECH!$G$37/HSTECH!$B$3,""))</f>
        <v/>
      </c>
      <c r="FE143" s="85">
        <f>IF(CQ143="","",IFERROR(CQ143*HSTECH!$B$37*HSTECH!$G$37/HSTECH!$B$3,""))</f>
        <v/>
      </c>
      <c r="FF143" s="85">
        <f>IF(CR143="","",IFERROR(CR143*HSTECH!$B$37*HSTECH!$G$37/HSTECH!$B$3,""))</f>
        <v/>
      </c>
      <c r="FG143" s="85">
        <f>IF(CS143="","",IFERROR(CS143*HSTECH!$B$37*HSTECH!$G$37/HSTECH!$B$3,""))</f>
        <v/>
      </c>
      <c r="FH143" s="85">
        <f>IF(CT143="","",IFERROR(CT143*HSTECH!$B$37*HSTECH!$G$37/HSTECH!$B$3,""))</f>
        <v/>
      </c>
      <c r="FI143" s="85">
        <f>IF(CU143="","",IFERROR(CU143*HSTECH!$B$37*HSTECH!$G$37/HSTECH!$B$3,""))</f>
        <v/>
      </c>
      <c r="FJ143" s="85">
        <f>IF(CV143="","",IFERROR(CV143*HSTECH!$B$37*HSTECH!$G$37/HSTECH!$B$3,""))</f>
        <v/>
      </c>
      <c r="FK143" s="85">
        <f>IF(CW143="","",IFERROR(CW143*HSTECH!$B$37*HSTECH!$G$37/HSTECH!$B$3,""))</f>
        <v/>
      </c>
      <c r="FL143" s="85">
        <f>IF(CX143="","",IFERROR(CX143*HSTECH!$B$37*HSTECH!$G$37/HSTECH!$B$3,""))</f>
        <v/>
      </c>
      <c r="FM143" s="85">
        <f>IF(CY143="","",IFERROR(CY143*HSTECH!$B$37*HSTECH!$G$37/HSTECH!$B$3,""))</f>
        <v/>
      </c>
      <c r="FN143" s="85">
        <f>IF(CZ143="","",IFERROR(CZ143*HSTECH!$B$37*HSTECH!$G$37/HSTECH!$B$3,""))</f>
        <v/>
      </c>
      <c r="FO143" s="85">
        <f>IF(DA143="","",IFERROR(DA143*HSTECH!$B$37*HSTECH!$G$37/HSTECH!$B$3,""))</f>
        <v/>
      </c>
      <c r="FP143" s="85">
        <f>IF(DB143="","",IFERROR(DB143*HSTECH!$B$37*HSTECH!$G$37/HSTECH!$B$3,""))</f>
        <v/>
      </c>
      <c r="FQ143" s="85">
        <f>IF(DC143="","",IFERROR(DC143*HSTECH!$B$37*HSTECH!$G$37/HSTECH!$B$3,""))</f>
        <v/>
      </c>
      <c r="FR143" s="85">
        <f>IF(DD143="","",IFERROR(DD143*HSTECH!$B$37*HSTECH!$G$37/HSTECH!$B$3,""))</f>
        <v/>
      </c>
      <c r="FS143" s="85">
        <f>IF(DE143="","",IFERROR(DE143*HSTECH!$B$37*HSTECH!$G$37/HSTECH!$B$3,""))</f>
        <v/>
      </c>
      <c r="FT143" s="85">
        <f>IF(DF143="","",IFERROR(DF143*HSTECH!$B$37*HSTECH!$G$37/HSTECH!$B$3,""))</f>
        <v/>
      </c>
      <c r="FU143" s="85">
        <f>IF(DG143="","",IFERROR(DG143*HSTECH!$B$37*HSTECH!$G$37/HSTECH!$B$3,""))</f>
        <v/>
      </c>
      <c r="FV143" s="85">
        <f>IF(DH143="","",IFERROR(DH143*HSTECH!$B$37*HSTECH!$G$37/HSTECH!$B$3,""))</f>
        <v/>
      </c>
      <c r="FW143" s="85">
        <f>IF(DI143="","",IFERROR(DI143*HSTECH!$B$37*HSTECH!$G$37/HSTECH!$B$3,""))</f>
        <v/>
      </c>
      <c r="FX143" s="85">
        <f>IF(DJ143="","",IFERROR(DJ143*HSTECH!$B$37*HSTECH!$G$37/HSTECH!$B$3,""))</f>
        <v/>
      </c>
      <c r="FY143" s="85">
        <f>IF(DK143="","",IFERROR(DK143*HSTECH!$B$37*HSTECH!$G$37/HSTECH!$B$3,""))</f>
        <v/>
      </c>
      <c r="FZ143" s="85">
        <f>IF(DL143="","",IFERROR(DL143*HSTECH!$B$37*HSTECH!$G$37/HSTECH!$B$3,""))</f>
        <v/>
      </c>
      <c r="GA143" s="85">
        <f>IF(DM143="","",IFERROR(DM143*HSTECH!$B$37*HSTECH!$G$37/HSTECH!$B$3,""))</f>
        <v/>
      </c>
      <c r="GB143" s="85">
        <f>IF(DN143="","",IFERROR(DN143*HSTECH!$B$37*HSTECH!$G$37/HSTECH!$B$3,""))</f>
        <v/>
      </c>
      <c r="GC143" s="85">
        <f>IF(DO143="","",IFERROR(DO143*HSTECH!$B$37*HSTECH!$G$37/HSTECH!$B$3,""))</f>
        <v/>
      </c>
      <c r="GD143" s="85">
        <f>IF(DP143="","",IFERROR(DP143*HSTECH!$B$37*HSTECH!$G$37/HSTECH!$B$3,""))</f>
        <v/>
      </c>
      <c r="GE143" s="85">
        <f>IF(DQ143="","",IFERROR(DQ143*HSTECH!$B$37*HSTECH!$G$37/HSTECH!$B$3,""))</f>
        <v/>
      </c>
      <c r="GF143" s="85">
        <f>IF(DR143="","",IFERROR(DR143*HSTECH!$B$37*HSTECH!$G$37/HSTECH!$B$3,""))</f>
        <v/>
      </c>
      <c r="GG143" s="85">
        <f>IF(DS143="","",IFERROR(DS143*HSTECH!$B$37*HSTECH!$G$37/HSTECH!$B$3,""))</f>
        <v/>
      </c>
      <c r="GH143" s="85">
        <f>IF(DT143="","",IFERROR(DT143*HSTECH!$B$37*HSTECH!$G$37/HSTECH!$B$3,""))</f>
        <v/>
      </c>
      <c r="GI143" s="85">
        <f>IF(DU143="","",IFERROR(DU143*HSTECH!$B$37*HSTECH!$G$37/HSTECH!$B$3,""))</f>
        <v/>
      </c>
      <c r="GJ143" s="85">
        <f>IF(DV143="","",IFERROR(DV143*HSTECH!$B$37*HSTECH!$G$37/HSTECH!$B$3,""))</f>
        <v/>
      </c>
      <c r="GK143" s="85">
        <f>IF(DW143="","",IFERROR(DW143*HSTECH!$B$37*HSTECH!$G$37/HSTECH!$B$3,""))</f>
        <v/>
      </c>
      <c r="GL143" s="85">
        <f>IF(DX143="","",IFERROR(DX143*HSTECH!$B$37*HSTECH!$G$37/HSTECH!$B$3,""))</f>
        <v/>
      </c>
      <c r="GM143" s="85">
        <f>IF(DY143="","",IFERROR(DY143*HSTECH!$B$37*HSTECH!$G$37/HSTECH!$B$3,""))</f>
        <v/>
      </c>
      <c r="GN143" s="85">
        <f>IF(DZ143="","",IFERROR(DZ143*HSTECH!$B$37*HSTECH!$G$37/HSTECH!$B$3,""))</f>
        <v/>
      </c>
      <c r="GO143" s="85">
        <f>IF(EA143="","",IFERROR(EA143*HSTECH!$B$37*HSTECH!$G$37/HSTECH!$B$3,""))</f>
        <v/>
      </c>
      <c r="GP143" s="85">
        <f>IF(EB143="","",IFERROR(EB143*HSTECH!$B$37*HSTECH!$G$37/HSTECH!$B$3,""))</f>
        <v/>
      </c>
      <c r="GQ143" s="85">
        <f>IF(EC143="","",IFERROR(EC143*HSTECH!$B$37*HSTECH!$G$37/HSTECH!$B$3,""))</f>
        <v/>
      </c>
    </row>
    <row r="144">
      <c r="B144" s="2">
        <f>IF(HSTECH!$C$38="","",HSTECH!$C$38)</f>
        <v/>
      </c>
      <c r="C144" s="41">
        <f>IF(N('Dvd Calendar'!$E$1980)=0,"",IF(('Dvd Calendar'!$E$1980&gt;=MIN(DATE(Summary!$C$12,1,1),Summary!$C$11))*('Dvd Calendar'!$E$1980&lt;=MAX(DATE(Summary!$C$12,12,31),Summary!$C$15))*('Dvd Calendar'!$E$1980&lt;=Summary!$C$11)=0,"",'Dvd Calendar'!$E$1980*1000000000+ISNUMBER('Dvd Calendar'!$E$1981)*100000000+('Dvd Calendar'!$E$1985='Field Check'!$C$25)*10000000+(N('Dvd Calendar'!$E$1979)&gt;0)*1000000+32*1000+1))</f>
        <v/>
      </c>
      <c r="D144" s="41">
        <f>IF(N('Dvd Calendar'!$F$1980)=0,"",IF(('Dvd Calendar'!$F$1980&gt;=MIN(DATE(Summary!$C$12,1,1),Summary!$C$11))*('Dvd Calendar'!$F$1980&lt;=MAX(DATE(Summary!$C$12,12,31),Summary!$C$15))*('Dvd Calendar'!$F$1980&lt;=Summary!$C$11)=0,"",'Dvd Calendar'!$F$1980*1000000000+ISNUMBER('Dvd Calendar'!$F$1981)*100000000+('Dvd Calendar'!$F$1985='Field Check'!$C$25)*10000000+(N('Dvd Calendar'!$F$1979)&gt;0)*1000000+32*1000+2))</f>
        <v/>
      </c>
      <c r="E144" s="41">
        <f>IF(N('Dvd Calendar'!$G$1980)=0,"",IF(('Dvd Calendar'!$G$1980&gt;=MIN(DATE(Summary!$C$12,1,1),Summary!$C$11))*('Dvd Calendar'!$G$1980&lt;=MAX(DATE(Summary!$C$12,12,31),Summary!$C$15))*('Dvd Calendar'!$G$1980&lt;=Summary!$C$11)=0,"",'Dvd Calendar'!$G$1980*1000000000+ISNUMBER('Dvd Calendar'!$G$1981)*100000000+('Dvd Calendar'!$G$1985='Field Check'!$C$25)*10000000+(N('Dvd Calendar'!$G$1979)&gt;0)*1000000+32*1000+3))</f>
        <v/>
      </c>
      <c r="F144" s="41">
        <f>IF(N('Dvd Calendar'!$H$1980)=0,"",IF(('Dvd Calendar'!$H$1980&gt;=MIN(DATE(Summary!$C$12,1,1),Summary!$C$11))*('Dvd Calendar'!$H$1980&lt;=MAX(DATE(Summary!$C$12,12,31),Summary!$C$15))*('Dvd Calendar'!$H$1980&lt;=Summary!$C$11)=0,"",'Dvd Calendar'!$H$1980*1000000000+ISNUMBER('Dvd Calendar'!$H$1981)*100000000+('Dvd Calendar'!$H$1985='Field Check'!$C$25)*10000000+(N('Dvd Calendar'!$H$1979)&gt;0)*1000000+32*1000+4))</f>
        <v/>
      </c>
      <c r="G144" s="41">
        <f>IF(N('Dvd Calendar'!$I$1980)=0,"",IF(('Dvd Calendar'!$I$1980&gt;=MIN(DATE(Summary!$C$12,1,1),Summary!$C$11))*('Dvd Calendar'!$I$1980&lt;=MAX(DATE(Summary!$C$12,12,31),Summary!$C$15))*('Dvd Calendar'!$I$1980&lt;=Summary!$C$11)=0,"",'Dvd Calendar'!$I$1980*1000000000+ISNUMBER('Dvd Calendar'!$I$1981)*100000000+('Dvd Calendar'!$I$1985='Field Check'!$C$25)*10000000+(N('Dvd Calendar'!$I$1979)&gt;0)*1000000+32*1000+5))</f>
        <v/>
      </c>
      <c r="H144" s="41">
        <f>IF(N('Dvd Calendar'!$J$1980)=0,"",IF(('Dvd Calendar'!$J$1980&gt;=MIN(DATE(Summary!$C$12,1,1),Summary!$C$11))*('Dvd Calendar'!$J$1980&lt;=MAX(DATE(Summary!$C$12,12,31),Summary!$C$15))*('Dvd Calendar'!$J$1980&lt;=Summary!$C$11)=0,"",'Dvd Calendar'!$J$1980*1000000000+ISNUMBER('Dvd Calendar'!$J$1981)*100000000+('Dvd Calendar'!$J$1985='Field Check'!$C$25)*10000000+(N('Dvd Calendar'!$J$1979)&gt;0)*1000000+32*1000+6))</f>
        <v/>
      </c>
      <c r="I144" s="41">
        <f>IF(N('Dvd Calendar'!$K$1980)=0,"",IF(('Dvd Calendar'!$K$1980&gt;=MIN(DATE(Summary!$C$12,1,1),Summary!$C$11))*('Dvd Calendar'!$K$1980&lt;=MAX(DATE(Summary!$C$12,12,31),Summary!$C$15))*('Dvd Calendar'!$K$1980&lt;=Summary!$C$11)=0,"",'Dvd Calendar'!$K$1980*1000000000+ISNUMBER('Dvd Calendar'!$K$1981)*100000000+('Dvd Calendar'!$K$1985='Field Check'!$C$25)*10000000+(N('Dvd Calendar'!$K$1979)&gt;0)*1000000+32*1000+7))</f>
        <v/>
      </c>
      <c r="J144" s="41">
        <f>IF(N('Dvd Calendar'!$L$1980)=0,"",IF(('Dvd Calendar'!$L$1980&gt;=MIN(DATE(Summary!$C$12,1,1),Summary!$C$11))*('Dvd Calendar'!$L$1980&lt;=MAX(DATE(Summary!$C$12,12,31),Summary!$C$15))*('Dvd Calendar'!$L$1980&lt;=Summary!$C$11)=0,"",'Dvd Calendar'!$L$1980*1000000000+ISNUMBER('Dvd Calendar'!$L$1981)*100000000+('Dvd Calendar'!$L$1985='Field Check'!$C$25)*10000000+(N('Dvd Calendar'!$L$1979)&gt;0)*1000000+32*1000+8))</f>
        <v/>
      </c>
      <c r="K144" s="41">
        <f>IF(N('Dvd Calendar'!$M$1980)=0,"",IF(('Dvd Calendar'!$M$1980&gt;=MIN(DATE(Summary!$C$12,1,1),Summary!$C$11))*('Dvd Calendar'!$M$1980&lt;=MAX(DATE(Summary!$C$12,12,31),Summary!$C$15))*('Dvd Calendar'!$M$1980&lt;=Summary!$C$11)=0,"",'Dvd Calendar'!$M$1980*1000000000+ISNUMBER('Dvd Calendar'!$M$1981)*100000000+('Dvd Calendar'!$M$1985='Field Check'!$C$25)*10000000+(N('Dvd Calendar'!$M$1979)&gt;0)*1000000+32*1000+9))</f>
        <v/>
      </c>
      <c r="L144" s="41">
        <f>IF(N('Dvd Calendar'!$N$1980)=0,"",IF(('Dvd Calendar'!$N$1980&gt;=MIN(DATE(Summary!$C$12,1,1),Summary!$C$11))*('Dvd Calendar'!$N$1980&lt;=MAX(DATE(Summary!$C$12,12,31),Summary!$C$15))*('Dvd Calendar'!$N$1980&lt;=Summary!$C$11)=0,"",'Dvd Calendar'!$N$1980*1000000000+ISNUMBER('Dvd Calendar'!$N$1981)*100000000+('Dvd Calendar'!$N$1985='Field Check'!$C$25)*10000000+(N('Dvd Calendar'!$N$1979)&gt;0)*1000000+32*1000+10))</f>
        <v/>
      </c>
      <c r="M144" s="41">
        <f>IF(N('Dvd Calendar'!$O$1980)=0,"",IF(('Dvd Calendar'!$O$1980&gt;=MIN(DATE(Summary!$C$12,1,1),Summary!$C$11))*('Dvd Calendar'!$O$1980&lt;=MAX(DATE(Summary!$C$12,12,31),Summary!$C$15))*('Dvd Calendar'!$O$1980&lt;=Summary!$C$11)=0,"",'Dvd Calendar'!$O$1980*1000000000+ISNUMBER('Dvd Calendar'!$O$1981)*100000000+('Dvd Calendar'!$O$1985='Field Check'!$C$25)*10000000+(N('Dvd Calendar'!$O$1979)&gt;0)*1000000+32*1000+11))</f>
        <v/>
      </c>
      <c r="N144" s="41">
        <f>IF(N('Dvd Calendar'!$P$1980)=0,"",IF(('Dvd Calendar'!$P$1980&gt;=MIN(DATE(Summary!$C$12,1,1),Summary!$C$11))*('Dvd Calendar'!$P$1980&lt;=MAX(DATE(Summary!$C$12,12,31),Summary!$C$15))*('Dvd Calendar'!$P$1980&lt;=Summary!$C$11)=0,"",'Dvd Calendar'!$P$1980*1000000000+ISNUMBER('Dvd Calendar'!$P$1981)*100000000+('Dvd Calendar'!$P$1985='Field Check'!$C$25)*10000000+(N('Dvd Calendar'!$P$1979)&gt;0)*1000000+32*1000+12))</f>
        <v/>
      </c>
      <c r="O144" s="41">
        <f>IF(N('Dvd Calendar'!$Q$1980)=0,"",IF(('Dvd Calendar'!$Q$1980&gt;=MIN(DATE(Summary!$C$12,1,1),Summary!$C$11))*('Dvd Calendar'!$Q$1980&lt;=MAX(DATE(Summary!$C$12,12,31),Summary!$C$15))*('Dvd Calendar'!$Q$1980&lt;=Summary!$C$11)=0,"",'Dvd Calendar'!$Q$1980*1000000000+ISNUMBER('Dvd Calendar'!$Q$1981)*100000000+('Dvd Calendar'!$Q$1985='Field Check'!$C$25)*10000000+(N('Dvd Calendar'!$Q$1979)&gt;0)*1000000+32*1000+13))</f>
        <v/>
      </c>
      <c r="P144" s="41">
        <f>IF(N('Dvd Calendar'!$R$1980)=0,"",IF(('Dvd Calendar'!$R$1980&gt;=MIN(DATE(Summary!$C$12,1,1),Summary!$C$11))*('Dvd Calendar'!$R$1980&lt;=MAX(DATE(Summary!$C$12,12,31),Summary!$C$15))*('Dvd Calendar'!$R$1980&lt;=Summary!$C$11)=0,"",'Dvd Calendar'!$R$1980*1000000000+ISNUMBER('Dvd Calendar'!$R$1981)*100000000+('Dvd Calendar'!$R$1985='Field Check'!$C$25)*10000000+(N('Dvd Calendar'!$R$1979)&gt;0)*1000000+32*1000+14))</f>
        <v/>
      </c>
      <c r="Q144" s="41">
        <f>IF(N('Dvd Calendar'!$S$1980)=0,"",IF(('Dvd Calendar'!$S$1980&gt;=MIN(DATE(Summary!$C$12,1,1),Summary!$C$11))*('Dvd Calendar'!$S$1980&lt;=MAX(DATE(Summary!$C$12,12,31),Summary!$C$15))*('Dvd Calendar'!$S$1980&lt;=Summary!$C$11)=0,"",'Dvd Calendar'!$S$1980*1000000000+ISNUMBER('Dvd Calendar'!$S$1981)*100000000+('Dvd Calendar'!$S$1985='Field Check'!$C$25)*10000000+(N('Dvd Calendar'!$S$1979)&gt;0)*1000000+32*1000+15))</f>
        <v/>
      </c>
      <c r="R144" s="41">
        <f>IF(N('Dvd Calendar'!$T$1980)=0,"",IF(('Dvd Calendar'!$T$1980&gt;=MIN(DATE(Summary!$C$12,1,1),Summary!$C$11))*('Dvd Calendar'!$T$1980&lt;=MAX(DATE(Summary!$C$12,12,31),Summary!$C$15))*('Dvd Calendar'!$T$1980&lt;=Summary!$C$11)=0,"",'Dvd Calendar'!$T$1980*1000000000+ISNUMBER('Dvd Calendar'!$T$1981)*100000000+('Dvd Calendar'!$T$1985='Field Check'!$C$25)*10000000+(N('Dvd Calendar'!$T$1979)&gt;0)*1000000+32*1000+16))</f>
        <v/>
      </c>
      <c r="S144" s="41">
        <f>IF(N('Dvd Calendar'!$U$1980)=0,"",IF(('Dvd Calendar'!$U$1980&gt;=MIN(DATE(Summary!$C$12,1,1),Summary!$C$11))*('Dvd Calendar'!$U$1980&lt;=MAX(DATE(Summary!$C$12,12,31),Summary!$C$15))*('Dvd Calendar'!$U$1980&lt;=Summary!$C$11)=0,"",'Dvd Calendar'!$U$1980*1000000000+ISNUMBER('Dvd Calendar'!$U$1981)*100000000+('Dvd Calendar'!$U$1985='Field Check'!$C$25)*10000000+(N('Dvd Calendar'!$U$1979)&gt;0)*1000000+32*1000+17))</f>
        <v/>
      </c>
      <c r="T144" s="41">
        <f>IF(N('Dvd Calendar'!$V$1980)=0,"",IF(('Dvd Calendar'!$V$1980&gt;=MIN(DATE(Summary!$C$12,1,1),Summary!$C$11))*('Dvd Calendar'!$V$1980&lt;=MAX(DATE(Summary!$C$12,12,31),Summary!$C$15))*('Dvd Calendar'!$V$1980&lt;=Summary!$C$11)=0,"",'Dvd Calendar'!$V$1980*1000000000+ISNUMBER('Dvd Calendar'!$V$1981)*100000000+('Dvd Calendar'!$V$1985='Field Check'!$C$25)*10000000+(N('Dvd Calendar'!$V$1979)&gt;0)*1000000+32*1000+18))</f>
        <v/>
      </c>
      <c r="U144" s="41">
        <f>IF(N('Dvd Calendar'!$W$1980)=0,"",IF(('Dvd Calendar'!$W$1980&gt;=MIN(DATE(Summary!$C$12,1,1),Summary!$C$11))*('Dvd Calendar'!$W$1980&lt;=MAX(DATE(Summary!$C$12,12,31),Summary!$C$15))*('Dvd Calendar'!$W$1980&lt;=Summary!$C$11)=0,"",'Dvd Calendar'!$W$1980*1000000000+ISNUMBER('Dvd Calendar'!$W$1981)*100000000+('Dvd Calendar'!$W$1985='Field Check'!$C$25)*10000000+(N('Dvd Calendar'!$W$1979)&gt;0)*1000000+32*1000+19))</f>
        <v/>
      </c>
      <c r="V144" s="41">
        <f>IF(N('Dvd Calendar'!$X$1980)=0,"",IF(('Dvd Calendar'!$X$1980&gt;=MIN(DATE(Summary!$C$12,1,1),Summary!$C$11))*('Dvd Calendar'!$X$1980&lt;=MAX(DATE(Summary!$C$12,12,31),Summary!$C$15))*('Dvd Calendar'!$X$1980&lt;=Summary!$C$11)=0,"",'Dvd Calendar'!$X$1980*1000000000+ISNUMBER('Dvd Calendar'!$X$1981)*100000000+('Dvd Calendar'!$X$1985='Field Check'!$C$25)*10000000+(N('Dvd Calendar'!$X$1979)&gt;0)*1000000+32*1000+20))</f>
        <v/>
      </c>
      <c r="W144" s="41">
        <f>IF(N('Dvd Calendar'!$Y$1980)=0,"",IF(('Dvd Calendar'!$Y$1980&gt;=MIN(DATE(Summary!$C$12,1,1),Summary!$C$11))*('Dvd Calendar'!$Y$1980&lt;=MAX(DATE(Summary!$C$12,12,31),Summary!$C$15))*('Dvd Calendar'!$Y$1980&lt;=Summary!$C$11)=0,"",'Dvd Calendar'!$Y$1980*1000000000+ISNUMBER('Dvd Calendar'!$Y$1981)*100000000+('Dvd Calendar'!$Y$1985='Field Check'!$C$25)*10000000+(N('Dvd Calendar'!$Y$1979)&gt;0)*1000000+32*1000+21))</f>
        <v/>
      </c>
      <c r="X144" s="41">
        <f>IF(N('Dvd Calendar'!$Z$1980)=0,"",IF(('Dvd Calendar'!$Z$1980&gt;=MIN(DATE(Summary!$C$12,1,1),Summary!$C$11))*('Dvd Calendar'!$Z$1980&lt;=MAX(DATE(Summary!$C$12,12,31),Summary!$C$15))*('Dvd Calendar'!$Z$1980&lt;=Summary!$C$11)=0,"",'Dvd Calendar'!$Z$1980*1000000000+ISNUMBER('Dvd Calendar'!$Z$1981)*100000000+('Dvd Calendar'!$Z$1985='Field Check'!$C$25)*10000000+(N('Dvd Calendar'!$Z$1979)&gt;0)*1000000+32*1000+22))</f>
        <v/>
      </c>
      <c r="Y144" s="41">
        <f>IF(N('Dvd Calendar'!$AA$1980)=0,"",IF(('Dvd Calendar'!$AA$1980&gt;=MIN(DATE(Summary!$C$12,1,1),Summary!$C$11))*('Dvd Calendar'!$AA$1980&lt;=MAX(DATE(Summary!$C$12,12,31),Summary!$C$15))*('Dvd Calendar'!$AA$1980&lt;=Summary!$C$11)=0,"",'Dvd Calendar'!$AA$1980*1000000000+ISNUMBER('Dvd Calendar'!$AA$1981)*100000000+('Dvd Calendar'!$AA$1985='Field Check'!$C$25)*10000000+(N('Dvd Calendar'!$AA$1979)&gt;0)*1000000+32*1000+23))</f>
        <v/>
      </c>
      <c r="Z144" s="41">
        <f>IF(N('Dvd Calendar'!$AB$1980)=0,"",IF(('Dvd Calendar'!$AB$1980&gt;=MIN(DATE(Summary!$C$12,1,1),Summary!$C$11))*('Dvd Calendar'!$AB$1980&lt;=MAX(DATE(Summary!$C$12,12,31),Summary!$C$15))*('Dvd Calendar'!$AB$1980&lt;=Summary!$C$11)=0,"",'Dvd Calendar'!$AB$1980*1000000000+ISNUMBER('Dvd Calendar'!$AB$1981)*100000000+('Dvd Calendar'!$AB$1985='Field Check'!$C$25)*10000000+(N('Dvd Calendar'!$AB$1979)&gt;0)*1000000+32*1000+24))</f>
        <v/>
      </c>
      <c r="AA144" s="41">
        <f>IF(N('Dvd Calendar'!$AC$1980)=0,"",IF(('Dvd Calendar'!$AC$1980&gt;=MIN(DATE(Summary!$C$12,1,1),Summary!$C$11))*('Dvd Calendar'!$AC$1980&lt;=MAX(DATE(Summary!$C$12,12,31),Summary!$C$15))*('Dvd Calendar'!$AC$1980&lt;=Summary!$C$11)=0,"",'Dvd Calendar'!$AC$1980*1000000000+ISNUMBER('Dvd Calendar'!$AC$1981)*100000000+('Dvd Calendar'!$AC$1985='Field Check'!$C$25)*10000000+(N('Dvd Calendar'!$AC$1979)&gt;0)*1000000+32*1000+25))</f>
        <v/>
      </c>
      <c r="AB144" s="41">
        <f>IF(N('Dvd Calendar'!$AD$1980)=0,"",IF(('Dvd Calendar'!$AD$1980&gt;=MIN(DATE(Summary!$C$12,1,1),Summary!$C$11))*('Dvd Calendar'!$AD$1980&lt;=MAX(DATE(Summary!$C$12,12,31),Summary!$C$15))*('Dvd Calendar'!$AD$1980&lt;=Summary!$C$11)=0,"",'Dvd Calendar'!$AD$1980*1000000000+ISNUMBER('Dvd Calendar'!$AD$1981)*100000000+('Dvd Calendar'!$AD$1985='Field Check'!$C$25)*10000000+(N('Dvd Calendar'!$AD$1979)&gt;0)*1000000+32*1000+26))</f>
        <v/>
      </c>
      <c r="AC144" s="41">
        <f>IF(N('Dvd Calendar'!$AE$1980)=0,"",IF(('Dvd Calendar'!$AE$1980&gt;=MIN(DATE(Summary!$C$12,1,1),Summary!$C$11))*('Dvd Calendar'!$AE$1980&lt;=MAX(DATE(Summary!$C$12,12,31),Summary!$C$15))*('Dvd Calendar'!$AE$1980&lt;=Summary!$C$11)=0,"",'Dvd Calendar'!$AE$1980*1000000000+ISNUMBER('Dvd Calendar'!$AE$1981)*100000000+('Dvd Calendar'!$AE$1985='Field Check'!$C$25)*10000000+(N('Dvd Calendar'!$AE$1979)&gt;0)*1000000+32*1000+27))</f>
        <v/>
      </c>
      <c r="AD144" s="41">
        <f>IF(N('Dvd Calendar'!$AF$1980)=0,"",IF(('Dvd Calendar'!$AF$1980&gt;=MIN(DATE(Summary!$C$12,1,1),Summary!$C$11))*('Dvd Calendar'!$AF$1980&lt;=MAX(DATE(Summary!$C$12,12,31),Summary!$C$15))*('Dvd Calendar'!$AF$1980&lt;=Summary!$C$11)=0,"",'Dvd Calendar'!$AF$1980*1000000000+ISNUMBER('Dvd Calendar'!$AF$1981)*100000000+('Dvd Calendar'!$AF$1985='Field Check'!$C$25)*10000000+(N('Dvd Calendar'!$AF$1979)&gt;0)*1000000+32*1000+28))</f>
        <v/>
      </c>
      <c r="AE144" s="41">
        <f>IF(N('Dvd Calendar'!$AG$1980)=0,"",IF(('Dvd Calendar'!$AG$1980&gt;=MIN(DATE(Summary!$C$12,1,1),Summary!$C$11))*('Dvd Calendar'!$AG$1980&lt;=MAX(DATE(Summary!$C$12,12,31),Summary!$C$15))*('Dvd Calendar'!$AG$1980&lt;=Summary!$C$11)=0,"",'Dvd Calendar'!$AG$1980*1000000000+ISNUMBER('Dvd Calendar'!$AG$1981)*100000000+('Dvd Calendar'!$AG$1985='Field Check'!$C$25)*10000000+(N('Dvd Calendar'!$AG$1979)&gt;0)*1000000+32*1000+29))</f>
        <v/>
      </c>
      <c r="AF144" s="41">
        <f>IF(N('Dvd Calendar'!$AH$1980)=0,"",IF(('Dvd Calendar'!$AH$1980&gt;=MIN(DATE(Summary!$C$12,1,1),Summary!$C$11))*('Dvd Calendar'!$AH$1980&lt;=MAX(DATE(Summary!$C$12,12,31),Summary!$C$15))*('Dvd Calendar'!$AH$1980&lt;=Summary!$C$11)=0,"",'Dvd Calendar'!$AH$1980*1000000000+ISNUMBER('Dvd Calendar'!$AH$1981)*100000000+('Dvd Calendar'!$AH$1985='Field Check'!$C$25)*10000000+(N('Dvd Calendar'!$AH$1979)&gt;0)*1000000+32*1000+30))</f>
        <v/>
      </c>
      <c r="AG144" s="41">
        <f>IF(N('Dvd Calendar'!$AI$1980)=0,"",IF(('Dvd Calendar'!$AI$1980&gt;=MIN(DATE(Summary!$C$12,1,1),Summary!$C$11))*('Dvd Calendar'!$AI$1980&lt;=MAX(DATE(Summary!$C$12,12,31),Summary!$C$15))*('Dvd Calendar'!$AI$1980&lt;=Summary!$C$11)=0,"",'Dvd Calendar'!$AI$1980*1000000000+ISNUMBER('Dvd Calendar'!$AI$1981)*100000000+('Dvd Calendar'!$AI$1985='Field Check'!$C$25)*10000000+(N('Dvd Calendar'!$AI$1979)&gt;0)*1000000+32*1000+31))</f>
        <v/>
      </c>
      <c r="AH144" s="41">
        <f>IF(N('Dvd Calendar'!$AJ$1980)=0,"",IF(('Dvd Calendar'!$AJ$1980&gt;=MIN(DATE(Summary!$C$12,1,1),Summary!$C$11))*('Dvd Calendar'!$AJ$1980&lt;=MAX(DATE(Summary!$C$12,12,31),Summary!$C$15))*('Dvd Calendar'!$AJ$1980&lt;=Summary!$C$11)=0,"",'Dvd Calendar'!$AJ$1980*1000000000+ISNUMBER('Dvd Calendar'!$AJ$1981)*100000000+('Dvd Calendar'!$AJ$1985='Field Check'!$C$25)*10000000+(N('Dvd Calendar'!$AJ$1979)&gt;0)*1000000+32*1000+32))</f>
        <v/>
      </c>
      <c r="AI144" s="41">
        <f>IF(N('Dvd Calendar'!$AK$1980)=0,"",IF(('Dvd Calendar'!$AK$1980&gt;=MIN(DATE(Summary!$C$12,1,1),Summary!$C$11))*('Dvd Calendar'!$AK$1980&lt;=MAX(DATE(Summary!$C$12,12,31),Summary!$C$15))*('Dvd Calendar'!$AK$1980&lt;=Summary!$C$11)=0,"",'Dvd Calendar'!$AK$1980*1000000000+ISNUMBER('Dvd Calendar'!$AK$1981)*100000000+('Dvd Calendar'!$AK$1985='Field Check'!$C$25)*10000000+(N('Dvd Calendar'!$AK$1979)&gt;0)*1000000+32*1000+33))</f>
        <v/>
      </c>
      <c r="AJ144" s="41">
        <f>IF(N('Dvd Calendar'!$AL$1980)=0,"",IF(('Dvd Calendar'!$AL$1980&gt;=MIN(DATE(Summary!$C$12,1,1),Summary!$C$11))*('Dvd Calendar'!$AL$1980&lt;=MAX(DATE(Summary!$C$12,12,31),Summary!$C$15))*('Dvd Calendar'!$AL$1980&lt;=Summary!$C$11)=0,"",'Dvd Calendar'!$AL$1980*1000000000+ISNUMBER('Dvd Calendar'!$AL$1981)*100000000+('Dvd Calendar'!$AL$1985='Field Check'!$C$25)*10000000+(N('Dvd Calendar'!$AL$1979)&gt;0)*1000000+32*1000+34))</f>
        <v/>
      </c>
      <c r="AK144" s="41">
        <f>IF(N('Dvd Calendar'!$AM$1980)=0,"",IF(('Dvd Calendar'!$AM$1980&gt;=MIN(DATE(Summary!$C$12,1,1),Summary!$C$11))*('Dvd Calendar'!$AM$1980&lt;=MAX(DATE(Summary!$C$12,12,31),Summary!$C$15))*('Dvd Calendar'!$AM$1980&lt;=Summary!$C$11)=0,"",'Dvd Calendar'!$AM$1980*1000000000+ISNUMBER('Dvd Calendar'!$AM$1981)*100000000+('Dvd Calendar'!$AM$1985='Field Check'!$C$25)*10000000+(N('Dvd Calendar'!$AM$1979)&gt;0)*1000000+32*1000+35))</f>
        <v/>
      </c>
      <c r="AL144" s="41">
        <f>IF(N('Dvd Calendar'!$AN$1980)=0,"",IF(('Dvd Calendar'!$AN$1980&gt;=MIN(DATE(Summary!$C$12,1,1),Summary!$C$11))*('Dvd Calendar'!$AN$1980&lt;=MAX(DATE(Summary!$C$12,12,31),Summary!$C$15))*('Dvd Calendar'!$AN$1980&lt;=Summary!$C$11)=0,"",'Dvd Calendar'!$AN$1980*1000000000+ISNUMBER('Dvd Calendar'!$AN$1981)*100000000+('Dvd Calendar'!$AN$1985='Field Check'!$C$25)*10000000+(N('Dvd Calendar'!$AN$1979)&gt;0)*1000000+32*1000+36))</f>
        <v/>
      </c>
      <c r="AM144" s="41">
        <f>IF(N('Dvd Calendar'!$AO$1980)=0,"",IF(('Dvd Calendar'!$AO$1980&gt;=MIN(DATE(Summary!$C$12,1,1),Summary!$C$11))*('Dvd Calendar'!$AO$1980&lt;=MAX(DATE(Summary!$C$12,12,31),Summary!$C$15))*('Dvd Calendar'!$AO$1980&lt;=Summary!$C$11)=0,"",'Dvd Calendar'!$AO$1980*1000000000+ISNUMBER('Dvd Calendar'!$AO$1981)*100000000+('Dvd Calendar'!$AO$1985='Field Check'!$C$25)*10000000+(N('Dvd Calendar'!$AO$1979)&gt;0)*1000000+32*1000+37))</f>
        <v/>
      </c>
      <c r="AN144" s="41">
        <f>IF(N('Dvd Calendar'!$AP$1980)=0,"",IF(('Dvd Calendar'!$AP$1980&gt;=MIN(DATE(Summary!$C$12,1,1),Summary!$C$11))*('Dvd Calendar'!$AP$1980&lt;=MAX(DATE(Summary!$C$12,12,31),Summary!$C$15))*('Dvd Calendar'!$AP$1980&lt;=Summary!$C$11)=0,"",'Dvd Calendar'!$AP$1980*1000000000+ISNUMBER('Dvd Calendar'!$AP$1981)*100000000+('Dvd Calendar'!$AP$1985='Field Check'!$C$25)*10000000+(N('Dvd Calendar'!$AP$1979)&gt;0)*1000000+32*1000+38))</f>
        <v/>
      </c>
      <c r="AO144" s="41">
        <f>IF(N('Dvd Calendar'!$AQ$1980)=0,"",IF(('Dvd Calendar'!$AQ$1980&gt;=MIN(DATE(Summary!$C$12,1,1),Summary!$C$11))*('Dvd Calendar'!$AQ$1980&lt;=MAX(DATE(Summary!$C$12,12,31),Summary!$C$15))*('Dvd Calendar'!$AQ$1980&lt;=Summary!$C$11)=0,"",'Dvd Calendar'!$AQ$1980*1000000000+ISNUMBER('Dvd Calendar'!$AQ$1981)*100000000+('Dvd Calendar'!$AQ$1985='Field Check'!$C$25)*10000000+(N('Dvd Calendar'!$AQ$1979)&gt;0)*1000000+32*1000+39))</f>
        <v/>
      </c>
      <c r="AP144" s="41">
        <f>IF(N('Dvd Calendar'!$AR$1980)=0,"",IF(('Dvd Calendar'!$AR$1980&gt;=MIN(DATE(Summary!$C$12,1,1),Summary!$C$11))*('Dvd Calendar'!$AR$1980&lt;=MAX(DATE(Summary!$C$12,12,31),Summary!$C$15))*('Dvd Calendar'!$AR$1980&lt;=Summary!$C$11)=0,"",'Dvd Calendar'!$AR$1980*1000000000+ISNUMBER('Dvd Calendar'!$AR$1981)*100000000+('Dvd Calendar'!$AR$1985='Field Check'!$C$25)*10000000+(N('Dvd Calendar'!$AR$1979)&gt;0)*1000000+32*1000+40))</f>
        <v/>
      </c>
      <c r="AQ144" s="41">
        <f>IF(N('Dvd Calendar'!$E$1987)=0,"",IF(('Dvd Calendar'!$E$1987&gt;=MIN(DATE(Summary!$C$12,1,1),Summary!$C$11))*('Dvd Calendar'!$E$1987&lt;=MAX(DATE(Summary!$C$12,12,31),Summary!$C$15))*('Dvd Calendar'!$E$1987&gt;Summary!$C$11)=0,"",'Dvd Calendar'!$E$1987*1000000000+ISNUMBER('Dvd Calendar'!$E$1988)*100000000+('Dvd Calendar'!$E$1992='Field Check'!$C$25)*10000000+(N('Dvd Calendar'!$E$1986)&gt;0)*1000000+32*1000+41))</f>
        <v/>
      </c>
      <c r="AR144" s="41">
        <f>IF(N('Dvd Calendar'!$F$1987)=0,"",IF(('Dvd Calendar'!$F$1987&gt;=MIN(DATE(Summary!$C$12,1,1),Summary!$C$11))*('Dvd Calendar'!$F$1987&lt;=MAX(DATE(Summary!$C$12,12,31),Summary!$C$15))*('Dvd Calendar'!$F$1987&gt;Summary!$C$11)=0,"",'Dvd Calendar'!$F$1987*1000000000+ISNUMBER('Dvd Calendar'!$F$1988)*100000000+('Dvd Calendar'!$F$1992='Field Check'!$C$25)*10000000+(N('Dvd Calendar'!$F$1986)&gt;0)*1000000+32*1000+42))</f>
        <v/>
      </c>
      <c r="AS144" s="41">
        <f>IF(N('Dvd Calendar'!$G$1987)=0,"",IF(('Dvd Calendar'!$G$1987&gt;=MIN(DATE(Summary!$C$12,1,1),Summary!$C$11))*('Dvd Calendar'!$G$1987&lt;=MAX(DATE(Summary!$C$12,12,31),Summary!$C$15))*('Dvd Calendar'!$G$1987&gt;Summary!$C$11)=0,"",'Dvd Calendar'!$G$1987*1000000000+ISNUMBER('Dvd Calendar'!$G$1988)*100000000+('Dvd Calendar'!$G$1992='Field Check'!$C$25)*10000000+(N('Dvd Calendar'!$G$1986)&gt;0)*1000000+32*1000+43))</f>
        <v/>
      </c>
      <c r="AT144" s="41">
        <f>IF(N('Dvd Calendar'!$H$1987)=0,"",IF(('Dvd Calendar'!$H$1987&gt;=MIN(DATE(Summary!$C$12,1,1),Summary!$C$11))*('Dvd Calendar'!$H$1987&lt;=MAX(DATE(Summary!$C$12,12,31),Summary!$C$15))*('Dvd Calendar'!$H$1987&gt;Summary!$C$11)=0,"",'Dvd Calendar'!$H$1987*1000000000+ISNUMBER('Dvd Calendar'!$H$1988)*100000000+('Dvd Calendar'!$H$1992='Field Check'!$C$25)*10000000+(N('Dvd Calendar'!$H$1986)&gt;0)*1000000+32*1000+44))</f>
        <v/>
      </c>
      <c r="AU144" s="41">
        <f>IF(N('Dvd Calendar'!$I$1987)=0,"",IF(('Dvd Calendar'!$I$1987&gt;=MIN(DATE(Summary!$C$12,1,1),Summary!$C$11))*('Dvd Calendar'!$I$1987&lt;=MAX(DATE(Summary!$C$12,12,31),Summary!$C$15))*('Dvd Calendar'!$I$1987&gt;Summary!$C$11)=0,"",'Dvd Calendar'!$I$1987*1000000000+ISNUMBER('Dvd Calendar'!$I$1988)*100000000+('Dvd Calendar'!$I$1992='Field Check'!$C$25)*10000000+(N('Dvd Calendar'!$I$1986)&gt;0)*1000000+32*1000+45))</f>
        <v/>
      </c>
      <c r="AV144" s="41">
        <f>IF(N('Dvd Calendar'!$J$1987)=0,"",IF(('Dvd Calendar'!$J$1987&gt;=MIN(DATE(Summary!$C$12,1,1),Summary!$C$11))*('Dvd Calendar'!$J$1987&lt;=MAX(DATE(Summary!$C$12,12,31),Summary!$C$15))*('Dvd Calendar'!$J$1987&gt;Summary!$C$11)=0,"",'Dvd Calendar'!$J$1987*1000000000+ISNUMBER('Dvd Calendar'!$J$1988)*100000000+('Dvd Calendar'!$J$1992='Field Check'!$C$25)*10000000+(N('Dvd Calendar'!$J$1986)&gt;0)*1000000+32*1000+46))</f>
        <v/>
      </c>
      <c r="AW144" s="41">
        <f>IF(N('Dvd Calendar'!$K$1987)=0,"",IF(('Dvd Calendar'!$K$1987&gt;=MIN(DATE(Summary!$C$12,1,1),Summary!$C$11))*('Dvd Calendar'!$K$1987&lt;=MAX(DATE(Summary!$C$12,12,31),Summary!$C$15))*('Dvd Calendar'!$K$1987&gt;Summary!$C$11)=0,"",'Dvd Calendar'!$K$1987*1000000000+ISNUMBER('Dvd Calendar'!$K$1988)*100000000+('Dvd Calendar'!$K$1992='Field Check'!$C$25)*10000000+(N('Dvd Calendar'!$K$1986)&gt;0)*1000000+32*1000+47))</f>
        <v/>
      </c>
      <c r="AX144" s="41">
        <f>IF(N('Dvd Calendar'!$L$1987)=0,"",IF(('Dvd Calendar'!$L$1987&gt;=MIN(DATE(Summary!$C$12,1,1),Summary!$C$11))*('Dvd Calendar'!$L$1987&lt;=MAX(DATE(Summary!$C$12,12,31),Summary!$C$15))*('Dvd Calendar'!$L$1987&gt;Summary!$C$11)=0,"",'Dvd Calendar'!$L$1987*1000000000+ISNUMBER('Dvd Calendar'!$L$1988)*100000000+('Dvd Calendar'!$L$1992='Field Check'!$C$25)*10000000+(N('Dvd Calendar'!$L$1986)&gt;0)*1000000+32*1000+48))</f>
        <v/>
      </c>
      <c r="AY144" s="41">
        <f>IF(N('Dvd Calendar'!$M$1987)=0,"",IF(('Dvd Calendar'!$M$1987&gt;=MIN(DATE(Summary!$C$12,1,1),Summary!$C$11))*('Dvd Calendar'!$M$1987&lt;=MAX(DATE(Summary!$C$12,12,31),Summary!$C$15))*('Dvd Calendar'!$M$1987&gt;Summary!$C$11)=0,"",'Dvd Calendar'!$M$1987*1000000000+ISNUMBER('Dvd Calendar'!$M$1988)*100000000+('Dvd Calendar'!$M$1992='Field Check'!$C$25)*10000000+(N('Dvd Calendar'!$M$1986)&gt;0)*1000000+32*1000+49))</f>
        <v/>
      </c>
      <c r="AZ144" s="41">
        <f>IF(N('Dvd Calendar'!$N$1987)=0,"",IF(('Dvd Calendar'!$N$1987&gt;=MIN(DATE(Summary!$C$12,1,1),Summary!$C$11))*('Dvd Calendar'!$N$1987&lt;=MAX(DATE(Summary!$C$12,12,31),Summary!$C$15))*('Dvd Calendar'!$N$1987&gt;Summary!$C$11)=0,"",'Dvd Calendar'!$N$1987*1000000000+ISNUMBER('Dvd Calendar'!$N$1988)*100000000+('Dvd Calendar'!$N$1992='Field Check'!$C$25)*10000000+(N('Dvd Calendar'!$N$1986)&gt;0)*1000000+32*1000+50))</f>
        <v/>
      </c>
      <c r="BA144" s="41">
        <f>IF(N('Dvd Calendar'!$O$1987)=0,"",IF(('Dvd Calendar'!$O$1987&gt;=MIN(DATE(Summary!$C$12,1,1),Summary!$C$11))*('Dvd Calendar'!$O$1987&lt;=MAX(DATE(Summary!$C$12,12,31),Summary!$C$15))*('Dvd Calendar'!$O$1987&gt;Summary!$C$11)=0,"",'Dvd Calendar'!$O$1987*1000000000+ISNUMBER('Dvd Calendar'!$O$1988)*100000000+('Dvd Calendar'!$O$1992='Field Check'!$C$25)*10000000+(N('Dvd Calendar'!$O$1986)&gt;0)*1000000+32*1000+51))</f>
        <v/>
      </c>
      <c r="BB144" s="41">
        <f>IF(N('Dvd Calendar'!$P$1987)=0,"",IF(('Dvd Calendar'!$P$1987&gt;=MIN(DATE(Summary!$C$12,1,1),Summary!$C$11))*('Dvd Calendar'!$P$1987&lt;=MAX(DATE(Summary!$C$12,12,31),Summary!$C$15))*('Dvd Calendar'!$P$1987&gt;Summary!$C$11)=0,"",'Dvd Calendar'!$P$1987*1000000000+ISNUMBER('Dvd Calendar'!$P$1988)*100000000+('Dvd Calendar'!$P$1992='Field Check'!$C$25)*10000000+(N('Dvd Calendar'!$P$1986)&gt;0)*1000000+32*1000+52))</f>
        <v/>
      </c>
      <c r="BC144" s="41">
        <f>IF(N('Dvd Calendar'!$Q$1987)=0,"",IF(('Dvd Calendar'!$Q$1987&gt;=MIN(DATE(Summary!$C$12,1,1),Summary!$C$11))*('Dvd Calendar'!$Q$1987&lt;=MAX(DATE(Summary!$C$12,12,31),Summary!$C$15))*('Dvd Calendar'!$Q$1987&gt;Summary!$C$11)=0,"",'Dvd Calendar'!$Q$1987*1000000000+ISNUMBER('Dvd Calendar'!$Q$1988)*100000000+('Dvd Calendar'!$Q$1992='Field Check'!$C$25)*10000000+(N('Dvd Calendar'!$Q$1986)&gt;0)*1000000+32*1000+53))</f>
        <v/>
      </c>
      <c r="BD144" s="41">
        <f>IF(N('Dvd Calendar'!$R$1987)=0,"",IF(('Dvd Calendar'!$R$1987&gt;=MIN(DATE(Summary!$C$12,1,1),Summary!$C$11))*('Dvd Calendar'!$R$1987&lt;=MAX(DATE(Summary!$C$12,12,31),Summary!$C$15))*('Dvd Calendar'!$R$1987&gt;Summary!$C$11)=0,"",'Dvd Calendar'!$R$1987*1000000000+ISNUMBER('Dvd Calendar'!$R$1988)*100000000+('Dvd Calendar'!$R$1992='Field Check'!$C$25)*10000000+(N('Dvd Calendar'!$R$1986)&gt;0)*1000000+32*1000+54))</f>
        <v/>
      </c>
      <c r="BE144" s="41">
        <f>IF(N('Dvd Calendar'!$S$1987)=0,"",IF(('Dvd Calendar'!$S$1987&gt;=MIN(DATE(Summary!$C$12,1,1),Summary!$C$11))*('Dvd Calendar'!$S$1987&lt;=MAX(DATE(Summary!$C$12,12,31),Summary!$C$15))*('Dvd Calendar'!$S$1987&gt;Summary!$C$11)=0,"",'Dvd Calendar'!$S$1987*1000000000+ISNUMBER('Dvd Calendar'!$S$1988)*100000000+('Dvd Calendar'!$S$1992='Field Check'!$C$25)*10000000+(N('Dvd Calendar'!$S$1986)&gt;0)*1000000+32*1000+55))</f>
        <v/>
      </c>
      <c r="BF144" s="41">
        <f>IF(N('Dvd Calendar'!$T$1987)=0,"",IF(('Dvd Calendar'!$T$1987&gt;=MIN(DATE(Summary!$C$12,1,1),Summary!$C$11))*('Dvd Calendar'!$T$1987&lt;=MAX(DATE(Summary!$C$12,12,31),Summary!$C$15))*('Dvd Calendar'!$T$1987&gt;Summary!$C$11)=0,"",'Dvd Calendar'!$T$1987*1000000000+ISNUMBER('Dvd Calendar'!$T$1988)*100000000+('Dvd Calendar'!$T$1992='Field Check'!$C$25)*10000000+(N('Dvd Calendar'!$T$1986)&gt;0)*1000000+32*1000+56))</f>
        <v/>
      </c>
      <c r="BG144" s="41">
        <f>IF(N('Dvd Calendar'!$U$1987)=0,"",IF(('Dvd Calendar'!$U$1987&gt;=MIN(DATE(Summary!$C$12,1,1),Summary!$C$11))*('Dvd Calendar'!$U$1987&lt;=MAX(DATE(Summary!$C$12,12,31),Summary!$C$15))*('Dvd Calendar'!$U$1987&gt;Summary!$C$11)=0,"",'Dvd Calendar'!$U$1987*1000000000+ISNUMBER('Dvd Calendar'!$U$1988)*100000000+('Dvd Calendar'!$U$1992='Field Check'!$C$25)*10000000+(N('Dvd Calendar'!$U$1986)&gt;0)*1000000+32*1000+57))</f>
        <v/>
      </c>
      <c r="BH144" s="41">
        <f>IF(N('Dvd Calendar'!$V$1987)=0,"",IF(('Dvd Calendar'!$V$1987&gt;=MIN(DATE(Summary!$C$12,1,1),Summary!$C$11))*('Dvd Calendar'!$V$1987&lt;=MAX(DATE(Summary!$C$12,12,31),Summary!$C$15))*('Dvd Calendar'!$V$1987&gt;Summary!$C$11)=0,"",'Dvd Calendar'!$V$1987*1000000000+ISNUMBER('Dvd Calendar'!$V$1988)*100000000+('Dvd Calendar'!$V$1992='Field Check'!$C$25)*10000000+(N('Dvd Calendar'!$V$1986)&gt;0)*1000000+32*1000+58))</f>
        <v/>
      </c>
      <c r="BI144" s="41">
        <f>IF(N('Dvd Calendar'!$W$1987)=0,"",IF(('Dvd Calendar'!$W$1987&gt;=MIN(DATE(Summary!$C$12,1,1),Summary!$C$11))*('Dvd Calendar'!$W$1987&lt;=MAX(DATE(Summary!$C$12,12,31),Summary!$C$15))*('Dvd Calendar'!$W$1987&gt;Summary!$C$11)=0,"",'Dvd Calendar'!$W$1987*1000000000+ISNUMBER('Dvd Calendar'!$W$1988)*100000000+('Dvd Calendar'!$W$1992='Field Check'!$C$25)*10000000+(N('Dvd Calendar'!$W$1986)&gt;0)*1000000+32*1000+59))</f>
        <v/>
      </c>
      <c r="BJ144" s="41">
        <f>IF(N('Dvd Calendar'!$X$1987)=0,"",IF(('Dvd Calendar'!$X$1987&gt;=MIN(DATE(Summary!$C$12,1,1),Summary!$C$11))*('Dvd Calendar'!$X$1987&lt;=MAX(DATE(Summary!$C$12,12,31),Summary!$C$15))*('Dvd Calendar'!$X$1987&gt;Summary!$C$11)=0,"",'Dvd Calendar'!$X$1987*1000000000+ISNUMBER('Dvd Calendar'!$X$1988)*100000000+('Dvd Calendar'!$X$1992='Field Check'!$C$25)*10000000+(N('Dvd Calendar'!$X$1986)&gt;0)*1000000+32*1000+60))</f>
        <v/>
      </c>
      <c r="BK144" s="41">
        <f>IF(N('Dvd Calendar'!$Y$1987)=0,"",IF(('Dvd Calendar'!$Y$1987&gt;=MIN(DATE(Summary!$C$12,1,1),Summary!$C$11))*('Dvd Calendar'!$Y$1987&lt;=MAX(DATE(Summary!$C$12,12,31),Summary!$C$15))*('Dvd Calendar'!$Y$1987&gt;Summary!$C$11)=0,"",'Dvd Calendar'!$Y$1987*1000000000+ISNUMBER('Dvd Calendar'!$Y$1988)*100000000+('Dvd Calendar'!$Y$1992='Field Check'!$C$25)*10000000+(N('Dvd Calendar'!$Y$1986)&gt;0)*1000000+32*1000+61))</f>
        <v/>
      </c>
      <c r="BL144" s="41">
        <f>IF(N('Dvd Calendar'!$Z$1987)=0,"",IF(('Dvd Calendar'!$Z$1987&gt;=MIN(DATE(Summary!$C$12,1,1),Summary!$C$11))*('Dvd Calendar'!$Z$1987&lt;=MAX(DATE(Summary!$C$12,12,31),Summary!$C$15))*('Dvd Calendar'!$Z$1987&gt;Summary!$C$11)=0,"",'Dvd Calendar'!$Z$1987*1000000000+ISNUMBER('Dvd Calendar'!$Z$1988)*100000000+('Dvd Calendar'!$Z$1992='Field Check'!$C$25)*10000000+(N('Dvd Calendar'!$Z$1986)&gt;0)*1000000+32*1000+62))</f>
        <v/>
      </c>
      <c r="BM144" s="41">
        <f>IF(N('Dvd Calendar'!$AA$1987)=0,"",IF(('Dvd Calendar'!$AA$1987&gt;=MIN(DATE(Summary!$C$12,1,1),Summary!$C$11))*('Dvd Calendar'!$AA$1987&lt;=MAX(DATE(Summary!$C$12,12,31),Summary!$C$15))*('Dvd Calendar'!$AA$1987&gt;Summary!$C$11)=0,"",'Dvd Calendar'!$AA$1987*1000000000+ISNUMBER('Dvd Calendar'!$AA$1988)*100000000+('Dvd Calendar'!$AA$1992='Field Check'!$C$25)*10000000+(N('Dvd Calendar'!$AA$1986)&gt;0)*1000000+32*1000+63))</f>
        <v/>
      </c>
      <c r="BN144" s="41">
        <f>IF(N('Dvd Calendar'!$AB$1987)=0,"",IF(('Dvd Calendar'!$AB$1987&gt;=MIN(DATE(Summary!$C$12,1,1),Summary!$C$11))*('Dvd Calendar'!$AB$1987&lt;=MAX(DATE(Summary!$C$12,12,31),Summary!$C$15))*('Dvd Calendar'!$AB$1987&gt;Summary!$C$11)=0,"",'Dvd Calendar'!$AB$1987*1000000000+ISNUMBER('Dvd Calendar'!$AB$1988)*100000000+('Dvd Calendar'!$AB$1992='Field Check'!$C$25)*10000000+(N('Dvd Calendar'!$AB$1986)&gt;0)*1000000+32*1000+64))</f>
        <v/>
      </c>
      <c r="BO144" s="41">
        <f>IF(N('Dvd Calendar'!$AC$1987)=0,"",IF(('Dvd Calendar'!$AC$1987&gt;=MIN(DATE(Summary!$C$12,1,1),Summary!$C$11))*('Dvd Calendar'!$AC$1987&lt;=MAX(DATE(Summary!$C$12,12,31),Summary!$C$15))*('Dvd Calendar'!$AC$1987&gt;Summary!$C$11)=0,"",'Dvd Calendar'!$AC$1987*1000000000+ISNUMBER('Dvd Calendar'!$AC$1988)*100000000+('Dvd Calendar'!$AC$1992='Field Check'!$C$25)*10000000+(N('Dvd Calendar'!$AC$1986)&gt;0)*1000000+32*1000+65))</f>
        <v/>
      </c>
      <c r="BQ144" s="85">
        <f>IF(C144="","",IF(ISNUMBER('Dvd Calendar'!$E$1981)=FALSE,"",IF((Summary!$C$13="N")*('Dvd Calendar'!$E$1985='Field Check'!$C$25)&gt;0,"",'Dvd Calendar'!$E$1981)))</f>
        <v/>
      </c>
      <c r="BR144" s="85">
        <f>IF(D144="","",IF(ISNUMBER('Dvd Calendar'!$F$1981)=FALSE,"",IF((Summary!$C$13="N")*('Dvd Calendar'!$F$1985='Field Check'!$C$25)&gt;0,"",'Dvd Calendar'!$F$1981)))</f>
        <v/>
      </c>
      <c r="BS144" s="85">
        <f>IF(E144="","",IF(ISNUMBER('Dvd Calendar'!$G$1981)=FALSE,"",IF((Summary!$C$13="N")*('Dvd Calendar'!$G$1985='Field Check'!$C$25)&gt;0,"",'Dvd Calendar'!$G$1981)))</f>
        <v/>
      </c>
      <c r="BT144" s="85">
        <f>IF(F144="","",IF(ISNUMBER('Dvd Calendar'!$H$1981)=FALSE,"",IF((Summary!$C$13="N")*('Dvd Calendar'!$H$1985='Field Check'!$C$25)&gt;0,"",'Dvd Calendar'!$H$1981)))</f>
        <v/>
      </c>
      <c r="BU144" s="85">
        <f>IF(G144="","",IF(ISNUMBER('Dvd Calendar'!$I$1981)=FALSE,"",IF((Summary!$C$13="N")*('Dvd Calendar'!$I$1985='Field Check'!$C$25)&gt;0,"",'Dvd Calendar'!$I$1981)))</f>
        <v/>
      </c>
      <c r="BV144" s="85">
        <f>IF(H144="","",IF(ISNUMBER('Dvd Calendar'!$J$1981)=FALSE,"",IF((Summary!$C$13="N")*('Dvd Calendar'!$J$1985='Field Check'!$C$25)&gt;0,"",'Dvd Calendar'!$J$1981)))</f>
        <v/>
      </c>
      <c r="BW144" s="85">
        <f>IF(I144="","",IF(ISNUMBER('Dvd Calendar'!$K$1981)=FALSE,"",IF((Summary!$C$13="N")*('Dvd Calendar'!$K$1985='Field Check'!$C$25)&gt;0,"",'Dvd Calendar'!$K$1981)))</f>
        <v/>
      </c>
      <c r="BX144" s="85">
        <f>IF(J144="","",IF(ISNUMBER('Dvd Calendar'!$L$1981)=FALSE,"",IF((Summary!$C$13="N")*('Dvd Calendar'!$L$1985='Field Check'!$C$25)&gt;0,"",'Dvd Calendar'!$L$1981)))</f>
        <v/>
      </c>
      <c r="BY144" s="85">
        <f>IF(K144="","",IF(ISNUMBER('Dvd Calendar'!$M$1981)=FALSE,"",IF((Summary!$C$13="N")*('Dvd Calendar'!$M$1985='Field Check'!$C$25)&gt;0,"",'Dvd Calendar'!$M$1981)))</f>
        <v/>
      </c>
      <c r="BZ144" s="85">
        <f>IF(L144="","",IF(ISNUMBER('Dvd Calendar'!$N$1981)=FALSE,"",IF((Summary!$C$13="N")*('Dvd Calendar'!$N$1985='Field Check'!$C$25)&gt;0,"",'Dvd Calendar'!$N$1981)))</f>
        <v/>
      </c>
      <c r="CA144" s="85">
        <f>IF(M144="","",IF(ISNUMBER('Dvd Calendar'!$O$1981)=FALSE,"",IF((Summary!$C$13="N")*('Dvd Calendar'!$O$1985='Field Check'!$C$25)&gt;0,"",'Dvd Calendar'!$O$1981)))</f>
        <v/>
      </c>
      <c r="CB144" s="85">
        <f>IF(N144="","",IF(ISNUMBER('Dvd Calendar'!$P$1981)=FALSE,"",IF((Summary!$C$13="N")*('Dvd Calendar'!$P$1985='Field Check'!$C$25)&gt;0,"",'Dvd Calendar'!$P$1981)))</f>
        <v/>
      </c>
      <c r="CC144" s="85">
        <f>IF(O144="","",IF(ISNUMBER('Dvd Calendar'!$Q$1981)=FALSE,"",IF((Summary!$C$13="N")*('Dvd Calendar'!$Q$1985='Field Check'!$C$25)&gt;0,"",'Dvd Calendar'!$Q$1981)))</f>
        <v/>
      </c>
      <c r="CD144" s="85">
        <f>IF(P144="","",IF(ISNUMBER('Dvd Calendar'!$R$1981)=FALSE,"",IF((Summary!$C$13="N")*('Dvd Calendar'!$R$1985='Field Check'!$C$25)&gt;0,"",'Dvd Calendar'!$R$1981)))</f>
        <v/>
      </c>
      <c r="CE144" s="85">
        <f>IF(Q144="","",IF(ISNUMBER('Dvd Calendar'!$S$1981)=FALSE,"",IF((Summary!$C$13="N")*('Dvd Calendar'!$S$1985='Field Check'!$C$25)&gt;0,"",'Dvd Calendar'!$S$1981)))</f>
        <v/>
      </c>
      <c r="CF144" s="85">
        <f>IF(R144="","",IF(ISNUMBER('Dvd Calendar'!$T$1981)=FALSE,"",IF((Summary!$C$13="N")*('Dvd Calendar'!$T$1985='Field Check'!$C$25)&gt;0,"",'Dvd Calendar'!$T$1981)))</f>
        <v/>
      </c>
      <c r="CG144" s="85">
        <f>IF(S144="","",IF(ISNUMBER('Dvd Calendar'!$U$1981)=FALSE,"",IF((Summary!$C$13="N")*('Dvd Calendar'!$U$1985='Field Check'!$C$25)&gt;0,"",'Dvd Calendar'!$U$1981)))</f>
        <v/>
      </c>
      <c r="CH144" s="85">
        <f>IF(T144="","",IF(ISNUMBER('Dvd Calendar'!$V$1981)=FALSE,"",IF((Summary!$C$13="N")*('Dvd Calendar'!$V$1985='Field Check'!$C$25)&gt;0,"",'Dvd Calendar'!$V$1981)))</f>
        <v/>
      </c>
      <c r="CI144" s="85">
        <f>IF(U144="","",IF(ISNUMBER('Dvd Calendar'!$W$1981)=FALSE,"",IF((Summary!$C$13="N")*('Dvd Calendar'!$W$1985='Field Check'!$C$25)&gt;0,"",'Dvd Calendar'!$W$1981)))</f>
        <v/>
      </c>
      <c r="CJ144" s="85">
        <f>IF(V144="","",IF(ISNUMBER('Dvd Calendar'!$X$1981)=FALSE,"",IF((Summary!$C$13="N")*('Dvd Calendar'!$X$1985='Field Check'!$C$25)&gt;0,"",'Dvd Calendar'!$X$1981)))</f>
        <v/>
      </c>
      <c r="CK144" s="85">
        <f>IF(W144="","",IF(ISNUMBER('Dvd Calendar'!$Y$1981)=FALSE,"",IF((Summary!$C$13="N")*('Dvd Calendar'!$Y$1985='Field Check'!$C$25)&gt;0,"",'Dvd Calendar'!$Y$1981)))</f>
        <v/>
      </c>
      <c r="CL144" s="85">
        <f>IF(X144="","",IF(ISNUMBER('Dvd Calendar'!$Z$1981)=FALSE,"",IF((Summary!$C$13="N")*('Dvd Calendar'!$Z$1985='Field Check'!$C$25)&gt;0,"",'Dvd Calendar'!$Z$1981)))</f>
        <v/>
      </c>
      <c r="CM144" s="85">
        <f>IF(Y144="","",IF(ISNUMBER('Dvd Calendar'!$AA$1981)=FALSE,"",IF((Summary!$C$13="N")*('Dvd Calendar'!$AA$1985='Field Check'!$C$25)&gt;0,"",'Dvd Calendar'!$AA$1981)))</f>
        <v/>
      </c>
      <c r="CN144" s="85">
        <f>IF(Z144="","",IF(ISNUMBER('Dvd Calendar'!$AB$1981)=FALSE,"",IF((Summary!$C$13="N")*('Dvd Calendar'!$AB$1985='Field Check'!$C$25)&gt;0,"",'Dvd Calendar'!$AB$1981)))</f>
        <v/>
      </c>
      <c r="CO144" s="85">
        <f>IF(AA144="","",IF(ISNUMBER('Dvd Calendar'!$AC$1981)=FALSE,"",IF((Summary!$C$13="N")*('Dvd Calendar'!$AC$1985='Field Check'!$C$25)&gt;0,"",'Dvd Calendar'!$AC$1981)))</f>
        <v/>
      </c>
      <c r="CP144" s="85">
        <f>IF(AB144="","",IF(ISNUMBER('Dvd Calendar'!$AD$1981)=FALSE,"",IF((Summary!$C$13="N")*('Dvd Calendar'!$AD$1985='Field Check'!$C$25)&gt;0,"",'Dvd Calendar'!$AD$1981)))</f>
        <v/>
      </c>
      <c r="CQ144" s="85">
        <f>IF(AC144="","",IF(ISNUMBER('Dvd Calendar'!$AE$1981)=FALSE,"",IF((Summary!$C$13="N")*('Dvd Calendar'!$AE$1985='Field Check'!$C$25)&gt;0,"",'Dvd Calendar'!$AE$1981)))</f>
        <v/>
      </c>
      <c r="CR144" s="85">
        <f>IF(AD144="","",IF(ISNUMBER('Dvd Calendar'!$AF$1981)=FALSE,"",IF((Summary!$C$13="N")*('Dvd Calendar'!$AF$1985='Field Check'!$C$25)&gt;0,"",'Dvd Calendar'!$AF$1981)))</f>
        <v/>
      </c>
      <c r="CS144" s="85">
        <f>IF(AE144="","",IF(ISNUMBER('Dvd Calendar'!$AG$1981)=FALSE,"",IF((Summary!$C$13="N")*('Dvd Calendar'!$AG$1985='Field Check'!$C$25)&gt;0,"",'Dvd Calendar'!$AG$1981)))</f>
        <v/>
      </c>
      <c r="CT144" s="85">
        <f>IF(AF144="","",IF(ISNUMBER('Dvd Calendar'!$AH$1981)=FALSE,"",IF((Summary!$C$13="N")*('Dvd Calendar'!$AH$1985='Field Check'!$C$25)&gt;0,"",'Dvd Calendar'!$AH$1981)))</f>
        <v/>
      </c>
      <c r="CU144" s="85">
        <f>IF(AG144="","",IF(ISNUMBER('Dvd Calendar'!$AI$1981)=FALSE,"",IF((Summary!$C$13="N")*('Dvd Calendar'!$AI$1985='Field Check'!$C$25)&gt;0,"",'Dvd Calendar'!$AI$1981)))</f>
        <v/>
      </c>
      <c r="CV144" s="85">
        <f>IF(AH144="","",IF(ISNUMBER('Dvd Calendar'!$AJ$1981)=FALSE,"",IF((Summary!$C$13="N")*('Dvd Calendar'!$AJ$1985='Field Check'!$C$25)&gt;0,"",'Dvd Calendar'!$AJ$1981)))</f>
        <v/>
      </c>
      <c r="CW144" s="85">
        <f>IF(AI144="","",IF(ISNUMBER('Dvd Calendar'!$AK$1981)=FALSE,"",IF((Summary!$C$13="N")*('Dvd Calendar'!$AK$1985='Field Check'!$C$25)&gt;0,"",'Dvd Calendar'!$AK$1981)))</f>
        <v/>
      </c>
      <c r="CX144" s="85">
        <f>IF(AJ144="","",IF(ISNUMBER('Dvd Calendar'!$AL$1981)=FALSE,"",IF((Summary!$C$13="N")*('Dvd Calendar'!$AL$1985='Field Check'!$C$25)&gt;0,"",'Dvd Calendar'!$AL$1981)))</f>
        <v/>
      </c>
      <c r="CY144" s="85">
        <f>IF(AK144="","",IF(ISNUMBER('Dvd Calendar'!$AM$1981)=FALSE,"",IF((Summary!$C$13="N")*('Dvd Calendar'!$AM$1985='Field Check'!$C$25)&gt;0,"",'Dvd Calendar'!$AM$1981)))</f>
        <v/>
      </c>
      <c r="CZ144" s="85">
        <f>IF(AL144="","",IF(ISNUMBER('Dvd Calendar'!$AN$1981)=FALSE,"",IF((Summary!$C$13="N")*('Dvd Calendar'!$AN$1985='Field Check'!$C$25)&gt;0,"",'Dvd Calendar'!$AN$1981)))</f>
        <v/>
      </c>
      <c r="DA144" s="85">
        <f>IF(AM144="","",IF(ISNUMBER('Dvd Calendar'!$AO$1981)=FALSE,"",IF((Summary!$C$13="N")*('Dvd Calendar'!$AO$1985='Field Check'!$C$25)&gt;0,"",'Dvd Calendar'!$AO$1981)))</f>
        <v/>
      </c>
      <c r="DB144" s="85">
        <f>IF(AN144="","",IF(ISNUMBER('Dvd Calendar'!$AP$1981)=FALSE,"",IF((Summary!$C$13="N")*('Dvd Calendar'!$AP$1985='Field Check'!$C$25)&gt;0,"",'Dvd Calendar'!$AP$1981)))</f>
        <v/>
      </c>
      <c r="DC144" s="85">
        <f>IF(AO144="","",IF(ISNUMBER('Dvd Calendar'!$AQ$1981)=FALSE,"",IF((Summary!$C$13="N")*('Dvd Calendar'!$AQ$1985='Field Check'!$C$25)&gt;0,"",'Dvd Calendar'!$AQ$1981)))</f>
        <v/>
      </c>
      <c r="DD144" s="85">
        <f>IF(AP144="","",IF(ISNUMBER('Dvd Calendar'!$AR$1981)=FALSE,"",IF((Summary!$C$13="N")*('Dvd Calendar'!$AR$1985='Field Check'!$C$25)&gt;0,"",'Dvd Calendar'!$AR$1981)))</f>
        <v/>
      </c>
      <c r="DE144" s="85">
        <f>IF(AQ144="","",IF(ISNUMBER('Dvd Calendar'!$E$1988)=FALSE,"",IF((Summary!$C$13="N")*('Dvd Calendar'!$E$1992='Field Check'!$C$25)&gt;0,"",'Dvd Calendar'!$E$1988)))</f>
        <v/>
      </c>
      <c r="DF144" s="85">
        <f>IF(AR144="","",IF(ISNUMBER('Dvd Calendar'!$F$1988)=FALSE,"",IF((Summary!$C$13="N")*('Dvd Calendar'!$F$1992='Field Check'!$C$25)&gt;0,"",'Dvd Calendar'!$F$1988)))</f>
        <v/>
      </c>
      <c r="DG144" s="85">
        <f>IF(AS144="","",IF(ISNUMBER('Dvd Calendar'!$G$1988)=FALSE,"",IF((Summary!$C$13="N")*('Dvd Calendar'!$G$1992='Field Check'!$C$25)&gt;0,"",'Dvd Calendar'!$G$1988)))</f>
        <v/>
      </c>
      <c r="DH144" s="85">
        <f>IF(AT144="","",IF(ISNUMBER('Dvd Calendar'!$H$1988)=FALSE,"",IF((Summary!$C$13="N")*('Dvd Calendar'!$H$1992='Field Check'!$C$25)&gt;0,"",'Dvd Calendar'!$H$1988)))</f>
        <v/>
      </c>
      <c r="DI144" s="85">
        <f>IF(AU144="","",IF(ISNUMBER('Dvd Calendar'!$I$1988)=FALSE,"",IF((Summary!$C$13="N")*('Dvd Calendar'!$I$1992='Field Check'!$C$25)&gt;0,"",'Dvd Calendar'!$I$1988)))</f>
        <v/>
      </c>
      <c r="DJ144" s="85">
        <f>IF(AV144="","",IF(ISNUMBER('Dvd Calendar'!$J$1988)=FALSE,"",IF((Summary!$C$13="N")*('Dvd Calendar'!$J$1992='Field Check'!$C$25)&gt;0,"",'Dvd Calendar'!$J$1988)))</f>
        <v/>
      </c>
      <c r="DK144" s="85">
        <f>IF(AW144="","",IF(ISNUMBER('Dvd Calendar'!$K$1988)=FALSE,"",IF((Summary!$C$13="N")*('Dvd Calendar'!$K$1992='Field Check'!$C$25)&gt;0,"",'Dvd Calendar'!$K$1988)))</f>
        <v/>
      </c>
      <c r="DL144" s="85">
        <f>IF(AX144="","",IF(ISNUMBER('Dvd Calendar'!$L$1988)=FALSE,"",IF((Summary!$C$13="N")*('Dvd Calendar'!$L$1992='Field Check'!$C$25)&gt;0,"",'Dvd Calendar'!$L$1988)))</f>
        <v/>
      </c>
      <c r="DM144" s="85">
        <f>IF(AY144="","",IF(ISNUMBER('Dvd Calendar'!$M$1988)=FALSE,"",IF((Summary!$C$13="N")*('Dvd Calendar'!$M$1992='Field Check'!$C$25)&gt;0,"",'Dvd Calendar'!$M$1988)))</f>
        <v/>
      </c>
      <c r="DN144" s="85">
        <f>IF(AZ144="","",IF(ISNUMBER('Dvd Calendar'!$N$1988)=FALSE,"",IF((Summary!$C$13="N")*('Dvd Calendar'!$N$1992='Field Check'!$C$25)&gt;0,"",'Dvd Calendar'!$N$1988)))</f>
        <v/>
      </c>
      <c r="DO144" s="85">
        <f>IF(BA144="","",IF(ISNUMBER('Dvd Calendar'!$O$1988)=FALSE,"",IF((Summary!$C$13="N")*('Dvd Calendar'!$O$1992='Field Check'!$C$25)&gt;0,"",'Dvd Calendar'!$O$1988)))</f>
        <v/>
      </c>
      <c r="DP144" s="85">
        <f>IF(BB144="","",IF(ISNUMBER('Dvd Calendar'!$P$1988)=FALSE,"",IF((Summary!$C$13="N")*('Dvd Calendar'!$P$1992='Field Check'!$C$25)&gt;0,"",'Dvd Calendar'!$P$1988)))</f>
        <v/>
      </c>
      <c r="DQ144" s="85">
        <f>IF(BC144="","",IF(ISNUMBER('Dvd Calendar'!$Q$1988)=FALSE,"",IF((Summary!$C$13="N")*('Dvd Calendar'!$Q$1992='Field Check'!$C$25)&gt;0,"",'Dvd Calendar'!$Q$1988)))</f>
        <v/>
      </c>
      <c r="DR144" s="85">
        <f>IF(BD144="","",IF(ISNUMBER('Dvd Calendar'!$R$1988)=FALSE,"",IF((Summary!$C$13="N")*('Dvd Calendar'!$R$1992='Field Check'!$C$25)&gt;0,"",'Dvd Calendar'!$R$1988)))</f>
        <v/>
      </c>
      <c r="DS144" s="85">
        <f>IF(BE144="","",IF(ISNUMBER('Dvd Calendar'!$S$1988)=FALSE,"",IF((Summary!$C$13="N")*('Dvd Calendar'!$S$1992='Field Check'!$C$25)&gt;0,"",'Dvd Calendar'!$S$1988)))</f>
        <v/>
      </c>
      <c r="DT144" s="85">
        <f>IF(BF144="","",IF(ISNUMBER('Dvd Calendar'!$T$1988)=FALSE,"",IF((Summary!$C$13="N")*('Dvd Calendar'!$T$1992='Field Check'!$C$25)&gt;0,"",'Dvd Calendar'!$T$1988)))</f>
        <v/>
      </c>
      <c r="DU144" s="85">
        <f>IF(BG144="","",IF(ISNUMBER('Dvd Calendar'!$U$1988)=FALSE,"",IF((Summary!$C$13="N")*('Dvd Calendar'!$U$1992='Field Check'!$C$25)&gt;0,"",'Dvd Calendar'!$U$1988)))</f>
        <v/>
      </c>
      <c r="DV144" s="85">
        <f>IF(BH144="","",IF(ISNUMBER('Dvd Calendar'!$V$1988)=FALSE,"",IF((Summary!$C$13="N")*('Dvd Calendar'!$V$1992='Field Check'!$C$25)&gt;0,"",'Dvd Calendar'!$V$1988)))</f>
        <v/>
      </c>
      <c r="DW144" s="85">
        <f>IF(BI144="","",IF(ISNUMBER('Dvd Calendar'!$W$1988)=FALSE,"",IF((Summary!$C$13="N")*('Dvd Calendar'!$W$1992='Field Check'!$C$25)&gt;0,"",'Dvd Calendar'!$W$1988)))</f>
        <v/>
      </c>
      <c r="DX144" s="85">
        <f>IF(BJ144="","",IF(ISNUMBER('Dvd Calendar'!$X$1988)=FALSE,"",IF((Summary!$C$13="N")*('Dvd Calendar'!$X$1992='Field Check'!$C$25)&gt;0,"",'Dvd Calendar'!$X$1988)))</f>
        <v/>
      </c>
      <c r="DY144" s="85">
        <f>IF(BK144="","",IF(ISNUMBER('Dvd Calendar'!$Y$1988)=FALSE,"",IF((Summary!$C$13="N")*('Dvd Calendar'!$Y$1992='Field Check'!$C$25)&gt;0,"",'Dvd Calendar'!$Y$1988)))</f>
        <v/>
      </c>
      <c r="DZ144" s="85">
        <f>IF(BL144="","",IF(ISNUMBER('Dvd Calendar'!$Z$1988)=FALSE,"",IF((Summary!$C$13="N")*('Dvd Calendar'!$Z$1992='Field Check'!$C$25)&gt;0,"",'Dvd Calendar'!$Z$1988)))</f>
        <v/>
      </c>
      <c r="EA144" s="85">
        <f>IF(BM144="","",IF(ISNUMBER('Dvd Calendar'!$AA$1988)=FALSE,"",IF((Summary!$C$13="N")*('Dvd Calendar'!$AA$1992='Field Check'!$C$25)&gt;0,"",'Dvd Calendar'!$AA$1988)))</f>
        <v/>
      </c>
      <c r="EB144" s="85">
        <f>IF(BN144="","",IF(ISNUMBER('Dvd Calendar'!$AB$1988)=FALSE,"",IF((Summary!$C$13="N")*('Dvd Calendar'!$AB$1992='Field Check'!$C$25)&gt;0,"",'Dvd Calendar'!$AB$1988)))</f>
        <v/>
      </c>
      <c r="EC144" s="85">
        <f>IF(BO144="","",IF(ISNUMBER('Dvd Calendar'!$AC$1988)=FALSE,"",IF((Summary!$C$13="N")*('Dvd Calendar'!$AC$1992='Field Check'!$C$25)&gt;0,"",'Dvd Calendar'!$AC$1988)))</f>
        <v/>
      </c>
      <c r="EE144" s="85">
        <f>IF(BQ144="","",IFERROR(BQ144*HSTECH!$B$38*HSTECH!$G$38/HSTECH!$B$3,""))</f>
        <v/>
      </c>
      <c r="EF144" s="85">
        <f>IF(BR144="","",IFERROR(BR144*HSTECH!$B$38*HSTECH!$G$38/HSTECH!$B$3,""))</f>
        <v/>
      </c>
      <c r="EG144" s="85">
        <f>IF(BS144="","",IFERROR(BS144*HSTECH!$B$38*HSTECH!$G$38/HSTECH!$B$3,""))</f>
        <v/>
      </c>
      <c r="EH144" s="85">
        <f>IF(BT144="","",IFERROR(BT144*HSTECH!$B$38*HSTECH!$G$38/HSTECH!$B$3,""))</f>
        <v/>
      </c>
      <c r="EI144" s="85">
        <f>IF(BU144="","",IFERROR(BU144*HSTECH!$B$38*HSTECH!$G$38/HSTECH!$B$3,""))</f>
        <v/>
      </c>
      <c r="EJ144" s="85">
        <f>IF(BV144="","",IFERROR(BV144*HSTECH!$B$38*HSTECH!$G$38/HSTECH!$B$3,""))</f>
        <v/>
      </c>
      <c r="EK144" s="85">
        <f>IF(BW144="","",IFERROR(BW144*HSTECH!$B$38*HSTECH!$G$38/HSTECH!$B$3,""))</f>
        <v/>
      </c>
      <c r="EL144" s="85">
        <f>IF(BX144="","",IFERROR(BX144*HSTECH!$B$38*HSTECH!$G$38/HSTECH!$B$3,""))</f>
        <v/>
      </c>
      <c r="EM144" s="85">
        <f>IF(BY144="","",IFERROR(BY144*HSTECH!$B$38*HSTECH!$G$38/HSTECH!$B$3,""))</f>
        <v/>
      </c>
      <c r="EN144" s="85">
        <f>IF(BZ144="","",IFERROR(BZ144*HSTECH!$B$38*HSTECH!$G$38/HSTECH!$B$3,""))</f>
        <v/>
      </c>
      <c r="EO144" s="85">
        <f>IF(CA144="","",IFERROR(CA144*HSTECH!$B$38*HSTECH!$G$38/HSTECH!$B$3,""))</f>
        <v/>
      </c>
      <c r="EP144" s="85">
        <f>IF(CB144="","",IFERROR(CB144*HSTECH!$B$38*HSTECH!$G$38/HSTECH!$B$3,""))</f>
        <v/>
      </c>
      <c r="EQ144" s="85">
        <f>IF(CC144="","",IFERROR(CC144*HSTECH!$B$38*HSTECH!$G$38/HSTECH!$B$3,""))</f>
        <v/>
      </c>
      <c r="ER144" s="85">
        <f>IF(CD144="","",IFERROR(CD144*HSTECH!$B$38*HSTECH!$G$38/HSTECH!$B$3,""))</f>
        <v/>
      </c>
      <c r="ES144" s="85">
        <f>IF(CE144="","",IFERROR(CE144*HSTECH!$B$38*HSTECH!$G$38/HSTECH!$B$3,""))</f>
        <v/>
      </c>
      <c r="ET144" s="85">
        <f>IF(CF144="","",IFERROR(CF144*HSTECH!$B$38*HSTECH!$G$38/HSTECH!$B$3,""))</f>
        <v/>
      </c>
      <c r="EU144" s="85">
        <f>IF(CG144="","",IFERROR(CG144*HSTECH!$B$38*HSTECH!$G$38/HSTECH!$B$3,""))</f>
        <v/>
      </c>
      <c r="EV144" s="85">
        <f>IF(CH144="","",IFERROR(CH144*HSTECH!$B$38*HSTECH!$G$38/HSTECH!$B$3,""))</f>
        <v/>
      </c>
      <c r="EW144" s="85">
        <f>IF(CI144="","",IFERROR(CI144*HSTECH!$B$38*HSTECH!$G$38/HSTECH!$B$3,""))</f>
        <v/>
      </c>
      <c r="EX144" s="85">
        <f>IF(CJ144="","",IFERROR(CJ144*HSTECH!$B$38*HSTECH!$G$38/HSTECH!$B$3,""))</f>
        <v/>
      </c>
      <c r="EY144" s="85">
        <f>IF(CK144="","",IFERROR(CK144*HSTECH!$B$38*HSTECH!$G$38/HSTECH!$B$3,""))</f>
        <v/>
      </c>
      <c r="EZ144" s="85">
        <f>IF(CL144="","",IFERROR(CL144*HSTECH!$B$38*HSTECH!$G$38/HSTECH!$B$3,""))</f>
        <v/>
      </c>
      <c r="FA144" s="85">
        <f>IF(CM144="","",IFERROR(CM144*HSTECH!$B$38*HSTECH!$G$38/HSTECH!$B$3,""))</f>
        <v/>
      </c>
      <c r="FB144" s="85">
        <f>IF(CN144="","",IFERROR(CN144*HSTECH!$B$38*HSTECH!$G$38/HSTECH!$B$3,""))</f>
        <v/>
      </c>
      <c r="FC144" s="85">
        <f>IF(CO144="","",IFERROR(CO144*HSTECH!$B$38*HSTECH!$G$38/HSTECH!$B$3,""))</f>
        <v/>
      </c>
      <c r="FD144" s="85">
        <f>IF(CP144="","",IFERROR(CP144*HSTECH!$B$38*HSTECH!$G$38/HSTECH!$B$3,""))</f>
        <v/>
      </c>
      <c r="FE144" s="85">
        <f>IF(CQ144="","",IFERROR(CQ144*HSTECH!$B$38*HSTECH!$G$38/HSTECH!$B$3,""))</f>
        <v/>
      </c>
      <c r="FF144" s="85">
        <f>IF(CR144="","",IFERROR(CR144*HSTECH!$B$38*HSTECH!$G$38/HSTECH!$B$3,""))</f>
        <v/>
      </c>
      <c r="FG144" s="85">
        <f>IF(CS144="","",IFERROR(CS144*HSTECH!$B$38*HSTECH!$G$38/HSTECH!$B$3,""))</f>
        <v/>
      </c>
      <c r="FH144" s="85">
        <f>IF(CT144="","",IFERROR(CT144*HSTECH!$B$38*HSTECH!$G$38/HSTECH!$B$3,""))</f>
        <v/>
      </c>
      <c r="FI144" s="85">
        <f>IF(CU144="","",IFERROR(CU144*HSTECH!$B$38*HSTECH!$G$38/HSTECH!$B$3,""))</f>
        <v/>
      </c>
      <c r="FJ144" s="85">
        <f>IF(CV144="","",IFERROR(CV144*HSTECH!$B$38*HSTECH!$G$38/HSTECH!$B$3,""))</f>
        <v/>
      </c>
      <c r="FK144" s="85">
        <f>IF(CW144="","",IFERROR(CW144*HSTECH!$B$38*HSTECH!$G$38/HSTECH!$B$3,""))</f>
        <v/>
      </c>
      <c r="FL144" s="85">
        <f>IF(CX144="","",IFERROR(CX144*HSTECH!$B$38*HSTECH!$G$38/HSTECH!$B$3,""))</f>
        <v/>
      </c>
      <c r="FM144" s="85">
        <f>IF(CY144="","",IFERROR(CY144*HSTECH!$B$38*HSTECH!$G$38/HSTECH!$B$3,""))</f>
        <v/>
      </c>
      <c r="FN144" s="85">
        <f>IF(CZ144="","",IFERROR(CZ144*HSTECH!$B$38*HSTECH!$G$38/HSTECH!$B$3,""))</f>
        <v/>
      </c>
      <c r="FO144" s="85">
        <f>IF(DA144="","",IFERROR(DA144*HSTECH!$B$38*HSTECH!$G$38/HSTECH!$B$3,""))</f>
        <v/>
      </c>
      <c r="FP144" s="85">
        <f>IF(DB144="","",IFERROR(DB144*HSTECH!$B$38*HSTECH!$G$38/HSTECH!$B$3,""))</f>
        <v/>
      </c>
      <c r="FQ144" s="85">
        <f>IF(DC144="","",IFERROR(DC144*HSTECH!$B$38*HSTECH!$G$38/HSTECH!$B$3,""))</f>
        <v/>
      </c>
      <c r="FR144" s="85">
        <f>IF(DD144="","",IFERROR(DD144*HSTECH!$B$38*HSTECH!$G$38/HSTECH!$B$3,""))</f>
        <v/>
      </c>
      <c r="FS144" s="85">
        <f>IF(DE144="","",IFERROR(DE144*HSTECH!$B$38*HSTECH!$G$38/HSTECH!$B$3,""))</f>
        <v/>
      </c>
      <c r="FT144" s="85">
        <f>IF(DF144="","",IFERROR(DF144*HSTECH!$B$38*HSTECH!$G$38/HSTECH!$B$3,""))</f>
        <v/>
      </c>
      <c r="FU144" s="85">
        <f>IF(DG144="","",IFERROR(DG144*HSTECH!$B$38*HSTECH!$G$38/HSTECH!$B$3,""))</f>
        <v/>
      </c>
      <c r="FV144" s="85">
        <f>IF(DH144="","",IFERROR(DH144*HSTECH!$B$38*HSTECH!$G$38/HSTECH!$B$3,""))</f>
        <v/>
      </c>
      <c r="FW144" s="85">
        <f>IF(DI144="","",IFERROR(DI144*HSTECH!$B$38*HSTECH!$G$38/HSTECH!$B$3,""))</f>
        <v/>
      </c>
      <c r="FX144" s="85">
        <f>IF(DJ144="","",IFERROR(DJ144*HSTECH!$B$38*HSTECH!$G$38/HSTECH!$B$3,""))</f>
        <v/>
      </c>
      <c r="FY144" s="85">
        <f>IF(DK144="","",IFERROR(DK144*HSTECH!$B$38*HSTECH!$G$38/HSTECH!$B$3,""))</f>
        <v/>
      </c>
      <c r="FZ144" s="85">
        <f>IF(DL144="","",IFERROR(DL144*HSTECH!$B$38*HSTECH!$G$38/HSTECH!$B$3,""))</f>
        <v/>
      </c>
      <c r="GA144" s="85">
        <f>IF(DM144="","",IFERROR(DM144*HSTECH!$B$38*HSTECH!$G$38/HSTECH!$B$3,""))</f>
        <v/>
      </c>
      <c r="GB144" s="85">
        <f>IF(DN144="","",IFERROR(DN144*HSTECH!$B$38*HSTECH!$G$38/HSTECH!$B$3,""))</f>
        <v/>
      </c>
      <c r="GC144" s="85">
        <f>IF(DO144="","",IFERROR(DO144*HSTECH!$B$38*HSTECH!$G$38/HSTECH!$B$3,""))</f>
        <v/>
      </c>
      <c r="GD144" s="85">
        <f>IF(DP144="","",IFERROR(DP144*HSTECH!$B$38*HSTECH!$G$38/HSTECH!$B$3,""))</f>
        <v/>
      </c>
      <c r="GE144" s="85">
        <f>IF(DQ144="","",IFERROR(DQ144*HSTECH!$B$38*HSTECH!$G$38/HSTECH!$B$3,""))</f>
        <v/>
      </c>
      <c r="GF144" s="85">
        <f>IF(DR144="","",IFERROR(DR144*HSTECH!$B$38*HSTECH!$G$38/HSTECH!$B$3,""))</f>
        <v/>
      </c>
      <c r="GG144" s="85">
        <f>IF(DS144="","",IFERROR(DS144*HSTECH!$B$38*HSTECH!$G$38/HSTECH!$B$3,""))</f>
        <v/>
      </c>
      <c r="GH144" s="85">
        <f>IF(DT144="","",IFERROR(DT144*HSTECH!$B$38*HSTECH!$G$38/HSTECH!$B$3,""))</f>
        <v/>
      </c>
      <c r="GI144" s="85">
        <f>IF(DU144="","",IFERROR(DU144*HSTECH!$B$38*HSTECH!$G$38/HSTECH!$B$3,""))</f>
        <v/>
      </c>
      <c r="GJ144" s="85">
        <f>IF(DV144="","",IFERROR(DV144*HSTECH!$B$38*HSTECH!$G$38/HSTECH!$B$3,""))</f>
        <v/>
      </c>
      <c r="GK144" s="85">
        <f>IF(DW144="","",IFERROR(DW144*HSTECH!$B$38*HSTECH!$G$38/HSTECH!$B$3,""))</f>
        <v/>
      </c>
      <c r="GL144" s="85">
        <f>IF(DX144="","",IFERROR(DX144*HSTECH!$B$38*HSTECH!$G$38/HSTECH!$B$3,""))</f>
        <v/>
      </c>
      <c r="GM144" s="85">
        <f>IF(DY144="","",IFERROR(DY144*HSTECH!$B$38*HSTECH!$G$38/HSTECH!$B$3,""))</f>
        <v/>
      </c>
      <c r="GN144" s="85">
        <f>IF(DZ144="","",IFERROR(DZ144*HSTECH!$B$38*HSTECH!$G$38/HSTECH!$B$3,""))</f>
        <v/>
      </c>
      <c r="GO144" s="85">
        <f>IF(EA144="","",IFERROR(EA144*HSTECH!$B$38*HSTECH!$G$38/HSTECH!$B$3,""))</f>
        <v/>
      </c>
      <c r="GP144" s="85">
        <f>IF(EB144="","",IFERROR(EB144*HSTECH!$B$38*HSTECH!$G$38/HSTECH!$B$3,""))</f>
        <v/>
      </c>
      <c r="GQ144" s="85">
        <f>IF(EC144="","",IFERROR(EC144*HSTECH!$B$38*HSTECH!$G$38/HSTECH!$B$3,""))</f>
        <v/>
      </c>
    </row>
    <row r="145">
      <c r="B145" s="2">
        <f>IF(HSTECH!$C$39="","",HSTECH!$C$39)</f>
        <v/>
      </c>
      <c r="C145" s="41">
        <f>IF(N('Dvd Calendar'!$E$1995)=0,"",IF(('Dvd Calendar'!$E$1995&gt;=MIN(DATE(Summary!$C$12,1,1),Summary!$C$11))*('Dvd Calendar'!$E$1995&lt;=MAX(DATE(Summary!$C$12,12,31),Summary!$C$15))*('Dvd Calendar'!$E$1995&lt;=Summary!$C$11)=0,"",'Dvd Calendar'!$E$1995*1000000000+ISNUMBER('Dvd Calendar'!$E$1996)*100000000+('Dvd Calendar'!$E$2000='Field Check'!$C$25)*10000000+(N('Dvd Calendar'!$E$1994)&gt;0)*1000000+33*1000+1))</f>
        <v/>
      </c>
      <c r="D145" s="41">
        <f>IF(N('Dvd Calendar'!$F$1995)=0,"",IF(('Dvd Calendar'!$F$1995&gt;=MIN(DATE(Summary!$C$12,1,1),Summary!$C$11))*('Dvd Calendar'!$F$1995&lt;=MAX(DATE(Summary!$C$12,12,31),Summary!$C$15))*('Dvd Calendar'!$F$1995&lt;=Summary!$C$11)=0,"",'Dvd Calendar'!$F$1995*1000000000+ISNUMBER('Dvd Calendar'!$F$1996)*100000000+('Dvd Calendar'!$F$2000='Field Check'!$C$25)*10000000+(N('Dvd Calendar'!$F$1994)&gt;0)*1000000+33*1000+2))</f>
        <v/>
      </c>
      <c r="E145" s="41">
        <f>IF(N('Dvd Calendar'!$G$1995)=0,"",IF(('Dvd Calendar'!$G$1995&gt;=MIN(DATE(Summary!$C$12,1,1),Summary!$C$11))*('Dvd Calendar'!$G$1995&lt;=MAX(DATE(Summary!$C$12,12,31),Summary!$C$15))*('Dvd Calendar'!$G$1995&lt;=Summary!$C$11)=0,"",'Dvd Calendar'!$G$1995*1000000000+ISNUMBER('Dvd Calendar'!$G$1996)*100000000+('Dvd Calendar'!$G$2000='Field Check'!$C$25)*10000000+(N('Dvd Calendar'!$G$1994)&gt;0)*1000000+33*1000+3))</f>
        <v/>
      </c>
      <c r="F145" s="41">
        <f>IF(N('Dvd Calendar'!$H$1995)=0,"",IF(('Dvd Calendar'!$H$1995&gt;=MIN(DATE(Summary!$C$12,1,1),Summary!$C$11))*('Dvd Calendar'!$H$1995&lt;=MAX(DATE(Summary!$C$12,12,31),Summary!$C$15))*('Dvd Calendar'!$H$1995&lt;=Summary!$C$11)=0,"",'Dvd Calendar'!$H$1995*1000000000+ISNUMBER('Dvd Calendar'!$H$1996)*100000000+('Dvd Calendar'!$H$2000='Field Check'!$C$25)*10000000+(N('Dvd Calendar'!$H$1994)&gt;0)*1000000+33*1000+4))</f>
        <v/>
      </c>
      <c r="G145" s="41">
        <f>IF(N('Dvd Calendar'!$I$1995)=0,"",IF(('Dvd Calendar'!$I$1995&gt;=MIN(DATE(Summary!$C$12,1,1),Summary!$C$11))*('Dvd Calendar'!$I$1995&lt;=MAX(DATE(Summary!$C$12,12,31),Summary!$C$15))*('Dvd Calendar'!$I$1995&lt;=Summary!$C$11)=0,"",'Dvd Calendar'!$I$1995*1000000000+ISNUMBER('Dvd Calendar'!$I$1996)*100000000+('Dvd Calendar'!$I$2000='Field Check'!$C$25)*10000000+(N('Dvd Calendar'!$I$1994)&gt;0)*1000000+33*1000+5))</f>
        <v/>
      </c>
      <c r="H145" s="41">
        <f>IF(N('Dvd Calendar'!$J$1995)=0,"",IF(('Dvd Calendar'!$J$1995&gt;=MIN(DATE(Summary!$C$12,1,1),Summary!$C$11))*('Dvd Calendar'!$J$1995&lt;=MAX(DATE(Summary!$C$12,12,31),Summary!$C$15))*('Dvd Calendar'!$J$1995&lt;=Summary!$C$11)=0,"",'Dvd Calendar'!$J$1995*1000000000+ISNUMBER('Dvd Calendar'!$J$1996)*100000000+('Dvd Calendar'!$J$2000='Field Check'!$C$25)*10000000+(N('Dvd Calendar'!$J$1994)&gt;0)*1000000+33*1000+6))</f>
        <v/>
      </c>
      <c r="I145" s="41">
        <f>IF(N('Dvd Calendar'!$K$1995)=0,"",IF(('Dvd Calendar'!$K$1995&gt;=MIN(DATE(Summary!$C$12,1,1),Summary!$C$11))*('Dvd Calendar'!$K$1995&lt;=MAX(DATE(Summary!$C$12,12,31),Summary!$C$15))*('Dvd Calendar'!$K$1995&lt;=Summary!$C$11)=0,"",'Dvd Calendar'!$K$1995*1000000000+ISNUMBER('Dvd Calendar'!$K$1996)*100000000+('Dvd Calendar'!$K$2000='Field Check'!$C$25)*10000000+(N('Dvd Calendar'!$K$1994)&gt;0)*1000000+33*1000+7))</f>
        <v/>
      </c>
      <c r="J145" s="41">
        <f>IF(N('Dvd Calendar'!$L$1995)=0,"",IF(('Dvd Calendar'!$L$1995&gt;=MIN(DATE(Summary!$C$12,1,1),Summary!$C$11))*('Dvd Calendar'!$L$1995&lt;=MAX(DATE(Summary!$C$12,12,31),Summary!$C$15))*('Dvd Calendar'!$L$1995&lt;=Summary!$C$11)=0,"",'Dvd Calendar'!$L$1995*1000000000+ISNUMBER('Dvd Calendar'!$L$1996)*100000000+('Dvd Calendar'!$L$2000='Field Check'!$C$25)*10000000+(N('Dvd Calendar'!$L$1994)&gt;0)*1000000+33*1000+8))</f>
        <v/>
      </c>
      <c r="K145" s="41">
        <f>IF(N('Dvd Calendar'!$M$1995)=0,"",IF(('Dvd Calendar'!$M$1995&gt;=MIN(DATE(Summary!$C$12,1,1),Summary!$C$11))*('Dvd Calendar'!$M$1995&lt;=MAX(DATE(Summary!$C$12,12,31),Summary!$C$15))*('Dvd Calendar'!$M$1995&lt;=Summary!$C$11)=0,"",'Dvd Calendar'!$M$1995*1000000000+ISNUMBER('Dvd Calendar'!$M$1996)*100000000+('Dvd Calendar'!$M$2000='Field Check'!$C$25)*10000000+(N('Dvd Calendar'!$M$1994)&gt;0)*1000000+33*1000+9))</f>
        <v/>
      </c>
      <c r="L145" s="41">
        <f>IF(N('Dvd Calendar'!$N$1995)=0,"",IF(('Dvd Calendar'!$N$1995&gt;=MIN(DATE(Summary!$C$12,1,1),Summary!$C$11))*('Dvd Calendar'!$N$1995&lt;=MAX(DATE(Summary!$C$12,12,31),Summary!$C$15))*('Dvd Calendar'!$N$1995&lt;=Summary!$C$11)=0,"",'Dvd Calendar'!$N$1995*1000000000+ISNUMBER('Dvd Calendar'!$N$1996)*100000000+('Dvd Calendar'!$N$2000='Field Check'!$C$25)*10000000+(N('Dvd Calendar'!$N$1994)&gt;0)*1000000+33*1000+10))</f>
        <v/>
      </c>
      <c r="M145" s="41">
        <f>IF(N('Dvd Calendar'!$O$1995)=0,"",IF(('Dvd Calendar'!$O$1995&gt;=MIN(DATE(Summary!$C$12,1,1),Summary!$C$11))*('Dvd Calendar'!$O$1995&lt;=MAX(DATE(Summary!$C$12,12,31),Summary!$C$15))*('Dvd Calendar'!$O$1995&lt;=Summary!$C$11)=0,"",'Dvd Calendar'!$O$1995*1000000000+ISNUMBER('Dvd Calendar'!$O$1996)*100000000+('Dvd Calendar'!$O$2000='Field Check'!$C$25)*10000000+(N('Dvd Calendar'!$O$1994)&gt;0)*1000000+33*1000+11))</f>
        <v/>
      </c>
      <c r="N145" s="41">
        <f>IF(N('Dvd Calendar'!$P$1995)=0,"",IF(('Dvd Calendar'!$P$1995&gt;=MIN(DATE(Summary!$C$12,1,1),Summary!$C$11))*('Dvd Calendar'!$P$1995&lt;=MAX(DATE(Summary!$C$12,12,31),Summary!$C$15))*('Dvd Calendar'!$P$1995&lt;=Summary!$C$11)=0,"",'Dvd Calendar'!$P$1995*1000000000+ISNUMBER('Dvd Calendar'!$P$1996)*100000000+('Dvd Calendar'!$P$2000='Field Check'!$C$25)*10000000+(N('Dvd Calendar'!$P$1994)&gt;0)*1000000+33*1000+12))</f>
        <v/>
      </c>
      <c r="O145" s="41">
        <f>IF(N('Dvd Calendar'!$Q$1995)=0,"",IF(('Dvd Calendar'!$Q$1995&gt;=MIN(DATE(Summary!$C$12,1,1),Summary!$C$11))*('Dvd Calendar'!$Q$1995&lt;=MAX(DATE(Summary!$C$12,12,31),Summary!$C$15))*('Dvd Calendar'!$Q$1995&lt;=Summary!$C$11)=0,"",'Dvd Calendar'!$Q$1995*1000000000+ISNUMBER('Dvd Calendar'!$Q$1996)*100000000+('Dvd Calendar'!$Q$2000='Field Check'!$C$25)*10000000+(N('Dvd Calendar'!$Q$1994)&gt;0)*1000000+33*1000+13))</f>
        <v/>
      </c>
      <c r="P145" s="41">
        <f>IF(N('Dvd Calendar'!$R$1995)=0,"",IF(('Dvd Calendar'!$R$1995&gt;=MIN(DATE(Summary!$C$12,1,1),Summary!$C$11))*('Dvd Calendar'!$R$1995&lt;=MAX(DATE(Summary!$C$12,12,31),Summary!$C$15))*('Dvd Calendar'!$R$1995&lt;=Summary!$C$11)=0,"",'Dvd Calendar'!$R$1995*1000000000+ISNUMBER('Dvd Calendar'!$R$1996)*100000000+('Dvd Calendar'!$R$2000='Field Check'!$C$25)*10000000+(N('Dvd Calendar'!$R$1994)&gt;0)*1000000+33*1000+14))</f>
        <v/>
      </c>
      <c r="Q145" s="41">
        <f>IF(N('Dvd Calendar'!$S$1995)=0,"",IF(('Dvd Calendar'!$S$1995&gt;=MIN(DATE(Summary!$C$12,1,1),Summary!$C$11))*('Dvd Calendar'!$S$1995&lt;=MAX(DATE(Summary!$C$12,12,31),Summary!$C$15))*('Dvd Calendar'!$S$1995&lt;=Summary!$C$11)=0,"",'Dvd Calendar'!$S$1995*1000000000+ISNUMBER('Dvd Calendar'!$S$1996)*100000000+('Dvd Calendar'!$S$2000='Field Check'!$C$25)*10000000+(N('Dvd Calendar'!$S$1994)&gt;0)*1000000+33*1000+15))</f>
        <v/>
      </c>
      <c r="R145" s="41">
        <f>IF(N('Dvd Calendar'!$T$1995)=0,"",IF(('Dvd Calendar'!$T$1995&gt;=MIN(DATE(Summary!$C$12,1,1),Summary!$C$11))*('Dvd Calendar'!$T$1995&lt;=MAX(DATE(Summary!$C$12,12,31),Summary!$C$15))*('Dvd Calendar'!$T$1995&lt;=Summary!$C$11)=0,"",'Dvd Calendar'!$T$1995*1000000000+ISNUMBER('Dvd Calendar'!$T$1996)*100000000+('Dvd Calendar'!$T$2000='Field Check'!$C$25)*10000000+(N('Dvd Calendar'!$T$1994)&gt;0)*1000000+33*1000+16))</f>
        <v/>
      </c>
      <c r="S145" s="41">
        <f>IF(N('Dvd Calendar'!$U$1995)=0,"",IF(('Dvd Calendar'!$U$1995&gt;=MIN(DATE(Summary!$C$12,1,1),Summary!$C$11))*('Dvd Calendar'!$U$1995&lt;=MAX(DATE(Summary!$C$12,12,31),Summary!$C$15))*('Dvd Calendar'!$U$1995&lt;=Summary!$C$11)=0,"",'Dvd Calendar'!$U$1995*1000000000+ISNUMBER('Dvd Calendar'!$U$1996)*100000000+('Dvd Calendar'!$U$2000='Field Check'!$C$25)*10000000+(N('Dvd Calendar'!$U$1994)&gt;0)*1000000+33*1000+17))</f>
        <v/>
      </c>
      <c r="T145" s="41">
        <f>IF(N('Dvd Calendar'!$V$1995)=0,"",IF(('Dvd Calendar'!$V$1995&gt;=MIN(DATE(Summary!$C$12,1,1),Summary!$C$11))*('Dvd Calendar'!$V$1995&lt;=MAX(DATE(Summary!$C$12,12,31),Summary!$C$15))*('Dvd Calendar'!$V$1995&lt;=Summary!$C$11)=0,"",'Dvd Calendar'!$V$1995*1000000000+ISNUMBER('Dvd Calendar'!$V$1996)*100000000+('Dvd Calendar'!$V$2000='Field Check'!$C$25)*10000000+(N('Dvd Calendar'!$V$1994)&gt;0)*1000000+33*1000+18))</f>
        <v/>
      </c>
      <c r="U145" s="41">
        <f>IF(N('Dvd Calendar'!$W$1995)=0,"",IF(('Dvd Calendar'!$W$1995&gt;=MIN(DATE(Summary!$C$12,1,1),Summary!$C$11))*('Dvd Calendar'!$W$1995&lt;=MAX(DATE(Summary!$C$12,12,31),Summary!$C$15))*('Dvd Calendar'!$W$1995&lt;=Summary!$C$11)=0,"",'Dvd Calendar'!$W$1995*1000000000+ISNUMBER('Dvd Calendar'!$W$1996)*100000000+('Dvd Calendar'!$W$2000='Field Check'!$C$25)*10000000+(N('Dvd Calendar'!$W$1994)&gt;0)*1000000+33*1000+19))</f>
        <v/>
      </c>
      <c r="V145" s="41">
        <f>IF(N('Dvd Calendar'!$X$1995)=0,"",IF(('Dvd Calendar'!$X$1995&gt;=MIN(DATE(Summary!$C$12,1,1),Summary!$C$11))*('Dvd Calendar'!$X$1995&lt;=MAX(DATE(Summary!$C$12,12,31),Summary!$C$15))*('Dvd Calendar'!$X$1995&lt;=Summary!$C$11)=0,"",'Dvd Calendar'!$X$1995*1000000000+ISNUMBER('Dvd Calendar'!$X$1996)*100000000+('Dvd Calendar'!$X$2000='Field Check'!$C$25)*10000000+(N('Dvd Calendar'!$X$1994)&gt;0)*1000000+33*1000+20))</f>
        <v/>
      </c>
      <c r="W145" s="41">
        <f>IF(N('Dvd Calendar'!$Y$1995)=0,"",IF(('Dvd Calendar'!$Y$1995&gt;=MIN(DATE(Summary!$C$12,1,1),Summary!$C$11))*('Dvd Calendar'!$Y$1995&lt;=MAX(DATE(Summary!$C$12,12,31),Summary!$C$15))*('Dvd Calendar'!$Y$1995&lt;=Summary!$C$11)=0,"",'Dvd Calendar'!$Y$1995*1000000000+ISNUMBER('Dvd Calendar'!$Y$1996)*100000000+('Dvd Calendar'!$Y$2000='Field Check'!$C$25)*10000000+(N('Dvd Calendar'!$Y$1994)&gt;0)*1000000+33*1000+21))</f>
        <v/>
      </c>
      <c r="X145" s="41">
        <f>IF(N('Dvd Calendar'!$Z$1995)=0,"",IF(('Dvd Calendar'!$Z$1995&gt;=MIN(DATE(Summary!$C$12,1,1),Summary!$C$11))*('Dvd Calendar'!$Z$1995&lt;=MAX(DATE(Summary!$C$12,12,31),Summary!$C$15))*('Dvd Calendar'!$Z$1995&lt;=Summary!$C$11)=0,"",'Dvd Calendar'!$Z$1995*1000000000+ISNUMBER('Dvd Calendar'!$Z$1996)*100000000+('Dvd Calendar'!$Z$2000='Field Check'!$C$25)*10000000+(N('Dvd Calendar'!$Z$1994)&gt;0)*1000000+33*1000+22))</f>
        <v/>
      </c>
      <c r="Y145" s="41">
        <f>IF(N('Dvd Calendar'!$AA$1995)=0,"",IF(('Dvd Calendar'!$AA$1995&gt;=MIN(DATE(Summary!$C$12,1,1),Summary!$C$11))*('Dvd Calendar'!$AA$1995&lt;=MAX(DATE(Summary!$C$12,12,31),Summary!$C$15))*('Dvd Calendar'!$AA$1995&lt;=Summary!$C$11)=0,"",'Dvd Calendar'!$AA$1995*1000000000+ISNUMBER('Dvd Calendar'!$AA$1996)*100000000+('Dvd Calendar'!$AA$2000='Field Check'!$C$25)*10000000+(N('Dvd Calendar'!$AA$1994)&gt;0)*1000000+33*1000+23))</f>
        <v/>
      </c>
      <c r="Z145" s="41">
        <f>IF(N('Dvd Calendar'!$AB$1995)=0,"",IF(('Dvd Calendar'!$AB$1995&gt;=MIN(DATE(Summary!$C$12,1,1),Summary!$C$11))*('Dvd Calendar'!$AB$1995&lt;=MAX(DATE(Summary!$C$12,12,31),Summary!$C$15))*('Dvd Calendar'!$AB$1995&lt;=Summary!$C$11)=0,"",'Dvd Calendar'!$AB$1995*1000000000+ISNUMBER('Dvd Calendar'!$AB$1996)*100000000+('Dvd Calendar'!$AB$2000='Field Check'!$C$25)*10000000+(N('Dvd Calendar'!$AB$1994)&gt;0)*1000000+33*1000+24))</f>
        <v/>
      </c>
      <c r="AA145" s="41">
        <f>IF(N('Dvd Calendar'!$AC$1995)=0,"",IF(('Dvd Calendar'!$AC$1995&gt;=MIN(DATE(Summary!$C$12,1,1),Summary!$C$11))*('Dvd Calendar'!$AC$1995&lt;=MAX(DATE(Summary!$C$12,12,31),Summary!$C$15))*('Dvd Calendar'!$AC$1995&lt;=Summary!$C$11)=0,"",'Dvd Calendar'!$AC$1995*1000000000+ISNUMBER('Dvd Calendar'!$AC$1996)*100000000+('Dvd Calendar'!$AC$2000='Field Check'!$C$25)*10000000+(N('Dvd Calendar'!$AC$1994)&gt;0)*1000000+33*1000+25))</f>
        <v/>
      </c>
      <c r="AB145" s="41">
        <f>IF(N('Dvd Calendar'!$AD$1995)=0,"",IF(('Dvd Calendar'!$AD$1995&gt;=MIN(DATE(Summary!$C$12,1,1),Summary!$C$11))*('Dvd Calendar'!$AD$1995&lt;=MAX(DATE(Summary!$C$12,12,31),Summary!$C$15))*('Dvd Calendar'!$AD$1995&lt;=Summary!$C$11)=0,"",'Dvd Calendar'!$AD$1995*1000000000+ISNUMBER('Dvd Calendar'!$AD$1996)*100000000+('Dvd Calendar'!$AD$2000='Field Check'!$C$25)*10000000+(N('Dvd Calendar'!$AD$1994)&gt;0)*1000000+33*1000+26))</f>
        <v/>
      </c>
      <c r="AC145" s="41">
        <f>IF(N('Dvd Calendar'!$AE$1995)=0,"",IF(('Dvd Calendar'!$AE$1995&gt;=MIN(DATE(Summary!$C$12,1,1),Summary!$C$11))*('Dvd Calendar'!$AE$1995&lt;=MAX(DATE(Summary!$C$12,12,31),Summary!$C$15))*('Dvd Calendar'!$AE$1995&lt;=Summary!$C$11)=0,"",'Dvd Calendar'!$AE$1995*1000000000+ISNUMBER('Dvd Calendar'!$AE$1996)*100000000+('Dvd Calendar'!$AE$2000='Field Check'!$C$25)*10000000+(N('Dvd Calendar'!$AE$1994)&gt;0)*1000000+33*1000+27))</f>
        <v/>
      </c>
      <c r="AD145" s="41">
        <f>IF(N('Dvd Calendar'!$AF$1995)=0,"",IF(('Dvd Calendar'!$AF$1995&gt;=MIN(DATE(Summary!$C$12,1,1),Summary!$C$11))*('Dvd Calendar'!$AF$1995&lt;=MAX(DATE(Summary!$C$12,12,31),Summary!$C$15))*('Dvd Calendar'!$AF$1995&lt;=Summary!$C$11)=0,"",'Dvd Calendar'!$AF$1995*1000000000+ISNUMBER('Dvd Calendar'!$AF$1996)*100000000+('Dvd Calendar'!$AF$2000='Field Check'!$C$25)*10000000+(N('Dvd Calendar'!$AF$1994)&gt;0)*1000000+33*1000+28))</f>
        <v/>
      </c>
      <c r="AE145" s="41">
        <f>IF(N('Dvd Calendar'!$AG$1995)=0,"",IF(('Dvd Calendar'!$AG$1995&gt;=MIN(DATE(Summary!$C$12,1,1),Summary!$C$11))*('Dvd Calendar'!$AG$1995&lt;=MAX(DATE(Summary!$C$12,12,31),Summary!$C$15))*('Dvd Calendar'!$AG$1995&lt;=Summary!$C$11)=0,"",'Dvd Calendar'!$AG$1995*1000000000+ISNUMBER('Dvd Calendar'!$AG$1996)*100000000+('Dvd Calendar'!$AG$2000='Field Check'!$C$25)*10000000+(N('Dvd Calendar'!$AG$1994)&gt;0)*1000000+33*1000+29))</f>
        <v/>
      </c>
      <c r="AF145" s="41">
        <f>IF(N('Dvd Calendar'!$AH$1995)=0,"",IF(('Dvd Calendar'!$AH$1995&gt;=MIN(DATE(Summary!$C$12,1,1),Summary!$C$11))*('Dvd Calendar'!$AH$1995&lt;=MAX(DATE(Summary!$C$12,12,31),Summary!$C$15))*('Dvd Calendar'!$AH$1995&lt;=Summary!$C$11)=0,"",'Dvd Calendar'!$AH$1995*1000000000+ISNUMBER('Dvd Calendar'!$AH$1996)*100000000+('Dvd Calendar'!$AH$2000='Field Check'!$C$25)*10000000+(N('Dvd Calendar'!$AH$1994)&gt;0)*1000000+33*1000+30))</f>
        <v/>
      </c>
      <c r="AG145" s="41">
        <f>IF(N('Dvd Calendar'!$AI$1995)=0,"",IF(('Dvd Calendar'!$AI$1995&gt;=MIN(DATE(Summary!$C$12,1,1),Summary!$C$11))*('Dvd Calendar'!$AI$1995&lt;=MAX(DATE(Summary!$C$12,12,31),Summary!$C$15))*('Dvd Calendar'!$AI$1995&lt;=Summary!$C$11)=0,"",'Dvd Calendar'!$AI$1995*1000000000+ISNUMBER('Dvd Calendar'!$AI$1996)*100000000+('Dvd Calendar'!$AI$2000='Field Check'!$C$25)*10000000+(N('Dvd Calendar'!$AI$1994)&gt;0)*1000000+33*1000+31))</f>
        <v/>
      </c>
      <c r="AH145" s="41">
        <f>IF(N('Dvd Calendar'!$AJ$1995)=0,"",IF(('Dvd Calendar'!$AJ$1995&gt;=MIN(DATE(Summary!$C$12,1,1),Summary!$C$11))*('Dvd Calendar'!$AJ$1995&lt;=MAX(DATE(Summary!$C$12,12,31),Summary!$C$15))*('Dvd Calendar'!$AJ$1995&lt;=Summary!$C$11)=0,"",'Dvd Calendar'!$AJ$1995*1000000000+ISNUMBER('Dvd Calendar'!$AJ$1996)*100000000+('Dvd Calendar'!$AJ$2000='Field Check'!$C$25)*10000000+(N('Dvd Calendar'!$AJ$1994)&gt;0)*1000000+33*1000+32))</f>
        <v/>
      </c>
      <c r="AI145" s="41">
        <f>IF(N('Dvd Calendar'!$AK$1995)=0,"",IF(('Dvd Calendar'!$AK$1995&gt;=MIN(DATE(Summary!$C$12,1,1),Summary!$C$11))*('Dvd Calendar'!$AK$1995&lt;=MAX(DATE(Summary!$C$12,12,31),Summary!$C$15))*('Dvd Calendar'!$AK$1995&lt;=Summary!$C$11)=0,"",'Dvd Calendar'!$AK$1995*1000000000+ISNUMBER('Dvd Calendar'!$AK$1996)*100000000+('Dvd Calendar'!$AK$2000='Field Check'!$C$25)*10000000+(N('Dvd Calendar'!$AK$1994)&gt;0)*1000000+33*1000+33))</f>
        <v/>
      </c>
      <c r="AJ145" s="41">
        <f>IF(N('Dvd Calendar'!$AL$1995)=0,"",IF(('Dvd Calendar'!$AL$1995&gt;=MIN(DATE(Summary!$C$12,1,1),Summary!$C$11))*('Dvd Calendar'!$AL$1995&lt;=MAX(DATE(Summary!$C$12,12,31),Summary!$C$15))*('Dvd Calendar'!$AL$1995&lt;=Summary!$C$11)=0,"",'Dvd Calendar'!$AL$1995*1000000000+ISNUMBER('Dvd Calendar'!$AL$1996)*100000000+('Dvd Calendar'!$AL$2000='Field Check'!$C$25)*10000000+(N('Dvd Calendar'!$AL$1994)&gt;0)*1000000+33*1000+34))</f>
        <v/>
      </c>
      <c r="AK145" s="41">
        <f>IF(N('Dvd Calendar'!$AM$1995)=0,"",IF(('Dvd Calendar'!$AM$1995&gt;=MIN(DATE(Summary!$C$12,1,1),Summary!$C$11))*('Dvd Calendar'!$AM$1995&lt;=MAX(DATE(Summary!$C$12,12,31),Summary!$C$15))*('Dvd Calendar'!$AM$1995&lt;=Summary!$C$11)=0,"",'Dvd Calendar'!$AM$1995*1000000000+ISNUMBER('Dvd Calendar'!$AM$1996)*100000000+('Dvd Calendar'!$AM$2000='Field Check'!$C$25)*10000000+(N('Dvd Calendar'!$AM$1994)&gt;0)*1000000+33*1000+35))</f>
        <v/>
      </c>
      <c r="AL145" s="41">
        <f>IF(N('Dvd Calendar'!$AN$1995)=0,"",IF(('Dvd Calendar'!$AN$1995&gt;=MIN(DATE(Summary!$C$12,1,1),Summary!$C$11))*('Dvd Calendar'!$AN$1995&lt;=MAX(DATE(Summary!$C$12,12,31),Summary!$C$15))*('Dvd Calendar'!$AN$1995&lt;=Summary!$C$11)=0,"",'Dvd Calendar'!$AN$1995*1000000000+ISNUMBER('Dvd Calendar'!$AN$1996)*100000000+('Dvd Calendar'!$AN$2000='Field Check'!$C$25)*10000000+(N('Dvd Calendar'!$AN$1994)&gt;0)*1000000+33*1000+36))</f>
        <v/>
      </c>
      <c r="AM145" s="41">
        <f>IF(N('Dvd Calendar'!$AO$1995)=0,"",IF(('Dvd Calendar'!$AO$1995&gt;=MIN(DATE(Summary!$C$12,1,1),Summary!$C$11))*('Dvd Calendar'!$AO$1995&lt;=MAX(DATE(Summary!$C$12,12,31),Summary!$C$15))*('Dvd Calendar'!$AO$1995&lt;=Summary!$C$11)=0,"",'Dvd Calendar'!$AO$1995*1000000000+ISNUMBER('Dvd Calendar'!$AO$1996)*100000000+('Dvd Calendar'!$AO$2000='Field Check'!$C$25)*10000000+(N('Dvd Calendar'!$AO$1994)&gt;0)*1000000+33*1000+37))</f>
        <v/>
      </c>
      <c r="AN145" s="41">
        <f>IF(N('Dvd Calendar'!$AP$1995)=0,"",IF(('Dvd Calendar'!$AP$1995&gt;=MIN(DATE(Summary!$C$12,1,1),Summary!$C$11))*('Dvd Calendar'!$AP$1995&lt;=MAX(DATE(Summary!$C$12,12,31),Summary!$C$15))*('Dvd Calendar'!$AP$1995&lt;=Summary!$C$11)=0,"",'Dvd Calendar'!$AP$1995*1000000000+ISNUMBER('Dvd Calendar'!$AP$1996)*100000000+('Dvd Calendar'!$AP$2000='Field Check'!$C$25)*10000000+(N('Dvd Calendar'!$AP$1994)&gt;0)*1000000+33*1000+38))</f>
        <v/>
      </c>
      <c r="AO145" s="41">
        <f>IF(N('Dvd Calendar'!$AQ$1995)=0,"",IF(('Dvd Calendar'!$AQ$1995&gt;=MIN(DATE(Summary!$C$12,1,1),Summary!$C$11))*('Dvd Calendar'!$AQ$1995&lt;=MAX(DATE(Summary!$C$12,12,31),Summary!$C$15))*('Dvd Calendar'!$AQ$1995&lt;=Summary!$C$11)=0,"",'Dvd Calendar'!$AQ$1995*1000000000+ISNUMBER('Dvd Calendar'!$AQ$1996)*100000000+('Dvd Calendar'!$AQ$2000='Field Check'!$C$25)*10000000+(N('Dvd Calendar'!$AQ$1994)&gt;0)*1000000+33*1000+39))</f>
        <v/>
      </c>
      <c r="AP145" s="41">
        <f>IF(N('Dvd Calendar'!$AR$1995)=0,"",IF(('Dvd Calendar'!$AR$1995&gt;=MIN(DATE(Summary!$C$12,1,1),Summary!$C$11))*('Dvd Calendar'!$AR$1995&lt;=MAX(DATE(Summary!$C$12,12,31),Summary!$C$15))*('Dvd Calendar'!$AR$1995&lt;=Summary!$C$11)=0,"",'Dvd Calendar'!$AR$1995*1000000000+ISNUMBER('Dvd Calendar'!$AR$1996)*100000000+('Dvd Calendar'!$AR$2000='Field Check'!$C$25)*10000000+(N('Dvd Calendar'!$AR$1994)&gt;0)*1000000+33*1000+40))</f>
        <v/>
      </c>
      <c r="AQ145" s="41">
        <f>IF(N('Dvd Calendar'!$E$2002)=0,"",IF(('Dvd Calendar'!$E$2002&gt;=MIN(DATE(Summary!$C$12,1,1),Summary!$C$11))*('Dvd Calendar'!$E$2002&lt;=MAX(DATE(Summary!$C$12,12,31),Summary!$C$15))*('Dvd Calendar'!$E$2002&gt;Summary!$C$11)=0,"",'Dvd Calendar'!$E$2002*1000000000+ISNUMBER('Dvd Calendar'!$E$2003)*100000000+('Dvd Calendar'!$E$2007='Field Check'!$C$25)*10000000+(N('Dvd Calendar'!$E$2001)&gt;0)*1000000+33*1000+41))</f>
        <v/>
      </c>
      <c r="AR145" s="41">
        <f>IF(N('Dvd Calendar'!$F$2002)=0,"",IF(('Dvd Calendar'!$F$2002&gt;=MIN(DATE(Summary!$C$12,1,1),Summary!$C$11))*('Dvd Calendar'!$F$2002&lt;=MAX(DATE(Summary!$C$12,12,31),Summary!$C$15))*('Dvd Calendar'!$F$2002&gt;Summary!$C$11)=0,"",'Dvd Calendar'!$F$2002*1000000000+ISNUMBER('Dvd Calendar'!$F$2003)*100000000+('Dvd Calendar'!$F$2007='Field Check'!$C$25)*10000000+(N('Dvd Calendar'!$F$2001)&gt;0)*1000000+33*1000+42))</f>
        <v/>
      </c>
      <c r="AS145" s="41">
        <f>IF(N('Dvd Calendar'!$G$2002)=0,"",IF(('Dvd Calendar'!$G$2002&gt;=MIN(DATE(Summary!$C$12,1,1),Summary!$C$11))*('Dvd Calendar'!$G$2002&lt;=MAX(DATE(Summary!$C$12,12,31),Summary!$C$15))*('Dvd Calendar'!$G$2002&gt;Summary!$C$11)=0,"",'Dvd Calendar'!$G$2002*1000000000+ISNUMBER('Dvd Calendar'!$G$2003)*100000000+('Dvd Calendar'!$G$2007='Field Check'!$C$25)*10000000+(N('Dvd Calendar'!$G$2001)&gt;0)*1000000+33*1000+43))</f>
        <v/>
      </c>
      <c r="AT145" s="41">
        <f>IF(N('Dvd Calendar'!$H$2002)=0,"",IF(('Dvd Calendar'!$H$2002&gt;=MIN(DATE(Summary!$C$12,1,1),Summary!$C$11))*('Dvd Calendar'!$H$2002&lt;=MAX(DATE(Summary!$C$12,12,31),Summary!$C$15))*('Dvd Calendar'!$H$2002&gt;Summary!$C$11)=0,"",'Dvd Calendar'!$H$2002*1000000000+ISNUMBER('Dvd Calendar'!$H$2003)*100000000+('Dvd Calendar'!$H$2007='Field Check'!$C$25)*10000000+(N('Dvd Calendar'!$H$2001)&gt;0)*1000000+33*1000+44))</f>
        <v/>
      </c>
      <c r="AU145" s="41">
        <f>IF(N('Dvd Calendar'!$I$2002)=0,"",IF(('Dvd Calendar'!$I$2002&gt;=MIN(DATE(Summary!$C$12,1,1),Summary!$C$11))*('Dvd Calendar'!$I$2002&lt;=MAX(DATE(Summary!$C$12,12,31),Summary!$C$15))*('Dvd Calendar'!$I$2002&gt;Summary!$C$11)=0,"",'Dvd Calendar'!$I$2002*1000000000+ISNUMBER('Dvd Calendar'!$I$2003)*100000000+('Dvd Calendar'!$I$2007='Field Check'!$C$25)*10000000+(N('Dvd Calendar'!$I$2001)&gt;0)*1000000+33*1000+45))</f>
        <v/>
      </c>
      <c r="AV145" s="41">
        <f>IF(N('Dvd Calendar'!$J$2002)=0,"",IF(('Dvd Calendar'!$J$2002&gt;=MIN(DATE(Summary!$C$12,1,1),Summary!$C$11))*('Dvd Calendar'!$J$2002&lt;=MAX(DATE(Summary!$C$12,12,31),Summary!$C$15))*('Dvd Calendar'!$J$2002&gt;Summary!$C$11)=0,"",'Dvd Calendar'!$J$2002*1000000000+ISNUMBER('Dvd Calendar'!$J$2003)*100000000+('Dvd Calendar'!$J$2007='Field Check'!$C$25)*10000000+(N('Dvd Calendar'!$J$2001)&gt;0)*1000000+33*1000+46))</f>
        <v/>
      </c>
      <c r="AW145" s="41">
        <f>IF(N('Dvd Calendar'!$K$2002)=0,"",IF(('Dvd Calendar'!$K$2002&gt;=MIN(DATE(Summary!$C$12,1,1),Summary!$C$11))*('Dvd Calendar'!$K$2002&lt;=MAX(DATE(Summary!$C$12,12,31),Summary!$C$15))*('Dvd Calendar'!$K$2002&gt;Summary!$C$11)=0,"",'Dvd Calendar'!$K$2002*1000000000+ISNUMBER('Dvd Calendar'!$K$2003)*100000000+('Dvd Calendar'!$K$2007='Field Check'!$C$25)*10000000+(N('Dvd Calendar'!$K$2001)&gt;0)*1000000+33*1000+47))</f>
        <v/>
      </c>
      <c r="AX145" s="41">
        <f>IF(N('Dvd Calendar'!$L$2002)=0,"",IF(('Dvd Calendar'!$L$2002&gt;=MIN(DATE(Summary!$C$12,1,1),Summary!$C$11))*('Dvd Calendar'!$L$2002&lt;=MAX(DATE(Summary!$C$12,12,31),Summary!$C$15))*('Dvd Calendar'!$L$2002&gt;Summary!$C$11)=0,"",'Dvd Calendar'!$L$2002*1000000000+ISNUMBER('Dvd Calendar'!$L$2003)*100000000+('Dvd Calendar'!$L$2007='Field Check'!$C$25)*10000000+(N('Dvd Calendar'!$L$2001)&gt;0)*1000000+33*1000+48))</f>
        <v/>
      </c>
      <c r="AY145" s="41">
        <f>IF(N('Dvd Calendar'!$M$2002)=0,"",IF(('Dvd Calendar'!$M$2002&gt;=MIN(DATE(Summary!$C$12,1,1),Summary!$C$11))*('Dvd Calendar'!$M$2002&lt;=MAX(DATE(Summary!$C$12,12,31),Summary!$C$15))*('Dvd Calendar'!$M$2002&gt;Summary!$C$11)=0,"",'Dvd Calendar'!$M$2002*1000000000+ISNUMBER('Dvd Calendar'!$M$2003)*100000000+('Dvd Calendar'!$M$2007='Field Check'!$C$25)*10000000+(N('Dvd Calendar'!$M$2001)&gt;0)*1000000+33*1000+49))</f>
        <v/>
      </c>
      <c r="AZ145" s="41">
        <f>IF(N('Dvd Calendar'!$N$2002)=0,"",IF(('Dvd Calendar'!$N$2002&gt;=MIN(DATE(Summary!$C$12,1,1),Summary!$C$11))*('Dvd Calendar'!$N$2002&lt;=MAX(DATE(Summary!$C$12,12,31),Summary!$C$15))*('Dvd Calendar'!$N$2002&gt;Summary!$C$11)=0,"",'Dvd Calendar'!$N$2002*1000000000+ISNUMBER('Dvd Calendar'!$N$2003)*100000000+('Dvd Calendar'!$N$2007='Field Check'!$C$25)*10000000+(N('Dvd Calendar'!$N$2001)&gt;0)*1000000+33*1000+50))</f>
        <v/>
      </c>
      <c r="BA145" s="41">
        <f>IF(N('Dvd Calendar'!$O$2002)=0,"",IF(('Dvd Calendar'!$O$2002&gt;=MIN(DATE(Summary!$C$12,1,1),Summary!$C$11))*('Dvd Calendar'!$O$2002&lt;=MAX(DATE(Summary!$C$12,12,31),Summary!$C$15))*('Dvd Calendar'!$O$2002&gt;Summary!$C$11)=0,"",'Dvd Calendar'!$O$2002*1000000000+ISNUMBER('Dvd Calendar'!$O$2003)*100000000+('Dvd Calendar'!$O$2007='Field Check'!$C$25)*10000000+(N('Dvd Calendar'!$O$2001)&gt;0)*1000000+33*1000+51))</f>
        <v/>
      </c>
      <c r="BB145" s="41">
        <f>IF(N('Dvd Calendar'!$P$2002)=0,"",IF(('Dvd Calendar'!$P$2002&gt;=MIN(DATE(Summary!$C$12,1,1),Summary!$C$11))*('Dvd Calendar'!$P$2002&lt;=MAX(DATE(Summary!$C$12,12,31),Summary!$C$15))*('Dvd Calendar'!$P$2002&gt;Summary!$C$11)=0,"",'Dvd Calendar'!$P$2002*1000000000+ISNUMBER('Dvd Calendar'!$P$2003)*100000000+('Dvd Calendar'!$P$2007='Field Check'!$C$25)*10000000+(N('Dvd Calendar'!$P$2001)&gt;0)*1000000+33*1000+52))</f>
        <v/>
      </c>
      <c r="BC145" s="41">
        <f>IF(N('Dvd Calendar'!$Q$2002)=0,"",IF(('Dvd Calendar'!$Q$2002&gt;=MIN(DATE(Summary!$C$12,1,1),Summary!$C$11))*('Dvd Calendar'!$Q$2002&lt;=MAX(DATE(Summary!$C$12,12,31),Summary!$C$15))*('Dvd Calendar'!$Q$2002&gt;Summary!$C$11)=0,"",'Dvd Calendar'!$Q$2002*1000000000+ISNUMBER('Dvd Calendar'!$Q$2003)*100000000+('Dvd Calendar'!$Q$2007='Field Check'!$C$25)*10000000+(N('Dvd Calendar'!$Q$2001)&gt;0)*1000000+33*1000+53))</f>
        <v/>
      </c>
      <c r="BD145" s="41">
        <f>IF(N('Dvd Calendar'!$R$2002)=0,"",IF(('Dvd Calendar'!$R$2002&gt;=MIN(DATE(Summary!$C$12,1,1),Summary!$C$11))*('Dvd Calendar'!$R$2002&lt;=MAX(DATE(Summary!$C$12,12,31),Summary!$C$15))*('Dvd Calendar'!$R$2002&gt;Summary!$C$11)=0,"",'Dvd Calendar'!$R$2002*1000000000+ISNUMBER('Dvd Calendar'!$R$2003)*100000000+('Dvd Calendar'!$R$2007='Field Check'!$C$25)*10000000+(N('Dvd Calendar'!$R$2001)&gt;0)*1000000+33*1000+54))</f>
        <v/>
      </c>
      <c r="BE145" s="41">
        <f>IF(N('Dvd Calendar'!$S$2002)=0,"",IF(('Dvd Calendar'!$S$2002&gt;=MIN(DATE(Summary!$C$12,1,1),Summary!$C$11))*('Dvd Calendar'!$S$2002&lt;=MAX(DATE(Summary!$C$12,12,31),Summary!$C$15))*('Dvd Calendar'!$S$2002&gt;Summary!$C$11)=0,"",'Dvd Calendar'!$S$2002*1000000000+ISNUMBER('Dvd Calendar'!$S$2003)*100000000+('Dvd Calendar'!$S$2007='Field Check'!$C$25)*10000000+(N('Dvd Calendar'!$S$2001)&gt;0)*1000000+33*1000+55))</f>
        <v/>
      </c>
      <c r="BF145" s="41">
        <f>IF(N('Dvd Calendar'!$T$2002)=0,"",IF(('Dvd Calendar'!$T$2002&gt;=MIN(DATE(Summary!$C$12,1,1),Summary!$C$11))*('Dvd Calendar'!$T$2002&lt;=MAX(DATE(Summary!$C$12,12,31),Summary!$C$15))*('Dvd Calendar'!$T$2002&gt;Summary!$C$11)=0,"",'Dvd Calendar'!$T$2002*1000000000+ISNUMBER('Dvd Calendar'!$T$2003)*100000000+('Dvd Calendar'!$T$2007='Field Check'!$C$25)*10000000+(N('Dvd Calendar'!$T$2001)&gt;0)*1000000+33*1000+56))</f>
        <v/>
      </c>
      <c r="BG145" s="41">
        <f>IF(N('Dvd Calendar'!$U$2002)=0,"",IF(('Dvd Calendar'!$U$2002&gt;=MIN(DATE(Summary!$C$12,1,1),Summary!$C$11))*('Dvd Calendar'!$U$2002&lt;=MAX(DATE(Summary!$C$12,12,31),Summary!$C$15))*('Dvd Calendar'!$U$2002&gt;Summary!$C$11)=0,"",'Dvd Calendar'!$U$2002*1000000000+ISNUMBER('Dvd Calendar'!$U$2003)*100000000+('Dvd Calendar'!$U$2007='Field Check'!$C$25)*10000000+(N('Dvd Calendar'!$U$2001)&gt;0)*1000000+33*1000+57))</f>
        <v/>
      </c>
      <c r="BH145" s="41">
        <f>IF(N('Dvd Calendar'!$V$2002)=0,"",IF(('Dvd Calendar'!$V$2002&gt;=MIN(DATE(Summary!$C$12,1,1),Summary!$C$11))*('Dvd Calendar'!$V$2002&lt;=MAX(DATE(Summary!$C$12,12,31),Summary!$C$15))*('Dvd Calendar'!$V$2002&gt;Summary!$C$11)=0,"",'Dvd Calendar'!$V$2002*1000000000+ISNUMBER('Dvd Calendar'!$V$2003)*100000000+('Dvd Calendar'!$V$2007='Field Check'!$C$25)*10000000+(N('Dvd Calendar'!$V$2001)&gt;0)*1000000+33*1000+58))</f>
        <v/>
      </c>
      <c r="BI145" s="41">
        <f>IF(N('Dvd Calendar'!$W$2002)=0,"",IF(('Dvd Calendar'!$W$2002&gt;=MIN(DATE(Summary!$C$12,1,1),Summary!$C$11))*('Dvd Calendar'!$W$2002&lt;=MAX(DATE(Summary!$C$12,12,31),Summary!$C$15))*('Dvd Calendar'!$W$2002&gt;Summary!$C$11)=0,"",'Dvd Calendar'!$W$2002*1000000000+ISNUMBER('Dvd Calendar'!$W$2003)*100000000+('Dvd Calendar'!$W$2007='Field Check'!$C$25)*10000000+(N('Dvd Calendar'!$W$2001)&gt;0)*1000000+33*1000+59))</f>
        <v/>
      </c>
      <c r="BJ145" s="41">
        <f>IF(N('Dvd Calendar'!$X$2002)=0,"",IF(('Dvd Calendar'!$X$2002&gt;=MIN(DATE(Summary!$C$12,1,1),Summary!$C$11))*('Dvd Calendar'!$X$2002&lt;=MAX(DATE(Summary!$C$12,12,31),Summary!$C$15))*('Dvd Calendar'!$X$2002&gt;Summary!$C$11)=0,"",'Dvd Calendar'!$X$2002*1000000000+ISNUMBER('Dvd Calendar'!$X$2003)*100000000+('Dvd Calendar'!$X$2007='Field Check'!$C$25)*10000000+(N('Dvd Calendar'!$X$2001)&gt;0)*1000000+33*1000+60))</f>
        <v/>
      </c>
      <c r="BK145" s="41">
        <f>IF(N('Dvd Calendar'!$Y$2002)=0,"",IF(('Dvd Calendar'!$Y$2002&gt;=MIN(DATE(Summary!$C$12,1,1),Summary!$C$11))*('Dvd Calendar'!$Y$2002&lt;=MAX(DATE(Summary!$C$12,12,31),Summary!$C$15))*('Dvd Calendar'!$Y$2002&gt;Summary!$C$11)=0,"",'Dvd Calendar'!$Y$2002*1000000000+ISNUMBER('Dvd Calendar'!$Y$2003)*100000000+('Dvd Calendar'!$Y$2007='Field Check'!$C$25)*10000000+(N('Dvd Calendar'!$Y$2001)&gt;0)*1000000+33*1000+61))</f>
        <v/>
      </c>
      <c r="BL145" s="41">
        <f>IF(N('Dvd Calendar'!$Z$2002)=0,"",IF(('Dvd Calendar'!$Z$2002&gt;=MIN(DATE(Summary!$C$12,1,1),Summary!$C$11))*('Dvd Calendar'!$Z$2002&lt;=MAX(DATE(Summary!$C$12,12,31),Summary!$C$15))*('Dvd Calendar'!$Z$2002&gt;Summary!$C$11)=0,"",'Dvd Calendar'!$Z$2002*1000000000+ISNUMBER('Dvd Calendar'!$Z$2003)*100000000+('Dvd Calendar'!$Z$2007='Field Check'!$C$25)*10000000+(N('Dvd Calendar'!$Z$2001)&gt;0)*1000000+33*1000+62))</f>
        <v/>
      </c>
      <c r="BM145" s="41">
        <f>IF(N('Dvd Calendar'!$AA$2002)=0,"",IF(('Dvd Calendar'!$AA$2002&gt;=MIN(DATE(Summary!$C$12,1,1),Summary!$C$11))*('Dvd Calendar'!$AA$2002&lt;=MAX(DATE(Summary!$C$12,12,31),Summary!$C$15))*('Dvd Calendar'!$AA$2002&gt;Summary!$C$11)=0,"",'Dvd Calendar'!$AA$2002*1000000000+ISNUMBER('Dvd Calendar'!$AA$2003)*100000000+('Dvd Calendar'!$AA$2007='Field Check'!$C$25)*10000000+(N('Dvd Calendar'!$AA$2001)&gt;0)*1000000+33*1000+63))</f>
        <v/>
      </c>
      <c r="BN145" s="41">
        <f>IF(N('Dvd Calendar'!$AB$2002)=0,"",IF(('Dvd Calendar'!$AB$2002&gt;=MIN(DATE(Summary!$C$12,1,1),Summary!$C$11))*('Dvd Calendar'!$AB$2002&lt;=MAX(DATE(Summary!$C$12,12,31),Summary!$C$15))*('Dvd Calendar'!$AB$2002&gt;Summary!$C$11)=0,"",'Dvd Calendar'!$AB$2002*1000000000+ISNUMBER('Dvd Calendar'!$AB$2003)*100000000+('Dvd Calendar'!$AB$2007='Field Check'!$C$25)*10000000+(N('Dvd Calendar'!$AB$2001)&gt;0)*1000000+33*1000+64))</f>
        <v/>
      </c>
      <c r="BO145" s="41">
        <f>IF(N('Dvd Calendar'!$AC$2002)=0,"",IF(('Dvd Calendar'!$AC$2002&gt;=MIN(DATE(Summary!$C$12,1,1),Summary!$C$11))*('Dvd Calendar'!$AC$2002&lt;=MAX(DATE(Summary!$C$12,12,31),Summary!$C$15))*('Dvd Calendar'!$AC$2002&gt;Summary!$C$11)=0,"",'Dvd Calendar'!$AC$2002*1000000000+ISNUMBER('Dvd Calendar'!$AC$2003)*100000000+('Dvd Calendar'!$AC$2007='Field Check'!$C$25)*10000000+(N('Dvd Calendar'!$AC$2001)&gt;0)*1000000+33*1000+65))</f>
        <v/>
      </c>
      <c r="BQ145" s="85">
        <f>IF(C145="","",IF(ISNUMBER('Dvd Calendar'!$E$1996)=FALSE,"",IF((Summary!$C$13="N")*('Dvd Calendar'!$E$2000='Field Check'!$C$25)&gt;0,"",'Dvd Calendar'!$E$1996)))</f>
        <v/>
      </c>
      <c r="BR145" s="85">
        <f>IF(D145="","",IF(ISNUMBER('Dvd Calendar'!$F$1996)=FALSE,"",IF((Summary!$C$13="N")*('Dvd Calendar'!$F$2000='Field Check'!$C$25)&gt;0,"",'Dvd Calendar'!$F$1996)))</f>
        <v/>
      </c>
      <c r="BS145" s="85">
        <f>IF(E145="","",IF(ISNUMBER('Dvd Calendar'!$G$1996)=FALSE,"",IF((Summary!$C$13="N")*('Dvd Calendar'!$G$2000='Field Check'!$C$25)&gt;0,"",'Dvd Calendar'!$G$1996)))</f>
        <v/>
      </c>
      <c r="BT145" s="85">
        <f>IF(F145="","",IF(ISNUMBER('Dvd Calendar'!$H$1996)=FALSE,"",IF((Summary!$C$13="N")*('Dvd Calendar'!$H$2000='Field Check'!$C$25)&gt;0,"",'Dvd Calendar'!$H$1996)))</f>
        <v/>
      </c>
      <c r="BU145" s="85">
        <f>IF(G145="","",IF(ISNUMBER('Dvd Calendar'!$I$1996)=FALSE,"",IF((Summary!$C$13="N")*('Dvd Calendar'!$I$2000='Field Check'!$C$25)&gt;0,"",'Dvd Calendar'!$I$1996)))</f>
        <v/>
      </c>
      <c r="BV145" s="85">
        <f>IF(H145="","",IF(ISNUMBER('Dvd Calendar'!$J$1996)=FALSE,"",IF((Summary!$C$13="N")*('Dvd Calendar'!$J$2000='Field Check'!$C$25)&gt;0,"",'Dvd Calendar'!$J$1996)))</f>
        <v/>
      </c>
      <c r="BW145" s="85">
        <f>IF(I145="","",IF(ISNUMBER('Dvd Calendar'!$K$1996)=FALSE,"",IF((Summary!$C$13="N")*('Dvd Calendar'!$K$2000='Field Check'!$C$25)&gt;0,"",'Dvd Calendar'!$K$1996)))</f>
        <v/>
      </c>
      <c r="BX145" s="85">
        <f>IF(J145="","",IF(ISNUMBER('Dvd Calendar'!$L$1996)=FALSE,"",IF((Summary!$C$13="N")*('Dvd Calendar'!$L$2000='Field Check'!$C$25)&gt;0,"",'Dvd Calendar'!$L$1996)))</f>
        <v/>
      </c>
      <c r="BY145" s="85">
        <f>IF(K145="","",IF(ISNUMBER('Dvd Calendar'!$M$1996)=FALSE,"",IF((Summary!$C$13="N")*('Dvd Calendar'!$M$2000='Field Check'!$C$25)&gt;0,"",'Dvd Calendar'!$M$1996)))</f>
        <v/>
      </c>
      <c r="BZ145" s="85">
        <f>IF(L145="","",IF(ISNUMBER('Dvd Calendar'!$N$1996)=FALSE,"",IF((Summary!$C$13="N")*('Dvd Calendar'!$N$2000='Field Check'!$C$25)&gt;0,"",'Dvd Calendar'!$N$1996)))</f>
        <v/>
      </c>
      <c r="CA145" s="85">
        <f>IF(M145="","",IF(ISNUMBER('Dvd Calendar'!$O$1996)=FALSE,"",IF((Summary!$C$13="N")*('Dvd Calendar'!$O$2000='Field Check'!$C$25)&gt;0,"",'Dvd Calendar'!$O$1996)))</f>
        <v/>
      </c>
      <c r="CB145" s="85">
        <f>IF(N145="","",IF(ISNUMBER('Dvd Calendar'!$P$1996)=FALSE,"",IF((Summary!$C$13="N")*('Dvd Calendar'!$P$2000='Field Check'!$C$25)&gt;0,"",'Dvd Calendar'!$P$1996)))</f>
        <v/>
      </c>
      <c r="CC145" s="85">
        <f>IF(O145="","",IF(ISNUMBER('Dvd Calendar'!$Q$1996)=FALSE,"",IF((Summary!$C$13="N")*('Dvd Calendar'!$Q$2000='Field Check'!$C$25)&gt;0,"",'Dvd Calendar'!$Q$1996)))</f>
        <v/>
      </c>
      <c r="CD145" s="85">
        <f>IF(P145="","",IF(ISNUMBER('Dvd Calendar'!$R$1996)=FALSE,"",IF((Summary!$C$13="N")*('Dvd Calendar'!$R$2000='Field Check'!$C$25)&gt;0,"",'Dvd Calendar'!$R$1996)))</f>
        <v/>
      </c>
      <c r="CE145" s="85">
        <f>IF(Q145="","",IF(ISNUMBER('Dvd Calendar'!$S$1996)=FALSE,"",IF((Summary!$C$13="N")*('Dvd Calendar'!$S$2000='Field Check'!$C$25)&gt;0,"",'Dvd Calendar'!$S$1996)))</f>
        <v/>
      </c>
      <c r="CF145" s="85">
        <f>IF(R145="","",IF(ISNUMBER('Dvd Calendar'!$T$1996)=FALSE,"",IF((Summary!$C$13="N")*('Dvd Calendar'!$T$2000='Field Check'!$C$25)&gt;0,"",'Dvd Calendar'!$T$1996)))</f>
        <v/>
      </c>
      <c r="CG145" s="85">
        <f>IF(S145="","",IF(ISNUMBER('Dvd Calendar'!$U$1996)=FALSE,"",IF((Summary!$C$13="N")*('Dvd Calendar'!$U$2000='Field Check'!$C$25)&gt;0,"",'Dvd Calendar'!$U$1996)))</f>
        <v/>
      </c>
      <c r="CH145" s="85">
        <f>IF(T145="","",IF(ISNUMBER('Dvd Calendar'!$V$1996)=FALSE,"",IF((Summary!$C$13="N")*('Dvd Calendar'!$V$2000='Field Check'!$C$25)&gt;0,"",'Dvd Calendar'!$V$1996)))</f>
        <v/>
      </c>
      <c r="CI145" s="85">
        <f>IF(U145="","",IF(ISNUMBER('Dvd Calendar'!$W$1996)=FALSE,"",IF((Summary!$C$13="N")*('Dvd Calendar'!$W$2000='Field Check'!$C$25)&gt;0,"",'Dvd Calendar'!$W$1996)))</f>
        <v/>
      </c>
      <c r="CJ145" s="85">
        <f>IF(V145="","",IF(ISNUMBER('Dvd Calendar'!$X$1996)=FALSE,"",IF((Summary!$C$13="N")*('Dvd Calendar'!$X$2000='Field Check'!$C$25)&gt;0,"",'Dvd Calendar'!$X$1996)))</f>
        <v/>
      </c>
      <c r="CK145" s="85">
        <f>IF(W145="","",IF(ISNUMBER('Dvd Calendar'!$Y$1996)=FALSE,"",IF((Summary!$C$13="N")*('Dvd Calendar'!$Y$2000='Field Check'!$C$25)&gt;0,"",'Dvd Calendar'!$Y$1996)))</f>
        <v/>
      </c>
      <c r="CL145" s="85">
        <f>IF(X145="","",IF(ISNUMBER('Dvd Calendar'!$Z$1996)=FALSE,"",IF((Summary!$C$13="N")*('Dvd Calendar'!$Z$2000='Field Check'!$C$25)&gt;0,"",'Dvd Calendar'!$Z$1996)))</f>
        <v/>
      </c>
      <c r="CM145" s="85">
        <f>IF(Y145="","",IF(ISNUMBER('Dvd Calendar'!$AA$1996)=FALSE,"",IF((Summary!$C$13="N")*('Dvd Calendar'!$AA$2000='Field Check'!$C$25)&gt;0,"",'Dvd Calendar'!$AA$1996)))</f>
        <v/>
      </c>
      <c r="CN145" s="85">
        <f>IF(Z145="","",IF(ISNUMBER('Dvd Calendar'!$AB$1996)=FALSE,"",IF((Summary!$C$13="N")*('Dvd Calendar'!$AB$2000='Field Check'!$C$25)&gt;0,"",'Dvd Calendar'!$AB$1996)))</f>
        <v/>
      </c>
      <c r="CO145" s="85">
        <f>IF(AA145="","",IF(ISNUMBER('Dvd Calendar'!$AC$1996)=FALSE,"",IF((Summary!$C$13="N")*('Dvd Calendar'!$AC$2000='Field Check'!$C$25)&gt;0,"",'Dvd Calendar'!$AC$1996)))</f>
        <v/>
      </c>
      <c r="CP145" s="85">
        <f>IF(AB145="","",IF(ISNUMBER('Dvd Calendar'!$AD$1996)=FALSE,"",IF((Summary!$C$13="N")*('Dvd Calendar'!$AD$2000='Field Check'!$C$25)&gt;0,"",'Dvd Calendar'!$AD$1996)))</f>
        <v/>
      </c>
      <c r="CQ145" s="85">
        <f>IF(AC145="","",IF(ISNUMBER('Dvd Calendar'!$AE$1996)=FALSE,"",IF((Summary!$C$13="N")*('Dvd Calendar'!$AE$2000='Field Check'!$C$25)&gt;0,"",'Dvd Calendar'!$AE$1996)))</f>
        <v/>
      </c>
      <c r="CR145" s="85">
        <f>IF(AD145="","",IF(ISNUMBER('Dvd Calendar'!$AF$1996)=FALSE,"",IF((Summary!$C$13="N")*('Dvd Calendar'!$AF$2000='Field Check'!$C$25)&gt;0,"",'Dvd Calendar'!$AF$1996)))</f>
        <v/>
      </c>
      <c r="CS145" s="85">
        <f>IF(AE145="","",IF(ISNUMBER('Dvd Calendar'!$AG$1996)=FALSE,"",IF((Summary!$C$13="N")*('Dvd Calendar'!$AG$2000='Field Check'!$C$25)&gt;0,"",'Dvd Calendar'!$AG$1996)))</f>
        <v/>
      </c>
      <c r="CT145" s="85">
        <f>IF(AF145="","",IF(ISNUMBER('Dvd Calendar'!$AH$1996)=FALSE,"",IF((Summary!$C$13="N")*('Dvd Calendar'!$AH$2000='Field Check'!$C$25)&gt;0,"",'Dvd Calendar'!$AH$1996)))</f>
        <v/>
      </c>
      <c r="CU145" s="85">
        <f>IF(AG145="","",IF(ISNUMBER('Dvd Calendar'!$AI$1996)=FALSE,"",IF((Summary!$C$13="N")*('Dvd Calendar'!$AI$2000='Field Check'!$C$25)&gt;0,"",'Dvd Calendar'!$AI$1996)))</f>
        <v/>
      </c>
      <c r="CV145" s="85">
        <f>IF(AH145="","",IF(ISNUMBER('Dvd Calendar'!$AJ$1996)=FALSE,"",IF((Summary!$C$13="N")*('Dvd Calendar'!$AJ$2000='Field Check'!$C$25)&gt;0,"",'Dvd Calendar'!$AJ$1996)))</f>
        <v/>
      </c>
      <c r="CW145" s="85">
        <f>IF(AI145="","",IF(ISNUMBER('Dvd Calendar'!$AK$1996)=FALSE,"",IF((Summary!$C$13="N")*('Dvd Calendar'!$AK$2000='Field Check'!$C$25)&gt;0,"",'Dvd Calendar'!$AK$1996)))</f>
        <v/>
      </c>
      <c r="CX145" s="85">
        <f>IF(AJ145="","",IF(ISNUMBER('Dvd Calendar'!$AL$1996)=FALSE,"",IF((Summary!$C$13="N")*('Dvd Calendar'!$AL$2000='Field Check'!$C$25)&gt;0,"",'Dvd Calendar'!$AL$1996)))</f>
        <v/>
      </c>
      <c r="CY145" s="85">
        <f>IF(AK145="","",IF(ISNUMBER('Dvd Calendar'!$AM$1996)=FALSE,"",IF((Summary!$C$13="N")*('Dvd Calendar'!$AM$2000='Field Check'!$C$25)&gt;0,"",'Dvd Calendar'!$AM$1996)))</f>
        <v/>
      </c>
      <c r="CZ145" s="85">
        <f>IF(AL145="","",IF(ISNUMBER('Dvd Calendar'!$AN$1996)=FALSE,"",IF((Summary!$C$13="N")*('Dvd Calendar'!$AN$2000='Field Check'!$C$25)&gt;0,"",'Dvd Calendar'!$AN$1996)))</f>
        <v/>
      </c>
      <c r="DA145" s="85">
        <f>IF(AM145="","",IF(ISNUMBER('Dvd Calendar'!$AO$1996)=FALSE,"",IF((Summary!$C$13="N")*('Dvd Calendar'!$AO$2000='Field Check'!$C$25)&gt;0,"",'Dvd Calendar'!$AO$1996)))</f>
        <v/>
      </c>
      <c r="DB145" s="85">
        <f>IF(AN145="","",IF(ISNUMBER('Dvd Calendar'!$AP$1996)=FALSE,"",IF((Summary!$C$13="N")*('Dvd Calendar'!$AP$2000='Field Check'!$C$25)&gt;0,"",'Dvd Calendar'!$AP$1996)))</f>
        <v/>
      </c>
      <c r="DC145" s="85">
        <f>IF(AO145="","",IF(ISNUMBER('Dvd Calendar'!$AQ$1996)=FALSE,"",IF((Summary!$C$13="N")*('Dvd Calendar'!$AQ$2000='Field Check'!$C$25)&gt;0,"",'Dvd Calendar'!$AQ$1996)))</f>
        <v/>
      </c>
      <c r="DD145" s="85">
        <f>IF(AP145="","",IF(ISNUMBER('Dvd Calendar'!$AR$1996)=FALSE,"",IF((Summary!$C$13="N")*('Dvd Calendar'!$AR$2000='Field Check'!$C$25)&gt;0,"",'Dvd Calendar'!$AR$1996)))</f>
        <v/>
      </c>
      <c r="DE145" s="85">
        <f>IF(AQ145="","",IF(ISNUMBER('Dvd Calendar'!$E$2003)=FALSE,"",IF((Summary!$C$13="N")*('Dvd Calendar'!$E$2007='Field Check'!$C$25)&gt;0,"",'Dvd Calendar'!$E$2003)))</f>
        <v/>
      </c>
      <c r="DF145" s="85">
        <f>IF(AR145="","",IF(ISNUMBER('Dvd Calendar'!$F$2003)=FALSE,"",IF((Summary!$C$13="N")*('Dvd Calendar'!$F$2007='Field Check'!$C$25)&gt;0,"",'Dvd Calendar'!$F$2003)))</f>
        <v/>
      </c>
      <c r="DG145" s="85">
        <f>IF(AS145="","",IF(ISNUMBER('Dvd Calendar'!$G$2003)=FALSE,"",IF((Summary!$C$13="N")*('Dvd Calendar'!$G$2007='Field Check'!$C$25)&gt;0,"",'Dvd Calendar'!$G$2003)))</f>
        <v/>
      </c>
      <c r="DH145" s="85">
        <f>IF(AT145="","",IF(ISNUMBER('Dvd Calendar'!$H$2003)=FALSE,"",IF((Summary!$C$13="N")*('Dvd Calendar'!$H$2007='Field Check'!$C$25)&gt;0,"",'Dvd Calendar'!$H$2003)))</f>
        <v/>
      </c>
      <c r="DI145" s="85">
        <f>IF(AU145="","",IF(ISNUMBER('Dvd Calendar'!$I$2003)=FALSE,"",IF((Summary!$C$13="N")*('Dvd Calendar'!$I$2007='Field Check'!$C$25)&gt;0,"",'Dvd Calendar'!$I$2003)))</f>
        <v/>
      </c>
      <c r="DJ145" s="85">
        <f>IF(AV145="","",IF(ISNUMBER('Dvd Calendar'!$J$2003)=FALSE,"",IF((Summary!$C$13="N")*('Dvd Calendar'!$J$2007='Field Check'!$C$25)&gt;0,"",'Dvd Calendar'!$J$2003)))</f>
        <v/>
      </c>
      <c r="DK145" s="85">
        <f>IF(AW145="","",IF(ISNUMBER('Dvd Calendar'!$K$2003)=FALSE,"",IF((Summary!$C$13="N")*('Dvd Calendar'!$K$2007='Field Check'!$C$25)&gt;0,"",'Dvd Calendar'!$K$2003)))</f>
        <v/>
      </c>
      <c r="DL145" s="85">
        <f>IF(AX145="","",IF(ISNUMBER('Dvd Calendar'!$L$2003)=FALSE,"",IF((Summary!$C$13="N")*('Dvd Calendar'!$L$2007='Field Check'!$C$25)&gt;0,"",'Dvd Calendar'!$L$2003)))</f>
        <v/>
      </c>
      <c r="DM145" s="85">
        <f>IF(AY145="","",IF(ISNUMBER('Dvd Calendar'!$M$2003)=FALSE,"",IF((Summary!$C$13="N")*('Dvd Calendar'!$M$2007='Field Check'!$C$25)&gt;0,"",'Dvd Calendar'!$M$2003)))</f>
        <v/>
      </c>
      <c r="DN145" s="85">
        <f>IF(AZ145="","",IF(ISNUMBER('Dvd Calendar'!$N$2003)=FALSE,"",IF((Summary!$C$13="N")*('Dvd Calendar'!$N$2007='Field Check'!$C$25)&gt;0,"",'Dvd Calendar'!$N$2003)))</f>
        <v/>
      </c>
      <c r="DO145" s="85">
        <f>IF(BA145="","",IF(ISNUMBER('Dvd Calendar'!$O$2003)=FALSE,"",IF((Summary!$C$13="N")*('Dvd Calendar'!$O$2007='Field Check'!$C$25)&gt;0,"",'Dvd Calendar'!$O$2003)))</f>
        <v/>
      </c>
      <c r="DP145" s="85">
        <f>IF(BB145="","",IF(ISNUMBER('Dvd Calendar'!$P$2003)=FALSE,"",IF((Summary!$C$13="N")*('Dvd Calendar'!$P$2007='Field Check'!$C$25)&gt;0,"",'Dvd Calendar'!$P$2003)))</f>
        <v/>
      </c>
      <c r="DQ145" s="85">
        <f>IF(BC145="","",IF(ISNUMBER('Dvd Calendar'!$Q$2003)=FALSE,"",IF((Summary!$C$13="N")*('Dvd Calendar'!$Q$2007='Field Check'!$C$25)&gt;0,"",'Dvd Calendar'!$Q$2003)))</f>
        <v/>
      </c>
      <c r="DR145" s="85">
        <f>IF(BD145="","",IF(ISNUMBER('Dvd Calendar'!$R$2003)=FALSE,"",IF((Summary!$C$13="N")*('Dvd Calendar'!$R$2007='Field Check'!$C$25)&gt;0,"",'Dvd Calendar'!$R$2003)))</f>
        <v/>
      </c>
      <c r="DS145" s="85">
        <f>IF(BE145="","",IF(ISNUMBER('Dvd Calendar'!$S$2003)=FALSE,"",IF((Summary!$C$13="N")*('Dvd Calendar'!$S$2007='Field Check'!$C$25)&gt;0,"",'Dvd Calendar'!$S$2003)))</f>
        <v/>
      </c>
      <c r="DT145" s="85">
        <f>IF(BF145="","",IF(ISNUMBER('Dvd Calendar'!$T$2003)=FALSE,"",IF((Summary!$C$13="N")*('Dvd Calendar'!$T$2007='Field Check'!$C$25)&gt;0,"",'Dvd Calendar'!$T$2003)))</f>
        <v/>
      </c>
      <c r="DU145" s="85">
        <f>IF(BG145="","",IF(ISNUMBER('Dvd Calendar'!$U$2003)=FALSE,"",IF((Summary!$C$13="N")*('Dvd Calendar'!$U$2007='Field Check'!$C$25)&gt;0,"",'Dvd Calendar'!$U$2003)))</f>
        <v/>
      </c>
      <c r="DV145" s="85">
        <f>IF(BH145="","",IF(ISNUMBER('Dvd Calendar'!$V$2003)=FALSE,"",IF((Summary!$C$13="N")*('Dvd Calendar'!$V$2007='Field Check'!$C$25)&gt;0,"",'Dvd Calendar'!$V$2003)))</f>
        <v/>
      </c>
      <c r="DW145" s="85">
        <f>IF(BI145="","",IF(ISNUMBER('Dvd Calendar'!$W$2003)=FALSE,"",IF((Summary!$C$13="N")*('Dvd Calendar'!$W$2007='Field Check'!$C$25)&gt;0,"",'Dvd Calendar'!$W$2003)))</f>
        <v/>
      </c>
      <c r="DX145" s="85">
        <f>IF(BJ145="","",IF(ISNUMBER('Dvd Calendar'!$X$2003)=FALSE,"",IF((Summary!$C$13="N")*('Dvd Calendar'!$X$2007='Field Check'!$C$25)&gt;0,"",'Dvd Calendar'!$X$2003)))</f>
        <v/>
      </c>
      <c r="DY145" s="85">
        <f>IF(BK145="","",IF(ISNUMBER('Dvd Calendar'!$Y$2003)=FALSE,"",IF((Summary!$C$13="N")*('Dvd Calendar'!$Y$2007='Field Check'!$C$25)&gt;0,"",'Dvd Calendar'!$Y$2003)))</f>
        <v/>
      </c>
      <c r="DZ145" s="85">
        <f>IF(BL145="","",IF(ISNUMBER('Dvd Calendar'!$Z$2003)=FALSE,"",IF((Summary!$C$13="N")*('Dvd Calendar'!$Z$2007='Field Check'!$C$25)&gt;0,"",'Dvd Calendar'!$Z$2003)))</f>
        <v/>
      </c>
      <c r="EA145" s="85">
        <f>IF(BM145="","",IF(ISNUMBER('Dvd Calendar'!$AA$2003)=FALSE,"",IF((Summary!$C$13="N")*('Dvd Calendar'!$AA$2007='Field Check'!$C$25)&gt;0,"",'Dvd Calendar'!$AA$2003)))</f>
        <v/>
      </c>
      <c r="EB145" s="85">
        <f>IF(BN145="","",IF(ISNUMBER('Dvd Calendar'!$AB$2003)=FALSE,"",IF((Summary!$C$13="N")*('Dvd Calendar'!$AB$2007='Field Check'!$C$25)&gt;0,"",'Dvd Calendar'!$AB$2003)))</f>
        <v/>
      </c>
      <c r="EC145" s="85">
        <f>IF(BO145="","",IF(ISNUMBER('Dvd Calendar'!$AC$2003)=FALSE,"",IF((Summary!$C$13="N")*('Dvd Calendar'!$AC$2007='Field Check'!$C$25)&gt;0,"",'Dvd Calendar'!$AC$2003)))</f>
        <v/>
      </c>
      <c r="EE145" s="85">
        <f>IF(BQ145="","",IFERROR(BQ145*HSTECH!$B$39*HSTECH!$G$39/HSTECH!$B$3,""))</f>
        <v/>
      </c>
      <c r="EF145" s="85">
        <f>IF(BR145="","",IFERROR(BR145*HSTECH!$B$39*HSTECH!$G$39/HSTECH!$B$3,""))</f>
        <v/>
      </c>
      <c r="EG145" s="85">
        <f>IF(BS145="","",IFERROR(BS145*HSTECH!$B$39*HSTECH!$G$39/HSTECH!$B$3,""))</f>
        <v/>
      </c>
      <c r="EH145" s="85">
        <f>IF(BT145="","",IFERROR(BT145*HSTECH!$B$39*HSTECH!$G$39/HSTECH!$B$3,""))</f>
        <v/>
      </c>
      <c r="EI145" s="85">
        <f>IF(BU145="","",IFERROR(BU145*HSTECH!$B$39*HSTECH!$G$39/HSTECH!$B$3,""))</f>
        <v/>
      </c>
      <c r="EJ145" s="85">
        <f>IF(BV145="","",IFERROR(BV145*HSTECH!$B$39*HSTECH!$G$39/HSTECH!$B$3,""))</f>
        <v/>
      </c>
      <c r="EK145" s="85">
        <f>IF(BW145="","",IFERROR(BW145*HSTECH!$B$39*HSTECH!$G$39/HSTECH!$B$3,""))</f>
        <v/>
      </c>
      <c r="EL145" s="85">
        <f>IF(BX145="","",IFERROR(BX145*HSTECH!$B$39*HSTECH!$G$39/HSTECH!$B$3,""))</f>
        <v/>
      </c>
      <c r="EM145" s="85">
        <f>IF(BY145="","",IFERROR(BY145*HSTECH!$B$39*HSTECH!$G$39/HSTECH!$B$3,""))</f>
        <v/>
      </c>
      <c r="EN145" s="85">
        <f>IF(BZ145="","",IFERROR(BZ145*HSTECH!$B$39*HSTECH!$G$39/HSTECH!$B$3,""))</f>
        <v/>
      </c>
      <c r="EO145" s="85">
        <f>IF(CA145="","",IFERROR(CA145*HSTECH!$B$39*HSTECH!$G$39/HSTECH!$B$3,""))</f>
        <v/>
      </c>
      <c r="EP145" s="85">
        <f>IF(CB145="","",IFERROR(CB145*HSTECH!$B$39*HSTECH!$G$39/HSTECH!$B$3,""))</f>
        <v/>
      </c>
      <c r="EQ145" s="85">
        <f>IF(CC145="","",IFERROR(CC145*HSTECH!$B$39*HSTECH!$G$39/HSTECH!$B$3,""))</f>
        <v/>
      </c>
      <c r="ER145" s="85">
        <f>IF(CD145="","",IFERROR(CD145*HSTECH!$B$39*HSTECH!$G$39/HSTECH!$B$3,""))</f>
        <v/>
      </c>
      <c r="ES145" s="85">
        <f>IF(CE145="","",IFERROR(CE145*HSTECH!$B$39*HSTECH!$G$39/HSTECH!$B$3,""))</f>
        <v/>
      </c>
      <c r="ET145" s="85">
        <f>IF(CF145="","",IFERROR(CF145*HSTECH!$B$39*HSTECH!$G$39/HSTECH!$B$3,""))</f>
        <v/>
      </c>
      <c r="EU145" s="85">
        <f>IF(CG145="","",IFERROR(CG145*HSTECH!$B$39*HSTECH!$G$39/HSTECH!$B$3,""))</f>
        <v/>
      </c>
      <c r="EV145" s="85">
        <f>IF(CH145="","",IFERROR(CH145*HSTECH!$B$39*HSTECH!$G$39/HSTECH!$B$3,""))</f>
        <v/>
      </c>
      <c r="EW145" s="85">
        <f>IF(CI145="","",IFERROR(CI145*HSTECH!$B$39*HSTECH!$G$39/HSTECH!$B$3,""))</f>
        <v/>
      </c>
      <c r="EX145" s="85">
        <f>IF(CJ145="","",IFERROR(CJ145*HSTECH!$B$39*HSTECH!$G$39/HSTECH!$B$3,""))</f>
        <v/>
      </c>
      <c r="EY145" s="85">
        <f>IF(CK145="","",IFERROR(CK145*HSTECH!$B$39*HSTECH!$G$39/HSTECH!$B$3,""))</f>
        <v/>
      </c>
      <c r="EZ145" s="85">
        <f>IF(CL145="","",IFERROR(CL145*HSTECH!$B$39*HSTECH!$G$39/HSTECH!$B$3,""))</f>
        <v/>
      </c>
      <c r="FA145" s="85">
        <f>IF(CM145="","",IFERROR(CM145*HSTECH!$B$39*HSTECH!$G$39/HSTECH!$B$3,""))</f>
        <v/>
      </c>
      <c r="FB145" s="85">
        <f>IF(CN145="","",IFERROR(CN145*HSTECH!$B$39*HSTECH!$G$39/HSTECH!$B$3,""))</f>
        <v/>
      </c>
      <c r="FC145" s="85">
        <f>IF(CO145="","",IFERROR(CO145*HSTECH!$B$39*HSTECH!$G$39/HSTECH!$B$3,""))</f>
        <v/>
      </c>
      <c r="FD145" s="85">
        <f>IF(CP145="","",IFERROR(CP145*HSTECH!$B$39*HSTECH!$G$39/HSTECH!$B$3,""))</f>
        <v/>
      </c>
      <c r="FE145" s="85">
        <f>IF(CQ145="","",IFERROR(CQ145*HSTECH!$B$39*HSTECH!$G$39/HSTECH!$B$3,""))</f>
        <v/>
      </c>
      <c r="FF145" s="85">
        <f>IF(CR145="","",IFERROR(CR145*HSTECH!$B$39*HSTECH!$G$39/HSTECH!$B$3,""))</f>
        <v/>
      </c>
      <c r="FG145" s="85">
        <f>IF(CS145="","",IFERROR(CS145*HSTECH!$B$39*HSTECH!$G$39/HSTECH!$B$3,""))</f>
        <v/>
      </c>
      <c r="FH145" s="85">
        <f>IF(CT145="","",IFERROR(CT145*HSTECH!$B$39*HSTECH!$G$39/HSTECH!$B$3,""))</f>
        <v/>
      </c>
      <c r="FI145" s="85">
        <f>IF(CU145="","",IFERROR(CU145*HSTECH!$B$39*HSTECH!$G$39/HSTECH!$B$3,""))</f>
        <v/>
      </c>
      <c r="FJ145" s="85">
        <f>IF(CV145="","",IFERROR(CV145*HSTECH!$B$39*HSTECH!$G$39/HSTECH!$B$3,""))</f>
        <v/>
      </c>
      <c r="FK145" s="85">
        <f>IF(CW145="","",IFERROR(CW145*HSTECH!$B$39*HSTECH!$G$39/HSTECH!$B$3,""))</f>
        <v/>
      </c>
      <c r="FL145" s="85">
        <f>IF(CX145="","",IFERROR(CX145*HSTECH!$B$39*HSTECH!$G$39/HSTECH!$B$3,""))</f>
        <v/>
      </c>
      <c r="FM145" s="85">
        <f>IF(CY145="","",IFERROR(CY145*HSTECH!$B$39*HSTECH!$G$39/HSTECH!$B$3,""))</f>
        <v/>
      </c>
      <c r="FN145" s="85">
        <f>IF(CZ145="","",IFERROR(CZ145*HSTECH!$B$39*HSTECH!$G$39/HSTECH!$B$3,""))</f>
        <v/>
      </c>
      <c r="FO145" s="85">
        <f>IF(DA145="","",IFERROR(DA145*HSTECH!$B$39*HSTECH!$G$39/HSTECH!$B$3,""))</f>
        <v/>
      </c>
      <c r="FP145" s="85">
        <f>IF(DB145="","",IFERROR(DB145*HSTECH!$B$39*HSTECH!$G$39/HSTECH!$B$3,""))</f>
        <v/>
      </c>
      <c r="FQ145" s="85">
        <f>IF(DC145="","",IFERROR(DC145*HSTECH!$B$39*HSTECH!$G$39/HSTECH!$B$3,""))</f>
        <v/>
      </c>
      <c r="FR145" s="85">
        <f>IF(DD145="","",IFERROR(DD145*HSTECH!$B$39*HSTECH!$G$39/HSTECH!$B$3,""))</f>
        <v/>
      </c>
      <c r="FS145" s="85">
        <f>IF(DE145="","",IFERROR(DE145*HSTECH!$B$39*HSTECH!$G$39/HSTECH!$B$3,""))</f>
        <v/>
      </c>
      <c r="FT145" s="85">
        <f>IF(DF145="","",IFERROR(DF145*HSTECH!$B$39*HSTECH!$G$39/HSTECH!$B$3,""))</f>
        <v/>
      </c>
      <c r="FU145" s="85">
        <f>IF(DG145="","",IFERROR(DG145*HSTECH!$B$39*HSTECH!$G$39/HSTECH!$B$3,""))</f>
        <v/>
      </c>
      <c r="FV145" s="85">
        <f>IF(DH145="","",IFERROR(DH145*HSTECH!$B$39*HSTECH!$G$39/HSTECH!$B$3,""))</f>
        <v/>
      </c>
      <c r="FW145" s="85">
        <f>IF(DI145="","",IFERROR(DI145*HSTECH!$B$39*HSTECH!$G$39/HSTECH!$B$3,""))</f>
        <v/>
      </c>
      <c r="FX145" s="85">
        <f>IF(DJ145="","",IFERROR(DJ145*HSTECH!$B$39*HSTECH!$G$39/HSTECH!$B$3,""))</f>
        <v/>
      </c>
      <c r="FY145" s="85">
        <f>IF(DK145="","",IFERROR(DK145*HSTECH!$B$39*HSTECH!$G$39/HSTECH!$B$3,""))</f>
        <v/>
      </c>
      <c r="FZ145" s="85">
        <f>IF(DL145="","",IFERROR(DL145*HSTECH!$B$39*HSTECH!$G$39/HSTECH!$B$3,""))</f>
        <v/>
      </c>
      <c r="GA145" s="85">
        <f>IF(DM145="","",IFERROR(DM145*HSTECH!$B$39*HSTECH!$G$39/HSTECH!$B$3,""))</f>
        <v/>
      </c>
      <c r="GB145" s="85">
        <f>IF(DN145="","",IFERROR(DN145*HSTECH!$B$39*HSTECH!$G$39/HSTECH!$B$3,""))</f>
        <v/>
      </c>
      <c r="GC145" s="85">
        <f>IF(DO145="","",IFERROR(DO145*HSTECH!$B$39*HSTECH!$G$39/HSTECH!$B$3,""))</f>
        <v/>
      </c>
      <c r="GD145" s="85">
        <f>IF(DP145="","",IFERROR(DP145*HSTECH!$B$39*HSTECH!$G$39/HSTECH!$B$3,""))</f>
        <v/>
      </c>
      <c r="GE145" s="85">
        <f>IF(DQ145="","",IFERROR(DQ145*HSTECH!$B$39*HSTECH!$G$39/HSTECH!$B$3,""))</f>
        <v/>
      </c>
      <c r="GF145" s="85">
        <f>IF(DR145="","",IFERROR(DR145*HSTECH!$B$39*HSTECH!$G$39/HSTECH!$B$3,""))</f>
        <v/>
      </c>
      <c r="GG145" s="85">
        <f>IF(DS145="","",IFERROR(DS145*HSTECH!$B$39*HSTECH!$G$39/HSTECH!$B$3,""))</f>
        <v/>
      </c>
      <c r="GH145" s="85">
        <f>IF(DT145="","",IFERROR(DT145*HSTECH!$B$39*HSTECH!$G$39/HSTECH!$B$3,""))</f>
        <v/>
      </c>
      <c r="GI145" s="85">
        <f>IF(DU145="","",IFERROR(DU145*HSTECH!$B$39*HSTECH!$G$39/HSTECH!$B$3,""))</f>
        <v/>
      </c>
      <c r="GJ145" s="85">
        <f>IF(DV145="","",IFERROR(DV145*HSTECH!$B$39*HSTECH!$G$39/HSTECH!$B$3,""))</f>
        <v/>
      </c>
      <c r="GK145" s="85">
        <f>IF(DW145="","",IFERROR(DW145*HSTECH!$B$39*HSTECH!$G$39/HSTECH!$B$3,""))</f>
        <v/>
      </c>
      <c r="GL145" s="85">
        <f>IF(DX145="","",IFERROR(DX145*HSTECH!$B$39*HSTECH!$G$39/HSTECH!$B$3,""))</f>
        <v/>
      </c>
      <c r="GM145" s="85">
        <f>IF(DY145="","",IFERROR(DY145*HSTECH!$B$39*HSTECH!$G$39/HSTECH!$B$3,""))</f>
        <v/>
      </c>
      <c r="GN145" s="85">
        <f>IF(DZ145="","",IFERROR(DZ145*HSTECH!$B$39*HSTECH!$G$39/HSTECH!$B$3,""))</f>
        <v/>
      </c>
      <c r="GO145" s="85">
        <f>IF(EA145="","",IFERROR(EA145*HSTECH!$B$39*HSTECH!$G$39/HSTECH!$B$3,""))</f>
        <v/>
      </c>
      <c r="GP145" s="85">
        <f>IF(EB145="","",IFERROR(EB145*HSTECH!$B$39*HSTECH!$G$39/HSTECH!$B$3,""))</f>
        <v/>
      </c>
      <c r="GQ145" s="85">
        <f>IF(EC145="","",IFERROR(EC145*HSTECH!$B$39*HSTECH!$G$39/HSTECH!$B$3,""))</f>
        <v/>
      </c>
    </row>
    <row r="146">
      <c r="B146" s="2">
        <f>IF(HSTECH!$C$40="","",HSTECH!$C$40)</f>
        <v/>
      </c>
      <c r="C146" s="41">
        <f>IF(N('Dvd Calendar'!$E$2010)=0,"",IF(('Dvd Calendar'!$E$2010&gt;=MIN(DATE(Summary!$C$12,1,1),Summary!$C$11))*('Dvd Calendar'!$E$2010&lt;=MAX(DATE(Summary!$C$12,12,31),Summary!$C$15))*('Dvd Calendar'!$E$2010&lt;=Summary!$C$11)=0,"",'Dvd Calendar'!$E$2010*1000000000+ISNUMBER('Dvd Calendar'!$E$2011)*100000000+('Dvd Calendar'!$E$2015='Field Check'!$C$25)*10000000+(N('Dvd Calendar'!$E$2009)&gt;0)*1000000+34*1000+1))</f>
        <v/>
      </c>
      <c r="D146" s="41">
        <f>IF(N('Dvd Calendar'!$F$2010)=0,"",IF(('Dvd Calendar'!$F$2010&gt;=MIN(DATE(Summary!$C$12,1,1),Summary!$C$11))*('Dvd Calendar'!$F$2010&lt;=MAX(DATE(Summary!$C$12,12,31),Summary!$C$15))*('Dvd Calendar'!$F$2010&lt;=Summary!$C$11)=0,"",'Dvd Calendar'!$F$2010*1000000000+ISNUMBER('Dvd Calendar'!$F$2011)*100000000+('Dvd Calendar'!$F$2015='Field Check'!$C$25)*10000000+(N('Dvd Calendar'!$F$2009)&gt;0)*1000000+34*1000+2))</f>
        <v/>
      </c>
      <c r="E146" s="41">
        <f>IF(N('Dvd Calendar'!$G$2010)=0,"",IF(('Dvd Calendar'!$G$2010&gt;=MIN(DATE(Summary!$C$12,1,1),Summary!$C$11))*('Dvd Calendar'!$G$2010&lt;=MAX(DATE(Summary!$C$12,12,31),Summary!$C$15))*('Dvd Calendar'!$G$2010&lt;=Summary!$C$11)=0,"",'Dvd Calendar'!$G$2010*1000000000+ISNUMBER('Dvd Calendar'!$G$2011)*100000000+('Dvd Calendar'!$G$2015='Field Check'!$C$25)*10000000+(N('Dvd Calendar'!$G$2009)&gt;0)*1000000+34*1000+3))</f>
        <v/>
      </c>
      <c r="F146" s="41">
        <f>IF(N('Dvd Calendar'!$H$2010)=0,"",IF(('Dvd Calendar'!$H$2010&gt;=MIN(DATE(Summary!$C$12,1,1),Summary!$C$11))*('Dvd Calendar'!$H$2010&lt;=MAX(DATE(Summary!$C$12,12,31),Summary!$C$15))*('Dvd Calendar'!$H$2010&lt;=Summary!$C$11)=0,"",'Dvd Calendar'!$H$2010*1000000000+ISNUMBER('Dvd Calendar'!$H$2011)*100000000+('Dvd Calendar'!$H$2015='Field Check'!$C$25)*10000000+(N('Dvd Calendar'!$H$2009)&gt;0)*1000000+34*1000+4))</f>
        <v/>
      </c>
      <c r="G146" s="41">
        <f>IF(N('Dvd Calendar'!$I$2010)=0,"",IF(('Dvd Calendar'!$I$2010&gt;=MIN(DATE(Summary!$C$12,1,1),Summary!$C$11))*('Dvd Calendar'!$I$2010&lt;=MAX(DATE(Summary!$C$12,12,31),Summary!$C$15))*('Dvd Calendar'!$I$2010&lt;=Summary!$C$11)=0,"",'Dvd Calendar'!$I$2010*1000000000+ISNUMBER('Dvd Calendar'!$I$2011)*100000000+('Dvd Calendar'!$I$2015='Field Check'!$C$25)*10000000+(N('Dvd Calendar'!$I$2009)&gt;0)*1000000+34*1000+5))</f>
        <v/>
      </c>
      <c r="H146" s="41">
        <f>IF(N('Dvd Calendar'!$J$2010)=0,"",IF(('Dvd Calendar'!$J$2010&gt;=MIN(DATE(Summary!$C$12,1,1),Summary!$C$11))*('Dvd Calendar'!$J$2010&lt;=MAX(DATE(Summary!$C$12,12,31),Summary!$C$15))*('Dvd Calendar'!$J$2010&lt;=Summary!$C$11)=0,"",'Dvd Calendar'!$J$2010*1000000000+ISNUMBER('Dvd Calendar'!$J$2011)*100000000+('Dvd Calendar'!$J$2015='Field Check'!$C$25)*10000000+(N('Dvd Calendar'!$J$2009)&gt;0)*1000000+34*1000+6))</f>
        <v/>
      </c>
      <c r="I146" s="41">
        <f>IF(N('Dvd Calendar'!$K$2010)=0,"",IF(('Dvd Calendar'!$K$2010&gt;=MIN(DATE(Summary!$C$12,1,1),Summary!$C$11))*('Dvd Calendar'!$K$2010&lt;=MAX(DATE(Summary!$C$12,12,31),Summary!$C$15))*('Dvd Calendar'!$K$2010&lt;=Summary!$C$11)=0,"",'Dvd Calendar'!$K$2010*1000000000+ISNUMBER('Dvd Calendar'!$K$2011)*100000000+('Dvd Calendar'!$K$2015='Field Check'!$C$25)*10000000+(N('Dvd Calendar'!$K$2009)&gt;0)*1000000+34*1000+7))</f>
        <v/>
      </c>
      <c r="J146" s="41">
        <f>IF(N('Dvd Calendar'!$L$2010)=0,"",IF(('Dvd Calendar'!$L$2010&gt;=MIN(DATE(Summary!$C$12,1,1),Summary!$C$11))*('Dvd Calendar'!$L$2010&lt;=MAX(DATE(Summary!$C$12,12,31),Summary!$C$15))*('Dvd Calendar'!$L$2010&lt;=Summary!$C$11)=0,"",'Dvd Calendar'!$L$2010*1000000000+ISNUMBER('Dvd Calendar'!$L$2011)*100000000+('Dvd Calendar'!$L$2015='Field Check'!$C$25)*10000000+(N('Dvd Calendar'!$L$2009)&gt;0)*1000000+34*1000+8))</f>
        <v/>
      </c>
      <c r="K146" s="41">
        <f>IF(N('Dvd Calendar'!$M$2010)=0,"",IF(('Dvd Calendar'!$M$2010&gt;=MIN(DATE(Summary!$C$12,1,1),Summary!$C$11))*('Dvd Calendar'!$M$2010&lt;=MAX(DATE(Summary!$C$12,12,31),Summary!$C$15))*('Dvd Calendar'!$M$2010&lt;=Summary!$C$11)=0,"",'Dvd Calendar'!$M$2010*1000000000+ISNUMBER('Dvd Calendar'!$M$2011)*100000000+('Dvd Calendar'!$M$2015='Field Check'!$C$25)*10000000+(N('Dvd Calendar'!$M$2009)&gt;0)*1000000+34*1000+9))</f>
        <v/>
      </c>
      <c r="L146" s="41">
        <f>IF(N('Dvd Calendar'!$N$2010)=0,"",IF(('Dvd Calendar'!$N$2010&gt;=MIN(DATE(Summary!$C$12,1,1),Summary!$C$11))*('Dvd Calendar'!$N$2010&lt;=MAX(DATE(Summary!$C$12,12,31),Summary!$C$15))*('Dvd Calendar'!$N$2010&lt;=Summary!$C$11)=0,"",'Dvd Calendar'!$N$2010*1000000000+ISNUMBER('Dvd Calendar'!$N$2011)*100000000+('Dvd Calendar'!$N$2015='Field Check'!$C$25)*10000000+(N('Dvd Calendar'!$N$2009)&gt;0)*1000000+34*1000+10))</f>
        <v/>
      </c>
      <c r="M146" s="41">
        <f>IF(N('Dvd Calendar'!$O$2010)=0,"",IF(('Dvd Calendar'!$O$2010&gt;=MIN(DATE(Summary!$C$12,1,1),Summary!$C$11))*('Dvd Calendar'!$O$2010&lt;=MAX(DATE(Summary!$C$12,12,31),Summary!$C$15))*('Dvd Calendar'!$O$2010&lt;=Summary!$C$11)=0,"",'Dvd Calendar'!$O$2010*1000000000+ISNUMBER('Dvd Calendar'!$O$2011)*100000000+('Dvd Calendar'!$O$2015='Field Check'!$C$25)*10000000+(N('Dvd Calendar'!$O$2009)&gt;0)*1000000+34*1000+11))</f>
        <v/>
      </c>
      <c r="N146" s="41">
        <f>IF(N('Dvd Calendar'!$P$2010)=0,"",IF(('Dvd Calendar'!$P$2010&gt;=MIN(DATE(Summary!$C$12,1,1),Summary!$C$11))*('Dvd Calendar'!$P$2010&lt;=MAX(DATE(Summary!$C$12,12,31),Summary!$C$15))*('Dvd Calendar'!$P$2010&lt;=Summary!$C$11)=0,"",'Dvd Calendar'!$P$2010*1000000000+ISNUMBER('Dvd Calendar'!$P$2011)*100000000+('Dvd Calendar'!$P$2015='Field Check'!$C$25)*10000000+(N('Dvd Calendar'!$P$2009)&gt;0)*1000000+34*1000+12))</f>
        <v/>
      </c>
      <c r="O146" s="41">
        <f>IF(N('Dvd Calendar'!$Q$2010)=0,"",IF(('Dvd Calendar'!$Q$2010&gt;=MIN(DATE(Summary!$C$12,1,1),Summary!$C$11))*('Dvd Calendar'!$Q$2010&lt;=MAX(DATE(Summary!$C$12,12,31),Summary!$C$15))*('Dvd Calendar'!$Q$2010&lt;=Summary!$C$11)=0,"",'Dvd Calendar'!$Q$2010*1000000000+ISNUMBER('Dvd Calendar'!$Q$2011)*100000000+('Dvd Calendar'!$Q$2015='Field Check'!$C$25)*10000000+(N('Dvd Calendar'!$Q$2009)&gt;0)*1000000+34*1000+13))</f>
        <v/>
      </c>
      <c r="P146" s="41">
        <f>IF(N('Dvd Calendar'!$R$2010)=0,"",IF(('Dvd Calendar'!$R$2010&gt;=MIN(DATE(Summary!$C$12,1,1),Summary!$C$11))*('Dvd Calendar'!$R$2010&lt;=MAX(DATE(Summary!$C$12,12,31),Summary!$C$15))*('Dvd Calendar'!$R$2010&lt;=Summary!$C$11)=0,"",'Dvd Calendar'!$R$2010*1000000000+ISNUMBER('Dvd Calendar'!$R$2011)*100000000+('Dvd Calendar'!$R$2015='Field Check'!$C$25)*10000000+(N('Dvd Calendar'!$R$2009)&gt;0)*1000000+34*1000+14))</f>
        <v/>
      </c>
      <c r="Q146" s="41">
        <f>IF(N('Dvd Calendar'!$S$2010)=0,"",IF(('Dvd Calendar'!$S$2010&gt;=MIN(DATE(Summary!$C$12,1,1),Summary!$C$11))*('Dvd Calendar'!$S$2010&lt;=MAX(DATE(Summary!$C$12,12,31),Summary!$C$15))*('Dvd Calendar'!$S$2010&lt;=Summary!$C$11)=0,"",'Dvd Calendar'!$S$2010*1000000000+ISNUMBER('Dvd Calendar'!$S$2011)*100000000+('Dvd Calendar'!$S$2015='Field Check'!$C$25)*10000000+(N('Dvd Calendar'!$S$2009)&gt;0)*1000000+34*1000+15))</f>
        <v/>
      </c>
      <c r="R146" s="41">
        <f>IF(N('Dvd Calendar'!$T$2010)=0,"",IF(('Dvd Calendar'!$T$2010&gt;=MIN(DATE(Summary!$C$12,1,1),Summary!$C$11))*('Dvd Calendar'!$T$2010&lt;=MAX(DATE(Summary!$C$12,12,31),Summary!$C$15))*('Dvd Calendar'!$T$2010&lt;=Summary!$C$11)=0,"",'Dvd Calendar'!$T$2010*1000000000+ISNUMBER('Dvd Calendar'!$T$2011)*100000000+('Dvd Calendar'!$T$2015='Field Check'!$C$25)*10000000+(N('Dvd Calendar'!$T$2009)&gt;0)*1000000+34*1000+16))</f>
        <v/>
      </c>
      <c r="S146" s="41">
        <f>IF(N('Dvd Calendar'!$U$2010)=0,"",IF(('Dvd Calendar'!$U$2010&gt;=MIN(DATE(Summary!$C$12,1,1),Summary!$C$11))*('Dvd Calendar'!$U$2010&lt;=MAX(DATE(Summary!$C$12,12,31),Summary!$C$15))*('Dvd Calendar'!$U$2010&lt;=Summary!$C$11)=0,"",'Dvd Calendar'!$U$2010*1000000000+ISNUMBER('Dvd Calendar'!$U$2011)*100000000+('Dvd Calendar'!$U$2015='Field Check'!$C$25)*10000000+(N('Dvd Calendar'!$U$2009)&gt;0)*1000000+34*1000+17))</f>
        <v/>
      </c>
      <c r="T146" s="41">
        <f>IF(N('Dvd Calendar'!$V$2010)=0,"",IF(('Dvd Calendar'!$V$2010&gt;=MIN(DATE(Summary!$C$12,1,1),Summary!$C$11))*('Dvd Calendar'!$V$2010&lt;=MAX(DATE(Summary!$C$12,12,31),Summary!$C$15))*('Dvd Calendar'!$V$2010&lt;=Summary!$C$11)=0,"",'Dvd Calendar'!$V$2010*1000000000+ISNUMBER('Dvd Calendar'!$V$2011)*100000000+('Dvd Calendar'!$V$2015='Field Check'!$C$25)*10000000+(N('Dvd Calendar'!$V$2009)&gt;0)*1000000+34*1000+18))</f>
        <v/>
      </c>
      <c r="U146" s="41">
        <f>IF(N('Dvd Calendar'!$W$2010)=0,"",IF(('Dvd Calendar'!$W$2010&gt;=MIN(DATE(Summary!$C$12,1,1),Summary!$C$11))*('Dvd Calendar'!$W$2010&lt;=MAX(DATE(Summary!$C$12,12,31),Summary!$C$15))*('Dvd Calendar'!$W$2010&lt;=Summary!$C$11)=0,"",'Dvd Calendar'!$W$2010*1000000000+ISNUMBER('Dvd Calendar'!$W$2011)*100000000+('Dvd Calendar'!$W$2015='Field Check'!$C$25)*10000000+(N('Dvd Calendar'!$W$2009)&gt;0)*1000000+34*1000+19))</f>
        <v/>
      </c>
      <c r="V146" s="41">
        <f>IF(N('Dvd Calendar'!$X$2010)=0,"",IF(('Dvd Calendar'!$X$2010&gt;=MIN(DATE(Summary!$C$12,1,1),Summary!$C$11))*('Dvd Calendar'!$X$2010&lt;=MAX(DATE(Summary!$C$12,12,31),Summary!$C$15))*('Dvd Calendar'!$X$2010&lt;=Summary!$C$11)=0,"",'Dvd Calendar'!$X$2010*1000000000+ISNUMBER('Dvd Calendar'!$X$2011)*100000000+('Dvd Calendar'!$X$2015='Field Check'!$C$25)*10000000+(N('Dvd Calendar'!$X$2009)&gt;0)*1000000+34*1000+20))</f>
        <v/>
      </c>
      <c r="W146" s="41">
        <f>IF(N('Dvd Calendar'!$Y$2010)=0,"",IF(('Dvd Calendar'!$Y$2010&gt;=MIN(DATE(Summary!$C$12,1,1),Summary!$C$11))*('Dvd Calendar'!$Y$2010&lt;=MAX(DATE(Summary!$C$12,12,31),Summary!$C$15))*('Dvd Calendar'!$Y$2010&lt;=Summary!$C$11)=0,"",'Dvd Calendar'!$Y$2010*1000000000+ISNUMBER('Dvd Calendar'!$Y$2011)*100000000+('Dvd Calendar'!$Y$2015='Field Check'!$C$25)*10000000+(N('Dvd Calendar'!$Y$2009)&gt;0)*1000000+34*1000+21))</f>
        <v/>
      </c>
      <c r="X146" s="41">
        <f>IF(N('Dvd Calendar'!$Z$2010)=0,"",IF(('Dvd Calendar'!$Z$2010&gt;=MIN(DATE(Summary!$C$12,1,1),Summary!$C$11))*('Dvd Calendar'!$Z$2010&lt;=MAX(DATE(Summary!$C$12,12,31),Summary!$C$15))*('Dvd Calendar'!$Z$2010&lt;=Summary!$C$11)=0,"",'Dvd Calendar'!$Z$2010*1000000000+ISNUMBER('Dvd Calendar'!$Z$2011)*100000000+('Dvd Calendar'!$Z$2015='Field Check'!$C$25)*10000000+(N('Dvd Calendar'!$Z$2009)&gt;0)*1000000+34*1000+22))</f>
        <v/>
      </c>
      <c r="Y146" s="41">
        <f>IF(N('Dvd Calendar'!$AA$2010)=0,"",IF(('Dvd Calendar'!$AA$2010&gt;=MIN(DATE(Summary!$C$12,1,1),Summary!$C$11))*('Dvd Calendar'!$AA$2010&lt;=MAX(DATE(Summary!$C$12,12,31),Summary!$C$15))*('Dvd Calendar'!$AA$2010&lt;=Summary!$C$11)=0,"",'Dvd Calendar'!$AA$2010*1000000000+ISNUMBER('Dvd Calendar'!$AA$2011)*100000000+('Dvd Calendar'!$AA$2015='Field Check'!$C$25)*10000000+(N('Dvd Calendar'!$AA$2009)&gt;0)*1000000+34*1000+23))</f>
        <v/>
      </c>
      <c r="Z146" s="41">
        <f>IF(N('Dvd Calendar'!$AB$2010)=0,"",IF(('Dvd Calendar'!$AB$2010&gt;=MIN(DATE(Summary!$C$12,1,1),Summary!$C$11))*('Dvd Calendar'!$AB$2010&lt;=MAX(DATE(Summary!$C$12,12,31),Summary!$C$15))*('Dvd Calendar'!$AB$2010&lt;=Summary!$C$11)=0,"",'Dvd Calendar'!$AB$2010*1000000000+ISNUMBER('Dvd Calendar'!$AB$2011)*100000000+('Dvd Calendar'!$AB$2015='Field Check'!$C$25)*10000000+(N('Dvd Calendar'!$AB$2009)&gt;0)*1000000+34*1000+24))</f>
        <v/>
      </c>
      <c r="AA146" s="41">
        <f>IF(N('Dvd Calendar'!$AC$2010)=0,"",IF(('Dvd Calendar'!$AC$2010&gt;=MIN(DATE(Summary!$C$12,1,1),Summary!$C$11))*('Dvd Calendar'!$AC$2010&lt;=MAX(DATE(Summary!$C$12,12,31),Summary!$C$15))*('Dvd Calendar'!$AC$2010&lt;=Summary!$C$11)=0,"",'Dvd Calendar'!$AC$2010*1000000000+ISNUMBER('Dvd Calendar'!$AC$2011)*100000000+('Dvd Calendar'!$AC$2015='Field Check'!$C$25)*10000000+(N('Dvd Calendar'!$AC$2009)&gt;0)*1000000+34*1000+25))</f>
        <v/>
      </c>
      <c r="AB146" s="41">
        <f>IF(N('Dvd Calendar'!$AD$2010)=0,"",IF(('Dvd Calendar'!$AD$2010&gt;=MIN(DATE(Summary!$C$12,1,1),Summary!$C$11))*('Dvd Calendar'!$AD$2010&lt;=MAX(DATE(Summary!$C$12,12,31),Summary!$C$15))*('Dvd Calendar'!$AD$2010&lt;=Summary!$C$11)=0,"",'Dvd Calendar'!$AD$2010*1000000000+ISNUMBER('Dvd Calendar'!$AD$2011)*100000000+('Dvd Calendar'!$AD$2015='Field Check'!$C$25)*10000000+(N('Dvd Calendar'!$AD$2009)&gt;0)*1000000+34*1000+26))</f>
        <v/>
      </c>
      <c r="AC146" s="41">
        <f>IF(N('Dvd Calendar'!$AE$2010)=0,"",IF(('Dvd Calendar'!$AE$2010&gt;=MIN(DATE(Summary!$C$12,1,1),Summary!$C$11))*('Dvd Calendar'!$AE$2010&lt;=MAX(DATE(Summary!$C$12,12,31),Summary!$C$15))*('Dvd Calendar'!$AE$2010&lt;=Summary!$C$11)=0,"",'Dvd Calendar'!$AE$2010*1000000000+ISNUMBER('Dvd Calendar'!$AE$2011)*100000000+('Dvd Calendar'!$AE$2015='Field Check'!$C$25)*10000000+(N('Dvd Calendar'!$AE$2009)&gt;0)*1000000+34*1000+27))</f>
        <v/>
      </c>
      <c r="AD146" s="41">
        <f>IF(N('Dvd Calendar'!$AF$2010)=0,"",IF(('Dvd Calendar'!$AF$2010&gt;=MIN(DATE(Summary!$C$12,1,1),Summary!$C$11))*('Dvd Calendar'!$AF$2010&lt;=MAX(DATE(Summary!$C$12,12,31),Summary!$C$15))*('Dvd Calendar'!$AF$2010&lt;=Summary!$C$11)=0,"",'Dvd Calendar'!$AF$2010*1000000000+ISNUMBER('Dvd Calendar'!$AF$2011)*100000000+('Dvd Calendar'!$AF$2015='Field Check'!$C$25)*10000000+(N('Dvd Calendar'!$AF$2009)&gt;0)*1000000+34*1000+28))</f>
        <v/>
      </c>
      <c r="AE146" s="41">
        <f>IF(N('Dvd Calendar'!$AG$2010)=0,"",IF(('Dvd Calendar'!$AG$2010&gt;=MIN(DATE(Summary!$C$12,1,1),Summary!$C$11))*('Dvd Calendar'!$AG$2010&lt;=MAX(DATE(Summary!$C$12,12,31),Summary!$C$15))*('Dvd Calendar'!$AG$2010&lt;=Summary!$C$11)=0,"",'Dvd Calendar'!$AG$2010*1000000000+ISNUMBER('Dvd Calendar'!$AG$2011)*100000000+('Dvd Calendar'!$AG$2015='Field Check'!$C$25)*10000000+(N('Dvd Calendar'!$AG$2009)&gt;0)*1000000+34*1000+29))</f>
        <v/>
      </c>
      <c r="AF146" s="41">
        <f>IF(N('Dvd Calendar'!$AH$2010)=0,"",IF(('Dvd Calendar'!$AH$2010&gt;=MIN(DATE(Summary!$C$12,1,1),Summary!$C$11))*('Dvd Calendar'!$AH$2010&lt;=MAX(DATE(Summary!$C$12,12,31),Summary!$C$15))*('Dvd Calendar'!$AH$2010&lt;=Summary!$C$11)=0,"",'Dvd Calendar'!$AH$2010*1000000000+ISNUMBER('Dvd Calendar'!$AH$2011)*100000000+('Dvd Calendar'!$AH$2015='Field Check'!$C$25)*10000000+(N('Dvd Calendar'!$AH$2009)&gt;0)*1000000+34*1000+30))</f>
        <v/>
      </c>
      <c r="AG146" s="41">
        <f>IF(N('Dvd Calendar'!$AI$2010)=0,"",IF(('Dvd Calendar'!$AI$2010&gt;=MIN(DATE(Summary!$C$12,1,1),Summary!$C$11))*('Dvd Calendar'!$AI$2010&lt;=MAX(DATE(Summary!$C$12,12,31),Summary!$C$15))*('Dvd Calendar'!$AI$2010&lt;=Summary!$C$11)=0,"",'Dvd Calendar'!$AI$2010*1000000000+ISNUMBER('Dvd Calendar'!$AI$2011)*100000000+('Dvd Calendar'!$AI$2015='Field Check'!$C$25)*10000000+(N('Dvd Calendar'!$AI$2009)&gt;0)*1000000+34*1000+31))</f>
        <v/>
      </c>
      <c r="AH146" s="41">
        <f>IF(N('Dvd Calendar'!$AJ$2010)=0,"",IF(('Dvd Calendar'!$AJ$2010&gt;=MIN(DATE(Summary!$C$12,1,1),Summary!$C$11))*('Dvd Calendar'!$AJ$2010&lt;=MAX(DATE(Summary!$C$12,12,31),Summary!$C$15))*('Dvd Calendar'!$AJ$2010&lt;=Summary!$C$11)=0,"",'Dvd Calendar'!$AJ$2010*1000000000+ISNUMBER('Dvd Calendar'!$AJ$2011)*100000000+('Dvd Calendar'!$AJ$2015='Field Check'!$C$25)*10000000+(N('Dvd Calendar'!$AJ$2009)&gt;0)*1000000+34*1000+32))</f>
        <v/>
      </c>
      <c r="AI146" s="41">
        <f>IF(N('Dvd Calendar'!$AK$2010)=0,"",IF(('Dvd Calendar'!$AK$2010&gt;=MIN(DATE(Summary!$C$12,1,1),Summary!$C$11))*('Dvd Calendar'!$AK$2010&lt;=MAX(DATE(Summary!$C$12,12,31),Summary!$C$15))*('Dvd Calendar'!$AK$2010&lt;=Summary!$C$11)=0,"",'Dvd Calendar'!$AK$2010*1000000000+ISNUMBER('Dvd Calendar'!$AK$2011)*100000000+('Dvd Calendar'!$AK$2015='Field Check'!$C$25)*10000000+(N('Dvd Calendar'!$AK$2009)&gt;0)*1000000+34*1000+33))</f>
        <v/>
      </c>
      <c r="AJ146" s="41">
        <f>IF(N('Dvd Calendar'!$AL$2010)=0,"",IF(('Dvd Calendar'!$AL$2010&gt;=MIN(DATE(Summary!$C$12,1,1),Summary!$C$11))*('Dvd Calendar'!$AL$2010&lt;=MAX(DATE(Summary!$C$12,12,31),Summary!$C$15))*('Dvd Calendar'!$AL$2010&lt;=Summary!$C$11)=0,"",'Dvd Calendar'!$AL$2010*1000000000+ISNUMBER('Dvd Calendar'!$AL$2011)*100000000+('Dvd Calendar'!$AL$2015='Field Check'!$C$25)*10000000+(N('Dvd Calendar'!$AL$2009)&gt;0)*1000000+34*1000+34))</f>
        <v/>
      </c>
      <c r="AK146" s="41">
        <f>IF(N('Dvd Calendar'!$AM$2010)=0,"",IF(('Dvd Calendar'!$AM$2010&gt;=MIN(DATE(Summary!$C$12,1,1),Summary!$C$11))*('Dvd Calendar'!$AM$2010&lt;=MAX(DATE(Summary!$C$12,12,31),Summary!$C$15))*('Dvd Calendar'!$AM$2010&lt;=Summary!$C$11)=0,"",'Dvd Calendar'!$AM$2010*1000000000+ISNUMBER('Dvd Calendar'!$AM$2011)*100000000+('Dvd Calendar'!$AM$2015='Field Check'!$C$25)*10000000+(N('Dvd Calendar'!$AM$2009)&gt;0)*1000000+34*1000+35))</f>
        <v/>
      </c>
      <c r="AL146" s="41">
        <f>IF(N('Dvd Calendar'!$AN$2010)=0,"",IF(('Dvd Calendar'!$AN$2010&gt;=MIN(DATE(Summary!$C$12,1,1),Summary!$C$11))*('Dvd Calendar'!$AN$2010&lt;=MAX(DATE(Summary!$C$12,12,31),Summary!$C$15))*('Dvd Calendar'!$AN$2010&lt;=Summary!$C$11)=0,"",'Dvd Calendar'!$AN$2010*1000000000+ISNUMBER('Dvd Calendar'!$AN$2011)*100000000+('Dvd Calendar'!$AN$2015='Field Check'!$C$25)*10000000+(N('Dvd Calendar'!$AN$2009)&gt;0)*1000000+34*1000+36))</f>
        <v/>
      </c>
      <c r="AM146" s="41">
        <f>IF(N('Dvd Calendar'!$AO$2010)=0,"",IF(('Dvd Calendar'!$AO$2010&gt;=MIN(DATE(Summary!$C$12,1,1),Summary!$C$11))*('Dvd Calendar'!$AO$2010&lt;=MAX(DATE(Summary!$C$12,12,31),Summary!$C$15))*('Dvd Calendar'!$AO$2010&lt;=Summary!$C$11)=0,"",'Dvd Calendar'!$AO$2010*1000000000+ISNUMBER('Dvd Calendar'!$AO$2011)*100000000+('Dvd Calendar'!$AO$2015='Field Check'!$C$25)*10000000+(N('Dvd Calendar'!$AO$2009)&gt;0)*1000000+34*1000+37))</f>
        <v/>
      </c>
      <c r="AN146" s="41">
        <f>IF(N('Dvd Calendar'!$AP$2010)=0,"",IF(('Dvd Calendar'!$AP$2010&gt;=MIN(DATE(Summary!$C$12,1,1),Summary!$C$11))*('Dvd Calendar'!$AP$2010&lt;=MAX(DATE(Summary!$C$12,12,31),Summary!$C$15))*('Dvd Calendar'!$AP$2010&lt;=Summary!$C$11)=0,"",'Dvd Calendar'!$AP$2010*1000000000+ISNUMBER('Dvd Calendar'!$AP$2011)*100000000+('Dvd Calendar'!$AP$2015='Field Check'!$C$25)*10000000+(N('Dvd Calendar'!$AP$2009)&gt;0)*1000000+34*1000+38))</f>
        <v/>
      </c>
      <c r="AO146" s="41">
        <f>IF(N('Dvd Calendar'!$AQ$2010)=0,"",IF(('Dvd Calendar'!$AQ$2010&gt;=MIN(DATE(Summary!$C$12,1,1),Summary!$C$11))*('Dvd Calendar'!$AQ$2010&lt;=MAX(DATE(Summary!$C$12,12,31),Summary!$C$15))*('Dvd Calendar'!$AQ$2010&lt;=Summary!$C$11)=0,"",'Dvd Calendar'!$AQ$2010*1000000000+ISNUMBER('Dvd Calendar'!$AQ$2011)*100000000+('Dvd Calendar'!$AQ$2015='Field Check'!$C$25)*10000000+(N('Dvd Calendar'!$AQ$2009)&gt;0)*1000000+34*1000+39))</f>
        <v/>
      </c>
      <c r="AP146" s="41">
        <f>IF(N('Dvd Calendar'!$AR$2010)=0,"",IF(('Dvd Calendar'!$AR$2010&gt;=MIN(DATE(Summary!$C$12,1,1),Summary!$C$11))*('Dvd Calendar'!$AR$2010&lt;=MAX(DATE(Summary!$C$12,12,31),Summary!$C$15))*('Dvd Calendar'!$AR$2010&lt;=Summary!$C$11)=0,"",'Dvd Calendar'!$AR$2010*1000000000+ISNUMBER('Dvd Calendar'!$AR$2011)*100000000+('Dvd Calendar'!$AR$2015='Field Check'!$C$25)*10000000+(N('Dvd Calendar'!$AR$2009)&gt;0)*1000000+34*1000+40))</f>
        <v/>
      </c>
      <c r="AQ146" s="41">
        <f>IF(N('Dvd Calendar'!$E$2017)=0,"",IF(('Dvd Calendar'!$E$2017&gt;=MIN(DATE(Summary!$C$12,1,1),Summary!$C$11))*('Dvd Calendar'!$E$2017&lt;=MAX(DATE(Summary!$C$12,12,31),Summary!$C$15))*('Dvd Calendar'!$E$2017&gt;Summary!$C$11)=0,"",'Dvd Calendar'!$E$2017*1000000000+ISNUMBER('Dvd Calendar'!$E$2018)*100000000+('Dvd Calendar'!$E$2022='Field Check'!$C$25)*10000000+(N('Dvd Calendar'!$E$2016)&gt;0)*1000000+34*1000+41))</f>
        <v/>
      </c>
      <c r="AR146" s="41">
        <f>IF(N('Dvd Calendar'!$F$2017)=0,"",IF(('Dvd Calendar'!$F$2017&gt;=MIN(DATE(Summary!$C$12,1,1),Summary!$C$11))*('Dvd Calendar'!$F$2017&lt;=MAX(DATE(Summary!$C$12,12,31),Summary!$C$15))*('Dvd Calendar'!$F$2017&gt;Summary!$C$11)=0,"",'Dvd Calendar'!$F$2017*1000000000+ISNUMBER('Dvd Calendar'!$F$2018)*100000000+('Dvd Calendar'!$F$2022='Field Check'!$C$25)*10000000+(N('Dvd Calendar'!$F$2016)&gt;0)*1000000+34*1000+42))</f>
        <v/>
      </c>
      <c r="AS146" s="41">
        <f>IF(N('Dvd Calendar'!$G$2017)=0,"",IF(('Dvd Calendar'!$G$2017&gt;=MIN(DATE(Summary!$C$12,1,1),Summary!$C$11))*('Dvd Calendar'!$G$2017&lt;=MAX(DATE(Summary!$C$12,12,31),Summary!$C$15))*('Dvd Calendar'!$G$2017&gt;Summary!$C$11)=0,"",'Dvd Calendar'!$G$2017*1000000000+ISNUMBER('Dvd Calendar'!$G$2018)*100000000+('Dvd Calendar'!$G$2022='Field Check'!$C$25)*10000000+(N('Dvd Calendar'!$G$2016)&gt;0)*1000000+34*1000+43))</f>
        <v/>
      </c>
      <c r="AT146" s="41">
        <f>IF(N('Dvd Calendar'!$H$2017)=0,"",IF(('Dvd Calendar'!$H$2017&gt;=MIN(DATE(Summary!$C$12,1,1),Summary!$C$11))*('Dvd Calendar'!$H$2017&lt;=MAX(DATE(Summary!$C$12,12,31),Summary!$C$15))*('Dvd Calendar'!$H$2017&gt;Summary!$C$11)=0,"",'Dvd Calendar'!$H$2017*1000000000+ISNUMBER('Dvd Calendar'!$H$2018)*100000000+('Dvd Calendar'!$H$2022='Field Check'!$C$25)*10000000+(N('Dvd Calendar'!$H$2016)&gt;0)*1000000+34*1000+44))</f>
        <v/>
      </c>
      <c r="AU146" s="41">
        <f>IF(N('Dvd Calendar'!$I$2017)=0,"",IF(('Dvd Calendar'!$I$2017&gt;=MIN(DATE(Summary!$C$12,1,1),Summary!$C$11))*('Dvd Calendar'!$I$2017&lt;=MAX(DATE(Summary!$C$12,12,31),Summary!$C$15))*('Dvd Calendar'!$I$2017&gt;Summary!$C$11)=0,"",'Dvd Calendar'!$I$2017*1000000000+ISNUMBER('Dvd Calendar'!$I$2018)*100000000+('Dvd Calendar'!$I$2022='Field Check'!$C$25)*10000000+(N('Dvd Calendar'!$I$2016)&gt;0)*1000000+34*1000+45))</f>
        <v/>
      </c>
      <c r="AV146" s="41">
        <f>IF(N('Dvd Calendar'!$J$2017)=0,"",IF(('Dvd Calendar'!$J$2017&gt;=MIN(DATE(Summary!$C$12,1,1),Summary!$C$11))*('Dvd Calendar'!$J$2017&lt;=MAX(DATE(Summary!$C$12,12,31),Summary!$C$15))*('Dvd Calendar'!$J$2017&gt;Summary!$C$11)=0,"",'Dvd Calendar'!$J$2017*1000000000+ISNUMBER('Dvd Calendar'!$J$2018)*100000000+('Dvd Calendar'!$J$2022='Field Check'!$C$25)*10000000+(N('Dvd Calendar'!$J$2016)&gt;0)*1000000+34*1000+46))</f>
        <v/>
      </c>
      <c r="AW146" s="41">
        <f>IF(N('Dvd Calendar'!$K$2017)=0,"",IF(('Dvd Calendar'!$K$2017&gt;=MIN(DATE(Summary!$C$12,1,1),Summary!$C$11))*('Dvd Calendar'!$K$2017&lt;=MAX(DATE(Summary!$C$12,12,31),Summary!$C$15))*('Dvd Calendar'!$K$2017&gt;Summary!$C$11)=0,"",'Dvd Calendar'!$K$2017*1000000000+ISNUMBER('Dvd Calendar'!$K$2018)*100000000+('Dvd Calendar'!$K$2022='Field Check'!$C$25)*10000000+(N('Dvd Calendar'!$K$2016)&gt;0)*1000000+34*1000+47))</f>
        <v/>
      </c>
      <c r="AX146" s="41">
        <f>IF(N('Dvd Calendar'!$L$2017)=0,"",IF(('Dvd Calendar'!$L$2017&gt;=MIN(DATE(Summary!$C$12,1,1),Summary!$C$11))*('Dvd Calendar'!$L$2017&lt;=MAX(DATE(Summary!$C$12,12,31),Summary!$C$15))*('Dvd Calendar'!$L$2017&gt;Summary!$C$11)=0,"",'Dvd Calendar'!$L$2017*1000000000+ISNUMBER('Dvd Calendar'!$L$2018)*100000000+('Dvd Calendar'!$L$2022='Field Check'!$C$25)*10000000+(N('Dvd Calendar'!$L$2016)&gt;0)*1000000+34*1000+48))</f>
        <v/>
      </c>
      <c r="AY146" s="41">
        <f>IF(N('Dvd Calendar'!$M$2017)=0,"",IF(('Dvd Calendar'!$M$2017&gt;=MIN(DATE(Summary!$C$12,1,1),Summary!$C$11))*('Dvd Calendar'!$M$2017&lt;=MAX(DATE(Summary!$C$12,12,31),Summary!$C$15))*('Dvd Calendar'!$M$2017&gt;Summary!$C$11)=0,"",'Dvd Calendar'!$M$2017*1000000000+ISNUMBER('Dvd Calendar'!$M$2018)*100000000+('Dvd Calendar'!$M$2022='Field Check'!$C$25)*10000000+(N('Dvd Calendar'!$M$2016)&gt;0)*1000000+34*1000+49))</f>
        <v/>
      </c>
      <c r="AZ146" s="41">
        <f>IF(N('Dvd Calendar'!$N$2017)=0,"",IF(('Dvd Calendar'!$N$2017&gt;=MIN(DATE(Summary!$C$12,1,1),Summary!$C$11))*('Dvd Calendar'!$N$2017&lt;=MAX(DATE(Summary!$C$12,12,31),Summary!$C$15))*('Dvd Calendar'!$N$2017&gt;Summary!$C$11)=0,"",'Dvd Calendar'!$N$2017*1000000000+ISNUMBER('Dvd Calendar'!$N$2018)*100000000+('Dvd Calendar'!$N$2022='Field Check'!$C$25)*10000000+(N('Dvd Calendar'!$N$2016)&gt;0)*1000000+34*1000+50))</f>
        <v/>
      </c>
      <c r="BA146" s="41">
        <f>IF(N('Dvd Calendar'!$O$2017)=0,"",IF(('Dvd Calendar'!$O$2017&gt;=MIN(DATE(Summary!$C$12,1,1),Summary!$C$11))*('Dvd Calendar'!$O$2017&lt;=MAX(DATE(Summary!$C$12,12,31),Summary!$C$15))*('Dvd Calendar'!$O$2017&gt;Summary!$C$11)=0,"",'Dvd Calendar'!$O$2017*1000000000+ISNUMBER('Dvd Calendar'!$O$2018)*100000000+('Dvd Calendar'!$O$2022='Field Check'!$C$25)*10000000+(N('Dvd Calendar'!$O$2016)&gt;0)*1000000+34*1000+51))</f>
        <v/>
      </c>
      <c r="BB146" s="41">
        <f>IF(N('Dvd Calendar'!$P$2017)=0,"",IF(('Dvd Calendar'!$P$2017&gt;=MIN(DATE(Summary!$C$12,1,1),Summary!$C$11))*('Dvd Calendar'!$P$2017&lt;=MAX(DATE(Summary!$C$12,12,31),Summary!$C$15))*('Dvd Calendar'!$P$2017&gt;Summary!$C$11)=0,"",'Dvd Calendar'!$P$2017*1000000000+ISNUMBER('Dvd Calendar'!$P$2018)*100000000+('Dvd Calendar'!$P$2022='Field Check'!$C$25)*10000000+(N('Dvd Calendar'!$P$2016)&gt;0)*1000000+34*1000+52))</f>
        <v/>
      </c>
      <c r="BC146" s="41">
        <f>IF(N('Dvd Calendar'!$Q$2017)=0,"",IF(('Dvd Calendar'!$Q$2017&gt;=MIN(DATE(Summary!$C$12,1,1),Summary!$C$11))*('Dvd Calendar'!$Q$2017&lt;=MAX(DATE(Summary!$C$12,12,31),Summary!$C$15))*('Dvd Calendar'!$Q$2017&gt;Summary!$C$11)=0,"",'Dvd Calendar'!$Q$2017*1000000000+ISNUMBER('Dvd Calendar'!$Q$2018)*100000000+('Dvd Calendar'!$Q$2022='Field Check'!$C$25)*10000000+(N('Dvd Calendar'!$Q$2016)&gt;0)*1000000+34*1000+53))</f>
        <v/>
      </c>
      <c r="BD146" s="41">
        <f>IF(N('Dvd Calendar'!$R$2017)=0,"",IF(('Dvd Calendar'!$R$2017&gt;=MIN(DATE(Summary!$C$12,1,1),Summary!$C$11))*('Dvd Calendar'!$R$2017&lt;=MAX(DATE(Summary!$C$12,12,31),Summary!$C$15))*('Dvd Calendar'!$R$2017&gt;Summary!$C$11)=0,"",'Dvd Calendar'!$R$2017*1000000000+ISNUMBER('Dvd Calendar'!$R$2018)*100000000+('Dvd Calendar'!$R$2022='Field Check'!$C$25)*10000000+(N('Dvd Calendar'!$R$2016)&gt;0)*1000000+34*1000+54))</f>
        <v/>
      </c>
      <c r="BE146" s="41">
        <f>IF(N('Dvd Calendar'!$S$2017)=0,"",IF(('Dvd Calendar'!$S$2017&gt;=MIN(DATE(Summary!$C$12,1,1),Summary!$C$11))*('Dvd Calendar'!$S$2017&lt;=MAX(DATE(Summary!$C$12,12,31),Summary!$C$15))*('Dvd Calendar'!$S$2017&gt;Summary!$C$11)=0,"",'Dvd Calendar'!$S$2017*1000000000+ISNUMBER('Dvd Calendar'!$S$2018)*100000000+('Dvd Calendar'!$S$2022='Field Check'!$C$25)*10000000+(N('Dvd Calendar'!$S$2016)&gt;0)*1000000+34*1000+55))</f>
        <v/>
      </c>
      <c r="BF146" s="41">
        <f>IF(N('Dvd Calendar'!$T$2017)=0,"",IF(('Dvd Calendar'!$T$2017&gt;=MIN(DATE(Summary!$C$12,1,1),Summary!$C$11))*('Dvd Calendar'!$T$2017&lt;=MAX(DATE(Summary!$C$12,12,31),Summary!$C$15))*('Dvd Calendar'!$T$2017&gt;Summary!$C$11)=0,"",'Dvd Calendar'!$T$2017*1000000000+ISNUMBER('Dvd Calendar'!$T$2018)*100000000+('Dvd Calendar'!$T$2022='Field Check'!$C$25)*10000000+(N('Dvd Calendar'!$T$2016)&gt;0)*1000000+34*1000+56))</f>
        <v/>
      </c>
      <c r="BG146" s="41">
        <f>IF(N('Dvd Calendar'!$U$2017)=0,"",IF(('Dvd Calendar'!$U$2017&gt;=MIN(DATE(Summary!$C$12,1,1),Summary!$C$11))*('Dvd Calendar'!$U$2017&lt;=MAX(DATE(Summary!$C$12,12,31),Summary!$C$15))*('Dvd Calendar'!$U$2017&gt;Summary!$C$11)=0,"",'Dvd Calendar'!$U$2017*1000000000+ISNUMBER('Dvd Calendar'!$U$2018)*100000000+('Dvd Calendar'!$U$2022='Field Check'!$C$25)*10000000+(N('Dvd Calendar'!$U$2016)&gt;0)*1000000+34*1000+57))</f>
        <v/>
      </c>
      <c r="BH146" s="41">
        <f>IF(N('Dvd Calendar'!$V$2017)=0,"",IF(('Dvd Calendar'!$V$2017&gt;=MIN(DATE(Summary!$C$12,1,1),Summary!$C$11))*('Dvd Calendar'!$V$2017&lt;=MAX(DATE(Summary!$C$12,12,31),Summary!$C$15))*('Dvd Calendar'!$V$2017&gt;Summary!$C$11)=0,"",'Dvd Calendar'!$V$2017*1000000000+ISNUMBER('Dvd Calendar'!$V$2018)*100000000+('Dvd Calendar'!$V$2022='Field Check'!$C$25)*10000000+(N('Dvd Calendar'!$V$2016)&gt;0)*1000000+34*1000+58))</f>
        <v/>
      </c>
      <c r="BI146" s="41">
        <f>IF(N('Dvd Calendar'!$W$2017)=0,"",IF(('Dvd Calendar'!$W$2017&gt;=MIN(DATE(Summary!$C$12,1,1),Summary!$C$11))*('Dvd Calendar'!$W$2017&lt;=MAX(DATE(Summary!$C$12,12,31),Summary!$C$15))*('Dvd Calendar'!$W$2017&gt;Summary!$C$11)=0,"",'Dvd Calendar'!$W$2017*1000000000+ISNUMBER('Dvd Calendar'!$W$2018)*100000000+('Dvd Calendar'!$W$2022='Field Check'!$C$25)*10000000+(N('Dvd Calendar'!$W$2016)&gt;0)*1000000+34*1000+59))</f>
        <v/>
      </c>
      <c r="BJ146" s="41">
        <f>IF(N('Dvd Calendar'!$X$2017)=0,"",IF(('Dvd Calendar'!$X$2017&gt;=MIN(DATE(Summary!$C$12,1,1),Summary!$C$11))*('Dvd Calendar'!$X$2017&lt;=MAX(DATE(Summary!$C$12,12,31),Summary!$C$15))*('Dvd Calendar'!$X$2017&gt;Summary!$C$11)=0,"",'Dvd Calendar'!$X$2017*1000000000+ISNUMBER('Dvd Calendar'!$X$2018)*100000000+('Dvd Calendar'!$X$2022='Field Check'!$C$25)*10000000+(N('Dvd Calendar'!$X$2016)&gt;0)*1000000+34*1000+60))</f>
        <v/>
      </c>
      <c r="BK146" s="41">
        <f>IF(N('Dvd Calendar'!$Y$2017)=0,"",IF(('Dvd Calendar'!$Y$2017&gt;=MIN(DATE(Summary!$C$12,1,1),Summary!$C$11))*('Dvd Calendar'!$Y$2017&lt;=MAX(DATE(Summary!$C$12,12,31),Summary!$C$15))*('Dvd Calendar'!$Y$2017&gt;Summary!$C$11)=0,"",'Dvd Calendar'!$Y$2017*1000000000+ISNUMBER('Dvd Calendar'!$Y$2018)*100000000+('Dvd Calendar'!$Y$2022='Field Check'!$C$25)*10000000+(N('Dvd Calendar'!$Y$2016)&gt;0)*1000000+34*1000+61))</f>
        <v/>
      </c>
      <c r="BL146" s="41">
        <f>IF(N('Dvd Calendar'!$Z$2017)=0,"",IF(('Dvd Calendar'!$Z$2017&gt;=MIN(DATE(Summary!$C$12,1,1),Summary!$C$11))*('Dvd Calendar'!$Z$2017&lt;=MAX(DATE(Summary!$C$12,12,31),Summary!$C$15))*('Dvd Calendar'!$Z$2017&gt;Summary!$C$11)=0,"",'Dvd Calendar'!$Z$2017*1000000000+ISNUMBER('Dvd Calendar'!$Z$2018)*100000000+('Dvd Calendar'!$Z$2022='Field Check'!$C$25)*10000000+(N('Dvd Calendar'!$Z$2016)&gt;0)*1000000+34*1000+62))</f>
        <v/>
      </c>
      <c r="BM146" s="41">
        <f>IF(N('Dvd Calendar'!$AA$2017)=0,"",IF(('Dvd Calendar'!$AA$2017&gt;=MIN(DATE(Summary!$C$12,1,1),Summary!$C$11))*('Dvd Calendar'!$AA$2017&lt;=MAX(DATE(Summary!$C$12,12,31),Summary!$C$15))*('Dvd Calendar'!$AA$2017&gt;Summary!$C$11)=0,"",'Dvd Calendar'!$AA$2017*1000000000+ISNUMBER('Dvd Calendar'!$AA$2018)*100000000+('Dvd Calendar'!$AA$2022='Field Check'!$C$25)*10000000+(N('Dvd Calendar'!$AA$2016)&gt;0)*1000000+34*1000+63))</f>
        <v/>
      </c>
      <c r="BN146" s="41">
        <f>IF(N('Dvd Calendar'!$AB$2017)=0,"",IF(('Dvd Calendar'!$AB$2017&gt;=MIN(DATE(Summary!$C$12,1,1),Summary!$C$11))*('Dvd Calendar'!$AB$2017&lt;=MAX(DATE(Summary!$C$12,12,31),Summary!$C$15))*('Dvd Calendar'!$AB$2017&gt;Summary!$C$11)=0,"",'Dvd Calendar'!$AB$2017*1000000000+ISNUMBER('Dvd Calendar'!$AB$2018)*100000000+('Dvd Calendar'!$AB$2022='Field Check'!$C$25)*10000000+(N('Dvd Calendar'!$AB$2016)&gt;0)*1000000+34*1000+64))</f>
        <v/>
      </c>
      <c r="BO146" s="41">
        <f>IF(N('Dvd Calendar'!$AC$2017)=0,"",IF(('Dvd Calendar'!$AC$2017&gt;=MIN(DATE(Summary!$C$12,1,1),Summary!$C$11))*('Dvd Calendar'!$AC$2017&lt;=MAX(DATE(Summary!$C$12,12,31),Summary!$C$15))*('Dvd Calendar'!$AC$2017&gt;Summary!$C$11)=0,"",'Dvd Calendar'!$AC$2017*1000000000+ISNUMBER('Dvd Calendar'!$AC$2018)*100000000+('Dvd Calendar'!$AC$2022='Field Check'!$C$25)*10000000+(N('Dvd Calendar'!$AC$2016)&gt;0)*1000000+34*1000+65))</f>
        <v/>
      </c>
      <c r="BQ146" s="85">
        <f>IF(C146="","",IF(ISNUMBER('Dvd Calendar'!$E$2011)=FALSE,"",IF((Summary!$C$13="N")*('Dvd Calendar'!$E$2015='Field Check'!$C$25)&gt;0,"",'Dvd Calendar'!$E$2011)))</f>
        <v/>
      </c>
      <c r="BR146" s="85">
        <f>IF(D146="","",IF(ISNUMBER('Dvd Calendar'!$F$2011)=FALSE,"",IF((Summary!$C$13="N")*('Dvd Calendar'!$F$2015='Field Check'!$C$25)&gt;0,"",'Dvd Calendar'!$F$2011)))</f>
        <v/>
      </c>
      <c r="BS146" s="85">
        <f>IF(E146="","",IF(ISNUMBER('Dvd Calendar'!$G$2011)=FALSE,"",IF((Summary!$C$13="N")*('Dvd Calendar'!$G$2015='Field Check'!$C$25)&gt;0,"",'Dvd Calendar'!$G$2011)))</f>
        <v/>
      </c>
      <c r="BT146" s="85">
        <f>IF(F146="","",IF(ISNUMBER('Dvd Calendar'!$H$2011)=FALSE,"",IF((Summary!$C$13="N")*('Dvd Calendar'!$H$2015='Field Check'!$C$25)&gt;0,"",'Dvd Calendar'!$H$2011)))</f>
        <v/>
      </c>
      <c r="BU146" s="85">
        <f>IF(G146="","",IF(ISNUMBER('Dvd Calendar'!$I$2011)=FALSE,"",IF((Summary!$C$13="N")*('Dvd Calendar'!$I$2015='Field Check'!$C$25)&gt;0,"",'Dvd Calendar'!$I$2011)))</f>
        <v/>
      </c>
      <c r="BV146" s="85">
        <f>IF(H146="","",IF(ISNUMBER('Dvd Calendar'!$J$2011)=FALSE,"",IF((Summary!$C$13="N")*('Dvd Calendar'!$J$2015='Field Check'!$C$25)&gt;0,"",'Dvd Calendar'!$J$2011)))</f>
        <v/>
      </c>
      <c r="BW146" s="85">
        <f>IF(I146="","",IF(ISNUMBER('Dvd Calendar'!$K$2011)=FALSE,"",IF((Summary!$C$13="N")*('Dvd Calendar'!$K$2015='Field Check'!$C$25)&gt;0,"",'Dvd Calendar'!$K$2011)))</f>
        <v/>
      </c>
      <c r="BX146" s="85">
        <f>IF(J146="","",IF(ISNUMBER('Dvd Calendar'!$L$2011)=FALSE,"",IF((Summary!$C$13="N")*('Dvd Calendar'!$L$2015='Field Check'!$C$25)&gt;0,"",'Dvd Calendar'!$L$2011)))</f>
        <v/>
      </c>
      <c r="BY146" s="85">
        <f>IF(K146="","",IF(ISNUMBER('Dvd Calendar'!$M$2011)=FALSE,"",IF((Summary!$C$13="N")*('Dvd Calendar'!$M$2015='Field Check'!$C$25)&gt;0,"",'Dvd Calendar'!$M$2011)))</f>
        <v/>
      </c>
      <c r="BZ146" s="85">
        <f>IF(L146="","",IF(ISNUMBER('Dvd Calendar'!$N$2011)=FALSE,"",IF((Summary!$C$13="N")*('Dvd Calendar'!$N$2015='Field Check'!$C$25)&gt;0,"",'Dvd Calendar'!$N$2011)))</f>
        <v/>
      </c>
      <c r="CA146" s="85">
        <f>IF(M146="","",IF(ISNUMBER('Dvd Calendar'!$O$2011)=FALSE,"",IF((Summary!$C$13="N")*('Dvd Calendar'!$O$2015='Field Check'!$C$25)&gt;0,"",'Dvd Calendar'!$O$2011)))</f>
        <v/>
      </c>
      <c r="CB146" s="85">
        <f>IF(N146="","",IF(ISNUMBER('Dvd Calendar'!$P$2011)=FALSE,"",IF((Summary!$C$13="N")*('Dvd Calendar'!$P$2015='Field Check'!$C$25)&gt;0,"",'Dvd Calendar'!$P$2011)))</f>
        <v/>
      </c>
      <c r="CC146" s="85">
        <f>IF(O146="","",IF(ISNUMBER('Dvd Calendar'!$Q$2011)=FALSE,"",IF((Summary!$C$13="N")*('Dvd Calendar'!$Q$2015='Field Check'!$C$25)&gt;0,"",'Dvd Calendar'!$Q$2011)))</f>
        <v/>
      </c>
      <c r="CD146" s="85">
        <f>IF(P146="","",IF(ISNUMBER('Dvd Calendar'!$R$2011)=FALSE,"",IF((Summary!$C$13="N")*('Dvd Calendar'!$R$2015='Field Check'!$C$25)&gt;0,"",'Dvd Calendar'!$R$2011)))</f>
        <v/>
      </c>
      <c r="CE146" s="85">
        <f>IF(Q146="","",IF(ISNUMBER('Dvd Calendar'!$S$2011)=FALSE,"",IF((Summary!$C$13="N")*('Dvd Calendar'!$S$2015='Field Check'!$C$25)&gt;0,"",'Dvd Calendar'!$S$2011)))</f>
        <v/>
      </c>
      <c r="CF146" s="85">
        <f>IF(R146="","",IF(ISNUMBER('Dvd Calendar'!$T$2011)=FALSE,"",IF((Summary!$C$13="N")*('Dvd Calendar'!$T$2015='Field Check'!$C$25)&gt;0,"",'Dvd Calendar'!$T$2011)))</f>
        <v/>
      </c>
      <c r="CG146" s="85">
        <f>IF(S146="","",IF(ISNUMBER('Dvd Calendar'!$U$2011)=FALSE,"",IF((Summary!$C$13="N")*('Dvd Calendar'!$U$2015='Field Check'!$C$25)&gt;0,"",'Dvd Calendar'!$U$2011)))</f>
        <v/>
      </c>
      <c r="CH146" s="85">
        <f>IF(T146="","",IF(ISNUMBER('Dvd Calendar'!$V$2011)=FALSE,"",IF((Summary!$C$13="N")*('Dvd Calendar'!$V$2015='Field Check'!$C$25)&gt;0,"",'Dvd Calendar'!$V$2011)))</f>
        <v/>
      </c>
      <c r="CI146" s="85">
        <f>IF(U146="","",IF(ISNUMBER('Dvd Calendar'!$W$2011)=FALSE,"",IF((Summary!$C$13="N")*('Dvd Calendar'!$W$2015='Field Check'!$C$25)&gt;0,"",'Dvd Calendar'!$W$2011)))</f>
        <v/>
      </c>
      <c r="CJ146" s="85">
        <f>IF(V146="","",IF(ISNUMBER('Dvd Calendar'!$X$2011)=FALSE,"",IF((Summary!$C$13="N")*('Dvd Calendar'!$X$2015='Field Check'!$C$25)&gt;0,"",'Dvd Calendar'!$X$2011)))</f>
        <v/>
      </c>
      <c r="CK146" s="85">
        <f>IF(W146="","",IF(ISNUMBER('Dvd Calendar'!$Y$2011)=FALSE,"",IF((Summary!$C$13="N")*('Dvd Calendar'!$Y$2015='Field Check'!$C$25)&gt;0,"",'Dvd Calendar'!$Y$2011)))</f>
        <v/>
      </c>
      <c r="CL146" s="85">
        <f>IF(X146="","",IF(ISNUMBER('Dvd Calendar'!$Z$2011)=FALSE,"",IF((Summary!$C$13="N")*('Dvd Calendar'!$Z$2015='Field Check'!$C$25)&gt;0,"",'Dvd Calendar'!$Z$2011)))</f>
        <v/>
      </c>
      <c r="CM146" s="85">
        <f>IF(Y146="","",IF(ISNUMBER('Dvd Calendar'!$AA$2011)=FALSE,"",IF((Summary!$C$13="N")*('Dvd Calendar'!$AA$2015='Field Check'!$C$25)&gt;0,"",'Dvd Calendar'!$AA$2011)))</f>
        <v/>
      </c>
      <c r="CN146" s="85">
        <f>IF(Z146="","",IF(ISNUMBER('Dvd Calendar'!$AB$2011)=FALSE,"",IF((Summary!$C$13="N")*('Dvd Calendar'!$AB$2015='Field Check'!$C$25)&gt;0,"",'Dvd Calendar'!$AB$2011)))</f>
        <v/>
      </c>
      <c r="CO146" s="85">
        <f>IF(AA146="","",IF(ISNUMBER('Dvd Calendar'!$AC$2011)=FALSE,"",IF((Summary!$C$13="N")*('Dvd Calendar'!$AC$2015='Field Check'!$C$25)&gt;0,"",'Dvd Calendar'!$AC$2011)))</f>
        <v/>
      </c>
      <c r="CP146" s="85">
        <f>IF(AB146="","",IF(ISNUMBER('Dvd Calendar'!$AD$2011)=FALSE,"",IF((Summary!$C$13="N")*('Dvd Calendar'!$AD$2015='Field Check'!$C$25)&gt;0,"",'Dvd Calendar'!$AD$2011)))</f>
        <v/>
      </c>
      <c r="CQ146" s="85">
        <f>IF(AC146="","",IF(ISNUMBER('Dvd Calendar'!$AE$2011)=FALSE,"",IF((Summary!$C$13="N")*('Dvd Calendar'!$AE$2015='Field Check'!$C$25)&gt;0,"",'Dvd Calendar'!$AE$2011)))</f>
        <v/>
      </c>
      <c r="CR146" s="85">
        <f>IF(AD146="","",IF(ISNUMBER('Dvd Calendar'!$AF$2011)=FALSE,"",IF((Summary!$C$13="N")*('Dvd Calendar'!$AF$2015='Field Check'!$C$25)&gt;0,"",'Dvd Calendar'!$AF$2011)))</f>
        <v/>
      </c>
      <c r="CS146" s="85">
        <f>IF(AE146="","",IF(ISNUMBER('Dvd Calendar'!$AG$2011)=FALSE,"",IF((Summary!$C$13="N")*('Dvd Calendar'!$AG$2015='Field Check'!$C$25)&gt;0,"",'Dvd Calendar'!$AG$2011)))</f>
        <v/>
      </c>
      <c r="CT146" s="85">
        <f>IF(AF146="","",IF(ISNUMBER('Dvd Calendar'!$AH$2011)=FALSE,"",IF((Summary!$C$13="N")*('Dvd Calendar'!$AH$2015='Field Check'!$C$25)&gt;0,"",'Dvd Calendar'!$AH$2011)))</f>
        <v/>
      </c>
      <c r="CU146" s="85">
        <f>IF(AG146="","",IF(ISNUMBER('Dvd Calendar'!$AI$2011)=FALSE,"",IF((Summary!$C$13="N")*('Dvd Calendar'!$AI$2015='Field Check'!$C$25)&gt;0,"",'Dvd Calendar'!$AI$2011)))</f>
        <v/>
      </c>
      <c r="CV146" s="85">
        <f>IF(AH146="","",IF(ISNUMBER('Dvd Calendar'!$AJ$2011)=FALSE,"",IF((Summary!$C$13="N")*('Dvd Calendar'!$AJ$2015='Field Check'!$C$25)&gt;0,"",'Dvd Calendar'!$AJ$2011)))</f>
        <v/>
      </c>
      <c r="CW146" s="85">
        <f>IF(AI146="","",IF(ISNUMBER('Dvd Calendar'!$AK$2011)=FALSE,"",IF((Summary!$C$13="N")*('Dvd Calendar'!$AK$2015='Field Check'!$C$25)&gt;0,"",'Dvd Calendar'!$AK$2011)))</f>
        <v/>
      </c>
      <c r="CX146" s="85">
        <f>IF(AJ146="","",IF(ISNUMBER('Dvd Calendar'!$AL$2011)=FALSE,"",IF((Summary!$C$13="N")*('Dvd Calendar'!$AL$2015='Field Check'!$C$25)&gt;0,"",'Dvd Calendar'!$AL$2011)))</f>
        <v/>
      </c>
      <c r="CY146" s="85">
        <f>IF(AK146="","",IF(ISNUMBER('Dvd Calendar'!$AM$2011)=FALSE,"",IF((Summary!$C$13="N")*('Dvd Calendar'!$AM$2015='Field Check'!$C$25)&gt;0,"",'Dvd Calendar'!$AM$2011)))</f>
        <v/>
      </c>
      <c r="CZ146" s="85">
        <f>IF(AL146="","",IF(ISNUMBER('Dvd Calendar'!$AN$2011)=FALSE,"",IF((Summary!$C$13="N")*('Dvd Calendar'!$AN$2015='Field Check'!$C$25)&gt;0,"",'Dvd Calendar'!$AN$2011)))</f>
        <v/>
      </c>
      <c r="DA146" s="85">
        <f>IF(AM146="","",IF(ISNUMBER('Dvd Calendar'!$AO$2011)=FALSE,"",IF((Summary!$C$13="N")*('Dvd Calendar'!$AO$2015='Field Check'!$C$25)&gt;0,"",'Dvd Calendar'!$AO$2011)))</f>
        <v/>
      </c>
      <c r="DB146" s="85">
        <f>IF(AN146="","",IF(ISNUMBER('Dvd Calendar'!$AP$2011)=FALSE,"",IF((Summary!$C$13="N")*('Dvd Calendar'!$AP$2015='Field Check'!$C$25)&gt;0,"",'Dvd Calendar'!$AP$2011)))</f>
        <v/>
      </c>
      <c r="DC146" s="85">
        <f>IF(AO146="","",IF(ISNUMBER('Dvd Calendar'!$AQ$2011)=FALSE,"",IF((Summary!$C$13="N")*('Dvd Calendar'!$AQ$2015='Field Check'!$C$25)&gt;0,"",'Dvd Calendar'!$AQ$2011)))</f>
        <v/>
      </c>
      <c r="DD146" s="85">
        <f>IF(AP146="","",IF(ISNUMBER('Dvd Calendar'!$AR$2011)=FALSE,"",IF((Summary!$C$13="N")*('Dvd Calendar'!$AR$2015='Field Check'!$C$25)&gt;0,"",'Dvd Calendar'!$AR$2011)))</f>
        <v/>
      </c>
      <c r="DE146" s="85">
        <f>IF(AQ146="","",IF(ISNUMBER('Dvd Calendar'!$E$2018)=FALSE,"",IF((Summary!$C$13="N")*('Dvd Calendar'!$E$2022='Field Check'!$C$25)&gt;0,"",'Dvd Calendar'!$E$2018)))</f>
        <v/>
      </c>
      <c r="DF146" s="85">
        <f>IF(AR146="","",IF(ISNUMBER('Dvd Calendar'!$F$2018)=FALSE,"",IF((Summary!$C$13="N")*('Dvd Calendar'!$F$2022='Field Check'!$C$25)&gt;0,"",'Dvd Calendar'!$F$2018)))</f>
        <v/>
      </c>
      <c r="DG146" s="85">
        <f>IF(AS146="","",IF(ISNUMBER('Dvd Calendar'!$G$2018)=FALSE,"",IF((Summary!$C$13="N")*('Dvd Calendar'!$G$2022='Field Check'!$C$25)&gt;0,"",'Dvd Calendar'!$G$2018)))</f>
        <v/>
      </c>
      <c r="DH146" s="85">
        <f>IF(AT146="","",IF(ISNUMBER('Dvd Calendar'!$H$2018)=FALSE,"",IF((Summary!$C$13="N")*('Dvd Calendar'!$H$2022='Field Check'!$C$25)&gt;0,"",'Dvd Calendar'!$H$2018)))</f>
        <v/>
      </c>
      <c r="DI146" s="85">
        <f>IF(AU146="","",IF(ISNUMBER('Dvd Calendar'!$I$2018)=FALSE,"",IF((Summary!$C$13="N")*('Dvd Calendar'!$I$2022='Field Check'!$C$25)&gt;0,"",'Dvd Calendar'!$I$2018)))</f>
        <v/>
      </c>
      <c r="DJ146" s="85">
        <f>IF(AV146="","",IF(ISNUMBER('Dvd Calendar'!$J$2018)=FALSE,"",IF((Summary!$C$13="N")*('Dvd Calendar'!$J$2022='Field Check'!$C$25)&gt;0,"",'Dvd Calendar'!$J$2018)))</f>
        <v/>
      </c>
      <c r="DK146" s="85">
        <f>IF(AW146="","",IF(ISNUMBER('Dvd Calendar'!$K$2018)=FALSE,"",IF((Summary!$C$13="N")*('Dvd Calendar'!$K$2022='Field Check'!$C$25)&gt;0,"",'Dvd Calendar'!$K$2018)))</f>
        <v/>
      </c>
      <c r="DL146" s="85">
        <f>IF(AX146="","",IF(ISNUMBER('Dvd Calendar'!$L$2018)=FALSE,"",IF((Summary!$C$13="N")*('Dvd Calendar'!$L$2022='Field Check'!$C$25)&gt;0,"",'Dvd Calendar'!$L$2018)))</f>
        <v/>
      </c>
      <c r="DM146" s="85">
        <f>IF(AY146="","",IF(ISNUMBER('Dvd Calendar'!$M$2018)=FALSE,"",IF((Summary!$C$13="N")*('Dvd Calendar'!$M$2022='Field Check'!$C$25)&gt;0,"",'Dvd Calendar'!$M$2018)))</f>
        <v/>
      </c>
      <c r="DN146" s="85">
        <f>IF(AZ146="","",IF(ISNUMBER('Dvd Calendar'!$N$2018)=FALSE,"",IF((Summary!$C$13="N")*('Dvd Calendar'!$N$2022='Field Check'!$C$25)&gt;0,"",'Dvd Calendar'!$N$2018)))</f>
        <v/>
      </c>
      <c r="DO146" s="85">
        <f>IF(BA146="","",IF(ISNUMBER('Dvd Calendar'!$O$2018)=FALSE,"",IF((Summary!$C$13="N")*('Dvd Calendar'!$O$2022='Field Check'!$C$25)&gt;0,"",'Dvd Calendar'!$O$2018)))</f>
        <v/>
      </c>
      <c r="DP146" s="85">
        <f>IF(BB146="","",IF(ISNUMBER('Dvd Calendar'!$P$2018)=FALSE,"",IF((Summary!$C$13="N")*('Dvd Calendar'!$P$2022='Field Check'!$C$25)&gt;0,"",'Dvd Calendar'!$P$2018)))</f>
        <v/>
      </c>
      <c r="DQ146" s="85">
        <f>IF(BC146="","",IF(ISNUMBER('Dvd Calendar'!$Q$2018)=FALSE,"",IF((Summary!$C$13="N")*('Dvd Calendar'!$Q$2022='Field Check'!$C$25)&gt;0,"",'Dvd Calendar'!$Q$2018)))</f>
        <v/>
      </c>
      <c r="DR146" s="85">
        <f>IF(BD146="","",IF(ISNUMBER('Dvd Calendar'!$R$2018)=FALSE,"",IF((Summary!$C$13="N")*('Dvd Calendar'!$R$2022='Field Check'!$C$25)&gt;0,"",'Dvd Calendar'!$R$2018)))</f>
        <v/>
      </c>
      <c r="DS146" s="85">
        <f>IF(BE146="","",IF(ISNUMBER('Dvd Calendar'!$S$2018)=FALSE,"",IF((Summary!$C$13="N")*('Dvd Calendar'!$S$2022='Field Check'!$C$25)&gt;0,"",'Dvd Calendar'!$S$2018)))</f>
        <v/>
      </c>
      <c r="DT146" s="85">
        <f>IF(BF146="","",IF(ISNUMBER('Dvd Calendar'!$T$2018)=FALSE,"",IF((Summary!$C$13="N")*('Dvd Calendar'!$T$2022='Field Check'!$C$25)&gt;0,"",'Dvd Calendar'!$T$2018)))</f>
        <v/>
      </c>
      <c r="DU146" s="85">
        <f>IF(BG146="","",IF(ISNUMBER('Dvd Calendar'!$U$2018)=FALSE,"",IF((Summary!$C$13="N")*('Dvd Calendar'!$U$2022='Field Check'!$C$25)&gt;0,"",'Dvd Calendar'!$U$2018)))</f>
        <v/>
      </c>
      <c r="DV146" s="85">
        <f>IF(BH146="","",IF(ISNUMBER('Dvd Calendar'!$V$2018)=FALSE,"",IF((Summary!$C$13="N")*('Dvd Calendar'!$V$2022='Field Check'!$C$25)&gt;0,"",'Dvd Calendar'!$V$2018)))</f>
        <v/>
      </c>
      <c r="DW146" s="85">
        <f>IF(BI146="","",IF(ISNUMBER('Dvd Calendar'!$W$2018)=FALSE,"",IF((Summary!$C$13="N")*('Dvd Calendar'!$W$2022='Field Check'!$C$25)&gt;0,"",'Dvd Calendar'!$W$2018)))</f>
        <v/>
      </c>
      <c r="DX146" s="85">
        <f>IF(BJ146="","",IF(ISNUMBER('Dvd Calendar'!$X$2018)=FALSE,"",IF((Summary!$C$13="N")*('Dvd Calendar'!$X$2022='Field Check'!$C$25)&gt;0,"",'Dvd Calendar'!$X$2018)))</f>
        <v/>
      </c>
      <c r="DY146" s="85">
        <f>IF(BK146="","",IF(ISNUMBER('Dvd Calendar'!$Y$2018)=FALSE,"",IF((Summary!$C$13="N")*('Dvd Calendar'!$Y$2022='Field Check'!$C$25)&gt;0,"",'Dvd Calendar'!$Y$2018)))</f>
        <v/>
      </c>
      <c r="DZ146" s="85">
        <f>IF(BL146="","",IF(ISNUMBER('Dvd Calendar'!$Z$2018)=FALSE,"",IF((Summary!$C$13="N")*('Dvd Calendar'!$Z$2022='Field Check'!$C$25)&gt;0,"",'Dvd Calendar'!$Z$2018)))</f>
        <v/>
      </c>
      <c r="EA146" s="85">
        <f>IF(BM146="","",IF(ISNUMBER('Dvd Calendar'!$AA$2018)=FALSE,"",IF((Summary!$C$13="N")*('Dvd Calendar'!$AA$2022='Field Check'!$C$25)&gt;0,"",'Dvd Calendar'!$AA$2018)))</f>
        <v/>
      </c>
      <c r="EB146" s="85">
        <f>IF(BN146="","",IF(ISNUMBER('Dvd Calendar'!$AB$2018)=FALSE,"",IF((Summary!$C$13="N")*('Dvd Calendar'!$AB$2022='Field Check'!$C$25)&gt;0,"",'Dvd Calendar'!$AB$2018)))</f>
        <v/>
      </c>
      <c r="EC146" s="85">
        <f>IF(BO146="","",IF(ISNUMBER('Dvd Calendar'!$AC$2018)=FALSE,"",IF((Summary!$C$13="N")*('Dvd Calendar'!$AC$2022='Field Check'!$C$25)&gt;0,"",'Dvd Calendar'!$AC$2018)))</f>
        <v/>
      </c>
      <c r="EE146" s="85">
        <f>IF(BQ146="","",IFERROR(BQ146*HSTECH!$B$40*HSTECH!$G$40/HSTECH!$B$3,""))</f>
        <v/>
      </c>
      <c r="EF146" s="85">
        <f>IF(BR146="","",IFERROR(BR146*HSTECH!$B$40*HSTECH!$G$40/HSTECH!$B$3,""))</f>
        <v/>
      </c>
      <c r="EG146" s="85">
        <f>IF(BS146="","",IFERROR(BS146*HSTECH!$B$40*HSTECH!$G$40/HSTECH!$B$3,""))</f>
        <v/>
      </c>
      <c r="EH146" s="85">
        <f>IF(BT146="","",IFERROR(BT146*HSTECH!$B$40*HSTECH!$G$40/HSTECH!$B$3,""))</f>
        <v/>
      </c>
      <c r="EI146" s="85">
        <f>IF(BU146="","",IFERROR(BU146*HSTECH!$B$40*HSTECH!$G$40/HSTECH!$B$3,""))</f>
        <v/>
      </c>
      <c r="EJ146" s="85">
        <f>IF(BV146="","",IFERROR(BV146*HSTECH!$B$40*HSTECH!$G$40/HSTECH!$B$3,""))</f>
        <v/>
      </c>
      <c r="EK146" s="85">
        <f>IF(BW146="","",IFERROR(BW146*HSTECH!$B$40*HSTECH!$G$40/HSTECH!$B$3,""))</f>
        <v/>
      </c>
      <c r="EL146" s="85">
        <f>IF(BX146="","",IFERROR(BX146*HSTECH!$B$40*HSTECH!$G$40/HSTECH!$B$3,""))</f>
        <v/>
      </c>
      <c r="EM146" s="85">
        <f>IF(BY146="","",IFERROR(BY146*HSTECH!$B$40*HSTECH!$G$40/HSTECH!$B$3,""))</f>
        <v/>
      </c>
      <c r="EN146" s="85">
        <f>IF(BZ146="","",IFERROR(BZ146*HSTECH!$B$40*HSTECH!$G$40/HSTECH!$B$3,""))</f>
        <v/>
      </c>
      <c r="EO146" s="85">
        <f>IF(CA146="","",IFERROR(CA146*HSTECH!$B$40*HSTECH!$G$40/HSTECH!$B$3,""))</f>
        <v/>
      </c>
      <c r="EP146" s="85">
        <f>IF(CB146="","",IFERROR(CB146*HSTECH!$B$40*HSTECH!$G$40/HSTECH!$B$3,""))</f>
        <v/>
      </c>
      <c r="EQ146" s="85">
        <f>IF(CC146="","",IFERROR(CC146*HSTECH!$B$40*HSTECH!$G$40/HSTECH!$B$3,""))</f>
        <v/>
      </c>
      <c r="ER146" s="85">
        <f>IF(CD146="","",IFERROR(CD146*HSTECH!$B$40*HSTECH!$G$40/HSTECH!$B$3,""))</f>
        <v/>
      </c>
      <c r="ES146" s="85">
        <f>IF(CE146="","",IFERROR(CE146*HSTECH!$B$40*HSTECH!$G$40/HSTECH!$B$3,""))</f>
        <v/>
      </c>
      <c r="ET146" s="85">
        <f>IF(CF146="","",IFERROR(CF146*HSTECH!$B$40*HSTECH!$G$40/HSTECH!$B$3,""))</f>
        <v/>
      </c>
      <c r="EU146" s="85">
        <f>IF(CG146="","",IFERROR(CG146*HSTECH!$B$40*HSTECH!$G$40/HSTECH!$B$3,""))</f>
        <v/>
      </c>
      <c r="EV146" s="85">
        <f>IF(CH146="","",IFERROR(CH146*HSTECH!$B$40*HSTECH!$G$40/HSTECH!$B$3,""))</f>
        <v/>
      </c>
      <c r="EW146" s="85">
        <f>IF(CI146="","",IFERROR(CI146*HSTECH!$B$40*HSTECH!$G$40/HSTECH!$B$3,""))</f>
        <v/>
      </c>
      <c r="EX146" s="85">
        <f>IF(CJ146="","",IFERROR(CJ146*HSTECH!$B$40*HSTECH!$G$40/HSTECH!$B$3,""))</f>
        <v/>
      </c>
      <c r="EY146" s="85">
        <f>IF(CK146="","",IFERROR(CK146*HSTECH!$B$40*HSTECH!$G$40/HSTECH!$B$3,""))</f>
        <v/>
      </c>
      <c r="EZ146" s="85">
        <f>IF(CL146="","",IFERROR(CL146*HSTECH!$B$40*HSTECH!$G$40/HSTECH!$B$3,""))</f>
        <v/>
      </c>
      <c r="FA146" s="85">
        <f>IF(CM146="","",IFERROR(CM146*HSTECH!$B$40*HSTECH!$G$40/HSTECH!$B$3,""))</f>
        <v/>
      </c>
      <c r="FB146" s="85">
        <f>IF(CN146="","",IFERROR(CN146*HSTECH!$B$40*HSTECH!$G$40/HSTECH!$B$3,""))</f>
        <v/>
      </c>
      <c r="FC146" s="85">
        <f>IF(CO146="","",IFERROR(CO146*HSTECH!$B$40*HSTECH!$G$40/HSTECH!$B$3,""))</f>
        <v/>
      </c>
      <c r="FD146" s="85">
        <f>IF(CP146="","",IFERROR(CP146*HSTECH!$B$40*HSTECH!$G$40/HSTECH!$B$3,""))</f>
        <v/>
      </c>
      <c r="FE146" s="85">
        <f>IF(CQ146="","",IFERROR(CQ146*HSTECH!$B$40*HSTECH!$G$40/HSTECH!$B$3,""))</f>
        <v/>
      </c>
      <c r="FF146" s="85">
        <f>IF(CR146="","",IFERROR(CR146*HSTECH!$B$40*HSTECH!$G$40/HSTECH!$B$3,""))</f>
        <v/>
      </c>
      <c r="FG146" s="85">
        <f>IF(CS146="","",IFERROR(CS146*HSTECH!$B$40*HSTECH!$G$40/HSTECH!$B$3,""))</f>
        <v/>
      </c>
      <c r="FH146" s="85">
        <f>IF(CT146="","",IFERROR(CT146*HSTECH!$B$40*HSTECH!$G$40/HSTECH!$B$3,""))</f>
        <v/>
      </c>
      <c r="FI146" s="85">
        <f>IF(CU146="","",IFERROR(CU146*HSTECH!$B$40*HSTECH!$G$40/HSTECH!$B$3,""))</f>
        <v/>
      </c>
      <c r="FJ146" s="85">
        <f>IF(CV146="","",IFERROR(CV146*HSTECH!$B$40*HSTECH!$G$40/HSTECH!$B$3,""))</f>
        <v/>
      </c>
      <c r="FK146" s="85">
        <f>IF(CW146="","",IFERROR(CW146*HSTECH!$B$40*HSTECH!$G$40/HSTECH!$B$3,""))</f>
        <v/>
      </c>
      <c r="FL146" s="85">
        <f>IF(CX146="","",IFERROR(CX146*HSTECH!$B$40*HSTECH!$G$40/HSTECH!$B$3,""))</f>
        <v/>
      </c>
      <c r="FM146" s="85">
        <f>IF(CY146="","",IFERROR(CY146*HSTECH!$B$40*HSTECH!$G$40/HSTECH!$B$3,""))</f>
        <v/>
      </c>
      <c r="FN146" s="85">
        <f>IF(CZ146="","",IFERROR(CZ146*HSTECH!$B$40*HSTECH!$G$40/HSTECH!$B$3,""))</f>
        <v/>
      </c>
      <c r="FO146" s="85">
        <f>IF(DA146="","",IFERROR(DA146*HSTECH!$B$40*HSTECH!$G$40/HSTECH!$B$3,""))</f>
        <v/>
      </c>
      <c r="FP146" s="85">
        <f>IF(DB146="","",IFERROR(DB146*HSTECH!$B$40*HSTECH!$G$40/HSTECH!$B$3,""))</f>
        <v/>
      </c>
      <c r="FQ146" s="85">
        <f>IF(DC146="","",IFERROR(DC146*HSTECH!$B$40*HSTECH!$G$40/HSTECH!$B$3,""))</f>
        <v/>
      </c>
      <c r="FR146" s="85">
        <f>IF(DD146="","",IFERROR(DD146*HSTECH!$B$40*HSTECH!$G$40/HSTECH!$B$3,""))</f>
        <v/>
      </c>
      <c r="FS146" s="85">
        <f>IF(DE146="","",IFERROR(DE146*HSTECH!$B$40*HSTECH!$G$40/HSTECH!$B$3,""))</f>
        <v/>
      </c>
      <c r="FT146" s="85">
        <f>IF(DF146="","",IFERROR(DF146*HSTECH!$B$40*HSTECH!$G$40/HSTECH!$B$3,""))</f>
        <v/>
      </c>
      <c r="FU146" s="85">
        <f>IF(DG146="","",IFERROR(DG146*HSTECH!$B$40*HSTECH!$G$40/HSTECH!$B$3,""))</f>
        <v/>
      </c>
      <c r="FV146" s="85">
        <f>IF(DH146="","",IFERROR(DH146*HSTECH!$B$40*HSTECH!$G$40/HSTECH!$B$3,""))</f>
        <v/>
      </c>
      <c r="FW146" s="85">
        <f>IF(DI146="","",IFERROR(DI146*HSTECH!$B$40*HSTECH!$G$40/HSTECH!$B$3,""))</f>
        <v/>
      </c>
      <c r="FX146" s="85">
        <f>IF(DJ146="","",IFERROR(DJ146*HSTECH!$B$40*HSTECH!$G$40/HSTECH!$B$3,""))</f>
        <v/>
      </c>
      <c r="FY146" s="85">
        <f>IF(DK146="","",IFERROR(DK146*HSTECH!$B$40*HSTECH!$G$40/HSTECH!$B$3,""))</f>
        <v/>
      </c>
      <c r="FZ146" s="85">
        <f>IF(DL146="","",IFERROR(DL146*HSTECH!$B$40*HSTECH!$G$40/HSTECH!$B$3,""))</f>
        <v/>
      </c>
      <c r="GA146" s="85">
        <f>IF(DM146="","",IFERROR(DM146*HSTECH!$B$40*HSTECH!$G$40/HSTECH!$B$3,""))</f>
        <v/>
      </c>
      <c r="GB146" s="85">
        <f>IF(DN146="","",IFERROR(DN146*HSTECH!$B$40*HSTECH!$G$40/HSTECH!$B$3,""))</f>
        <v/>
      </c>
      <c r="GC146" s="85">
        <f>IF(DO146="","",IFERROR(DO146*HSTECH!$B$40*HSTECH!$G$40/HSTECH!$B$3,""))</f>
        <v/>
      </c>
      <c r="GD146" s="85">
        <f>IF(DP146="","",IFERROR(DP146*HSTECH!$B$40*HSTECH!$G$40/HSTECH!$B$3,""))</f>
        <v/>
      </c>
      <c r="GE146" s="85">
        <f>IF(DQ146="","",IFERROR(DQ146*HSTECH!$B$40*HSTECH!$G$40/HSTECH!$B$3,""))</f>
        <v/>
      </c>
      <c r="GF146" s="85">
        <f>IF(DR146="","",IFERROR(DR146*HSTECH!$B$40*HSTECH!$G$40/HSTECH!$B$3,""))</f>
        <v/>
      </c>
      <c r="GG146" s="85">
        <f>IF(DS146="","",IFERROR(DS146*HSTECH!$B$40*HSTECH!$G$40/HSTECH!$B$3,""))</f>
        <v/>
      </c>
      <c r="GH146" s="85">
        <f>IF(DT146="","",IFERROR(DT146*HSTECH!$B$40*HSTECH!$G$40/HSTECH!$B$3,""))</f>
        <v/>
      </c>
      <c r="GI146" s="85">
        <f>IF(DU146="","",IFERROR(DU146*HSTECH!$B$40*HSTECH!$G$40/HSTECH!$B$3,""))</f>
        <v/>
      </c>
      <c r="GJ146" s="85">
        <f>IF(DV146="","",IFERROR(DV146*HSTECH!$B$40*HSTECH!$G$40/HSTECH!$B$3,""))</f>
        <v/>
      </c>
      <c r="GK146" s="85">
        <f>IF(DW146="","",IFERROR(DW146*HSTECH!$B$40*HSTECH!$G$40/HSTECH!$B$3,""))</f>
        <v/>
      </c>
      <c r="GL146" s="85">
        <f>IF(DX146="","",IFERROR(DX146*HSTECH!$B$40*HSTECH!$G$40/HSTECH!$B$3,""))</f>
        <v/>
      </c>
      <c r="GM146" s="85">
        <f>IF(DY146="","",IFERROR(DY146*HSTECH!$B$40*HSTECH!$G$40/HSTECH!$B$3,""))</f>
        <v/>
      </c>
      <c r="GN146" s="85">
        <f>IF(DZ146="","",IFERROR(DZ146*HSTECH!$B$40*HSTECH!$G$40/HSTECH!$B$3,""))</f>
        <v/>
      </c>
      <c r="GO146" s="85">
        <f>IF(EA146="","",IFERROR(EA146*HSTECH!$B$40*HSTECH!$G$40/HSTECH!$B$3,""))</f>
        <v/>
      </c>
      <c r="GP146" s="85">
        <f>IF(EB146="","",IFERROR(EB146*HSTECH!$B$40*HSTECH!$G$40/HSTECH!$B$3,""))</f>
        <v/>
      </c>
      <c r="GQ146" s="85">
        <f>IF(EC146="","",IFERROR(EC146*HSTECH!$B$40*HSTECH!$G$40/HSTECH!$B$3,""))</f>
        <v/>
      </c>
    </row>
    <row r="147">
      <c r="B147" s="2">
        <f>IF(HSTECH!$C$41="","",HSTECH!$C$41)</f>
        <v/>
      </c>
      <c r="C147" s="41">
        <f>IF(N('Dvd Calendar'!$E$2025)=0,"",IF(('Dvd Calendar'!$E$2025&gt;=MIN(DATE(Summary!$C$12,1,1),Summary!$C$11))*('Dvd Calendar'!$E$2025&lt;=MAX(DATE(Summary!$C$12,12,31),Summary!$C$15))*('Dvd Calendar'!$E$2025&lt;=Summary!$C$11)=0,"",'Dvd Calendar'!$E$2025*1000000000+ISNUMBER('Dvd Calendar'!$E$2026)*100000000+('Dvd Calendar'!$E$2030='Field Check'!$C$25)*10000000+(N('Dvd Calendar'!$E$2024)&gt;0)*1000000+35*1000+1))</f>
        <v/>
      </c>
      <c r="D147" s="41">
        <f>IF(N('Dvd Calendar'!$F$2025)=0,"",IF(('Dvd Calendar'!$F$2025&gt;=MIN(DATE(Summary!$C$12,1,1),Summary!$C$11))*('Dvd Calendar'!$F$2025&lt;=MAX(DATE(Summary!$C$12,12,31),Summary!$C$15))*('Dvd Calendar'!$F$2025&lt;=Summary!$C$11)=0,"",'Dvd Calendar'!$F$2025*1000000000+ISNUMBER('Dvd Calendar'!$F$2026)*100000000+('Dvd Calendar'!$F$2030='Field Check'!$C$25)*10000000+(N('Dvd Calendar'!$F$2024)&gt;0)*1000000+35*1000+2))</f>
        <v/>
      </c>
      <c r="E147" s="41">
        <f>IF(N('Dvd Calendar'!$G$2025)=0,"",IF(('Dvd Calendar'!$G$2025&gt;=MIN(DATE(Summary!$C$12,1,1),Summary!$C$11))*('Dvd Calendar'!$G$2025&lt;=MAX(DATE(Summary!$C$12,12,31),Summary!$C$15))*('Dvd Calendar'!$G$2025&lt;=Summary!$C$11)=0,"",'Dvd Calendar'!$G$2025*1000000000+ISNUMBER('Dvd Calendar'!$G$2026)*100000000+('Dvd Calendar'!$G$2030='Field Check'!$C$25)*10000000+(N('Dvd Calendar'!$G$2024)&gt;0)*1000000+35*1000+3))</f>
        <v/>
      </c>
      <c r="F147" s="41">
        <f>IF(N('Dvd Calendar'!$H$2025)=0,"",IF(('Dvd Calendar'!$H$2025&gt;=MIN(DATE(Summary!$C$12,1,1),Summary!$C$11))*('Dvd Calendar'!$H$2025&lt;=MAX(DATE(Summary!$C$12,12,31),Summary!$C$15))*('Dvd Calendar'!$H$2025&lt;=Summary!$C$11)=0,"",'Dvd Calendar'!$H$2025*1000000000+ISNUMBER('Dvd Calendar'!$H$2026)*100000000+('Dvd Calendar'!$H$2030='Field Check'!$C$25)*10000000+(N('Dvd Calendar'!$H$2024)&gt;0)*1000000+35*1000+4))</f>
        <v/>
      </c>
      <c r="G147" s="41">
        <f>IF(N('Dvd Calendar'!$I$2025)=0,"",IF(('Dvd Calendar'!$I$2025&gt;=MIN(DATE(Summary!$C$12,1,1),Summary!$C$11))*('Dvd Calendar'!$I$2025&lt;=MAX(DATE(Summary!$C$12,12,31),Summary!$C$15))*('Dvd Calendar'!$I$2025&lt;=Summary!$C$11)=0,"",'Dvd Calendar'!$I$2025*1000000000+ISNUMBER('Dvd Calendar'!$I$2026)*100000000+('Dvd Calendar'!$I$2030='Field Check'!$C$25)*10000000+(N('Dvd Calendar'!$I$2024)&gt;0)*1000000+35*1000+5))</f>
        <v/>
      </c>
      <c r="H147" s="41">
        <f>IF(N('Dvd Calendar'!$J$2025)=0,"",IF(('Dvd Calendar'!$J$2025&gt;=MIN(DATE(Summary!$C$12,1,1),Summary!$C$11))*('Dvd Calendar'!$J$2025&lt;=MAX(DATE(Summary!$C$12,12,31),Summary!$C$15))*('Dvd Calendar'!$J$2025&lt;=Summary!$C$11)=0,"",'Dvd Calendar'!$J$2025*1000000000+ISNUMBER('Dvd Calendar'!$J$2026)*100000000+('Dvd Calendar'!$J$2030='Field Check'!$C$25)*10000000+(N('Dvd Calendar'!$J$2024)&gt;0)*1000000+35*1000+6))</f>
        <v/>
      </c>
      <c r="I147" s="41">
        <f>IF(N('Dvd Calendar'!$K$2025)=0,"",IF(('Dvd Calendar'!$K$2025&gt;=MIN(DATE(Summary!$C$12,1,1),Summary!$C$11))*('Dvd Calendar'!$K$2025&lt;=MAX(DATE(Summary!$C$12,12,31),Summary!$C$15))*('Dvd Calendar'!$K$2025&lt;=Summary!$C$11)=0,"",'Dvd Calendar'!$K$2025*1000000000+ISNUMBER('Dvd Calendar'!$K$2026)*100000000+('Dvd Calendar'!$K$2030='Field Check'!$C$25)*10000000+(N('Dvd Calendar'!$K$2024)&gt;0)*1000000+35*1000+7))</f>
        <v/>
      </c>
      <c r="J147" s="41">
        <f>IF(N('Dvd Calendar'!$L$2025)=0,"",IF(('Dvd Calendar'!$L$2025&gt;=MIN(DATE(Summary!$C$12,1,1),Summary!$C$11))*('Dvd Calendar'!$L$2025&lt;=MAX(DATE(Summary!$C$12,12,31),Summary!$C$15))*('Dvd Calendar'!$L$2025&lt;=Summary!$C$11)=0,"",'Dvd Calendar'!$L$2025*1000000000+ISNUMBER('Dvd Calendar'!$L$2026)*100000000+('Dvd Calendar'!$L$2030='Field Check'!$C$25)*10000000+(N('Dvd Calendar'!$L$2024)&gt;0)*1000000+35*1000+8))</f>
        <v/>
      </c>
      <c r="K147" s="41">
        <f>IF(N('Dvd Calendar'!$M$2025)=0,"",IF(('Dvd Calendar'!$M$2025&gt;=MIN(DATE(Summary!$C$12,1,1),Summary!$C$11))*('Dvd Calendar'!$M$2025&lt;=MAX(DATE(Summary!$C$12,12,31),Summary!$C$15))*('Dvd Calendar'!$M$2025&lt;=Summary!$C$11)=0,"",'Dvd Calendar'!$M$2025*1000000000+ISNUMBER('Dvd Calendar'!$M$2026)*100000000+('Dvd Calendar'!$M$2030='Field Check'!$C$25)*10000000+(N('Dvd Calendar'!$M$2024)&gt;0)*1000000+35*1000+9))</f>
        <v/>
      </c>
      <c r="L147" s="41">
        <f>IF(N('Dvd Calendar'!$N$2025)=0,"",IF(('Dvd Calendar'!$N$2025&gt;=MIN(DATE(Summary!$C$12,1,1),Summary!$C$11))*('Dvd Calendar'!$N$2025&lt;=MAX(DATE(Summary!$C$12,12,31),Summary!$C$15))*('Dvd Calendar'!$N$2025&lt;=Summary!$C$11)=0,"",'Dvd Calendar'!$N$2025*1000000000+ISNUMBER('Dvd Calendar'!$N$2026)*100000000+('Dvd Calendar'!$N$2030='Field Check'!$C$25)*10000000+(N('Dvd Calendar'!$N$2024)&gt;0)*1000000+35*1000+10))</f>
        <v/>
      </c>
      <c r="M147" s="41">
        <f>IF(N('Dvd Calendar'!$O$2025)=0,"",IF(('Dvd Calendar'!$O$2025&gt;=MIN(DATE(Summary!$C$12,1,1),Summary!$C$11))*('Dvd Calendar'!$O$2025&lt;=MAX(DATE(Summary!$C$12,12,31),Summary!$C$15))*('Dvd Calendar'!$O$2025&lt;=Summary!$C$11)=0,"",'Dvd Calendar'!$O$2025*1000000000+ISNUMBER('Dvd Calendar'!$O$2026)*100000000+('Dvd Calendar'!$O$2030='Field Check'!$C$25)*10000000+(N('Dvd Calendar'!$O$2024)&gt;0)*1000000+35*1000+11))</f>
        <v/>
      </c>
      <c r="N147" s="41">
        <f>IF(N('Dvd Calendar'!$P$2025)=0,"",IF(('Dvd Calendar'!$P$2025&gt;=MIN(DATE(Summary!$C$12,1,1),Summary!$C$11))*('Dvd Calendar'!$P$2025&lt;=MAX(DATE(Summary!$C$12,12,31),Summary!$C$15))*('Dvd Calendar'!$P$2025&lt;=Summary!$C$11)=0,"",'Dvd Calendar'!$P$2025*1000000000+ISNUMBER('Dvd Calendar'!$P$2026)*100000000+('Dvd Calendar'!$P$2030='Field Check'!$C$25)*10000000+(N('Dvd Calendar'!$P$2024)&gt;0)*1000000+35*1000+12))</f>
        <v/>
      </c>
      <c r="O147" s="41">
        <f>IF(N('Dvd Calendar'!$Q$2025)=0,"",IF(('Dvd Calendar'!$Q$2025&gt;=MIN(DATE(Summary!$C$12,1,1),Summary!$C$11))*('Dvd Calendar'!$Q$2025&lt;=MAX(DATE(Summary!$C$12,12,31),Summary!$C$15))*('Dvd Calendar'!$Q$2025&lt;=Summary!$C$11)=0,"",'Dvd Calendar'!$Q$2025*1000000000+ISNUMBER('Dvd Calendar'!$Q$2026)*100000000+('Dvd Calendar'!$Q$2030='Field Check'!$C$25)*10000000+(N('Dvd Calendar'!$Q$2024)&gt;0)*1000000+35*1000+13))</f>
        <v/>
      </c>
      <c r="P147" s="41">
        <f>IF(N('Dvd Calendar'!$R$2025)=0,"",IF(('Dvd Calendar'!$R$2025&gt;=MIN(DATE(Summary!$C$12,1,1),Summary!$C$11))*('Dvd Calendar'!$R$2025&lt;=MAX(DATE(Summary!$C$12,12,31),Summary!$C$15))*('Dvd Calendar'!$R$2025&lt;=Summary!$C$11)=0,"",'Dvd Calendar'!$R$2025*1000000000+ISNUMBER('Dvd Calendar'!$R$2026)*100000000+('Dvd Calendar'!$R$2030='Field Check'!$C$25)*10000000+(N('Dvd Calendar'!$R$2024)&gt;0)*1000000+35*1000+14))</f>
        <v/>
      </c>
      <c r="Q147" s="41">
        <f>IF(N('Dvd Calendar'!$S$2025)=0,"",IF(('Dvd Calendar'!$S$2025&gt;=MIN(DATE(Summary!$C$12,1,1),Summary!$C$11))*('Dvd Calendar'!$S$2025&lt;=MAX(DATE(Summary!$C$12,12,31),Summary!$C$15))*('Dvd Calendar'!$S$2025&lt;=Summary!$C$11)=0,"",'Dvd Calendar'!$S$2025*1000000000+ISNUMBER('Dvd Calendar'!$S$2026)*100000000+('Dvd Calendar'!$S$2030='Field Check'!$C$25)*10000000+(N('Dvd Calendar'!$S$2024)&gt;0)*1000000+35*1000+15))</f>
        <v/>
      </c>
      <c r="R147" s="41">
        <f>IF(N('Dvd Calendar'!$T$2025)=0,"",IF(('Dvd Calendar'!$T$2025&gt;=MIN(DATE(Summary!$C$12,1,1),Summary!$C$11))*('Dvd Calendar'!$T$2025&lt;=MAX(DATE(Summary!$C$12,12,31),Summary!$C$15))*('Dvd Calendar'!$T$2025&lt;=Summary!$C$11)=0,"",'Dvd Calendar'!$T$2025*1000000000+ISNUMBER('Dvd Calendar'!$T$2026)*100000000+('Dvd Calendar'!$T$2030='Field Check'!$C$25)*10000000+(N('Dvd Calendar'!$T$2024)&gt;0)*1000000+35*1000+16))</f>
        <v/>
      </c>
      <c r="S147" s="41">
        <f>IF(N('Dvd Calendar'!$U$2025)=0,"",IF(('Dvd Calendar'!$U$2025&gt;=MIN(DATE(Summary!$C$12,1,1),Summary!$C$11))*('Dvd Calendar'!$U$2025&lt;=MAX(DATE(Summary!$C$12,12,31),Summary!$C$15))*('Dvd Calendar'!$U$2025&lt;=Summary!$C$11)=0,"",'Dvd Calendar'!$U$2025*1000000000+ISNUMBER('Dvd Calendar'!$U$2026)*100000000+('Dvd Calendar'!$U$2030='Field Check'!$C$25)*10000000+(N('Dvd Calendar'!$U$2024)&gt;0)*1000000+35*1000+17))</f>
        <v/>
      </c>
      <c r="T147" s="41">
        <f>IF(N('Dvd Calendar'!$V$2025)=0,"",IF(('Dvd Calendar'!$V$2025&gt;=MIN(DATE(Summary!$C$12,1,1),Summary!$C$11))*('Dvd Calendar'!$V$2025&lt;=MAX(DATE(Summary!$C$12,12,31),Summary!$C$15))*('Dvd Calendar'!$V$2025&lt;=Summary!$C$11)=0,"",'Dvd Calendar'!$V$2025*1000000000+ISNUMBER('Dvd Calendar'!$V$2026)*100000000+('Dvd Calendar'!$V$2030='Field Check'!$C$25)*10000000+(N('Dvd Calendar'!$V$2024)&gt;0)*1000000+35*1000+18))</f>
        <v/>
      </c>
      <c r="U147" s="41">
        <f>IF(N('Dvd Calendar'!$W$2025)=0,"",IF(('Dvd Calendar'!$W$2025&gt;=MIN(DATE(Summary!$C$12,1,1),Summary!$C$11))*('Dvd Calendar'!$W$2025&lt;=MAX(DATE(Summary!$C$12,12,31),Summary!$C$15))*('Dvd Calendar'!$W$2025&lt;=Summary!$C$11)=0,"",'Dvd Calendar'!$W$2025*1000000000+ISNUMBER('Dvd Calendar'!$W$2026)*100000000+('Dvd Calendar'!$W$2030='Field Check'!$C$25)*10000000+(N('Dvd Calendar'!$W$2024)&gt;0)*1000000+35*1000+19))</f>
        <v/>
      </c>
      <c r="V147" s="41">
        <f>IF(N('Dvd Calendar'!$X$2025)=0,"",IF(('Dvd Calendar'!$X$2025&gt;=MIN(DATE(Summary!$C$12,1,1),Summary!$C$11))*('Dvd Calendar'!$X$2025&lt;=MAX(DATE(Summary!$C$12,12,31),Summary!$C$15))*('Dvd Calendar'!$X$2025&lt;=Summary!$C$11)=0,"",'Dvd Calendar'!$X$2025*1000000000+ISNUMBER('Dvd Calendar'!$X$2026)*100000000+('Dvd Calendar'!$X$2030='Field Check'!$C$25)*10000000+(N('Dvd Calendar'!$X$2024)&gt;0)*1000000+35*1000+20))</f>
        <v/>
      </c>
      <c r="W147" s="41">
        <f>IF(N('Dvd Calendar'!$Y$2025)=0,"",IF(('Dvd Calendar'!$Y$2025&gt;=MIN(DATE(Summary!$C$12,1,1),Summary!$C$11))*('Dvd Calendar'!$Y$2025&lt;=MAX(DATE(Summary!$C$12,12,31),Summary!$C$15))*('Dvd Calendar'!$Y$2025&lt;=Summary!$C$11)=0,"",'Dvd Calendar'!$Y$2025*1000000000+ISNUMBER('Dvd Calendar'!$Y$2026)*100000000+('Dvd Calendar'!$Y$2030='Field Check'!$C$25)*10000000+(N('Dvd Calendar'!$Y$2024)&gt;0)*1000000+35*1000+21))</f>
        <v/>
      </c>
      <c r="X147" s="41">
        <f>IF(N('Dvd Calendar'!$Z$2025)=0,"",IF(('Dvd Calendar'!$Z$2025&gt;=MIN(DATE(Summary!$C$12,1,1),Summary!$C$11))*('Dvd Calendar'!$Z$2025&lt;=MAX(DATE(Summary!$C$12,12,31),Summary!$C$15))*('Dvd Calendar'!$Z$2025&lt;=Summary!$C$11)=0,"",'Dvd Calendar'!$Z$2025*1000000000+ISNUMBER('Dvd Calendar'!$Z$2026)*100000000+('Dvd Calendar'!$Z$2030='Field Check'!$C$25)*10000000+(N('Dvd Calendar'!$Z$2024)&gt;0)*1000000+35*1000+22))</f>
        <v/>
      </c>
      <c r="Y147" s="41">
        <f>IF(N('Dvd Calendar'!$AA$2025)=0,"",IF(('Dvd Calendar'!$AA$2025&gt;=MIN(DATE(Summary!$C$12,1,1),Summary!$C$11))*('Dvd Calendar'!$AA$2025&lt;=MAX(DATE(Summary!$C$12,12,31),Summary!$C$15))*('Dvd Calendar'!$AA$2025&lt;=Summary!$C$11)=0,"",'Dvd Calendar'!$AA$2025*1000000000+ISNUMBER('Dvd Calendar'!$AA$2026)*100000000+('Dvd Calendar'!$AA$2030='Field Check'!$C$25)*10000000+(N('Dvd Calendar'!$AA$2024)&gt;0)*1000000+35*1000+23))</f>
        <v/>
      </c>
      <c r="Z147" s="41">
        <f>IF(N('Dvd Calendar'!$AB$2025)=0,"",IF(('Dvd Calendar'!$AB$2025&gt;=MIN(DATE(Summary!$C$12,1,1),Summary!$C$11))*('Dvd Calendar'!$AB$2025&lt;=MAX(DATE(Summary!$C$12,12,31),Summary!$C$15))*('Dvd Calendar'!$AB$2025&lt;=Summary!$C$11)=0,"",'Dvd Calendar'!$AB$2025*1000000000+ISNUMBER('Dvd Calendar'!$AB$2026)*100000000+('Dvd Calendar'!$AB$2030='Field Check'!$C$25)*10000000+(N('Dvd Calendar'!$AB$2024)&gt;0)*1000000+35*1000+24))</f>
        <v/>
      </c>
      <c r="AA147" s="41">
        <f>IF(N('Dvd Calendar'!$AC$2025)=0,"",IF(('Dvd Calendar'!$AC$2025&gt;=MIN(DATE(Summary!$C$12,1,1),Summary!$C$11))*('Dvd Calendar'!$AC$2025&lt;=MAX(DATE(Summary!$C$12,12,31),Summary!$C$15))*('Dvd Calendar'!$AC$2025&lt;=Summary!$C$11)=0,"",'Dvd Calendar'!$AC$2025*1000000000+ISNUMBER('Dvd Calendar'!$AC$2026)*100000000+('Dvd Calendar'!$AC$2030='Field Check'!$C$25)*10000000+(N('Dvd Calendar'!$AC$2024)&gt;0)*1000000+35*1000+25))</f>
        <v/>
      </c>
      <c r="AB147" s="41">
        <f>IF(N('Dvd Calendar'!$AD$2025)=0,"",IF(('Dvd Calendar'!$AD$2025&gt;=MIN(DATE(Summary!$C$12,1,1),Summary!$C$11))*('Dvd Calendar'!$AD$2025&lt;=MAX(DATE(Summary!$C$12,12,31),Summary!$C$15))*('Dvd Calendar'!$AD$2025&lt;=Summary!$C$11)=0,"",'Dvd Calendar'!$AD$2025*1000000000+ISNUMBER('Dvd Calendar'!$AD$2026)*100000000+('Dvd Calendar'!$AD$2030='Field Check'!$C$25)*10000000+(N('Dvd Calendar'!$AD$2024)&gt;0)*1000000+35*1000+26))</f>
        <v/>
      </c>
      <c r="AC147" s="41">
        <f>IF(N('Dvd Calendar'!$AE$2025)=0,"",IF(('Dvd Calendar'!$AE$2025&gt;=MIN(DATE(Summary!$C$12,1,1),Summary!$C$11))*('Dvd Calendar'!$AE$2025&lt;=MAX(DATE(Summary!$C$12,12,31),Summary!$C$15))*('Dvd Calendar'!$AE$2025&lt;=Summary!$C$11)=0,"",'Dvd Calendar'!$AE$2025*1000000000+ISNUMBER('Dvd Calendar'!$AE$2026)*100000000+('Dvd Calendar'!$AE$2030='Field Check'!$C$25)*10000000+(N('Dvd Calendar'!$AE$2024)&gt;0)*1000000+35*1000+27))</f>
        <v/>
      </c>
      <c r="AD147" s="41">
        <f>IF(N('Dvd Calendar'!$AF$2025)=0,"",IF(('Dvd Calendar'!$AF$2025&gt;=MIN(DATE(Summary!$C$12,1,1),Summary!$C$11))*('Dvd Calendar'!$AF$2025&lt;=MAX(DATE(Summary!$C$12,12,31),Summary!$C$15))*('Dvd Calendar'!$AF$2025&lt;=Summary!$C$11)=0,"",'Dvd Calendar'!$AF$2025*1000000000+ISNUMBER('Dvd Calendar'!$AF$2026)*100000000+('Dvd Calendar'!$AF$2030='Field Check'!$C$25)*10000000+(N('Dvd Calendar'!$AF$2024)&gt;0)*1000000+35*1000+28))</f>
        <v/>
      </c>
      <c r="AE147" s="41">
        <f>IF(N('Dvd Calendar'!$AG$2025)=0,"",IF(('Dvd Calendar'!$AG$2025&gt;=MIN(DATE(Summary!$C$12,1,1),Summary!$C$11))*('Dvd Calendar'!$AG$2025&lt;=MAX(DATE(Summary!$C$12,12,31),Summary!$C$15))*('Dvd Calendar'!$AG$2025&lt;=Summary!$C$11)=0,"",'Dvd Calendar'!$AG$2025*1000000000+ISNUMBER('Dvd Calendar'!$AG$2026)*100000000+('Dvd Calendar'!$AG$2030='Field Check'!$C$25)*10000000+(N('Dvd Calendar'!$AG$2024)&gt;0)*1000000+35*1000+29))</f>
        <v/>
      </c>
      <c r="AF147" s="41">
        <f>IF(N('Dvd Calendar'!$AH$2025)=0,"",IF(('Dvd Calendar'!$AH$2025&gt;=MIN(DATE(Summary!$C$12,1,1),Summary!$C$11))*('Dvd Calendar'!$AH$2025&lt;=MAX(DATE(Summary!$C$12,12,31),Summary!$C$15))*('Dvd Calendar'!$AH$2025&lt;=Summary!$C$11)=0,"",'Dvd Calendar'!$AH$2025*1000000000+ISNUMBER('Dvd Calendar'!$AH$2026)*100000000+('Dvd Calendar'!$AH$2030='Field Check'!$C$25)*10000000+(N('Dvd Calendar'!$AH$2024)&gt;0)*1000000+35*1000+30))</f>
        <v/>
      </c>
      <c r="AG147" s="41">
        <f>IF(N('Dvd Calendar'!$AI$2025)=0,"",IF(('Dvd Calendar'!$AI$2025&gt;=MIN(DATE(Summary!$C$12,1,1),Summary!$C$11))*('Dvd Calendar'!$AI$2025&lt;=MAX(DATE(Summary!$C$12,12,31),Summary!$C$15))*('Dvd Calendar'!$AI$2025&lt;=Summary!$C$11)=0,"",'Dvd Calendar'!$AI$2025*1000000000+ISNUMBER('Dvd Calendar'!$AI$2026)*100000000+('Dvd Calendar'!$AI$2030='Field Check'!$C$25)*10000000+(N('Dvd Calendar'!$AI$2024)&gt;0)*1000000+35*1000+31))</f>
        <v/>
      </c>
      <c r="AH147" s="41">
        <f>IF(N('Dvd Calendar'!$AJ$2025)=0,"",IF(('Dvd Calendar'!$AJ$2025&gt;=MIN(DATE(Summary!$C$12,1,1),Summary!$C$11))*('Dvd Calendar'!$AJ$2025&lt;=MAX(DATE(Summary!$C$12,12,31),Summary!$C$15))*('Dvd Calendar'!$AJ$2025&lt;=Summary!$C$11)=0,"",'Dvd Calendar'!$AJ$2025*1000000000+ISNUMBER('Dvd Calendar'!$AJ$2026)*100000000+('Dvd Calendar'!$AJ$2030='Field Check'!$C$25)*10000000+(N('Dvd Calendar'!$AJ$2024)&gt;0)*1000000+35*1000+32))</f>
        <v/>
      </c>
      <c r="AI147" s="41">
        <f>IF(N('Dvd Calendar'!$AK$2025)=0,"",IF(('Dvd Calendar'!$AK$2025&gt;=MIN(DATE(Summary!$C$12,1,1),Summary!$C$11))*('Dvd Calendar'!$AK$2025&lt;=MAX(DATE(Summary!$C$12,12,31),Summary!$C$15))*('Dvd Calendar'!$AK$2025&lt;=Summary!$C$11)=0,"",'Dvd Calendar'!$AK$2025*1000000000+ISNUMBER('Dvd Calendar'!$AK$2026)*100000000+('Dvd Calendar'!$AK$2030='Field Check'!$C$25)*10000000+(N('Dvd Calendar'!$AK$2024)&gt;0)*1000000+35*1000+33))</f>
        <v/>
      </c>
      <c r="AJ147" s="41">
        <f>IF(N('Dvd Calendar'!$AL$2025)=0,"",IF(('Dvd Calendar'!$AL$2025&gt;=MIN(DATE(Summary!$C$12,1,1),Summary!$C$11))*('Dvd Calendar'!$AL$2025&lt;=MAX(DATE(Summary!$C$12,12,31),Summary!$C$15))*('Dvd Calendar'!$AL$2025&lt;=Summary!$C$11)=0,"",'Dvd Calendar'!$AL$2025*1000000000+ISNUMBER('Dvd Calendar'!$AL$2026)*100000000+('Dvd Calendar'!$AL$2030='Field Check'!$C$25)*10000000+(N('Dvd Calendar'!$AL$2024)&gt;0)*1000000+35*1000+34))</f>
        <v/>
      </c>
      <c r="AK147" s="41">
        <f>IF(N('Dvd Calendar'!$AM$2025)=0,"",IF(('Dvd Calendar'!$AM$2025&gt;=MIN(DATE(Summary!$C$12,1,1),Summary!$C$11))*('Dvd Calendar'!$AM$2025&lt;=MAX(DATE(Summary!$C$12,12,31),Summary!$C$15))*('Dvd Calendar'!$AM$2025&lt;=Summary!$C$11)=0,"",'Dvd Calendar'!$AM$2025*1000000000+ISNUMBER('Dvd Calendar'!$AM$2026)*100000000+('Dvd Calendar'!$AM$2030='Field Check'!$C$25)*10000000+(N('Dvd Calendar'!$AM$2024)&gt;0)*1000000+35*1000+35))</f>
        <v/>
      </c>
      <c r="AL147" s="41">
        <f>IF(N('Dvd Calendar'!$AN$2025)=0,"",IF(('Dvd Calendar'!$AN$2025&gt;=MIN(DATE(Summary!$C$12,1,1),Summary!$C$11))*('Dvd Calendar'!$AN$2025&lt;=MAX(DATE(Summary!$C$12,12,31),Summary!$C$15))*('Dvd Calendar'!$AN$2025&lt;=Summary!$C$11)=0,"",'Dvd Calendar'!$AN$2025*1000000000+ISNUMBER('Dvd Calendar'!$AN$2026)*100000000+('Dvd Calendar'!$AN$2030='Field Check'!$C$25)*10000000+(N('Dvd Calendar'!$AN$2024)&gt;0)*1000000+35*1000+36))</f>
        <v/>
      </c>
      <c r="AM147" s="41">
        <f>IF(N('Dvd Calendar'!$AO$2025)=0,"",IF(('Dvd Calendar'!$AO$2025&gt;=MIN(DATE(Summary!$C$12,1,1),Summary!$C$11))*('Dvd Calendar'!$AO$2025&lt;=MAX(DATE(Summary!$C$12,12,31),Summary!$C$15))*('Dvd Calendar'!$AO$2025&lt;=Summary!$C$11)=0,"",'Dvd Calendar'!$AO$2025*1000000000+ISNUMBER('Dvd Calendar'!$AO$2026)*100000000+('Dvd Calendar'!$AO$2030='Field Check'!$C$25)*10000000+(N('Dvd Calendar'!$AO$2024)&gt;0)*1000000+35*1000+37))</f>
        <v/>
      </c>
      <c r="AN147" s="41">
        <f>IF(N('Dvd Calendar'!$AP$2025)=0,"",IF(('Dvd Calendar'!$AP$2025&gt;=MIN(DATE(Summary!$C$12,1,1),Summary!$C$11))*('Dvd Calendar'!$AP$2025&lt;=MAX(DATE(Summary!$C$12,12,31),Summary!$C$15))*('Dvd Calendar'!$AP$2025&lt;=Summary!$C$11)=0,"",'Dvd Calendar'!$AP$2025*1000000000+ISNUMBER('Dvd Calendar'!$AP$2026)*100000000+('Dvd Calendar'!$AP$2030='Field Check'!$C$25)*10000000+(N('Dvd Calendar'!$AP$2024)&gt;0)*1000000+35*1000+38))</f>
        <v/>
      </c>
      <c r="AO147" s="41">
        <f>IF(N('Dvd Calendar'!$AQ$2025)=0,"",IF(('Dvd Calendar'!$AQ$2025&gt;=MIN(DATE(Summary!$C$12,1,1),Summary!$C$11))*('Dvd Calendar'!$AQ$2025&lt;=MAX(DATE(Summary!$C$12,12,31),Summary!$C$15))*('Dvd Calendar'!$AQ$2025&lt;=Summary!$C$11)=0,"",'Dvd Calendar'!$AQ$2025*1000000000+ISNUMBER('Dvd Calendar'!$AQ$2026)*100000000+('Dvd Calendar'!$AQ$2030='Field Check'!$C$25)*10000000+(N('Dvd Calendar'!$AQ$2024)&gt;0)*1000000+35*1000+39))</f>
        <v/>
      </c>
      <c r="AP147" s="41">
        <f>IF(N('Dvd Calendar'!$AR$2025)=0,"",IF(('Dvd Calendar'!$AR$2025&gt;=MIN(DATE(Summary!$C$12,1,1),Summary!$C$11))*('Dvd Calendar'!$AR$2025&lt;=MAX(DATE(Summary!$C$12,12,31),Summary!$C$15))*('Dvd Calendar'!$AR$2025&lt;=Summary!$C$11)=0,"",'Dvd Calendar'!$AR$2025*1000000000+ISNUMBER('Dvd Calendar'!$AR$2026)*100000000+('Dvd Calendar'!$AR$2030='Field Check'!$C$25)*10000000+(N('Dvd Calendar'!$AR$2024)&gt;0)*1000000+35*1000+40))</f>
        <v/>
      </c>
      <c r="AQ147" s="41">
        <f>IF(N('Dvd Calendar'!$E$2032)=0,"",IF(('Dvd Calendar'!$E$2032&gt;=MIN(DATE(Summary!$C$12,1,1),Summary!$C$11))*('Dvd Calendar'!$E$2032&lt;=MAX(DATE(Summary!$C$12,12,31),Summary!$C$15))*('Dvd Calendar'!$E$2032&gt;Summary!$C$11)=0,"",'Dvd Calendar'!$E$2032*1000000000+ISNUMBER('Dvd Calendar'!$E$2033)*100000000+('Dvd Calendar'!$E$2037='Field Check'!$C$25)*10000000+(N('Dvd Calendar'!$E$2031)&gt;0)*1000000+35*1000+41))</f>
        <v/>
      </c>
      <c r="AR147" s="41">
        <f>IF(N('Dvd Calendar'!$F$2032)=0,"",IF(('Dvd Calendar'!$F$2032&gt;=MIN(DATE(Summary!$C$12,1,1),Summary!$C$11))*('Dvd Calendar'!$F$2032&lt;=MAX(DATE(Summary!$C$12,12,31),Summary!$C$15))*('Dvd Calendar'!$F$2032&gt;Summary!$C$11)=0,"",'Dvd Calendar'!$F$2032*1000000000+ISNUMBER('Dvd Calendar'!$F$2033)*100000000+('Dvd Calendar'!$F$2037='Field Check'!$C$25)*10000000+(N('Dvd Calendar'!$F$2031)&gt;0)*1000000+35*1000+42))</f>
        <v/>
      </c>
      <c r="AS147" s="41">
        <f>IF(N('Dvd Calendar'!$G$2032)=0,"",IF(('Dvd Calendar'!$G$2032&gt;=MIN(DATE(Summary!$C$12,1,1),Summary!$C$11))*('Dvd Calendar'!$G$2032&lt;=MAX(DATE(Summary!$C$12,12,31),Summary!$C$15))*('Dvd Calendar'!$G$2032&gt;Summary!$C$11)=0,"",'Dvd Calendar'!$G$2032*1000000000+ISNUMBER('Dvd Calendar'!$G$2033)*100000000+('Dvd Calendar'!$G$2037='Field Check'!$C$25)*10000000+(N('Dvd Calendar'!$G$2031)&gt;0)*1000000+35*1000+43))</f>
        <v/>
      </c>
      <c r="AT147" s="41">
        <f>IF(N('Dvd Calendar'!$H$2032)=0,"",IF(('Dvd Calendar'!$H$2032&gt;=MIN(DATE(Summary!$C$12,1,1),Summary!$C$11))*('Dvd Calendar'!$H$2032&lt;=MAX(DATE(Summary!$C$12,12,31),Summary!$C$15))*('Dvd Calendar'!$H$2032&gt;Summary!$C$11)=0,"",'Dvd Calendar'!$H$2032*1000000000+ISNUMBER('Dvd Calendar'!$H$2033)*100000000+('Dvd Calendar'!$H$2037='Field Check'!$C$25)*10000000+(N('Dvd Calendar'!$H$2031)&gt;0)*1000000+35*1000+44))</f>
        <v/>
      </c>
      <c r="AU147" s="41">
        <f>IF(N('Dvd Calendar'!$I$2032)=0,"",IF(('Dvd Calendar'!$I$2032&gt;=MIN(DATE(Summary!$C$12,1,1),Summary!$C$11))*('Dvd Calendar'!$I$2032&lt;=MAX(DATE(Summary!$C$12,12,31),Summary!$C$15))*('Dvd Calendar'!$I$2032&gt;Summary!$C$11)=0,"",'Dvd Calendar'!$I$2032*1000000000+ISNUMBER('Dvd Calendar'!$I$2033)*100000000+('Dvd Calendar'!$I$2037='Field Check'!$C$25)*10000000+(N('Dvd Calendar'!$I$2031)&gt;0)*1000000+35*1000+45))</f>
        <v/>
      </c>
      <c r="AV147" s="41">
        <f>IF(N('Dvd Calendar'!$J$2032)=0,"",IF(('Dvd Calendar'!$J$2032&gt;=MIN(DATE(Summary!$C$12,1,1),Summary!$C$11))*('Dvd Calendar'!$J$2032&lt;=MAX(DATE(Summary!$C$12,12,31),Summary!$C$15))*('Dvd Calendar'!$J$2032&gt;Summary!$C$11)=0,"",'Dvd Calendar'!$J$2032*1000000000+ISNUMBER('Dvd Calendar'!$J$2033)*100000000+('Dvd Calendar'!$J$2037='Field Check'!$C$25)*10000000+(N('Dvd Calendar'!$J$2031)&gt;0)*1000000+35*1000+46))</f>
        <v/>
      </c>
      <c r="AW147" s="41">
        <f>IF(N('Dvd Calendar'!$K$2032)=0,"",IF(('Dvd Calendar'!$K$2032&gt;=MIN(DATE(Summary!$C$12,1,1),Summary!$C$11))*('Dvd Calendar'!$K$2032&lt;=MAX(DATE(Summary!$C$12,12,31),Summary!$C$15))*('Dvd Calendar'!$K$2032&gt;Summary!$C$11)=0,"",'Dvd Calendar'!$K$2032*1000000000+ISNUMBER('Dvd Calendar'!$K$2033)*100000000+('Dvd Calendar'!$K$2037='Field Check'!$C$25)*10000000+(N('Dvd Calendar'!$K$2031)&gt;0)*1000000+35*1000+47))</f>
        <v/>
      </c>
      <c r="AX147" s="41">
        <f>IF(N('Dvd Calendar'!$L$2032)=0,"",IF(('Dvd Calendar'!$L$2032&gt;=MIN(DATE(Summary!$C$12,1,1),Summary!$C$11))*('Dvd Calendar'!$L$2032&lt;=MAX(DATE(Summary!$C$12,12,31),Summary!$C$15))*('Dvd Calendar'!$L$2032&gt;Summary!$C$11)=0,"",'Dvd Calendar'!$L$2032*1000000000+ISNUMBER('Dvd Calendar'!$L$2033)*100000000+('Dvd Calendar'!$L$2037='Field Check'!$C$25)*10000000+(N('Dvd Calendar'!$L$2031)&gt;0)*1000000+35*1000+48))</f>
        <v/>
      </c>
      <c r="AY147" s="41">
        <f>IF(N('Dvd Calendar'!$M$2032)=0,"",IF(('Dvd Calendar'!$M$2032&gt;=MIN(DATE(Summary!$C$12,1,1),Summary!$C$11))*('Dvd Calendar'!$M$2032&lt;=MAX(DATE(Summary!$C$12,12,31),Summary!$C$15))*('Dvd Calendar'!$M$2032&gt;Summary!$C$11)=0,"",'Dvd Calendar'!$M$2032*1000000000+ISNUMBER('Dvd Calendar'!$M$2033)*100000000+('Dvd Calendar'!$M$2037='Field Check'!$C$25)*10000000+(N('Dvd Calendar'!$M$2031)&gt;0)*1000000+35*1000+49))</f>
        <v/>
      </c>
      <c r="AZ147" s="41">
        <f>IF(N('Dvd Calendar'!$N$2032)=0,"",IF(('Dvd Calendar'!$N$2032&gt;=MIN(DATE(Summary!$C$12,1,1),Summary!$C$11))*('Dvd Calendar'!$N$2032&lt;=MAX(DATE(Summary!$C$12,12,31),Summary!$C$15))*('Dvd Calendar'!$N$2032&gt;Summary!$C$11)=0,"",'Dvd Calendar'!$N$2032*1000000000+ISNUMBER('Dvd Calendar'!$N$2033)*100000000+('Dvd Calendar'!$N$2037='Field Check'!$C$25)*10000000+(N('Dvd Calendar'!$N$2031)&gt;0)*1000000+35*1000+50))</f>
        <v/>
      </c>
      <c r="BA147" s="41">
        <f>IF(N('Dvd Calendar'!$O$2032)=0,"",IF(('Dvd Calendar'!$O$2032&gt;=MIN(DATE(Summary!$C$12,1,1),Summary!$C$11))*('Dvd Calendar'!$O$2032&lt;=MAX(DATE(Summary!$C$12,12,31),Summary!$C$15))*('Dvd Calendar'!$O$2032&gt;Summary!$C$11)=0,"",'Dvd Calendar'!$O$2032*1000000000+ISNUMBER('Dvd Calendar'!$O$2033)*100000000+('Dvd Calendar'!$O$2037='Field Check'!$C$25)*10000000+(N('Dvd Calendar'!$O$2031)&gt;0)*1000000+35*1000+51))</f>
        <v/>
      </c>
      <c r="BB147" s="41">
        <f>IF(N('Dvd Calendar'!$P$2032)=0,"",IF(('Dvd Calendar'!$P$2032&gt;=MIN(DATE(Summary!$C$12,1,1),Summary!$C$11))*('Dvd Calendar'!$P$2032&lt;=MAX(DATE(Summary!$C$12,12,31),Summary!$C$15))*('Dvd Calendar'!$P$2032&gt;Summary!$C$11)=0,"",'Dvd Calendar'!$P$2032*1000000000+ISNUMBER('Dvd Calendar'!$P$2033)*100000000+('Dvd Calendar'!$P$2037='Field Check'!$C$25)*10000000+(N('Dvd Calendar'!$P$2031)&gt;0)*1000000+35*1000+52))</f>
        <v/>
      </c>
      <c r="BC147" s="41">
        <f>IF(N('Dvd Calendar'!$Q$2032)=0,"",IF(('Dvd Calendar'!$Q$2032&gt;=MIN(DATE(Summary!$C$12,1,1),Summary!$C$11))*('Dvd Calendar'!$Q$2032&lt;=MAX(DATE(Summary!$C$12,12,31),Summary!$C$15))*('Dvd Calendar'!$Q$2032&gt;Summary!$C$11)=0,"",'Dvd Calendar'!$Q$2032*1000000000+ISNUMBER('Dvd Calendar'!$Q$2033)*100000000+('Dvd Calendar'!$Q$2037='Field Check'!$C$25)*10000000+(N('Dvd Calendar'!$Q$2031)&gt;0)*1000000+35*1000+53))</f>
        <v/>
      </c>
      <c r="BD147" s="41">
        <f>IF(N('Dvd Calendar'!$R$2032)=0,"",IF(('Dvd Calendar'!$R$2032&gt;=MIN(DATE(Summary!$C$12,1,1),Summary!$C$11))*('Dvd Calendar'!$R$2032&lt;=MAX(DATE(Summary!$C$12,12,31),Summary!$C$15))*('Dvd Calendar'!$R$2032&gt;Summary!$C$11)=0,"",'Dvd Calendar'!$R$2032*1000000000+ISNUMBER('Dvd Calendar'!$R$2033)*100000000+('Dvd Calendar'!$R$2037='Field Check'!$C$25)*10000000+(N('Dvd Calendar'!$R$2031)&gt;0)*1000000+35*1000+54))</f>
        <v/>
      </c>
      <c r="BE147" s="41">
        <f>IF(N('Dvd Calendar'!$S$2032)=0,"",IF(('Dvd Calendar'!$S$2032&gt;=MIN(DATE(Summary!$C$12,1,1),Summary!$C$11))*('Dvd Calendar'!$S$2032&lt;=MAX(DATE(Summary!$C$12,12,31),Summary!$C$15))*('Dvd Calendar'!$S$2032&gt;Summary!$C$11)=0,"",'Dvd Calendar'!$S$2032*1000000000+ISNUMBER('Dvd Calendar'!$S$2033)*100000000+('Dvd Calendar'!$S$2037='Field Check'!$C$25)*10000000+(N('Dvd Calendar'!$S$2031)&gt;0)*1000000+35*1000+55))</f>
        <v/>
      </c>
      <c r="BF147" s="41">
        <f>IF(N('Dvd Calendar'!$T$2032)=0,"",IF(('Dvd Calendar'!$T$2032&gt;=MIN(DATE(Summary!$C$12,1,1),Summary!$C$11))*('Dvd Calendar'!$T$2032&lt;=MAX(DATE(Summary!$C$12,12,31),Summary!$C$15))*('Dvd Calendar'!$T$2032&gt;Summary!$C$11)=0,"",'Dvd Calendar'!$T$2032*1000000000+ISNUMBER('Dvd Calendar'!$T$2033)*100000000+('Dvd Calendar'!$T$2037='Field Check'!$C$25)*10000000+(N('Dvd Calendar'!$T$2031)&gt;0)*1000000+35*1000+56))</f>
        <v/>
      </c>
      <c r="BG147" s="41">
        <f>IF(N('Dvd Calendar'!$U$2032)=0,"",IF(('Dvd Calendar'!$U$2032&gt;=MIN(DATE(Summary!$C$12,1,1),Summary!$C$11))*('Dvd Calendar'!$U$2032&lt;=MAX(DATE(Summary!$C$12,12,31),Summary!$C$15))*('Dvd Calendar'!$U$2032&gt;Summary!$C$11)=0,"",'Dvd Calendar'!$U$2032*1000000000+ISNUMBER('Dvd Calendar'!$U$2033)*100000000+('Dvd Calendar'!$U$2037='Field Check'!$C$25)*10000000+(N('Dvd Calendar'!$U$2031)&gt;0)*1000000+35*1000+57))</f>
        <v/>
      </c>
      <c r="BH147" s="41">
        <f>IF(N('Dvd Calendar'!$V$2032)=0,"",IF(('Dvd Calendar'!$V$2032&gt;=MIN(DATE(Summary!$C$12,1,1),Summary!$C$11))*('Dvd Calendar'!$V$2032&lt;=MAX(DATE(Summary!$C$12,12,31),Summary!$C$15))*('Dvd Calendar'!$V$2032&gt;Summary!$C$11)=0,"",'Dvd Calendar'!$V$2032*1000000000+ISNUMBER('Dvd Calendar'!$V$2033)*100000000+('Dvd Calendar'!$V$2037='Field Check'!$C$25)*10000000+(N('Dvd Calendar'!$V$2031)&gt;0)*1000000+35*1000+58))</f>
        <v/>
      </c>
      <c r="BI147" s="41">
        <f>IF(N('Dvd Calendar'!$W$2032)=0,"",IF(('Dvd Calendar'!$W$2032&gt;=MIN(DATE(Summary!$C$12,1,1),Summary!$C$11))*('Dvd Calendar'!$W$2032&lt;=MAX(DATE(Summary!$C$12,12,31),Summary!$C$15))*('Dvd Calendar'!$W$2032&gt;Summary!$C$11)=0,"",'Dvd Calendar'!$W$2032*1000000000+ISNUMBER('Dvd Calendar'!$W$2033)*100000000+('Dvd Calendar'!$W$2037='Field Check'!$C$25)*10000000+(N('Dvd Calendar'!$W$2031)&gt;0)*1000000+35*1000+59))</f>
        <v/>
      </c>
      <c r="BJ147" s="41">
        <f>IF(N('Dvd Calendar'!$X$2032)=0,"",IF(('Dvd Calendar'!$X$2032&gt;=MIN(DATE(Summary!$C$12,1,1),Summary!$C$11))*('Dvd Calendar'!$X$2032&lt;=MAX(DATE(Summary!$C$12,12,31),Summary!$C$15))*('Dvd Calendar'!$X$2032&gt;Summary!$C$11)=0,"",'Dvd Calendar'!$X$2032*1000000000+ISNUMBER('Dvd Calendar'!$X$2033)*100000000+('Dvd Calendar'!$X$2037='Field Check'!$C$25)*10000000+(N('Dvd Calendar'!$X$2031)&gt;0)*1000000+35*1000+60))</f>
        <v/>
      </c>
      <c r="BK147" s="41">
        <f>IF(N('Dvd Calendar'!$Y$2032)=0,"",IF(('Dvd Calendar'!$Y$2032&gt;=MIN(DATE(Summary!$C$12,1,1),Summary!$C$11))*('Dvd Calendar'!$Y$2032&lt;=MAX(DATE(Summary!$C$12,12,31),Summary!$C$15))*('Dvd Calendar'!$Y$2032&gt;Summary!$C$11)=0,"",'Dvd Calendar'!$Y$2032*1000000000+ISNUMBER('Dvd Calendar'!$Y$2033)*100000000+('Dvd Calendar'!$Y$2037='Field Check'!$C$25)*10000000+(N('Dvd Calendar'!$Y$2031)&gt;0)*1000000+35*1000+61))</f>
        <v/>
      </c>
      <c r="BL147" s="41">
        <f>IF(N('Dvd Calendar'!$Z$2032)=0,"",IF(('Dvd Calendar'!$Z$2032&gt;=MIN(DATE(Summary!$C$12,1,1),Summary!$C$11))*('Dvd Calendar'!$Z$2032&lt;=MAX(DATE(Summary!$C$12,12,31),Summary!$C$15))*('Dvd Calendar'!$Z$2032&gt;Summary!$C$11)=0,"",'Dvd Calendar'!$Z$2032*1000000000+ISNUMBER('Dvd Calendar'!$Z$2033)*100000000+('Dvd Calendar'!$Z$2037='Field Check'!$C$25)*10000000+(N('Dvd Calendar'!$Z$2031)&gt;0)*1000000+35*1000+62))</f>
        <v/>
      </c>
      <c r="BM147" s="41">
        <f>IF(N('Dvd Calendar'!$AA$2032)=0,"",IF(('Dvd Calendar'!$AA$2032&gt;=MIN(DATE(Summary!$C$12,1,1),Summary!$C$11))*('Dvd Calendar'!$AA$2032&lt;=MAX(DATE(Summary!$C$12,12,31),Summary!$C$15))*('Dvd Calendar'!$AA$2032&gt;Summary!$C$11)=0,"",'Dvd Calendar'!$AA$2032*1000000000+ISNUMBER('Dvd Calendar'!$AA$2033)*100000000+('Dvd Calendar'!$AA$2037='Field Check'!$C$25)*10000000+(N('Dvd Calendar'!$AA$2031)&gt;0)*1000000+35*1000+63))</f>
        <v/>
      </c>
      <c r="BN147" s="41">
        <f>IF(N('Dvd Calendar'!$AB$2032)=0,"",IF(('Dvd Calendar'!$AB$2032&gt;=MIN(DATE(Summary!$C$12,1,1),Summary!$C$11))*('Dvd Calendar'!$AB$2032&lt;=MAX(DATE(Summary!$C$12,12,31),Summary!$C$15))*('Dvd Calendar'!$AB$2032&gt;Summary!$C$11)=0,"",'Dvd Calendar'!$AB$2032*1000000000+ISNUMBER('Dvd Calendar'!$AB$2033)*100000000+('Dvd Calendar'!$AB$2037='Field Check'!$C$25)*10000000+(N('Dvd Calendar'!$AB$2031)&gt;0)*1000000+35*1000+64))</f>
        <v/>
      </c>
      <c r="BO147" s="41">
        <f>IF(N('Dvd Calendar'!$AC$2032)=0,"",IF(('Dvd Calendar'!$AC$2032&gt;=MIN(DATE(Summary!$C$12,1,1),Summary!$C$11))*('Dvd Calendar'!$AC$2032&lt;=MAX(DATE(Summary!$C$12,12,31),Summary!$C$15))*('Dvd Calendar'!$AC$2032&gt;Summary!$C$11)=0,"",'Dvd Calendar'!$AC$2032*1000000000+ISNUMBER('Dvd Calendar'!$AC$2033)*100000000+('Dvd Calendar'!$AC$2037='Field Check'!$C$25)*10000000+(N('Dvd Calendar'!$AC$2031)&gt;0)*1000000+35*1000+65))</f>
        <v/>
      </c>
      <c r="BQ147" s="85">
        <f>IF(C147="","",IF(ISNUMBER('Dvd Calendar'!$E$2026)=FALSE,"",IF((Summary!$C$13="N")*('Dvd Calendar'!$E$2030='Field Check'!$C$25)&gt;0,"",'Dvd Calendar'!$E$2026)))</f>
        <v/>
      </c>
      <c r="BR147" s="85">
        <f>IF(D147="","",IF(ISNUMBER('Dvd Calendar'!$F$2026)=FALSE,"",IF((Summary!$C$13="N")*('Dvd Calendar'!$F$2030='Field Check'!$C$25)&gt;0,"",'Dvd Calendar'!$F$2026)))</f>
        <v/>
      </c>
      <c r="BS147" s="85">
        <f>IF(E147="","",IF(ISNUMBER('Dvd Calendar'!$G$2026)=FALSE,"",IF((Summary!$C$13="N")*('Dvd Calendar'!$G$2030='Field Check'!$C$25)&gt;0,"",'Dvd Calendar'!$G$2026)))</f>
        <v/>
      </c>
      <c r="BT147" s="85">
        <f>IF(F147="","",IF(ISNUMBER('Dvd Calendar'!$H$2026)=FALSE,"",IF((Summary!$C$13="N")*('Dvd Calendar'!$H$2030='Field Check'!$C$25)&gt;0,"",'Dvd Calendar'!$H$2026)))</f>
        <v/>
      </c>
      <c r="BU147" s="85">
        <f>IF(G147="","",IF(ISNUMBER('Dvd Calendar'!$I$2026)=FALSE,"",IF((Summary!$C$13="N")*('Dvd Calendar'!$I$2030='Field Check'!$C$25)&gt;0,"",'Dvd Calendar'!$I$2026)))</f>
        <v/>
      </c>
      <c r="BV147" s="85">
        <f>IF(H147="","",IF(ISNUMBER('Dvd Calendar'!$J$2026)=FALSE,"",IF((Summary!$C$13="N")*('Dvd Calendar'!$J$2030='Field Check'!$C$25)&gt;0,"",'Dvd Calendar'!$J$2026)))</f>
        <v/>
      </c>
      <c r="BW147" s="85">
        <f>IF(I147="","",IF(ISNUMBER('Dvd Calendar'!$K$2026)=FALSE,"",IF((Summary!$C$13="N")*('Dvd Calendar'!$K$2030='Field Check'!$C$25)&gt;0,"",'Dvd Calendar'!$K$2026)))</f>
        <v/>
      </c>
      <c r="BX147" s="85">
        <f>IF(J147="","",IF(ISNUMBER('Dvd Calendar'!$L$2026)=FALSE,"",IF((Summary!$C$13="N")*('Dvd Calendar'!$L$2030='Field Check'!$C$25)&gt;0,"",'Dvd Calendar'!$L$2026)))</f>
        <v/>
      </c>
      <c r="BY147" s="85">
        <f>IF(K147="","",IF(ISNUMBER('Dvd Calendar'!$M$2026)=FALSE,"",IF((Summary!$C$13="N")*('Dvd Calendar'!$M$2030='Field Check'!$C$25)&gt;0,"",'Dvd Calendar'!$M$2026)))</f>
        <v/>
      </c>
      <c r="BZ147" s="85">
        <f>IF(L147="","",IF(ISNUMBER('Dvd Calendar'!$N$2026)=FALSE,"",IF((Summary!$C$13="N")*('Dvd Calendar'!$N$2030='Field Check'!$C$25)&gt;0,"",'Dvd Calendar'!$N$2026)))</f>
        <v/>
      </c>
      <c r="CA147" s="85">
        <f>IF(M147="","",IF(ISNUMBER('Dvd Calendar'!$O$2026)=FALSE,"",IF((Summary!$C$13="N")*('Dvd Calendar'!$O$2030='Field Check'!$C$25)&gt;0,"",'Dvd Calendar'!$O$2026)))</f>
        <v/>
      </c>
      <c r="CB147" s="85">
        <f>IF(N147="","",IF(ISNUMBER('Dvd Calendar'!$P$2026)=FALSE,"",IF((Summary!$C$13="N")*('Dvd Calendar'!$P$2030='Field Check'!$C$25)&gt;0,"",'Dvd Calendar'!$P$2026)))</f>
        <v/>
      </c>
      <c r="CC147" s="85">
        <f>IF(O147="","",IF(ISNUMBER('Dvd Calendar'!$Q$2026)=FALSE,"",IF((Summary!$C$13="N")*('Dvd Calendar'!$Q$2030='Field Check'!$C$25)&gt;0,"",'Dvd Calendar'!$Q$2026)))</f>
        <v/>
      </c>
      <c r="CD147" s="85">
        <f>IF(P147="","",IF(ISNUMBER('Dvd Calendar'!$R$2026)=FALSE,"",IF((Summary!$C$13="N")*('Dvd Calendar'!$R$2030='Field Check'!$C$25)&gt;0,"",'Dvd Calendar'!$R$2026)))</f>
        <v/>
      </c>
      <c r="CE147" s="85">
        <f>IF(Q147="","",IF(ISNUMBER('Dvd Calendar'!$S$2026)=FALSE,"",IF((Summary!$C$13="N")*('Dvd Calendar'!$S$2030='Field Check'!$C$25)&gt;0,"",'Dvd Calendar'!$S$2026)))</f>
        <v/>
      </c>
      <c r="CF147" s="85">
        <f>IF(R147="","",IF(ISNUMBER('Dvd Calendar'!$T$2026)=FALSE,"",IF((Summary!$C$13="N")*('Dvd Calendar'!$T$2030='Field Check'!$C$25)&gt;0,"",'Dvd Calendar'!$T$2026)))</f>
        <v/>
      </c>
      <c r="CG147" s="85">
        <f>IF(S147="","",IF(ISNUMBER('Dvd Calendar'!$U$2026)=FALSE,"",IF((Summary!$C$13="N")*('Dvd Calendar'!$U$2030='Field Check'!$C$25)&gt;0,"",'Dvd Calendar'!$U$2026)))</f>
        <v/>
      </c>
      <c r="CH147" s="85">
        <f>IF(T147="","",IF(ISNUMBER('Dvd Calendar'!$V$2026)=FALSE,"",IF((Summary!$C$13="N")*('Dvd Calendar'!$V$2030='Field Check'!$C$25)&gt;0,"",'Dvd Calendar'!$V$2026)))</f>
        <v/>
      </c>
      <c r="CI147" s="85">
        <f>IF(U147="","",IF(ISNUMBER('Dvd Calendar'!$W$2026)=FALSE,"",IF((Summary!$C$13="N")*('Dvd Calendar'!$W$2030='Field Check'!$C$25)&gt;0,"",'Dvd Calendar'!$W$2026)))</f>
        <v/>
      </c>
      <c r="CJ147" s="85">
        <f>IF(V147="","",IF(ISNUMBER('Dvd Calendar'!$X$2026)=FALSE,"",IF((Summary!$C$13="N")*('Dvd Calendar'!$X$2030='Field Check'!$C$25)&gt;0,"",'Dvd Calendar'!$X$2026)))</f>
        <v/>
      </c>
      <c r="CK147" s="85">
        <f>IF(W147="","",IF(ISNUMBER('Dvd Calendar'!$Y$2026)=FALSE,"",IF((Summary!$C$13="N")*('Dvd Calendar'!$Y$2030='Field Check'!$C$25)&gt;0,"",'Dvd Calendar'!$Y$2026)))</f>
        <v/>
      </c>
      <c r="CL147" s="85">
        <f>IF(X147="","",IF(ISNUMBER('Dvd Calendar'!$Z$2026)=FALSE,"",IF((Summary!$C$13="N")*('Dvd Calendar'!$Z$2030='Field Check'!$C$25)&gt;0,"",'Dvd Calendar'!$Z$2026)))</f>
        <v/>
      </c>
      <c r="CM147" s="85">
        <f>IF(Y147="","",IF(ISNUMBER('Dvd Calendar'!$AA$2026)=FALSE,"",IF((Summary!$C$13="N")*('Dvd Calendar'!$AA$2030='Field Check'!$C$25)&gt;0,"",'Dvd Calendar'!$AA$2026)))</f>
        <v/>
      </c>
      <c r="CN147" s="85">
        <f>IF(Z147="","",IF(ISNUMBER('Dvd Calendar'!$AB$2026)=FALSE,"",IF((Summary!$C$13="N")*('Dvd Calendar'!$AB$2030='Field Check'!$C$25)&gt;0,"",'Dvd Calendar'!$AB$2026)))</f>
        <v/>
      </c>
      <c r="CO147" s="85">
        <f>IF(AA147="","",IF(ISNUMBER('Dvd Calendar'!$AC$2026)=FALSE,"",IF((Summary!$C$13="N")*('Dvd Calendar'!$AC$2030='Field Check'!$C$25)&gt;0,"",'Dvd Calendar'!$AC$2026)))</f>
        <v/>
      </c>
      <c r="CP147" s="85">
        <f>IF(AB147="","",IF(ISNUMBER('Dvd Calendar'!$AD$2026)=FALSE,"",IF((Summary!$C$13="N")*('Dvd Calendar'!$AD$2030='Field Check'!$C$25)&gt;0,"",'Dvd Calendar'!$AD$2026)))</f>
        <v/>
      </c>
      <c r="CQ147" s="85">
        <f>IF(AC147="","",IF(ISNUMBER('Dvd Calendar'!$AE$2026)=FALSE,"",IF((Summary!$C$13="N")*('Dvd Calendar'!$AE$2030='Field Check'!$C$25)&gt;0,"",'Dvd Calendar'!$AE$2026)))</f>
        <v/>
      </c>
      <c r="CR147" s="85">
        <f>IF(AD147="","",IF(ISNUMBER('Dvd Calendar'!$AF$2026)=FALSE,"",IF((Summary!$C$13="N")*('Dvd Calendar'!$AF$2030='Field Check'!$C$25)&gt;0,"",'Dvd Calendar'!$AF$2026)))</f>
        <v/>
      </c>
      <c r="CS147" s="85">
        <f>IF(AE147="","",IF(ISNUMBER('Dvd Calendar'!$AG$2026)=FALSE,"",IF((Summary!$C$13="N")*('Dvd Calendar'!$AG$2030='Field Check'!$C$25)&gt;0,"",'Dvd Calendar'!$AG$2026)))</f>
        <v/>
      </c>
      <c r="CT147" s="85">
        <f>IF(AF147="","",IF(ISNUMBER('Dvd Calendar'!$AH$2026)=FALSE,"",IF((Summary!$C$13="N")*('Dvd Calendar'!$AH$2030='Field Check'!$C$25)&gt;0,"",'Dvd Calendar'!$AH$2026)))</f>
        <v/>
      </c>
      <c r="CU147" s="85">
        <f>IF(AG147="","",IF(ISNUMBER('Dvd Calendar'!$AI$2026)=FALSE,"",IF((Summary!$C$13="N")*('Dvd Calendar'!$AI$2030='Field Check'!$C$25)&gt;0,"",'Dvd Calendar'!$AI$2026)))</f>
        <v/>
      </c>
      <c r="CV147" s="85">
        <f>IF(AH147="","",IF(ISNUMBER('Dvd Calendar'!$AJ$2026)=FALSE,"",IF((Summary!$C$13="N")*('Dvd Calendar'!$AJ$2030='Field Check'!$C$25)&gt;0,"",'Dvd Calendar'!$AJ$2026)))</f>
        <v/>
      </c>
      <c r="CW147" s="85">
        <f>IF(AI147="","",IF(ISNUMBER('Dvd Calendar'!$AK$2026)=FALSE,"",IF((Summary!$C$13="N")*('Dvd Calendar'!$AK$2030='Field Check'!$C$25)&gt;0,"",'Dvd Calendar'!$AK$2026)))</f>
        <v/>
      </c>
      <c r="CX147" s="85">
        <f>IF(AJ147="","",IF(ISNUMBER('Dvd Calendar'!$AL$2026)=FALSE,"",IF((Summary!$C$13="N")*('Dvd Calendar'!$AL$2030='Field Check'!$C$25)&gt;0,"",'Dvd Calendar'!$AL$2026)))</f>
        <v/>
      </c>
      <c r="CY147" s="85">
        <f>IF(AK147="","",IF(ISNUMBER('Dvd Calendar'!$AM$2026)=FALSE,"",IF((Summary!$C$13="N")*('Dvd Calendar'!$AM$2030='Field Check'!$C$25)&gt;0,"",'Dvd Calendar'!$AM$2026)))</f>
        <v/>
      </c>
      <c r="CZ147" s="85">
        <f>IF(AL147="","",IF(ISNUMBER('Dvd Calendar'!$AN$2026)=FALSE,"",IF((Summary!$C$13="N")*('Dvd Calendar'!$AN$2030='Field Check'!$C$25)&gt;0,"",'Dvd Calendar'!$AN$2026)))</f>
        <v/>
      </c>
      <c r="DA147" s="85">
        <f>IF(AM147="","",IF(ISNUMBER('Dvd Calendar'!$AO$2026)=FALSE,"",IF((Summary!$C$13="N")*('Dvd Calendar'!$AO$2030='Field Check'!$C$25)&gt;0,"",'Dvd Calendar'!$AO$2026)))</f>
        <v/>
      </c>
      <c r="DB147" s="85">
        <f>IF(AN147="","",IF(ISNUMBER('Dvd Calendar'!$AP$2026)=FALSE,"",IF((Summary!$C$13="N")*('Dvd Calendar'!$AP$2030='Field Check'!$C$25)&gt;0,"",'Dvd Calendar'!$AP$2026)))</f>
        <v/>
      </c>
      <c r="DC147" s="85">
        <f>IF(AO147="","",IF(ISNUMBER('Dvd Calendar'!$AQ$2026)=FALSE,"",IF((Summary!$C$13="N")*('Dvd Calendar'!$AQ$2030='Field Check'!$C$25)&gt;0,"",'Dvd Calendar'!$AQ$2026)))</f>
        <v/>
      </c>
      <c r="DD147" s="85">
        <f>IF(AP147="","",IF(ISNUMBER('Dvd Calendar'!$AR$2026)=FALSE,"",IF((Summary!$C$13="N")*('Dvd Calendar'!$AR$2030='Field Check'!$C$25)&gt;0,"",'Dvd Calendar'!$AR$2026)))</f>
        <v/>
      </c>
      <c r="DE147" s="85">
        <f>IF(AQ147="","",IF(ISNUMBER('Dvd Calendar'!$E$2033)=FALSE,"",IF((Summary!$C$13="N")*('Dvd Calendar'!$E$2037='Field Check'!$C$25)&gt;0,"",'Dvd Calendar'!$E$2033)))</f>
        <v/>
      </c>
      <c r="DF147" s="85">
        <f>IF(AR147="","",IF(ISNUMBER('Dvd Calendar'!$F$2033)=FALSE,"",IF((Summary!$C$13="N")*('Dvd Calendar'!$F$2037='Field Check'!$C$25)&gt;0,"",'Dvd Calendar'!$F$2033)))</f>
        <v/>
      </c>
      <c r="DG147" s="85">
        <f>IF(AS147="","",IF(ISNUMBER('Dvd Calendar'!$G$2033)=FALSE,"",IF((Summary!$C$13="N")*('Dvd Calendar'!$G$2037='Field Check'!$C$25)&gt;0,"",'Dvd Calendar'!$G$2033)))</f>
        <v/>
      </c>
      <c r="DH147" s="85">
        <f>IF(AT147="","",IF(ISNUMBER('Dvd Calendar'!$H$2033)=FALSE,"",IF((Summary!$C$13="N")*('Dvd Calendar'!$H$2037='Field Check'!$C$25)&gt;0,"",'Dvd Calendar'!$H$2033)))</f>
        <v/>
      </c>
      <c r="DI147" s="85">
        <f>IF(AU147="","",IF(ISNUMBER('Dvd Calendar'!$I$2033)=FALSE,"",IF((Summary!$C$13="N")*('Dvd Calendar'!$I$2037='Field Check'!$C$25)&gt;0,"",'Dvd Calendar'!$I$2033)))</f>
        <v/>
      </c>
      <c r="DJ147" s="85">
        <f>IF(AV147="","",IF(ISNUMBER('Dvd Calendar'!$J$2033)=FALSE,"",IF((Summary!$C$13="N")*('Dvd Calendar'!$J$2037='Field Check'!$C$25)&gt;0,"",'Dvd Calendar'!$J$2033)))</f>
        <v/>
      </c>
      <c r="DK147" s="85">
        <f>IF(AW147="","",IF(ISNUMBER('Dvd Calendar'!$K$2033)=FALSE,"",IF((Summary!$C$13="N")*('Dvd Calendar'!$K$2037='Field Check'!$C$25)&gt;0,"",'Dvd Calendar'!$K$2033)))</f>
        <v/>
      </c>
      <c r="DL147" s="85">
        <f>IF(AX147="","",IF(ISNUMBER('Dvd Calendar'!$L$2033)=FALSE,"",IF((Summary!$C$13="N")*('Dvd Calendar'!$L$2037='Field Check'!$C$25)&gt;0,"",'Dvd Calendar'!$L$2033)))</f>
        <v/>
      </c>
      <c r="DM147" s="85">
        <f>IF(AY147="","",IF(ISNUMBER('Dvd Calendar'!$M$2033)=FALSE,"",IF((Summary!$C$13="N")*('Dvd Calendar'!$M$2037='Field Check'!$C$25)&gt;0,"",'Dvd Calendar'!$M$2033)))</f>
        <v/>
      </c>
      <c r="DN147" s="85">
        <f>IF(AZ147="","",IF(ISNUMBER('Dvd Calendar'!$N$2033)=FALSE,"",IF((Summary!$C$13="N")*('Dvd Calendar'!$N$2037='Field Check'!$C$25)&gt;0,"",'Dvd Calendar'!$N$2033)))</f>
        <v/>
      </c>
      <c r="DO147" s="85">
        <f>IF(BA147="","",IF(ISNUMBER('Dvd Calendar'!$O$2033)=FALSE,"",IF((Summary!$C$13="N")*('Dvd Calendar'!$O$2037='Field Check'!$C$25)&gt;0,"",'Dvd Calendar'!$O$2033)))</f>
        <v/>
      </c>
      <c r="DP147" s="85">
        <f>IF(BB147="","",IF(ISNUMBER('Dvd Calendar'!$P$2033)=FALSE,"",IF((Summary!$C$13="N")*('Dvd Calendar'!$P$2037='Field Check'!$C$25)&gt;0,"",'Dvd Calendar'!$P$2033)))</f>
        <v/>
      </c>
      <c r="DQ147" s="85">
        <f>IF(BC147="","",IF(ISNUMBER('Dvd Calendar'!$Q$2033)=FALSE,"",IF((Summary!$C$13="N")*('Dvd Calendar'!$Q$2037='Field Check'!$C$25)&gt;0,"",'Dvd Calendar'!$Q$2033)))</f>
        <v/>
      </c>
      <c r="DR147" s="85">
        <f>IF(BD147="","",IF(ISNUMBER('Dvd Calendar'!$R$2033)=FALSE,"",IF((Summary!$C$13="N")*('Dvd Calendar'!$R$2037='Field Check'!$C$25)&gt;0,"",'Dvd Calendar'!$R$2033)))</f>
        <v/>
      </c>
      <c r="DS147" s="85">
        <f>IF(BE147="","",IF(ISNUMBER('Dvd Calendar'!$S$2033)=FALSE,"",IF((Summary!$C$13="N")*('Dvd Calendar'!$S$2037='Field Check'!$C$25)&gt;0,"",'Dvd Calendar'!$S$2033)))</f>
        <v/>
      </c>
      <c r="DT147" s="85">
        <f>IF(BF147="","",IF(ISNUMBER('Dvd Calendar'!$T$2033)=FALSE,"",IF((Summary!$C$13="N")*('Dvd Calendar'!$T$2037='Field Check'!$C$25)&gt;0,"",'Dvd Calendar'!$T$2033)))</f>
        <v/>
      </c>
      <c r="DU147" s="85">
        <f>IF(BG147="","",IF(ISNUMBER('Dvd Calendar'!$U$2033)=FALSE,"",IF((Summary!$C$13="N")*('Dvd Calendar'!$U$2037='Field Check'!$C$25)&gt;0,"",'Dvd Calendar'!$U$2033)))</f>
        <v/>
      </c>
      <c r="DV147" s="85">
        <f>IF(BH147="","",IF(ISNUMBER('Dvd Calendar'!$V$2033)=FALSE,"",IF((Summary!$C$13="N")*('Dvd Calendar'!$V$2037='Field Check'!$C$25)&gt;0,"",'Dvd Calendar'!$V$2033)))</f>
        <v/>
      </c>
      <c r="DW147" s="85">
        <f>IF(BI147="","",IF(ISNUMBER('Dvd Calendar'!$W$2033)=FALSE,"",IF((Summary!$C$13="N")*('Dvd Calendar'!$W$2037='Field Check'!$C$25)&gt;0,"",'Dvd Calendar'!$W$2033)))</f>
        <v/>
      </c>
      <c r="DX147" s="85">
        <f>IF(BJ147="","",IF(ISNUMBER('Dvd Calendar'!$X$2033)=FALSE,"",IF((Summary!$C$13="N")*('Dvd Calendar'!$X$2037='Field Check'!$C$25)&gt;0,"",'Dvd Calendar'!$X$2033)))</f>
        <v/>
      </c>
      <c r="DY147" s="85">
        <f>IF(BK147="","",IF(ISNUMBER('Dvd Calendar'!$Y$2033)=FALSE,"",IF((Summary!$C$13="N")*('Dvd Calendar'!$Y$2037='Field Check'!$C$25)&gt;0,"",'Dvd Calendar'!$Y$2033)))</f>
        <v/>
      </c>
      <c r="DZ147" s="85">
        <f>IF(BL147="","",IF(ISNUMBER('Dvd Calendar'!$Z$2033)=FALSE,"",IF((Summary!$C$13="N")*('Dvd Calendar'!$Z$2037='Field Check'!$C$25)&gt;0,"",'Dvd Calendar'!$Z$2033)))</f>
        <v/>
      </c>
      <c r="EA147" s="85">
        <f>IF(BM147="","",IF(ISNUMBER('Dvd Calendar'!$AA$2033)=FALSE,"",IF((Summary!$C$13="N")*('Dvd Calendar'!$AA$2037='Field Check'!$C$25)&gt;0,"",'Dvd Calendar'!$AA$2033)))</f>
        <v/>
      </c>
      <c r="EB147" s="85">
        <f>IF(BN147="","",IF(ISNUMBER('Dvd Calendar'!$AB$2033)=FALSE,"",IF((Summary!$C$13="N")*('Dvd Calendar'!$AB$2037='Field Check'!$C$25)&gt;0,"",'Dvd Calendar'!$AB$2033)))</f>
        <v/>
      </c>
      <c r="EC147" s="85">
        <f>IF(BO147="","",IF(ISNUMBER('Dvd Calendar'!$AC$2033)=FALSE,"",IF((Summary!$C$13="N")*('Dvd Calendar'!$AC$2037='Field Check'!$C$25)&gt;0,"",'Dvd Calendar'!$AC$2033)))</f>
        <v/>
      </c>
      <c r="EE147" s="85">
        <f>IF(BQ147="","",IFERROR(BQ147*HSTECH!$B$41*HSTECH!$G$41/HSTECH!$B$3,""))</f>
        <v/>
      </c>
      <c r="EF147" s="85">
        <f>IF(BR147="","",IFERROR(BR147*HSTECH!$B$41*HSTECH!$G$41/HSTECH!$B$3,""))</f>
        <v/>
      </c>
      <c r="EG147" s="85">
        <f>IF(BS147="","",IFERROR(BS147*HSTECH!$B$41*HSTECH!$G$41/HSTECH!$B$3,""))</f>
        <v/>
      </c>
      <c r="EH147" s="85">
        <f>IF(BT147="","",IFERROR(BT147*HSTECH!$B$41*HSTECH!$G$41/HSTECH!$B$3,""))</f>
        <v/>
      </c>
      <c r="EI147" s="85">
        <f>IF(BU147="","",IFERROR(BU147*HSTECH!$B$41*HSTECH!$G$41/HSTECH!$B$3,""))</f>
        <v/>
      </c>
      <c r="EJ147" s="85">
        <f>IF(BV147="","",IFERROR(BV147*HSTECH!$B$41*HSTECH!$G$41/HSTECH!$B$3,""))</f>
        <v/>
      </c>
      <c r="EK147" s="85">
        <f>IF(BW147="","",IFERROR(BW147*HSTECH!$B$41*HSTECH!$G$41/HSTECH!$B$3,""))</f>
        <v/>
      </c>
      <c r="EL147" s="85">
        <f>IF(BX147="","",IFERROR(BX147*HSTECH!$B$41*HSTECH!$G$41/HSTECH!$B$3,""))</f>
        <v/>
      </c>
      <c r="EM147" s="85">
        <f>IF(BY147="","",IFERROR(BY147*HSTECH!$B$41*HSTECH!$G$41/HSTECH!$B$3,""))</f>
        <v/>
      </c>
      <c r="EN147" s="85">
        <f>IF(BZ147="","",IFERROR(BZ147*HSTECH!$B$41*HSTECH!$G$41/HSTECH!$B$3,""))</f>
        <v/>
      </c>
      <c r="EO147" s="85">
        <f>IF(CA147="","",IFERROR(CA147*HSTECH!$B$41*HSTECH!$G$41/HSTECH!$B$3,""))</f>
        <v/>
      </c>
      <c r="EP147" s="85">
        <f>IF(CB147="","",IFERROR(CB147*HSTECH!$B$41*HSTECH!$G$41/HSTECH!$B$3,""))</f>
        <v/>
      </c>
      <c r="EQ147" s="85">
        <f>IF(CC147="","",IFERROR(CC147*HSTECH!$B$41*HSTECH!$G$41/HSTECH!$B$3,""))</f>
        <v/>
      </c>
      <c r="ER147" s="85">
        <f>IF(CD147="","",IFERROR(CD147*HSTECH!$B$41*HSTECH!$G$41/HSTECH!$B$3,""))</f>
        <v/>
      </c>
      <c r="ES147" s="85">
        <f>IF(CE147="","",IFERROR(CE147*HSTECH!$B$41*HSTECH!$G$41/HSTECH!$B$3,""))</f>
        <v/>
      </c>
      <c r="ET147" s="85">
        <f>IF(CF147="","",IFERROR(CF147*HSTECH!$B$41*HSTECH!$G$41/HSTECH!$B$3,""))</f>
        <v/>
      </c>
      <c r="EU147" s="85">
        <f>IF(CG147="","",IFERROR(CG147*HSTECH!$B$41*HSTECH!$G$41/HSTECH!$B$3,""))</f>
        <v/>
      </c>
      <c r="EV147" s="85">
        <f>IF(CH147="","",IFERROR(CH147*HSTECH!$B$41*HSTECH!$G$41/HSTECH!$B$3,""))</f>
        <v/>
      </c>
      <c r="EW147" s="85">
        <f>IF(CI147="","",IFERROR(CI147*HSTECH!$B$41*HSTECH!$G$41/HSTECH!$B$3,""))</f>
        <v/>
      </c>
      <c r="EX147" s="85">
        <f>IF(CJ147="","",IFERROR(CJ147*HSTECH!$B$41*HSTECH!$G$41/HSTECH!$B$3,""))</f>
        <v/>
      </c>
      <c r="EY147" s="85">
        <f>IF(CK147="","",IFERROR(CK147*HSTECH!$B$41*HSTECH!$G$41/HSTECH!$B$3,""))</f>
        <v/>
      </c>
      <c r="EZ147" s="85">
        <f>IF(CL147="","",IFERROR(CL147*HSTECH!$B$41*HSTECH!$G$41/HSTECH!$B$3,""))</f>
        <v/>
      </c>
      <c r="FA147" s="85">
        <f>IF(CM147="","",IFERROR(CM147*HSTECH!$B$41*HSTECH!$G$41/HSTECH!$B$3,""))</f>
        <v/>
      </c>
      <c r="FB147" s="85">
        <f>IF(CN147="","",IFERROR(CN147*HSTECH!$B$41*HSTECH!$G$41/HSTECH!$B$3,""))</f>
        <v/>
      </c>
      <c r="FC147" s="85">
        <f>IF(CO147="","",IFERROR(CO147*HSTECH!$B$41*HSTECH!$G$41/HSTECH!$B$3,""))</f>
        <v/>
      </c>
      <c r="FD147" s="85">
        <f>IF(CP147="","",IFERROR(CP147*HSTECH!$B$41*HSTECH!$G$41/HSTECH!$B$3,""))</f>
        <v/>
      </c>
      <c r="FE147" s="85">
        <f>IF(CQ147="","",IFERROR(CQ147*HSTECH!$B$41*HSTECH!$G$41/HSTECH!$B$3,""))</f>
        <v/>
      </c>
      <c r="FF147" s="85">
        <f>IF(CR147="","",IFERROR(CR147*HSTECH!$B$41*HSTECH!$G$41/HSTECH!$B$3,""))</f>
        <v/>
      </c>
      <c r="FG147" s="85">
        <f>IF(CS147="","",IFERROR(CS147*HSTECH!$B$41*HSTECH!$G$41/HSTECH!$B$3,""))</f>
        <v/>
      </c>
      <c r="FH147" s="85">
        <f>IF(CT147="","",IFERROR(CT147*HSTECH!$B$41*HSTECH!$G$41/HSTECH!$B$3,""))</f>
        <v/>
      </c>
      <c r="FI147" s="85">
        <f>IF(CU147="","",IFERROR(CU147*HSTECH!$B$41*HSTECH!$G$41/HSTECH!$B$3,""))</f>
        <v/>
      </c>
      <c r="FJ147" s="85">
        <f>IF(CV147="","",IFERROR(CV147*HSTECH!$B$41*HSTECH!$G$41/HSTECH!$B$3,""))</f>
        <v/>
      </c>
      <c r="FK147" s="85">
        <f>IF(CW147="","",IFERROR(CW147*HSTECH!$B$41*HSTECH!$G$41/HSTECH!$B$3,""))</f>
        <v/>
      </c>
      <c r="FL147" s="85">
        <f>IF(CX147="","",IFERROR(CX147*HSTECH!$B$41*HSTECH!$G$41/HSTECH!$B$3,""))</f>
        <v/>
      </c>
      <c r="FM147" s="85">
        <f>IF(CY147="","",IFERROR(CY147*HSTECH!$B$41*HSTECH!$G$41/HSTECH!$B$3,""))</f>
        <v/>
      </c>
      <c r="FN147" s="85">
        <f>IF(CZ147="","",IFERROR(CZ147*HSTECH!$B$41*HSTECH!$G$41/HSTECH!$B$3,""))</f>
        <v/>
      </c>
      <c r="FO147" s="85">
        <f>IF(DA147="","",IFERROR(DA147*HSTECH!$B$41*HSTECH!$G$41/HSTECH!$B$3,""))</f>
        <v/>
      </c>
      <c r="FP147" s="85">
        <f>IF(DB147="","",IFERROR(DB147*HSTECH!$B$41*HSTECH!$G$41/HSTECH!$B$3,""))</f>
        <v/>
      </c>
      <c r="FQ147" s="85">
        <f>IF(DC147="","",IFERROR(DC147*HSTECH!$B$41*HSTECH!$G$41/HSTECH!$B$3,""))</f>
        <v/>
      </c>
      <c r="FR147" s="85">
        <f>IF(DD147="","",IFERROR(DD147*HSTECH!$B$41*HSTECH!$G$41/HSTECH!$B$3,""))</f>
        <v/>
      </c>
      <c r="FS147" s="85">
        <f>IF(DE147="","",IFERROR(DE147*HSTECH!$B$41*HSTECH!$G$41/HSTECH!$B$3,""))</f>
        <v/>
      </c>
      <c r="FT147" s="85">
        <f>IF(DF147="","",IFERROR(DF147*HSTECH!$B$41*HSTECH!$G$41/HSTECH!$B$3,""))</f>
        <v/>
      </c>
      <c r="FU147" s="85">
        <f>IF(DG147="","",IFERROR(DG147*HSTECH!$B$41*HSTECH!$G$41/HSTECH!$B$3,""))</f>
        <v/>
      </c>
      <c r="FV147" s="85">
        <f>IF(DH147="","",IFERROR(DH147*HSTECH!$B$41*HSTECH!$G$41/HSTECH!$B$3,""))</f>
        <v/>
      </c>
      <c r="FW147" s="85">
        <f>IF(DI147="","",IFERROR(DI147*HSTECH!$B$41*HSTECH!$G$41/HSTECH!$B$3,""))</f>
        <v/>
      </c>
      <c r="FX147" s="85">
        <f>IF(DJ147="","",IFERROR(DJ147*HSTECH!$B$41*HSTECH!$G$41/HSTECH!$B$3,""))</f>
        <v/>
      </c>
      <c r="FY147" s="85">
        <f>IF(DK147="","",IFERROR(DK147*HSTECH!$B$41*HSTECH!$G$41/HSTECH!$B$3,""))</f>
        <v/>
      </c>
      <c r="FZ147" s="85">
        <f>IF(DL147="","",IFERROR(DL147*HSTECH!$B$41*HSTECH!$G$41/HSTECH!$B$3,""))</f>
        <v/>
      </c>
      <c r="GA147" s="85">
        <f>IF(DM147="","",IFERROR(DM147*HSTECH!$B$41*HSTECH!$G$41/HSTECH!$B$3,""))</f>
        <v/>
      </c>
      <c r="GB147" s="85">
        <f>IF(DN147="","",IFERROR(DN147*HSTECH!$B$41*HSTECH!$G$41/HSTECH!$B$3,""))</f>
        <v/>
      </c>
      <c r="GC147" s="85">
        <f>IF(DO147="","",IFERROR(DO147*HSTECH!$B$41*HSTECH!$G$41/HSTECH!$B$3,""))</f>
        <v/>
      </c>
      <c r="GD147" s="85">
        <f>IF(DP147="","",IFERROR(DP147*HSTECH!$B$41*HSTECH!$G$41/HSTECH!$B$3,""))</f>
        <v/>
      </c>
      <c r="GE147" s="85">
        <f>IF(DQ147="","",IFERROR(DQ147*HSTECH!$B$41*HSTECH!$G$41/HSTECH!$B$3,""))</f>
        <v/>
      </c>
      <c r="GF147" s="85">
        <f>IF(DR147="","",IFERROR(DR147*HSTECH!$B$41*HSTECH!$G$41/HSTECH!$B$3,""))</f>
        <v/>
      </c>
      <c r="GG147" s="85">
        <f>IF(DS147="","",IFERROR(DS147*HSTECH!$B$41*HSTECH!$G$41/HSTECH!$B$3,""))</f>
        <v/>
      </c>
      <c r="GH147" s="85">
        <f>IF(DT147="","",IFERROR(DT147*HSTECH!$B$41*HSTECH!$G$41/HSTECH!$B$3,""))</f>
        <v/>
      </c>
      <c r="GI147" s="85">
        <f>IF(DU147="","",IFERROR(DU147*HSTECH!$B$41*HSTECH!$G$41/HSTECH!$B$3,""))</f>
        <v/>
      </c>
      <c r="GJ147" s="85">
        <f>IF(DV147="","",IFERROR(DV147*HSTECH!$B$41*HSTECH!$G$41/HSTECH!$B$3,""))</f>
        <v/>
      </c>
      <c r="GK147" s="85">
        <f>IF(DW147="","",IFERROR(DW147*HSTECH!$B$41*HSTECH!$G$41/HSTECH!$B$3,""))</f>
        <v/>
      </c>
      <c r="GL147" s="85">
        <f>IF(DX147="","",IFERROR(DX147*HSTECH!$B$41*HSTECH!$G$41/HSTECH!$B$3,""))</f>
        <v/>
      </c>
      <c r="GM147" s="85">
        <f>IF(DY147="","",IFERROR(DY147*HSTECH!$B$41*HSTECH!$G$41/HSTECH!$B$3,""))</f>
        <v/>
      </c>
      <c r="GN147" s="85">
        <f>IF(DZ147="","",IFERROR(DZ147*HSTECH!$B$41*HSTECH!$G$41/HSTECH!$B$3,""))</f>
        <v/>
      </c>
      <c r="GO147" s="85">
        <f>IF(EA147="","",IFERROR(EA147*HSTECH!$B$41*HSTECH!$G$41/HSTECH!$B$3,""))</f>
        <v/>
      </c>
      <c r="GP147" s="85">
        <f>IF(EB147="","",IFERROR(EB147*HSTECH!$B$41*HSTECH!$G$41/HSTECH!$B$3,""))</f>
        <v/>
      </c>
      <c r="GQ147" s="85">
        <f>IF(EC147="","",IFERROR(EC147*HSTECH!$B$41*HSTECH!$G$41/HSTECH!$B$3,""))</f>
        <v/>
      </c>
    </row>
    <row r="148">
      <c r="B148" s="2">
        <f>IF(HSTECH!$C$42="","",HSTECH!$C$42)</f>
        <v/>
      </c>
      <c r="C148" s="41">
        <f>IF(N('Dvd Calendar'!$E$2040)=0,"",IF(('Dvd Calendar'!$E$2040&gt;=MIN(DATE(Summary!$C$12,1,1),Summary!$C$11))*('Dvd Calendar'!$E$2040&lt;=MAX(DATE(Summary!$C$12,12,31),Summary!$C$15))*('Dvd Calendar'!$E$2040&lt;=Summary!$C$11)=0,"",'Dvd Calendar'!$E$2040*1000000000+ISNUMBER('Dvd Calendar'!$E$2041)*100000000+('Dvd Calendar'!$E$2045='Field Check'!$C$25)*10000000+(N('Dvd Calendar'!$E$2039)&gt;0)*1000000+36*1000+1))</f>
        <v/>
      </c>
      <c r="D148" s="41">
        <f>IF(N('Dvd Calendar'!$F$2040)=0,"",IF(('Dvd Calendar'!$F$2040&gt;=MIN(DATE(Summary!$C$12,1,1),Summary!$C$11))*('Dvd Calendar'!$F$2040&lt;=MAX(DATE(Summary!$C$12,12,31),Summary!$C$15))*('Dvd Calendar'!$F$2040&lt;=Summary!$C$11)=0,"",'Dvd Calendar'!$F$2040*1000000000+ISNUMBER('Dvd Calendar'!$F$2041)*100000000+('Dvd Calendar'!$F$2045='Field Check'!$C$25)*10000000+(N('Dvd Calendar'!$F$2039)&gt;0)*1000000+36*1000+2))</f>
        <v/>
      </c>
      <c r="E148" s="41">
        <f>IF(N('Dvd Calendar'!$G$2040)=0,"",IF(('Dvd Calendar'!$G$2040&gt;=MIN(DATE(Summary!$C$12,1,1),Summary!$C$11))*('Dvd Calendar'!$G$2040&lt;=MAX(DATE(Summary!$C$12,12,31),Summary!$C$15))*('Dvd Calendar'!$G$2040&lt;=Summary!$C$11)=0,"",'Dvd Calendar'!$G$2040*1000000000+ISNUMBER('Dvd Calendar'!$G$2041)*100000000+('Dvd Calendar'!$G$2045='Field Check'!$C$25)*10000000+(N('Dvd Calendar'!$G$2039)&gt;0)*1000000+36*1000+3))</f>
        <v/>
      </c>
      <c r="F148" s="41">
        <f>IF(N('Dvd Calendar'!$H$2040)=0,"",IF(('Dvd Calendar'!$H$2040&gt;=MIN(DATE(Summary!$C$12,1,1),Summary!$C$11))*('Dvd Calendar'!$H$2040&lt;=MAX(DATE(Summary!$C$12,12,31),Summary!$C$15))*('Dvd Calendar'!$H$2040&lt;=Summary!$C$11)=0,"",'Dvd Calendar'!$H$2040*1000000000+ISNUMBER('Dvd Calendar'!$H$2041)*100000000+('Dvd Calendar'!$H$2045='Field Check'!$C$25)*10000000+(N('Dvd Calendar'!$H$2039)&gt;0)*1000000+36*1000+4))</f>
        <v/>
      </c>
      <c r="G148" s="41">
        <f>IF(N('Dvd Calendar'!$I$2040)=0,"",IF(('Dvd Calendar'!$I$2040&gt;=MIN(DATE(Summary!$C$12,1,1),Summary!$C$11))*('Dvd Calendar'!$I$2040&lt;=MAX(DATE(Summary!$C$12,12,31),Summary!$C$15))*('Dvd Calendar'!$I$2040&lt;=Summary!$C$11)=0,"",'Dvd Calendar'!$I$2040*1000000000+ISNUMBER('Dvd Calendar'!$I$2041)*100000000+('Dvd Calendar'!$I$2045='Field Check'!$C$25)*10000000+(N('Dvd Calendar'!$I$2039)&gt;0)*1000000+36*1000+5))</f>
        <v/>
      </c>
      <c r="H148" s="41">
        <f>IF(N('Dvd Calendar'!$J$2040)=0,"",IF(('Dvd Calendar'!$J$2040&gt;=MIN(DATE(Summary!$C$12,1,1),Summary!$C$11))*('Dvd Calendar'!$J$2040&lt;=MAX(DATE(Summary!$C$12,12,31),Summary!$C$15))*('Dvd Calendar'!$J$2040&lt;=Summary!$C$11)=0,"",'Dvd Calendar'!$J$2040*1000000000+ISNUMBER('Dvd Calendar'!$J$2041)*100000000+('Dvd Calendar'!$J$2045='Field Check'!$C$25)*10000000+(N('Dvd Calendar'!$J$2039)&gt;0)*1000000+36*1000+6))</f>
        <v/>
      </c>
      <c r="I148" s="41">
        <f>IF(N('Dvd Calendar'!$K$2040)=0,"",IF(('Dvd Calendar'!$K$2040&gt;=MIN(DATE(Summary!$C$12,1,1),Summary!$C$11))*('Dvd Calendar'!$K$2040&lt;=MAX(DATE(Summary!$C$12,12,31),Summary!$C$15))*('Dvd Calendar'!$K$2040&lt;=Summary!$C$11)=0,"",'Dvd Calendar'!$K$2040*1000000000+ISNUMBER('Dvd Calendar'!$K$2041)*100000000+('Dvd Calendar'!$K$2045='Field Check'!$C$25)*10000000+(N('Dvd Calendar'!$K$2039)&gt;0)*1000000+36*1000+7))</f>
        <v/>
      </c>
      <c r="J148" s="41">
        <f>IF(N('Dvd Calendar'!$L$2040)=0,"",IF(('Dvd Calendar'!$L$2040&gt;=MIN(DATE(Summary!$C$12,1,1),Summary!$C$11))*('Dvd Calendar'!$L$2040&lt;=MAX(DATE(Summary!$C$12,12,31),Summary!$C$15))*('Dvd Calendar'!$L$2040&lt;=Summary!$C$11)=0,"",'Dvd Calendar'!$L$2040*1000000000+ISNUMBER('Dvd Calendar'!$L$2041)*100000000+('Dvd Calendar'!$L$2045='Field Check'!$C$25)*10000000+(N('Dvd Calendar'!$L$2039)&gt;0)*1000000+36*1000+8))</f>
        <v/>
      </c>
      <c r="K148" s="41">
        <f>IF(N('Dvd Calendar'!$M$2040)=0,"",IF(('Dvd Calendar'!$M$2040&gt;=MIN(DATE(Summary!$C$12,1,1),Summary!$C$11))*('Dvd Calendar'!$M$2040&lt;=MAX(DATE(Summary!$C$12,12,31),Summary!$C$15))*('Dvd Calendar'!$M$2040&lt;=Summary!$C$11)=0,"",'Dvd Calendar'!$M$2040*1000000000+ISNUMBER('Dvd Calendar'!$M$2041)*100000000+('Dvd Calendar'!$M$2045='Field Check'!$C$25)*10000000+(N('Dvd Calendar'!$M$2039)&gt;0)*1000000+36*1000+9))</f>
        <v/>
      </c>
      <c r="L148" s="41">
        <f>IF(N('Dvd Calendar'!$N$2040)=0,"",IF(('Dvd Calendar'!$N$2040&gt;=MIN(DATE(Summary!$C$12,1,1),Summary!$C$11))*('Dvd Calendar'!$N$2040&lt;=MAX(DATE(Summary!$C$12,12,31),Summary!$C$15))*('Dvd Calendar'!$N$2040&lt;=Summary!$C$11)=0,"",'Dvd Calendar'!$N$2040*1000000000+ISNUMBER('Dvd Calendar'!$N$2041)*100000000+('Dvd Calendar'!$N$2045='Field Check'!$C$25)*10000000+(N('Dvd Calendar'!$N$2039)&gt;0)*1000000+36*1000+10))</f>
        <v/>
      </c>
      <c r="M148" s="41">
        <f>IF(N('Dvd Calendar'!$O$2040)=0,"",IF(('Dvd Calendar'!$O$2040&gt;=MIN(DATE(Summary!$C$12,1,1),Summary!$C$11))*('Dvd Calendar'!$O$2040&lt;=MAX(DATE(Summary!$C$12,12,31),Summary!$C$15))*('Dvd Calendar'!$O$2040&lt;=Summary!$C$11)=0,"",'Dvd Calendar'!$O$2040*1000000000+ISNUMBER('Dvd Calendar'!$O$2041)*100000000+('Dvd Calendar'!$O$2045='Field Check'!$C$25)*10000000+(N('Dvd Calendar'!$O$2039)&gt;0)*1000000+36*1000+11))</f>
        <v/>
      </c>
      <c r="N148" s="41">
        <f>IF(N('Dvd Calendar'!$P$2040)=0,"",IF(('Dvd Calendar'!$P$2040&gt;=MIN(DATE(Summary!$C$12,1,1),Summary!$C$11))*('Dvd Calendar'!$P$2040&lt;=MAX(DATE(Summary!$C$12,12,31),Summary!$C$15))*('Dvd Calendar'!$P$2040&lt;=Summary!$C$11)=0,"",'Dvd Calendar'!$P$2040*1000000000+ISNUMBER('Dvd Calendar'!$P$2041)*100000000+('Dvd Calendar'!$P$2045='Field Check'!$C$25)*10000000+(N('Dvd Calendar'!$P$2039)&gt;0)*1000000+36*1000+12))</f>
        <v/>
      </c>
      <c r="O148" s="41">
        <f>IF(N('Dvd Calendar'!$Q$2040)=0,"",IF(('Dvd Calendar'!$Q$2040&gt;=MIN(DATE(Summary!$C$12,1,1),Summary!$C$11))*('Dvd Calendar'!$Q$2040&lt;=MAX(DATE(Summary!$C$12,12,31),Summary!$C$15))*('Dvd Calendar'!$Q$2040&lt;=Summary!$C$11)=0,"",'Dvd Calendar'!$Q$2040*1000000000+ISNUMBER('Dvd Calendar'!$Q$2041)*100000000+('Dvd Calendar'!$Q$2045='Field Check'!$C$25)*10000000+(N('Dvd Calendar'!$Q$2039)&gt;0)*1000000+36*1000+13))</f>
        <v/>
      </c>
      <c r="P148" s="41">
        <f>IF(N('Dvd Calendar'!$R$2040)=0,"",IF(('Dvd Calendar'!$R$2040&gt;=MIN(DATE(Summary!$C$12,1,1),Summary!$C$11))*('Dvd Calendar'!$R$2040&lt;=MAX(DATE(Summary!$C$12,12,31),Summary!$C$15))*('Dvd Calendar'!$R$2040&lt;=Summary!$C$11)=0,"",'Dvd Calendar'!$R$2040*1000000000+ISNUMBER('Dvd Calendar'!$R$2041)*100000000+('Dvd Calendar'!$R$2045='Field Check'!$C$25)*10000000+(N('Dvd Calendar'!$R$2039)&gt;0)*1000000+36*1000+14))</f>
        <v/>
      </c>
      <c r="Q148" s="41">
        <f>IF(N('Dvd Calendar'!$S$2040)=0,"",IF(('Dvd Calendar'!$S$2040&gt;=MIN(DATE(Summary!$C$12,1,1),Summary!$C$11))*('Dvd Calendar'!$S$2040&lt;=MAX(DATE(Summary!$C$12,12,31),Summary!$C$15))*('Dvd Calendar'!$S$2040&lt;=Summary!$C$11)=0,"",'Dvd Calendar'!$S$2040*1000000000+ISNUMBER('Dvd Calendar'!$S$2041)*100000000+('Dvd Calendar'!$S$2045='Field Check'!$C$25)*10000000+(N('Dvd Calendar'!$S$2039)&gt;0)*1000000+36*1000+15))</f>
        <v/>
      </c>
      <c r="R148" s="41">
        <f>IF(N('Dvd Calendar'!$T$2040)=0,"",IF(('Dvd Calendar'!$T$2040&gt;=MIN(DATE(Summary!$C$12,1,1),Summary!$C$11))*('Dvd Calendar'!$T$2040&lt;=MAX(DATE(Summary!$C$12,12,31),Summary!$C$15))*('Dvd Calendar'!$T$2040&lt;=Summary!$C$11)=0,"",'Dvd Calendar'!$T$2040*1000000000+ISNUMBER('Dvd Calendar'!$T$2041)*100000000+('Dvd Calendar'!$T$2045='Field Check'!$C$25)*10000000+(N('Dvd Calendar'!$T$2039)&gt;0)*1000000+36*1000+16))</f>
        <v/>
      </c>
      <c r="S148" s="41">
        <f>IF(N('Dvd Calendar'!$U$2040)=0,"",IF(('Dvd Calendar'!$U$2040&gt;=MIN(DATE(Summary!$C$12,1,1),Summary!$C$11))*('Dvd Calendar'!$U$2040&lt;=MAX(DATE(Summary!$C$12,12,31),Summary!$C$15))*('Dvd Calendar'!$U$2040&lt;=Summary!$C$11)=0,"",'Dvd Calendar'!$U$2040*1000000000+ISNUMBER('Dvd Calendar'!$U$2041)*100000000+('Dvd Calendar'!$U$2045='Field Check'!$C$25)*10000000+(N('Dvd Calendar'!$U$2039)&gt;0)*1000000+36*1000+17))</f>
        <v/>
      </c>
      <c r="T148" s="41">
        <f>IF(N('Dvd Calendar'!$V$2040)=0,"",IF(('Dvd Calendar'!$V$2040&gt;=MIN(DATE(Summary!$C$12,1,1),Summary!$C$11))*('Dvd Calendar'!$V$2040&lt;=MAX(DATE(Summary!$C$12,12,31),Summary!$C$15))*('Dvd Calendar'!$V$2040&lt;=Summary!$C$11)=0,"",'Dvd Calendar'!$V$2040*1000000000+ISNUMBER('Dvd Calendar'!$V$2041)*100000000+('Dvd Calendar'!$V$2045='Field Check'!$C$25)*10000000+(N('Dvd Calendar'!$V$2039)&gt;0)*1000000+36*1000+18))</f>
        <v/>
      </c>
      <c r="U148" s="41">
        <f>IF(N('Dvd Calendar'!$W$2040)=0,"",IF(('Dvd Calendar'!$W$2040&gt;=MIN(DATE(Summary!$C$12,1,1),Summary!$C$11))*('Dvd Calendar'!$W$2040&lt;=MAX(DATE(Summary!$C$12,12,31),Summary!$C$15))*('Dvd Calendar'!$W$2040&lt;=Summary!$C$11)=0,"",'Dvd Calendar'!$W$2040*1000000000+ISNUMBER('Dvd Calendar'!$W$2041)*100000000+('Dvd Calendar'!$W$2045='Field Check'!$C$25)*10000000+(N('Dvd Calendar'!$W$2039)&gt;0)*1000000+36*1000+19))</f>
        <v/>
      </c>
      <c r="V148" s="41">
        <f>IF(N('Dvd Calendar'!$X$2040)=0,"",IF(('Dvd Calendar'!$X$2040&gt;=MIN(DATE(Summary!$C$12,1,1),Summary!$C$11))*('Dvd Calendar'!$X$2040&lt;=MAX(DATE(Summary!$C$12,12,31),Summary!$C$15))*('Dvd Calendar'!$X$2040&lt;=Summary!$C$11)=0,"",'Dvd Calendar'!$X$2040*1000000000+ISNUMBER('Dvd Calendar'!$X$2041)*100000000+('Dvd Calendar'!$X$2045='Field Check'!$C$25)*10000000+(N('Dvd Calendar'!$X$2039)&gt;0)*1000000+36*1000+20))</f>
        <v/>
      </c>
      <c r="W148" s="41">
        <f>IF(N('Dvd Calendar'!$Y$2040)=0,"",IF(('Dvd Calendar'!$Y$2040&gt;=MIN(DATE(Summary!$C$12,1,1),Summary!$C$11))*('Dvd Calendar'!$Y$2040&lt;=MAX(DATE(Summary!$C$12,12,31),Summary!$C$15))*('Dvd Calendar'!$Y$2040&lt;=Summary!$C$11)=0,"",'Dvd Calendar'!$Y$2040*1000000000+ISNUMBER('Dvd Calendar'!$Y$2041)*100000000+('Dvd Calendar'!$Y$2045='Field Check'!$C$25)*10000000+(N('Dvd Calendar'!$Y$2039)&gt;0)*1000000+36*1000+21))</f>
        <v/>
      </c>
      <c r="X148" s="41">
        <f>IF(N('Dvd Calendar'!$Z$2040)=0,"",IF(('Dvd Calendar'!$Z$2040&gt;=MIN(DATE(Summary!$C$12,1,1),Summary!$C$11))*('Dvd Calendar'!$Z$2040&lt;=MAX(DATE(Summary!$C$12,12,31),Summary!$C$15))*('Dvd Calendar'!$Z$2040&lt;=Summary!$C$11)=0,"",'Dvd Calendar'!$Z$2040*1000000000+ISNUMBER('Dvd Calendar'!$Z$2041)*100000000+('Dvd Calendar'!$Z$2045='Field Check'!$C$25)*10000000+(N('Dvd Calendar'!$Z$2039)&gt;0)*1000000+36*1000+22))</f>
        <v/>
      </c>
      <c r="Y148" s="41">
        <f>IF(N('Dvd Calendar'!$AA$2040)=0,"",IF(('Dvd Calendar'!$AA$2040&gt;=MIN(DATE(Summary!$C$12,1,1),Summary!$C$11))*('Dvd Calendar'!$AA$2040&lt;=MAX(DATE(Summary!$C$12,12,31),Summary!$C$15))*('Dvd Calendar'!$AA$2040&lt;=Summary!$C$11)=0,"",'Dvd Calendar'!$AA$2040*1000000000+ISNUMBER('Dvd Calendar'!$AA$2041)*100000000+('Dvd Calendar'!$AA$2045='Field Check'!$C$25)*10000000+(N('Dvd Calendar'!$AA$2039)&gt;0)*1000000+36*1000+23))</f>
        <v/>
      </c>
      <c r="Z148" s="41">
        <f>IF(N('Dvd Calendar'!$AB$2040)=0,"",IF(('Dvd Calendar'!$AB$2040&gt;=MIN(DATE(Summary!$C$12,1,1),Summary!$C$11))*('Dvd Calendar'!$AB$2040&lt;=MAX(DATE(Summary!$C$12,12,31),Summary!$C$15))*('Dvd Calendar'!$AB$2040&lt;=Summary!$C$11)=0,"",'Dvd Calendar'!$AB$2040*1000000000+ISNUMBER('Dvd Calendar'!$AB$2041)*100000000+('Dvd Calendar'!$AB$2045='Field Check'!$C$25)*10000000+(N('Dvd Calendar'!$AB$2039)&gt;0)*1000000+36*1000+24))</f>
        <v/>
      </c>
      <c r="AA148" s="41">
        <f>IF(N('Dvd Calendar'!$AC$2040)=0,"",IF(('Dvd Calendar'!$AC$2040&gt;=MIN(DATE(Summary!$C$12,1,1),Summary!$C$11))*('Dvd Calendar'!$AC$2040&lt;=MAX(DATE(Summary!$C$12,12,31),Summary!$C$15))*('Dvd Calendar'!$AC$2040&lt;=Summary!$C$11)=0,"",'Dvd Calendar'!$AC$2040*1000000000+ISNUMBER('Dvd Calendar'!$AC$2041)*100000000+('Dvd Calendar'!$AC$2045='Field Check'!$C$25)*10000000+(N('Dvd Calendar'!$AC$2039)&gt;0)*1000000+36*1000+25))</f>
        <v/>
      </c>
      <c r="AB148" s="41">
        <f>IF(N('Dvd Calendar'!$AD$2040)=0,"",IF(('Dvd Calendar'!$AD$2040&gt;=MIN(DATE(Summary!$C$12,1,1),Summary!$C$11))*('Dvd Calendar'!$AD$2040&lt;=MAX(DATE(Summary!$C$12,12,31),Summary!$C$15))*('Dvd Calendar'!$AD$2040&lt;=Summary!$C$11)=0,"",'Dvd Calendar'!$AD$2040*1000000000+ISNUMBER('Dvd Calendar'!$AD$2041)*100000000+('Dvd Calendar'!$AD$2045='Field Check'!$C$25)*10000000+(N('Dvd Calendar'!$AD$2039)&gt;0)*1000000+36*1000+26))</f>
        <v/>
      </c>
      <c r="AC148" s="41">
        <f>IF(N('Dvd Calendar'!$AE$2040)=0,"",IF(('Dvd Calendar'!$AE$2040&gt;=MIN(DATE(Summary!$C$12,1,1),Summary!$C$11))*('Dvd Calendar'!$AE$2040&lt;=MAX(DATE(Summary!$C$12,12,31),Summary!$C$15))*('Dvd Calendar'!$AE$2040&lt;=Summary!$C$11)=0,"",'Dvd Calendar'!$AE$2040*1000000000+ISNUMBER('Dvd Calendar'!$AE$2041)*100000000+('Dvd Calendar'!$AE$2045='Field Check'!$C$25)*10000000+(N('Dvd Calendar'!$AE$2039)&gt;0)*1000000+36*1000+27))</f>
        <v/>
      </c>
      <c r="AD148" s="41">
        <f>IF(N('Dvd Calendar'!$AF$2040)=0,"",IF(('Dvd Calendar'!$AF$2040&gt;=MIN(DATE(Summary!$C$12,1,1),Summary!$C$11))*('Dvd Calendar'!$AF$2040&lt;=MAX(DATE(Summary!$C$12,12,31),Summary!$C$15))*('Dvd Calendar'!$AF$2040&lt;=Summary!$C$11)=0,"",'Dvd Calendar'!$AF$2040*1000000000+ISNUMBER('Dvd Calendar'!$AF$2041)*100000000+('Dvd Calendar'!$AF$2045='Field Check'!$C$25)*10000000+(N('Dvd Calendar'!$AF$2039)&gt;0)*1000000+36*1000+28))</f>
        <v/>
      </c>
      <c r="AE148" s="41">
        <f>IF(N('Dvd Calendar'!$AG$2040)=0,"",IF(('Dvd Calendar'!$AG$2040&gt;=MIN(DATE(Summary!$C$12,1,1),Summary!$C$11))*('Dvd Calendar'!$AG$2040&lt;=MAX(DATE(Summary!$C$12,12,31),Summary!$C$15))*('Dvd Calendar'!$AG$2040&lt;=Summary!$C$11)=0,"",'Dvd Calendar'!$AG$2040*1000000000+ISNUMBER('Dvd Calendar'!$AG$2041)*100000000+('Dvd Calendar'!$AG$2045='Field Check'!$C$25)*10000000+(N('Dvd Calendar'!$AG$2039)&gt;0)*1000000+36*1000+29))</f>
        <v/>
      </c>
      <c r="AF148" s="41">
        <f>IF(N('Dvd Calendar'!$AH$2040)=0,"",IF(('Dvd Calendar'!$AH$2040&gt;=MIN(DATE(Summary!$C$12,1,1),Summary!$C$11))*('Dvd Calendar'!$AH$2040&lt;=MAX(DATE(Summary!$C$12,12,31),Summary!$C$15))*('Dvd Calendar'!$AH$2040&lt;=Summary!$C$11)=0,"",'Dvd Calendar'!$AH$2040*1000000000+ISNUMBER('Dvd Calendar'!$AH$2041)*100000000+('Dvd Calendar'!$AH$2045='Field Check'!$C$25)*10000000+(N('Dvd Calendar'!$AH$2039)&gt;0)*1000000+36*1000+30))</f>
        <v/>
      </c>
      <c r="AG148" s="41">
        <f>IF(N('Dvd Calendar'!$AI$2040)=0,"",IF(('Dvd Calendar'!$AI$2040&gt;=MIN(DATE(Summary!$C$12,1,1),Summary!$C$11))*('Dvd Calendar'!$AI$2040&lt;=MAX(DATE(Summary!$C$12,12,31),Summary!$C$15))*('Dvd Calendar'!$AI$2040&lt;=Summary!$C$11)=0,"",'Dvd Calendar'!$AI$2040*1000000000+ISNUMBER('Dvd Calendar'!$AI$2041)*100000000+('Dvd Calendar'!$AI$2045='Field Check'!$C$25)*10000000+(N('Dvd Calendar'!$AI$2039)&gt;0)*1000000+36*1000+31))</f>
        <v/>
      </c>
      <c r="AH148" s="41">
        <f>IF(N('Dvd Calendar'!$AJ$2040)=0,"",IF(('Dvd Calendar'!$AJ$2040&gt;=MIN(DATE(Summary!$C$12,1,1),Summary!$C$11))*('Dvd Calendar'!$AJ$2040&lt;=MAX(DATE(Summary!$C$12,12,31),Summary!$C$15))*('Dvd Calendar'!$AJ$2040&lt;=Summary!$C$11)=0,"",'Dvd Calendar'!$AJ$2040*1000000000+ISNUMBER('Dvd Calendar'!$AJ$2041)*100000000+('Dvd Calendar'!$AJ$2045='Field Check'!$C$25)*10000000+(N('Dvd Calendar'!$AJ$2039)&gt;0)*1000000+36*1000+32))</f>
        <v/>
      </c>
      <c r="AI148" s="41">
        <f>IF(N('Dvd Calendar'!$AK$2040)=0,"",IF(('Dvd Calendar'!$AK$2040&gt;=MIN(DATE(Summary!$C$12,1,1),Summary!$C$11))*('Dvd Calendar'!$AK$2040&lt;=MAX(DATE(Summary!$C$12,12,31),Summary!$C$15))*('Dvd Calendar'!$AK$2040&lt;=Summary!$C$11)=0,"",'Dvd Calendar'!$AK$2040*1000000000+ISNUMBER('Dvd Calendar'!$AK$2041)*100000000+('Dvd Calendar'!$AK$2045='Field Check'!$C$25)*10000000+(N('Dvd Calendar'!$AK$2039)&gt;0)*1000000+36*1000+33))</f>
        <v/>
      </c>
      <c r="AJ148" s="41">
        <f>IF(N('Dvd Calendar'!$AL$2040)=0,"",IF(('Dvd Calendar'!$AL$2040&gt;=MIN(DATE(Summary!$C$12,1,1),Summary!$C$11))*('Dvd Calendar'!$AL$2040&lt;=MAX(DATE(Summary!$C$12,12,31),Summary!$C$15))*('Dvd Calendar'!$AL$2040&lt;=Summary!$C$11)=0,"",'Dvd Calendar'!$AL$2040*1000000000+ISNUMBER('Dvd Calendar'!$AL$2041)*100000000+('Dvd Calendar'!$AL$2045='Field Check'!$C$25)*10000000+(N('Dvd Calendar'!$AL$2039)&gt;0)*1000000+36*1000+34))</f>
        <v/>
      </c>
      <c r="AK148" s="41">
        <f>IF(N('Dvd Calendar'!$AM$2040)=0,"",IF(('Dvd Calendar'!$AM$2040&gt;=MIN(DATE(Summary!$C$12,1,1),Summary!$C$11))*('Dvd Calendar'!$AM$2040&lt;=MAX(DATE(Summary!$C$12,12,31),Summary!$C$15))*('Dvd Calendar'!$AM$2040&lt;=Summary!$C$11)=0,"",'Dvd Calendar'!$AM$2040*1000000000+ISNUMBER('Dvd Calendar'!$AM$2041)*100000000+('Dvd Calendar'!$AM$2045='Field Check'!$C$25)*10000000+(N('Dvd Calendar'!$AM$2039)&gt;0)*1000000+36*1000+35))</f>
        <v/>
      </c>
      <c r="AL148" s="41">
        <f>IF(N('Dvd Calendar'!$AN$2040)=0,"",IF(('Dvd Calendar'!$AN$2040&gt;=MIN(DATE(Summary!$C$12,1,1),Summary!$C$11))*('Dvd Calendar'!$AN$2040&lt;=MAX(DATE(Summary!$C$12,12,31),Summary!$C$15))*('Dvd Calendar'!$AN$2040&lt;=Summary!$C$11)=0,"",'Dvd Calendar'!$AN$2040*1000000000+ISNUMBER('Dvd Calendar'!$AN$2041)*100000000+('Dvd Calendar'!$AN$2045='Field Check'!$C$25)*10000000+(N('Dvd Calendar'!$AN$2039)&gt;0)*1000000+36*1000+36))</f>
        <v/>
      </c>
      <c r="AM148" s="41">
        <f>IF(N('Dvd Calendar'!$AO$2040)=0,"",IF(('Dvd Calendar'!$AO$2040&gt;=MIN(DATE(Summary!$C$12,1,1),Summary!$C$11))*('Dvd Calendar'!$AO$2040&lt;=MAX(DATE(Summary!$C$12,12,31),Summary!$C$15))*('Dvd Calendar'!$AO$2040&lt;=Summary!$C$11)=0,"",'Dvd Calendar'!$AO$2040*1000000000+ISNUMBER('Dvd Calendar'!$AO$2041)*100000000+('Dvd Calendar'!$AO$2045='Field Check'!$C$25)*10000000+(N('Dvd Calendar'!$AO$2039)&gt;0)*1000000+36*1000+37))</f>
        <v/>
      </c>
      <c r="AN148" s="41">
        <f>IF(N('Dvd Calendar'!$AP$2040)=0,"",IF(('Dvd Calendar'!$AP$2040&gt;=MIN(DATE(Summary!$C$12,1,1),Summary!$C$11))*('Dvd Calendar'!$AP$2040&lt;=MAX(DATE(Summary!$C$12,12,31),Summary!$C$15))*('Dvd Calendar'!$AP$2040&lt;=Summary!$C$11)=0,"",'Dvd Calendar'!$AP$2040*1000000000+ISNUMBER('Dvd Calendar'!$AP$2041)*100000000+('Dvd Calendar'!$AP$2045='Field Check'!$C$25)*10000000+(N('Dvd Calendar'!$AP$2039)&gt;0)*1000000+36*1000+38))</f>
        <v/>
      </c>
      <c r="AO148" s="41">
        <f>IF(N('Dvd Calendar'!$AQ$2040)=0,"",IF(('Dvd Calendar'!$AQ$2040&gt;=MIN(DATE(Summary!$C$12,1,1),Summary!$C$11))*('Dvd Calendar'!$AQ$2040&lt;=MAX(DATE(Summary!$C$12,12,31),Summary!$C$15))*('Dvd Calendar'!$AQ$2040&lt;=Summary!$C$11)=0,"",'Dvd Calendar'!$AQ$2040*1000000000+ISNUMBER('Dvd Calendar'!$AQ$2041)*100000000+('Dvd Calendar'!$AQ$2045='Field Check'!$C$25)*10000000+(N('Dvd Calendar'!$AQ$2039)&gt;0)*1000000+36*1000+39))</f>
        <v/>
      </c>
      <c r="AP148" s="41">
        <f>IF(N('Dvd Calendar'!$AR$2040)=0,"",IF(('Dvd Calendar'!$AR$2040&gt;=MIN(DATE(Summary!$C$12,1,1),Summary!$C$11))*('Dvd Calendar'!$AR$2040&lt;=MAX(DATE(Summary!$C$12,12,31),Summary!$C$15))*('Dvd Calendar'!$AR$2040&lt;=Summary!$C$11)=0,"",'Dvd Calendar'!$AR$2040*1000000000+ISNUMBER('Dvd Calendar'!$AR$2041)*100000000+('Dvd Calendar'!$AR$2045='Field Check'!$C$25)*10000000+(N('Dvd Calendar'!$AR$2039)&gt;0)*1000000+36*1000+40))</f>
        <v/>
      </c>
      <c r="AQ148" s="41">
        <f>IF(N('Dvd Calendar'!$E$2047)=0,"",IF(('Dvd Calendar'!$E$2047&gt;=MIN(DATE(Summary!$C$12,1,1),Summary!$C$11))*('Dvd Calendar'!$E$2047&lt;=MAX(DATE(Summary!$C$12,12,31),Summary!$C$15))*('Dvd Calendar'!$E$2047&gt;Summary!$C$11)=0,"",'Dvd Calendar'!$E$2047*1000000000+ISNUMBER('Dvd Calendar'!$E$2048)*100000000+('Dvd Calendar'!$E$2052='Field Check'!$C$25)*10000000+(N('Dvd Calendar'!$E$2046)&gt;0)*1000000+36*1000+41))</f>
        <v/>
      </c>
      <c r="AR148" s="41">
        <f>IF(N('Dvd Calendar'!$F$2047)=0,"",IF(('Dvd Calendar'!$F$2047&gt;=MIN(DATE(Summary!$C$12,1,1),Summary!$C$11))*('Dvd Calendar'!$F$2047&lt;=MAX(DATE(Summary!$C$12,12,31),Summary!$C$15))*('Dvd Calendar'!$F$2047&gt;Summary!$C$11)=0,"",'Dvd Calendar'!$F$2047*1000000000+ISNUMBER('Dvd Calendar'!$F$2048)*100000000+('Dvd Calendar'!$F$2052='Field Check'!$C$25)*10000000+(N('Dvd Calendar'!$F$2046)&gt;0)*1000000+36*1000+42))</f>
        <v/>
      </c>
      <c r="AS148" s="41">
        <f>IF(N('Dvd Calendar'!$G$2047)=0,"",IF(('Dvd Calendar'!$G$2047&gt;=MIN(DATE(Summary!$C$12,1,1),Summary!$C$11))*('Dvd Calendar'!$G$2047&lt;=MAX(DATE(Summary!$C$12,12,31),Summary!$C$15))*('Dvd Calendar'!$G$2047&gt;Summary!$C$11)=0,"",'Dvd Calendar'!$G$2047*1000000000+ISNUMBER('Dvd Calendar'!$G$2048)*100000000+('Dvd Calendar'!$G$2052='Field Check'!$C$25)*10000000+(N('Dvd Calendar'!$G$2046)&gt;0)*1000000+36*1000+43))</f>
        <v/>
      </c>
      <c r="AT148" s="41">
        <f>IF(N('Dvd Calendar'!$H$2047)=0,"",IF(('Dvd Calendar'!$H$2047&gt;=MIN(DATE(Summary!$C$12,1,1),Summary!$C$11))*('Dvd Calendar'!$H$2047&lt;=MAX(DATE(Summary!$C$12,12,31),Summary!$C$15))*('Dvd Calendar'!$H$2047&gt;Summary!$C$11)=0,"",'Dvd Calendar'!$H$2047*1000000000+ISNUMBER('Dvd Calendar'!$H$2048)*100000000+('Dvd Calendar'!$H$2052='Field Check'!$C$25)*10000000+(N('Dvd Calendar'!$H$2046)&gt;0)*1000000+36*1000+44))</f>
        <v/>
      </c>
      <c r="AU148" s="41">
        <f>IF(N('Dvd Calendar'!$I$2047)=0,"",IF(('Dvd Calendar'!$I$2047&gt;=MIN(DATE(Summary!$C$12,1,1),Summary!$C$11))*('Dvd Calendar'!$I$2047&lt;=MAX(DATE(Summary!$C$12,12,31),Summary!$C$15))*('Dvd Calendar'!$I$2047&gt;Summary!$C$11)=0,"",'Dvd Calendar'!$I$2047*1000000000+ISNUMBER('Dvd Calendar'!$I$2048)*100000000+('Dvd Calendar'!$I$2052='Field Check'!$C$25)*10000000+(N('Dvd Calendar'!$I$2046)&gt;0)*1000000+36*1000+45))</f>
        <v/>
      </c>
      <c r="AV148" s="41">
        <f>IF(N('Dvd Calendar'!$J$2047)=0,"",IF(('Dvd Calendar'!$J$2047&gt;=MIN(DATE(Summary!$C$12,1,1),Summary!$C$11))*('Dvd Calendar'!$J$2047&lt;=MAX(DATE(Summary!$C$12,12,31),Summary!$C$15))*('Dvd Calendar'!$J$2047&gt;Summary!$C$11)=0,"",'Dvd Calendar'!$J$2047*1000000000+ISNUMBER('Dvd Calendar'!$J$2048)*100000000+('Dvd Calendar'!$J$2052='Field Check'!$C$25)*10000000+(N('Dvd Calendar'!$J$2046)&gt;0)*1000000+36*1000+46))</f>
        <v/>
      </c>
      <c r="AW148" s="41">
        <f>IF(N('Dvd Calendar'!$K$2047)=0,"",IF(('Dvd Calendar'!$K$2047&gt;=MIN(DATE(Summary!$C$12,1,1),Summary!$C$11))*('Dvd Calendar'!$K$2047&lt;=MAX(DATE(Summary!$C$12,12,31),Summary!$C$15))*('Dvd Calendar'!$K$2047&gt;Summary!$C$11)=0,"",'Dvd Calendar'!$K$2047*1000000000+ISNUMBER('Dvd Calendar'!$K$2048)*100000000+('Dvd Calendar'!$K$2052='Field Check'!$C$25)*10000000+(N('Dvd Calendar'!$K$2046)&gt;0)*1000000+36*1000+47))</f>
        <v/>
      </c>
      <c r="AX148" s="41">
        <f>IF(N('Dvd Calendar'!$L$2047)=0,"",IF(('Dvd Calendar'!$L$2047&gt;=MIN(DATE(Summary!$C$12,1,1),Summary!$C$11))*('Dvd Calendar'!$L$2047&lt;=MAX(DATE(Summary!$C$12,12,31),Summary!$C$15))*('Dvd Calendar'!$L$2047&gt;Summary!$C$11)=0,"",'Dvd Calendar'!$L$2047*1000000000+ISNUMBER('Dvd Calendar'!$L$2048)*100000000+('Dvd Calendar'!$L$2052='Field Check'!$C$25)*10000000+(N('Dvd Calendar'!$L$2046)&gt;0)*1000000+36*1000+48))</f>
        <v/>
      </c>
      <c r="AY148" s="41">
        <f>IF(N('Dvd Calendar'!$M$2047)=0,"",IF(('Dvd Calendar'!$M$2047&gt;=MIN(DATE(Summary!$C$12,1,1),Summary!$C$11))*('Dvd Calendar'!$M$2047&lt;=MAX(DATE(Summary!$C$12,12,31),Summary!$C$15))*('Dvd Calendar'!$M$2047&gt;Summary!$C$11)=0,"",'Dvd Calendar'!$M$2047*1000000000+ISNUMBER('Dvd Calendar'!$M$2048)*100000000+('Dvd Calendar'!$M$2052='Field Check'!$C$25)*10000000+(N('Dvd Calendar'!$M$2046)&gt;0)*1000000+36*1000+49))</f>
        <v/>
      </c>
      <c r="AZ148" s="41">
        <f>IF(N('Dvd Calendar'!$N$2047)=0,"",IF(('Dvd Calendar'!$N$2047&gt;=MIN(DATE(Summary!$C$12,1,1),Summary!$C$11))*('Dvd Calendar'!$N$2047&lt;=MAX(DATE(Summary!$C$12,12,31),Summary!$C$15))*('Dvd Calendar'!$N$2047&gt;Summary!$C$11)=0,"",'Dvd Calendar'!$N$2047*1000000000+ISNUMBER('Dvd Calendar'!$N$2048)*100000000+('Dvd Calendar'!$N$2052='Field Check'!$C$25)*10000000+(N('Dvd Calendar'!$N$2046)&gt;0)*1000000+36*1000+50))</f>
        <v/>
      </c>
      <c r="BA148" s="41">
        <f>IF(N('Dvd Calendar'!$O$2047)=0,"",IF(('Dvd Calendar'!$O$2047&gt;=MIN(DATE(Summary!$C$12,1,1),Summary!$C$11))*('Dvd Calendar'!$O$2047&lt;=MAX(DATE(Summary!$C$12,12,31),Summary!$C$15))*('Dvd Calendar'!$O$2047&gt;Summary!$C$11)=0,"",'Dvd Calendar'!$O$2047*1000000000+ISNUMBER('Dvd Calendar'!$O$2048)*100000000+('Dvd Calendar'!$O$2052='Field Check'!$C$25)*10000000+(N('Dvd Calendar'!$O$2046)&gt;0)*1000000+36*1000+51))</f>
        <v/>
      </c>
      <c r="BB148" s="41">
        <f>IF(N('Dvd Calendar'!$P$2047)=0,"",IF(('Dvd Calendar'!$P$2047&gt;=MIN(DATE(Summary!$C$12,1,1),Summary!$C$11))*('Dvd Calendar'!$P$2047&lt;=MAX(DATE(Summary!$C$12,12,31),Summary!$C$15))*('Dvd Calendar'!$P$2047&gt;Summary!$C$11)=0,"",'Dvd Calendar'!$P$2047*1000000000+ISNUMBER('Dvd Calendar'!$P$2048)*100000000+('Dvd Calendar'!$P$2052='Field Check'!$C$25)*10000000+(N('Dvd Calendar'!$P$2046)&gt;0)*1000000+36*1000+52))</f>
        <v/>
      </c>
      <c r="BC148" s="41">
        <f>IF(N('Dvd Calendar'!$Q$2047)=0,"",IF(('Dvd Calendar'!$Q$2047&gt;=MIN(DATE(Summary!$C$12,1,1),Summary!$C$11))*('Dvd Calendar'!$Q$2047&lt;=MAX(DATE(Summary!$C$12,12,31),Summary!$C$15))*('Dvd Calendar'!$Q$2047&gt;Summary!$C$11)=0,"",'Dvd Calendar'!$Q$2047*1000000000+ISNUMBER('Dvd Calendar'!$Q$2048)*100000000+('Dvd Calendar'!$Q$2052='Field Check'!$C$25)*10000000+(N('Dvd Calendar'!$Q$2046)&gt;0)*1000000+36*1000+53))</f>
        <v/>
      </c>
      <c r="BD148" s="41">
        <f>IF(N('Dvd Calendar'!$R$2047)=0,"",IF(('Dvd Calendar'!$R$2047&gt;=MIN(DATE(Summary!$C$12,1,1),Summary!$C$11))*('Dvd Calendar'!$R$2047&lt;=MAX(DATE(Summary!$C$12,12,31),Summary!$C$15))*('Dvd Calendar'!$R$2047&gt;Summary!$C$11)=0,"",'Dvd Calendar'!$R$2047*1000000000+ISNUMBER('Dvd Calendar'!$R$2048)*100000000+('Dvd Calendar'!$R$2052='Field Check'!$C$25)*10000000+(N('Dvd Calendar'!$R$2046)&gt;0)*1000000+36*1000+54))</f>
        <v/>
      </c>
      <c r="BE148" s="41">
        <f>IF(N('Dvd Calendar'!$S$2047)=0,"",IF(('Dvd Calendar'!$S$2047&gt;=MIN(DATE(Summary!$C$12,1,1),Summary!$C$11))*('Dvd Calendar'!$S$2047&lt;=MAX(DATE(Summary!$C$12,12,31),Summary!$C$15))*('Dvd Calendar'!$S$2047&gt;Summary!$C$11)=0,"",'Dvd Calendar'!$S$2047*1000000000+ISNUMBER('Dvd Calendar'!$S$2048)*100000000+('Dvd Calendar'!$S$2052='Field Check'!$C$25)*10000000+(N('Dvd Calendar'!$S$2046)&gt;0)*1000000+36*1000+55))</f>
        <v/>
      </c>
      <c r="BF148" s="41">
        <f>IF(N('Dvd Calendar'!$T$2047)=0,"",IF(('Dvd Calendar'!$T$2047&gt;=MIN(DATE(Summary!$C$12,1,1),Summary!$C$11))*('Dvd Calendar'!$T$2047&lt;=MAX(DATE(Summary!$C$12,12,31),Summary!$C$15))*('Dvd Calendar'!$T$2047&gt;Summary!$C$11)=0,"",'Dvd Calendar'!$T$2047*1000000000+ISNUMBER('Dvd Calendar'!$T$2048)*100000000+('Dvd Calendar'!$T$2052='Field Check'!$C$25)*10000000+(N('Dvd Calendar'!$T$2046)&gt;0)*1000000+36*1000+56))</f>
        <v/>
      </c>
      <c r="BG148" s="41">
        <f>IF(N('Dvd Calendar'!$U$2047)=0,"",IF(('Dvd Calendar'!$U$2047&gt;=MIN(DATE(Summary!$C$12,1,1),Summary!$C$11))*('Dvd Calendar'!$U$2047&lt;=MAX(DATE(Summary!$C$12,12,31),Summary!$C$15))*('Dvd Calendar'!$U$2047&gt;Summary!$C$11)=0,"",'Dvd Calendar'!$U$2047*1000000000+ISNUMBER('Dvd Calendar'!$U$2048)*100000000+('Dvd Calendar'!$U$2052='Field Check'!$C$25)*10000000+(N('Dvd Calendar'!$U$2046)&gt;0)*1000000+36*1000+57))</f>
        <v/>
      </c>
      <c r="BH148" s="41">
        <f>IF(N('Dvd Calendar'!$V$2047)=0,"",IF(('Dvd Calendar'!$V$2047&gt;=MIN(DATE(Summary!$C$12,1,1),Summary!$C$11))*('Dvd Calendar'!$V$2047&lt;=MAX(DATE(Summary!$C$12,12,31),Summary!$C$15))*('Dvd Calendar'!$V$2047&gt;Summary!$C$11)=0,"",'Dvd Calendar'!$V$2047*1000000000+ISNUMBER('Dvd Calendar'!$V$2048)*100000000+('Dvd Calendar'!$V$2052='Field Check'!$C$25)*10000000+(N('Dvd Calendar'!$V$2046)&gt;0)*1000000+36*1000+58))</f>
        <v/>
      </c>
      <c r="BI148" s="41">
        <f>IF(N('Dvd Calendar'!$W$2047)=0,"",IF(('Dvd Calendar'!$W$2047&gt;=MIN(DATE(Summary!$C$12,1,1),Summary!$C$11))*('Dvd Calendar'!$W$2047&lt;=MAX(DATE(Summary!$C$12,12,31),Summary!$C$15))*('Dvd Calendar'!$W$2047&gt;Summary!$C$11)=0,"",'Dvd Calendar'!$W$2047*1000000000+ISNUMBER('Dvd Calendar'!$W$2048)*100000000+('Dvd Calendar'!$W$2052='Field Check'!$C$25)*10000000+(N('Dvd Calendar'!$W$2046)&gt;0)*1000000+36*1000+59))</f>
        <v/>
      </c>
      <c r="BJ148" s="41">
        <f>IF(N('Dvd Calendar'!$X$2047)=0,"",IF(('Dvd Calendar'!$X$2047&gt;=MIN(DATE(Summary!$C$12,1,1),Summary!$C$11))*('Dvd Calendar'!$X$2047&lt;=MAX(DATE(Summary!$C$12,12,31),Summary!$C$15))*('Dvd Calendar'!$X$2047&gt;Summary!$C$11)=0,"",'Dvd Calendar'!$X$2047*1000000000+ISNUMBER('Dvd Calendar'!$X$2048)*100000000+('Dvd Calendar'!$X$2052='Field Check'!$C$25)*10000000+(N('Dvd Calendar'!$X$2046)&gt;0)*1000000+36*1000+60))</f>
        <v/>
      </c>
      <c r="BK148" s="41">
        <f>IF(N('Dvd Calendar'!$Y$2047)=0,"",IF(('Dvd Calendar'!$Y$2047&gt;=MIN(DATE(Summary!$C$12,1,1),Summary!$C$11))*('Dvd Calendar'!$Y$2047&lt;=MAX(DATE(Summary!$C$12,12,31),Summary!$C$15))*('Dvd Calendar'!$Y$2047&gt;Summary!$C$11)=0,"",'Dvd Calendar'!$Y$2047*1000000000+ISNUMBER('Dvd Calendar'!$Y$2048)*100000000+('Dvd Calendar'!$Y$2052='Field Check'!$C$25)*10000000+(N('Dvd Calendar'!$Y$2046)&gt;0)*1000000+36*1000+61))</f>
        <v/>
      </c>
      <c r="BL148" s="41">
        <f>IF(N('Dvd Calendar'!$Z$2047)=0,"",IF(('Dvd Calendar'!$Z$2047&gt;=MIN(DATE(Summary!$C$12,1,1),Summary!$C$11))*('Dvd Calendar'!$Z$2047&lt;=MAX(DATE(Summary!$C$12,12,31),Summary!$C$15))*('Dvd Calendar'!$Z$2047&gt;Summary!$C$11)=0,"",'Dvd Calendar'!$Z$2047*1000000000+ISNUMBER('Dvd Calendar'!$Z$2048)*100000000+('Dvd Calendar'!$Z$2052='Field Check'!$C$25)*10000000+(N('Dvd Calendar'!$Z$2046)&gt;0)*1000000+36*1000+62))</f>
        <v/>
      </c>
      <c r="BM148" s="41">
        <f>IF(N('Dvd Calendar'!$AA$2047)=0,"",IF(('Dvd Calendar'!$AA$2047&gt;=MIN(DATE(Summary!$C$12,1,1),Summary!$C$11))*('Dvd Calendar'!$AA$2047&lt;=MAX(DATE(Summary!$C$12,12,31),Summary!$C$15))*('Dvd Calendar'!$AA$2047&gt;Summary!$C$11)=0,"",'Dvd Calendar'!$AA$2047*1000000000+ISNUMBER('Dvd Calendar'!$AA$2048)*100000000+('Dvd Calendar'!$AA$2052='Field Check'!$C$25)*10000000+(N('Dvd Calendar'!$AA$2046)&gt;0)*1000000+36*1000+63))</f>
        <v/>
      </c>
      <c r="BN148" s="41">
        <f>IF(N('Dvd Calendar'!$AB$2047)=0,"",IF(('Dvd Calendar'!$AB$2047&gt;=MIN(DATE(Summary!$C$12,1,1),Summary!$C$11))*('Dvd Calendar'!$AB$2047&lt;=MAX(DATE(Summary!$C$12,12,31),Summary!$C$15))*('Dvd Calendar'!$AB$2047&gt;Summary!$C$11)=0,"",'Dvd Calendar'!$AB$2047*1000000000+ISNUMBER('Dvd Calendar'!$AB$2048)*100000000+('Dvd Calendar'!$AB$2052='Field Check'!$C$25)*10000000+(N('Dvd Calendar'!$AB$2046)&gt;0)*1000000+36*1000+64))</f>
        <v/>
      </c>
      <c r="BO148" s="41">
        <f>IF(N('Dvd Calendar'!$AC$2047)=0,"",IF(('Dvd Calendar'!$AC$2047&gt;=MIN(DATE(Summary!$C$12,1,1),Summary!$C$11))*('Dvd Calendar'!$AC$2047&lt;=MAX(DATE(Summary!$C$12,12,31),Summary!$C$15))*('Dvd Calendar'!$AC$2047&gt;Summary!$C$11)=0,"",'Dvd Calendar'!$AC$2047*1000000000+ISNUMBER('Dvd Calendar'!$AC$2048)*100000000+('Dvd Calendar'!$AC$2052='Field Check'!$C$25)*10000000+(N('Dvd Calendar'!$AC$2046)&gt;0)*1000000+36*1000+65))</f>
        <v/>
      </c>
      <c r="BQ148" s="85">
        <f>IF(C148="","",IF(ISNUMBER('Dvd Calendar'!$E$2041)=FALSE,"",IF((Summary!$C$13="N")*('Dvd Calendar'!$E$2045='Field Check'!$C$25)&gt;0,"",'Dvd Calendar'!$E$2041)))</f>
        <v/>
      </c>
      <c r="BR148" s="85">
        <f>IF(D148="","",IF(ISNUMBER('Dvd Calendar'!$F$2041)=FALSE,"",IF((Summary!$C$13="N")*('Dvd Calendar'!$F$2045='Field Check'!$C$25)&gt;0,"",'Dvd Calendar'!$F$2041)))</f>
        <v/>
      </c>
      <c r="BS148" s="85">
        <f>IF(E148="","",IF(ISNUMBER('Dvd Calendar'!$G$2041)=FALSE,"",IF((Summary!$C$13="N")*('Dvd Calendar'!$G$2045='Field Check'!$C$25)&gt;0,"",'Dvd Calendar'!$G$2041)))</f>
        <v/>
      </c>
      <c r="BT148" s="85">
        <f>IF(F148="","",IF(ISNUMBER('Dvd Calendar'!$H$2041)=FALSE,"",IF((Summary!$C$13="N")*('Dvd Calendar'!$H$2045='Field Check'!$C$25)&gt;0,"",'Dvd Calendar'!$H$2041)))</f>
        <v/>
      </c>
      <c r="BU148" s="85">
        <f>IF(G148="","",IF(ISNUMBER('Dvd Calendar'!$I$2041)=FALSE,"",IF((Summary!$C$13="N")*('Dvd Calendar'!$I$2045='Field Check'!$C$25)&gt;0,"",'Dvd Calendar'!$I$2041)))</f>
        <v/>
      </c>
      <c r="BV148" s="85">
        <f>IF(H148="","",IF(ISNUMBER('Dvd Calendar'!$J$2041)=FALSE,"",IF((Summary!$C$13="N")*('Dvd Calendar'!$J$2045='Field Check'!$C$25)&gt;0,"",'Dvd Calendar'!$J$2041)))</f>
        <v/>
      </c>
      <c r="BW148" s="85">
        <f>IF(I148="","",IF(ISNUMBER('Dvd Calendar'!$K$2041)=FALSE,"",IF((Summary!$C$13="N")*('Dvd Calendar'!$K$2045='Field Check'!$C$25)&gt;0,"",'Dvd Calendar'!$K$2041)))</f>
        <v/>
      </c>
      <c r="BX148" s="85">
        <f>IF(J148="","",IF(ISNUMBER('Dvd Calendar'!$L$2041)=FALSE,"",IF((Summary!$C$13="N")*('Dvd Calendar'!$L$2045='Field Check'!$C$25)&gt;0,"",'Dvd Calendar'!$L$2041)))</f>
        <v/>
      </c>
      <c r="BY148" s="85">
        <f>IF(K148="","",IF(ISNUMBER('Dvd Calendar'!$M$2041)=FALSE,"",IF((Summary!$C$13="N")*('Dvd Calendar'!$M$2045='Field Check'!$C$25)&gt;0,"",'Dvd Calendar'!$M$2041)))</f>
        <v/>
      </c>
      <c r="BZ148" s="85">
        <f>IF(L148="","",IF(ISNUMBER('Dvd Calendar'!$N$2041)=FALSE,"",IF((Summary!$C$13="N")*('Dvd Calendar'!$N$2045='Field Check'!$C$25)&gt;0,"",'Dvd Calendar'!$N$2041)))</f>
        <v/>
      </c>
      <c r="CA148" s="85">
        <f>IF(M148="","",IF(ISNUMBER('Dvd Calendar'!$O$2041)=FALSE,"",IF((Summary!$C$13="N")*('Dvd Calendar'!$O$2045='Field Check'!$C$25)&gt;0,"",'Dvd Calendar'!$O$2041)))</f>
        <v/>
      </c>
      <c r="CB148" s="85">
        <f>IF(N148="","",IF(ISNUMBER('Dvd Calendar'!$P$2041)=FALSE,"",IF((Summary!$C$13="N")*('Dvd Calendar'!$P$2045='Field Check'!$C$25)&gt;0,"",'Dvd Calendar'!$P$2041)))</f>
        <v/>
      </c>
      <c r="CC148" s="85">
        <f>IF(O148="","",IF(ISNUMBER('Dvd Calendar'!$Q$2041)=FALSE,"",IF((Summary!$C$13="N")*('Dvd Calendar'!$Q$2045='Field Check'!$C$25)&gt;0,"",'Dvd Calendar'!$Q$2041)))</f>
        <v/>
      </c>
      <c r="CD148" s="85">
        <f>IF(P148="","",IF(ISNUMBER('Dvd Calendar'!$R$2041)=FALSE,"",IF((Summary!$C$13="N")*('Dvd Calendar'!$R$2045='Field Check'!$C$25)&gt;0,"",'Dvd Calendar'!$R$2041)))</f>
        <v/>
      </c>
      <c r="CE148" s="85">
        <f>IF(Q148="","",IF(ISNUMBER('Dvd Calendar'!$S$2041)=FALSE,"",IF((Summary!$C$13="N")*('Dvd Calendar'!$S$2045='Field Check'!$C$25)&gt;0,"",'Dvd Calendar'!$S$2041)))</f>
        <v/>
      </c>
      <c r="CF148" s="85">
        <f>IF(R148="","",IF(ISNUMBER('Dvd Calendar'!$T$2041)=FALSE,"",IF((Summary!$C$13="N")*('Dvd Calendar'!$T$2045='Field Check'!$C$25)&gt;0,"",'Dvd Calendar'!$T$2041)))</f>
        <v/>
      </c>
      <c r="CG148" s="85">
        <f>IF(S148="","",IF(ISNUMBER('Dvd Calendar'!$U$2041)=FALSE,"",IF((Summary!$C$13="N")*('Dvd Calendar'!$U$2045='Field Check'!$C$25)&gt;0,"",'Dvd Calendar'!$U$2041)))</f>
        <v/>
      </c>
      <c r="CH148" s="85">
        <f>IF(T148="","",IF(ISNUMBER('Dvd Calendar'!$V$2041)=FALSE,"",IF((Summary!$C$13="N")*('Dvd Calendar'!$V$2045='Field Check'!$C$25)&gt;0,"",'Dvd Calendar'!$V$2041)))</f>
        <v/>
      </c>
      <c r="CI148" s="85">
        <f>IF(U148="","",IF(ISNUMBER('Dvd Calendar'!$W$2041)=FALSE,"",IF((Summary!$C$13="N")*('Dvd Calendar'!$W$2045='Field Check'!$C$25)&gt;0,"",'Dvd Calendar'!$W$2041)))</f>
        <v/>
      </c>
      <c r="CJ148" s="85">
        <f>IF(V148="","",IF(ISNUMBER('Dvd Calendar'!$X$2041)=FALSE,"",IF((Summary!$C$13="N")*('Dvd Calendar'!$X$2045='Field Check'!$C$25)&gt;0,"",'Dvd Calendar'!$X$2041)))</f>
        <v/>
      </c>
      <c r="CK148" s="85">
        <f>IF(W148="","",IF(ISNUMBER('Dvd Calendar'!$Y$2041)=FALSE,"",IF((Summary!$C$13="N")*('Dvd Calendar'!$Y$2045='Field Check'!$C$25)&gt;0,"",'Dvd Calendar'!$Y$2041)))</f>
        <v/>
      </c>
      <c r="CL148" s="85">
        <f>IF(X148="","",IF(ISNUMBER('Dvd Calendar'!$Z$2041)=FALSE,"",IF((Summary!$C$13="N")*('Dvd Calendar'!$Z$2045='Field Check'!$C$25)&gt;0,"",'Dvd Calendar'!$Z$2041)))</f>
        <v/>
      </c>
      <c r="CM148" s="85">
        <f>IF(Y148="","",IF(ISNUMBER('Dvd Calendar'!$AA$2041)=FALSE,"",IF((Summary!$C$13="N")*('Dvd Calendar'!$AA$2045='Field Check'!$C$25)&gt;0,"",'Dvd Calendar'!$AA$2041)))</f>
        <v/>
      </c>
      <c r="CN148" s="85">
        <f>IF(Z148="","",IF(ISNUMBER('Dvd Calendar'!$AB$2041)=FALSE,"",IF((Summary!$C$13="N")*('Dvd Calendar'!$AB$2045='Field Check'!$C$25)&gt;0,"",'Dvd Calendar'!$AB$2041)))</f>
        <v/>
      </c>
      <c r="CO148" s="85">
        <f>IF(AA148="","",IF(ISNUMBER('Dvd Calendar'!$AC$2041)=FALSE,"",IF((Summary!$C$13="N")*('Dvd Calendar'!$AC$2045='Field Check'!$C$25)&gt;0,"",'Dvd Calendar'!$AC$2041)))</f>
        <v/>
      </c>
      <c r="CP148" s="85">
        <f>IF(AB148="","",IF(ISNUMBER('Dvd Calendar'!$AD$2041)=FALSE,"",IF((Summary!$C$13="N")*('Dvd Calendar'!$AD$2045='Field Check'!$C$25)&gt;0,"",'Dvd Calendar'!$AD$2041)))</f>
        <v/>
      </c>
      <c r="CQ148" s="85">
        <f>IF(AC148="","",IF(ISNUMBER('Dvd Calendar'!$AE$2041)=FALSE,"",IF((Summary!$C$13="N")*('Dvd Calendar'!$AE$2045='Field Check'!$C$25)&gt;0,"",'Dvd Calendar'!$AE$2041)))</f>
        <v/>
      </c>
      <c r="CR148" s="85">
        <f>IF(AD148="","",IF(ISNUMBER('Dvd Calendar'!$AF$2041)=FALSE,"",IF((Summary!$C$13="N")*('Dvd Calendar'!$AF$2045='Field Check'!$C$25)&gt;0,"",'Dvd Calendar'!$AF$2041)))</f>
        <v/>
      </c>
      <c r="CS148" s="85">
        <f>IF(AE148="","",IF(ISNUMBER('Dvd Calendar'!$AG$2041)=FALSE,"",IF((Summary!$C$13="N")*('Dvd Calendar'!$AG$2045='Field Check'!$C$25)&gt;0,"",'Dvd Calendar'!$AG$2041)))</f>
        <v/>
      </c>
      <c r="CT148" s="85">
        <f>IF(AF148="","",IF(ISNUMBER('Dvd Calendar'!$AH$2041)=FALSE,"",IF((Summary!$C$13="N")*('Dvd Calendar'!$AH$2045='Field Check'!$C$25)&gt;0,"",'Dvd Calendar'!$AH$2041)))</f>
        <v/>
      </c>
      <c r="CU148" s="85">
        <f>IF(AG148="","",IF(ISNUMBER('Dvd Calendar'!$AI$2041)=FALSE,"",IF((Summary!$C$13="N")*('Dvd Calendar'!$AI$2045='Field Check'!$C$25)&gt;0,"",'Dvd Calendar'!$AI$2041)))</f>
        <v/>
      </c>
      <c r="CV148" s="85">
        <f>IF(AH148="","",IF(ISNUMBER('Dvd Calendar'!$AJ$2041)=FALSE,"",IF((Summary!$C$13="N")*('Dvd Calendar'!$AJ$2045='Field Check'!$C$25)&gt;0,"",'Dvd Calendar'!$AJ$2041)))</f>
        <v/>
      </c>
      <c r="CW148" s="85">
        <f>IF(AI148="","",IF(ISNUMBER('Dvd Calendar'!$AK$2041)=FALSE,"",IF((Summary!$C$13="N")*('Dvd Calendar'!$AK$2045='Field Check'!$C$25)&gt;0,"",'Dvd Calendar'!$AK$2041)))</f>
        <v/>
      </c>
      <c r="CX148" s="85">
        <f>IF(AJ148="","",IF(ISNUMBER('Dvd Calendar'!$AL$2041)=FALSE,"",IF((Summary!$C$13="N")*('Dvd Calendar'!$AL$2045='Field Check'!$C$25)&gt;0,"",'Dvd Calendar'!$AL$2041)))</f>
        <v/>
      </c>
      <c r="CY148" s="85">
        <f>IF(AK148="","",IF(ISNUMBER('Dvd Calendar'!$AM$2041)=FALSE,"",IF((Summary!$C$13="N")*('Dvd Calendar'!$AM$2045='Field Check'!$C$25)&gt;0,"",'Dvd Calendar'!$AM$2041)))</f>
        <v/>
      </c>
      <c r="CZ148" s="85">
        <f>IF(AL148="","",IF(ISNUMBER('Dvd Calendar'!$AN$2041)=FALSE,"",IF((Summary!$C$13="N")*('Dvd Calendar'!$AN$2045='Field Check'!$C$25)&gt;0,"",'Dvd Calendar'!$AN$2041)))</f>
        <v/>
      </c>
      <c r="DA148" s="85">
        <f>IF(AM148="","",IF(ISNUMBER('Dvd Calendar'!$AO$2041)=FALSE,"",IF((Summary!$C$13="N")*('Dvd Calendar'!$AO$2045='Field Check'!$C$25)&gt;0,"",'Dvd Calendar'!$AO$2041)))</f>
        <v/>
      </c>
      <c r="DB148" s="85">
        <f>IF(AN148="","",IF(ISNUMBER('Dvd Calendar'!$AP$2041)=FALSE,"",IF((Summary!$C$13="N")*('Dvd Calendar'!$AP$2045='Field Check'!$C$25)&gt;0,"",'Dvd Calendar'!$AP$2041)))</f>
        <v/>
      </c>
      <c r="DC148" s="85">
        <f>IF(AO148="","",IF(ISNUMBER('Dvd Calendar'!$AQ$2041)=FALSE,"",IF((Summary!$C$13="N")*('Dvd Calendar'!$AQ$2045='Field Check'!$C$25)&gt;0,"",'Dvd Calendar'!$AQ$2041)))</f>
        <v/>
      </c>
      <c r="DD148" s="85">
        <f>IF(AP148="","",IF(ISNUMBER('Dvd Calendar'!$AR$2041)=FALSE,"",IF((Summary!$C$13="N")*('Dvd Calendar'!$AR$2045='Field Check'!$C$25)&gt;0,"",'Dvd Calendar'!$AR$2041)))</f>
        <v/>
      </c>
      <c r="DE148" s="85">
        <f>IF(AQ148="","",IF(ISNUMBER('Dvd Calendar'!$E$2048)=FALSE,"",IF((Summary!$C$13="N")*('Dvd Calendar'!$E$2052='Field Check'!$C$25)&gt;0,"",'Dvd Calendar'!$E$2048)))</f>
        <v/>
      </c>
      <c r="DF148" s="85">
        <f>IF(AR148="","",IF(ISNUMBER('Dvd Calendar'!$F$2048)=FALSE,"",IF((Summary!$C$13="N")*('Dvd Calendar'!$F$2052='Field Check'!$C$25)&gt;0,"",'Dvd Calendar'!$F$2048)))</f>
        <v/>
      </c>
      <c r="DG148" s="85">
        <f>IF(AS148="","",IF(ISNUMBER('Dvd Calendar'!$G$2048)=FALSE,"",IF((Summary!$C$13="N")*('Dvd Calendar'!$G$2052='Field Check'!$C$25)&gt;0,"",'Dvd Calendar'!$G$2048)))</f>
        <v/>
      </c>
      <c r="DH148" s="85">
        <f>IF(AT148="","",IF(ISNUMBER('Dvd Calendar'!$H$2048)=FALSE,"",IF((Summary!$C$13="N")*('Dvd Calendar'!$H$2052='Field Check'!$C$25)&gt;0,"",'Dvd Calendar'!$H$2048)))</f>
        <v/>
      </c>
      <c r="DI148" s="85">
        <f>IF(AU148="","",IF(ISNUMBER('Dvd Calendar'!$I$2048)=FALSE,"",IF((Summary!$C$13="N")*('Dvd Calendar'!$I$2052='Field Check'!$C$25)&gt;0,"",'Dvd Calendar'!$I$2048)))</f>
        <v/>
      </c>
      <c r="DJ148" s="85">
        <f>IF(AV148="","",IF(ISNUMBER('Dvd Calendar'!$J$2048)=FALSE,"",IF((Summary!$C$13="N")*('Dvd Calendar'!$J$2052='Field Check'!$C$25)&gt;0,"",'Dvd Calendar'!$J$2048)))</f>
        <v/>
      </c>
      <c r="DK148" s="85">
        <f>IF(AW148="","",IF(ISNUMBER('Dvd Calendar'!$K$2048)=FALSE,"",IF((Summary!$C$13="N")*('Dvd Calendar'!$K$2052='Field Check'!$C$25)&gt;0,"",'Dvd Calendar'!$K$2048)))</f>
        <v/>
      </c>
      <c r="DL148" s="85">
        <f>IF(AX148="","",IF(ISNUMBER('Dvd Calendar'!$L$2048)=FALSE,"",IF((Summary!$C$13="N")*('Dvd Calendar'!$L$2052='Field Check'!$C$25)&gt;0,"",'Dvd Calendar'!$L$2048)))</f>
        <v/>
      </c>
      <c r="DM148" s="85">
        <f>IF(AY148="","",IF(ISNUMBER('Dvd Calendar'!$M$2048)=FALSE,"",IF((Summary!$C$13="N")*('Dvd Calendar'!$M$2052='Field Check'!$C$25)&gt;0,"",'Dvd Calendar'!$M$2048)))</f>
        <v/>
      </c>
      <c r="DN148" s="85">
        <f>IF(AZ148="","",IF(ISNUMBER('Dvd Calendar'!$N$2048)=FALSE,"",IF((Summary!$C$13="N")*('Dvd Calendar'!$N$2052='Field Check'!$C$25)&gt;0,"",'Dvd Calendar'!$N$2048)))</f>
        <v/>
      </c>
      <c r="DO148" s="85">
        <f>IF(BA148="","",IF(ISNUMBER('Dvd Calendar'!$O$2048)=FALSE,"",IF((Summary!$C$13="N")*('Dvd Calendar'!$O$2052='Field Check'!$C$25)&gt;0,"",'Dvd Calendar'!$O$2048)))</f>
        <v/>
      </c>
      <c r="DP148" s="85">
        <f>IF(BB148="","",IF(ISNUMBER('Dvd Calendar'!$P$2048)=FALSE,"",IF((Summary!$C$13="N")*('Dvd Calendar'!$P$2052='Field Check'!$C$25)&gt;0,"",'Dvd Calendar'!$P$2048)))</f>
        <v/>
      </c>
      <c r="DQ148" s="85">
        <f>IF(BC148="","",IF(ISNUMBER('Dvd Calendar'!$Q$2048)=FALSE,"",IF((Summary!$C$13="N")*('Dvd Calendar'!$Q$2052='Field Check'!$C$25)&gt;0,"",'Dvd Calendar'!$Q$2048)))</f>
        <v/>
      </c>
      <c r="DR148" s="85">
        <f>IF(BD148="","",IF(ISNUMBER('Dvd Calendar'!$R$2048)=FALSE,"",IF((Summary!$C$13="N")*('Dvd Calendar'!$R$2052='Field Check'!$C$25)&gt;0,"",'Dvd Calendar'!$R$2048)))</f>
        <v/>
      </c>
      <c r="DS148" s="85">
        <f>IF(BE148="","",IF(ISNUMBER('Dvd Calendar'!$S$2048)=FALSE,"",IF((Summary!$C$13="N")*('Dvd Calendar'!$S$2052='Field Check'!$C$25)&gt;0,"",'Dvd Calendar'!$S$2048)))</f>
        <v/>
      </c>
      <c r="DT148" s="85">
        <f>IF(BF148="","",IF(ISNUMBER('Dvd Calendar'!$T$2048)=FALSE,"",IF((Summary!$C$13="N")*('Dvd Calendar'!$T$2052='Field Check'!$C$25)&gt;0,"",'Dvd Calendar'!$T$2048)))</f>
        <v/>
      </c>
      <c r="DU148" s="85">
        <f>IF(BG148="","",IF(ISNUMBER('Dvd Calendar'!$U$2048)=FALSE,"",IF((Summary!$C$13="N")*('Dvd Calendar'!$U$2052='Field Check'!$C$25)&gt;0,"",'Dvd Calendar'!$U$2048)))</f>
        <v/>
      </c>
      <c r="DV148" s="85">
        <f>IF(BH148="","",IF(ISNUMBER('Dvd Calendar'!$V$2048)=FALSE,"",IF((Summary!$C$13="N")*('Dvd Calendar'!$V$2052='Field Check'!$C$25)&gt;0,"",'Dvd Calendar'!$V$2048)))</f>
        <v/>
      </c>
      <c r="DW148" s="85">
        <f>IF(BI148="","",IF(ISNUMBER('Dvd Calendar'!$W$2048)=FALSE,"",IF((Summary!$C$13="N")*('Dvd Calendar'!$W$2052='Field Check'!$C$25)&gt;0,"",'Dvd Calendar'!$W$2048)))</f>
        <v/>
      </c>
      <c r="DX148" s="85">
        <f>IF(BJ148="","",IF(ISNUMBER('Dvd Calendar'!$X$2048)=FALSE,"",IF((Summary!$C$13="N")*('Dvd Calendar'!$X$2052='Field Check'!$C$25)&gt;0,"",'Dvd Calendar'!$X$2048)))</f>
        <v/>
      </c>
      <c r="DY148" s="85">
        <f>IF(BK148="","",IF(ISNUMBER('Dvd Calendar'!$Y$2048)=FALSE,"",IF((Summary!$C$13="N")*('Dvd Calendar'!$Y$2052='Field Check'!$C$25)&gt;0,"",'Dvd Calendar'!$Y$2048)))</f>
        <v/>
      </c>
      <c r="DZ148" s="85">
        <f>IF(BL148="","",IF(ISNUMBER('Dvd Calendar'!$Z$2048)=FALSE,"",IF((Summary!$C$13="N")*('Dvd Calendar'!$Z$2052='Field Check'!$C$25)&gt;0,"",'Dvd Calendar'!$Z$2048)))</f>
        <v/>
      </c>
      <c r="EA148" s="85">
        <f>IF(BM148="","",IF(ISNUMBER('Dvd Calendar'!$AA$2048)=FALSE,"",IF((Summary!$C$13="N")*('Dvd Calendar'!$AA$2052='Field Check'!$C$25)&gt;0,"",'Dvd Calendar'!$AA$2048)))</f>
        <v/>
      </c>
      <c r="EB148" s="85">
        <f>IF(BN148="","",IF(ISNUMBER('Dvd Calendar'!$AB$2048)=FALSE,"",IF((Summary!$C$13="N")*('Dvd Calendar'!$AB$2052='Field Check'!$C$25)&gt;0,"",'Dvd Calendar'!$AB$2048)))</f>
        <v/>
      </c>
      <c r="EC148" s="85">
        <f>IF(BO148="","",IF(ISNUMBER('Dvd Calendar'!$AC$2048)=FALSE,"",IF((Summary!$C$13="N")*('Dvd Calendar'!$AC$2052='Field Check'!$C$25)&gt;0,"",'Dvd Calendar'!$AC$2048)))</f>
        <v/>
      </c>
      <c r="EE148" s="85">
        <f>IF(BQ148="","",IFERROR(BQ148*HSTECH!$B$42*HSTECH!$G$42/HSTECH!$B$3,""))</f>
        <v/>
      </c>
      <c r="EF148" s="85">
        <f>IF(BR148="","",IFERROR(BR148*HSTECH!$B$42*HSTECH!$G$42/HSTECH!$B$3,""))</f>
        <v/>
      </c>
      <c r="EG148" s="85">
        <f>IF(BS148="","",IFERROR(BS148*HSTECH!$B$42*HSTECH!$G$42/HSTECH!$B$3,""))</f>
        <v/>
      </c>
      <c r="EH148" s="85">
        <f>IF(BT148="","",IFERROR(BT148*HSTECH!$B$42*HSTECH!$G$42/HSTECH!$B$3,""))</f>
        <v/>
      </c>
      <c r="EI148" s="85">
        <f>IF(BU148="","",IFERROR(BU148*HSTECH!$B$42*HSTECH!$G$42/HSTECH!$B$3,""))</f>
        <v/>
      </c>
      <c r="EJ148" s="85">
        <f>IF(BV148="","",IFERROR(BV148*HSTECH!$B$42*HSTECH!$G$42/HSTECH!$B$3,""))</f>
        <v/>
      </c>
      <c r="EK148" s="85">
        <f>IF(BW148="","",IFERROR(BW148*HSTECH!$B$42*HSTECH!$G$42/HSTECH!$B$3,""))</f>
        <v/>
      </c>
      <c r="EL148" s="85">
        <f>IF(BX148="","",IFERROR(BX148*HSTECH!$B$42*HSTECH!$G$42/HSTECH!$B$3,""))</f>
        <v/>
      </c>
      <c r="EM148" s="85">
        <f>IF(BY148="","",IFERROR(BY148*HSTECH!$B$42*HSTECH!$G$42/HSTECH!$B$3,""))</f>
        <v/>
      </c>
      <c r="EN148" s="85">
        <f>IF(BZ148="","",IFERROR(BZ148*HSTECH!$B$42*HSTECH!$G$42/HSTECH!$B$3,""))</f>
        <v/>
      </c>
      <c r="EO148" s="85">
        <f>IF(CA148="","",IFERROR(CA148*HSTECH!$B$42*HSTECH!$G$42/HSTECH!$B$3,""))</f>
        <v/>
      </c>
      <c r="EP148" s="85">
        <f>IF(CB148="","",IFERROR(CB148*HSTECH!$B$42*HSTECH!$G$42/HSTECH!$B$3,""))</f>
        <v/>
      </c>
      <c r="EQ148" s="85">
        <f>IF(CC148="","",IFERROR(CC148*HSTECH!$B$42*HSTECH!$G$42/HSTECH!$B$3,""))</f>
        <v/>
      </c>
      <c r="ER148" s="85">
        <f>IF(CD148="","",IFERROR(CD148*HSTECH!$B$42*HSTECH!$G$42/HSTECH!$B$3,""))</f>
        <v/>
      </c>
      <c r="ES148" s="85">
        <f>IF(CE148="","",IFERROR(CE148*HSTECH!$B$42*HSTECH!$G$42/HSTECH!$B$3,""))</f>
        <v/>
      </c>
      <c r="ET148" s="85">
        <f>IF(CF148="","",IFERROR(CF148*HSTECH!$B$42*HSTECH!$G$42/HSTECH!$B$3,""))</f>
        <v/>
      </c>
      <c r="EU148" s="85">
        <f>IF(CG148="","",IFERROR(CG148*HSTECH!$B$42*HSTECH!$G$42/HSTECH!$B$3,""))</f>
        <v/>
      </c>
      <c r="EV148" s="85">
        <f>IF(CH148="","",IFERROR(CH148*HSTECH!$B$42*HSTECH!$G$42/HSTECH!$B$3,""))</f>
        <v/>
      </c>
      <c r="EW148" s="85">
        <f>IF(CI148="","",IFERROR(CI148*HSTECH!$B$42*HSTECH!$G$42/HSTECH!$B$3,""))</f>
        <v/>
      </c>
      <c r="EX148" s="85">
        <f>IF(CJ148="","",IFERROR(CJ148*HSTECH!$B$42*HSTECH!$G$42/HSTECH!$B$3,""))</f>
        <v/>
      </c>
      <c r="EY148" s="85">
        <f>IF(CK148="","",IFERROR(CK148*HSTECH!$B$42*HSTECH!$G$42/HSTECH!$B$3,""))</f>
        <v/>
      </c>
      <c r="EZ148" s="85">
        <f>IF(CL148="","",IFERROR(CL148*HSTECH!$B$42*HSTECH!$G$42/HSTECH!$B$3,""))</f>
        <v/>
      </c>
      <c r="FA148" s="85">
        <f>IF(CM148="","",IFERROR(CM148*HSTECH!$B$42*HSTECH!$G$42/HSTECH!$B$3,""))</f>
        <v/>
      </c>
      <c r="FB148" s="85">
        <f>IF(CN148="","",IFERROR(CN148*HSTECH!$B$42*HSTECH!$G$42/HSTECH!$B$3,""))</f>
        <v/>
      </c>
      <c r="FC148" s="85">
        <f>IF(CO148="","",IFERROR(CO148*HSTECH!$B$42*HSTECH!$G$42/HSTECH!$B$3,""))</f>
        <v/>
      </c>
      <c r="FD148" s="85">
        <f>IF(CP148="","",IFERROR(CP148*HSTECH!$B$42*HSTECH!$G$42/HSTECH!$B$3,""))</f>
        <v/>
      </c>
      <c r="FE148" s="85">
        <f>IF(CQ148="","",IFERROR(CQ148*HSTECH!$B$42*HSTECH!$G$42/HSTECH!$B$3,""))</f>
        <v/>
      </c>
      <c r="FF148" s="85">
        <f>IF(CR148="","",IFERROR(CR148*HSTECH!$B$42*HSTECH!$G$42/HSTECH!$B$3,""))</f>
        <v/>
      </c>
      <c r="FG148" s="85">
        <f>IF(CS148="","",IFERROR(CS148*HSTECH!$B$42*HSTECH!$G$42/HSTECH!$B$3,""))</f>
        <v/>
      </c>
      <c r="FH148" s="85">
        <f>IF(CT148="","",IFERROR(CT148*HSTECH!$B$42*HSTECH!$G$42/HSTECH!$B$3,""))</f>
        <v/>
      </c>
      <c r="FI148" s="85">
        <f>IF(CU148="","",IFERROR(CU148*HSTECH!$B$42*HSTECH!$G$42/HSTECH!$B$3,""))</f>
        <v/>
      </c>
      <c r="FJ148" s="85">
        <f>IF(CV148="","",IFERROR(CV148*HSTECH!$B$42*HSTECH!$G$42/HSTECH!$B$3,""))</f>
        <v/>
      </c>
      <c r="FK148" s="85">
        <f>IF(CW148="","",IFERROR(CW148*HSTECH!$B$42*HSTECH!$G$42/HSTECH!$B$3,""))</f>
        <v/>
      </c>
      <c r="FL148" s="85">
        <f>IF(CX148="","",IFERROR(CX148*HSTECH!$B$42*HSTECH!$G$42/HSTECH!$B$3,""))</f>
        <v/>
      </c>
      <c r="FM148" s="85">
        <f>IF(CY148="","",IFERROR(CY148*HSTECH!$B$42*HSTECH!$G$42/HSTECH!$B$3,""))</f>
        <v/>
      </c>
      <c r="FN148" s="85">
        <f>IF(CZ148="","",IFERROR(CZ148*HSTECH!$B$42*HSTECH!$G$42/HSTECH!$B$3,""))</f>
        <v/>
      </c>
      <c r="FO148" s="85">
        <f>IF(DA148="","",IFERROR(DA148*HSTECH!$B$42*HSTECH!$G$42/HSTECH!$B$3,""))</f>
        <v/>
      </c>
      <c r="FP148" s="85">
        <f>IF(DB148="","",IFERROR(DB148*HSTECH!$B$42*HSTECH!$G$42/HSTECH!$B$3,""))</f>
        <v/>
      </c>
      <c r="FQ148" s="85">
        <f>IF(DC148="","",IFERROR(DC148*HSTECH!$B$42*HSTECH!$G$42/HSTECH!$B$3,""))</f>
        <v/>
      </c>
      <c r="FR148" s="85">
        <f>IF(DD148="","",IFERROR(DD148*HSTECH!$B$42*HSTECH!$G$42/HSTECH!$B$3,""))</f>
        <v/>
      </c>
      <c r="FS148" s="85">
        <f>IF(DE148="","",IFERROR(DE148*HSTECH!$B$42*HSTECH!$G$42/HSTECH!$B$3,""))</f>
        <v/>
      </c>
      <c r="FT148" s="85">
        <f>IF(DF148="","",IFERROR(DF148*HSTECH!$B$42*HSTECH!$G$42/HSTECH!$B$3,""))</f>
        <v/>
      </c>
      <c r="FU148" s="85">
        <f>IF(DG148="","",IFERROR(DG148*HSTECH!$B$42*HSTECH!$G$42/HSTECH!$B$3,""))</f>
        <v/>
      </c>
      <c r="FV148" s="85">
        <f>IF(DH148="","",IFERROR(DH148*HSTECH!$B$42*HSTECH!$G$42/HSTECH!$B$3,""))</f>
        <v/>
      </c>
      <c r="FW148" s="85">
        <f>IF(DI148="","",IFERROR(DI148*HSTECH!$B$42*HSTECH!$G$42/HSTECH!$B$3,""))</f>
        <v/>
      </c>
      <c r="FX148" s="85">
        <f>IF(DJ148="","",IFERROR(DJ148*HSTECH!$B$42*HSTECH!$G$42/HSTECH!$B$3,""))</f>
        <v/>
      </c>
      <c r="FY148" s="85">
        <f>IF(DK148="","",IFERROR(DK148*HSTECH!$B$42*HSTECH!$G$42/HSTECH!$B$3,""))</f>
        <v/>
      </c>
      <c r="FZ148" s="85">
        <f>IF(DL148="","",IFERROR(DL148*HSTECH!$B$42*HSTECH!$G$42/HSTECH!$B$3,""))</f>
        <v/>
      </c>
      <c r="GA148" s="85">
        <f>IF(DM148="","",IFERROR(DM148*HSTECH!$B$42*HSTECH!$G$42/HSTECH!$B$3,""))</f>
        <v/>
      </c>
      <c r="GB148" s="85">
        <f>IF(DN148="","",IFERROR(DN148*HSTECH!$B$42*HSTECH!$G$42/HSTECH!$B$3,""))</f>
        <v/>
      </c>
      <c r="GC148" s="85">
        <f>IF(DO148="","",IFERROR(DO148*HSTECH!$B$42*HSTECH!$G$42/HSTECH!$B$3,""))</f>
        <v/>
      </c>
      <c r="GD148" s="85">
        <f>IF(DP148="","",IFERROR(DP148*HSTECH!$B$42*HSTECH!$G$42/HSTECH!$B$3,""))</f>
        <v/>
      </c>
      <c r="GE148" s="85">
        <f>IF(DQ148="","",IFERROR(DQ148*HSTECH!$B$42*HSTECH!$G$42/HSTECH!$B$3,""))</f>
        <v/>
      </c>
      <c r="GF148" s="85">
        <f>IF(DR148="","",IFERROR(DR148*HSTECH!$B$42*HSTECH!$G$42/HSTECH!$B$3,""))</f>
        <v/>
      </c>
      <c r="GG148" s="85">
        <f>IF(DS148="","",IFERROR(DS148*HSTECH!$B$42*HSTECH!$G$42/HSTECH!$B$3,""))</f>
        <v/>
      </c>
      <c r="GH148" s="85">
        <f>IF(DT148="","",IFERROR(DT148*HSTECH!$B$42*HSTECH!$G$42/HSTECH!$B$3,""))</f>
        <v/>
      </c>
      <c r="GI148" s="85">
        <f>IF(DU148="","",IFERROR(DU148*HSTECH!$B$42*HSTECH!$G$42/HSTECH!$B$3,""))</f>
        <v/>
      </c>
      <c r="GJ148" s="85">
        <f>IF(DV148="","",IFERROR(DV148*HSTECH!$B$42*HSTECH!$G$42/HSTECH!$B$3,""))</f>
        <v/>
      </c>
      <c r="GK148" s="85">
        <f>IF(DW148="","",IFERROR(DW148*HSTECH!$B$42*HSTECH!$G$42/HSTECH!$B$3,""))</f>
        <v/>
      </c>
      <c r="GL148" s="85">
        <f>IF(DX148="","",IFERROR(DX148*HSTECH!$B$42*HSTECH!$G$42/HSTECH!$B$3,""))</f>
        <v/>
      </c>
      <c r="GM148" s="85">
        <f>IF(DY148="","",IFERROR(DY148*HSTECH!$B$42*HSTECH!$G$42/HSTECH!$B$3,""))</f>
        <v/>
      </c>
      <c r="GN148" s="85">
        <f>IF(DZ148="","",IFERROR(DZ148*HSTECH!$B$42*HSTECH!$G$42/HSTECH!$B$3,""))</f>
        <v/>
      </c>
      <c r="GO148" s="85">
        <f>IF(EA148="","",IFERROR(EA148*HSTECH!$B$42*HSTECH!$G$42/HSTECH!$B$3,""))</f>
        <v/>
      </c>
      <c r="GP148" s="85">
        <f>IF(EB148="","",IFERROR(EB148*HSTECH!$B$42*HSTECH!$G$42/HSTECH!$B$3,""))</f>
        <v/>
      </c>
      <c r="GQ148" s="85">
        <f>IF(EC148="","",IFERROR(EC148*HSTECH!$B$42*HSTECH!$G$42/HSTECH!$B$3,""))</f>
        <v/>
      </c>
    </row>
    <row r="149">
      <c r="B149" s="2">
        <f>IF(HSTECH!$C$43="","",HSTECH!$C$43)</f>
        <v/>
      </c>
      <c r="C149" s="41">
        <f>IF(N('Dvd Calendar'!$E$2055)=0,"",IF(('Dvd Calendar'!$E$2055&gt;=MIN(DATE(Summary!$C$12,1,1),Summary!$C$11))*('Dvd Calendar'!$E$2055&lt;=MAX(DATE(Summary!$C$12,12,31),Summary!$C$15))*('Dvd Calendar'!$E$2055&lt;=Summary!$C$11)=0,"",'Dvd Calendar'!$E$2055*1000000000+ISNUMBER('Dvd Calendar'!$E$2056)*100000000+('Dvd Calendar'!$E$2060='Field Check'!$C$25)*10000000+(N('Dvd Calendar'!$E$2054)&gt;0)*1000000+37*1000+1))</f>
        <v/>
      </c>
      <c r="D149" s="41">
        <f>IF(N('Dvd Calendar'!$F$2055)=0,"",IF(('Dvd Calendar'!$F$2055&gt;=MIN(DATE(Summary!$C$12,1,1),Summary!$C$11))*('Dvd Calendar'!$F$2055&lt;=MAX(DATE(Summary!$C$12,12,31),Summary!$C$15))*('Dvd Calendar'!$F$2055&lt;=Summary!$C$11)=0,"",'Dvd Calendar'!$F$2055*1000000000+ISNUMBER('Dvd Calendar'!$F$2056)*100000000+('Dvd Calendar'!$F$2060='Field Check'!$C$25)*10000000+(N('Dvd Calendar'!$F$2054)&gt;0)*1000000+37*1000+2))</f>
        <v/>
      </c>
      <c r="E149" s="41">
        <f>IF(N('Dvd Calendar'!$G$2055)=0,"",IF(('Dvd Calendar'!$G$2055&gt;=MIN(DATE(Summary!$C$12,1,1),Summary!$C$11))*('Dvd Calendar'!$G$2055&lt;=MAX(DATE(Summary!$C$12,12,31),Summary!$C$15))*('Dvd Calendar'!$G$2055&lt;=Summary!$C$11)=0,"",'Dvd Calendar'!$G$2055*1000000000+ISNUMBER('Dvd Calendar'!$G$2056)*100000000+('Dvd Calendar'!$G$2060='Field Check'!$C$25)*10000000+(N('Dvd Calendar'!$G$2054)&gt;0)*1000000+37*1000+3))</f>
        <v/>
      </c>
      <c r="F149" s="41">
        <f>IF(N('Dvd Calendar'!$H$2055)=0,"",IF(('Dvd Calendar'!$H$2055&gt;=MIN(DATE(Summary!$C$12,1,1),Summary!$C$11))*('Dvd Calendar'!$H$2055&lt;=MAX(DATE(Summary!$C$12,12,31),Summary!$C$15))*('Dvd Calendar'!$H$2055&lt;=Summary!$C$11)=0,"",'Dvd Calendar'!$H$2055*1000000000+ISNUMBER('Dvd Calendar'!$H$2056)*100000000+('Dvd Calendar'!$H$2060='Field Check'!$C$25)*10000000+(N('Dvd Calendar'!$H$2054)&gt;0)*1000000+37*1000+4))</f>
        <v/>
      </c>
      <c r="G149" s="41">
        <f>IF(N('Dvd Calendar'!$I$2055)=0,"",IF(('Dvd Calendar'!$I$2055&gt;=MIN(DATE(Summary!$C$12,1,1),Summary!$C$11))*('Dvd Calendar'!$I$2055&lt;=MAX(DATE(Summary!$C$12,12,31),Summary!$C$15))*('Dvd Calendar'!$I$2055&lt;=Summary!$C$11)=0,"",'Dvd Calendar'!$I$2055*1000000000+ISNUMBER('Dvd Calendar'!$I$2056)*100000000+('Dvd Calendar'!$I$2060='Field Check'!$C$25)*10000000+(N('Dvd Calendar'!$I$2054)&gt;0)*1000000+37*1000+5))</f>
        <v/>
      </c>
      <c r="H149" s="41">
        <f>IF(N('Dvd Calendar'!$J$2055)=0,"",IF(('Dvd Calendar'!$J$2055&gt;=MIN(DATE(Summary!$C$12,1,1),Summary!$C$11))*('Dvd Calendar'!$J$2055&lt;=MAX(DATE(Summary!$C$12,12,31),Summary!$C$15))*('Dvd Calendar'!$J$2055&lt;=Summary!$C$11)=0,"",'Dvd Calendar'!$J$2055*1000000000+ISNUMBER('Dvd Calendar'!$J$2056)*100000000+('Dvd Calendar'!$J$2060='Field Check'!$C$25)*10000000+(N('Dvd Calendar'!$J$2054)&gt;0)*1000000+37*1000+6))</f>
        <v/>
      </c>
      <c r="I149" s="41">
        <f>IF(N('Dvd Calendar'!$K$2055)=0,"",IF(('Dvd Calendar'!$K$2055&gt;=MIN(DATE(Summary!$C$12,1,1),Summary!$C$11))*('Dvd Calendar'!$K$2055&lt;=MAX(DATE(Summary!$C$12,12,31),Summary!$C$15))*('Dvd Calendar'!$K$2055&lt;=Summary!$C$11)=0,"",'Dvd Calendar'!$K$2055*1000000000+ISNUMBER('Dvd Calendar'!$K$2056)*100000000+('Dvd Calendar'!$K$2060='Field Check'!$C$25)*10000000+(N('Dvd Calendar'!$K$2054)&gt;0)*1000000+37*1000+7))</f>
        <v/>
      </c>
      <c r="J149" s="41">
        <f>IF(N('Dvd Calendar'!$L$2055)=0,"",IF(('Dvd Calendar'!$L$2055&gt;=MIN(DATE(Summary!$C$12,1,1),Summary!$C$11))*('Dvd Calendar'!$L$2055&lt;=MAX(DATE(Summary!$C$12,12,31),Summary!$C$15))*('Dvd Calendar'!$L$2055&lt;=Summary!$C$11)=0,"",'Dvd Calendar'!$L$2055*1000000000+ISNUMBER('Dvd Calendar'!$L$2056)*100000000+('Dvd Calendar'!$L$2060='Field Check'!$C$25)*10000000+(N('Dvd Calendar'!$L$2054)&gt;0)*1000000+37*1000+8))</f>
        <v/>
      </c>
      <c r="K149" s="41">
        <f>IF(N('Dvd Calendar'!$M$2055)=0,"",IF(('Dvd Calendar'!$M$2055&gt;=MIN(DATE(Summary!$C$12,1,1),Summary!$C$11))*('Dvd Calendar'!$M$2055&lt;=MAX(DATE(Summary!$C$12,12,31),Summary!$C$15))*('Dvd Calendar'!$M$2055&lt;=Summary!$C$11)=0,"",'Dvd Calendar'!$M$2055*1000000000+ISNUMBER('Dvd Calendar'!$M$2056)*100000000+('Dvd Calendar'!$M$2060='Field Check'!$C$25)*10000000+(N('Dvd Calendar'!$M$2054)&gt;0)*1000000+37*1000+9))</f>
        <v/>
      </c>
      <c r="L149" s="41">
        <f>IF(N('Dvd Calendar'!$N$2055)=0,"",IF(('Dvd Calendar'!$N$2055&gt;=MIN(DATE(Summary!$C$12,1,1),Summary!$C$11))*('Dvd Calendar'!$N$2055&lt;=MAX(DATE(Summary!$C$12,12,31),Summary!$C$15))*('Dvd Calendar'!$N$2055&lt;=Summary!$C$11)=0,"",'Dvd Calendar'!$N$2055*1000000000+ISNUMBER('Dvd Calendar'!$N$2056)*100000000+('Dvd Calendar'!$N$2060='Field Check'!$C$25)*10000000+(N('Dvd Calendar'!$N$2054)&gt;0)*1000000+37*1000+10))</f>
        <v/>
      </c>
      <c r="M149" s="41">
        <f>IF(N('Dvd Calendar'!$O$2055)=0,"",IF(('Dvd Calendar'!$O$2055&gt;=MIN(DATE(Summary!$C$12,1,1),Summary!$C$11))*('Dvd Calendar'!$O$2055&lt;=MAX(DATE(Summary!$C$12,12,31),Summary!$C$15))*('Dvd Calendar'!$O$2055&lt;=Summary!$C$11)=0,"",'Dvd Calendar'!$O$2055*1000000000+ISNUMBER('Dvd Calendar'!$O$2056)*100000000+('Dvd Calendar'!$O$2060='Field Check'!$C$25)*10000000+(N('Dvd Calendar'!$O$2054)&gt;0)*1000000+37*1000+11))</f>
        <v/>
      </c>
      <c r="N149" s="41">
        <f>IF(N('Dvd Calendar'!$P$2055)=0,"",IF(('Dvd Calendar'!$P$2055&gt;=MIN(DATE(Summary!$C$12,1,1),Summary!$C$11))*('Dvd Calendar'!$P$2055&lt;=MAX(DATE(Summary!$C$12,12,31),Summary!$C$15))*('Dvd Calendar'!$P$2055&lt;=Summary!$C$11)=0,"",'Dvd Calendar'!$P$2055*1000000000+ISNUMBER('Dvd Calendar'!$P$2056)*100000000+('Dvd Calendar'!$P$2060='Field Check'!$C$25)*10000000+(N('Dvd Calendar'!$P$2054)&gt;0)*1000000+37*1000+12))</f>
        <v/>
      </c>
      <c r="O149" s="41">
        <f>IF(N('Dvd Calendar'!$Q$2055)=0,"",IF(('Dvd Calendar'!$Q$2055&gt;=MIN(DATE(Summary!$C$12,1,1),Summary!$C$11))*('Dvd Calendar'!$Q$2055&lt;=MAX(DATE(Summary!$C$12,12,31),Summary!$C$15))*('Dvd Calendar'!$Q$2055&lt;=Summary!$C$11)=0,"",'Dvd Calendar'!$Q$2055*1000000000+ISNUMBER('Dvd Calendar'!$Q$2056)*100000000+('Dvd Calendar'!$Q$2060='Field Check'!$C$25)*10000000+(N('Dvd Calendar'!$Q$2054)&gt;0)*1000000+37*1000+13))</f>
        <v/>
      </c>
      <c r="P149" s="41">
        <f>IF(N('Dvd Calendar'!$R$2055)=0,"",IF(('Dvd Calendar'!$R$2055&gt;=MIN(DATE(Summary!$C$12,1,1),Summary!$C$11))*('Dvd Calendar'!$R$2055&lt;=MAX(DATE(Summary!$C$12,12,31),Summary!$C$15))*('Dvd Calendar'!$R$2055&lt;=Summary!$C$11)=0,"",'Dvd Calendar'!$R$2055*1000000000+ISNUMBER('Dvd Calendar'!$R$2056)*100000000+('Dvd Calendar'!$R$2060='Field Check'!$C$25)*10000000+(N('Dvd Calendar'!$R$2054)&gt;0)*1000000+37*1000+14))</f>
        <v/>
      </c>
      <c r="Q149" s="41">
        <f>IF(N('Dvd Calendar'!$S$2055)=0,"",IF(('Dvd Calendar'!$S$2055&gt;=MIN(DATE(Summary!$C$12,1,1),Summary!$C$11))*('Dvd Calendar'!$S$2055&lt;=MAX(DATE(Summary!$C$12,12,31),Summary!$C$15))*('Dvd Calendar'!$S$2055&lt;=Summary!$C$11)=0,"",'Dvd Calendar'!$S$2055*1000000000+ISNUMBER('Dvd Calendar'!$S$2056)*100000000+('Dvd Calendar'!$S$2060='Field Check'!$C$25)*10000000+(N('Dvd Calendar'!$S$2054)&gt;0)*1000000+37*1000+15))</f>
        <v/>
      </c>
      <c r="R149" s="41">
        <f>IF(N('Dvd Calendar'!$T$2055)=0,"",IF(('Dvd Calendar'!$T$2055&gt;=MIN(DATE(Summary!$C$12,1,1),Summary!$C$11))*('Dvd Calendar'!$T$2055&lt;=MAX(DATE(Summary!$C$12,12,31),Summary!$C$15))*('Dvd Calendar'!$T$2055&lt;=Summary!$C$11)=0,"",'Dvd Calendar'!$T$2055*1000000000+ISNUMBER('Dvd Calendar'!$T$2056)*100000000+('Dvd Calendar'!$T$2060='Field Check'!$C$25)*10000000+(N('Dvd Calendar'!$T$2054)&gt;0)*1000000+37*1000+16))</f>
        <v/>
      </c>
      <c r="S149" s="41">
        <f>IF(N('Dvd Calendar'!$U$2055)=0,"",IF(('Dvd Calendar'!$U$2055&gt;=MIN(DATE(Summary!$C$12,1,1),Summary!$C$11))*('Dvd Calendar'!$U$2055&lt;=MAX(DATE(Summary!$C$12,12,31),Summary!$C$15))*('Dvd Calendar'!$U$2055&lt;=Summary!$C$11)=0,"",'Dvd Calendar'!$U$2055*1000000000+ISNUMBER('Dvd Calendar'!$U$2056)*100000000+('Dvd Calendar'!$U$2060='Field Check'!$C$25)*10000000+(N('Dvd Calendar'!$U$2054)&gt;0)*1000000+37*1000+17))</f>
        <v/>
      </c>
      <c r="T149" s="41">
        <f>IF(N('Dvd Calendar'!$V$2055)=0,"",IF(('Dvd Calendar'!$V$2055&gt;=MIN(DATE(Summary!$C$12,1,1),Summary!$C$11))*('Dvd Calendar'!$V$2055&lt;=MAX(DATE(Summary!$C$12,12,31),Summary!$C$15))*('Dvd Calendar'!$V$2055&lt;=Summary!$C$11)=0,"",'Dvd Calendar'!$V$2055*1000000000+ISNUMBER('Dvd Calendar'!$V$2056)*100000000+('Dvd Calendar'!$V$2060='Field Check'!$C$25)*10000000+(N('Dvd Calendar'!$V$2054)&gt;0)*1000000+37*1000+18))</f>
        <v/>
      </c>
      <c r="U149" s="41">
        <f>IF(N('Dvd Calendar'!$W$2055)=0,"",IF(('Dvd Calendar'!$W$2055&gt;=MIN(DATE(Summary!$C$12,1,1),Summary!$C$11))*('Dvd Calendar'!$W$2055&lt;=MAX(DATE(Summary!$C$12,12,31),Summary!$C$15))*('Dvd Calendar'!$W$2055&lt;=Summary!$C$11)=0,"",'Dvd Calendar'!$W$2055*1000000000+ISNUMBER('Dvd Calendar'!$W$2056)*100000000+('Dvd Calendar'!$W$2060='Field Check'!$C$25)*10000000+(N('Dvd Calendar'!$W$2054)&gt;0)*1000000+37*1000+19))</f>
        <v/>
      </c>
      <c r="V149" s="41">
        <f>IF(N('Dvd Calendar'!$X$2055)=0,"",IF(('Dvd Calendar'!$X$2055&gt;=MIN(DATE(Summary!$C$12,1,1),Summary!$C$11))*('Dvd Calendar'!$X$2055&lt;=MAX(DATE(Summary!$C$12,12,31),Summary!$C$15))*('Dvd Calendar'!$X$2055&lt;=Summary!$C$11)=0,"",'Dvd Calendar'!$X$2055*1000000000+ISNUMBER('Dvd Calendar'!$X$2056)*100000000+('Dvd Calendar'!$X$2060='Field Check'!$C$25)*10000000+(N('Dvd Calendar'!$X$2054)&gt;0)*1000000+37*1000+20))</f>
        <v/>
      </c>
      <c r="W149" s="41">
        <f>IF(N('Dvd Calendar'!$Y$2055)=0,"",IF(('Dvd Calendar'!$Y$2055&gt;=MIN(DATE(Summary!$C$12,1,1),Summary!$C$11))*('Dvd Calendar'!$Y$2055&lt;=MAX(DATE(Summary!$C$12,12,31),Summary!$C$15))*('Dvd Calendar'!$Y$2055&lt;=Summary!$C$11)=0,"",'Dvd Calendar'!$Y$2055*1000000000+ISNUMBER('Dvd Calendar'!$Y$2056)*100000000+('Dvd Calendar'!$Y$2060='Field Check'!$C$25)*10000000+(N('Dvd Calendar'!$Y$2054)&gt;0)*1000000+37*1000+21))</f>
        <v/>
      </c>
      <c r="X149" s="41">
        <f>IF(N('Dvd Calendar'!$Z$2055)=0,"",IF(('Dvd Calendar'!$Z$2055&gt;=MIN(DATE(Summary!$C$12,1,1),Summary!$C$11))*('Dvd Calendar'!$Z$2055&lt;=MAX(DATE(Summary!$C$12,12,31),Summary!$C$15))*('Dvd Calendar'!$Z$2055&lt;=Summary!$C$11)=0,"",'Dvd Calendar'!$Z$2055*1000000000+ISNUMBER('Dvd Calendar'!$Z$2056)*100000000+('Dvd Calendar'!$Z$2060='Field Check'!$C$25)*10000000+(N('Dvd Calendar'!$Z$2054)&gt;0)*1000000+37*1000+22))</f>
        <v/>
      </c>
      <c r="Y149" s="41">
        <f>IF(N('Dvd Calendar'!$AA$2055)=0,"",IF(('Dvd Calendar'!$AA$2055&gt;=MIN(DATE(Summary!$C$12,1,1),Summary!$C$11))*('Dvd Calendar'!$AA$2055&lt;=MAX(DATE(Summary!$C$12,12,31),Summary!$C$15))*('Dvd Calendar'!$AA$2055&lt;=Summary!$C$11)=0,"",'Dvd Calendar'!$AA$2055*1000000000+ISNUMBER('Dvd Calendar'!$AA$2056)*100000000+('Dvd Calendar'!$AA$2060='Field Check'!$C$25)*10000000+(N('Dvd Calendar'!$AA$2054)&gt;0)*1000000+37*1000+23))</f>
        <v/>
      </c>
      <c r="Z149" s="41">
        <f>IF(N('Dvd Calendar'!$AB$2055)=0,"",IF(('Dvd Calendar'!$AB$2055&gt;=MIN(DATE(Summary!$C$12,1,1),Summary!$C$11))*('Dvd Calendar'!$AB$2055&lt;=MAX(DATE(Summary!$C$12,12,31),Summary!$C$15))*('Dvd Calendar'!$AB$2055&lt;=Summary!$C$11)=0,"",'Dvd Calendar'!$AB$2055*1000000000+ISNUMBER('Dvd Calendar'!$AB$2056)*100000000+('Dvd Calendar'!$AB$2060='Field Check'!$C$25)*10000000+(N('Dvd Calendar'!$AB$2054)&gt;0)*1000000+37*1000+24))</f>
        <v/>
      </c>
      <c r="AA149" s="41">
        <f>IF(N('Dvd Calendar'!$AC$2055)=0,"",IF(('Dvd Calendar'!$AC$2055&gt;=MIN(DATE(Summary!$C$12,1,1),Summary!$C$11))*('Dvd Calendar'!$AC$2055&lt;=MAX(DATE(Summary!$C$12,12,31),Summary!$C$15))*('Dvd Calendar'!$AC$2055&lt;=Summary!$C$11)=0,"",'Dvd Calendar'!$AC$2055*1000000000+ISNUMBER('Dvd Calendar'!$AC$2056)*100000000+('Dvd Calendar'!$AC$2060='Field Check'!$C$25)*10000000+(N('Dvd Calendar'!$AC$2054)&gt;0)*1000000+37*1000+25))</f>
        <v/>
      </c>
      <c r="AB149" s="41">
        <f>IF(N('Dvd Calendar'!$AD$2055)=0,"",IF(('Dvd Calendar'!$AD$2055&gt;=MIN(DATE(Summary!$C$12,1,1),Summary!$C$11))*('Dvd Calendar'!$AD$2055&lt;=MAX(DATE(Summary!$C$12,12,31),Summary!$C$15))*('Dvd Calendar'!$AD$2055&lt;=Summary!$C$11)=0,"",'Dvd Calendar'!$AD$2055*1000000000+ISNUMBER('Dvd Calendar'!$AD$2056)*100000000+('Dvd Calendar'!$AD$2060='Field Check'!$C$25)*10000000+(N('Dvd Calendar'!$AD$2054)&gt;0)*1000000+37*1000+26))</f>
        <v/>
      </c>
      <c r="AC149" s="41">
        <f>IF(N('Dvd Calendar'!$AE$2055)=0,"",IF(('Dvd Calendar'!$AE$2055&gt;=MIN(DATE(Summary!$C$12,1,1),Summary!$C$11))*('Dvd Calendar'!$AE$2055&lt;=MAX(DATE(Summary!$C$12,12,31),Summary!$C$15))*('Dvd Calendar'!$AE$2055&lt;=Summary!$C$11)=0,"",'Dvd Calendar'!$AE$2055*1000000000+ISNUMBER('Dvd Calendar'!$AE$2056)*100000000+('Dvd Calendar'!$AE$2060='Field Check'!$C$25)*10000000+(N('Dvd Calendar'!$AE$2054)&gt;0)*1000000+37*1000+27))</f>
        <v/>
      </c>
      <c r="AD149" s="41">
        <f>IF(N('Dvd Calendar'!$AF$2055)=0,"",IF(('Dvd Calendar'!$AF$2055&gt;=MIN(DATE(Summary!$C$12,1,1),Summary!$C$11))*('Dvd Calendar'!$AF$2055&lt;=MAX(DATE(Summary!$C$12,12,31),Summary!$C$15))*('Dvd Calendar'!$AF$2055&lt;=Summary!$C$11)=0,"",'Dvd Calendar'!$AF$2055*1000000000+ISNUMBER('Dvd Calendar'!$AF$2056)*100000000+('Dvd Calendar'!$AF$2060='Field Check'!$C$25)*10000000+(N('Dvd Calendar'!$AF$2054)&gt;0)*1000000+37*1000+28))</f>
        <v/>
      </c>
      <c r="AE149" s="41">
        <f>IF(N('Dvd Calendar'!$AG$2055)=0,"",IF(('Dvd Calendar'!$AG$2055&gt;=MIN(DATE(Summary!$C$12,1,1),Summary!$C$11))*('Dvd Calendar'!$AG$2055&lt;=MAX(DATE(Summary!$C$12,12,31),Summary!$C$15))*('Dvd Calendar'!$AG$2055&lt;=Summary!$C$11)=0,"",'Dvd Calendar'!$AG$2055*1000000000+ISNUMBER('Dvd Calendar'!$AG$2056)*100000000+('Dvd Calendar'!$AG$2060='Field Check'!$C$25)*10000000+(N('Dvd Calendar'!$AG$2054)&gt;0)*1000000+37*1000+29))</f>
        <v/>
      </c>
      <c r="AF149" s="41">
        <f>IF(N('Dvd Calendar'!$AH$2055)=0,"",IF(('Dvd Calendar'!$AH$2055&gt;=MIN(DATE(Summary!$C$12,1,1),Summary!$C$11))*('Dvd Calendar'!$AH$2055&lt;=MAX(DATE(Summary!$C$12,12,31),Summary!$C$15))*('Dvd Calendar'!$AH$2055&lt;=Summary!$C$11)=0,"",'Dvd Calendar'!$AH$2055*1000000000+ISNUMBER('Dvd Calendar'!$AH$2056)*100000000+('Dvd Calendar'!$AH$2060='Field Check'!$C$25)*10000000+(N('Dvd Calendar'!$AH$2054)&gt;0)*1000000+37*1000+30))</f>
        <v/>
      </c>
      <c r="AG149" s="41">
        <f>IF(N('Dvd Calendar'!$AI$2055)=0,"",IF(('Dvd Calendar'!$AI$2055&gt;=MIN(DATE(Summary!$C$12,1,1),Summary!$C$11))*('Dvd Calendar'!$AI$2055&lt;=MAX(DATE(Summary!$C$12,12,31),Summary!$C$15))*('Dvd Calendar'!$AI$2055&lt;=Summary!$C$11)=0,"",'Dvd Calendar'!$AI$2055*1000000000+ISNUMBER('Dvd Calendar'!$AI$2056)*100000000+('Dvd Calendar'!$AI$2060='Field Check'!$C$25)*10000000+(N('Dvd Calendar'!$AI$2054)&gt;0)*1000000+37*1000+31))</f>
        <v/>
      </c>
      <c r="AH149" s="41">
        <f>IF(N('Dvd Calendar'!$AJ$2055)=0,"",IF(('Dvd Calendar'!$AJ$2055&gt;=MIN(DATE(Summary!$C$12,1,1),Summary!$C$11))*('Dvd Calendar'!$AJ$2055&lt;=MAX(DATE(Summary!$C$12,12,31),Summary!$C$15))*('Dvd Calendar'!$AJ$2055&lt;=Summary!$C$11)=0,"",'Dvd Calendar'!$AJ$2055*1000000000+ISNUMBER('Dvd Calendar'!$AJ$2056)*100000000+('Dvd Calendar'!$AJ$2060='Field Check'!$C$25)*10000000+(N('Dvd Calendar'!$AJ$2054)&gt;0)*1000000+37*1000+32))</f>
        <v/>
      </c>
      <c r="AI149" s="41">
        <f>IF(N('Dvd Calendar'!$AK$2055)=0,"",IF(('Dvd Calendar'!$AK$2055&gt;=MIN(DATE(Summary!$C$12,1,1),Summary!$C$11))*('Dvd Calendar'!$AK$2055&lt;=MAX(DATE(Summary!$C$12,12,31),Summary!$C$15))*('Dvd Calendar'!$AK$2055&lt;=Summary!$C$11)=0,"",'Dvd Calendar'!$AK$2055*1000000000+ISNUMBER('Dvd Calendar'!$AK$2056)*100000000+('Dvd Calendar'!$AK$2060='Field Check'!$C$25)*10000000+(N('Dvd Calendar'!$AK$2054)&gt;0)*1000000+37*1000+33))</f>
        <v/>
      </c>
      <c r="AJ149" s="41">
        <f>IF(N('Dvd Calendar'!$AL$2055)=0,"",IF(('Dvd Calendar'!$AL$2055&gt;=MIN(DATE(Summary!$C$12,1,1),Summary!$C$11))*('Dvd Calendar'!$AL$2055&lt;=MAX(DATE(Summary!$C$12,12,31),Summary!$C$15))*('Dvd Calendar'!$AL$2055&lt;=Summary!$C$11)=0,"",'Dvd Calendar'!$AL$2055*1000000000+ISNUMBER('Dvd Calendar'!$AL$2056)*100000000+('Dvd Calendar'!$AL$2060='Field Check'!$C$25)*10000000+(N('Dvd Calendar'!$AL$2054)&gt;0)*1000000+37*1000+34))</f>
        <v/>
      </c>
      <c r="AK149" s="41">
        <f>IF(N('Dvd Calendar'!$AM$2055)=0,"",IF(('Dvd Calendar'!$AM$2055&gt;=MIN(DATE(Summary!$C$12,1,1),Summary!$C$11))*('Dvd Calendar'!$AM$2055&lt;=MAX(DATE(Summary!$C$12,12,31),Summary!$C$15))*('Dvd Calendar'!$AM$2055&lt;=Summary!$C$11)=0,"",'Dvd Calendar'!$AM$2055*1000000000+ISNUMBER('Dvd Calendar'!$AM$2056)*100000000+('Dvd Calendar'!$AM$2060='Field Check'!$C$25)*10000000+(N('Dvd Calendar'!$AM$2054)&gt;0)*1000000+37*1000+35))</f>
        <v/>
      </c>
      <c r="AL149" s="41">
        <f>IF(N('Dvd Calendar'!$AN$2055)=0,"",IF(('Dvd Calendar'!$AN$2055&gt;=MIN(DATE(Summary!$C$12,1,1),Summary!$C$11))*('Dvd Calendar'!$AN$2055&lt;=MAX(DATE(Summary!$C$12,12,31),Summary!$C$15))*('Dvd Calendar'!$AN$2055&lt;=Summary!$C$11)=0,"",'Dvd Calendar'!$AN$2055*1000000000+ISNUMBER('Dvd Calendar'!$AN$2056)*100000000+('Dvd Calendar'!$AN$2060='Field Check'!$C$25)*10000000+(N('Dvd Calendar'!$AN$2054)&gt;0)*1000000+37*1000+36))</f>
        <v/>
      </c>
      <c r="AM149" s="41">
        <f>IF(N('Dvd Calendar'!$AO$2055)=0,"",IF(('Dvd Calendar'!$AO$2055&gt;=MIN(DATE(Summary!$C$12,1,1),Summary!$C$11))*('Dvd Calendar'!$AO$2055&lt;=MAX(DATE(Summary!$C$12,12,31),Summary!$C$15))*('Dvd Calendar'!$AO$2055&lt;=Summary!$C$11)=0,"",'Dvd Calendar'!$AO$2055*1000000000+ISNUMBER('Dvd Calendar'!$AO$2056)*100000000+('Dvd Calendar'!$AO$2060='Field Check'!$C$25)*10000000+(N('Dvd Calendar'!$AO$2054)&gt;0)*1000000+37*1000+37))</f>
        <v/>
      </c>
      <c r="AN149" s="41">
        <f>IF(N('Dvd Calendar'!$AP$2055)=0,"",IF(('Dvd Calendar'!$AP$2055&gt;=MIN(DATE(Summary!$C$12,1,1),Summary!$C$11))*('Dvd Calendar'!$AP$2055&lt;=MAX(DATE(Summary!$C$12,12,31),Summary!$C$15))*('Dvd Calendar'!$AP$2055&lt;=Summary!$C$11)=0,"",'Dvd Calendar'!$AP$2055*1000000000+ISNUMBER('Dvd Calendar'!$AP$2056)*100000000+('Dvd Calendar'!$AP$2060='Field Check'!$C$25)*10000000+(N('Dvd Calendar'!$AP$2054)&gt;0)*1000000+37*1000+38))</f>
        <v/>
      </c>
      <c r="AO149" s="41">
        <f>IF(N('Dvd Calendar'!$AQ$2055)=0,"",IF(('Dvd Calendar'!$AQ$2055&gt;=MIN(DATE(Summary!$C$12,1,1),Summary!$C$11))*('Dvd Calendar'!$AQ$2055&lt;=MAX(DATE(Summary!$C$12,12,31),Summary!$C$15))*('Dvd Calendar'!$AQ$2055&lt;=Summary!$C$11)=0,"",'Dvd Calendar'!$AQ$2055*1000000000+ISNUMBER('Dvd Calendar'!$AQ$2056)*100000000+('Dvd Calendar'!$AQ$2060='Field Check'!$C$25)*10000000+(N('Dvd Calendar'!$AQ$2054)&gt;0)*1000000+37*1000+39))</f>
        <v/>
      </c>
      <c r="AP149" s="41">
        <f>IF(N('Dvd Calendar'!$AR$2055)=0,"",IF(('Dvd Calendar'!$AR$2055&gt;=MIN(DATE(Summary!$C$12,1,1),Summary!$C$11))*('Dvd Calendar'!$AR$2055&lt;=MAX(DATE(Summary!$C$12,12,31),Summary!$C$15))*('Dvd Calendar'!$AR$2055&lt;=Summary!$C$11)=0,"",'Dvd Calendar'!$AR$2055*1000000000+ISNUMBER('Dvd Calendar'!$AR$2056)*100000000+('Dvd Calendar'!$AR$2060='Field Check'!$C$25)*10000000+(N('Dvd Calendar'!$AR$2054)&gt;0)*1000000+37*1000+40))</f>
        <v/>
      </c>
      <c r="AQ149" s="41">
        <f>IF(N('Dvd Calendar'!$E$2062)=0,"",IF(('Dvd Calendar'!$E$2062&gt;=MIN(DATE(Summary!$C$12,1,1),Summary!$C$11))*('Dvd Calendar'!$E$2062&lt;=MAX(DATE(Summary!$C$12,12,31),Summary!$C$15))*('Dvd Calendar'!$E$2062&gt;Summary!$C$11)=0,"",'Dvd Calendar'!$E$2062*1000000000+ISNUMBER('Dvd Calendar'!$E$2063)*100000000+('Dvd Calendar'!$E$2067='Field Check'!$C$25)*10000000+(N('Dvd Calendar'!$E$2061)&gt;0)*1000000+37*1000+41))</f>
        <v/>
      </c>
      <c r="AR149" s="41">
        <f>IF(N('Dvd Calendar'!$F$2062)=0,"",IF(('Dvd Calendar'!$F$2062&gt;=MIN(DATE(Summary!$C$12,1,1),Summary!$C$11))*('Dvd Calendar'!$F$2062&lt;=MAX(DATE(Summary!$C$12,12,31),Summary!$C$15))*('Dvd Calendar'!$F$2062&gt;Summary!$C$11)=0,"",'Dvd Calendar'!$F$2062*1000000000+ISNUMBER('Dvd Calendar'!$F$2063)*100000000+('Dvd Calendar'!$F$2067='Field Check'!$C$25)*10000000+(N('Dvd Calendar'!$F$2061)&gt;0)*1000000+37*1000+42))</f>
        <v/>
      </c>
      <c r="AS149" s="41">
        <f>IF(N('Dvd Calendar'!$G$2062)=0,"",IF(('Dvd Calendar'!$G$2062&gt;=MIN(DATE(Summary!$C$12,1,1),Summary!$C$11))*('Dvd Calendar'!$G$2062&lt;=MAX(DATE(Summary!$C$12,12,31),Summary!$C$15))*('Dvd Calendar'!$G$2062&gt;Summary!$C$11)=0,"",'Dvd Calendar'!$G$2062*1000000000+ISNUMBER('Dvd Calendar'!$G$2063)*100000000+('Dvd Calendar'!$G$2067='Field Check'!$C$25)*10000000+(N('Dvd Calendar'!$G$2061)&gt;0)*1000000+37*1000+43))</f>
        <v/>
      </c>
      <c r="AT149" s="41">
        <f>IF(N('Dvd Calendar'!$H$2062)=0,"",IF(('Dvd Calendar'!$H$2062&gt;=MIN(DATE(Summary!$C$12,1,1),Summary!$C$11))*('Dvd Calendar'!$H$2062&lt;=MAX(DATE(Summary!$C$12,12,31),Summary!$C$15))*('Dvd Calendar'!$H$2062&gt;Summary!$C$11)=0,"",'Dvd Calendar'!$H$2062*1000000000+ISNUMBER('Dvd Calendar'!$H$2063)*100000000+('Dvd Calendar'!$H$2067='Field Check'!$C$25)*10000000+(N('Dvd Calendar'!$H$2061)&gt;0)*1000000+37*1000+44))</f>
        <v/>
      </c>
      <c r="AU149" s="41">
        <f>IF(N('Dvd Calendar'!$I$2062)=0,"",IF(('Dvd Calendar'!$I$2062&gt;=MIN(DATE(Summary!$C$12,1,1),Summary!$C$11))*('Dvd Calendar'!$I$2062&lt;=MAX(DATE(Summary!$C$12,12,31),Summary!$C$15))*('Dvd Calendar'!$I$2062&gt;Summary!$C$11)=0,"",'Dvd Calendar'!$I$2062*1000000000+ISNUMBER('Dvd Calendar'!$I$2063)*100000000+('Dvd Calendar'!$I$2067='Field Check'!$C$25)*10000000+(N('Dvd Calendar'!$I$2061)&gt;0)*1000000+37*1000+45))</f>
        <v/>
      </c>
      <c r="AV149" s="41">
        <f>IF(N('Dvd Calendar'!$J$2062)=0,"",IF(('Dvd Calendar'!$J$2062&gt;=MIN(DATE(Summary!$C$12,1,1),Summary!$C$11))*('Dvd Calendar'!$J$2062&lt;=MAX(DATE(Summary!$C$12,12,31),Summary!$C$15))*('Dvd Calendar'!$J$2062&gt;Summary!$C$11)=0,"",'Dvd Calendar'!$J$2062*1000000000+ISNUMBER('Dvd Calendar'!$J$2063)*100000000+('Dvd Calendar'!$J$2067='Field Check'!$C$25)*10000000+(N('Dvd Calendar'!$J$2061)&gt;0)*1000000+37*1000+46))</f>
        <v/>
      </c>
      <c r="AW149" s="41">
        <f>IF(N('Dvd Calendar'!$K$2062)=0,"",IF(('Dvd Calendar'!$K$2062&gt;=MIN(DATE(Summary!$C$12,1,1),Summary!$C$11))*('Dvd Calendar'!$K$2062&lt;=MAX(DATE(Summary!$C$12,12,31),Summary!$C$15))*('Dvd Calendar'!$K$2062&gt;Summary!$C$11)=0,"",'Dvd Calendar'!$K$2062*1000000000+ISNUMBER('Dvd Calendar'!$K$2063)*100000000+('Dvd Calendar'!$K$2067='Field Check'!$C$25)*10000000+(N('Dvd Calendar'!$K$2061)&gt;0)*1000000+37*1000+47))</f>
        <v/>
      </c>
      <c r="AX149" s="41">
        <f>IF(N('Dvd Calendar'!$L$2062)=0,"",IF(('Dvd Calendar'!$L$2062&gt;=MIN(DATE(Summary!$C$12,1,1),Summary!$C$11))*('Dvd Calendar'!$L$2062&lt;=MAX(DATE(Summary!$C$12,12,31),Summary!$C$15))*('Dvd Calendar'!$L$2062&gt;Summary!$C$11)=0,"",'Dvd Calendar'!$L$2062*1000000000+ISNUMBER('Dvd Calendar'!$L$2063)*100000000+('Dvd Calendar'!$L$2067='Field Check'!$C$25)*10000000+(N('Dvd Calendar'!$L$2061)&gt;0)*1000000+37*1000+48))</f>
        <v/>
      </c>
      <c r="AY149" s="41">
        <f>IF(N('Dvd Calendar'!$M$2062)=0,"",IF(('Dvd Calendar'!$M$2062&gt;=MIN(DATE(Summary!$C$12,1,1),Summary!$C$11))*('Dvd Calendar'!$M$2062&lt;=MAX(DATE(Summary!$C$12,12,31),Summary!$C$15))*('Dvd Calendar'!$M$2062&gt;Summary!$C$11)=0,"",'Dvd Calendar'!$M$2062*1000000000+ISNUMBER('Dvd Calendar'!$M$2063)*100000000+('Dvd Calendar'!$M$2067='Field Check'!$C$25)*10000000+(N('Dvd Calendar'!$M$2061)&gt;0)*1000000+37*1000+49))</f>
        <v/>
      </c>
      <c r="AZ149" s="41">
        <f>IF(N('Dvd Calendar'!$N$2062)=0,"",IF(('Dvd Calendar'!$N$2062&gt;=MIN(DATE(Summary!$C$12,1,1),Summary!$C$11))*('Dvd Calendar'!$N$2062&lt;=MAX(DATE(Summary!$C$12,12,31),Summary!$C$15))*('Dvd Calendar'!$N$2062&gt;Summary!$C$11)=0,"",'Dvd Calendar'!$N$2062*1000000000+ISNUMBER('Dvd Calendar'!$N$2063)*100000000+('Dvd Calendar'!$N$2067='Field Check'!$C$25)*10000000+(N('Dvd Calendar'!$N$2061)&gt;0)*1000000+37*1000+50))</f>
        <v/>
      </c>
      <c r="BA149" s="41">
        <f>IF(N('Dvd Calendar'!$O$2062)=0,"",IF(('Dvd Calendar'!$O$2062&gt;=MIN(DATE(Summary!$C$12,1,1),Summary!$C$11))*('Dvd Calendar'!$O$2062&lt;=MAX(DATE(Summary!$C$12,12,31),Summary!$C$15))*('Dvd Calendar'!$O$2062&gt;Summary!$C$11)=0,"",'Dvd Calendar'!$O$2062*1000000000+ISNUMBER('Dvd Calendar'!$O$2063)*100000000+('Dvd Calendar'!$O$2067='Field Check'!$C$25)*10000000+(N('Dvd Calendar'!$O$2061)&gt;0)*1000000+37*1000+51))</f>
        <v/>
      </c>
      <c r="BB149" s="41">
        <f>IF(N('Dvd Calendar'!$P$2062)=0,"",IF(('Dvd Calendar'!$P$2062&gt;=MIN(DATE(Summary!$C$12,1,1),Summary!$C$11))*('Dvd Calendar'!$P$2062&lt;=MAX(DATE(Summary!$C$12,12,31),Summary!$C$15))*('Dvd Calendar'!$P$2062&gt;Summary!$C$11)=0,"",'Dvd Calendar'!$P$2062*1000000000+ISNUMBER('Dvd Calendar'!$P$2063)*100000000+('Dvd Calendar'!$P$2067='Field Check'!$C$25)*10000000+(N('Dvd Calendar'!$P$2061)&gt;0)*1000000+37*1000+52))</f>
        <v/>
      </c>
      <c r="BC149" s="41">
        <f>IF(N('Dvd Calendar'!$Q$2062)=0,"",IF(('Dvd Calendar'!$Q$2062&gt;=MIN(DATE(Summary!$C$12,1,1),Summary!$C$11))*('Dvd Calendar'!$Q$2062&lt;=MAX(DATE(Summary!$C$12,12,31),Summary!$C$15))*('Dvd Calendar'!$Q$2062&gt;Summary!$C$11)=0,"",'Dvd Calendar'!$Q$2062*1000000000+ISNUMBER('Dvd Calendar'!$Q$2063)*100000000+('Dvd Calendar'!$Q$2067='Field Check'!$C$25)*10000000+(N('Dvd Calendar'!$Q$2061)&gt;0)*1000000+37*1000+53))</f>
        <v/>
      </c>
      <c r="BD149" s="41">
        <f>IF(N('Dvd Calendar'!$R$2062)=0,"",IF(('Dvd Calendar'!$R$2062&gt;=MIN(DATE(Summary!$C$12,1,1),Summary!$C$11))*('Dvd Calendar'!$R$2062&lt;=MAX(DATE(Summary!$C$12,12,31),Summary!$C$15))*('Dvd Calendar'!$R$2062&gt;Summary!$C$11)=0,"",'Dvd Calendar'!$R$2062*1000000000+ISNUMBER('Dvd Calendar'!$R$2063)*100000000+('Dvd Calendar'!$R$2067='Field Check'!$C$25)*10000000+(N('Dvd Calendar'!$R$2061)&gt;0)*1000000+37*1000+54))</f>
        <v/>
      </c>
      <c r="BE149" s="41">
        <f>IF(N('Dvd Calendar'!$S$2062)=0,"",IF(('Dvd Calendar'!$S$2062&gt;=MIN(DATE(Summary!$C$12,1,1),Summary!$C$11))*('Dvd Calendar'!$S$2062&lt;=MAX(DATE(Summary!$C$12,12,31),Summary!$C$15))*('Dvd Calendar'!$S$2062&gt;Summary!$C$11)=0,"",'Dvd Calendar'!$S$2062*1000000000+ISNUMBER('Dvd Calendar'!$S$2063)*100000000+('Dvd Calendar'!$S$2067='Field Check'!$C$25)*10000000+(N('Dvd Calendar'!$S$2061)&gt;0)*1000000+37*1000+55))</f>
        <v/>
      </c>
      <c r="BF149" s="41">
        <f>IF(N('Dvd Calendar'!$T$2062)=0,"",IF(('Dvd Calendar'!$T$2062&gt;=MIN(DATE(Summary!$C$12,1,1),Summary!$C$11))*('Dvd Calendar'!$T$2062&lt;=MAX(DATE(Summary!$C$12,12,31),Summary!$C$15))*('Dvd Calendar'!$T$2062&gt;Summary!$C$11)=0,"",'Dvd Calendar'!$T$2062*1000000000+ISNUMBER('Dvd Calendar'!$T$2063)*100000000+('Dvd Calendar'!$T$2067='Field Check'!$C$25)*10000000+(N('Dvd Calendar'!$T$2061)&gt;0)*1000000+37*1000+56))</f>
        <v/>
      </c>
      <c r="BG149" s="41">
        <f>IF(N('Dvd Calendar'!$U$2062)=0,"",IF(('Dvd Calendar'!$U$2062&gt;=MIN(DATE(Summary!$C$12,1,1),Summary!$C$11))*('Dvd Calendar'!$U$2062&lt;=MAX(DATE(Summary!$C$12,12,31),Summary!$C$15))*('Dvd Calendar'!$U$2062&gt;Summary!$C$11)=0,"",'Dvd Calendar'!$U$2062*1000000000+ISNUMBER('Dvd Calendar'!$U$2063)*100000000+('Dvd Calendar'!$U$2067='Field Check'!$C$25)*10000000+(N('Dvd Calendar'!$U$2061)&gt;0)*1000000+37*1000+57))</f>
        <v/>
      </c>
      <c r="BH149" s="41">
        <f>IF(N('Dvd Calendar'!$V$2062)=0,"",IF(('Dvd Calendar'!$V$2062&gt;=MIN(DATE(Summary!$C$12,1,1),Summary!$C$11))*('Dvd Calendar'!$V$2062&lt;=MAX(DATE(Summary!$C$12,12,31),Summary!$C$15))*('Dvd Calendar'!$V$2062&gt;Summary!$C$11)=0,"",'Dvd Calendar'!$V$2062*1000000000+ISNUMBER('Dvd Calendar'!$V$2063)*100000000+('Dvd Calendar'!$V$2067='Field Check'!$C$25)*10000000+(N('Dvd Calendar'!$V$2061)&gt;0)*1000000+37*1000+58))</f>
        <v/>
      </c>
      <c r="BI149" s="41">
        <f>IF(N('Dvd Calendar'!$W$2062)=0,"",IF(('Dvd Calendar'!$W$2062&gt;=MIN(DATE(Summary!$C$12,1,1),Summary!$C$11))*('Dvd Calendar'!$W$2062&lt;=MAX(DATE(Summary!$C$12,12,31),Summary!$C$15))*('Dvd Calendar'!$W$2062&gt;Summary!$C$11)=0,"",'Dvd Calendar'!$W$2062*1000000000+ISNUMBER('Dvd Calendar'!$W$2063)*100000000+('Dvd Calendar'!$W$2067='Field Check'!$C$25)*10000000+(N('Dvd Calendar'!$W$2061)&gt;0)*1000000+37*1000+59))</f>
        <v/>
      </c>
      <c r="BJ149" s="41">
        <f>IF(N('Dvd Calendar'!$X$2062)=0,"",IF(('Dvd Calendar'!$X$2062&gt;=MIN(DATE(Summary!$C$12,1,1),Summary!$C$11))*('Dvd Calendar'!$X$2062&lt;=MAX(DATE(Summary!$C$12,12,31),Summary!$C$15))*('Dvd Calendar'!$X$2062&gt;Summary!$C$11)=0,"",'Dvd Calendar'!$X$2062*1000000000+ISNUMBER('Dvd Calendar'!$X$2063)*100000000+('Dvd Calendar'!$X$2067='Field Check'!$C$25)*10000000+(N('Dvd Calendar'!$X$2061)&gt;0)*1000000+37*1000+60))</f>
        <v/>
      </c>
      <c r="BK149" s="41">
        <f>IF(N('Dvd Calendar'!$Y$2062)=0,"",IF(('Dvd Calendar'!$Y$2062&gt;=MIN(DATE(Summary!$C$12,1,1),Summary!$C$11))*('Dvd Calendar'!$Y$2062&lt;=MAX(DATE(Summary!$C$12,12,31),Summary!$C$15))*('Dvd Calendar'!$Y$2062&gt;Summary!$C$11)=0,"",'Dvd Calendar'!$Y$2062*1000000000+ISNUMBER('Dvd Calendar'!$Y$2063)*100000000+('Dvd Calendar'!$Y$2067='Field Check'!$C$25)*10000000+(N('Dvd Calendar'!$Y$2061)&gt;0)*1000000+37*1000+61))</f>
        <v/>
      </c>
      <c r="BL149" s="41">
        <f>IF(N('Dvd Calendar'!$Z$2062)=0,"",IF(('Dvd Calendar'!$Z$2062&gt;=MIN(DATE(Summary!$C$12,1,1),Summary!$C$11))*('Dvd Calendar'!$Z$2062&lt;=MAX(DATE(Summary!$C$12,12,31),Summary!$C$15))*('Dvd Calendar'!$Z$2062&gt;Summary!$C$11)=0,"",'Dvd Calendar'!$Z$2062*1000000000+ISNUMBER('Dvd Calendar'!$Z$2063)*100000000+('Dvd Calendar'!$Z$2067='Field Check'!$C$25)*10000000+(N('Dvd Calendar'!$Z$2061)&gt;0)*1000000+37*1000+62))</f>
        <v/>
      </c>
      <c r="BM149" s="41">
        <f>IF(N('Dvd Calendar'!$AA$2062)=0,"",IF(('Dvd Calendar'!$AA$2062&gt;=MIN(DATE(Summary!$C$12,1,1),Summary!$C$11))*('Dvd Calendar'!$AA$2062&lt;=MAX(DATE(Summary!$C$12,12,31),Summary!$C$15))*('Dvd Calendar'!$AA$2062&gt;Summary!$C$11)=0,"",'Dvd Calendar'!$AA$2062*1000000000+ISNUMBER('Dvd Calendar'!$AA$2063)*100000000+('Dvd Calendar'!$AA$2067='Field Check'!$C$25)*10000000+(N('Dvd Calendar'!$AA$2061)&gt;0)*1000000+37*1000+63))</f>
        <v/>
      </c>
      <c r="BN149" s="41">
        <f>IF(N('Dvd Calendar'!$AB$2062)=0,"",IF(('Dvd Calendar'!$AB$2062&gt;=MIN(DATE(Summary!$C$12,1,1),Summary!$C$11))*('Dvd Calendar'!$AB$2062&lt;=MAX(DATE(Summary!$C$12,12,31),Summary!$C$15))*('Dvd Calendar'!$AB$2062&gt;Summary!$C$11)=0,"",'Dvd Calendar'!$AB$2062*1000000000+ISNUMBER('Dvd Calendar'!$AB$2063)*100000000+('Dvd Calendar'!$AB$2067='Field Check'!$C$25)*10000000+(N('Dvd Calendar'!$AB$2061)&gt;0)*1000000+37*1000+64))</f>
        <v/>
      </c>
      <c r="BO149" s="41">
        <f>IF(N('Dvd Calendar'!$AC$2062)=0,"",IF(('Dvd Calendar'!$AC$2062&gt;=MIN(DATE(Summary!$C$12,1,1),Summary!$C$11))*('Dvd Calendar'!$AC$2062&lt;=MAX(DATE(Summary!$C$12,12,31),Summary!$C$15))*('Dvd Calendar'!$AC$2062&gt;Summary!$C$11)=0,"",'Dvd Calendar'!$AC$2062*1000000000+ISNUMBER('Dvd Calendar'!$AC$2063)*100000000+('Dvd Calendar'!$AC$2067='Field Check'!$C$25)*10000000+(N('Dvd Calendar'!$AC$2061)&gt;0)*1000000+37*1000+65))</f>
        <v/>
      </c>
      <c r="BQ149" s="85">
        <f>IF(C149="","",IF(ISNUMBER('Dvd Calendar'!$E$2056)=FALSE,"",IF((Summary!$C$13="N")*('Dvd Calendar'!$E$2060='Field Check'!$C$25)&gt;0,"",'Dvd Calendar'!$E$2056)))</f>
        <v/>
      </c>
      <c r="BR149" s="85">
        <f>IF(D149="","",IF(ISNUMBER('Dvd Calendar'!$F$2056)=FALSE,"",IF((Summary!$C$13="N")*('Dvd Calendar'!$F$2060='Field Check'!$C$25)&gt;0,"",'Dvd Calendar'!$F$2056)))</f>
        <v/>
      </c>
      <c r="BS149" s="85">
        <f>IF(E149="","",IF(ISNUMBER('Dvd Calendar'!$G$2056)=FALSE,"",IF((Summary!$C$13="N")*('Dvd Calendar'!$G$2060='Field Check'!$C$25)&gt;0,"",'Dvd Calendar'!$G$2056)))</f>
        <v/>
      </c>
      <c r="BT149" s="85">
        <f>IF(F149="","",IF(ISNUMBER('Dvd Calendar'!$H$2056)=FALSE,"",IF((Summary!$C$13="N")*('Dvd Calendar'!$H$2060='Field Check'!$C$25)&gt;0,"",'Dvd Calendar'!$H$2056)))</f>
        <v/>
      </c>
      <c r="BU149" s="85">
        <f>IF(G149="","",IF(ISNUMBER('Dvd Calendar'!$I$2056)=FALSE,"",IF((Summary!$C$13="N")*('Dvd Calendar'!$I$2060='Field Check'!$C$25)&gt;0,"",'Dvd Calendar'!$I$2056)))</f>
        <v/>
      </c>
      <c r="BV149" s="85">
        <f>IF(H149="","",IF(ISNUMBER('Dvd Calendar'!$J$2056)=FALSE,"",IF((Summary!$C$13="N")*('Dvd Calendar'!$J$2060='Field Check'!$C$25)&gt;0,"",'Dvd Calendar'!$J$2056)))</f>
        <v/>
      </c>
      <c r="BW149" s="85">
        <f>IF(I149="","",IF(ISNUMBER('Dvd Calendar'!$K$2056)=FALSE,"",IF((Summary!$C$13="N")*('Dvd Calendar'!$K$2060='Field Check'!$C$25)&gt;0,"",'Dvd Calendar'!$K$2056)))</f>
        <v/>
      </c>
      <c r="BX149" s="85">
        <f>IF(J149="","",IF(ISNUMBER('Dvd Calendar'!$L$2056)=FALSE,"",IF((Summary!$C$13="N")*('Dvd Calendar'!$L$2060='Field Check'!$C$25)&gt;0,"",'Dvd Calendar'!$L$2056)))</f>
        <v/>
      </c>
      <c r="BY149" s="85">
        <f>IF(K149="","",IF(ISNUMBER('Dvd Calendar'!$M$2056)=FALSE,"",IF((Summary!$C$13="N")*('Dvd Calendar'!$M$2060='Field Check'!$C$25)&gt;0,"",'Dvd Calendar'!$M$2056)))</f>
        <v/>
      </c>
      <c r="BZ149" s="85">
        <f>IF(L149="","",IF(ISNUMBER('Dvd Calendar'!$N$2056)=FALSE,"",IF((Summary!$C$13="N")*('Dvd Calendar'!$N$2060='Field Check'!$C$25)&gt;0,"",'Dvd Calendar'!$N$2056)))</f>
        <v/>
      </c>
      <c r="CA149" s="85">
        <f>IF(M149="","",IF(ISNUMBER('Dvd Calendar'!$O$2056)=FALSE,"",IF((Summary!$C$13="N")*('Dvd Calendar'!$O$2060='Field Check'!$C$25)&gt;0,"",'Dvd Calendar'!$O$2056)))</f>
        <v/>
      </c>
      <c r="CB149" s="85">
        <f>IF(N149="","",IF(ISNUMBER('Dvd Calendar'!$P$2056)=FALSE,"",IF((Summary!$C$13="N")*('Dvd Calendar'!$P$2060='Field Check'!$C$25)&gt;0,"",'Dvd Calendar'!$P$2056)))</f>
        <v/>
      </c>
      <c r="CC149" s="85">
        <f>IF(O149="","",IF(ISNUMBER('Dvd Calendar'!$Q$2056)=FALSE,"",IF((Summary!$C$13="N")*('Dvd Calendar'!$Q$2060='Field Check'!$C$25)&gt;0,"",'Dvd Calendar'!$Q$2056)))</f>
        <v/>
      </c>
      <c r="CD149" s="85">
        <f>IF(P149="","",IF(ISNUMBER('Dvd Calendar'!$R$2056)=FALSE,"",IF((Summary!$C$13="N")*('Dvd Calendar'!$R$2060='Field Check'!$C$25)&gt;0,"",'Dvd Calendar'!$R$2056)))</f>
        <v/>
      </c>
      <c r="CE149" s="85">
        <f>IF(Q149="","",IF(ISNUMBER('Dvd Calendar'!$S$2056)=FALSE,"",IF((Summary!$C$13="N")*('Dvd Calendar'!$S$2060='Field Check'!$C$25)&gt;0,"",'Dvd Calendar'!$S$2056)))</f>
        <v/>
      </c>
      <c r="CF149" s="85">
        <f>IF(R149="","",IF(ISNUMBER('Dvd Calendar'!$T$2056)=FALSE,"",IF((Summary!$C$13="N")*('Dvd Calendar'!$T$2060='Field Check'!$C$25)&gt;0,"",'Dvd Calendar'!$T$2056)))</f>
        <v/>
      </c>
      <c r="CG149" s="85">
        <f>IF(S149="","",IF(ISNUMBER('Dvd Calendar'!$U$2056)=FALSE,"",IF((Summary!$C$13="N")*('Dvd Calendar'!$U$2060='Field Check'!$C$25)&gt;0,"",'Dvd Calendar'!$U$2056)))</f>
        <v/>
      </c>
      <c r="CH149" s="85">
        <f>IF(T149="","",IF(ISNUMBER('Dvd Calendar'!$V$2056)=FALSE,"",IF((Summary!$C$13="N")*('Dvd Calendar'!$V$2060='Field Check'!$C$25)&gt;0,"",'Dvd Calendar'!$V$2056)))</f>
        <v/>
      </c>
      <c r="CI149" s="85">
        <f>IF(U149="","",IF(ISNUMBER('Dvd Calendar'!$W$2056)=FALSE,"",IF((Summary!$C$13="N")*('Dvd Calendar'!$W$2060='Field Check'!$C$25)&gt;0,"",'Dvd Calendar'!$W$2056)))</f>
        <v/>
      </c>
      <c r="CJ149" s="85">
        <f>IF(V149="","",IF(ISNUMBER('Dvd Calendar'!$X$2056)=FALSE,"",IF((Summary!$C$13="N")*('Dvd Calendar'!$X$2060='Field Check'!$C$25)&gt;0,"",'Dvd Calendar'!$X$2056)))</f>
        <v/>
      </c>
      <c r="CK149" s="85">
        <f>IF(W149="","",IF(ISNUMBER('Dvd Calendar'!$Y$2056)=FALSE,"",IF((Summary!$C$13="N")*('Dvd Calendar'!$Y$2060='Field Check'!$C$25)&gt;0,"",'Dvd Calendar'!$Y$2056)))</f>
        <v/>
      </c>
      <c r="CL149" s="85">
        <f>IF(X149="","",IF(ISNUMBER('Dvd Calendar'!$Z$2056)=FALSE,"",IF((Summary!$C$13="N")*('Dvd Calendar'!$Z$2060='Field Check'!$C$25)&gt;0,"",'Dvd Calendar'!$Z$2056)))</f>
        <v/>
      </c>
      <c r="CM149" s="85">
        <f>IF(Y149="","",IF(ISNUMBER('Dvd Calendar'!$AA$2056)=FALSE,"",IF((Summary!$C$13="N")*('Dvd Calendar'!$AA$2060='Field Check'!$C$25)&gt;0,"",'Dvd Calendar'!$AA$2056)))</f>
        <v/>
      </c>
      <c r="CN149" s="85">
        <f>IF(Z149="","",IF(ISNUMBER('Dvd Calendar'!$AB$2056)=FALSE,"",IF((Summary!$C$13="N")*('Dvd Calendar'!$AB$2060='Field Check'!$C$25)&gt;0,"",'Dvd Calendar'!$AB$2056)))</f>
        <v/>
      </c>
      <c r="CO149" s="85">
        <f>IF(AA149="","",IF(ISNUMBER('Dvd Calendar'!$AC$2056)=FALSE,"",IF((Summary!$C$13="N")*('Dvd Calendar'!$AC$2060='Field Check'!$C$25)&gt;0,"",'Dvd Calendar'!$AC$2056)))</f>
        <v/>
      </c>
      <c r="CP149" s="85">
        <f>IF(AB149="","",IF(ISNUMBER('Dvd Calendar'!$AD$2056)=FALSE,"",IF((Summary!$C$13="N")*('Dvd Calendar'!$AD$2060='Field Check'!$C$25)&gt;0,"",'Dvd Calendar'!$AD$2056)))</f>
        <v/>
      </c>
      <c r="CQ149" s="85">
        <f>IF(AC149="","",IF(ISNUMBER('Dvd Calendar'!$AE$2056)=FALSE,"",IF((Summary!$C$13="N")*('Dvd Calendar'!$AE$2060='Field Check'!$C$25)&gt;0,"",'Dvd Calendar'!$AE$2056)))</f>
        <v/>
      </c>
      <c r="CR149" s="85">
        <f>IF(AD149="","",IF(ISNUMBER('Dvd Calendar'!$AF$2056)=FALSE,"",IF((Summary!$C$13="N")*('Dvd Calendar'!$AF$2060='Field Check'!$C$25)&gt;0,"",'Dvd Calendar'!$AF$2056)))</f>
        <v/>
      </c>
      <c r="CS149" s="85">
        <f>IF(AE149="","",IF(ISNUMBER('Dvd Calendar'!$AG$2056)=FALSE,"",IF((Summary!$C$13="N")*('Dvd Calendar'!$AG$2060='Field Check'!$C$25)&gt;0,"",'Dvd Calendar'!$AG$2056)))</f>
        <v/>
      </c>
      <c r="CT149" s="85">
        <f>IF(AF149="","",IF(ISNUMBER('Dvd Calendar'!$AH$2056)=FALSE,"",IF((Summary!$C$13="N")*('Dvd Calendar'!$AH$2060='Field Check'!$C$25)&gt;0,"",'Dvd Calendar'!$AH$2056)))</f>
        <v/>
      </c>
      <c r="CU149" s="85">
        <f>IF(AG149="","",IF(ISNUMBER('Dvd Calendar'!$AI$2056)=FALSE,"",IF((Summary!$C$13="N")*('Dvd Calendar'!$AI$2060='Field Check'!$C$25)&gt;0,"",'Dvd Calendar'!$AI$2056)))</f>
        <v/>
      </c>
      <c r="CV149" s="85">
        <f>IF(AH149="","",IF(ISNUMBER('Dvd Calendar'!$AJ$2056)=FALSE,"",IF((Summary!$C$13="N")*('Dvd Calendar'!$AJ$2060='Field Check'!$C$25)&gt;0,"",'Dvd Calendar'!$AJ$2056)))</f>
        <v/>
      </c>
      <c r="CW149" s="85">
        <f>IF(AI149="","",IF(ISNUMBER('Dvd Calendar'!$AK$2056)=FALSE,"",IF((Summary!$C$13="N")*('Dvd Calendar'!$AK$2060='Field Check'!$C$25)&gt;0,"",'Dvd Calendar'!$AK$2056)))</f>
        <v/>
      </c>
      <c r="CX149" s="85">
        <f>IF(AJ149="","",IF(ISNUMBER('Dvd Calendar'!$AL$2056)=FALSE,"",IF((Summary!$C$13="N")*('Dvd Calendar'!$AL$2060='Field Check'!$C$25)&gt;0,"",'Dvd Calendar'!$AL$2056)))</f>
        <v/>
      </c>
      <c r="CY149" s="85">
        <f>IF(AK149="","",IF(ISNUMBER('Dvd Calendar'!$AM$2056)=FALSE,"",IF((Summary!$C$13="N")*('Dvd Calendar'!$AM$2060='Field Check'!$C$25)&gt;0,"",'Dvd Calendar'!$AM$2056)))</f>
        <v/>
      </c>
      <c r="CZ149" s="85">
        <f>IF(AL149="","",IF(ISNUMBER('Dvd Calendar'!$AN$2056)=FALSE,"",IF((Summary!$C$13="N")*('Dvd Calendar'!$AN$2060='Field Check'!$C$25)&gt;0,"",'Dvd Calendar'!$AN$2056)))</f>
        <v/>
      </c>
      <c r="DA149" s="85">
        <f>IF(AM149="","",IF(ISNUMBER('Dvd Calendar'!$AO$2056)=FALSE,"",IF((Summary!$C$13="N")*('Dvd Calendar'!$AO$2060='Field Check'!$C$25)&gt;0,"",'Dvd Calendar'!$AO$2056)))</f>
        <v/>
      </c>
      <c r="DB149" s="85">
        <f>IF(AN149="","",IF(ISNUMBER('Dvd Calendar'!$AP$2056)=FALSE,"",IF((Summary!$C$13="N")*('Dvd Calendar'!$AP$2060='Field Check'!$C$25)&gt;0,"",'Dvd Calendar'!$AP$2056)))</f>
        <v/>
      </c>
      <c r="DC149" s="85">
        <f>IF(AO149="","",IF(ISNUMBER('Dvd Calendar'!$AQ$2056)=FALSE,"",IF((Summary!$C$13="N")*('Dvd Calendar'!$AQ$2060='Field Check'!$C$25)&gt;0,"",'Dvd Calendar'!$AQ$2056)))</f>
        <v/>
      </c>
      <c r="DD149" s="85">
        <f>IF(AP149="","",IF(ISNUMBER('Dvd Calendar'!$AR$2056)=FALSE,"",IF((Summary!$C$13="N")*('Dvd Calendar'!$AR$2060='Field Check'!$C$25)&gt;0,"",'Dvd Calendar'!$AR$2056)))</f>
        <v/>
      </c>
      <c r="DE149" s="85">
        <f>IF(AQ149="","",IF(ISNUMBER('Dvd Calendar'!$E$2063)=FALSE,"",IF((Summary!$C$13="N")*('Dvd Calendar'!$E$2067='Field Check'!$C$25)&gt;0,"",'Dvd Calendar'!$E$2063)))</f>
        <v/>
      </c>
      <c r="DF149" s="85">
        <f>IF(AR149="","",IF(ISNUMBER('Dvd Calendar'!$F$2063)=FALSE,"",IF((Summary!$C$13="N")*('Dvd Calendar'!$F$2067='Field Check'!$C$25)&gt;0,"",'Dvd Calendar'!$F$2063)))</f>
        <v/>
      </c>
      <c r="DG149" s="85">
        <f>IF(AS149="","",IF(ISNUMBER('Dvd Calendar'!$G$2063)=FALSE,"",IF((Summary!$C$13="N")*('Dvd Calendar'!$G$2067='Field Check'!$C$25)&gt;0,"",'Dvd Calendar'!$G$2063)))</f>
        <v/>
      </c>
      <c r="DH149" s="85">
        <f>IF(AT149="","",IF(ISNUMBER('Dvd Calendar'!$H$2063)=FALSE,"",IF((Summary!$C$13="N")*('Dvd Calendar'!$H$2067='Field Check'!$C$25)&gt;0,"",'Dvd Calendar'!$H$2063)))</f>
        <v/>
      </c>
      <c r="DI149" s="85">
        <f>IF(AU149="","",IF(ISNUMBER('Dvd Calendar'!$I$2063)=FALSE,"",IF((Summary!$C$13="N")*('Dvd Calendar'!$I$2067='Field Check'!$C$25)&gt;0,"",'Dvd Calendar'!$I$2063)))</f>
        <v/>
      </c>
      <c r="DJ149" s="85">
        <f>IF(AV149="","",IF(ISNUMBER('Dvd Calendar'!$J$2063)=FALSE,"",IF((Summary!$C$13="N")*('Dvd Calendar'!$J$2067='Field Check'!$C$25)&gt;0,"",'Dvd Calendar'!$J$2063)))</f>
        <v/>
      </c>
      <c r="DK149" s="85">
        <f>IF(AW149="","",IF(ISNUMBER('Dvd Calendar'!$K$2063)=FALSE,"",IF((Summary!$C$13="N")*('Dvd Calendar'!$K$2067='Field Check'!$C$25)&gt;0,"",'Dvd Calendar'!$K$2063)))</f>
        <v/>
      </c>
      <c r="DL149" s="85">
        <f>IF(AX149="","",IF(ISNUMBER('Dvd Calendar'!$L$2063)=FALSE,"",IF((Summary!$C$13="N")*('Dvd Calendar'!$L$2067='Field Check'!$C$25)&gt;0,"",'Dvd Calendar'!$L$2063)))</f>
        <v/>
      </c>
      <c r="DM149" s="85">
        <f>IF(AY149="","",IF(ISNUMBER('Dvd Calendar'!$M$2063)=FALSE,"",IF((Summary!$C$13="N")*('Dvd Calendar'!$M$2067='Field Check'!$C$25)&gt;0,"",'Dvd Calendar'!$M$2063)))</f>
        <v/>
      </c>
      <c r="DN149" s="85">
        <f>IF(AZ149="","",IF(ISNUMBER('Dvd Calendar'!$N$2063)=FALSE,"",IF((Summary!$C$13="N")*('Dvd Calendar'!$N$2067='Field Check'!$C$25)&gt;0,"",'Dvd Calendar'!$N$2063)))</f>
        <v/>
      </c>
      <c r="DO149" s="85">
        <f>IF(BA149="","",IF(ISNUMBER('Dvd Calendar'!$O$2063)=FALSE,"",IF((Summary!$C$13="N")*('Dvd Calendar'!$O$2067='Field Check'!$C$25)&gt;0,"",'Dvd Calendar'!$O$2063)))</f>
        <v/>
      </c>
      <c r="DP149" s="85">
        <f>IF(BB149="","",IF(ISNUMBER('Dvd Calendar'!$P$2063)=FALSE,"",IF((Summary!$C$13="N")*('Dvd Calendar'!$P$2067='Field Check'!$C$25)&gt;0,"",'Dvd Calendar'!$P$2063)))</f>
        <v/>
      </c>
      <c r="DQ149" s="85">
        <f>IF(BC149="","",IF(ISNUMBER('Dvd Calendar'!$Q$2063)=FALSE,"",IF((Summary!$C$13="N")*('Dvd Calendar'!$Q$2067='Field Check'!$C$25)&gt;0,"",'Dvd Calendar'!$Q$2063)))</f>
        <v/>
      </c>
      <c r="DR149" s="85">
        <f>IF(BD149="","",IF(ISNUMBER('Dvd Calendar'!$R$2063)=FALSE,"",IF((Summary!$C$13="N")*('Dvd Calendar'!$R$2067='Field Check'!$C$25)&gt;0,"",'Dvd Calendar'!$R$2063)))</f>
        <v/>
      </c>
      <c r="DS149" s="85">
        <f>IF(BE149="","",IF(ISNUMBER('Dvd Calendar'!$S$2063)=FALSE,"",IF((Summary!$C$13="N")*('Dvd Calendar'!$S$2067='Field Check'!$C$25)&gt;0,"",'Dvd Calendar'!$S$2063)))</f>
        <v/>
      </c>
      <c r="DT149" s="85">
        <f>IF(BF149="","",IF(ISNUMBER('Dvd Calendar'!$T$2063)=FALSE,"",IF((Summary!$C$13="N")*('Dvd Calendar'!$T$2067='Field Check'!$C$25)&gt;0,"",'Dvd Calendar'!$T$2063)))</f>
        <v/>
      </c>
      <c r="DU149" s="85">
        <f>IF(BG149="","",IF(ISNUMBER('Dvd Calendar'!$U$2063)=FALSE,"",IF((Summary!$C$13="N")*('Dvd Calendar'!$U$2067='Field Check'!$C$25)&gt;0,"",'Dvd Calendar'!$U$2063)))</f>
        <v/>
      </c>
      <c r="DV149" s="85">
        <f>IF(BH149="","",IF(ISNUMBER('Dvd Calendar'!$V$2063)=FALSE,"",IF((Summary!$C$13="N")*('Dvd Calendar'!$V$2067='Field Check'!$C$25)&gt;0,"",'Dvd Calendar'!$V$2063)))</f>
        <v/>
      </c>
      <c r="DW149" s="85">
        <f>IF(BI149="","",IF(ISNUMBER('Dvd Calendar'!$W$2063)=FALSE,"",IF((Summary!$C$13="N")*('Dvd Calendar'!$W$2067='Field Check'!$C$25)&gt;0,"",'Dvd Calendar'!$W$2063)))</f>
        <v/>
      </c>
      <c r="DX149" s="85">
        <f>IF(BJ149="","",IF(ISNUMBER('Dvd Calendar'!$X$2063)=FALSE,"",IF((Summary!$C$13="N")*('Dvd Calendar'!$X$2067='Field Check'!$C$25)&gt;0,"",'Dvd Calendar'!$X$2063)))</f>
        <v/>
      </c>
      <c r="DY149" s="85">
        <f>IF(BK149="","",IF(ISNUMBER('Dvd Calendar'!$Y$2063)=FALSE,"",IF((Summary!$C$13="N")*('Dvd Calendar'!$Y$2067='Field Check'!$C$25)&gt;0,"",'Dvd Calendar'!$Y$2063)))</f>
        <v/>
      </c>
      <c r="DZ149" s="85">
        <f>IF(BL149="","",IF(ISNUMBER('Dvd Calendar'!$Z$2063)=FALSE,"",IF((Summary!$C$13="N")*('Dvd Calendar'!$Z$2067='Field Check'!$C$25)&gt;0,"",'Dvd Calendar'!$Z$2063)))</f>
        <v/>
      </c>
      <c r="EA149" s="85">
        <f>IF(BM149="","",IF(ISNUMBER('Dvd Calendar'!$AA$2063)=FALSE,"",IF((Summary!$C$13="N")*('Dvd Calendar'!$AA$2067='Field Check'!$C$25)&gt;0,"",'Dvd Calendar'!$AA$2063)))</f>
        <v/>
      </c>
      <c r="EB149" s="85">
        <f>IF(BN149="","",IF(ISNUMBER('Dvd Calendar'!$AB$2063)=FALSE,"",IF((Summary!$C$13="N")*('Dvd Calendar'!$AB$2067='Field Check'!$C$25)&gt;0,"",'Dvd Calendar'!$AB$2063)))</f>
        <v/>
      </c>
      <c r="EC149" s="85">
        <f>IF(BO149="","",IF(ISNUMBER('Dvd Calendar'!$AC$2063)=FALSE,"",IF((Summary!$C$13="N")*('Dvd Calendar'!$AC$2067='Field Check'!$C$25)&gt;0,"",'Dvd Calendar'!$AC$2063)))</f>
        <v/>
      </c>
      <c r="EE149" s="85">
        <f>IF(BQ149="","",IFERROR(BQ149*HSTECH!$B$43*HSTECH!$G$43/HSTECH!$B$3,""))</f>
        <v/>
      </c>
      <c r="EF149" s="85">
        <f>IF(BR149="","",IFERROR(BR149*HSTECH!$B$43*HSTECH!$G$43/HSTECH!$B$3,""))</f>
        <v/>
      </c>
      <c r="EG149" s="85">
        <f>IF(BS149="","",IFERROR(BS149*HSTECH!$B$43*HSTECH!$G$43/HSTECH!$B$3,""))</f>
        <v/>
      </c>
      <c r="EH149" s="85">
        <f>IF(BT149="","",IFERROR(BT149*HSTECH!$B$43*HSTECH!$G$43/HSTECH!$B$3,""))</f>
        <v/>
      </c>
      <c r="EI149" s="85">
        <f>IF(BU149="","",IFERROR(BU149*HSTECH!$B$43*HSTECH!$G$43/HSTECH!$B$3,""))</f>
        <v/>
      </c>
      <c r="EJ149" s="85">
        <f>IF(BV149="","",IFERROR(BV149*HSTECH!$B$43*HSTECH!$G$43/HSTECH!$B$3,""))</f>
        <v/>
      </c>
      <c r="EK149" s="85">
        <f>IF(BW149="","",IFERROR(BW149*HSTECH!$B$43*HSTECH!$G$43/HSTECH!$B$3,""))</f>
        <v/>
      </c>
      <c r="EL149" s="85">
        <f>IF(BX149="","",IFERROR(BX149*HSTECH!$B$43*HSTECH!$G$43/HSTECH!$B$3,""))</f>
        <v/>
      </c>
      <c r="EM149" s="85">
        <f>IF(BY149="","",IFERROR(BY149*HSTECH!$B$43*HSTECH!$G$43/HSTECH!$B$3,""))</f>
        <v/>
      </c>
      <c r="EN149" s="85">
        <f>IF(BZ149="","",IFERROR(BZ149*HSTECH!$B$43*HSTECH!$G$43/HSTECH!$B$3,""))</f>
        <v/>
      </c>
      <c r="EO149" s="85">
        <f>IF(CA149="","",IFERROR(CA149*HSTECH!$B$43*HSTECH!$G$43/HSTECH!$B$3,""))</f>
        <v/>
      </c>
      <c r="EP149" s="85">
        <f>IF(CB149="","",IFERROR(CB149*HSTECH!$B$43*HSTECH!$G$43/HSTECH!$B$3,""))</f>
        <v/>
      </c>
      <c r="EQ149" s="85">
        <f>IF(CC149="","",IFERROR(CC149*HSTECH!$B$43*HSTECH!$G$43/HSTECH!$B$3,""))</f>
        <v/>
      </c>
      <c r="ER149" s="85">
        <f>IF(CD149="","",IFERROR(CD149*HSTECH!$B$43*HSTECH!$G$43/HSTECH!$B$3,""))</f>
        <v/>
      </c>
      <c r="ES149" s="85">
        <f>IF(CE149="","",IFERROR(CE149*HSTECH!$B$43*HSTECH!$G$43/HSTECH!$B$3,""))</f>
        <v/>
      </c>
      <c r="ET149" s="85">
        <f>IF(CF149="","",IFERROR(CF149*HSTECH!$B$43*HSTECH!$G$43/HSTECH!$B$3,""))</f>
        <v/>
      </c>
      <c r="EU149" s="85">
        <f>IF(CG149="","",IFERROR(CG149*HSTECH!$B$43*HSTECH!$G$43/HSTECH!$B$3,""))</f>
        <v/>
      </c>
      <c r="EV149" s="85">
        <f>IF(CH149="","",IFERROR(CH149*HSTECH!$B$43*HSTECH!$G$43/HSTECH!$B$3,""))</f>
        <v/>
      </c>
      <c r="EW149" s="85">
        <f>IF(CI149="","",IFERROR(CI149*HSTECH!$B$43*HSTECH!$G$43/HSTECH!$B$3,""))</f>
        <v/>
      </c>
      <c r="EX149" s="85">
        <f>IF(CJ149="","",IFERROR(CJ149*HSTECH!$B$43*HSTECH!$G$43/HSTECH!$B$3,""))</f>
        <v/>
      </c>
      <c r="EY149" s="85">
        <f>IF(CK149="","",IFERROR(CK149*HSTECH!$B$43*HSTECH!$G$43/HSTECH!$B$3,""))</f>
        <v/>
      </c>
      <c r="EZ149" s="85">
        <f>IF(CL149="","",IFERROR(CL149*HSTECH!$B$43*HSTECH!$G$43/HSTECH!$B$3,""))</f>
        <v/>
      </c>
      <c r="FA149" s="85">
        <f>IF(CM149="","",IFERROR(CM149*HSTECH!$B$43*HSTECH!$G$43/HSTECH!$B$3,""))</f>
        <v/>
      </c>
      <c r="FB149" s="85">
        <f>IF(CN149="","",IFERROR(CN149*HSTECH!$B$43*HSTECH!$G$43/HSTECH!$B$3,""))</f>
        <v/>
      </c>
      <c r="FC149" s="85">
        <f>IF(CO149="","",IFERROR(CO149*HSTECH!$B$43*HSTECH!$G$43/HSTECH!$B$3,""))</f>
        <v/>
      </c>
      <c r="FD149" s="85">
        <f>IF(CP149="","",IFERROR(CP149*HSTECH!$B$43*HSTECH!$G$43/HSTECH!$B$3,""))</f>
        <v/>
      </c>
      <c r="FE149" s="85">
        <f>IF(CQ149="","",IFERROR(CQ149*HSTECH!$B$43*HSTECH!$G$43/HSTECH!$B$3,""))</f>
        <v/>
      </c>
      <c r="FF149" s="85">
        <f>IF(CR149="","",IFERROR(CR149*HSTECH!$B$43*HSTECH!$G$43/HSTECH!$B$3,""))</f>
        <v/>
      </c>
      <c r="FG149" s="85">
        <f>IF(CS149="","",IFERROR(CS149*HSTECH!$B$43*HSTECH!$G$43/HSTECH!$B$3,""))</f>
        <v/>
      </c>
      <c r="FH149" s="85">
        <f>IF(CT149="","",IFERROR(CT149*HSTECH!$B$43*HSTECH!$G$43/HSTECH!$B$3,""))</f>
        <v/>
      </c>
      <c r="FI149" s="85">
        <f>IF(CU149="","",IFERROR(CU149*HSTECH!$B$43*HSTECH!$G$43/HSTECH!$B$3,""))</f>
        <v/>
      </c>
      <c r="FJ149" s="85">
        <f>IF(CV149="","",IFERROR(CV149*HSTECH!$B$43*HSTECH!$G$43/HSTECH!$B$3,""))</f>
        <v/>
      </c>
      <c r="FK149" s="85">
        <f>IF(CW149="","",IFERROR(CW149*HSTECH!$B$43*HSTECH!$G$43/HSTECH!$B$3,""))</f>
        <v/>
      </c>
      <c r="FL149" s="85">
        <f>IF(CX149="","",IFERROR(CX149*HSTECH!$B$43*HSTECH!$G$43/HSTECH!$B$3,""))</f>
        <v/>
      </c>
      <c r="FM149" s="85">
        <f>IF(CY149="","",IFERROR(CY149*HSTECH!$B$43*HSTECH!$G$43/HSTECH!$B$3,""))</f>
        <v/>
      </c>
      <c r="FN149" s="85">
        <f>IF(CZ149="","",IFERROR(CZ149*HSTECH!$B$43*HSTECH!$G$43/HSTECH!$B$3,""))</f>
        <v/>
      </c>
      <c r="FO149" s="85">
        <f>IF(DA149="","",IFERROR(DA149*HSTECH!$B$43*HSTECH!$G$43/HSTECH!$B$3,""))</f>
        <v/>
      </c>
      <c r="FP149" s="85">
        <f>IF(DB149="","",IFERROR(DB149*HSTECH!$B$43*HSTECH!$G$43/HSTECH!$B$3,""))</f>
        <v/>
      </c>
      <c r="FQ149" s="85">
        <f>IF(DC149="","",IFERROR(DC149*HSTECH!$B$43*HSTECH!$G$43/HSTECH!$B$3,""))</f>
        <v/>
      </c>
      <c r="FR149" s="85">
        <f>IF(DD149="","",IFERROR(DD149*HSTECH!$B$43*HSTECH!$G$43/HSTECH!$B$3,""))</f>
        <v/>
      </c>
      <c r="FS149" s="85">
        <f>IF(DE149="","",IFERROR(DE149*HSTECH!$B$43*HSTECH!$G$43/HSTECH!$B$3,""))</f>
        <v/>
      </c>
      <c r="FT149" s="85">
        <f>IF(DF149="","",IFERROR(DF149*HSTECH!$B$43*HSTECH!$G$43/HSTECH!$B$3,""))</f>
        <v/>
      </c>
      <c r="FU149" s="85">
        <f>IF(DG149="","",IFERROR(DG149*HSTECH!$B$43*HSTECH!$G$43/HSTECH!$B$3,""))</f>
        <v/>
      </c>
      <c r="FV149" s="85">
        <f>IF(DH149="","",IFERROR(DH149*HSTECH!$B$43*HSTECH!$G$43/HSTECH!$B$3,""))</f>
        <v/>
      </c>
      <c r="FW149" s="85">
        <f>IF(DI149="","",IFERROR(DI149*HSTECH!$B$43*HSTECH!$G$43/HSTECH!$B$3,""))</f>
        <v/>
      </c>
      <c r="FX149" s="85">
        <f>IF(DJ149="","",IFERROR(DJ149*HSTECH!$B$43*HSTECH!$G$43/HSTECH!$B$3,""))</f>
        <v/>
      </c>
      <c r="FY149" s="85">
        <f>IF(DK149="","",IFERROR(DK149*HSTECH!$B$43*HSTECH!$G$43/HSTECH!$B$3,""))</f>
        <v/>
      </c>
      <c r="FZ149" s="85">
        <f>IF(DL149="","",IFERROR(DL149*HSTECH!$B$43*HSTECH!$G$43/HSTECH!$B$3,""))</f>
        <v/>
      </c>
      <c r="GA149" s="85">
        <f>IF(DM149="","",IFERROR(DM149*HSTECH!$B$43*HSTECH!$G$43/HSTECH!$B$3,""))</f>
        <v/>
      </c>
      <c r="GB149" s="85">
        <f>IF(DN149="","",IFERROR(DN149*HSTECH!$B$43*HSTECH!$G$43/HSTECH!$B$3,""))</f>
        <v/>
      </c>
      <c r="GC149" s="85">
        <f>IF(DO149="","",IFERROR(DO149*HSTECH!$B$43*HSTECH!$G$43/HSTECH!$B$3,""))</f>
        <v/>
      </c>
      <c r="GD149" s="85">
        <f>IF(DP149="","",IFERROR(DP149*HSTECH!$B$43*HSTECH!$G$43/HSTECH!$B$3,""))</f>
        <v/>
      </c>
      <c r="GE149" s="85">
        <f>IF(DQ149="","",IFERROR(DQ149*HSTECH!$B$43*HSTECH!$G$43/HSTECH!$B$3,""))</f>
        <v/>
      </c>
      <c r="GF149" s="85">
        <f>IF(DR149="","",IFERROR(DR149*HSTECH!$B$43*HSTECH!$G$43/HSTECH!$B$3,""))</f>
        <v/>
      </c>
      <c r="GG149" s="85">
        <f>IF(DS149="","",IFERROR(DS149*HSTECH!$B$43*HSTECH!$G$43/HSTECH!$B$3,""))</f>
        <v/>
      </c>
      <c r="GH149" s="85">
        <f>IF(DT149="","",IFERROR(DT149*HSTECH!$B$43*HSTECH!$G$43/HSTECH!$B$3,""))</f>
        <v/>
      </c>
      <c r="GI149" s="85">
        <f>IF(DU149="","",IFERROR(DU149*HSTECH!$B$43*HSTECH!$G$43/HSTECH!$B$3,""))</f>
        <v/>
      </c>
      <c r="GJ149" s="85">
        <f>IF(DV149="","",IFERROR(DV149*HSTECH!$B$43*HSTECH!$G$43/HSTECH!$B$3,""))</f>
        <v/>
      </c>
      <c r="GK149" s="85">
        <f>IF(DW149="","",IFERROR(DW149*HSTECH!$B$43*HSTECH!$G$43/HSTECH!$B$3,""))</f>
        <v/>
      </c>
      <c r="GL149" s="85">
        <f>IF(DX149="","",IFERROR(DX149*HSTECH!$B$43*HSTECH!$G$43/HSTECH!$B$3,""))</f>
        <v/>
      </c>
      <c r="GM149" s="85">
        <f>IF(DY149="","",IFERROR(DY149*HSTECH!$B$43*HSTECH!$G$43/HSTECH!$B$3,""))</f>
        <v/>
      </c>
      <c r="GN149" s="85">
        <f>IF(DZ149="","",IFERROR(DZ149*HSTECH!$B$43*HSTECH!$G$43/HSTECH!$B$3,""))</f>
        <v/>
      </c>
      <c r="GO149" s="85">
        <f>IF(EA149="","",IFERROR(EA149*HSTECH!$B$43*HSTECH!$G$43/HSTECH!$B$3,""))</f>
        <v/>
      </c>
      <c r="GP149" s="85">
        <f>IF(EB149="","",IFERROR(EB149*HSTECH!$B$43*HSTECH!$G$43/HSTECH!$B$3,""))</f>
        <v/>
      </c>
      <c r="GQ149" s="85">
        <f>IF(EC149="","",IFERROR(EC149*HSTECH!$B$43*HSTECH!$G$43/HSTECH!$B$3,""))</f>
        <v/>
      </c>
    </row>
    <row r="150">
      <c r="B150" s="2">
        <f>IF(HSTECH!$C$44="","",HSTECH!$C$44)</f>
        <v/>
      </c>
      <c r="C150" s="41">
        <f>IF(N('Dvd Calendar'!$E$2070)=0,"",IF(('Dvd Calendar'!$E$2070&gt;=MIN(DATE(Summary!$C$12,1,1),Summary!$C$11))*('Dvd Calendar'!$E$2070&lt;=MAX(DATE(Summary!$C$12,12,31),Summary!$C$15))*('Dvd Calendar'!$E$2070&lt;=Summary!$C$11)=0,"",'Dvd Calendar'!$E$2070*1000000000+ISNUMBER('Dvd Calendar'!$E$2071)*100000000+('Dvd Calendar'!$E$2075='Field Check'!$C$25)*10000000+(N('Dvd Calendar'!$E$2069)&gt;0)*1000000+38*1000+1))</f>
        <v/>
      </c>
      <c r="D150" s="41">
        <f>IF(N('Dvd Calendar'!$F$2070)=0,"",IF(('Dvd Calendar'!$F$2070&gt;=MIN(DATE(Summary!$C$12,1,1),Summary!$C$11))*('Dvd Calendar'!$F$2070&lt;=MAX(DATE(Summary!$C$12,12,31),Summary!$C$15))*('Dvd Calendar'!$F$2070&lt;=Summary!$C$11)=0,"",'Dvd Calendar'!$F$2070*1000000000+ISNUMBER('Dvd Calendar'!$F$2071)*100000000+('Dvd Calendar'!$F$2075='Field Check'!$C$25)*10000000+(N('Dvd Calendar'!$F$2069)&gt;0)*1000000+38*1000+2))</f>
        <v/>
      </c>
      <c r="E150" s="41">
        <f>IF(N('Dvd Calendar'!$G$2070)=0,"",IF(('Dvd Calendar'!$G$2070&gt;=MIN(DATE(Summary!$C$12,1,1),Summary!$C$11))*('Dvd Calendar'!$G$2070&lt;=MAX(DATE(Summary!$C$12,12,31),Summary!$C$15))*('Dvd Calendar'!$G$2070&lt;=Summary!$C$11)=0,"",'Dvd Calendar'!$G$2070*1000000000+ISNUMBER('Dvd Calendar'!$G$2071)*100000000+('Dvd Calendar'!$G$2075='Field Check'!$C$25)*10000000+(N('Dvd Calendar'!$G$2069)&gt;0)*1000000+38*1000+3))</f>
        <v/>
      </c>
      <c r="F150" s="41">
        <f>IF(N('Dvd Calendar'!$H$2070)=0,"",IF(('Dvd Calendar'!$H$2070&gt;=MIN(DATE(Summary!$C$12,1,1),Summary!$C$11))*('Dvd Calendar'!$H$2070&lt;=MAX(DATE(Summary!$C$12,12,31),Summary!$C$15))*('Dvd Calendar'!$H$2070&lt;=Summary!$C$11)=0,"",'Dvd Calendar'!$H$2070*1000000000+ISNUMBER('Dvd Calendar'!$H$2071)*100000000+('Dvd Calendar'!$H$2075='Field Check'!$C$25)*10000000+(N('Dvd Calendar'!$H$2069)&gt;0)*1000000+38*1000+4))</f>
        <v/>
      </c>
      <c r="G150" s="41">
        <f>IF(N('Dvd Calendar'!$I$2070)=0,"",IF(('Dvd Calendar'!$I$2070&gt;=MIN(DATE(Summary!$C$12,1,1),Summary!$C$11))*('Dvd Calendar'!$I$2070&lt;=MAX(DATE(Summary!$C$12,12,31),Summary!$C$15))*('Dvd Calendar'!$I$2070&lt;=Summary!$C$11)=0,"",'Dvd Calendar'!$I$2070*1000000000+ISNUMBER('Dvd Calendar'!$I$2071)*100000000+('Dvd Calendar'!$I$2075='Field Check'!$C$25)*10000000+(N('Dvd Calendar'!$I$2069)&gt;0)*1000000+38*1000+5))</f>
        <v/>
      </c>
      <c r="H150" s="41">
        <f>IF(N('Dvd Calendar'!$J$2070)=0,"",IF(('Dvd Calendar'!$J$2070&gt;=MIN(DATE(Summary!$C$12,1,1),Summary!$C$11))*('Dvd Calendar'!$J$2070&lt;=MAX(DATE(Summary!$C$12,12,31),Summary!$C$15))*('Dvd Calendar'!$J$2070&lt;=Summary!$C$11)=0,"",'Dvd Calendar'!$J$2070*1000000000+ISNUMBER('Dvd Calendar'!$J$2071)*100000000+('Dvd Calendar'!$J$2075='Field Check'!$C$25)*10000000+(N('Dvd Calendar'!$J$2069)&gt;0)*1000000+38*1000+6))</f>
        <v/>
      </c>
      <c r="I150" s="41">
        <f>IF(N('Dvd Calendar'!$K$2070)=0,"",IF(('Dvd Calendar'!$K$2070&gt;=MIN(DATE(Summary!$C$12,1,1),Summary!$C$11))*('Dvd Calendar'!$K$2070&lt;=MAX(DATE(Summary!$C$12,12,31),Summary!$C$15))*('Dvd Calendar'!$K$2070&lt;=Summary!$C$11)=0,"",'Dvd Calendar'!$K$2070*1000000000+ISNUMBER('Dvd Calendar'!$K$2071)*100000000+('Dvd Calendar'!$K$2075='Field Check'!$C$25)*10000000+(N('Dvd Calendar'!$K$2069)&gt;0)*1000000+38*1000+7))</f>
        <v/>
      </c>
      <c r="J150" s="41">
        <f>IF(N('Dvd Calendar'!$L$2070)=0,"",IF(('Dvd Calendar'!$L$2070&gt;=MIN(DATE(Summary!$C$12,1,1),Summary!$C$11))*('Dvd Calendar'!$L$2070&lt;=MAX(DATE(Summary!$C$12,12,31),Summary!$C$15))*('Dvd Calendar'!$L$2070&lt;=Summary!$C$11)=0,"",'Dvd Calendar'!$L$2070*1000000000+ISNUMBER('Dvd Calendar'!$L$2071)*100000000+('Dvd Calendar'!$L$2075='Field Check'!$C$25)*10000000+(N('Dvd Calendar'!$L$2069)&gt;0)*1000000+38*1000+8))</f>
        <v/>
      </c>
      <c r="K150" s="41">
        <f>IF(N('Dvd Calendar'!$M$2070)=0,"",IF(('Dvd Calendar'!$M$2070&gt;=MIN(DATE(Summary!$C$12,1,1),Summary!$C$11))*('Dvd Calendar'!$M$2070&lt;=MAX(DATE(Summary!$C$12,12,31),Summary!$C$15))*('Dvd Calendar'!$M$2070&lt;=Summary!$C$11)=0,"",'Dvd Calendar'!$M$2070*1000000000+ISNUMBER('Dvd Calendar'!$M$2071)*100000000+('Dvd Calendar'!$M$2075='Field Check'!$C$25)*10000000+(N('Dvd Calendar'!$M$2069)&gt;0)*1000000+38*1000+9))</f>
        <v/>
      </c>
      <c r="L150" s="41">
        <f>IF(N('Dvd Calendar'!$N$2070)=0,"",IF(('Dvd Calendar'!$N$2070&gt;=MIN(DATE(Summary!$C$12,1,1),Summary!$C$11))*('Dvd Calendar'!$N$2070&lt;=MAX(DATE(Summary!$C$12,12,31),Summary!$C$15))*('Dvd Calendar'!$N$2070&lt;=Summary!$C$11)=0,"",'Dvd Calendar'!$N$2070*1000000000+ISNUMBER('Dvd Calendar'!$N$2071)*100000000+('Dvd Calendar'!$N$2075='Field Check'!$C$25)*10000000+(N('Dvd Calendar'!$N$2069)&gt;0)*1000000+38*1000+10))</f>
        <v/>
      </c>
      <c r="M150" s="41">
        <f>IF(N('Dvd Calendar'!$O$2070)=0,"",IF(('Dvd Calendar'!$O$2070&gt;=MIN(DATE(Summary!$C$12,1,1),Summary!$C$11))*('Dvd Calendar'!$O$2070&lt;=MAX(DATE(Summary!$C$12,12,31),Summary!$C$15))*('Dvd Calendar'!$O$2070&lt;=Summary!$C$11)=0,"",'Dvd Calendar'!$O$2070*1000000000+ISNUMBER('Dvd Calendar'!$O$2071)*100000000+('Dvd Calendar'!$O$2075='Field Check'!$C$25)*10000000+(N('Dvd Calendar'!$O$2069)&gt;0)*1000000+38*1000+11))</f>
        <v/>
      </c>
      <c r="N150" s="41">
        <f>IF(N('Dvd Calendar'!$P$2070)=0,"",IF(('Dvd Calendar'!$P$2070&gt;=MIN(DATE(Summary!$C$12,1,1),Summary!$C$11))*('Dvd Calendar'!$P$2070&lt;=MAX(DATE(Summary!$C$12,12,31),Summary!$C$15))*('Dvd Calendar'!$P$2070&lt;=Summary!$C$11)=0,"",'Dvd Calendar'!$P$2070*1000000000+ISNUMBER('Dvd Calendar'!$P$2071)*100000000+('Dvd Calendar'!$P$2075='Field Check'!$C$25)*10000000+(N('Dvd Calendar'!$P$2069)&gt;0)*1000000+38*1000+12))</f>
        <v/>
      </c>
      <c r="O150" s="41">
        <f>IF(N('Dvd Calendar'!$Q$2070)=0,"",IF(('Dvd Calendar'!$Q$2070&gt;=MIN(DATE(Summary!$C$12,1,1),Summary!$C$11))*('Dvd Calendar'!$Q$2070&lt;=MAX(DATE(Summary!$C$12,12,31),Summary!$C$15))*('Dvd Calendar'!$Q$2070&lt;=Summary!$C$11)=0,"",'Dvd Calendar'!$Q$2070*1000000000+ISNUMBER('Dvd Calendar'!$Q$2071)*100000000+('Dvd Calendar'!$Q$2075='Field Check'!$C$25)*10000000+(N('Dvd Calendar'!$Q$2069)&gt;0)*1000000+38*1000+13))</f>
        <v/>
      </c>
      <c r="P150" s="41">
        <f>IF(N('Dvd Calendar'!$R$2070)=0,"",IF(('Dvd Calendar'!$R$2070&gt;=MIN(DATE(Summary!$C$12,1,1),Summary!$C$11))*('Dvd Calendar'!$R$2070&lt;=MAX(DATE(Summary!$C$12,12,31),Summary!$C$15))*('Dvd Calendar'!$R$2070&lt;=Summary!$C$11)=0,"",'Dvd Calendar'!$R$2070*1000000000+ISNUMBER('Dvd Calendar'!$R$2071)*100000000+('Dvd Calendar'!$R$2075='Field Check'!$C$25)*10000000+(N('Dvd Calendar'!$R$2069)&gt;0)*1000000+38*1000+14))</f>
        <v/>
      </c>
      <c r="Q150" s="41">
        <f>IF(N('Dvd Calendar'!$S$2070)=0,"",IF(('Dvd Calendar'!$S$2070&gt;=MIN(DATE(Summary!$C$12,1,1),Summary!$C$11))*('Dvd Calendar'!$S$2070&lt;=MAX(DATE(Summary!$C$12,12,31),Summary!$C$15))*('Dvd Calendar'!$S$2070&lt;=Summary!$C$11)=0,"",'Dvd Calendar'!$S$2070*1000000000+ISNUMBER('Dvd Calendar'!$S$2071)*100000000+('Dvd Calendar'!$S$2075='Field Check'!$C$25)*10000000+(N('Dvd Calendar'!$S$2069)&gt;0)*1000000+38*1000+15))</f>
        <v/>
      </c>
      <c r="R150" s="41">
        <f>IF(N('Dvd Calendar'!$T$2070)=0,"",IF(('Dvd Calendar'!$T$2070&gt;=MIN(DATE(Summary!$C$12,1,1),Summary!$C$11))*('Dvd Calendar'!$T$2070&lt;=MAX(DATE(Summary!$C$12,12,31),Summary!$C$15))*('Dvd Calendar'!$T$2070&lt;=Summary!$C$11)=0,"",'Dvd Calendar'!$T$2070*1000000000+ISNUMBER('Dvd Calendar'!$T$2071)*100000000+('Dvd Calendar'!$T$2075='Field Check'!$C$25)*10000000+(N('Dvd Calendar'!$T$2069)&gt;0)*1000000+38*1000+16))</f>
        <v/>
      </c>
      <c r="S150" s="41">
        <f>IF(N('Dvd Calendar'!$U$2070)=0,"",IF(('Dvd Calendar'!$U$2070&gt;=MIN(DATE(Summary!$C$12,1,1),Summary!$C$11))*('Dvd Calendar'!$U$2070&lt;=MAX(DATE(Summary!$C$12,12,31),Summary!$C$15))*('Dvd Calendar'!$U$2070&lt;=Summary!$C$11)=0,"",'Dvd Calendar'!$U$2070*1000000000+ISNUMBER('Dvd Calendar'!$U$2071)*100000000+('Dvd Calendar'!$U$2075='Field Check'!$C$25)*10000000+(N('Dvd Calendar'!$U$2069)&gt;0)*1000000+38*1000+17))</f>
        <v/>
      </c>
      <c r="T150" s="41">
        <f>IF(N('Dvd Calendar'!$V$2070)=0,"",IF(('Dvd Calendar'!$V$2070&gt;=MIN(DATE(Summary!$C$12,1,1),Summary!$C$11))*('Dvd Calendar'!$V$2070&lt;=MAX(DATE(Summary!$C$12,12,31),Summary!$C$15))*('Dvd Calendar'!$V$2070&lt;=Summary!$C$11)=0,"",'Dvd Calendar'!$V$2070*1000000000+ISNUMBER('Dvd Calendar'!$V$2071)*100000000+('Dvd Calendar'!$V$2075='Field Check'!$C$25)*10000000+(N('Dvd Calendar'!$V$2069)&gt;0)*1000000+38*1000+18))</f>
        <v/>
      </c>
      <c r="U150" s="41">
        <f>IF(N('Dvd Calendar'!$W$2070)=0,"",IF(('Dvd Calendar'!$W$2070&gt;=MIN(DATE(Summary!$C$12,1,1),Summary!$C$11))*('Dvd Calendar'!$W$2070&lt;=MAX(DATE(Summary!$C$12,12,31),Summary!$C$15))*('Dvd Calendar'!$W$2070&lt;=Summary!$C$11)=0,"",'Dvd Calendar'!$W$2070*1000000000+ISNUMBER('Dvd Calendar'!$W$2071)*100000000+('Dvd Calendar'!$W$2075='Field Check'!$C$25)*10000000+(N('Dvd Calendar'!$W$2069)&gt;0)*1000000+38*1000+19))</f>
        <v/>
      </c>
      <c r="V150" s="41">
        <f>IF(N('Dvd Calendar'!$X$2070)=0,"",IF(('Dvd Calendar'!$X$2070&gt;=MIN(DATE(Summary!$C$12,1,1),Summary!$C$11))*('Dvd Calendar'!$X$2070&lt;=MAX(DATE(Summary!$C$12,12,31),Summary!$C$15))*('Dvd Calendar'!$X$2070&lt;=Summary!$C$11)=0,"",'Dvd Calendar'!$X$2070*1000000000+ISNUMBER('Dvd Calendar'!$X$2071)*100000000+('Dvd Calendar'!$X$2075='Field Check'!$C$25)*10000000+(N('Dvd Calendar'!$X$2069)&gt;0)*1000000+38*1000+20))</f>
        <v/>
      </c>
      <c r="W150" s="41">
        <f>IF(N('Dvd Calendar'!$Y$2070)=0,"",IF(('Dvd Calendar'!$Y$2070&gt;=MIN(DATE(Summary!$C$12,1,1),Summary!$C$11))*('Dvd Calendar'!$Y$2070&lt;=MAX(DATE(Summary!$C$12,12,31),Summary!$C$15))*('Dvd Calendar'!$Y$2070&lt;=Summary!$C$11)=0,"",'Dvd Calendar'!$Y$2070*1000000000+ISNUMBER('Dvd Calendar'!$Y$2071)*100000000+('Dvd Calendar'!$Y$2075='Field Check'!$C$25)*10000000+(N('Dvd Calendar'!$Y$2069)&gt;0)*1000000+38*1000+21))</f>
        <v/>
      </c>
      <c r="X150" s="41">
        <f>IF(N('Dvd Calendar'!$Z$2070)=0,"",IF(('Dvd Calendar'!$Z$2070&gt;=MIN(DATE(Summary!$C$12,1,1),Summary!$C$11))*('Dvd Calendar'!$Z$2070&lt;=MAX(DATE(Summary!$C$12,12,31),Summary!$C$15))*('Dvd Calendar'!$Z$2070&lt;=Summary!$C$11)=0,"",'Dvd Calendar'!$Z$2070*1000000000+ISNUMBER('Dvd Calendar'!$Z$2071)*100000000+('Dvd Calendar'!$Z$2075='Field Check'!$C$25)*10000000+(N('Dvd Calendar'!$Z$2069)&gt;0)*1000000+38*1000+22))</f>
        <v/>
      </c>
      <c r="Y150" s="41">
        <f>IF(N('Dvd Calendar'!$AA$2070)=0,"",IF(('Dvd Calendar'!$AA$2070&gt;=MIN(DATE(Summary!$C$12,1,1),Summary!$C$11))*('Dvd Calendar'!$AA$2070&lt;=MAX(DATE(Summary!$C$12,12,31),Summary!$C$15))*('Dvd Calendar'!$AA$2070&lt;=Summary!$C$11)=0,"",'Dvd Calendar'!$AA$2070*1000000000+ISNUMBER('Dvd Calendar'!$AA$2071)*100000000+('Dvd Calendar'!$AA$2075='Field Check'!$C$25)*10000000+(N('Dvd Calendar'!$AA$2069)&gt;0)*1000000+38*1000+23))</f>
        <v/>
      </c>
      <c r="Z150" s="41">
        <f>IF(N('Dvd Calendar'!$AB$2070)=0,"",IF(('Dvd Calendar'!$AB$2070&gt;=MIN(DATE(Summary!$C$12,1,1),Summary!$C$11))*('Dvd Calendar'!$AB$2070&lt;=MAX(DATE(Summary!$C$12,12,31),Summary!$C$15))*('Dvd Calendar'!$AB$2070&lt;=Summary!$C$11)=0,"",'Dvd Calendar'!$AB$2070*1000000000+ISNUMBER('Dvd Calendar'!$AB$2071)*100000000+('Dvd Calendar'!$AB$2075='Field Check'!$C$25)*10000000+(N('Dvd Calendar'!$AB$2069)&gt;0)*1000000+38*1000+24))</f>
        <v/>
      </c>
      <c r="AA150" s="41">
        <f>IF(N('Dvd Calendar'!$AC$2070)=0,"",IF(('Dvd Calendar'!$AC$2070&gt;=MIN(DATE(Summary!$C$12,1,1),Summary!$C$11))*('Dvd Calendar'!$AC$2070&lt;=MAX(DATE(Summary!$C$12,12,31),Summary!$C$15))*('Dvd Calendar'!$AC$2070&lt;=Summary!$C$11)=0,"",'Dvd Calendar'!$AC$2070*1000000000+ISNUMBER('Dvd Calendar'!$AC$2071)*100000000+('Dvd Calendar'!$AC$2075='Field Check'!$C$25)*10000000+(N('Dvd Calendar'!$AC$2069)&gt;0)*1000000+38*1000+25))</f>
        <v/>
      </c>
      <c r="AB150" s="41">
        <f>IF(N('Dvd Calendar'!$AD$2070)=0,"",IF(('Dvd Calendar'!$AD$2070&gt;=MIN(DATE(Summary!$C$12,1,1),Summary!$C$11))*('Dvd Calendar'!$AD$2070&lt;=MAX(DATE(Summary!$C$12,12,31),Summary!$C$15))*('Dvd Calendar'!$AD$2070&lt;=Summary!$C$11)=0,"",'Dvd Calendar'!$AD$2070*1000000000+ISNUMBER('Dvd Calendar'!$AD$2071)*100000000+('Dvd Calendar'!$AD$2075='Field Check'!$C$25)*10000000+(N('Dvd Calendar'!$AD$2069)&gt;0)*1000000+38*1000+26))</f>
        <v/>
      </c>
      <c r="AC150" s="41">
        <f>IF(N('Dvd Calendar'!$AE$2070)=0,"",IF(('Dvd Calendar'!$AE$2070&gt;=MIN(DATE(Summary!$C$12,1,1),Summary!$C$11))*('Dvd Calendar'!$AE$2070&lt;=MAX(DATE(Summary!$C$12,12,31),Summary!$C$15))*('Dvd Calendar'!$AE$2070&lt;=Summary!$C$11)=0,"",'Dvd Calendar'!$AE$2070*1000000000+ISNUMBER('Dvd Calendar'!$AE$2071)*100000000+('Dvd Calendar'!$AE$2075='Field Check'!$C$25)*10000000+(N('Dvd Calendar'!$AE$2069)&gt;0)*1000000+38*1000+27))</f>
        <v/>
      </c>
      <c r="AD150" s="41">
        <f>IF(N('Dvd Calendar'!$AF$2070)=0,"",IF(('Dvd Calendar'!$AF$2070&gt;=MIN(DATE(Summary!$C$12,1,1),Summary!$C$11))*('Dvd Calendar'!$AF$2070&lt;=MAX(DATE(Summary!$C$12,12,31),Summary!$C$15))*('Dvd Calendar'!$AF$2070&lt;=Summary!$C$11)=0,"",'Dvd Calendar'!$AF$2070*1000000000+ISNUMBER('Dvd Calendar'!$AF$2071)*100000000+('Dvd Calendar'!$AF$2075='Field Check'!$C$25)*10000000+(N('Dvd Calendar'!$AF$2069)&gt;0)*1000000+38*1000+28))</f>
        <v/>
      </c>
      <c r="AE150" s="41">
        <f>IF(N('Dvd Calendar'!$AG$2070)=0,"",IF(('Dvd Calendar'!$AG$2070&gt;=MIN(DATE(Summary!$C$12,1,1),Summary!$C$11))*('Dvd Calendar'!$AG$2070&lt;=MAX(DATE(Summary!$C$12,12,31),Summary!$C$15))*('Dvd Calendar'!$AG$2070&lt;=Summary!$C$11)=0,"",'Dvd Calendar'!$AG$2070*1000000000+ISNUMBER('Dvd Calendar'!$AG$2071)*100000000+('Dvd Calendar'!$AG$2075='Field Check'!$C$25)*10000000+(N('Dvd Calendar'!$AG$2069)&gt;0)*1000000+38*1000+29))</f>
        <v/>
      </c>
      <c r="AF150" s="41">
        <f>IF(N('Dvd Calendar'!$AH$2070)=0,"",IF(('Dvd Calendar'!$AH$2070&gt;=MIN(DATE(Summary!$C$12,1,1),Summary!$C$11))*('Dvd Calendar'!$AH$2070&lt;=MAX(DATE(Summary!$C$12,12,31),Summary!$C$15))*('Dvd Calendar'!$AH$2070&lt;=Summary!$C$11)=0,"",'Dvd Calendar'!$AH$2070*1000000000+ISNUMBER('Dvd Calendar'!$AH$2071)*100000000+('Dvd Calendar'!$AH$2075='Field Check'!$C$25)*10000000+(N('Dvd Calendar'!$AH$2069)&gt;0)*1000000+38*1000+30))</f>
        <v/>
      </c>
      <c r="AG150" s="41">
        <f>IF(N('Dvd Calendar'!$AI$2070)=0,"",IF(('Dvd Calendar'!$AI$2070&gt;=MIN(DATE(Summary!$C$12,1,1),Summary!$C$11))*('Dvd Calendar'!$AI$2070&lt;=MAX(DATE(Summary!$C$12,12,31),Summary!$C$15))*('Dvd Calendar'!$AI$2070&lt;=Summary!$C$11)=0,"",'Dvd Calendar'!$AI$2070*1000000000+ISNUMBER('Dvd Calendar'!$AI$2071)*100000000+('Dvd Calendar'!$AI$2075='Field Check'!$C$25)*10000000+(N('Dvd Calendar'!$AI$2069)&gt;0)*1000000+38*1000+31))</f>
        <v/>
      </c>
      <c r="AH150" s="41">
        <f>IF(N('Dvd Calendar'!$AJ$2070)=0,"",IF(('Dvd Calendar'!$AJ$2070&gt;=MIN(DATE(Summary!$C$12,1,1),Summary!$C$11))*('Dvd Calendar'!$AJ$2070&lt;=MAX(DATE(Summary!$C$12,12,31),Summary!$C$15))*('Dvd Calendar'!$AJ$2070&lt;=Summary!$C$11)=0,"",'Dvd Calendar'!$AJ$2070*1000000000+ISNUMBER('Dvd Calendar'!$AJ$2071)*100000000+('Dvd Calendar'!$AJ$2075='Field Check'!$C$25)*10000000+(N('Dvd Calendar'!$AJ$2069)&gt;0)*1000000+38*1000+32))</f>
        <v/>
      </c>
      <c r="AI150" s="41">
        <f>IF(N('Dvd Calendar'!$AK$2070)=0,"",IF(('Dvd Calendar'!$AK$2070&gt;=MIN(DATE(Summary!$C$12,1,1),Summary!$C$11))*('Dvd Calendar'!$AK$2070&lt;=MAX(DATE(Summary!$C$12,12,31),Summary!$C$15))*('Dvd Calendar'!$AK$2070&lt;=Summary!$C$11)=0,"",'Dvd Calendar'!$AK$2070*1000000000+ISNUMBER('Dvd Calendar'!$AK$2071)*100000000+('Dvd Calendar'!$AK$2075='Field Check'!$C$25)*10000000+(N('Dvd Calendar'!$AK$2069)&gt;0)*1000000+38*1000+33))</f>
        <v/>
      </c>
      <c r="AJ150" s="41">
        <f>IF(N('Dvd Calendar'!$AL$2070)=0,"",IF(('Dvd Calendar'!$AL$2070&gt;=MIN(DATE(Summary!$C$12,1,1),Summary!$C$11))*('Dvd Calendar'!$AL$2070&lt;=MAX(DATE(Summary!$C$12,12,31),Summary!$C$15))*('Dvd Calendar'!$AL$2070&lt;=Summary!$C$11)=0,"",'Dvd Calendar'!$AL$2070*1000000000+ISNUMBER('Dvd Calendar'!$AL$2071)*100000000+('Dvd Calendar'!$AL$2075='Field Check'!$C$25)*10000000+(N('Dvd Calendar'!$AL$2069)&gt;0)*1000000+38*1000+34))</f>
        <v/>
      </c>
      <c r="AK150" s="41">
        <f>IF(N('Dvd Calendar'!$AM$2070)=0,"",IF(('Dvd Calendar'!$AM$2070&gt;=MIN(DATE(Summary!$C$12,1,1),Summary!$C$11))*('Dvd Calendar'!$AM$2070&lt;=MAX(DATE(Summary!$C$12,12,31),Summary!$C$15))*('Dvd Calendar'!$AM$2070&lt;=Summary!$C$11)=0,"",'Dvd Calendar'!$AM$2070*1000000000+ISNUMBER('Dvd Calendar'!$AM$2071)*100000000+('Dvd Calendar'!$AM$2075='Field Check'!$C$25)*10000000+(N('Dvd Calendar'!$AM$2069)&gt;0)*1000000+38*1000+35))</f>
        <v/>
      </c>
      <c r="AL150" s="41">
        <f>IF(N('Dvd Calendar'!$AN$2070)=0,"",IF(('Dvd Calendar'!$AN$2070&gt;=MIN(DATE(Summary!$C$12,1,1),Summary!$C$11))*('Dvd Calendar'!$AN$2070&lt;=MAX(DATE(Summary!$C$12,12,31),Summary!$C$15))*('Dvd Calendar'!$AN$2070&lt;=Summary!$C$11)=0,"",'Dvd Calendar'!$AN$2070*1000000000+ISNUMBER('Dvd Calendar'!$AN$2071)*100000000+('Dvd Calendar'!$AN$2075='Field Check'!$C$25)*10000000+(N('Dvd Calendar'!$AN$2069)&gt;0)*1000000+38*1000+36))</f>
        <v/>
      </c>
      <c r="AM150" s="41">
        <f>IF(N('Dvd Calendar'!$AO$2070)=0,"",IF(('Dvd Calendar'!$AO$2070&gt;=MIN(DATE(Summary!$C$12,1,1),Summary!$C$11))*('Dvd Calendar'!$AO$2070&lt;=MAX(DATE(Summary!$C$12,12,31),Summary!$C$15))*('Dvd Calendar'!$AO$2070&lt;=Summary!$C$11)=0,"",'Dvd Calendar'!$AO$2070*1000000000+ISNUMBER('Dvd Calendar'!$AO$2071)*100000000+('Dvd Calendar'!$AO$2075='Field Check'!$C$25)*10000000+(N('Dvd Calendar'!$AO$2069)&gt;0)*1000000+38*1000+37))</f>
        <v/>
      </c>
      <c r="AN150" s="41">
        <f>IF(N('Dvd Calendar'!$AP$2070)=0,"",IF(('Dvd Calendar'!$AP$2070&gt;=MIN(DATE(Summary!$C$12,1,1),Summary!$C$11))*('Dvd Calendar'!$AP$2070&lt;=MAX(DATE(Summary!$C$12,12,31),Summary!$C$15))*('Dvd Calendar'!$AP$2070&lt;=Summary!$C$11)=0,"",'Dvd Calendar'!$AP$2070*1000000000+ISNUMBER('Dvd Calendar'!$AP$2071)*100000000+('Dvd Calendar'!$AP$2075='Field Check'!$C$25)*10000000+(N('Dvd Calendar'!$AP$2069)&gt;0)*1000000+38*1000+38))</f>
        <v/>
      </c>
      <c r="AO150" s="41">
        <f>IF(N('Dvd Calendar'!$AQ$2070)=0,"",IF(('Dvd Calendar'!$AQ$2070&gt;=MIN(DATE(Summary!$C$12,1,1),Summary!$C$11))*('Dvd Calendar'!$AQ$2070&lt;=MAX(DATE(Summary!$C$12,12,31),Summary!$C$15))*('Dvd Calendar'!$AQ$2070&lt;=Summary!$C$11)=0,"",'Dvd Calendar'!$AQ$2070*1000000000+ISNUMBER('Dvd Calendar'!$AQ$2071)*100000000+('Dvd Calendar'!$AQ$2075='Field Check'!$C$25)*10000000+(N('Dvd Calendar'!$AQ$2069)&gt;0)*1000000+38*1000+39))</f>
        <v/>
      </c>
      <c r="AP150" s="41">
        <f>IF(N('Dvd Calendar'!$AR$2070)=0,"",IF(('Dvd Calendar'!$AR$2070&gt;=MIN(DATE(Summary!$C$12,1,1),Summary!$C$11))*('Dvd Calendar'!$AR$2070&lt;=MAX(DATE(Summary!$C$12,12,31),Summary!$C$15))*('Dvd Calendar'!$AR$2070&lt;=Summary!$C$11)=0,"",'Dvd Calendar'!$AR$2070*1000000000+ISNUMBER('Dvd Calendar'!$AR$2071)*100000000+('Dvd Calendar'!$AR$2075='Field Check'!$C$25)*10000000+(N('Dvd Calendar'!$AR$2069)&gt;0)*1000000+38*1000+40))</f>
        <v/>
      </c>
      <c r="AQ150" s="41">
        <f>IF(N('Dvd Calendar'!$E$2077)=0,"",IF(('Dvd Calendar'!$E$2077&gt;=MIN(DATE(Summary!$C$12,1,1),Summary!$C$11))*('Dvd Calendar'!$E$2077&lt;=MAX(DATE(Summary!$C$12,12,31),Summary!$C$15))*('Dvd Calendar'!$E$2077&gt;Summary!$C$11)=0,"",'Dvd Calendar'!$E$2077*1000000000+ISNUMBER('Dvd Calendar'!$E$2078)*100000000+('Dvd Calendar'!$E$2082='Field Check'!$C$25)*10000000+(N('Dvd Calendar'!$E$2076)&gt;0)*1000000+38*1000+41))</f>
        <v/>
      </c>
      <c r="AR150" s="41">
        <f>IF(N('Dvd Calendar'!$F$2077)=0,"",IF(('Dvd Calendar'!$F$2077&gt;=MIN(DATE(Summary!$C$12,1,1),Summary!$C$11))*('Dvd Calendar'!$F$2077&lt;=MAX(DATE(Summary!$C$12,12,31),Summary!$C$15))*('Dvd Calendar'!$F$2077&gt;Summary!$C$11)=0,"",'Dvd Calendar'!$F$2077*1000000000+ISNUMBER('Dvd Calendar'!$F$2078)*100000000+('Dvd Calendar'!$F$2082='Field Check'!$C$25)*10000000+(N('Dvd Calendar'!$F$2076)&gt;0)*1000000+38*1000+42))</f>
        <v/>
      </c>
      <c r="AS150" s="41">
        <f>IF(N('Dvd Calendar'!$G$2077)=0,"",IF(('Dvd Calendar'!$G$2077&gt;=MIN(DATE(Summary!$C$12,1,1),Summary!$C$11))*('Dvd Calendar'!$G$2077&lt;=MAX(DATE(Summary!$C$12,12,31),Summary!$C$15))*('Dvd Calendar'!$G$2077&gt;Summary!$C$11)=0,"",'Dvd Calendar'!$G$2077*1000000000+ISNUMBER('Dvd Calendar'!$G$2078)*100000000+('Dvd Calendar'!$G$2082='Field Check'!$C$25)*10000000+(N('Dvd Calendar'!$G$2076)&gt;0)*1000000+38*1000+43))</f>
        <v/>
      </c>
      <c r="AT150" s="41">
        <f>IF(N('Dvd Calendar'!$H$2077)=0,"",IF(('Dvd Calendar'!$H$2077&gt;=MIN(DATE(Summary!$C$12,1,1),Summary!$C$11))*('Dvd Calendar'!$H$2077&lt;=MAX(DATE(Summary!$C$12,12,31),Summary!$C$15))*('Dvd Calendar'!$H$2077&gt;Summary!$C$11)=0,"",'Dvd Calendar'!$H$2077*1000000000+ISNUMBER('Dvd Calendar'!$H$2078)*100000000+('Dvd Calendar'!$H$2082='Field Check'!$C$25)*10000000+(N('Dvd Calendar'!$H$2076)&gt;0)*1000000+38*1000+44))</f>
        <v/>
      </c>
      <c r="AU150" s="41">
        <f>IF(N('Dvd Calendar'!$I$2077)=0,"",IF(('Dvd Calendar'!$I$2077&gt;=MIN(DATE(Summary!$C$12,1,1),Summary!$C$11))*('Dvd Calendar'!$I$2077&lt;=MAX(DATE(Summary!$C$12,12,31),Summary!$C$15))*('Dvd Calendar'!$I$2077&gt;Summary!$C$11)=0,"",'Dvd Calendar'!$I$2077*1000000000+ISNUMBER('Dvd Calendar'!$I$2078)*100000000+('Dvd Calendar'!$I$2082='Field Check'!$C$25)*10000000+(N('Dvd Calendar'!$I$2076)&gt;0)*1000000+38*1000+45))</f>
        <v/>
      </c>
      <c r="AV150" s="41">
        <f>IF(N('Dvd Calendar'!$J$2077)=0,"",IF(('Dvd Calendar'!$J$2077&gt;=MIN(DATE(Summary!$C$12,1,1),Summary!$C$11))*('Dvd Calendar'!$J$2077&lt;=MAX(DATE(Summary!$C$12,12,31),Summary!$C$15))*('Dvd Calendar'!$J$2077&gt;Summary!$C$11)=0,"",'Dvd Calendar'!$J$2077*1000000000+ISNUMBER('Dvd Calendar'!$J$2078)*100000000+('Dvd Calendar'!$J$2082='Field Check'!$C$25)*10000000+(N('Dvd Calendar'!$J$2076)&gt;0)*1000000+38*1000+46))</f>
        <v/>
      </c>
      <c r="AW150" s="41">
        <f>IF(N('Dvd Calendar'!$K$2077)=0,"",IF(('Dvd Calendar'!$K$2077&gt;=MIN(DATE(Summary!$C$12,1,1),Summary!$C$11))*('Dvd Calendar'!$K$2077&lt;=MAX(DATE(Summary!$C$12,12,31),Summary!$C$15))*('Dvd Calendar'!$K$2077&gt;Summary!$C$11)=0,"",'Dvd Calendar'!$K$2077*1000000000+ISNUMBER('Dvd Calendar'!$K$2078)*100000000+('Dvd Calendar'!$K$2082='Field Check'!$C$25)*10000000+(N('Dvd Calendar'!$K$2076)&gt;0)*1000000+38*1000+47))</f>
        <v/>
      </c>
      <c r="AX150" s="41">
        <f>IF(N('Dvd Calendar'!$L$2077)=0,"",IF(('Dvd Calendar'!$L$2077&gt;=MIN(DATE(Summary!$C$12,1,1),Summary!$C$11))*('Dvd Calendar'!$L$2077&lt;=MAX(DATE(Summary!$C$12,12,31),Summary!$C$15))*('Dvd Calendar'!$L$2077&gt;Summary!$C$11)=0,"",'Dvd Calendar'!$L$2077*1000000000+ISNUMBER('Dvd Calendar'!$L$2078)*100000000+('Dvd Calendar'!$L$2082='Field Check'!$C$25)*10000000+(N('Dvd Calendar'!$L$2076)&gt;0)*1000000+38*1000+48))</f>
        <v/>
      </c>
      <c r="AY150" s="41">
        <f>IF(N('Dvd Calendar'!$M$2077)=0,"",IF(('Dvd Calendar'!$M$2077&gt;=MIN(DATE(Summary!$C$12,1,1),Summary!$C$11))*('Dvd Calendar'!$M$2077&lt;=MAX(DATE(Summary!$C$12,12,31),Summary!$C$15))*('Dvd Calendar'!$M$2077&gt;Summary!$C$11)=0,"",'Dvd Calendar'!$M$2077*1000000000+ISNUMBER('Dvd Calendar'!$M$2078)*100000000+('Dvd Calendar'!$M$2082='Field Check'!$C$25)*10000000+(N('Dvd Calendar'!$M$2076)&gt;0)*1000000+38*1000+49))</f>
        <v/>
      </c>
      <c r="AZ150" s="41">
        <f>IF(N('Dvd Calendar'!$N$2077)=0,"",IF(('Dvd Calendar'!$N$2077&gt;=MIN(DATE(Summary!$C$12,1,1),Summary!$C$11))*('Dvd Calendar'!$N$2077&lt;=MAX(DATE(Summary!$C$12,12,31),Summary!$C$15))*('Dvd Calendar'!$N$2077&gt;Summary!$C$11)=0,"",'Dvd Calendar'!$N$2077*1000000000+ISNUMBER('Dvd Calendar'!$N$2078)*100000000+('Dvd Calendar'!$N$2082='Field Check'!$C$25)*10000000+(N('Dvd Calendar'!$N$2076)&gt;0)*1000000+38*1000+50))</f>
        <v/>
      </c>
      <c r="BA150" s="41">
        <f>IF(N('Dvd Calendar'!$O$2077)=0,"",IF(('Dvd Calendar'!$O$2077&gt;=MIN(DATE(Summary!$C$12,1,1),Summary!$C$11))*('Dvd Calendar'!$O$2077&lt;=MAX(DATE(Summary!$C$12,12,31),Summary!$C$15))*('Dvd Calendar'!$O$2077&gt;Summary!$C$11)=0,"",'Dvd Calendar'!$O$2077*1000000000+ISNUMBER('Dvd Calendar'!$O$2078)*100000000+('Dvd Calendar'!$O$2082='Field Check'!$C$25)*10000000+(N('Dvd Calendar'!$O$2076)&gt;0)*1000000+38*1000+51))</f>
        <v/>
      </c>
      <c r="BB150" s="41">
        <f>IF(N('Dvd Calendar'!$P$2077)=0,"",IF(('Dvd Calendar'!$P$2077&gt;=MIN(DATE(Summary!$C$12,1,1),Summary!$C$11))*('Dvd Calendar'!$P$2077&lt;=MAX(DATE(Summary!$C$12,12,31),Summary!$C$15))*('Dvd Calendar'!$P$2077&gt;Summary!$C$11)=0,"",'Dvd Calendar'!$P$2077*1000000000+ISNUMBER('Dvd Calendar'!$P$2078)*100000000+('Dvd Calendar'!$P$2082='Field Check'!$C$25)*10000000+(N('Dvd Calendar'!$P$2076)&gt;0)*1000000+38*1000+52))</f>
        <v/>
      </c>
      <c r="BC150" s="41">
        <f>IF(N('Dvd Calendar'!$Q$2077)=0,"",IF(('Dvd Calendar'!$Q$2077&gt;=MIN(DATE(Summary!$C$12,1,1),Summary!$C$11))*('Dvd Calendar'!$Q$2077&lt;=MAX(DATE(Summary!$C$12,12,31),Summary!$C$15))*('Dvd Calendar'!$Q$2077&gt;Summary!$C$11)=0,"",'Dvd Calendar'!$Q$2077*1000000000+ISNUMBER('Dvd Calendar'!$Q$2078)*100000000+('Dvd Calendar'!$Q$2082='Field Check'!$C$25)*10000000+(N('Dvd Calendar'!$Q$2076)&gt;0)*1000000+38*1000+53))</f>
        <v/>
      </c>
      <c r="BD150" s="41">
        <f>IF(N('Dvd Calendar'!$R$2077)=0,"",IF(('Dvd Calendar'!$R$2077&gt;=MIN(DATE(Summary!$C$12,1,1),Summary!$C$11))*('Dvd Calendar'!$R$2077&lt;=MAX(DATE(Summary!$C$12,12,31),Summary!$C$15))*('Dvd Calendar'!$R$2077&gt;Summary!$C$11)=0,"",'Dvd Calendar'!$R$2077*1000000000+ISNUMBER('Dvd Calendar'!$R$2078)*100000000+('Dvd Calendar'!$R$2082='Field Check'!$C$25)*10000000+(N('Dvd Calendar'!$R$2076)&gt;0)*1000000+38*1000+54))</f>
        <v/>
      </c>
      <c r="BE150" s="41">
        <f>IF(N('Dvd Calendar'!$S$2077)=0,"",IF(('Dvd Calendar'!$S$2077&gt;=MIN(DATE(Summary!$C$12,1,1),Summary!$C$11))*('Dvd Calendar'!$S$2077&lt;=MAX(DATE(Summary!$C$12,12,31),Summary!$C$15))*('Dvd Calendar'!$S$2077&gt;Summary!$C$11)=0,"",'Dvd Calendar'!$S$2077*1000000000+ISNUMBER('Dvd Calendar'!$S$2078)*100000000+('Dvd Calendar'!$S$2082='Field Check'!$C$25)*10000000+(N('Dvd Calendar'!$S$2076)&gt;0)*1000000+38*1000+55))</f>
        <v/>
      </c>
      <c r="BF150" s="41">
        <f>IF(N('Dvd Calendar'!$T$2077)=0,"",IF(('Dvd Calendar'!$T$2077&gt;=MIN(DATE(Summary!$C$12,1,1),Summary!$C$11))*('Dvd Calendar'!$T$2077&lt;=MAX(DATE(Summary!$C$12,12,31),Summary!$C$15))*('Dvd Calendar'!$T$2077&gt;Summary!$C$11)=0,"",'Dvd Calendar'!$T$2077*1000000000+ISNUMBER('Dvd Calendar'!$T$2078)*100000000+('Dvd Calendar'!$T$2082='Field Check'!$C$25)*10000000+(N('Dvd Calendar'!$T$2076)&gt;0)*1000000+38*1000+56))</f>
        <v/>
      </c>
      <c r="BG150" s="41">
        <f>IF(N('Dvd Calendar'!$U$2077)=0,"",IF(('Dvd Calendar'!$U$2077&gt;=MIN(DATE(Summary!$C$12,1,1),Summary!$C$11))*('Dvd Calendar'!$U$2077&lt;=MAX(DATE(Summary!$C$12,12,31),Summary!$C$15))*('Dvd Calendar'!$U$2077&gt;Summary!$C$11)=0,"",'Dvd Calendar'!$U$2077*1000000000+ISNUMBER('Dvd Calendar'!$U$2078)*100000000+('Dvd Calendar'!$U$2082='Field Check'!$C$25)*10000000+(N('Dvd Calendar'!$U$2076)&gt;0)*1000000+38*1000+57))</f>
        <v/>
      </c>
      <c r="BH150" s="41">
        <f>IF(N('Dvd Calendar'!$V$2077)=0,"",IF(('Dvd Calendar'!$V$2077&gt;=MIN(DATE(Summary!$C$12,1,1),Summary!$C$11))*('Dvd Calendar'!$V$2077&lt;=MAX(DATE(Summary!$C$12,12,31),Summary!$C$15))*('Dvd Calendar'!$V$2077&gt;Summary!$C$11)=0,"",'Dvd Calendar'!$V$2077*1000000000+ISNUMBER('Dvd Calendar'!$V$2078)*100000000+('Dvd Calendar'!$V$2082='Field Check'!$C$25)*10000000+(N('Dvd Calendar'!$V$2076)&gt;0)*1000000+38*1000+58))</f>
        <v/>
      </c>
      <c r="BI150" s="41">
        <f>IF(N('Dvd Calendar'!$W$2077)=0,"",IF(('Dvd Calendar'!$W$2077&gt;=MIN(DATE(Summary!$C$12,1,1),Summary!$C$11))*('Dvd Calendar'!$W$2077&lt;=MAX(DATE(Summary!$C$12,12,31),Summary!$C$15))*('Dvd Calendar'!$W$2077&gt;Summary!$C$11)=0,"",'Dvd Calendar'!$W$2077*1000000000+ISNUMBER('Dvd Calendar'!$W$2078)*100000000+('Dvd Calendar'!$W$2082='Field Check'!$C$25)*10000000+(N('Dvd Calendar'!$W$2076)&gt;0)*1000000+38*1000+59))</f>
        <v/>
      </c>
      <c r="BJ150" s="41">
        <f>IF(N('Dvd Calendar'!$X$2077)=0,"",IF(('Dvd Calendar'!$X$2077&gt;=MIN(DATE(Summary!$C$12,1,1),Summary!$C$11))*('Dvd Calendar'!$X$2077&lt;=MAX(DATE(Summary!$C$12,12,31),Summary!$C$15))*('Dvd Calendar'!$X$2077&gt;Summary!$C$11)=0,"",'Dvd Calendar'!$X$2077*1000000000+ISNUMBER('Dvd Calendar'!$X$2078)*100000000+('Dvd Calendar'!$X$2082='Field Check'!$C$25)*10000000+(N('Dvd Calendar'!$X$2076)&gt;0)*1000000+38*1000+60))</f>
        <v/>
      </c>
      <c r="BK150" s="41">
        <f>IF(N('Dvd Calendar'!$Y$2077)=0,"",IF(('Dvd Calendar'!$Y$2077&gt;=MIN(DATE(Summary!$C$12,1,1),Summary!$C$11))*('Dvd Calendar'!$Y$2077&lt;=MAX(DATE(Summary!$C$12,12,31),Summary!$C$15))*('Dvd Calendar'!$Y$2077&gt;Summary!$C$11)=0,"",'Dvd Calendar'!$Y$2077*1000000000+ISNUMBER('Dvd Calendar'!$Y$2078)*100000000+('Dvd Calendar'!$Y$2082='Field Check'!$C$25)*10000000+(N('Dvd Calendar'!$Y$2076)&gt;0)*1000000+38*1000+61))</f>
        <v/>
      </c>
      <c r="BL150" s="41">
        <f>IF(N('Dvd Calendar'!$Z$2077)=0,"",IF(('Dvd Calendar'!$Z$2077&gt;=MIN(DATE(Summary!$C$12,1,1),Summary!$C$11))*('Dvd Calendar'!$Z$2077&lt;=MAX(DATE(Summary!$C$12,12,31),Summary!$C$15))*('Dvd Calendar'!$Z$2077&gt;Summary!$C$11)=0,"",'Dvd Calendar'!$Z$2077*1000000000+ISNUMBER('Dvd Calendar'!$Z$2078)*100000000+('Dvd Calendar'!$Z$2082='Field Check'!$C$25)*10000000+(N('Dvd Calendar'!$Z$2076)&gt;0)*1000000+38*1000+62))</f>
        <v/>
      </c>
      <c r="BM150" s="41">
        <f>IF(N('Dvd Calendar'!$AA$2077)=0,"",IF(('Dvd Calendar'!$AA$2077&gt;=MIN(DATE(Summary!$C$12,1,1),Summary!$C$11))*('Dvd Calendar'!$AA$2077&lt;=MAX(DATE(Summary!$C$12,12,31),Summary!$C$15))*('Dvd Calendar'!$AA$2077&gt;Summary!$C$11)=0,"",'Dvd Calendar'!$AA$2077*1000000000+ISNUMBER('Dvd Calendar'!$AA$2078)*100000000+('Dvd Calendar'!$AA$2082='Field Check'!$C$25)*10000000+(N('Dvd Calendar'!$AA$2076)&gt;0)*1000000+38*1000+63))</f>
        <v/>
      </c>
      <c r="BN150" s="41">
        <f>IF(N('Dvd Calendar'!$AB$2077)=0,"",IF(('Dvd Calendar'!$AB$2077&gt;=MIN(DATE(Summary!$C$12,1,1),Summary!$C$11))*('Dvd Calendar'!$AB$2077&lt;=MAX(DATE(Summary!$C$12,12,31),Summary!$C$15))*('Dvd Calendar'!$AB$2077&gt;Summary!$C$11)=0,"",'Dvd Calendar'!$AB$2077*1000000000+ISNUMBER('Dvd Calendar'!$AB$2078)*100000000+('Dvd Calendar'!$AB$2082='Field Check'!$C$25)*10000000+(N('Dvd Calendar'!$AB$2076)&gt;0)*1000000+38*1000+64))</f>
        <v/>
      </c>
      <c r="BO150" s="41">
        <f>IF(N('Dvd Calendar'!$AC$2077)=0,"",IF(('Dvd Calendar'!$AC$2077&gt;=MIN(DATE(Summary!$C$12,1,1),Summary!$C$11))*('Dvd Calendar'!$AC$2077&lt;=MAX(DATE(Summary!$C$12,12,31),Summary!$C$15))*('Dvd Calendar'!$AC$2077&gt;Summary!$C$11)=0,"",'Dvd Calendar'!$AC$2077*1000000000+ISNUMBER('Dvd Calendar'!$AC$2078)*100000000+('Dvd Calendar'!$AC$2082='Field Check'!$C$25)*10000000+(N('Dvd Calendar'!$AC$2076)&gt;0)*1000000+38*1000+65))</f>
        <v/>
      </c>
      <c r="BQ150" s="85">
        <f>IF(C150="","",IF(ISNUMBER('Dvd Calendar'!$E$2071)=FALSE,"",IF((Summary!$C$13="N")*('Dvd Calendar'!$E$2075='Field Check'!$C$25)&gt;0,"",'Dvd Calendar'!$E$2071)))</f>
        <v/>
      </c>
      <c r="BR150" s="85">
        <f>IF(D150="","",IF(ISNUMBER('Dvd Calendar'!$F$2071)=FALSE,"",IF((Summary!$C$13="N")*('Dvd Calendar'!$F$2075='Field Check'!$C$25)&gt;0,"",'Dvd Calendar'!$F$2071)))</f>
        <v/>
      </c>
      <c r="BS150" s="85">
        <f>IF(E150="","",IF(ISNUMBER('Dvd Calendar'!$G$2071)=FALSE,"",IF((Summary!$C$13="N")*('Dvd Calendar'!$G$2075='Field Check'!$C$25)&gt;0,"",'Dvd Calendar'!$G$2071)))</f>
        <v/>
      </c>
      <c r="BT150" s="85">
        <f>IF(F150="","",IF(ISNUMBER('Dvd Calendar'!$H$2071)=FALSE,"",IF((Summary!$C$13="N")*('Dvd Calendar'!$H$2075='Field Check'!$C$25)&gt;0,"",'Dvd Calendar'!$H$2071)))</f>
        <v/>
      </c>
      <c r="BU150" s="85">
        <f>IF(G150="","",IF(ISNUMBER('Dvd Calendar'!$I$2071)=FALSE,"",IF((Summary!$C$13="N")*('Dvd Calendar'!$I$2075='Field Check'!$C$25)&gt;0,"",'Dvd Calendar'!$I$2071)))</f>
        <v/>
      </c>
      <c r="BV150" s="85">
        <f>IF(H150="","",IF(ISNUMBER('Dvd Calendar'!$J$2071)=FALSE,"",IF((Summary!$C$13="N")*('Dvd Calendar'!$J$2075='Field Check'!$C$25)&gt;0,"",'Dvd Calendar'!$J$2071)))</f>
        <v/>
      </c>
      <c r="BW150" s="85">
        <f>IF(I150="","",IF(ISNUMBER('Dvd Calendar'!$K$2071)=FALSE,"",IF((Summary!$C$13="N")*('Dvd Calendar'!$K$2075='Field Check'!$C$25)&gt;0,"",'Dvd Calendar'!$K$2071)))</f>
        <v/>
      </c>
      <c r="BX150" s="85">
        <f>IF(J150="","",IF(ISNUMBER('Dvd Calendar'!$L$2071)=FALSE,"",IF((Summary!$C$13="N")*('Dvd Calendar'!$L$2075='Field Check'!$C$25)&gt;0,"",'Dvd Calendar'!$L$2071)))</f>
        <v/>
      </c>
      <c r="BY150" s="85">
        <f>IF(K150="","",IF(ISNUMBER('Dvd Calendar'!$M$2071)=FALSE,"",IF((Summary!$C$13="N")*('Dvd Calendar'!$M$2075='Field Check'!$C$25)&gt;0,"",'Dvd Calendar'!$M$2071)))</f>
        <v/>
      </c>
      <c r="BZ150" s="85">
        <f>IF(L150="","",IF(ISNUMBER('Dvd Calendar'!$N$2071)=FALSE,"",IF((Summary!$C$13="N")*('Dvd Calendar'!$N$2075='Field Check'!$C$25)&gt;0,"",'Dvd Calendar'!$N$2071)))</f>
        <v/>
      </c>
      <c r="CA150" s="85">
        <f>IF(M150="","",IF(ISNUMBER('Dvd Calendar'!$O$2071)=FALSE,"",IF((Summary!$C$13="N")*('Dvd Calendar'!$O$2075='Field Check'!$C$25)&gt;0,"",'Dvd Calendar'!$O$2071)))</f>
        <v/>
      </c>
      <c r="CB150" s="85">
        <f>IF(N150="","",IF(ISNUMBER('Dvd Calendar'!$P$2071)=FALSE,"",IF((Summary!$C$13="N")*('Dvd Calendar'!$P$2075='Field Check'!$C$25)&gt;0,"",'Dvd Calendar'!$P$2071)))</f>
        <v/>
      </c>
      <c r="CC150" s="85">
        <f>IF(O150="","",IF(ISNUMBER('Dvd Calendar'!$Q$2071)=FALSE,"",IF((Summary!$C$13="N")*('Dvd Calendar'!$Q$2075='Field Check'!$C$25)&gt;0,"",'Dvd Calendar'!$Q$2071)))</f>
        <v/>
      </c>
      <c r="CD150" s="85">
        <f>IF(P150="","",IF(ISNUMBER('Dvd Calendar'!$R$2071)=FALSE,"",IF((Summary!$C$13="N")*('Dvd Calendar'!$R$2075='Field Check'!$C$25)&gt;0,"",'Dvd Calendar'!$R$2071)))</f>
        <v/>
      </c>
      <c r="CE150" s="85">
        <f>IF(Q150="","",IF(ISNUMBER('Dvd Calendar'!$S$2071)=FALSE,"",IF((Summary!$C$13="N")*('Dvd Calendar'!$S$2075='Field Check'!$C$25)&gt;0,"",'Dvd Calendar'!$S$2071)))</f>
        <v/>
      </c>
      <c r="CF150" s="85">
        <f>IF(R150="","",IF(ISNUMBER('Dvd Calendar'!$T$2071)=FALSE,"",IF((Summary!$C$13="N")*('Dvd Calendar'!$T$2075='Field Check'!$C$25)&gt;0,"",'Dvd Calendar'!$T$2071)))</f>
        <v/>
      </c>
      <c r="CG150" s="85">
        <f>IF(S150="","",IF(ISNUMBER('Dvd Calendar'!$U$2071)=FALSE,"",IF((Summary!$C$13="N")*('Dvd Calendar'!$U$2075='Field Check'!$C$25)&gt;0,"",'Dvd Calendar'!$U$2071)))</f>
        <v/>
      </c>
      <c r="CH150" s="85">
        <f>IF(T150="","",IF(ISNUMBER('Dvd Calendar'!$V$2071)=FALSE,"",IF((Summary!$C$13="N")*('Dvd Calendar'!$V$2075='Field Check'!$C$25)&gt;0,"",'Dvd Calendar'!$V$2071)))</f>
        <v/>
      </c>
      <c r="CI150" s="85">
        <f>IF(U150="","",IF(ISNUMBER('Dvd Calendar'!$W$2071)=FALSE,"",IF((Summary!$C$13="N")*('Dvd Calendar'!$W$2075='Field Check'!$C$25)&gt;0,"",'Dvd Calendar'!$W$2071)))</f>
        <v/>
      </c>
      <c r="CJ150" s="85">
        <f>IF(V150="","",IF(ISNUMBER('Dvd Calendar'!$X$2071)=FALSE,"",IF((Summary!$C$13="N")*('Dvd Calendar'!$X$2075='Field Check'!$C$25)&gt;0,"",'Dvd Calendar'!$X$2071)))</f>
        <v/>
      </c>
      <c r="CK150" s="85">
        <f>IF(W150="","",IF(ISNUMBER('Dvd Calendar'!$Y$2071)=FALSE,"",IF((Summary!$C$13="N")*('Dvd Calendar'!$Y$2075='Field Check'!$C$25)&gt;0,"",'Dvd Calendar'!$Y$2071)))</f>
        <v/>
      </c>
      <c r="CL150" s="85">
        <f>IF(X150="","",IF(ISNUMBER('Dvd Calendar'!$Z$2071)=FALSE,"",IF((Summary!$C$13="N")*('Dvd Calendar'!$Z$2075='Field Check'!$C$25)&gt;0,"",'Dvd Calendar'!$Z$2071)))</f>
        <v/>
      </c>
      <c r="CM150" s="85">
        <f>IF(Y150="","",IF(ISNUMBER('Dvd Calendar'!$AA$2071)=FALSE,"",IF((Summary!$C$13="N")*('Dvd Calendar'!$AA$2075='Field Check'!$C$25)&gt;0,"",'Dvd Calendar'!$AA$2071)))</f>
        <v/>
      </c>
      <c r="CN150" s="85">
        <f>IF(Z150="","",IF(ISNUMBER('Dvd Calendar'!$AB$2071)=FALSE,"",IF((Summary!$C$13="N")*('Dvd Calendar'!$AB$2075='Field Check'!$C$25)&gt;0,"",'Dvd Calendar'!$AB$2071)))</f>
        <v/>
      </c>
      <c r="CO150" s="85">
        <f>IF(AA150="","",IF(ISNUMBER('Dvd Calendar'!$AC$2071)=FALSE,"",IF((Summary!$C$13="N")*('Dvd Calendar'!$AC$2075='Field Check'!$C$25)&gt;0,"",'Dvd Calendar'!$AC$2071)))</f>
        <v/>
      </c>
      <c r="CP150" s="85">
        <f>IF(AB150="","",IF(ISNUMBER('Dvd Calendar'!$AD$2071)=FALSE,"",IF((Summary!$C$13="N")*('Dvd Calendar'!$AD$2075='Field Check'!$C$25)&gt;0,"",'Dvd Calendar'!$AD$2071)))</f>
        <v/>
      </c>
      <c r="CQ150" s="85">
        <f>IF(AC150="","",IF(ISNUMBER('Dvd Calendar'!$AE$2071)=FALSE,"",IF((Summary!$C$13="N")*('Dvd Calendar'!$AE$2075='Field Check'!$C$25)&gt;0,"",'Dvd Calendar'!$AE$2071)))</f>
        <v/>
      </c>
      <c r="CR150" s="85">
        <f>IF(AD150="","",IF(ISNUMBER('Dvd Calendar'!$AF$2071)=FALSE,"",IF((Summary!$C$13="N")*('Dvd Calendar'!$AF$2075='Field Check'!$C$25)&gt;0,"",'Dvd Calendar'!$AF$2071)))</f>
        <v/>
      </c>
      <c r="CS150" s="85">
        <f>IF(AE150="","",IF(ISNUMBER('Dvd Calendar'!$AG$2071)=FALSE,"",IF((Summary!$C$13="N")*('Dvd Calendar'!$AG$2075='Field Check'!$C$25)&gt;0,"",'Dvd Calendar'!$AG$2071)))</f>
        <v/>
      </c>
      <c r="CT150" s="85">
        <f>IF(AF150="","",IF(ISNUMBER('Dvd Calendar'!$AH$2071)=FALSE,"",IF((Summary!$C$13="N")*('Dvd Calendar'!$AH$2075='Field Check'!$C$25)&gt;0,"",'Dvd Calendar'!$AH$2071)))</f>
        <v/>
      </c>
      <c r="CU150" s="85">
        <f>IF(AG150="","",IF(ISNUMBER('Dvd Calendar'!$AI$2071)=FALSE,"",IF((Summary!$C$13="N")*('Dvd Calendar'!$AI$2075='Field Check'!$C$25)&gt;0,"",'Dvd Calendar'!$AI$2071)))</f>
        <v/>
      </c>
      <c r="CV150" s="85">
        <f>IF(AH150="","",IF(ISNUMBER('Dvd Calendar'!$AJ$2071)=FALSE,"",IF((Summary!$C$13="N")*('Dvd Calendar'!$AJ$2075='Field Check'!$C$25)&gt;0,"",'Dvd Calendar'!$AJ$2071)))</f>
        <v/>
      </c>
      <c r="CW150" s="85">
        <f>IF(AI150="","",IF(ISNUMBER('Dvd Calendar'!$AK$2071)=FALSE,"",IF((Summary!$C$13="N")*('Dvd Calendar'!$AK$2075='Field Check'!$C$25)&gt;0,"",'Dvd Calendar'!$AK$2071)))</f>
        <v/>
      </c>
      <c r="CX150" s="85">
        <f>IF(AJ150="","",IF(ISNUMBER('Dvd Calendar'!$AL$2071)=FALSE,"",IF((Summary!$C$13="N")*('Dvd Calendar'!$AL$2075='Field Check'!$C$25)&gt;0,"",'Dvd Calendar'!$AL$2071)))</f>
        <v/>
      </c>
      <c r="CY150" s="85">
        <f>IF(AK150="","",IF(ISNUMBER('Dvd Calendar'!$AM$2071)=FALSE,"",IF((Summary!$C$13="N")*('Dvd Calendar'!$AM$2075='Field Check'!$C$25)&gt;0,"",'Dvd Calendar'!$AM$2071)))</f>
        <v/>
      </c>
      <c r="CZ150" s="85">
        <f>IF(AL150="","",IF(ISNUMBER('Dvd Calendar'!$AN$2071)=FALSE,"",IF((Summary!$C$13="N")*('Dvd Calendar'!$AN$2075='Field Check'!$C$25)&gt;0,"",'Dvd Calendar'!$AN$2071)))</f>
        <v/>
      </c>
      <c r="DA150" s="85">
        <f>IF(AM150="","",IF(ISNUMBER('Dvd Calendar'!$AO$2071)=FALSE,"",IF((Summary!$C$13="N")*('Dvd Calendar'!$AO$2075='Field Check'!$C$25)&gt;0,"",'Dvd Calendar'!$AO$2071)))</f>
        <v/>
      </c>
      <c r="DB150" s="85">
        <f>IF(AN150="","",IF(ISNUMBER('Dvd Calendar'!$AP$2071)=FALSE,"",IF((Summary!$C$13="N")*('Dvd Calendar'!$AP$2075='Field Check'!$C$25)&gt;0,"",'Dvd Calendar'!$AP$2071)))</f>
        <v/>
      </c>
      <c r="DC150" s="85">
        <f>IF(AO150="","",IF(ISNUMBER('Dvd Calendar'!$AQ$2071)=FALSE,"",IF((Summary!$C$13="N")*('Dvd Calendar'!$AQ$2075='Field Check'!$C$25)&gt;0,"",'Dvd Calendar'!$AQ$2071)))</f>
        <v/>
      </c>
      <c r="DD150" s="85">
        <f>IF(AP150="","",IF(ISNUMBER('Dvd Calendar'!$AR$2071)=FALSE,"",IF((Summary!$C$13="N")*('Dvd Calendar'!$AR$2075='Field Check'!$C$25)&gt;0,"",'Dvd Calendar'!$AR$2071)))</f>
        <v/>
      </c>
      <c r="DE150" s="85">
        <f>IF(AQ150="","",IF(ISNUMBER('Dvd Calendar'!$E$2078)=FALSE,"",IF((Summary!$C$13="N")*('Dvd Calendar'!$E$2082='Field Check'!$C$25)&gt;0,"",'Dvd Calendar'!$E$2078)))</f>
        <v/>
      </c>
      <c r="DF150" s="85">
        <f>IF(AR150="","",IF(ISNUMBER('Dvd Calendar'!$F$2078)=FALSE,"",IF((Summary!$C$13="N")*('Dvd Calendar'!$F$2082='Field Check'!$C$25)&gt;0,"",'Dvd Calendar'!$F$2078)))</f>
        <v/>
      </c>
      <c r="DG150" s="85">
        <f>IF(AS150="","",IF(ISNUMBER('Dvd Calendar'!$G$2078)=FALSE,"",IF((Summary!$C$13="N")*('Dvd Calendar'!$G$2082='Field Check'!$C$25)&gt;0,"",'Dvd Calendar'!$G$2078)))</f>
        <v/>
      </c>
      <c r="DH150" s="85">
        <f>IF(AT150="","",IF(ISNUMBER('Dvd Calendar'!$H$2078)=FALSE,"",IF((Summary!$C$13="N")*('Dvd Calendar'!$H$2082='Field Check'!$C$25)&gt;0,"",'Dvd Calendar'!$H$2078)))</f>
        <v/>
      </c>
      <c r="DI150" s="85">
        <f>IF(AU150="","",IF(ISNUMBER('Dvd Calendar'!$I$2078)=FALSE,"",IF((Summary!$C$13="N")*('Dvd Calendar'!$I$2082='Field Check'!$C$25)&gt;0,"",'Dvd Calendar'!$I$2078)))</f>
        <v/>
      </c>
      <c r="DJ150" s="85">
        <f>IF(AV150="","",IF(ISNUMBER('Dvd Calendar'!$J$2078)=FALSE,"",IF((Summary!$C$13="N")*('Dvd Calendar'!$J$2082='Field Check'!$C$25)&gt;0,"",'Dvd Calendar'!$J$2078)))</f>
        <v/>
      </c>
      <c r="DK150" s="85">
        <f>IF(AW150="","",IF(ISNUMBER('Dvd Calendar'!$K$2078)=FALSE,"",IF((Summary!$C$13="N")*('Dvd Calendar'!$K$2082='Field Check'!$C$25)&gt;0,"",'Dvd Calendar'!$K$2078)))</f>
        <v/>
      </c>
      <c r="DL150" s="85">
        <f>IF(AX150="","",IF(ISNUMBER('Dvd Calendar'!$L$2078)=FALSE,"",IF((Summary!$C$13="N")*('Dvd Calendar'!$L$2082='Field Check'!$C$25)&gt;0,"",'Dvd Calendar'!$L$2078)))</f>
        <v/>
      </c>
      <c r="DM150" s="85">
        <f>IF(AY150="","",IF(ISNUMBER('Dvd Calendar'!$M$2078)=FALSE,"",IF((Summary!$C$13="N")*('Dvd Calendar'!$M$2082='Field Check'!$C$25)&gt;0,"",'Dvd Calendar'!$M$2078)))</f>
        <v/>
      </c>
      <c r="DN150" s="85">
        <f>IF(AZ150="","",IF(ISNUMBER('Dvd Calendar'!$N$2078)=FALSE,"",IF((Summary!$C$13="N")*('Dvd Calendar'!$N$2082='Field Check'!$C$25)&gt;0,"",'Dvd Calendar'!$N$2078)))</f>
        <v/>
      </c>
      <c r="DO150" s="85">
        <f>IF(BA150="","",IF(ISNUMBER('Dvd Calendar'!$O$2078)=FALSE,"",IF((Summary!$C$13="N")*('Dvd Calendar'!$O$2082='Field Check'!$C$25)&gt;0,"",'Dvd Calendar'!$O$2078)))</f>
        <v/>
      </c>
      <c r="DP150" s="85">
        <f>IF(BB150="","",IF(ISNUMBER('Dvd Calendar'!$P$2078)=FALSE,"",IF((Summary!$C$13="N")*('Dvd Calendar'!$P$2082='Field Check'!$C$25)&gt;0,"",'Dvd Calendar'!$P$2078)))</f>
        <v/>
      </c>
      <c r="DQ150" s="85">
        <f>IF(BC150="","",IF(ISNUMBER('Dvd Calendar'!$Q$2078)=FALSE,"",IF((Summary!$C$13="N")*('Dvd Calendar'!$Q$2082='Field Check'!$C$25)&gt;0,"",'Dvd Calendar'!$Q$2078)))</f>
        <v/>
      </c>
      <c r="DR150" s="85">
        <f>IF(BD150="","",IF(ISNUMBER('Dvd Calendar'!$R$2078)=FALSE,"",IF((Summary!$C$13="N")*('Dvd Calendar'!$R$2082='Field Check'!$C$25)&gt;0,"",'Dvd Calendar'!$R$2078)))</f>
        <v/>
      </c>
      <c r="DS150" s="85">
        <f>IF(BE150="","",IF(ISNUMBER('Dvd Calendar'!$S$2078)=FALSE,"",IF((Summary!$C$13="N")*('Dvd Calendar'!$S$2082='Field Check'!$C$25)&gt;0,"",'Dvd Calendar'!$S$2078)))</f>
        <v/>
      </c>
      <c r="DT150" s="85">
        <f>IF(BF150="","",IF(ISNUMBER('Dvd Calendar'!$T$2078)=FALSE,"",IF((Summary!$C$13="N")*('Dvd Calendar'!$T$2082='Field Check'!$C$25)&gt;0,"",'Dvd Calendar'!$T$2078)))</f>
        <v/>
      </c>
      <c r="DU150" s="85">
        <f>IF(BG150="","",IF(ISNUMBER('Dvd Calendar'!$U$2078)=FALSE,"",IF((Summary!$C$13="N")*('Dvd Calendar'!$U$2082='Field Check'!$C$25)&gt;0,"",'Dvd Calendar'!$U$2078)))</f>
        <v/>
      </c>
      <c r="DV150" s="85">
        <f>IF(BH150="","",IF(ISNUMBER('Dvd Calendar'!$V$2078)=FALSE,"",IF((Summary!$C$13="N")*('Dvd Calendar'!$V$2082='Field Check'!$C$25)&gt;0,"",'Dvd Calendar'!$V$2078)))</f>
        <v/>
      </c>
      <c r="DW150" s="85">
        <f>IF(BI150="","",IF(ISNUMBER('Dvd Calendar'!$W$2078)=FALSE,"",IF((Summary!$C$13="N")*('Dvd Calendar'!$W$2082='Field Check'!$C$25)&gt;0,"",'Dvd Calendar'!$W$2078)))</f>
        <v/>
      </c>
      <c r="DX150" s="85">
        <f>IF(BJ150="","",IF(ISNUMBER('Dvd Calendar'!$X$2078)=FALSE,"",IF((Summary!$C$13="N")*('Dvd Calendar'!$X$2082='Field Check'!$C$25)&gt;0,"",'Dvd Calendar'!$X$2078)))</f>
        <v/>
      </c>
      <c r="DY150" s="85">
        <f>IF(BK150="","",IF(ISNUMBER('Dvd Calendar'!$Y$2078)=FALSE,"",IF((Summary!$C$13="N")*('Dvd Calendar'!$Y$2082='Field Check'!$C$25)&gt;0,"",'Dvd Calendar'!$Y$2078)))</f>
        <v/>
      </c>
      <c r="DZ150" s="85">
        <f>IF(BL150="","",IF(ISNUMBER('Dvd Calendar'!$Z$2078)=FALSE,"",IF((Summary!$C$13="N")*('Dvd Calendar'!$Z$2082='Field Check'!$C$25)&gt;0,"",'Dvd Calendar'!$Z$2078)))</f>
        <v/>
      </c>
      <c r="EA150" s="85">
        <f>IF(BM150="","",IF(ISNUMBER('Dvd Calendar'!$AA$2078)=FALSE,"",IF((Summary!$C$13="N")*('Dvd Calendar'!$AA$2082='Field Check'!$C$25)&gt;0,"",'Dvd Calendar'!$AA$2078)))</f>
        <v/>
      </c>
      <c r="EB150" s="85">
        <f>IF(BN150="","",IF(ISNUMBER('Dvd Calendar'!$AB$2078)=FALSE,"",IF((Summary!$C$13="N")*('Dvd Calendar'!$AB$2082='Field Check'!$C$25)&gt;0,"",'Dvd Calendar'!$AB$2078)))</f>
        <v/>
      </c>
      <c r="EC150" s="85">
        <f>IF(BO150="","",IF(ISNUMBER('Dvd Calendar'!$AC$2078)=FALSE,"",IF((Summary!$C$13="N")*('Dvd Calendar'!$AC$2082='Field Check'!$C$25)&gt;0,"",'Dvd Calendar'!$AC$2078)))</f>
        <v/>
      </c>
      <c r="EE150" s="85">
        <f>IF(BQ150="","",IFERROR(BQ150*HSTECH!$B$44*HSTECH!$G$44/HSTECH!$B$3,""))</f>
        <v/>
      </c>
      <c r="EF150" s="85">
        <f>IF(BR150="","",IFERROR(BR150*HSTECH!$B$44*HSTECH!$G$44/HSTECH!$B$3,""))</f>
        <v/>
      </c>
      <c r="EG150" s="85">
        <f>IF(BS150="","",IFERROR(BS150*HSTECH!$B$44*HSTECH!$G$44/HSTECH!$B$3,""))</f>
        <v/>
      </c>
      <c r="EH150" s="85">
        <f>IF(BT150="","",IFERROR(BT150*HSTECH!$B$44*HSTECH!$G$44/HSTECH!$B$3,""))</f>
        <v/>
      </c>
      <c r="EI150" s="85">
        <f>IF(BU150="","",IFERROR(BU150*HSTECH!$B$44*HSTECH!$G$44/HSTECH!$B$3,""))</f>
        <v/>
      </c>
      <c r="EJ150" s="85">
        <f>IF(BV150="","",IFERROR(BV150*HSTECH!$B$44*HSTECH!$G$44/HSTECH!$B$3,""))</f>
        <v/>
      </c>
      <c r="EK150" s="85">
        <f>IF(BW150="","",IFERROR(BW150*HSTECH!$B$44*HSTECH!$G$44/HSTECH!$B$3,""))</f>
        <v/>
      </c>
      <c r="EL150" s="85">
        <f>IF(BX150="","",IFERROR(BX150*HSTECH!$B$44*HSTECH!$G$44/HSTECH!$B$3,""))</f>
        <v/>
      </c>
      <c r="EM150" s="85">
        <f>IF(BY150="","",IFERROR(BY150*HSTECH!$B$44*HSTECH!$G$44/HSTECH!$B$3,""))</f>
        <v/>
      </c>
      <c r="EN150" s="85">
        <f>IF(BZ150="","",IFERROR(BZ150*HSTECH!$B$44*HSTECH!$G$44/HSTECH!$B$3,""))</f>
        <v/>
      </c>
      <c r="EO150" s="85">
        <f>IF(CA150="","",IFERROR(CA150*HSTECH!$B$44*HSTECH!$G$44/HSTECH!$B$3,""))</f>
        <v/>
      </c>
      <c r="EP150" s="85">
        <f>IF(CB150="","",IFERROR(CB150*HSTECH!$B$44*HSTECH!$G$44/HSTECH!$B$3,""))</f>
        <v/>
      </c>
      <c r="EQ150" s="85">
        <f>IF(CC150="","",IFERROR(CC150*HSTECH!$B$44*HSTECH!$G$44/HSTECH!$B$3,""))</f>
        <v/>
      </c>
      <c r="ER150" s="85">
        <f>IF(CD150="","",IFERROR(CD150*HSTECH!$B$44*HSTECH!$G$44/HSTECH!$B$3,""))</f>
        <v/>
      </c>
      <c r="ES150" s="85">
        <f>IF(CE150="","",IFERROR(CE150*HSTECH!$B$44*HSTECH!$G$44/HSTECH!$B$3,""))</f>
        <v/>
      </c>
      <c r="ET150" s="85">
        <f>IF(CF150="","",IFERROR(CF150*HSTECH!$B$44*HSTECH!$G$44/HSTECH!$B$3,""))</f>
        <v/>
      </c>
      <c r="EU150" s="85">
        <f>IF(CG150="","",IFERROR(CG150*HSTECH!$B$44*HSTECH!$G$44/HSTECH!$B$3,""))</f>
        <v/>
      </c>
      <c r="EV150" s="85">
        <f>IF(CH150="","",IFERROR(CH150*HSTECH!$B$44*HSTECH!$G$44/HSTECH!$B$3,""))</f>
        <v/>
      </c>
      <c r="EW150" s="85">
        <f>IF(CI150="","",IFERROR(CI150*HSTECH!$B$44*HSTECH!$G$44/HSTECH!$B$3,""))</f>
        <v/>
      </c>
      <c r="EX150" s="85">
        <f>IF(CJ150="","",IFERROR(CJ150*HSTECH!$B$44*HSTECH!$G$44/HSTECH!$B$3,""))</f>
        <v/>
      </c>
      <c r="EY150" s="85">
        <f>IF(CK150="","",IFERROR(CK150*HSTECH!$B$44*HSTECH!$G$44/HSTECH!$B$3,""))</f>
        <v/>
      </c>
      <c r="EZ150" s="85">
        <f>IF(CL150="","",IFERROR(CL150*HSTECH!$B$44*HSTECH!$G$44/HSTECH!$B$3,""))</f>
        <v/>
      </c>
      <c r="FA150" s="85">
        <f>IF(CM150="","",IFERROR(CM150*HSTECH!$B$44*HSTECH!$G$44/HSTECH!$B$3,""))</f>
        <v/>
      </c>
      <c r="FB150" s="85">
        <f>IF(CN150="","",IFERROR(CN150*HSTECH!$B$44*HSTECH!$G$44/HSTECH!$B$3,""))</f>
        <v/>
      </c>
      <c r="FC150" s="85">
        <f>IF(CO150="","",IFERROR(CO150*HSTECH!$B$44*HSTECH!$G$44/HSTECH!$B$3,""))</f>
        <v/>
      </c>
      <c r="FD150" s="85">
        <f>IF(CP150="","",IFERROR(CP150*HSTECH!$B$44*HSTECH!$G$44/HSTECH!$B$3,""))</f>
        <v/>
      </c>
      <c r="FE150" s="85">
        <f>IF(CQ150="","",IFERROR(CQ150*HSTECH!$B$44*HSTECH!$G$44/HSTECH!$B$3,""))</f>
        <v/>
      </c>
      <c r="FF150" s="85">
        <f>IF(CR150="","",IFERROR(CR150*HSTECH!$B$44*HSTECH!$G$44/HSTECH!$B$3,""))</f>
        <v/>
      </c>
      <c r="FG150" s="85">
        <f>IF(CS150="","",IFERROR(CS150*HSTECH!$B$44*HSTECH!$G$44/HSTECH!$B$3,""))</f>
        <v/>
      </c>
      <c r="FH150" s="85">
        <f>IF(CT150="","",IFERROR(CT150*HSTECH!$B$44*HSTECH!$G$44/HSTECH!$B$3,""))</f>
        <v/>
      </c>
      <c r="FI150" s="85">
        <f>IF(CU150="","",IFERROR(CU150*HSTECH!$B$44*HSTECH!$G$44/HSTECH!$B$3,""))</f>
        <v/>
      </c>
      <c r="FJ150" s="85">
        <f>IF(CV150="","",IFERROR(CV150*HSTECH!$B$44*HSTECH!$G$44/HSTECH!$B$3,""))</f>
        <v/>
      </c>
      <c r="FK150" s="85">
        <f>IF(CW150="","",IFERROR(CW150*HSTECH!$B$44*HSTECH!$G$44/HSTECH!$B$3,""))</f>
        <v/>
      </c>
      <c r="FL150" s="85">
        <f>IF(CX150="","",IFERROR(CX150*HSTECH!$B$44*HSTECH!$G$44/HSTECH!$B$3,""))</f>
        <v/>
      </c>
      <c r="FM150" s="85">
        <f>IF(CY150="","",IFERROR(CY150*HSTECH!$B$44*HSTECH!$G$44/HSTECH!$B$3,""))</f>
        <v/>
      </c>
      <c r="FN150" s="85">
        <f>IF(CZ150="","",IFERROR(CZ150*HSTECH!$B$44*HSTECH!$G$44/HSTECH!$B$3,""))</f>
        <v/>
      </c>
      <c r="FO150" s="85">
        <f>IF(DA150="","",IFERROR(DA150*HSTECH!$B$44*HSTECH!$G$44/HSTECH!$B$3,""))</f>
        <v/>
      </c>
      <c r="FP150" s="85">
        <f>IF(DB150="","",IFERROR(DB150*HSTECH!$B$44*HSTECH!$G$44/HSTECH!$B$3,""))</f>
        <v/>
      </c>
      <c r="FQ150" s="85">
        <f>IF(DC150="","",IFERROR(DC150*HSTECH!$B$44*HSTECH!$G$44/HSTECH!$B$3,""))</f>
        <v/>
      </c>
      <c r="FR150" s="85">
        <f>IF(DD150="","",IFERROR(DD150*HSTECH!$B$44*HSTECH!$G$44/HSTECH!$B$3,""))</f>
        <v/>
      </c>
      <c r="FS150" s="85">
        <f>IF(DE150="","",IFERROR(DE150*HSTECH!$B$44*HSTECH!$G$44/HSTECH!$B$3,""))</f>
        <v/>
      </c>
      <c r="FT150" s="85">
        <f>IF(DF150="","",IFERROR(DF150*HSTECH!$B$44*HSTECH!$G$44/HSTECH!$B$3,""))</f>
        <v/>
      </c>
      <c r="FU150" s="85">
        <f>IF(DG150="","",IFERROR(DG150*HSTECH!$B$44*HSTECH!$G$44/HSTECH!$B$3,""))</f>
        <v/>
      </c>
      <c r="FV150" s="85">
        <f>IF(DH150="","",IFERROR(DH150*HSTECH!$B$44*HSTECH!$G$44/HSTECH!$B$3,""))</f>
        <v/>
      </c>
      <c r="FW150" s="85">
        <f>IF(DI150="","",IFERROR(DI150*HSTECH!$B$44*HSTECH!$G$44/HSTECH!$B$3,""))</f>
        <v/>
      </c>
      <c r="FX150" s="85">
        <f>IF(DJ150="","",IFERROR(DJ150*HSTECH!$B$44*HSTECH!$G$44/HSTECH!$B$3,""))</f>
        <v/>
      </c>
      <c r="FY150" s="85">
        <f>IF(DK150="","",IFERROR(DK150*HSTECH!$B$44*HSTECH!$G$44/HSTECH!$B$3,""))</f>
        <v/>
      </c>
      <c r="FZ150" s="85">
        <f>IF(DL150="","",IFERROR(DL150*HSTECH!$B$44*HSTECH!$G$44/HSTECH!$B$3,""))</f>
        <v/>
      </c>
      <c r="GA150" s="85">
        <f>IF(DM150="","",IFERROR(DM150*HSTECH!$B$44*HSTECH!$G$44/HSTECH!$B$3,""))</f>
        <v/>
      </c>
      <c r="GB150" s="85">
        <f>IF(DN150="","",IFERROR(DN150*HSTECH!$B$44*HSTECH!$G$44/HSTECH!$B$3,""))</f>
        <v/>
      </c>
      <c r="GC150" s="85">
        <f>IF(DO150="","",IFERROR(DO150*HSTECH!$B$44*HSTECH!$G$44/HSTECH!$B$3,""))</f>
        <v/>
      </c>
      <c r="GD150" s="85">
        <f>IF(DP150="","",IFERROR(DP150*HSTECH!$B$44*HSTECH!$G$44/HSTECH!$B$3,""))</f>
        <v/>
      </c>
      <c r="GE150" s="85">
        <f>IF(DQ150="","",IFERROR(DQ150*HSTECH!$B$44*HSTECH!$G$44/HSTECH!$B$3,""))</f>
        <v/>
      </c>
      <c r="GF150" s="85">
        <f>IF(DR150="","",IFERROR(DR150*HSTECH!$B$44*HSTECH!$G$44/HSTECH!$B$3,""))</f>
        <v/>
      </c>
      <c r="GG150" s="85">
        <f>IF(DS150="","",IFERROR(DS150*HSTECH!$B$44*HSTECH!$G$44/HSTECH!$B$3,""))</f>
        <v/>
      </c>
      <c r="GH150" s="85">
        <f>IF(DT150="","",IFERROR(DT150*HSTECH!$B$44*HSTECH!$G$44/HSTECH!$B$3,""))</f>
        <v/>
      </c>
      <c r="GI150" s="85">
        <f>IF(DU150="","",IFERROR(DU150*HSTECH!$B$44*HSTECH!$G$44/HSTECH!$B$3,""))</f>
        <v/>
      </c>
      <c r="GJ150" s="85">
        <f>IF(DV150="","",IFERROR(DV150*HSTECH!$B$44*HSTECH!$G$44/HSTECH!$B$3,""))</f>
        <v/>
      </c>
      <c r="GK150" s="85">
        <f>IF(DW150="","",IFERROR(DW150*HSTECH!$B$44*HSTECH!$G$44/HSTECH!$B$3,""))</f>
        <v/>
      </c>
      <c r="GL150" s="85">
        <f>IF(DX150="","",IFERROR(DX150*HSTECH!$B$44*HSTECH!$G$44/HSTECH!$B$3,""))</f>
        <v/>
      </c>
      <c r="GM150" s="85">
        <f>IF(DY150="","",IFERROR(DY150*HSTECH!$B$44*HSTECH!$G$44/HSTECH!$B$3,""))</f>
        <v/>
      </c>
      <c r="GN150" s="85">
        <f>IF(DZ150="","",IFERROR(DZ150*HSTECH!$B$44*HSTECH!$G$44/HSTECH!$B$3,""))</f>
        <v/>
      </c>
      <c r="GO150" s="85">
        <f>IF(EA150="","",IFERROR(EA150*HSTECH!$B$44*HSTECH!$G$44/HSTECH!$B$3,""))</f>
        <v/>
      </c>
      <c r="GP150" s="85">
        <f>IF(EB150="","",IFERROR(EB150*HSTECH!$B$44*HSTECH!$G$44/HSTECH!$B$3,""))</f>
        <v/>
      </c>
      <c r="GQ150" s="85">
        <f>IF(EC150="","",IFERROR(EC150*HSTECH!$B$44*HSTECH!$G$44/HSTECH!$B$3,""))</f>
        <v/>
      </c>
    </row>
    <row r="151">
      <c r="B151" s="2">
        <f>IF(HSTECH!$C$45="","",HSTECH!$C$45)</f>
        <v/>
      </c>
      <c r="C151" s="41">
        <f>IF(N('Dvd Calendar'!$E$2085)=0,"",IF(('Dvd Calendar'!$E$2085&gt;=MIN(DATE(Summary!$C$12,1,1),Summary!$C$11))*('Dvd Calendar'!$E$2085&lt;=MAX(DATE(Summary!$C$12,12,31),Summary!$C$15))*('Dvd Calendar'!$E$2085&lt;=Summary!$C$11)=0,"",'Dvd Calendar'!$E$2085*1000000000+ISNUMBER('Dvd Calendar'!$E$2086)*100000000+('Dvd Calendar'!$E$2090='Field Check'!$C$25)*10000000+(N('Dvd Calendar'!$E$2084)&gt;0)*1000000+39*1000+1))</f>
        <v/>
      </c>
      <c r="D151" s="41">
        <f>IF(N('Dvd Calendar'!$F$2085)=0,"",IF(('Dvd Calendar'!$F$2085&gt;=MIN(DATE(Summary!$C$12,1,1),Summary!$C$11))*('Dvd Calendar'!$F$2085&lt;=MAX(DATE(Summary!$C$12,12,31),Summary!$C$15))*('Dvd Calendar'!$F$2085&lt;=Summary!$C$11)=0,"",'Dvd Calendar'!$F$2085*1000000000+ISNUMBER('Dvd Calendar'!$F$2086)*100000000+('Dvd Calendar'!$F$2090='Field Check'!$C$25)*10000000+(N('Dvd Calendar'!$F$2084)&gt;0)*1000000+39*1000+2))</f>
        <v/>
      </c>
      <c r="E151" s="41">
        <f>IF(N('Dvd Calendar'!$G$2085)=0,"",IF(('Dvd Calendar'!$G$2085&gt;=MIN(DATE(Summary!$C$12,1,1),Summary!$C$11))*('Dvd Calendar'!$G$2085&lt;=MAX(DATE(Summary!$C$12,12,31),Summary!$C$15))*('Dvd Calendar'!$G$2085&lt;=Summary!$C$11)=0,"",'Dvd Calendar'!$G$2085*1000000000+ISNUMBER('Dvd Calendar'!$G$2086)*100000000+('Dvd Calendar'!$G$2090='Field Check'!$C$25)*10000000+(N('Dvd Calendar'!$G$2084)&gt;0)*1000000+39*1000+3))</f>
        <v/>
      </c>
      <c r="F151" s="41">
        <f>IF(N('Dvd Calendar'!$H$2085)=0,"",IF(('Dvd Calendar'!$H$2085&gt;=MIN(DATE(Summary!$C$12,1,1),Summary!$C$11))*('Dvd Calendar'!$H$2085&lt;=MAX(DATE(Summary!$C$12,12,31),Summary!$C$15))*('Dvd Calendar'!$H$2085&lt;=Summary!$C$11)=0,"",'Dvd Calendar'!$H$2085*1000000000+ISNUMBER('Dvd Calendar'!$H$2086)*100000000+('Dvd Calendar'!$H$2090='Field Check'!$C$25)*10000000+(N('Dvd Calendar'!$H$2084)&gt;0)*1000000+39*1000+4))</f>
        <v/>
      </c>
      <c r="G151" s="41">
        <f>IF(N('Dvd Calendar'!$I$2085)=0,"",IF(('Dvd Calendar'!$I$2085&gt;=MIN(DATE(Summary!$C$12,1,1),Summary!$C$11))*('Dvd Calendar'!$I$2085&lt;=MAX(DATE(Summary!$C$12,12,31),Summary!$C$15))*('Dvd Calendar'!$I$2085&lt;=Summary!$C$11)=0,"",'Dvd Calendar'!$I$2085*1000000000+ISNUMBER('Dvd Calendar'!$I$2086)*100000000+('Dvd Calendar'!$I$2090='Field Check'!$C$25)*10000000+(N('Dvd Calendar'!$I$2084)&gt;0)*1000000+39*1000+5))</f>
        <v/>
      </c>
      <c r="H151" s="41">
        <f>IF(N('Dvd Calendar'!$J$2085)=0,"",IF(('Dvd Calendar'!$J$2085&gt;=MIN(DATE(Summary!$C$12,1,1),Summary!$C$11))*('Dvd Calendar'!$J$2085&lt;=MAX(DATE(Summary!$C$12,12,31),Summary!$C$15))*('Dvd Calendar'!$J$2085&lt;=Summary!$C$11)=0,"",'Dvd Calendar'!$J$2085*1000000000+ISNUMBER('Dvd Calendar'!$J$2086)*100000000+('Dvd Calendar'!$J$2090='Field Check'!$C$25)*10000000+(N('Dvd Calendar'!$J$2084)&gt;0)*1000000+39*1000+6))</f>
        <v/>
      </c>
      <c r="I151" s="41">
        <f>IF(N('Dvd Calendar'!$K$2085)=0,"",IF(('Dvd Calendar'!$K$2085&gt;=MIN(DATE(Summary!$C$12,1,1),Summary!$C$11))*('Dvd Calendar'!$K$2085&lt;=MAX(DATE(Summary!$C$12,12,31),Summary!$C$15))*('Dvd Calendar'!$K$2085&lt;=Summary!$C$11)=0,"",'Dvd Calendar'!$K$2085*1000000000+ISNUMBER('Dvd Calendar'!$K$2086)*100000000+('Dvd Calendar'!$K$2090='Field Check'!$C$25)*10000000+(N('Dvd Calendar'!$K$2084)&gt;0)*1000000+39*1000+7))</f>
        <v/>
      </c>
      <c r="J151" s="41">
        <f>IF(N('Dvd Calendar'!$L$2085)=0,"",IF(('Dvd Calendar'!$L$2085&gt;=MIN(DATE(Summary!$C$12,1,1),Summary!$C$11))*('Dvd Calendar'!$L$2085&lt;=MAX(DATE(Summary!$C$12,12,31),Summary!$C$15))*('Dvd Calendar'!$L$2085&lt;=Summary!$C$11)=0,"",'Dvd Calendar'!$L$2085*1000000000+ISNUMBER('Dvd Calendar'!$L$2086)*100000000+('Dvd Calendar'!$L$2090='Field Check'!$C$25)*10000000+(N('Dvd Calendar'!$L$2084)&gt;0)*1000000+39*1000+8))</f>
        <v/>
      </c>
      <c r="K151" s="41">
        <f>IF(N('Dvd Calendar'!$M$2085)=0,"",IF(('Dvd Calendar'!$M$2085&gt;=MIN(DATE(Summary!$C$12,1,1),Summary!$C$11))*('Dvd Calendar'!$M$2085&lt;=MAX(DATE(Summary!$C$12,12,31),Summary!$C$15))*('Dvd Calendar'!$M$2085&lt;=Summary!$C$11)=0,"",'Dvd Calendar'!$M$2085*1000000000+ISNUMBER('Dvd Calendar'!$M$2086)*100000000+('Dvd Calendar'!$M$2090='Field Check'!$C$25)*10000000+(N('Dvd Calendar'!$M$2084)&gt;0)*1000000+39*1000+9))</f>
        <v/>
      </c>
      <c r="L151" s="41">
        <f>IF(N('Dvd Calendar'!$N$2085)=0,"",IF(('Dvd Calendar'!$N$2085&gt;=MIN(DATE(Summary!$C$12,1,1),Summary!$C$11))*('Dvd Calendar'!$N$2085&lt;=MAX(DATE(Summary!$C$12,12,31),Summary!$C$15))*('Dvd Calendar'!$N$2085&lt;=Summary!$C$11)=0,"",'Dvd Calendar'!$N$2085*1000000000+ISNUMBER('Dvd Calendar'!$N$2086)*100000000+('Dvd Calendar'!$N$2090='Field Check'!$C$25)*10000000+(N('Dvd Calendar'!$N$2084)&gt;0)*1000000+39*1000+10))</f>
        <v/>
      </c>
      <c r="M151" s="41">
        <f>IF(N('Dvd Calendar'!$O$2085)=0,"",IF(('Dvd Calendar'!$O$2085&gt;=MIN(DATE(Summary!$C$12,1,1),Summary!$C$11))*('Dvd Calendar'!$O$2085&lt;=MAX(DATE(Summary!$C$12,12,31),Summary!$C$15))*('Dvd Calendar'!$O$2085&lt;=Summary!$C$11)=0,"",'Dvd Calendar'!$O$2085*1000000000+ISNUMBER('Dvd Calendar'!$O$2086)*100000000+('Dvd Calendar'!$O$2090='Field Check'!$C$25)*10000000+(N('Dvd Calendar'!$O$2084)&gt;0)*1000000+39*1000+11))</f>
        <v/>
      </c>
      <c r="N151" s="41">
        <f>IF(N('Dvd Calendar'!$P$2085)=0,"",IF(('Dvd Calendar'!$P$2085&gt;=MIN(DATE(Summary!$C$12,1,1),Summary!$C$11))*('Dvd Calendar'!$P$2085&lt;=MAX(DATE(Summary!$C$12,12,31),Summary!$C$15))*('Dvd Calendar'!$P$2085&lt;=Summary!$C$11)=0,"",'Dvd Calendar'!$P$2085*1000000000+ISNUMBER('Dvd Calendar'!$P$2086)*100000000+('Dvd Calendar'!$P$2090='Field Check'!$C$25)*10000000+(N('Dvd Calendar'!$P$2084)&gt;0)*1000000+39*1000+12))</f>
        <v/>
      </c>
      <c r="O151" s="41">
        <f>IF(N('Dvd Calendar'!$Q$2085)=0,"",IF(('Dvd Calendar'!$Q$2085&gt;=MIN(DATE(Summary!$C$12,1,1),Summary!$C$11))*('Dvd Calendar'!$Q$2085&lt;=MAX(DATE(Summary!$C$12,12,31),Summary!$C$15))*('Dvd Calendar'!$Q$2085&lt;=Summary!$C$11)=0,"",'Dvd Calendar'!$Q$2085*1000000000+ISNUMBER('Dvd Calendar'!$Q$2086)*100000000+('Dvd Calendar'!$Q$2090='Field Check'!$C$25)*10000000+(N('Dvd Calendar'!$Q$2084)&gt;0)*1000000+39*1000+13))</f>
        <v/>
      </c>
      <c r="P151" s="41">
        <f>IF(N('Dvd Calendar'!$R$2085)=0,"",IF(('Dvd Calendar'!$R$2085&gt;=MIN(DATE(Summary!$C$12,1,1),Summary!$C$11))*('Dvd Calendar'!$R$2085&lt;=MAX(DATE(Summary!$C$12,12,31),Summary!$C$15))*('Dvd Calendar'!$R$2085&lt;=Summary!$C$11)=0,"",'Dvd Calendar'!$R$2085*1000000000+ISNUMBER('Dvd Calendar'!$R$2086)*100000000+('Dvd Calendar'!$R$2090='Field Check'!$C$25)*10000000+(N('Dvd Calendar'!$R$2084)&gt;0)*1000000+39*1000+14))</f>
        <v/>
      </c>
      <c r="Q151" s="41">
        <f>IF(N('Dvd Calendar'!$S$2085)=0,"",IF(('Dvd Calendar'!$S$2085&gt;=MIN(DATE(Summary!$C$12,1,1),Summary!$C$11))*('Dvd Calendar'!$S$2085&lt;=MAX(DATE(Summary!$C$12,12,31),Summary!$C$15))*('Dvd Calendar'!$S$2085&lt;=Summary!$C$11)=0,"",'Dvd Calendar'!$S$2085*1000000000+ISNUMBER('Dvd Calendar'!$S$2086)*100000000+('Dvd Calendar'!$S$2090='Field Check'!$C$25)*10000000+(N('Dvd Calendar'!$S$2084)&gt;0)*1000000+39*1000+15))</f>
        <v/>
      </c>
      <c r="R151" s="41">
        <f>IF(N('Dvd Calendar'!$T$2085)=0,"",IF(('Dvd Calendar'!$T$2085&gt;=MIN(DATE(Summary!$C$12,1,1),Summary!$C$11))*('Dvd Calendar'!$T$2085&lt;=MAX(DATE(Summary!$C$12,12,31),Summary!$C$15))*('Dvd Calendar'!$T$2085&lt;=Summary!$C$11)=0,"",'Dvd Calendar'!$T$2085*1000000000+ISNUMBER('Dvd Calendar'!$T$2086)*100000000+('Dvd Calendar'!$T$2090='Field Check'!$C$25)*10000000+(N('Dvd Calendar'!$T$2084)&gt;0)*1000000+39*1000+16))</f>
        <v/>
      </c>
      <c r="S151" s="41">
        <f>IF(N('Dvd Calendar'!$U$2085)=0,"",IF(('Dvd Calendar'!$U$2085&gt;=MIN(DATE(Summary!$C$12,1,1),Summary!$C$11))*('Dvd Calendar'!$U$2085&lt;=MAX(DATE(Summary!$C$12,12,31),Summary!$C$15))*('Dvd Calendar'!$U$2085&lt;=Summary!$C$11)=0,"",'Dvd Calendar'!$U$2085*1000000000+ISNUMBER('Dvd Calendar'!$U$2086)*100000000+('Dvd Calendar'!$U$2090='Field Check'!$C$25)*10000000+(N('Dvd Calendar'!$U$2084)&gt;0)*1000000+39*1000+17))</f>
        <v/>
      </c>
      <c r="T151" s="41">
        <f>IF(N('Dvd Calendar'!$V$2085)=0,"",IF(('Dvd Calendar'!$V$2085&gt;=MIN(DATE(Summary!$C$12,1,1),Summary!$C$11))*('Dvd Calendar'!$V$2085&lt;=MAX(DATE(Summary!$C$12,12,31),Summary!$C$15))*('Dvd Calendar'!$V$2085&lt;=Summary!$C$11)=0,"",'Dvd Calendar'!$V$2085*1000000000+ISNUMBER('Dvd Calendar'!$V$2086)*100000000+('Dvd Calendar'!$V$2090='Field Check'!$C$25)*10000000+(N('Dvd Calendar'!$V$2084)&gt;0)*1000000+39*1000+18))</f>
        <v/>
      </c>
      <c r="U151" s="41">
        <f>IF(N('Dvd Calendar'!$W$2085)=0,"",IF(('Dvd Calendar'!$W$2085&gt;=MIN(DATE(Summary!$C$12,1,1),Summary!$C$11))*('Dvd Calendar'!$W$2085&lt;=MAX(DATE(Summary!$C$12,12,31),Summary!$C$15))*('Dvd Calendar'!$W$2085&lt;=Summary!$C$11)=0,"",'Dvd Calendar'!$W$2085*1000000000+ISNUMBER('Dvd Calendar'!$W$2086)*100000000+('Dvd Calendar'!$W$2090='Field Check'!$C$25)*10000000+(N('Dvd Calendar'!$W$2084)&gt;0)*1000000+39*1000+19))</f>
        <v/>
      </c>
      <c r="V151" s="41">
        <f>IF(N('Dvd Calendar'!$X$2085)=0,"",IF(('Dvd Calendar'!$X$2085&gt;=MIN(DATE(Summary!$C$12,1,1),Summary!$C$11))*('Dvd Calendar'!$X$2085&lt;=MAX(DATE(Summary!$C$12,12,31),Summary!$C$15))*('Dvd Calendar'!$X$2085&lt;=Summary!$C$11)=0,"",'Dvd Calendar'!$X$2085*1000000000+ISNUMBER('Dvd Calendar'!$X$2086)*100000000+('Dvd Calendar'!$X$2090='Field Check'!$C$25)*10000000+(N('Dvd Calendar'!$X$2084)&gt;0)*1000000+39*1000+20))</f>
        <v/>
      </c>
      <c r="W151" s="41">
        <f>IF(N('Dvd Calendar'!$Y$2085)=0,"",IF(('Dvd Calendar'!$Y$2085&gt;=MIN(DATE(Summary!$C$12,1,1),Summary!$C$11))*('Dvd Calendar'!$Y$2085&lt;=MAX(DATE(Summary!$C$12,12,31),Summary!$C$15))*('Dvd Calendar'!$Y$2085&lt;=Summary!$C$11)=0,"",'Dvd Calendar'!$Y$2085*1000000000+ISNUMBER('Dvd Calendar'!$Y$2086)*100000000+('Dvd Calendar'!$Y$2090='Field Check'!$C$25)*10000000+(N('Dvd Calendar'!$Y$2084)&gt;0)*1000000+39*1000+21))</f>
        <v/>
      </c>
      <c r="X151" s="41">
        <f>IF(N('Dvd Calendar'!$Z$2085)=0,"",IF(('Dvd Calendar'!$Z$2085&gt;=MIN(DATE(Summary!$C$12,1,1),Summary!$C$11))*('Dvd Calendar'!$Z$2085&lt;=MAX(DATE(Summary!$C$12,12,31),Summary!$C$15))*('Dvd Calendar'!$Z$2085&lt;=Summary!$C$11)=0,"",'Dvd Calendar'!$Z$2085*1000000000+ISNUMBER('Dvd Calendar'!$Z$2086)*100000000+('Dvd Calendar'!$Z$2090='Field Check'!$C$25)*10000000+(N('Dvd Calendar'!$Z$2084)&gt;0)*1000000+39*1000+22))</f>
        <v/>
      </c>
      <c r="Y151" s="41">
        <f>IF(N('Dvd Calendar'!$AA$2085)=0,"",IF(('Dvd Calendar'!$AA$2085&gt;=MIN(DATE(Summary!$C$12,1,1),Summary!$C$11))*('Dvd Calendar'!$AA$2085&lt;=MAX(DATE(Summary!$C$12,12,31),Summary!$C$15))*('Dvd Calendar'!$AA$2085&lt;=Summary!$C$11)=0,"",'Dvd Calendar'!$AA$2085*1000000000+ISNUMBER('Dvd Calendar'!$AA$2086)*100000000+('Dvd Calendar'!$AA$2090='Field Check'!$C$25)*10000000+(N('Dvd Calendar'!$AA$2084)&gt;0)*1000000+39*1000+23))</f>
        <v/>
      </c>
      <c r="Z151" s="41">
        <f>IF(N('Dvd Calendar'!$AB$2085)=0,"",IF(('Dvd Calendar'!$AB$2085&gt;=MIN(DATE(Summary!$C$12,1,1),Summary!$C$11))*('Dvd Calendar'!$AB$2085&lt;=MAX(DATE(Summary!$C$12,12,31),Summary!$C$15))*('Dvd Calendar'!$AB$2085&lt;=Summary!$C$11)=0,"",'Dvd Calendar'!$AB$2085*1000000000+ISNUMBER('Dvd Calendar'!$AB$2086)*100000000+('Dvd Calendar'!$AB$2090='Field Check'!$C$25)*10000000+(N('Dvd Calendar'!$AB$2084)&gt;0)*1000000+39*1000+24))</f>
        <v/>
      </c>
      <c r="AA151" s="41">
        <f>IF(N('Dvd Calendar'!$AC$2085)=0,"",IF(('Dvd Calendar'!$AC$2085&gt;=MIN(DATE(Summary!$C$12,1,1),Summary!$C$11))*('Dvd Calendar'!$AC$2085&lt;=MAX(DATE(Summary!$C$12,12,31),Summary!$C$15))*('Dvd Calendar'!$AC$2085&lt;=Summary!$C$11)=0,"",'Dvd Calendar'!$AC$2085*1000000000+ISNUMBER('Dvd Calendar'!$AC$2086)*100000000+('Dvd Calendar'!$AC$2090='Field Check'!$C$25)*10000000+(N('Dvd Calendar'!$AC$2084)&gt;0)*1000000+39*1000+25))</f>
        <v/>
      </c>
      <c r="AB151" s="41">
        <f>IF(N('Dvd Calendar'!$AD$2085)=0,"",IF(('Dvd Calendar'!$AD$2085&gt;=MIN(DATE(Summary!$C$12,1,1),Summary!$C$11))*('Dvd Calendar'!$AD$2085&lt;=MAX(DATE(Summary!$C$12,12,31),Summary!$C$15))*('Dvd Calendar'!$AD$2085&lt;=Summary!$C$11)=0,"",'Dvd Calendar'!$AD$2085*1000000000+ISNUMBER('Dvd Calendar'!$AD$2086)*100000000+('Dvd Calendar'!$AD$2090='Field Check'!$C$25)*10000000+(N('Dvd Calendar'!$AD$2084)&gt;0)*1000000+39*1000+26))</f>
        <v/>
      </c>
      <c r="AC151" s="41">
        <f>IF(N('Dvd Calendar'!$AE$2085)=0,"",IF(('Dvd Calendar'!$AE$2085&gt;=MIN(DATE(Summary!$C$12,1,1),Summary!$C$11))*('Dvd Calendar'!$AE$2085&lt;=MAX(DATE(Summary!$C$12,12,31),Summary!$C$15))*('Dvd Calendar'!$AE$2085&lt;=Summary!$C$11)=0,"",'Dvd Calendar'!$AE$2085*1000000000+ISNUMBER('Dvd Calendar'!$AE$2086)*100000000+('Dvd Calendar'!$AE$2090='Field Check'!$C$25)*10000000+(N('Dvd Calendar'!$AE$2084)&gt;0)*1000000+39*1000+27))</f>
        <v/>
      </c>
      <c r="AD151" s="41">
        <f>IF(N('Dvd Calendar'!$AF$2085)=0,"",IF(('Dvd Calendar'!$AF$2085&gt;=MIN(DATE(Summary!$C$12,1,1),Summary!$C$11))*('Dvd Calendar'!$AF$2085&lt;=MAX(DATE(Summary!$C$12,12,31),Summary!$C$15))*('Dvd Calendar'!$AF$2085&lt;=Summary!$C$11)=0,"",'Dvd Calendar'!$AF$2085*1000000000+ISNUMBER('Dvd Calendar'!$AF$2086)*100000000+('Dvd Calendar'!$AF$2090='Field Check'!$C$25)*10000000+(N('Dvd Calendar'!$AF$2084)&gt;0)*1000000+39*1000+28))</f>
        <v/>
      </c>
      <c r="AE151" s="41">
        <f>IF(N('Dvd Calendar'!$AG$2085)=0,"",IF(('Dvd Calendar'!$AG$2085&gt;=MIN(DATE(Summary!$C$12,1,1),Summary!$C$11))*('Dvd Calendar'!$AG$2085&lt;=MAX(DATE(Summary!$C$12,12,31),Summary!$C$15))*('Dvd Calendar'!$AG$2085&lt;=Summary!$C$11)=0,"",'Dvd Calendar'!$AG$2085*1000000000+ISNUMBER('Dvd Calendar'!$AG$2086)*100000000+('Dvd Calendar'!$AG$2090='Field Check'!$C$25)*10000000+(N('Dvd Calendar'!$AG$2084)&gt;0)*1000000+39*1000+29))</f>
        <v/>
      </c>
      <c r="AF151" s="41">
        <f>IF(N('Dvd Calendar'!$AH$2085)=0,"",IF(('Dvd Calendar'!$AH$2085&gt;=MIN(DATE(Summary!$C$12,1,1),Summary!$C$11))*('Dvd Calendar'!$AH$2085&lt;=MAX(DATE(Summary!$C$12,12,31),Summary!$C$15))*('Dvd Calendar'!$AH$2085&lt;=Summary!$C$11)=0,"",'Dvd Calendar'!$AH$2085*1000000000+ISNUMBER('Dvd Calendar'!$AH$2086)*100000000+('Dvd Calendar'!$AH$2090='Field Check'!$C$25)*10000000+(N('Dvd Calendar'!$AH$2084)&gt;0)*1000000+39*1000+30))</f>
        <v/>
      </c>
      <c r="AG151" s="41">
        <f>IF(N('Dvd Calendar'!$AI$2085)=0,"",IF(('Dvd Calendar'!$AI$2085&gt;=MIN(DATE(Summary!$C$12,1,1),Summary!$C$11))*('Dvd Calendar'!$AI$2085&lt;=MAX(DATE(Summary!$C$12,12,31),Summary!$C$15))*('Dvd Calendar'!$AI$2085&lt;=Summary!$C$11)=0,"",'Dvd Calendar'!$AI$2085*1000000000+ISNUMBER('Dvd Calendar'!$AI$2086)*100000000+('Dvd Calendar'!$AI$2090='Field Check'!$C$25)*10000000+(N('Dvd Calendar'!$AI$2084)&gt;0)*1000000+39*1000+31))</f>
        <v/>
      </c>
      <c r="AH151" s="41">
        <f>IF(N('Dvd Calendar'!$AJ$2085)=0,"",IF(('Dvd Calendar'!$AJ$2085&gt;=MIN(DATE(Summary!$C$12,1,1),Summary!$C$11))*('Dvd Calendar'!$AJ$2085&lt;=MAX(DATE(Summary!$C$12,12,31),Summary!$C$15))*('Dvd Calendar'!$AJ$2085&lt;=Summary!$C$11)=0,"",'Dvd Calendar'!$AJ$2085*1000000000+ISNUMBER('Dvd Calendar'!$AJ$2086)*100000000+('Dvd Calendar'!$AJ$2090='Field Check'!$C$25)*10000000+(N('Dvd Calendar'!$AJ$2084)&gt;0)*1000000+39*1000+32))</f>
        <v/>
      </c>
      <c r="AI151" s="41">
        <f>IF(N('Dvd Calendar'!$AK$2085)=0,"",IF(('Dvd Calendar'!$AK$2085&gt;=MIN(DATE(Summary!$C$12,1,1),Summary!$C$11))*('Dvd Calendar'!$AK$2085&lt;=MAX(DATE(Summary!$C$12,12,31),Summary!$C$15))*('Dvd Calendar'!$AK$2085&lt;=Summary!$C$11)=0,"",'Dvd Calendar'!$AK$2085*1000000000+ISNUMBER('Dvd Calendar'!$AK$2086)*100000000+('Dvd Calendar'!$AK$2090='Field Check'!$C$25)*10000000+(N('Dvd Calendar'!$AK$2084)&gt;0)*1000000+39*1000+33))</f>
        <v/>
      </c>
      <c r="AJ151" s="41">
        <f>IF(N('Dvd Calendar'!$AL$2085)=0,"",IF(('Dvd Calendar'!$AL$2085&gt;=MIN(DATE(Summary!$C$12,1,1),Summary!$C$11))*('Dvd Calendar'!$AL$2085&lt;=MAX(DATE(Summary!$C$12,12,31),Summary!$C$15))*('Dvd Calendar'!$AL$2085&lt;=Summary!$C$11)=0,"",'Dvd Calendar'!$AL$2085*1000000000+ISNUMBER('Dvd Calendar'!$AL$2086)*100000000+('Dvd Calendar'!$AL$2090='Field Check'!$C$25)*10000000+(N('Dvd Calendar'!$AL$2084)&gt;0)*1000000+39*1000+34))</f>
        <v/>
      </c>
      <c r="AK151" s="41">
        <f>IF(N('Dvd Calendar'!$AM$2085)=0,"",IF(('Dvd Calendar'!$AM$2085&gt;=MIN(DATE(Summary!$C$12,1,1),Summary!$C$11))*('Dvd Calendar'!$AM$2085&lt;=MAX(DATE(Summary!$C$12,12,31),Summary!$C$15))*('Dvd Calendar'!$AM$2085&lt;=Summary!$C$11)=0,"",'Dvd Calendar'!$AM$2085*1000000000+ISNUMBER('Dvd Calendar'!$AM$2086)*100000000+('Dvd Calendar'!$AM$2090='Field Check'!$C$25)*10000000+(N('Dvd Calendar'!$AM$2084)&gt;0)*1000000+39*1000+35))</f>
        <v/>
      </c>
      <c r="AL151" s="41">
        <f>IF(N('Dvd Calendar'!$AN$2085)=0,"",IF(('Dvd Calendar'!$AN$2085&gt;=MIN(DATE(Summary!$C$12,1,1),Summary!$C$11))*('Dvd Calendar'!$AN$2085&lt;=MAX(DATE(Summary!$C$12,12,31),Summary!$C$15))*('Dvd Calendar'!$AN$2085&lt;=Summary!$C$11)=0,"",'Dvd Calendar'!$AN$2085*1000000000+ISNUMBER('Dvd Calendar'!$AN$2086)*100000000+('Dvd Calendar'!$AN$2090='Field Check'!$C$25)*10000000+(N('Dvd Calendar'!$AN$2084)&gt;0)*1000000+39*1000+36))</f>
        <v/>
      </c>
      <c r="AM151" s="41">
        <f>IF(N('Dvd Calendar'!$AO$2085)=0,"",IF(('Dvd Calendar'!$AO$2085&gt;=MIN(DATE(Summary!$C$12,1,1),Summary!$C$11))*('Dvd Calendar'!$AO$2085&lt;=MAX(DATE(Summary!$C$12,12,31),Summary!$C$15))*('Dvd Calendar'!$AO$2085&lt;=Summary!$C$11)=0,"",'Dvd Calendar'!$AO$2085*1000000000+ISNUMBER('Dvd Calendar'!$AO$2086)*100000000+('Dvd Calendar'!$AO$2090='Field Check'!$C$25)*10000000+(N('Dvd Calendar'!$AO$2084)&gt;0)*1000000+39*1000+37))</f>
        <v/>
      </c>
      <c r="AN151" s="41">
        <f>IF(N('Dvd Calendar'!$AP$2085)=0,"",IF(('Dvd Calendar'!$AP$2085&gt;=MIN(DATE(Summary!$C$12,1,1),Summary!$C$11))*('Dvd Calendar'!$AP$2085&lt;=MAX(DATE(Summary!$C$12,12,31),Summary!$C$15))*('Dvd Calendar'!$AP$2085&lt;=Summary!$C$11)=0,"",'Dvd Calendar'!$AP$2085*1000000000+ISNUMBER('Dvd Calendar'!$AP$2086)*100000000+('Dvd Calendar'!$AP$2090='Field Check'!$C$25)*10000000+(N('Dvd Calendar'!$AP$2084)&gt;0)*1000000+39*1000+38))</f>
        <v/>
      </c>
      <c r="AO151" s="41">
        <f>IF(N('Dvd Calendar'!$AQ$2085)=0,"",IF(('Dvd Calendar'!$AQ$2085&gt;=MIN(DATE(Summary!$C$12,1,1),Summary!$C$11))*('Dvd Calendar'!$AQ$2085&lt;=MAX(DATE(Summary!$C$12,12,31),Summary!$C$15))*('Dvd Calendar'!$AQ$2085&lt;=Summary!$C$11)=0,"",'Dvd Calendar'!$AQ$2085*1000000000+ISNUMBER('Dvd Calendar'!$AQ$2086)*100000000+('Dvd Calendar'!$AQ$2090='Field Check'!$C$25)*10000000+(N('Dvd Calendar'!$AQ$2084)&gt;0)*1000000+39*1000+39))</f>
        <v/>
      </c>
      <c r="AP151" s="41">
        <f>IF(N('Dvd Calendar'!$AR$2085)=0,"",IF(('Dvd Calendar'!$AR$2085&gt;=MIN(DATE(Summary!$C$12,1,1),Summary!$C$11))*('Dvd Calendar'!$AR$2085&lt;=MAX(DATE(Summary!$C$12,12,31),Summary!$C$15))*('Dvd Calendar'!$AR$2085&lt;=Summary!$C$11)=0,"",'Dvd Calendar'!$AR$2085*1000000000+ISNUMBER('Dvd Calendar'!$AR$2086)*100000000+('Dvd Calendar'!$AR$2090='Field Check'!$C$25)*10000000+(N('Dvd Calendar'!$AR$2084)&gt;0)*1000000+39*1000+40))</f>
        <v/>
      </c>
      <c r="AQ151" s="41">
        <f>IF(N('Dvd Calendar'!$E$2092)=0,"",IF(('Dvd Calendar'!$E$2092&gt;=MIN(DATE(Summary!$C$12,1,1),Summary!$C$11))*('Dvd Calendar'!$E$2092&lt;=MAX(DATE(Summary!$C$12,12,31),Summary!$C$15))*('Dvd Calendar'!$E$2092&gt;Summary!$C$11)=0,"",'Dvd Calendar'!$E$2092*1000000000+ISNUMBER('Dvd Calendar'!$E$2093)*100000000+('Dvd Calendar'!$E$2097='Field Check'!$C$25)*10000000+(N('Dvd Calendar'!$E$2091)&gt;0)*1000000+39*1000+41))</f>
        <v/>
      </c>
      <c r="AR151" s="41">
        <f>IF(N('Dvd Calendar'!$F$2092)=0,"",IF(('Dvd Calendar'!$F$2092&gt;=MIN(DATE(Summary!$C$12,1,1),Summary!$C$11))*('Dvd Calendar'!$F$2092&lt;=MAX(DATE(Summary!$C$12,12,31),Summary!$C$15))*('Dvd Calendar'!$F$2092&gt;Summary!$C$11)=0,"",'Dvd Calendar'!$F$2092*1000000000+ISNUMBER('Dvd Calendar'!$F$2093)*100000000+('Dvd Calendar'!$F$2097='Field Check'!$C$25)*10000000+(N('Dvd Calendar'!$F$2091)&gt;0)*1000000+39*1000+42))</f>
        <v/>
      </c>
      <c r="AS151" s="41">
        <f>IF(N('Dvd Calendar'!$G$2092)=0,"",IF(('Dvd Calendar'!$G$2092&gt;=MIN(DATE(Summary!$C$12,1,1),Summary!$C$11))*('Dvd Calendar'!$G$2092&lt;=MAX(DATE(Summary!$C$12,12,31),Summary!$C$15))*('Dvd Calendar'!$G$2092&gt;Summary!$C$11)=0,"",'Dvd Calendar'!$G$2092*1000000000+ISNUMBER('Dvd Calendar'!$G$2093)*100000000+('Dvd Calendar'!$G$2097='Field Check'!$C$25)*10000000+(N('Dvd Calendar'!$G$2091)&gt;0)*1000000+39*1000+43))</f>
        <v/>
      </c>
      <c r="AT151" s="41">
        <f>IF(N('Dvd Calendar'!$H$2092)=0,"",IF(('Dvd Calendar'!$H$2092&gt;=MIN(DATE(Summary!$C$12,1,1),Summary!$C$11))*('Dvd Calendar'!$H$2092&lt;=MAX(DATE(Summary!$C$12,12,31),Summary!$C$15))*('Dvd Calendar'!$H$2092&gt;Summary!$C$11)=0,"",'Dvd Calendar'!$H$2092*1000000000+ISNUMBER('Dvd Calendar'!$H$2093)*100000000+('Dvd Calendar'!$H$2097='Field Check'!$C$25)*10000000+(N('Dvd Calendar'!$H$2091)&gt;0)*1000000+39*1000+44))</f>
        <v/>
      </c>
      <c r="AU151" s="41">
        <f>IF(N('Dvd Calendar'!$I$2092)=0,"",IF(('Dvd Calendar'!$I$2092&gt;=MIN(DATE(Summary!$C$12,1,1),Summary!$C$11))*('Dvd Calendar'!$I$2092&lt;=MAX(DATE(Summary!$C$12,12,31),Summary!$C$15))*('Dvd Calendar'!$I$2092&gt;Summary!$C$11)=0,"",'Dvd Calendar'!$I$2092*1000000000+ISNUMBER('Dvd Calendar'!$I$2093)*100000000+('Dvd Calendar'!$I$2097='Field Check'!$C$25)*10000000+(N('Dvd Calendar'!$I$2091)&gt;0)*1000000+39*1000+45))</f>
        <v/>
      </c>
      <c r="AV151" s="41">
        <f>IF(N('Dvd Calendar'!$J$2092)=0,"",IF(('Dvd Calendar'!$J$2092&gt;=MIN(DATE(Summary!$C$12,1,1),Summary!$C$11))*('Dvd Calendar'!$J$2092&lt;=MAX(DATE(Summary!$C$12,12,31),Summary!$C$15))*('Dvd Calendar'!$J$2092&gt;Summary!$C$11)=0,"",'Dvd Calendar'!$J$2092*1000000000+ISNUMBER('Dvd Calendar'!$J$2093)*100000000+('Dvd Calendar'!$J$2097='Field Check'!$C$25)*10000000+(N('Dvd Calendar'!$J$2091)&gt;0)*1000000+39*1000+46))</f>
        <v/>
      </c>
      <c r="AW151" s="41">
        <f>IF(N('Dvd Calendar'!$K$2092)=0,"",IF(('Dvd Calendar'!$K$2092&gt;=MIN(DATE(Summary!$C$12,1,1),Summary!$C$11))*('Dvd Calendar'!$K$2092&lt;=MAX(DATE(Summary!$C$12,12,31),Summary!$C$15))*('Dvd Calendar'!$K$2092&gt;Summary!$C$11)=0,"",'Dvd Calendar'!$K$2092*1000000000+ISNUMBER('Dvd Calendar'!$K$2093)*100000000+('Dvd Calendar'!$K$2097='Field Check'!$C$25)*10000000+(N('Dvd Calendar'!$K$2091)&gt;0)*1000000+39*1000+47))</f>
        <v/>
      </c>
      <c r="AX151" s="41">
        <f>IF(N('Dvd Calendar'!$L$2092)=0,"",IF(('Dvd Calendar'!$L$2092&gt;=MIN(DATE(Summary!$C$12,1,1),Summary!$C$11))*('Dvd Calendar'!$L$2092&lt;=MAX(DATE(Summary!$C$12,12,31),Summary!$C$15))*('Dvd Calendar'!$L$2092&gt;Summary!$C$11)=0,"",'Dvd Calendar'!$L$2092*1000000000+ISNUMBER('Dvd Calendar'!$L$2093)*100000000+('Dvd Calendar'!$L$2097='Field Check'!$C$25)*10000000+(N('Dvd Calendar'!$L$2091)&gt;0)*1000000+39*1000+48))</f>
        <v/>
      </c>
      <c r="AY151" s="41">
        <f>IF(N('Dvd Calendar'!$M$2092)=0,"",IF(('Dvd Calendar'!$M$2092&gt;=MIN(DATE(Summary!$C$12,1,1),Summary!$C$11))*('Dvd Calendar'!$M$2092&lt;=MAX(DATE(Summary!$C$12,12,31),Summary!$C$15))*('Dvd Calendar'!$M$2092&gt;Summary!$C$11)=0,"",'Dvd Calendar'!$M$2092*1000000000+ISNUMBER('Dvd Calendar'!$M$2093)*100000000+('Dvd Calendar'!$M$2097='Field Check'!$C$25)*10000000+(N('Dvd Calendar'!$M$2091)&gt;0)*1000000+39*1000+49))</f>
        <v/>
      </c>
      <c r="AZ151" s="41">
        <f>IF(N('Dvd Calendar'!$N$2092)=0,"",IF(('Dvd Calendar'!$N$2092&gt;=MIN(DATE(Summary!$C$12,1,1),Summary!$C$11))*('Dvd Calendar'!$N$2092&lt;=MAX(DATE(Summary!$C$12,12,31),Summary!$C$15))*('Dvd Calendar'!$N$2092&gt;Summary!$C$11)=0,"",'Dvd Calendar'!$N$2092*1000000000+ISNUMBER('Dvd Calendar'!$N$2093)*100000000+('Dvd Calendar'!$N$2097='Field Check'!$C$25)*10000000+(N('Dvd Calendar'!$N$2091)&gt;0)*1000000+39*1000+50))</f>
        <v/>
      </c>
      <c r="BA151" s="41">
        <f>IF(N('Dvd Calendar'!$O$2092)=0,"",IF(('Dvd Calendar'!$O$2092&gt;=MIN(DATE(Summary!$C$12,1,1),Summary!$C$11))*('Dvd Calendar'!$O$2092&lt;=MAX(DATE(Summary!$C$12,12,31),Summary!$C$15))*('Dvd Calendar'!$O$2092&gt;Summary!$C$11)=0,"",'Dvd Calendar'!$O$2092*1000000000+ISNUMBER('Dvd Calendar'!$O$2093)*100000000+('Dvd Calendar'!$O$2097='Field Check'!$C$25)*10000000+(N('Dvd Calendar'!$O$2091)&gt;0)*1000000+39*1000+51))</f>
        <v/>
      </c>
      <c r="BB151" s="41">
        <f>IF(N('Dvd Calendar'!$P$2092)=0,"",IF(('Dvd Calendar'!$P$2092&gt;=MIN(DATE(Summary!$C$12,1,1),Summary!$C$11))*('Dvd Calendar'!$P$2092&lt;=MAX(DATE(Summary!$C$12,12,31),Summary!$C$15))*('Dvd Calendar'!$P$2092&gt;Summary!$C$11)=0,"",'Dvd Calendar'!$P$2092*1000000000+ISNUMBER('Dvd Calendar'!$P$2093)*100000000+('Dvd Calendar'!$P$2097='Field Check'!$C$25)*10000000+(N('Dvd Calendar'!$P$2091)&gt;0)*1000000+39*1000+52))</f>
        <v/>
      </c>
      <c r="BC151" s="41">
        <f>IF(N('Dvd Calendar'!$Q$2092)=0,"",IF(('Dvd Calendar'!$Q$2092&gt;=MIN(DATE(Summary!$C$12,1,1),Summary!$C$11))*('Dvd Calendar'!$Q$2092&lt;=MAX(DATE(Summary!$C$12,12,31),Summary!$C$15))*('Dvd Calendar'!$Q$2092&gt;Summary!$C$11)=0,"",'Dvd Calendar'!$Q$2092*1000000000+ISNUMBER('Dvd Calendar'!$Q$2093)*100000000+('Dvd Calendar'!$Q$2097='Field Check'!$C$25)*10000000+(N('Dvd Calendar'!$Q$2091)&gt;0)*1000000+39*1000+53))</f>
        <v/>
      </c>
      <c r="BD151" s="41">
        <f>IF(N('Dvd Calendar'!$R$2092)=0,"",IF(('Dvd Calendar'!$R$2092&gt;=MIN(DATE(Summary!$C$12,1,1),Summary!$C$11))*('Dvd Calendar'!$R$2092&lt;=MAX(DATE(Summary!$C$12,12,31),Summary!$C$15))*('Dvd Calendar'!$R$2092&gt;Summary!$C$11)=0,"",'Dvd Calendar'!$R$2092*1000000000+ISNUMBER('Dvd Calendar'!$R$2093)*100000000+('Dvd Calendar'!$R$2097='Field Check'!$C$25)*10000000+(N('Dvd Calendar'!$R$2091)&gt;0)*1000000+39*1000+54))</f>
        <v/>
      </c>
      <c r="BE151" s="41">
        <f>IF(N('Dvd Calendar'!$S$2092)=0,"",IF(('Dvd Calendar'!$S$2092&gt;=MIN(DATE(Summary!$C$12,1,1),Summary!$C$11))*('Dvd Calendar'!$S$2092&lt;=MAX(DATE(Summary!$C$12,12,31),Summary!$C$15))*('Dvd Calendar'!$S$2092&gt;Summary!$C$11)=0,"",'Dvd Calendar'!$S$2092*1000000000+ISNUMBER('Dvd Calendar'!$S$2093)*100000000+('Dvd Calendar'!$S$2097='Field Check'!$C$25)*10000000+(N('Dvd Calendar'!$S$2091)&gt;0)*1000000+39*1000+55))</f>
        <v/>
      </c>
      <c r="BF151" s="41">
        <f>IF(N('Dvd Calendar'!$T$2092)=0,"",IF(('Dvd Calendar'!$T$2092&gt;=MIN(DATE(Summary!$C$12,1,1),Summary!$C$11))*('Dvd Calendar'!$T$2092&lt;=MAX(DATE(Summary!$C$12,12,31),Summary!$C$15))*('Dvd Calendar'!$T$2092&gt;Summary!$C$11)=0,"",'Dvd Calendar'!$T$2092*1000000000+ISNUMBER('Dvd Calendar'!$T$2093)*100000000+('Dvd Calendar'!$T$2097='Field Check'!$C$25)*10000000+(N('Dvd Calendar'!$T$2091)&gt;0)*1000000+39*1000+56))</f>
        <v/>
      </c>
      <c r="BG151" s="41">
        <f>IF(N('Dvd Calendar'!$U$2092)=0,"",IF(('Dvd Calendar'!$U$2092&gt;=MIN(DATE(Summary!$C$12,1,1),Summary!$C$11))*('Dvd Calendar'!$U$2092&lt;=MAX(DATE(Summary!$C$12,12,31),Summary!$C$15))*('Dvd Calendar'!$U$2092&gt;Summary!$C$11)=0,"",'Dvd Calendar'!$U$2092*1000000000+ISNUMBER('Dvd Calendar'!$U$2093)*100000000+('Dvd Calendar'!$U$2097='Field Check'!$C$25)*10000000+(N('Dvd Calendar'!$U$2091)&gt;0)*1000000+39*1000+57))</f>
        <v/>
      </c>
      <c r="BH151" s="41">
        <f>IF(N('Dvd Calendar'!$V$2092)=0,"",IF(('Dvd Calendar'!$V$2092&gt;=MIN(DATE(Summary!$C$12,1,1),Summary!$C$11))*('Dvd Calendar'!$V$2092&lt;=MAX(DATE(Summary!$C$12,12,31),Summary!$C$15))*('Dvd Calendar'!$V$2092&gt;Summary!$C$11)=0,"",'Dvd Calendar'!$V$2092*1000000000+ISNUMBER('Dvd Calendar'!$V$2093)*100000000+('Dvd Calendar'!$V$2097='Field Check'!$C$25)*10000000+(N('Dvd Calendar'!$V$2091)&gt;0)*1000000+39*1000+58))</f>
        <v/>
      </c>
      <c r="BI151" s="41">
        <f>IF(N('Dvd Calendar'!$W$2092)=0,"",IF(('Dvd Calendar'!$W$2092&gt;=MIN(DATE(Summary!$C$12,1,1),Summary!$C$11))*('Dvd Calendar'!$W$2092&lt;=MAX(DATE(Summary!$C$12,12,31),Summary!$C$15))*('Dvd Calendar'!$W$2092&gt;Summary!$C$11)=0,"",'Dvd Calendar'!$W$2092*1000000000+ISNUMBER('Dvd Calendar'!$W$2093)*100000000+('Dvd Calendar'!$W$2097='Field Check'!$C$25)*10000000+(N('Dvd Calendar'!$W$2091)&gt;0)*1000000+39*1000+59))</f>
        <v/>
      </c>
      <c r="BJ151" s="41">
        <f>IF(N('Dvd Calendar'!$X$2092)=0,"",IF(('Dvd Calendar'!$X$2092&gt;=MIN(DATE(Summary!$C$12,1,1),Summary!$C$11))*('Dvd Calendar'!$X$2092&lt;=MAX(DATE(Summary!$C$12,12,31),Summary!$C$15))*('Dvd Calendar'!$X$2092&gt;Summary!$C$11)=0,"",'Dvd Calendar'!$X$2092*1000000000+ISNUMBER('Dvd Calendar'!$X$2093)*100000000+('Dvd Calendar'!$X$2097='Field Check'!$C$25)*10000000+(N('Dvd Calendar'!$X$2091)&gt;0)*1000000+39*1000+60))</f>
        <v/>
      </c>
      <c r="BK151" s="41">
        <f>IF(N('Dvd Calendar'!$Y$2092)=0,"",IF(('Dvd Calendar'!$Y$2092&gt;=MIN(DATE(Summary!$C$12,1,1),Summary!$C$11))*('Dvd Calendar'!$Y$2092&lt;=MAX(DATE(Summary!$C$12,12,31),Summary!$C$15))*('Dvd Calendar'!$Y$2092&gt;Summary!$C$11)=0,"",'Dvd Calendar'!$Y$2092*1000000000+ISNUMBER('Dvd Calendar'!$Y$2093)*100000000+('Dvd Calendar'!$Y$2097='Field Check'!$C$25)*10000000+(N('Dvd Calendar'!$Y$2091)&gt;0)*1000000+39*1000+61))</f>
        <v/>
      </c>
      <c r="BL151" s="41">
        <f>IF(N('Dvd Calendar'!$Z$2092)=0,"",IF(('Dvd Calendar'!$Z$2092&gt;=MIN(DATE(Summary!$C$12,1,1),Summary!$C$11))*('Dvd Calendar'!$Z$2092&lt;=MAX(DATE(Summary!$C$12,12,31),Summary!$C$15))*('Dvd Calendar'!$Z$2092&gt;Summary!$C$11)=0,"",'Dvd Calendar'!$Z$2092*1000000000+ISNUMBER('Dvd Calendar'!$Z$2093)*100000000+('Dvd Calendar'!$Z$2097='Field Check'!$C$25)*10000000+(N('Dvd Calendar'!$Z$2091)&gt;0)*1000000+39*1000+62))</f>
        <v/>
      </c>
      <c r="BM151" s="41">
        <f>IF(N('Dvd Calendar'!$AA$2092)=0,"",IF(('Dvd Calendar'!$AA$2092&gt;=MIN(DATE(Summary!$C$12,1,1),Summary!$C$11))*('Dvd Calendar'!$AA$2092&lt;=MAX(DATE(Summary!$C$12,12,31),Summary!$C$15))*('Dvd Calendar'!$AA$2092&gt;Summary!$C$11)=0,"",'Dvd Calendar'!$AA$2092*1000000000+ISNUMBER('Dvd Calendar'!$AA$2093)*100000000+('Dvd Calendar'!$AA$2097='Field Check'!$C$25)*10000000+(N('Dvd Calendar'!$AA$2091)&gt;0)*1000000+39*1000+63))</f>
        <v/>
      </c>
      <c r="BN151" s="41">
        <f>IF(N('Dvd Calendar'!$AB$2092)=0,"",IF(('Dvd Calendar'!$AB$2092&gt;=MIN(DATE(Summary!$C$12,1,1),Summary!$C$11))*('Dvd Calendar'!$AB$2092&lt;=MAX(DATE(Summary!$C$12,12,31),Summary!$C$15))*('Dvd Calendar'!$AB$2092&gt;Summary!$C$11)=0,"",'Dvd Calendar'!$AB$2092*1000000000+ISNUMBER('Dvd Calendar'!$AB$2093)*100000000+('Dvd Calendar'!$AB$2097='Field Check'!$C$25)*10000000+(N('Dvd Calendar'!$AB$2091)&gt;0)*1000000+39*1000+64))</f>
        <v/>
      </c>
      <c r="BO151" s="41">
        <f>IF(N('Dvd Calendar'!$AC$2092)=0,"",IF(('Dvd Calendar'!$AC$2092&gt;=MIN(DATE(Summary!$C$12,1,1),Summary!$C$11))*('Dvd Calendar'!$AC$2092&lt;=MAX(DATE(Summary!$C$12,12,31),Summary!$C$15))*('Dvd Calendar'!$AC$2092&gt;Summary!$C$11)=0,"",'Dvd Calendar'!$AC$2092*1000000000+ISNUMBER('Dvd Calendar'!$AC$2093)*100000000+('Dvd Calendar'!$AC$2097='Field Check'!$C$25)*10000000+(N('Dvd Calendar'!$AC$2091)&gt;0)*1000000+39*1000+65))</f>
        <v/>
      </c>
      <c r="BQ151" s="85">
        <f>IF(C151="","",IF(ISNUMBER('Dvd Calendar'!$E$2086)=FALSE,"",IF((Summary!$C$13="N")*('Dvd Calendar'!$E$2090='Field Check'!$C$25)&gt;0,"",'Dvd Calendar'!$E$2086)))</f>
        <v/>
      </c>
      <c r="BR151" s="85">
        <f>IF(D151="","",IF(ISNUMBER('Dvd Calendar'!$F$2086)=FALSE,"",IF((Summary!$C$13="N")*('Dvd Calendar'!$F$2090='Field Check'!$C$25)&gt;0,"",'Dvd Calendar'!$F$2086)))</f>
        <v/>
      </c>
      <c r="BS151" s="85">
        <f>IF(E151="","",IF(ISNUMBER('Dvd Calendar'!$G$2086)=FALSE,"",IF((Summary!$C$13="N")*('Dvd Calendar'!$G$2090='Field Check'!$C$25)&gt;0,"",'Dvd Calendar'!$G$2086)))</f>
        <v/>
      </c>
      <c r="BT151" s="85">
        <f>IF(F151="","",IF(ISNUMBER('Dvd Calendar'!$H$2086)=FALSE,"",IF((Summary!$C$13="N")*('Dvd Calendar'!$H$2090='Field Check'!$C$25)&gt;0,"",'Dvd Calendar'!$H$2086)))</f>
        <v/>
      </c>
      <c r="BU151" s="85">
        <f>IF(G151="","",IF(ISNUMBER('Dvd Calendar'!$I$2086)=FALSE,"",IF((Summary!$C$13="N")*('Dvd Calendar'!$I$2090='Field Check'!$C$25)&gt;0,"",'Dvd Calendar'!$I$2086)))</f>
        <v/>
      </c>
      <c r="BV151" s="85">
        <f>IF(H151="","",IF(ISNUMBER('Dvd Calendar'!$J$2086)=FALSE,"",IF((Summary!$C$13="N")*('Dvd Calendar'!$J$2090='Field Check'!$C$25)&gt;0,"",'Dvd Calendar'!$J$2086)))</f>
        <v/>
      </c>
      <c r="BW151" s="85">
        <f>IF(I151="","",IF(ISNUMBER('Dvd Calendar'!$K$2086)=FALSE,"",IF((Summary!$C$13="N")*('Dvd Calendar'!$K$2090='Field Check'!$C$25)&gt;0,"",'Dvd Calendar'!$K$2086)))</f>
        <v/>
      </c>
      <c r="BX151" s="85">
        <f>IF(J151="","",IF(ISNUMBER('Dvd Calendar'!$L$2086)=FALSE,"",IF((Summary!$C$13="N")*('Dvd Calendar'!$L$2090='Field Check'!$C$25)&gt;0,"",'Dvd Calendar'!$L$2086)))</f>
        <v/>
      </c>
      <c r="BY151" s="85">
        <f>IF(K151="","",IF(ISNUMBER('Dvd Calendar'!$M$2086)=FALSE,"",IF((Summary!$C$13="N")*('Dvd Calendar'!$M$2090='Field Check'!$C$25)&gt;0,"",'Dvd Calendar'!$M$2086)))</f>
        <v/>
      </c>
      <c r="BZ151" s="85">
        <f>IF(L151="","",IF(ISNUMBER('Dvd Calendar'!$N$2086)=FALSE,"",IF((Summary!$C$13="N")*('Dvd Calendar'!$N$2090='Field Check'!$C$25)&gt;0,"",'Dvd Calendar'!$N$2086)))</f>
        <v/>
      </c>
      <c r="CA151" s="85">
        <f>IF(M151="","",IF(ISNUMBER('Dvd Calendar'!$O$2086)=FALSE,"",IF((Summary!$C$13="N")*('Dvd Calendar'!$O$2090='Field Check'!$C$25)&gt;0,"",'Dvd Calendar'!$O$2086)))</f>
        <v/>
      </c>
      <c r="CB151" s="85">
        <f>IF(N151="","",IF(ISNUMBER('Dvd Calendar'!$P$2086)=FALSE,"",IF((Summary!$C$13="N")*('Dvd Calendar'!$P$2090='Field Check'!$C$25)&gt;0,"",'Dvd Calendar'!$P$2086)))</f>
        <v/>
      </c>
      <c r="CC151" s="85">
        <f>IF(O151="","",IF(ISNUMBER('Dvd Calendar'!$Q$2086)=FALSE,"",IF((Summary!$C$13="N")*('Dvd Calendar'!$Q$2090='Field Check'!$C$25)&gt;0,"",'Dvd Calendar'!$Q$2086)))</f>
        <v/>
      </c>
      <c r="CD151" s="85">
        <f>IF(P151="","",IF(ISNUMBER('Dvd Calendar'!$R$2086)=FALSE,"",IF((Summary!$C$13="N")*('Dvd Calendar'!$R$2090='Field Check'!$C$25)&gt;0,"",'Dvd Calendar'!$R$2086)))</f>
        <v/>
      </c>
      <c r="CE151" s="85">
        <f>IF(Q151="","",IF(ISNUMBER('Dvd Calendar'!$S$2086)=FALSE,"",IF((Summary!$C$13="N")*('Dvd Calendar'!$S$2090='Field Check'!$C$25)&gt;0,"",'Dvd Calendar'!$S$2086)))</f>
        <v/>
      </c>
      <c r="CF151" s="85">
        <f>IF(R151="","",IF(ISNUMBER('Dvd Calendar'!$T$2086)=FALSE,"",IF((Summary!$C$13="N")*('Dvd Calendar'!$T$2090='Field Check'!$C$25)&gt;0,"",'Dvd Calendar'!$T$2086)))</f>
        <v/>
      </c>
      <c r="CG151" s="85">
        <f>IF(S151="","",IF(ISNUMBER('Dvd Calendar'!$U$2086)=FALSE,"",IF((Summary!$C$13="N")*('Dvd Calendar'!$U$2090='Field Check'!$C$25)&gt;0,"",'Dvd Calendar'!$U$2086)))</f>
        <v/>
      </c>
      <c r="CH151" s="85">
        <f>IF(T151="","",IF(ISNUMBER('Dvd Calendar'!$V$2086)=FALSE,"",IF((Summary!$C$13="N")*('Dvd Calendar'!$V$2090='Field Check'!$C$25)&gt;0,"",'Dvd Calendar'!$V$2086)))</f>
        <v/>
      </c>
      <c r="CI151" s="85">
        <f>IF(U151="","",IF(ISNUMBER('Dvd Calendar'!$W$2086)=FALSE,"",IF((Summary!$C$13="N")*('Dvd Calendar'!$W$2090='Field Check'!$C$25)&gt;0,"",'Dvd Calendar'!$W$2086)))</f>
        <v/>
      </c>
      <c r="CJ151" s="85">
        <f>IF(V151="","",IF(ISNUMBER('Dvd Calendar'!$X$2086)=FALSE,"",IF((Summary!$C$13="N")*('Dvd Calendar'!$X$2090='Field Check'!$C$25)&gt;0,"",'Dvd Calendar'!$X$2086)))</f>
        <v/>
      </c>
      <c r="CK151" s="85">
        <f>IF(W151="","",IF(ISNUMBER('Dvd Calendar'!$Y$2086)=FALSE,"",IF((Summary!$C$13="N")*('Dvd Calendar'!$Y$2090='Field Check'!$C$25)&gt;0,"",'Dvd Calendar'!$Y$2086)))</f>
        <v/>
      </c>
      <c r="CL151" s="85">
        <f>IF(X151="","",IF(ISNUMBER('Dvd Calendar'!$Z$2086)=FALSE,"",IF((Summary!$C$13="N")*('Dvd Calendar'!$Z$2090='Field Check'!$C$25)&gt;0,"",'Dvd Calendar'!$Z$2086)))</f>
        <v/>
      </c>
      <c r="CM151" s="85">
        <f>IF(Y151="","",IF(ISNUMBER('Dvd Calendar'!$AA$2086)=FALSE,"",IF((Summary!$C$13="N")*('Dvd Calendar'!$AA$2090='Field Check'!$C$25)&gt;0,"",'Dvd Calendar'!$AA$2086)))</f>
        <v/>
      </c>
      <c r="CN151" s="85">
        <f>IF(Z151="","",IF(ISNUMBER('Dvd Calendar'!$AB$2086)=FALSE,"",IF((Summary!$C$13="N")*('Dvd Calendar'!$AB$2090='Field Check'!$C$25)&gt;0,"",'Dvd Calendar'!$AB$2086)))</f>
        <v/>
      </c>
      <c r="CO151" s="85">
        <f>IF(AA151="","",IF(ISNUMBER('Dvd Calendar'!$AC$2086)=FALSE,"",IF((Summary!$C$13="N")*('Dvd Calendar'!$AC$2090='Field Check'!$C$25)&gt;0,"",'Dvd Calendar'!$AC$2086)))</f>
        <v/>
      </c>
      <c r="CP151" s="85">
        <f>IF(AB151="","",IF(ISNUMBER('Dvd Calendar'!$AD$2086)=FALSE,"",IF((Summary!$C$13="N")*('Dvd Calendar'!$AD$2090='Field Check'!$C$25)&gt;0,"",'Dvd Calendar'!$AD$2086)))</f>
        <v/>
      </c>
      <c r="CQ151" s="85">
        <f>IF(AC151="","",IF(ISNUMBER('Dvd Calendar'!$AE$2086)=FALSE,"",IF((Summary!$C$13="N")*('Dvd Calendar'!$AE$2090='Field Check'!$C$25)&gt;0,"",'Dvd Calendar'!$AE$2086)))</f>
        <v/>
      </c>
      <c r="CR151" s="85">
        <f>IF(AD151="","",IF(ISNUMBER('Dvd Calendar'!$AF$2086)=FALSE,"",IF((Summary!$C$13="N")*('Dvd Calendar'!$AF$2090='Field Check'!$C$25)&gt;0,"",'Dvd Calendar'!$AF$2086)))</f>
        <v/>
      </c>
      <c r="CS151" s="85">
        <f>IF(AE151="","",IF(ISNUMBER('Dvd Calendar'!$AG$2086)=FALSE,"",IF((Summary!$C$13="N")*('Dvd Calendar'!$AG$2090='Field Check'!$C$25)&gt;0,"",'Dvd Calendar'!$AG$2086)))</f>
        <v/>
      </c>
      <c r="CT151" s="85">
        <f>IF(AF151="","",IF(ISNUMBER('Dvd Calendar'!$AH$2086)=FALSE,"",IF((Summary!$C$13="N")*('Dvd Calendar'!$AH$2090='Field Check'!$C$25)&gt;0,"",'Dvd Calendar'!$AH$2086)))</f>
        <v/>
      </c>
      <c r="CU151" s="85">
        <f>IF(AG151="","",IF(ISNUMBER('Dvd Calendar'!$AI$2086)=FALSE,"",IF((Summary!$C$13="N")*('Dvd Calendar'!$AI$2090='Field Check'!$C$25)&gt;0,"",'Dvd Calendar'!$AI$2086)))</f>
        <v/>
      </c>
      <c r="CV151" s="85">
        <f>IF(AH151="","",IF(ISNUMBER('Dvd Calendar'!$AJ$2086)=FALSE,"",IF((Summary!$C$13="N")*('Dvd Calendar'!$AJ$2090='Field Check'!$C$25)&gt;0,"",'Dvd Calendar'!$AJ$2086)))</f>
        <v/>
      </c>
      <c r="CW151" s="85">
        <f>IF(AI151="","",IF(ISNUMBER('Dvd Calendar'!$AK$2086)=FALSE,"",IF((Summary!$C$13="N")*('Dvd Calendar'!$AK$2090='Field Check'!$C$25)&gt;0,"",'Dvd Calendar'!$AK$2086)))</f>
        <v/>
      </c>
      <c r="CX151" s="85">
        <f>IF(AJ151="","",IF(ISNUMBER('Dvd Calendar'!$AL$2086)=FALSE,"",IF((Summary!$C$13="N")*('Dvd Calendar'!$AL$2090='Field Check'!$C$25)&gt;0,"",'Dvd Calendar'!$AL$2086)))</f>
        <v/>
      </c>
      <c r="CY151" s="85">
        <f>IF(AK151="","",IF(ISNUMBER('Dvd Calendar'!$AM$2086)=FALSE,"",IF((Summary!$C$13="N")*('Dvd Calendar'!$AM$2090='Field Check'!$C$25)&gt;0,"",'Dvd Calendar'!$AM$2086)))</f>
        <v/>
      </c>
      <c r="CZ151" s="85">
        <f>IF(AL151="","",IF(ISNUMBER('Dvd Calendar'!$AN$2086)=FALSE,"",IF((Summary!$C$13="N")*('Dvd Calendar'!$AN$2090='Field Check'!$C$25)&gt;0,"",'Dvd Calendar'!$AN$2086)))</f>
        <v/>
      </c>
      <c r="DA151" s="85">
        <f>IF(AM151="","",IF(ISNUMBER('Dvd Calendar'!$AO$2086)=FALSE,"",IF((Summary!$C$13="N")*('Dvd Calendar'!$AO$2090='Field Check'!$C$25)&gt;0,"",'Dvd Calendar'!$AO$2086)))</f>
        <v/>
      </c>
      <c r="DB151" s="85">
        <f>IF(AN151="","",IF(ISNUMBER('Dvd Calendar'!$AP$2086)=FALSE,"",IF((Summary!$C$13="N")*('Dvd Calendar'!$AP$2090='Field Check'!$C$25)&gt;0,"",'Dvd Calendar'!$AP$2086)))</f>
        <v/>
      </c>
      <c r="DC151" s="85">
        <f>IF(AO151="","",IF(ISNUMBER('Dvd Calendar'!$AQ$2086)=FALSE,"",IF((Summary!$C$13="N")*('Dvd Calendar'!$AQ$2090='Field Check'!$C$25)&gt;0,"",'Dvd Calendar'!$AQ$2086)))</f>
        <v/>
      </c>
      <c r="DD151" s="85">
        <f>IF(AP151="","",IF(ISNUMBER('Dvd Calendar'!$AR$2086)=FALSE,"",IF((Summary!$C$13="N")*('Dvd Calendar'!$AR$2090='Field Check'!$C$25)&gt;0,"",'Dvd Calendar'!$AR$2086)))</f>
        <v/>
      </c>
      <c r="DE151" s="85">
        <f>IF(AQ151="","",IF(ISNUMBER('Dvd Calendar'!$E$2093)=FALSE,"",IF((Summary!$C$13="N")*('Dvd Calendar'!$E$2097='Field Check'!$C$25)&gt;0,"",'Dvd Calendar'!$E$2093)))</f>
        <v/>
      </c>
      <c r="DF151" s="85">
        <f>IF(AR151="","",IF(ISNUMBER('Dvd Calendar'!$F$2093)=FALSE,"",IF((Summary!$C$13="N")*('Dvd Calendar'!$F$2097='Field Check'!$C$25)&gt;0,"",'Dvd Calendar'!$F$2093)))</f>
        <v/>
      </c>
      <c r="DG151" s="85">
        <f>IF(AS151="","",IF(ISNUMBER('Dvd Calendar'!$G$2093)=FALSE,"",IF((Summary!$C$13="N")*('Dvd Calendar'!$G$2097='Field Check'!$C$25)&gt;0,"",'Dvd Calendar'!$G$2093)))</f>
        <v/>
      </c>
      <c r="DH151" s="85">
        <f>IF(AT151="","",IF(ISNUMBER('Dvd Calendar'!$H$2093)=FALSE,"",IF((Summary!$C$13="N")*('Dvd Calendar'!$H$2097='Field Check'!$C$25)&gt;0,"",'Dvd Calendar'!$H$2093)))</f>
        <v/>
      </c>
      <c r="DI151" s="85">
        <f>IF(AU151="","",IF(ISNUMBER('Dvd Calendar'!$I$2093)=FALSE,"",IF((Summary!$C$13="N")*('Dvd Calendar'!$I$2097='Field Check'!$C$25)&gt;0,"",'Dvd Calendar'!$I$2093)))</f>
        <v/>
      </c>
      <c r="DJ151" s="85">
        <f>IF(AV151="","",IF(ISNUMBER('Dvd Calendar'!$J$2093)=FALSE,"",IF((Summary!$C$13="N")*('Dvd Calendar'!$J$2097='Field Check'!$C$25)&gt;0,"",'Dvd Calendar'!$J$2093)))</f>
        <v/>
      </c>
      <c r="DK151" s="85">
        <f>IF(AW151="","",IF(ISNUMBER('Dvd Calendar'!$K$2093)=FALSE,"",IF((Summary!$C$13="N")*('Dvd Calendar'!$K$2097='Field Check'!$C$25)&gt;0,"",'Dvd Calendar'!$K$2093)))</f>
        <v/>
      </c>
      <c r="DL151" s="85">
        <f>IF(AX151="","",IF(ISNUMBER('Dvd Calendar'!$L$2093)=FALSE,"",IF((Summary!$C$13="N")*('Dvd Calendar'!$L$2097='Field Check'!$C$25)&gt;0,"",'Dvd Calendar'!$L$2093)))</f>
        <v/>
      </c>
      <c r="DM151" s="85">
        <f>IF(AY151="","",IF(ISNUMBER('Dvd Calendar'!$M$2093)=FALSE,"",IF((Summary!$C$13="N")*('Dvd Calendar'!$M$2097='Field Check'!$C$25)&gt;0,"",'Dvd Calendar'!$M$2093)))</f>
        <v/>
      </c>
      <c r="DN151" s="85">
        <f>IF(AZ151="","",IF(ISNUMBER('Dvd Calendar'!$N$2093)=FALSE,"",IF((Summary!$C$13="N")*('Dvd Calendar'!$N$2097='Field Check'!$C$25)&gt;0,"",'Dvd Calendar'!$N$2093)))</f>
        <v/>
      </c>
      <c r="DO151" s="85">
        <f>IF(BA151="","",IF(ISNUMBER('Dvd Calendar'!$O$2093)=FALSE,"",IF((Summary!$C$13="N")*('Dvd Calendar'!$O$2097='Field Check'!$C$25)&gt;0,"",'Dvd Calendar'!$O$2093)))</f>
        <v/>
      </c>
      <c r="DP151" s="85">
        <f>IF(BB151="","",IF(ISNUMBER('Dvd Calendar'!$P$2093)=FALSE,"",IF((Summary!$C$13="N")*('Dvd Calendar'!$P$2097='Field Check'!$C$25)&gt;0,"",'Dvd Calendar'!$P$2093)))</f>
        <v/>
      </c>
      <c r="DQ151" s="85">
        <f>IF(BC151="","",IF(ISNUMBER('Dvd Calendar'!$Q$2093)=FALSE,"",IF((Summary!$C$13="N")*('Dvd Calendar'!$Q$2097='Field Check'!$C$25)&gt;0,"",'Dvd Calendar'!$Q$2093)))</f>
        <v/>
      </c>
      <c r="DR151" s="85">
        <f>IF(BD151="","",IF(ISNUMBER('Dvd Calendar'!$R$2093)=FALSE,"",IF((Summary!$C$13="N")*('Dvd Calendar'!$R$2097='Field Check'!$C$25)&gt;0,"",'Dvd Calendar'!$R$2093)))</f>
        <v/>
      </c>
      <c r="DS151" s="85">
        <f>IF(BE151="","",IF(ISNUMBER('Dvd Calendar'!$S$2093)=FALSE,"",IF((Summary!$C$13="N")*('Dvd Calendar'!$S$2097='Field Check'!$C$25)&gt;0,"",'Dvd Calendar'!$S$2093)))</f>
        <v/>
      </c>
      <c r="DT151" s="85">
        <f>IF(BF151="","",IF(ISNUMBER('Dvd Calendar'!$T$2093)=FALSE,"",IF((Summary!$C$13="N")*('Dvd Calendar'!$T$2097='Field Check'!$C$25)&gt;0,"",'Dvd Calendar'!$T$2093)))</f>
        <v/>
      </c>
      <c r="DU151" s="85">
        <f>IF(BG151="","",IF(ISNUMBER('Dvd Calendar'!$U$2093)=FALSE,"",IF((Summary!$C$13="N")*('Dvd Calendar'!$U$2097='Field Check'!$C$25)&gt;0,"",'Dvd Calendar'!$U$2093)))</f>
        <v/>
      </c>
      <c r="DV151" s="85">
        <f>IF(BH151="","",IF(ISNUMBER('Dvd Calendar'!$V$2093)=FALSE,"",IF((Summary!$C$13="N")*('Dvd Calendar'!$V$2097='Field Check'!$C$25)&gt;0,"",'Dvd Calendar'!$V$2093)))</f>
        <v/>
      </c>
      <c r="DW151" s="85">
        <f>IF(BI151="","",IF(ISNUMBER('Dvd Calendar'!$W$2093)=FALSE,"",IF((Summary!$C$13="N")*('Dvd Calendar'!$W$2097='Field Check'!$C$25)&gt;0,"",'Dvd Calendar'!$W$2093)))</f>
        <v/>
      </c>
      <c r="DX151" s="85">
        <f>IF(BJ151="","",IF(ISNUMBER('Dvd Calendar'!$X$2093)=FALSE,"",IF((Summary!$C$13="N")*('Dvd Calendar'!$X$2097='Field Check'!$C$25)&gt;0,"",'Dvd Calendar'!$X$2093)))</f>
        <v/>
      </c>
      <c r="DY151" s="85">
        <f>IF(BK151="","",IF(ISNUMBER('Dvd Calendar'!$Y$2093)=FALSE,"",IF((Summary!$C$13="N")*('Dvd Calendar'!$Y$2097='Field Check'!$C$25)&gt;0,"",'Dvd Calendar'!$Y$2093)))</f>
        <v/>
      </c>
      <c r="DZ151" s="85">
        <f>IF(BL151="","",IF(ISNUMBER('Dvd Calendar'!$Z$2093)=FALSE,"",IF((Summary!$C$13="N")*('Dvd Calendar'!$Z$2097='Field Check'!$C$25)&gt;0,"",'Dvd Calendar'!$Z$2093)))</f>
        <v/>
      </c>
      <c r="EA151" s="85">
        <f>IF(BM151="","",IF(ISNUMBER('Dvd Calendar'!$AA$2093)=FALSE,"",IF((Summary!$C$13="N")*('Dvd Calendar'!$AA$2097='Field Check'!$C$25)&gt;0,"",'Dvd Calendar'!$AA$2093)))</f>
        <v/>
      </c>
      <c r="EB151" s="85">
        <f>IF(BN151="","",IF(ISNUMBER('Dvd Calendar'!$AB$2093)=FALSE,"",IF((Summary!$C$13="N")*('Dvd Calendar'!$AB$2097='Field Check'!$C$25)&gt;0,"",'Dvd Calendar'!$AB$2093)))</f>
        <v/>
      </c>
      <c r="EC151" s="85">
        <f>IF(BO151="","",IF(ISNUMBER('Dvd Calendar'!$AC$2093)=FALSE,"",IF((Summary!$C$13="N")*('Dvd Calendar'!$AC$2097='Field Check'!$C$25)&gt;0,"",'Dvd Calendar'!$AC$2093)))</f>
        <v/>
      </c>
      <c r="EE151" s="85">
        <f>IF(BQ151="","",IFERROR(BQ151*HSTECH!$B$45*HSTECH!$G$45/HSTECH!$B$3,""))</f>
        <v/>
      </c>
      <c r="EF151" s="85">
        <f>IF(BR151="","",IFERROR(BR151*HSTECH!$B$45*HSTECH!$G$45/HSTECH!$B$3,""))</f>
        <v/>
      </c>
      <c r="EG151" s="85">
        <f>IF(BS151="","",IFERROR(BS151*HSTECH!$B$45*HSTECH!$G$45/HSTECH!$B$3,""))</f>
        <v/>
      </c>
      <c r="EH151" s="85">
        <f>IF(BT151="","",IFERROR(BT151*HSTECH!$B$45*HSTECH!$G$45/HSTECH!$B$3,""))</f>
        <v/>
      </c>
      <c r="EI151" s="85">
        <f>IF(BU151="","",IFERROR(BU151*HSTECH!$B$45*HSTECH!$G$45/HSTECH!$B$3,""))</f>
        <v/>
      </c>
      <c r="EJ151" s="85">
        <f>IF(BV151="","",IFERROR(BV151*HSTECH!$B$45*HSTECH!$G$45/HSTECH!$B$3,""))</f>
        <v/>
      </c>
      <c r="EK151" s="85">
        <f>IF(BW151="","",IFERROR(BW151*HSTECH!$B$45*HSTECH!$G$45/HSTECH!$B$3,""))</f>
        <v/>
      </c>
      <c r="EL151" s="85">
        <f>IF(BX151="","",IFERROR(BX151*HSTECH!$B$45*HSTECH!$G$45/HSTECH!$B$3,""))</f>
        <v/>
      </c>
      <c r="EM151" s="85">
        <f>IF(BY151="","",IFERROR(BY151*HSTECH!$B$45*HSTECH!$G$45/HSTECH!$B$3,""))</f>
        <v/>
      </c>
      <c r="EN151" s="85">
        <f>IF(BZ151="","",IFERROR(BZ151*HSTECH!$B$45*HSTECH!$G$45/HSTECH!$B$3,""))</f>
        <v/>
      </c>
      <c r="EO151" s="85">
        <f>IF(CA151="","",IFERROR(CA151*HSTECH!$B$45*HSTECH!$G$45/HSTECH!$B$3,""))</f>
        <v/>
      </c>
      <c r="EP151" s="85">
        <f>IF(CB151="","",IFERROR(CB151*HSTECH!$B$45*HSTECH!$G$45/HSTECH!$B$3,""))</f>
        <v/>
      </c>
      <c r="EQ151" s="85">
        <f>IF(CC151="","",IFERROR(CC151*HSTECH!$B$45*HSTECH!$G$45/HSTECH!$B$3,""))</f>
        <v/>
      </c>
      <c r="ER151" s="85">
        <f>IF(CD151="","",IFERROR(CD151*HSTECH!$B$45*HSTECH!$G$45/HSTECH!$B$3,""))</f>
        <v/>
      </c>
      <c r="ES151" s="85">
        <f>IF(CE151="","",IFERROR(CE151*HSTECH!$B$45*HSTECH!$G$45/HSTECH!$B$3,""))</f>
        <v/>
      </c>
      <c r="ET151" s="85">
        <f>IF(CF151="","",IFERROR(CF151*HSTECH!$B$45*HSTECH!$G$45/HSTECH!$B$3,""))</f>
        <v/>
      </c>
      <c r="EU151" s="85">
        <f>IF(CG151="","",IFERROR(CG151*HSTECH!$B$45*HSTECH!$G$45/HSTECH!$B$3,""))</f>
        <v/>
      </c>
      <c r="EV151" s="85">
        <f>IF(CH151="","",IFERROR(CH151*HSTECH!$B$45*HSTECH!$G$45/HSTECH!$B$3,""))</f>
        <v/>
      </c>
      <c r="EW151" s="85">
        <f>IF(CI151="","",IFERROR(CI151*HSTECH!$B$45*HSTECH!$G$45/HSTECH!$B$3,""))</f>
        <v/>
      </c>
      <c r="EX151" s="85">
        <f>IF(CJ151="","",IFERROR(CJ151*HSTECH!$B$45*HSTECH!$G$45/HSTECH!$B$3,""))</f>
        <v/>
      </c>
      <c r="EY151" s="85">
        <f>IF(CK151="","",IFERROR(CK151*HSTECH!$B$45*HSTECH!$G$45/HSTECH!$B$3,""))</f>
        <v/>
      </c>
      <c r="EZ151" s="85">
        <f>IF(CL151="","",IFERROR(CL151*HSTECH!$B$45*HSTECH!$G$45/HSTECH!$B$3,""))</f>
        <v/>
      </c>
      <c r="FA151" s="85">
        <f>IF(CM151="","",IFERROR(CM151*HSTECH!$B$45*HSTECH!$G$45/HSTECH!$B$3,""))</f>
        <v/>
      </c>
      <c r="FB151" s="85">
        <f>IF(CN151="","",IFERROR(CN151*HSTECH!$B$45*HSTECH!$G$45/HSTECH!$B$3,""))</f>
        <v/>
      </c>
      <c r="FC151" s="85">
        <f>IF(CO151="","",IFERROR(CO151*HSTECH!$B$45*HSTECH!$G$45/HSTECH!$B$3,""))</f>
        <v/>
      </c>
      <c r="FD151" s="85">
        <f>IF(CP151="","",IFERROR(CP151*HSTECH!$B$45*HSTECH!$G$45/HSTECH!$B$3,""))</f>
        <v/>
      </c>
      <c r="FE151" s="85">
        <f>IF(CQ151="","",IFERROR(CQ151*HSTECH!$B$45*HSTECH!$G$45/HSTECH!$B$3,""))</f>
        <v/>
      </c>
      <c r="FF151" s="85">
        <f>IF(CR151="","",IFERROR(CR151*HSTECH!$B$45*HSTECH!$G$45/HSTECH!$B$3,""))</f>
        <v/>
      </c>
      <c r="FG151" s="85">
        <f>IF(CS151="","",IFERROR(CS151*HSTECH!$B$45*HSTECH!$G$45/HSTECH!$B$3,""))</f>
        <v/>
      </c>
      <c r="FH151" s="85">
        <f>IF(CT151="","",IFERROR(CT151*HSTECH!$B$45*HSTECH!$G$45/HSTECH!$B$3,""))</f>
        <v/>
      </c>
      <c r="FI151" s="85">
        <f>IF(CU151="","",IFERROR(CU151*HSTECH!$B$45*HSTECH!$G$45/HSTECH!$B$3,""))</f>
        <v/>
      </c>
      <c r="FJ151" s="85">
        <f>IF(CV151="","",IFERROR(CV151*HSTECH!$B$45*HSTECH!$G$45/HSTECH!$B$3,""))</f>
        <v/>
      </c>
      <c r="FK151" s="85">
        <f>IF(CW151="","",IFERROR(CW151*HSTECH!$B$45*HSTECH!$G$45/HSTECH!$B$3,""))</f>
        <v/>
      </c>
      <c r="FL151" s="85">
        <f>IF(CX151="","",IFERROR(CX151*HSTECH!$B$45*HSTECH!$G$45/HSTECH!$B$3,""))</f>
        <v/>
      </c>
      <c r="FM151" s="85">
        <f>IF(CY151="","",IFERROR(CY151*HSTECH!$B$45*HSTECH!$G$45/HSTECH!$B$3,""))</f>
        <v/>
      </c>
      <c r="FN151" s="85">
        <f>IF(CZ151="","",IFERROR(CZ151*HSTECH!$B$45*HSTECH!$G$45/HSTECH!$B$3,""))</f>
        <v/>
      </c>
      <c r="FO151" s="85">
        <f>IF(DA151="","",IFERROR(DA151*HSTECH!$B$45*HSTECH!$G$45/HSTECH!$B$3,""))</f>
        <v/>
      </c>
      <c r="FP151" s="85">
        <f>IF(DB151="","",IFERROR(DB151*HSTECH!$B$45*HSTECH!$G$45/HSTECH!$B$3,""))</f>
        <v/>
      </c>
      <c r="FQ151" s="85">
        <f>IF(DC151="","",IFERROR(DC151*HSTECH!$B$45*HSTECH!$G$45/HSTECH!$B$3,""))</f>
        <v/>
      </c>
      <c r="FR151" s="85">
        <f>IF(DD151="","",IFERROR(DD151*HSTECH!$B$45*HSTECH!$G$45/HSTECH!$B$3,""))</f>
        <v/>
      </c>
      <c r="FS151" s="85">
        <f>IF(DE151="","",IFERROR(DE151*HSTECH!$B$45*HSTECH!$G$45/HSTECH!$B$3,""))</f>
        <v/>
      </c>
      <c r="FT151" s="85">
        <f>IF(DF151="","",IFERROR(DF151*HSTECH!$B$45*HSTECH!$G$45/HSTECH!$B$3,""))</f>
        <v/>
      </c>
      <c r="FU151" s="85">
        <f>IF(DG151="","",IFERROR(DG151*HSTECH!$B$45*HSTECH!$G$45/HSTECH!$B$3,""))</f>
        <v/>
      </c>
      <c r="FV151" s="85">
        <f>IF(DH151="","",IFERROR(DH151*HSTECH!$B$45*HSTECH!$G$45/HSTECH!$B$3,""))</f>
        <v/>
      </c>
      <c r="FW151" s="85">
        <f>IF(DI151="","",IFERROR(DI151*HSTECH!$B$45*HSTECH!$G$45/HSTECH!$B$3,""))</f>
        <v/>
      </c>
      <c r="FX151" s="85">
        <f>IF(DJ151="","",IFERROR(DJ151*HSTECH!$B$45*HSTECH!$G$45/HSTECH!$B$3,""))</f>
        <v/>
      </c>
      <c r="FY151" s="85">
        <f>IF(DK151="","",IFERROR(DK151*HSTECH!$B$45*HSTECH!$G$45/HSTECH!$B$3,""))</f>
        <v/>
      </c>
      <c r="FZ151" s="85">
        <f>IF(DL151="","",IFERROR(DL151*HSTECH!$B$45*HSTECH!$G$45/HSTECH!$B$3,""))</f>
        <v/>
      </c>
      <c r="GA151" s="85">
        <f>IF(DM151="","",IFERROR(DM151*HSTECH!$B$45*HSTECH!$G$45/HSTECH!$B$3,""))</f>
        <v/>
      </c>
      <c r="GB151" s="85">
        <f>IF(DN151="","",IFERROR(DN151*HSTECH!$B$45*HSTECH!$G$45/HSTECH!$B$3,""))</f>
        <v/>
      </c>
      <c r="GC151" s="85">
        <f>IF(DO151="","",IFERROR(DO151*HSTECH!$B$45*HSTECH!$G$45/HSTECH!$B$3,""))</f>
        <v/>
      </c>
      <c r="GD151" s="85">
        <f>IF(DP151="","",IFERROR(DP151*HSTECH!$B$45*HSTECH!$G$45/HSTECH!$B$3,""))</f>
        <v/>
      </c>
      <c r="GE151" s="85">
        <f>IF(DQ151="","",IFERROR(DQ151*HSTECH!$B$45*HSTECH!$G$45/HSTECH!$B$3,""))</f>
        <v/>
      </c>
      <c r="GF151" s="85">
        <f>IF(DR151="","",IFERROR(DR151*HSTECH!$B$45*HSTECH!$G$45/HSTECH!$B$3,""))</f>
        <v/>
      </c>
      <c r="GG151" s="85">
        <f>IF(DS151="","",IFERROR(DS151*HSTECH!$B$45*HSTECH!$G$45/HSTECH!$B$3,""))</f>
        <v/>
      </c>
      <c r="GH151" s="85">
        <f>IF(DT151="","",IFERROR(DT151*HSTECH!$B$45*HSTECH!$G$45/HSTECH!$B$3,""))</f>
        <v/>
      </c>
      <c r="GI151" s="85">
        <f>IF(DU151="","",IFERROR(DU151*HSTECH!$B$45*HSTECH!$G$45/HSTECH!$B$3,""))</f>
        <v/>
      </c>
      <c r="GJ151" s="85">
        <f>IF(DV151="","",IFERROR(DV151*HSTECH!$B$45*HSTECH!$G$45/HSTECH!$B$3,""))</f>
        <v/>
      </c>
      <c r="GK151" s="85">
        <f>IF(DW151="","",IFERROR(DW151*HSTECH!$B$45*HSTECH!$G$45/HSTECH!$B$3,""))</f>
        <v/>
      </c>
      <c r="GL151" s="85">
        <f>IF(DX151="","",IFERROR(DX151*HSTECH!$B$45*HSTECH!$G$45/HSTECH!$B$3,""))</f>
        <v/>
      </c>
      <c r="GM151" s="85">
        <f>IF(DY151="","",IFERROR(DY151*HSTECH!$B$45*HSTECH!$G$45/HSTECH!$B$3,""))</f>
        <v/>
      </c>
      <c r="GN151" s="85">
        <f>IF(DZ151="","",IFERROR(DZ151*HSTECH!$B$45*HSTECH!$G$45/HSTECH!$B$3,""))</f>
        <v/>
      </c>
      <c r="GO151" s="85">
        <f>IF(EA151="","",IFERROR(EA151*HSTECH!$B$45*HSTECH!$G$45/HSTECH!$B$3,""))</f>
        <v/>
      </c>
      <c r="GP151" s="85">
        <f>IF(EB151="","",IFERROR(EB151*HSTECH!$B$45*HSTECH!$G$45/HSTECH!$B$3,""))</f>
        <v/>
      </c>
      <c r="GQ151" s="85">
        <f>IF(EC151="","",IFERROR(EC151*HSTECH!$B$45*HSTECH!$G$45/HSTECH!$B$3,""))</f>
        <v/>
      </c>
    </row>
    <row r="152">
      <c r="B152" s="2">
        <f>IF(HSTECH!$C$46="","",HSTECH!$C$46)</f>
        <v/>
      </c>
      <c r="C152" s="41">
        <f>IF(N('Dvd Calendar'!$E$2100)=0,"",IF(('Dvd Calendar'!$E$2100&gt;=MIN(DATE(Summary!$C$12,1,1),Summary!$C$11))*('Dvd Calendar'!$E$2100&lt;=MAX(DATE(Summary!$C$12,12,31),Summary!$C$15))*('Dvd Calendar'!$E$2100&lt;=Summary!$C$11)=0,"",'Dvd Calendar'!$E$2100*1000000000+ISNUMBER('Dvd Calendar'!$E$2101)*100000000+('Dvd Calendar'!$E$2105='Field Check'!$C$25)*10000000+(N('Dvd Calendar'!$E$2099)&gt;0)*1000000+40*1000+1))</f>
        <v/>
      </c>
      <c r="D152" s="41">
        <f>IF(N('Dvd Calendar'!$F$2100)=0,"",IF(('Dvd Calendar'!$F$2100&gt;=MIN(DATE(Summary!$C$12,1,1),Summary!$C$11))*('Dvd Calendar'!$F$2100&lt;=MAX(DATE(Summary!$C$12,12,31),Summary!$C$15))*('Dvd Calendar'!$F$2100&lt;=Summary!$C$11)=0,"",'Dvd Calendar'!$F$2100*1000000000+ISNUMBER('Dvd Calendar'!$F$2101)*100000000+('Dvd Calendar'!$F$2105='Field Check'!$C$25)*10000000+(N('Dvd Calendar'!$F$2099)&gt;0)*1000000+40*1000+2))</f>
        <v/>
      </c>
      <c r="E152" s="41">
        <f>IF(N('Dvd Calendar'!$G$2100)=0,"",IF(('Dvd Calendar'!$G$2100&gt;=MIN(DATE(Summary!$C$12,1,1),Summary!$C$11))*('Dvd Calendar'!$G$2100&lt;=MAX(DATE(Summary!$C$12,12,31),Summary!$C$15))*('Dvd Calendar'!$G$2100&lt;=Summary!$C$11)=0,"",'Dvd Calendar'!$G$2100*1000000000+ISNUMBER('Dvd Calendar'!$G$2101)*100000000+('Dvd Calendar'!$G$2105='Field Check'!$C$25)*10000000+(N('Dvd Calendar'!$G$2099)&gt;0)*1000000+40*1000+3))</f>
        <v/>
      </c>
      <c r="F152" s="41">
        <f>IF(N('Dvd Calendar'!$H$2100)=0,"",IF(('Dvd Calendar'!$H$2100&gt;=MIN(DATE(Summary!$C$12,1,1),Summary!$C$11))*('Dvd Calendar'!$H$2100&lt;=MAX(DATE(Summary!$C$12,12,31),Summary!$C$15))*('Dvd Calendar'!$H$2100&lt;=Summary!$C$11)=0,"",'Dvd Calendar'!$H$2100*1000000000+ISNUMBER('Dvd Calendar'!$H$2101)*100000000+('Dvd Calendar'!$H$2105='Field Check'!$C$25)*10000000+(N('Dvd Calendar'!$H$2099)&gt;0)*1000000+40*1000+4))</f>
        <v/>
      </c>
      <c r="G152" s="41">
        <f>IF(N('Dvd Calendar'!$I$2100)=0,"",IF(('Dvd Calendar'!$I$2100&gt;=MIN(DATE(Summary!$C$12,1,1),Summary!$C$11))*('Dvd Calendar'!$I$2100&lt;=MAX(DATE(Summary!$C$12,12,31),Summary!$C$15))*('Dvd Calendar'!$I$2100&lt;=Summary!$C$11)=0,"",'Dvd Calendar'!$I$2100*1000000000+ISNUMBER('Dvd Calendar'!$I$2101)*100000000+('Dvd Calendar'!$I$2105='Field Check'!$C$25)*10000000+(N('Dvd Calendar'!$I$2099)&gt;0)*1000000+40*1000+5))</f>
        <v/>
      </c>
      <c r="H152" s="41">
        <f>IF(N('Dvd Calendar'!$J$2100)=0,"",IF(('Dvd Calendar'!$J$2100&gt;=MIN(DATE(Summary!$C$12,1,1),Summary!$C$11))*('Dvd Calendar'!$J$2100&lt;=MAX(DATE(Summary!$C$12,12,31),Summary!$C$15))*('Dvd Calendar'!$J$2100&lt;=Summary!$C$11)=0,"",'Dvd Calendar'!$J$2100*1000000000+ISNUMBER('Dvd Calendar'!$J$2101)*100000000+('Dvd Calendar'!$J$2105='Field Check'!$C$25)*10000000+(N('Dvd Calendar'!$J$2099)&gt;0)*1000000+40*1000+6))</f>
        <v/>
      </c>
      <c r="I152" s="41">
        <f>IF(N('Dvd Calendar'!$K$2100)=0,"",IF(('Dvd Calendar'!$K$2100&gt;=MIN(DATE(Summary!$C$12,1,1),Summary!$C$11))*('Dvd Calendar'!$K$2100&lt;=MAX(DATE(Summary!$C$12,12,31),Summary!$C$15))*('Dvd Calendar'!$K$2100&lt;=Summary!$C$11)=0,"",'Dvd Calendar'!$K$2100*1000000000+ISNUMBER('Dvd Calendar'!$K$2101)*100000000+('Dvd Calendar'!$K$2105='Field Check'!$C$25)*10000000+(N('Dvd Calendar'!$K$2099)&gt;0)*1000000+40*1000+7))</f>
        <v/>
      </c>
      <c r="J152" s="41">
        <f>IF(N('Dvd Calendar'!$L$2100)=0,"",IF(('Dvd Calendar'!$L$2100&gt;=MIN(DATE(Summary!$C$12,1,1),Summary!$C$11))*('Dvd Calendar'!$L$2100&lt;=MAX(DATE(Summary!$C$12,12,31),Summary!$C$15))*('Dvd Calendar'!$L$2100&lt;=Summary!$C$11)=0,"",'Dvd Calendar'!$L$2100*1000000000+ISNUMBER('Dvd Calendar'!$L$2101)*100000000+('Dvd Calendar'!$L$2105='Field Check'!$C$25)*10000000+(N('Dvd Calendar'!$L$2099)&gt;0)*1000000+40*1000+8))</f>
        <v/>
      </c>
      <c r="K152" s="41">
        <f>IF(N('Dvd Calendar'!$M$2100)=0,"",IF(('Dvd Calendar'!$M$2100&gt;=MIN(DATE(Summary!$C$12,1,1),Summary!$C$11))*('Dvd Calendar'!$M$2100&lt;=MAX(DATE(Summary!$C$12,12,31),Summary!$C$15))*('Dvd Calendar'!$M$2100&lt;=Summary!$C$11)=0,"",'Dvd Calendar'!$M$2100*1000000000+ISNUMBER('Dvd Calendar'!$M$2101)*100000000+('Dvd Calendar'!$M$2105='Field Check'!$C$25)*10000000+(N('Dvd Calendar'!$M$2099)&gt;0)*1000000+40*1000+9))</f>
        <v/>
      </c>
      <c r="L152" s="41">
        <f>IF(N('Dvd Calendar'!$N$2100)=0,"",IF(('Dvd Calendar'!$N$2100&gt;=MIN(DATE(Summary!$C$12,1,1),Summary!$C$11))*('Dvd Calendar'!$N$2100&lt;=MAX(DATE(Summary!$C$12,12,31),Summary!$C$15))*('Dvd Calendar'!$N$2100&lt;=Summary!$C$11)=0,"",'Dvd Calendar'!$N$2100*1000000000+ISNUMBER('Dvd Calendar'!$N$2101)*100000000+('Dvd Calendar'!$N$2105='Field Check'!$C$25)*10000000+(N('Dvd Calendar'!$N$2099)&gt;0)*1000000+40*1000+10))</f>
        <v/>
      </c>
      <c r="M152" s="41">
        <f>IF(N('Dvd Calendar'!$O$2100)=0,"",IF(('Dvd Calendar'!$O$2100&gt;=MIN(DATE(Summary!$C$12,1,1),Summary!$C$11))*('Dvd Calendar'!$O$2100&lt;=MAX(DATE(Summary!$C$12,12,31),Summary!$C$15))*('Dvd Calendar'!$O$2100&lt;=Summary!$C$11)=0,"",'Dvd Calendar'!$O$2100*1000000000+ISNUMBER('Dvd Calendar'!$O$2101)*100000000+('Dvd Calendar'!$O$2105='Field Check'!$C$25)*10000000+(N('Dvd Calendar'!$O$2099)&gt;0)*1000000+40*1000+11))</f>
        <v/>
      </c>
      <c r="N152" s="41">
        <f>IF(N('Dvd Calendar'!$P$2100)=0,"",IF(('Dvd Calendar'!$P$2100&gt;=MIN(DATE(Summary!$C$12,1,1),Summary!$C$11))*('Dvd Calendar'!$P$2100&lt;=MAX(DATE(Summary!$C$12,12,31),Summary!$C$15))*('Dvd Calendar'!$P$2100&lt;=Summary!$C$11)=0,"",'Dvd Calendar'!$P$2100*1000000000+ISNUMBER('Dvd Calendar'!$P$2101)*100000000+('Dvd Calendar'!$P$2105='Field Check'!$C$25)*10000000+(N('Dvd Calendar'!$P$2099)&gt;0)*1000000+40*1000+12))</f>
        <v/>
      </c>
      <c r="O152" s="41">
        <f>IF(N('Dvd Calendar'!$Q$2100)=0,"",IF(('Dvd Calendar'!$Q$2100&gt;=MIN(DATE(Summary!$C$12,1,1),Summary!$C$11))*('Dvd Calendar'!$Q$2100&lt;=MAX(DATE(Summary!$C$12,12,31),Summary!$C$15))*('Dvd Calendar'!$Q$2100&lt;=Summary!$C$11)=0,"",'Dvd Calendar'!$Q$2100*1000000000+ISNUMBER('Dvd Calendar'!$Q$2101)*100000000+('Dvd Calendar'!$Q$2105='Field Check'!$C$25)*10000000+(N('Dvd Calendar'!$Q$2099)&gt;0)*1000000+40*1000+13))</f>
        <v/>
      </c>
      <c r="P152" s="41">
        <f>IF(N('Dvd Calendar'!$R$2100)=0,"",IF(('Dvd Calendar'!$R$2100&gt;=MIN(DATE(Summary!$C$12,1,1),Summary!$C$11))*('Dvd Calendar'!$R$2100&lt;=MAX(DATE(Summary!$C$12,12,31),Summary!$C$15))*('Dvd Calendar'!$R$2100&lt;=Summary!$C$11)=0,"",'Dvd Calendar'!$R$2100*1000000000+ISNUMBER('Dvd Calendar'!$R$2101)*100000000+('Dvd Calendar'!$R$2105='Field Check'!$C$25)*10000000+(N('Dvd Calendar'!$R$2099)&gt;0)*1000000+40*1000+14))</f>
        <v/>
      </c>
      <c r="Q152" s="41">
        <f>IF(N('Dvd Calendar'!$S$2100)=0,"",IF(('Dvd Calendar'!$S$2100&gt;=MIN(DATE(Summary!$C$12,1,1),Summary!$C$11))*('Dvd Calendar'!$S$2100&lt;=MAX(DATE(Summary!$C$12,12,31),Summary!$C$15))*('Dvd Calendar'!$S$2100&lt;=Summary!$C$11)=0,"",'Dvd Calendar'!$S$2100*1000000000+ISNUMBER('Dvd Calendar'!$S$2101)*100000000+('Dvd Calendar'!$S$2105='Field Check'!$C$25)*10000000+(N('Dvd Calendar'!$S$2099)&gt;0)*1000000+40*1000+15))</f>
        <v/>
      </c>
      <c r="R152" s="41">
        <f>IF(N('Dvd Calendar'!$T$2100)=0,"",IF(('Dvd Calendar'!$T$2100&gt;=MIN(DATE(Summary!$C$12,1,1),Summary!$C$11))*('Dvd Calendar'!$T$2100&lt;=MAX(DATE(Summary!$C$12,12,31),Summary!$C$15))*('Dvd Calendar'!$T$2100&lt;=Summary!$C$11)=0,"",'Dvd Calendar'!$T$2100*1000000000+ISNUMBER('Dvd Calendar'!$T$2101)*100000000+('Dvd Calendar'!$T$2105='Field Check'!$C$25)*10000000+(N('Dvd Calendar'!$T$2099)&gt;0)*1000000+40*1000+16))</f>
        <v/>
      </c>
      <c r="S152" s="41">
        <f>IF(N('Dvd Calendar'!$U$2100)=0,"",IF(('Dvd Calendar'!$U$2100&gt;=MIN(DATE(Summary!$C$12,1,1),Summary!$C$11))*('Dvd Calendar'!$U$2100&lt;=MAX(DATE(Summary!$C$12,12,31),Summary!$C$15))*('Dvd Calendar'!$U$2100&lt;=Summary!$C$11)=0,"",'Dvd Calendar'!$U$2100*1000000000+ISNUMBER('Dvd Calendar'!$U$2101)*100000000+('Dvd Calendar'!$U$2105='Field Check'!$C$25)*10000000+(N('Dvd Calendar'!$U$2099)&gt;0)*1000000+40*1000+17))</f>
        <v/>
      </c>
      <c r="T152" s="41">
        <f>IF(N('Dvd Calendar'!$V$2100)=0,"",IF(('Dvd Calendar'!$V$2100&gt;=MIN(DATE(Summary!$C$12,1,1),Summary!$C$11))*('Dvd Calendar'!$V$2100&lt;=MAX(DATE(Summary!$C$12,12,31),Summary!$C$15))*('Dvd Calendar'!$V$2100&lt;=Summary!$C$11)=0,"",'Dvd Calendar'!$V$2100*1000000000+ISNUMBER('Dvd Calendar'!$V$2101)*100000000+('Dvd Calendar'!$V$2105='Field Check'!$C$25)*10000000+(N('Dvd Calendar'!$V$2099)&gt;0)*1000000+40*1000+18))</f>
        <v/>
      </c>
      <c r="U152" s="41">
        <f>IF(N('Dvd Calendar'!$W$2100)=0,"",IF(('Dvd Calendar'!$W$2100&gt;=MIN(DATE(Summary!$C$12,1,1),Summary!$C$11))*('Dvd Calendar'!$W$2100&lt;=MAX(DATE(Summary!$C$12,12,31),Summary!$C$15))*('Dvd Calendar'!$W$2100&lt;=Summary!$C$11)=0,"",'Dvd Calendar'!$W$2100*1000000000+ISNUMBER('Dvd Calendar'!$W$2101)*100000000+('Dvd Calendar'!$W$2105='Field Check'!$C$25)*10000000+(N('Dvd Calendar'!$W$2099)&gt;0)*1000000+40*1000+19))</f>
        <v/>
      </c>
      <c r="V152" s="41">
        <f>IF(N('Dvd Calendar'!$X$2100)=0,"",IF(('Dvd Calendar'!$X$2100&gt;=MIN(DATE(Summary!$C$12,1,1),Summary!$C$11))*('Dvd Calendar'!$X$2100&lt;=MAX(DATE(Summary!$C$12,12,31),Summary!$C$15))*('Dvd Calendar'!$X$2100&lt;=Summary!$C$11)=0,"",'Dvd Calendar'!$X$2100*1000000000+ISNUMBER('Dvd Calendar'!$X$2101)*100000000+('Dvd Calendar'!$X$2105='Field Check'!$C$25)*10000000+(N('Dvd Calendar'!$X$2099)&gt;0)*1000000+40*1000+20))</f>
        <v/>
      </c>
      <c r="W152" s="41">
        <f>IF(N('Dvd Calendar'!$Y$2100)=0,"",IF(('Dvd Calendar'!$Y$2100&gt;=MIN(DATE(Summary!$C$12,1,1),Summary!$C$11))*('Dvd Calendar'!$Y$2100&lt;=MAX(DATE(Summary!$C$12,12,31),Summary!$C$15))*('Dvd Calendar'!$Y$2100&lt;=Summary!$C$11)=0,"",'Dvd Calendar'!$Y$2100*1000000000+ISNUMBER('Dvd Calendar'!$Y$2101)*100000000+('Dvd Calendar'!$Y$2105='Field Check'!$C$25)*10000000+(N('Dvd Calendar'!$Y$2099)&gt;0)*1000000+40*1000+21))</f>
        <v/>
      </c>
      <c r="X152" s="41">
        <f>IF(N('Dvd Calendar'!$Z$2100)=0,"",IF(('Dvd Calendar'!$Z$2100&gt;=MIN(DATE(Summary!$C$12,1,1),Summary!$C$11))*('Dvd Calendar'!$Z$2100&lt;=MAX(DATE(Summary!$C$12,12,31),Summary!$C$15))*('Dvd Calendar'!$Z$2100&lt;=Summary!$C$11)=0,"",'Dvd Calendar'!$Z$2100*1000000000+ISNUMBER('Dvd Calendar'!$Z$2101)*100000000+('Dvd Calendar'!$Z$2105='Field Check'!$C$25)*10000000+(N('Dvd Calendar'!$Z$2099)&gt;0)*1000000+40*1000+22))</f>
        <v/>
      </c>
      <c r="Y152" s="41">
        <f>IF(N('Dvd Calendar'!$AA$2100)=0,"",IF(('Dvd Calendar'!$AA$2100&gt;=MIN(DATE(Summary!$C$12,1,1),Summary!$C$11))*('Dvd Calendar'!$AA$2100&lt;=MAX(DATE(Summary!$C$12,12,31),Summary!$C$15))*('Dvd Calendar'!$AA$2100&lt;=Summary!$C$11)=0,"",'Dvd Calendar'!$AA$2100*1000000000+ISNUMBER('Dvd Calendar'!$AA$2101)*100000000+('Dvd Calendar'!$AA$2105='Field Check'!$C$25)*10000000+(N('Dvd Calendar'!$AA$2099)&gt;0)*1000000+40*1000+23))</f>
        <v/>
      </c>
      <c r="Z152" s="41">
        <f>IF(N('Dvd Calendar'!$AB$2100)=0,"",IF(('Dvd Calendar'!$AB$2100&gt;=MIN(DATE(Summary!$C$12,1,1),Summary!$C$11))*('Dvd Calendar'!$AB$2100&lt;=MAX(DATE(Summary!$C$12,12,31),Summary!$C$15))*('Dvd Calendar'!$AB$2100&lt;=Summary!$C$11)=0,"",'Dvd Calendar'!$AB$2100*1000000000+ISNUMBER('Dvd Calendar'!$AB$2101)*100000000+('Dvd Calendar'!$AB$2105='Field Check'!$C$25)*10000000+(N('Dvd Calendar'!$AB$2099)&gt;0)*1000000+40*1000+24))</f>
        <v/>
      </c>
      <c r="AA152" s="41">
        <f>IF(N('Dvd Calendar'!$AC$2100)=0,"",IF(('Dvd Calendar'!$AC$2100&gt;=MIN(DATE(Summary!$C$12,1,1),Summary!$C$11))*('Dvd Calendar'!$AC$2100&lt;=MAX(DATE(Summary!$C$12,12,31),Summary!$C$15))*('Dvd Calendar'!$AC$2100&lt;=Summary!$C$11)=0,"",'Dvd Calendar'!$AC$2100*1000000000+ISNUMBER('Dvd Calendar'!$AC$2101)*100000000+('Dvd Calendar'!$AC$2105='Field Check'!$C$25)*10000000+(N('Dvd Calendar'!$AC$2099)&gt;0)*1000000+40*1000+25))</f>
        <v/>
      </c>
      <c r="AB152" s="41">
        <f>IF(N('Dvd Calendar'!$AD$2100)=0,"",IF(('Dvd Calendar'!$AD$2100&gt;=MIN(DATE(Summary!$C$12,1,1),Summary!$C$11))*('Dvd Calendar'!$AD$2100&lt;=MAX(DATE(Summary!$C$12,12,31),Summary!$C$15))*('Dvd Calendar'!$AD$2100&lt;=Summary!$C$11)=0,"",'Dvd Calendar'!$AD$2100*1000000000+ISNUMBER('Dvd Calendar'!$AD$2101)*100000000+('Dvd Calendar'!$AD$2105='Field Check'!$C$25)*10000000+(N('Dvd Calendar'!$AD$2099)&gt;0)*1000000+40*1000+26))</f>
        <v/>
      </c>
      <c r="AC152" s="41">
        <f>IF(N('Dvd Calendar'!$AE$2100)=0,"",IF(('Dvd Calendar'!$AE$2100&gt;=MIN(DATE(Summary!$C$12,1,1),Summary!$C$11))*('Dvd Calendar'!$AE$2100&lt;=MAX(DATE(Summary!$C$12,12,31),Summary!$C$15))*('Dvd Calendar'!$AE$2100&lt;=Summary!$C$11)=0,"",'Dvd Calendar'!$AE$2100*1000000000+ISNUMBER('Dvd Calendar'!$AE$2101)*100000000+('Dvd Calendar'!$AE$2105='Field Check'!$C$25)*10000000+(N('Dvd Calendar'!$AE$2099)&gt;0)*1000000+40*1000+27))</f>
        <v/>
      </c>
      <c r="AD152" s="41">
        <f>IF(N('Dvd Calendar'!$AF$2100)=0,"",IF(('Dvd Calendar'!$AF$2100&gt;=MIN(DATE(Summary!$C$12,1,1),Summary!$C$11))*('Dvd Calendar'!$AF$2100&lt;=MAX(DATE(Summary!$C$12,12,31),Summary!$C$15))*('Dvd Calendar'!$AF$2100&lt;=Summary!$C$11)=0,"",'Dvd Calendar'!$AF$2100*1000000000+ISNUMBER('Dvd Calendar'!$AF$2101)*100000000+('Dvd Calendar'!$AF$2105='Field Check'!$C$25)*10000000+(N('Dvd Calendar'!$AF$2099)&gt;0)*1000000+40*1000+28))</f>
        <v/>
      </c>
      <c r="AE152" s="41">
        <f>IF(N('Dvd Calendar'!$AG$2100)=0,"",IF(('Dvd Calendar'!$AG$2100&gt;=MIN(DATE(Summary!$C$12,1,1),Summary!$C$11))*('Dvd Calendar'!$AG$2100&lt;=MAX(DATE(Summary!$C$12,12,31),Summary!$C$15))*('Dvd Calendar'!$AG$2100&lt;=Summary!$C$11)=0,"",'Dvd Calendar'!$AG$2100*1000000000+ISNUMBER('Dvd Calendar'!$AG$2101)*100000000+('Dvd Calendar'!$AG$2105='Field Check'!$C$25)*10000000+(N('Dvd Calendar'!$AG$2099)&gt;0)*1000000+40*1000+29))</f>
        <v/>
      </c>
      <c r="AF152" s="41">
        <f>IF(N('Dvd Calendar'!$AH$2100)=0,"",IF(('Dvd Calendar'!$AH$2100&gt;=MIN(DATE(Summary!$C$12,1,1),Summary!$C$11))*('Dvd Calendar'!$AH$2100&lt;=MAX(DATE(Summary!$C$12,12,31),Summary!$C$15))*('Dvd Calendar'!$AH$2100&lt;=Summary!$C$11)=0,"",'Dvd Calendar'!$AH$2100*1000000000+ISNUMBER('Dvd Calendar'!$AH$2101)*100000000+('Dvd Calendar'!$AH$2105='Field Check'!$C$25)*10000000+(N('Dvd Calendar'!$AH$2099)&gt;0)*1000000+40*1000+30))</f>
        <v/>
      </c>
      <c r="AG152" s="41">
        <f>IF(N('Dvd Calendar'!$AI$2100)=0,"",IF(('Dvd Calendar'!$AI$2100&gt;=MIN(DATE(Summary!$C$12,1,1),Summary!$C$11))*('Dvd Calendar'!$AI$2100&lt;=MAX(DATE(Summary!$C$12,12,31),Summary!$C$15))*('Dvd Calendar'!$AI$2100&lt;=Summary!$C$11)=0,"",'Dvd Calendar'!$AI$2100*1000000000+ISNUMBER('Dvd Calendar'!$AI$2101)*100000000+('Dvd Calendar'!$AI$2105='Field Check'!$C$25)*10000000+(N('Dvd Calendar'!$AI$2099)&gt;0)*1000000+40*1000+31))</f>
        <v/>
      </c>
      <c r="AH152" s="41">
        <f>IF(N('Dvd Calendar'!$AJ$2100)=0,"",IF(('Dvd Calendar'!$AJ$2100&gt;=MIN(DATE(Summary!$C$12,1,1),Summary!$C$11))*('Dvd Calendar'!$AJ$2100&lt;=MAX(DATE(Summary!$C$12,12,31),Summary!$C$15))*('Dvd Calendar'!$AJ$2100&lt;=Summary!$C$11)=0,"",'Dvd Calendar'!$AJ$2100*1000000000+ISNUMBER('Dvd Calendar'!$AJ$2101)*100000000+('Dvd Calendar'!$AJ$2105='Field Check'!$C$25)*10000000+(N('Dvd Calendar'!$AJ$2099)&gt;0)*1000000+40*1000+32))</f>
        <v/>
      </c>
      <c r="AI152" s="41">
        <f>IF(N('Dvd Calendar'!$AK$2100)=0,"",IF(('Dvd Calendar'!$AK$2100&gt;=MIN(DATE(Summary!$C$12,1,1),Summary!$C$11))*('Dvd Calendar'!$AK$2100&lt;=MAX(DATE(Summary!$C$12,12,31),Summary!$C$15))*('Dvd Calendar'!$AK$2100&lt;=Summary!$C$11)=0,"",'Dvd Calendar'!$AK$2100*1000000000+ISNUMBER('Dvd Calendar'!$AK$2101)*100000000+('Dvd Calendar'!$AK$2105='Field Check'!$C$25)*10000000+(N('Dvd Calendar'!$AK$2099)&gt;0)*1000000+40*1000+33))</f>
        <v/>
      </c>
      <c r="AJ152" s="41">
        <f>IF(N('Dvd Calendar'!$AL$2100)=0,"",IF(('Dvd Calendar'!$AL$2100&gt;=MIN(DATE(Summary!$C$12,1,1),Summary!$C$11))*('Dvd Calendar'!$AL$2100&lt;=MAX(DATE(Summary!$C$12,12,31),Summary!$C$15))*('Dvd Calendar'!$AL$2100&lt;=Summary!$C$11)=0,"",'Dvd Calendar'!$AL$2100*1000000000+ISNUMBER('Dvd Calendar'!$AL$2101)*100000000+('Dvd Calendar'!$AL$2105='Field Check'!$C$25)*10000000+(N('Dvd Calendar'!$AL$2099)&gt;0)*1000000+40*1000+34))</f>
        <v/>
      </c>
      <c r="AK152" s="41">
        <f>IF(N('Dvd Calendar'!$AM$2100)=0,"",IF(('Dvd Calendar'!$AM$2100&gt;=MIN(DATE(Summary!$C$12,1,1),Summary!$C$11))*('Dvd Calendar'!$AM$2100&lt;=MAX(DATE(Summary!$C$12,12,31),Summary!$C$15))*('Dvd Calendar'!$AM$2100&lt;=Summary!$C$11)=0,"",'Dvd Calendar'!$AM$2100*1000000000+ISNUMBER('Dvd Calendar'!$AM$2101)*100000000+('Dvd Calendar'!$AM$2105='Field Check'!$C$25)*10000000+(N('Dvd Calendar'!$AM$2099)&gt;0)*1000000+40*1000+35))</f>
        <v/>
      </c>
      <c r="AL152" s="41">
        <f>IF(N('Dvd Calendar'!$AN$2100)=0,"",IF(('Dvd Calendar'!$AN$2100&gt;=MIN(DATE(Summary!$C$12,1,1),Summary!$C$11))*('Dvd Calendar'!$AN$2100&lt;=MAX(DATE(Summary!$C$12,12,31),Summary!$C$15))*('Dvd Calendar'!$AN$2100&lt;=Summary!$C$11)=0,"",'Dvd Calendar'!$AN$2100*1000000000+ISNUMBER('Dvd Calendar'!$AN$2101)*100000000+('Dvd Calendar'!$AN$2105='Field Check'!$C$25)*10000000+(N('Dvd Calendar'!$AN$2099)&gt;0)*1000000+40*1000+36))</f>
        <v/>
      </c>
      <c r="AM152" s="41">
        <f>IF(N('Dvd Calendar'!$AO$2100)=0,"",IF(('Dvd Calendar'!$AO$2100&gt;=MIN(DATE(Summary!$C$12,1,1),Summary!$C$11))*('Dvd Calendar'!$AO$2100&lt;=MAX(DATE(Summary!$C$12,12,31),Summary!$C$15))*('Dvd Calendar'!$AO$2100&lt;=Summary!$C$11)=0,"",'Dvd Calendar'!$AO$2100*1000000000+ISNUMBER('Dvd Calendar'!$AO$2101)*100000000+('Dvd Calendar'!$AO$2105='Field Check'!$C$25)*10000000+(N('Dvd Calendar'!$AO$2099)&gt;0)*1000000+40*1000+37))</f>
        <v/>
      </c>
      <c r="AN152" s="41">
        <f>IF(N('Dvd Calendar'!$AP$2100)=0,"",IF(('Dvd Calendar'!$AP$2100&gt;=MIN(DATE(Summary!$C$12,1,1),Summary!$C$11))*('Dvd Calendar'!$AP$2100&lt;=MAX(DATE(Summary!$C$12,12,31),Summary!$C$15))*('Dvd Calendar'!$AP$2100&lt;=Summary!$C$11)=0,"",'Dvd Calendar'!$AP$2100*1000000000+ISNUMBER('Dvd Calendar'!$AP$2101)*100000000+('Dvd Calendar'!$AP$2105='Field Check'!$C$25)*10000000+(N('Dvd Calendar'!$AP$2099)&gt;0)*1000000+40*1000+38))</f>
        <v/>
      </c>
      <c r="AO152" s="41">
        <f>IF(N('Dvd Calendar'!$AQ$2100)=0,"",IF(('Dvd Calendar'!$AQ$2100&gt;=MIN(DATE(Summary!$C$12,1,1),Summary!$C$11))*('Dvd Calendar'!$AQ$2100&lt;=MAX(DATE(Summary!$C$12,12,31),Summary!$C$15))*('Dvd Calendar'!$AQ$2100&lt;=Summary!$C$11)=0,"",'Dvd Calendar'!$AQ$2100*1000000000+ISNUMBER('Dvd Calendar'!$AQ$2101)*100000000+('Dvd Calendar'!$AQ$2105='Field Check'!$C$25)*10000000+(N('Dvd Calendar'!$AQ$2099)&gt;0)*1000000+40*1000+39))</f>
        <v/>
      </c>
      <c r="AP152" s="41">
        <f>IF(N('Dvd Calendar'!$AR$2100)=0,"",IF(('Dvd Calendar'!$AR$2100&gt;=MIN(DATE(Summary!$C$12,1,1),Summary!$C$11))*('Dvd Calendar'!$AR$2100&lt;=MAX(DATE(Summary!$C$12,12,31),Summary!$C$15))*('Dvd Calendar'!$AR$2100&lt;=Summary!$C$11)=0,"",'Dvd Calendar'!$AR$2100*1000000000+ISNUMBER('Dvd Calendar'!$AR$2101)*100000000+('Dvd Calendar'!$AR$2105='Field Check'!$C$25)*10000000+(N('Dvd Calendar'!$AR$2099)&gt;0)*1000000+40*1000+40))</f>
        <v/>
      </c>
      <c r="AQ152" s="41">
        <f>IF(N('Dvd Calendar'!$E$2107)=0,"",IF(('Dvd Calendar'!$E$2107&gt;=MIN(DATE(Summary!$C$12,1,1),Summary!$C$11))*('Dvd Calendar'!$E$2107&lt;=MAX(DATE(Summary!$C$12,12,31),Summary!$C$15))*('Dvd Calendar'!$E$2107&gt;Summary!$C$11)=0,"",'Dvd Calendar'!$E$2107*1000000000+ISNUMBER('Dvd Calendar'!$E$2108)*100000000+('Dvd Calendar'!$E$2112='Field Check'!$C$25)*10000000+(N('Dvd Calendar'!$E$2106)&gt;0)*1000000+40*1000+41))</f>
        <v/>
      </c>
      <c r="AR152" s="41">
        <f>IF(N('Dvd Calendar'!$F$2107)=0,"",IF(('Dvd Calendar'!$F$2107&gt;=MIN(DATE(Summary!$C$12,1,1),Summary!$C$11))*('Dvd Calendar'!$F$2107&lt;=MAX(DATE(Summary!$C$12,12,31),Summary!$C$15))*('Dvd Calendar'!$F$2107&gt;Summary!$C$11)=0,"",'Dvd Calendar'!$F$2107*1000000000+ISNUMBER('Dvd Calendar'!$F$2108)*100000000+('Dvd Calendar'!$F$2112='Field Check'!$C$25)*10000000+(N('Dvd Calendar'!$F$2106)&gt;0)*1000000+40*1000+42))</f>
        <v/>
      </c>
      <c r="AS152" s="41">
        <f>IF(N('Dvd Calendar'!$G$2107)=0,"",IF(('Dvd Calendar'!$G$2107&gt;=MIN(DATE(Summary!$C$12,1,1),Summary!$C$11))*('Dvd Calendar'!$G$2107&lt;=MAX(DATE(Summary!$C$12,12,31),Summary!$C$15))*('Dvd Calendar'!$G$2107&gt;Summary!$C$11)=0,"",'Dvd Calendar'!$G$2107*1000000000+ISNUMBER('Dvd Calendar'!$G$2108)*100000000+('Dvd Calendar'!$G$2112='Field Check'!$C$25)*10000000+(N('Dvd Calendar'!$G$2106)&gt;0)*1000000+40*1000+43))</f>
        <v/>
      </c>
      <c r="AT152" s="41">
        <f>IF(N('Dvd Calendar'!$H$2107)=0,"",IF(('Dvd Calendar'!$H$2107&gt;=MIN(DATE(Summary!$C$12,1,1),Summary!$C$11))*('Dvd Calendar'!$H$2107&lt;=MAX(DATE(Summary!$C$12,12,31),Summary!$C$15))*('Dvd Calendar'!$H$2107&gt;Summary!$C$11)=0,"",'Dvd Calendar'!$H$2107*1000000000+ISNUMBER('Dvd Calendar'!$H$2108)*100000000+('Dvd Calendar'!$H$2112='Field Check'!$C$25)*10000000+(N('Dvd Calendar'!$H$2106)&gt;0)*1000000+40*1000+44))</f>
        <v/>
      </c>
      <c r="AU152" s="41">
        <f>IF(N('Dvd Calendar'!$I$2107)=0,"",IF(('Dvd Calendar'!$I$2107&gt;=MIN(DATE(Summary!$C$12,1,1),Summary!$C$11))*('Dvd Calendar'!$I$2107&lt;=MAX(DATE(Summary!$C$12,12,31),Summary!$C$15))*('Dvd Calendar'!$I$2107&gt;Summary!$C$11)=0,"",'Dvd Calendar'!$I$2107*1000000000+ISNUMBER('Dvd Calendar'!$I$2108)*100000000+('Dvd Calendar'!$I$2112='Field Check'!$C$25)*10000000+(N('Dvd Calendar'!$I$2106)&gt;0)*1000000+40*1000+45))</f>
        <v/>
      </c>
      <c r="AV152" s="41">
        <f>IF(N('Dvd Calendar'!$J$2107)=0,"",IF(('Dvd Calendar'!$J$2107&gt;=MIN(DATE(Summary!$C$12,1,1),Summary!$C$11))*('Dvd Calendar'!$J$2107&lt;=MAX(DATE(Summary!$C$12,12,31),Summary!$C$15))*('Dvd Calendar'!$J$2107&gt;Summary!$C$11)=0,"",'Dvd Calendar'!$J$2107*1000000000+ISNUMBER('Dvd Calendar'!$J$2108)*100000000+('Dvd Calendar'!$J$2112='Field Check'!$C$25)*10000000+(N('Dvd Calendar'!$J$2106)&gt;0)*1000000+40*1000+46))</f>
        <v/>
      </c>
      <c r="AW152" s="41">
        <f>IF(N('Dvd Calendar'!$K$2107)=0,"",IF(('Dvd Calendar'!$K$2107&gt;=MIN(DATE(Summary!$C$12,1,1),Summary!$C$11))*('Dvd Calendar'!$K$2107&lt;=MAX(DATE(Summary!$C$12,12,31),Summary!$C$15))*('Dvd Calendar'!$K$2107&gt;Summary!$C$11)=0,"",'Dvd Calendar'!$K$2107*1000000000+ISNUMBER('Dvd Calendar'!$K$2108)*100000000+('Dvd Calendar'!$K$2112='Field Check'!$C$25)*10000000+(N('Dvd Calendar'!$K$2106)&gt;0)*1000000+40*1000+47))</f>
        <v/>
      </c>
      <c r="AX152" s="41">
        <f>IF(N('Dvd Calendar'!$L$2107)=0,"",IF(('Dvd Calendar'!$L$2107&gt;=MIN(DATE(Summary!$C$12,1,1),Summary!$C$11))*('Dvd Calendar'!$L$2107&lt;=MAX(DATE(Summary!$C$12,12,31),Summary!$C$15))*('Dvd Calendar'!$L$2107&gt;Summary!$C$11)=0,"",'Dvd Calendar'!$L$2107*1000000000+ISNUMBER('Dvd Calendar'!$L$2108)*100000000+('Dvd Calendar'!$L$2112='Field Check'!$C$25)*10000000+(N('Dvd Calendar'!$L$2106)&gt;0)*1000000+40*1000+48))</f>
        <v/>
      </c>
      <c r="AY152" s="41">
        <f>IF(N('Dvd Calendar'!$M$2107)=0,"",IF(('Dvd Calendar'!$M$2107&gt;=MIN(DATE(Summary!$C$12,1,1),Summary!$C$11))*('Dvd Calendar'!$M$2107&lt;=MAX(DATE(Summary!$C$12,12,31),Summary!$C$15))*('Dvd Calendar'!$M$2107&gt;Summary!$C$11)=0,"",'Dvd Calendar'!$M$2107*1000000000+ISNUMBER('Dvd Calendar'!$M$2108)*100000000+('Dvd Calendar'!$M$2112='Field Check'!$C$25)*10000000+(N('Dvd Calendar'!$M$2106)&gt;0)*1000000+40*1000+49))</f>
        <v/>
      </c>
      <c r="AZ152" s="41">
        <f>IF(N('Dvd Calendar'!$N$2107)=0,"",IF(('Dvd Calendar'!$N$2107&gt;=MIN(DATE(Summary!$C$12,1,1),Summary!$C$11))*('Dvd Calendar'!$N$2107&lt;=MAX(DATE(Summary!$C$12,12,31),Summary!$C$15))*('Dvd Calendar'!$N$2107&gt;Summary!$C$11)=0,"",'Dvd Calendar'!$N$2107*1000000000+ISNUMBER('Dvd Calendar'!$N$2108)*100000000+('Dvd Calendar'!$N$2112='Field Check'!$C$25)*10000000+(N('Dvd Calendar'!$N$2106)&gt;0)*1000000+40*1000+50))</f>
        <v/>
      </c>
      <c r="BA152" s="41">
        <f>IF(N('Dvd Calendar'!$O$2107)=0,"",IF(('Dvd Calendar'!$O$2107&gt;=MIN(DATE(Summary!$C$12,1,1),Summary!$C$11))*('Dvd Calendar'!$O$2107&lt;=MAX(DATE(Summary!$C$12,12,31),Summary!$C$15))*('Dvd Calendar'!$O$2107&gt;Summary!$C$11)=0,"",'Dvd Calendar'!$O$2107*1000000000+ISNUMBER('Dvd Calendar'!$O$2108)*100000000+('Dvd Calendar'!$O$2112='Field Check'!$C$25)*10000000+(N('Dvd Calendar'!$O$2106)&gt;0)*1000000+40*1000+51))</f>
        <v/>
      </c>
      <c r="BB152" s="41">
        <f>IF(N('Dvd Calendar'!$P$2107)=0,"",IF(('Dvd Calendar'!$P$2107&gt;=MIN(DATE(Summary!$C$12,1,1),Summary!$C$11))*('Dvd Calendar'!$P$2107&lt;=MAX(DATE(Summary!$C$12,12,31),Summary!$C$15))*('Dvd Calendar'!$P$2107&gt;Summary!$C$11)=0,"",'Dvd Calendar'!$P$2107*1000000000+ISNUMBER('Dvd Calendar'!$P$2108)*100000000+('Dvd Calendar'!$P$2112='Field Check'!$C$25)*10000000+(N('Dvd Calendar'!$P$2106)&gt;0)*1000000+40*1000+52))</f>
        <v/>
      </c>
      <c r="BC152" s="41">
        <f>IF(N('Dvd Calendar'!$Q$2107)=0,"",IF(('Dvd Calendar'!$Q$2107&gt;=MIN(DATE(Summary!$C$12,1,1),Summary!$C$11))*('Dvd Calendar'!$Q$2107&lt;=MAX(DATE(Summary!$C$12,12,31),Summary!$C$15))*('Dvd Calendar'!$Q$2107&gt;Summary!$C$11)=0,"",'Dvd Calendar'!$Q$2107*1000000000+ISNUMBER('Dvd Calendar'!$Q$2108)*100000000+('Dvd Calendar'!$Q$2112='Field Check'!$C$25)*10000000+(N('Dvd Calendar'!$Q$2106)&gt;0)*1000000+40*1000+53))</f>
        <v/>
      </c>
      <c r="BD152" s="41">
        <f>IF(N('Dvd Calendar'!$R$2107)=0,"",IF(('Dvd Calendar'!$R$2107&gt;=MIN(DATE(Summary!$C$12,1,1),Summary!$C$11))*('Dvd Calendar'!$R$2107&lt;=MAX(DATE(Summary!$C$12,12,31),Summary!$C$15))*('Dvd Calendar'!$R$2107&gt;Summary!$C$11)=0,"",'Dvd Calendar'!$R$2107*1000000000+ISNUMBER('Dvd Calendar'!$R$2108)*100000000+('Dvd Calendar'!$R$2112='Field Check'!$C$25)*10000000+(N('Dvd Calendar'!$R$2106)&gt;0)*1000000+40*1000+54))</f>
        <v/>
      </c>
      <c r="BE152" s="41">
        <f>IF(N('Dvd Calendar'!$S$2107)=0,"",IF(('Dvd Calendar'!$S$2107&gt;=MIN(DATE(Summary!$C$12,1,1),Summary!$C$11))*('Dvd Calendar'!$S$2107&lt;=MAX(DATE(Summary!$C$12,12,31),Summary!$C$15))*('Dvd Calendar'!$S$2107&gt;Summary!$C$11)=0,"",'Dvd Calendar'!$S$2107*1000000000+ISNUMBER('Dvd Calendar'!$S$2108)*100000000+('Dvd Calendar'!$S$2112='Field Check'!$C$25)*10000000+(N('Dvd Calendar'!$S$2106)&gt;0)*1000000+40*1000+55))</f>
        <v/>
      </c>
      <c r="BF152" s="41">
        <f>IF(N('Dvd Calendar'!$T$2107)=0,"",IF(('Dvd Calendar'!$T$2107&gt;=MIN(DATE(Summary!$C$12,1,1),Summary!$C$11))*('Dvd Calendar'!$T$2107&lt;=MAX(DATE(Summary!$C$12,12,31),Summary!$C$15))*('Dvd Calendar'!$T$2107&gt;Summary!$C$11)=0,"",'Dvd Calendar'!$T$2107*1000000000+ISNUMBER('Dvd Calendar'!$T$2108)*100000000+('Dvd Calendar'!$T$2112='Field Check'!$C$25)*10000000+(N('Dvd Calendar'!$T$2106)&gt;0)*1000000+40*1000+56))</f>
        <v/>
      </c>
      <c r="BG152" s="41">
        <f>IF(N('Dvd Calendar'!$U$2107)=0,"",IF(('Dvd Calendar'!$U$2107&gt;=MIN(DATE(Summary!$C$12,1,1),Summary!$C$11))*('Dvd Calendar'!$U$2107&lt;=MAX(DATE(Summary!$C$12,12,31),Summary!$C$15))*('Dvd Calendar'!$U$2107&gt;Summary!$C$11)=0,"",'Dvd Calendar'!$U$2107*1000000000+ISNUMBER('Dvd Calendar'!$U$2108)*100000000+('Dvd Calendar'!$U$2112='Field Check'!$C$25)*10000000+(N('Dvd Calendar'!$U$2106)&gt;0)*1000000+40*1000+57))</f>
        <v/>
      </c>
      <c r="BH152" s="41">
        <f>IF(N('Dvd Calendar'!$V$2107)=0,"",IF(('Dvd Calendar'!$V$2107&gt;=MIN(DATE(Summary!$C$12,1,1),Summary!$C$11))*('Dvd Calendar'!$V$2107&lt;=MAX(DATE(Summary!$C$12,12,31),Summary!$C$15))*('Dvd Calendar'!$V$2107&gt;Summary!$C$11)=0,"",'Dvd Calendar'!$V$2107*1000000000+ISNUMBER('Dvd Calendar'!$V$2108)*100000000+('Dvd Calendar'!$V$2112='Field Check'!$C$25)*10000000+(N('Dvd Calendar'!$V$2106)&gt;0)*1000000+40*1000+58))</f>
        <v/>
      </c>
      <c r="BI152" s="41">
        <f>IF(N('Dvd Calendar'!$W$2107)=0,"",IF(('Dvd Calendar'!$W$2107&gt;=MIN(DATE(Summary!$C$12,1,1),Summary!$C$11))*('Dvd Calendar'!$W$2107&lt;=MAX(DATE(Summary!$C$12,12,31),Summary!$C$15))*('Dvd Calendar'!$W$2107&gt;Summary!$C$11)=0,"",'Dvd Calendar'!$W$2107*1000000000+ISNUMBER('Dvd Calendar'!$W$2108)*100000000+('Dvd Calendar'!$W$2112='Field Check'!$C$25)*10000000+(N('Dvd Calendar'!$W$2106)&gt;0)*1000000+40*1000+59))</f>
        <v/>
      </c>
      <c r="BJ152" s="41">
        <f>IF(N('Dvd Calendar'!$X$2107)=0,"",IF(('Dvd Calendar'!$X$2107&gt;=MIN(DATE(Summary!$C$12,1,1),Summary!$C$11))*('Dvd Calendar'!$X$2107&lt;=MAX(DATE(Summary!$C$12,12,31),Summary!$C$15))*('Dvd Calendar'!$X$2107&gt;Summary!$C$11)=0,"",'Dvd Calendar'!$X$2107*1000000000+ISNUMBER('Dvd Calendar'!$X$2108)*100000000+('Dvd Calendar'!$X$2112='Field Check'!$C$25)*10000000+(N('Dvd Calendar'!$X$2106)&gt;0)*1000000+40*1000+60))</f>
        <v/>
      </c>
      <c r="BK152" s="41">
        <f>IF(N('Dvd Calendar'!$Y$2107)=0,"",IF(('Dvd Calendar'!$Y$2107&gt;=MIN(DATE(Summary!$C$12,1,1),Summary!$C$11))*('Dvd Calendar'!$Y$2107&lt;=MAX(DATE(Summary!$C$12,12,31),Summary!$C$15))*('Dvd Calendar'!$Y$2107&gt;Summary!$C$11)=0,"",'Dvd Calendar'!$Y$2107*1000000000+ISNUMBER('Dvd Calendar'!$Y$2108)*100000000+('Dvd Calendar'!$Y$2112='Field Check'!$C$25)*10000000+(N('Dvd Calendar'!$Y$2106)&gt;0)*1000000+40*1000+61))</f>
        <v/>
      </c>
      <c r="BL152" s="41">
        <f>IF(N('Dvd Calendar'!$Z$2107)=0,"",IF(('Dvd Calendar'!$Z$2107&gt;=MIN(DATE(Summary!$C$12,1,1),Summary!$C$11))*('Dvd Calendar'!$Z$2107&lt;=MAX(DATE(Summary!$C$12,12,31),Summary!$C$15))*('Dvd Calendar'!$Z$2107&gt;Summary!$C$11)=0,"",'Dvd Calendar'!$Z$2107*1000000000+ISNUMBER('Dvd Calendar'!$Z$2108)*100000000+('Dvd Calendar'!$Z$2112='Field Check'!$C$25)*10000000+(N('Dvd Calendar'!$Z$2106)&gt;0)*1000000+40*1000+62))</f>
        <v/>
      </c>
      <c r="BM152" s="41">
        <f>IF(N('Dvd Calendar'!$AA$2107)=0,"",IF(('Dvd Calendar'!$AA$2107&gt;=MIN(DATE(Summary!$C$12,1,1),Summary!$C$11))*('Dvd Calendar'!$AA$2107&lt;=MAX(DATE(Summary!$C$12,12,31),Summary!$C$15))*('Dvd Calendar'!$AA$2107&gt;Summary!$C$11)=0,"",'Dvd Calendar'!$AA$2107*1000000000+ISNUMBER('Dvd Calendar'!$AA$2108)*100000000+('Dvd Calendar'!$AA$2112='Field Check'!$C$25)*10000000+(N('Dvd Calendar'!$AA$2106)&gt;0)*1000000+40*1000+63))</f>
        <v/>
      </c>
      <c r="BN152" s="41">
        <f>IF(N('Dvd Calendar'!$AB$2107)=0,"",IF(('Dvd Calendar'!$AB$2107&gt;=MIN(DATE(Summary!$C$12,1,1),Summary!$C$11))*('Dvd Calendar'!$AB$2107&lt;=MAX(DATE(Summary!$C$12,12,31),Summary!$C$15))*('Dvd Calendar'!$AB$2107&gt;Summary!$C$11)=0,"",'Dvd Calendar'!$AB$2107*1000000000+ISNUMBER('Dvd Calendar'!$AB$2108)*100000000+('Dvd Calendar'!$AB$2112='Field Check'!$C$25)*10000000+(N('Dvd Calendar'!$AB$2106)&gt;0)*1000000+40*1000+64))</f>
        <v/>
      </c>
      <c r="BO152" s="41">
        <f>IF(N('Dvd Calendar'!$AC$2107)=0,"",IF(('Dvd Calendar'!$AC$2107&gt;=MIN(DATE(Summary!$C$12,1,1),Summary!$C$11))*('Dvd Calendar'!$AC$2107&lt;=MAX(DATE(Summary!$C$12,12,31),Summary!$C$15))*('Dvd Calendar'!$AC$2107&gt;Summary!$C$11)=0,"",'Dvd Calendar'!$AC$2107*1000000000+ISNUMBER('Dvd Calendar'!$AC$2108)*100000000+('Dvd Calendar'!$AC$2112='Field Check'!$C$25)*10000000+(N('Dvd Calendar'!$AC$2106)&gt;0)*1000000+40*1000+65))</f>
        <v/>
      </c>
      <c r="BQ152" s="85">
        <f>IF(C152="","",IF(ISNUMBER('Dvd Calendar'!$E$2101)=FALSE,"",IF((Summary!$C$13="N")*('Dvd Calendar'!$E$2105='Field Check'!$C$25)&gt;0,"",'Dvd Calendar'!$E$2101)))</f>
        <v/>
      </c>
      <c r="BR152" s="85">
        <f>IF(D152="","",IF(ISNUMBER('Dvd Calendar'!$F$2101)=FALSE,"",IF((Summary!$C$13="N")*('Dvd Calendar'!$F$2105='Field Check'!$C$25)&gt;0,"",'Dvd Calendar'!$F$2101)))</f>
        <v/>
      </c>
      <c r="BS152" s="85">
        <f>IF(E152="","",IF(ISNUMBER('Dvd Calendar'!$G$2101)=FALSE,"",IF((Summary!$C$13="N")*('Dvd Calendar'!$G$2105='Field Check'!$C$25)&gt;0,"",'Dvd Calendar'!$G$2101)))</f>
        <v/>
      </c>
      <c r="BT152" s="85">
        <f>IF(F152="","",IF(ISNUMBER('Dvd Calendar'!$H$2101)=FALSE,"",IF((Summary!$C$13="N")*('Dvd Calendar'!$H$2105='Field Check'!$C$25)&gt;0,"",'Dvd Calendar'!$H$2101)))</f>
        <v/>
      </c>
      <c r="BU152" s="85">
        <f>IF(G152="","",IF(ISNUMBER('Dvd Calendar'!$I$2101)=FALSE,"",IF((Summary!$C$13="N")*('Dvd Calendar'!$I$2105='Field Check'!$C$25)&gt;0,"",'Dvd Calendar'!$I$2101)))</f>
        <v/>
      </c>
      <c r="BV152" s="85">
        <f>IF(H152="","",IF(ISNUMBER('Dvd Calendar'!$J$2101)=FALSE,"",IF((Summary!$C$13="N")*('Dvd Calendar'!$J$2105='Field Check'!$C$25)&gt;0,"",'Dvd Calendar'!$J$2101)))</f>
        <v/>
      </c>
      <c r="BW152" s="85">
        <f>IF(I152="","",IF(ISNUMBER('Dvd Calendar'!$K$2101)=FALSE,"",IF((Summary!$C$13="N")*('Dvd Calendar'!$K$2105='Field Check'!$C$25)&gt;0,"",'Dvd Calendar'!$K$2101)))</f>
        <v/>
      </c>
      <c r="BX152" s="85">
        <f>IF(J152="","",IF(ISNUMBER('Dvd Calendar'!$L$2101)=FALSE,"",IF((Summary!$C$13="N")*('Dvd Calendar'!$L$2105='Field Check'!$C$25)&gt;0,"",'Dvd Calendar'!$L$2101)))</f>
        <v/>
      </c>
      <c r="BY152" s="85">
        <f>IF(K152="","",IF(ISNUMBER('Dvd Calendar'!$M$2101)=FALSE,"",IF((Summary!$C$13="N")*('Dvd Calendar'!$M$2105='Field Check'!$C$25)&gt;0,"",'Dvd Calendar'!$M$2101)))</f>
        <v/>
      </c>
      <c r="BZ152" s="85">
        <f>IF(L152="","",IF(ISNUMBER('Dvd Calendar'!$N$2101)=FALSE,"",IF((Summary!$C$13="N")*('Dvd Calendar'!$N$2105='Field Check'!$C$25)&gt;0,"",'Dvd Calendar'!$N$2101)))</f>
        <v/>
      </c>
      <c r="CA152" s="85">
        <f>IF(M152="","",IF(ISNUMBER('Dvd Calendar'!$O$2101)=FALSE,"",IF((Summary!$C$13="N")*('Dvd Calendar'!$O$2105='Field Check'!$C$25)&gt;0,"",'Dvd Calendar'!$O$2101)))</f>
        <v/>
      </c>
      <c r="CB152" s="85">
        <f>IF(N152="","",IF(ISNUMBER('Dvd Calendar'!$P$2101)=FALSE,"",IF((Summary!$C$13="N")*('Dvd Calendar'!$P$2105='Field Check'!$C$25)&gt;0,"",'Dvd Calendar'!$P$2101)))</f>
        <v/>
      </c>
      <c r="CC152" s="85">
        <f>IF(O152="","",IF(ISNUMBER('Dvd Calendar'!$Q$2101)=FALSE,"",IF((Summary!$C$13="N")*('Dvd Calendar'!$Q$2105='Field Check'!$C$25)&gt;0,"",'Dvd Calendar'!$Q$2101)))</f>
        <v/>
      </c>
      <c r="CD152" s="85">
        <f>IF(P152="","",IF(ISNUMBER('Dvd Calendar'!$R$2101)=FALSE,"",IF((Summary!$C$13="N")*('Dvd Calendar'!$R$2105='Field Check'!$C$25)&gt;0,"",'Dvd Calendar'!$R$2101)))</f>
        <v/>
      </c>
      <c r="CE152" s="85">
        <f>IF(Q152="","",IF(ISNUMBER('Dvd Calendar'!$S$2101)=FALSE,"",IF((Summary!$C$13="N")*('Dvd Calendar'!$S$2105='Field Check'!$C$25)&gt;0,"",'Dvd Calendar'!$S$2101)))</f>
        <v/>
      </c>
      <c r="CF152" s="85">
        <f>IF(R152="","",IF(ISNUMBER('Dvd Calendar'!$T$2101)=FALSE,"",IF((Summary!$C$13="N")*('Dvd Calendar'!$T$2105='Field Check'!$C$25)&gt;0,"",'Dvd Calendar'!$T$2101)))</f>
        <v/>
      </c>
      <c r="CG152" s="85">
        <f>IF(S152="","",IF(ISNUMBER('Dvd Calendar'!$U$2101)=FALSE,"",IF((Summary!$C$13="N")*('Dvd Calendar'!$U$2105='Field Check'!$C$25)&gt;0,"",'Dvd Calendar'!$U$2101)))</f>
        <v/>
      </c>
      <c r="CH152" s="85">
        <f>IF(T152="","",IF(ISNUMBER('Dvd Calendar'!$V$2101)=FALSE,"",IF((Summary!$C$13="N")*('Dvd Calendar'!$V$2105='Field Check'!$C$25)&gt;0,"",'Dvd Calendar'!$V$2101)))</f>
        <v/>
      </c>
      <c r="CI152" s="85">
        <f>IF(U152="","",IF(ISNUMBER('Dvd Calendar'!$W$2101)=FALSE,"",IF((Summary!$C$13="N")*('Dvd Calendar'!$W$2105='Field Check'!$C$25)&gt;0,"",'Dvd Calendar'!$W$2101)))</f>
        <v/>
      </c>
      <c r="CJ152" s="85">
        <f>IF(V152="","",IF(ISNUMBER('Dvd Calendar'!$X$2101)=FALSE,"",IF((Summary!$C$13="N")*('Dvd Calendar'!$X$2105='Field Check'!$C$25)&gt;0,"",'Dvd Calendar'!$X$2101)))</f>
        <v/>
      </c>
      <c r="CK152" s="85">
        <f>IF(W152="","",IF(ISNUMBER('Dvd Calendar'!$Y$2101)=FALSE,"",IF((Summary!$C$13="N")*('Dvd Calendar'!$Y$2105='Field Check'!$C$25)&gt;0,"",'Dvd Calendar'!$Y$2101)))</f>
        <v/>
      </c>
      <c r="CL152" s="85">
        <f>IF(X152="","",IF(ISNUMBER('Dvd Calendar'!$Z$2101)=FALSE,"",IF((Summary!$C$13="N")*('Dvd Calendar'!$Z$2105='Field Check'!$C$25)&gt;0,"",'Dvd Calendar'!$Z$2101)))</f>
        <v/>
      </c>
      <c r="CM152" s="85">
        <f>IF(Y152="","",IF(ISNUMBER('Dvd Calendar'!$AA$2101)=FALSE,"",IF((Summary!$C$13="N")*('Dvd Calendar'!$AA$2105='Field Check'!$C$25)&gt;0,"",'Dvd Calendar'!$AA$2101)))</f>
        <v/>
      </c>
      <c r="CN152" s="85">
        <f>IF(Z152="","",IF(ISNUMBER('Dvd Calendar'!$AB$2101)=FALSE,"",IF((Summary!$C$13="N")*('Dvd Calendar'!$AB$2105='Field Check'!$C$25)&gt;0,"",'Dvd Calendar'!$AB$2101)))</f>
        <v/>
      </c>
      <c r="CO152" s="85">
        <f>IF(AA152="","",IF(ISNUMBER('Dvd Calendar'!$AC$2101)=FALSE,"",IF((Summary!$C$13="N")*('Dvd Calendar'!$AC$2105='Field Check'!$C$25)&gt;0,"",'Dvd Calendar'!$AC$2101)))</f>
        <v/>
      </c>
      <c r="CP152" s="85">
        <f>IF(AB152="","",IF(ISNUMBER('Dvd Calendar'!$AD$2101)=FALSE,"",IF((Summary!$C$13="N")*('Dvd Calendar'!$AD$2105='Field Check'!$C$25)&gt;0,"",'Dvd Calendar'!$AD$2101)))</f>
        <v/>
      </c>
      <c r="CQ152" s="85">
        <f>IF(AC152="","",IF(ISNUMBER('Dvd Calendar'!$AE$2101)=FALSE,"",IF((Summary!$C$13="N")*('Dvd Calendar'!$AE$2105='Field Check'!$C$25)&gt;0,"",'Dvd Calendar'!$AE$2101)))</f>
        <v/>
      </c>
      <c r="CR152" s="85">
        <f>IF(AD152="","",IF(ISNUMBER('Dvd Calendar'!$AF$2101)=FALSE,"",IF((Summary!$C$13="N")*('Dvd Calendar'!$AF$2105='Field Check'!$C$25)&gt;0,"",'Dvd Calendar'!$AF$2101)))</f>
        <v/>
      </c>
      <c r="CS152" s="85">
        <f>IF(AE152="","",IF(ISNUMBER('Dvd Calendar'!$AG$2101)=FALSE,"",IF((Summary!$C$13="N")*('Dvd Calendar'!$AG$2105='Field Check'!$C$25)&gt;0,"",'Dvd Calendar'!$AG$2101)))</f>
        <v/>
      </c>
      <c r="CT152" s="85">
        <f>IF(AF152="","",IF(ISNUMBER('Dvd Calendar'!$AH$2101)=FALSE,"",IF((Summary!$C$13="N")*('Dvd Calendar'!$AH$2105='Field Check'!$C$25)&gt;0,"",'Dvd Calendar'!$AH$2101)))</f>
        <v/>
      </c>
      <c r="CU152" s="85">
        <f>IF(AG152="","",IF(ISNUMBER('Dvd Calendar'!$AI$2101)=FALSE,"",IF((Summary!$C$13="N")*('Dvd Calendar'!$AI$2105='Field Check'!$C$25)&gt;0,"",'Dvd Calendar'!$AI$2101)))</f>
        <v/>
      </c>
      <c r="CV152" s="85">
        <f>IF(AH152="","",IF(ISNUMBER('Dvd Calendar'!$AJ$2101)=FALSE,"",IF((Summary!$C$13="N")*('Dvd Calendar'!$AJ$2105='Field Check'!$C$25)&gt;0,"",'Dvd Calendar'!$AJ$2101)))</f>
        <v/>
      </c>
      <c r="CW152" s="85">
        <f>IF(AI152="","",IF(ISNUMBER('Dvd Calendar'!$AK$2101)=FALSE,"",IF((Summary!$C$13="N")*('Dvd Calendar'!$AK$2105='Field Check'!$C$25)&gt;0,"",'Dvd Calendar'!$AK$2101)))</f>
        <v/>
      </c>
      <c r="CX152" s="85">
        <f>IF(AJ152="","",IF(ISNUMBER('Dvd Calendar'!$AL$2101)=FALSE,"",IF((Summary!$C$13="N")*('Dvd Calendar'!$AL$2105='Field Check'!$C$25)&gt;0,"",'Dvd Calendar'!$AL$2101)))</f>
        <v/>
      </c>
      <c r="CY152" s="85">
        <f>IF(AK152="","",IF(ISNUMBER('Dvd Calendar'!$AM$2101)=FALSE,"",IF((Summary!$C$13="N")*('Dvd Calendar'!$AM$2105='Field Check'!$C$25)&gt;0,"",'Dvd Calendar'!$AM$2101)))</f>
        <v/>
      </c>
      <c r="CZ152" s="85">
        <f>IF(AL152="","",IF(ISNUMBER('Dvd Calendar'!$AN$2101)=FALSE,"",IF((Summary!$C$13="N")*('Dvd Calendar'!$AN$2105='Field Check'!$C$25)&gt;0,"",'Dvd Calendar'!$AN$2101)))</f>
        <v/>
      </c>
      <c r="DA152" s="85">
        <f>IF(AM152="","",IF(ISNUMBER('Dvd Calendar'!$AO$2101)=FALSE,"",IF((Summary!$C$13="N")*('Dvd Calendar'!$AO$2105='Field Check'!$C$25)&gt;0,"",'Dvd Calendar'!$AO$2101)))</f>
        <v/>
      </c>
      <c r="DB152" s="85">
        <f>IF(AN152="","",IF(ISNUMBER('Dvd Calendar'!$AP$2101)=FALSE,"",IF((Summary!$C$13="N")*('Dvd Calendar'!$AP$2105='Field Check'!$C$25)&gt;0,"",'Dvd Calendar'!$AP$2101)))</f>
        <v/>
      </c>
      <c r="DC152" s="85">
        <f>IF(AO152="","",IF(ISNUMBER('Dvd Calendar'!$AQ$2101)=FALSE,"",IF((Summary!$C$13="N")*('Dvd Calendar'!$AQ$2105='Field Check'!$C$25)&gt;0,"",'Dvd Calendar'!$AQ$2101)))</f>
        <v/>
      </c>
      <c r="DD152" s="85">
        <f>IF(AP152="","",IF(ISNUMBER('Dvd Calendar'!$AR$2101)=FALSE,"",IF((Summary!$C$13="N")*('Dvd Calendar'!$AR$2105='Field Check'!$C$25)&gt;0,"",'Dvd Calendar'!$AR$2101)))</f>
        <v/>
      </c>
      <c r="DE152" s="85">
        <f>IF(AQ152="","",IF(ISNUMBER('Dvd Calendar'!$E$2108)=FALSE,"",IF((Summary!$C$13="N")*('Dvd Calendar'!$E$2112='Field Check'!$C$25)&gt;0,"",'Dvd Calendar'!$E$2108)))</f>
        <v/>
      </c>
      <c r="DF152" s="85">
        <f>IF(AR152="","",IF(ISNUMBER('Dvd Calendar'!$F$2108)=FALSE,"",IF((Summary!$C$13="N")*('Dvd Calendar'!$F$2112='Field Check'!$C$25)&gt;0,"",'Dvd Calendar'!$F$2108)))</f>
        <v/>
      </c>
      <c r="DG152" s="85">
        <f>IF(AS152="","",IF(ISNUMBER('Dvd Calendar'!$G$2108)=FALSE,"",IF((Summary!$C$13="N")*('Dvd Calendar'!$G$2112='Field Check'!$C$25)&gt;0,"",'Dvd Calendar'!$G$2108)))</f>
        <v/>
      </c>
      <c r="DH152" s="85">
        <f>IF(AT152="","",IF(ISNUMBER('Dvd Calendar'!$H$2108)=FALSE,"",IF((Summary!$C$13="N")*('Dvd Calendar'!$H$2112='Field Check'!$C$25)&gt;0,"",'Dvd Calendar'!$H$2108)))</f>
        <v/>
      </c>
      <c r="DI152" s="85">
        <f>IF(AU152="","",IF(ISNUMBER('Dvd Calendar'!$I$2108)=FALSE,"",IF((Summary!$C$13="N")*('Dvd Calendar'!$I$2112='Field Check'!$C$25)&gt;0,"",'Dvd Calendar'!$I$2108)))</f>
        <v/>
      </c>
      <c r="DJ152" s="85">
        <f>IF(AV152="","",IF(ISNUMBER('Dvd Calendar'!$J$2108)=FALSE,"",IF((Summary!$C$13="N")*('Dvd Calendar'!$J$2112='Field Check'!$C$25)&gt;0,"",'Dvd Calendar'!$J$2108)))</f>
        <v/>
      </c>
      <c r="DK152" s="85">
        <f>IF(AW152="","",IF(ISNUMBER('Dvd Calendar'!$K$2108)=FALSE,"",IF((Summary!$C$13="N")*('Dvd Calendar'!$K$2112='Field Check'!$C$25)&gt;0,"",'Dvd Calendar'!$K$2108)))</f>
        <v/>
      </c>
      <c r="DL152" s="85">
        <f>IF(AX152="","",IF(ISNUMBER('Dvd Calendar'!$L$2108)=FALSE,"",IF((Summary!$C$13="N")*('Dvd Calendar'!$L$2112='Field Check'!$C$25)&gt;0,"",'Dvd Calendar'!$L$2108)))</f>
        <v/>
      </c>
      <c r="DM152" s="85">
        <f>IF(AY152="","",IF(ISNUMBER('Dvd Calendar'!$M$2108)=FALSE,"",IF((Summary!$C$13="N")*('Dvd Calendar'!$M$2112='Field Check'!$C$25)&gt;0,"",'Dvd Calendar'!$M$2108)))</f>
        <v/>
      </c>
      <c r="DN152" s="85">
        <f>IF(AZ152="","",IF(ISNUMBER('Dvd Calendar'!$N$2108)=FALSE,"",IF((Summary!$C$13="N")*('Dvd Calendar'!$N$2112='Field Check'!$C$25)&gt;0,"",'Dvd Calendar'!$N$2108)))</f>
        <v/>
      </c>
      <c r="DO152" s="85">
        <f>IF(BA152="","",IF(ISNUMBER('Dvd Calendar'!$O$2108)=FALSE,"",IF((Summary!$C$13="N")*('Dvd Calendar'!$O$2112='Field Check'!$C$25)&gt;0,"",'Dvd Calendar'!$O$2108)))</f>
        <v/>
      </c>
      <c r="DP152" s="85">
        <f>IF(BB152="","",IF(ISNUMBER('Dvd Calendar'!$P$2108)=FALSE,"",IF((Summary!$C$13="N")*('Dvd Calendar'!$P$2112='Field Check'!$C$25)&gt;0,"",'Dvd Calendar'!$P$2108)))</f>
        <v/>
      </c>
      <c r="DQ152" s="85">
        <f>IF(BC152="","",IF(ISNUMBER('Dvd Calendar'!$Q$2108)=FALSE,"",IF((Summary!$C$13="N")*('Dvd Calendar'!$Q$2112='Field Check'!$C$25)&gt;0,"",'Dvd Calendar'!$Q$2108)))</f>
        <v/>
      </c>
      <c r="DR152" s="85">
        <f>IF(BD152="","",IF(ISNUMBER('Dvd Calendar'!$R$2108)=FALSE,"",IF((Summary!$C$13="N")*('Dvd Calendar'!$R$2112='Field Check'!$C$25)&gt;0,"",'Dvd Calendar'!$R$2108)))</f>
        <v/>
      </c>
      <c r="DS152" s="85">
        <f>IF(BE152="","",IF(ISNUMBER('Dvd Calendar'!$S$2108)=FALSE,"",IF((Summary!$C$13="N")*('Dvd Calendar'!$S$2112='Field Check'!$C$25)&gt;0,"",'Dvd Calendar'!$S$2108)))</f>
        <v/>
      </c>
      <c r="DT152" s="85">
        <f>IF(BF152="","",IF(ISNUMBER('Dvd Calendar'!$T$2108)=FALSE,"",IF((Summary!$C$13="N")*('Dvd Calendar'!$T$2112='Field Check'!$C$25)&gt;0,"",'Dvd Calendar'!$T$2108)))</f>
        <v/>
      </c>
      <c r="DU152" s="85">
        <f>IF(BG152="","",IF(ISNUMBER('Dvd Calendar'!$U$2108)=FALSE,"",IF((Summary!$C$13="N")*('Dvd Calendar'!$U$2112='Field Check'!$C$25)&gt;0,"",'Dvd Calendar'!$U$2108)))</f>
        <v/>
      </c>
      <c r="DV152" s="85">
        <f>IF(BH152="","",IF(ISNUMBER('Dvd Calendar'!$V$2108)=FALSE,"",IF((Summary!$C$13="N")*('Dvd Calendar'!$V$2112='Field Check'!$C$25)&gt;0,"",'Dvd Calendar'!$V$2108)))</f>
        <v/>
      </c>
      <c r="DW152" s="85">
        <f>IF(BI152="","",IF(ISNUMBER('Dvd Calendar'!$W$2108)=FALSE,"",IF((Summary!$C$13="N")*('Dvd Calendar'!$W$2112='Field Check'!$C$25)&gt;0,"",'Dvd Calendar'!$W$2108)))</f>
        <v/>
      </c>
      <c r="DX152" s="85">
        <f>IF(BJ152="","",IF(ISNUMBER('Dvd Calendar'!$X$2108)=FALSE,"",IF((Summary!$C$13="N")*('Dvd Calendar'!$X$2112='Field Check'!$C$25)&gt;0,"",'Dvd Calendar'!$X$2108)))</f>
        <v/>
      </c>
      <c r="DY152" s="85">
        <f>IF(BK152="","",IF(ISNUMBER('Dvd Calendar'!$Y$2108)=FALSE,"",IF((Summary!$C$13="N")*('Dvd Calendar'!$Y$2112='Field Check'!$C$25)&gt;0,"",'Dvd Calendar'!$Y$2108)))</f>
        <v/>
      </c>
      <c r="DZ152" s="85">
        <f>IF(BL152="","",IF(ISNUMBER('Dvd Calendar'!$Z$2108)=FALSE,"",IF((Summary!$C$13="N")*('Dvd Calendar'!$Z$2112='Field Check'!$C$25)&gt;0,"",'Dvd Calendar'!$Z$2108)))</f>
        <v/>
      </c>
      <c r="EA152" s="85">
        <f>IF(BM152="","",IF(ISNUMBER('Dvd Calendar'!$AA$2108)=FALSE,"",IF((Summary!$C$13="N")*('Dvd Calendar'!$AA$2112='Field Check'!$C$25)&gt;0,"",'Dvd Calendar'!$AA$2108)))</f>
        <v/>
      </c>
      <c r="EB152" s="85">
        <f>IF(BN152="","",IF(ISNUMBER('Dvd Calendar'!$AB$2108)=FALSE,"",IF((Summary!$C$13="N")*('Dvd Calendar'!$AB$2112='Field Check'!$C$25)&gt;0,"",'Dvd Calendar'!$AB$2108)))</f>
        <v/>
      </c>
      <c r="EC152" s="85">
        <f>IF(BO152="","",IF(ISNUMBER('Dvd Calendar'!$AC$2108)=FALSE,"",IF((Summary!$C$13="N")*('Dvd Calendar'!$AC$2112='Field Check'!$C$25)&gt;0,"",'Dvd Calendar'!$AC$2108)))</f>
        <v/>
      </c>
      <c r="EE152" s="85">
        <f>IF(BQ152="","",IFERROR(BQ152*HSTECH!$B$46*HSTECH!$G$46/HSTECH!$B$3,""))</f>
        <v/>
      </c>
      <c r="EF152" s="85">
        <f>IF(BR152="","",IFERROR(BR152*HSTECH!$B$46*HSTECH!$G$46/HSTECH!$B$3,""))</f>
        <v/>
      </c>
      <c r="EG152" s="85">
        <f>IF(BS152="","",IFERROR(BS152*HSTECH!$B$46*HSTECH!$G$46/HSTECH!$B$3,""))</f>
        <v/>
      </c>
      <c r="EH152" s="85">
        <f>IF(BT152="","",IFERROR(BT152*HSTECH!$B$46*HSTECH!$G$46/HSTECH!$B$3,""))</f>
        <v/>
      </c>
      <c r="EI152" s="85">
        <f>IF(BU152="","",IFERROR(BU152*HSTECH!$B$46*HSTECH!$G$46/HSTECH!$B$3,""))</f>
        <v/>
      </c>
      <c r="EJ152" s="85">
        <f>IF(BV152="","",IFERROR(BV152*HSTECH!$B$46*HSTECH!$G$46/HSTECH!$B$3,""))</f>
        <v/>
      </c>
      <c r="EK152" s="85">
        <f>IF(BW152="","",IFERROR(BW152*HSTECH!$B$46*HSTECH!$G$46/HSTECH!$B$3,""))</f>
        <v/>
      </c>
      <c r="EL152" s="85">
        <f>IF(BX152="","",IFERROR(BX152*HSTECH!$B$46*HSTECH!$G$46/HSTECH!$B$3,""))</f>
        <v/>
      </c>
      <c r="EM152" s="85">
        <f>IF(BY152="","",IFERROR(BY152*HSTECH!$B$46*HSTECH!$G$46/HSTECH!$B$3,""))</f>
        <v/>
      </c>
      <c r="EN152" s="85">
        <f>IF(BZ152="","",IFERROR(BZ152*HSTECH!$B$46*HSTECH!$G$46/HSTECH!$B$3,""))</f>
        <v/>
      </c>
      <c r="EO152" s="85">
        <f>IF(CA152="","",IFERROR(CA152*HSTECH!$B$46*HSTECH!$G$46/HSTECH!$B$3,""))</f>
        <v/>
      </c>
      <c r="EP152" s="85">
        <f>IF(CB152="","",IFERROR(CB152*HSTECH!$B$46*HSTECH!$G$46/HSTECH!$B$3,""))</f>
        <v/>
      </c>
      <c r="EQ152" s="85">
        <f>IF(CC152="","",IFERROR(CC152*HSTECH!$B$46*HSTECH!$G$46/HSTECH!$B$3,""))</f>
        <v/>
      </c>
      <c r="ER152" s="85">
        <f>IF(CD152="","",IFERROR(CD152*HSTECH!$B$46*HSTECH!$G$46/HSTECH!$B$3,""))</f>
        <v/>
      </c>
      <c r="ES152" s="85">
        <f>IF(CE152="","",IFERROR(CE152*HSTECH!$B$46*HSTECH!$G$46/HSTECH!$B$3,""))</f>
        <v/>
      </c>
      <c r="ET152" s="85">
        <f>IF(CF152="","",IFERROR(CF152*HSTECH!$B$46*HSTECH!$G$46/HSTECH!$B$3,""))</f>
        <v/>
      </c>
      <c r="EU152" s="85">
        <f>IF(CG152="","",IFERROR(CG152*HSTECH!$B$46*HSTECH!$G$46/HSTECH!$B$3,""))</f>
        <v/>
      </c>
      <c r="EV152" s="85">
        <f>IF(CH152="","",IFERROR(CH152*HSTECH!$B$46*HSTECH!$G$46/HSTECH!$B$3,""))</f>
        <v/>
      </c>
      <c r="EW152" s="85">
        <f>IF(CI152="","",IFERROR(CI152*HSTECH!$B$46*HSTECH!$G$46/HSTECH!$B$3,""))</f>
        <v/>
      </c>
      <c r="EX152" s="85">
        <f>IF(CJ152="","",IFERROR(CJ152*HSTECH!$B$46*HSTECH!$G$46/HSTECH!$B$3,""))</f>
        <v/>
      </c>
      <c r="EY152" s="85">
        <f>IF(CK152="","",IFERROR(CK152*HSTECH!$B$46*HSTECH!$G$46/HSTECH!$B$3,""))</f>
        <v/>
      </c>
      <c r="EZ152" s="85">
        <f>IF(CL152="","",IFERROR(CL152*HSTECH!$B$46*HSTECH!$G$46/HSTECH!$B$3,""))</f>
        <v/>
      </c>
      <c r="FA152" s="85">
        <f>IF(CM152="","",IFERROR(CM152*HSTECH!$B$46*HSTECH!$G$46/HSTECH!$B$3,""))</f>
        <v/>
      </c>
      <c r="FB152" s="85">
        <f>IF(CN152="","",IFERROR(CN152*HSTECH!$B$46*HSTECH!$G$46/HSTECH!$B$3,""))</f>
        <v/>
      </c>
      <c r="FC152" s="85">
        <f>IF(CO152="","",IFERROR(CO152*HSTECH!$B$46*HSTECH!$G$46/HSTECH!$B$3,""))</f>
        <v/>
      </c>
      <c r="FD152" s="85">
        <f>IF(CP152="","",IFERROR(CP152*HSTECH!$B$46*HSTECH!$G$46/HSTECH!$B$3,""))</f>
        <v/>
      </c>
      <c r="FE152" s="85">
        <f>IF(CQ152="","",IFERROR(CQ152*HSTECH!$B$46*HSTECH!$G$46/HSTECH!$B$3,""))</f>
        <v/>
      </c>
      <c r="FF152" s="85">
        <f>IF(CR152="","",IFERROR(CR152*HSTECH!$B$46*HSTECH!$G$46/HSTECH!$B$3,""))</f>
        <v/>
      </c>
      <c r="FG152" s="85">
        <f>IF(CS152="","",IFERROR(CS152*HSTECH!$B$46*HSTECH!$G$46/HSTECH!$B$3,""))</f>
        <v/>
      </c>
      <c r="FH152" s="85">
        <f>IF(CT152="","",IFERROR(CT152*HSTECH!$B$46*HSTECH!$G$46/HSTECH!$B$3,""))</f>
        <v/>
      </c>
      <c r="FI152" s="85">
        <f>IF(CU152="","",IFERROR(CU152*HSTECH!$B$46*HSTECH!$G$46/HSTECH!$B$3,""))</f>
        <v/>
      </c>
      <c r="FJ152" s="85">
        <f>IF(CV152="","",IFERROR(CV152*HSTECH!$B$46*HSTECH!$G$46/HSTECH!$B$3,""))</f>
        <v/>
      </c>
      <c r="FK152" s="85">
        <f>IF(CW152="","",IFERROR(CW152*HSTECH!$B$46*HSTECH!$G$46/HSTECH!$B$3,""))</f>
        <v/>
      </c>
      <c r="FL152" s="85">
        <f>IF(CX152="","",IFERROR(CX152*HSTECH!$B$46*HSTECH!$G$46/HSTECH!$B$3,""))</f>
        <v/>
      </c>
      <c r="FM152" s="85">
        <f>IF(CY152="","",IFERROR(CY152*HSTECH!$B$46*HSTECH!$G$46/HSTECH!$B$3,""))</f>
        <v/>
      </c>
      <c r="FN152" s="85">
        <f>IF(CZ152="","",IFERROR(CZ152*HSTECH!$B$46*HSTECH!$G$46/HSTECH!$B$3,""))</f>
        <v/>
      </c>
      <c r="FO152" s="85">
        <f>IF(DA152="","",IFERROR(DA152*HSTECH!$B$46*HSTECH!$G$46/HSTECH!$B$3,""))</f>
        <v/>
      </c>
      <c r="FP152" s="85">
        <f>IF(DB152="","",IFERROR(DB152*HSTECH!$B$46*HSTECH!$G$46/HSTECH!$B$3,""))</f>
        <v/>
      </c>
      <c r="FQ152" s="85">
        <f>IF(DC152="","",IFERROR(DC152*HSTECH!$B$46*HSTECH!$G$46/HSTECH!$B$3,""))</f>
        <v/>
      </c>
      <c r="FR152" s="85">
        <f>IF(DD152="","",IFERROR(DD152*HSTECH!$B$46*HSTECH!$G$46/HSTECH!$B$3,""))</f>
        <v/>
      </c>
      <c r="FS152" s="85">
        <f>IF(DE152="","",IFERROR(DE152*HSTECH!$B$46*HSTECH!$G$46/HSTECH!$B$3,""))</f>
        <v/>
      </c>
      <c r="FT152" s="85">
        <f>IF(DF152="","",IFERROR(DF152*HSTECH!$B$46*HSTECH!$G$46/HSTECH!$B$3,""))</f>
        <v/>
      </c>
      <c r="FU152" s="85">
        <f>IF(DG152="","",IFERROR(DG152*HSTECH!$B$46*HSTECH!$G$46/HSTECH!$B$3,""))</f>
        <v/>
      </c>
      <c r="FV152" s="85">
        <f>IF(DH152="","",IFERROR(DH152*HSTECH!$B$46*HSTECH!$G$46/HSTECH!$B$3,""))</f>
        <v/>
      </c>
      <c r="FW152" s="85">
        <f>IF(DI152="","",IFERROR(DI152*HSTECH!$B$46*HSTECH!$G$46/HSTECH!$B$3,""))</f>
        <v/>
      </c>
      <c r="FX152" s="85">
        <f>IF(DJ152="","",IFERROR(DJ152*HSTECH!$B$46*HSTECH!$G$46/HSTECH!$B$3,""))</f>
        <v/>
      </c>
      <c r="FY152" s="85">
        <f>IF(DK152="","",IFERROR(DK152*HSTECH!$B$46*HSTECH!$G$46/HSTECH!$B$3,""))</f>
        <v/>
      </c>
      <c r="FZ152" s="85">
        <f>IF(DL152="","",IFERROR(DL152*HSTECH!$B$46*HSTECH!$G$46/HSTECH!$B$3,""))</f>
        <v/>
      </c>
      <c r="GA152" s="85">
        <f>IF(DM152="","",IFERROR(DM152*HSTECH!$B$46*HSTECH!$G$46/HSTECH!$B$3,""))</f>
        <v/>
      </c>
      <c r="GB152" s="85">
        <f>IF(DN152="","",IFERROR(DN152*HSTECH!$B$46*HSTECH!$G$46/HSTECH!$B$3,""))</f>
        <v/>
      </c>
      <c r="GC152" s="85">
        <f>IF(DO152="","",IFERROR(DO152*HSTECH!$B$46*HSTECH!$G$46/HSTECH!$B$3,""))</f>
        <v/>
      </c>
      <c r="GD152" s="85">
        <f>IF(DP152="","",IFERROR(DP152*HSTECH!$B$46*HSTECH!$G$46/HSTECH!$B$3,""))</f>
        <v/>
      </c>
      <c r="GE152" s="85">
        <f>IF(DQ152="","",IFERROR(DQ152*HSTECH!$B$46*HSTECH!$G$46/HSTECH!$B$3,""))</f>
        <v/>
      </c>
      <c r="GF152" s="85">
        <f>IF(DR152="","",IFERROR(DR152*HSTECH!$B$46*HSTECH!$G$46/HSTECH!$B$3,""))</f>
        <v/>
      </c>
      <c r="GG152" s="85">
        <f>IF(DS152="","",IFERROR(DS152*HSTECH!$B$46*HSTECH!$G$46/HSTECH!$B$3,""))</f>
        <v/>
      </c>
      <c r="GH152" s="85">
        <f>IF(DT152="","",IFERROR(DT152*HSTECH!$B$46*HSTECH!$G$46/HSTECH!$B$3,""))</f>
        <v/>
      </c>
      <c r="GI152" s="85">
        <f>IF(DU152="","",IFERROR(DU152*HSTECH!$B$46*HSTECH!$G$46/HSTECH!$B$3,""))</f>
        <v/>
      </c>
      <c r="GJ152" s="85">
        <f>IF(DV152="","",IFERROR(DV152*HSTECH!$B$46*HSTECH!$G$46/HSTECH!$B$3,""))</f>
        <v/>
      </c>
      <c r="GK152" s="85">
        <f>IF(DW152="","",IFERROR(DW152*HSTECH!$B$46*HSTECH!$G$46/HSTECH!$B$3,""))</f>
        <v/>
      </c>
      <c r="GL152" s="85">
        <f>IF(DX152="","",IFERROR(DX152*HSTECH!$B$46*HSTECH!$G$46/HSTECH!$B$3,""))</f>
        <v/>
      </c>
      <c r="GM152" s="85">
        <f>IF(DY152="","",IFERROR(DY152*HSTECH!$B$46*HSTECH!$G$46/HSTECH!$B$3,""))</f>
        <v/>
      </c>
      <c r="GN152" s="85">
        <f>IF(DZ152="","",IFERROR(DZ152*HSTECH!$B$46*HSTECH!$G$46/HSTECH!$B$3,""))</f>
        <v/>
      </c>
      <c r="GO152" s="85">
        <f>IF(EA152="","",IFERROR(EA152*HSTECH!$B$46*HSTECH!$G$46/HSTECH!$B$3,""))</f>
        <v/>
      </c>
      <c r="GP152" s="85">
        <f>IF(EB152="","",IFERROR(EB152*HSTECH!$B$46*HSTECH!$G$46/HSTECH!$B$3,""))</f>
        <v/>
      </c>
      <c r="GQ152" s="85">
        <f>IF(EC152="","",IFERROR(EC152*HSTECH!$B$46*HSTECH!$G$46/HSTECH!$B$3,""))</f>
        <v/>
      </c>
    </row>
    <row r="155">
      <c r="B155" s="3" t="inlineStr">
        <is>
          <t>Hang Seng China Enterprises (HSCEI)   -   codes</t>
        </is>
      </c>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c r="AA155" s="4" t="n"/>
      <c r="AB155" s="4" t="n"/>
      <c r="AC155" s="4" t="n"/>
      <c r="AD155" s="4" t="n"/>
      <c r="AE155" s="4" t="n"/>
      <c r="AF155" s="4" t="n"/>
      <c r="AG155" s="4" t="n"/>
      <c r="AH155" s="4" t="n"/>
      <c r="AI155" s="4" t="n"/>
      <c r="AJ155" s="4" t="n"/>
      <c r="AK155" s="4" t="n"/>
      <c r="AL155" s="4" t="n"/>
      <c r="AM155" s="4" t="n"/>
      <c r="AN155" s="4" t="n"/>
      <c r="AO155" s="4" t="n"/>
      <c r="AP155" s="4" t="n"/>
      <c r="AQ155" s="4" t="n"/>
      <c r="AR155" s="4" t="n"/>
      <c r="AS155" s="4" t="n"/>
      <c r="AT155" s="4" t="n"/>
      <c r="AU155" s="4" t="n"/>
      <c r="AV155" s="4" t="n"/>
      <c r="AW155" s="4" t="n"/>
      <c r="AX155" s="4" t="n"/>
      <c r="AY155" s="4" t="n"/>
      <c r="AZ155" s="4" t="n"/>
      <c r="BA155" s="4" t="n"/>
      <c r="BB155" s="4" t="n"/>
      <c r="BC155" s="4" t="n"/>
      <c r="BD155" s="4" t="n"/>
      <c r="BE155" s="4" t="n"/>
      <c r="BF155" s="4" t="n"/>
      <c r="BG155" s="4" t="n"/>
      <c r="BH155" s="4" t="n"/>
      <c r="BI155" s="4" t="n"/>
      <c r="BJ155" s="4" t="n"/>
      <c r="BK155" s="4" t="n"/>
      <c r="BL155" s="4" t="n"/>
      <c r="BM155" s="4" t="n"/>
      <c r="BN155" s="4" t="n"/>
      <c r="BO155" s="4" t="n"/>
      <c r="BQ155" s="3" t="inlineStr">
        <is>
          <t>DPS</t>
        </is>
      </c>
      <c r="BR155" s="4" t="n"/>
      <c r="BS155" s="4" t="n"/>
      <c r="BT155" s="4" t="n"/>
      <c r="BU155" s="4" t="n"/>
      <c r="BV155" s="4" t="n"/>
      <c r="BW155" s="4" t="n"/>
      <c r="BX155" s="4" t="n"/>
      <c r="BY155" s="4" t="n"/>
      <c r="BZ155" s="4" t="n"/>
      <c r="CA155" s="4" t="n"/>
      <c r="CB155" s="4" t="n"/>
      <c r="CC155" s="4" t="n"/>
      <c r="CD155" s="4" t="n"/>
      <c r="CE155" s="4" t="n"/>
      <c r="CF155" s="4" t="n"/>
      <c r="CG155" s="4" t="n"/>
      <c r="CH155" s="4" t="n"/>
      <c r="CI155" s="4" t="n"/>
      <c r="CJ155" s="4" t="n"/>
      <c r="CK155" s="4" t="n"/>
      <c r="CL155" s="4" t="n"/>
      <c r="CM155" s="4" t="n"/>
      <c r="CN155" s="4" t="n"/>
      <c r="CO155" s="4" t="n"/>
      <c r="CP155" s="4" t="n"/>
      <c r="CQ155" s="4" t="n"/>
      <c r="CR155" s="4" t="n"/>
      <c r="CS155" s="4" t="n"/>
      <c r="CT155" s="4" t="n"/>
      <c r="CU155" s="4" t="n"/>
      <c r="CV155" s="4" t="n"/>
      <c r="CW155" s="4" t="n"/>
      <c r="CX155" s="4" t="n"/>
      <c r="CY155" s="4" t="n"/>
      <c r="CZ155" s="4" t="n"/>
      <c r="DA155" s="4" t="n"/>
      <c r="DB155" s="4" t="n"/>
      <c r="DC155" s="4" t="n"/>
      <c r="DD155" s="4" t="n"/>
      <c r="DE155" s="4" t="n"/>
      <c r="DF155" s="4" t="n"/>
      <c r="DG155" s="4" t="n"/>
      <c r="DH155" s="4" t="n"/>
      <c r="DI155" s="4" t="n"/>
      <c r="DJ155" s="4" t="n"/>
      <c r="DK155" s="4" t="n"/>
      <c r="DL155" s="4" t="n"/>
      <c r="DM155" s="4" t="n"/>
      <c r="DN155" s="4" t="n"/>
      <c r="DO155" s="4" t="n"/>
      <c r="DP155" s="4" t="n"/>
      <c r="DQ155" s="4" t="n"/>
      <c r="DR155" s="4" t="n"/>
      <c r="DS155" s="4" t="n"/>
      <c r="DT155" s="4" t="n"/>
      <c r="DU155" s="4" t="n"/>
      <c r="DV155" s="4" t="n"/>
      <c r="DW155" s="4" t="n"/>
      <c r="DX155" s="4" t="n"/>
      <c r="DY155" s="4" t="n"/>
      <c r="DZ155" s="4" t="n"/>
      <c r="EA155" s="4" t="n"/>
      <c r="EB155" s="4" t="n"/>
      <c r="EC155" s="4" t="n"/>
      <c r="EE155" s="3" t="inlineStr">
        <is>
          <t>index points</t>
        </is>
      </c>
      <c r="EF155" s="4" t="n"/>
      <c r="EG155" s="4" t="n"/>
      <c r="EH155" s="4" t="n"/>
      <c r="EI155" s="4" t="n"/>
      <c r="EJ155" s="4" t="n"/>
      <c r="EK155" s="4" t="n"/>
      <c r="EL155" s="4" t="n"/>
      <c r="EM155" s="4" t="n"/>
      <c r="EN155" s="4" t="n"/>
      <c r="EO155" s="4" t="n"/>
      <c r="EP155" s="4" t="n"/>
      <c r="EQ155" s="4" t="n"/>
      <c r="ER155" s="4" t="n"/>
      <c r="ES155" s="4" t="n"/>
      <c r="ET155" s="4" t="n"/>
      <c r="EU155" s="4" t="n"/>
      <c r="EV155" s="4" t="n"/>
      <c r="EW155" s="4" t="n"/>
      <c r="EX155" s="4" t="n"/>
      <c r="EY155" s="4" t="n"/>
      <c r="EZ155" s="4" t="n"/>
      <c r="FA155" s="4" t="n"/>
      <c r="FB155" s="4" t="n"/>
      <c r="FC155" s="4" t="n"/>
      <c r="FD155" s="4" t="n"/>
      <c r="FE155" s="4" t="n"/>
      <c r="FF155" s="4" t="n"/>
      <c r="FG155" s="4" t="n"/>
      <c r="FH155" s="4" t="n"/>
      <c r="FI155" s="4" t="n"/>
      <c r="FJ155" s="4" t="n"/>
      <c r="FK155" s="4" t="n"/>
      <c r="FL155" s="4" t="n"/>
      <c r="FM155" s="4" t="n"/>
      <c r="FN155" s="4" t="n"/>
      <c r="FO155" s="4" t="n"/>
      <c r="FP155" s="4" t="n"/>
      <c r="FQ155" s="4" t="n"/>
      <c r="FR155" s="4" t="n"/>
      <c r="FS155" s="4" t="n"/>
      <c r="FT155" s="4" t="n"/>
      <c r="FU155" s="4" t="n"/>
      <c r="FV155" s="4" t="n"/>
      <c r="FW155" s="4" t="n"/>
      <c r="FX155" s="4" t="n"/>
      <c r="FY155" s="4" t="n"/>
      <c r="FZ155" s="4" t="n"/>
      <c r="GA155" s="4" t="n"/>
      <c r="GB155" s="4" t="n"/>
      <c r="GC155" s="4" t="n"/>
      <c r="GD155" s="4" t="n"/>
      <c r="GE155" s="4" t="n"/>
      <c r="GF155" s="4" t="n"/>
      <c r="GG155" s="4" t="n"/>
      <c r="GH155" s="4" t="n"/>
      <c r="GI155" s="4" t="n"/>
      <c r="GJ155" s="4" t="n"/>
      <c r="GK155" s="4" t="n"/>
      <c r="GL155" s="4" t="n"/>
      <c r="GM155" s="4" t="n"/>
      <c r="GN155" s="4" t="n"/>
      <c r="GO155" s="4" t="n"/>
      <c r="GP155" s="4" t="n"/>
      <c r="GQ155" s="4" t="n"/>
    </row>
    <row r="157">
      <c r="B157" s="2">
        <f>IF(HSCEI!$C$7="","",HSCEI!$C$7)</f>
        <v/>
      </c>
      <c r="C157" s="41">
        <f>IF(N('Dvd Calendar'!$E$2120)=0,"",IF(('Dvd Calendar'!$E$2120&gt;=MIN(DATE(Summary!$C$12,1,1),Summary!$C$11))*('Dvd Calendar'!$E$2120&lt;=MAX(DATE(Summary!$C$12,12,31),Summary!$C$15))*('Dvd Calendar'!$E$2120&lt;=Summary!$C$11)=0,"",'Dvd Calendar'!$E$2120*1000000000+ISNUMBER('Dvd Calendar'!$E$2121)*100000000+('Dvd Calendar'!$E$2125='Field Check'!$C$25)*10000000+(N('Dvd Calendar'!$E$2119)&gt;0)*1000000+1*1000+1))</f>
        <v/>
      </c>
      <c r="D157" s="41">
        <f>IF(N('Dvd Calendar'!$F$2120)=0,"",IF(('Dvd Calendar'!$F$2120&gt;=MIN(DATE(Summary!$C$12,1,1),Summary!$C$11))*('Dvd Calendar'!$F$2120&lt;=MAX(DATE(Summary!$C$12,12,31),Summary!$C$15))*('Dvd Calendar'!$F$2120&lt;=Summary!$C$11)=0,"",'Dvd Calendar'!$F$2120*1000000000+ISNUMBER('Dvd Calendar'!$F$2121)*100000000+('Dvd Calendar'!$F$2125='Field Check'!$C$25)*10000000+(N('Dvd Calendar'!$F$2119)&gt;0)*1000000+1*1000+2))</f>
        <v/>
      </c>
      <c r="E157" s="41">
        <f>IF(N('Dvd Calendar'!$G$2120)=0,"",IF(('Dvd Calendar'!$G$2120&gt;=MIN(DATE(Summary!$C$12,1,1),Summary!$C$11))*('Dvd Calendar'!$G$2120&lt;=MAX(DATE(Summary!$C$12,12,31),Summary!$C$15))*('Dvd Calendar'!$G$2120&lt;=Summary!$C$11)=0,"",'Dvd Calendar'!$G$2120*1000000000+ISNUMBER('Dvd Calendar'!$G$2121)*100000000+('Dvd Calendar'!$G$2125='Field Check'!$C$25)*10000000+(N('Dvd Calendar'!$G$2119)&gt;0)*1000000+1*1000+3))</f>
        <v/>
      </c>
      <c r="F157" s="41">
        <f>IF(N('Dvd Calendar'!$H$2120)=0,"",IF(('Dvd Calendar'!$H$2120&gt;=MIN(DATE(Summary!$C$12,1,1),Summary!$C$11))*('Dvd Calendar'!$H$2120&lt;=MAX(DATE(Summary!$C$12,12,31),Summary!$C$15))*('Dvd Calendar'!$H$2120&lt;=Summary!$C$11)=0,"",'Dvd Calendar'!$H$2120*1000000000+ISNUMBER('Dvd Calendar'!$H$2121)*100000000+('Dvd Calendar'!$H$2125='Field Check'!$C$25)*10000000+(N('Dvd Calendar'!$H$2119)&gt;0)*1000000+1*1000+4))</f>
        <v/>
      </c>
      <c r="G157" s="41">
        <f>IF(N('Dvd Calendar'!$I$2120)=0,"",IF(('Dvd Calendar'!$I$2120&gt;=MIN(DATE(Summary!$C$12,1,1),Summary!$C$11))*('Dvd Calendar'!$I$2120&lt;=MAX(DATE(Summary!$C$12,12,31),Summary!$C$15))*('Dvd Calendar'!$I$2120&lt;=Summary!$C$11)=0,"",'Dvd Calendar'!$I$2120*1000000000+ISNUMBER('Dvd Calendar'!$I$2121)*100000000+('Dvd Calendar'!$I$2125='Field Check'!$C$25)*10000000+(N('Dvd Calendar'!$I$2119)&gt;0)*1000000+1*1000+5))</f>
        <v/>
      </c>
      <c r="H157" s="41">
        <f>IF(N('Dvd Calendar'!$J$2120)=0,"",IF(('Dvd Calendar'!$J$2120&gt;=MIN(DATE(Summary!$C$12,1,1),Summary!$C$11))*('Dvd Calendar'!$J$2120&lt;=MAX(DATE(Summary!$C$12,12,31),Summary!$C$15))*('Dvd Calendar'!$J$2120&lt;=Summary!$C$11)=0,"",'Dvd Calendar'!$J$2120*1000000000+ISNUMBER('Dvd Calendar'!$J$2121)*100000000+('Dvd Calendar'!$J$2125='Field Check'!$C$25)*10000000+(N('Dvd Calendar'!$J$2119)&gt;0)*1000000+1*1000+6))</f>
        <v/>
      </c>
      <c r="I157" s="41">
        <f>IF(N('Dvd Calendar'!$K$2120)=0,"",IF(('Dvd Calendar'!$K$2120&gt;=MIN(DATE(Summary!$C$12,1,1),Summary!$C$11))*('Dvd Calendar'!$K$2120&lt;=MAX(DATE(Summary!$C$12,12,31),Summary!$C$15))*('Dvd Calendar'!$K$2120&lt;=Summary!$C$11)=0,"",'Dvd Calendar'!$K$2120*1000000000+ISNUMBER('Dvd Calendar'!$K$2121)*100000000+('Dvd Calendar'!$K$2125='Field Check'!$C$25)*10000000+(N('Dvd Calendar'!$K$2119)&gt;0)*1000000+1*1000+7))</f>
        <v/>
      </c>
      <c r="J157" s="41">
        <f>IF(N('Dvd Calendar'!$L$2120)=0,"",IF(('Dvd Calendar'!$L$2120&gt;=MIN(DATE(Summary!$C$12,1,1),Summary!$C$11))*('Dvd Calendar'!$L$2120&lt;=MAX(DATE(Summary!$C$12,12,31),Summary!$C$15))*('Dvd Calendar'!$L$2120&lt;=Summary!$C$11)=0,"",'Dvd Calendar'!$L$2120*1000000000+ISNUMBER('Dvd Calendar'!$L$2121)*100000000+('Dvd Calendar'!$L$2125='Field Check'!$C$25)*10000000+(N('Dvd Calendar'!$L$2119)&gt;0)*1000000+1*1000+8))</f>
        <v/>
      </c>
      <c r="K157" s="41">
        <f>IF(N('Dvd Calendar'!$M$2120)=0,"",IF(('Dvd Calendar'!$M$2120&gt;=MIN(DATE(Summary!$C$12,1,1),Summary!$C$11))*('Dvd Calendar'!$M$2120&lt;=MAX(DATE(Summary!$C$12,12,31),Summary!$C$15))*('Dvd Calendar'!$M$2120&lt;=Summary!$C$11)=0,"",'Dvd Calendar'!$M$2120*1000000000+ISNUMBER('Dvd Calendar'!$M$2121)*100000000+('Dvd Calendar'!$M$2125='Field Check'!$C$25)*10000000+(N('Dvd Calendar'!$M$2119)&gt;0)*1000000+1*1000+9))</f>
        <v/>
      </c>
      <c r="L157" s="41">
        <f>IF(N('Dvd Calendar'!$N$2120)=0,"",IF(('Dvd Calendar'!$N$2120&gt;=MIN(DATE(Summary!$C$12,1,1),Summary!$C$11))*('Dvd Calendar'!$N$2120&lt;=MAX(DATE(Summary!$C$12,12,31),Summary!$C$15))*('Dvd Calendar'!$N$2120&lt;=Summary!$C$11)=0,"",'Dvd Calendar'!$N$2120*1000000000+ISNUMBER('Dvd Calendar'!$N$2121)*100000000+('Dvd Calendar'!$N$2125='Field Check'!$C$25)*10000000+(N('Dvd Calendar'!$N$2119)&gt;0)*1000000+1*1000+10))</f>
        <v/>
      </c>
      <c r="M157" s="41">
        <f>IF(N('Dvd Calendar'!$O$2120)=0,"",IF(('Dvd Calendar'!$O$2120&gt;=MIN(DATE(Summary!$C$12,1,1),Summary!$C$11))*('Dvd Calendar'!$O$2120&lt;=MAX(DATE(Summary!$C$12,12,31),Summary!$C$15))*('Dvd Calendar'!$O$2120&lt;=Summary!$C$11)=0,"",'Dvd Calendar'!$O$2120*1000000000+ISNUMBER('Dvd Calendar'!$O$2121)*100000000+('Dvd Calendar'!$O$2125='Field Check'!$C$25)*10000000+(N('Dvd Calendar'!$O$2119)&gt;0)*1000000+1*1000+11))</f>
        <v/>
      </c>
      <c r="N157" s="41">
        <f>IF(N('Dvd Calendar'!$P$2120)=0,"",IF(('Dvd Calendar'!$P$2120&gt;=MIN(DATE(Summary!$C$12,1,1),Summary!$C$11))*('Dvd Calendar'!$P$2120&lt;=MAX(DATE(Summary!$C$12,12,31),Summary!$C$15))*('Dvd Calendar'!$P$2120&lt;=Summary!$C$11)=0,"",'Dvd Calendar'!$P$2120*1000000000+ISNUMBER('Dvd Calendar'!$P$2121)*100000000+('Dvd Calendar'!$P$2125='Field Check'!$C$25)*10000000+(N('Dvd Calendar'!$P$2119)&gt;0)*1000000+1*1000+12))</f>
        <v/>
      </c>
      <c r="O157" s="41">
        <f>IF(N('Dvd Calendar'!$Q$2120)=0,"",IF(('Dvd Calendar'!$Q$2120&gt;=MIN(DATE(Summary!$C$12,1,1),Summary!$C$11))*('Dvd Calendar'!$Q$2120&lt;=MAX(DATE(Summary!$C$12,12,31),Summary!$C$15))*('Dvd Calendar'!$Q$2120&lt;=Summary!$C$11)=0,"",'Dvd Calendar'!$Q$2120*1000000000+ISNUMBER('Dvd Calendar'!$Q$2121)*100000000+('Dvd Calendar'!$Q$2125='Field Check'!$C$25)*10000000+(N('Dvd Calendar'!$Q$2119)&gt;0)*1000000+1*1000+13))</f>
        <v/>
      </c>
      <c r="P157" s="41">
        <f>IF(N('Dvd Calendar'!$R$2120)=0,"",IF(('Dvd Calendar'!$R$2120&gt;=MIN(DATE(Summary!$C$12,1,1),Summary!$C$11))*('Dvd Calendar'!$R$2120&lt;=MAX(DATE(Summary!$C$12,12,31),Summary!$C$15))*('Dvd Calendar'!$R$2120&lt;=Summary!$C$11)=0,"",'Dvd Calendar'!$R$2120*1000000000+ISNUMBER('Dvd Calendar'!$R$2121)*100000000+('Dvd Calendar'!$R$2125='Field Check'!$C$25)*10000000+(N('Dvd Calendar'!$R$2119)&gt;0)*1000000+1*1000+14))</f>
        <v/>
      </c>
      <c r="Q157" s="41">
        <f>IF(N('Dvd Calendar'!$S$2120)=0,"",IF(('Dvd Calendar'!$S$2120&gt;=MIN(DATE(Summary!$C$12,1,1),Summary!$C$11))*('Dvd Calendar'!$S$2120&lt;=MAX(DATE(Summary!$C$12,12,31),Summary!$C$15))*('Dvd Calendar'!$S$2120&lt;=Summary!$C$11)=0,"",'Dvd Calendar'!$S$2120*1000000000+ISNUMBER('Dvd Calendar'!$S$2121)*100000000+('Dvd Calendar'!$S$2125='Field Check'!$C$25)*10000000+(N('Dvd Calendar'!$S$2119)&gt;0)*1000000+1*1000+15))</f>
        <v/>
      </c>
      <c r="R157" s="41">
        <f>IF(N('Dvd Calendar'!$T$2120)=0,"",IF(('Dvd Calendar'!$T$2120&gt;=MIN(DATE(Summary!$C$12,1,1),Summary!$C$11))*('Dvd Calendar'!$T$2120&lt;=MAX(DATE(Summary!$C$12,12,31),Summary!$C$15))*('Dvd Calendar'!$T$2120&lt;=Summary!$C$11)=0,"",'Dvd Calendar'!$T$2120*1000000000+ISNUMBER('Dvd Calendar'!$T$2121)*100000000+('Dvd Calendar'!$T$2125='Field Check'!$C$25)*10000000+(N('Dvd Calendar'!$T$2119)&gt;0)*1000000+1*1000+16))</f>
        <v/>
      </c>
      <c r="S157" s="41">
        <f>IF(N('Dvd Calendar'!$U$2120)=0,"",IF(('Dvd Calendar'!$U$2120&gt;=MIN(DATE(Summary!$C$12,1,1),Summary!$C$11))*('Dvd Calendar'!$U$2120&lt;=MAX(DATE(Summary!$C$12,12,31),Summary!$C$15))*('Dvd Calendar'!$U$2120&lt;=Summary!$C$11)=0,"",'Dvd Calendar'!$U$2120*1000000000+ISNUMBER('Dvd Calendar'!$U$2121)*100000000+('Dvd Calendar'!$U$2125='Field Check'!$C$25)*10000000+(N('Dvd Calendar'!$U$2119)&gt;0)*1000000+1*1000+17))</f>
        <v/>
      </c>
      <c r="T157" s="41">
        <f>IF(N('Dvd Calendar'!$V$2120)=0,"",IF(('Dvd Calendar'!$V$2120&gt;=MIN(DATE(Summary!$C$12,1,1),Summary!$C$11))*('Dvd Calendar'!$V$2120&lt;=MAX(DATE(Summary!$C$12,12,31),Summary!$C$15))*('Dvd Calendar'!$V$2120&lt;=Summary!$C$11)=0,"",'Dvd Calendar'!$V$2120*1000000000+ISNUMBER('Dvd Calendar'!$V$2121)*100000000+('Dvd Calendar'!$V$2125='Field Check'!$C$25)*10000000+(N('Dvd Calendar'!$V$2119)&gt;0)*1000000+1*1000+18))</f>
        <v/>
      </c>
      <c r="U157" s="41">
        <f>IF(N('Dvd Calendar'!$W$2120)=0,"",IF(('Dvd Calendar'!$W$2120&gt;=MIN(DATE(Summary!$C$12,1,1),Summary!$C$11))*('Dvd Calendar'!$W$2120&lt;=MAX(DATE(Summary!$C$12,12,31),Summary!$C$15))*('Dvd Calendar'!$W$2120&lt;=Summary!$C$11)=0,"",'Dvd Calendar'!$W$2120*1000000000+ISNUMBER('Dvd Calendar'!$W$2121)*100000000+('Dvd Calendar'!$W$2125='Field Check'!$C$25)*10000000+(N('Dvd Calendar'!$W$2119)&gt;0)*1000000+1*1000+19))</f>
        <v/>
      </c>
      <c r="V157" s="41">
        <f>IF(N('Dvd Calendar'!$X$2120)=0,"",IF(('Dvd Calendar'!$X$2120&gt;=MIN(DATE(Summary!$C$12,1,1),Summary!$C$11))*('Dvd Calendar'!$X$2120&lt;=MAX(DATE(Summary!$C$12,12,31),Summary!$C$15))*('Dvd Calendar'!$X$2120&lt;=Summary!$C$11)=0,"",'Dvd Calendar'!$X$2120*1000000000+ISNUMBER('Dvd Calendar'!$X$2121)*100000000+('Dvd Calendar'!$X$2125='Field Check'!$C$25)*10000000+(N('Dvd Calendar'!$X$2119)&gt;0)*1000000+1*1000+20))</f>
        <v/>
      </c>
      <c r="W157" s="41">
        <f>IF(N('Dvd Calendar'!$Y$2120)=0,"",IF(('Dvd Calendar'!$Y$2120&gt;=MIN(DATE(Summary!$C$12,1,1),Summary!$C$11))*('Dvd Calendar'!$Y$2120&lt;=MAX(DATE(Summary!$C$12,12,31),Summary!$C$15))*('Dvd Calendar'!$Y$2120&lt;=Summary!$C$11)=0,"",'Dvd Calendar'!$Y$2120*1000000000+ISNUMBER('Dvd Calendar'!$Y$2121)*100000000+('Dvd Calendar'!$Y$2125='Field Check'!$C$25)*10000000+(N('Dvd Calendar'!$Y$2119)&gt;0)*1000000+1*1000+21))</f>
        <v/>
      </c>
      <c r="X157" s="41">
        <f>IF(N('Dvd Calendar'!$Z$2120)=0,"",IF(('Dvd Calendar'!$Z$2120&gt;=MIN(DATE(Summary!$C$12,1,1),Summary!$C$11))*('Dvd Calendar'!$Z$2120&lt;=MAX(DATE(Summary!$C$12,12,31),Summary!$C$15))*('Dvd Calendar'!$Z$2120&lt;=Summary!$C$11)=0,"",'Dvd Calendar'!$Z$2120*1000000000+ISNUMBER('Dvd Calendar'!$Z$2121)*100000000+('Dvd Calendar'!$Z$2125='Field Check'!$C$25)*10000000+(N('Dvd Calendar'!$Z$2119)&gt;0)*1000000+1*1000+22))</f>
        <v/>
      </c>
      <c r="Y157" s="41">
        <f>IF(N('Dvd Calendar'!$AA$2120)=0,"",IF(('Dvd Calendar'!$AA$2120&gt;=MIN(DATE(Summary!$C$12,1,1),Summary!$C$11))*('Dvd Calendar'!$AA$2120&lt;=MAX(DATE(Summary!$C$12,12,31),Summary!$C$15))*('Dvd Calendar'!$AA$2120&lt;=Summary!$C$11)=0,"",'Dvd Calendar'!$AA$2120*1000000000+ISNUMBER('Dvd Calendar'!$AA$2121)*100000000+('Dvd Calendar'!$AA$2125='Field Check'!$C$25)*10000000+(N('Dvd Calendar'!$AA$2119)&gt;0)*1000000+1*1000+23))</f>
        <v/>
      </c>
      <c r="Z157" s="41">
        <f>IF(N('Dvd Calendar'!$AB$2120)=0,"",IF(('Dvd Calendar'!$AB$2120&gt;=MIN(DATE(Summary!$C$12,1,1),Summary!$C$11))*('Dvd Calendar'!$AB$2120&lt;=MAX(DATE(Summary!$C$12,12,31),Summary!$C$15))*('Dvd Calendar'!$AB$2120&lt;=Summary!$C$11)=0,"",'Dvd Calendar'!$AB$2120*1000000000+ISNUMBER('Dvd Calendar'!$AB$2121)*100000000+('Dvd Calendar'!$AB$2125='Field Check'!$C$25)*10000000+(N('Dvd Calendar'!$AB$2119)&gt;0)*1000000+1*1000+24))</f>
        <v/>
      </c>
      <c r="AA157" s="41">
        <f>IF(N('Dvd Calendar'!$AC$2120)=0,"",IF(('Dvd Calendar'!$AC$2120&gt;=MIN(DATE(Summary!$C$12,1,1),Summary!$C$11))*('Dvd Calendar'!$AC$2120&lt;=MAX(DATE(Summary!$C$12,12,31),Summary!$C$15))*('Dvd Calendar'!$AC$2120&lt;=Summary!$C$11)=0,"",'Dvd Calendar'!$AC$2120*1000000000+ISNUMBER('Dvd Calendar'!$AC$2121)*100000000+('Dvd Calendar'!$AC$2125='Field Check'!$C$25)*10000000+(N('Dvd Calendar'!$AC$2119)&gt;0)*1000000+1*1000+25))</f>
        <v/>
      </c>
      <c r="AB157" s="41">
        <f>IF(N('Dvd Calendar'!$AD$2120)=0,"",IF(('Dvd Calendar'!$AD$2120&gt;=MIN(DATE(Summary!$C$12,1,1),Summary!$C$11))*('Dvd Calendar'!$AD$2120&lt;=MAX(DATE(Summary!$C$12,12,31),Summary!$C$15))*('Dvd Calendar'!$AD$2120&lt;=Summary!$C$11)=0,"",'Dvd Calendar'!$AD$2120*1000000000+ISNUMBER('Dvd Calendar'!$AD$2121)*100000000+('Dvd Calendar'!$AD$2125='Field Check'!$C$25)*10000000+(N('Dvd Calendar'!$AD$2119)&gt;0)*1000000+1*1000+26))</f>
        <v/>
      </c>
      <c r="AC157" s="41">
        <f>IF(N('Dvd Calendar'!$AE$2120)=0,"",IF(('Dvd Calendar'!$AE$2120&gt;=MIN(DATE(Summary!$C$12,1,1),Summary!$C$11))*('Dvd Calendar'!$AE$2120&lt;=MAX(DATE(Summary!$C$12,12,31),Summary!$C$15))*('Dvd Calendar'!$AE$2120&lt;=Summary!$C$11)=0,"",'Dvd Calendar'!$AE$2120*1000000000+ISNUMBER('Dvd Calendar'!$AE$2121)*100000000+('Dvd Calendar'!$AE$2125='Field Check'!$C$25)*10000000+(N('Dvd Calendar'!$AE$2119)&gt;0)*1000000+1*1000+27))</f>
        <v/>
      </c>
      <c r="AD157" s="41">
        <f>IF(N('Dvd Calendar'!$AF$2120)=0,"",IF(('Dvd Calendar'!$AF$2120&gt;=MIN(DATE(Summary!$C$12,1,1),Summary!$C$11))*('Dvd Calendar'!$AF$2120&lt;=MAX(DATE(Summary!$C$12,12,31),Summary!$C$15))*('Dvd Calendar'!$AF$2120&lt;=Summary!$C$11)=0,"",'Dvd Calendar'!$AF$2120*1000000000+ISNUMBER('Dvd Calendar'!$AF$2121)*100000000+('Dvd Calendar'!$AF$2125='Field Check'!$C$25)*10000000+(N('Dvd Calendar'!$AF$2119)&gt;0)*1000000+1*1000+28))</f>
        <v/>
      </c>
      <c r="AE157" s="41">
        <f>IF(N('Dvd Calendar'!$AG$2120)=0,"",IF(('Dvd Calendar'!$AG$2120&gt;=MIN(DATE(Summary!$C$12,1,1),Summary!$C$11))*('Dvd Calendar'!$AG$2120&lt;=MAX(DATE(Summary!$C$12,12,31),Summary!$C$15))*('Dvd Calendar'!$AG$2120&lt;=Summary!$C$11)=0,"",'Dvd Calendar'!$AG$2120*1000000000+ISNUMBER('Dvd Calendar'!$AG$2121)*100000000+('Dvd Calendar'!$AG$2125='Field Check'!$C$25)*10000000+(N('Dvd Calendar'!$AG$2119)&gt;0)*1000000+1*1000+29))</f>
        <v/>
      </c>
      <c r="AF157" s="41">
        <f>IF(N('Dvd Calendar'!$AH$2120)=0,"",IF(('Dvd Calendar'!$AH$2120&gt;=MIN(DATE(Summary!$C$12,1,1),Summary!$C$11))*('Dvd Calendar'!$AH$2120&lt;=MAX(DATE(Summary!$C$12,12,31),Summary!$C$15))*('Dvd Calendar'!$AH$2120&lt;=Summary!$C$11)=0,"",'Dvd Calendar'!$AH$2120*1000000000+ISNUMBER('Dvd Calendar'!$AH$2121)*100000000+('Dvd Calendar'!$AH$2125='Field Check'!$C$25)*10000000+(N('Dvd Calendar'!$AH$2119)&gt;0)*1000000+1*1000+30))</f>
        <v/>
      </c>
      <c r="AG157" s="41">
        <f>IF(N('Dvd Calendar'!$AI$2120)=0,"",IF(('Dvd Calendar'!$AI$2120&gt;=MIN(DATE(Summary!$C$12,1,1),Summary!$C$11))*('Dvd Calendar'!$AI$2120&lt;=MAX(DATE(Summary!$C$12,12,31),Summary!$C$15))*('Dvd Calendar'!$AI$2120&lt;=Summary!$C$11)=0,"",'Dvd Calendar'!$AI$2120*1000000000+ISNUMBER('Dvd Calendar'!$AI$2121)*100000000+('Dvd Calendar'!$AI$2125='Field Check'!$C$25)*10000000+(N('Dvd Calendar'!$AI$2119)&gt;0)*1000000+1*1000+31))</f>
        <v/>
      </c>
      <c r="AH157" s="41">
        <f>IF(N('Dvd Calendar'!$AJ$2120)=0,"",IF(('Dvd Calendar'!$AJ$2120&gt;=MIN(DATE(Summary!$C$12,1,1),Summary!$C$11))*('Dvd Calendar'!$AJ$2120&lt;=MAX(DATE(Summary!$C$12,12,31),Summary!$C$15))*('Dvd Calendar'!$AJ$2120&lt;=Summary!$C$11)=0,"",'Dvd Calendar'!$AJ$2120*1000000000+ISNUMBER('Dvd Calendar'!$AJ$2121)*100000000+('Dvd Calendar'!$AJ$2125='Field Check'!$C$25)*10000000+(N('Dvd Calendar'!$AJ$2119)&gt;0)*1000000+1*1000+32))</f>
        <v/>
      </c>
      <c r="AI157" s="41">
        <f>IF(N('Dvd Calendar'!$AK$2120)=0,"",IF(('Dvd Calendar'!$AK$2120&gt;=MIN(DATE(Summary!$C$12,1,1),Summary!$C$11))*('Dvd Calendar'!$AK$2120&lt;=MAX(DATE(Summary!$C$12,12,31),Summary!$C$15))*('Dvd Calendar'!$AK$2120&lt;=Summary!$C$11)=0,"",'Dvd Calendar'!$AK$2120*1000000000+ISNUMBER('Dvd Calendar'!$AK$2121)*100000000+('Dvd Calendar'!$AK$2125='Field Check'!$C$25)*10000000+(N('Dvd Calendar'!$AK$2119)&gt;0)*1000000+1*1000+33))</f>
        <v/>
      </c>
      <c r="AJ157" s="41">
        <f>IF(N('Dvd Calendar'!$AL$2120)=0,"",IF(('Dvd Calendar'!$AL$2120&gt;=MIN(DATE(Summary!$C$12,1,1),Summary!$C$11))*('Dvd Calendar'!$AL$2120&lt;=MAX(DATE(Summary!$C$12,12,31),Summary!$C$15))*('Dvd Calendar'!$AL$2120&lt;=Summary!$C$11)=0,"",'Dvd Calendar'!$AL$2120*1000000000+ISNUMBER('Dvd Calendar'!$AL$2121)*100000000+('Dvd Calendar'!$AL$2125='Field Check'!$C$25)*10000000+(N('Dvd Calendar'!$AL$2119)&gt;0)*1000000+1*1000+34))</f>
        <v/>
      </c>
      <c r="AK157" s="41">
        <f>IF(N('Dvd Calendar'!$AM$2120)=0,"",IF(('Dvd Calendar'!$AM$2120&gt;=MIN(DATE(Summary!$C$12,1,1),Summary!$C$11))*('Dvd Calendar'!$AM$2120&lt;=MAX(DATE(Summary!$C$12,12,31),Summary!$C$15))*('Dvd Calendar'!$AM$2120&lt;=Summary!$C$11)=0,"",'Dvd Calendar'!$AM$2120*1000000000+ISNUMBER('Dvd Calendar'!$AM$2121)*100000000+('Dvd Calendar'!$AM$2125='Field Check'!$C$25)*10000000+(N('Dvd Calendar'!$AM$2119)&gt;0)*1000000+1*1000+35))</f>
        <v/>
      </c>
      <c r="AL157" s="41">
        <f>IF(N('Dvd Calendar'!$AN$2120)=0,"",IF(('Dvd Calendar'!$AN$2120&gt;=MIN(DATE(Summary!$C$12,1,1),Summary!$C$11))*('Dvd Calendar'!$AN$2120&lt;=MAX(DATE(Summary!$C$12,12,31),Summary!$C$15))*('Dvd Calendar'!$AN$2120&lt;=Summary!$C$11)=0,"",'Dvd Calendar'!$AN$2120*1000000000+ISNUMBER('Dvd Calendar'!$AN$2121)*100000000+('Dvd Calendar'!$AN$2125='Field Check'!$C$25)*10000000+(N('Dvd Calendar'!$AN$2119)&gt;0)*1000000+1*1000+36))</f>
        <v/>
      </c>
      <c r="AM157" s="41">
        <f>IF(N('Dvd Calendar'!$AO$2120)=0,"",IF(('Dvd Calendar'!$AO$2120&gt;=MIN(DATE(Summary!$C$12,1,1),Summary!$C$11))*('Dvd Calendar'!$AO$2120&lt;=MAX(DATE(Summary!$C$12,12,31),Summary!$C$15))*('Dvd Calendar'!$AO$2120&lt;=Summary!$C$11)=0,"",'Dvd Calendar'!$AO$2120*1000000000+ISNUMBER('Dvd Calendar'!$AO$2121)*100000000+('Dvd Calendar'!$AO$2125='Field Check'!$C$25)*10000000+(N('Dvd Calendar'!$AO$2119)&gt;0)*1000000+1*1000+37))</f>
        <v/>
      </c>
      <c r="AN157" s="41">
        <f>IF(N('Dvd Calendar'!$AP$2120)=0,"",IF(('Dvd Calendar'!$AP$2120&gt;=MIN(DATE(Summary!$C$12,1,1),Summary!$C$11))*('Dvd Calendar'!$AP$2120&lt;=MAX(DATE(Summary!$C$12,12,31),Summary!$C$15))*('Dvd Calendar'!$AP$2120&lt;=Summary!$C$11)=0,"",'Dvd Calendar'!$AP$2120*1000000000+ISNUMBER('Dvd Calendar'!$AP$2121)*100000000+('Dvd Calendar'!$AP$2125='Field Check'!$C$25)*10000000+(N('Dvd Calendar'!$AP$2119)&gt;0)*1000000+1*1000+38))</f>
        <v/>
      </c>
      <c r="AO157" s="41">
        <f>IF(N('Dvd Calendar'!$AQ$2120)=0,"",IF(('Dvd Calendar'!$AQ$2120&gt;=MIN(DATE(Summary!$C$12,1,1),Summary!$C$11))*('Dvd Calendar'!$AQ$2120&lt;=MAX(DATE(Summary!$C$12,12,31),Summary!$C$15))*('Dvd Calendar'!$AQ$2120&lt;=Summary!$C$11)=0,"",'Dvd Calendar'!$AQ$2120*1000000000+ISNUMBER('Dvd Calendar'!$AQ$2121)*100000000+('Dvd Calendar'!$AQ$2125='Field Check'!$C$25)*10000000+(N('Dvd Calendar'!$AQ$2119)&gt;0)*1000000+1*1000+39))</f>
        <v/>
      </c>
      <c r="AP157" s="41">
        <f>IF(N('Dvd Calendar'!$AR$2120)=0,"",IF(('Dvd Calendar'!$AR$2120&gt;=MIN(DATE(Summary!$C$12,1,1),Summary!$C$11))*('Dvd Calendar'!$AR$2120&lt;=MAX(DATE(Summary!$C$12,12,31),Summary!$C$15))*('Dvd Calendar'!$AR$2120&lt;=Summary!$C$11)=0,"",'Dvd Calendar'!$AR$2120*1000000000+ISNUMBER('Dvd Calendar'!$AR$2121)*100000000+('Dvd Calendar'!$AR$2125='Field Check'!$C$25)*10000000+(N('Dvd Calendar'!$AR$2119)&gt;0)*1000000+1*1000+40))</f>
        <v/>
      </c>
      <c r="AQ157" s="41">
        <f>IF(N('Dvd Calendar'!$E$2127)=0,"",IF(('Dvd Calendar'!$E$2127&gt;=MIN(DATE(Summary!$C$12,1,1),Summary!$C$11))*('Dvd Calendar'!$E$2127&lt;=MAX(DATE(Summary!$C$12,12,31),Summary!$C$15))*('Dvd Calendar'!$E$2127&gt;Summary!$C$11)=0,"",'Dvd Calendar'!$E$2127*1000000000+ISNUMBER('Dvd Calendar'!$E$2128)*100000000+('Dvd Calendar'!$E$2132='Field Check'!$C$25)*10000000+(N('Dvd Calendar'!$E$2126)&gt;0)*1000000+1*1000+41))</f>
        <v/>
      </c>
      <c r="AR157" s="41">
        <f>IF(N('Dvd Calendar'!$F$2127)=0,"",IF(('Dvd Calendar'!$F$2127&gt;=MIN(DATE(Summary!$C$12,1,1),Summary!$C$11))*('Dvd Calendar'!$F$2127&lt;=MAX(DATE(Summary!$C$12,12,31),Summary!$C$15))*('Dvd Calendar'!$F$2127&gt;Summary!$C$11)=0,"",'Dvd Calendar'!$F$2127*1000000000+ISNUMBER('Dvd Calendar'!$F$2128)*100000000+('Dvd Calendar'!$F$2132='Field Check'!$C$25)*10000000+(N('Dvd Calendar'!$F$2126)&gt;0)*1000000+1*1000+42))</f>
        <v/>
      </c>
      <c r="AS157" s="41">
        <f>IF(N('Dvd Calendar'!$G$2127)=0,"",IF(('Dvd Calendar'!$G$2127&gt;=MIN(DATE(Summary!$C$12,1,1),Summary!$C$11))*('Dvd Calendar'!$G$2127&lt;=MAX(DATE(Summary!$C$12,12,31),Summary!$C$15))*('Dvd Calendar'!$G$2127&gt;Summary!$C$11)=0,"",'Dvd Calendar'!$G$2127*1000000000+ISNUMBER('Dvd Calendar'!$G$2128)*100000000+('Dvd Calendar'!$G$2132='Field Check'!$C$25)*10000000+(N('Dvd Calendar'!$G$2126)&gt;0)*1000000+1*1000+43))</f>
        <v/>
      </c>
      <c r="AT157" s="41">
        <f>IF(N('Dvd Calendar'!$H$2127)=0,"",IF(('Dvd Calendar'!$H$2127&gt;=MIN(DATE(Summary!$C$12,1,1),Summary!$C$11))*('Dvd Calendar'!$H$2127&lt;=MAX(DATE(Summary!$C$12,12,31),Summary!$C$15))*('Dvd Calendar'!$H$2127&gt;Summary!$C$11)=0,"",'Dvd Calendar'!$H$2127*1000000000+ISNUMBER('Dvd Calendar'!$H$2128)*100000000+('Dvd Calendar'!$H$2132='Field Check'!$C$25)*10000000+(N('Dvd Calendar'!$H$2126)&gt;0)*1000000+1*1000+44))</f>
        <v/>
      </c>
      <c r="AU157" s="41">
        <f>IF(N('Dvd Calendar'!$I$2127)=0,"",IF(('Dvd Calendar'!$I$2127&gt;=MIN(DATE(Summary!$C$12,1,1),Summary!$C$11))*('Dvd Calendar'!$I$2127&lt;=MAX(DATE(Summary!$C$12,12,31),Summary!$C$15))*('Dvd Calendar'!$I$2127&gt;Summary!$C$11)=0,"",'Dvd Calendar'!$I$2127*1000000000+ISNUMBER('Dvd Calendar'!$I$2128)*100000000+('Dvd Calendar'!$I$2132='Field Check'!$C$25)*10000000+(N('Dvd Calendar'!$I$2126)&gt;0)*1000000+1*1000+45))</f>
        <v/>
      </c>
      <c r="AV157" s="41">
        <f>IF(N('Dvd Calendar'!$J$2127)=0,"",IF(('Dvd Calendar'!$J$2127&gt;=MIN(DATE(Summary!$C$12,1,1),Summary!$C$11))*('Dvd Calendar'!$J$2127&lt;=MAX(DATE(Summary!$C$12,12,31),Summary!$C$15))*('Dvd Calendar'!$J$2127&gt;Summary!$C$11)=0,"",'Dvd Calendar'!$J$2127*1000000000+ISNUMBER('Dvd Calendar'!$J$2128)*100000000+('Dvd Calendar'!$J$2132='Field Check'!$C$25)*10000000+(N('Dvd Calendar'!$J$2126)&gt;0)*1000000+1*1000+46))</f>
        <v/>
      </c>
      <c r="AW157" s="41">
        <f>IF(N('Dvd Calendar'!$K$2127)=0,"",IF(('Dvd Calendar'!$K$2127&gt;=MIN(DATE(Summary!$C$12,1,1),Summary!$C$11))*('Dvd Calendar'!$K$2127&lt;=MAX(DATE(Summary!$C$12,12,31),Summary!$C$15))*('Dvd Calendar'!$K$2127&gt;Summary!$C$11)=0,"",'Dvd Calendar'!$K$2127*1000000000+ISNUMBER('Dvd Calendar'!$K$2128)*100000000+('Dvd Calendar'!$K$2132='Field Check'!$C$25)*10000000+(N('Dvd Calendar'!$K$2126)&gt;0)*1000000+1*1000+47))</f>
        <v/>
      </c>
      <c r="AX157" s="41">
        <f>IF(N('Dvd Calendar'!$L$2127)=0,"",IF(('Dvd Calendar'!$L$2127&gt;=MIN(DATE(Summary!$C$12,1,1),Summary!$C$11))*('Dvd Calendar'!$L$2127&lt;=MAX(DATE(Summary!$C$12,12,31),Summary!$C$15))*('Dvd Calendar'!$L$2127&gt;Summary!$C$11)=0,"",'Dvd Calendar'!$L$2127*1000000000+ISNUMBER('Dvd Calendar'!$L$2128)*100000000+('Dvd Calendar'!$L$2132='Field Check'!$C$25)*10000000+(N('Dvd Calendar'!$L$2126)&gt;0)*1000000+1*1000+48))</f>
        <v/>
      </c>
      <c r="AY157" s="41">
        <f>IF(N('Dvd Calendar'!$M$2127)=0,"",IF(('Dvd Calendar'!$M$2127&gt;=MIN(DATE(Summary!$C$12,1,1),Summary!$C$11))*('Dvd Calendar'!$M$2127&lt;=MAX(DATE(Summary!$C$12,12,31),Summary!$C$15))*('Dvd Calendar'!$M$2127&gt;Summary!$C$11)=0,"",'Dvd Calendar'!$M$2127*1000000000+ISNUMBER('Dvd Calendar'!$M$2128)*100000000+('Dvd Calendar'!$M$2132='Field Check'!$C$25)*10000000+(N('Dvd Calendar'!$M$2126)&gt;0)*1000000+1*1000+49))</f>
        <v/>
      </c>
      <c r="AZ157" s="41">
        <f>IF(N('Dvd Calendar'!$N$2127)=0,"",IF(('Dvd Calendar'!$N$2127&gt;=MIN(DATE(Summary!$C$12,1,1),Summary!$C$11))*('Dvd Calendar'!$N$2127&lt;=MAX(DATE(Summary!$C$12,12,31),Summary!$C$15))*('Dvd Calendar'!$N$2127&gt;Summary!$C$11)=0,"",'Dvd Calendar'!$N$2127*1000000000+ISNUMBER('Dvd Calendar'!$N$2128)*100000000+('Dvd Calendar'!$N$2132='Field Check'!$C$25)*10000000+(N('Dvd Calendar'!$N$2126)&gt;0)*1000000+1*1000+50))</f>
        <v/>
      </c>
      <c r="BA157" s="41">
        <f>IF(N('Dvd Calendar'!$O$2127)=0,"",IF(('Dvd Calendar'!$O$2127&gt;=MIN(DATE(Summary!$C$12,1,1),Summary!$C$11))*('Dvd Calendar'!$O$2127&lt;=MAX(DATE(Summary!$C$12,12,31),Summary!$C$15))*('Dvd Calendar'!$O$2127&gt;Summary!$C$11)=0,"",'Dvd Calendar'!$O$2127*1000000000+ISNUMBER('Dvd Calendar'!$O$2128)*100000000+('Dvd Calendar'!$O$2132='Field Check'!$C$25)*10000000+(N('Dvd Calendar'!$O$2126)&gt;0)*1000000+1*1000+51))</f>
        <v/>
      </c>
      <c r="BB157" s="41">
        <f>IF(N('Dvd Calendar'!$P$2127)=0,"",IF(('Dvd Calendar'!$P$2127&gt;=MIN(DATE(Summary!$C$12,1,1),Summary!$C$11))*('Dvd Calendar'!$P$2127&lt;=MAX(DATE(Summary!$C$12,12,31),Summary!$C$15))*('Dvd Calendar'!$P$2127&gt;Summary!$C$11)=0,"",'Dvd Calendar'!$P$2127*1000000000+ISNUMBER('Dvd Calendar'!$P$2128)*100000000+('Dvd Calendar'!$P$2132='Field Check'!$C$25)*10000000+(N('Dvd Calendar'!$P$2126)&gt;0)*1000000+1*1000+52))</f>
        <v/>
      </c>
      <c r="BC157" s="41">
        <f>IF(N('Dvd Calendar'!$Q$2127)=0,"",IF(('Dvd Calendar'!$Q$2127&gt;=MIN(DATE(Summary!$C$12,1,1),Summary!$C$11))*('Dvd Calendar'!$Q$2127&lt;=MAX(DATE(Summary!$C$12,12,31),Summary!$C$15))*('Dvd Calendar'!$Q$2127&gt;Summary!$C$11)=0,"",'Dvd Calendar'!$Q$2127*1000000000+ISNUMBER('Dvd Calendar'!$Q$2128)*100000000+('Dvd Calendar'!$Q$2132='Field Check'!$C$25)*10000000+(N('Dvd Calendar'!$Q$2126)&gt;0)*1000000+1*1000+53))</f>
        <v/>
      </c>
      <c r="BD157" s="41">
        <f>IF(N('Dvd Calendar'!$R$2127)=0,"",IF(('Dvd Calendar'!$R$2127&gt;=MIN(DATE(Summary!$C$12,1,1),Summary!$C$11))*('Dvd Calendar'!$R$2127&lt;=MAX(DATE(Summary!$C$12,12,31),Summary!$C$15))*('Dvd Calendar'!$R$2127&gt;Summary!$C$11)=0,"",'Dvd Calendar'!$R$2127*1000000000+ISNUMBER('Dvd Calendar'!$R$2128)*100000000+('Dvd Calendar'!$R$2132='Field Check'!$C$25)*10000000+(N('Dvd Calendar'!$R$2126)&gt;0)*1000000+1*1000+54))</f>
        <v/>
      </c>
      <c r="BE157" s="41">
        <f>IF(N('Dvd Calendar'!$S$2127)=0,"",IF(('Dvd Calendar'!$S$2127&gt;=MIN(DATE(Summary!$C$12,1,1),Summary!$C$11))*('Dvd Calendar'!$S$2127&lt;=MAX(DATE(Summary!$C$12,12,31),Summary!$C$15))*('Dvd Calendar'!$S$2127&gt;Summary!$C$11)=0,"",'Dvd Calendar'!$S$2127*1000000000+ISNUMBER('Dvd Calendar'!$S$2128)*100000000+('Dvd Calendar'!$S$2132='Field Check'!$C$25)*10000000+(N('Dvd Calendar'!$S$2126)&gt;0)*1000000+1*1000+55))</f>
        <v/>
      </c>
      <c r="BF157" s="41">
        <f>IF(N('Dvd Calendar'!$T$2127)=0,"",IF(('Dvd Calendar'!$T$2127&gt;=MIN(DATE(Summary!$C$12,1,1),Summary!$C$11))*('Dvd Calendar'!$T$2127&lt;=MAX(DATE(Summary!$C$12,12,31),Summary!$C$15))*('Dvd Calendar'!$T$2127&gt;Summary!$C$11)=0,"",'Dvd Calendar'!$T$2127*1000000000+ISNUMBER('Dvd Calendar'!$T$2128)*100000000+('Dvd Calendar'!$T$2132='Field Check'!$C$25)*10000000+(N('Dvd Calendar'!$T$2126)&gt;0)*1000000+1*1000+56))</f>
        <v/>
      </c>
      <c r="BG157" s="41">
        <f>IF(N('Dvd Calendar'!$U$2127)=0,"",IF(('Dvd Calendar'!$U$2127&gt;=MIN(DATE(Summary!$C$12,1,1),Summary!$C$11))*('Dvd Calendar'!$U$2127&lt;=MAX(DATE(Summary!$C$12,12,31),Summary!$C$15))*('Dvd Calendar'!$U$2127&gt;Summary!$C$11)=0,"",'Dvd Calendar'!$U$2127*1000000000+ISNUMBER('Dvd Calendar'!$U$2128)*100000000+('Dvd Calendar'!$U$2132='Field Check'!$C$25)*10000000+(N('Dvd Calendar'!$U$2126)&gt;0)*1000000+1*1000+57))</f>
        <v/>
      </c>
      <c r="BH157" s="41">
        <f>IF(N('Dvd Calendar'!$V$2127)=0,"",IF(('Dvd Calendar'!$V$2127&gt;=MIN(DATE(Summary!$C$12,1,1),Summary!$C$11))*('Dvd Calendar'!$V$2127&lt;=MAX(DATE(Summary!$C$12,12,31),Summary!$C$15))*('Dvd Calendar'!$V$2127&gt;Summary!$C$11)=0,"",'Dvd Calendar'!$V$2127*1000000000+ISNUMBER('Dvd Calendar'!$V$2128)*100000000+('Dvd Calendar'!$V$2132='Field Check'!$C$25)*10000000+(N('Dvd Calendar'!$V$2126)&gt;0)*1000000+1*1000+58))</f>
        <v/>
      </c>
      <c r="BI157" s="41">
        <f>IF(N('Dvd Calendar'!$W$2127)=0,"",IF(('Dvd Calendar'!$W$2127&gt;=MIN(DATE(Summary!$C$12,1,1),Summary!$C$11))*('Dvd Calendar'!$W$2127&lt;=MAX(DATE(Summary!$C$12,12,31),Summary!$C$15))*('Dvd Calendar'!$W$2127&gt;Summary!$C$11)=0,"",'Dvd Calendar'!$W$2127*1000000000+ISNUMBER('Dvd Calendar'!$W$2128)*100000000+('Dvd Calendar'!$W$2132='Field Check'!$C$25)*10000000+(N('Dvd Calendar'!$W$2126)&gt;0)*1000000+1*1000+59))</f>
        <v/>
      </c>
      <c r="BJ157" s="41">
        <f>IF(N('Dvd Calendar'!$X$2127)=0,"",IF(('Dvd Calendar'!$X$2127&gt;=MIN(DATE(Summary!$C$12,1,1),Summary!$C$11))*('Dvd Calendar'!$X$2127&lt;=MAX(DATE(Summary!$C$12,12,31),Summary!$C$15))*('Dvd Calendar'!$X$2127&gt;Summary!$C$11)=0,"",'Dvd Calendar'!$X$2127*1000000000+ISNUMBER('Dvd Calendar'!$X$2128)*100000000+('Dvd Calendar'!$X$2132='Field Check'!$C$25)*10000000+(N('Dvd Calendar'!$X$2126)&gt;0)*1000000+1*1000+60))</f>
        <v/>
      </c>
      <c r="BK157" s="41">
        <f>IF(N('Dvd Calendar'!$Y$2127)=0,"",IF(('Dvd Calendar'!$Y$2127&gt;=MIN(DATE(Summary!$C$12,1,1),Summary!$C$11))*('Dvd Calendar'!$Y$2127&lt;=MAX(DATE(Summary!$C$12,12,31),Summary!$C$15))*('Dvd Calendar'!$Y$2127&gt;Summary!$C$11)=0,"",'Dvd Calendar'!$Y$2127*1000000000+ISNUMBER('Dvd Calendar'!$Y$2128)*100000000+('Dvd Calendar'!$Y$2132='Field Check'!$C$25)*10000000+(N('Dvd Calendar'!$Y$2126)&gt;0)*1000000+1*1000+61))</f>
        <v/>
      </c>
      <c r="BL157" s="41">
        <f>IF(N('Dvd Calendar'!$Z$2127)=0,"",IF(('Dvd Calendar'!$Z$2127&gt;=MIN(DATE(Summary!$C$12,1,1),Summary!$C$11))*('Dvd Calendar'!$Z$2127&lt;=MAX(DATE(Summary!$C$12,12,31),Summary!$C$15))*('Dvd Calendar'!$Z$2127&gt;Summary!$C$11)=0,"",'Dvd Calendar'!$Z$2127*1000000000+ISNUMBER('Dvd Calendar'!$Z$2128)*100000000+('Dvd Calendar'!$Z$2132='Field Check'!$C$25)*10000000+(N('Dvd Calendar'!$Z$2126)&gt;0)*1000000+1*1000+62))</f>
        <v/>
      </c>
      <c r="BM157" s="41">
        <f>IF(N('Dvd Calendar'!$AA$2127)=0,"",IF(('Dvd Calendar'!$AA$2127&gt;=MIN(DATE(Summary!$C$12,1,1),Summary!$C$11))*('Dvd Calendar'!$AA$2127&lt;=MAX(DATE(Summary!$C$12,12,31),Summary!$C$15))*('Dvd Calendar'!$AA$2127&gt;Summary!$C$11)=0,"",'Dvd Calendar'!$AA$2127*1000000000+ISNUMBER('Dvd Calendar'!$AA$2128)*100000000+('Dvd Calendar'!$AA$2132='Field Check'!$C$25)*10000000+(N('Dvd Calendar'!$AA$2126)&gt;0)*1000000+1*1000+63))</f>
        <v/>
      </c>
      <c r="BN157" s="41">
        <f>IF(N('Dvd Calendar'!$AB$2127)=0,"",IF(('Dvd Calendar'!$AB$2127&gt;=MIN(DATE(Summary!$C$12,1,1),Summary!$C$11))*('Dvd Calendar'!$AB$2127&lt;=MAX(DATE(Summary!$C$12,12,31),Summary!$C$15))*('Dvd Calendar'!$AB$2127&gt;Summary!$C$11)=0,"",'Dvd Calendar'!$AB$2127*1000000000+ISNUMBER('Dvd Calendar'!$AB$2128)*100000000+('Dvd Calendar'!$AB$2132='Field Check'!$C$25)*10000000+(N('Dvd Calendar'!$AB$2126)&gt;0)*1000000+1*1000+64))</f>
        <v/>
      </c>
      <c r="BO157" s="41">
        <f>IF(N('Dvd Calendar'!$AC$2127)=0,"",IF(('Dvd Calendar'!$AC$2127&gt;=MIN(DATE(Summary!$C$12,1,1),Summary!$C$11))*('Dvd Calendar'!$AC$2127&lt;=MAX(DATE(Summary!$C$12,12,31),Summary!$C$15))*('Dvd Calendar'!$AC$2127&gt;Summary!$C$11)=0,"",'Dvd Calendar'!$AC$2127*1000000000+ISNUMBER('Dvd Calendar'!$AC$2128)*100000000+('Dvd Calendar'!$AC$2132='Field Check'!$C$25)*10000000+(N('Dvd Calendar'!$AC$2126)&gt;0)*1000000+1*1000+65))</f>
        <v/>
      </c>
      <c r="BQ157" s="85">
        <f>IF(C157="","",IF(ISNUMBER('Dvd Calendar'!$E$2121)=FALSE,"",IF((Summary!$C$13="N")*('Dvd Calendar'!$E$2125='Field Check'!$C$25)&gt;0,"",'Dvd Calendar'!$E$2121)))</f>
        <v/>
      </c>
      <c r="BR157" s="85">
        <f>IF(D157="","",IF(ISNUMBER('Dvd Calendar'!$F$2121)=FALSE,"",IF((Summary!$C$13="N")*('Dvd Calendar'!$F$2125='Field Check'!$C$25)&gt;0,"",'Dvd Calendar'!$F$2121)))</f>
        <v/>
      </c>
      <c r="BS157" s="85">
        <f>IF(E157="","",IF(ISNUMBER('Dvd Calendar'!$G$2121)=FALSE,"",IF((Summary!$C$13="N")*('Dvd Calendar'!$G$2125='Field Check'!$C$25)&gt;0,"",'Dvd Calendar'!$G$2121)))</f>
        <v/>
      </c>
      <c r="BT157" s="85">
        <f>IF(F157="","",IF(ISNUMBER('Dvd Calendar'!$H$2121)=FALSE,"",IF((Summary!$C$13="N")*('Dvd Calendar'!$H$2125='Field Check'!$C$25)&gt;0,"",'Dvd Calendar'!$H$2121)))</f>
        <v/>
      </c>
      <c r="BU157" s="85">
        <f>IF(G157="","",IF(ISNUMBER('Dvd Calendar'!$I$2121)=FALSE,"",IF((Summary!$C$13="N")*('Dvd Calendar'!$I$2125='Field Check'!$C$25)&gt;0,"",'Dvd Calendar'!$I$2121)))</f>
        <v/>
      </c>
      <c r="BV157" s="85">
        <f>IF(H157="","",IF(ISNUMBER('Dvd Calendar'!$J$2121)=FALSE,"",IF((Summary!$C$13="N")*('Dvd Calendar'!$J$2125='Field Check'!$C$25)&gt;0,"",'Dvd Calendar'!$J$2121)))</f>
        <v/>
      </c>
      <c r="BW157" s="85">
        <f>IF(I157="","",IF(ISNUMBER('Dvd Calendar'!$K$2121)=FALSE,"",IF((Summary!$C$13="N")*('Dvd Calendar'!$K$2125='Field Check'!$C$25)&gt;0,"",'Dvd Calendar'!$K$2121)))</f>
        <v/>
      </c>
      <c r="BX157" s="85">
        <f>IF(J157="","",IF(ISNUMBER('Dvd Calendar'!$L$2121)=FALSE,"",IF((Summary!$C$13="N")*('Dvd Calendar'!$L$2125='Field Check'!$C$25)&gt;0,"",'Dvd Calendar'!$L$2121)))</f>
        <v/>
      </c>
      <c r="BY157" s="85">
        <f>IF(K157="","",IF(ISNUMBER('Dvd Calendar'!$M$2121)=FALSE,"",IF((Summary!$C$13="N")*('Dvd Calendar'!$M$2125='Field Check'!$C$25)&gt;0,"",'Dvd Calendar'!$M$2121)))</f>
        <v/>
      </c>
      <c r="BZ157" s="85">
        <f>IF(L157="","",IF(ISNUMBER('Dvd Calendar'!$N$2121)=FALSE,"",IF((Summary!$C$13="N")*('Dvd Calendar'!$N$2125='Field Check'!$C$25)&gt;0,"",'Dvd Calendar'!$N$2121)))</f>
        <v/>
      </c>
      <c r="CA157" s="85">
        <f>IF(M157="","",IF(ISNUMBER('Dvd Calendar'!$O$2121)=FALSE,"",IF((Summary!$C$13="N")*('Dvd Calendar'!$O$2125='Field Check'!$C$25)&gt;0,"",'Dvd Calendar'!$O$2121)))</f>
        <v/>
      </c>
      <c r="CB157" s="85">
        <f>IF(N157="","",IF(ISNUMBER('Dvd Calendar'!$P$2121)=FALSE,"",IF((Summary!$C$13="N")*('Dvd Calendar'!$P$2125='Field Check'!$C$25)&gt;0,"",'Dvd Calendar'!$P$2121)))</f>
        <v/>
      </c>
      <c r="CC157" s="85">
        <f>IF(O157="","",IF(ISNUMBER('Dvd Calendar'!$Q$2121)=FALSE,"",IF((Summary!$C$13="N")*('Dvd Calendar'!$Q$2125='Field Check'!$C$25)&gt;0,"",'Dvd Calendar'!$Q$2121)))</f>
        <v/>
      </c>
      <c r="CD157" s="85">
        <f>IF(P157="","",IF(ISNUMBER('Dvd Calendar'!$R$2121)=FALSE,"",IF((Summary!$C$13="N")*('Dvd Calendar'!$R$2125='Field Check'!$C$25)&gt;0,"",'Dvd Calendar'!$R$2121)))</f>
        <v/>
      </c>
      <c r="CE157" s="85">
        <f>IF(Q157="","",IF(ISNUMBER('Dvd Calendar'!$S$2121)=FALSE,"",IF((Summary!$C$13="N")*('Dvd Calendar'!$S$2125='Field Check'!$C$25)&gt;0,"",'Dvd Calendar'!$S$2121)))</f>
        <v/>
      </c>
      <c r="CF157" s="85">
        <f>IF(R157="","",IF(ISNUMBER('Dvd Calendar'!$T$2121)=FALSE,"",IF((Summary!$C$13="N")*('Dvd Calendar'!$T$2125='Field Check'!$C$25)&gt;0,"",'Dvd Calendar'!$T$2121)))</f>
        <v/>
      </c>
      <c r="CG157" s="85">
        <f>IF(S157="","",IF(ISNUMBER('Dvd Calendar'!$U$2121)=FALSE,"",IF((Summary!$C$13="N")*('Dvd Calendar'!$U$2125='Field Check'!$C$25)&gt;0,"",'Dvd Calendar'!$U$2121)))</f>
        <v/>
      </c>
      <c r="CH157" s="85">
        <f>IF(T157="","",IF(ISNUMBER('Dvd Calendar'!$V$2121)=FALSE,"",IF((Summary!$C$13="N")*('Dvd Calendar'!$V$2125='Field Check'!$C$25)&gt;0,"",'Dvd Calendar'!$V$2121)))</f>
        <v/>
      </c>
      <c r="CI157" s="85">
        <f>IF(U157="","",IF(ISNUMBER('Dvd Calendar'!$W$2121)=FALSE,"",IF((Summary!$C$13="N")*('Dvd Calendar'!$W$2125='Field Check'!$C$25)&gt;0,"",'Dvd Calendar'!$W$2121)))</f>
        <v/>
      </c>
      <c r="CJ157" s="85">
        <f>IF(V157="","",IF(ISNUMBER('Dvd Calendar'!$X$2121)=FALSE,"",IF((Summary!$C$13="N")*('Dvd Calendar'!$X$2125='Field Check'!$C$25)&gt;0,"",'Dvd Calendar'!$X$2121)))</f>
        <v/>
      </c>
      <c r="CK157" s="85">
        <f>IF(W157="","",IF(ISNUMBER('Dvd Calendar'!$Y$2121)=FALSE,"",IF((Summary!$C$13="N")*('Dvd Calendar'!$Y$2125='Field Check'!$C$25)&gt;0,"",'Dvd Calendar'!$Y$2121)))</f>
        <v/>
      </c>
      <c r="CL157" s="85">
        <f>IF(X157="","",IF(ISNUMBER('Dvd Calendar'!$Z$2121)=FALSE,"",IF((Summary!$C$13="N")*('Dvd Calendar'!$Z$2125='Field Check'!$C$25)&gt;0,"",'Dvd Calendar'!$Z$2121)))</f>
        <v/>
      </c>
      <c r="CM157" s="85">
        <f>IF(Y157="","",IF(ISNUMBER('Dvd Calendar'!$AA$2121)=FALSE,"",IF((Summary!$C$13="N")*('Dvd Calendar'!$AA$2125='Field Check'!$C$25)&gt;0,"",'Dvd Calendar'!$AA$2121)))</f>
        <v/>
      </c>
      <c r="CN157" s="85">
        <f>IF(Z157="","",IF(ISNUMBER('Dvd Calendar'!$AB$2121)=FALSE,"",IF((Summary!$C$13="N")*('Dvd Calendar'!$AB$2125='Field Check'!$C$25)&gt;0,"",'Dvd Calendar'!$AB$2121)))</f>
        <v/>
      </c>
      <c r="CO157" s="85">
        <f>IF(AA157="","",IF(ISNUMBER('Dvd Calendar'!$AC$2121)=FALSE,"",IF((Summary!$C$13="N")*('Dvd Calendar'!$AC$2125='Field Check'!$C$25)&gt;0,"",'Dvd Calendar'!$AC$2121)))</f>
        <v/>
      </c>
      <c r="CP157" s="85">
        <f>IF(AB157="","",IF(ISNUMBER('Dvd Calendar'!$AD$2121)=FALSE,"",IF((Summary!$C$13="N")*('Dvd Calendar'!$AD$2125='Field Check'!$C$25)&gt;0,"",'Dvd Calendar'!$AD$2121)))</f>
        <v/>
      </c>
      <c r="CQ157" s="85">
        <f>IF(AC157="","",IF(ISNUMBER('Dvd Calendar'!$AE$2121)=FALSE,"",IF((Summary!$C$13="N")*('Dvd Calendar'!$AE$2125='Field Check'!$C$25)&gt;0,"",'Dvd Calendar'!$AE$2121)))</f>
        <v/>
      </c>
      <c r="CR157" s="85">
        <f>IF(AD157="","",IF(ISNUMBER('Dvd Calendar'!$AF$2121)=FALSE,"",IF((Summary!$C$13="N")*('Dvd Calendar'!$AF$2125='Field Check'!$C$25)&gt;0,"",'Dvd Calendar'!$AF$2121)))</f>
        <v/>
      </c>
      <c r="CS157" s="85">
        <f>IF(AE157="","",IF(ISNUMBER('Dvd Calendar'!$AG$2121)=FALSE,"",IF((Summary!$C$13="N")*('Dvd Calendar'!$AG$2125='Field Check'!$C$25)&gt;0,"",'Dvd Calendar'!$AG$2121)))</f>
        <v/>
      </c>
      <c r="CT157" s="85">
        <f>IF(AF157="","",IF(ISNUMBER('Dvd Calendar'!$AH$2121)=FALSE,"",IF((Summary!$C$13="N")*('Dvd Calendar'!$AH$2125='Field Check'!$C$25)&gt;0,"",'Dvd Calendar'!$AH$2121)))</f>
        <v/>
      </c>
      <c r="CU157" s="85">
        <f>IF(AG157="","",IF(ISNUMBER('Dvd Calendar'!$AI$2121)=FALSE,"",IF((Summary!$C$13="N")*('Dvd Calendar'!$AI$2125='Field Check'!$C$25)&gt;0,"",'Dvd Calendar'!$AI$2121)))</f>
        <v/>
      </c>
      <c r="CV157" s="85">
        <f>IF(AH157="","",IF(ISNUMBER('Dvd Calendar'!$AJ$2121)=FALSE,"",IF((Summary!$C$13="N")*('Dvd Calendar'!$AJ$2125='Field Check'!$C$25)&gt;0,"",'Dvd Calendar'!$AJ$2121)))</f>
        <v/>
      </c>
      <c r="CW157" s="85">
        <f>IF(AI157="","",IF(ISNUMBER('Dvd Calendar'!$AK$2121)=FALSE,"",IF((Summary!$C$13="N")*('Dvd Calendar'!$AK$2125='Field Check'!$C$25)&gt;0,"",'Dvd Calendar'!$AK$2121)))</f>
        <v/>
      </c>
      <c r="CX157" s="85">
        <f>IF(AJ157="","",IF(ISNUMBER('Dvd Calendar'!$AL$2121)=FALSE,"",IF((Summary!$C$13="N")*('Dvd Calendar'!$AL$2125='Field Check'!$C$25)&gt;0,"",'Dvd Calendar'!$AL$2121)))</f>
        <v/>
      </c>
      <c r="CY157" s="85">
        <f>IF(AK157="","",IF(ISNUMBER('Dvd Calendar'!$AM$2121)=FALSE,"",IF((Summary!$C$13="N")*('Dvd Calendar'!$AM$2125='Field Check'!$C$25)&gt;0,"",'Dvd Calendar'!$AM$2121)))</f>
        <v/>
      </c>
      <c r="CZ157" s="85">
        <f>IF(AL157="","",IF(ISNUMBER('Dvd Calendar'!$AN$2121)=FALSE,"",IF((Summary!$C$13="N")*('Dvd Calendar'!$AN$2125='Field Check'!$C$25)&gt;0,"",'Dvd Calendar'!$AN$2121)))</f>
        <v/>
      </c>
      <c r="DA157" s="85">
        <f>IF(AM157="","",IF(ISNUMBER('Dvd Calendar'!$AO$2121)=FALSE,"",IF((Summary!$C$13="N")*('Dvd Calendar'!$AO$2125='Field Check'!$C$25)&gt;0,"",'Dvd Calendar'!$AO$2121)))</f>
        <v/>
      </c>
      <c r="DB157" s="85">
        <f>IF(AN157="","",IF(ISNUMBER('Dvd Calendar'!$AP$2121)=FALSE,"",IF((Summary!$C$13="N")*('Dvd Calendar'!$AP$2125='Field Check'!$C$25)&gt;0,"",'Dvd Calendar'!$AP$2121)))</f>
        <v/>
      </c>
      <c r="DC157" s="85">
        <f>IF(AO157="","",IF(ISNUMBER('Dvd Calendar'!$AQ$2121)=FALSE,"",IF((Summary!$C$13="N")*('Dvd Calendar'!$AQ$2125='Field Check'!$C$25)&gt;0,"",'Dvd Calendar'!$AQ$2121)))</f>
        <v/>
      </c>
      <c r="DD157" s="85">
        <f>IF(AP157="","",IF(ISNUMBER('Dvd Calendar'!$AR$2121)=FALSE,"",IF((Summary!$C$13="N")*('Dvd Calendar'!$AR$2125='Field Check'!$C$25)&gt;0,"",'Dvd Calendar'!$AR$2121)))</f>
        <v/>
      </c>
      <c r="DE157" s="85">
        <f>IF(AQ157="","",IF(ISNUMBER('Dvd Calendar'!$E$2128)=FALSE,"",IF((Summary!$C$13="N")*('Dvd Calendar'!$E$2132='Field Check'!$C$25)&gt;0,"",'Dvd Calendar'!$E$2128)))</f>
        <v/>
      </c>
      <c r="DF157" s="85">
        <f>IF(AR157="","",IF(ISNUMBER('Dvd Calendar'!$F$2128)=FALSE,"",IF((Summary!$C$13="N")*('Dvd Calendar'!$F$2132='Field Check'!$C$25)&gt;0,"",'Dvd Calendar'!$F$2128)))</f>
        <v/>
      </c>
      <c r="DG157" s="85">
        <f>IF(AS157="","",IF(ISNUMBER('Dvd Calendar'!$G$2128)=FALSE,"",IF((Summary!$C$13="N")*('Dvd Calendar'!$G$2132='Field Check'!$C$25)&gt;0,"",'Dvd Calendar'!$G$2128)))</f>
        <v/>
      </c>
      <c r="DH157" s="85">
        <f>IF(AT157="","",IF(ISNUMBER('Dvd Calendar'!$H$2128)=FALSE,"",IF((Summary!$C$13="N")*('Dvd Calendar'!$H$2132='Field Check'!$C$25)&gt;0,"",'Dvd Calendar'!$H$2128)))</f>
        <v/>
      </c>
      <c r="DI157" s="85">
        <f>IF(AU157="","",IF(ISNUMBER('Dvd Calendar'!$I$2128)=FALSE,"",IF((Summary!$C$13="N")*('Dvd Calendar'!$I$2132='Field Check'!$C$25)&gt;0,"",'Dvd Calendar'!$I$2128)))</f>
        <v/>
      </c>
      <c r="DJ157" s="85">
        <f>IF(AV157="","",IF(ISNUMBER('Dvd Calendar'!$J$2128)=FALSE,"",IF((Summary!$C$13="N")*('Dvd Calendar'!$J$2132='Field Check'!$C$25)&gt;0,"",'Dvd Calendar'!$J$2128)))</f>
        <v/>
      </c>
      <c r="DK157" s="85">
        <f>IF(AW157="","",IF(ISNUMBER('Dvd Calendar'!$K$2128)=FALSE,"",IF((Summary!$C$13="N")*('Dvd Calendar'!$K$2132='Field Check'!$C$25)&gt;0,"",'Dvd Calendar'!$K$2128)))</f>
        <v/>
      </c>
      <c r="DL157" s="85">
        <f>IF(AX157="","",IF(ISNUMBER('Dvd Calendar'!$L$2128)=FALSE,"",IF((Summary!$C$13="N")*('Dvd Calendar'!$L$2132='Field Check'!$C$25)&gt;0,"",'Dvd Calendar'!$L$2128)))</f>
        <v/>
      </c>
      <c r="DM157" s="85">
        <f>IF(AY157="","",IF(ISNUMBER('Dvd Calendar'!$M$2128)=FALSE,"",IF((Summary!$C$13="N")*('Dvd Calendar'!$M$2132='Field Check'!$C$25)&gt;0,"",'Dvd Calendar'!$M$2128)))</f>
        <v/>
      </c>
      <c r="DN157" s="85">
        <f>IF(AZ157="","",IF(ISNUMBER('Dvd Calendar'!$N$2128)=FALSE,"",IF((Summary!$C$13="N")*('Dvd Calendar'!$N$2132='Field Check'!$C$25)&gt;0,"",'Dvd Calendar'!$N$2128)))</f>
        <v/>
      </c>
      <c r="DO157" s="85">
        <f>IF(BA157="","",IF(ISNUMBER('Dvd Calendar'!$O$2128)=FALSE,"",IF((Summary!$C$13="N")*('Dvd Calendar'!$O$2132='Field Check'!$C$25)&gt;0,"",'Dvd Calendar'!$O$2128)))</f>
        <v/>
      </c>
      <c r="DP157" s="85">
        <f>IF(BB157="","",IF(ISNUMBER('Dvd Calendar'!$P$2128)=FALSE,"",IF((Summary!$C$13="N")*('Dvd Calendar'!$P$2132='Field Check'!$C$25)&gt;0,"",'Dvd Calendar'!$P$2128)))</f>
        <v/>
      </c>
      <c r="DQ157" s="85">
        <f>IF(BC157="","",IF(ISNUMBER('Dvd Calendar'!$Q$2128)=FALSE,"",IF((Summary!$C$13="N")*('Dvd Calendar'!$Q$2132='Field Check'!$C$25)&gt;0,"",'Dvd Calendar'!$Q$2128)))</f>
        <v/>
      </c>
      <c r="DR157" s="85">
        <f>IF(BD157="","",IF(ISNUMBER('Dvd Calendar'!$R$2128)=FALSE,"",IF((Summary!$C$13="N")*('Dvd Calendar'!$R$2132='Field Check'!$C$25)&gt;0,"",'Dvd Calendar'!$R$2128)))</f>
        <v/>
      </c>
      <c r="DS157" s="85">
        <f>IF(BE157="","",IF(ISNUMBER('Dvd Calendar'!$S$2128)=FALSE,"",IF((Summary!$C$13="N")*('Dvd Calendar'!$S$2132='Field Check'!$C$25)&gt;0,"",'Dvd Calendar'!$S$2128)))</f>
        <v/>
      </c>
      <c r="DT157" s="85">
        <f>IF(BF157="","",IF(ISNUMBER('Dvd Calendar'!$T$2128)=FALSE,"",IF((Summary!$C$13="N")*('Dvd Calendar'!$T$2132='Field Check'!$C$25)&gt;0,"",'Dvd Calendar'!$T$2128)))</f>
        <v/>
      </c>
      <c r="DU157" s="85">
        <f>IF(BG157="","",IF(ISNUMBER('Dvd Calendar'!$U$2128)=FALSE,"",IF((Summary!$C$13="N")*('Dvd Calendar'!$U$2132='Field Check'!$C$25)&gt;0,"",'Dvd Calendar'!$U$2128)))</f>
        <v/>
      </c>
      <c r="DV157" s="85">
        <f>IF(BH157="","",IF(ISNUMBER('Dvd Calendar'!$V$2128)=FALSE,"",IF((Summary!$C$13="N")*('Dvd Calendar'!$V$2132='Field Check'!$C$25)&gt;0,"",'Dvd Calendar'!$V$2128)))</f>
        <v/>
      </c>
      <c r="DW157" s="85">
        <f>IF(BI157="","",IF(ISNUMBER('Dvd Calendar'!$W$2128)=FALSE,"",IF((Summary!$C$13="N")*('Dvd Calendar'!$W$2132='Field Check'!$C$25)&gt;0,"",'Dvd Calendar'!$W$2128)))</f>
        <v/>
      </c>
      <c r="DX157" s="85">
        <f>IF(BJ157="","",IF(ISNUMBER('Dvd Calendar'!$X$2128)=FALSE,"",IF((Summary!$C$13="N")*('Dvd Calendar'!$X$2132='Field Check'!$C$25)&gt;0,"",'Dvd Calendar'!$X$2128)))</f>
        <v/>
      </c>
      <c r="DY157" s="85">
        <f>IF(BK157="","",IF(ISNUMBER('Dvd Calendar'!$Y$2128)=FALSE,"",IF((Summary!$C$13="N")*('Dvd Calendar'!$Y$2132='Field Check'!$C$25)&gt;0,"",'Dvd Calendar'!$Y$2128)))</f>
        <v/>
      </c>
      <c r="DZ157" s="85">
        <f>IF(BL157="","",IF(ISNUMBER('Dvd Calendar'!$Z$2128)=FALSE,"",IF((Summary!$C$13="N")*('Dvd Calendar'!$Z$2132='Field Check'!$C$25)&gt;0,"",'Dvd Calendar'!$Z$2128)))</f>
        <v/>
      </c>
      <c r="EA157" s="85">
        <f>IF(BM157="","",IF(ISNUMBER('Dvd Calendar'!$AA$2128)=FALSE,"",IF((Summary!$C$13="N")*('Dvd Calendar'!$AA$2132='Field Check'!$C$25)&gt;0,"",'Dvd Calendar'!$AA$2128)))</f>
        <v/>
      </c>
      <c r="EB157" s="85">
        <f>IF(BN157="","",IF(ISNUMBER('Dvd Calendar'!$AB$2128)=FALSE,"",IF((Summary!$C$13="N")*('Dvd Calendar'!$AB$2132='Field Check'!$C$25)&gt;0,"",'Dvd Calendar'!$AB$2128)))</f>
        <v/>
      </c>
      <c r="EC157" s="85">
        <f>IF(BO157="","",IF(ISNUMBER('Dvd Calendar'!$AC$2128)=FALSE,"",IF((Summary!$C$13="N")*('Dvd Calendar'!$AC$2132='Field Check'!$C$25)&gt;0,"",'Dvd Calendar'!$AC$2128)))</f>
        <v/>
      </c>
      <c r="EE157" s="85">
        <f>IF(BQ157="","",IFERROR(BQ157*HSCEI!$B$7*HSCEI!$G$7/HSCEI!$B$3,""))</f>
        <v/>
      </c>
      <c r="EF157" s="85">
        <f>IF(BR157="","",IFERROR(BR157*HSCEI!$B$7*HSCEI!$G$7/HSCEI!$B$3,""))</f>
        <v/>
      </c>
      <c r="EG157" s="85">
        <f>IF(BS157="","",IFERROR(BS157*HSCEI!$B$7*HSCEI!$G$7/HSCEI!$B$3,""))</f>
        <v/>
      </c>
      <c r="EH157" s="85">
        <f>IF(BT157="","",IFERROR(BT157*HSCEI!$B$7*HSCEI!$G$7/HSCEI!$B$3,""))</f>
        <v/>
      </c>
      <c r="EI157" s="85">
        <f>IF(BU157="","",IFERROR(BU157*HSCEI!$B$7*HSCEI!$G$7/HSCEI!$B$3,""))</f>
        <v/>
      </c>
      <c r="EJ157" s="85">
        <f>IF(BV157="","",IFERROR(BV157*HSCEI!$B$7*HSCEI!$G$7/HSCEI!$B$3,""))</f>
        <v/>
      </c>
      <c r="EK157" s="85">
        <f>IF(BW157="","",IFERROR(BW157*HSCEI!$B$7*HSCEI!$G$7/HSCEI!$B$3,""))</f>
        <v/>
      </c>
      <c r="EL157" s="85">
        <f>IF(BX157="","",IFERROR(BX157*HSCEI!$B$7*HSCEI!$G$7/HSCEI!$B$3,""))</f>
        <v/>
      </c>
      <c r="EM157" s="85">
        <f>IF(BY157="","",IFERROR(BY157*HSCEI!$B$7*HSCEI!$G$7/HSCEI!$B$3,""))</f>
        <v/>
      </c>
      <c r="EN157" s="85">
        <f>IF(BZ157="","",IFERROR(BZ157*HSCEI!$B$7*HSCEI!$G$7/HSCEI!$B$3,""))</f>
        <v/>
      </c>
      <c r="EO157" s="85">
        <f>IF(CA157="","",IFERROR(CA157*HSCEI!$B$7*HSCEI!$G$7/HSCEI!$B$3,""))</f>
        <v/>
      </c>
      <c r="EP157" s="85">
        <f>IF(CB157="","",IFERROR(CB157*HSCEI!$B$7*HSCEI!$G$7/HSCEI!$B$3,""))</f>
        <v/>
      </c>
      <c r="EQ157" s="85">
        <f>IF(CC157="","",IFERROR(CC157*HSCEI!$B$7*HSCEI!$G$7/HSCEI!$B$3,""))</f>
        <v/>
      </c>
      <c r="ER157" s="85">
        <f>IF(CD157="","",IFERROR(CD157*HSCEI!$B$7*HSCEI!$G$7/HSCEI!$B$3,""))</f>
        <v/>
      </c>
      <c r="ES157" s="85">
        <f>IF(CE157="","",IFERROR(CE157*HSCEI!$B$7*HSCEI!$G$7/HSCEI!$B$3,""))</f>
        <v/>
      </c>
      <c r="ET157" s="85">
        <f>IF(CF157="","",IFERROR(CF157*HSCEI!$B$7*HSCEI!$G$7/HSCEI!$B$3,""))</f>
        <v/>
      </c>
      <c r="EU157" s="85">
        <f>IF(CG157="","",IFERROR(CG157*HSCEI!$B$7*HSCEI!$G$7/HSCEI!$B$3,""))</f>
        <v/>
      </c>
      <c r="EV157" s="85">
        <f>IF(CH157="","",IFERROR(CH157*HSCEI!$B$7*HSCEI!$G$7/HSCEI!$B$3,""))</f>
        <v/>
      </c>
      <c r="EW157" s="85">
        <f>IF(CI157="","",IFERROR(CI157*HSCEI!$B$7*HSCEI!$G$7/HSCEI!$B$3,""))</f>
        <v/>
      </c>
      <c r="EX157" s="85">
        <f>IF(CJ157="","",IFERROR(CJ157*HSCEI!$B$7*HSCEI!$G$7/HSCEI!$B$3,""))</f>
        <v/>
      </c>
      <c r="EY157" s="85">
        <f>IF(CK157="","",IFERROR(CK157*HSCEI!$B$7*HSCEI!$G$7/HSCEI!$B$3,""))</f>
        <v/>
      </c>
      <c r="EZ157" s="85">
        <f>IF(CL157="","",IFERROR(CL157*HSCEI!$B$7*HSCEI!$G$7/HSCEI!$B$3,""))</f>
        <v/>
      </c>
      <c r="FA157" s="85">
        <f>IF(CM157="","",IFERROR(CM157*HSCEI!$B$7*HSCEI!$G$7/HSCEI!$B$3,""))</f>
        <v/>
      </c>
      <c r="FB157" s="85">
        <f>IF(CN157="","",IFERROR(CN157*HSCEI!$B$7*HSCEI!$G$7/HSCEI!$B$3,""))</f>
        <v/>
      </c>
      <c r="FC157" s="85">
        <f>IF(CO157="","",IFERROR(CO157*HSCEI!$B$7*HSCEI!$G$7/HSCEI!$B$3,""))</f>
        <v/>
      </c>
      <c r="FD157" s="85">
        <f>IF(CP157="","",IFERROR(CP157*HSCEI!$B$7*HSCEI!$G$7/HSCEI!$B$3,""))</f>
        <v/>
      </c>
      <c r="FE157" s="85">
        <f>IF(CQ157="","",IFERROR(CQ157*HSCEI!$B$7*HSCEI!$G$7/HSCEI!$B$3,""))</f>
        <v/>
      </c>
      <c r="FF157" s="85">
        <f>IF(CR157="","",IFERROR(CR157*HSCEI!$B$7*HSCEI!$G$7/HSCEI!$B$3,""))</f>
        <v/>
      </c>
      <c r="FG157" s="85">
        <f>IF(CS157="","",IFERROR(CS157*HSCEI!$B$7*HSCEI!$G$7/HSCEI!$B$3,""))</f>
        <v/>
      </c>
      <c r="FH157" s="85">
        <f>IF(CT157="","",IFERROR(CT157*HSCEI!$B$7*HSCEI!$G$7/HSCEI!$B$3,""))</f>
        <v/>
      </c>
      <c r="FI157" s="85">
        <f>IF(CU157="","",IFERROR(CU157*HSCEI!$B$7*HSCEI!$G$7/HSCEI!$B$3,""))</f>
        <v/>
      </c>
      <c r="FJ157" s="85">
        <f>IF(CV157="","",IFERROR(CV157*HSCEI!$B$7*HSCEI!$G$7/HSCEI!$B$3,""))</f>
        <v/>
      </c>
      <c r="FK157" s="85">
        <f>IF(CW157="","",IFERROR(CW157*HSCEI!$B$7*HSCEI!$G$7/HSCEI!$B$3,""))</f>
        <v/>
      </c>
      <c r="FL157" s="85">
        <f>IF(CX157="","",IFERROR(CX157*HSCEI!$B$7*HSCEI!$G$7/HSCEI!$B$3,""))</f>
        <v/>
      </c>
      <c r="FM157" s="85">
        <f>IF(CY157="","",IFERROR(CY157*HSCEI!$B$7*HSCEI!$G$7/HSCEI!$B$3,""))</f>
        <v/>
      </c>
      <c r="FN157" s="85">
        <f>IF(CZ157="","",IFERROR(CZ157*HSCEI!$B$7*HSCEI!$G$7/HSCEI!$B$3,""))</f>
        <v/>
      </c>
      <c r="FO157" s="85">
        <f>IF(DA157="","",IFERROR(DA157*HSCEI!$B$7*HSCEI!$G$7/HSCEI!$B$3,""))</f>
        <v/>
      </c>
      <c r="FP157" s="85">
        <f>IF(DB157="","",IFERROR(DB157*HSCEI!$B$7*HSCEI!$G$7/HSCEI!$B$3,""))</f>
        <v/>
      </c>
      <c r="FQ157" s="85">
        <f>IF(DC157="","",IFERROR(DC157*HSCEI!$B$7*HSCEI!$G$7/HSCEI!$B$3,""))</f>
        <v/>
      </c>
      <c r="FR157" s="85">
        <f>IF(DD157="","",IFERROR(DD157*HSCEI!$B$7*HSCEI!$G$7/HSCEI!$B$3,""))</f>
        <v/>
      </c>
      <c r="FS157" s="85">
        <f>IF(DE157="","",IFERROR(DE157*HSCEI!$B$7*HSCEI!$G$7/HSCEI!$B$3,""))</f>
        <v/>
      </c>
      <c r="FT157" s="85">
        <f>IF(DF157="","",IFERROR(DF157*HSCEI!$B$7*HSCEI!$G$7/HSCEI!$B$3,""))</f>
        <v/>
      </c>
      <c r="FU157" s="85">
        <f>IF(DG157="","",IFERROR(DG157*HSCEI!$B$7*HSCEI!$G$7/HSCEI!$B$3,""))</f>
        <v/>
      </c>
      <c r="FV157" s="85">
        <f>IF(DH157="","",IFERROR(DH157*HSCEI!$B$7*HSCEI!$G$7/HSCEI!$B$3,""))</f>
        <v/>
      </c>
      <c r="FW157" s="85">
        <f>IF(DI157="","",IFERROR(DI157*HSCEI!$B$7*HSCEI!$G$7/HSCEI!$B$3,""))</f>
        <v/>
      </c>
      <c r="FX157" s="85">
        <f>IF(DJ157="","",IFERROR(DJ157*HSCEI!$B$7*HSCEI!$G$7/HSCEI!$B$3,""))</f>
        <v/>
      </c>
      <c r="FY157" s="85">
        <f>IF(DK157="","",IFERROR(DK157*HSCEI!$B$7*HSCEI!$G$7/HSCEI!$B$3,""))</f>
        <v/>
      </c>
      <c r="FZ157" s="85">
        <f>IF(DL157="","",IFERROR(DL157*HSCEI!$B$7*HSCEI!$G$7/HSCEI!$B$3,""))</f>
        <v/>
      </c>
      <c r="GA157" s="85">
        <f>IF(DM157="","",IFERROR(DM157*HSCEI!$B$7*HSCEI!$G$7/HSCEI!$B$3,""))</f>
        <v/>
      </c>
      <c r="GB157" s="85">
        <f>IF(DN157="","",IFERROR(DN157*HSCEI!$B$7*HSCEI!$G$7/HSCEI!$B$3,""))</f>
        <v/>
      </c>
      <c r="GC157" s="85">
        <f>IF(DO157="","",IFERROR(DO157*HSCEI!$B$7*HSCEI!$G$7/HSCEI!$B$3,""))</f>
        <v/>
      </c>
      <c r="GD157" s="85">
        <f>IF(DP157="","",IFERROR(DP157*HSCEI!$B$7*HSCEI!$G$7/HSCEI!$B$3,""))</f>
        <v/>
      </c>
      <c r="GE157" s="85">
        <f>IF(DQ157="","",IFERROR(DQ157*HSCEI!$B$7*HSCEI!$G$7/HSCEI!$B$3,""))</f>
        <v/>
      </c>
      <c r="GF157" s="85">
        <f>IF(DR157="","",IFERROR(DR157*HSCEI!$B$7*HSCEI!$G$7/HSCEI!$B$3,""))</f>
        <v/>
      </c>
      <c r="GG157" s="85">
        <f>IF(DS157="","",IFERROR(DS157*HSCEI!$B$7*HSCEI!$G$7/HSCEI!$B$3,""))</f>
        <v/>
      </c>
      <c r="GH157" s="85">
        <f>IF(DT157="","",IFERROR(DT157*HSCEI!$B$7*HSCEI!$G$7/HSCEI!$B$3,""))</f>
        <v/>
      </c>
      <c r="GI157" s="85">
        <f>IF(DU157="","",IFERROR(DU157*HSCEI!$B$7*HSCEI!$G$7/HSCEI!$B$3,""))</f>
        <v/>
      </c>
      <c r="GJ157" s="85">
        <f>IF(DV157="","",IFERROR(DV157*HSCEI!$B$7*HSCEI!$G$7/HSCEI!$B$3,""))</f>
        <v/>
      </c>
      <c r="GK157" s="85">
        <f>IF(DW157="","",IFERROR(DW157*HSCEI!$B$7*HSCEI!$G$7/HSCEI!$B$3,""))</f>
        <v/>
      </c>
      <c r="GL157" s="85">
        <f>IF(DX157="","",IFERROR(DX157*HSCEI!$B$7*HSCEI!$G$7/HSCEI!$B$3,""))</f>
        <v/>
      </c>
      <c r="GM157" s="85">
        <f>IF(DY157="","",IFERROR(DY157*HSCEI!$B$7*HSCEI!$G$7/HSCEI!$B$3,""))</f>
        <v/>
      </c>
      <c r="GN157" s="85">
        <f>IF(DZ157="","",IFERROR(DZ157*HSCEI!$B$7*HSCEI!$G$7/HSCEI!$B$3,""))</f>
        <v/>
      </c>
      <c r="GO157" s="85">
        <f>IF(EA157="","",IFERROR(EA157*HSCEI!$B$7*HSCEI!$G$7/HSCEI!$B$3,""))</f>
        <v/>
      </c>
      <c r="GP157" s="85">
        <f>IF(EB157="","",IFERROR(EB157*HSCEI!$B$7*HSCEI!$G$7/HSCEI!$B$3,""))</f>
        <v/>
      </c>
      <c r="GQ157" s="85">
        <f>IF(EC157="","",IFERROR(EC157*HSCEI!$B$7*HSCEI!$G$7/HSCEI!$B$3,""))</f>
        <v/>
      </c>
    </row>
    <row r="158">
      <c r="B158" s="2">
        <f>IF(HSCEI!$C$8="","",HSCEI!$C$8)</f>
        <v/>
      </c>
      <c r="C158" s="41">
        <f>IF(N('Dvd Calendar'!$E$2135)=0,"",IF(('Dvd Calendar'!$E$2135&gt;=MIN(DATE(Summary!$C$12,1,1),Summary!$C$11))*('Dvd Calendar'!$E$2135&lt;=MAX(DATE(Summary!$C$12,12,31),Summary!$C$15))*('Dvd Calendar'!$E$2135&lt;=Summary!$C$11)=0,"",'Dvd Calendar'!$E$2135*1000000000+ISNUMBER('Dvd Calendar'!$E$2136)*100000000+('Dvd Calendar'!$E$2140='Field Check'!$C$25)*10000000+(N('Dvd Calendar'!$E$2134)&gt;0)*1000000+2*1000+1))</f>
        <v/>
      </c>
      <c r="D158" s="41">
        <f>IF(N('Dvd Calendar'!$F$2135)=0,"",IF(('Dvd Calendar'!$F$2135&gt;=MIN(DATE(Summary!$C$12,1,1),Summary!$C$11))*('Dvd Calendar'!$F$2135&lt;=MAX(DATE(Summary!$C$12,12,31),Summary!$C$15))*('Dvd Calendar'!$F$2135&lt;=Summary!$C$11)=0,"",'Dvd Calendar'!$F$2135*1000000000+ISNUMBER('Dvd Calendar'!$F$2136)*100000000+('Dvd Calendar'!$F$2140='Field Check'!$C$25)*10000000+(N('Dvd Calendar'!$F$2134)&gt;0)*1000000+2*1000+2))</f>
        <v/>
      </c>
      <c r="E158" s="41">
        <f>IF(N('Dvd Calendar'!$G$2135)=0,"",IF(('Dvd Calendar'!$G$2135&gt;=MIN(DATE(Summary!$C$12,1,1),Summary!$C$11))*('Dvd Calendar'!$G$2135&lt;=MAX(DATE(Summary!$C$12,12,31),Summary!$C$15))*('Dvd Calendar'!$G$2135&lt;=Summary!$C$11)=0,"",'Dvd Calendar'!$G$2135*1000000000+ISNUMBER('Dvd Calendar'!$G$2136)*100000000+('Dvd Calendar'!$G$2140='Field Check'!$C$25)*10000000+(N('Dvd Calendar'!$G$2134)&gt;0)*1000000+2*1000+3))</f>
        <v/>
      </c>
      <c r="F158" s="41">
        <f>IF(N('Dvd Calendar'!$H$2135)=0,"",IF(('Dvd Calendar'!$H$2135&gt;=MIN(DATE(Summary!$C$12,1,1),Summary!$C$11))*('Dvd Calendar'!$H$2135&lt;=MAX(DATE(Summary!$C$12,12,31),Summary!$C$15))*('Dvd Calendar'!$H$2135&lt;=Summary!$C$11)=0,"",'Dvd Calendar'!$H$2135*1000000000+ISNUMBER('Dvd Calendar'!$H$2136)*100000000+('Dvd Calendar'!$H$2140='Field Check'!$C$25)*10000000+(N('Dvd Calendar'!$H$2134)&gt;0)*1000000+2*1000+4))</f>
        <v/>
      </c>
      <c r="G158" s="41">
        <f>IF(N('Dvd Calendar'!$I$2135)=0,"",IF(('Dvd Calendar'!$I$2135&gt;=MIN(DATE(Summary!$C$12,1,1),Summary!$C$11))*('Dvd Calendar'!$I$2135&lt;=MAX(DATE(Summary!$C$12,12,31),Summary!$C$15))*('Dvd Calendar'!$I$2135&lt;=Summary!$C$11)=0,"",'Dvd Calendar'!$I$2135*1000000000+ISNUMBER('Dvd Calendar'!$I$2136)*100000000+('Dvd Calendar'!$I$2140='Field Check'!$C$25)*10000000+(N('Dvd Calendar'!$I$2134)&gt;0)*1000000+2*1000+5))</f>
        <v/>
      </c>
      <c r="H158" s="41">
        <f>IF(N('Dvd Calendar'!$J$2135)=0,"",IF(('Dvd Calendar'!$J$2135&gt;=MIN(DATE(Summary!$C$12,1,1),Summary!$C$11))*('Dvd Calendar'!$J$2135&lt;=MAX(DATE(Summary!$C$12,12,31),Summary!$C$15))*('Dvd Calendar'!$J$2135&lt;=Summary!$C$11)=0,"",'Dvd Calendar'!$J$2135*1000000000+ISNUMBER('Dvd Calendar'!$J$2136)*100000000+('Dvd Calendar'!$J$2140='Field Check'!$C$25)*10000000+(N('Dvd Calendar'!$J$2134)&gt;0)*1000000+2*1000+6))</f>
        <v/>
      </c>
      <c r="I158" s="41">
        <f>IF(N('Dvd Calendar'!$K$2135)=0,"",IF(('Dvd Calendar'!$K$2135&gt;=MIN(DATE(Summary!$C$12,1,1),Summary!$C$11))*('Dvd Calendar'!$K$2135&lt;=MAX(DATE(Summary!$C$12,12,31),Summary!$C$15))*('Dvd Calendar'!$K$2135&lt;=Summary!$C$11)=0,"",'Dvd Calendar'!$K$2135*1000000000+ISNUMBER('Dvd Calendar'!$K$2136)*100000000+('Dvd Calendar'!$K$2140='Field Check'!$C$25)*10000000+(N('Dvd Calendar'!$K$2134)&gt;0)*1000000+2*1000+7))</f>
        <v/>
      </c>
      <c r="J158" s="41">
        <f>IF(N('Dvd Calendar'!$L$2135)=0,"",IF(('Dvd Calendar'!$L$2135&gt;=MIN(DATE(Summary!$C$12,1,1),Summary!$C$11))*('Dvd Calendar'!$L$2135&lt;=MAX(DATE(Summary!$C$12,12,31),Summary!$C$15))*('Dvd Calendar'!$L$2135&lt;=Summary!$C$11)=0,"",'Dvd Calendar'!$L$2135*1000000000+ISNUMBER('Dvd Calendar'!$L$2136)*100000000+('Dvd Calendar'!$L$2140='Field Check'!$C$25)*10000000+(N('Dvd Calendar'!$L$2134)&gt;0)*1000000+2*1000+8))</f>
        <v/>
      </c>
      <c r="K158" s="41">
        <f>IF(N('Dvd Calendar'!$M$2135)=0,"",IF(('Dvd Calendar'!$M$2135&gt;=MIN(DATE(Summary!$C$12,1,1),Summary!$C$11))*('Dvd Calendar'!$M$2135&lt;=MAX(DATE(Summary!$C$12,12,31),Summary!$C$15))*('Dvd Calendar'!$M$2135&lt;=Summary!$C$11)=0,"",'Dvd Calendar'!$M$2135*1000000000+ISNUMBER('Dvd Calendar'!$M$2136)*100000000+('Dvd Calendar'!$M$2140='Field Check'!$C$25)*10000000+(N('Dvd Calendar'!$M$2134)&gt;0)*1000000+2*1000+9))</f>
        <v/>
      </c>
      <c r="L158" s="41">
        <f>IF(N('Dvd Calendar'!$N$2135)=0,"",IF(('Dvd Calendar'!$N$2135&gt;=MIN(DATE(Summary!$C$12,1,1),Summary!$C$11))*('Dvd Calendar'!$N$2135&lt;=MAX(DATE(Summary!$C$12,12,31),Summary!$C$15))*('Dvd Calendar'!$N$2135&lt;=Summary!$C$11)=0,"",'Dvd Calendar'!$N$2135*1000000000+ISNUMBER('Dvd Calendar'!$N$2136)*100000000+('Dvd Calendar'!$N$2140='Field Check'!$C$25)*10000000+(N('Dvd Calendar'!$N$2134)&gt;0)*1000000+2*1000+10))</f>
        <v/>
      </c>
      <c r="M158" s="41">
        <f>IF(N('Dvd Calendar'!$O$2135)=0,"",IF(('Dvd Calendar'!$O$2135&gt;=MIN(DATE(Summary!$C$12,1,1),Summary!$C$11))*('Dvd Calendar'!$O$2135&lt;=MAX(DATE(Summary!$C$12,12,31),Summary!$C$15))*('Dvd Calendar'!$O$2135&lt;=Summary!$C$11)=0,"",'Dvd Calendar'!$O$2135*1000000000+ISNUMBER('Dvd Calendar'!$O$2136)*100000000+('Dvd Calendar'!$O$2140='Field Check'!$C$25)*10000000+(N('Dvd Calendar'!$O$2134)&gt;0)*1000000+2*1000+11))</f>
        <v/>
      </c>
      <c r="N158" s="41">
        <f>IF(N('Dvd Calendar'!$P$2135)=0,"",IF(('Dvd Calendar'!$P$2135&gt;=MIN(DATE(Summary!$C$12,1,1),Summary!$C$11))*('Dvd Calendar'!$P$2135&lt;=MAX(DATE(Summary!$C$12,12,31),Summary!$C$15))*('Dvd Calendar'!$P$2135&lt;=Summary!$C$11)=0,"",'Dvd Calendar'!$P$2135*1000000000+ISNUMBER('Dvd Calendar'!$P$2136)*100000000+('Dvd Calendar'!$P$2140='Field Check'!$C$25)*10000000+(N('Dvd Calendar'!$P$2134)&gt;0)*1000000+2*1000+12))</f>
        <v/>
      </c>
      <c r="O158" s="41">
        <f>IF(N('Dvd Calendar'!$Q$2135)=0,"",IF(('Dvd Calendar'!$Q$2135&gt;=MIN(DATE(Summary!$C$12,1,1),Summary!$C$11))*('Dvd Calendar'!$Q$2135&lt;=MAX(DATE(Summary!$C$12,12,31),Summary!$C$15))*('Dvd Calendar'!$Q$2135&lt;=Summary!$C$11)=0,"",'Dvd Calendar'!$Q$2135*1000000000+ISNUMBER('Dvd Calendar'!$Q$2136)*100000000+('Dvd Calendar'!$Q$2140='Field Check'!$C$25)*10000000+(N('Dvd Calendar'!$Q$2134)&gt;0)*1000000+2*1000+13))</f>
        <v/>
      </c>
      <c r="P158" s="41">
        <f>IF(N('Dvd Calendar'!$R$2135)=0,"",IF(('Dvd Calendar'!$R$2135&gt;=MIN(DATE(Summary!$C$12,1,1),Summary!$C$11))*('Dvd Calendar'!$R$2135&lt;=MAX(DATE(Summary!$C$12,12,31),Summary!$C$15))*('Dvd Calendar'!$R$2135&lt;=Summary!$C$11)=0,"",'Dvd Calendar'!$R$2135*1000000000+ISNUMBER('Dvd Calendar'!$R$2136)*100000000+('Dvd Calendar'!$R$2140='Field Check'!$C$25)*10000000+(N('Dvd Calendar'!$R$2134)&gt;0)*1000000+2*1000+14))</f>
        <v/>
      </c>
      <c r="Q158" s="41">
        <f>IF(N('Dvd Calendar'!$S$2135)=0,"",IF(('Dvd Calendar'!$S$2135&gt;=MIN(DATE(Summary!$C$12,1,1),Summary!$C$11))*('Dvd Calendar'!$S$2135&lt;=MAX(DATE(Summary!$C$12,12,31),Summary!$C$15))*('Dvd Calendar'!$S$2135&lt;=Summary!$C$11)=0,"",'Dvd Calendar'!$S$2135*1000000000+ISNUMBER('Dvd Calendar'!$S$2136)*100000000+('Dvd Calendar'!$S$2140='Field Check'!$C$25)*10000000+(N('Dvd Calendar'!$S$2134)&gt;0)*1000000+2*1000+15))</f>
        <v/>
      </c>
      <c r="R158" s="41">
        <f>IF(N('Dvd Calendar'!$T$2135)=0,"",IF(('Dvd Calendar'!$T$2135&gt;=MIN(DATE(Summary!$C$12,1,1),Summary!$C$11))*('Dvd Calendar'!$T$2135&lt;=MAX(DATE(Summary!$C$12,12,31),Summary!$C$15))*('Dvd Calendar'!$T$2135&lt;=Summary!$C$11)=0,"",'Dvd Calendar'!$T$2135*1000000000+ISNUMBER('Dvd Calendar'!$T$2136)*100000000+('Dvd Calendar'!$T$2140='Field Check'!$C$25)*10000000+(N('Dvd Calendar'!$T$2134)&gt;0)*1000000+2*1000+16))</f>
        <v/>
      </c>
      <c r="S158" s="41">
        <f>IF(N('Dvd Calendar'!$U$2135)=0,"",IF(('Dvd Calendar'!$U$2135&gt;=MIN(DATE(Summary!$C$12,1,1),Summary!$C$11))*('Dvd Calendar'!$U$2135&lt;=MAX(DATE(Summary!$C$12,12,31),Summary!$C$15))*('Dvd Calendar'!$U$2135&lt;=Summary!$C$11)=0,"",'Dvd Calendar'!$U$2135*1000000000+ISNUMBER('Dvd Calendar'!$U$2136)*100000000+('Dvd Calendar'!$U$2140='Field Check'!$C$25)*10000000+(N('Dvd Calendar'!$U$2134)&gt;0)*1000000+2*1000+17))</f>
        <v/>
      </c>
      <c r="T158" s="41">
        <f>IF(N('Dvd Calendar'!$V$2135)=0,"",IF(('Dvd Calendar'!$V$2135&gt;=MIN(DATE(Summary!$C$12,1,1),Summary!$C$11))*('Dvd Calendar'!$V$2135&lt;=MAX(DATE(Summary!$C$12,12,31),Summary!$C$15))*('Dvd Calendar'!$V$2135&lt;=Summary!$C$11)=0,"",'Dvd Calendar'!$V$2135*1000000000+ISNUMBER('Dvd Calendar'!$V$2136)*100000000+('Dvd Calendar'!$V$2140='Field Check'!$C$25)*10000000+(N('Dvd Calendar'!$V$2134)&gt;0)*1000000+2*1000+18))</f>
        <v/>
      </c>
      <c r="U158" s="41">
        <f>IF(N('Dvd Calendar'!$W$2135)=0,"",IF(('Dvd Calendar'!$W$2135&gt;=MIN(DATE(Summary!$C$12,1,1),Summary!$C$11))*('Dvd Calendar'!$W$2135&lt;=MAX(DATE(Summary!$C$12,12,31),Summary!$C$15))*('Dvd Calendar'!$W$2135&lt;=Summary!$C$11)=0,"",'Dvd Calendar'!$W$2135*1000000000+ISNUMBER('Dvd Calendar'!$W$2136)*100000000+('Dvd Calendar'!$W$2140='Field Check'!$C$25)*10000000+(N('Dvd Calendar'!$W$2134)&gt;0)*1000000+2*1000+19))</f>
        <v/>
      </c>
      <c r="V158" s="41">
        <f>IF(N('Dvd Calendar'!$X$2135)=0,"",IF(('Dvd Calendar'!$X$2135&gt;=MIN(DATE(Summary!$C$12,1,1),Summary!$C$11))*('Dvd Calendar'!$X$2135&lt;=MAX(DATE(Summary!$C$12,12,31),Summary!$C$15))*('Dvd Calendar'!$X$2135&lt;=Summary!$C$11)=0,"",'Dvd Calendar'!$X$2135*1000000000+ISNUMBER('Dvd Calendar'!$X$2136)*100000000+('Dvd Calendar'!$X$2140='Field Check'!$C$25)*10000000+(N('Dvd Calendar'!$X$2134)&gt;0)*1000000+2*1000+20))</f>
        <v/>
      </c>
      <c r="W158" s="41">
        <f>IF(N('Dvd Calendar'!$Y$2135)=0,"",IF(('Dvd Calendar'!$Y$2135&gt;=MIN(DATE(Summary!$C$12,1,1),Summary!$C$11))*('Dvd Calendar'!$Y$2135&lt;=MAX(DATE(Summary!$C$12,12,31),Summary!$C$15))*('Dvd Calendar'!$Y$2135&lt;=Summary!$C$11)=0,"",'Dvd Calendar'!$Y$2135*1000000000+ISNUMBER('Dvd Calendar'!$Y$2136)*100000000+('Dvd Calendar'!$Y$2140='Field Check'!$C$25)*10000000+(N('Dvd Calendar'!$Y$2134)&gt;0)*1000000+2*1000+21))</f>
        <v/>
      </c>
      <c r="X158" s="41">
        <f>IF(N('Dvd Calendar'!$Z$2135)=0,"",IF(('Dvd Calendar'!$Z$2135&gt;=MIN(DATE(Summary!$C$12,1,1),Summary!$C$11))*('Dvd Calendar'!$Z$2135&lt;=MAX(DATE(Summary!$C$12,12,31),Summary!$C$15))*('Dvd Calendar'!$Z$2135&lt;=Summary!$C$11)=0,"",'Dvd Calendar'!$Z$2135*1000000000+ISNUMBER('Dvd Calendar'!$Z$2136)*100000000+('Dvd Calendar'!$Z$2140='Field Check'!$C$25)*10000000+(N('Dvd Calendar'!$Z$2134)&gt;0)*1000000+2*1000+22))</f>
        <v/>
      </c>
      <c r="Y158" s="41">
        <f>IF(N('Dvd Calendar'!$AA$2135)=0,"",IF(('Dvd Calendar'!$AA$2135&gt;=MIN(DATE(Summary!$C$12,1,1),Summary!$C$11))*('Dvd Calendar'!$AA$2135&lt;=MAX(DATE(Summary!$C$12,12,31),Summary!$C$15))*('Dvd Calendar'!$AA$2135&lt;=Summary!$C$11)=0,"",'Dvd Calendar'!$AA$2135*1000000000+ISNUMBER('Dvd Calendar'!$AA$2136)*100000000+('Dvd Calendar'!$AA$2140='Field Check'!$C$25)*10000000+(N('Dvd Calendar'!$AA$2134)&gt;0)*1000000+2*1000+23))</f>
        <v/>
      </c>
      <c r="Z158" s="41">
        <f>IF(N('Dvd Calendar'!$AB$2135)=0,"",IF(('Dvd Calendar'!$AB$2135&gt;=MIN(DATE(Summary!$C$12,1,1),Summary!$C$11))*('Dvd Calendar'!$AB$2135&lt;=MAX(DATE(Summary!$C$12,12,31),Summary!$C$15))*('Dvd Calendar'!$AB$2135&lt;=Summary!$C$11)=0,"",'Dvd Calendar'!$AB$2135*1000000000+ISNUMBER('Dvd Calendar'!$AB$2136)*100000000+('Dvd Calendar'!$AB$2140='Field Check'!$C$25)*10000000+(N('Dvd Calendar'!$AB$2134)&gt;0)*1000000+2*1000+24))</f>
        <v/>
      </c>
      <c r="AA158" s="41">
        <f>IF(N('Dvd Calendar'!$AC$2135)=0,"",IF(('Dvd Calendar'!$AC$2135&gt;=MIN(DATE(Summary!$C$12,1,1),Summary!$C$11))*('Dvd Calendar'!$AC$2135&lt;=MAX(DATE(Summary!$C$12,12,31),Summary!$C$15))*('Dvd Calendar'!$AC$2135&lt;=Summary!$C$11)=0,"",'Dvd Calendar'!$AC$2135*1000000000+ISNUMBER('Dvd Calendar'!$AC$2136)*100000000+('Dvd Calendar'!$AC$2140='Field Check'!$C$25)*10000000+(N('Dvd Calendar'!$AC$2134)&gt;0)*1000000+2*1000+25))</f>
        <v/>
      </c>
      <c r="AB158" s="41">
        <f>IF(N('Dvd Calendar'!$AD$2135)=0,"",IF(('Dvd Calendar'!$AD$2135&gt;=MIN(DATE(Summary!$C$12,1,1),Summary!$C$11))*('Dvd Calendar'!$AD$2135&lt;=MAX(DATE(Summary!$C$12,12,31),Summary!$C$15))*('Dvd Calendar'!$AD$2135&lt;=Summary!$C$11)=0,"",'Dvd Calendar'!$AD$2135*1000000000+ISNUMBER('Dvd Calendar'!$AD$2136)*100000000+('Dvd Calendar'!$AD$2140='Field Check'!$C$25)*10000000+(N('Dvd Calendar'!$AD$2134)&gt;0)*1000000+2*1000+26))</f>
        <v/>
      </c>
      <c r="AC158" s="41">
        <f>IF(N('Dvd Calendar'!$AE$2135)=0,"",IF(('Dvd Calendar'!$AE$2135&gt;=MIN(DATE(Summary!$C$12,1,1),Summary!$C$11))*('Dvd Calendar'!$AE$2135&lt;=MAX(DATE(Summary!$C$12,12,31),Summary!$C$15))*('Dvd Calendar'!$AE$2135&lt;=Summary!$C$11)=0,"",'Dvd Calendar'!$AE$2135*1000000000+ISNUMBER('Dvd Calendar'!$AE$2136)*100000000+('Dvd Calendar'!$AE$2140='Field Check'!$C$25)*10000000+(N('Dvd Calendar'!$AE$2134)&gt;0)*1000000+2*1000+27))</f>
        <v/>
      </c>
      <c r="AD158" s="41">
        <f>IF(N('Dvd Calendar'!$AF$2135)=0,"",IF(('Dvd Calendar'!$AF$2135&gt;=MIN(DATE(Summary!$C$12,1,1),Summary!$C$11))*('Dvd Calendar'!$AF$2135&lt;=MAX(DATE(Summary!$C$12,12,31),Summary!$C$15))*('Dvd Calendar'!$AF$2135&lt;=Summary!$C$11)=0,"",'Dvd Calendar'!$AF$2135*1000000000+ISNUMBER('Dvd Calendar'!$AF$2136)*100000000+('Dvd Calendar'!$AF$2140='Field Check'!$C$25)*10000000+(N('Dvd Calendar'!$AF$2134)&gt;0)*1000000+2*1000+28))</f>
        <v/>
      </c>
      <c r="AE158" s="41">
        <f>IF(N('Dvd Calendar'!$AG$2135)=0,"",IF(('Dvd Calendar'!$AG$2135&gt;=MIN(DATE(Summary!$C$12,1,1),Summary!$C$11))*('Dvd Calendar'!$AG$2135&lt;=MAX(DATE(Summary!$C$12,12,31),Summary!$C$15))*('Dvd Calendar'!$AG$2135&lt;=Summary!$C$11)=0,"",'Dvd Calendar'!$AG$2135*1000000000+ISNUMBER('Dvd Calendar'!$AG$2136)*100000000+('Dvd Calendar'!$AG$2140='Field Check'!$C$25)*10000000+(N('Dvd Calendar'!$AG$2134)&gt;0)*1000000+2*1000+29))</f>
        <v/>
      </c>
      <c r="AF158" s="41">
        <f>IF(N('Dvd Calendar'!$AH$2135)=0,"",IF(('Dvd Calendar'!$AH$2135&gt;=MIN(DATE(Summary!$C$12,1,1),Summary!$C$11))*('Dvd Calendar'!$AH$2135&lt;=MAX(DATE(Summary!$C$12,12,31),Summary!$C$15))*('Dvd Calendar'!$AH$2135&lt;=Summary!$C$11)=0,"",'Dvd Calendar'!$AH$2135*1000000000+ISNUMBER('Dvd Calendar'!$AH$2136)*100000000+('Dvd Calendar'!$AH$2140='Field Check'!$C$25)*10000000+(N('Dvd Calendar'!$AH$2134)&gt;0)*1000000+2*1000+30))</f>
        <v/>
      </c>
      <c r="AG158" s="41">
        <f>IF(N('Dvd Calendar'!$AI$2135)=0,"",IF(('Dvd Calendar'!$AI$2135&gt;=MIN(DATE(Summary!$C$12,1,1),Summary!$C$11))*('Dvd Calendar'!$AI$2135&lt;=MAX(DATE(Summary!$C$12,12,31),Summary!$C$15))*('Dvd Calendar'!$AI$2135&lt;=Summary!$C$11)=0,"",'Dvd Calendar'!$AI$2135*1000000000+ISNUMBER('Dvd Calendar'!$AI$2136)*100000000+('Dvd Calendar'!$AI$2140='Field Check'!$C$25)*10000000+(N('Dvd Calendar'!$AI$2134)&gt;0)*1000000+2*1000+31))</f>
        <v/>
      </c>
      <c r="AH158" s="41">
        <f>IF(N('Dvd Calendar'!$AJ$2135)=0,"",IF(('Dvd Calendar'!$AJ$2135&gt;=MIN(DATE(Summary!$C$12,1,1),Summary!$C$11))*('Dvd Calendar'!$AJ$2135&lt;=MAX(DATE(Summary!$C$12,12,31),Summary!$C$15))*('Dvd Calendar'!$AJ$2135&lt;=Summary!$C$11)=0,"",'Dvd Calendar'!$AJ$2135*1000000000+ISNUMBER('Dvd Calendar'!$AJ$2136)*100000000+('Dvd Calendar'!$AJ$2140='Field Check'!$C$25)*10000000+(N('Dvd Calendar'!$AJ$2134)&gt;0)*1000000+2*1000+32))</f>
        <v/>
      </c>
      <c r="AI158" s="41">
        <f>IF(N('Dvd Calendar'!$AK$2135)=0,"",IF(('Dvd Calendar'!$AK$2135&gt;=MIN(DATE(Summary!$C$12,1,1),Summary!$C$11))*('Dvd Calendar'!$AK$2135&lt;=MAX(DATE(Summary!$C$12,12,31),Summary!$C$15))*('Dvd Calendar'!$AK$2135&lt;=Summary!$C$11)=0,"",'Dvd Calendar'!$AK$2135*1000000000+ISNUMBER('Dvd Calendar'!$AK$2136)*100000000+('Dvd Calendar'!$AK$2140='Field Check'!$C$25)*10000000+(N('Dvd Calendar'!$AK$2134)&gt;0)*1000000+2*1000+33))</f>
        <v/>
      </c>
      <c r="AJ158" s="41">
        <f>IF(N('Dvd Calendar'!$AL$2135)=0,"",IF(('Dvd Calendar'!$AL$2135&gt;=MIN(DATE(Summary!$C$12,1,1),Summary!$C$11))*('Dvd Calendar'!$AL$2135&lt;=MAX(DATE(Summary!$C$12,12,31),Summary!$C$15))*('Dvd Calendar'!$AL$2135&lt;=Summary!$C$11)=0,"",'Dvd Calendar'!$AL$2135*1000000000+ISNUMBER('Dvd Calendar'!$AL$2136)*100000000+('Dvd Calendar'!$AL$2140='Field Check'!$C$25)*10000000+(N('Dvd Calendar'!$AL$2134)&gt;0)*1000000+2*1000+34))</f>
        <v/>
      </c>
      <c r="AK158" s="41">
        <f>IF(N('Dvd Calendar'!$AM$2135)=0,"",IF(('Dvd Calendar'!$AM$2135&gt;=MIN(DATE(Summary!$C$12,1,1),Summary!$C$11))*('Dvd Calendar'!$AM$2135&lt;=MAX(DATE(Summary!$C$12,12,31),Summary!$C$15))*('Dvd Calendar'!$AM$2135&lt;=Summary!$C$11)=0,"",'Dvd Calendar'!$AM$2135*1000000000+ISNUMBER('Dvd Calendar'!$AM$2136)*100000000+('Dvd Calendar'!$AM$2140='Field Check'!$C$25)*10000000+(N('Dvd Calendar'!$AM$2134)&gt;0)*1000000+2*1000+35))</f>
        <v/>
      </c>
      <c r="AL158" s="41">
        <f>IF(N('Dvd Calendar'!$AN$2135)=0,"",IF(('Dvd Calendar'!$AN$2135&gt;=MIN(DATE(Summary!$C$12,1,1),Summary!$C$11))*('Dvd Calendar'!$AN$2135&lt;=MAX(DATE(Summary!$C$12,12,31),Summary!$C$15))*('Dvd Calendar'!$AN$2135&lt;=Summary!$C$11)=0,"",'Dvd Calendar'!$AN$2135*1000000000+ISNUMBER('Dvd Calendar'!$AN$2136)*100000000+('Dvd Calendar'!$AN$2140='Field Check'!$C$25)*10000000+(N('Dvd Calendar'!$AN$2134)&gt;0)*1000000+2*1000+36))</f>
        <v/>
      </c>
      <c r="AM158" s="41">
        <f>IF(N('Dvd Calendar'!$AO$2135)=0,"",IF(('Dvd Calendar'!$AO$2135&gt;=MIN(DATE(Summary!$C$12,1,1),Summary!$C$11))*('Dvd Calendar'!$AO$2135&lt;=MAX(DATE(Summary!$C$12,12,31),Summary!$C$15))*('Dvd Calendar'!$AO$2135&lt;=Summary!$C$11)=0,"",'Dvd Calendar'!$AO$2135*1000000000+ISNUMBER('Dvd Calendar'!$AO$2136)*100000000+('Dvd Calendar'!$AO$2140='Field Check'!$C$25)*10000000+(N('Dvd Calendar'!$AO$2134)&gt;0)*1000000+2*1000+37))</f>
        <v/>
      </c>
      <c r="AN158" s="41">
        <f>IF(N('Dvd Calendar'!$AP$2135)=0,"",IF(('Dvd Calendar'!$AP$2135&gt;=MIN(DATE(Summary!$C$12,1,1),Summary!$C$11))*('Dvd Calendar'!$AP$2135&lt;=MAX(DATE(Summary!$C$12,12,31),Summary!$C$15))*('Dvd Calendar'!$AP$2135&lt;=Summary!$C$11)=0,"",'Dvd Calendar'!$AP$2135*1000000000+ISNUMBER('Dvd Calendar'!$AP$2136)*100000000+('Dvd Calendar'!$AP$2140='Field Check'!$C$25)*10000000+(N('Dvd Calendar'!$AP$2134)&gt;0)*1000000+2*1000+38))</f>
        <v/>
      </c>
      <c r="AO158" s="41">
        <f>IF(N('Dvd Calendar'!$AQ$2135)=0,"",IF(('Dvd Calendar'!$AQ$2135&gt;=MIN(DATE(Summary!$C$12,1,1),Summary!$C$11))*('Dvd Calendar'!$AQ$2135&lt;=MAX(DATE(Summary!$C$12,12,31),Summary!$C$15))*('Dvd Calendar'!$AQ$2135&lt;=Summary!$C$11)=0,"",'Dvd Calendar'!$AQ$2135*1000000000+ISNUMBER('Dvd Calendar'!$AQ$2136)*100000000+('Dvd Calendar'!$AQ$2140='Field Check'!$C$25)*10000000+(N('Dvd Calendar'!$AQ$2134)&gt;0)*1000000+2*1000+39))</f>
        <v/>
      </c>
      <c r="AP158" s="41">
        <f>IF(N('Dvd Calendar'!$AR$2135)=0,"",IF(('Dvd Calendar'!$AR$2135&gt;=MIN(DATE(Summary!$C$12,1,1),Summary!$C$11))*('Dvd Calendar'!$AR$2135&lt;=MAX(DATE(Summary!$C$12,12,31),Summary!$C$15))*('Dvd Calendar'!$AR$2135&lt;=Summary!$C$11)=0,"",'Dvd Calendar'!$AR$2135*1000000000+ISNUMBER('Dvd Calendar'!$AR$2136)*100000000+('Dvd Calendar'!$AR$2140='Field Check'!$C$25)*10000000+(N('Dvd Calendar'!$AR$2134)&gt;0)*1000000+2*1000+40))</f>
        <v/>
      </c>
      <c r="AQ158" s="41">
        <f>IF(N('Dvd Calendar'!$E$2142)=0,"",IF(('Dvd Calendar'!$E$2142&gt;=MIN(DATE(Summary!$C$12,1,1),Summary!$C$11))*('Dvd Calendar'!$E$2142&lt;=MAX(DATE(Summary!$C$12,12,31),Summary!$C$15))*('Dvd Calendar'!$E$2142&gt;Summary!$C$11)=0,"",'Dvd Calendar'!$E$2142*1000000000+ISNUMBER('Dvd Calendar'!$E$2143)*100000000+('Dvd Calendar'!$E$2147='Field Check'!$C$25)*10000000+(N('Dvd Calendar'!$E$2141)&gt;0)*1000000+2*1000+41))</f>
        <v/>
      </c>
      <c r="AR158" s="41">
        <f>IF(N('Dvd Calendar'!$F$2142)=0,"",IF(('Dvd Calendar'!$F$2142&gt;=MIN(DATE(Summary!$C$12,1,1),Summary!$C$11))*('Dvd Calendar'!$F$2142&lt;=MAX(DATE(Summary!$C$12,12,31),Summary!$C$15))*('Dvd Calendar'!$F$2142&gt;Summary!$C$11)=0,"",'Dvd Calendar'!$F$2142*1000000000+ISNUMBER('Dvd Calendar'!$F$2143)*100000000+('Dvd Calendar'!$F$2147='Field Check'!$C$25)*10000000+(N('Dvd Calendar'!$F$2141)&gt;0)*1000000+2*1000+42))</f>
        <v/>
      </c>
      <c r="AS158" s="41">
        <f>IF(N('Dvd Calendar'!$G$2142)=0,"",IF(('Dvd Calendar'!$G$2142&gt;=MIN(DATE(Summary!$C$12,1,1),Summary!$C$11))*('Dvd Calendar'!$G$2142&lt;=MAX(DATE(Summary!$C$12,12,31),Summary!$C$15))*('Dvd Calendar'!$G$2142&gt;Summary!$C$11)=0,"",'Dvd Calendar'!$G$2142*1000000000+ISNUMBER('Dvd Calendar'!$G$2143)*100000000+('Dvd Calendar'!$G$2147='Field Check'!$C$25)*10000000+(N('Dvd Calendar'!$G$2141)&gt;0)*1000000+2*1000+43))</f>
        <v/>
      </c>
      <c r="AT158" s="41">
        <f>IF(N('Dvd Calendar'!$H$2142)=0,"",IF(('Dvd Calendar'!$H$2142&gt;=MIN(DATE(Summary!$C$12,1,1),Summary!$C$11))*('Dvd Calendar'!$H$2142&lt;=MAX(DATE(Summary!$C$12,12,31),Summary!$C$15))*('Dvd Calendar'!$H$2142&gt;Summary!$C$11)=0,"",'Dvd Calendar'!$H$2142*1000000000+ISNUMBER('Dvd Calendar'!$H$2143)*100000000+('Dvd Calendar'!$H$2147='Field Check'!$C$25)*10000000+(N('Dvd Calendar'!$H$2141)&gt;0)*1000000+2*1000+44))</f>
        <v/>
      </c>
      <c r="AU158" s="41">
        <f>IF(N('Dvd Calendar'!$I$2142)=0,"",IF(('Dvd Calendar'!$I$2142&gt;=MIN(DATE(Summary!$C$12,1,1),Summary!$C$11))*('Dvd Calendar'!$I$2142&lt;=MAX(DATE(Summary!$C$12,12,31),Summary!$C$15))*('Dvd Calendar'!$I$2142&gt;Summary!$C$11)=0,"",'Dvd Calendar'!$I$2142*1000000000+ISNUMBER('Dvd Calendar'!$I$2143)*100000000+('Dvd Calendar'!$I$2147='Field Check'!$C$25)*10000000+(N('Dvd Calendar'!$I$2141)&gt;0)*1000000+2*1000+45))</f>
        <v/>
      </c>
      <c r="AV158" s="41">
        <f>IF(N('Dvd Calendar'!$J$2142)=0,"",IF(('Dvd Calendar'!$J$2142&gt;=MIN(DATE(Summary!$C$12,1,1),Summary!$C$11))*('Dvd Calendar'!$J$2142&lt;=MAX(DATE(Summary!$C$12,12,31),Summary!$C$15))*('Dvd Calendar'!$J$2142&gt;Summary!$C$11)=0,"",'Dvd Calendar'!$J$2142*1000000000+ISNUMBER('Dvd Calendar'!$J$2143)*100000000+('Dvd Calendar'!$J$2147='Field Check'!$C$25)*10000000+(N('Dvd Calendar'!$J$2141)&gt;0)*1000000+2*1000+46))</f>
        <v/>
      </c>
      <c r="AW158" s="41">
        <f>IF(N('Dvd Calendar'!$K$2142)=0,"",IF(('Dvd Calendar'!$K$2142&gt;=MIN(DATE(Summary!$C$12,1,1),Summary!$C$11))*('Dvd Calendar'!$K$2142&lt;=MAX(DATE(Summary!$C$12,12,31),Summary!$C$15))*('Dvd Calendar'!$K$2142&gt;Summary!$C$11)=0,"",'Dvd Calendar'!$K$2142*1000000000+ISNUMBER('Dvd Calendar'!$K$2143)*100000000+('Dvd Calendar'!$K$2147='Field Check'!$C$25)*10000000+(N('Dvd Calendar'!$K$2141)&gt;0)*1000000+2*1000+47))</f>
        <v/>
      </c>
      <c r="AX158" s="41">
        <f>IF(N('Dvd Calendar'!$L$2142)=0,"",IF(('Dvd Calendar'!$L$2142&gt;=MIN(DATE(Summary!$C$12,1,1),Summary!$C$11))*('Dvd Calendar'!$L$2142&lt;=MAX(DATE(Summary!$C$12,12,31),Summary!$C$15))*('Dvd Calendar'!$L$2142&gt;Summary!$C$11)=0,"",'Dvd Calendar'!$L$2142*1000000000+ISNUMBER('Dvd Calendar'!$L$2143)*100000000+('Dvd Calendar'!$L$2147='Field Check'!$C$25)*10000000+(N('Dvd Calendar'!$L$2141)&gt;0)*1000000+2*1000+48))</f>
        <v/>
      </c>
      <c r="AY158" s="41">
        <f>IF(N('Dvd Calendar'!$M$2142)=0,"",IF(('Dvd Calendar'!$M$2142&gt;=MIN(DATE(Summary!$C$12,1,1),Summary!$C$11))*('Dvd Calendar'!$M$2142&lt;=MAX(DATE(Summary!$C$12,12,31),Summary!$C$15))*('Dvd Calendar'!$M$2142&gt;Summary!$C$11)=0,"",'Dvd Calendar'!$M$2142*1000000000+ISNUMBER('Dvd Calendar'!$M$2143)*100000000+('Dvd Calendar'!$M$2147='Field Check'!$C$25)*10000000+(N('Dvd Calendar'!$M$2141)&gt;0)*1000000+2*1000+49))</f>
        <v/>
      </c>
      <c r="AZ158" s="41">
        <f>IF(N('Dvd Calendar'!$N$2142)=0,"",IF(('Dvd Calendar'!$N$2142&gt;=MIN(DATE(Summary!$C$12,1,1),Summary!$C$11))*('Dvd Calendar'!$N$2142&lt;=MAX(DATE(Summary!$C$12,12,31),Summary!$C$15))*('Dvd Calendar'!$N$2142&gt;Summary!$C$11)=0,"",'Dvd Calendar'!$N$2142*1000000000+ISNUMBER('Dvd Calendar'!$N$2143)*100000000+('Dvd Calendar'!$N$2147='Field Check'!$C$25)*10000000+(N('Dvd Calendar'!$N$2141)&gt;0)*1000000+2*1000+50))</f>
        <v/>
      </c>
      <c r="BA158" s="41">
        <f>IF(N('Dvd Calendar'!$O$2142)=0,"",IF(('Dvd Calendar'!$O$2142&gt;=MIN(DATE(Summary!$C$12,1,1),Summary!$C$11))*('Dvd Calendar'!$O$2142&lt;=MAX(DATE(Summary!$C$12,12,31),Summary!$C$15))*('Dvd Calendar'!$O$2142&gt;Summary!$C$11)=0,"",'Dvd Calendar'!$O$2142*1000000000+ISNUMBER('Dvd Calendar'!$O$2143)*100000000+('Dvd Calendar'!$O$2147='Field Check'!$C$25)*10000000+(N('Dvd Calendar'!$O$2141)&gt;0)*1000000+2*1000+51))</f>
        <v/>
      </c>
      <c r="BB158" s="41">
        <f>IF(N('Dvd Calendar'!$P$2142)=0,"",IF(('Dvd Calendar'!$P$2142&gt;=MIN(DATE(Summary!$C$12,1,1),Summary!$C$11))*('Dvd Calendar'!$P$2142&lt;=MAX(DATE(Summary!$C$12,12,31),Summary!$C$15))*('Dvd Calendar'!$P$2142&gt;Summary!$C$11)=0,"",'Dvd Calendar'!$P$2142*1000000000+ISNUMBER('Dvd Calendar'!$P$2143)*100000000+('Dvd Calendar'!$P$2147='Field Check'!$C$25)*10000000+(N('Dvd Calendar'!$P$2141)&gt;0)*1000000+2*1000+52))</f>
        <v/>
      </c>
      <c r="BC158" s="41">
        <f>IF(N('Dvd Calendar'!$Q$2142)=0,"",IF(('Dvd Calendar'!$Q$2142&gt;=MIN(DATE(Summary!$C$12,1,1),Summary!$C$11))*('Dvd Calendar'!$Q$2142&lt;=MAX(DATE(Summary!$C$12,12,31),Summary!$C$15))*('Dvd Calendar'!$Q$2142&gt;Summary!$C$11)=0,"",'Dvd Calendar'!$Q$2142*1000000000+ISNUMBER('Dvd Calendar'!$Q$2143)*100000000+('Dvd Calendar'!$Q$2147='Field Check'!$C$25)*10000000+(N('Dvd Calendar'!$Q$2141)&gt;0)*1000000+2*1000+53))</f>
        <v/>
      </c>
      <c r="BD158" s="41">
        <f>IF(N('Dvd Calendar'!$R$2142)=0,"",IF(('Dvd Calendar'!$R$2142&gt;=MIN(DATE(Summary!$C$12,1,1),Summary!$C$11))*('Dvd Calendar'!$R$2142&lt;=MAX(DATE(Summary!$C$12,12,31),Summary!$C$15))*('Dvd Calendar'!$R$2142&gt;Summary!$C$11)=0,"",'Dvd Calendar'!$R$2142*1000000000+ISNUMBER('Dvd Calendar'!$R$2143)*100000000+('Dvd Calendar'!$R$2147='Field Check'!$C$25)*10000000+(N('Dvd Calendar'!$R$2141)&gt;0)*1000000+2*1000+54))</f>
        <v/>
      </c>
      <c r="BE158" s="41">
        <f>IF(N('Dvd Calendar'!$S$2142)=0,"",IF(('Dvd Calendar'!$S$2142&gt;=MIN(DATE(Summary!$C$12,1,1),Summary!$C$11))*('Dvd Calendar'!$S$2142&lt;=MAX(DATE(Summary!$C$12,12,31),Summary!$C$15))*('Dvd Calendar'!$S$2142&gt;Summary!$C$11)=0,"",'Dvd Calendar'!$S$2142*1000000000+ISNUMBER('Dvd Calendar'!$S$2143)*100000000+('Dvd Calendar'!$S$2147='Field Check'!$C$25)*10000000+(N('Dvd Calendar'!$S$2141)&gt;0)*1000000+2*1000+55))</f>
        <v/>
      </c>
      <c r="BF158" s="41">
        <f>IF(N('Dvd Calendar'!$T$2142)=0,"",IF(('Dvd Calendar'!$T$2142&gt;=MIN(DATE(Summary!$C$12,1,1),Summary!$C$11))*('Dvd Calendar'!$T$2142&lt;=MAX(DATE(Summary!$C$12,12,31),Summary!$C$15))*('Dvd Calendar'!$T$2142&gt;Summary!$C$11)=0,"",'Dvd Calendar'!$T$2142*1000000000+ISNUMBER('Dvd Calendar'!$T$2143)*100000000+('Dvd Calendar'!$T$2147='Field Check'!$C$25)*10000000+(N('Dvd Calendar'!$T$2141)&gt;0)*1000000+2*1000+56))</f>
        <v/>
      </c>
      <c r="BG158" s="41">
        <f>IF(N('Dvd Calendar'!$U$2142)=0,"",IF(('Dvd Calendar'!$U$2142&gt;=MIN(DATE(Summary!$C$12,1,1),Summary!$C$11))*('Dvd Calendar'!$U$2142&lt;=MAX(DATE(Summary!$C$12,12,31),Summary!$C$15))*('Dvd Calendar'!$U$2142&gt;Summary!$C$11)=0,"",'Dvd Calendar'!$U$2142*1000000000+ISNUMBER('Dvd Calendar'!$U$2143)*100000000+('Dvd Calendar'!$U$2147='Field Check'!$C$25)*10000000+(N('Dvd Calendar'!$U$2141)&gt;0)*1000000+2*1000+57))</f>
        <v/>
      </c>
      <c r="BH158" s="41">
        <f>IF(N('Dvd Calendar'!$V$2142)=0,"",IF(('Dvd Calendar'!$V$2142&gt;=MIN(DATE(Summary!$C$12,1,1),Summary!$C$11))*('Dvd Calendar'!$V$2142&lt;=MAX(DATE(Summary!$C$12,12,31),Summary!$C$15))*('Dvd Calendar'!$V$2142&gt;Summary!$C$11)=0,"",'Dvd Calendar'!$V$2142*1000000000+ISNUMBER('Dvd Calendar'!$V$2143)*100000000+('Dvd Calendar'!$V$2147='Field Check'!$C$25)*10000000+(N('Dvd Calendar'!$V$2141)&gt;0)*1000000+2*1000+58))</f>
        <v/>
      </c>
      <c r="BI158" s="41">
        <f>IF(N('Dvd Calendar'!$W$2142)=0,"",IF(('Dvd Calendar'!$W$2142&gt;=MIN(DATE(Summary!$C$12,1,1),Summary!$C$11))*('Dvd Calendar'!$W$2142&lt;=MAX(DATE(Summary!$C$12,12,31),Summary!$C$15))*('Dvd Calendar'!$W$2142&gt;Summary!$C$11)=0,"",'Dvd Calendar'!$W$2142*1000000000+ISNUMBER('Dvd Calendar'!$W$2143)*100000000+('Dvd Calendar'!$W$2147='Field Check'!$C$25)*10000000+(N('Dvd Calendar'!$W$2141)&gt;0)*1000000+2*1000+59))</f>
        <v/>
      </c>
      <c r="BJ158" s="41">
        <f>IF(N('Dvd Calendar'!$X$2142)=0,"",IF(('Dvd Calendar'!$X$2142&gt;=MIN(DATE(Summary!$C$12,1,1),Summary!$C$11))*('Dvd Calendar'!$X$2142&lt;=MAX(DATE(Summary!$C$12,12,31),Summary!$C$15))*('Dvd Calendar'!$X$2142&gt;Summary!$C$11)=0,"",'Dvd Calendar'!$X$2142*1000000000+ISNUMBER('Dvd Calendar'!$X$2143)*100000000+('Dvd Calendar'!$X$2147='Field Check'!$C$25)*10000000+(N('Dvd Calendar'!$X$2141)&gt;0)*1000000+2*1000+60))</f>
        <v/>
      </c>
      <c r="BK158" s="41">
        <f>IF(N('Dvd Calendar'!$Y$2142)=0,"",IF(('Dvd Calendar'!$Y$2142&gt;=MIN(DATE(Summary!$C$12,1,1),Summary!$C$11))*('Dvd Calendar'!$Y$2142&lt;=MAX(DATE(Summary!$C$12,12,31),Summary!$C$15))*('Dvd Calendar'!$Y$2142&gt;Summary!$C$11)=0,"",'Dvd Calendar'!$Y$2142*1000000000+ISNUMBER('Dvd Calendar'!$Y$2143)*100000000+('Dvd Calendar'!$Y$2147='Field Check'!$C$25)*10000000+(N('Dvd Calendar'!$Y$2141)&gt;0)*1000000+2*1000+61))</f>
        <v/>
      </c>
      <c r="BL158" s="41">
        <f>IF(N('Dvd Calendar'!$Z$2142)=0,"",IF(('Dvd Calendar'!$Z$2142&gt;=MIN(DATE(Summary!$C$12,1,1),Summary!$C$11))*('Dvd Calendar'!$Z$2142&lt;=MAX(DATE(Summary!$C$12,12,31),Summary!$C$15))*('Dvd Calendar'!$Z$2142&gt;Summary!$C$11)=0,"",'Dvd Calendar'!$Z$2142*1000000000+ISNUMBER('Dvd Calendar'!$Z$2143)*100000000+('Dvd Calendar'!$Z$2147='Field Check'!$C$25)*10000000+(N('Dvd Calendar'!$Z$2141)&gt;0)*1000000+2*1000+62))</f>
        <v/>
      </c>
      <c r="BM158" s="41">
        <f>IF(N('Dvd Calendar'!$AA$2142)=0,"",IF(('Dvd Calendar'!$AA$2142&gt;=MIN(DATE(Summary!$C$12,1,1),Summary!$C$11))*('Dvd Calendar'!$AA$2142&lt;=MAX(DATE(Summary!$C$12,12,31),Summary!$C$15))*('Dvd Calendar'!$AA$2142&gt;Summary!$C$11)=0,"",'Dvd Calendar'!$AA$2142*1000000000+ISNUMBER('Dvd Calendar'!$AA$2143)*100000000+('Dvd Calendar'!$AA$2147='Field Check'!$C$25)*10000000+(N('Dvd Calendar'!$AA$2141)&gt;0)*1000000+2*1000+63))</f>
        <v/>
      </c>
      <c r="BN158" s="41">
        <f>IF(N('Dvd Calendar'!$AB$2142)=0,"",IF(('Dvd Calendar'!$AB$2142&gt;=MIN(DATE(Summary!$C$12,1,1),Summary!$C$11))*('Dvd Calendar'!$AB$2142&lt;=MAX(DATE(Summary!$C$12,12,31),Summary!$C$15))*('Dvd Calendar'!$AB$2142&gt;Summary!$C$11)=0,"",'Dvd Calendar'!$AB$2142*1000000000+ISNUMBER('Dvd Calendar'!$AB$2143)*100000000+('Dvd Calendar'!$AB$2147='Field Check'!$C$25)*10000000+(N('Dvd Calendar'!$AB$2141)&gt;0)*1000000+2*1000+64))</f>
        <v/>
      </c>
      <c r="BO158" s="41">
        <f>IF(N('Dvd Calendar'!$AC$2142)=0,"",IF(('Dvd Calendar'!$AC$2142&gt;=MIN(DATE(Summary!$C$12,1,1),Summary!$C$11))*('Dvd Calendar'!$AC$2142&lt;=MAX(DATE(Summary!$C$12,12,31),Summary!$C$15))*('Dvd Calendar'!$AC$2142&gt;Summary!$C$11)=0,"",'Dvd Calendar'!$AC$2142*1000000000+ISNUMBER('Dvd Calendar'!$AC$2143)*100000000+('Dvd Calendar'!$AC$2147='Field Check'!$C$25)*10000000+(N('Dvd Calendar'!$AC$2141)&gt;0)*1000000+2*1000+65))</f>
        <v/>
      </c>
      <c r="BQ158" s="85">
        <f>IF(C158="","",IF(ISNUMBER('Dvd Calendar'!$E$2136)=FALSE,"",IF((Summary!$C$13="N")*('Dvd Calendar'!$E$2140='Field Check'!$C$25)&gt;0,"",'Dvd Calendar'!$E$2136)))</f>
        <v/>
      </c>
      <c r="BR158" s="85">
        <f>IF(D158="","",IF(ISNUMBER('Dvd Calendar'!$F$2136)=FALSE,"",IF((Summary!$C$13="N")*('Dvd Calendar'!$F$2140='Field Check'!$C$25)&gt;0,"",'Dvd Calendar'!$F$2136)))</f>
        <v/>
      </c>
      <c r="BS158" s="85">
        <f>IF(E158="","",IF(ISNUMBER('Dvd Calendar'!$G$2136)=FALSE,"",IF((Summary!$C$13="N")*('Dvd Calendar'!$G$2140='Field Check'!$C$25)&gt;0,"",'Dvd Calendar'!$G$2136)))</f>
        <v/>
      </c>
      <c r="BT158" s="85">
        <f>IF(F158="","",IF(ISNUMBER('Dvd Calendar'!$H$2136)=FALSE,"",IF((Summary!$C$13="N")*('Dvd Calendar'!$H$2140='Field Check'!$C$25)&gt;0,"",'Dvd Calendar'!$H$2136)))</f>
        <v/>
      </c>
      <c r="BU158" s="85">
        <f>IF(G158="","",IF(ISNUMBER('Dvd Calendar'!$I$2136)=FALSE,"",IF((Summary!$C$13="N")*('Dvd Calendar'!$I$2140='Field Check'!$C$25)&gt;0,"",'Dvd Calendar'!$I$2136)))</f>
        <v/>
      </c>
      <c r="BV158" s="85">
        <f>IF(H158="","",IF(ISNUMBER('Dvd Calendar'!$J$2136)=FALSE,"",IF((Summary!$C$13="N")*('Dvd Calendar'!$J$2140='Field Check'!$C$25)&gt;0,"",'Dvd Calendar'!$J$2136)))</f>
        <v/>
      </c>
      <c r="BW158" s="85">
        <f>IF(I158="","",IF(ISNUMBER('Dvd Calendar'!$K$2136)=FALSE,"",IF((Summary!$C$13="N")*('Dvd Calendar'!$K$2140='Field Check'!$C$25)&gt;0,"",'Dvd Calendar'!$K$2136)))</f>
        <v/>
      </c>
      <c r="BX158" s="85">
        <f>IF(J158="","",IF(ISNUMBER('Dvd Calendar'!$L$2136)=FALSE,"",IF((Summary!$C$13="N")*('Dvd Calendar'!$L$2140='Field Check'!$C$25)&gt;0,"",'Dvd Calendar'!$L$2136)))</f>
        <v/>
      </c>
      <c r="BY158" s="85">
        <f>IF(K158="","",IF(ISNUMBER('Dvd Calendar'!$M$2136)=FALSE,"",IF((Summary!$C$13="N")*('Dvd Calendar'!$M$2140='Field Check'!$C$25)&gt;0,"",'Dvd Calendar'!$M$2136)))</f>
        <v/>
      </c>
      <c r="BZ158" s="85">
        <f>IF(L158="","",IF(ISNUMBER('Dvd Calendar'!$N$2136)=FALSE,"",IF((Summary!$C$13="N")*('Dvd Calendar'!$N$2140='Field Check'!$C$25)&gt;0,"",'Dvd Calendar'!$N$2136)))</f>
        <v/>
      </c>
      <c r="CA158" s="85">
        <f>IF(M158="","",IF(ISNUMBER('Dvd Calendar'!$O$2136)=FALSE,"",IF((Summary!$C$13="N")*('Dvd Calendar'!$O$2140='Field Check'!$C$25)&gt;0,"",'Dvd Calendar'!$O$2136)))</f>
        <v/>
      </c>
      <c r="CB158" s="85">
        <f>IF(N158="","",IF(ISNUMBER('Dvd Calendar'!$P$2136)=FALSE,"",IF((Summary!$C$13="N")*('Dvd Calendar'!$P$2140='Field Check'!$C$25)&gt;0,"",'Dvd Calendar'!$P$2136)))</f>
        <v/>
      </c>
      <c r="CC158" s="85">
        <f>IF(O158="","",IF(ISNUMBER('Dvd Calendar'!$Q$2136)=FALSE,"",IF((Summary!$C$13="N")*('Dvd Calendar'!$Q$2140='Field Check'!$C$25)&gt;0,"",'Dvd Calendar'!$Q$2136)))</f>
        <v/>
      </c>
      <c r="CD158" s="85">
        <f>IF(P158="","",IF(ISNUMBER('Dvd Calendar'!$R$2136)=FALSE,"",IF((Summary!$C$13="N")*('Dvd Calendar'!$R$2140='Field Check'!$C$25)&gt;0,"",'Dvd Calendar'!$R$2136)))</f>
        <v/>
      </c>
      <c r="CE158" s="85">
        <f>IF(Q158="","",IF(ISNUMBER('Dvd Calendar'!$S$2136)=FALSE,"",IF((Summary!$C$13="N")*('Dvd Calendar'!$S$2140='Field Check'!$C$25)&gt;0,"",'Dvd Calendar'!$S$2136)))</f>
        <v/>
      </c>
      <c r="CF158" s="85">
        <f>IF(R158="","",IF(ISNUMBER('Dvd Calendar'!$T$2136)=FALSE,"",IF((Summary!$C$13="N")*('Dvd Calendar'!$T$2140='Field Check'!$C$25)&gt;0,"",'Dvd Calendar'!$T$2136)))</f>
        <v/>
      </c>
      <c r="CG158" s="85">
        <f>IF(S158="","",IF(ISNUMBER('Dvd Calendar'!$U$2136)=FALSE,"",IF((Summary!$C$13="N")*('Dvd Calendar'!$U$2140='Field Check'!$C$25)&gt;0,"",'Dvd Calendar'!$U$2136)))</f>
        <v/>
      </c>
      <c r="CH158" s="85">
        <f>IF(T158="","",IF(ISNUMBER('Dvd Calendar'!$V$2136)=FALSE,"",IF((Summary!$C$13="N")*('Dvd Calendar'!$V$2140='Field Check'!$C$25)&gt;0,"",'Dvd Calendar'!$V$2136)))</f>
        <v/>
      </c>
      <c r="CI158" s="85">
        <f>IF(U158="","",IF(ISNUMBER('Dvd Calendar'!$W$2136)=FALSE,"",IF((Summary!$C$13="N")*('Dvd Calendar'!$W$2140='Field Check'!$C$25)&gt;0,"",'Dvd Calendar'!$W$2136)))</f>
        <v/>
      </c>
      <c r="CJ158" s="85">
        <f>IF(V158="","",IF(ISNUMBER('Dvd Calendar'!$X$2136)=FALSE,"",IF((Summary!$C$13="N")*('Dvd Calendar'!$X$2140='Field Check'!$C$25)&gt;0,"",'Dvd Calendar'!$X$2136)))</f>
        <v/>
      </c>
      <c r="CK158" s="85">
        <f>IF(W158="","",IF(ISNUMBER('Dvd Calendar'!$Y$2136)=FALSE,"",IF((Summary!$C$13="N")*('Dvd Calendar'!$Y$2140='Field Check'!$C$25)&gt;0,"",'Dvd Calendar'!$Y$2136)))</f>
        <v/>
      </c>
      <c r="CL158" s="85">
        <f>IF(X158="","",IF(ISNUMBER('Dvd Calendar'!$Z$2136)=FALSE,"",IF((Summary!$C$13="N")*('Dvd Calendar'!$Z$2140='Field Check'!$C$25)&gt;0,"",'Dvd Calendar'!$Z$2136)))</f>
        <v/>
      </c>
      <c r="CM158" s="85">
        <f>IF(Y158="","",IF(ISNUMBER('Dvd Calendar'!$AA$2136)=FALSE,"",IF((Summary!$C$13="N")*('Dvd Calendar'!$AA$2140='Field Check'!$C$25)&gt;0,"",'Dvd Calendar'!$AA$2136)))</f>
        <v/>
      </c>
      <c r="CN158" s="85">
        <f>IF(Z158="","",IF(ISNUMBER('Dvd Calendar'!$AB$2136)=FALSE,"",IF((Summary!$C$13="N")*('Dvd Calendar'!$AB$2140='Field Check'!$C$25)&gt;0,"",'Dvd Calendar'!$AB$2136)))</f>
        <v/>
      </c>
      <c r="CO158" s="85">
        <f>IF(AA158="","",IF(ISNUMBER('Dvd Calendar'!$AC$2136)=FALSE,"",IF((Summary!$C$13="N")*('Dvd Calendar'!$AC$2140='Field Check'!$C$25)&gt;0,"",'Dvd Calendar'!$AC$2136)))</f>
        <v/>
      </c>
      <c r="CP158" s="85">
        <f>IF(AB158="","",IF(ISNUMBER('Dvd Calendar'!$AD$2136)=FALSE,"",IF((Summary!$C$13="N")*('Dvd Calendar'!$AD$2140='Field Check'!$C$25)&gt;0,"",'Dvd Calendar'!$AD$2136)))</f>
        <v/>
      </c>
      <c r="CQ158" s="85">
        <f>IF(AC158="","",IF(ISNUMBER('Dvd Calendar'!$AE$2136)=FALSE,"",IF((Summary!$C$13="N")*('Dvd Calendar'!$AE$2140='Field Check'!$C$25)&gt;0,"",'Dvd Calendar'!$AE$2136)))</f>
        <v/>
      </c>
      <c r="CR158" s="85">
        <f>IF(AD158="","",IF(ISNUMBER('Dvd Calendar'!$AF$2136)=FALSE,"",IF((Summary!$C$13="N")*('Dvd Calendar'!$AF$2140='Field Check'!$C$25)&gt;0,"",'Dvd Calendar'!$AF$2136)))</f>
        <v/>
      </c>
      <c r="CS158" s="85">
        <f>IF(AE158="","",IF(ISNUMBER('Dvd Calendar'!$AG$2136)=FALSE,"",IF((Summary!$C$13="N")*('Dvd Calendar'!$AG$2140='Field Check'!$C$25)&gt;0,"",'Dvd Calendar'!$AG$2136)))</f>
        <v/>
      </c>
      <c r="CT158" s="85">
        <f>IF(AF158="","",IF(ISNUMBER('Dvd Calendar'!$AH$2136)=FALSE,"",IF((Summary!$C$13="N")*('Dvd Calendar'!$AH$2140='Field Check'!$C$25)&gt;0,"",'Dvd Calendar'!$AH$2136)))</f>
        <v/>
      </c>
      <c r="CU158" s="85">
        <f>IF(AG158="","",IF(ISNUMBER('Dvd Calendar'!$AI$2136)=FALSE,"",IF((Summary!$C$13="N")*('Dvd Calendar'!$AI$2140='Field Check'!$C$25)&gt;0,"",'Dvd Calendar'!$AI$2136)))</f>
        <v/>
      </c>
      <c r="CV158" s="85">
        <f>IF(AH158="","",IF(ISNUMBER('Dvd Calendar'!$AJ$2136)=FALSE,"",IF((Summary!$C$13="N")*('Dvd Calendar'!$AJ$2140='Field Check'!$C$25)&gt;0,"",'Dvd Calendar'!$AJ$2136)))</f>
        <v/>
      </c>
      <c r="CW158" s="85">
        <f>IF(AI158="","",IF(ISNUMBER('Dvd Calendar'!$AK$2136)=FALSE,"",IF((Summary!$C$13="N")*('Dvd Calendar'!$AK$2140='Field Check'!$C$25)&gt;0,"",'Dvd Calendar'!$AK$2136)))</f>
        <v/>
      </c>
      <c r="CX158" s="85">
        <f>IF(AJ158="","",IF(ISNUMBER('Dvd Calendar'!$AL$2136)=FALSE,"",IF((Summary!$C$13="N")*('Dvd Calendar'!$AL$2140='Field Check'!$C$25)&gt;0,"",'Dvd Calendar'!$AL$2136)))</f>
        <v/>
      </c>
      <c r="CY158" s="85">
        <f>IF(AK158="","",IF(ISNUMBER('Dvd Calendar'!$AM$2136)=FALSE,"",IF((Summary!$C$13="N")*('Dvd Calendar'!$AM$2140='Field Check'!$C$25)&gt;0,"",'Dvd Calendar'!$AM$2136)))</f>
        <v/>
      </c>
      <c r="CZ158" s="85">
        <f>IF(AL158="","",IF(ISNUMBER('Dvd Calendar'!$AN$2136)=FALSE,"",IF((Summary!$C$13="N")*('Dvd Calendar'!$AN$2140='Field Check'!$C$25)&gt;0,"",'Dvd Calendar'!$AN$2136)))</f>
        <v/>
      </c>
      <c r="DA158" s="85">
        <f>IF(AM158="","",IF(ISNUMBER('Dvd Calendar'!$AO$2136)=FALSE,"",IF((Summary!$C$13="N")*('Dvd Calendar'!$AO$2140='Field Check'!$C$25)&gt;0,"",'Dvd Calendar'!$AO$2136)))</f>
        <v/>
      </c>
      <c r="DB158" s="85">
        <f>IF(AN158="","",IF(ISNUMBER('Dvd Calendar'!$AP$2136)=FALSE,"",IF((Summary!$C$13="N")*('Dvd Calendar'!$AP$2140='Field Check'!$C$25)&gt;0,"",'Dvd Calendar'!$AP$2136)))</f>
        <v/>
      </c>
      <c r="DC158" s="85">
        <f>IF(AO158="","",IF(ISNUMBER('Dvd Calendar'!$AQ$2136)=FALSE,"",IF((Summary!$C$13="N")*('Dvd Calendar'!$AQ$2140='Field Check'!$C$25)&gt;0,"",'Dvd Calendar'!$AQ$2136)))</f>
        <v/>
      </c>
      <c r="DD158" s="85">
        <f>IF(AP158="","",IF(ISNUMBER('Dvd Calendar'!$AR$2136)=FALSE,"",IF((Summary!$C$13="N")*('Dvd Calendar'!$AR$2140='Field Check'!$C$25)&gt;0,"",'Dvd Calendar'!$AR$2136)))</f>
        <v/>
      </c>
      <c r="DE158" s="85">
        <f>IF(AQ158="","",IF(ISNUMBER('Dvd Calendar'!$E$2143)=FALSE,"",IF((Summary!$C$13="N")*('Dvd Calendar'!$E$2147='Field Check'!$C$25)&gt;0,"",'Dvd Calendar'!$E$2143)))</f>
        <v/>
      </c>
      <c r="DF158" s="85">
        <f>IF(AR158="","",IF(ISNUMBER('Dvd Calendar'!$F$2143)=FALSE,"",IF((Summary!$C$13="N")*('Dvd Calendar'!$F$2147='Field Check'!$C$25)&gt;0,"",'Dvd Calendar'!$F$2143)))</f>
        <v/>
      </c>
      <c r="DG158" s="85">
        <f>IF(AS158="","",IF(ISNUMBER('Dvd Calendar'!$G$2143)=FALSE,"",IF((Summary!$C$13="N")*('Dvd Calendar'!$G$2147='Field Check'!$C$25)&gt;0,"",'Dvd Calendar'!$G$2143)))</f>
        <v/>
      </c>
      <c r="DH158" s="85">
        <f>IF(AT158="","",IF(ISNUMBER('Dvd Calendar'!$H$2143)=FALSE,"",IF((Summary!$C$13="N")*('Dvd Calendar'!$H$2147='Field Check'!$C$25)&gt;0,"",'Dvd Calendar'!$H$2143)))</f>
        <v/>
      </c>
      <c r="DI158" s="85">
        <f>IF(AU158="","",IF(ISNUMBER('Dvd Calendar'!$I$2143)=FALSE,"",IF((Summary!$C$13="N")*('Dvd Calendar'!$I$2147='Field Check'!$C$25)&gt;0,"",'Dvd Calendar'!$I$2143)))</f>
        <v/>
      </c>
      <c r="DJ158" s="85">
        <f>IF(AV158="","",IF(ISNUMBER('Dvd Calendar'!$J$2143)=FALSE,"",IF((Summary!$C$13="N")*('Dvd Calendar'!$J$2147='Field Check'!$C$25)&gt;0,"",'Dvd Calendar'!$J$2143)))</f>
        <v/>
      </c>
      <c r="DK158" s="85">
        <f>IF(AW158="","",IF(ISNUMBER('Dvd Calendar'!$K$2143)=FALSE,"",IF((Summary!$C$13="N")*('Dvd Calendar'!$K$2147='Field Check'!$C$25)&gt;0,"",'Dvd Calendar'!$K$2143)))</f>
        <v/>
      </c>
      <c r="DL158" s="85">
        <f>IF(AX158="","",IF(ISNUMBER('Dvd Calendar'!$L$2143)=FALSE,"",IF((Summary!$C$13="N")*('Dvd Calendar'!$L$2147='Field Check'!$C$25)&gt;0,"",'Dvd Calendar'!$L$2143)))</f>
        <v/>
      </c>
      <c r="DM158" s="85">
        <f>IF(AY158="","",IF(ISNUMBER('Dvd Calendar'!$M$2143)=FALSE,"",IF((Summary!$C$13="N")*('Dvd Calendar'!$M$2147='Field Check'!$C$25)&gt;0,"",'Dvd Calendar'!$M$2143)))</f>
        <v/>
      </c>
      <c r="DN158" s="85">
        <f>IF(AZ158="","",IF(ISNUMBER('Dvd Calendar'!$N$2143)=FALSE,"",IF((Summary!$C$13="N")*('Dvd Calendar'!$N$2147='Field Check'!$C$25)&gt;0,"",'Dvd Calendar'!$N$2143)))</f>
        <v/>
      </c>
      <c r="DO158" s="85">
        <f>IF(BA158="","",IF(ISNUMBER('Dvd Calendar'!$O$2143)=FALSE,"",IF((Summary!$C$13="N")*('Dvd Calendar'!$O$2147='Field Check'!$C$25)&gt;0,"",'Dvd Calendar'!$O$2143)))</f>
        <v/>
      </c>
      <c r="DP158" s="85">
        <f>IF(BB158="","",IF(ISNUMBER('Dvd Calendar'!$P$2143)=FALSE,"",IF((Summary!$C$13="N")*('Dvd Calendar'!$P$2147='Field Check'!$C$25)&gt;0,"",'Dvd Calendar'!$P$2143)))</f>
        <v/>
      </c>
      <c r="DQ158" s="85">
        <f>IF(BC158="","",IF(ISNUMBER('Dvd Calendar'!$Q$2143)=FALSE,"",IF((Summary!$C$13="N")*('Dvd Calendar'!$Q$2147='Field Check'!$C$25)&gt;0,"",'Dvd Calendar'!$Q$2143)))</f>
        <v/>
      </c>
      <c r="DR158" s="85">
        <f>IF(BD158="","",IF(ISNUMBER('Dvd Calendar'!$R$2143)=FALSE,"",IF((Summary!$C$13="N")*('Dvd Calendar'!$R$2147='Field Check'!$C$25)&gt;0,"",'Dvd Calendar'!$R$2143)))</f>
        <v/>
      </c>
      <c r="DS158" s="85">
        <f>IF(BE158="","",IF(ISNUMBER('Dvd Calendar'!$S$2143)=FALSE,"",IF((Summary!$C$13="N")*('Dvd Calendar'!$S$2147='Field Check'!$C$25)&gt;0,"",'Dvd Calendar'!$S$2143)))</f>
        <v/>
      </c>
      <c r="DT158" s="85">
        <f>IF(BF158="","",IF(ISNUMBER('Dvd Calendar'!$T$2143)=FALSE,"",IF((Summary!$C$13="N")*('Dvd Calendar'!$T$2147='Field Check'!$C$25)&gt;0,"",'Dvd Calendar'!$T$2143)))</f>
        <v/>
      </c>
      <c r="DU158" s="85">
        <f>IF(BG158="","",IF(ISNUMBER('Dvd Calendar'!$U$2143)=FALSE,"",IF((Summary!$C$13="N")*('Dvd Calendar'!$U$2147='Field Check'!$C$25)&gt;0,"",'Dvd Calendar'!$U$2143)))</f>
        <v/>
      </c>
      <c r="DV158" s="85">
        <f>IF(BH158="","",IF(ISNUMBER('Dvd Calendar'!$V$2143)=FALSE,"",IF((Summary!$C$13="N")*('Dvd Calendar'!$V$2147='Field Check'!$C$25)&gt;0,"",'Dvd Calendar'!$V$2143)))</f>
        <v/>
      </c>
      <c r="DW158" s="85">
        <f>IF(BI158="","",IF(ISNUMBER('Dvd Calendar'!$W$2143)=FALSE,"",IF((Summary!$C$13="N")*('Dvd Calendar'!$W$2147='Field Check'!$C$25)&gt;0,"",'Dvd Calendar'!$W$2143)))</f>
        <v/>
      </c>
      <c r="DX158" s="85">
        <f>IF(BJ158="","",IF(ISNUMBER('Dvd Calendar'!$X$2143)=FALSE,"",IF((Summary!$C$13="N")*('Dvd Calendar'!$X$2147='Field Check'!$C$25)&gt;0,"",'Dvd Calendar'!$X$2143)))</f>
        <v/>
      </c>
      <c r="DY158" s="85">
        <f>IF(BK158="","",IF(ISNUMBER('Dvd Calendar'!$Y$2143)=FALSE,"",IF((Summary!$C$13="N")*('Dvd Calendar'!$Y$2147='Field Check'!$C$25)&gt;0,"",'Dvd Calendar'!$Y$2143)))</f>
        <v/>
      </c>
      <c r="DZ158" s="85">
        <f>IF(BL158="","",IF(ISNUMBER('Dvd Calendar'!$Z$2143)=FALSE,"",IF((Summary!$C$13="N")*('Dvd Calendar'!$Z$2147='Field Check'!$C$25)&gt;0,"",'Dvd Calendar'!$Z$2143)))</f>
        <v/>
      </c>
      <c r="EA158" s="85">
        <f>IF(BM158="","",IF(ISNUMBER('Dvd Calendar'!$AA$2143)=FALSE,"",IF((Summary!$C$13="N")*('Dvd Calendar'!$AA$2147='Field Check'!$C$25)&gt;0,"",'Dvd Calendar'!$AA$2143)))</f>
        <v/>
      </c>
      <c r="EB158" s="85">
        <f>IF(BN158="","",IF(ISNUMBER('Dvd Calendar'!$AB$2143)=FALSE,"",IF((Summary!$C$13="N")*('Dvd Calendar'!$AB$2147='Field Check'!$C$25)&gt;0,"",'Dvd Calendar'!$AB$2143)))</f>
        <v/>
      </c>
      <c r="EC158" s="85">
        <f>IF(BO158="","",IF(ISNUMBER('Dvd Calendar'!$AC$2143)=FALSE,"",IF((Summary!$C$13="N")*('Dvd Calendar'!$AC$2147='Field Check'!$C$25)&gt;0,"",'Dvd Calendar'!$AC$2143)))</f>
        <v/>
      </c>
      <c r="EE158" s="85">
        <f>IF(BQ158="","",IFERROR(BQ158*HSCEI!$B$8*HSCEI!$G$8/HSCEI!$B$3,""))</f>
        <v/>
      </c>
      <c r="EF158" s="85">
        <f>IF(BR158="","",IFERROR(BR158*HSCEI!$B$8*HSCEI!$G$8/HSCEI!$B$3,""))</f>
        <v/>
      </c>
      <c r="EG158" s="85">
        <f>IF(BS158="","",IFERROR(BS158*HSCEI!$B$8*HSCEI!$G$8/HSCEI!$B$3,""))</f>
        <v/>
      </c>
      <c r="EH158" s="85">
        <f>IF(BT158="","",IFERROR(BT158*HSCEI!$B$8*HSCEI!$G$8/HSCEI!$B$3,""))</f>
        <v/>
      </c>
      <c r="EI158" s="85">
        <f>IF(BU158="","",IFERROR(BU158*HSCEI!$B$8*HSCEI!$G$8/HSCEI!$B$3,""))</f>
        <v/>
      </c>
      <c r="EJ158" s="85">
        <f>IF(BV158="","",IFERROR(BV158*HSCEI!$B$8*HSCEI!$G$8/HSCEI!$B$3,""))</f>
        <v/>
      </c>
      <c r="EK158" s="85">
        <f>IF(BW158="","",IFERROR(BW158*HSCEI!$B$8*HSCEI!$G$8/HSCEI!$B$3,""))</f>
        <v/>
      </c>
      <c r="EL158" s="85">
        <f>IF(BX158="","",IFERROR(BX158*HSCEI!$B$8*HSCEI!$G$8/HSCEI!$B$3,""))</f>
        <v/>
      </c>
      <c r="EM158" s="85">
        <f>IF(BY158="","",IFERROR(BY158*HSCEI!$B$8*HSCEI!$G$8/HSCEI!$B$3,""))</f>
        <v/>
      </c>
      <c r="EN158" s="85">
        <f>IF(BZ158="","",IFERROR(BZ158*HSCEI!$B$8*HSCEI!$G$8/HSCEI!$B$3,""))</f>
        <v/>
      </c>
      <c r="EO158" s="85">
        <f>IF(CA158="","",IFERROR(CA158*HSCEI!$B$8*HSCEI!$G$8/HSCEI!$B$3,""))</f>
        <v/>
      </c>
      <c r="EP158" s="85">
        <f>IF(CB158="","",IFERROR(CB158*HSCEI!$B$8*HSCEI!$G$8/HSCEI!$B$3,""))</f>
        <v/>
      </c>
      <c r="EQ158" s="85">
        <f>IF(CC158="","",IFERROR(CC158*HSCEI!$B$8*HSCEI!$G$8/HSCEI!$B$3,""))</f>
        <v/>
      </c>
      <c r="ER158" s="85">
        <f>IF(CD158="","",IFERROR(CD158*HSCEI!$B$8*HSCEI!$G$8/HSCEI!$B$3,""))</f>
        <v/>
      </c>
      <c r="ES158" s="85">
        <f>IF(CE158="","",IFERROR(CE158*HSCEI!$B$8*HSCEI!$G$8/HSCEI!$B$3,""))</f>
        <v/>
      </c>
      <c r="ET158" s="85">
        <f>IF(CF158="","",IFERROR(CF158*HSCEI!$B$8*HSCEI!$G$8/HSCEI!$B$3,""))</f>
        <v/>
      </c>
      <c r="EU158" s="85">
        <f>IF(CG158="","",IFERROR(CG158*HSCEI!$B$8*HSCEI!$G$8/HSCEI!$B$3,""))</f>
        <v/>
      </c>
      <c r="EV158" s="85">
        <f>IF(CH158="","",IFERROR(CH158*HSCEI!$B$8*HSCEI!$G$8/HSCEI!$B$3,""))</f>
        <v/>
      </c>
      <c r="EW158" s="85">
        <f>IF(CI158="","",IFERROR(CI158*HSCEI!$B$8*HSCEI!$G$8/HSCEI!$B$3,""))</f>
        <v/>
      </c>
      <c r="EX158" s="85">
        <f>IF(CJ158="","",IFERROR(CJ158*HSCEI!$B$8*HSCEI!$G$8/HSCEI!$B$3,""))</f>
        <v/>
      </c>
      <c r="EY158" s="85">
        <f>IF(CK158="","",IFERROR(CK158*HSCEI!$B$8*HSCEI!$G$8/HSCEI!$B$3,""))</f>
        <v/>
      </c>
      <c r="EZ158" s="85">
        <f>IF(CL158="","",IFERROR(CL158*HSCEI!$B$8*HSCEI!$G$8/HSCEI!$B$3,""))</f>
        <v/>
      </c>
      <c r="FA158" s="85">
        <f>IF(CM158="","",IFERROR(CM158*HSCEI!$B$8*HSCEI!$G$8/HSCEI!$B$3,""))</f>
        <v/>
      </c>
      <c r="FB158" s="85">
        <f>IF(CN158="","",IFERROR(CN158*HSCEI!$B$8*HSCEI!$G$8/HSCEI!$B$3,""))</f>
        <v/>
      </c>
      <c r="FC158" s="85">
        <f>IF(CO158="","",IFERROR(CO158*HSCEI!$B$8*HSCEI!$G$8/HSCEI!$B$3,""))</f>
        <v/>
      </c>
      <c r="FD158" s="85">
        <f>IF(CP158="","",IFERROR(CP158*HSCEI!$B$8*HSCEI!$G$8/HSCEI!$B$3,""))</f>
        <v/>
      </c>
      <c r="FE158" s="85">
        <f>IF(CQ158="","",IFERROR(CQ158*HSCEI!$B$8*HSCEI!$G$8/HSCEI!$B$3,""))</f>
        <v/>
      </c>
      <c r="FF158" s="85">
        <f>IF(CR158="","",IFERROR(CR158*HSCEI!$B$8*HSCEI!$G$8/HSCEI!$B$3,""))</f>
        <v/>
      </c>
      <c r="FG158" s="85">
        <f>IF(CS158="","",IFERROR(CS158*HSCEI!$B$8*HSCEI!$G$8/HSCEI!$B$3,""))</f>
        <v/>
      </c>
      <c r="FH158" s="85">
        <f>IF(CT158="","",IFERROR(CT158*HSCEI!$B$8*HSCEI!$G$8/HSCEI!$B$3,""))</f>
        <v/>
      </c>
      <c r="FI158" s="85">
        <f>IF(CU158="","",IFERROR(CU158*HSCEI!$B$8*HSCEI!$G$8/HSCEI!$B$3,""))</f>
        <v/>
      </c>
      <c r="FJ158" s="85">
        <f>IF(CV158="","",IFERROR(CV158*HSCEI!$B$8*HSCEI!$G$8/HSCEI!$B$3,""))</f>
        <v/>
      </c>
      <c r="FK158" s="85">
        <f>IF(CW158="","",IFERROR(CW158*HSCEI!$B$8*HSCEI!$G$8/HSCEI!$B$3,""))</f>
        <v/>
      </c>
      <c r="FL158" s="85">
        <f>IF(CX158="","",IFERROR(CX158*HSCEI!$B$8*HSCEI!$G$8/HSCEI!$B$3,""))</f>
        <v/>
      </c>
      <c r="FM158" s="85">
        <f>IF(CY158="","",IFERROR(CY158*HSCEI!$B$8*HSCEI!$G$8/HSCEI!$B$3,""))</f>
        <v/>
      </c>
      <c r="FN158" s="85">
        <f>IF(CZ158="","",IFERROR(CZ158*HSCEI!$B$8*HSCEI!$G$8/HSCEI!$B$3,""))</f>
        <v/>
      </c>
      <c r="FO158" s="85">
        <f>IF(DA158="","",IFERROR(DA158*HSCEI!$B$8*HSCEI!$G$8/HSCEI!$B$3,""))</f>
        <v/>
      </c>
      <c r="FP158" s="85">
        <f>IF(DB158="","",IFERROR(DB158*HSCEI!$B$8*HSCEI!$G$8/HSCEI!$B$3,""))</f>
        <v/>
      </c>
      <c r="FQ158" s="85">
        <f>IF(DC158="","",IFERROR(DC158*HSCEI!$B$8*HSCEI!$G$8/HSCEI!$B$3,""))</f>
        <v/>
      </c>
      <c r="FR158" s="85">
        <f>IF(DD158="","",IFERROR(DD158*HSCEI!$B$8*HSCEI!$G$8/HSCEI!$B$3,""))</f>
        <v/>
      </c>
      <c r="FS158" s="85">
        <f>IF(DE158="","",IFERROR(DE158*HSCEI!$B$8*HSCEI!$G$8/HSCEI!$B$3,""))</f>
        <v/>
      </c>
      <c r="FT158" s="85">
        <f>IF(DF158="","",IFERROR(DF158*HSCEI!$B$8*HSCEI!$G$8/HSCEI!$B$3,""))</f>
        <v/>
      </c>
      <c r="FU158" s="85">
        <f>IF(DG158="","",IFERROR(DG158*HSCEI!$B$8*HSCEI!$G$8/HSCEI!$B$3,""))</f>
        <v/>
      </c>
      <c r="FV158" s="85">
        <f>IF(DH158="","",IFERROR(DH158*HSCEI!$B$8*HSCEI!$G$8/HSCEI!$B$3,""))</f>
        <v/>
      </c>
      <c r="FW158" s="85">
        <f>IF(DI158="","",IFERROR(DI158*HSCEI!$B$8*HSCEI!$G$8/HSCEI!$B$3,""))</f>
        <v/>
      </c>
      <c r="FX158" s="85">
        <f>IF(DJ158="","",IFERROR(DJ158*HSCEI!$B$8*HSCEI!$G$8/HSCEI!$B$3,""))</f>
        <v/>
      </c>
      <c r="FY158" s="85">
        <f>IF(DK158="","",IFERROR(DK158*HSCEI!$B$8*HSCEI!$G$8/HSCEI!$B$3,""))</f>
        <v/>
      </c>
      <c r="FZ158" s="85">
        <f>IF(DL158="","",IFERROR(DL158*HSCEI!$B$8*HSCEI!$G$8/HSCEI!$B$3,""))</f>
        <v/>
      </c>
      <c r="GA158" s="85">
        <f>IF(DM158="","",IFERROR(DM158*HSCEI!$B$8*HSCEI!$G$8/HSCEI!$B$3,""))</f>
        <v/>
      </c>
      <c r="GB158" s="85">
        <f>IF(DN158="","",IFERROR(DN158*HSCEI!$B$8*HSCEI!$G$8/HSCEI!$B$3,""))</f>
        <v/>
      </c>
      <c r="GC158" s="85">
        <f>IF(DO158="","",IFERROR(DO158*HSCEI!$B$8*HSCEI!$G$8/HSCEI!$B$3,""))</f>
        <v/>
      </c>
      <c r="GD158" s="85">
        <f>IF(DP158="","",IFERROR(DP158*HSCEI!$B$8*HSCEI!$G$8/HSCEI!$B$3,""))</f>
        <v/>
      </c>
      <c r="GE158" s="85">
        <f>IF(DQ158="","",IFERROR(DQ158*HSCEI!$B$8*HSCEI!$G$8/HSCEI!$B$3,""))</f>
        <v/>
      </c>
      <c r="GF158" s="85">
        <f>IF(DR158="","",IFERROR(DR158*HSCEI!$B$8*HSCEI!$G$8/HSCEI!$B$3,""))</f>
        <v/>
      </c>
      <c r="GG158" s="85">
        <f>IF(DS158="","",IFERROR(DS158*HSCEI!$B$8*HSCEI!$G$8/HSCEI!$B$3,""))</f>
        <v/>
      </c>
      <c r="GH158" s="85">
        <f>IF(DT158="","",IFERROR(DT158*HSCEI!$B$8*HSCEI!$G$8/HSCEI!$B$3,""))</f>
        <v/>
      </c>
      <c r="GI158" s="85">
        <f>IF(DU158="","",IFERROR(DU158*HSCEI!$B$8*HSCEI!$G$8/HSCEI!$B$3,""))</f>
        <v/>
      </c>
      <c r="GJ158" s="85">
        <f>IF(DV158="","",IFERROR(DV158*HSCEI!$B$8*HSCEI!$G$8/HSCEI!$B$3,""))</f>
        <v/>
      </c>
      <c r="GK158" s="85">
        <f>IF(DW158="","",IFERROR(DW158*HSCEI!$B$8*HSCEI!$G$8/HSCEI!$B$3,""))</f>
        <v/>
      </c>
      <c r="GL158" s="85">
        <f>IF(DX158="","",IFERROR(DX158*HSCEI!$B$8*HSCEI!$G$8/HSCEI!$B$3,""))</f>
        <v/>
      </c>
      <c r="GM158" s="85">
        <f>IF(DY158="","",IFERROR(DY158*HSCEI!$B$8*HSCEI!$G$8/HSCEI!$B$3,""))</f>
        <v/>
      </c>
      <c r="GN158" s="85">
        <f>IF(DZ158="","",IFERROR(DZ158*HSCEI!$B$8*HSCEI!$G$8/HSCEI!$B$3,""))</f>
        <v/>
      </c>
      <c r="GO158" s="85">
        <f>IF(EA158="","",IFERROR(EA158*HSCEI!$B$8*HSCEI!$G$8/HSCEI!$B$3,""))</f>
        <v/>
      </c>
      <c r="GP158" s="85">
        <f>IF(EB158="","",IFERROR(EB158*HSCEI!$B$8*HSCEI!$G$8/HSCEI!$B$3,""))</f>
        <v/>
      </c>
      <c r="GQ158" s="85">
        <f>IF(EC158="","",IFERROR(EC158*HSCEI!$B$8*HSCEI!$G$8/HSCEI!$B$3,""))</f>
        <v/>
      </c>
    </row>
    <row r="159">
      <c r="B159" s="2">
        <f>IF(HSCEI!$C$9="","",HSCEI!$C$9)</f>
        <v/>
      </c>
      <c r="C159" s="41">
        <f>IF(N('Dvd Calendar'!$E$2150)=0,"",IF(('Dvd Calendar'!$E$2150&gt;=MIN(DATE(Summary!$C$12,1,1),Summary!$C$11))*('Dvd Calendar'!$E$2150&lt;=MAX(DATE(Summary!$C$12,12,31),Summary!$C$15))*('Dvd Calendar'!$E$2150&lt;=Summary!$C$11)=0,"",'Dvd Calendar'!$E$2150*1000000000+ISNUMBER('Dvd Calendar'!$E$2151)*100000000+('Dvd Calendar'!$E$2155='Field Check'!$C$25)*10000000+(N('Dvd Calendar'!$E$2149)&gt;0)*1000000+3*1000+1))</f>
        <v/>
      </c>
      <c r="D159" s="41">
        <f>IF(N('Dvd Calendar'!$F$2150)=0,"",IF(('Dvd Calendar'!$F$2150&gt;=MIN(DATE(Summary!$C$12,1,1),Summary!$C$11))*('Dvd Calendar'!$F$2150&lt;=MAX(DATE(Summary!$C$12,12,31),Summary!$C$15))*('Dvd Calendar'!$F$2150&lt;=Summary!$C$11)=0,"",'Dvd Calendar'!$F$2150*1000000000+ISNUMBER('Dvd Calendar'!$F$2151)*100000000+('Dvd Calendar'!$F$2155='Field Check'!$C$25)*10000000+(N('Dvd Calendar'!$F$2149)&gt;0)*1000000+3*1000+2))</f>
        <v/>
      </c>
      <c r="E159" s="41">
        <f>IF(N('Dvd Calendar'!$G$2150)=0,"",IF(('Dvd Calendar'!$G$2150&gt;=MIN(DATE(Summary!$C$12,1,1),Summary!$C$11))*('Dvd Calendar'!$G$2150&lt;=MAX(DATE(Summary!$C$12,12,31),Summary!$C$15))*('Dvd Calendar'!$G$2150&lt;=Summary!$C$11)=0,"",'Dvd Calendar'!$G$2150*1000000000+ISNUMBER('Dvd Calendar'!$G$2151)*100000000+('Dvd Calendar'!$G$2155='Field Check'!$C$25)*10000000+(N('Dvd Calendar'!$G$2149)&gt;0)*1000000+3*1000+3))</f>
        <v/>
      </c>
      <c r="F159" s="41">
        <f>IF(N('Dvd Calendar'!$H$2150)=0,"",IF(('Dvd Calendar'!$H$2150&gt;=MIN(DATE(Summary!$C$12,1,1),Summary!$C$11))*('Dvd Calendar'!$H$2150&lt;=MAX(DATE(Summary!$C$12,12,31),Summary!$C$15))*('Dvd Calendar'!$H$2150&lt;=Summary!$C$11)=0,"",'Dvd Calendar'!$H$2150*1000000000+ISNUMBER('Dvd Calendar'!$H$2151)*100000000+('Dvd Calendar'!$H$2155='Field Check'!$C$25)*10000000+(N('Dvd Calendar'!$H$2149)&gt;0)*1000000+3*1000+4))</f>
        <v/>
      </c>
      <c r="G159" s="41">
        <f>IF(N('Dvd Calendar'!$I$2150)=0,"",IF(('Dvd Calendar'!$I$2150&gt;=MIN(DATE(Summary!$C$12,1,1),Summary!$C$11))*('Dvd Calendar'!$I$2150&lt;=MAX(DATE(Summary!$C$12,12,31),Summary!$C$15))*('Dvd Calendar'!$I$2150&lt;=Summary!$C$11)=0,"",'Dvd Calendar'!$I$2150*1000000000+ISNUMBER('Dvd Calendar'!$I$2151)*100000000+('Dvd Calendar'!$I$2155='Field Check'!$C$25)*10000000+(N('Dvd Calendar'!$I$2149)&gt;0)*1000000+3*1000+5))</f>
        <v/>
      </c>
      <c r="H159" s="41">
        <f>IF(N('Dvd Calendar'!$J$2150)=0,"",IF(('Dvd Calendar'!$J$2150&gt;=MIN(DATE(Summary!$C$12,1,1),Summary!$C$11))*('Dvd Calendar'!$J$2150&lt;=MAX(DATE(Summary!$C$12,12,31),Summary!$C$15))*('Dvd Calendar'!$J$2150&lt;=Summary!$C$11)=0,"",'Dvd Calendar'!$J$2150*1000000000+ISNUMBER('Dvd Calendar'!$J$2151)*100000000+('Dvd Calendar'!$J$2155='Field Check'!$C$25)*10000000+(N('Dvd Calendar'!$J$2149)&gt;0)*1000000+3*1000+6))</f>
        <v/>
      </c>
      <c r="I159" s="41">
        <f>IF(N('Dvd Calendar'!$K$2150)=0,"",IF(('Dvd Calendar'!$K$2150&gt;=MIN(DATE(Summary!$C$12,1,1),Summary!$C$11))*('Dvd Calendar'!$K$2150&lt;=MAX(DATE(Summary!$C$12,12,31),Summary!$C$15))*('Dvd Calendar'!$K$2150&lt;=Summary!$C$11)=0,"",'Dvd Calendar'!$K$2150*1000000000+ISNUMBER('Dvd Calendar'!$K$2151)*100000000+('Dvd Calendar'!$K$2155='Field Check'!$C$25)*10000000+(N('Dvd Calendar'!$K$2149)&gt;0)*1000000+3*1000+7))</f>
        <v/>
      </c>
      <c r="J159" s="41">
        <f>IF(N('Dvd Calendar'!$L$2150)=0,"",IF(('Dvd Calendar'!$L$2150&gt;=MIN(DATE(Summary!$C$12,1,1),Summary!$C$11))*('Dvd Calendar'!$L$2150&lt;=MAX(DATE(Summary!$C$12,12,31),Summary!$C$15))*('Dvd Calendar'!$L$2150&lt;=Summary!$C$11)=0,"",'Dvd Calendar'!$L$2150*1000000000+ISNUMBER('Dvd Calendar'!$L$2151)*100000000+('Dvd Calendar'!$L$2155='Field Check'!$C$25)*10000000+(N('Dvd Calendar'!$L$2149)&gt;0)*1000000+3*1000+8))</f>
        <v/>
      </c>
      <c r="K159" s="41">
        <f>IF(N('Dvd Calendar'!$M$2150)=0,"",IF(('Dvd Calendar'!$M$2150&gt;=MIN(DATE(Summary!$C$12,1,1),Summary!$C$11))*('Dvd Calendar'!$M$2150&lt;=MAX(DATE(Summary!$C$12,12,31),Summary!$C$15))*('Dvd Calendar'!$M$2150&lt;=Summary!$C$11)=0,"",'Dvd Calendar'!$M$2150*1000000000+ISNUMBER('Dvd Calendar'!$M$2151)*100000000+('Dvd Calendar'!$M$2155='Field Check'!$C$25)*10000000+(N('Dvd Calendar'!$M$2149)&gt;0)*1000000+3*1000+9))</f>
        <v/>
      </c>
      <c r="L159" s="41">
        <f>IF(N('Dvd Calendar'!$N$2150)=0,"",IF(('Dvd Calendar'!$N$2150&gt;=MIN(DATE(Summary!$C$12,1,1),Summary!$C$11))*('Dvd Calendar'!$N$2150&lt;=MAX(DATE(Summary!$C$12,12,31),Summary!$C$15))*('Dvd Calendar'!$N$2150&lt;=Summary!$C$11)=0,"",'Dvd Calendar'!$N$2150*1000000000+ISNUMBER('Dvd Calendar'!$N$2151)*100000000+('Dvd Calendar'!$N$2155='Field Check'!$C$25)*10000000+(N('Dvd Calendar'!$N$2149)&gt;0)*1000000+3*1000+10))</f>
        <v/>
      </c>
      <c r="M159" s="41">
        <f>IF(N('Dvd Calendar'!$O$2150)=0,"",IF(('Dvd Calendar'!$O$2150&gt;=MIN(DATE(Summary!$C$12,1,1),Summary!$C$11))*('Dvd Calendar'!$O$2150&lt;=MAX(DATE(Summary!$C$12,12,31),Summary!$C$15))*('Dvd Calendar'!$O$2150&lt;=Summary!$C$11)=0,"",'Dvd Calendar'!$O$2150*1000000000+ISNUMBER('Dvd Calendar'!$O$2151)*100000000+('Dvd Calendar'!$O$2155='Field Check'!$C$25)*10000000+(N('Dvd Calendar'!$O$2149)&gt;0)*1000000+3*1000+11))</f>
        <v/>
      </c>
      <c r="N159" s="41">
        <f>IF(N('Dvd Calendar'!$P$2150)=0,"",IF(('Dvd Calendar'!$P$2150&gt;=MIN(DATE(Summary!$C$12,1,1),Summary!$C$11))*('Dvd Calendar'!$P$2150&lt;=MAX(DATE(Summary!$C$12,12,31),Summary!$C$15))*('Dvd Calendar'!$P$2150&lt;=Summary!$C$11)=0,"",'Dvd Calendar'!$P$2150*1000000000+ISNUMBER('Dvd Calendar'!$P$2151)*100000000+('Dvd Calendar'!$P$2155='Field Check'!$C$25)*10000000+(N('Dvd Calendar'!$P$2149)&gt;0)*1000000+3*1000+12))</f>
        <v/>
      </c>
      <c r="O159" s="41">
        <f>IF(N('Dvd Calendar'!$Q$2150)=0,"",IF(('Dvd Calendar'!$Q$2150&gt;=MIN(DATE(Summary!$C$12,1,1),Summary!$C$11))*('Dvd Calendar'!$Q$2150&lt;=MAX(DATE(Summary!$C$12,12,31),Summary!$C$15))*('Dvd Calendar'!$Q$2150&lt;=Summary!$C$11)=0,"",'Dvd Calendar'!$Q$2150*1000000000+ISNUMBER('Dvd Calendar'!$Q$2151)*100000000+('Dvd Calendar'!$Q$2155='Field Check'!$C$25)*10000000+(N('Dvd Calendar'!$Q$2149)&gt;0)*1000000+3*1000+13))</f>
        <v/>
      </c>
      <c r="P159" s="41">
        <f>IF(N('Dvd Calendar'!$R$2150)=0,"",IF(('Dvd Calendar'!$R$2150&gt;=MIN(DATE(Summary!$C$12,1,1),Summary!$C$11))*('Dvd Calendar'!$R$2150&lt;=MAX(DATE(Summary!$C$12,12,31),Summary!$C$15))*('Dvd Calendar'!$R$2150&lt;=Summary!$C$11)=0,"",'Dvd Calendar'!$R$2150*1000000000+ISNUMBER('Dvd Calendar'!$R$2151)*100000000+('Dvd Calendar'!$R$2155='Field Check'!$C$25)*10000000+(N('Dvd Calendar'!$R$2149)&gt;0)*1000000+3*1000+14))</f>
        <v/>
      </c>
      <c r="Q159" s="41">
        <f>IF(N('Dvd Calendar'!$S$2150)=0,"",IF(('Dvd Calendar'!$S$2150&gt;=MIN(DATE(Summary!$C$12,1,1),Summary!$C$11))*('Dvd Calendar'!$S$2150&lt;=MAX(DATE(Summary!$C$12,12,31),Summary!$C$15))*('Dvd Calendar'!$S$2150&lt;=Summary!$C$11)=0,"",'Dvd Calendar'!$S$2150*1000000000+ISNUMBER('Dvd Calendar'!$S$2151)*100000000+('Dvd Calendar'!$S$2155='Field Check'!$C$25)*10000000+(N('Dvd Calendar'!$S$2149)&gt;0)*1000000+3*1000+15))</f>
        <v/>
      </c>
      <c r="R159" s="41">
        <f>IF(N('Dvd Calendar'!$T$2150)=0,"",IF(('Dvd Calendar'!$T$2150&gt;=MIN(DATE(Summary!$C$12,1,1),Summary!$C$11))*('Dvd Calendar'!$T$2150&lt;=MAX(DATE(Summary!$C$12,12,31),Summary!$C$15))*('Dvd Calendar'!$T$2150&lt;=Summary!$C$11)=0,"",'Dvd Calendar'!$T$2150*1000000000+ISNUMBER('Dvd Calendar'!$T$2151)*100000000+('Dvd Calendar'!$T$2155='Field Check'!$C$25)*10000000+(N('Dvd Calendar'!$T$2149)&gt;0)*1000000+3*1000+16))</f>
        <v/>
      </c>
      <c r="S159" s="41">
        <f>IF(N('Dvd Calendar'!$U$2150)=0,"",IF(('Dvd Calendar'!$U$2150&gt;=MIN(DATE(Summary!$C$12,1,1),Summary!$C$11))*('Dvd Calendar'!$U$2150&lt;=MAX(DATE(Summary!$C$12,12,31),Summary!$C$15))*('Dvd Calendar'!$U$2150&lt;=Summary!$C$11)=0,"",'Dvd Calendar'!$U$2150*1000000000+ISNUMBER('Dvd Calendar'!$U$2151)*100000000+('Dvd Calendar'!$U$2155='Field Check'!$C$25)*10000000+(N('Dvd Calendar'!$U$2149)&gt;0)*1000000+3*1000+17))</f>
        <v/>
      </c>
      <c r="T159" s="41">
        <f>IF(N('Dvd Calendar'!$V$2150)=0,"",IF(('Dvd Calendar'!$V$2150&gt;=MIN(DATE(Summary!$C$12,1,1),Summary!$C$11))*('Dvd Calendar'!$V$2150&lt;=MAX(DATE(Summary!$C$12,12,31),Summary!$C$15))*('Dvd Calendar'!$V$2150&lt;=Summary!$C$11)=0,"",'Dvd Calendar'!$V$2150*1000000000+ISNUMBER('Dvd Calendar'!$V$2151)*100000000+('Dvd Calendar'!$V$2155='Field Check'!$C$25)*10000000+(N('Dvd Calendar'!$V$2149)&gt;0)*1000000+3*1000+18))</f>
        <v/>
      </c>
      <c r="U159" s="41">
        <f>IF(N('Dvd Calendar'!$W$2150)=0,"",IF(('Dvd Calendar'!$W$2150&gt;=MIN(DATE(Summary!$C$12,1,1),Summary!$C$11))*('Dvd Calendar'!$W$2150&lt;=MAX(DATE(Summary!$C$12,12,31),Summary!$C$15))*('Dvd Calendar'!$W$2150&lt;=Summary!$C$11)=0,"",'Dvd Calendar'!$W$2150*1000000000+ISNUMBER('Dvd Calendar'!$W$2151)*100000000+('Dvd Calendar'!$W$2155='Field Check'!$C$25)*10000000+(N('Dvd Calendar'!$W$2149)&gt;0)*1000000+3*1000+19))</f>
        <v/>
      </c>
      <c r="V159" s="41">
        <f>IF(N('Dvd Calendar'!$X$2150)=0,"",IF(('Dvd Calendar'!$X$2150&gt;=MIN(DATE(Summary!$C$12,1,1),Summary!$C$11))*('Dvd Calendar'!$X$2150&lt;=MAX(DATE(Summary!$C$12,12,31),Summary!$C$15))*('Dvd Calendar'!$X$2150&lt;=Summary!$C$11)=0,"",'Dvd Calendar'!$X$2150*1000000000+ISNUMBER('Dvd Calendar'!$X$2151)*100000000+('Dvd Calendar'!$X$2155='Field Check'!$C$25)*10000000+(N('Dvd Calendar'!$X$2149)&gt;0)*1000000+3*1000+20))</f>
        <v/>
      </c>
      <c r="W159" s="41">
        <f>IF(N('Dvd Calendar'!$Y$2150)=0,"",IF(('Dvd Calendar'!$Y$2150&gt;=MIN(DATE(Summary!$C$12,1,1),Summary!$C$11))*('Dvd Calendar'!$Y$2150&lt;=MAX(DATE(Summary!$C$12,12,31),Summary!$C$15))*('Dvd Calendar'!$Y$2150&lt;=Summary!$C$11)=0,"",'Dvd Calendar'!$Y$2150*1000000000+ISNUMBER('Dvd Calendar'!$Y$2151)*100000000+('Dvd Calendar'!$Y$2155='Field Check'!$C$25)*10000000+(N('Dvd Calendar'!$Y$2149)&gt;0)*1000000+3*1000+21))</f>
        <v/>
      </c>
      <c r="X159" s="41">
        <f>IF(N('Dvd Calendar'!$Z$2150)=0,"",IF(('Dvd Calendar'!$Z$2150&gt;=MIN(DATE(Summary!$C$12,1,1),Summary!$C$11))*('Dvd Calendar'!$Z$2150&lt;=MAX(DATE(Summary!$C$12,12,31),Summary!$C$15))*('Dvd Calendar'!$Z$2150&lt;=Summary!$C$11)=0,"",'Dvd Calendar'!$Z$2150*1000000000+ISNUMBER('Dvd Calendar'!$Z$2151)*100000000+('Dvd Calendar'!$Z$2155='Field Check'!$C$25)*10000000+(N('Dvd Calendar'!$Z$2149)&gt;0)*1000000+3*1000+22))</f>
        <v/>
      </c>
      <c r="Y159" s="41">
        <f>IF(N('Dvd Calendar'!$AA$2150)=0,"",IF(('Dvd Calendar'!$AA$2150&gt;=MIN(DATE(Summary!$C$12,1,1),Summary!$C$11))*('Dvd Calendar'!$AA$2150&lt;=MAX(DATE(Summary!$C$12,12,31),Summary!$C$15))*('Dvd Calendar'!$AA$2150&lt;=Summary!$C$11)=0,"",'Dvd Calendar'!$AA$2150*1000000000+ISNUMBER('Dvd Calendar'!$AA$2151)*100000000+('Dvd Calendar'!$AA$2155='Field Check'!$C$25)*10000000+(N('Dvd Calendar'!$AA$2149)&gt;0)*1000000+3*1000+23))</f>
        <v/>
      </c>
      <c r="Z159" s="41">
        <f>IF(N('Dvd Calendar'!$AB$2150)=0,"",IF(('Dvd Calendar'!$AB$2150&gt;=MIN(DATE(Summary!$C$12,1,1),Summary!$C$11))*('Dvd Calendar'!$AB$2150&lt;=MAX(DATE(Summary!$C$12,12,31),Summary!$C$15))*('Dvd Calendar'!$AB$2150&lt;=Summary!$C$11)=0,"",'Dvd Calendar'!$AB$2150*1000000000+ISNUMBER('Dvd Calendar'!$AB$2151)*100000000+('Dvd Calendar'!$AB$2155='Field Check'!$C$25)*10000000+(N('Dvd Calendar'!$AB$2149)&gt;0)*1000000+3*1000+24))</f>
        <v/>
      </c>
      <c r="AA159" s="41">
        <f>IF(N('Dvd Calendar'!$AC$2150)=0,"",IF(('Dvd Calendar'!$AC$2150&gt;=MIN(DATE(Summary!$C$12,1,1),Summary!$C$11))*('Dvd Calendar'!$AC$2150&lt;=MAX(DATE(Summary!$C$12,12,31),Summary!$C$15))*('Dvd Calendar'!$AC$2150&lt;=Summary!$C$11)=0,"",'Dvd Calendar'!$AC$2150*1000000000+ISNUMBER('Dvd Calendar'!$AC$2151)*100000000+('Dvd Calendar'!$AC$2155='Field Check'!$C$25)*10000000+(N('Dvd Calendar'!$AC$2149)&gt;0)*1000000+3*1000+25))</f>
        <v/>
      </c>
      <c r="AB159" s="41">
        <f>IF(N('Dvd Calendar'!$AD$2150)=0,"",IF(('Dvd Calendar'!$AD$2150&gt;=MIN(DATE(Summary!$C$12,1,1),Summary!$C$11))*('Dvd Calendar'!$AD$2150&lt;=MAX(DATE(Summary!$C$12,12,31),Summary!$C$15))*('Dvd Calendar'!$AD$2150&lt;=Summary!$C$11)=0,"",'Dvd Calendar'!$AD$2150*1000000000+ISNUMBER('Dvd Calendar'!$AD$2151)*100000000+('Dvd Calendar'!$AD$2155='Field Check'!$C$25)*10000000+(N('Dvd Calendar'!$AD$2149)&gt;0)*1000000+3*1000+26))</f>
        <v/>
      </c>
      <c r="AC159" s="41">
        <f>IF(N('Dvd Calendar'!$AE$2150)=0,"",IF(('Dvd Calendar'!$AE$2150&gt;=MIN(DATE(Summary!$C$12,1,1),Summary!$C$11))*('Dvd Calendar'!$AE$2150&lt;=MAX(DATE(Summary!$C$12,12,31),Summary!$C$15))*('Dvd Calendar'!$AE$2150&lt;=Summary!$C$11)=0,"",'Dvd Calendar'!$AE$2150*1000000000+ISNUMBER('Dvd Calendar'!$AE$2151)*100000000+('Dvd Calendar'!$AE$2155='Field Check'!$C$25)*10000000+(N('Dvd Calendar'!$AE$2149)&gt;0)*1000000+3*1000+27))</f>
        <v/>
      </c>
      <c r="AD159" s="41">
        <f>IF(N('Dvd Calendar'!$AF$2150)=0,"",IF(('Dvd Calendar'!$AF$2150&gt;=MIN(DATE(Summary!$C$12,1,1),Summary!$C$11))*('Dvd Calendar'!$AF$2150&lt;=MAX(DATE(Summary!$C$12,12,31),Summary!$C$15))*('Dvd Calendar'!$AF$2150&lt;=Summary!$C$11)=0,"",'Dvd Calendar'!$AF$2150*1000000000+ISNUMBER('Dvd Calendar'!$AF$2151)*100000000+('Dvd Calendar'!$AF$2155='Field Check'!$C$25)*10000000+(N('Dvd Calendar'!$AF$2149)&gt;0)*1000000+3*1000+28))</f>
        <v/>
      </c>
      <c r="AE159" s="41">
        <f>IF(N('Dvd Calendar'!$AG$2150)=0,"",IF(('Dvd Calendar'!$AG$2150&gt;=MIN(DATE(Summary!$C$12,1,1),Summary!$C$11))*('Dvd Calendar'!$AG$2150&lt;=MAX(DATE(Summary!$C$12,12,31),Summary!$C$15))*('Dvd Calendar'!$AG$2150&lt;=Summary!$C$11)=0,"",'Dvd Calendar'!$AG$2150*1000000000+ISNUMBER('Dvd Calendar'!$AG$2151)*100000000+('Dvd Calendar'!$AG$2155='Field Check'!$C$25)*10000000+(N('Dvd Calendar'!$AG$2149)&gt;0)*1000000+3*1000+29))</f>
        <v/>
      </c>
      <c r="AF159" s="41">
        <f>IF(N('Dvd Calendar'!$AH$2150)=0,"",IF(('Dvd Calendar'!$AH$2150&gt;=MIN(DATE(Summary!$C$12,1,1),Summary!$C$11))*('Dvd Calendar'!$AH$2150&lt;=MAX(DATE(Summary!$C$12,12,31),Summary!$C$15))*('Dvd Calendar'!$AH$2150&lt;=Summary!$C$11)=0,"",'Dvd Calendar'!$AH$2150*1000000000+ISNUMBER('Dvd Calendar'!$AH$2151)*100000000+('Dvd Calendar'!$AH$2155='Field Check'!$C$25)*10000000+(N('Dvd Calendar'!$AH$2149)&gt;0)*1000000+3*1000+30))</f>
        <v/>
      </c>
      <c r="AG159" s="41">
        <f>IF(N('Dvd Calendar'!$AI$2150)=0,"",IF(('Dvd Calendar'!$AI$2150&gt;=MIN(DATE(Summary!$C$12,1,1),Summary!$C$11))*('Dvd Calendar'!$AI$2150&lt;=MAX(DATE(Summary!$C$12,12,31),Summary!$C$15))*('Dvd Calendar'!$AI$2150&lt;=Summary!$C$11)=0,"",'Dvd Calendar'!$AI$2150*1000000000+ISNUMBER('Dvd Calendar'!$AI$2151)*100000000+('Dvd Calendar'!$AI$2155='Field Check'!$C$25)*10000000+(N('Dvd Calendar'!$AI$2149)&gt;0)*1000000+3*1000+31))</f>
        <v/>
      </c>
      <c r="AH159" s="41">
        <f>IF(N('Dvd Calendar'!$AJ$2150)=0,"",IF(('Dvd Calendar'!$AJ$2150&gt;=MIN(DATE(Summary!$C$12,1,1),Summary!$C$11))*('Dvd Calendar'!$AJ$2150&lt;=MAX(DATE(Summary!$C$12,12,31),Summary!$C$15))*('Dvd Calendar'!$AJ$2150&lt;=Summary!$C$11)=0,"",'Dvd Calendar'!$AJ$2150*1000000000+ISNUMBER('Dvd Calendar'!$AJ$2151)*100000000+('Dvd Calendar'!$AJ$2155='Field Check'!$C$25)*10000000+(N('Dvd Calendar'!$AJ$2149)&gt;0)*1000000+3*1000+32))</f>
        <v/>
      </c>
      <c r="AI159" s="41">
        <f>IF(N('Dvd Calendar'!$AK$2150)=0,"",IF(('Dvd Calendar'!$AK$2150&gt;=MIN(DATE(Summary!$C$12,1,1),Summary!$C$11))*('Dvd Calendar'!$AK$2150&lt;=MAX(DATE(Summary!$C$12,12,31),Summary!$C$15))*('Dvd Calendar'!$AK$2150&lt;=Summary!$C$11)=0,"",'Dvd Calendar'!$AK$2150*1000000000+ISNUMBER('Dvd Calendar'!$AK$2151)*100000000+('Dvd Calendar'!$AK$2155='Field Check'!$C$25)*10000000+(N('Dvd Calendar'!$AK$2149)&gt;0)*1000000+3*1000+33))</f>
        <v/>
      </c>
      <c r="AJ159" s="41">
        <f>IF(N('Dvd Calendar'!$AL$2150)=0,"",IF(('Dvd Calendar'!$AL$2150&gt;=MIN(DATE(Summary!$C$12,1,1),Summary!$C$11))*('Dvd Calendar'!$AL$2150&lt;=MAX(DATE(Summary!$C$12,12,31),Summary!$C$15))*('Dvd Calendar'!$AL$2150&lt;=Summary!$C$11)=0,"",'Dvd Calendar'!$AL$2150*1000000000+ISNUMBER('Dvd Calendar'!$AL$2151)*100000000+('Dvd Calendar'!$AL$2155='Field Check'!$C$25)*10000000+(N('Dvd Calendar'!$AL$2149)&gt;0)*1000000+3*1000+34))</f>
        <v/>
      </c>
      <c r="AK159" s="41">
        <f>IF(N('Dvd Calendar'!$AM$2150)=0,"",IF(('Dvd Calendar'!$AM$2150&gt;=MIN(DATE(Summary!$C$12,1,1),Summary!$C$11))*('Dvd Calendar'!$AM$2150&lt;=MAX(DATE(Summary!$C$12,12,31),Summary!$C$15))*('Dvd Calendar'!$AM$2150&lt;=Summary!$C$11)=0,"",'Dvd Calendar'!$AM$2150*1000000000+ISNUMBER('Dvd Calendar'!$AM$2151)*100000000+('Dvd Calendar'!$AM$2155='Field Check'!$C$25)*10000000+(N('Dvd Calendar'!$AM$2149)&gt;0)*1000000+3*1000+35))</f>
        <v/>
      </c>
      <c r="AL159" s="41">
        <f>IF(N('Dvd Calendar'!$AN$2150)=0,"",IF(('Dvd Calendar'!$AN$2150&gt;=MIN(DATE(Summary!$C$12,1,1),Summary!$C$11))*('Dvd Calendar'!$AN$2150&lt;=MAX(DATE(Summary!$C$12,12,31),Summary!$C$15))*('Dvd Calendar'!$AN$2150&lt;=Summary!$C$11)=0,"",'Dvd Calendar'!$AN$2150*1000000000+ISNUMBER('Dvd Calendar'!$AN$2151)*100000000+('Dvd Calendar'!$AN$2155='Field Check'!$C$25)*10000000+(N('Dvd Calendar'!$AN$2149)&gt;0)*1000000+3*1000+36))</f>
        <v/>
      </c>
      <c r="AM159" s="41">
        <f>IF(N('Dvd Calendar'!$AO$2150)=0,"",IF(('Dvd Calendar'!$AO$2150&gt;=MIN(DATE(Summary!$C$12,1,1),Summary!$C$11))*('Dvd Calendar'!$AO$2150&lt;=MAX(DATE(Summary!$C$12,12,31),Summary!$C$15))*('Dvd Calendar'!$AO$2150&lt;=Summary!$C$11)=0,"",'Dvd Calendar'!$AO$2150*1000000000+ISNUMBER('Dvd Calendar'!$AO$2151)*100000000+('Dvd Calendar'!$AO$2155='Field Check'!$C$25)*10000000+(N('Dvd Calendar'!$AO$2149)&gt;0)*1000000+3*1000+37))</f>
        <v/>
      </c>
      <c r="AN159" s="41">
        <f>IF(N('Dvd Calendar'!$AP$2150)=0,"",IF(('Dvd Calendar'!$AP$2150&gt;=MIN(DATE(Summary!$C$12,1,1),Summary!$C$11))*('Dvd Calendar'!$AP$2150&lt;=MAX(DATE(Summary!$C$12,12,31),Summary!$C$15))*('Dvd Calendar'!$AP$2150&lt;=Summary!$C$11)=0,"",'Dvd Calendar'!$AP$2150*1000000000+ISNUMBER('Dvd Calendar'!$AP$2151)*100000000+('Dvd Calendar'!$AP$2155='Field Check'!$C$25)*10000000+(N('Dvd Calendar'!$AP$2149)&gt;0)*1000000+3*1000+38))</f>
        <v/>
      </c>
      <c r="AO159" s="41">
        <f>IF(N('Dvd Calendar'!$AQ$2150)=0,"",IF(('Dvd Calendar'!$AQ$2150&gt;=MIN(DATE(Summary!$C$12,1,1),Summary!$C$11))*('Dvd Calendar'!$AQ$2150&lt;=MAX(DATE(Summary!$C$12,12,31),Summary!$C$15))*('Dvd Calendar'!$AQ$2150&lt;=Summary!$C$11)=0,"",'Dvd Calendar'!$AQ$2150*1000000000+ISNUMBER('Dvd Calendar'!$AQ$2151)*100000000+('Dvd Calendar'!$AQ$2155='Field Check'!$C$25)*10000000+(N('Dvd Calendar'!$AQ$2149)&gt;0)*1000000+3*1000+39))</f>
        <v/>
      </c>
      <c r="AP159" s="41">
        <f>IF(N('Dvd Calendar'!$AR$2150)=0,"",IF(('Dvd Calendar'!$AR$2150&gt;=MIN(DATE(Summary!$C$12,1,1),Summary!$C$11))*('Dvd Calendar'!$AR$2150&lt;=MAX(DATE(Summary!$C$12,12,31),Summary!$C$15))*('Dvd Calendar'!$AR$2150&lt;=Summary!$C$11)=0,"",'Dvd Calendar'!$AR$2150*1000000000+ISNUMBER('Dvd Calendar'!$AR$2151)*100000000+('Dvd Calendar'!$AR$2155='Field Check'!$C$25)*10000000+(N('Dvd Calendar'!$AR$2149)&gt;0)*1000000+3*1000+40))</f>
        <v/>
      </c>
      <c r="AQ159" s="41">
        <f>IF(N('Dvd Calendar'!$E$2157)=0,"",IF(('Dvd Calendar'!$E$2157&gt;=MIN(DATE(Summary!$C$12,1,1),Summary!$C$11))*('Dvd Calendar'!$E$2157&lt;=MAX(DATE(Summary!$C$12,12,31),Summary!$C$15))*('Dvd Calendar'!$E$2157&gt;Summary!$C$11)=0,"",'Dvd Calendar'!$E$2157*1000000000+ISNUMBER('Dvd Calendar'!$E$2158)*100000000+('Dvd Calendar'!$E$2162='Field Check'!$C$25)*10000000+(N('Dvd Calendar'!$E$2156)&gt;0)*1000000+3*1000+41))</f>
        <v/>
      </c>
      <c r="AR159" s="41">
        <f>IF(N('Dvd Calendar'!$F$2157)=0,"",IF(('Dvd Calendar'!$F$2157&gt;=MIN(DATE(Summary!$C$12,1,1),Summary!$C$11))*('Dvd Calendar'!$F$2157&lt;=MAX(DATE(Summary!$C$12,12,31),Summary!$C$15))*('Dvd Calendar'!$F$2157&gt;Summary!$C$11)=0,"",'Dvd Calendar'!$F$2157*1000000000+ISNUMBER('Dvd Calendar'!$F$2158)*100000000+('Dvd Calendar'!$F$2162='Field Check'!$C$25)*10000000+(N('Dvd Calendar'!$F$2156)&gt;0)*1000000+3*1000+42))</f>
        <v/>
      </c>
      <c r="AS159" s="41">
        <f>IF(N('Dvd Calendar'!$G$2157)=0,"",IF(('Dvd Calendar'!$G$2157&gt;=MIN(DATE(Summary!$C$12,1,1),Summary!$C$11))*('Dvd Calendar'!$G$2157&lt;=MAX(DATE(Summary!$C$12,12,31),Summary!$C$15))*('Dvd Calendar'!$G$2157&gt;Summary!$C$11)=0,"",'Dvd Calendar'!$G$2157*1000000000+ISNUMBER('Dvd Calendar'!$G$2158)*100000000+('Dvd Calendar'!$G$2162='Field Check'!$C$25)*10000000+(N('Dvd Calendar'!$G$2156)&gt;0)*1000000+3*1000+43))</f>
        <v/>
      </c>
      <c r="AT159" s="41">
        <f>IF(N('Dvd Calendar'!$H$2157)=0,"",IF(('Dvd Calendar'!$H$2157&gt;=MIN(DATE(Summary!$C$12,1,1),Summary!$C$11))*('Dvd Calendar'!$H$2157&lt;=MAX(DATE(Summary!$C$12,12,31),Summary!$C$15))*('Dvd Calendar'!$H$2157&gt;Summary!$C$11)=0,"",'Dvd Calendar'!$H$2157*1000000000+ISNUMBER('Dvd Calendar'!$H$2158)*100000000+('Dvd Calendar'!$H$2162='Field Check'!$C$25)*10000000+(N('Dvd Calendar'!$H$2156)&gt;0)*1000000+3*1000+44))</f>
        <v/>
      </c>
      <c r="AU159" s="41">
        <f>IF(N('Dvd Calendar'!$I$2157)=0,"",IF(('Dvd Calendar'!$I$2157&gt;=MIN(DATE(Summary!$C$12,1,1),Summary!$C$11))*('Dvd Calendar'!$I$2157&lt;=MAX(DATE(Summary!$C$12,12,31),Summary!$C$15))*('Dvd Calendar'!$I$2157&gt;Summary!$C$11)=0,"",'Dvd Calendar'!$I$2157*1000000000+ISNUMBER('Dvd Calendar'!$I$2158)*100000000+('Dvd Calendar'!$I$2162='Field Check'!$C$25)*10000000+(N('Dvd Calendar'!$I$2156)&gt;0)*1000000+3*1000+45))</f>
        <v/>
      </c>
      <c r="AV159" s="41">
        <f>IF(N('Dvd Calendar'!$J$2157)=0,"",IF(('Dvd Calendar'!$J$2157&gt;=MIN(DATE(Summary!$C$12,1,1),Summary!$C$11))*('Dvd Calendar'!$J$2157&lt;=MAX(DATE(Summary!$C$12,12,31),Summary!$C$15))*('Dvd Calendar'!$J$2157&gt;Summary!$C$11)=0,"",'Dvd Calendar'!$J$2157*1000000000+ISNUMBER('Dvd Calendar'!$J$2158)*100000000+('Dvd Calendar'!$J$2162='Field Check'!$C$25)*10000000+(N('Dvd Calendar'!$J$2156)&gt;0)*1000000+3*1000+46))</f>
        <v/>
      </c>
      <c r="AW159" s="41">
        <f>IF(N('Dvd Calendar'!$K$2157)=0,"",IF(('Dvd Calendar'!$K$2157&gt;=MIN(DATE(Summary!$C$12,1,1),Summary!$C$11))*('Dvd Calendar'!$K$2157&lt;=MAX(DATE(Summary!$C$12,12,31),Summary!$C$15))*('Dvd Calendar'!$K$2157&gt;Summary!$C$11)=0,"",'Dvd Calendar'!$K$2157*1000000000+ISNUMBER('Dvd Calendar'!$K$2158)*100000000+('Dvd Calendar'!$K$2162='Field Check'!$C$25)*10000000+(N('Dvd Calendar'!$K$2156)&gt;0)*1000000+3*1000+47))</f>
        <v/>
      </c>
      <c r="AX159" s="41">
        <f>IF(N('Dvd Calendar'!$L$2157)=0,"",IF(('Dvd Calendar'!$L$2157&gt;=MIN(DATE(Summary!$C$12,1,1),Summary!$C$11))*('Dvd Calendar'!$L$2157&lt;=MAX(DATE(Summary!$C$12,12,31),Summary!$C$15))*('Dvd Calendar'!$L$2157&gt;Summary!$C$11)=0,"",'Dvd Calendar'!$L$2157*1000000000+ISNUMBER('Dvd Calendar'!$L$2158)*100000000+('Dvd Calendar'!$L$2162='Field Check'!$C$25)*10000000+(N('Dvd Calendar'!$L$2156)&gt;0)*1000000+3*1000+48))</f>
        <v/>
      </c>
      <c r="AY159" s="41">
        <f>IF(N('Dvd Calendar'!$M$2157)=0,"",IF(('Dvd Calendar'!$M$2157&gt;=MIN(DATE(Summary!$C$12,1,1),Summary!$C$11))*('Dvd Calendar'!$M$2157&lt;=MAX(DATE(Summary!$C$12,12,31),Summary!$C$15))*('Dvd Calendar'!$M$2157&gt;Summary!$C$11)=0,"",'Dvd Calendar'!$M$2157*1000000000+ISNUMBER('Dvd Calendar'!$M$2158)*100000000+('Dvd Calendar'!$M$2162='Field Check'!$C$25)*10000000+(N('Dvd Calendar'!$M$2156)&gt;0)*1000000+3*1000+49))</f>
        <v/>
      </c>
      <c r="AZ159" s="41">
        <f>IF(N('Dvd Calendar'!$N$2157)=0,"",IF(('Dvd Calendar'!$N$2157&gt;=MIN(DATE(Summary!$C$12,1,1),Summary!$C$11))*('Dvd Calendar'!$N$2157&lt;=MAX(DATE(Summary!$C$12,12,31),Summary!$C$15))*('Dvd Calendar'!$N$2157&gt;Summary!$C$11)=0,"",'Dvd Calendar'!$N$2157*1000000000+ISNUMBER('Dvd Calendar'!$N$2158)*100000000+('Dvd Calendar'!$N$2162='Field Check'!$C$25)*10000000+(N('Dvd Calendar'!$N$2156)&gt;0)*1000000+3*1000+50))</f>
        <v/>
      </c>
      <c r="BA159" s="41">
        <f>IF(N('Dvd Calendar'!$O$2157)=0,"",IF(('Dvd Calendar'!$O$2157&gt;=MIN(DATE(Summary!$C$12,1,1),Summary!$C$11))*('Dvd Calendar'!$O$2157&lt;=MAX(DATE(Summary!$C$12,12,31),Summary!$C$15))*('Dvd Calendar'!$O$2157&gt;Summary!$C$11)=0,"",'Dvd Calendar'!$O$2157*1000000000+ISNUMBER('Dvd Calendar'!$O$2158)*100000000+('Dvd Calendar'!$O$2162='Field Check'!$C$25)*10000000+(N('Dvd Calendar'!$O$2156)&gt;0)*1000000+3*1000+51))</f>
        <v/>
      </c>
      <c r="BB159" s="41">
        <f>IF(N('Dvd Calendar'!$P$2157)=0,"",IF(('Dvd Calendar'!$P$2157&gt;=MIN(DATE(Summary!$C$12,1,1),Summary!$C$11))*('Dvd Calendar'!$P$2157&lt;=MAX(DATE(Summary!$C$12,12,31),Summary!$C$15))*('Dvd Calendar'!$P$2157&gt;Summary!$C$11)=0,"",'Dvd Calendar'!$P$2157*1000000000+ISNUMBER('Dvd Calendar'!$P$2158)*100000000+('Dvd Calendar'!$P$2162='Field Check'!$C$25)*10000000+(N('Dvd Calendar'!$P$2156)&gt;0)*1000000+3*1000+52))</f>
        <v/>
      </c>
      <c r="BC159" s="41">
        <f>IF(N('Dvd Calendar'!$Q$2157)=0,"",IF(('Dvd Calendar'!$Q$2157&gt;=MIN(DATE(Summary!$C$12,1,1),Summary!$C$11))*('Dvd Calendar'!$Q$2157&lt;=MAX(DATE(Summary!$C$12,12,31),Summary!$C$15))*('Dvd Calendar'!$Q$2157&gt;Summary!$C$11)=0,"",'Dvd Calendar'!$Q$2157*1000000000+ISNUMBER('Dvd Calendar'!$Q$2158)*100000000+('Dvd Calendar'!$Q$2162='Field Check'!$C$25)*10000000+(N('Dvd Calendar'!$Q$2156)&gt;0)*1000000+3*1000+53))</f>
        <v/>
      </c>
      <c r="BD159" s="41">
        <f>IF(N('Dvd Calendar'!$R$2157)=0,"",IF(('Dvd Calendar'!$R$2157&gt;=MIN(DATE(Summary!$C$12,1,1),Summary!$C$11))*('Dvd Calendar'!$R$2157&lt;=MAX(DATE(Summary!$C$12,12,31),Summary!$C$15))*('Dvd Calendar'!$R$2157&gt;Summary!$C$11)=0,"",'Dvd Calendar'!$R$2157*1000000000+ISNUMBER('Dvd Calendar'!$R$2158)*100000000+('Dvd Calendar'!$R$2162='Field Check'!$C$25)*10000000+(N('Dvd Calendar'!$R$2156)&gt;0)*1000000+3*1000+54))</f>
        <v/>
      </c>
      <c r="BE159" s="41">
        <f>IF(N('Dvd Calendar'!$S$2157)=0,"",IF(('Dvd Calendar'!$S$2157&gt;=MIN(DATE(Summary!$C$12,1,1),Summary!$C$11))*('Dvd Calendar'!$S$2157&lt;=MAX(DATE(Summary!$C$12,12,31),Summary!$C$15))*('Dvd Calendar'!$S$2157&gt;Summary!$C$11)=0,"",'Dvd Calendar'!$S$2157*1000000000+ISNUMBER('Dvd Calendar'!$S$2158)*100000000+('Dvd Calendar'!$S$2162='Field Check'!$C$25)*10000000+(N('Dvd Calendar'!$S$2156)&gt;0)*1000000+3*1000+55))</f>
        <v/>
      </c>
      <c r="BF159" s="41">
        <f>IF(N('Dvd Calendar'!$T$2157)=0,"",IF(('Dvd Calendar'!$T$2157&gt;=MIN(DATE(Summary!$C$12,1,1),Summary!$C$11))*('Dvd Calendar'!$T$2157&lt;=MAX(DATE(Summary!$C$12,12,31),Summary!$C$15))*('Dvd Calendar'!$T$2157&gt;Summary!$C$11)=0,"",'Dvd Calendar'!$T$2157*1000000000+ISNUMBER('Dvd Calendar'!$T$2158)*100000000+('Dvd Calendar'!$T$2162='Field Check'!$C$25)*10000000+(N('Dvd Calendar'!$T$2156)&gt;0)*1000000+3*1000+56))</f>
        <v/>
      </c>
      <c r="BG159" s="41">
        <f>IF(N('Dvd Calendar'!$U$2157)=0,"",IF(('Dvd Calendar'!$U$2157&gt;=MIN(DATE(Summary!$C$12,1,1),Summary!$C$11))*('Dvd Calendar'!$U$2157&lt;=MAX(DATE(Summary!$C$12,12,31),Summary!$C$15))*('Dvd Calendar'!$U$2157&gt;Summary!$C$11)=0,"",'Dvd Calendar'!$U$2157*1000000000+ISNUMBER('Dvd Calendar'!$U$2158)*100000000+('Dvd Calendar'!$U$2162='Field Check'!$C$25)*10000000+(N('Dvd Calendar'!$U$2156)&gt;0)*1000000+3*1000+57))</f>
        <v/>
      </c>
      <c r="BH159" s="41">
        <f>IF(N('Dvd Calendar'!$V$2157)=0,"",IF(('Dvd Calendar'!$V$2157&gt;=MIN(DATE(Summary!$C$12,1,1),Summary!$C$11))*('Dvd Calendar'!$V$2157&lt;=MAX(DATE(Summary!$C$12,12,31),Summary!$C$15))*('Dvd Calendar'!$V$2157&gt;Summary!$C$11)=0,"",'Dvd Calendar'!$V$2157*1000000000+ISNUMBER('Dvd Calendar'!$V$2158)*100000000+('Dvd Calendar'!$V$2162='Field Check'!$C$25)*10000000+(N('Dvd Calendar'!$V$2156)&gt;0)*1000000+3*1000+58))</f>
        <v/>
      </c>
      <c r="BI159" s="41">
        <f>IF(N('Dvd Calendar'!$W$2157)=0,"",IF(('Dvd Calendar'!$W$2157&gt;=MIN(DATE(Summary!$C$12,1,1),Summary!$C$11))*('Dvd Calendar'!$W$2157&lt;=MAX(DATE(Summary!$C$12,12,31),Summary!$C$15))*('Dvd Calendar'!$W$2157&gt;Summary!$C$11)=0,"",'Dvd Calendar'!$W$2157*1000000000+ISNUMBER('Dvd Calendar'!$W$2158)*100000000+('Dvd Calendar'!$W$2162='Field Check'!$C$25)*10000000+(N('Dvd Calendar'!$W$2156)&gt;0)*1000000+3*1000+59))</f>
        <v/>
      </c>
      <c r="BJ159" s="41">
        <f>IF(N('Dvd Calendar'!$X$2157)=0,"",IF(('Dvd Calendar'!$X$2157&gt;=MIN(DATE(Summary!$C$12,1,1),Summary!$C$11))*('Dvd Calendar'!$X$2157&lt;=MAX(DATE(Summary!$C$12,12,31),Summary!$C$15))*('Dvd Calendar'!$X$2157&gt;Summary!$C$11)=0,"",'Dvd Calendar'!$X$2157*1000000000+ISNUMBER('Dvd Calendar'!$X$2158)*100000000+('Dvd Calendar'!$X$2162='Field Check'!$C$25)*10000000+(N('Dvd Calendar'!$X$2156)&gt;0)*1000000+3*1000+60))</f>
        <v/>
      </c>
      <c r="BK159" s="41">
        <f>IF(N('Dvd Calendar'!$Y$2157)=0,"",IF(('Dvd Calendar'!$Y$2157&gt;=MIN(DATE(Summary!$C$12,1,1),Summary!$C$11))*('Dvd Calendar'!$Y$2157&lt;=MAX(DATE(Summary!$C$12,12,31),Summary!$C$15))*('Dvd Calendar'!$Y$2157&gt;Summary!$C$11)=0,"",'Dvd Calendar'!$Y$2157*1000000000+ISNUMBER('Dvd Calendar'!$Y$2158)*100000000+('Dvd Calendar'!$Y$2162='Field Check'!$C$25)*10000000+(N('Dvd Calendar'!$Y$2156)&gt;0)*1000000+3*1000+61))</f>
        <v/>
      </c>
      <c r="BL159" s="41">
        <f>IF(N('Dvd Calendar'!$Z$2157)=0,"",IF(('Dvd Calendar'!$Z$2157&gt;=MIN(DATE(Summary!$C$12,1,1),Summary!$C$11))*('Dvd Calendar'!$Z$2157&lt;=MAX(DATE(Summary!$C$12,12,31),Summary!$C$15))*('Dvd Calendar'!$Z$2157&gt;Summary!$C$11)=0,"",'Dvd Calendar'!$Z$2157*1000000000+ISNUMBER('Dvd Calendar'!$Z$2158)*100000000+('Dvd Calendar'!$Z$2162='Field Check'!$C$25)*10000000+(N('Dvd Calendar'!$Z$2156)&gt;0)*1000000+3*1000+62))</f>
        <v/>
      </c>
      <c r="BM159" s="41">
        <f>IF(N('Dvd Calendar'!$AA$2157)=0,"",IF(('Dvd Calendar'!$AA$2157&gt;=MIN(DATE(Summary!$C$12,1,1),Summary!$C$11))*('Dvd Calendar'!$AA$2157&lt;=MAX(DATE(Summary!$C$12,12,31),Summary!$C$15))*('Dvd Calendar'!$AA$2157&gt;Summary!$C$11)=0,"",'Dvd Calendar'!$AA$2157*1000000000+ISNUMBER('Dvd Calendar'!$AA$2158)*100000000+('Dvd Calendar'!$AA$2162='Field Check'!$C$25)*10000000+(N('Dvd Calendar'!$AA$2156)&gt;0)*1000000+3*1000+63))</f>
        <v/>
      </c>
      <c r="BN159" s="41">
        <f>IF(N('Dvd Calendar'!$AB$2157)=0,"",IF(('Dvd Calendar'!$AB$2157&gt;=MIN(DATE(Summary!$C$12,1,1),Summary!$C$11))*('Dvd Calendar'!$AB$2157&lt;=MAX(DATE(Summary!$C$12,12,31),Summary!$C$15))*('Dvd Calendar'!$AB$2157&gt;Summary!$C$11)=0,"",'Dvd Calendar'!$AB$2157*1000000000+ISNUMBER('Dvd Calendar'!$AB$2158)*100000000+('Dvd Calendar'!$AB$2162='Field Check'!$C$25)*10000000+(N('Dvd Calendar'!$AB$2156)&gt;0)*1000000+3*1000+64))</f>
        <v/>
      </c>
      <c r="BO159" s="41">
        <f>IF(N('Dvd Calendar'!$AC$2157)=0,"",IF(('Dvd Calendar'!$AC$2157&gt;=MIN(DATE(Summary!$C$12,1,1),Summary!$C$11))*('Dvd Calendar'!$AC$2157&lt;=MAX(DATE(Summary!$C$12,12,31),Summary!$C$15))*('Dvd Calendar'!$AC$2157&gt;Summary!$C$11)=0,"",'Dvd Calendar'!$AC$2157*1000000000+ISNUMBER('Dvd Calendar'!$AC$2158)*100000000+('Dvd Calendar'!$AC$2162='Field Check'!$C$25)*10000000+(N('Dvd Calendar'!$AC$2156)&gt;0)*1000000+3*1000+65))</f>
        <v/>
      </c>
      <c r="BQ159" s="85">
        <f>IF(C159="","",IF(ISNUMBER('Dvd Calendar'!$E$2151)=FALSE,"",IF((Summary!$C$13="N")*('Dvd Calendar'!$E$2155='Field Check'!$C$25)&gt;0,"",'Dvd Calendar'!$E$2151)))</f>
        <v/>
      </c>
      <c r="BR159" s="85">
        <f>IF(D159="","",IF(ISNUMBER('Dvd Calendar'!$F$2151)=FALSE,"",IF((Summary!$C$13="N")*('Dvd Calendar'!$F$2155='Field Check'!$C$25)&gt;0,"",'Dvd Calendar'!$F$2151)))</f>
        <v/>
      </c>
      <c r="BS159" s="85">
        <f>IF(E159="","",IF(ISNUMBER('Dvd Calendar'!$G$2151)=FALSE,"",IF((Summary!$C$13="N")*('Dvd Calendar'!$G$2155='Field Check'!$C$25)&gt;0,"",'Dvd Calendar'!$G$2151)))</f>
        <v/>
      </c>
      <c r="BT159" s="85">
        <f>IF(F159="","",IF(ISNUMBER('Dvd Calendar'!$H$2151)=FALSE,"",IF((Summary!$C$13="N")*('Dvd Calendar'!$H$2155='Field Check'!$C$25)&gt;0,"",'Dvd Calendar'!$H$2151)))</f>
        <v/>
      </c>
      <c r="BU159" s="85">
        <f>IF(G159="","",IF(ISNUMBER('Dvd Calendar'!$I$2151)=FALSE,"",IF((Summary!$C$13="N")*('Dvd Calendar'!$I$2155='Field Check'!$C$25)&gt;0,"",'Dvd Calendar'!$I$2151)))</f>
        <v/>
      </c>
      <c r="BV159" s="85">
        <f>IF(H159="","",IF(ISNUMBER('Dvd Calendar'!$J$2151)=FALSE,"",IF((Summary!$C$13="N")*('Dvd Calendar'!$J$2155='Field Check'!$C$25)&gt;0,"",'Dvd Calendar'!$J$2151)))</f>
        <v/>
      </c>
      <c r="BW159" s="85">
        <f>IF(I159="","",IF(ISNUMBER('Dvd Calendar'!$K$2151)=FALSE,"",IF((Summary!$C$13="N")*('Dvd Calendar'!$K$2155='Field Check'!$C$25)&gt;0,"",'Dvd Calendar'!$K$2151)))</f>
        <v/>
      </c>
      <c r="BX159" s="85">
        <f>IF(J159="","",IF(ISNUMBER('Dvd Calendar'!$L$2151)=FALSE,"",IF((Summary!$C$13="N")*('Dvd Calendar'!$L$2155='Field Check'!$C$25)&gt;0,"",'Dvd Calendar'!$L$2151)))</f>
        <v/>
      </c>
      <c r="BY159" s="85">
        <f>IF(K159="","",IF(ISNUMBER('Dvd Calendar'!$M$2151)=FALSE,"",IF((Summary!$C$13="N")*('Dvd Calendar'!$M$2155='Field Check'!$C$25)&gt;0,"",'Dvd Calendar'!$M$2151)))</f>
        <v/>
      </c>
      <c r="BZ159" s="85">
        <f>IF(L159="","",IF(ISNUMBER('Dvd Calendar'!$N$2151)=FALSE,"",IF((Summary!$C$13="N")*('Dvd Calendar'!$N$2155='Field Check'!$C$25)&gt;0,"",'Dvd Calendar'!$N$2151)))</f>
        <v/>
      </c>
      <c r="CA159" s="85">
        <f>IF(M159="","",IF(ISNUMBER('Dvd Calendar'!$O$2151)=FALSE,"",IF((Summary!$C$13="N")*('Dvd Calendar'!$O$2155='Field Check'!$C$25)&gt;0,"",'Dvd Calendar'!$O$2151)))</f>
        <v/>
      </c>
      <c r="CB159" s="85">
        <f>IF(N159="","",IF(ISNUMBER('Dvd Calendar'!$P$2151)=FALSE,"",IF((Summary!$C$13="N")*('Dvd Calendar'!$P$2155='Field Check'!$C$25)&gt;0,"",'Dvd Calendar'!$P$2151)))</f>
        <v/>
      </c>
      <c r="CC159" s="85">
        <f>IF(O159="","",IF(ISNUMBER('Dvd Calendar'!$Q$2151)=FALSE,"",IF((Summary!$C$13="N")*('Dvd Calendar'!$Q$2155='Field Check'!$C$25)&gt;0,"",'Dvd Calendar'!$Q$2151)))</f>
        <v/>
      </c>
      <c r="CD159" s="85">
        <f>IF(P159="","",IF(ISNUMBER('Dvd Calendar'!$R$2151)=FALSE,"",IF((Summary!$C$13="N")*('Dvd Calendar'!$R$2155='Field Check'!$C$25)&gt;0,"",'Dvd Calendar'!$R$2151)))</f>
        <v/>
      </c>
      <c r="CE159" s="85">
        <f>IF(Q159="","",IF(ISNUMBER('Dvd Calendar'!$S$2151)=FALSE,"",IF((Summary!$C$13="N")*('Dvd Calendar'!$S$2155='Field Check'!$C$25)&gt;0,"",'Dvd Calendar'!$S$2151)))</f>
        <v/>
      </c>
      <c r="CF159" s="85">
        <f>IF(R159="","",IF(ISNUMBER('Dvd Calendar'!$T$2151)=FALSE,"",IF((Summary!$C$13="N")*('Dvd Calendar'!$T$2155='Field Check'!$C$25)&gt;0,"",'Dvd Calendar'!$T$2151)))</f>
        <v/>
      </c>
      <c r="CG159" s="85">
        <f>IF(S159="","",IF(ISNUMBER('Dvd Calendar'!$U$2151)=FALSE,"",IF((Summary!$C$13="N")*('Dvd Calendar'!$U$2155='Field Check'!$C$25)&gt;0,"",'Dvd Calendar'!$U$2151)))</f>
        <v/>
      </c>
      <c r="CH159" s="85">
        <f>IF(T159="","",IF(ISNUMBER('Dvd Calendar'!$V$2151)=FALSE,"",IF((Summary!$C$13="N")*('Dvd Calendar'!$V$2155='Field Check'!$C$25)&gt;0,"",'Dvd Calendar'!$V$2151)))</f>
        <v/>
      </c>
      <c r="CI159" s="85">
        <f>IF(U159="","",IF(ISNUMBER('Dvd Calendar'!$W$2151)=FALSE,"",IF((Summary!$C$13="N")*('Dvd Calendar'!$W$2155='Field Check'!$C$25)&gt;0,"",'Dvd Calendar'!$W$2151)))</f>
        <v/>
      </c>
      <c r="CJ159" s="85">
        <f>IF(V159="","",IF(ISNUMBER('Dvd Calendar'!$X$2151)=FALSE,"",IF((Summary!$C$13="N")*('Dvd Calendar'!$X$2155='Field Check'!$C$25)&gt;0,"",'Dvd Calendar'!$X$2151)))</f>
        <v/>
      </c>
      <c r="CK159" s="85">
        <f>IF(W159="","",IF(ISNUMBER('Dvd Calendar'!$Y$2151)=FALSE,"",IF((Summary!$C$13="N")*('Dvd Calendar'!$Y$2155='Field Check'!$C$25)&gt;0,"",'Dvd Calendar'!$Y$2151)))</f>
        <v/>
      </c>
      <c r="CL159" s="85">
        <f>IF(X159="","",IF(ISNUMBER('Dvd Calendar'!$Z$2151)=FALSE,"",IF((Summary!$C$13="N")*('Dvd Calendar'!$Z$2155='Field Check'!$C$25)&gt;0,"",'Dvd Calendar'!$Z$2151)))</f>
        <v/>
      </c>
      <c r="CM159" s="85">
        <f>IF(Y159="","",IF(ISNUMBER('Dvd Calendar'!$AA$2151)=FALSE,"",IF((Summary!$C$13="N")*('Dvd Calendar'!$AA$2155='Field Check'!$C$25)&gt;0,"",'Dvd Calendar'!$AA$2151)))</f>
        <v/>
      </c>
      <c r="CN159" s="85">
        <f>IF(Z159="","",IF(ISNUMBER('Dvd Calendar'!$AB$2151)=FALSE,"",IF((Summary!$C$13="N")*('Dvd Calendar'!$AB$2155='Field Check'!$C$25)&gt;0,"",'Dvd Calendar'!$AB$2151)))</f>
        <v/>
      </c>
      <c r="CO159" s="85">
        <f>IF(AA159="","",IF(ISNUMBER('Dvd Calendar'!$AC$2151)=FALSE,"",IF((Summary!$C$13="N")*('Dvd Calendar'!$AC$2155='Field Check'!$C$25)&gt;0,"",'Dvd Calendar'!$AC$2151)))</f>
        <v/>
      </c>
      <c r="CP159" s="85">
        <f>IF(AB159="","",IF(ISNUMBER('Dvd Calendar'!$AD$2151)=FALSE,"",IF((Summary!$C$13="N")*('Dvd Calendar'!$AD$2155='Field Check'!$C$25)&gt;0,"",'Dvd Calendar'!$AD$2151)))</f>
        <v/>
      </c>
      <c r="CQ159" s="85">
        <f>IF(AC159="","",IF(ISNUMBER('Dvd Calendar'!$AE$2151)=FALSE,"",IF((Summary!$C$13="N")*('Dvd Calendar'!$AE$2155='Field Check'!$C$25)&gt;0,"",'Dvd Calendar'!$AE$2151)))</f>
        <v/>
      </c>
      <c r="CR159" s="85">
        <f>IF(AD159="","",IF(ISNUMBER('Dvd Calendar'!$AF$2151)=FALSE,"",IF((Summary!$C$13="N")*('Dvd Calendar'!$AF$2155='Field Check'!$C$25)&gt;0,"",'Dvd Calendar'!$AF$2151)))</f>
        <v/>
      </c>
      <c r="CS159" s="85">
        <f>IF(AE159="","",IF(ISNUMBER('Dvd Calendar'!$AG$2151)=FALSE,"",IF((Summary!$C$13="N")*('Dvd Calendar'!$AG$2155='Field Check'!$C$25)&gt;0,"",'Dvd Calendar'!$AG$2151)))</f>
        <v/>
      </c>
      <c r="CT159" s="85">
        <f>IF(AF159="","",IF(ISNUMBER('Dvd Calendar'!$AH$2151)=FALSE,"",IF((Summary!$C$13="N")*('Dvd Calendar'!$AH$2155='Field Check'!$C$25)&gt;0,"",'Dvd Calendar'!$AH$2151)))</f>
        <v/>
      </c>
      <c r="CU159" s="85">
        <f>IF(AG159="","",IF(ISNUMBER('Dvd Calendar'!$AI$2151)=FALSE,"",IF((Summary!$C$13="N")*('Dvd Calendar'!$AI$2155='Field Check'!$C$25)&gt;0,"",'Dvd Calendar'!$AI$2151)))</f>
        <v/>
      </c>
      <c r="CV159" s="85">
        <f>IF(AH159="","",IF(ISNUMBER('Dvd Calendar'!$AJ$2151)=FALSE,"",IF((Summary!$C$13="N")*('Dvd Calendar'!$AJ$2155='Field Check'!$C$25)&gt;0,"",'Dvd Calendar'!$AJ$2151)))</f>
        <v/>
      </c>
      <c r="CW159" s="85">
        <f>IF(AI159="","",IF(ISNUMBER('Dvd Calendar'!$AK$2151)=FALSE,"",IF((Summary!$C$13="N")*('Dvd Calendar'!$AK$2155='Field Check'!$C$25)&gt;0,"",'Dvd Calendar'!$AK$2151)))</f>
        <v/>
      </c>
      <c r="CX159" s="85">
        <f>IF(AJ159="","",IF(ISNUMBER('Dvd Calendar'!$AL$2151)=FALSE,"",IF((Summary!$C$13="N")*('Dvd Calendar'!$AL$2155='Field Check'!$C$25)&gt;0,"",'Dvd Calendar'!$AL$2151)))</f>
        <v/>
      </c>
      <c r="CY159" s="85">
        <f>IF(AK159="","",IF(ISNUMBER('Dvd Calendar'!$AM$2151)=FALSE,"",IF((Summary!$C$13="N")*('Dvd Calendar'!$AM$2155='Field Check'!$C$25)&gt;0,"",'Dvd Calendar'!$AM$2151)))</f>
        <v/>
      </c>
      <c r="CZ159" s="85">
        <f>IF(AL159="","",IF(ISNUMBER('Dvd Calendar'!$AN$2151)=FALSE,"",IF((Summary!$C$13="N")*('Dvd Calendar'!$AN$2155='Field Check'!$C$25)&gt;0,"",'Dvd Calendar'!$AN$2151)))</f>
        <v/>
      </c>
      <c r="DA159" s="85">
        <f>IF(AM159="","",IF(ISNUMBER('Dvd Calendar'!$AO$2151)=FALSE,"",IF((Summary!$C$13="N")*('Dvd Calendar'!$AO$2155='Field Check'!$C$25)&gt;0,"",'Dvd Calendar'!$AO$2151)))</f>
        <v/>
      </c>
      <c r="DB159" s="85">
        <f>IF(AN159="","",IF(ISNUMBER('Dvd Calendar'!$AP$2151)=FALSE,"",IF((Summary!$C$13="N")*('Dvd Calendar'!$AP$2155='Field Check'!$C$25)&gt;0,"",'Dvd Calendar'!$AP$2151)))</f>
        <v/>
      </c>
      <c r="DC159" s="85">
        <f>IF(AO159="","",IF(ISNUMBER('Dvd Calendar'!$AQ$2151)=FALSE,"",IF((Summary!$C$13="N")*('Dvd Calendar'!$AQ$2155='Field Check'!$C$25)&gt;0,"",'Dvd Calendar'!$AQ$2151)))</f>
        <v/>
      </c>
      <c r="DD159" s="85">
        <f>IF(AP159="","",IF(ISNUMBER('Dvd Calendar'!$AR$2151)=FALSE,"",IF((Summary!$C$13="N")*('Dvd Calendar'!$AR$2155='Field Check'!$C$25)&gt;0,"",'Dvd Calendar'!$AR$2151)))</f>
        <v/>
      </c>
      <c r="DE159" s="85">
        <f>IF(AQ159="","",IF(ISNUMBER('Dvd Calendar'!$E$2158)=FALSE,"",IF((Summary!$C$13="N")*('Dvd Calendar'!$E$2162='Field Check'!$C$25)&gt;0,"",'Dvd Calendar'!$E$2158)))</f>
        <v/>
      </c>
      <c r="DF159" s="85">
        <f>IF(AR159="","",IF(ISNUMBER('Dvd Calendar'!$F$2158)=FALSE,"",IF((Summary!$C$13="N")*('Dvd Calendar'!$F$2162='Field Check'!$C$25)&gt;0,"",'Dvd Calendar'!$F$2158)))</f>
        <v/>
      </c>
      <c r="DG159" s="85">
        <f>IF(AS159="","",IF(ISNUMBER('Dvd Calendar'!$G$2158)=FALSE,"",IF((Summary!$C$13="N")*('Dvd Calendar'!$G$2162='Field Check'!$C$25)&gt;0,"",'Dvd Calendar'!$G$2158)))</f>
        <v/>
      </c>
      <c r="DH159" s="85">
        <f>IF(AT159="","",IF(ISNUMBER('Dvd Calendar'!$H$2158)=FALSE,"",IF((Summary!$C$13="N")*('Dvd Calendar'!$H$2162='Field Check'!$C$25)&gt;0,"",'Dvd Calendar'!$H$2158)))</f>
        <v/>
      </c>
      <c r="DI159" s="85">
        <f>IF(AU159="","",IF(ISNUMBER('Dvd Calendar'!$I$2158)=FALSE,"",IF((Summary!$C$13="N")*('Dvd Calendar'!$I$2162='Field Check'!$C$25)&gt;0,"",'Dvd Calendar'!$I$2158)))</f>
        <v/>
      </c>
      <c r="DJ159" s="85">
        <f>IF(AV159="","",IF(ISNUMBER('Dvd Calendar'!$J$2158)=FALSE,"",IF((Summary!$C$13="N")*('Dvd Calendar'!$J$2162='Field Check'!$C$25)&gt;0,"",'Dvd Calendar'!$J$2158)))</f>
        <v/>
      </c>
      <c r="DK159" s="85">
        <f>IF(AW159="","",IF(ISNUMBER('Dvd Calendar'!$K$2158)=FALSE,"",IF((Summary!$C$13="N")*('Dvd Calendar'!$K$2162='Field Check'!$C$25)&gt;0,"",'Dvd Calendar'!$K$2158)))</f>
        <v/>
      </c>
      <c r="DL159" s="85">
        <f>IF(AX159="","",IF(ISNUMBER('Dvd Calendar'!$L$2158)=FALSE,"",IF((Summary!$C$13="N")*('Dvd Calendar'!$L$2162='Field Check'!$C$25)&gt;0,"",'Dvd Calendar'!$L$2158)))</f>
        <v/>
      </c>
      <c r="DM159" s="85">
        <f>IF(AY159="","",IF(ISNUMBER('Dvd Calendar'!$M$2158)=FALSE,"",IF((Summary!$C$13="N")*('Dvd Calendar'!$M$2162='Field Check'!$C$25)&gt;0,"",'Dvd Calendar'!$M$2158)))</f>
        <v/>
      </c>
      <c r="DN159" s="85">
        <f>IF(AZ159="","",IF(ISNUMBER('Dvd Calendar'!$N$2158)=FALSE,"",IF((Summary!$C$13="N")*('Dvd Calendar'!$N$2162='Field Check'!$C$25)&gt;0,"",'Dvd Calendar'!$N$2158)))</f>
        <v/>
      </c>
      <c r="DO159" s="85">
        <f>IF(BA159="","",IF(ISNUMBER('Dvd Calendar'!$O$2158)=FALSE,"",IF((Summary!$C$13="N")*('Dvd Calendar'!$O$2162='Field Check'!$C$25)&gt;0,"",'Dvd Calendar'!$O$2158)))</f>
        <v/>
      </c>
      <c r="DP159" s="85">
        <f>IF(BB159="","",IF(ISNUMBER('Dvd Calendar'!$P$2158)=FALSE,"",IF((Summary!$C$13="N")*('Dvd Calendar'!$P$2162='Field Check'!$C$25)&gt;0,"",'Dvd Calendar'!$P$2158)))</f>
        <v/>
      </c>
      <c r="DQ159" s="85">
        <f>IF(BC159="","",IF(ISNUMBER('Dvd Calendar'!$Q$2158)=FALSE,"",IF((Summary!$C$13="N")*('Dvd Calendar'!$Q$2162='Field Check'!$C$25)&gt;0,"",'Dvd Calendar'!$Q$2158)))</f>
        <v/>
      </c>
      <c r="DR159" s="85">
        <f>IF(BD159="","",IF(ISNUMBER('Dvd Calendar'!$R$2158)=FALSE,"",IF((Summary!$C$13="N")*('Dvd Calendar'!$R$2162='Field Check'!$C$25)&gt;0,"",'Dvd Calendar'!$R$2158)))</f>
        <v/>
      </c>
      <c r="DS159" s="85">
        <f>IF(BE159="","",IF(ISNUMBER('Dvd Calendar'!$S$2158)=FALSE,"",IF((Summary!$C$13="N")*('Dvd Calendar'!$S$2162='Field Check'!$C$25)&gt;0,"",'Dvd Calendar'!$S$2158)))</f>
        <v/>
      </c>
      <c r="DT159" s="85">
        <f>IF(BF159="","",IF(ISNUMBER('Dvd Calendar'!$T$2158)=FALSE,"",IF((Summary!$C$13="N")*('Dvd Calendar'!$T$2162='Field Check'!$C$25)&gt;0,"",'Dvd Calendar'!$T$2158)))</f>
        <v/>
      </c>
      <c r="DU159" s="85">
        <f>IF(BG159="","",IF(ISNUMBER('Dvd Calendar'!$U$2158)=FALSE,"",IF((Summary!$C$13="N")*('Dvd Calendar'!$U$2162='Field Check'!$C$25)&gt;0,"",'Dvd Calendar'!$U$2158)))</f>
        <v/>
      </c>
      <c r="DV159" s="85">
        <f>IF(BH159="","",IF(ISNUMBER('Dvd Calendar'!$V$2158)=FALSE,"",IF((Summary!$C$13="N")*('Dvd Calendar'!$V$2162='Field Check'!$C$25)&gt;0,"",'Dvd Calendar'!$V$2158)))</f>
        <v/>
      </c>
      <c r="DW159" s="85">
        <f>IF(BI159="","",IF(ISNUMBER('Dvd Calendar'!$W$2158)=FALSE,"",IF((Summary!$C$13="N")*('Dvd Calendar'!$W$2162='Field Check'!$C$25)&gt;0,"",'Dvd Calendar'!$W$2158)))</f>
        <v/>
      </c>
      <c r="DX159" s="85">
        <f>IF(BJ159="","",IF(ISNUMBER('Dvd Calendar'!$X$2158)=FALSE,"",IF((Summary!$C$13="N")*('Dvd Calendar'!$X$2162='Field Check'!$C$25)&gt;0,"",'Dvd Calendar'!$X$2158)))</f>
        <v/>
      </c>
      <c r="DY159" s="85">
        <f>IF(BK159="","",IF(ISNUMBER('Dvd Calendar'!$Y$2158)=FALSE,"",IF((Summary!$C$13="N")*('Dvd Calendar'!$Y$2162='Field Check'!$C$25)&gt;0,"",'Dvd Calendar'!$Y$2158)))</f>
        <v/>
      </c>
      <c r="DZ159" s="85">
        <f>IF(BL159="","",IF(ISNUMBER('Dvd Calendar'!$Z$2158)=FALSE,"",IF((Summary!$C$13="N")*('Dvd Calendar'!$Z$2162='Field Check'!$C$25)&gt;0,"",'Dvd Calendar'!$Z$2158)))</f>
        <v/>
      </c>
      <c r="EA159" s="85">
        <f>IF(BM159="","",IF(ISNUMBER('Dvd Calendar'!$AA$2158)=FALSE,"",IF((Summary!$C$13="N")*('Dvd Calendar'!$AA$2162='Field Check'!$C$25)&gt;0,"",'Dvd Calendar'!$AA$2158)))</f>
        <v/>
      </c>
      <c r="EB159" s="85">
        <f>IF(BN159="","",IF(ISNUMBER('Dvd Calendar'!$AB$2158)=FALSE,"",IF((Summary!$C$13="N")*('Dvd Calendar'!$AB$2162='Field Check'!$C$25)&gt;0,"",'Dvd Calendar'!$AB$2158)))</f>
        <v/>
      </c>
      <c r="EC159" s="85">
        <f>IF(BO159="","",IF(ISNUMBER('Dvd Calendar'!$AC$2158)=FALSE,"",IF((Summary!$C$13="N")*('Dvd Calendar'!$AC$2162='Field Check'!$C$25)&gt;0,"",'Dvd Calendar'!$AC$2158)))</f>
        <v/>
      </c>
      <c r="EE159" s="85">
        <f>IF(BQ159="","",IFERROR(BQ159*HSCEI!$B$9*HSCEI!$G$9/HSCEI!$B$3,""))</f>
        <v/>
      </c>
      <c r="EF159" s="85">
        <f>IF(BR159="","",IFERROR(BR159*HSCEI!$B$9*HSCEI!$G$9/HSCEI!$B$3,""))</f>
        <v/>
      </c>
      <c r="EG159" s="85">
        <f>IF(BS159="","",IFERROR(BS159*HSCEI!$B$9*HSCEI!$G$9/HSCEI!$B$3,""))</f>
        <v/>
      </c>
      <c r="EH159" s="85">
        <f>IF(BT159="","",IFERROR(BT159*HSCEI!$B$9*HSCEI!$G$9/HSCEI!$B$3,""))</f>
        <v/>
      </c>
      <c r="EI159" s="85">
        <f>IF(BU159="","",IFERROR(BU159*HSCEI!$B$9*HSCEI!$G$9/HSCEI!$B$3,""))</f>
        <v/>
      </c>
      <c r="EJ159" s="85">
        <f>IF(BV159="","",IFERROR(BV159*HSCEI!$B$9*HSCEI!$G$9/HSCEI!$B$3,""))</f>
        <v/>
      </c>
      <c r="EK159" s="85">
        <f>IF(BW159="","",IFERROR(BW159*HSCEI!$B$9*HSCEI!$G$9/HSCEI!$B$3,""))</f>
        <v/>
      </c>
      <c r="EL159" s="85">
        <f>IF(BX159="","",IFERROR(BX159*HSCEI!$B$9*HSCEI!$G$9/HSCEI!$B$3,""))</f>
        <v/>
      </c>
      <c r="EM159" s="85">
        <f>IF(BY159="","",IFERROR(BY159*HSCEI!$B$9*HSCEI!$G$9/HSCEI!$B$3,""))</f>
        <v/>
      </c>
      <c r="EN159" s="85">
        <f>IF(BZ159="","",IFERROR(BZ159*HSCEI!$B$9*HSCEI!$G$9/HSCEI!$B$3,""))</f>
        <v/>
      </c>
      <c r="EO159" s="85">
        <f>IF(CA159="","",IFERROR(CA159*HSCEI!$B$9*HSCEI!$G$9/HSCEI!$B$3,""))</f>
        <v/>
      </c>
      <c r="EP159" s="85">
        <f>IF(CB159="","",IFERROR(CB159*HSCEI!$B$9*HSCEI!$G$9/HSCEI!$B$3,""))</f>
        <v/>
      </c>
      <c r="EQ159" s="85">
        <f>IF(CC159="","",IFERROR(CC159*HSCEI!$B$9*HSCEI!$G$9/HSCEI!$B$3,""))</f>
        <v/>
      </c>
      <c r="ER159" s="85">
        <f>IF(CD159="","",IFERROR(CD159*HSCEI!$B$9*HSCEI!$G$9/HSCEI!$B$3,""))</f>
        <v/>
      </c>
      <c r="ES159" s="85">
        <f>IF(CE159="","",IFERROR(CE159*HSCEI!$B$9*HSCEI!$G$9/HSCEI!$B$3,""))</f>
        <v/>
      </c>
      <c r="ET159" s="85">
        <f>IF(CF159="","",IFERROR(CF159*HSCEI!$B$9*HSCEI!$G$9/HSCEI!$B$3,""))</f>
        <v/>
      </c>
      <c r="EU159" s="85">
        <f>IF(CG159="","",IFERROR(CG159*HSCEI!$B$9*HSCEI!$G$9/HSCEI!$B$3,""))</f>
        <v/>
      </c>
      <c r="EV159" s="85">
        <f>IF(CH159="","",IFERROR(CH159*HSCEI!$B$9*HSCEI!$G$9/HSCEI!$B$3,""))</f>
        <v/>
      </c>
      <c r="EW159" s="85">
        <f>IF(CI159="","",IFERROR(CI159*HSCEI!$B$9*HSCEI!$G$9/HSCEI!$B$3,""))</f>
        <v/>
      </c>
      <c r="EX159" s="85">
        <f>IF(CJ159="","",IFERROR(CJ159*HSCEI!$B$9*HSCEI!$G$9/HSCEI!$B$3,""))</f>
        <v/>
      </c>
      <c r="EY159" s="85">
        <f>IF(CK159="","",IFERROR(CK159*HSCEI!$B$9*HSCEI!$G$9/HSCEI!$B$3,""))</f>
        <v/>
      </c>
      <c r="EZ159" s="85">
        <f>IF(CL159="","",IFERROR(CL159*HSCEI!$B$9*HSCEI!$G$9/HSCEI!$B$3,""))</f>
        <v/>
      </c>
      <c r="FA159" s="85">
        <f>IF(CM159="","",IFERROR(CM159*HSCEI!$B$9*HSCEI!$G$9/HSCEI!$B$3,""))</f>
        <v/>
      </c>
      <c r="FB159" s="85">
        <f>IF(CN159="","",IFERROR(CN159*HSCEI!$B$9*HSCEI!$G$9/HSCEI!$B$3,""))</f>
        <v/>
      </c>
      <c r="FC159" s="85">
        <f>IF(CO159="","",IFERROR(CO159*HSCEI!$B$9*HSCEI!$G$9/HSCEI!$B$3,""))</f>
        <v/>
      </c>
      <c r="FD159" s="85">
        <f>IF(CP159="","",IFERROR(CP159*HSCEI!$B$9*HSCEI!$G$9/HSCEI!$B$3,""))</f>
        <v/>
      </c>
      <c r="FE159" s="85">
        <f>IF(CQ159="","",IFERROR(CQ159*HSCEI!$B$9*HSCEI!$G$9/HSCEI!$B$3,""))</f>
        <v/>
      </c>
      <c r="FF159" s="85">
        <f>IF(CR159="","",IFERROR(CR159*HSCEI!$B$9*HSCEI!$G$9/HSCEI!$B$3,""))</f>
        <v/>
      </c>
      <c r="FG159" s="85">
        <f>IF(CS159="","",IFERROR(CS159*HSCEI!$B$9*HSCEI!$G$9/HSCEI!$B$3,""))</f>
        <v/>
      </c>
      <c r="FH159" s="85">
        <f>IF(CT159="","",IFERROR(CT159*HSCEI!$B$9*HSCEI!$G$9/HSCEI!$B$3,""))</f>
        <v/>
      </c>
      <c r="FI159" s="85">
        <f>IF(CU159="","",IFERROR(CU159*HSCEI!$B$9*HSCEI!$G$9/HSCEI!$B$3,""))</f>
        <v/>
      </c>
      <c r="FJ159" s="85">
        <f>IF(CV159="","",IFERROR(CV159*HSCEI!$B$9*HSCEI!$G$9/HSCEI!$B$3,""))</f>
        <v/>
      </c>
      <c r="FK159" s="85">
        <f>IF(CW159="","",IFERROR(CW159*HSCEI!$B$9*HSCEI!$G$9/HSCEI!$B$3,""))</f>
        <v/>
      </c>
      <c r="FL159" s="85">
        <f>IF(CX159="","",IFERROR(CX159*HSCEI!$B$9*HSCEI!$G$9/HSCEI!$B$3,""))</f>
        <v/>
      </c>
      <c r="FM159" s="85">
        <f>IF(CY159="","",IFERROR(CY159*HSCEI!$B$9*HSCEI!$G$9/HSCEI!$B$3,""))</f>
        <v/>
      </c>
      <c r="FN159" s="85">
        <f>IF(CZ159="","",IFERROR(CZ159*HSCEI!$B$9*HSCEI!$G$9/HSCEI!$B$3,""))</f>
        <v/>
      </c>
      <c r="FO159" s="85">
        <f>IF(DA159="","",IFERROR(DA159*HSCEI!$B$9*HSCEI!$G$9/HSCEI!$B$3,""))</f>
        <v/>
      </c>
      <c r="FP159" s="85">
        <f>IF(DB159="","",IFERROR(DB159*HSCEI!$B$9*HSCEI!$G$9/HSCEI!$B$3,""))</f>
        <v/>
      </c>
      <c r="FQ159" s="85">
        <f>IF(DC159="","",IFERROR(DC159*HSCEI!$B$9*HSCEI!$G$9/HSCEI!$B$3,""))</f>
        <v/>
      </c>
      <c r="FR159" s="85">
        <f>IF(DD159="","",IFERROR(DD159*HSCEI!$B$9*HSCEI!$G$9/HSCEI!$B$3,""))</f>
        <v/>
      </c>
      <c r="FS159" s="85">
        <f>IF(DE159="","",IFERROR(DE159*HSCEI!$B$9*HSCEI!$G$9/HSCEI!$B$3,""))</f>
        <v/>
      </c>
      <c r="FT159" s="85">
        <f>IF(DF159="","",IFERROR(DF159*HSCEI!$B$9*HSCEI!$G$9/HSCEI!$B$3,""))</f>
        <v/>
      </c>
      <c r="FU159" s="85">
        <f>IF(DG159="","",IFERROR(DG159*HSCEI!$B$9*HSCEI!$G$9/HSCEI!$B$3,""))</f>
        <v/>
      </c>
      <c r="FV159" s="85">
        <f>IF(DH159="","",IFERROR(DH159*HSCEI!$B$9*HSCEI!$G$9/HSCEI!$B$3,""))</f>
        <v/>
      </c>
      <c r="FW159" s="85">
        <f>IF(DI159="","",IFERROR(DI159*HSCEI!$B$9*HSCEI!$G$9/HSCEI!$B$3,""))</f>
        <v/>
      </c>
      <c r="FX159" s="85">
        <f>IF(DJ159="","",IFERROR(DJ159*HSCEI!$B$9*HSCEI!$G$9/HSCEI!$B$3,""))</f>
        <v/>
      </c>
      <c r="FY159" s="85">
        <f>IF(DK159="","",IFERROR(DK159*HSCEI!$B$9*HSCEI!$G$9/HSCEI!$B$3,""))</f>
        <v/>
      </c>
      <c r="FZ159" s="85">
        <f>IF(DL159="","",IFERROR(DL159*HSCEI!$B$9*HSCEI!$G$9/HSCEI!$B$3,""))</f>
        <v/>
      </c>
      <c r="GA159" s="85">
        <f>IF(DM159="","",IFERROR(DM159*HSCEI!$B$9*HSCEI!$G$9/HSCEI!$B$3,""))</f>
        <v/>
      </c>
      <c r="GB159" s="85">
        <f>IF(DN159="","",IFERROR(DN159*HSCEI!$B$9*HSCEI!$G$9/HSCEI!$B$3,""))</f>
        <v/>
      </c>
      <c r="GC159" s="85">
        <f>IF(DO159="","",IFERROR(DO159*HSCEI!$B$9*HSCEI!$G$9/HSCEI!$B$3,""))</f>
        <v/>
      </c>
      <c r="GD159" s="85">
        <f>IF(DP159="","",IFERROR(DP159*HSCEI!$B$9*HSCEI!$G$9/HSCEI!$B$3,""))</f>
        <v/>
      </c>
      <c r="GE159" s="85">
        <f>IF(DQ159="","",IFERROR(DQ159*HSCEI!$B$9*HSCEI!$G$9/HSCEI!$B$3,""))</f>
        <v/>
      </c>
      <c r="GF159" s="85">
        <f>IF(DR159="","",IFERROR(DR159*HSCEI!$B$9*HSCEI!$G$9/HSCEI!$B$3,""))</f>
        <v/>
      </c>
      <c r="GG159" s="85">
        <f>IF(DS159="","",IFERROR(DS159*HSCEI!$B$9*HSCEI!$G$9/HSCEI!$B$3,""))</f>
        <v/>
      </c>
      <c r="GH159" s="85">
        <f>IF(DT159="","",IFERROR(DT159*HSCEI!$B$9*HSCEI!$G$9/HSCEI!$B$3,""))</f>
        <v/>
      </c>
      <c r="GI159" s="85">
        <f>IF(DU159="","",IFERROR(DU159*HSCEI!$B$9*HSCEI!$G$9/HSCEI!$B$3,""))</f>
        <v/>
      </c>
      <c r="GJ159" s="85">
        <f>IF(DV159="","",IFERROR(DV159*HSCEI!$B$9*HSCEI!$G$9/HSCEI!$B$3,""))</f>
        <v/>
      </c>
      <c r="GK159" s="85">
        <f>IF(DW159="","",IFERROR(DW159*HSCEI!$B$9*HSCEI!$G$9/HSCEI!$B$3,""))</f>
        <v/>
      </c>
      <c r="GL159" s="85">
        <f>IF(DX159="","",IFERROR(DX159*HSCEI!$B$9*HSCEI!$G$9/HSCEI!$B$3,""))</f>
        <v/>
      </c>
      <c r="GM159" s="85">
        <f>IF(DY159="","",IFERROR(DY159*HSCEI!$B$9*HSCEI!$G$9/HSCEI!$B$3,""))</f>
        <v/>
      </c>
      <c r="GN159" s="85">
        <f>IF(DZ159="","",IFERROR(DZ159*HSCEI!$B$9*HSCEI!$G$9/HSCEI!$B$3,""))</f>
        <v/>
      </c>
      <c r="GO159" s="85">
        <f>IF(EA159="","",IFERROR(EA159*HSCEI!$B$9*HSCEI!$G$9/HSCEI!$B$3,""))</f>
        <v/>
      </c>
      <c r="GP159" s="85">
        <f>IF(EB159="","",IFERROR(EB159*HSCEI!$B$9*HSCEI!$G$9/HSCEI!$B$3,""))</f>
        <v/>
      </c>
      <c r="GQ159" s="85">
        <f>IF(EC159="","",IFERROR(EC159*HSCEI!$B$9*HSCEI!$G$9/HSCEI!$B$3,""))</f>
        <v/>
      </c>
    </row>
    <row r="160">
      <c r="B160" s="2">
        <f>IF(HSCEI!$C$10="","",HSCEI!$C$10)</f>
        <v/>
      </c>
      <c r="C160" s="41">
        <f>IF(N('Dvd Calendar'!$E$2165)=0,"",IF(('Dvd Calendar'!$E$2165&gt;=MIN(DATE(Summary!$C$12,1,1),Summary!$C$11))*('Dvd Calendar'!$E$2165&lt;=MAX(DATE(Summary!$C$12,12,31),Summary!$C$15))*('Dvd Calendar'!$E$2165&lt;=Summary!$C$11)=0,"",'Dvd Calendar'!$E$2165*1000000000+ISNUMBER('Dvd Calendar'!$E$2166)*100000000+('Dvd Calendar'!$E$2170='Field Check'!$C$25)*10000000+(N('Dvd Calendar'!$E$2164)&gt;0)*1000000+4*1000+1))</f>
        <v/>
      </c>
      <c r="D160" s="41">
        <f>IF(N('Dvd Calendar'!$F$2165)=0,"",IF(('Dvd Calendar'!$F$2165&gt;=MIN(DATE(Summary!$C$12,1,1),Summary!$C$11))*('Dvd Calendar'!$F$2165&lt;=MAX(DATE(Summary!$C$12,12,31),Summary!$C$15))*('Dvd Calendar'!$F$2165&lt;=Summary!$C$11)=0,"",'Dvd Calendar'!$F$2165*1000000000+ISNUMBER('Dvd Calendar'!$F$2166)*100000000+('Dvd Calendar'!$F$2170='Field Check'!$C$25)*10000000+(N('Dvd Calendar'!$F$2164)&gt;0)*1000000+4*1000+2))</f>
        <v/>
      </c>
      <c r="E160" s="41">
        <f>IF(N('Dvd Calendar'!$G$2165)=0,"",IF(('Dvd Calendar'!$G$2165&gt;=MIN(DATE(Summary!$C$12,1,1),Summary!$C$11))*('Dvd Calendar'!$G$2165&lt;=MAX(DATE(Summary!$C$12,12,31),Summary!$C$15))*('Dvd Calendar'!$G$2165&lt;=Summary!$C$11)=0,"",'Dvd Calendar'!$G$2165*1000000000+ISNUMBER('Dvd Calendar'!$G$2166)*100000000+('Dvd Calendar'!$G$2170='Field Check'!$C$25)*10000000+(N('Dvd Calendar'!$G$2164)&gt;0)*1000000+4*1000+3))</f>
        <v/>
      </c>
      <c r="F160" s="41">
        <f>IF(N('Dvd Calendar'!$H$2165)=0,"",IF(('Dvd Calendar'!$H$2165&gt;=MIN(DATE(Summary!$C$12,1,1),Summary!$C$11))*('Dvd Calendar'!$H$2165&lt;=MAX(DATE(Summary!$C$12,12,31),Summary!$C$15))*('Dvd Calendar'!$H$2165&lt;=Summary!$C$11)=0,"",'Dvd Calendar'!$H$2165*1000000000+ISNUMBER('Dvd Calendar'!$H$2166)*100000000+('Dvd Calendar'!$H$2170='Field Check'!$C$25)*10000000+(N('Dvd Calendar'!$H$2164)&gt;0)*1000000+4*1000+4))</f>
        <v/>
      </c>
      <c r="G160" s="41">
        <f>IF(N('Dvd Calendar'!$I$2165)=0,"",IF(('Dvd Calendar'!$I$2165&gt;=MIN(DATE(Summary!$C$12,1,1),Summary!$C$11))*('Dvd Calendar'!$I$2165&lt;=MAX(DATE(Summary!$C$12,12,31),Summary!$C$15))*('Dvd Calendar'!$I$2165&lt;=Summary!$C$11)=0,"",'Dvd Calendar'!$I$2165*1000000000+ISNUMBER('Dvd Calendar'!$I$2166)*100000000+('Dvd Calendar'!$I$2170='Field Check'!$C$25)*10000000+(N('Dvd Calendar'!$I$2164)&gt;0)*1000000+4*1000+5))</f>
        <v/>
      </c>
      <c r="H160" s="41">
        <f>IF(N('Dvd Calendar'!$J$2165)=0,"",IF(('Dvd Calendar'!$J$2165&gt;=MIN(DATE(Summary!$C$12,1,1),Summary!$C$11))*('Dvd Calendar'!$J$2165&lt;=MAX(DATE(Summary!$C$12,12,31),Summary!$C$15))*('Dvd Calendar'!$J$2165&lt;=Summary!$C$11)=0,"",'Dvd Calendar'!$J$2165*1000000000+ISNUMBER('Dvd Calendar'!$J$2166)*100000000+('Dvd Calendar'!$J$2170='Field Check'!$C$25)*10000000+(N('Dvd Calendar'!$J$2164)&gt;0)*1000000+4*1000+6))</f>
        <v/>
      </c>
      <c r="I160" s="41">
        <f>IF(N('Dvd Calendar'!$K$2165)=0,"",IF(('Dvd Calendar'!$K$2165&gt;=MIN(DATE(Summary!$C$12,1,1),Summary!$C$11))*('Dvd Calendar'!$K$2165&lt;=MAX(DATE(Summary!$C$12,12,31),Summary!$C$15))*('Dvd Calendar'!$K$2165&lt;=Summary!$C$11)=0,"",'Dvd Calendar'!$K$2165*1000000000+ISNUMBER('Dvd Calendar'!$K$2166)*100000000+('Dvd Calendar'!$K$2170='Field Check'!$C$25)*10000000+(N('Dvd Calendar'!$K$2164)&gt;0)*1000000+4*1000+7))</f>
        <v/>
      </c>
      <c r="J160" s="41">
        <f>IF(N('Dvd Calendar'!$L$2165)=0,"",IF(('Dvd Calendar'!$L$2165&gt;=MIN(DATE(Summary!$C$12,1,1),Summary!$C$11))*('Dvd Calendar'!$L$2165&lt;=MAX(DATE(Summary!$C$12,12,31),Summary!$C$15))*('Dvd Calendar'!$L$2165&lt;=Summary!$C$11)=0,"",'Dvd Calendar'!$L$2165*1000000000+ISNUMBER('Dvd Calendar'!$L$2166)*100000000+('Dvd Calendar'!$L$2170='Field Check'!$C$25)*10000000+(N('Dvd Calendar'!$L$2164)&gt;0)*1000000+4*1000+8))</f>
        <v/>
      </c>
      <c r="K160" s="41">
        <f>IF(N('Dvd Calendar'!$M$2165)=0,"",IF(('Dvd Calendar'!$M$2165&gt;=MIN(DATE(Summary!$C$12,1,1),Summary!$C$11))*('Dvd Calendar'!$M$2165&lt;=MAX(DATE(Summary!$C$12,12,31),Summary!$C$15))*('Dvd Calendar'!$M$2165&lt;=Summary!$C$11)=0,"",'Dvd Calendar'!$M$2165*1000000000+ISNUMBER('Dvd Calendar'!$M$2166)*100000000+('Dvd Calendar'!$M$2170='Field Check'!$C$25)*10000000+(N('Dvd Calendar'!$M$2164)&gt;0)*1000000+4*1000+9))</f>
        <v/>
      </c>
      <c r="L160" s="41">
        <f>IF(N('Dvd Calendar'!$N$2165)=0,"",IF(('Dvd Calendar'!$N$2165&gt;=MIN(DATE(Summary!$C$12,1,1),Summary!$C$11))*('Dvd Calendar'!$N$2165&lt;=MAX(DATE(Summary!$C$12,12,31),Summary!$C$15))*('Dvd Calendar'!$N$2165&lt;=Summary!$C$11)=0,"",'Dvd Calendar'!$N$2165*1000000000+ISNUMBER('Dvd Calendar'!$N$2166)*100000000+('Dvd Calendar'!$N$2170='Field Check'!$C$25)*10000000+(N('Dvd Calendar'!$N$2164)&gt;0)*1000000+4*1000+10))</f>
        <v/>
      </c>
      <c r="M160" s="41">
        <f>IF(N('Dvd Calendar'!$O$2165)=0,"",IF(('Dvd Calendar'!$O$2165&gt;=MIN(DATE(Summary!$C$12,1,1),Summary!$C$11))*('Dvd Calendar'!$O$2165&lt;=MAX(DATE(Summary!$C$12,12,31),Summary!$C$15))*('Dvd Calendar'!$O$2165&lt;=Summary!$C$11)=0,"",'Dvd Calendar'!$O$2165*1000000000+ISNUMBER('Dvd Calendar'!$O$2166)*100000000+('Dvd Calendar'!$O$2170='Field Check'!$C$25)*10000000+(N('Dvd Calendar'!$O$2164)&gt;0)*1000000+4*1000+11))</f>
        <v/>
      </c>
      <c r="N160" s="41">
        <f>IF(N('Dvd Calendar'!$P$2165)=0,"",IF(('Dvd Calendar'!$P$2165&gt;=MIN(DATE(Summary!$C$12,1,1),Summary!$C$11))*('Dvd Calendar'!$P$2165&lt;=MAX(DATE(Summary!$C$12,12,31),Summary!$C$15))*('Dvd Calendar'!$P$2165&lt;=Summary!$C$11)=0,"",'Dvd Calendar'!$P$2165*1000000000+ISNUMBER('Dvd Calendar'!$P$2166)*100000000+('Dvd Calendar'!$P$2170='Field Check'!$C$25)*10000000+(N('Dvd Calendar'!$P$2164)&gt;0)*1000000+4*1000+12))</f>
        <v/>
      </c>
      <c r="O160" s="41">
        <f>IF(N('Dvd Calendar'!$Q$2165)=0,"",IF(('Dvd Calendar'!$Q$2165&gt;=MIN(DATE(Summary!$C$12,1,1),Summary!$C$11))*('Dvd Calendar'!$Q$2165&lt;=MAX(DATE(Summary!$C$12,12,31),Summary!$C$15))*('Dvd Calendar'!$Q$2165&lt;=Summary!$C$11)=0,"",'Dvd Calendar'!$Q$2165*1000000000+ISNUMBER('Dvd Calendar'!$Q$2166)*100000000+('Dvd Calendar'!$Q$2170='Field Check'!$C$25)*10000000+(N('Dvd Calendar'!$Q$2164)&gt;0)*1000000+4*1000+13))</f>
        <v/>
      </c>
      <c r="P160" s="41">
        <f>IF(N('Dvd Calendar'!$R$2165)=0,"",IF(('Dvd Calendar'!$R$2165&gt;=MIN(DATE(Summary!$C$12,1,1),Summary!$C$11))*('Dvd Calendar'!$R$2165&lt;=MAX(DATE(Summary!$C$12,12,31),Summary!$C$15))*('Dvd Calendar'!$R$2165&lt;=Summary!$C$11)=0,"",'Dvd Calendar'!$R$2165*1000000000+ISNUMBER('Dvd Calendar'!$R$2166)*100000000+('Dvd Calendar'!$R$2170='Field Check'!$C$25)*10000000+(N('Dvd Calendar'!$R$2164)&gt;0)*1000000+4*1000+14))</f>
        <v/>
      </c>
      <c r="Q160" s="41">
        <f>IF(N('Dvd Calendar'!$S$2165)=0,"",IF(('Dvd Calendar'!$S$2165&gt;=MIN(DATE(Summary!$C$12,1,1),Summary!$C$11))*('Dvd Calendar'!$S$2165&lt;=MAX(DATE(Summary!$C$12,12,31),Summary!$C$15))*('Dvd Calendar'!$S$2165&lt;=Summary!$C$11)=0,"",'Dvd Calendar'!$S$2165*1000000000+ISNUMBER('Dvd Calendar'!$S$2166)*100000000+('Dvd Calendar'!$S$2170='Field Check'!$C$25)*10000000+(N('Dvd Calendar'!$S$2164)&gt;0)*1000000+4*1000+15))</f>
        <v/>
      </c>
      <c r="R160" s="41">
        <f>IF(N('Dvd Calendar'!$T$2165)=0,"",IF(('Dvd Calendar'!$T$2165&gt;=MIN(DATE(Summary!$C$12,1,1),Summary!$C$11))*('Dvd Calendar'!$T$2165&lt;=MAX(DATE(Summary!$C$12,12,31),Summary!$C$15))*('Dvd Calendar'!$T$2165&lt;=Summary!$C$11)=0,"",'Dvd Calendar'!$T$2165*1000000000+ISNUMBER('Dvd Calendar'!$T$2166)*100000000+('Dvd Calendar'!$T$2170='Field Check'!$C$25)*10000000+(N('Dvd Calendar'!$T$2164)&gt;0)*1000000+4*1000+16))</f>
        <v/>
      </c>
      <c r="S160" s="41">
        <f>IF(N('Dvd Calendar'!$U$2165)=0,"",IF(('Dvd Calendar'!$U$2165&gt;=MIN(DATE(Summary!$C$12,1,1),Summary!$C$11))*('Dvd Calendar'!$U$2165&lt;=MAX(DATE(Summary!$C$12,12,31),Summary!$C$15))*('Dvd Calendar'!$U$2165&lt;=Summary!$C$11)=0,"",'Dvd Calendar'!$U$2165*1000000000+ISNUMBER('Dvd Calendar'!$U$2166)*100000000+('Dvd Calendar'!$U$2170='Field Check'!$C$25)*10000000+(N('Dvd Calendar'!$U$2164)&gt;0)*1000000+4*1000+17))</f>
        <v/>
      </c>
      <c r="T160" s="41">
        <f>IF(N('Dvd Calendar'!$V$2165)=0,"",IF(('Dvd Calendar'!$V$2165&gt;=MIN(DATE(Summary!$C$12,1,1),Summary!$C$11))*('Dvd Calendar'!$V$2165&lt;=MAX(DATE(Summary!$C$12,12,31),Summary!$C$15))*('Dvd Calendar'!$V$2165&lt;=Summary!$C$11)=0,"",'Dvd Calendar'!$V$2165*1000000000+ISNUMBER('Dvd Calendar'!$V$2166)*100000000+('Dvd Calendar'!$V$2170='Field Check'!$C$25)*10000000+(N('Dvd Calendar'!$V$2164)&gt;0)*1000000+4*1000+18))</f>
        <v/>
      </c>
      <c r="U160" s="41">
        <f>IF(N('Dvd Calendar'!$W$2165)=0,"",IF(('Dvd Calendar'!$W$2165&gt;=MIN(DATE(Summary!$C$12,1,1),Summary!$C$11))*('Dvd Calendar'!$W$2165&lt;=MAX(DATE(Summary!$C$12,12,31),Summary!$C$15))*('Dvd Calendar'!$W$2165&lt;=Summary!$C$11)=0,"",'Dvd Calendar'!$W$2165*1000000000+ISNUMBER('Dvd Calendar'!$W$2166)*100000000+('Dvd Calendar'!$W$2170='Field Check'!$C$25)*10000000+(N('Dvd Calendar'!$W$2164)&gt;0)*1000000+4*1000+19))</f>
        <v/>
      </c>
      <c r="V160" s="41">
        <f>IF(N('Dvd Calendar'!$X$2165)=0,"",IF(('Dvd Calendar'!$X$2165&gt;=MIN(DATE(Summary!$C$12,1,1),Summary!$C$11))*('Dvd Calendar'!$X$2165&lt;=MAX(DATE(Summary!$C$12,12,31),Summary!$C$15))*('Dvd Calendar'!$X$2165&lt;=Summary!$C$11)=0,"",'Dvd Calendar'!$X$2165*1000000000+ISNUMBER('Dvd Calendar'!$X$2166)*100000000+('Dvd Calendar'!$X$2170='Field Check'!$C$25)*10000000+(N('Dvd Calendar'!$X$2164)&gt;0)*1000000+4*1000+20))</f>
        <v/>
      </c>
      <c r="W160" s="41">
        <f>IF(N('Dvd Calendar'!$Y$2165)=0,"",IF(('Dvd Calendar'!$Y$2165&gt;=MIN(DATE(Summary!$C$12,1,1),Summary!$C$11))*('Dvd Calendar'!$Y$2165&lt;=MAX(DATE(Summary!$C$12,12,31),Summary!$C$15))*('Dvd Calendar'!$Y$2165&lt;=Summary!$C$11)=0,"",'Dvd Calendar'!$Y$2165*1000000000+ISNUMBER('Dvd Calendar'!$Y$2166)*100000000+('Dvd Calendar'!$Y$2170='Field Check'!$C$25)*10000000+(N('Dvd Calendar'!$Y$2164)&gt;0)*1000000+4*1000+21))</f>
        <v/>
      </c>
      <c r="X160" s="41">
        <f>IF(N('Dvd Calendar'!$Z$2165)=0,"",IF(('Dvd Calendar'!$Z$2165&gt;=MIN(DATE(Summary!$C$12,1,1),Summary!$C$11))*('Dvd Calendar'!$Z$2165&lt;=MAX(DATE(Summary!$C$12,12,31),Summary!$C$15))*('Dvd Calendar'!$Z$2165&lt;=Summary!$C$11)=0,"",'Dvd Calendar'!$Z$2165*1000000000+ISNUMBER('Dvd Calendar'!$Z$2166)*100000000+('Dvd Calendar'!$Z$2170='Field Check'!$C$25)*10000000+(N('Dvd Calendar'!$Z$2164)&gt;0)*1000000+4*1000+22))</f>
        <v/>
      </c>
      <c r="Y160" s="41">
        <f>IF(N('Dvd Calendar'!$AA$2165)=0,"",IF(('Dvd Calendar'!$AA$2165&gt;=MIN(DATE(Summary!$C$12,1,1),Summary!$C$11))*('Dvd Calendar'!$AA$2165&lt;=MAX(DATE(Summary!$C$12,12,31),Summary!$C$15))*('Dvd Calendar'!$AA$2165&lt;=Summary!$C$11)=0,"",'Dvd Calendar'!$AA$2165*1000000000+ISNUMBER('Dvd Calendar'!$AA$2166)*100000000+('Dvd Calendar'!$AA$2170='Field Check'!$C$25)*10000000+(N('Dvd Calendar'!$AA$2164)&gt;0)*1000000+4*1000+23))</f>
        <v/>
      </c>
      <c r="Z160" s="41">
        <f>IF(N('Dvd Calendar'!$AB$2165)=0,"",IF(('Dvd Calendar'!$AB$2165&gt;=MIN(DATE(Summary!$C$12,1,1),Summary!$C$11))*('Dvd Calendar'!$AB$2165&lt;=MAX(DATE(Summary!$C$12,12,31),Summary!$C$15))*('Dvd Calendar'!$AB$2165&lt;=Summary!$C$11)=0,"",'Dvd Calendar'!$AB$2165*1000000000+ISNUMBER('Dvd Calendar'!$AB$2166)*100000000+('Dvd Calendar'!$AB$2170='Field Check'!$C$25)*10000000+(N('Dvd Calendar'!$AB$2164)&gt;0)*1000000+4*1000+24))</f>
        <v/>
      </c>
      <c r="AA160" s="41">
        <f>IF(N('Dvd Calendar'!$AC$2165)=0,"",IF(('Dvd Calendar'!$AC$2165&gt;=MIN(DATE(Summary!$C$12,1,1),Summary!$C$11))*('Dvd Calendar'!$AC$2165&lt;=MAX(DATE(Summary!$C$12,12,31),Summary!$C$15))*('Dvd Calendar'!$AC$2165&lt;=Summary!$C$11)=0,"",'Dvd Calendar'!$AC$2165*1000000000+ISNUMBER('Dvd Calendar'!$AC$2166)*100000000+('Dvd Calendar'!$AC$2170='Field Check'!$C$25)*10000000+(N('Dvd Calendar'!$AC$2164)&gt;0)*1000000+4*1000+25))</f>
        <v/>
      </c>
      <c r="AB160" s="41">
        <f>IF(N('Dvd Calendar'!$AD$2165)=0,"",IF(('Dvd Calendar'!$AD$2165&gt;=MIN(DATE(Summary!$C$12,1,1),Summary!$C$11))*('Dvd Calendar'!$AD$2165&lt;=MAX(DATE(Summary!$C$12,12,31),Summary!$C$15))*('Dvd Calendar'!$AD$2165&lt;=Summary!$C$11)=0,"",'Dvd Calendar'!$AD$2165*1000000000+ISNUMBER('Dvd Calendar'!$AD$2166)*100000000+('Dvd Calendar'!$AD$2170='Field Check'!$C$25)*10000000+(N('Dvd Calendar'!$AD$2164)&gt;0)*1000000+4*1000+26))</f>
        <v/>
      </c>
      <c r="AC160" s="41">
        <f>IF(N('Dvd Calendar'!$AE$2165)=0,"",IF(('Dvd Calendar'!$AE$2165&gt;=MIN(DATE(Summary!$C$12,1,1),Summary!$C$11))*('Dvd Calendar'!$AE$2165&lt;=MAX(DATE(Summary!$C$12,12,31),Summary!$C$15))*('Dvd Calendar'!$AE$2165&lt;=Summary!$C$11)=0,"",'Dvd Calendar'!$AE$2165*1000000000+ISNUMBER('Dvd Calendar'!$AE$2166)*100000000+('Dvd Calendar'!$AE$2170='Field Check'!$C$25)*10000000+(N('Dvd Calendar'!$AE$2164)&gt;0)*1000000+4*1000+27))</f>
        <v/>
      </c>
      <c r="AD160" s="41">
        <f>IF(N('Dvd Calendar'!$AF$2165)=0,"",IF(('Dvd Calendar'!$AF$2165&gt;=MIN(DATE(Summary!$C$12,1,1),Summary!$C$11))*('Dvd Calendar'!$AF$2165&lt;=MAX(DATE(Summary!$C$12,12,31),Summary!$C$15))*('Dvd Calendar'!$AF$2165&lt;=Summary!$C$11)=0,"",'Dvd Calendar'!$AF$2165*1000000000+ISNUMBER('Dvd Calendar'!$AF$2166)*100000000+('Dvd Calendar'!$AF$2170='Field Check'!$C$25)*10000000+(N('Dvd Calendar'!$AF$2164)&gt;0)*1000000+4*1000+28))</f>
        <v/>
      </c>
      <c r="AE160" s="41">
        <f>IF(N('Dvd Calendar'!$AG$2165)=0,"",IF(('Dvd Calendar'!$AG$2165&gt;=MIN(DATE(Summary!$C$12,1,1),Summary!$C$11))*('Dvd Calendar'!$AG$2165&lt;=MAX(DATE(Summary!$C$12,12,31),Summary!$C$15))*('Dvd Calendar'!$AG$2165&lt;=Summary!$C$11)=0,"",'Dvd Calendar'!$AG$2165*1000000000+ISNUMBER('Dvd Calendar'!$AG$2166)*100000000+('Dvd Calendar'!$AG$2170='Field Check'!$C$25)*10000000+(N('Dvd Calendar'!$AG$2164)&gt;0)*1000000+4*1000+29))</f>
        <v/>
      </c>
      <c r="AF160" s="41">
        <f>IF(N('Dvd Calendar'!$AH$2165)=0,"",IF(('Dvd Calendar'!$AH$2165&gt;=MIN(DATE(Summary!$C$12,1,1),Summary!$C$11))*('Dvd Calendar'!$AH$2165&lt;=MAX(DATE(Summary!$C$12,12,31),Summary!$C$15))*('Dvd Calendar'!$AH$2165&lt;=Summary!$C$11)=0,"",'Dvd Calendar'!$AH$2165*1000000000+ISNUMBER('Dvd Calendar'!$AH$2166)*100000000+('Dvd Calendar'!$AH$2170='Field Check'!$C$25)*10000000+(N('Dvd Calendar'!$AH$2164)&gt;0)*1000000+4*1000+30))</f>
        <v/>
      </c>
      <c r="AG160" s="41">
        <f>IF(N('Dvd Calendar'!$AI$2165)=0,"",IF(('Dvd Calendar'!$AI$2165&gt;=MIN(DATE(Summary!$C$12,1,1),Summary!$C$11))*('Dvd Calendar'!$AI$2165&lt;=MAX(DATE(Summary!$C$12,12,31),Summary!$C$15))*('Dvd Calendar'!$AI$2165&lt;=Summary!$C$11)=0,"",'Dvd Calendar'!$AI$2165*1000000000+ISNUMBER('Dvd Calendar'!$AI$2166)*100000000+('Dvd Calendar'!$AI$2170='Field Check'!$C$25)*10000000+(N('Dvd Calendar'!$AI$2164)&gt;0)*1000000+4*1000+31))</f>
        <v/>
      </c>
      <c r="AH160" s="41">
        <f>IF(N('Dvd Calendar'!$AJ$2165)=0,"",IF(('Dvd Calendar'!$AJ$2165&gt;=MIN(DATE(Summary!$C$12,1,1),Summary!$C$11))*('Dvd Calendar'!$AJ$2165&lt;=MAX(DATE(Summary!$C$12,12,31),Summary!$C$15))*('Dvd Calendar'!$AJ$2165&lt;=Summary!$C$11)=0,"",'Dvd Calendar'!$AJ$2165*1000000000+ISNUMBER('Dvd Calendar'!$AJ$2166)*100000000+('Dvd Calendar'!$AJ$2170='Field Check'!$C$25)*10000000+(N('Dvd Calendar'!$AJ$2164)&gt;0)*1000000+4*1000+32))</f>
        <v/>
      </c>
      <c r="AI160" s="41">
        <f>IF(N('Dvd Calendar'!$AK$2165)=0,"",IF(('Dvd Calendar'!$AK$2165&gt;=MIN(DATE(Summary!$C$12,1,1),Summary!$C$11))*('Dvd Calendar'!$AK$2165&lt;=MAX(DATE(Summary!$C$12,12,31),Summary!$C$15))*('Dvd Calendar'!$AK$2165&lt;=Summary!$C$11)=0,"",'Dvd Calendar'!$AK$2165*1000000000+ISNUMBER('Dvd Calendar'!$AK$2166)*100000000+('Dvd Calendar'!$AK$2170='Field Check'!$C$25)*10000000+(N('Dvd Calendar'!$AK$2164)&gt;0)*1000000+4*1000+33))</f>
        <v/>
      </c>
      <c r="AJ160" s="41">
        <f>IF(N('Dvd Calendar'!$AL$2165)=0,"",IF(('Dvd Calendar'!$AL$2165&gt;=MIN(DATE(Summary!$C$12,1,1),Summary!$C$11))*('Dvd Calendar'!$AL$2165&lt;=MAX(DATE(Summary!$C$12,12,31),Summary!$C$15))*('Dvd Calendar'!$AL$2165&lt;=Summary!$C$11)=0,"",'Dvd Calendar'!$AL$2165*1000000000+ISNUMBER('Dvd Calendar'!$AL$2166)*100000000+('Dvd Calendar'!$AL$2170='Field Check'!$C$25)*10000000+(N('Dvd Calendar'!$AL$2164)&gt;0)*1000000+4*1000+34))</f>
        <v/>
      </c>
      <c r="AK160" s="41">
        <f>IF(N('Dvd Calendar'!$AM$2165)=0,"",IF(('Dvd Calendar'!$AM$2165&gt;=MIN(DATE(Summary!$C$12,1,1),Summary!$C$11))*('Dvd Calendar'!$AM$2165&lt;=MAX(DATE(Summary!$C$12,12,31),Summary!$C$15))*('Dvd Calendar'!$AM$2165&lt;=Summary!$C$11)=0,"",'Dvd Calendar'!$AM$2165*1000000000+ISNUMBER('Dvd Calendar'!$AM$2166)*100000000+('Dvd Calendar'!$AM$2170='Field Check'!$C$25)*10000000+(N('Dvd Calendar'!$AM$2164)&gt;0)*1000000+4*1000+35))</f>
        <v/>
      </c>
      <c r="AL160" s="41">
        <f>IF(N('Dvd Calendar'!$AN$2165)=0,"",IF(('Dvd Calendar'!$AN$2165&gt;=MIN(DATE(Summary!$C$12,1,1),Summary!$C$11))*('Dvd Calendar'!$AN$2165&lt;=MAX(DATE(Summary!$C$12,12,31),Summary!$C$15))*('Dvd Calendar'!$AN$2165&lt;=Summary!$C$11)=0,"",'Dvd Calendar'!$AN$2165*1000000000+ISNUMBER('Dvd Calendar'!$AN$2166)*100000000+('Dvd Calendar'!$AN$2170='Field Check'!$C$25)*10000000+(N('Dvd Calendar'!$AN$2164)&gt;0)*1000000+4*1000+36))</f>
        <v/>
      </c>
      <c r="AM160" s="41">
        <f>IF(N('Dvd Calendar'!$AO$2165)=0,"",IF(('Dvd Calendar'!$AO$2165&gt;=MIN(DATE(Summary!$C$12,1,1),Summary!$C$11))*('Dvd Calendar'!$AO$2165&lt;=MAX(DATE(Summary!$C$12,12,31),Summary!$C$15))*('Dvd Calendar'!$AO$2165&lt;=Summary!$C$11)=0,"",'Dvd Calendar'!$AO$2165*1000000000+ISNUMBER('Dvd Calendar'!$AO$2166)*100000000+('Dvd Calendar'!$AO$2170='Field Check'!$C$25)*10000000+(N('Dvd Calendar'!$AO$2164)&gt;0)*1000000+4*1000+37))</f>
        <v/>
      </c>
      <c r="AN160" s="41">
        <f>IF(N('Dvd Calendar'!$AP$2165)=0,"",IF(('Dvd Calendar'!$AP$2165&gt;=MIN(DATE(Summary!$C$12,1,1),Summary!$C$11))*('Dvd Calendar'!$AP$2165&lt;=MAX(DATE(Summary!$C$12,12,31),Summary!$C$15))*('Dvd Calendar'!$AP$2165&lt;=Summary!$C$11)=0,"",'Dvd Calendar'!$AP$2165*1000000000+ISNUMBER('Dvd Calendar'!$AP$2166)*100000000+('Dvd Calendar'!$AP$2170='Field Check'!$C$25)*10000000+(N('Dvd Calendar'!$AP$2164)&gt;0)*1000000+4*1000+38))</f>
        <v/>
      </c>
      <c r="AO160" s="41">
        <f>IF(N('Dvd Calendar'!$AQ$2165)=0,"",IF(('Dvd Calendar'!$AQ$2165&gt;=MIN(DATE(Summary!$C$12,1,1),Summary!$C$11))*('Dvd Calendar'!$AQ$2165&lt;=MAX(DATE(Summary!$C$12,12,31),Summary!$C$15))*('Dvd Calendar'!$AQ$2165&lt;=Summary!$C$11)=0,"",'Dvd Calendar'!$AQ$2165*1000000000+ISNUMBER('Dvd Calendar'!$AQ$2166)*100000000+('Dvd Calendar'!$AQ$2170='Field Check'!$C$25)*10000000+(N('Dvd Calendar'!$AQ$2164)&gt;0)*1000000+4*1000+39))</f>
        <v/>
      </c>
      <c r="AP160" s="41">
        <f>IF(N('Dvd Calendar'!$AR$2165)=0,"",IF(('Dvd Calendar'!$AR$2165&gt;=MIN(DATE(Summary!$C$12,1,1),Summary!$C$11))*('Dvd Calendar'!$AR$2165&lt;=MAX(DATE(Summary!$C$12,12,31),Summary!$C$15))*('Dvd Calendar'!$AR$2165&lt;=Summary!$C$11)=0,"",'Dvd Calendar'!$AR$2165*1000000000+ISNUMBER('Dvd Calendar'!$AR$2166)*100000000+('Dvd Calendar'!$AR$2170='Field Check'!$C$25)*10000000+(N('Dvd Calendar'!$AR$2164)&gt;0)*1000000+4*1000+40))</f>
        <v/>
      </c>
      <c r="AQ160" s="41">
        <f>IF(N('Dvd Calendar'!$E$2172)=0,"",IF(('Dvd Calendar'!$E$2172&gt;=MIN(DATE(Summary!$C$12,1,1),Summary!$C$11))*('Dvd Calendar'!$E$2172&lt;=MAX(DATE(Summary!$C$12,12,31),Summary!$C$15))*('Dvd Calendar'!$E$2172&gt;Summary!$C$11)=0,"",'Dvd Calendar'!$E$2172*1000000000+ISNUMBER('Dvd Calendar'!$E$2173)*100000000+('Dvd Calendar'!$E$2177='Field Check'!$C$25)*10000000+(N('Dvd Calendar'!$E$2171)&gt;0)*1000000+4*1000+41))</f>
        <v/>
      </c>
      <c r="AR160" s="41">
        <f>IF(N('Dvd Calendar'!$F$2172)=0,"",IF(('Dvd Calendar'!$F$2172&gt;=MIN(DATE(Summary!$C$12,1,1),Summary!$C$11))*('Dvd Calendar'!$F$2172&lt;=MAX(DATE(Summary!$C$12,12,31),Summary!$C$15))*('Dvd Calendar'!$F$2172&gt;Summary!$C$11)=0,"",'Dvd Calendar'!$F$2172*1000000000+ISNUMBER('Dvd Calendar'!$F$2173)*100000000+('Dvd Calendar'!$F$2177='Field Check'!$C$25)*10000000+(N('Dvd Calendar'!$F$2171)&gt;0)*1000000+4*1000+42))</f>
        <v/>
      </c>
      <c r="AS160" s="41">
        <f>IF(N('Dvd Calendar'!$G$2172)=0,"",IF(('Dvd Calendar'!$G$2172&gt;=MIN(DATE(Summary!$C$12,1,1),Summary!$C$11))*('Dvd Calendar'!$G$2172&lt;=MAX(DATE(Summary!$C$12,12,31),Summary!$C$15))*('Dvd Calendar'!$G$2172&gt;Summary!$C$11)=0,"",'Dvd Calendar'!$G$2172*1000000000+ISNUMBER('Dvd Calendar'!$G$2173)*100000000+('Dvd Calendar'!$G$2177='Field Check'!$C$25)*10000000+(N('Dvd Calendar'!$G$2171)&gt;0)*1000000+4*1000+43))</f>
        <v/>
      </c>
      <c r="AT160" s="41">
        <f>IF(N('Dvd Calendar'!$H$2172)=0,"",IF(('Dvd Calendar'!$H$2172&gt;=MIN(DATE(Summary!$C$12,1,1),Summary!$C$11))*('Dvd Calendar'!$H$2172&lt;=MAX(DATE(Summary!$C$12,12,31),Summary!$C$15))*('Dvd Calendar'!$H$2172&gt;Summary!$C$11)=0,"",'Dvd Calendar'!$H$2172*1000000000+ISNUMBER('Dvd Calendar'!$H$2173)*100000000+('Dvd Calendar'!$H$2177='Field Check'!$C$25)*10000000+(N('Dvd Calendar'!$H$2171)&gt;0)*1000000+4*1000+44))</f>
        <v/>
      </c>
      <c r="AU160" s="41">
        <f>IF(N('Dvd Calendar'!$I$2172)=0,"",IF(('Dvd Calendar'!$I$2172&gt;=MIN(DATE(Summary!$C$12,1,1),Summary!$C$11))*('Dvd Calendar'!$I$2172&lt;=MAX(DATE(Summary!$C$12,12,31),Summary!$C$15))*('Dvd Calendar'!$I$2172&gt;Summary!$C$11)=0,"",'Dvd Calendar'!$I$2172*1000000000+ISNUMBER('Dvd Calendar'!$I$2173)*100000000+('Dvd Calendar'!$I$2177='Field Check'!$C$25)*10000000+(N('Dvd Calendar'!$I$2171)&gt;0)*1000000+4*1000+45))</f>
        <v/>
      </c>
      <c r="AV160" s="41">
        <f>IF(N('Dvd Calendar'!$J$2172)=0,"",IF(('Dvd Calendar'!$J$2172&gt;=MIN(DATE(Summary!$C$12,1,1),Summary!$C$11))*('Dvd Calendar'!$J$2172&lt;=MAX(DATE(Summary!$C$12,12,31),Summary!$C$15))*('Dvd Calendar'!$J$2172&gt;Summary!$C$11)=0,"",'Dvd Calendar'!$J$2172*1000000000+ISNUMBER('Dvd Calendar'!$J$2173)*100000000+('Dvd Calendar'!$J$2177='Field Check'!$C$25)*10000000+(N('Dvd Calendar'!$J$2171)&gt;0)*1000000+4*1000+46))</f>
        <v/>
      </c>
      <c r="AW160" s="41">
        <f>IF(N('Dvd Calendar'!$K$2172)=0,"",IF(('Dvd Calendar'!$K$2172&gt;=MIN(DATE(Summary!$C$12,1,1),Summary!$C$11))*('Dvd Calendar'!$K$2172&lt;=MAX(DATE(Summary!$C$12,12,31),Summary!$C$15))*('Dvd Calendar'!$K$2172&gt;Summary!$C$11)=0,"",'Dvd Calendar'!$K$2172*1000000000+ISNUMBER('Dvd Calendar'!$K$2173)*100000000+('Dvd Calendar'!$K$2177='Field Check'!$C$25)*10000000+(N('Dvd Calendar'!$K$2171)&gt;0)*1000000+4*1000+47))</f>
        <v/>
      </c>
      <c r="AX160" s="41">
        <f>IF(N('Dvd Calendar'!$L$2172)=0,"",IF(('Dvd Calendar'!$L$2172&gt;=MIN(DATE(Summary!$C$12,1,1),Summary!$C$11))*('Dvd Calendar'!$L$2172&lt;=MAX(DATE(Summary!$C$12,12,31),Summary!$C$15))*('Dvd Calendar'!$L$2172&gt;Summary!$C$11)=0,"",'Dvd Calendar'!$L$2172*1000000000+ISNUMBER('Dvd Calendar'!$L$2173)*100000000+('Dvd Calendar'!$L$2177='Field Check'!$C$25)*10000000+(N('Dvd Calendar'!$L$2171)&gt;0)*1000000+4*1000+48))</f>
        <v/>
      </c>
      <c r="AY160" s="41">
        <f>IF(N('Dvd Calendar'!$M$2172)=0,"",IF(('Dvd Calendar'!$M$2172&gt;=MIN(DATE(Summary!$C$12,1,1),Summary!$C$11))*('Dvd Calendar'!$M$2172&lt;=MAX(DATE(Summary!$C$12,12,31),Summary!$C$15))*('Dvd Calendar'!$M$2172&gt;Summary!$C$11)=0,"",'Dvd Calendar'!$M$2172*1000000000+ISNUMBER('Dvd Calendar'!$M$2173)*100000000+('Dvd Calendar'!$M$2177='Field Check'!$C$25)*10000000+(N('Dvd Calendar'!$M$2171)&gt;0)*1000000+4*1000+49))</f>
        <v/>
      </c>
      <c r="AZ160" s="41">
        <f>IF(N('Dvd Calendar'!$N$2172)=0,"",IF(('Dvd Calendar'!$N$2172&gt;=MIN(DATE(Summary!$C$12,1,1),Summary!$C$11))*('Dvd Calendar'!$N$2172&lt;=MAX(DATE(Summary!$C$12,12,31),Summary!$C$15))*('Dvd Calendar'!$N$2172&gt;Summary!$C$11)=0,"",'Dvd Calendar'!$N$2172*1000000000+ISNUMBER('Dvd Calendar'!$N$2173)*100000000+('Dvd Calendar'!$N$2177='Field Check'!$C$25)*10000000+(N('Dvd Calendar'!$N$2171)&gt;0)*1000000+4*1000+50))</f>
        <v/>
      </c>
      <c r="BA160" s="41">
        <f>IF(N('Dvd Calendar'!$O$2172)=0,"",IF(('Dvd Calendar'!$O$2172&gt;=MIN(DATE(Summary!$C$12,1,1),Summary!$C$11))*('Dvd Calendar'!$O$2172&lt;=MAX(DATE(Summary!$C$12,12,31),Summary!$C$15))*('Dvd Calendar'!$O$2172&gt;Summary!$C$11)=0,"",'Dvd Calendar'!$O$2172*1000000000+ISNUMBER('Dvd Calendar'!$O$2173)*100000000+('Dvd Calendar'!$O$2177='Field Check'!$C$25)*10000000+(N('Dvd Calendar'!$O$2171)&gt;0)*1000000+4*1000+51))</f>
        <v/>
      </c>
      <c r="BB160" s="41">
        <f>IF(N('Dvd Calendar'!$P$2172)=0,"",IF(('Dvd Calendar'!$P$2172&gt;=MIN(DATE(Summary!$C$12,1,1),Summary!$C$11))*('Dvd Calendar'!$P$2172&lt;=MAX(DATE(Summary!$C$12,12,31),Summary!$C$15))*('Dvd Calendar'!$P$2172&gt;Summary!$C$11)=0,"",'Dvd Calendar'!$P$2172*1000000000+ISNUMBER('Dvd Calendar'!$P$2173)*100000000+('Dvd Calendar'!$P$2177='Field Check'!$C$25)*10000000+(N('Dvd Calendar'!$P$2171)&gt;0)*1000000+4*1000+52))</f>
        <v/>
      </c>
      <c r="BC160" s="41">
        <f>IF(N('Dvd Calendar'!$Q$2172)=0,"",IF(('Dvd Calendar'!$Q$2172&gt;=MIN(DATE(Summary!$C$12,1,1),Summary!$C$11))*('Dvd Calendar'!$Q$2172&lt;=MAX(DATE(Summary!$C$12,12,31),Summary!$C$15))*('Dvd Calendar'!$Q$2172&gt;Summary!$C$11)=0,"",'Dvd Calendar'!$Q$2172*1000000000+ISNUMBER('Dvd Calendar'!$Q$2173)*100000000+('Dvd Calendar'!$Q$2177='Field Check'!$C$25)*10000000+(N('Dvd Calendar'!$Q$2171)&gt;0)*1000000+4*1000+53))</f>
        <v/>
      </c>
      <c r="BD160" s="41">
        <f>IF(N('Dvd Calendar'!$R$2172)=0,"",IF(('Dvd Calendar'!$R$2172&gt;=MIN(DATE(Summary!$C$12,1,1),Summary!$C$11))*('Dvd Calendar'!$R$2172&lt;=MAX(DATE(Summary!$C$12,12,31),Summary!$C$15))*('Dvd Calendar'!$R$2172&gt;Summary!$C$11)=0,"",'Dvd Calendar'!$R$2172*1000000000+ISNUMBER('Dvd Calendar'!$R$2173)*100000000+('Dvd Calendar'!$R$2177='Field Check'!$C$25)*10000000+(N('Dvd Calendar'!$R$2171)&gt;0)*1000000+4*1000+54))</f>
        <v/>
      </c>
      <c r="BE160" s="41">
        <f>IF(N('Dvd Calendar'!$S$2172)=0,"",IF(('Dvd Calendar'!$S$2172&gt;=MIN(DATE(Summary!$C$12,1,1),Summary!$C$11))*('Dvd Calendar'!$S$2172&lt;=MAX(DATE(Summary!$C$12,12,31),Summary!$C$15))*('Dvd Calendar'!$S$2172&gt;Summary!$C$11)=0,"",'Dvd Calendar'!$S$2172*1000000000+ISNUMBER('Dvd Calendar'!$S$2173)*100000000+('Dvd Calendar'!$S$2177='Field Check'!$C$25)*10000000+(N('Dvd Calendar'!$S$2171)&gt;0)*1000000+4*1000+55))</f>
        <v/>
      </c>
      <c r="BF160" s="41">
        <f>IF(N('Dvd Calendar'!$T$2172)=0,"",IF(('Dvd Calendar'!$T$2172&gt;=MIN(DATE(Summary!$C$12,1,1),Summary!$C$11))*('Dvd Calendar'!$T$2172&lt;=MAX(DATE(Summary!$C$12,12,31),Summary!$C$15))*('Dvd Calendar'!$T$2172&gt;Summary!$C$11)=0,"",'Dvd Calendar'!$T$2172*1000000000+ISNUMBER('Dvd Calendar'!$T$2173)*100000000+('Dvd Calendar'!$T$2177='Field Check'!$C$25)*10000000+(N('Dvd Calendar'!$T$2171)&gt;0)*1000000+4*1000+56))</f>
        <v/>
      </c>
      <c r="BG160" s="41">
        <f>IF(N('Dvd Calendar'!$U$2172)=0,"",IF(('Dvd Calendar'!$U$2172&gt;=MIN(DATE(Summary!$C$12,1,1),Summary!$C$11))*('Dvd Calendar'!$U$2172&lt;=MAX(DATE(Summary!$C$12,12,31),Summary!$C$15))*('Dvd Calendar'!$U$2172&gt;Summary!$C$11)=0,"",'Dvd Calendar'!$U$2172*1000000000+ISNUMBER('Dvd Calendar'!$U$2173)*100000000+('Dvd Calendar'!$U$2177='Field Check'!$C$25)*10000000+(N('Dvd Calendar'!$U$2171)&gt;0)*1000000+4*1000+57))</f>
        <v/>
      </c>
      <c r="BH160" s="41">
        <f>IF(N('Dvd Calendar'!$V$2172)=0,"",IF(('Dvd Calendar'!$V$2172&gt;=MIN(DATE(Summary!$C$12,1,1),Summary!$C$11))*('Dvd Calendar'!$V$2172&lt;=MAX(DATE(Summary!$C$12,12,31),Summary!$C$15))*('Dvd Calendar'!$V$2172&gt;Summary!$C$11)=0,"",'Dvd Calendar'!$V$2172*1000000000+ISNUMBER('Dvd Calendar'!$V$2173)*100000000+('Dvd Calendar'!$V$2177='Field Check'!$C$25)*10000000+(N('Dvd Calendar'!$V$2171)&gt;0)*1000000+4*1000+58))</f>
        <v/>
      </c>
      <c r="BI160" s="41">
        <f>IF(N('Dvd Calendar'!$W$2172)=0,"",IF(('Dvd Calendar'!$W$2172&gt;=MIN(DATE(Summary!$C$12,1,1),Summary!$C$11))*('Dvd Calendar'!$W$2172&lt;=MAX(DATE(Summary!$C$12,12,31),Summary!$C$15))*('Dvd Calendar'!$W$2172&gt;Summary!$C$11)=0,"",'Dvd Calendar'!$W$2172*1000000000+ISNUMBER('Dvd Calendar'!$W$2173)*100000000+('Dvd Calendar'!$W$2177='Field Check'!$C$25)*10000000+(N('Dvd Calendar'!$W$2171)&gt;0)*1000000+4*1000+59))</f>
        <v/>
      </c>
      <c r="BJ160" s="41">
        <f>IF(N('Dvd Calendar'!$X$2172)=0,"",IF(('Dvd Calendar'!$X$2172&gt;=MIN(DATE(Summary!$C$12,1,1),Summary!$C$11))*('Dvd Calendar'!$X$2172&lt;=MAX(DATE(Summary!$C$12,12,31),Summary!$C$15))*('Dvd Calendar'!$X$2172&gt;Summary!$C$11)=0,"",'Dvd Calendar'!$X$2172*1000000000+ISNUMBER('Dvd Calendar'!$X$2173)*100000000+('Dvd Calendar'!$X$2177='Field Check'!$C$25)*10000000+(N('Dvd Calendar'!$X$2171)&gt;0)*1000000+4*1000+60))</f>
        <v/>
      </c>
      <c r="BK160" s="41">
        <f>IF(N('Dvd Calendar'!$Y$2172)=0,"",IF(('Dvd Calendar'!$Y$2172&gt;=MIN(DATE(Summary!$C$12,1,1),Summary!$C$11))*('Dvd Calendar'!$Y$2172&lt;=MAX(DATE(Summary!$C$12,12,31),Summary!$C$15))*('Dvd Calendar'!$Y$2172&gt;Summary!$C$11)=0,"",'Dvd Calendar'!$Y$2172*1000000000+ISNUMBER('Dvd Calendar'!$Y$2173)*100000000+('Dvd Calendar'!$Y$2177='Field Check'!$C$25)*10000000+(N('Dvd Calendar'!$Y$2171)&gt;0)*1000000+4*1000+61))</f>
        <v/>
      </c>
      <c r="BL160" s="41">
        <f>IF(N('Dvd Calendar'!$Z$2172)=0,"",IF(('Dvd Calendar'!$Z$2172&gt;=MIN(DATE(Summary!$C$12,1,1),Summary!$C$11))*('Dvd Calendar'!$Z$2172&lt;=MAX(DATE(Summary!$C$12,12,31),Summary!$C$15))*('Dvd Calendar'!$Z$2172&gt;Summary!$C$11)=0,"",'Dvd Calendar'!$Z$2172*1000000000+ISNUMBER('Dvd Calendar'!$Z$2173)*100000000+('Dvd Calendar'!$Z$2177='Field Check'!$C$25)*10000000+(N('Dvd Calendar'!$Z$2171)&gt;0)*1000000+4*1000+62))</f>
        <v/>
      </c>
      <c r="BM160" s="41">
        <f>IF(N('Dvd Calendar'!$AA$2172)=0,"",IF(('Dvd Calendar'!$AA$2172&gt;=MIN(DATE(Summary!$C$12,1,1),Summary!$C$11))*('Dvd Calendar'!$AA$2172&lt;=MAX(DATE(Summary!$C$12,12,31),Summary!$C$15))*('Dvd Calendar'!$AA$2172&gt;Summary!$C$11)=0,"",'Dvd Calendar'!$AA$2172*1000000000+ISNUMBER('Dvd Calendar'!$AA$2173)*100000000+('Dvd Calendar'!$AA$2177='Field Check'!$C$25)*10000000+(N('Dvd Calendar'!$AA$2171)&gt;0)*1000000+4*1000+63))</f>
        <v/>
      </c>
      <c r="BN160" s="41">
        <f>IF(N('Dvd Calendar'!$AB$2172)=0,"",IF(('Dvd Calendar'!$AB$2172&gt;=MIN(DATE(Summary!$C$12,1,1),Summary!$C$11))*('Dvd Calendar'!$AB$2172&lt;=MAX(DATE(Summary!$C$12,12,31),Summary!$C$15))*('Dvd Calendar'!$AB$2172&gt;Summary!$C$11)=0,"",'Dvd Calendar'!$AB$2172*1000000000+ISNUMBER('Dvd Calendar'!$AB$2173)*100000000+('Dvd Calendar'!$AB$2177='Field Check'!$C$25)*10000000+(N('Dvd Calendar'!$AB$2171)&gt;0)*1000000+4*1000+64))</f>
        <v/>
      </c>
      <c r="BO160" s="41">
        <f>IF(N('Dvd Calendar'!$AC$2172)=0,"",IF(('Dvd Calendar'!$AC$2172&gt;=MIN(DATE(Summary!$C$12,1,1),Summary!$C$11))*('Dvd Calendar'!$AC$2172&lt;=MAX(DATE(Summary!$C$12,12,31),Summary!$C$15))*('Dvd Calendar'!$AC$2172&gt;Summary!$C$11)=0,"",'Dvd Calendar'!$AC$2172*1000000000+ISNUMBER('Dvd Calendar'!$AC$2173)*100000000+('Dvd Calendar'!$AC$2177='Field Check'!$C$25)*10000000+(N('Dvd Calendar'!$AC$2171)&gt;0)*1000000+4*1000+65))</f>
        <v/>
      </c>
      <c r="BQ160" s="85">
        <f>IF(C160="","",IF(ISNUMBER('Dvd Calendar'!$E$2166)=FALSE,"",IF((Summary!$C$13="N")*('Dvd Calendar'!$E$2170='Field Check'!$C$25)&gt;0,"",'Dvd Calendar'!$E$2166)))</f>
        <v/>
      </c>
      <c r="BR160" s="85">
        <f>IF(D160="","",IF(ISNUMBER('Dvd Calendar'!$F$2166)=FALSE,"",IF((Summary!$C$13="N")*('Dvd Calendar'!$F$2170='Field Check'!$C$25)&gt;0,"",'Dvd Calendar'!$F$2166)))</f>
        <v/>
      </c>
      <c r="BS160" s="85">
        <f>IF(E160="","",IF(ISNUMBER('Dvd Calendar'!$G$2166)=FALSE,"",IF((Summary!$C$13="N")*('Dvd Calendar'!$G$2170='Field Check'!$C$25)&gt;0,"",'Dvd Calendar'!$G$2166)))</f>
        <v/>
      </c>
      <c r="BT160" s="85">
        <f>IF(F160="","",IF(ISNUMBER('Dvd Calendar'!$H$2166)=FALSE,"",IF((Summary!$C$13="N")*('Dvd Calendar'!$H$2170='Field Check'!$C$25)&gt;0,"",'Dvd Calendar'!$H$2166)))</f>
        <v/>
      </c>
      <c r="BU160" s="85">
        <f>IF(G160="","",IF(ISNUMBER('Dvd Calendar'!$I$2166)=FALSE,"",IF((Summary!$C$13="N")*('Dvd Calendar'!$I$2170='Field Check'!$C$25)&gt;0,"",'Dvd Calendar'!$I$2166)))</f>
        <v/>
      </c>
      <c r="BV160" s="85">
        <f>IF(H160="","",IF(ISNUMBER('Dvd Calendar'!$J$2166)=FALSE,"",IF((Summary!$C$13="N")*('Dvd Calendar'!$J$2170='Field Check'!$C$25)&gt;0,"",'Dvd Calendar'!$J$2166)))</f>
        <v/>
      </c>
      <c r="BW160" s="85">
        <f>IF(I160="","",IF(ISNUMBER('Dvd Calendar'!$K$2166)=FALSE,"",IF((Summary!$C$13="N")*('Dvd Calendar'!$K$2170='Field Check'!$C$25)&gt;0,"",'Dvd Calendar'!$K$2166)))</f>
        <v/>
      </c>
      <c r="BX160" s="85">
        <f>IF(J160="","",IF(ISNUMBER('Dvd Calendar'!$L$2166)=FALSE,"",IF((Summary!$C$13="N")*('Dvd Calendar'!$L$2170='Field Check'!$C$25)&gt;0,"",'Dvd Calendar'!$L$2166)))</f>
        <v/>
      </c>
      <c r="BY160" s="85">
        <f>IF(K160="","",IF(ISNUMBER('Dvd Calendar'!$M$2166)=FALSE,"",IF((Summary!$C$13="N")*('Dvd Calendar'!$M$2170='Field Check'!$C$25)&gt;0,"",'Dvd Calendar'!$M$2166)))</f>
        <v/>
      </c>
      <c r="BZ160" s="85">
        <f>IF(L160="","",IF(ISNUMBER('Dvd Calendar'!$N$2166)=FALSE,"",IF((Summary!$C$13="N")*('Dvd Calendar'!$N$2170='Field Check'!$C$25)&gt;0,"",'Dvd Calendar'!$N$2166)))</f>
        <v/>
      </c>
      <c r="CA160" s="85">
        <f>IF(M160="","",IF(ISNUMBER('Dvd Calendar'!$O$2166)=FALSE,"",IF((Summary!$C$13="N")*('Dvd Calendar'!$O$2170='Field Check'!$C$25)&gt;0,"",'Dvd Calendar'!$O$2166)))</f>
        <v/>
      </c>
      <c r="CB160" s="85">
        <f>IF(N160="","",IF(ISNUMBER('Dvd Calendar'!$P$2166)=FALSE,"",IF((Summary!$C$13="N")*('Dvd Calendar'!$P$2170='Field Check'!$C$25)&gt;0,"",'Dvd Calendar'!$P$2166)))</f>
        <v/>
      </c>
      <c r="CC160" s="85">
        <f>IF(O160="","",IF(ISNUMBER('Dvd Calendar'!$Q$2166)=FALSE,"",IF((Summary!$C$13="N")*('Dvd Calendar'!$Q$2170='Field Check'!$C$25)&gt;0,"",'Dvd Calendar'!$Q$2166)))</f>
        <v/>
      </c>
      <c r="CD160" s="85">
        <f>IF(P160="","",IF(ISNUMBER('Dvd Calendar'!$R$2166)=FALSE,"",IF((Summary!$C$13="N")*('Dvd Calendar'!$R$2170='Field Check'!$C$25)&gt;0,"",'Dvd Calendar'!$R$2166)))</f>
        <v/>
      </c>
      <c r="CE160" s="85">
        <f>IF(Q160="","",IF(ISNUMBER('Dvd Calendar'!$S$2166)=FALSE,"",IF((Summary!$C$13="N")*('Dvd Calendar'!$S$2170='Field Check'!$C$25)&gt;0,"",'Dvd Calendar'!$S$2166)))</f>
        <v/>
      </c>
      <c r="CF160" s="85">
        <f>IF(R160="","",IF(ISNUMBER('Dvd Calendar'!$T$2166)=FALSE,"",IF((Summary!$C$13="N")*('Dvd Calendar'!$T$2170='Field Check'!$C$25)&gt;0,"",'Dvd Calendar'!$T$2166)))</f>
        <v/>
      </c>
      <c r="CG160" s="85">
        <f>IF(S160="","",IF(ISNUMBER('Dvd Calendar'!$U$2166)=FALSE,"",IF((Summary!$C$13="N")*('Dvd Calendar'!$U$2170='Field Check'!$C$25)&gt;0,"",'Dvd Calendar'!$U$2166)))</f>
        <v/>
      </c>
      <c r="CH160" s="85">
        <f>IF(T160="","",IF(ISNUMBER('Dvd Calendar'!$V$2166)=FALSE,"",IF((Summary!$C$13="N")*('Dvd Calendar'!$V$2170='Field Check'!$C$25)&gt;0,"",'Dvd Calendar'!$V$2166)))</f>
        <v/>
      </c>
      <c r="CI160" s="85">
        <f>IF(U160="","",IF(ISNUMBER('Dvd Calendar'!$W$2166)=FALSE,"",IF((Summary!$C$13="N")*('Dvd Calendar'!$W$2170='Field Check'!$C$25)&gt;0,"",'Dvd Calendar'!$W$2166)))</f>
        <v/>
      </c>
      <c r="CJ160" s="85">
        <f>IF(V160="","",IF(ISNUMBER('Dvd Calendar'!$X$2166)=FALSE,"",IF((Summary!$C$13="N")*('Dvd Calendar'!$X$2170='Field Check'!$C$25)&gt;0,"",'Dvd Calendar'!$X$2166)))</f>
        <v/>
      </c>
      <c r="CK160" s="85">
        <f>IF(W160="","",IF(ISNUMBER('Dvd Calendar'!$Y$2166)=FALSE,"",IF((Summary!$C$13="N")*('Dvd Calendar'!$Y$2170='Field Check'!$C$25)&gt;0,"",'Dvd Calendar'!$Y$2166)))</f>
        <v/>
      </c>
      <c r="CL160" s="85">
        <f>IF(X160="","",IF(ISNUMBER('Dvd Calendar'!$Z$2166)=FALSE,"",IF((Summary!$C$13="N")*('Dvd Calendar'!$Z$2170='Field Check'!$C$25)&gt;0,"",'Dvd Calendar'!$Z$2166)))</f>
        <v/>
      </c>
      <c r="CM160" s="85">
        <f>IF(Y160="","",IF(ISNUMBER('Dvd Calendar'!$AA$2166)=FALSE,"",IF((Summary!$C$13="N")*('Dvd Calendar'!$AA$2170='Field Check'!$C$25)&gt;0,"",'Dvd Calendar'!$AA$2166)))</f>
        <v/>
      </c>
      <c r="CN160" s="85">
        <f>IF(Z160="","",IF(ISNUMBER('Dvd Calendar'!$AB$2166)=FALSE,"",IF((Summary!$C$13="N")*('Dvd Calendar'!$AB$2170='Field Check'!$C$25)&gt;0,"",'Dvd Calendar'!$AB$2166)))</f>
        <v/>
      </c>
      <c r="CO160" s="85">
        <f>IF(AA160="","",IF(ISNUMBER('Dvd Calendar'!$AC$2166)=FALSE,"",IF((Summary!$C$13="N")*('Dvd Calendar'!$AC$2170='Field Check'!$C$25)&gt;0,"",'Dvd Calendar'!$AC$2166)))</f>
        <v/>
      </c>
      <c r="CP160" s="85">
        <f>IF(AB160="","",IF(ISNUMBER('Dvd Calendar'!$AD$2166)=FALSE,"",IF((Summary!$C$13="N")*('Dvd Calendar'!$AD$2170='Field Check'!$C$25)&gt;0,"",'Dvd Calendar'!$AD$2166)))</f>
        <v/>
      </c>
      <c r="CQ160" s="85">
        <f>IF(AC160="","",IF(ISNUMBER('Dvd Calendar'!$AE$2166)=FALSE,"",IF((Summary!$C$13="N")*('Dvd Calendar'!$AE$2170='Field Check'!$C$25)&gt;0,"",'Dvd Calendar'!$AE$2166)))</f>
        <v/>
      </c>
      <c r="CR160" s="85">
        <f>IF(AD160="","",IF(ISNUMBER('Dvd Calendar'!$AF$2166)=FALSE,"",IF((Summary!$C$13="N")*('Dvd Calendar'!$AF$2170='Field Check'!$C$25)&gt;0,"",'Dvd Calendar'!$AF$2166)))</f>
        <v/>
      </c>
      <c r="CS160" s="85">
        <f>IF(AE160="","",IF(ISNUMBER('Dvd Calendar'!$AG$2166)=FALSE,"",IF((Summary!$C$13="N")*('Dvd Calendar'!$AG$2170='Field Check'!$C$25)&gt;0,"",'Dvd Calendar'!$AG$2166)))</f>
        <v/>
      </c>
      <c r="CT160" s="85">
        <f>IF(AF160="","",IF(ISNUMBER('Dvd Calendar'!$AH$2166)=FALSE,"",IF((Summary!$C$13="N")*('Dvd Calendar'!$AH$2170='Field Check'!$C$25)&gt;0,"",'Dvd Calendar'!$AH$2166)))</f>
        <v/>
      </c>
      <c r="CU160" s="85">
        <f>IF(AG160="","",IF(ISNUMBER('Dvd Calendar'!$AI$2166)=FALSE,"",IF((Summary!$C$13="N")*('Dvd Calendar'!$AI$2170='Field Check'!$C$25)&gt;0,"",'Dvd Calendar'!$AI$2166)))</f>
        <v/>
      </c>
      <c r="CV160" s="85">
        <f>IF(AH160="","",IF(ISNUMBER('Dvd Calendar'!$AJ$2166)=FALSE,"",IF((Summary!$C$13="N")*('Dvd Calendar'!$AJ$2170='Field Check'!$C$25)&gt;0,"",'Dvd Calendar'!$AJ$2166)))</f>
        <v/>
      </c>
      <c r="CW160" s="85">
        <f>IF(AI160="","",IF(ISNUMBER('Dvd Calendar'!$AK$2166)=FALSE,"",IF((Summary!$C$13="N")*('Dvd Calendar'!$AK$2170='Field Check'!$C$25)&gt;0,"",'Dvd Calendar'!$AK$2166)))</f>
        <v/>
      </c>
      <c r="CX160" s="85">
        <f>IF(AJ160="","",IF(ISNUMBER('Dvd Calendar'!$AL$2166)=FALSE,"",IF((Summary!$C$13="N")*('Dvd Calendar'!$AL$2170='Field Check'!$C$25)&gt;0,"",'Dvd Calendar'!$AL$2166)))</f>
        <v/>
      </c>
      <c r="CY160" s="85">
        <f>IF(AK160="","",IF(ISNUMBER('Dvd Calendar'!$AM$2166)=FALSE,"",IF((Summary!$C$13="N")*('Dvd Calendar'!$AM$2170='Field Check'!$C$25)&gt;0,"",'Dvd Calendar'!$AM$2166)))</f>
        <v/>
      </c>
      <c r="CZ160" s="85">
        <f>IF(AL160="","",IF(ISNUMBER('Dvd Calendar'!$AN$2166)=FALSE,"",IF((Summary!$C$13="N")*('Dvd Calendar'!$AN$2170='Field Check'!$C$25)&gt;0,"",'Dvd Calendar'!$AN$2166)))</f>
        <v/>
      </c>
      <c r="DA160" s="85">
        <f>IF(AM160="","",IF(ISNUMBER('Dvd Calendar'!$AO$2166)=FALSE,"",IF((Summary!$C$13="N")*('Dvd Calendar'!$AO$2170='Field Check'!$C$25)&gt;0,"",'Dvd Calendar'!$AO$2166)))</f>
        <v/>
      </c>
      <c r="DB160" s="85">
        <f>IF(AN160="","",IF(ISNUMBER('Dvd Calendar'!$AP$2166)=FALSE,"",IF((Summary!$C$13="N")*('Dvd Calendar'!$AP$2170='Field Check'!$C$25)&gt;0,"",'Dvd Calendar'!$AP$2166)))</f>
        <v/>
      </c>
      <c r="DC160" s="85">
        <f>IF(AO160="","",IF(ISNUMBER('Dvd Calendar'!$AQ$2166)=FALSE,"",IF((Summary!$C$13="N")*('Dvd Calendar'!$AQ$2170='Field Check'!$C$25)&gt;0,"",'Dvd Calendar'!$AQ$2166)))</f>
        <v/>
      </c>
      <c r="DD160" s="85">
        <f>IF(AP160="","",IF(ISNUMBER('Dvd Calendar'!$AR$2166)=FALSE,"",IF((Summary!$C$13="N")*('Dvd Calendar'!$AR$2170='Field Check'!$C$25)&gt;0,"",'Dvd Calendar'!$AR$2166)))</f>
        <v/>
      </c>
      <c r="DE160" s="85">
        <f>IF(AQ160="","",IF(ISNUMBER('Dvd Calendar'!$E$2173)=FALSE,"",IF((Summary!$C$13="N")*('Dvd Calendar'!$E$2177='Field Check'!$C$25)&gt;0,"",'Dvd Calendar'!$E$2173)))</f>
        <v/>
      </c>
      <c r="DF160" s="85">
        <f>IF(AR160="","",IF(ISNUMBER('Dvd Calendar'!$F$2173)=FALSE,"",IF((Summary!$C$13="N")*('Dvd Calendar'!$F$2177='Field Check'!$C$25)&gt;0,"",'Dvd Calendar'!$F$2173)))</f>
        <v/>
      </c>
      <c r="DG160" s="85">
        <f>IF(AS160="","",IF(ISNUMBER('Dvd Calendar'!$G$2173)=FALSE,"",IF((Summary!$C$13="N")*('Dvd Calendar'!$G$2177='Field Check'!$C$25)&gt;0,"",'Dvd Calendar'!$G$2173)))</f>
        <v/>
      </c>
      <c r="DH160" s="85">
        <f>IF(AT160="","",IF(ISNUMBER('Dvd Calendar'!$H$2173)=FALSE,"",IF((Summary!$C$13="N")*('Dvd Calendar'!$H$2177='Field Check'!$C$25)&gt;0,"",'Dvd Calendar'!$H$2173)))</f>
        <v/>
      </c>
      <c r="DI160" s="85">
        <f>IF(AU160="","",IF(ISNUMBER('Dvd Calendar'!$I$2173)=FALSE,"",IF((Summary!$C$13="N")*('Dvd Calendar'!$I$2177='Field Check'!$C$25)&gt;0,"",'Dvd Calendar'!$I$2173)))</f>
        <v/>
      </c>
      <c r="DJ160" s="85">
        <f>IF(AV160="","",IF(ISNUMBER('Dvd Calendar'!$J$2173)=FALSE,"",IF((Summary!$C$13="N")*('Dvd Calendar'!$J$2177='Field Check'!$C$25)&gt;0,"",'Dvd Calendar'!$J$2173)))</f>
        <v/>
      </c>
      <c r="DK160" s="85">
        <f>IF(AW160="","",IF(ISNUMBER('Dvd Calendar'!$K$2173)=FALSE,"",IF((Summary!$C$13="N")*('Dvd Calendar'!$K$2177='Field Check'!$C$25)&gt;0,"",'Dvd Calendar'!$K$2173)))</f>
        <v/>
      </c>
      <c r="DL160" s="85">
        <f>IF(AX160="","",IF(ISNUMBER('Dvd Calendar'!$L$2173)=FALSE,"",IF((Summary!$C$13="N")*('Dvd Calendar'!$L$2177='Field Check'!$C$25)&gt;0,"",'Dvd Calendar'!$L$2173)))</f>
        <v/>
      </c>
      <c r="DM160" s="85">
        <f>IF(AY160="","",IF(ISNUMBER('Dvd Calendar'!$M$2173)=FALSE,"",IF((Summary!$C$13="N")*('Dvd Calendar'!$M$2177='Field Check'!$C$25)&gt;0,"",'Dvd Calendar'!$M$2173)))</f>
        <v/>
      </c>
      <c r="DN160" s="85">
        <f>IF(AZ160="","",IF(ISNUMBER('Dvd Calendar'!$N$2173)=FALSE,"",IF((Summary!$C$13="N")*('Dvd Calendar'!$N$2177='Field Check'!$C$25)&gt;0,"",'Dvd Calendar'!$N$2173)))</f>
        <v/>
      </c>
      <c r="DO160" s="85">
        <f>IF(BA160="","",IF(ISNUMBER('Dvd Calendar'!$O$2173)=FALSE,"",IF((Summary!$C$13="N")*('Dvd Calendar'!$O$2177='Field Check'!$C$25)&gt;0,"",'Dvd Calendar'!$O$2173)))</f>
        <v/>
      </c>
      <c r="DP160" s="85">
        <f>IF(BB160="","",IF(ISNUMBER('Dvd Calendar'!$P$2173)=FALSE,"",IF((Summary!$C$13="N")*('Dvd Calendar'!$P$2177='Field Check'!$C$25)&gt;0,"",'Dvd Calendar'!$P$2173)))</f>
        <v/>
      </c>
      <c r="DQ160" s="85">
        <f>IF(BC160="","",IF(ISNUMBER('Dvd Calendar'!$Q$2173)=FALSE,"",IF((Summary!$C$13="N")*('Dvd Calendar'!$Q$2177='Field Check'!$C$25)&gt;0,"",'Dvd Calendar'!$Q$2173)))</f>
        <v/>
      </c>
      <c r="DR160" s="85">
        <f>IF(BD160="","",IF(ISNUMBER('Dvd Calendar'!$R$2173)=FALSE,"",IF((Summary!$C$13="N")*('Dvd Calendar'!$R$2177='Field Check'!$C$25)&gt;0,"",'Dvd Calendar'!$R$2173)))</f>
        <v/>
      </c>
      <c r="DS160" s="85">
        <f>IF(BE160="","",IF(ISNUMBER('Dvd Calendar'!$S$2173)=FALSE,"",IF((Summary!$C$13="N")*('Dvd Calendar'!$S$2177='Field Check'!$C$25)&gt;0,"",'Dvd Calendar'!$S$2173)))</f>
        <v/>
      </c>
      <c r="DT160" s="85">
        <f>IF(BF160="","",IF(ISNUMBER('Dvd Calendar'!$T$2173)=FALSE,"",IF((Summary!$C$13="N")*('Dvd Calendar'!$T$2177='Field Check'!$C$25)&gt;0,"",'Dvd Calendar'!$T$2173)))</f>
        <v/>
      </c>
      <c r="DU160" s="85">
        <f>IF(BG160="","",IF(ISNUMBER('Dvd Calendar'!$U$2173)=FALSE,"",IF((Summary!$C$13="N")*('Dvd Calendar'!$U$2177='Field Check'!$C$25)&gt;0,"",'Dvd Calendar'!$U$2173)))</f>
        <v/>
      </c>
      <c r="DV160" s="85">
        <f>IF(BH160="","",IF(ISNUMBER('Dvd Calendar'!$V$2173)=FALSE,"",IF((Summary!$C$13="N")*('Dvd Calendar'!$V$2177='Field Check'!$C$25)&gt;0,"",'Dvd Calendar'!$V$2173)))</f>
        <v/>
      </c>
      <c r="DW160" s="85">
        <f>IF(BI160="","",IF(ISNUMBER('Dvd Calendar'!$W$2173)=FALSE,"",IF((Summary!$C$13="N")*('Dvd Calendar'!$W$2177='Field Check'!$C$25)&gt;0,"",'Dvd Calendar'!$W$2173)))</f>
        <v/>
      </c>
      <c r="DX160" s="85">
        <f>IF(BJ160="","",IF(ISNUMBER('Dvd Calendar'!$X$2173)=FALSE,"",IF((Summary!$C$13="N")*('Dvd Calendar'!$X$2177='Field Check'!$C$25)&gt;0,"",'Dvd Calendar'!$X$2173)))</f>
        <v/>
      </c>
      <c r="DY160" s="85">
        <f>IF(BK160="","",IF(ISNUMBER('Dvd Calendar'!$Y$2173)=FALSE,"",IF((Summary!$C$13="N")*('Dvd Calendar'!$Y$2177='Field Check'!$C$25)&gt;0,"",'Dvd Calendar'!$Y$2173)))</f>
        <v/>
      </c>
      <c r="DZ160" s="85">
        <f>IF(BL160="","",IF(ISNUMBER('Dvd Calendar'!$Z$2173)=FALSE,"",IF((Summary!$C$13="N")*('Dvd Calendar'!$Z$2177='Field Check'!$C$25)&gt;0,"",'Dvd Calendar'!$Z$2173)))</f>
        <v/>
      </c>
      <c r="EA160" s="85">
        <f>IF(BM160="","",IF(ISNUMBER('Dvd Calendar'!$AA$2173)=FALSE,"",IF((Summary!$C$13="N")*('Dvd Calendar'!$AA$2177='Field Check'!$C$25)&gt;0,"",'Dvd Calendar'!$AA$2173)))</f>
        <v/>
      </c>
      <c r="EB160" s="85">
        <f>IF(BN160="","",IF(ISNUMBER('Dvd Calendar'!$AB$2173)=FALSE,"",IF((Summary!$C$13="N")*('Dvd Calendar'!$AB$2177='Field Check'!$C$25)&gt;0,"",'Dvd Calendar'!$AB$2173)))</f>
        <v/>
      </c>
      <c r="EC160" s="85">
        <f>IF(BO160="","",IF(ISNUMBER('Dvd Calendar'!$AC$2173)=FALSE,"",IF((Summary!$C$13="N")*('Dvd Calendar'!$AC$2177='Field Check'!$C$25)&gt;0,"",'Dvd Calendar'!$AC$2173)))</f>
        <v/>
      </c>
      <c r="EE160" s="85">
        <f>IF(BQ160="","",IFERROR(BQ160*HSCEI!$B$10*HSCEI!$G$10/HSCEI!$B$3,""))</f>
        <v/>
      </c>
      <c r="EF160" s="85">
        <f>IF(BR160="","",IFERROR(BR160*HSCEI!$B$10*HSCEI!$G$10/HSCEI!$B$3,""))</f>
        <v/>
      </c>
      <c r="EG160" s="85">
        <f>IF(BS160="","",IFERROR(BS160*HSCEI!$B$10*HSCEI!$G$10/HSCEI!$B$3,""))</f>
        <v/>
      </c>
      <c r="EH160" s="85">
        <f>IF(BT160="","",IFERROR(BT160*HSCEI!$B$10*HSCEI!$G$10/HSCEI!$B$3,""))</f>
        <v/>
      </c>
      <c r="EI160" s="85">
        <f>IF(BU160="","",IFERROR(BU160*HSCEI!$B$10*HSCEI!$G$10/HSCEI!$B$3,""))</f>
        <v/>
      </c>
      <c r="EJ160" s="85">
        <f>IF(BV160="","",IFERROR(BV160*HSCEI!$B$10*HSCEI!$G$10/HSCEI!$B$3,""))</f>
        <v/>
      </c>
      <c r="EK160" s="85">
        <f>IF(BW160="","",IFERROR(BW160*HSCEI!$B$10*HSCEI!$G$10/HSCEI!$B$3,""))</f>
        <v/>
      </c>
      <c r="EL160" s="85">
        <f>IF(BX160="","",IFERROR(BX160*HSCEI!$B$10*HSCEI!$G$10/HSCEI!$B$3,""))</f>
        <v/>
      </c>
      <c r="EM160" s="85">
        <f>IF(BY160="","",IFERROR(BY160*HSCEI!$B$10*HSCEI!$G$10/HSCEI!$B$3,""))</f>
        <v/>
      </c>
      <c r="EN160" s="85">
        <f>IF(BZ160="","",IFERROR(BZ160*HSCEI!$B$10*HSCEI!$G$10/HSCEI!$B$3,""))</f>
        <v/>
      </c>
      <c r="EO160" s="85">
        <f>IF(CA160="","",IFERROR(CA160*HSCEI!$B$10*HSCEI!$G$10/HSCEI!$B$3,""))</f>
        <v/>
      </c>
      <c r="EP160" s="85">
        <f>IF(CB160="","",IFERROR(CB160*HSCEI!$B$10*HSCEI!$G$10/HSCEI!$B$3,""))</f>
        <v/>
      </c>
      <c r="EQ160" s="85">
        <f>IF(CC160="","",IFERROR(CC160*HSCEI!$B$10*HSCEI!$G$10/HSCEI!$B$3,""))</f>
        <v/>
      </c>
      <c r="ER160" s="85">
        <f>IF(CD160="","",IFERROR(CD160*HSCEI!$B$10*HSCEI!$G$10/HSCEI!$B$3,""))</f>
        <v/>
      </c>
      <c r="ES160" s="85">
        <f>IF(CE160="","",IFERROR(CE160*HSCEI!$B$10*HSCEI!$G$10/HSCEI!$B$3,""))</f>
        <v/>
      </c>
      <c r="ET160" s="85">
        <f>IF(CF160="","",IFERROR(CF160*HSCEI!$B$10*HSCEI!$G$10/HSCEI!$B$3,""))</f>
        <v/>
      </c>
      <c r="EU160" s="85">
        <f>IF(CG160="","",IFERROR(CG160*HSCEI!$B$10*HSCEI!$G$10/HSCEI!$B$3,""))</f>
        <v/>
      </c>
      <c r="EV160" s="85">
        <f>IF(CH160="","",IFERROR(CH160*HSCEI!$B$10*HSCEI!$G$10/HSCEI!$B$3,""))</f>
        <v/>
      </c>
      <c r="EW160" s="85">
        <f>IF(CI160="","",IFERROR(CI160*HSCEI!$B$10*HSCEI!$G$10/HSCEI!$B$3,""))</f>
        <v/>
      </c>
      <c r="EX160" s="85">
        <f>IF(CJ160="","",IFERROR(CJ160*HSCEI!$B$10*HSCEI!$G$10/HSCEI!$B$3,""))</f>
        <v/>
      </c>
      <c r="EY160" s="85">
        <f>IF(CK160="","",IFERROR(CK160*HSCEI!$B$10*HSCEI!$G$10/HSCEI!$B$3,""))</f>
        <v/>
      </c>
      <c r="EZ160" s="85">
        <f>IF(CL160="","",IFERROR(CL160*HSCEI!$B$10*HSCEI!$G$10/HSCEI!$B$3,""))</f>
        <v/>
      </c>
      <c r="FA160" s="85">
        <f>IF(CM160="","",IFERROR(CM160*HSCEI!$B$10*HSCEI!$G$10/HSCEI!$B$3,""))</f>
        <v/>
      </c>
      <c r="FB160" s="85">
        <f>IF(CN160="","",IFERROR(CN160*HSCEI!$B$10*HSCEI!$G$10/HSCEI!$B$3,""))</f>
        <v/>
      </c>
      <c r="FC160" s="85">
        <f>IF(CO160="","",IFERROR(CO160*HSCEI!$B$10*HSCEI!$G$10/HSCEI!$B$3,""))</f>
        <v/>
      </c>
      <c r="FD160" s="85">
        <f>IF(CP160="","",IFERROR(CP160*HSCEI!$B$10*HSCEI!$G$10/HSCEI!$B$3,""))</f>
        <v/>
      </c>
      <c r="FE160" s="85">
        <f>IF(CQ160="","",IFERROR(CQ160*HSCEI!$B$10*HSCEI!$G$10/HSCEI!$B$3,""))</f>
        <v/>
      </c>
      <c r="FF160" s="85">
        <f>IF(CR160="","",IFERROR(CR160*HSCEI!$B$10*HSCEI!$G$10/HSCEI!$B$3,""))</f>
        <v/>
      </c>
      <c r="FG160" s="85">
        <f>IF(CS160="","",IFERROR(CS160*HSCEI!$B$10*HSCEI!$G$10/HSCEI!$B$3,""))</f>
        <v/>
      </c>
      <c r="FH160" s="85">
        <f>IF(CT160="","",IFERROR(CT160*HSCEI!$B$10*HSCEI!$G$10/HSCEI!$B$3,""))</f>
        <v/>
      </c>
      <c r="FI160" s="85">
        <f>IF(CU160="","",IFERROR(CU160*HSCEI!$B$10*HSCEI!$G$10/HSCEI!$B$3,""))</f>
        <v/>
      </c>
      <c r="FJ160" s="85">
        <f>IF(CV160="","",IFERROR(CV160*HSCEI!$B$10*HSCEI!$G$10/HSCEI!$B$3,""))</f>
        <v/>
      </c>
      <c r="FK160" s="85">
        <f>IF(CW160="","",IFERROR(CW160*HSCEI!$B$10*HSCEI!$G$10/HSCEI!$B$3,""))</f>
        <v/>
      </c>
      <c r="FL160" s="85">
        <f>IF(CX160="","",IFERROR(CX160*HSCEI!$B$10*HSCEI!$G$10/HSCEI!$B$3,""))</f>
        <v/>
      </c>
      <c r="FM160" s="85">
        <f>IF(CY160="","",IFERROR(CY160*HSCEI!$B$10*HSCEI!$G$10/HSCEI!$B$3,""))</f>
        <v/>
      </c>
      <c r="FN160" s="85">
        <f>IF(CZ160="","",IFERROR(CZ160*HSCEI!$B$10*HSCEI!$G$10/HSCEI!$B$3,""))</f>
        <v/>
      </c>
      <c r="FO160" s="85">
        <f>IF(DA160="","",IFERROR(DA160*HSCEI!$B$10*HSCEI!$G$10/HSCEI!$B$3,""))</f>
        <v/>
      </c>
      <c r="FP160" s="85">
        <f>IF(DB160="","",IFERROR(DB160*HSCEI!$B$10*HSCEI!$G$10/HSCEI!$B$3,""))</f>
        <v/>
      </c>
      <c r="FQ160" s="85">
        <f>IF(DC160="","",IFERROR(DC160*HSCEI!$B$10*HSCEI!$G$10/HSCEI!$B$3,""))</f>
        <v/>
      </c>
      <c r="FR160" s="85">
        <f>IF(DD160="","",IFERROR(DD160*HSCEI!$B$10*HSCEI!$G$10/HSCEI!$B$3,""))</f>
        <v/>
      </c>
      <c r="FS160" s="85">
        <f>IF(DE160="","",IFERROR(DE160*HSCEI!$B$10*HSCEI!$G$10/HSCEI!$B$3,""))</f>
        <v/>
      </c>
      <c r="FT160" s="85">
        <f>IF(DF160="","",IFERROR(DF160*HSCEI!$B$10*HSCEI!$G$10/HSCEI!$B$3,""))</f>
        <v/>
      </c>
      <c r="FU160" s="85">
        <f>IF(DG160="","",IFERROR(DG160*HSCEI!$B$10*HSCEI!$G$10/HSCEI!$B$3,""))</f>
        <v/>
      </c>
      <c r="FV160" s="85">
        <f>IF(DH160="","",IFERROR(DH160*HSCEI!$B$10*HSCEI!$G$10/HSCEI!$B$3,""))</f>
        <v/>
      </c>
      <c r="FW160" s="85">
        <f>IF(DI160="","",IFERROR(DI160*HSCEI!$B$10*HSCEI!$G$10/HSCEI!$B$3,""))</f>
        <v/>
      </c>
      <c r="FX160" s="85">
        <f>IF(DJ160="","",IFERROR(DJ160*HSCEI!$B$10*HSCEI!$G$10/HSCEI!$B$3,""))</f>
        <v/>
      </c>
      <c r="FY160" s="85">
        <f>IF(DK160="","",IFERROR(DK160*HSCEI!$B$10*HSCEI!$G$10/HSCEI!$B$3,""))</f>
        <v/>
      </c>
      <c r="FZ160" s="85">
        <f>IF(DL160="","",IFERROR(DL160*HSCEI!$B$10*HSCEI!$G$10/HSCEI!$B$3,""))</f>
        <v/>
      </c>
      <c r="GA160" s="85">
        <f>IF(DM160="","",IFERROR(DM160*HSCEI!$B$10*HSCEI!$G$10/HSCEI!$B$3,""))</f>
        <v/>
      </c>
      <c r="GB160" s="85">
        <f>IF(DN160="","",IFERROR(DN160*HSCEI!$B$10*HSCEI!$G$10/HSCEI!$B$3,""))</f>
        <v/>
      </c>
      <c r="GC160" s="85">
        <f>IF(DO160="","",IFERROR(DO160*HSCEI!$B$10*HSCEI!$G$10/HSCEI!$B$3,""))</f>
        <v/>
      </c>
      <c r="GD160" s="85">
        <f>IF(DP160="","",IFERROR(DP160*HSCEI!$B$10*HSCEI!$G$10/HSCEI!$B$3,""))</f>
        <v/>
      </c>
      <c r="GE160" s="85">
        <f>IF(DQ160="","",IFERROR(DQ160*HSCEI!$B$10*HSCEI!$G$10/HSCEI!$B$3,""))</f>
        <v/>
      </c>
      <c r="GF160" s="85">
        <f>IF(DR160="","",IFERROR(DR160*HSCEI!$B$10*HSCEI!$G$10/HSCEI!$B$3,""))</f>
        <v/>
      </c>
      <c r="GG160" s="85">
        <f>IF(DS160="","",IFERROR(DS160*HSCEI!$B$10*HSCEI!$G$10/HSCEI!$B$3,""))</f>
        <v/>
      </c>
      <c r="GH160" s="85">
        <f>IF(DT160="","",IFERROR(DT160*HSCEI!$B$10*HSCEI!$G$10/HSCEI!$B$3,""))</f>
        <v/>
      </c>
      <c r="GI160" s="85">
        <f>IF(DU160="","",IFERROR(DU160*HSCEI!$B$10*HSCEI!$G$10/HSCEI!$B$3,""))</f>
        <v/>
      </c>
      <c r="GJ160" s="85">
        <f>IF(DV160="","",IFERROR(DV160*HSCEI!$B$10*HSCEI!$G$10/HSCEI!$B$3,""))</f>
        <v/>
      </c>
      <c r="GK160" s="85">
        <f>IF(DW160="","",IFERROR(DW160*HSCEI!$B$10*HSCEI!$G$10/HSCEI!$B$3,""))</f>
        <v/>
      </c>
      <c r="GL160" s="85">
        <f>IF(DX160="","",IFERROR(DX160*HSCEI!$B$10*HSCEI!$G$10/HSCEI!$B$3,""))</f>
        <v/>
      </c>
      <c r="GM160" s="85">
        <f>IF(DY160="","",IFERROR(DY160*HSCEI!$B$10*HSCEI!$G$10/HSCEI!$B$3,""))</f>
        <v/>
      </c>
      <c r="GN160" s="85">
        <f>IF(DZ160="","",IFERROR(DZ160*HSCEI!$B$10*HSCEI!$G$10/HSCEI!$B$3,""))</f>
        <v/>
      </c>
      <c r="GO160" s="85">
        <f>IF(EA160="","",IFERROR(EA160*HSCEI!$B$10*HSCEI!$G$10/HSCEI!$B$3,""))</f>
        <v/>
      </c>
      <c r="GP160" s="85">
        <f>IF(EB160="","",IFERROR(EB160*HSCEI!$B$10*HSCEI!$G$10/HSCEI!$B$3,""))</f>
        <v/>
      </c>
      <c r="GQ160" s="85">
        <f>IF(EC160="","",IFERROR(EC160*HSCEI!$B$10*HSCEI!$G$10/HSCEI!$B$3,""))</f>
        <v/>
      </c>
    </row>
    <row r="161">
      <c r="B161" s="2">
        <f>IF(HSCEI!$C$11="","",HSCEI!$C$11)</f>
        <v/>
      </c>
      <c r="C161" s="41">
        <f>IF(N('Dvd Calendar'!$E$2180)=0,"",IF(('Dvd Calendar'!$E$2180&gt;=MIN(DATE(Summary!$C$12,1,1),Summary!$C$11))*('Dvd Calendar'!$E$2180&lt;=MAX(DATE(Summary!$C$12,12,31),Summary!$C$15))*('Dvd Calendar'!$E$2180&lt;=Summary!$C$11)=0,"",'Dvd Calendar'!$E$2180*1000000000+ISNUMBER('Dvd Calendar'!$E$2181)*100000000+('Dvd Calendar'!$E$2185='Field Check'!$C$25)*10000000+(N('Dvd Calendar'!$E$2179)&gt;0)*1000000+5*1000+1))</f>
        <v/>
      </c>
      <c r="D161" s="41">
        <f>IF(N('Dvd Calendar'!$F$2180)=0,"",IF(('Dvd Calendar'!$F$2180&gt;=MIN(DATE(Summary!$C$12,1,1),Summary!$C$11))*('Dvd Calendar'!$F$2180&lt;=MAX(DATE(Summary!$C$12,12,31),Summary!$C$15))*('Dvd Calendar'!$F$2180&lt;=Summary!$C$11)=0,"",'Dvd Calendar'!$F$2180*1000000000+ISNUMBER('Dvd Calendar'!$F$2181)*100000000+('Dvd Calendar'!$F$2185='Field Check'!$C$25)*10000000+(N('Dvd Calendar'!$F$2179)&gt;0)*1000000+5*1000+2))</f>
        <v/>
      </c>
      <c r="E161" s="41">
        <f>IF(N('Dvd Calendar'!$G$2180)=0,"",IF(('Dvd Calendar'!$G$2180&gt;=MIN(DATE(Summary!$C$12,1,1),Summary!$C$11))*('Dvd Calendar'!$G$2180&lt;=MAX(DATE(Summary!$C$12,12,31),Summary!$C$15))*('Dvd Calendar'!$G$2180&lt;=Summary!$C$11)=0,"",'Dvd Calendar'!$G$2180*1000000000+ISNUMBER('Dvd Calendar'!$G$2181)*100000000+('Dvd Calendar'!$G$2185='Field Check'!$C$25)*10000000+(N('Dvd Calendar'!$G$2179)&gt;0)*1000000+5*1000+3))</f>
        <v/>
      </c>
      <c r="F161" s="41">
        <f>IF(N('Dvd Calendar'!$H$2180)=0,"",IF(('Dvd Calendar'!$H$2180&gt;=MIN(DATE(Summary!$C$12,1,1),Summary!$C$11))*('Dvd Calendar'!$H$2180&lt;=MAX(DATE(Summary!$C$12,12,31),Summary!$C$15))*('Dvd Calendar'!$H$2180&lt;=Summary!$C$11)=0,"",'Dvd Calendar'!$H$2180*1000000000+ISNUMBER('Dvd Calendar'!$H$2181)*100000000+('Dvd Calendar'!$H$2185='Field Check'!$C$25)*10000000+(N('Dvd Calendar'!$H$2179)&gt;0)*1000000+5*1000+4))</f>
        <v/>
      </c>
      <c r="G161" s="41">
        <f>IF(N('Dvd Calendar'!$I$2180)=0,"",IF(('Dvd Calendar'!$I$2180&gt;=MIN(DATE(Summary!$C$12,1,1),Summary!$C$11))*('Dvd Calendar'!$I$2180&lt;=MAX(DATE(Summary!$C$12,12,31),Summary!$C$15))*('Dvd Calendar'!$I$2180&lt;=Summary!$C$11)=0,"",'Dvd Calendar'!$I$2180*1000000000+ISNUMBER('Dvd Calendar'!$I$2181)*100000000+('Dvd Calendar'!$I$2185='Field Check'!$C$25)*10000000+(N('Dvd Calendar'!$I$2179)&gt;0)*1000000+5*1000+5))</f>
        <v/>
      </c>
      <c r="H161" s="41">
        <f>IF(N('Dvd Calendar'!$J$2180)=0,"",IF(('Dvd Calendar'!$J$2180&gt;=MIN(DATE(Summary!$C$12,1,1),Summary!$C$11))*('Dvd Calendar'!$J$2180&lt;=MAX(DATE(Summary!$C$12,12,31),Summary!$C$15))*('Dvd Calendar'!$J$2180&lt;=Summary!$C$11)=0,"",'Dvd Calendar'!$J$2180*1000000000+ISNUMBER('Dvd Calendar'!$J$2181)*100000000+('Dvd Calendar'!$J$2185='Field Check'!$C$25)*10000000+(N('Dvd Calendar'!$J$2179)&gt;0)*1000000+5*1000+6))</f>
        <v/>
      </c>
      <c r="I161" s="41">
        <f>IF(N('Dvd Calendar'!$K$2180)=0,"",IF(('Dvd Calendar'!$K$2180&gt;=MIN(DATE(Summary!$C$12,1,1),Summary!$C$11))*('Dvd Calendar'!$K$2180&lt;=MAX(DATE(Summary!$C$12,12,31),Summary!$C$15))*('Dvd Calendar'!$K$2180&lt;=Summary!$C$11)=0,"",'Dvd Calendar'!$K$2180*1000000000+ISNUMBER('Dvd Calendar'!$K$2181)*100000000+('Dvd Calendar'!$K$2185='Field Check'!$C$25)*10000000+(N('Dvd Calendar'!$K$2179)&gt;0)*1000000+5*1000+7))</f>
        <v/>
      </c>
      <c r="J161" s="41">
        <f>IF(N('Dvd Calendar'!$L$2180)=0,"",IF(('Dvd Calendar'!$L$2180&gt;=MIN(DATE(Summary!$C$12,1,1),Summary!$C$11))*('Dvd Calendar'!$L$2180&lt;=MAX(DATE(Summary!$C$12,12,31),Summary!$C$15))*('Dvd Calendar'!$L$2180&lt;=Summary!$C$11)=0,"",'Dvd Calendar'!$L$2180*1000000000+ISNUMBER('Dvd Calendar'!$L$2181)*100000000+('Dvd Calendar'!$L$2185='Field Check'!$C$25)*10000000+(N('Dvd Calendar'!$L$2179)&gt;0)*1000000+5*1000+8))</f>
        <v/>
      </c>
      <c r="K161" s="41">
        <f>IF(N('Dvd Calendar'!$M$2180)=0,"",IF(('Dvd Calendar'!$M$2180&gt;=MIN(DATE(Summary!$C$12,1,1),Summary!$C$11))*('Dvd Calendar'!$M$2180&lt;=MAX(DATE(Summary!$C$12,12,31),Summary!$C$15))*('Dvd Calendar'!$M$2180&lt;=Summary!$C$11)=0,"",'Dvd Calendar'!$M$2180*1000000000+ISNUMBER('Dvd Calendar'!$M$2181)*100000000+('Dvd Calendar'!$M$2185='Field Check'!$C$25)*10000000+(N('Dvd Calendar'!$M$2179)&gt;0)*1000000+5*1000+9))</f>
        <v/>
      </c>
      <c r="L161" s="41">
        <f>IF(N('Dvd Calendar'!$N$2180)=0,"",IF(('Dvd Calendar'!$N$2180&gt;=MIN(DATE(Summary!$C$12,1,1),Summary!$C$11))*('Dvd Calendar'!$N$2180&lt;=MAX(DATE(Summary!$C$12,12,31),Summary!$C$15))*('Dvd Calendar'!$N$2180&lt;=Summary!$C$11)=0,"",'Dvd Calendar'!$N$2180*1000000000+ISNUMBER('Dvd Calendar'!$N$2181)*100000000+('Dvd Calendar'!$N$2185='Field Check'!$C$25)*10000000+(N('Dvd Calendar'!$N$2179)&gt;0)*1000000+5*1000+10))</f>
        <v/>
      </c>
      <c r="M161" s="41">
        <f>IF(N('Dvd Calendar'!$O$2180)=0,"",IF(('Dvd Calendar'!$O$2180&gt;=MIN(DATE(Summary!$C$12,1,1),Summary!$C$11))*('Dvd Calendar'!$O$2180&lt;=MAX(DATE(Summary!$C$12,12,31),Summary!$C$15))*('Dvd Calendar'!$O$2180&lt;=Summary!$C$11)=0,"",'Dvd Calendar'!$O$2180*1000000000+ISNUMBER('Dvd Calendar'!$O$2181)*100000000+('Dvd Calendar'!$O$2185='Field Check'!$C$25)*10000000+(N('Dvd Calendar'!$O$2179)&gt;0)*1000000+5*1000+11))</f>
        <v/>
      </c>
      <c r="N161" s="41">
        <f>IF(N('Dvd Calendar'!$P$2180)=0,"",IF(('Dvd Calendar'!$P$2180&gt;=MIN(DATE(Summary!$C$12,1,1),Summary!$C$11))*('Dvd Calendar'!$P$2180&lt;=MAX(DATE(Summary!$C$12,12,31),Summary!$C$15))*('Dvd Calendar'!$P$2180&lt;=Summary!$C$11)=0,"",'Dvd Calendar'!$P$2180*1000000000+ISNUMBER('Dvd Calendar'!$P$2181)*100000000+('Dvd Calendar'!$P$2185='Field Check'!$C$25)*10000000+(N('Dvd Calendar'!$P$2179)&gt;0)*1000000+5*1000+12))</f>
        <v/>
      </c>
      <c r="O161" s="41">
        <f>IF(N('Dvd Calendar'!$Q$2180)=0,"",IF(('Dvd Calendar'!$Q$2180&gt;=MIN(DATE(Summary!$C$12,1,1),Summary!$C$11))*('Dvd Calendar'!$Q$2180&lt;=MAX(DATE(Summary!$C$12,12,31),Summary!$C$15))*('Dvd Calendar'!$Q$2180&lt;=Summary!$C$11)=0,"",'Dvd Calendar'!$Q$2180*1000000000+ISNUMBER('Dvd Calendar'!$Q$2181)*100000000+('Dvd Calendar'!$Q$2185='Field Check'!$C$25)*10000000+(N('Dvd Calendar'!$Q$2179)&gt;0)*1000000+5*1000+13))</f>
        <v/>
      </c>
      <c r="P161" s="41">
        <f>IF(N('Dvd Calendar'!$R$2180)=0,"",IF(('Dvd Calendar'!$R$2180&gt;=MIN(DATE(Summary!$C$12,1,1),Summary!$C$11))*('Dvd Calendar'!$R$2180&lt;=MAX(DATE(Summary!$C$12,12,31),Summary!$C$15))*('Dvd Calendar'!$R$2180&lt;=Summary!$C$11)=0,"",'Dvd Calendar'!$R$2180*1000000000+ISNUMBER('Dvd Calendar'!$R$2181)*100000000+('Dvd Calendar'!$R$2185='Field Check'!$C$25)*10000000+(N('Dvd Calendar'!$R$2179)&gt;0)*1000000+5*1000+14))</f>
        <v/>
      </c>
      <c r="Q161" s="41">
        <f>IF(N('Dvd Calendar'!$S$2180)=0,"",IF(('Dvd Calendar'!$S$2180&gt;=MIN(DATE(Summary!$C$12,1,1),Summary!$C$11))*('Dvd Calendar'!$S$2180&lt;=MAX(DATE(Summary!$C$12,12,31),Summary!$C$15))*('Dvd Calendar'!$S$2180&lt;=Summary!$C$11)=0,"",'Dvd Calendar'!$S$2180*1000000000+ISNUMBER('Dvd Calendar'!$S$2181)*100000000+('Dvd Calendar'!$S$2185='Field Check'!$C$25)*10000000+(N('Dvd Calendar'!$S$2179)&gt;0)*1000000+5*1000+15))</f>
        <v/>
      </c>
      <c r="R161" s="41">
        <f>IF(N('Dvd Calendar'!$T$2180)=0,"",IF(('Dvd Calendar'!$T$2180&gt;=MIN(DATE(Summary!$C$12,1,1),Summary!$C$11))*('Dvd Calendar'!$T$2180&lt;=MAX(DATE(Summary!$C$12,12,31),Summary!$C$15))*('Dvd Calendar'!$T$2180&lt;=Summary!$C$11)=0,"",'Dvd Calendar'!$T$2180*1000000000+ISNUMBER('Dvd Calendar'!$T$2181)*100000000+('Dvd Calendar'!$T$2185='Field Check'!$C$25)*10000000+(N('Dvd Calendar'!$T$2179)&gt;0)*1000000+5*1000+16))</f>
        <v/>
      </c>
      <c r="S161" s="41">
        <f>IF(N('Dvd Calendar'!$U$2180)=0,"",IF(('Dvd Calendar'!$U$2180&gt;=MIN(DATE(Summary!$C$12,1,1),Summary!$C$11))*('Dvd Calendar'!$U$2180&lt;=MAX(DATE(Summary!$C$12,12,31),Summary!$C$15))*('Dvd Calendar'!$U$2180&lt;=Summary!$C$11)=0,"",'Dvd Calendar'!$U$2180*1000000000+ISNUMBER('Dvd Calendar'!$U$2181)*100000000+('Dvd Calendar'!$U$2185='Field Check'!$C$25)*10000000+(N('Dvd Calendar'!$U$2179)&gt;0)*1000000+5*1000+17))</f>
        <v/>
      </c>
      <c r="T161" s="41">
        <f>IF(N('Dvd Calendar'!$V$2180)=0,"",IF(('Dvd Calendar'!$V$2180&gt;=MIN(DATE(Summary!$C$12,1,1),Summary!$C$11))*('Dvd Calendar'!$V$2180&lt;=MAX(DATE(Summary!$C$12,12,31),Summary!$C$15))*('Dvd Calendar'!$V$2180&lt;=Summary!$C$11)=0,"",'Dvd Calendar'!$V$2180*1000000000+ISNUMBER('Dvd Calendar'!$V$2181)*100000000+('Dvd Calendar'!$V$2185='Field Check'!$C$25)*10000000+(N('Dvd Calendar'!$V$2179)&gt;0)*1000000+5*1000+18))</f>
        <v/>
      </c>
      <c r="U161" s="41">
        <f>IF(N('Dvd Calendar'!$W$2180)=0,"",IF(('Dvd Calendar'!$W$2180&gt;=MIN(DATE(Summary!$C$12,1,1),Summary!$C$11))*('Dvd Calendar'!$W$2180&lt;=MAX(DATE(Summary!$C$12,12,31),Summary!$C$15))*('Dvd Calendar'!$W$2180&lt;=Summary!$C$11)=0,"",'Dvd Calendar'!$W$2180*1000000000+ISNUMBER('Dvd Calendar'!$W$2181)*100000000+('Dvd Calendar'!$W$2185='Field Check'!$C$25)*10000000+(N('Dvd Calendar'!$W$2179)&gt;0)*1000000+5*1000+19))</f>
        <v/>
      </c>
      <c r="V161" s="41">
        <f>IF(N('Dvd Calendar'!$X$2180)=0,"",IF(('Dvd Calendar'!$X$2180&gt;=MIN(DATE(Summary!$C$12,1,1),Summary!$C$11))*('Dvd Calendar'!$X$2180&lt;=MAX(DATE(Summary!$C$12,12,31),Summary!$C$15))*('Dvd Calendar'!$X$2180&lt;=Summary!$C$11)=0,"",'Dvd Calendar'!$X$2180*1000000000+ISNUMBER('Dvd Calendar'!$X$2181)*100000000+('Dvd Calendar'!$X$2185='Field Check'!$C$25)*10000000+(N('Dvd Calendar'!$X$2179)&gt;0)*1000000+5*1000+20))</f>
        <v/>
      </c>
      <c r="W161" s="41">
        <f>IF(N('Dvd Calendar'!$Y$2180)=0,"",IF(('Dvd Calendar'!$Y$2180&gt;=MIN(DATE(Summary!$C$12,1,1),Summary!$C$11))*('Dvd Calendar'!$Y$2180&lt;=MAX(DATE(Summary!$C$12,12,31),Summary!$C$15))*('Dvd Calendar'!$Y$2180&lt;=Summary!$C$11)=0,"",'Dvd Calendar'!$Y$2180*1000000000+ISNUMBER('Dvd Calendar'!$Y$2181)*100000000+('Dvd Calendar'!$Y$2185='Field Check'!$C$25)*10000000+(N('Dvd Calendar'!$Y$2179)&gt;0)*1000000+5*1000+21))</f>
        <v/>
      </c>
      <c r="X161" s="41">
        <f>IF(N('Dvd Calendar'!$Z$2180)=0,"",IF(('Dvd Calendar'!$Z$2180&gt;=MIN(DATE(Summary!$C$12,1,1),Summary!$C$11))*('Dvd Calendar'!$Z$2180&lt;=MAX(DATE(Summary!$C$12,12,31),Summary!$C$15))*('Dvd Calendar'!$Z$2180&lt;=Summary!$C$11)=0,"",'Dvd Calendar'!$Z$2180*1000000000+ISNUMBER('Dvd Calendar'!$Z$2181)*100000000+('Dvd Calendar'!$Z$2185='Field Check'!$C$25)*10000000+(N('Dvd Calendar'!$Z$2179)&gt;0)*1000000+5*1000+22))</f>
        <v/>
      </c>
      <c r="Y161" s="41">
        <f>IF(N('Dvd Calendar'!$AA$2180)=0,"",IF(('Dvd Calendar'!$AA$2180&gt;=MIN(DATE(Summary!$C$12,1,1),Summary!$C$11))*('Dvd Calendar'!$AA$2180&lt;=MAX(DATE(Summary!$C$12,12,31),Summary!$C$15))*('Dvd Calendar'!$AA$2180&lt;=Summary!$C$11)=0,"",'Dvd Calendar'!$AA$2180*1000000000+ISNUMBER('Dvd Calendar'!$AA$2181)*100000000+('Dvd Calendar'!$AA$2185='Field Check'!$C$25)*10000000+(N('Dvd Calendar'!$AA$2179)&gt;0)*1000000+5*1000+23))</f>
        <v/>
      </c>
      <c r="Z161" s="41">
        <f>IF(N('Dvd Calendar'!$AB$2180)=0,"",IF(('Dvd Calendar'!$AB$2180&gt;=MIN(DATE(Summary!$C$12,1,1),Summary!$C$11))*('Dvd Calendar'!$AB$2180&lt;=MAX(DATE(Summary!$C$12,12,31),Summary!$C$15))*('Dvd Calendar'!$AB$2180&lt;=Summary!$C$11)=0,"",'Dvd Calendar'!$AB$2180*1000000000+ISNUMBER('Dvd Calendar'!$AB$2181)*100000000+('Dvd Calendar'!$AB$2185='Field Check'!$C$25)*10000000+(N('Dvd Calendar'!$AB$2179)&gt;0)*1000000+5*1000+24))</f>
        <v/>
      </c>
      <c r="AA161" s="41">
        <f>IF(N('Dvd Calendar'!$AC$2180)=0,"",IF(('Dvd Calendar'!$AC$2180&gt;=MIN(DATE(Summary!$C$12,1,1),Summary!$C$11))*('Dvd Calendar'!$AC$2180&lt;=MAX(DATE(Summary!$C$12,12,31),Summary!$C$15))*('Dvd Calendar'!$AC$2180&lt;=Summary!$C$11)=0,"",'Dvd Calendar'!$AC$2180*1000000000+ISNUMBER('Dvd Calendar'!$AC$2181)*100000000+('Dvd Calendar'!$AC$2185='Field Check'!$C$25)*10000000+(N('Dvd Calendar'!$AC$2179)&gt;0)*1000000+5*1000+25))</f>
        <v/>
      </c>
      <c r="AB161" s="41">
        <f>IF(N('Dvd Calendar'!$AD$2180)=0,"",IF(('Dvd Calendar'!$AD$2180&gt;=MIN(DATE(Summary!$C$12,1,1),Summary!$C$11))*('Dvd Calendar'!$AD$2180&lt;=MAX(DATE(Summary!$C$12,12,31),Summary!$C$15))*('Dvd Calendar'!$AD$2180&lt;=Summary!$C$11)=0,"",'Dvd Calendar'!$AD$2180*1000000000+ISNUMBER('Dvd Calendar'!$AD$2181)*100000000+('Dvd Calendar'!$AD$2185='Field Check'!$C$25)*10000000+(N('Dvd Calendar'!$AD$2179)&gt;0)*1000000+5*1000+26))</f>
        <v/>
      </c>
      <c r="AC161" s="41">
        <f>IF(N('Dvd Calendar'!$AE$2180)=0,"",IF(('Dvd Calendar'!$AE$2180&gt;=MIN(DATE(Summary!$C$12,1,1),Summary!$C$11))*('Dvd Calendar'!$AE$2180&lt;=MAX(DATE(Summary!$C$12,12,31),Summary!$C$15))*('Dvd Calendar'!$AE$2180&lt;=Summary!$C$11)=0,"",'Dvd Calendar'!$AE$2180*1000000000+ISNUMBER('Dvd Calendar'!$AE$2181)*100000000+('Dvd Calendar'!$AE$2185='Field Check'!$C$25)*10000000+(N('Dvd Calendar'!$AE$2179)&gt;0)*1000000+5*1000+27))</f>
        <v/>
      </c>
      <c r="AD161" s="41">
        <f>IF(N('Dvd Calendar'!$AF$2180)=0,"",IF(('Dvd Calendar'!$AF$2180&gt;=MIN(DATE(Summary!$C$12,1,1),Summary!$C$11))*('Dvd Calendar'!$AF$2180&lt;=MAX(DATE(Summary!$C$12,12,31),Summary!$C$15))*('Dvd Calendar'!$AF$2180&lt;=Summary!$C$11)=0,"",'Dvd Calendar'!$AF$2180*1000000000+ISNUMBER('Dvd Calendar'!$AF$2181)*100000000+('Dvd Calendar'!$AF$2185='Field Check'!$C$25)*10000000+(N('Dvd Calendar'!$AF$2179)&gt;0)*1000000+5*1000+28))</f>
        <v/>
      </c>
      <c r="AE161" s="41">
        <f>IF(N('Dvd Calendar'!$AG$2180)=0,"",IF(('Dvd Calendar'!$AG$2180&gt;=MIN(DATE(Summary!$C$12,1,1),Summary!$C$11))*('Dvd Calendar'!$AG$2180&lt;=MAX(DATE(Summary!$C$12,12,31),Summary!$C$15))*('Dvd Calendar'!$AG$2180&lt;=Summary!$C$11)=0,"",'Dvd Calendar'!$AG$2180*1000000000+ISNUMBER('Dvd Calendar'!$AG$2181)*100000000+('Dvd Calendar'!$AG$2185='Field Check'!$C$25)*10000000+(N('Dvd Calendar'!$AG$2179)&gt;0)*1000000+5*1000+29))</f>
        <v/>
      </c>
      <c r="AF161" s="41">
        <f>IF(N('Dvd Calendar'!$AH$2180)=0,"",IF(('Dvd Calendar'!$AH$2180&gt;=MIN(DATE(Summary!$C$12,1,1),Summary!$C$11))*('Dvd Calendar'!$AH$2180&lt;=MAX(DATE(Summary!$C$12,12,31),Summary!$C$15))*('Dvd Calendar'!$AH$2180&lt;=Summary!$C$11)=0,"",'Dvd Calendar'!$AH$2180*1000000000+ISNUMBER('Dvd Calendar'!$AH$2181)*100000000+('Dvd Calendar'!$AH$2185='Field Check'!$C$25)*10000000+(N('Dvd Calendar'!$AH$2179)&gt;0)*1000000+5*1000+30))</f>
        <v/>
      </c>
      <c r="AG161" s="41">
        <f>IF(N('Dvd Calendar'!$AI$2180)=0,"",IF(('Dvd Calendar'!$AI$2180&gt;=MIN(DATE(Summary!$C$12,1,1),Summary!$C$11))*('Dvd Calendar'!$AI$2180&lt;=MAX(DATE(Summary!$C$12,12,31),Summary!$C$15))*('Dvd Calendar'!$AI$2180&lt;=Summary!$C$11)=0,"",'Dvd Calendar'!$AI$2180*1000000000+ISNUMBER('Dvd Calendar'!$AI$2181)*100000000+('Dvd Calendar'!$AI$2185='Field Check'!$C$25)*10000000+(N('Dvd Calendar'!$AI$2179)&gt;0)*1000000+5*1000+31))</f>
        <v/>
      </c>
      <c r="AH161" s="41">
        <f>IF(N('Dvd Calendar'!$AJ$2180)=0,"",IF(('Dvd Calendar'!$AJ$2180&gt;=MIN(DATE(Summary!$C$12,1,1),Summary!$C$11))*('Dvd Calendar'!$AJ$2180&lt;=MAX(DATE(Summary!$C$12,12,31),Summary!$C$15))*('Dvd Calendar'!$AJ$2180&lt;=Summary!$C$11)=0,"",'Dvd Calendar'!$AJ$2180*1000000000+ISNUMBER('Dvd Calendar'!$AJ$2181)*100000000+('Dvd Calendar'!$AJ$2185='Field Check'!$C$25)*10000000+(N('Dvd Calendar'!$AJ$2179)&gt;0)*1000000+5*1000+32))</f>
        <v/>
      </c>
      <c r="AI161" s="41">
        <f>IF(N('Dvd Calendar'!$AK$2180)=0,"",IF(('Dvd Calendar'!$AK$2180&gt;=MIN(DATE(Summary!$C$12,1,1),Summary!$C$11))*('Dvd Calendar'!$AK$2180&lt;=MAX(DATE(Summary!$C$12,12,31),Summary!$C$15))*('Dvd Calendar'!$AK$2180&lt;=Summary!$C$11)=0,"",'Dvd Calendar'!$AK$2180*1000000000+ISNUMBER('Dvd Calendar'!$AK$2181)*100000000+('Dvd Calendar'!$AK$2185='Field Check'!$C$25)*10000000+(N('Dvd Calendar'!$AK$2179)&gt;0)*1000000+5*1000+33))</f>
        <v/>
      </c>
      <c r="AJ161" s="41">
        <f>IF(N('Dvd Calendar'!$AL$2180)=0,"",IF(('Dvd Calendar'!$AL$2180&gt;=MIN(DATE(Summary!$C$12,1,1),Summary!$C$11))*('Dvd Calendar'!$AL$2180&lt;=MAX(DATE(Summary!$C$12,12,31),Summary!$C$15))*('Dvd Calendar'!$AL$2180&lt;=Summary!$C$11)=0,"",'Dvd Calendar'!$AL$2180*1000000000+ISNUMBER('Dvd Calendar'!$AL$2181)*100000000+('Dvd Calendar'!$AL$2185='Field Check'!$C$25)*10000000+(N('Dvd Calendar'!$AL$2179)&gt;0)*1000000+5*1000+34))</f>
        <v/>
      </c>
      <c r="AK161" s="41">
        <f>IF(N('Dvd Calendar'!$AM$2180)=0,"",IF(('Dvd Calendar'!$AM$2180&gt;=MIN(DATE(Summary!$C$12,1,1),Summary!$C$11))*('Dvd Calendar'!$AM$2180&lt;=MAX(DATE(Summary!$C$12,12,31),Summary!$C$15))*('Dvd Calendar'!$AM$2180&lt;=Summary!$C$11)=0,"",'Dvd Calendar'!$AM$2180*1000000000+ISNUMBER('Dvd Calendar'!$AM$2181)*100000000+('Dvd Calendar'!$AM$2185='Field Check'!$C$25)*10000000+(N('Dvd Calendar'!$AM$2179)&gt;0)*1000000+5*1000+35))</f>
        <v/>
      </c>
      <c r="AL161" s="41">
        <f>IF(N('Dvd Calendar'!$AN$2180)=0,"",IF(('Dvd Calendar'!$AN$2180&gt;=MIN(DATE(Summary!$C$12,1,1),Summary!$C$11))*('Dvd Calendar'!$AN$2180&lt;=MAX(DATE(Summary!$C$12,12,31),Summary!$C$15))*('Dvd Calendar'!$AN$2180&lt;=Summary!$C$11)=0,"",'Dvd Calendar'!$AN$2180*1000000000+ISNUMBER('Dvd Calendar'!$AN$2181)*100000000+('Dvd Calendar'!$AN$2185='Field Check'!$C$25)*10000000+(N('Dvd Calendar'!$AN$2179)&gt;0)*1000000+5*1000+36))</f>
        <v/>
      </c>
      <c r="AM161" s="41">
        <f>IF(N('Dvd Calendar'!$AO$2180)=0,"",IF(('Dvd Calendar'!$AO$2180&gt;=MIN(DATE(Summary!$C$12,1,1),Summary!$C$11))*('Dvd Calendar'!$AO$2180&lt;=MAX(DATE(Summary!$C$12,12,31),Summary!$C$15))*('Dvd Calendar'!$AO$2180&lt;=Summary!$C$11)=0,"",'Dvd Calendar'!$AO$2180*1000000000+ISNUMBER('Dvd Calendar'!$AO$2181)*100000000+('Dvd Calendar'!$AO$2185='Field Check'!$C$25)*10000000+(N('Dvd Calendar'!$AO$2179)&gt;0)*1000000+5*1000+37))</f>
        <v/>
      </c>
      <c r="AN161" s="41">
        <f>IF(N('Dvd Calendar'!$AP$2180)=0,"",IF(('Dvd Calendar'!$AP$2180&gt;=MIN(DATE(Summary!$C$12,1,1),Summary!$C$11))*('Dvd Calendar'!$AP$2180&lt;=MAX(DATE(Summary!$C$12,12,31),Summary!$C$15))*('Dvd Calendar'!$AP$2180&lt;=Summary!$C$11)=0,"",'Dvd Calendar'!$AP$2180*1000000000+ISNUMBER('Dvd Calendar'!$AP$2181)*100000000+('Dvd Calendar'!$AP$2185='Field Check'!$C$25)*10000000+(N('Dvd Calendar'!$AP$2179)&gt;0)*1000000+5*1000+38))</f>
        <v/>
      </c>
      <c r="AO161" s="41">
        <f>IF(N('Dvd Calendar'!$AQ$2180)=0,"",IF(('Dvd Calendar'!$AQ$2180&gt;=MIN(DATE(Summary!$C$12,1,1),Summary!$C$11))*('Dvd Calendar'!$AQ$2180&lt;=MAX(DATE(Summary!$C$12,12,31),Summary!$C$15))*('Dvd Calendar'!$AQ$2180&lt;=Summary!$C$11)=0,"",'Dvd Calendar'!$AQ$2180*1000000000+ISNUMBER('Dvd Calendar'!$AQ$2181)*100000000+('Dvd Calendar'!$AQ$2185='Field Check'!$C$25)*10000000+(N('Dvd Calendar'!$AQ$2179)&gt;0)*1000000+5*1000+39))</f>
        <v/>
      </c>
      <c r="AP161" s="41">
        <f>IF(N('Dvd Calendar'!$AR$2180)=0,"",IF(('Dvd Calendar'!$AR$2180&gt;=MIN(DATE(Summary!$C$12,1,1),Summary!$C$11))*('Dvd Calendar'!$AR$2180&lt;=MAX(DATE(Summary!$C$12,12,31),Summary!$C$15))*('Dvd Calendar'!$AR$2180&lt;=Summary!$C$11)=0,"",'Dvd Calendar'!$AR$2180*1000000000+ISNUMBER('Dvd Calendar'!$AR$2181)*100000000+('Dvd Calendar'!$AR$2185='Field Check'!$C$25)*10000000+(N('Dvd Calendar'!$AR$2179)&gt;0)*1000000+5*1000+40))</f>
        <v/>
      </c>
      <c r="AQ161" s="41">
        <f>IF(N('Dvd Calendar'!$E$2187)=0,"",IF(('Dvd Calendar'!$E$2187&gt;=MIN(DATE(Summary!$C$12,1,1),Summary!$C$11))*('Dvd Calendar'!$E$2187&lt;=MAX(DATE(Summary!$C$12,12,31),Summary!$C$15))*('Dvd Calendar'!$E$2187&gt;Summary!$C$11)=0,"",'Dvd Calendar'!$E$2187*1000000000+ISNUMBER('Dvd Calendar'!$E$2188)*100000000+('Dvd Calendar'!$E$2192='Field Check'!$C$25)*10000000+(N('Dvd Calendar'!$E$2186)&gt;0)*1000000+5*1000+41))</f>
        <v/>
      </c>
      <c r="AR161" s="41">
        <f>IF(N('Dvd Calendar'!$F$2187)=0,"",IF(('Dvd Calendar'!$F$2187&gt;=MIN(DATE(Summary!$C$12,1,1),Summary!$C$11))*('Dvd Calendar'!$F$2187&lt;=MAX(DATE(Summary!$C$12,12,31),Summary!$C$15))*('Dvd Calendar'!$F$2187&gt;Summary!$C$11)=0,"",'Dvd Calendar'!$F$2187*1000000000+ISNUMBER('Dvd Calendar'!$F$2188)*100000000+('Dvd Calendar'!$F$2192='Field Check'!$C$25)*10000000+(N('Dvd Calendar'!$F$2186)&gt;0)*1000000+5*1000+42))</f>
        <v/>
      </c>
      <c r="AS161" s="41">
        <f>IF(N('Dvd Calendar'!$G$2187)=0,"",IF(('Dvd Calendar'!$G$2187&gt;=MIN(DATE(Summary!$C$12,1,1),Summary!$C$11))*('Dvd Calendar'!$G$2187&lt;=MAX(DATE(Summary!$C$12,12,31),Summary!$C$15))*('Dvd Calendar'!$G$2187&gt;Summary!$C$11)=0,"",'Dvd Calendar'!$G$2187*1000000000+ISNUMBER('Dvd Calendar'!$G$2188)*100000000+('Dvd Calendar'!$G$2192='Field Check'!$C$25)*10000000+(N('Dvd Calendar'!$G$2186)&gt;0)*1000000+5*1000+43))</f>
        <v/>
      </c>
      <c r="AT161" s="41">
        <f>IF(N('Dvd Calendar'!$H$2187)=0,"",IF(('Dvd Calendar'!$H$2187&gt;=MIN(DATE(Summary!$C$12,1,1),Summary!$C$11))*('Dvd Calendar'!$H$2187&lt;=MAX(DATE(Summary!$C$12,12,31),Summary!$C$15))*('Dvd Calendar'!$H$2187&gt;Summary!$C$11)=0,"",'Dvd Calendar'!$H$2187*1000000000+ISNUMBER('Dvd Calendar'!$H$2188)*100000000+('Dvd Calendar'!$H$2192='Field Check'!$C$25)*10000000+(N('Dvd Calendar'!$H$2186)&gt;0)*1000000+5*1000+44))</f>
        <v/>
      </c>
      <c r="AU161" s="41">
        <f>IF(N('Dvd Calendar'!$I$2187)=0,"",IF(('Dvd Calendar'!$I$2187&gt;=MIN(DATE(Summary!$C$12,1,1),Summary!$C$11))*('Dvd Calendar'!$I$2187&lt;=MAX(DATE(Summary!$C$12,12,31),Summary!$C$15))*('Dvd Calendar'!$I$2187&gt;Summary!$C$11)=0,"",'Dvd Calendar'!$I$2187*1000000000+ISNUMBER('Dvd Calendar'!$I$2188)*100000000+('Dvd Calendar'!$I$2192='Field Check'!$C$25)*10000000+(N('Dvd Calendar'!$I$2186)&gt;0)*1000000+5*1000+45))</f>
        <v/>
      </c>
      <c r="AV161" s="41">
        <f>IF(N('Dvd Calendar'!$J$2187)=0,"",IF(('Dvd Calendar'!$J$2187&gt;=MIN(DATE(Summary!$C$12,1,1),Summary!$C$11))*('Dvd Calendar'!$J$2187&lt;=MAX(DATE(Summary!$C$12,12,31),Summary!$C$15))*('Dvd Calendar'!$J$2187&gt;Summary!$C$11)=0,"",'Dvd Calendar'!$J$2187*1000000000+ISNUMBER('Dvd Calendar'!$J$2188)*100000000+('Dvd Calendar'!$J$2192='Field Check'!$C$25)*10000000+(N('Dvd Calendar'!$J$2186)&gt;0)*1000000+5*1000+46))</f>
        <v/>
      </c>
      <c r="AW161" s="41">
        <f>IF(N('Dvd Calendar'!$K$2187)=0,"",IF(('Dvd Calendar'!$K$2187&gt;=MIN(DATE(Summary!$C$12,1,1),Summary!$C$11))*('Dvd Calendar'!$K$2187&lt;=MAX(DATE(Summary!$C$12,12,31),Summary!$C$15))*('Dvd Calendar'!$K$2187&gt;Summary!$C$11)=0,"",'Dvd Calendar'!$K$2187*1000000000+ISNUMBER('Dvd Calendar'!$K$2188)*100000000+('Dvd Calendar'!$K$2192='Field Check'!$C$25)*10000000+(N('Dvd Calendar'!$K$2186)&gt;0)*1000000+5*1000+47))</f>
        <v/>
      </c>
      <c r="AX161" s="41">
        <f>IF(N('Dvd Calendar'!$L$2187)=0,"",IF(('Dvd Calendar'!$L$2187&gt;=MIN(DATE(Summary!$C$12,1,1),Summary!$C$11))*('Dvd Calendar'!$L$2187&lt;=MAX(DATE(Summary!$C$12,12,31),Summary!$C$15))*('Dvd Calendar'!$L$2187&gt;Summary!$C$11)=0,"",'Dvd Calendar'!$L$2187*1000000000+ISNUMBER('Dvd Calendar'!$L$2188)*100000000+('Dvd Calendar'!$L$2192='Field Check'!$C$25)*10000000+(N('Dvd Calendar'!$L$2186)&gt;0)*1000000+5*1000+48))</f>
        <v/>
      </c>
      <c r="AY161" s="41">
        <f>IF(N('Dvd Calendar'!$M$2187)=0,"",IF(('Dvd Calendar'!$M$2187&gt;=MIN(DATE(Summary!$C$12,1,1),Summary!$C$11))*('Dvd Calendar'!$M$2187&lt;=MAX(DATE(Summary!$C$12,12,31),Summary!$C$15))*('Dvd Calendar'!$M$2187&gt;Summary!$C$11)=0,"",'Dvd Calendar'!$M$2187*1000000000+ISNUMBER('Dvd Calendar'!$M$2188)*100000000+('Dvd Calendar'!$M$2192='Field Check'!$C$25)*10000000+(N('Dvd Calendar'!$M$2186)&gt;0)*1000000+5*1000+49))</f>
        <v/>
      </c>
      <c r="AZ161" s="41">
        <f>IF(N('Dvd Calendar'!$N$2187)=0,"",IF(('Dvd Calendar'!$N$2187&gt;=MIN(DATE(Summary!$C$12,1,1),Summary!$C$11))*('Dvd Calendar'!$N$2187&lt;=MAX(DATE(Summary!$C$12,12,31),Summary!$C$15))*('Dvd Calendar'!$N$2187&gt;Summary!$C$11)=0,"",'Dvd Calendar'!$N$2187*1000000000+ISNUMBER('Dvd Calendar'!$N$2188)*100000000+('Dvd Calendar'!$N$2192='Field Check'!$C$25)*10000000+(N('Dvd Calendar'!$N$2186)&gt;0)*1000000+5*1000+50))</f>
        <v/>
      </c>
      <c r="BA161" s="41">
        <f>IF(N('Dvd Calendar'!$O$2187)=0,"",IF(('Dvd Calendar'!$O$2187&gt;=MIN(DATE(Summary!$C$12,1,1),Summary!$C$11))*('Dvd Calendar'!$O$2187&lt;=MAX(DATE(Summary!$C$12,12,31),Summary!$C$15))*('Dvd Calendar'!$O$2187&gt;Summary!$C$11)=0,"",'Dvd Calendar'!$O$2187*1000000000+ISNUMBER('Dvd Calendar'!$O$2188)*100000000+('Dvd Calendar'!$O$2192='Field Check'!$C$25)*10000000+(N('Dvd Calendar'!$O$2186)&gt;0)*1000000+5*1000+51))</f>
        <v/>
      </c>
      <c r="BB161" s="41">
        <f>IF(N('Dvd Calendar'!$P$2187)=0,"",IF(('Dvd Calendar'!$P$2187&gt;=MIN(DATE(Summary!$C$12,1,1),Summary!$C$11))*('Dvd Calendar'!$P$2187&lt;=MAX(DATE(Summary!$C$12,12,31),Summary!$C$15))*('Dvd Calendar'!$P$2187&gt;Summary!$C$11)=0,"",'Dvd Calendar'!$P$2187*1000000000+ISNUMBER('Dvd Calendar'!$P$2188)*100000000+('Dvd Calendar'!$P$2192='Field Check'!$C$25)*10000000+(N('Dvd Calendar'!$P$2186)&gt;0)*1000000+5*1000+52))</f>
        <v/>
      </c>
      <c r="BC161" s="41">
        <f>IF(N('Dvd Calendar'!$Q$2187)=0,"",IF(('Dvd Calendar'!$Q$2187&gt;=MIN(DATE(Summary!$C$12,1,1),Summary!$C$11))*('Dvd Calendar'!$Q$2187&lt;=MAX(DATE(Summary!$C$12,12,31),Summary!$C$15))*('Dvd Calendar'!$Q$2187&gt;Summary!$C$11)=0,"",'Dvd Calendar'!$Q$2187*1000000000+ISNUMBER('Dvd Calendar'!$Q$2188)*100000000+('Dvd Calendar'!$Q$2192='Field Check'!$C$25)*10000000+(N('Dvd Calendar'!$Q$2186)&gt;0)*1000000+5*1000+53))</f>
        <v/>
      </c>
      <c r="BD161" s="41">
        <f>IF(N('Dvd Calendar'!$R$2187)=0,"",IF(('Dvd Calendar'!$R$2187&gt;=MIN(DATE(Summary!$C$12,1,1),Summary!$C$11))*('Dvd Calendar'!$R$2187&lt;=MAX(DATE(Summary!$C$12,12,31),Summary!$C$15))*('Dvd Calendar'!$R$2187&gt;Summary!$C$11)=0,"",'Dvd Calendar'!$R$2187*1000000000+ISNUMBER('Dvd Calendar'!$R$2188)*100000000+('Dvd Calendar'!$R$2192='Field Check'!$C$25)*10000000+(N('Dvd Calendar'!$R$2186)&gt;0)*1000000+5*1000+54))</f>
        <v/>
      </c>
      <c r="BE161" s="41">
        <f>IF(N('Dvd Calendar'!$S$2187)=0,"",IF(('Dvd Calendar'!$S$2187&gt;=MIN(DATE(Summary!$C$12,1,1),Summary!$C$11))*('Dvd Calendar'!$S$2187&lt;=MAX(DATE(Summary!$C$12,12,31),Summary!$C$15))*('Dvd Calendar'!$S$2187&gt;Summary!$C$11)=0,"",'Dvd Calendar'!$S$2187*1000000000+ISNUMBER('Dvd Calendar'!$S$2188)*100000000+('Dvd Calendar'!$S$2192='Field Check'!$C$25)*10000000+(N('Dvd Calendar'!$S$2186)&gt;0)*1000000+5*1000+55))</f>
        <v/>
      </c>
      <c r="BF161" s="41">
        <f>IF(N('Dvd Calendar'!$T$2187)=0,"",IF(('Dvd Calendar'!$T$2187&gt;=MIN(DATE(Summary!$C$12,1,1),Summary!$C$11))*('Dvd Calendar'!$T$2187&lt;=MAX(DATE(Summary!$C$12,12,31),Summary!$C$15))*('Dvd Calendar'!$T$2187&gt;Summary!$C$11)=0,"",'Dvd Calendar'!$T$2187*1000000000+ISNUMBER('Dvd Calendar'!$T$2188)*100000000+('Dvd Calendar'!$T$2192='Field Check'!$C$25)*10000000+(N('Dvd Calendar'!$T$2186)&gt;0)*1000000+5*1000+56))</f>
        <v/>
      </c>
      <c r="BG161" s="41">
        <f>IF(N('Dvd Calendar'!$U$2187)=0,"",IF(('Dvd Calendar'!$U$2187&gt;=MIN(DATE(Summary!$C$12,1,1),Summary!$C$11))*('Dvd Calendar'!$U$2187&lt;=MAX(DATE(Summary!$C$12,12,31),Summary!$C$15))*('Dvd Calendar'!$U$2187&gt;Summary!$C$11)=0,"",'Dvd Calendar'!$U$2187*1000000000+ISNUMBER('Dvd Calendar'!$U$2188)*100000000+('Dvd Calendar'!$U$2192='Field Check'!$C$25)*10000000+(N('Dvd Calendar'!$U$2186)&gt;0)*1000000+5*1000+57))</f>
        <v/>
      </c>
      <c r="BH161" s="41">
        <f>IF(N('Dvd Calendar'!$V$2187)=0,"",IF(('Dvd Calendar'!$V$2187&gt;=MIN(DATE(Summary!$C$12,1,1),Summary!$C$11))*('Dvd Calendar'!$V$2187&lt;=MAX(DATE(Summary!$C$12,12,31),Summary!$C$15))*('Dvd Calendar'!$V$2187&gt;Summary!$C$11)=0,"",'Dvd Calendar'!$V$2187*1000000000+ISNUMBER('Dvd Calendar'!$V$2188)*100000000+('Dvd Calendar'!$V$2192='Field Check'!$C$25)*10000000+(N('Dvd Calendar'!$V$2186)&gt;0)*1000000+5*1000+58))</f>
        <v/>
      </c>
      <c r="BI161" s="41">
        <f>IF(N('Dvd Calendar'!$W$2187)=0,"",IF(('Dvd Calendar'!$W$2187&gt;=MIN(DATE(Summary!$C$12,1,1),Summary!$C$11))*('Dvd Calendar'!$W$2187&lt;=MAX(DATE(Summary!$C$12,12,31),Summary!$C$15))*('Dvd Calendar'!$W$2187&gt;Summary!$C$11)=0,"",'Dvd Calendar'!$W$2187*1000000000+ISNUMBER('Dvd Calendar'!$W$2188)*100000000+('Dvd Calendar'!$W$2192='Field Check'!$C$25)*10000000+(N('Dvd Calendar'!$W$2186)&gt;0)*1000000+5*1000+59))</f>
        <v/>
      </c>
      <c r="BJ161" s="41">
        <f>IF(N('Dvd Calendar'!$X$2187)=0,"",IF(('Dvd Calendar'!$X$2187&gt;=MIN(DATE(Summary!$C$12,1,1),Summary!$C$11))*('Dvd Calendar'!$X$2187&lt;=MAX(DATE(Summary!$C$12,12,31),Summary!$C$15))*('Dvd Calendar'!$X$2187&gt;Summary!$C$11)=0,"",'Dvd Calendar'!$X$2187*1000000000+ISNUMBER('Dvd Calendar'!$X$2188)*100000000+('Dvd Calendar'!$X$2192='Field Check'!$C$25)*10000000+(N('Dvd Calendar'!$X$2186)&gt;0)*1000000+5*1000+60))</f>
        <v/>
      </c>
      <c r="BK161" s="41">
        <f>IF(N('Dvd Calendar'!$Y$2187)=0,"",IF(('Dvd Calendar'!$Y$2187&gt;=MIN(DATE(Summary!$C$12,1,1),Summary!$C$11))*('Dvd Calendar'!$Y$2187&lt;=MAX(DATE(Summary!$C$12,12,31),Summary!$C$15))*('Dvd Calendar'!$Y$2187&gt;Summary!$C$11)=0,"",'Dvd Calendar'!$Y$2187*1000000000+ISNUMBER('Dvd Calendar'!$Y$2188)*100000000+('Dvd Calendar'!$Y$2192='Field Check'!$C$25)*10000000+(N('Dvd Calendar'!$Y$2186)&gt;0)*1000000+5*1000+61))</f>
        <v/>
      </c>
      <c r="BL161" s="41">
        <f>IF(N('Dvd Calendar'!$Z$2187)=0,"",IF(('Dvd Calendar'!$Z$2187&gt;=MIN(DATE(Summary!$C$12,1,1),Summary!$C$11))*('Dvd Calendar'!$Z$2187&lt;=MAX(DATE(Summary!$C$12,12,31),Summary!$C$15))*('Dvd Calendar'!$Z$2187&gt;Summary!$C$11)=0,"",'Dvd Calendar'!$Z$2187*1000000000+ISNUMBER('Dvd Calendar'!$Z$2188)*100000000+('Dvd Calendar'!$Z$2192='Field Check'!$C$25)*10000000+(N('Dvd Calendar'!$Z$2186)&gt;0)*1000000+5*1000+62))</f>
        <v/>
      </c>
      <c r="BM161" s="41">
        <f>IF(N('Dvd Calendar'!$AA$2187)=0,"",IF(('Dvd Calendar'!$AA$2187&gt;=MIN(DATE(Summary!$C$12,1,1),Summary!$C$11))*('Dvd Calendar'!$AA$2187&lt;=MAX(DATE(Summary!$C$12,12,31),Summary!$C$15))*('Dvd Calendar'!$AA$2187&gt;Summary!$C$11)=0,"",'Dvd Calendar'!$AA$2187*1000000000+ISNUMBER('Dvd Calendar'!$AA$2188)*100000000+('Dvd Calendar'!$AA$2192='Field Check'!$C$25)*10000000+(N('Dvd Calendar'!$AA$2186)&gt;0)*1000000+5*1000+63))</f>
        <v/>
      </c>
      <c r="BN161" s="41">
        <f>IF(N('Dvd Calendar'!$AB$2187)=0,"",IF(('Dvd Calendar'!$AB$2187&gt;=MIN(DATE(Summary!$C$12,1,1),Summary!$C$11))*('Dvd Calendar'!$AB$2187&lt;=MAX(DATE(Summary!$C$12,12,31),Summary!$C$15))*('Dvd Calendar'!$AB$2187&gt;Summary!$C$11)=0,"",'Dvd Calendar'!$AB$2187*1000000000+ISNUMBER('Dvd Calendar'!$AB$2188)*100000000+('Dvd Calendar'!$AB$2192='Field Check'!$C$25)*10000000+(N('Dvd Calendar'!$AB$2186)&gt;0)*1000000+5*1000+64))</f>
        <v/>
      </c>
      <c r="BO161" s="41">
        <f>IF(N('Dvd Calendar'!$AC$2187)=0,"",IF(('Dvd Calendar'!$AC$2187&gt;=MIN(DATE(Summary!$C$12,1,1),Summary!$C$11))*('Dvd Calendar'!$AC$2187&lt;=MAX(DATE(Summary!$C$12,12,31),Summary!$C$15))*('Dvd Calendar'!$AC$2187&gt;Summary!$C$11)=0,"",'Dvd Calendar'!$AC$2187*1000000000+ISNUMBER('Dvd Calendar'!$AC$2188)*100000000+('Dvd Calendar'!$AC$2192='Field Check'!$C$25)*10000000+(N('Dvd Calendar'!$AC$2186)&gt;0)*1000000+5*1000+65))</f>
        <v/>
      </c>
      <c r="BQ161" s="85">
        <f>IF(C161="","",IF(ISNUMBER('Dvd Calendar'!$E$2181)=FALSE,"",IF((Summary!$C$13="N")*('Dvd Calendar'!$E$2185='Field Check'!$C$25)&gt;0,"",'Dvd Calendar'!$E$2181)))</f>
        <v/>
      </c>
      <c r="BR161" s="85">
        <f>IF(D161="","",IF(ISNUMBER('Dvd Calendar'!$F$2181)=FALSE,"",IF((Summary!$C$13="N")*('Dvd Calendar'!$F$2185='Field Check'!$C$25)&gt;0,"",'Dvd Calendar'!$F$2181)))</f>
        <v/>
      </c>
      <c r="BS161" s="85">
        <f>IF(E161="","",IF(ISNUMBER('Dvd Calendar'!$G$2181)=FALSE,"",IF((Summary!$C$13="N")*('Dvd Calendar'!$G$2185='Field Check'!$C$25)&gt;0,"",'Dvd Calendar'!$G$2181)))</f>
        <v/>
      </c>
      <c r="BT161" s="85">
        <f>IF(F161="","",IF(ISNUMBER('Dvd Calendar'!$H$2181)=FALSE,"",IF((Summary!$C$13="N")*('Dvd Calendar'!$H$2185='Field Check'!$C$25)&gt;0,"",'Dvd Calendar'!$H$2181)))</f>
        <v/>
      </c>
      <c r="BU161" s="85">
        <f>IF(G161="","",IF(ISNUMBER('Dvd Calendar'!$I$2181)=FALSE,"",IF((Summary!$C$13="N")*('Dvd Calendar'!$I$2185='Field Check'!$C$25)&gt;0,"",'Dvd Calendar'!$I$2181)))</f>
        <v/>
      </c>
      <c r="BV161" s="85">
        <f>IF(H161="","",IF(ISNUMBER('Dvd Calendar'!$J$2181)=FALSE,"",IF((Summary!$C$13="N")*('Dvd Calendar'!$J$2185='Field Check'!$C$25)&gt;0,"",'Dvd Calendar'!$J$2181)))</f>
        <v/>
      </c>
      <c r="BW161" s="85">
        <f>IF(I161="","",IF(ISNUMBER('Dvd Calendar'!$K$2181)=FALSE,"",IF((Summary!$C$13="N")*('Dvd Calendar'!$K$2185='Field Check'!$C$25)&gt;0,"",'Dvd Calendar'!$K$2181)))</f>
        <v/>
      </c>
      <c r="BX161" s="85">
        <f>IF(J161="","",IF(ISNUMBER('Dvd Calendar'!$L$2181)=FALSE,"",IF((Summary!$C$13="N")*('Dvd Calendar'!$L$2185='Field Check'!$C$25)&gt;0,"",'Dvd Calendar'!$L$2181)))</f>
        <v/>
      </c>
      <c r="BY161" s="85">
        <f>IF(K161="","",IF(ISNUMBER('Dvd Calendar'!$M$2181)=FALSE,"",IF((Summary!$C$13="N")*('Dvd Calendar'!$M$2185='Field Check'!$C$25)&gt;0,"",'Dvd Calendar'!$M$2181)))</f>
        <v/>
      </c>
      <c r="BZ161" s="85">
        <f>IF(L161="","",IF(ISNUMBER('Dvd Calendar'!$N$2181)=FALSE,"",IF((Summary!$C$13="N")*('Dvd Calendar'!$N$2185='Field Check'!$C$25)&gt;0,"",'Dvd Calendar'!$N$2181)))</f>
        <v/>
      </c>
      <c r="CA161" s="85">
        <f>IF(M161="","",IF(ISNUMBER('Dvd Calendar'!$O$2181)=FALSE,"",IF((Summary!$C$13="N")*('Dvd Calendar'!$O$2185='Field Check'!$C$25)&gt;0,"",'Dvd Calendar'!$O$2181)))</f>
        <v/>
      </c>
      <c r="CB161" s="85">
        <f>IF(N161="","",IF(ISNUMBER('Dvd Calendar'!$P$2181)=FALSE,"",IF((Summary!$C$13="N")*('Dvd Calendar'!$P$2185='Field Check'!$C$25)&gt;0,"",'Dvd Calendar'!$P$2181)))</f>
        <v/>
      </c>
      <c r="CC161" s="85">
        <f>IF(O161="","",IF(ISNUMBER('Dvd Calendar'!$Q$2181)=FALSE,"",IF((Summary!$C$13="N")*('Dvd Calendar'!$Q$2185='Field Check'!$C$25)&gt;0,"",'Dvd Calendar'!$Q$2181)))</f>
        <v/>
      </c>
      <c r="CD161" s="85">
        <f>IF(P161="","",IF(ISNUMBER('Dvd Calendar'!$R$2181)=FALSE,"",IF((Summary!$C$13="N")*('Dvd Calendar'!$R$2185='Field Check'!$C$25)&gt;0,"",'Dvd Calendar'!$R$2181)))</f>
        <v/>
      </c>
      <c r="CE161" s="85">
        <f>IF(Q161="","",IF(ISNUMBER('Dvd Calendar'!$S$2181)=FALSE,"",IF((Summary!$C$13="N")*('Dvd Calendar'!$S$2185='Field Check'!$C$25)&gt;0,"",'Dvd Calendar'!$S$2181)))</f>
        <v/>
      </c>
      <c r="CF161" s="85">
        <f>IF(R161="","",IF(ISNUMBER('Dvd Calendar'!$T$2181)=FALSE,"",IF((Summary!$C$13="N")*('Dvd Calendar'!$T$2185='Field Check'!$C$25)&gt;0,"",'Dvd Calendar'!$T$2181)))</f>
        <v/>
      </c>
      <c r="CG161" s="85">
        <f>IF(S161="","",IF(ISNUMBER('Dvd Calendar'!$U$2181)=FALSE,"",IF((Summary!$C$13="N")*('Dvd Calendar'!$U$2185='Field Check'!$C$25)&gt;0,"",'Dvd Calendar'!$U$2181)))</f>
        <v/>
      </c>
      <c r="CH161" s="85">
        <f>IF(T161="","",IF(ISNUMBER('Dvd Calendar'!$V$2181)=FALSE,"",IF((Summary!$C$13="N")*('Dvd Calendar'!$V$2185='Field Check'!$C$25)&gt;0,"",'Dvd Calendar'!$V$2181)))</f>
        <v/>
      </c>
      <c r="CI161" s="85">
        <f>IF(U161="","",IF(ISNUMBER('Dvd Calendar'!$W$2181)=FALSE,"",IF((Summary!$C$13="N")*('Dvd Calendar'!$W$2185='Field Check'!$C$25)&gt;0,"",'Dvd Calendar'!$W$2181)))</f>
        <v/>
      </c>
      <c r="CJ161" s="85">
        <f>IF(V161="","",IF(ISNUMBER('Dvd Calendar'!$X$2181)=FALSE,"",IF((Summary!$C$13="N")*('Dvd Calendar'!$X$2185='Field Check'!$C$25)&gt;0,"",'Dvd Calendar'!$X$2181)))</f>
        <v/>
      </c>
      <c r="CK161" s="85">
        <f>IF(W161="","",IF(ISNUMBER('Dvd Calendar'!$Y$2181)=FALSE,"",IF((Summary!$C$13="N")*('Dvd Calendar'!$Y$2185='Field Check'!$C$25)&gt;0,"",'Dvd Calendar'!$Y$2181)))</f>
        <v/>
      </c>
      <c r="CL161" s="85">
        <f>IF(X161="","",IF(ISNUMBER('Dvd Calendar'!$Z$2181)=FALSE,"",IF((Summary!$C$13="N")*('Dvd Calendar'!$Z$2185='Field Check'!$C$25)&gt;0,"",'Dvd Calendar'!$Z$2181)))</f>
        <v/>
      </c>
      <c r="CM161" s="85">
        <f>IF(Y161="","",IF(ISNUMBER('Dvd Calendar'!$AA$2181)=FALSE,"",IF((Summary!$C$13="N")*('Dvd Calendar'!$AA$2185='Field Check'!$C$25)&gt;0,"",'Dvd Calendar'!$AA$2181)))</f>
        <v/>
      </c>
      <c r="CN161" s="85">
        <f>IF(Z161="","",IF(ISNUMBER('Dvd Calendar'!$AB$2181)=FALSE,"",IF((Summary!$C$13="N")*('Dvd Calendar'!$AB$2185='Field Check'!$C$25)&gt;0,"",'Dvd Calendar'!$AB$2181)))</f>
        <v/>
      </c>
      <c r="CO161" s="85">
        <f>IF(AA161="","",IF(ISNUMBER('Dvd Calendar'!$AC$2181)=FALSE,"",IF((Summary!$C$13="N")*('Dvd Calendar'!$AC$2185='Field Check'!$C$25)&gt;0,"",'Dvd Calendar'!$AC$2181)))</f>
        <v/>
      </c>
      <c r="CP161" s="85">
        <f>IF(AB161="","",IF(ISNUMBER('Dvd Calendar'!$AD$2181)=FALSE,"",IF((Summary!$C$13="N")*('Dvd Calendar'!$AD$2185='Field Check'!$C$25)&gt;0,"",'Dvd Calendar'!$AD$2181)))</f>
        <v/>
      </c>
      <c r="CQ161" s="85">
        <f>IF(AC161="","",IF(ISNUMBER('Dvd Calendar'!$AE$2181)=FALSE,"",IF((Summary!$C$13="N")*('Dvd Calendar'!$AE$2185='Field Check'!$C$25)&gt;0,"",'Dvd Calendar'!$AE$2181)))</f>
        <v/>
      </c>
      <c r="CR161" s="85">
        <f>IF(AD161="","",IF(ISNUMBER('Dvd Calendar'!$AF$2181)=FALSE,"",IF((Summary!$C$13="N")*('Dvd Calendar'!$AF$2185='Field Check'!$C$25)&gt;0,"",'Dvd Calendar'!$AF$2181)))</f>
        <v/>
      </c>
      <c r="CS161" s="85">
        <f>IF(AE161="","",IF(ISNUMBER('Dvd Calendar'!$AG$2181)=FALSE,"",IF((Summary!$C$13="N")*('Dvd Calendar'!$AG$2185='Field Check'!$C$25)&gt;0,"",'Dvd Calendar'!$AG$2181)))</f>
        <v/>
      </c>
      <c r="CT161" s="85">
        <f>IF(AF161="","",IF(ISNUMBER('Dvd Calendar'!$AH$2181)=FALSE,"",IF((Summary!$C$13="N")*('Dvd Calendar'!$AH$2185='Field Check'!$C$25)&gt;0,"",'Dvd Calendar'!$AH$2181)))</f>
        <v/>
      </c>
      <c r="CU161" s="85">
        <f>IF(AG161="","",IF(ISNUMBER('Dvd Calendar'!$AI$2181)=FALSE,"",IF((Summary!$C$13="N")*('Dvd Calendar'!$AI$2185='Field Check'!$C$25)&gt;0,"",'Dvd Calendar'!$AI$2181)))</f>
        <v/>
      </c>
      <c r="CV161" s="85">
        <f>IF(AH161="","",IF(ISNUMBER('Dvd Calendar'!$AJ$2181)=FALSE,"",IF((Summary!$C$13="N")*('Dvd Calendar'!$AJ$2185='Field Check'!$C$25)&gt;0,"",'Dvd Calendar'!$AJ$2181)))</f>
        <v/>
      </c>
      <c r="CW161" s="85">
        <f>IF(AI161="","",IF(ISNUMBER('Dvd Calendar'!$AK$2181)=FALSE,"",IF((Summary!$C$13="N")*('Dvd Calendar'!$AK$2185='Field Check'!$C$25)&gt;0,"",'Dvd Calendar'!$AK$2181)))</f>
        <v/>
      </c>
      <c r="CX161" s="85">
        <f>IF(AJ161="","",IF(ISNUMBER('Dvd Calendar'!$AL$2181)=FALSE,"",IF((Summary!$C$13="N")*('Dvd Calendar'!$AL$2185='Field Check'!$C$25)&gt;0,"",'Dvd Calendar'!$AL$2181)))</f>
        <v/>
      </c>
      <c r="CY161" s="85">
        <f>IF(AK161="","",IF(ISNUMBER('Dvd Calendar'!$AM$2181)=FALSE,"",IF((Summary!$C$13="N")*('Dvd Calendar'!$AM$2185='Field Check'!$C$25)&gt;0,"",'Dvd Calendar'!$AM$2181)))</f>
        <v/>
      </c>
      <c r="CZ161" s="85">
        <f>IF(AL161="","",IF(ISNUMBER('Dvd Calendar'!$AN$2181)=FALSE,"",IF((Summary!$C$13="N")*('Dvd Calendar'!$AN$2185='Field Check'!$C$25)&gt;0,"",'Dvd Calendar'!$AN$2181)))</f>
        <v/>
      </c>
      <c r="DA161" s="85">
        <f>IF(AM161="","",IF(ISNUMBER('Dvd Calendar'!$AO$2181)=FALSE,"",IF((Summary!$C$13="N")*('Dvd Calendar'!$AO$2185='Field Check'!$C$25)&gt;0,"",'Dvd Calendar'!$AO$2181)))</f>
        <v/>
      </c>
      <c r="DB161" s="85">
        <f>IF(AN161="","",IF(ISNUMBER('Dvd Calendar'!$AP$2181)=FALSE,"",IF((Summary!$C$13="N")*('Dvd Calendar'!$AP$2185='Field Check'!$C$25)&gt;0,"",'Dvd Calendar'!$AP$2181)))</f>
        <v/>
      </c>
      <c r="DC161" s="85">
        <f>IF(AO161="","",IF(ISNUMBER('Dvd Calendar'!$AQ$2181)=FALSE,"",IF((Summary!$C$13="N")*('Dvd Calendar'!$AQ$2185='Field Check'!$C$25)&gt;0,"",'Dvd Calendar'!$AQ$2181)))</f>
        <v/>
      </c>
      <c r="DD161" s="85">
        <f>IF(AP161="","",IF(ISNUMBER('Dvd Calendar'!$AR$2181)=FALSE,"",IF((Summary!$C$13="N")*('Dvd Calendar'!$AR$2185='Field Check'!$C$25)&gt;0,"",'Dvd Calendar'!$AR$2181)))</f>
        <v/>
      </c>
      <c r="DE161" s="85">
        <f>IF(AQ161="","",IF(ISNUMBER('Dvd Calendar'!$E$2188)=FALSE,"",IF((Summary!$C$13="N")*('Dvd Calendar'!$E$2192='Field Check'!$C$25)&gt;0,"",'Dvd Calendar'!$E$2188)))</f>
        <v/>
      </c>
      <c r="DF161" s="85">
        <f>IF(AR161="","",IF(ISNUMBER('Dvd Calendar'!$F$2188)=FALSE,"",IF((Summary!$C$13="N")*('Dvd Calendar'!$F$2192='Field Check'!$C$25)&gt;0,"",'Dvd Calendar'!$F$2188)))</f>
        <v/>
      </c>
      <c r="DG161" s="85">
        <f>IF(AS161="","",IF(ISNUMBER('Dvd Calendar'!$G$2188)=FALSE,"",IF((Summary!$C$13="N")*('Dvd Calendar'!$G$2192='Field Check'!$C$25)&gt;0,"",'Dvd Calendar'!$G$2188)))</f>
        <v/>
      </c>
      <c r="DH161" s="85">
        <f>IF(AT161="","",IF(ISNUMBER('Dvd Calendar'!$H$2188)=FALSE,"",IF((Summary!$C$13="N")*('Dvd Calendar'!$H$2192='Field Check'!$C$25)&gt;0,"",'Dvd Calendar'!$H$2188)))</f>
        <v/>
      </c>
      <c r="DI161" s="85">
        <f>IF(AU161="","",IF(ISNUMBER('Dvd Calendar'!$I$2188)=FALSE,"",IF((Summary!$C$13="N")*('Dvd Calendar'!$I$2192='Field Check'!$C$25)&gt;0,"",'Dvd Calendar'!$I$2188)))</f>
        <v/>
      </c>
      <c r="DJ161" s="85">
        <f>IF(AV161="","",IF(ISNUMBER('Dvd Calendar'!$J$2188)=FALSE,"",IF((Summary!$C$13="N")*('Dvd Calendar'!$J$2192='Field Check'!$C$25)&gt;0,"",'Dvd Calendar'!$J$2188)))</f>
        <v/>
      </c>
      <c r="DK161" s="85">
        <f>IF(AW161="","",IF(ISNUMBER('Dvd Calendar'!$K$2188)=FALSE,"",IF((Summary!$C$13="N")*('Dvd Calendar'!$K$2192='Field Check'!$C$25)&gt;0,"",'Dvd Calendar'!$K$2188)))</f>
        <v/>
      </c>
      <c r="DL161" s="85">
        <f>IF(AX161="","",IF(ISNUMBER('Dvd Calendar'!$L$2188)=FALSE,"",IF((Summary!$C$13="N")*('Dvd Calendar'!$L$2192='Field Check'!$C$25)&gt;0,"",'Dvd Calendar'!$L$2188)))</f>
        <v/>
      </c>
      <c r="DM161" s="85">
        <f>IF(AY161="","",IF(ISNUMBER('Dvd Calendar'!$M$2188)=FALSE,"",IF((Summary!$C$13="N")*('Dvd Calendar'!$M$2192='Field Check'!$C$25)&gt;0,"",'Dvd Calendar'!$M$2188)))</f>
        <v/>
      </c>
      <c r="DN161" s="85">
        <f>IF(AZ161="","",IF(ISNUMBER('Dvd Calendar'!$N$2188)=FALSE,"",IF((Summary!$C$13="N")*('Dvd Calendar'!$N$2192='Field Check'!$C$25)&gt;0,"",'Dvd Calendar'!$N$2188)))</f>
        <v/>
      </c>
      <c r="DO161" s="85">
        <f>IF(BA161="","",IF(ISNUMBER('Dvd Calendar'!$O$2188)=FALSE,"",IF((Summary!$C$13="N")*('Dvd Calendar'!$O$2192='Field Check'!$C$25)&gt;0,"",'Dvd Calendar'!$O$2188)))</f>
        <v/>
      </c>
      <c r="DP161" s="85">
        <f>IF(BB161="","",IF(ISNUMBER('Dvd Calendar'!$P$2188)=FALSE,"",IF((Summary!$C$13="N")*('Dvd Calendar'!$P$2192='Field Check'!$C$25)&gt;0,"",'Dvd Calendar'!$P$2188)))</f>
        <v/>
      </c>
      <c r="DQ161" s="85">
        <f>IF(BC161="","",IF(ISNUMBER('Dvd Calendar'!$Q$2188)=FALSE,"",IF((Summary!$C$13="N")*('Dvd Calendar'!$Q$2192='Field Check'!$C$25)&gt;0,"",'Dvd Calendar'!$Q$2188)))</f>
        <v/>
      </c>
      <c r="DR161" s="85">
        <f>IF(BD161="","",IF(ISNUMBER('Dvd Calendar'!$R$2188)=FALSE,"",IF((Summary!$C$13="N")*('Dvd Calendar'!$R$2192='Field Check'!$C$25)&gt;0,"",'Dvd Calendar'!$R$2188)))</f>
        <v/>
      </c>
      <c r="DS161" s="85">
        <f>IF(BE161="","",IF(ISNUMBER('Dvd Calendar'!$S$2188)=FALSE,"",IF((Summary!$C$13="N")*('Dvd Calendar'!$S$2192='Field Check'!$C$25)&gt;0,"",'Dvd Calendar'!$S$2188)))</f>
        <v/>
      </c>
      <c r="DT161" s="85">
        <f>IF(BF161="","",IF(ISNUMBER('Dvd Calendar'!$T$2188)=FALSE,"",IF((Summary!$C$13="N")*('Dvd Calendar'!$T$2192='Field Check'!$C$25)&gt;0,"",'Dvd Calendar'!$T$2188)))</f>
        <v/>
      </c>
      <c r="DU161" s="85">
        <f>IF(BG161="","",IF(ISNUMBER('Dvd Calendar'!$U$2188)=FALSE,"",IF((Summary!$C$13="N")*('Dvd Calendar'!$U$2192='Field Check'!$C$25)&gt;0,"",'Dvd Calendar'!$U$2188)))</f>
        <v/>
      </c>
      <c r="DV161" s="85">
        <f>IF(BH161="","",IF(ISNUMBER('Dvd Calendar'!$V$2188)=FALSE,"",IF((Summary!$C$13="N")*('Dvd Calendar'!$V$2192='Field Check'!$C$25)&gt;0,"",'Dvd Calendar'!$V$2188)))</f>
        <v/>
      </c>
      <c r="DW161" s="85">
        <f>IF(BI161="","",IF(ISNUMBER('Dvd Calendar'!$W$2188)=FALSE,"",IF((Summary!$C$13="N")*('Dvd Calendar'!$W$2192='Field Check'!$C$25)&gt;0,"",'Dvd Calendar'!$W$2188)))</f>
        <v/>
      </c>
      <c r="DX161" s="85">
        <f>IF(BJ161="","",IF(ISNUMBER('Dvd Calendar'!$X$2188)=FALSE,"",IF((Summary!$C$13="N")*('Dvd Calendar'!$X$2192='Field Check'!$C$25)&gt;0,"",'Dvd Calendar'!$X$2188)))</f>
        <v/>
      </c>
      <c r="DY161" s="85">
        <f>IF(BK161="","",IF(ISNUMBER('Dvd Calendar'!$Y$2188)=FALSE,"",IF((Summary!$C$13="N")*('Dvd Calendar'!$Y$2192='Field Check'!$C$25)&gt;0,"",'Dvd Calendar'!$Y$2188)))</f>
        <v/>
      </c>
      <c r="DZ161" s="85">
        <f>IF(BL161="","",IF(ISNUMBER('Dvd Calendar'!$Z$2188)=FALSE,"",IF((Summary!$C$13="N")*('Dvd Calendar'!$Z$2192='Field Check'!$C$25)&gt;0,"",'Dvd Calendar'!$Z$2188)))</f>
        <v/>
      </c>
      <c r="EA161" s="85">
        <f>IF(BM161="","",IF(ISNUMBER('Dvd Calendar'!$AA$2188)=FALSE,"",IF((Summary!$C$13="N")*('Dvd Calendar'!$AA$2192='Field Check'!$C$25)&gt;0,"",'Dvd Calendar'!$AA$2188)))</f>
        <v/>
      </c>
      <c r="EB161" s="85">
        <f>IF(BN161="","",IF(ISNUMBER('Dvd Calendar'!$AB$2188)=FALSE,"",IF((Summary!$C$13="N")*('Dvd Calendar'!$AB$2192='Field Check'!$C$25)&gt;0,"",'Dvd Calendar'!$AB$2188)))</f>
        <v/>
      </c>
      <c r="EC161" s="85">
        <f>IF(BO161="","",IF(ISNUMBER('Dvd Calendar'!$AC$2188)=FALSE,"",IF((Summary!$C$13="N")*('Dvd Calendar'!$AC$2192='Field Check'!$C$25)&gt;0,"",'Dvd Calendar'!$AC$2188)))</f>
        <v/>
      </c>
      <c r="EE161" s="85">
        <f>IF(BQ161="","",IFERROR(BQ161*HSCEI!$B$11*HSCEI!$G$11/HSCEI!$B$3,""))</f>
        <v/>
      </c>
      <c r="EF161" s="85">
        <f>IF(BR161="","",IFERROR(BR161*HSCEI!$B$11*HSCEI!$G$11/HSCEI!$B$3,""))</f>
        <v/>
      </c>
      <c r="EG161" s="85">
        <f>IF(BS161="","",IFERROR(BS161*HSCEI!$B$11*HSCEI!$G$11/HSCEI!$B$3,""))</f>
        <v/>
      </c>
      <c r="EH161" s="85">
        <f>IF(BT161="","",IFERROR(BT161*HSCEI!$B$11*HSCEI!$G$11/HSCEI!$B$3,""))</f>
        <v/>
      </c>
      <c r="EI161" s="85">
        <f>IF(BU161="","",IFERROR(BU161*HSCEI!$B$11*HSCEI!$G$11/HSCEI!$B$3,""))</f>
        <v/>
      </c>
      <c r="EJ161" s="85">
        <f>IF(BV161="","",IFERROR(BV161*HSCEI!$B$11*HSCEI!$G$11/HSCEI!$B$3,""))</f>
        <v/>
      </c>
      <c r="EK161" s="85">
        <f>IF(BW161="","",IFERROR(BW161*HSCEI!$B$11*HSCEI!$G$11/HSCEI!$B$3,""))</f>
        <v/>
      </c>
      <c r="EL161" s="85">
        <f>IF(BX161="","",IFERROR(BX161*HSCEI!$B$11*HSCEI!$G$11/HSCEI!$B$3,""))</f>
        <v/>
      </c>
      <c r="EM161" s="85">
        <f>IF(BY161="","",IFERROR(BY161*HSCEI!$B$11*HSCEI!$G$11/HSCEI!$B$3,""))</f>
        <v/>
      </c>
      <c r="EN161" s="85">
        <f>IF(BZ161="","",IFERROR(BZ161*HSCEI!$B$11*HSCEI!$G$11/HSCEI!$B$3,""))</f>
        <v/>
      </c>
      <c r="EO161" s="85">
        <f>IF(CA161="","",IFERROR(CA161*HSCEI!$B$11*HSCEI!$G$11/HSCEI!$B$3,""))</f>
        <v/>
      </c>
      <c r="EP161" s="85">
        <f>IF(CB161="","",IFERROR(CB161*HSCEI!$B$11*HSCEI!$G$11/HSCEI!$B$3,""))</f>
        <v/>
      </c>
      <c r="EQ161" s="85">
        <f>IF(CC161="","",IFERROR(CC161*HSCEI!$B$11*HSCEI!$G$11/HSCEI!$B$3,""))</f>
        <v/>
      </c>
      <c r="ER161" s="85">
        <f>IF(CD161="","",IFERROR(CD161*HSCEI!$B$11*HSCEI!$G$11/HSCEI!$B$3,""))</f>
        <v/>
      </c>
      <c r="ES161" s="85">
        <f>IF(CE161="","",IFERROR(CE161*HSCEI!$B$11*HSCEI!$G$11/HSCEI!$B$3,""))</f>
        <v/>
      </c>
      <c r="ET161" s="85">
        <f>IF(CF161="","",IFERROR(CF161*HSCEI!$B$11*HSCEI!$G$11/HSCEI!$B$3,""))</f>
        <v/>
      </c>
      <c r="EU161" s="85">
        <f>IF(CG161="","",IFERROR(CG161*HSCEI!$B$11*HSCEI!$G$11/HSCEI!$B$3,""))</f>
        <v/>
      </c>
      <c r="EV161" s="85">
        <f>IF(CH161="","",IFERROR(CH161*HSCEI!$B$11*HSCEI!$G$11/HSCEI!$B$3,""))</f>
        <v/>
      </c>
      <c r="EW161" s="85">
        <f>IF(CI161="","",IFERROR(CI161*HSCEI!$B$11*HSCEI!$G$11/HSCEI!$B$3,""))</f>
        <v/>
      </c>
      <c r="EX161" s="85">
        <f>IF(CJ161="","",IFERROR(CJ161*HSCEI!$B$11*HSCEI!$G$11/HSCEI!$B$3,""))</f>
        <v/>
      </c>
      <c r="EY161" s="85">
        <f>IF(CK161="","",IFERROR(CK161*HSCEI!$B$11*HSCEI!$G$11/HSCEI!$B$3,""))</f>
        <v/>
      </c>
      <c r="EZ161" s="85">
        <f>IF(CL161="","",IFERROR(CL161*HSCEI!$B$11*HSCEI!$G$11/HSCEI!$B$3,""))</f>
        <v/>
      </c>
      <c r="FA161" s="85">
        <f>IF(CM161="","",IFERROR(CM161*HSCEI!$B$11*HSCEI!$G$11/HSCEI!$B$3,""))</f>
        <v/>
      </c>
      <c r="FB161" s="85">
        <f>IF(CN161="","",IFERROR(CN161*HSCEI!$B$11*HSCEI!$G$11/HSCEI!$B$3,""))</f>
        <v/>
      </c>
      <c r="FC161" s="85">
        <f>IF(CO161="","",IFERROR(CO161*HSCEI!$B$11*HSCEI!$G$11/HSCEI!$B$3,""))</f>
        <v/>
      </c>
      <c r="FD161" s="85">
        <f>IF(CP161="","",IFERROR(CP161*HSCEI!$B$11*HSCEI!$G$11/HSCEI!$B$3,""))</f>
        <v/>
      </c>
      <c r="FE161" s="85">
        <f>IF(CQ161="","",IFERROR(CQ161*HSCEI!$B$11*HSCEI!$G$11/HSCEI!$B$3,""))</f>
        <v/>
      </c>
      <c r="FF161" s="85">
        <f>IF(CR161="","",IFERROR(CR161*HSCEI!$B$11*HSCEI!$G$11/HSCEI!$B$3,""))</f>
        <v/>
      </c>
      <c r="FG161" s="85">
        <f>IF(CS161="","",IFERROR(CS161*HSCEI!$B$11*HSCEI!$G$11/HSCEI!$B$3,""))</f>
        <v/>
      </c>
      <c r="FH161" s="85">
        <f>IF(CT161="","",IFERROR(CT161*HSCEI!$B$11*HSCEI!$G$11/HSCEI!$B$3,""))</f>
        <v/>
      </c>
      <c r="FI161" s="85">
        <f>IF(CU161="","",IFERROR(CU161*HSCEI!$B$11*HSCEI!$G$11/HSCEI!$B$3,""))</f>
        <v/>
      </c>
      <c r="FJ161" s="85">
        <f>IF(CV161="","",IFERROR(CV161*HSCEI!$B$11*HSCEI!$G$11/HSCEI!$B$3,""))</f>
        <v/>
      </c>
      <c r="FK161" s="85">
        <f>IF(CW161="","",IFERROR(CW161*HSCEI!$B$11*HSCEI!$G$11/HSCEI!$B$3,""))</f>
        <v/>
      </c>
      <c r="FL161" s="85">
        <f>IF(CX161="","",IFERROR(CX161*HSCEI!$B$11*HSCEI!$G$11/HSCEI!$B$3,""))</f>
        <v/>
      </c>
      <c r="FM161" s="85">
        <f>IF(CY161="","",IFERROR(CY161*HSCEI!$B$11*HSCEI!$G$11/HSCEI!$B$3,""))</f>
        <v/>
      </c>
      <c r="FN161" s="85">
        <f>IF(CZ161="","",IFERROR(CZ161*HSCEI!$B$11*HSCEI!$G$11/HSCEI!$B$3,""))</f>
        <v/>
      </c>
      <c r="FO161" s="85">
        <f>IF(DA161="","",IFERROR(DA161*HSCEI!$B$11*HSCEI!$G$11/HSCEI!$B$3,""))</f>
        <v/>
      </c>
      <c r="FP161" s="85">
        <f>IF(DB161="","",IFERROR(DB161*HSCEI!$B$11*HSCEI!$G$11/HSCEI!$B$3,""))</f>
        <v/>
      </c>
      <c r="FQ161" s="85">
        <f>IF(DC161="","",IFERROR(DC161*HSCEI!$B$11*HSCEI!$G$11/HSCEI!$B$3,""))</f>
        <v/>
      </c>
      <c r="FR161" s="85">
        <f>IF(DD161="","",IFERROR(DD161*HSCEI!$B$11*HSCEI!$G$11/HSCEI!$B$3,""))</f>
        <v/>
      </c>
      <c r="FS161" s="85">
        <f>IF(DE161="","",IFERROR(DE161*HSCEI!$B$11*HSCEI!$G$11/HSCEI!$B$3,""))</f>
        <v/>
      </c>
      <c r="FT161" s="85">
        <f>IF(DF161="","",IFERROR(DF161*HSCEI!$B$11*HSCEI!$G$11/HSCEI!$B$3,""))</f>
        <v/>
      </c>
      <c r="FU161" s="85">
        <f>IF(DG161="","",IFERROR(DG161*HSCEI!$B$11*HSCEI!$G$11/HSCEI!$B$3,""))</f>
        <v/>
      </c>
      <c r="FV161" s="85">
        <f>IF(DH161="","",IFERROR(DH161*HSCEI!$B$11*HSCEI!$G$11/HSCEI!$B$3,""))</f>
        <v/>
      </c>
      <c r="FW161" s="85">
        <f>IF(DI161="","",IFERROR(DI161*HSCEI!$B$11*HSCEI!$G$11/HSCEI!$B$3,""))</f>
        <v/>
      </c>
      <c r="FX161" s="85">
        <f>IF(DJ161="","",IFERROR(DJ161*HSCEI!$B$11*HSCEI!$G$11/HSCEI!$B$3,""))</f>
        <v/>
      </c>
      <c r="FY161" s="85">
        <f>IF(DK161="","",IFERROR(DK161*HSCEI!$B$11*HSCEI!$G$11/HSCEI!$B$3,""))</f>
        <v/>
      </c>
      <c r="FZ161" s="85">
        <f>IF(DL161="","",IFERROR(DL161*HSCEI!$B$11*HSCEI!$G$11/HSCEI!$B$3,""))</f>
        <v/>
      </c>
      <c r="GA161" s="85">
        <f>IF(DM161="","",IFERROR(DM161*HSCEI!$B$11*HSCEI!$G$11/HSCEI!$B$3,""))</f>
        <v/>
      </c>
      <c r="GB161" s="85">
        <f>IF(DN161="","",IFERROR(DN161*HSCEI!$B$11*HSCEI!$G$11/HSCEI!$B$3,""))</f>
        <v/>
      </c>
      <c r="GC161" s="85">
        <f>IF(DO161="","",IFERROR(DO161*HSCEI!$B$11*HSCEI!$G$11/HSCEI!$B$3,""))</f>
        <v/>
      </c>
      <c r="GD161" s="85">
        <f>IF(DP161="","",IFERROR(DP161*HSCEI!$B$11*HSCEI!$G$11/HSCEI!$B$3,""))</f>
        <v/>
      </c>
      <c r="GE161" s="85">
        <f>IF(DQ161="","",IFERROR(DQ161*HSCEI!$B$11*HSCEI!$G$11/HSCEI!$B$3,""))</f>
        <v/>
      </c>
      <c r="GF161" s="85">
        <f>IF(DR161="","",IFERROR(DR161*HSCEI!$B$11*HSCEI!$G$11/HSCEI!$B$3,""))</f>
        <v/>
      </c>
      <c r="GG161" s="85">
        <f>IF(DS161="","",IFERROR(DS161*HSCEI!$B$11*HSCEI!$G$11/HSCEI!$B$3,""))</f>
        <v/>
      </c>
      <c r="GH161" s="85">
        <f>IF(DT161="","",IFERROR(DT161*HSCEI!$B$11*HSCEI!$G$11/HSCEI!$B$3,""))</f>
        <v/>
      </c>
      <c r="GI161" s="85">
        <f>IF(DU161="","",IFERROR(DU161*HSCEI!$B$11*HSCEI!$G$11/HSCEI!$B$3,""))</f>
        <v/>
      </c>
      <c r="GJ161" s="85">
        <f>IF(DV161="","",IFERROR(DV161*HSCEI!$B$11*HSCEI!$G$11/HSCEI!$B$3,""))</f>
        <v/>
      </c>
      <c r="GK161" s="85">
        <f>IF(DW161="","",IFERROR(DW161*HSCEI!$B$11*HSCEI!$G$11/HSCEI!$B$3,""))</f>
        <v/>
      </c>
      <c r="GL161" s="85">
        <f>IF(DX161="","",IFERROR(DX161*HSCEI!$B$11*HSCEI!$G$11/HSCEI!$B$3,""))</f>
        <v/>
      </c>
      <c r="GM161" s="85">
        <f>IF(DY161="","",IFERROR(DY161*HSCEI!$B$11*HSCEI!$G$11/HSCEI!$B$3,""))</f>
        <v/>
      </c>
      <c r="GN161" s="85">
        <f>IF(DZ161="","",IFERROR(DZ161*HSCEI!$B$11*HSCEI!$G$11/HSCEI!$B$3,""))</f>
        <v/>
      </c>
      <c r="GO161" s="85">
        <f>IF(EA161="","",IFERROR(EA161*HSCEI!$B$11*HSCEI!$G$11/HSCEI!$B$3,""))</f>
        <v/>
      </c>
      <c r="GP161" s="85">
        <f>IF(EB161="","",IFERROR(EB161*HSCEI!$B$11*HSCEI!$G$11/HSCEI!$B$3,""))</f>
        <v/>
      </c>
      <c r="GQ161" s="85">
        <f>IF(EC161="","",IFERROR(EC161*HSCEI!$B$11*HSCEI!$G$11/HSCEI!$B$3,""))</f>
        <v/>
      </c>
    </row>
    <row r="162">
      <c r="B162" s="2">
        <f>IF(HSCEI!$C$12="","",HSCEI!$C$12)</f>
        <v/>
      </c>
      <c r="C162" s="41">
        <f>IF(N('Dvd Calendar'!$E$2195)=0,"",IF(('Dvd Calendar'!$E$2195&gt;=MIN(DATE(Summary!$C$12,1,1),Summary!$C$11))*('Dvd Calendar'!$E$2195&lt;=MAX(DATE(Summary!$C$12,12,31),Summary!$C$15))*('Dvd Calendar'!$E$2195&lt;=Summary!$C$11)=0,"",'Dvd Calendar'!$E$2195*1000000000+ISNUMBER('Dvd Calendar'!$E$2196)*100000000+('Dvd Calendar'!$E$2200='Field Check'!$C$25)*10000000+(N('Dvd Calendar'!$E$2194)&gt;0)*1000000+6*1000+1))</f>
        <v/>
      </c>
      <c r="D162" s="41">
        <f>IF(N('Dvd Calendar'!$F$2195)=0,"",IF(('Dvd Calendar'!$F$2195&gt;=MIN(DATE(Summary!$C$12,1,1),Summary!$C$11))*('Dvd Calendar'!$F$2195&lt;=MAX(DATE(Summary!$C$12,12,31),Summary!$C$15))*('Dvd Calendar'!$F$2195&lt;=Summary!$C$11)=0,"",'Dvd Calendar'!$F$2195*1000000000+ISNUMBER('Dvd Calendar'!$F$2196)*100000000+('Dvd Calendar'!$F$2200='Field Check'!$C$25)*10000000+(N('Dvd Calendar'!$F$2194)&gt;0)*1000000+6*1000+2))</f>
        <v/>
      </c>
      <c r="E162" s="41">
        <f>IF(N('Dvd Calendar'!$G$2195)=0,"",IF(('Dvd Calendar'!$G$2195&gt;=MIN(DATE(Summary!$C$12,1,1),Summary!$C$11))*('Dvd Calendar'!$G$2195&lt;=MAX(DATE(Summary!$C$12,12,31),Summary!$C$15))*('Dvd Calendar'!$G$2195&lt;=Summary!$C$11)=0,"",'Dvd Calendar'!$G$2195*1000000000+ISNUMBER('Dvd Calendar'!$G$2196)*100000000+('Dvd Calendar'!$G$2200='Field Check'!$C$25)*10000000+(N('Dvd Calendar'!$G$2194)&gt;0)*1000000+6*1000+3))</f>
        <v/>
      </c>
      <c r="F162" s="41">
        <f>IF(N('Dvd Calendar'!$H$2195)=0,"",IF(('Dvd Calendar'!$H$2195&gt;=MIN(DATE(Summary!$C$12,1,1),Summary!$C$11))*('Dvd Calendar'!$H$2195&lt;=MAX(DATE(Summary!$C$12,12,31),Summary!$C$15))*('Dvd Calendar'!$H$2195&lt;=Summary!$C$11)=0,"",'Dvd Calendar'!$H$2195*1000000000+ISNUMBER('Dvd Calendar'!$H$2196)*100000000+('Dvd Calendar'!$H$2200='Field Check'!$C$25)*10000000+(N('Dvd Calendar'!$H$2194)&gt;0)*1000000+6*1000+4))</f>
        <v/>
      </c>
      <c r="G162" s="41">
        <f>IF(N('Dvd Calendar'!$I$2195)=0,"",IF(('Dvd Calendar'!$I$2195&gt;=MIN(DATE(Summary!$C$12,1,1),Summary!$C$11))*('Dvd Calendar'!$I$2195&lt;=MAX(DATE(Summary!$C$12,12,31),Summary!$C$15))*('Dvd Calendar'!$I$2195&lt;=Summary!$C$11)=0,"",'Dvd Calendar'!$I$2195*1000000000+ISNUMBER('Dvd Calendar'!$I$2196)*100000000+('Dvd Calendar'!$I$2200='Field Check'!$C$25)*10000000+(N('Dvd Calendar'!$I$2194)&gt;0)*1000000+6*1000+5))</f>
        <v/>
      </c>
      <c r="H162" s="41">
        <f>IF(N('Dvd Calendar'!$J$2195)=0,"",IF(('Dvd Calendar'!$J$2195&gt;=MIN(DATE(Summary!$C$12,1,1),Summary!$C$11))*('Dvd Calendar'!$J$2195&lt;=MAX(DATE(Summary!$C$12,12,31),Summary!$C$15))*('Dvd Calendar'!$J$2195&lt;=Summary!$C$11)=0,"",'Dvd Calendar'!$J$2195*1000000000+ISNUMBER('Dvd Calendar'!$J$2196)*100000000+('Dvd Calendar'!$J$2200='Field Check'!$C$25)*10000000+(N('Dvd Calendar'!$J$2194)&gt;0)*1000000+6*1000+6))</f>
        <v/>
      </c>
      <c r="I162" s="41">
        <f>IF(N('Dvd Calendar'!$K$2195)=0,"",IF(('Dvd Calendar'!$K$2195&gt;=MIN(DATE(Summary!$C$12,1,1),Summary!$C$11))*('Dvd Calendar'!$K$2195&lt;=MAX(DATE(Summary!$C$12,12,31),Summary!$C$15))*('Dvd Calendar'!$K$2195&lt;=Summary!$C$11)=0,"",'Dvd Calendar'!$K$2195*1000000000+ISNUMBER('Dvd Calendar'!$K$2196)*100000000+('Dvd Calendar'!$K$2200='Field Check'!$C$25)*10000000+(N('Dvd Calendar'!$K$2194)&gt;0)*1000000+6*1000+7))</f>
        <v/>
      </c>
      <c r="J162" s="41">
        <f>IF(N('Dvd Calendar'!$L$2195)=0,"",IF(('Dvd Calendar'!$L$2195&gt;=MIN(DATE(Summary!$C$12,1,1),Summary!$C$11))*('Dvd Calendar'!$L$2195&lt;=MAX(DATE(Summary!$C$12,12,31),Summary!$C$15))*('Dvd Calendar'!$L$2195&lt;=Summary!$C$11)=0,"",'Dvd Calendar'!$L$2195*1000000000+ISNUMBER('Dvd Calendar'!$L$2196)*100000000+('Dvd Calendar'!$L$2200='Field Check'!$C$25)*10000000+(N('Dvd Calendar'!$L$2194)&gt;0)*1000000+6*1000+8))</f>
        <v/>
      </c>
      <c r="K162" s="41">
        <f>IF(N('Dvd Calendar'!$M$2195)=0,"",IF(('Dvd Calendar'!$M$2195&gt;=MIN(DATE(Summary!$C$12,1,1),Summary!$C$11))*('Dvd Calendar'!$M$2195&lt;=MAX(DATE(Summary!$C$12,12,31),Summary!$C$15))*('Dvd Calendar'!$M$2195&lt;=Summary!$C$11)=0,"",'Dvd Calendar'!$M$2195*1000000000+ISNUMBER('Dvd Calendar'!$M$2196)*100000000+('Dvd Calendar'!$M$2200='Field Check'!$C$25)*10000000+(N('Dvd Calendar'!$M$2194)&gt;0)*1000000+6*1000+9))</f>
        <v/>
      </c>
      <c r="L162" s="41">
        <f>IF(N('Dvd Calendar'!$N$2195)=0,"",IF(('Dvd Calendar'!$N$2195&gt;=MIN(DATE(Summary!$C$12,1,1),Summary!$C$11))*('Dvd Calendar'!$N$2195&lt;=MAX(DATE(Summary!$C$12,12,31),Summary!$C$15))*('Dvd Calendar'!$N$2195&lt;=Summary!$C$11)=0,"",'Dvd Calendar'!$N$2195*1000000000+ISNUMBER('Dvd Calendar'!$N$2196)*100000000+('Dvd Calendar'!$N$2200='Field Check'!$C$25)*10000000+(N('Dvd Calendar'!$N$2194)&gt;0)*1000000+6*1000+10))</f>
        <v/>
      </c>
      <c r="M162" s="41">
        <f>IF(N('Dvd Calendar'!$O$2195)=0,"",IF(('Dvd Calendar'!$O$2195&gt;=MIN(DATE(Summary!$C$12,1,1),Summary!$C$11))*('Dvd Calendar'!$O$2195&lt;=MAX(DATE(Summary!$C$12,12,31),Summary!$C$15))*('Dvd Calendar'!$O$2195&lt;=Summary!$C$11)=0,"",'Dvd Calendar'!$O$2195*1000000000+ISNUMBER('Dvd Calendar'!$O$2196)*100000000+('Dvd Calendar'!$O$2200='Field Check'!$C$25)*10000000+(N('Dvd Calendar'!$O$2194)&gt;0)*1000000+6*1000+11))</f>
        <v/>
      </c>
      <c r="N162" s="41">
        <f>IF(N('Dvd Calendar'!$P$2195)=0,"",IF(('Dvd Calendar'!$P$2195&gt;=MIN(DATE(Summary!$C$12,1,1),Summary!$C$11))*('Dvd Calendar'!$P$2195&lt;=MAX(DATE(Summary!$C$12,12,31),Summary!$C$15))*('Dvd Calendar'!$P$2195&lt;=Summary!$C$11)=0,"",'Dvd Calendar'!$P$2195*1000000000+ISNUMBER('Dvd Calendar'!$P$2196)*100000000+('Dvd Calendar'!$P$2200='Field Check'!$C$25)*10000000+(N('Dvd Calendar'!$P$2194)&gt;0)*1000000+6*1000+12))</f>
        <v/>
      </c>
      <c r="O162" s="41">
        <f>IF(N('Dvd Calendar'!$Q$2195)=0,"",IF(('Dvd Calendar'!$Q$2195&gt;=MIN(DATE(Summary!$C$12,1,1),Summary!$C$11))*('Dvd Calendar'!$Q$2195&lt;=MAX(DATE(Summary!$C$12,12,31),Summary!$C$15))*('Dvd Calendar'!$Q$2195&lt;=Summary!$C$11)=0,"",'Dvd Calendar'!$Q$2195*1000000000+ISNUMBER('Dvd Calendar'!$Q$2196)*100000000+('Dvd Calendar'!$Q$2200='Field Check'!$C$25)*10000000+(N('Dvd Calendar'!$Q$2194)&gt;0)*1000000+6*1000+13))</f>
        <v/>
      </c>
      <c r="P162" s="41">
        <f>IF(N('Dvd Calendar'!$R$2195)=0,"",IF(('Dvd Calendar'!$R$2195&gt;=MIN(DATE(Summary!$C$12,1,1),Summary!$C$11))*('Dvd Calendar'!$R$2195&lt;=MAX(DATE(Summary!$C$12,12,31),Summary!$C$15))*('Dvd Calendar'!$R$2195&lt;=Summary!$C$11)=0,"",'Dvd Calendar'!$R$2195*1000000000+ISNUMBER('Dvd Calendar'!$R$2196)*100000000+('Dvd Calendar'!$R$2200='Field Check'!$C$25)*10000000+(N('Dvd Calendar'!$R$2194)&gt;0)*1000000+6*1000+14))</f>
        <v/>
      </c>
      <c r="Q162" s="41">
        <f>IF(N('Dvd Calendar'!$S$2195)=0,"",IF(('Dvd Calendar'!$S$2195&gt;=MIN(DATE(Summary!$C$12,1,1),Summary!$C$11))*('Dvd Calendar'!$S$2195&lt;=MAX(DATE(Summary!$C$12,12,31),Summary!$C$15))*('Dvd Calendar'!$S$2195&lt;=Summary!$C$11)=0,"",'Dvd Calendar'!$S$2195*1000000000+ISNUMBER('Dvd Calendar'!$S$2196)*100000000+('Dvd Calendar'!$S$2200='Field Check'!$C$25)*10000000+(N('Dvd Calendar'!$S$2194)&gt;0)*1000000+6*1000+15))</f>
        <v/>
      </c>
      <c r="R162" s="41">
        <f>IF(N('Dvd Calendar'!$T$2195)=0,"",IF(('Dvd Calendar'!$T$2195&gt;=MIN(DATE(Summary!$C$12,1,1),Summary!$C$11))*('Dvd Calendar'!$T$2195&lt;=MAX(DATE(Summary!$C$12,12,31),Summary!$C$15))*('Dvd Calendar'!$T$2195&lt;=Summary!$C$11)=0,"",'Dvd Calendar'!$T$2195*1000000000+ISNUMBER('Dvd Calendar'!$T$2196)*100000000+('Dvd Calendar'!$T$2200='Field Check'!$C$25)*10000000+(N('Dvd Calendar'!$T$2194)&gt;0)*1000000+6*1000+16))</f>
        <v/>
      </c>
      <c r="S162" s="41">
        <f>IF(N('Dvd Calendar'!$U$2195)=0,"",IF(('Dvd Calendar'!$U$2195&gt;=MIN(DATE(Summary!$C$12,1,1),Summary!$C$11))*('Dvd Calendar'!$U$2195&lt;=MAX(DATE(Summary!$C$12,12,31),Summary!$C$15))*('Dvd Calendar'!$U$2195&lt;=Summary!$C$11)=0,"",'Dvd Calendar'!$U$2195*1000000000+ISNUMBER('Dvd Calendar'!$U$2196)*100000000+('Dvd Calendar'!$U$2200='Field Check'!$C$25)*10000000+(N('Dvd Calendar'!$U$2194)&gt;0)*1000000+6*1000+17))</f>
        <v/>
      </c>
      <c r="T162" s="41">
        <f>IF(N('Dvd Calendar'!$V$2195)=0,"",IF(('Dvd Calendar'!$V$2195&gt;=MIN(DATE(Summary!$C$12,1,1),Summary!$C$11))*('Dvd Calendar'!$V$2195&lt;=MAX(DATE(Summary!$C$12,12,31),Summary!$C$15))*('Dvd Calendar'!$V$2195&lt;=Summary!$C$11)=0,"",'Dvd Calendar'!$V$2195*1000000000+ISNUMBER('Dvd Calendar'!$V$2196)*100000000+('Dvd Calendar'!$V$2200='Field Check'!$C$25)*10000000+(N('Dvd Calendar'!$V$2194)&gt;0)*1000000+6*1000+18))</f>
        <v/>
      </c>
      <c r="U162" s="41">
        <f>IF(N('Dvd Calendar'!$W$2195)=0,"",IF(('Dvd Calendar'!$W$2195&gt;=MIN(DATE(Summary!$C$12,1,1),Summary!$C$11))*('Dvd Calendar'!$W$2195&lt;=MAX(DATE(Summary!$C$12,12,31),Summary!$C$15))*('Dvd Calendar'!$W$2195&lt;=Summary!$C$11)=0,"",'Dvd Calendar'!$W$2195*1000000000+ISNUMBER('Dvd Calendar'!$W$2196)*100000000+('Dvd Calendar'!$W$2200='Field Check'!$C$25)*10000000+(N('Dvd Calendar'!$W$2194)&gt;0)*1000000+6*1000+19))</f>
        <v/>
      </c>
      <c r="V162" s="41">
        <f>IF(N('Dvd Calendar'!$X$2195)=0,"",IF(('Dvd Calendar'!$X$2195&gt;=MIN(DATE(Summary!$C$12,1,1),Summary!$C$11))*('Dvd Calendar'!$X$2195&lt;=MAX(DATE(Summary!$C$12,12,31),Summary!$C$15))*('Dvd Calendar'!$X$2195&lt;=Summary!$C$11)=0,"",'Dvd Calendar'!$X$2195*1000000000+ISNUMBER('Dvd Calendar'!$X$2196)*100000000+('Dvd Calendar'!$X$2200='Field Check'!$C$25)*10000000+(N('Dvd Calendar'!$X$2194)&gt;0)*1000000+6*1000+20))</f>
        <v/>
      </c>
      <c r="W162" s="41">
        <f>IF(N('Dvd Calendar'!$Y$2195)=0,"",IF(('Dvd Calendar'!$Y$2195&gt;=MIN(DATE(Summary!$C$12,1,1),Summary!$C$11))*('Dvd Calendar'!$Y$2195&lt;=MAX(DATE(Summary!$C$12,12,31),Summary!$C$15))*('Dvd Calendar'!$Y$2195&lt;=Summary!$C$11)=0,"",'Dvd Calendar'!$Y$2195*1000000000+ISNUMBER('Dvd Calendar'!$Y$2196)*100000000+('Dvd Calendar'!$Y$2200='Field Check'!$C$25)*10000000+(N('Dvd Calendar'!$Y$2194)&gt;0)*1000000+6*1000+21))</f>
        <v/>
      </c>
      <c r="X162" s="41">
        <f>IF(N('Dvd Calendar'!$Z$2195)=0,"",IF(('Dvd Calendar'!$Z$2195&gt;=MIN(DATE(Summary!$C$12,1,1),Summary!$C$11))*('Dvd Calendar'!$Z$2195&lt;=MAX(DATE(Summary!$C$12,12,31),Summary!$C$15))*('Dvd Calendar'!$Z$2195&lt;=Summary!$C$11)=0,"",'Dvd Calendar'!$Z$2195*1000000000+ISNUMBER('Dvd Calendar'!$Z$2196)*100000000+('Dvd Calendar'!$Z$2200='Field Check'!$C$25)*10000000+(N('Dvd Calendar'!$Z$2194)&gt;0)*1000000+6*1000+22))</f>
        <v/>
      </c>
      <c r="Y162" s="41">
        <f>IF(N('Dvd Calendar'!$AA$2195)=0,"",IF(('Dvd Calendar'!$AA$2195&gt;=MIN(DATE(Summary!$C$12,1,1),Summary!$C$11))*('Dvd Calendar'!$AA$2195&lt;=MAX(DATE(Summary!$C$12,12,31),Summary!$C$15))*('Dvd Calendar'!$AA$2195&lt;=Summary!$C$11)=0,"",'Dvd Calendar'!$AA$2195*1000000000+ISNUMBER('Dvd Calendar'!$AA$2196)*100000000+('Dvd Calendar'!$AA$2200='Field Check'!$C$25)*10000000+(N('Dvd Calendar'!$AA$2194)&gt;0)*1000000+6*1000+23))</f>
        <v/>
      </c>
      <c r="Z162" s="41">
        <f>IF(N('Dvd Calendar'!$AB$2195)=0,"",IF(('Dvd Calendar'!$AB$2195&gt;=MIN(DATE(Summary!$C$12,1,1),Summary!$C$11))*('Dvd Calendar'!$AB$2195&lt;=MAX(DATE(Summary!$C$12,12,31),Summary!$C$15))*('Dvd Calendar'!$AB$2195&lt;=Summary!$C$11)=0,"",'Dvd Calendar'!$AB$2195*1000000000+ISNUMBER('Dvd Calendar'!$AB$2196)*100000000+('Dvd Calendar'!$AB$2200='Field Check'!$C$25)*10000000+(N('Dvd Calendar'!$AB$2194)&gt;0)*1000000+6*1000+24))</f>
        <v/>
      </c>
      <c r="AA162" s="41">
        <f>IF(N('Dvd Calendar'!$AC$2195)=0,"",IF(('Dvd Calendar'!$AC$2195&gt;=MIN(DATE(Summary!$C$12,1,1),Summary!$C$11))*('Dvd Calendar'!$AC$2195&lt;=MAX(DATE(Summary!$C$12,12,31),Summary!$C$15))*('Dvd Calendar'!$AC$2195&lt;=Summary!$C$11)=0,"",'Dvd Calendar'!$AC$2195*1000000000+ISNUMBER('Dvd Calendar'!$AC$2196)*100000000+('Dvd Calendar'!$AC$2200='Field Check'!$C$25)*10000000+(N('Dvd Calendar'!$AC$2194)&gt;0)*1000000+6*1000+25))</f>
        <v/>
      </c>
      <c r="AB162" s="41">
        <f>IF(N('Dvd Calendar'!$AD$2195)=0,"",IF(('Dvd Calendar'!$AD$2195&gt;=MIN(DATE(Summary!$C$12,1,1),Summary!$C$11))*('Dvd Calendar'!$AD$2195&lt;=MAX(DATE(Summary!$C$12,12,31),Summary!$C$15))*('Dvd Calendar'!$AD$2195&lt;=Summary!$C$11)=0,"",'Dvd Calendar'!$AD$2195*1000000000+ISNUMBER('Dvd Calendar'!$AD$2196)*100000000+('Dvd Calendar'!$AD$2200='Field Check'!$C$25)*10000000+(N('Dvd Calendar'!$AD$2194)&gt;0)*1000000+6*1000+26))</f>
        <v/>
      </c>
      <c r="AC162" s="41">
        <f>IF(N('Dvd Calendar'!$AE$2195)=0,"",IF(('Dvd Calendar'!$AE$2195&gt;=MIN(DATE(Summary!$C$12,1,1),Summary!$C$11))*('Dvd Calendar'!$AE$2195&lt;=MAX(DATE(Summary!$C$12,12,31),Summary!$C$15))*('Dvd Calendar'!$AE$2195&lt;=Summary!$C$11)=0,"",'Dvd Calendar'!$AE$2195*1000000000+ISNUMBER('Dvd Calendar'!$AE$2196)*100000000+('Dvd Calendar'!$AE$2200='Field Check'!$C$25)*10000000+(N('Dvd Calendar'!$AE$2194)&gt;0)*1000000+6*1000+27))</f>
        <v/>
      </c>
      <c r="AD162" s="41">
        <f>IF(N('Dvd Calendar'!$AF$2195)=0,"",IF(('Dvd Calendar'!$AF$2195&gt;=MIN(DATE(Summary!$C$12,1,1),Summary!$C$11))*('Dvd Calendar'!$AF$2195&lt;=MAX(DATE(Summary!$C$12,12,31),Summary!$C$15))*('Dvd Calendar'!$AF$2195&lt;=Summary!$C$11)=0,"",'Dvd Calendar'!$AF$2195*1000000000+ISNUMBER('Dvd Calendar'!$AF$2196)*100000000+('Dvd Calendar'!$AF$2200='Field Check'!$C$25)*10000000+(N('Dvd Calendar'!$AF$2194)&gt;0)*1000000+6*1000+28))</f>
        <v/>
      </c>
      <c r="AE162" s="41">
        <f>IF(N('Dvd Calendar'!$AG$2195)=0,"",IF(('Dvd Calendar'!$AG$2195&gt;=MIN(DATE(Summary!$C$12,1,1),Summary!$C$11))*('Dvd Calendar'!$AG$2195&lt;=MAX(DATE(Summary!$C$12,12,31),Summary!$C$15))*('Dvd Calendar'!$AG$2195&lt;=Summary!$C$11)=0,"",'Dvd Calendar'!$AG$2195*1000000000+ISNUMBER('Dvd Calendar'!$AG$2196)*100000000+('Dvd Calendar'!$AG$2200='Field Check'!$C$25)*10000000+(N('Dvd Calendar'!$AG$2194)&gt;0)*1000000+6*1000+29))</f>
        <v/>
      </c>
      <c r="AF162" s="41">
        <f>IF(N('Dvd Calendar'!$AH$2195)=0,"",IF(('Dvd Calendar'!$AH$2195&gt;=MIN(DATE(Summary!$C$12,1,1),Summary!$C$11))*('Dvd Calendar'!$AH$2195&lt;=MAX(DATE(Summary!$C$12,12,31),Summary!$C$15))*('Dvd Calendar'!$AH$2195&lt;=Summary!$C$11)=0,"",'Dvd Calendar'!$AH$2195*1000000000+ISNUMBER('Dvd Calendar'!$AH$2196)*100000000+('Dvd Calendar'!$AH$2200='Field Check'!$C$25)*10000000+(N('Dvd Calendar'!$AH$2194)&gt;0)*1000000+6*1000+30))</f>
        <v/>
      </c>
      <c r="AG162" s="41">
        <f>IF(N('Dvd Calendar'!$AI$2195)=0,"",IF(('Dvd Calendar'!$AI$2195&gt;=MIN(DATE(Summary!$C$12,1,1),Summary!$C$11))*('Dvd Calendar'!$AI$2195&lt;=MAX(DATE(Summary!$C$12,12,31),Summary!$C$15))*('Dvd Calendar'!$AI$2195&lt;=Summary!$C$11)=0,"",'Dvd Calendar'!$AI$2195*1000000000+ISNUMBER('Dvd Calendar'!$AI$2196)*100000000+('Dvd Calendar'!$AI$2200='Field Check'!$C$25)*10000000+(N('Dvd Calendar'!$AI$2194)&gt;0)*1000000+6*1000+31))</f>
        <v/>
      </c>
      <c r="AH162" s="41">
        <f>IF(N('Dvd Calendar'!$AJ$2195)=0,"",IF(('Dvd Calendar'!$AJ$2195&gt;=MIN(DATE(Summary!$C$12,1,1),Summary!$C$11))*('Dvd Calendar'!$AJ$2195&lt;=MAX(DATE(Summary!$C$12,12,31),Summary!$C$15))*('Dvd Calendar'!$AJ$2195&lt;=Summary!$C$11)=0,"",'Dvd Calendar'!$AJ$2195*1000000000+ISNUMBER('Dvd Calendar'!$AJ$2196)*100000000+('Dvd Calendar'!$AJ$2200='Field Check'!$C$25)*10000000+(N('Dvd Calendar'!$AJ$2194)&gt;0)*1000000+6*1000+32))</f>
        <v/>
      </c>
      <c r="AI162" s="41">
        <f>IF(N('Dvd Calendar'!$AK$2195)=0,"",IF(('Dvd Calendar'!$AK$2195&gt;=MIN(DATE(Summary!$C$12,1,1),Summary!$C$11))*('Dvd Calendar'!$AK$2195&lt;=MAX(DATE(Summary!$C$12,12,31),Summary!$C$15))*('Dvd Calendar'!$AK$2195&lt;=Summary!$C$11)=0,"",'Dvd Calendar'!$AK$2195*1000000000+ISNUMBER('Dvd Calendar'!$AK$2196)*100000000+('Dvd Calendar'!$AK$2200='Field Check'!$C$25)*10000000+(N('Dvd Calendar'!$AK$2194)&gt;0)*1000000+6*1000+33))</f>
        <v/>
      </c>
      <c r="AJ162" s="41">
        <f>IF(N('Dvd Calendar'!$AL$2195)=0,"",IF(('Dvd Calendar'!$AL$2195&gt;=MIN(DATE(Summary!$C$12,1,1),Summary!$C$11))*('Dvd Calendar'!$AL$2195&lt;=MAX(DATE(Summary!$C$12,12,31),Summary!$C$15))*('Dvd Calendar'!$AL$2195&lt;=Summary!$C$11)=0,"",'Dvd Calendar'!$AL$2195*1000000000+ISNUMBER('Dvd Calendar'!$AL$2196)*100000000+('Dvd Calendar'!$AL$2200='Field Check'!$C$25)*10000000+(N('Dvd Calendar'!$AL$2194)&gt;0)*1000000+6*1000+34))</f>
        <v/>
      </c>
      <c r="AK162" s="41">
        <f>IF(N('Dvd Calendar'!$AM$2195)=0,"",IF(('Dvd Calendar'!$AM$2195&gt;=MIN(DATE(Summary!$C$12,1,1),Summary!$C$11))*('Dvd Calendar'!$AM$2195&lt;=MAX(DATE(Summary!$C$12,12,31),Summary!$C$15))*('Dvd Calendar'!$AM$2195&lt;=Summary!$C$11)=0,"",'Dvd Calendar'!$AM$2195*1000000000+ISNUMBER('Dvd Calendar'!$AM$2196)*100000000+('Dvd Calendar'!$AM$2200='Field Check'!$C$25)*10000000+(N('Dvd Calendar'!$AM$2194)&gt;0)*1000000+6*1000+35))</f>
        <v/>
      </c>
      <c r="AL162" s="41">
        <f>IF(N('Dvd Calendar'!$AN$2195)=0,"",IF(('Dvd Calendar'!$AN$2195&gt;=MIN(DATE(Summary!$C$12,1,1),Summary!$C$11))*('Dvd Calendar'!$AN$2195&lt;=MAX(DATE(Summary!$C$12,12,31),Summary!$C$15))*('Dvd Calendar'!$AN$2195&lt;=Summary!$C$11)=0,"",'Dvd Calendar'!$AN$2195*1000000000+ISNUMBER('Dvd Calendar'!$AN$2196)*100000000+('Dvd Calendar'!$AN$2200='Field Check'!$C$25)*10000000+(N('Dvd Calendar'!$AN$2194)&gt;0)*1000000+6*1000+36))</f>
        <v/>
      </c>
      <c r="AM162" s="41">
        <f>IF(N('Dvd Calendar'!$AO$2195)=0,"",IF(('Dvd Calendar'!$AO$2195&gt;=MIN(DATE(Summary!$C$12,1,1),Summary!$C$11))*('Dvd Calendar'!$AO$2195&lt;=MAX(DATE(Summary!$C$12,12,31),Summary!$C$15))*('Dvd Calendar'!$AO$2195&lt;=Summary!$C$11)=0,"",'Dvd Calendar'!$AO$2195*1000000000+ISNUMBER('Dvd Calendar'!$AO$2196)*100000000+('Dvd Calendar'!$AO$2200='Field Check'!$C$25)*10000000+(N('Dvd Calendar'!$AO$2194)&gt;0)*1000000+6*1000+37))</f>
        <v/>
      </c>
      <c r="AN162" s="41">
        <f>IF(N('Dvd Calendar'!$AP$2195)=0,"",IF(('Dvd Calendar'!$AP$2195&gt;=MIN(DATE(Summary!$C$12,1,1),Summary!$C$11))*('Dvd Calendar'!$AP$2195&lt;=MAX(DATE(Summary!$C$12,12,31),Summary!$C$15))*('Dvd Calendar'!$AP$2195&lt;=Summary!$C$11)=0,"",'Dvd Calendar'!$AP$2195*1000000000+ISNUMBER('Dvd Calendar'!$AP$2196)*100000000+('Dvd Calendar'!$AP$2200='Field Check'!$C$25)*10000000+(N('Dvd Calendar'!$AP$2194)&gt;0)*1000000+6*1000+38))</f>
        <v/>
      </c>
      <c r="AO162" s="41">
        <f>IF(N('Dvd Calendar'!$AQ$2195)=0,"",IF(('Dvd Calendar'!$AQ$2195&gt;=MIN(DATE(Summary!$C$12,1,1),Summary!$C$11))*('Dvd Calendar'!$AQ$2195&lt;=MAX(DATE(Summary!$C$12,12,31),Summary!$C$15))*('Dvd Calendar'!$AQ$2195&lt;=Summary!$C$11)=0,"",'Dvd Calendar'!$AQ$2195*1000000000+ISNUMBER('Dvd Calendar'!$AQ$2196)*100000000+('Dvd Calendar'!$AQ$2200='Field Check'!$C$25)*10000000+(N('Dvd Calendar'!$AQ$2194)&gt;0)*1000000+6*1000+39))</f>
        <v/>
      </c>
      <c r="AP162" s="41">
        <f>IF(N('Dvd Calendar'!$AR$2195)=0,"",IF(('Dvd Calendar'!$AR$2195&gt;=MIN(DATE(Summary!$C$12,1,1),Summary!$C$11))*('Dvd Calendar'!$AR$2195&lt;=MAX(DATE(Summary!$C$12,12,31),Summary!$C$15))*('Dvd Calendar'!$AR$2195&lt;=Summary!$C$11)=0,"",'Dvd Calendar'!$AR$2195*1000000000+ISNUMBER('Dvd Calendar'!$AR$2196)*100000000+('Dvd Calendar'!$AR$2200='Field Check'!$C$25)*10000000+(N('Dvd Calendar'!$AR$2194)&gt;0)*1000000+6*1000+40))</f>
        <v/>
      </c>
      <c r="AQ162" s="41">
        <f>IF(N('Dvd Calendar'!$E$2202)=0,"",IF(('Dvd Calendar'!$E$2202&gt;=MIN(DATE(Summary!$C$12,1,1),Summary!$C$11))*('Dvd Calendar'!$E$2202&lt;=MAX(DATE(Summary!$C$12,12,31),Summary!$C$15))*('Dvd Calendar'!$E$2202&gt;Summary!$C$11)=0,"",'Dvd Calendar'!$E$2202*1000000000+ISNUMBER('Dvd Calendar'!$E$2203)*100000000+('Dvd Calendar'!$E$2207='Field Check'!$C$25)*10000000+(N('Dvd Calendar'!$E$2201)&gt;0)*1000000+6*1000+41))</f>
        <v/>
      </c>
      <c r="AR162" s="41">
        <f>IF(N('Dvd Calendar'!$F$2202)=0,"",IF(('Dvd Calendar'!$F$2202&gt;=MIN(DATE(Summary!$C$12,1,1),Summary!$C$11))*('Dvd Calendar'!$F$2202&lt;=MAX(DATE(Summary!$C$12,12,31),Summary!$C$15))*('Dvd Calendar'!$F$2202&gt;Summary!$C$11)=0,"",'Dvd Calendar'!$F$2202*1000000000+ISNUMBER('Dvd Calendar'!$F$2203)*100000000+('Dvd Calendar'!$F$2207='Field Check'!$C$25)*10000000+(N('Dvd Calendar'!$F$2201)&gt;0)*1000000+6*1000+42))</f>
        <v/>
      </c>
      <c r="AS162" s="41">
        <f>IF(N('Dvd Calendar'!$G$2202)=0,"",IF(('Dvd Calendar'!$G$2202&gt;=MIN(DATE(Summary!$C$12,1,1),Summary!$C$11))*('Dvd Calendar'!$G$2202&lt;=MAX(DATE(Summary!$C$12,12,31),Summary!$C$15))*('Dvd Calendar'!$G$2202&gt;Summary!$C$11)=0,"",'Dvd Calendar'!$G$2202*1000000000+ISNUMBER('Dvd Calendar'!$G$2203)*100000000+('Dvd Calendar'!$G$2207='Field Check'!$C$25)*10000000+(N('Dvd Calendar'!$G$2201)&gt;0)*1000000+6*1000+43))</f>
        <v/>
      </c>
      <c r="AT162" s="41">
        <f>IF(N('Dvd Calendar'!$H$2202)=0,"",IF(('Dvd Calendar'!$H$2202&gt;=MIN(DATE(Summary!$C$12,1,1),Summary!$C$11))*('Dvd Calendar'!$H$2202&lt;=MAX(DATE(Summary!$C$12,12,31),Summary!$C$15))*('Dvd Calendar'!$H$2202&gt;Summary!$C$11)=0,"",'Dvd Calendar'!$H$2202*1000000000+ISNUMBER('Dvd Calendar'!$H$2203)*100000000+('Dvd Calendar'!$H$2207='Field Check'!$C$25)*10000000+(N('Dvd Calendar'!$H$2201)&gt;0)*1000000+6*1000+44))</f>
        <v/>
      </c>
      <c r="AU162" s="41">
        <f>IF(N('Dvd Calendar'!$I$2202)=0,"",IF(('Dvd Calendar'!$I$2202&gt;=MIN(DATE(Summary!$C$12,1,1),Summary!$C$11))*('Dvd Calendar'!$I$2202&lt;=MAX(DATE(Summary!$C$12,12,31),Summary!$C$15))*('Dvd Calendar'!$I$2202&gt;Summary!$C$11)=0,"",'Dvd Calendar'!$I$2202*1000000000+ISNUMBER('Dvd Calendar'!$I$2203)*100000000+('Dvd Calendar'!$I$2207='Field Check'!$C$25)*10000000+(N('Dvd Calendar'!$I$2201)&gt;0)*1000000+6*1000+45))</f>
        <v/>
      </c>
      <c r="AV162" s="41">
        <f>IF(N('Dvd Calendar'!$J$2202)=0,"",IF(('Dvd Calendar'!$J$2202&gt;=MIN(DATE(Summary!$C$12,1,1),Summary!$C$11))*('Dvd Calendar'!$J$2202&lt;=MAX(DATE(Summary!$C$12,12,31),Summary!$C$15))*('Dvd Calendar'!$J$2202&gt;Summary!$C$11)=0,"",'Dvd Calendar'!$J$2202*1000000000+ISNUMBER('Dvd Calendar'!$J$2203)*100000000+('Dvd Calendar'!$J$2207='Field Check'!$C$25)*10000000+(N('Dvd Calendar'!$J$2201)&gt;0)*1000000+6*1000+46))</f>
        <v/>
      </c>
      <c r="AW162" s="41">
        <f>IF(N('Dvd Calendar'!$K$2202)=0,"",IF(('Dvd Calendar'!$K$2202&gt;=MIN(DATE(Summary!$C$12,1,1),Summary!$C$11))*('Dvd Calendar'!$K$2202&lt;=MAX(DATE(Summary!$C$12,12,31),Summary!$C$15))*('Dvd Calendar'!$K$2202&gt;Summary!$C$11)=0,"",'Dvd Calendar'!$K$2202*1000000000+ISNUMBER('Dvd Calendar'!$K$2203)*100000000+('Dvd Calendar'!$K$2207='Field Check'!$C$25)*10000000+(N('Dvd Calendar'!$K$2201)&gt;0)*1000000+6*1000+47))</f>
        <v/>
      </c>
      <c r="AX162" s="41">
        <f>IF(N('Dvd Calendar'!$L$2202)=0,"",IF(('Dvd Calendar'!$L$2202&gt;=MIN(DATE(Summary!$C$12,1,1),Summary!$C$11))*('Dvd Calendar'!$L$2202&lt;=MAX(DATE(Summary!$C$12,12,31),Summary!$C$15))*('Dvd Calendar'!$L$2202&gt;Summary!$C$11)=0,"",'Dvd Calendar'!$L$2202*1000000000+ISNUMBER('Dvd Calendar'!$L$2203)*100000000+('Dvd Calendar'!$L$2207='Field Check'!$C$25)*10000000+(N('Dvd Calendar'!$L$2201)&gt;0)*1000000+6*1000+48))</f>
        <v/>
      </c>
      <c r="AY162" s="41">
        <f>IF(N('Dvd Calendar'!$M$2202)=0,"",IF(('Dvd Calendar'!$M$2202&gt;=MIN(DATE(Summary!$C$12,1,1),Summary!$C$11))*('Dvd Calendar'!$M$2202&lt;=MAX(DATE(Summary!$C$12,12,31),Summary!$C$15))*('Dvd Calendar'!$M$2202&gt;Summary!$C$11)=0,"",'Dvd Calendar'!$M$2202*1000000000+ISNUMBER('Dvd Calendar'!$M$2203)*100000000+('Dvd Calendar'!$M$2207='Field Check'!$C$25)*10000000+(N('Dvd Calendar'!$M$2201)&gt;0)*1000000+6*1000+49))</f>
        <v/>
      </c>
      <c r="AZ162" s="41">
        <f>IF(N('Dvd Calendar'!$N$2202)=0,"",IF(('Dvd Calendar'!$N$2202&gt;=MIN(DATE(Summary!$C$12,1,1),Summary!$C$11))*('Dvd Calendar'!$N$2202&lt;=MAX(DATE(Summary!$C$12,12,31),Summary!$C$15))*('Dvd Calendar'!$N$2202&gt;Summary!$C$11)=0,"",'Dvd Calendar'!$N$2202*1000000000+ISNUMBER('Dvd Calendar'!$N$2203)*100000000+('Dvd Calendar'!$N$2207='Field Check'!$C$25)*10000000+(N('Dvd Calendar'!$N$2201)&gt;0)*1000000+6*1000+50))</f>
        <v/>
      </c>
      <c r="BA162" s="41">
        <f>IF(N('Dvd Calendar'!$O$2202)=0,"",IF(('Dvd Calendar'!$O$2202&gt;=MIN(DATE(Summary!$C$12,1,1),Summary!$C$11))*('Dvd Calendar'!$O$2202&lt;=MAX(DATE(Summary!$C$12,12,31),Summary!$C$15))*('Dvd Calendar'!$O$2202&gt;Summary!$C$11)=0,"",'Dvd Calendar'!$O$2202*1000000000+ISNUMBER('Dvd Calendar'!$O$2203)*100000000+('Dvd Calendar'!$O$2207='Field Check'!$C$25)*10000000+(N('Dvd Calendar'!$O$2201)&gt;0)*1000000+6*1000+51))</f>
        <v/>
      </c>
      <c r="BB162" s="41">
        <f>IF(N('Dvd Calendar'!$P$2202)=0,"",IF(('Dvd Calendar'!$P$2202&gt;=MIN(DATE(Summary!$C$12,1,1),Summary!$C$11))*('Dvd Calendar'!$P$2202&lt;=MAX(DATE(Summary!$C$12,12,31),Summary!$C$15))*('Dvd Calendar'!$P$2202&gt;Summary!$C$11)=0,"",'Dvd Calendar'!$P$2202*1000000000+ISNUMBER('Dvd Calendar'!$P$2203)*100000000+('Dvd Calendar'!$P$2207='Field Check'!$C$25)*10000000+(N('Dvd Calendar'!$P$2201)&gt;0)*1000000+6*1000+52))</f>
        <v/>
      </c>
      <c r="BC162" s="41">
        <f>IF(N('Dvd Calendar'!$Q$2202)=0,"",IF(('Dvd Calendar'!$Q$2202&gt;=MIN(DATE(Summary!$C$12,1,1),Summary!$C$11))*('Dvd Calendar'!$Q$2202&lt;=MAX(DATE(Summary!$C$12,12,31),Summary!$C$15))*('Dvd Calendar'!$Q$2202&gt;Summary!$C$11)=0,"",'Dvd Calendar'!$Q$2202*1000000000+ISNUMBER('Dvd Calendar'!$Q$2203)*100000000+('Dvd Calendar'!$Q$2207='Field Check'!$C$25)*10000000+(N('Dvd Calendar'!$Q$2201)&gt;0)*1000000+6*1000+53))</f>
        <v/>
      </c>
      <c r="BD162" s="41">
        <f>IF(N('Dvd Calendar'!$R$2202)=0,"",IF(('Dvd Calendar'!$R$2202&gt;=MIN(DATE(Summary!$C$12,1,1),Summary!$C$11))*('Dvd Calendar'!$R$2202&lt;=MAX(DATE(Summary!$C$12,12,31),Summary!$C$15))*('Dvd Calendar'!$R$2202&gt;Summary!$C$11)=0,"",'Dvd Calendar'!$R$2202*1000000000+ISNUMBER('Dvd Calendar'!$R$2203)*100000000+('Dvd Calendar'!$R$2207='Field Check'!$C$25)*10000000+(N('Dvd Calendar'!$R$2201)&gt;0)*1000000+6*1000+54))</f>
        <v/>
      </c>
      <c r="BE162" s="41">
        <f>IF(N('Dvd Calendar'!$S$2202)=0,"",IF(('Dvd Calendar'!$S$2202&gt;=MIN(DATE(Summary!$C$12,1,1),Summary!$C$11))*('Dvd Calendar'!$S$2202&lt;=MAX(DATE(Summary!$C$12,12,31),Summary!$C$15))*('Dvd Calendar'!$S$2202&gt;Summary!$C$11)=0,"",'Dvd Calendar'!$S$2202*1000000000+ISNUMBER('Dvd Calendar'!$S$2203)*100000000+('Dvd Calendar'!$S$2207='Field Check'!$C$25)*10000000+(N('Dvd Calendar'!$S$2201)&gt;0)*1000000+6*1000+55))</f>
        <v/>
      </c>
      <c r="BF162" s="41">
        <f>IF(N('Dvd Calendar'!$T$2202)=0,"",IF(('Dvd Calendar'!$T$2202&gt;=MIN(DATE(Summary!$C$12,1,1),Summary!$C$11))*('Dvd Calendar'!$T$2202&lt;=MAX(DATE(Summary!$C$12,12,31),Summary!$C$15))*('Dvd Calendar'!$T$2202&gt;Summary!$C$11)=0,"",'Dvd Calendar'!$T$2202*1000000000+ISNUMBER('Dvd Calendar'!$T$2203)*100000000+('Dvd Calendar'!$T$2207='Field Check'!$C$25)*10000000+(N('Dvd Calendar'!$T$2201)&gt;0)*1000000+6*1000+56))</f>
        <v/>
      </c>
      <c r="BG162" s="41">
        <f>IF(N('Dvd Calendar'!$U$2202)=0,"",IF(('Dvd Calendar'!$U$2202&gt;=MIN(DATE(Summary!$C$12,1,1),Summary!$C$11))*('Dvd Calendar'!$U$2202&lt;=MAX(DATE(Summary!$C$12,12,31),Summary!$C$15))*('Dvd Calendar'!$U$2202&gt;Summary!$C$11)=0,"",'Dvd Calendar'!$U$2202*1000000000+ISNUMBER('Dvd Calendar'!$U$2203)*100000000+('Dvd Calendar'!$U$2207='Field Check'!$C$25)*10000000+(N('Dvd Calendar'!$U$2201)&gt;0)*1000000+6*1000+57))</f>
        <v/>
      </c>
      <c r="BH162" s="41">
        <f>IF(N('Dvd Calendar'!$V$2202)=0,"",IF(('Dvd Calendar'!$V$2202&gt;=MIN(DATE(Summary!$C$12,1,1),Summary!$C$11))*('Dvd Calendar'!$V$2202&lt;=MAX(DATE(Summary!$C$12,12,31),Summary!$C$15))*('Dvd Calendar'!$V$2202&gt;Summary!$C$11)=0,"",'Dvd Calendar'!$V$2202*1000000000+ISNUMBER('Dvd Calendar'!$V$2203)*100000000+('Dvd Calendar'!$V$2207='Field Check'!$C$25)*10000000+(N('Dvd Calendar'!$V$2201)&gt;0)*1000000+6*1000+58))</f>
        <v/>
      </c>
      <c r="BI162" s="41">
        <f>IF(N('Dvd Calendar'!$W$2202)=0,"",IF(('Dvd Calendar'!$W$2202&gt;=MIN(DATE(Summary!$C$12,1,1),Summary!$C$11))*('Dvd Calendar'!$W$2202&lt;=MAX(DATE(Summary!$C$12,12,31),Summary!$C$15))*('Dvd Calendar'!$W$2202&gt;Summary!$C$11)=0,"",'Dvd Calendar'!$W$2202*1000000000+ISNUMBER('Dvd Calendar'!$W$2203)*100000000+('Dvd Calendar'!$W$2207='Field Check'!$C$25)*10000000+(N('Dvd Calendar'!$W$2201)&gt;0)*1000000+6*1000+59))</f>
        <v/>
      </c>
      <c r="BJ162" s="41">
        <f>IF(N('Dvd Calendar'!$X$2202)=0,"",IF(('Dvd Calendar'!$X$2202&gt;=MIN(DATE(Summary!$C$12,1,1),Summary!$C$11))*('Dvd Calendar'!$X$2202&lt;=MAX(DATE(Summary!$C$12,12,31),Summary!$C$15))*('Dvd Calendar'!$X$2202&gt;Summary!$C$11)=0,"",'Dvd Calendar'!$X$2202*1000000000+ISNUMBER('Dvd Calendar'!$X$2203)*100000000+('Dvd Calendar'!$X$2207='Field Check'!$C$25)*10000000+(N('Dvd Calendar'!$X$2201)&gt;0)*1000000+6*1000+60))</f>
        <v/>
      </c>
      <c r="BK162" s="41">
        <f>IF(N('Dvd Calendar'!$Y$2202)=0,"",IF(('Dvd Calendar'!$Y$2202&gt;=MIN(DATE(Summary!$C$12,1,1),Summary!$C$11))*('Dvd Calendar'!$Y$2202&lt;=MAX(DATE(Summary!$C$12,12,31),Summary!$C$15))*('Dvd Calendar'!$Y$2202&gt;Summary!$C$11)=0,"",'Dvd Calendar'!$Y$2202*1000000000+ISNUMBER('Dvd Calendar'!$Y$2203)*100000000+('Dvd Calendar'!$Y$2207='Field Check'!$C$25)*10000000+(N('Dvd Calendar'!$Y$2201)&gt;0)*1000000+6*1000+61))</f>
        <v/>
      </c>
      <c r="BL162" s="41">
        <f>IF(N('Dvd Calendar'!$Z$2202)=0,"",IF(('Dvd Calendar'!$Z$2202&gt;=MIN(DATE(Summary!$C$12,1,1),Summary!$C$11))*('Dvd Calendar'!$Z$2202&lt;=MAX(DATE(Summary!$C$12,12,31),Summary!$C$15))*('Dvd Calendar'!$Z$2202&gt;Summary!$C$11)=0,"",'Dvd Calendar'!$Z$2202*1000000000+ISNUMBER('Dvd Calendar'!$Z$2203)*100000000+('Dvd Calendar'!$Z$2207='Field Check'!$C$25)*10000000+(N('Dvd Calendar'!$Z$2201)&gt;0)*1000000+6*1000+62))</f>
        <v/>
      </c>
      <c r="BM162" s="41">
        <f>IF(N('Dvd Calendar'!$AA$2202)=0,"",IF(('Dvd Calendar'!$AA$2202&gt;=MIN(DATE(Summary!$C$12,1,1),Summary!$C$11))*('Dvd Calendar'!$AA$2202&lt;=MAX(DATE(Summary!$C$12,12,31),Summary!$C$15))*('Dvd Calendar'!$AA$2202&gt;Summary!$C$11)=0,"",'Dvd Calendar'!$AA$2202*1000000000+ISNUMBER('Dvd Calendar'!$AA$2203)*100000000+('Dvd Calendar'!$AA$2207='Field Check'!$C$25)*10000000+(N('Dvd Calendar'!$AA$2201)&gt;0)*1000000+6*1000+63))</f>
        <v/>
      </c>
      <c r="BN162" s="41">
        <f>IF(N('Dvd Calendar'!$AB$2202)=0,"",IF(('Dvd Calendar'!$AB$2202&gt;=MIN(DATE(Summary!$C$12,1,1),Summary!$C$11))*('Dvd Calendar'!$AB$2202&lt;=MAX(DATE(Summary!$C$12,12,31),Summary!$C$15))*('Dvd Calendar'!$AB$2202&gt;Summary!$C$11)=0,"",'Dvd Calendar'!$AB$2202*1000000000+ISNUMBER('Dvd Calendar'!$AB$2203)*100000000+('Dvd Calendar'!$AB$2207='Field Check'!$C$25)*10000000+(N('Dvd Calendar'!$AB$2201)&gt;0)*1000000+6*1000+64))</f>
        <v/>
      </c>
      <c r="BO162" s="41">
        <f>IF(N('Dvd Calendar'!$AC$2202)=0,"",IF(('Dvd Calendar'!$AC$2202&gt;=MIN(DATE(Summary!$C$12,1,1),Summary!$C$11))*('Dvd Calendar'!$AC$2202&lt;=MAX(DATE(Summary!$C$12,12,31),Summary!$C$15))*('Dvd Calendar'!$AC$2202&gt;Summary!$C$11)=0,"",'Dvd Calendar'!$AC$2202*1000000000+ISNUMBER('Dvd Calendar'!$AC$2203)*100000000+('Dvd Calendar'!$AC$2207='Field Check'!$C$25)*10000000+(N('Dvd Calendar'!$AC$2201)&gt;0)*1000000+6*1000+65))</f>
        <v/>
      </c>
      <c r="BQ162" s="85">
        <f>IF(C162="","",IF(ISNUMBER('Dvd Calendar'!$E$2196)=FALSE,"",IF((Summary!$C$13="N")*('Dvd Calendar'!$E$2200='Field Check'!$C$25)&gt;0,"",'Dvd Calendar'!$E$2196)))</f>
        <v/>
      </c>
      <c r="BR162" s="85">
        <f>IF(D162="","",IF(ISNUMBER('Dvd Calendar'!$F$2196)=FALSE,"",IF((Summary!$C$13="N")*('Dvd Calendar'!$F$2200='Field Check'!$C$25)&gt;0,"",'Dvd Calendar'!$F$2196)))</f>
        <v/>
      </c>
      <c r="BS162" s="85">
        <f>IF(E162="","",IF(ISNUMBER('Dvd Calendar'!$G$2196)=FALSE,"",IF((Summary!$C$13="N")*('Dvd Calendar'!$G$2200='Field Check'!$C$25)&gt;0,"",'Dvd Calendar'!$G$2196)))</f>
        <v/>
      </c>
      <c r="BT162" s="85">
        <f>IF(F162="","",IF(ISNUMBER('Dvd Calendar'!$H$2196)=FALSE,"",IF((Summary!$C$13="N")*('Dvd Calendar'!$H$2200='Field Check'!$C$25)&gt;0,"",'Dvd Calendar'!$H$2196)))</f>
        <v/>
      </c>
      <c r="BU162" s="85">
        <f>IF(G162="","",IF(ISNUMBER('Dvd Calendar'!$I$2196)=FALSE,"",IF((Summary!$C$13="N")*('Dvd Calendar'!$I$2200='Field Check'!$C$25)&gt;0,"",'Dvd Calendar'!$I$2196)))</f>
        <v/>
      </c>
      <c r="BV162" s="85">
        <f>IF(H162="","",IF(ISNUMBER('Dvd Calendar'!$J$2196)=FALSE,"",IF((Summary!$C$13="N")*('Dvd Calendar'!$J$2200='Field Check'!$C$25)&gt;0,"",'Dvd Calendar'!$J$2196)))</f>
        <v/>
      </c>
      <c r="BW162" s="85">
        <f>IF(I162="","",IF(ISNUMBER('Dvd Calendar'!$K$2196)=FALSE,"",IF((Summary!$C$13="N")*('Dvd Calendar'!$K$2200='Field Check'!$C$25)&gt;0,"",'Dvd Calendar'!$K$2196)))</f>
        <v/>
      </c>
      <c r="BX162" s="85">
        <f>IF(J162="","",IF(ISNUMBER('Dvd Calendar'!$L$2196)=FALSE,"",IF((Summary!$C$13="N")*('Dvd Calendar'!$L$2200='Field Check'!$C$25)&gt;0,"",'Dvd Calendar'!$L$2196)))</f>
        <v/>
      </c>
      <c r="BY162" s="85">
        <f>IF(K162="","",IF(ISNUMBER('Dvd Calendar'!$M$2196)=FALSE,"",IF((Summary!$C$13="N")*('Dvd Calendar'!$M$2200='Field Check'!$C$25)&gt;0,"",'Dvd Calendar'!$M$2196)))</f>
        <v/>
      </c>
      <c r="BZ162" s="85">
        <f>IF(L162="","",IF(ISNUMBER('Dvd Calendar'!$N$2196)=FALSE,"",IF((Summary!$C$13="N")*('Dvd Calendar'!$N$2200='Field Check'!$C$25)&gt;0,"",'Dvd Calendar'!$N$2196)))</f>
        <v/>
      </c>
      <c r="CA162" s="85">
        <f>IF(M162="","",IF(ISNUMBER('Dvd Calendar'!$O$2196)=FALSE,"",IF((Summary!$C$13="N")*('Dvd Calendar'!$O$2200='Field Check'!$C$25)&gt;0,"",'Dvd Calendar'!$O$2196)))</f>
        <v/>
      </c>
      <c r="CB162" s="85">
        <f>IF(N162="","",IF(ISNUMBER('Dvd Calendar'!$P$2196)=FALSE,"",IF((Summary!$C$13="N")*('Dvd Calendar'!$P$2200='Field Check'!$C$25)&gt;0,"",'Dvd Calendar'!$P$2196)))</f>
        <v/>
      </c>
      <c r="CC162" s="85">
        <f>IF(O162="","",IF(ISNUMBER('Dvd Calendar'!$Q$2196)=FALSE,"",IF((Summary!$C$13="N")*('Dvd Calendar'!$Q$2200='Field Check'!$C$25)&gt;0,"",'Dvd Calendar'!$Q$2196)))</f>
        <v/>
      </c>
      <c r="CD162" s="85">
        <f>IF(P162="","",IF(ISNUMBER('Dvd Calendar'!$R$2196)=FALSE,"",IF((Summary!$C$13="N")*('Dvd Calendar'!$R$2200='Field Check'!$C$25)&gt;0,"",'Dvd Calendar'!$R$2196)))</f>
        <v/>
      </c>
      <c r="CE162" s="85">
        <f>IF(Q162="","",IF(ISNUMBER('Dvd Calendar'!$S$2196)=FALSE,"",IF((Summary!$C$13="N")*('Dvd Calendar'!$S$2200='Field Check'!$C$25)&gt;0,"",'Dvd Calendar'!$S$2196)))</f>
        <v/>
      </c>
      <c r="CF162" s="85">
        <f>IF(R162="","",IF(ISNUMBER('Dvd Calendar'!$T$2196)=FALSE,"",IF((Summary!$C$13="N")*('Dvd Calendar'!$T$2200='Field Check'!$C$25)&gt;0,"",'Dvd Calendar'!$T$2196)))</f>
        <v/>
      </c>
      <c r="CG162" s="85">
        <f>IF(S162="","",IF(ISNUMBER('Dvd Calendar'!$U$2196)=FALSE,"",IF((Summary!$C$13="N")*('Dvd Calendar'!$U$2200='Field Check'!$C$25)&gt;0,"",'Dvd Calendar'!$U$2196)))</f>
        <v/>
      </c>
      <c r="CH162" s="85">
        <f>IF(T162="","",IF(ISNUMBER('Dvd Calendar'!$V$2196)=FALSE,"",IF((Summary!$C$13="N")*('Dvd Calendar'!$V$2200='Field Check'!$C$25)&gt;0,"",'Dvd Calendar'!$V$2196)))</f>
        <v/>
      </c>
      <c r="CI162" s="85">
        <f>IF(U162="","",IF(ISNUMBER('Dvd Calendar'!$W$2196)=FALSE,"",IF((Summary!$C$13="N")*('Dvd Calendar'!$W$2200='Field Check'!$C$25)&gt;0,"",'Dvd Calendar'!$W$2196)))</f>
        <v/>
      </c>
      <c r="CJ162" s="85">
        <f>IF(V162="","",IF(ISNUMBER('Dvd Calendar'!$X$2196)=FALSE,"",IF((Summary!$C$13="N")*('Dvd Calendar'!$X$2200='Field Check'!$C$25)&gt;0,"",'Dvd Calendar'!$X$2196)))</f>
        <v/>
      </c>
      <c r="CK162" s="85">
        <f>IF(W162="","",IF(ISNUMBER('Dvd Calendar'!$Y$2196)=FALSE,"",IF((Summary!$C$13="N")*('Dvd Calendar'!$Y$2200='Field Check'!$C$25)&gt;0,"",'Dvd Calendar'!$Y$2196)))</f>
        <v/>
      </c>
      <c r="CL162" s="85">
        <f>IF(X162="","",IF(ISNUMBER('Dvd Calendar'!$Z$2196)=FALSE,"",IF((Summary!$C$13="N")*('Dvd Calendar'!$Z$2200='Field Check'!$C$25)&gt;0,"",'Dvd Calendar'!$Z$2196)))</f>
        <v/>
      </c>
      <c r="CM162" s="85">
        <f>IF(Y162="","",IF(ISNUMBER('Dvd Calendar'!$AA$2196)=FALSE,"",IF((Summary!$C$13="N")*('Dvd Calendar'!$AA$2200='Field Check'!$C$25)&gt;0,"",'Dvd Calendar'!$AA$2196)))</f>
        <v/>
      </c>
      <c r="CN162" s="85">
        <f>IF(Z162="","",IF(ISNUMBER('Dvd Calendar'!$AB$2196)=FALSE,"",IF((Summary!$C$13="N")*('Dvd Calendar'!$AB$2200='Field Check'!$C$25)&gt;0,"",'Dvd Calendar'!$AB$2196)))</f>
        <v/>
      </c>
      <c r="CO162" s="85">
        <f>IF(AA162="","",IF(ISNUMBER('Dvd Calendar'!$AC$2196)=FALSE,"",IF((Summary!$C$13="N")*('Dvd Calendar'!$AC$2200='Field Check'!$C$25)&gt;0,"",'Dvd Calendar'!$AC$2196)))</f>
        <v/>
      </c>
      <c r="CP162" s="85">
        <f>IF(AB162="","",IF(ISNUMBER('Dvd Calendar'!$AD$2196)=FALSE,"",IF((Summary!$C$13="N")*('Dvd Calendar'!$AD$2200='Field Check'!$C$25)&gt;0,"",'Dvd Calendar'!$AD$2196)))</f>
        <v/>
      </c>
      <c r="CQ162" s="85">
        <f>IF(AC162="","",IF(ISNUMBER('Dvd Calendar'!$AE$2196)=FALSE,"",IF((Summary!$C$13="N")*('Dvd Calendar'!$AE$2200='Field Check'!$C$25)&gt;0,"",'Dvd Calendar'!$AE$2196)))</f>
        <v/>
      </c>
      <c r="CR162" s="85">
        <f>IF(AD162="","",IF(ISNUMBER('Dvd Calendar'!$AF$2196)=FALSE,"",IF((Summary!$C$13="N")*('Dvd Calendar'!$AF$2200='Field Check'!$C$25)&gt;0,"",'Dvd Calendar'!$AF$2196)))</f>
        <v/>
      </c>
      <c r="CS162" s="85">
        <f>IF(AE162="","",IF(ISNUMBER('Dvd Calendar'!$AG$2196)=FALSE,"",IF((Summary!$C$13="N")*('Dvd Calendar'!$AG$2200='Field Check'!$C$25)&gt;0,"",'Dvd Calendar'!$AG$2196)))</f>
        <v/>
      </c>
      <c r="CT162" s="85">
        <f>IF(AF162="","",IF(ISNUMBER('Dvd Calendar'!$AH$2196)=FALSE,"",IF((Summary!$C$13="N")*('Dvd Calendar'!$AH$2200='Field Check'!$C$25)&gt;0,"",'Dvd Calendar'!$AH$2196)))</f>
        <v/>
      </c>
      <c r="CU162" s="85">
        <f>IF(AG162="","",IF(ISNUMBER('Dvd Calendar'!$AI$2196)=FALSE,"",IF((Summary!$C$13="N")*('Dvd Calendar'!$AI$2200='Field Check'!$C$25)&gt;0,"",'Dvd Calendar'!$AI$2196)))</f>
        <v/>
      </c>
      <c r="CV162" s="85">
        <f>IF(AH162="","",IF(ISNUMBER('Dvd Calendar'!$AJ$2196)=FALSE,"",IF((Summary!$C$13="N")*('Dvd Calendar'!$AJ$2200='Field Check'!$C$25)&gt;0,"",'Dvd Calendar'!$AJ$2196)))</f>
        <v/>
      </c>
      <c r="CW162" s="85">
        <f>IF(AI162="","",IF(ISNUMBER('Dvd Calendar'!$AK$2196)=FALSE,"",IF((Summary!$C$13="N")*('Dvd Calendar'!$AK$2200='Field Check'!$C$25)&gt;0,"",'Dvd Calendar'!$AK$2196)))</f>
        <v/>
      </c>
      <c r="CX162" s="85">
        <f>IF(AJ162="","",IF(ISNUMBER('Dvd Calendar'!$AL$2196)=FALSE,"",IF((Summary!$C$13="N")*('Dvd Calendar'!$AL$2200='Field Check'!$C$25)&gt;0,"",'Dvd Calendar'!$AL$2196)))</f>
        <v/>
      </c>
      <c r="CY162" s="85">
        <f>IF(AK162="","",IF(ISNUMBER('Dvd Calendar'!$AM$2196)=FALSE,"",IF((Summary!$C$13="N")*('Dvd Calendar'!$AM$2200='Field Check'!$C$25)&gt;0,"",'Dvd Calendar'!$AM$2196)))</f>
        <v/>
      </c>
      <c r="CZ162" s="85">
        <f>IF(AL162="","",IF(ISNUMBER('Dvd Calendar'!$AN$2196)=FALSE,"",IF((Summary!$C$13="N")*('Dvd Calendar'!$AN$2200='Field Check'!$C$25)&gt;0,"",'Dvd Calendar'!$AN$2196)))</f>
        <v/>
      </c>
      <c r="DA162" s="85">
        <f>IF(AM162="","",IF(ISNUMBER('Dvd Calendar'!$AO$2196)=FALSE,"",IF((Summary!$C$13="N")*('Dvd Calendar'!$AO$2200='Field Check'!$C$25)&gt;0,"",'Dvd Calendar'!$AO$2196)))</f>
        <v/>
      </c>
      <c r="DB162" s="85">
        <f>IF(AN162="","",IF(ISNUMBER('Dvd Calendar'!$AP$2196)=FALSE,"",IF((Summary!$C$13="N")*('Dvd Calendar'!$AP$2200='Field Check'!$C$25)&gt;0,"",'Dvd Calendar'!$AP$2196)))</f>
        <v/>
      </c>
      <c r="DC162" s="85">
        <f>IF(AO162="","",IF(ISNUMBER('Dvd Calendar'!$AQ$2196)=FALSE,"",IF((Summary!$C$13="N")*('Dvd Calendar'!$AQ$2200='Field Check'!$C$25)&gt;0,"",'Dvd Calendar'!$AQ$2196)))</f>
        <v/>
      </c>
      <c r="DD162" s="85">
        <f>IF(AP162="","",IF(ISNUMBER('Dvd Calendar'!$AR$2196)=FALSE,"",IF((Summary!$C$13="N")*('Dvd Calendar'!$AR$2200='Field Check'!$C$25)&gt;0,"",'Dvd Calendar'!$AR$2196)))</f>
        <v/>
      </c>
      <c r="DE162" s="85">
        <f>IF(AQ162="","",IF(ISNUMBER('Dvd Calendar'!$E$2203)=FALSE,"",IF((Summary!$C$13="N")*('Dvd Calendar'!$E$2207='Field Check'!$C$25)&gt;0,"",'Dvd Calendar'!$E$2203)))</f>
        <v/>
      </c>
      <c r="DF162" s="85">
        <f>IF(AR162="","",IF(ISNUMBER('Dvd Calendar'!$F$2203)=FALSE,"",IF((Summary!$C$13="N")*('Dvd Calendar'!$F$2207='Field Check'!$C$25)&gt;0,"",'Dvd Calendar'!$F$2203)))</f>
        <v/>
      </c>
      <c r="DG162" s="85">
        <f>IF(AS162="","",IF(ISNUMBER('Dvd Calendar'!$G$2203)=FALSE,"",IF((Summary!$C$13="N")*('Dvd Calendar'!$G$2207='Field Check'!$C$25)&gt;0,"",'Dvd Calendar'!$G$2203)))</f>
        <v/>
      </c>
      <c r="DH162" s="85">
        <f>IF(AT162="","",IF(ISNUMBER('Dvd Calendar'!$H$2203)=FALSE,"",IF((Summary!$C$13="N")*('Dvd Calendar'!$H$2207='Field Check'!$C$25)&gt;0,"",'Dvd Calendar'!$H$2203)))</f>
        <v/>
      </c>
      <c r="DI162" s="85">
        <f>IF(AU162="","",IF(ISNUMBER('Dvd Calendar'!$I$2203)=FALSE,"",IF((Summary!$C$13="N")*('Dvd Calendar'!$I$2207='Field Check'!$C$25)&gt;0,"",'Dvd Calendar'!$I$2203)))</f>
        <v/>
      </c>
      <c r="DJ162" s="85">
        <f>IF(AV162="","",IF(ISNUMBER('Dvd Calendar'!$J$2203)=FALSE,"",IF((Summary!$C$13="N")*('Dvd Calendar'!$J$2207='Field Check'!$C$25)&gt;0,"",'Dvd Calendar'!$J$2203)))</f>
        <v/>
      </c>
      <c r="DK162" s="85">
        <f>IF(AW162="","",IF(ISNUMBER('Dvd Calendar'!$K$2203)=FALSE,"",IF((Summary!$C$13="N")*('Dvd Calendar'!$K$2207='Field Check'!$C$25)&gt;0,"",'Dvd Calendar'!$K$2203)))</f>
        <v/>
      </c>
      <c r="DL162" s="85">
        <f>IF(AX162="","",IF(ISNUMBER('Dvd Calendar'!$L$2203)=FALSE,"",IF((Summary!$C$13="N")*('Dvd Calendar'!$L$2207='Field Check'!$C$25)&gt;0,"",'Dvd Calendar'!$L$2203)))</f>
        <v/>
      </c>
      <c r="DM162" s="85">
        <f>IF(AY162="","",IF(ISNUMBER('Dvd Calendar'!$M$2203)=FALSE,"",IF((Summary!$C$13="N")*('Dvd Calendar'!$M$2207='Field Check'!$C$25)&gt;0,"",'Dvd Calendar'!$M$2203)))</f>
        <v/>
      </c>
      <c r="DN162" s="85">
        <f>IF(AZ162="","",IF(ISNUMBER('Dvd Calendar'!$N$2203)=FALSE,"",IF((Summary!$C$13="N")*('Dvd Calendar'!$N$2207='Field Check'!$C$25)&gt;0,"",'Dvd Calendar'!$N$2203)))</f>
        <v/>
      </c>
      <c r="DO162" s="85">
        <f>IF(BA162="","",IF(ISNUMBER('Dvd Calendar'!$O$2203)=FALSE,"",IF((Summary!$C$13="N")*('Dvd Calendar'!$O$2207='Field Check'!$C$25)&gt;0,"",'Dvd Calendar'!$O$2203)))</f>
        <v/>
      </c>
      <c r="DP162" s="85">
        <f>IF(BB162="","",IF(ISNUMBER('Dvd Calendar'!$P$2203)=FALSE,"",IF((Summary!$C$13="N")*('Dvd Calendar'!$P$2207='Field Check'!$C$25)&gt;0,"",'Dvd Calendar'!$P$2203)))</f>
        <v/>
      </c>
      <c r="DQ162" s="85">
        <f>IF(BC162="","",IF(ISNUMBER('Dvd Calendar'!$Q$2203)=FALSE,"",IF((Summary!$C$13="N")*('Dvd Calendar'!$Q$2207='Field Check'!$C$25)&gt;0,"",'Dvd Calendar'!$Q$2203)))</f>
        <v/>
      </c>
      <c r="DR162" s="85">
        <f>IF(BD162="","",IF(ISNUMBER('Dvd Calendar'!$R$2203)=FALSE,"",IF((Summary!$C$13="N")*('Dvd Calendar'!$R$2207='Field Check'!$C$25)&gt;0,"",'Dvd Calendar'!$R$2203)))</f>
        <v/>
      </c>
      <c r="DS162" s="85">
        <f>IF(BE162="","",IF(ISNUMBER('Dvd Calendar'!$S$2203)=FALSE,"",IF((Summary!$C$13="N")*('Dvd Calendar'!$S$2207='Field Check'!$C$25)&gt;0,"",'Dvd Calendar'!$S$2203)))</f>
        <v/>
      </c>
      <c r="DT162" s="85">
        <f>IF(BF162="","",IF(ISNUMBER('Dvd Calendar'!$T$2203)=FALSE,"",IF((Summary!$C$13="N")*('Dvd Calendar'!$T$2207='Field Check'!$C$25)&gt;0,"",'Dvd Calendar'!$T$2203)))</f>
        <v/>
      </c>
      <c r="DU162" s="85">
        <f>IF(BG162="","",IF(ISNUMBER('Dvd Calendar'!$U$2203)=FALSE,"",IF((Summary!$C$13="N")*('Dvd Calendar'!$U$2207='Field Check'!$C$25)&gt;0,"",'Dvd Calendar'!$U$2203)))</f>
        <v/>
      </c>
      <c r="DV162" s="85">
        <f>IF(BH162="","",IF(ISNUMBER('Dvd Calendar'!$V$2203)=FALSE,"",IF((Summary!$C$13="N")*('Dvd Calendar'!$V$2207='Field Check'!$C$25)&gt;0,"",'Dvd Calendar'!$V$2203)))</f>
        <v/>
      </c>
      <c r="DW162" s="85">
        <f>IF(BI162="","",IF(ISNUMBER('Dvd Calendar'!$W$2203)=FALSE,"",IF((Summary!$C$13="N")*('Dvd Calendar'!$W$2207='Field Check'!$C$25)&gt;0,"",'Dvd Calendar'!$W$2203)))</f>
        <v/>
      </c>
      <c r="DX162" s="85">
        <f>IF(BJ162="","",IF(ISNUMBER('Dvd Calendar'!$X$2203)=FALSE,"",IF((Summary!$C$13="N")*('Dvd Calendar'!$X$2207='Field Check'!$C$25)&gt;0,"",'Dvd Calendar'!$X$2203)))</f>
        <v/>
      </c>
      <c r="DY162" s="85">
        <f>IF(BK162="","",IF(ISNUMBER('Dvd Calendar'!$Y$2203)=FALSE,"",IF((Summary!$C$13="N")*('Dvd Calendar'!$Y$2207='Field Check'!$C$25)&gt;0,"",'Dvd Calendar'!$Y$2203)))</f>
        <v/>
      </c>
      <c r="DZ162" s="85">
        <f>IF(BL162="","",IF(ISNUMBER('Dvd Calendar'!$Z$2203)=FALSE,"",IF((Summary!$C$13="N")*('Dvd Calendar'!$Z$2207='Field Check'!$C$25)&gt;0,"",'Dvd Calendar'!$Z$2203)))</f>
        <v/>
      </c>
      <c r="EA162" s="85">
        <f>IF(BM162="","",IF(ISNUMBER('Dvd Calendar'!$AA$2203)=FALSE,"",IF((Summary!$C$13="N")*('Dvd Calendar'!$AA$2207='Field Check'!$C$25)&gt;0,"",'Dvd Calendar'!$AA$2203)))</f>
        <v/>
      </c>
      <c r="EB162" s="85">
        <f>IF(BN162="","",IF(ISNUMBER('Dvd Calendar'!$AB$2203)=FALSE,"",IF((Summary!$C$13="N")*('Dvd Calendar'!$AB$2207='Field Check'!$C$25)&gt;0,"",'Dvd Calendar'!$AB$2203)))</f>
        <v/>
      </c>
      <c r="EC162" s="85">
        <f>IF(BO162="","",IF(ISNUMBER('Dvd Calendar'!$AC$2203)=FALSE,"",IF((Summary!$C$13="N")*('Dvd Calendar'!$AC$2207='Field Check'!$C$25)&gt;0,"",'Dvd Calendar'!$AC$2203)))</f>
        <v/>
      </c>
      <c r="EE162" s="85">
        <f>IF(BQ162="","",IFERROR(BQ162*HSCEI!$B$12*HSCEI!$G$12/HSCEI!$B$3,""))</f>
        <v/>
      </c>
      <c r="EF162" s="85">
        <f>IF(BR162="","",IFERROR(BR162*HSCEI!$B$12*HSCEI!$G$12/HSCEI!$B$3,""))</f>
        <v/>
      </c>
      <c r="EG162" s="85">
        <f>IF(BS162="","",IFERROR(BS162*HSCEI!$B$12*HSCEI!$G$12/HSCEI!$B$3,""))</f>
        <v/>
      </c>
      <c r="EH162" s="85">
        <f>IF(BT162="","",IFERROR(BT162*HSCEI!$B$12*HSCEI!$G$12/HSCEI!$B$3,""))</f>
        <v/>
      </c>
      <c r="EI162" s="85">
        <f>IF(BU162="","",IFERROR(BU162*HSCEI!$B$12*HSCEI!$G$12/HSCEI!$B$3,""))</f>
        <v/>
      </c>
      <c r="EJ162" s="85">
        <f>IF(BV162="","",IFERROR(BV162*HSCEI!$B$12*HSCEI!$G$12/HSCEI!$B$3,""))</f>
        <v/>
      </c>
      <c r="EK162" s="85">
        <f>IF(BW162="","",IFERROR(BW162*HSCEI!$B$12*HSCEI!$G$12/HSCEI!$B$3,""))</f>
        <v/>
      </c>
      <c r="EL162" s="85">
        <f>IF(BX162="","",IFERROR(BX162*HSCEI!$B$12*HSCEI!$G$12/HSCEI!$B$3,""))</f>
        <v/>
      </c>
      <c r="EM162" s="85">
        <f>IF(BY162="","",IFERROR(BY162*HSCEI!$B$12*HSCEI!$G$12/HSCEI!$B$3,""))</f>
        <v/>
      </c>
      <c r="EN162" s="85">
        <f>IF(BZ162="","",IFERROR(BZ162*HSCEI!$B$12*HSCEI!$G$12/HSCEI!$B$3,""))</f>
        <v/>
      </c>
      <c r="EO162" s="85">
        <f>IF(CA162="","",IFERROR(CA162*HSCEI!$B$12*HSCEI!$G$12/HSCEI!$B$3,""))</f>
        <v/>
      </c>
      <c r="EP162" s="85">
        <f>IF(CB162="","",IFERROR(CB162*HSCEI!$B$12*HSCEI!$G$12/HSCEI!$B$3,""))</f>
        <v/>
      </c>
      <c r="EQ162" s="85">
        <f>IF(CC162="","",IFERROR(CC162*HSCEI!$B$12*HSCEI!$G$12/HSCEI!$B$3,""))</f>
        <v/>
      </c>
      <c r="ER162" s="85">
        <f>IF(CD162="","",IFERROR(CD162*HSCEI!$B$12*HSCEI!$G$12/HSCEI!$B$3,""))</f>
        <v/>
      </c>
      <c r="ES162" s="85">
        <f>IF(CE162="","",IFERROR(CE162*HSCEI!$B$12*HSCEI!$G$12/HSCEI!$B$3,""))</f>
        <v/>
      </c>
      <c r="ET162" s="85">
        <f>IF(CF162="","",IFERROR(CF162*HSCEI!$B$12*HSCEI!$G$12/HSCEI!$B$3,""))</f>
        <v/>
      </c>
      <c r="EU162" s="85">
        <f>IF(CG162="","",IFERROR(CG162*HSCEI!$B$12*HSCEI!$G$12/HSCEI!$B$3,""))</f>
        <v/>
      </c>
      <c r="EV162" s="85">
        <f>IF(CH162="","",IFERROR(CH162*HSCEI!$B$12*HSCEI!$G$12/HSCEI!$B$3,""))</f>
        <v/>
      </c>
      <c r="EW162" s="85">
        <f>IF(CI162="","",IFERROR(CI162*HSCEI!$B$12*HSCEI!$G$12/HSCEI!$B$3,""))</f>
        <v/>
      </c>
      <c r="EX162" s="85">
        <f>IF(CJ162="","",IFERROR(CJ162*HSCEI!$B$12*HSCEI!$G$12/HSCEI!$B$3,""))</f>
        <v/>
      </c>
      <c r="EY162" s="85">
        <f>IF(CK162="","",IFERROR(CK162*HSCEI!$B$12*HSCEI!$G$12/HSCEI!$B$3,""))</f>
        <v/>
      </c>
      <c r="EZ162" s="85">
        <f>IF(CL162="","",IFERROR(CL162*HSCEI!$B$12*HSCEI!$G$12/HSCEI!$B$3,""))</f>
        <v/>
      </c>
      <c r="FA162" s="85">
        <f>IF(CM162="","",IFERROR(CM162*HSCEI!$B$12*HSCEI!$G$12/HSCEI!$B$3,""))</f>
        <v/>
      </c>
      <c r="FB162" s="85">
        <f>IF(CN162="","",IFERROR(CN162*HSCEI!$B$12*HSCEI!$G$12/HSCEI!$B$3,""))</f>
        <v/>
      </c>
      <c r="FC162" s="85">
        <f>IF(CO162="","",IFERROR(CO162*HSCEI!$B$12*HSCEI!$G$12/HSCEI!$B$3,""))</f>
        <v/>
      </c>
      <c r="FD162" s="85">
        <f>IF(CP162="","",IFERROR(CP162*HSCEI!$B$12*HSCEI!$G$12/HSCEI!$B$3,""))</f>
        <v/>
      </c>
      <c r="FE162" s="85">
        <f>IF(CQ162="","",IFERROR(CQ162*HSCEI!$B$12*HSCEI!$G$12/HSCEI!$B$3,""))</f>
        <v/>
      </c>
      <c r="FF162" s="85">
        <f>IF(CR162="","",IFERROR(CR162*HSCEI!$B$12*HSCEI!$G$12/HSCEI!$B$3,""))</f>
        <v/>
      </c>
      <c r="FG162" s="85">
        <f>IF(CS162="","",IFERROR(CS162*HSCEI!$B$12*HSCEI!$G$12/HSCEI!$B$3,""))</f>
        <v/>
      </c>
      <c r="FH162" s="85">
        <f>IF(CT162="","",IFERROR(CT162*HSCEI!$B$12*HSCEI!$G$12/HSCEI!$B$3,""))</f>
        <v/>
      </c>
      <c r="FI162" s="85">
        <f>IF(CU162="","",IFERROR(CU162*HSCEI!$B$12*HSCEI!$G$12/HSCEI!$B$3,""))</f>
        <v/>
      </c>
      <c r="FJ162" s="85">
        <f>IF(CV162="","",IFERROR(CV162*HSCEI!$B$12*HSCEI!$G$12/HSCEI!$B$3,""))</f>
        <v/>
      </c>
      <c r="FK162" s="85">
        <f>IF(CW162="","",IFERROR(CW162*HSCEI!$B$12*HSCEI!$G$12/HSCEI!$B$3,""))</f>
        <v/>
      </c>
      <c r="FL162" s="85">
        <f>IF(CX162="","",IFERROR(CX162*HSCEI!$B$12*HSCEI!$G$12/HSCEI!$B$3,""))</f>
        <v/>
      </c>
      <c r="FM162" s="85">
        <f>IF(CY162="","",IFERROR(CY162*HSCEI!$B$12*HSCEI!$G$12/HSCEI!$B$3,""))</f>
        <v/>
      </c>
      <c r="FN162" s="85">
        <f>IF(CZ162="","",IFERROR(CZ162*HSCEI!$B$12*HSCEI!$G$12/HSCEI!$B$3,""))</f>
        <v/>
      </c>
      <c r="FO162" s="85">
        <f>IF(DA162="","",IFERROR(DA162*HSCEI!$B$12*HSCEI!$G$12/HSCEI!$B$3,""))</f>
        <v/>
      </c>
      <c r="FP162" s="85">
        <f>IF(DB162="","",IFERROR(DB162*HSCEI!$B$12*HSCEI!$G$12/HSCEI!$B$3,""))</f>
        <v/>
      </c>
      <c r="FQ162" s="85">
        <f>IF(DC162="","",IFERROR(DC162*HSCEI!$B$12*HSCEI!$G$12/HSCEI!$B$3,""))</f>
        <v/>
      </c>
      <c r="FR162" s="85">
        <f>IF(DD162="","",IFERROR(DD162*HSCEI!$B$12*HSCEI!$G$12/HSCEI!$B$3,""))</f>
        <v/>
      </c>
      <c r="FS162" s="85">
        <f>IF(DE162="","",IFERROR(DE162*HSCEI!$B$12*HSCEI!$G$12/HSCEI!$B$3,""))</f>
        <v/>
      </c>
      <c r="FT162" s="85">
        <f>IF(DF162="","",IFERROR(DF162*HSCEI!$B$12*HSCEI!$G$12/HSCEI!$B$3,""))</f>
        <v/>
      </c>
      <c r="FU162" s="85">
        <f>IF(DG162="","",IFERROR(DG162*HSCEI!$B$12*HSCEI!$G$12/HSCEI!$B$3,""))</f>
        <v/>
      </c>
      <c r="FV162" s="85">
        <f>IF(DH162="","",IFERROR(DH162*HSCEI!$B$12*HSCEI!$G$12/HSCEI!$B$3,""))</f>
        <v/>
      </c>
      <c r="FW162" s="85">
        <f>IF(DI162="","",IFERROR(DI162*HSCEI!$B$12*HSCEI!$G$12/HSCEI!$B$3,""))</f>
        <v/>
      </c>
      <c r="FX162" s="85">
        <f>IF(DJ162="","",IFERROR(DJ162*HSCEI!$B$12*HSCEI!$G$12/HSCEI!$B$3,""))</f>
        <v/>
      </c>
      <c r="FY162" s="85">
        <f>IF(DK162="","",IFERROR(DK162*HSCEI!$B$12*HSCEI!$G$12/HSCEI!$B$3,""))</f>
        <v/>
      </c>
      <c r="FZ162" s="85">
        <f>IF(DL162="","",IFERROR(DL162*HSCEI!$B$12*HSCEI!$G$12/HSCEI!$B$3,""))</f>
        <v/>
      </c>
      <c r="GA162" s="85">
        <f>IF(DM162="","",IFERROR(DM162*HSCEI!$B$12*HSCEI!$G$12/HSCEI!$B$3,""))</f>
        <v/>
      </c>
      <c r="GB162" s="85">
        <f>IF(DN162="","",IFERROR(DN162*HSCEI!$B$12*HSCEI!$G$12/HSCEI!$B$3,""))</f>
        <v/>
      </c>
      <c r="GC162" s="85">
        <f>IF(DO162="","",IFERROR(DO162*HSCEI!$B$12*HSCEI!$G$12/HSCEI!$B$3,""))</f>
        <v/>
      </c>
      <c r="GD162" s="85">
        <f>IF(DP162="","",IFERROR(DP162*HSCEI!$B$12*HSCEI!$G$12/HSCEI!$B$3,""))</f>
        <v/>
      </c>
      <c r="GE162" s="85">
        <f>IF(DQ162="","",IFERROR(DQ162*HSCEI!$B$12*HSCEI!$G$12/HSCEI!$B$3,""))</f>
        <v/>
      </c>
      <c r="GF162" s="85">
        <f>IF(DR162="","",IFERROR(DR162*HSCEI!$B$12*HSCEI!$G$12/HSCEI!$B$3,""))</f>
        <v/>
      </c>
      <c r="GG162" s="85">
        <f>IF(DS162="","",IFERROR(DS162*HSCEI!$B$12*HSCEI!$G$12/HSCEI!$B$3,""))</f>
        <v/>
      </c>
      <c r="GH162" s="85">
        <f>IF(DT162="","",IFERROR(DT162*HSCEI!$B$12*HSCEI!$G$12/HSCEI!$B$3,""))</f>
        <v/>
      </c>
      <c r="GI162" s="85">
        <f>IF(DU162="","",IFERROR(DU162*HSCEI!$B$12*HSCEI!$G$12/HSCEI!$B$3,""))</f>
        <v/>
      </c>
      <c r="GJ162" s="85">
        <f>IF(DV162="","",IFERROR(DV162*HSCEI!$B$12*HSCEI!$G$12/HSCEI!$B$3,""))</f>
        <v/>
      </c>
      <c r="GK162" s="85">
        <f>IF(DW162="","",IFERROR(DW162*HSCEI!$B$12*HSCEI!$G$12/HSCEI!$B$3,""))</f>
        <v/>
      </c>
      <c r="GL162" s="85">
        <f>IF(DX162="","",IFERROR(DX162*HSCEI!$B$12*HSCEI!$G$12/HSCEI!$B$3,""))</f>
        <v/>
      </c>
      <c r="GM162" s="85">
        <f>IF(DY162="","",IFERROR(DY162*HSCEI!$B$12*HSCEI!$G$12/HSCEI!$B$3,""))</f>
        <v/>
      </c>
      <c r="GN162" s="85">
        <f>IF(DZ162="","",IFERROR(DZ162*HSCEI!$B$12*HSCEI!$G$12/HSCEI!$B$3,""))</f>
        <v/>
      </c>
      <c r="GO162" s="85">
        <f>IF(EA162="","",IFERROR(EA162*HSCEI!$B$12*HSCEI!$G$12/HSCEI!$B$3,""))</f>
        <v/>
      </c>
      <c r="GP162" s="85">
        <f>IF(EB162="","",IFERROR(EB162*HSCEI!$B$12*HSCEI!$G$12/HSCEI!$B$3,""))</f>
        <v/>
      </c>
      <c r="GQ162" s="85">
        <f>IF(EC162="","",IFERROR(EC162*HSCEI!$B$12*HSCEI!$G$12/HSCEI!$B$3,""))</f>
        <v/>
      </c>
    </row>
    <row r="163">
      <c r="B163" s="2">
        <f>IF(HSCEI!$C$13="","",HSCEI!$C$13)</f>
        <v/>
      </c>
      <c r="C163" s="41">
        <f>IF(N('Dvd Calendar'!$E$2210)=0,"",IF(('Dvd Calendar'!$E$2210&gt;=MIN(DATE(Summary!$C$12,1,1),Summary!$C$11))*('Dvd Calendar'!$E$2210&lt;=MAX(DATE(Summary!$C$12,12,31),Summary!$C$15))*('Dvd Calendar'!$E$2210&lt;=Summary!$C$11)=0,"",'Dvd Calendar'!$E$2210*1000000000+ISNUMBER('Dvd Calendar'!$E$2211)*100000000+('Dvd Calendar'!$E$2215='Field Check'!$C$25)*10000000+(N('Dvd Calendar'!$E$2209)&gt;0)*1000000+7*1000+1))</f>
        <v/>
      </c>
      <c r="D163" s="41">
        <f>IF(N('Dvd Calendar'!$F$2210)=0,"",IF(('Dvd Calendar'!$F$2210&gt;=MIN(DATE(Summary!$C$12,1,1),Summary!$C$11))*('Dvd Calendar'!$F$2210&lt;=MAX(DATE(Summary!$C$12,12,31),Summary!$C$15))*('Dvd Calendar'!$F$2210&lt;=Summary!$C$11)=0,"",'Dvd Calendar'!$F$2210*1000000000+ISNUMBER('Dvd Calendar'!$F$2211)*100000000+('Dvd Calendar'!$F$2215='Field Check'!$C$25)*10000000+(N('Dvd Calendar'!$F$2209)&gt;0)*1000000+7*1000+2))</f>
        <v/>
      </c>
      <c r="E163" s="41">
        <f>IF(N('Dvd Calendar'!$G$2210)=0,"",IF(('Dvd Calendar'!$G$2210&gt;=MIN(DATE(Summary!$C$12,1,1),Summary!$C$11))*('Dvd Calendar'!$G$2210&lt;=MAX(DATE(Summary!$C$12,12,31),Summary!$C$15))*('Dvd Calendar'!$G$2210&lt;=Summary!$C$11)=0,"",'Dvd Calendar'!$G$2210*1000000000+ISNUMBER('Dvd Calendar'!$G$2211)*100000000+('Dvd Calendar'!$G$2215='Field Check'!$C$25)*10000000+(N('Dvd Calendar'!$G$2209)&gt;0)*1000000+7*1000+3))</f>
        <v/>
      </c>
      <c r="F163" s="41">
        <f>IF(N('Dvd Calendar'!$H$2210)=0,"",IF(('Dvd Calendar'!$H$2210&gt;=MIN(DATE(Summary!$C$12,1,1),Summary!$C$11))*('Dvd Calendar'!$H$2210&lt;=MAX(DATE(Summary!$C$12,12,31),Summary!$C$15))*('Dvd Calendar'!$H$2210&lt;=Summary!$C$11)=0,"",'Dvd Calendar'!$H$2210*1000000000+ISNUMBER('Dvd Calendar'!$H$2211)*100000000+('Dvd Calendar'!$H$2215='Field Check'!$C$25)*10000000+(N('Dvd Calendar'!$H$2209)&gt;0)*1000000+7*1000+4))</f>
        <v/>
      </c>
      <c r="G163" s="41">
        <f>IF(N('Dvd Calendar'!$I$2210)=0,"",IF(('Dvd Calendar'!$I$2210&gt;=MIN(DATE(Summary!$C$12,1,1),Summary!$C$11))*('Dvd Calendar'!$I$2210&lt;=MAX(DATE(Summary!$C$12,12,31),Summary!$C$15))*('Dvd Calendar'!$I$2210&lt;=Summary!$C$11)=0,"",'Dvd Calendar'!$I$2210*1000000000+ISNUMBER('Dvd Calendar'!$I$2211)*100000000+('Dvd Calendar'!$I$2215='Field Check'!$C$25)*10000000+(N('Dvd Calendar'!$I$2209)&gt;0)*1000000+7*1000+5))</f>
        <v/>
      </c>
      <c r="H163" s="41">
        <f>IF(N('Dvd Calendar'!$J$2210)=0,"",IF(('Dvd Calendar'!$J$2210&gt;=MIN(DATE(Summary!$C$12,1,1),Summary!$C$11))*('Dvd Calendar'!$J$2210&lt;=MAX(DATE(Summary!$C$12,12,31),Summary!$C$15))*('Dvd Calendar'!$J$2210&lt;=Summary!$C$11)=0,"",'Dvd Calendar'!$J$2210*1000000000+ISNUMBER('Dvd Calendar'!$J$2211)*100000000+('Dvd Calendar'!$J$2215='Field Check'!$C$25)*10000000+(N('Dvd Calendar'!$J$2209)&gt;0)*1000000+7*1000+6))</f>
        <v/>
      </c>
      <c r="I163" s="41">
        <f>IF(N('Dvd Calendar'!$K$2210)=0,"",IF(('Dvd Calendar'!$K$2210&gt;=MIN(DATE(Summary!$C$12,1,1),Summary!$C$11))*('Dvd Calendar'!$K$2210&lt;=MAX(DATE(Summary!$C$12,12,31),Summary!$C$15))*('Dvd Calendar'!$K$2210&lt;=Summary!$C$11)=0,"",'Dvd Calendar'!$K$2210*1000000000+ISNUMBER('Dvd Calendar'!$K$2211)*100000000+('Dvd Calendar'!$K$2215='Field Check'!$C$25)*10000000+(N('Dvd Calendar'!$K$2209)&gt;0)*1000000+7*1000+7))</f>
        <v/>
      </c>
      <c r="J163" s="41">
        <f>IF(N('Dvd Calendar'!$L$2210)=0,"",IF(('Dvd Calendar'!$L$2210&gt;=MIN(DATE(Summary!$C$12,1,1),Summary!$C$11))*('Dvd Calendar'!$L$2210&lt;=MAX(DATE(Summary!$C$12,12,31),Summary!$C$15))*('Dvd Calendar'!$L$2210&lt;=Summary!$C$11)=0,"",'Dvd Calendar'!$L$2210*1000000000+ISNUMBER('Dvd Calendar'!$L$2211)*100000000+('Dvd Calendar'!$L$2215='Field Check'!$C$25)*10000000+(N('Dvd Calendar'!$L$2209)&gt;0)*1000000+7*1000+8))</f>
        <v/>
      </c>
      <c r="K163" s="41">
        <f>IF(N('Dvd Calendar'!$M$2210)=0,"",IF(('Dvd Calendar'!$M$2210&gt;=MIN(DATE(Summary!$C$12,1,1),Summary!$C$11))*('Dvd Calendar'!$M$2210&lt;=MAX(DATE(Summary!$C$12,12,31),Summary!$C$15))*('Dvd Calendar'!$M$2210&lt;=Summary!$C$11)=0,"",'Dvd Calendar'!$M$2210*1000000000+ISNUMBER('Dvd Calendar'!$M$2211)*100000000+('Dvd Calendar'!$M$2215='Field Check'!$C$25)*10000000+(N('Dvd Calendar'!$M$2209)&gt;0)*1000000+7*1000+9))</f>
        <v/>
      </c>
      <c r="L163" s="41">
        <f>IF(N('Dvd Calendar'!$N$2210)=0,"",IF(('Dvd Calendar'!$N$2210&gt;=MIN(DATE(Summary!$C$12,1,1),Summary!$C$11))*('Dvd Calendar'!$N$2210&lt;=MAX(DATE(Summary!$C$12,12,31),Summary!$C$15))*('Dvd Calendar'!$N$2210&lt;=Summary!$C$11)=0,"",'Dvd Calendar'!$N$2210*1000000000+ISNUMBER('Dvd Calendar'!$N$2211)*100000000+('Dvd Calendar'!$N$2215='Field Check'!$C$25)*10000000+(N('Dvd Calendar'!$N$2209)&gt;0)*1000000+7*1000+10))</f>
        <v/>
      </c>
      <c r="M163" s="41">
        <f>IF(N('Dvd Calendar'!$O$2210)=0,"",IF(('Dvd Calendar'!$O$2210&gt;=MIN(DATE(Summary!$C$12,1,1),Summary!$C$11))*('Dvd Calendar'!$O$2210&lt;=MAX(DATE(Summary!$C$12,12,31),Summary!$C$15))*('Dvd Calendar'!$O$2210&lt;=Summary!$C$11)=0,"",'Dvd Calendar'!$O$2210*1000000000+ISNUMBER('Dvd Calendar'!$O$2211)*100000000+('Dvd Calendar'!$O$2215='Field Check'!$C$25)*10000000+(N('Dvd Calendar'!$O$2209)&gt;0)*1000000+7*1000+11))</f>
        <v/>
      </c>
      <c r="N163" s="41">
        <f>IF(N('Dvd Calendar'!$P$2210)=0,"",IF(('Dvd Calendar'!$P$2210&gt;=MIN(DATE(Summary!$C$12,1,1),Summary!$C$11))*('Dvd Calendar'!$P$2210&lt;=MAX(DATE(Summary!$C$12,12,31),Summary!$C$15))*('Dvd Calendar'!$P$2210&lt;=Summary!$C$11)=0,"",'Dvd Calendar'!$P$2210*1000000000+ISNUMBER('Dvd Calendar'!$P$2211)*100000000+('Dvd Calendar'!$P$2215='Field Check'!$C$25)*10000000+(N('Dvd Calendar'!$P$2209)&gt;0)*1000000+7*1000+12))</f>
        <v/>
      </c>
      <c r="O163" s="41">
        <f>IF(N('Dvd Calendar'!$Q$2210)=0,"",IF(('Dvd Calendar'!$Q$2210&gt;=MIN(DATE(Summary!$C$12,1,1),Summary!$C$11))*('Dvd Calendar'!$Q$2210&lt;=MAX(DATE(Summary!$C$12,12,31),Summary!$C$15))*('Dvd Calendar'!$Q$2210&lt;=Summary!$C$11)=0,"",'Dvd Calendar'!$Q$2210*1000000000+ISNUMBER('Dvd Calendar'!$Q$2211)*100000000+('Dvd Calendar'!$Q$2215='Field Check'!$C$25)*10000000+(N('Dvd Calendar'!$Q$2209)&gt;0)*1000000+7*1000+13))</f>
        <v/>
      </c>
      <c r="P163" s="41">
        <f>IF(N('Dvd Calendar'!$R$2210)=0,"",IF(('Dvd Calendar'!$R$2210&gt;=MIN(DATE(Summary!$C$12,1,1),Summary!$C$11))*('Dvd Calendar'!$R$2210&lt;=MAX(DATE(Summary!$C$12,12,31),Summary!$C$15))*('Dvd Calendar'!$R$2210&lt;=Summary!$C$11)=0,"",'Dvd Calendar'!$R$2210*1000000000+ISNUMBER('Dvd Calendar'!$R$2211)*100000000+('Dvd Calendar'!$R$2215='Field Check'!$C$25)*10000000+(N('Dvd Calendar'!$R$2209)&gt;0)*1000000+7*1000+14))</f>
        <v/>
      </c>
      <c r="Q163" s="41">
        <f>IF(N('Dvd Calendar'!$S$2210)=0,"",IF(('Dvd Calendar'!$S$2210&gt;=MIN(DATE(Summary!$C$12,1,1),Summary!$C$11))*('Dvd Calendar'!$S$2210&lt;=MAX(DATE(Summary!$C$12,12,31),Summary!$C$15))*('Dvd Calendar'!$S$2210&lt;=Summary!$C$11)=0,"",'Dvd Calendar'!$S$2210*1000000000+ISNUMBER('Dvd Calendar'!$S$2211)*100000000+('Dvd Calendar'!$S$2215='Field Check'!$C$25)*10000000+(N('Dvd Calendar'!$S$2209)&gt;0)*1000000+7*1000+15))</f>
        <v/>
      </c>
      <c r="R163" s="41">
        <f>IF(N('Dvd Calendar'!$T$2210)=0,"",IF(('Dvd Calendar'!$T$2210&gt;=MIN(DATE(Summary!$C$12,1,1),Summary!$C$11))*('Dvd Calendar'!$T$2210&lt;=MAX(DATE(Summary!$C$12,12,31),Summary!$C$15))*('Dvd Calendar'!$T$2210&lt;=Summary!$C$11)=0,"",'Dvd Calendar'!$T$2210*1000000000+ISNUMBER('Dvd Calendar'!$T$2211)*100000000+('Dvd Calendar'!$T$2215='Field Check'!$C$25)*10000000+(N('Dvd Calendar'!$T$2209)&gt;0)*1000000+7*1000+16))</f>
        <v/>
      </c>
      <c r="S163" s="41">
        <f>IF(N('Dvd Calendar'!$U$2210)=0,"",IF(('Dvd Calendar'!$U$2210&gt;=MIN(DATE(Summary!$C$12,1,1),Summary!$C$11))*('Dvd Calendar'!$U$2210&lt;=MAX(DATE(Summary!$C$12,12,31),Summary!$C$15))*('Dvd Calendar'!$U$2210&lt;=Summary!$C$11)=0,"",'Dvd Calendar'!$U$2210*1000000000+ISNUMBER('Dvd Calendar'!$U$2211)*100000000+('Dvd Calendar'!$U$2215='Field Check'!$C$25)*10000000+(N('Dvd Calendar'!$U$2209)&gt;0)*1000000+7*1000+17))</f>
        <v/>
      </c>
      <c r="T163" s="41">
        <f>IF(N('Dvd Calendar'!$V$2210)=0,"",IF(('Dvd Calendar'!$V$2210&gt;=MIN(DATE(Summary!$C$12,1,1),Summary!$C$11))*('Dvd Calendar'!$V$2210&lt;=MAX(DATE(Summary!$C$12,12,31),Summary!$C$15))*('Dvd Calendar'!$V$2210&lt;=Summary!$C$11)=0,"",'Dvd Calendar'!$V$2210*1000000000+ISNUMBER('Dvd Calendar'!$V$2211)*100000000+('Dvd Calendar'!$V$2215='Field Check'!$C$25)*10000000+(N('Dvd Calendar'!$V$2209)&gt;0)*1000000+7*1000+18))</f>
        <v/>
      </c>
      <c r="U163" s="41">
        <f>IF(N('Dvd Calendar'!$W$2210)=0,"",IF(('Dvd Calendar'!$W$2210&gt;=MIN(DATE(Summary!$C$12,1,1),Summary!$C$11))*('Dvd Calendar'!$W$2210&lt;=MAX(DATE(Summary!$C$12,12,31),Summary!$C$15))*('Dvd Calendar'!$W$2210&lt;=Summary!$C$11)=0,"",'Dvd Calendar'!$W$2210*1000000000+ISNUMBER('Dvd Calendar'!$W$2211)*100000000+('Dvd Calendar'!$W$2215='Field Check'!$C$25)*10000000+(N('Dvd Calendar'!$W$2209)&gt;0)*1000000+7*1000+19))</f>
        <v/>
      </c>
      <c r="V163" s="41">
        <f>IF(N('Dvd Calendar'!$X$2210)=0,"",IF(('Dvd Calendar'!$X$2210&gt;=MIN(DATE(Summary!$C$12,1,1),Summary!$C$11))*('Dvd Calendar'!$X$2210&lt;=MAX(DATE(Summary!$C$12,12,31),Summary!$C$15))*('Dvd Calendar'!$X$2210&lt;=Summary!$C$11)=0,"",'Dvd Calendar'!$X$2210*1000000000+ISNUMBER('Dvd Calendar'!$X$2211)*100000000+('Dvd Calendar'!$X$2215='Field Check'!$C$25)*10000000+(N('Dvd Calendar'!$X$2209)&gt;0)*1000000+7*1000+20))</f>
        <v/>
      </c>
      <c r="W163" s="41">
        <f>IF(N('Dvd Calendar'!$Y$2210)=0,"",IF(('Dvd Calendar'!$Y$2210&gt;=MIN(DATE(Summary!$C$12,1,1),Summary!$C$11))*('Dvd Calendar'!$Y$2210&lt;=MAX(DATE(Summary!$C$12,12,31),Summary!$C$15))*('Dvd Calendar'!$Y$2210&lt;=Summary!$C$11)=0,"",'Dvd Calendar'!$Y$2210*1000000000+ISNUMBER('Dvd Calendar'!$Y$2211)*100000000+('Dvd Calendar'!$Y$2215='Field Check'!$C$25)*10000000+(N('Dvd Calendar'!$Y$2209)&gt;0)*1000000+7*1000+21))</f>
        <v/>
      </c>
      <c r="X163" s="41">
        <f>IF(N('Dvd Calendar'!$Z$2210)=0,"",IF(('Dvd Calendar'!$Z$2210&gt;=MIN(DATE(Summary!$C$12,1,1),Summary!$C$11))*('Dvd Calendar'!$Z$2210&lt;=MAX(DATE(Summary!$C$12,12,31),Summary!$C$15))*('Dvd Calendar'!$Z$2210&lt;=Summary!$C$11)=0,"",'Dvd Calendar'!$Z$2210*1000000000+ISNUMBER('Dvd Calendar'!$Z$2211)*100000000+('Dvd Calendar'!$Z$2215='Field Check'!$C$25)*10000000+(N('Dvd Calendar'!$Z$2209)&gt;0)*1000000+7*1000+22))</f>
        <v/>
      </c>
      <c r="Y163" s="41">
        <f>IF(N('Dvd Calendar'!$AA$2210)=0,"",IF(('Dvd Calendar'!$AA$2210&gt;=MIN(DATE(Summary!$C$12,1,1),Summary!$C$11))*('Dvd Calendar'!$AA$2210&lt;=MAX(DATE(Summary!$C$12,12,31),Summary!$C$15))*('Dvd Calendar'!$AA$2210&lt;=Summary!$C$11)=0,"",'Dvd Calendar'!$AA$2210*1000000000+ISNUMBER('Dvd Calendar'!$AA$2211)*100000000+('Dvd Calendar'!$AA$2215='Field Check'!$C$25)*10000000+(N('Dvd Calendar'!$AA$2209)&gt;0)*1000000+7*1000+23))</f>
        <v/>
      </c>
      <c r="Z163" s="41">
        <f>IF(N('Dvd Calendar'!$AB$2210)=0,"",IF(('Dvd Calendar'!$AB$2210&gt;=MIN(DATE(Summary!$C$12,1,1),Summary!$C$11))*('Dvd Calendar'!$AB$2210&lt;=MAX(DATE(Summary!$C$12,12,31),Summary!$C$15))*('Dvd Calendar'!$AB$2210&lt;=Summary!$C$11)=0,"",'Dvd Calendar'!$AB$2210*1000000000+ISNUMBER('Dvd Calendar'!$AB$2211)*100000000+('Dvd Calendar'!$AB$2215='Field Check'!$C$25)*10000000+(N('Dvd Calendar'!$AB$2209)&gt;0)*1000000+7*1000+24))</f>
        <v/>
      </c>
      <c r="AA163" s="41">
        <f>IF(N('Dvd Calendar'!$AC$2210)=0,"",IF(('Dvd Calendar'!$AC$2210&gt;=MIN(DATE(Summary!$C$12,1,1),Summary!$C$11))*('Dvd Calendar'!$AC$2210&lt;=MAX(DATE(Summary!$C$12,12,31),Summary!$C$15))*('Dvd Calendar'!$AC$2210&lt;=Summary!$C$11)=0,"",'Dvd Calendar'!$AC$2210*1000000000+ISNUMBER('Dvd Calendar'!$AC$2211)*100000000+('Dvd Calendar'!$AC$2215='Field Check'!$C$25)*10000000+(N('Dvd Calendar'!$AC$2209)&gt;0)*1000000+7*1000+25))</f>
        <v/>
      </c>
      <c r="AB163" s="41">
        <f>IF(N('Dvd Calendar'!$AD$2210)=0,"",IF(('Dvd Calendar'!$AD$2210&gt;=MIN(DATE(Summary!$C$12,1,1),Summary!$C$11))*('Dvd Calendar'!$AD$2210&lt;=MAX(DATE(Summary!$C$12,12,31),Summary!$C$15))*('Dvd Calendar'!$AD$2210&lt;=Summary!$C$11)=0,"",'Dvd Calendar'!$AD$2210*1000000000+ISNUMBER('Dvd Calendar'!$AD$2211)*100000000+('Dvd Calendar'!$AD$2215='Field Check'!$C$25)*10000000+(N('Dvd Calendar'!$AD$2209)&gt;0)*1000000+7*1000+26))</f>
        <v/>
      </c>
      <c r="AC163" s="41">
        <f>IF(N('Dvd Calendar'!$AE$2210)=0,"",IF(('Dvd Calendar'!$AE$2210&gt;=MIN(DATE(Summary!$C$12,1,1),Summary!$C$11))*('Dvd Calendar'!$AE$2210&lt;=MAX(DATE(Summary!$C$12,12,31),Summary!$C$15))*('Dvd Calendar'!$AE$2210&lt;=Summary!$C$11)=0,"",'Dvd Calendar'!$AE$2210*1000000000+ISNUMBER('Dvd Calendar'!$AE$2211)*100000000+('Dvd Calendar'!$AE$2215='Field Check'!$C$25)*10000000+(N('Dvd Calendar'!$AE$2209)&gt;0)*1000000+7*1000+27))</f>
        <v/>
      </c>
      <c r="AD163" s="41">
        <f>IF(N('Dvd Calendar'!$AF$2210)=0,"",IF(('Dvd Calendar'!$AF$2210&gt;=MIN(DATE(Summary!$C$12,1,1),Summary!$C$11))*('Dvd Calendar'!$AF$2210&lt;=MAX(DATE(Summary!$C$12,12,31),Summary!$C$15))*('Dvd Calendar'!$AF$2210&lt;=Summary!$C$11)=0,"",'Dvd Calendar'!$AF$2210*1000000000+ISNUMBER('Dvd Calendar'!$AF$2211)*100000000+('Dvd Calendar'!$AF$2215='Field Check'!$C$25)*10000000+(N('Dvd Calendar'!$AF$2209)&gt;0)*1000000+7*1000+28))</f>
        <v/>
      </c>
      <c r="AE163" s="41">
        <f>IF(N('Dvd Calendar'!$AG$2210)=0,"",IF(('Dvd Calendar'!$AG$2210&gt;=MIN(DATE(Summary!$C$12,1,1),Summary!$C$11))*('Dvd Calendar'!$AG$2210&lt;=MAX(DATE(Summary!$C$12,12,31),Summary!$C$15))*('Dvd Calendar'!$AG$2210&lt;=Summary!$C$11)=0,"",'Dvd Calendar'!$AG$2210*1000000000+ISNUMBER('Dvd Calendar'!$AG$2211)*100000000+('Dvd Calendar'!$AG$2215='Field Check'!$C$25)*10000000+(N('Dvd Calendar'!$AG$2209)&gt;0)*1000000+7*1000+29))</f>
        <v/>
      </c>
      <c r="AF163" s="41">
        <f>IF(N('Dvd Calendar'!$AH$2210)=0,"",IF(('Dvd Calendar'!$AH$2210&gt;=MIN(DATE(Summary!$C$12,1,1),Summary!$C$11))*('Dvd Calendar'!$AH$2210&lt;=MAX(DATE(Summary!$C$12,12,31),Summary!$C$15))*('Dvd Calendar'!$AH$2210&lt;=Summary!$C$11)=0,"",'Dvd Calendar'!$AH$2210*1000000000+ISNUMBER('Dvd Calendar'!$AH$2211)*100000000+('Dvd Calendar'!$AH$2215='Field Check'!$C$25)*10000000+(N('Dvd Calendar'!$AH$2209)&gt;0)*1000000+7*1000+30))</f>
        <v/>
      </c>
      <c r="AG163" s="41">
        <f>IF(N('Dvd Calendar'!$AI$2210)=0,"",IF(('Dvd Calendar'!$AI$2210&gt;=MIN(DATE(Summary!$C$12,1,1),Summary!$C$11))*('Dvd Calendar'!$AI$2210&lt;=MAX(DATE(Summary!$C$12,12,31),Summary!$C$15))*('Dvd Calendar'!$AI$2210&lt;=Summary!$C$11)=0,"",'Dvd Calendar'!$AI$2210*1000000000+ISNUMBER('Dvd Calendar'!$AI$2211)*100000000+('Dvd Calendar'!$AI$2215='Field Check'!$C$25)*10000000+(N('Dvd Calendar'!$AI$2209)&gt;0)*1000000+7*1000+31))</f>
        <v/>
      </c>
      <c r="AH163" s="41">
        <f>IF(N('Dvd Calendar'!$AJ$2210)=0,"",IF(('Dvd Calendar'!$AJ$2210&gt;=MIN(DATE(Summary!$C$12,1,1),Summary!$C$11))*('Dvd Calendar'!$AJ$2210&lt;=MAX(DATE(Summary!$C$12,12,31),Summary!$C$15))*('Dvd Calendar'!$AJ$2210&lt;=Summary!$C$11)=0,"",'Dvd Calendar'!$AJ$2210*1000000000+ISNUMBER('Dvd Calendar'!$AJ$2211)*100000000+('Dvd Calendar'!$AJ$2215='Field Check'!$C$25)*10000000+(N('Dvd Calendar'!$AJ$2209)&gt;0)*1000000+7*1000+32))</f>
        <v/>
      </c>
      <c r="AI163" s="41">
        <f>IF(N('Dvd Calendar'!$AK$2210)=0,"",IF(('Dvd Calendar'!$AK$2210&gt;=MIN(DATE(Summary!$C$12,1,1),Summary!$C$11))*('Dvd Calendar'!$AK$2210&lt;=MAX(DATE(Summary!$C$12,12,31),Summary!$C$15))*('Dvd Calendar'!$AK$2210&lt;=Summary!$C$11)=0,"",'Dvd Calendar'!$AK$2210*1000000000+ISNUMBER('Dvd Calendar'!$AK$2211)*100000000+('Dvd Calendar'!$AK$2215='Field Check'!$C$25)*10000000+(N('Dvd Calendar'!$AK$2209)&gt;0)*1000000+7*1000+33))</f>
        <v/>
      </c>
      <c r="AJ163" s="41">
        <f>IF(N('Dvd Calendar'!$AL$2210)=0,"",IF(('Dvd Calendar'!$AL$2210&gt;=MIN(DATE(Summary!$C$12,1,1),Summary!$C$11))*('Dvd Calendar'!$AL$2210&lt;=MAX(DATE(Summary!$C$12,12,31),Summary!$C$15))*('Dvd Calendar'!$AL$2210&lt;=Summary!$C$11)=0,"",'Dvd Calendar'!$AL$2210*1000000000+ISNUMBER('Dvd Calendar'!$AL$2211)*100000000+('Dvd Calendar'!$AL$2215='Field Check'!$C$25)*10000000+(N('Dvd Calendar'!$AL$2209)&gt;0)*1000000+7*1000+34))</f>
        <v/>
      </c>
      <c r="AK163" s="41">
        <f>IF(N('Dvd Calendar'!$AM$2210)=0,"",IF(('Dvd Calendar'!$AM$2210&gt;=MIN(DATE(Summary!$C$12,1,1),Summary!$C$11))*('Dvd Calendar'!$AM$2210&lt;=MAX(DATE(Summary!$C$12,12,31),Summary!$C$15))*('Dvd Calendar'!$AM$2210&lt;=Summary!$C$11)=0,"",'Dvd Calendar'!$AM$2210*1000000000+ISNUMBER('Dvd Calendar'!$AM$2211)*100000000+('Dvd Calendar'!$AM$2215='Field Check'!$C$25)*10000000+(N('Dvd Calendar'!$AM$2209)&gt;0)*1000000+7*1000+35))</f>
        <v/>
      </c>
      <c r="AL163" s="41">
        <f>IF(N('Dvd Calendar'!$AN$2210)=0,"",IF(('Dvd Calendar'!$AN$2210&gt;=MIN(DATE(Summary!$C$12,1,1),Summary!$C$11))*('Dvd Calendar'!$AN$2210&lt;=MAX(DATE(Summary!$C$12,12,31),Summary!$C$15))*('Dvd Calendar'!$AN$2210&lt;=Summary!$C$11)=0,"",'Dvd Calendar'!$AN$2210*1000000000+ISNUMBER('Dvd Calendar'!$AN$2211)*100000000+('Dvd Calendar'!$AN$2215='Field Check'!$C$25)*10000000+(N('Dvd Calendar'!$AN$2209)&gt;0)*1000000+7*1000+36))</f>
        <v/>
      </c>
      <c r="AM163" s="41">
        <f>IF(N('Dvd Calendar'!$AO$2210)=0,"",IF(('Dvd Calendar'!$AO$2210&gt;=MIN(DATE(Summary!$C$12,1,1),Summary!$C$11))*('Dvd Calendar'!$AO$2210&lt;=MAX(DATE(Summary!$C$12,12,31),Summary!$C$15))*('Dvd Calendar'!$AO$2210&lt;=Summary!$C$11)=0,"",'Dvd Calendar'!$AO$2210*1000000000+ISNUMBER('Dvd Calendar'!$AO$2211)*100000000+('Dvd Calendar'!$AO$2215='Field Check'!$C$25)*10000000+(N('Dvd Calendar'!$AO$2209)&gt;0)*1000000+7*1000+37))</f>
        <v/>
      </c>
      <c r="AN163" s="41">
        <f>IF(N('Dvd Calendar'!$AP$2210)=0,"",IF(('Dvd Calendar'!$AP$2210&gt;=MIN(DATE(Summary!$C$12,1,1),Summary!$C$11))*('Dvd Calendar'!$AP$2210&lt;=MAX(DATE(Summary!$C$12,12,31),Summary!$C$15))*('Dvd Calendar'!$AP$2210&lt;=Summary!$C$11)=0,"",'Dvd Calendar'!$AP$2210*1000000000+ISNUMBER('Dvd Calendar'!$AP$2211)*100000000+('Dvd Calendar'!$AP$2215='Field Check'!$C$25)*10000000+(N('Dvd Calendar'!$AP$2209)&gt;0)*1000000+7*1000+38))</f>
        <v/>
      </c>
      <c r="AO163" s="41">
        <f>IF(N('Dvd Calendar'!$AQ$2210)=0,"",IF(('Dvd Calendar'!$AQ$2210&gt;=MIN(DATE(Summary!$C$12,1,1),Summary!$C$11))*('Dvd Calendar'!$AQ$2210&lt;=MAX(DATE(Summary!$C$12,12,31),Summary!$C$15))*('Dvd Calendar'!$AQ$2210&lt;=Summary!$C$11)=0,"",'Dvd Calendar'!$AQ$2210*1000000000+ISNUMBER('Dvd Calendar'!$AQ$2211)*100000000+('Dvd Calendar'!$AQ$2215='Field Check'!$C$25)*10000000+(N('Dvd Calendar'!$AQ$2209)&gt;0)*1000000+7*1000+39))</f>
        <v/>
      </c>
      <c r="AP163" s="41">
        <f>IF(N('Dvd Calendar'!$AR$2210)=0,"",IF(('Dvd Calendar'!$AR$2210&gt;=MIN(DATE(Summary!$C$12,1,1),Summary!$C$11))*('Dvd Calendar'!$AR$2210&lt;=MAX(DATE(Summary!$C$12,12,31),Summary!$C$15))*('Dvd Calendar'!$AR$2210&lt;=Summary!$C$11)=0,"",'Dvd Calendar'!$AR$2210*1000000000+ISNUMBER('Dvd Calendar'!$AR$2211)*100000000+('Dvd Calendar'!$AR$2215='Field Check'!$C$25)*10000000+(N('Dvd Calendar'!$AR$2209)&gt;0)*1000000+7*1000+40))</f>
        <v/>
      </c>
      <c r="AQ163" s="41">
        <f>IF(N('Dvd Calendar'!$E$2217)=0,"",IF(('Dvd Calendar'!$E$2217&gt;=MIN(DATE(Summary!$C$12,1,1),Summary!$C$11))*('Dvd Calendar'!$E$2217&lt;=MAX(DATE(Summary!$C$12,12,31),Summary!$C$15))*('Dvd Calendar'!$E$2217&gt;Summary!$C$11)=0,"",'Dvd Calendar'!$E$2217*1000000000+ISNUMBER('Dvd Calendar'!$E$2218)*100000000+('Dvd Calendar'!$E$2222='Field Check'!$C$25)*10000000+(N('Dvd Calendar'!$E$2216)&gt;0)*1000000+7*1000+41))</f>
        <v/>
      </c>
      <c r="AR163" s="41">
        <f>IF(N('Dvd Calendar'!$F$2217)=0,"",IF(('Dvd Calendar'!$F$2217&gt;=MIN(DATE(Summary!$C$12,1,1),Summary!$C$11))*('Dvd Calendar'!$F$2217&lt;=MAX(DATE(Summary!$C$12,12,31),Summary!$C$15))*('Dvd Calendar'!$F$2217&gt;Summary!$C$11)=0,"",'Dvd Calendar'!$F$2217*1000000000+ISNUMBER('Dvd Calendar'!$F$2218)*100000000+('Dvd Calendar'!$F$2222='Field Check'!$C$25)*10000000+(N('Dvd Calendar'!$F$2216)&gt;0)*1000000+7*1000+42))</f>
        <v/>
      </c>
      <c r="AS163" s="41">
        <f>IF(N('Dvd Calendar'!$G$2217)=0,"",IF(('Dvd Calendar'!$G$2217&gt;=MIN(DATE(Summary!$C$12,1,1),Summary!$C$11))*('Dvd Calendar'!$G$2217&lt;=MAX(DATE(Summary!$C$12,12,31),Summary!$C$15))*('Dvd Calendar'!$G$2217&gt;Summary!$C$11)=0,"",'Dvd Calendar'!$G$2217*1000000000+ISNUMBER('Dvd Calendar'!$G$2218)*100000000+('Dvd Calendar'!$G$2222='Field Check'!$C$25)*10000000+(N('Dvd Calendar'!$G$2216)&gt;0)*1000000+7*1000+43))</f>
        <v/>
      </c>
      <c r="AT163" s="41">
        <f>IF(N('Dvd Calendar'!$H$2217)=0,"",IF(('Dvd Calendar'!$H$2217&gt;=MIN(DATE(Summary!$C$12,1,1),Summary!$C$11))*('Dvd Calendar'!$H$2217&lt;=MAX(DATE(Summary!$C$12,12,31),Summary!$C$15))*('Dvd Calendar'!$H$2217&gt;Summary!$C$11)=0,"",'Dvd Calendar'!$H$2217*1000000000+ISNUMBER('Dvd Calendar'!$H$2218)*100000000+('Dvd Calendar'!$H$2222='Field Check'!$C$25)*10000000+(N('Dvd Calendar'!$H$2216)&gt;0)*1000000+7*1000+44))</f>
        <v/>
      </c>
      <c r="AU163" s="41">
        <f>IF(N('Dvd Calendar'!$I$2217)=0,"",IF(('Dvd Calendar'!$I$2217&gt;=MIN(DATE(Summary!$C$12,1,1),Summary!$C$11))*('Dvd Calendar'!$I$2217&lt;=MAX(DATE(Summary!$C$12,12,31),Summary!$C$15))*('Dvd Calendar'!$I$2217&gt;Summary!$C$11)=0,"",'Dvd Calendar'!$I$2217*1000000000+ISNUMBER('Dvd Calendar'!$I$2218)*100000000+('Dvd Calendar'!$I$2222='Field Check'!$C$25)*10000000+(N('Dvd Calendar'!$I$2216)&gt;0)*1000000+7*1000+45))</f>
        <v/>
      </c>
      <c r="AV163" s="41">
        <f>IF(N('Dvd Calendar'!$J$2217)=0,"",IF(('Dvd Calendar'!$J$2217&gt;=MIN(DATE(Summary!$C$12,1,1),Summary!$C$11))*('Dvd Calendar'!$J$2217&lt;=MAX(DATE(Summary!$C$12,12,31),Summary!$C$15))*('Dvd Calendar'!$J$2217&gt;Summary!$C$11)=0,"",'Dvd Calendar'!$J$2217*1000000000+ISNUMBER('Dvd Calendar'!$J$2218)*100000000+('Dvd Calendar'!$J$2222='Field Check'!$C$25)*10000000+(N('Dvd Calendar'!$J$2216)&gt;0)*1000000+7*1000+46))</f>
        <v/>
      </c>
      <c r="AW163" s="41">
        <f>IF(N('Dvd Calendar'!$K$2217)=0,"",IF(('Dvd Calendar'!$K$2217&gt;=MIN(DATE(Summary!$C$12,1,1),Summary!$C$11))*('Dvd Calendar'!$K$2217&lt;=MAX(DATE(Summary!$C$12,12,31),Summary!$C$15))*('Dvd Calendar'!$K$2217&gt;Summary!$C$11)=0,"",'Dvd Calendar'!$K$2217*1000000000+ISNUMBER('Dvd Calendar'!$K$2218)*100000000+('Dvd Calendar'!$K$2222='Field Check'!$C$25)*10000000+(N('Dvd Calendar'!$K$2216)&gt;0)*1000000+7*1000+47))</f>
        <v/>
      </c>
      <c r="AX163" s="41">
        <f>IF(N('Dvd Calendar'!$L$2217)=0,"",IF(('Dvd Calendar'!$L$2217&gt;=MIN(DATE(Summary!$C$12,1,1),Summary!$C$11))*('Dvd Calendar'!$L$2217&lt;=MAX(DATE(Summary!$C$12,12,31),Summary!$C$15))*('Dvd Calendar'!$L$2217&gt;Summary!$C$11)=0,"",'Dvd Calendar'!$L$2217*1000000000+ISNUMBER('Dvd Calendar'!$L$2218)*100000000+('Dvd Calendar'!$L$2222='Field Check'!$C$25)*10000000+(N('Dvd Calendar'!$L$2216)&gt;0)*1000000+7*1000+48))</f>
        <v/>
      </c>
      <c r="AY163" s="41">
        <f>IF(N('Dvd Calendar'!$M$2217)=0,"",IF(('Dvd Calendar'!$M$2217&gt;=MIN(DATE(Summary!$C$12,1,1),Summary!$C$11))*('Dvd Calendar'!$M$2217&lt;=MAX(DATE(Summary!$C$12,12,31),Summary!$C$15))*('Dvd Calendar'!$M$2217&gt;Summary!$C$11)=0,"",'Dvd Calendar'!$M$2217*1000000000+ISNUMBER('Dvd Calendar'!$M$2218)*100000000+('Dvd Calendar'!$M$2222='Field Check'!$C$25)*10000000+(N('Dvd Calendar'!$M$2216)&gt;0)*1000000+7*1000+49))</f>
        <v/>
      </c>
      <c r="AZ163" s="41">
        <f>IF(N('Dvd Calendar'!$N$2217)=0,"",IF(('Dvd Calendar'!$N$2217&gt;=MIN(DATE(Summary!$C$12,1,1),Summary!$C$11))*('Dvd Calendar'!$N$2217&lt;=MAX(DATE(Summary!$C$12,12,31),Summary!$C$15))*('Dvd Calendar'!$N$2217&gt;Summary!$C$11)=0,"",'Dvd Calendar'!$N$2217*1000000000+ISNUMBER('Dvd Calendar'!$N$2218)*100000000+('Dvd Calendar'!$N$2222='Field Check'!$C$25)*10000000+(N('Dvd Calendar'!$N$2216)&gt;0)*1000000+7*1000+50))</f>
        <v/>
      </c>
      <c r="BA163" s="41">
        <f>IF(N('Dvd Calendar'!$O$2217)=0,"",IF(('Dvd Calendar'!$O$2217&gt;=MIN(DATE(Summary!$C$12,1,1),Summary!$C$11))*('Dvd Calendar'!$O$2217&lt;=MAX(DATE(Summary!$C$12,12,31),Summary!$C$15))*('Dvd Calendar'!$O$2217&gt;Summary!$C$11)=0,"",'Dvd Calendar'!$O$2217*1000000000+ISNUMBER('Dvd Calendar'!$O$2218)*100000000+('Dvd Calendar'!$O$2222='Field Check'!$C$25)*10000000+(N('Dvd Calendar'!$O$2216)&gt;0)*1000000+7*1000+51))</f>
        <v/>
      </c>
      <c r="BB163" s="41">
        <f>IF(N('Dvd Calendar'!$P$2217)=0,"",IF(('Dvd Calendar'!$P$2217&gt;=MIN(DATE(Summary!$C$12,1,1),Summary!$C$11))*('Dvd Calendar'!$P$2217&lt;=MAX(DATE(Summary!$C$12,12,31),Summary!$C$15))*('Dvd Calendar'!$P$2217&gt;Summary!$C$11)=0,"",'Dvd Calendar'!$P$2217*1000000000+ISNUMBER('Dvd Calendar'!$P$2218)*100000000+('Dvd Calendar'!$P$2222='Field Check'!$C$25)*10000000+(N('Dvd Calendar'!$P$2216)&gt;0)*1000000+7*1000+52))</f>
        <v/>
      </c>
      <c r="BC163" s="41">
        <f>IF(N('Dvd Calendar'!$Q$2217)=0,"",IF(('Dvd Calendar'!$Q$2217&gt;=MIN(DATE(Summary!$C$12,1,1),Summary!$C$11))*('Dvd Calendar'!$Q$2217&lt;=MAX(DATE(Summary!$C$12,12,31),Summary!$C$15))*('Dvd Calendar'!$Q$2217&gt;Summary!$C$11)=0,"",'Dvd Calendar'!$Q$2217*1000000000+ISNUMBER('Dvd Calendar'!$Q$2218)*100000000+('Dvd Calendar'!$Q$2222='Field Check'!$C$25)*10000000+(N('Dvd Calendar'!$Q$2216)&gt;0)*1000000+7*1000+53))</f>
        <v/>
      </c>
      <c r="BD163" s="41">
        <f>IF(N('Dvd Calendar'!$R$2217)=0,"",IF(('Dvd Calendar'!$R$2217&gt;=MIN(DATE(Summary!$C$12,1,1),Summary!$C$11))*('Dvd Calendar'!$R$2217&lt;=MAX(DATE(Summary!$C$12,12,31),Summary!$C$15))*('Dvd Calendar'!$R$2217&gt;Summary!$C$11)=0,"",'Dvd Calendar'!$R$2217*1000000000+ISNUMBER('Dvd Calendar'!$R$2218)*100000000+('Dvd Calendar'!$R$2222='Field Check'!$C$25)*10000000+(N('Dvd Calendar'!$R$2216)&gt;0)*1000000+7*1000+54))</f>
        <v/>
      </c>
      <c r="BE163" s="41">
        <f>IF(N('Dvd Calendar'!$S$2217)=0,"",IF(('Dvd Calendar'!$S$2217&gt;=MIN(DATE(Summary!$C$12,1,1),Summary!$C$11))*('Dvd Calendar'!$S$2217&lt;=MAX(DATE(Summary!$C$12,12,31),Summary!$C$15))*('Dvd Calendar'!$S$2217&gt;Summary!$C$11)=0,"",'Dvd Calendar'!$S$2217*1000000000+ISNUMBER('Dvd Calendar'!$S$2218)*100000000+('Dvd Calendar'!$S$2222='Field Check'!$C$25)*10000000+(N('Dvd Calendar'!$S$2216)&gt;0)*1000000+7*1000+55))</f>
        <v/>
      </c>
      <c r="BF163" s="41">
        <f>IF(N('Dvd Calendar'!$T$2217)=0,"",IF(('Dvd Calendar'!$T$2217&gt;=MIN(DATE(Summary!$C$12,1,1),Summary!$C$11))*('Dvd Calendar'!$T$2217&lt;=MAX(DATE(Summary!$C$12,12,31),Summary!$C$15))*('Dvd Calendar'!$T$2217&gt;Summary!$C$11)=0,"",'Dvd Calendar'!$T$2217*1000000000+ISNUMBER('Dvd Calendar'!$T$2218)*100000000+('Dvd Calendar'!$T$2222='Field Check'!$C$25)*10000000+(N('Dvd Calendar'!$T$2216)&gt;0)*1000000+7*1000+56))</f>
        <v/>
      </c>
      <c r="BG163" s="41">
        <f>IF(N('Dvd Calendar'!$U$2217)=0,"",IF(('Dvd Calendar'!$U$2217&gt;=MIN(DATE(Summary!$C$12,1,1),Summary!$C$11))*('Dvd Calendar'!$U$2217&lt;=MAX(DATE(Summary!$C$12,12,31),Summary!$C$15))*('Dvd Calendar'!$U$2217&gt;Summary!$C$11)=0,"",'Dvd Calendar'!$U$2217*1000000000+ISNUMBER('Dvd Calendar'!$U$2218)*100000000+('Dvd Calendar'!$U$2222='Field Check'!$C$25)*10000000+(N('Dvd Calendar'!$U$2216)&gt;0)*1000000+7*1000+57))</f>
        <v/>
      </c>
      <c r="BH163" s="41">
        <f>IF(N('Dvd Calendar'!$V$2217)=0,"",IF(('Dvd Calendar'!$V$2217&gt;=MIN(DATE(Summary!$C$12,1,1),Summary!$C$11))*('Dvd Calendar'!$V$2217&lt;=MAX(DATE(Summary!$C$12,12,31),Summary!$C$15))*('Dvd Calendar'!$V$2217&gt;Summary!$C$11)=0,"",'Dvd Calendar'!$V$2217*1000000000+ISNUMBER('Dvd Calendar'!$V$2218)*100000000+('Dvd Calendar'!$V$2222='Field Check'!$C$25)*10000000+(N('Dvd Calendar'!$V$2216)&gt;0)*1000000+7*1000+58))</f>
        <v/>
      </c>
      <c r="BI163" s="41">
        <f>IF(N('Dvd Calendar'!$W$2217)=0,"",IF(('Dvd Calendar'!$W$2217&gt;=MIN(DATE(Summary!$C$12,1,1),Summary!$C$11))*('Dvd Calendar'!$W$2217&lt;=MAX(DATE(Summary!$C$12,12,31),Summary!$C$15))*('Dvd Calendar'!$W$2217&gt;Summary!$C$11)=0,"",'Dvd Calendar'!$W$2217*1000000000+ISNUMBER('Dvd Calendar'!$W$2218)*100000000+('Dvd Calendar'!$W$2222='Field Check'!$C$25)*10000000+(N('Dvd Calendar'!$W$2216)&gt;0)*1000000+7*1000+59))</f>
        <v/>
      </c>
      <c r="BJ163" s="41">
        <f>IF(N('Dvd Calendar'!$X$2217)=0,"",IF(('Dvd Calendar'!$X$2217&gt;=MIN(DATE(Summary!$C$12,1,1),Summary!$C$11))*('Dvd Calendar'!$X$2217&lt;=MAX(DATE(Summary!$C$12,12,31),Summary!$C$15))*('Dvd Calendar'!$X$2217&gt;Summary!$C$11)=0,"",'Dvd Calendar'!$X$2217*1000000000+ISNUMBER('Dvd Calendar'!$X$2218)*100000000+('Dvd Calendar'!$X$2222='Field Check'!$C$25)*10000000+(N('Dvd Calendar'!$X$2216)&gt;0)*1000000+7*1000+60))</f>
        <v/>
      </c>
      <c r="BK163" s="41">
        <f>IF(N('Dvd Calendar'!$Y$2217)=0,"",IF(('Dvd Calendar'!$Y$2217&gt;=MIN(DATE(Summary!$C$12,1,1),Summary!$C$11))*('Dvd Calendar'!$Y$2217&lt;=MAX(DATE(Summary!$C$12,12,31),Summary!$C$15))*('Dvd Calendar'!$Y$2217&gt;Summary!$C$11)=0,"",'Dvd Calendar'!$Y$2217*1000000000+ISNUMBER('Dvd Calendar'!$Y$2218)*100000000+('Dvd Calendar'!$Y$2222='Field Check'!$C$25)*10000000+(N('Dvd Calendar'!$Y$2216)&gt;0)*1000000+7*1000+61))</f>
        <v/>
      </c>
      <c r="BL163" s="41">
        <f>IF(N('Dvd Calendar'!$Z$2217)=0,"",IF(('Dvd Calendar'!$Z$2217&gt;=MIN(DATE(Summary!$C$12,1,1),Summary!$C$11))*('Dvd Calendar'!$Z$2217&lt;=MAX(DATE(Summary!$C$12,12,31),Summary!$C$15))*('Dvd Calendar'!$Z$2217&gt;Summary!$C$11)=0,"",'Dvd Calendar'!$Z$2217*1000000000+ISNUMBER('Dvd Calendar'!$Z$2218)*100000000+('Dvd Calendar'!$Z$2222='Field Check'!$C$25)*10000000+(N('Dvd Calendar'!$Z$2216)&gt;0)*1000000+7*1000+62))</f>
        <v/>
      </c>
      <c r="BM163" s="41">
        <f>IF(N('Dvd Calendar'!$AA$2217)=0,"",IF(('Dvd Calendar'!$AA$2217&gt;=MIN(DATE(Summary!$C$12,1,1),Summary!$C$11))*('Dvd Calendar'!$AA$2217&lt;=MAX(DATE(Summary!$C$12,12,31),Summary!$C$15))*('Dvd Calendar'!$AA$2217&gt;Summary!$C$11)=0,"",'Dvd Calendar'!$AA$2217*1000000000+ISNUMBER('Dvd Calendar'!$AA$2218)*100000000+('Dvd Calendar'!$AA$2222='Field Check'!$C$25)*10000000+(N('Dvd Calendar'!$AA$2216)&gt;0)*1000000+7*1000+63))</f>
        <v/>
      </c>
      <c r="BN163" s="41">
        <f>IF(N('Dvd Calendar'!$AB$2217)=0,"",IF(('Dvd Calendar'!$AB$2217&gt;=MIN(DATE(Summary!$C$12,1,1),Summary!$C$11))*('Dvd Calendar'!$AB$2217&lt;=MAX(DATE(Summary!$C$12,12,31),Summary!$C$15))*('Dvd Calendar'!$AB$2217&gt;Summary!$C$11)=0,"",'Dvd Calendar'!$AB$2217*1000000000+ISNUMBER('Dvd Calendar'!$AB$2218)*100000000+('Dvd Calendar'!$AB$2222='Field Check'!$C$25)*10000000+(N('Dvd Calendar'!$AB$2216)&gt;0)*1000000+7*1000+64))</f>
        <v/>
      </c>
      <c r="BO163" s="41">
        <f>IF(N('Dvd Calendar'!$AC$2217)=0,"",IF(('Dvd Calendar'!$AC$2217&gt;=MIN(DATE(Summary!$C$12,1,1),Summary!$C$11))*('Dvd Calendar'!$AC$2217&lt;=MAX(DATE(Summary!$C$12,12,31),Summary!$C$15))*('Dvd Calendar'!$AC$2217&gt;Summary!$C$11)=0,"",'Dvd Calendar'!$AC$2217*1000000000+ISNUMBER('Dvd Calendar'!$AC$2218)*100000000+('Dvd Calendar'!$AC$2222='Field Check'!$C$25)*10000000+(N('Dvd Calendar'!$AC$2216)&gt;0)*1000000+7*1000+65))</f>
        <v/>
      </c>
      <c r="BQ163" s="85">
        <f>IF(C163="","",IF(ISNUMBER('Dvd Calendar'!$E$2211)=FALSE,"",IF((Summary!$C$13="N")*('Dvd Calendar'!$E$2215='Field Check'!$C$25)&gt;0,"",'Dvd Calendar'!$E$2211)))</f>
        <v/>
      </c>
      <c r="BR163" s="85">
        <f>IF(D163="","",IF(ISNUMBER('Dvd Calendar'!$F$2211)=FALSE,"",IF((Summary!$C$13="N")*('Dvd Calendar'!$F$2215='Field Check'!$C$25)&gt;0,"",'Dvd Calendar'!$F$2211)))</f>
        <v/>
      </c>
      <c r="BS163" s="85">
        <f>IF(E163="","",IF(ISNUMBER('Dvd Calendar'!$G$2211)=FALSE,"",IF((Summary!$C$13="N")*('Dvd Calendar'!$G$2215='Field Check'!$C$25)&gt;0,"",'Dvd Calendar'!$G$2211)))</f>
        <v/>
      </c>
      <c r="BT163" s="85">
        <f>IF(F163="","",IF(ISNUMBER('Dvd Calendar'!$H$2211)=FALSE,"",IF((Summary!$C$13="N")*('Dvd Calendar'!$H$2215='Field Check'!$C$25)&gt;0,"",'Dvd Calendar'!$H$2211)))</f>
        <v/>
      </c>
      <c r="BU163" s="85">
        <f>IF(G163="","",IF(ISNUMBER('Dvd Calendar'!$I$2211)=FALSE,"",IF((Summary!$C$13="N")*('Dvd Calendar'!$I$2215='Field Check'!$C$25)&gt;0,"",'Dvd Calendar'!$I$2211)))</f>
        <v/>
      </c>
      <c r="BV163" s="85">
        <f>IF(H163="","",IF(ISNUMBER('Dvd Calendar'!$J$2211)=FALSE,"",IF((Summary!$C$13="N")*('Dvd Calendar'!$J$2215='Field Check'!$C$25)&gt;0,"",'Dvd Calendar'!$J$2211)))</f>
        <v/>
      </c>
      <c r="BW163" s="85">
        <f>IF(I163="","",IF(ISNUMBER('Dvd Calendar'!$K$2211)=FALSE,"",IF((Summary!$C$13="N")*('Dvd Calendar'!$K$2215='Field Check'!$C$25)&gt;0,"",'Dvd Calendar'!$K$2211)))</f>
        <v/>
      </c>
      <c r="BX163" s="85">
        <f>IF(J163="","",IF(ISNUMBER('Dvd Calendar'!$L$2211)=FALSE,"",IF((Summary!$C$13="N")*('Dvd Calendar'!$L$2215='Field Check'!$C$25)&gt;0,"",'Dvd Calendar'!$L$2211)))</f>
        <v/>
      </c>
      <c r="BY163" s="85">
        <f>IF(K163="","",IF(ISNUMBER('Dvd Calendar'!$M$2211)=FALSE,"",IF((Summary!$C$13="N")*('Dvd Calendar'!$M$2215='Field Check'!$C$25)&gt;0,"",'Dvd Calendar'!$M$2211)))</f>
        <v/>
      </c>
      <c r="BZ163" s="85">
        <f>IF(L163="","",IF(ISNUMBER('Dvd Calendar'!$N$2211)=FALSE,"",IF((Summary!$C$13="N")*('Dvd Calendar'!$N$2215='Field Check'!$C$25)&gt;0,"",'Dvd Calendar'!$N$2211)))</f>
        <v/>
      </c>
      <c r="CA163" s="85">
        <f>IF(M163="","",IF(ISNUMBER('Dvd Calendar'!$O$2211)=FALSE,"",IF((Summary!$C$13="N")*('Dvd Calendar'!$O$2215='Field Check'!$C$25)&gt;0,"",'Dvd Calendar'!$O$2211)))</f>
        <v/>
      </c>
      <c r="CB163" s="85">
        <f>IF(N163="","",IF(ISNUMBER('Dvd Calendar'!$P$2211)=FALSE,"",IF((Summary!$C$13="N")*('Dvd Calendar'!$P$2215='Field Check'!$C$25)&gt;0,"",'Dvd Calendar'!$P$2211)))</f>
        <v/>
      </c>
      <c r="CC163" s="85">
        <f>IF(O163="","",IF(ISNUMBER('Dvd Calendar'!$Q$2211)=FALSE,"",IF((Summary!$C$13="N")*('Dvd Calendar'!$Q$2215='Field Check'!$C$25)&gt;0,"",'Dvd Calendar'!$Q$2211)))</f>
        <v/>
      </c>
      <c r="CD163" s="85">
        <f>IF(P163="","",IF(ISNUMBER('Dvd Calendar'!$R$2211)=FALSE,"",IF((Summary!$C$13="N")*('Dvd Calendar'!$R$2215='Field Check'!$C$25)&gt;0,"",'Dvd Calendar'!$R$2211)))</f>
        <v/>
      </c>
      <c r="CE163" s="85">
        <f>IF(Q163="","",IF(ISNUMBER('Dvd Calendar'!$S$2211)=FALSE,"",IF((Summary!$C$13="N")*('Dvd Calendar'!$S$2215='Field Check'!$C$25)&gt;0,"",'Dvd Calendar'!$S$2211)))</f>
        <v/>
      </c>
      <c r="CF163" s="85">
        <f>IF(R163="","",IF(ISNUMBER('Dvd Calendar'!$T$2211)=FALSE,"",IF((Summary!$C$13="N")*('Dvd Calendar'!$T$2215='Field Check'!$C$25)&gt;0,"",'Dvd Calendar'!$T$2211)))</f>
        <v/>
      </c>
      <c r="CG163" s="85">
        <f>IF(S163="","",IF(ISNUMBER('Dvd Calendar'!$U$2211)=FALSE,"",IF((Summary!$C$13="N")*('Dvd Calendar'!$U$2215='Field Check'!$C$25)&gt;0,"",'Dvd Calendar'!$U$2211)))</f>
        <v/>
      </c>
      <c r="CH163" s="85">
        <f>IF(T163="","",IF(ISNUMBER('Dvd Calendar'!$V$2211)=FALSE,"",IF((Summary!$C$13="N")*('Dvd Calendar'!$V$2215='Field Check'!$C$25)&gt;0,"",'Dvd Calendar'!$V$2211)))</f>
        <v/>
      </c>
      <c r="CI163" s="85">
        <f>IF(U163="","",IF(ISNUMBER('Dvd Calendar'!$W$2211)=FALSE,"",IF((Summary!$C$13="N")*('Dvd Calendar'!$W$2215='Field Check'!$C$25)&gt;0,"",'Dvd Calendar'!$W$2211)))</f>
        <v/>
      </c>
      <c r="CJ163" s="85">
        <f>IF(V163="","",IF(ISNUMBER('Dvd Calendar'!$X$2211)=FALSE,"",IF((Summary!$C$13="N")*('Dvd Calendar'!$X$2215='Field Check'!$C$25)&gt;0,"",'Dvd Calendar'!$X$2211)))</f>
        <v/>
      </c>
      <c r="CK163" s="85">
        <f>IF(W163="","",IF(ISNUMBER('Dvd Calendar'!$Y$2211)=FALSE,"",IF((Summary!$C$13="N")*('Dvd Calendar'!$Y$2215='Field Check'!$C$25)&gt;0,"",'Dvd Calendar'!$Y$2211)))</f>
        <v/>
      </c>
      <c r="CL163" s="85">
        <f>IF(X163="","",IF(ISNUMBER('Dvd Calendar'!$Z$2211)=FALSE,"",IF((Summary!$C$13="N")*('Dvd Calendar'!$Z$2215='Field Check'!$C$25)&gt;0,"",'Dvd Calendar'!$Z$2211)))</f>
        <v/>
      </c>
      <c r="CM163" s="85">
        <f>IF(Y163="","",IF(ISNUMBER('Dvd Calendar'!$AA$2211)=FALSE,"",IF((Summary!$C$13="N")*('Dvd Calendar'!$AA$2215='Field Check'!$C$25)&gt;0,"",'Dvd Calendar'!$AA$2211)))</f>
        <v/>
      </c>
      <c r="CN163" s="85">
        <f>IF(Z163="","",IF(ISNUMBER('Dvd Calendar'!$AB$2211)=FALSE,"",IF((Summary!$C$13="N")*('Dvd Calendar'!$AB$2215='Field Check'!$C$25)&gt;0,"",'Dvd Calendar'!$AB$2211)))</f>
        <v/>
      </c>
      <c r="CO163" s="85">
        <f>IF(AA163="","",IF(ISNUMBER('Dvd Calendar'!$AC$2211)=FALSE,"",IF((Summary!$C$13="N")*('Dvd Calendar'!$AC$2215='Field Check'!$C$25)&gt;0,"",'Dvd Calendar'!$AC$2211)))</f>
        <v/>
      </c>
      <c r="CP163" s="85">
        <f>IF(AB163="","",IF(ISNUMBER('Dvd Calendar'!$AD$2211)=FALSE,"",IF((Summary!$C$13="N")*('Dvd Calendar'!$AD$2215='Field Check'!$C$25)&gt;0,"",'Dvd Calendar'!$AD$2211)))</f>
        <v/>
      </c>
      <c r="CQ163" s="85">
        <f>IF(AC163="","",IF(ISNUMBER('Dvd Calendar'!$AE$2211)=FALSE,"",IF((Summary!$C$13="N")*('Dvd Calendar'!$AE$2215='Field Check'!$C$25)&gt;0,"",'Dvd Calendar'!$AE$2211)))</f>
        <v/>
      </c>
      <c r="CR163" s="85">
        <f>IF(AD163="","",IF(ISNUMBER('Dvd Calendar'!$AF$2211)=FALSE,"",IF((Summary!$C$13="N")*('Dvd Calendar'!$AF$2215='Field Check'!$C$25)&gt;0,"",'Dvd Calendar'!$AF$2211)))</f>
        <v/>
      </c>
      <c r="CS163" s="85">
        <f>IF(AE163="","",IF(ISNUMBER('Dvd Calendar'!$AG$2211)=FALSE,"",IF((Summary!$C$13="N")*('Dvd Calendar'!$AG$2215='Field Check'!$C$25)&gt;0,"",'Dvd Calendar'!$AG$2211)))</f>
        <v/>
      </c>
      <c r="CT163" s="85">
        <f>IF(AF163="","",IF(ISNUMBER('Dvd Calendar'!$AH$2211)=FALSE,"",IF((Summary!$C$13="N")*('Dvd Calendar'!$AH$2215='Field Check'!$C$25)&gt;0,"",'Dvd Calendar'!$AH$2211)))</f>
        <v/>
      </c>
      <c r="CU163" s="85">
        <f>IF(AG163="","",IF(ISNUMBER('Dvd Calendar'!$AI$2211)=FALSE,"",IF((Summary!$C$13="N")*('Dvd Calendar'!$AI$2215='Field Check'!$C$25)&gt;0,"",'Dvd Calendar'!$AI$2211)))</f>
        <v/>
      </c>
      <c r="CV163" s="85">
        <f>IF(AH163="","",IF(ISNUMBER('Dvd Calendar'!$AJ$2211)=FALSE,"",IF((Summary!$C$13="N")*('Dvd Calendar'!$AJ$2215='Field Check'!$C$25)&gt;0,"",'Dvd Calendar'!$AJ$2211)))</f>
        <v/>
      </c>
      <c r="CW163" s="85">
        <f>IF(AI163="","",IF(ISNUMBER('Dvd Calendar'!$AK$2211)=FALSE,"",IF((Summary!$C$13="N")*('Dvd Calendar'!$AK$2215='Field Check'!$C$25)&gt;0,"",'Dvd Calendar'!$AK$2211)))</f>
        <v/>
      </c>
      <c r="CX163" s="85">
        <f>IF(AJ163="","",IF(ISNUMBER('Dvd Calendar'!$AL$2211)=FALSE,"",IF((Summary!$C$13="N")*('Dvd Calendar'!$AL$2215='Field Check'!$C$25)&gt;0,"",'Dvd Calendar'!$AL$2211)))</f>
        <v/>
      </c>
      <c r="CY163" s="85">
        <f>IF(AK163="","",IF(ISNUMBER('Dvd Calendar'!$AM$2211)=FALSE,"",IF((Summary!$C$13="N")*('Dvd Calendar'!$AM$2215='Field Check'!$C$25)&gt;0,"",'Dvd Calendar'!$AM$2211)))</f>
        <v/>
      </c>
      <c r="CZ163" s="85">
        <f>IF(AL163="","",IF(ISNUMBER('Dvd Calendar'!$AN$2211)=FALSE,"",IF((Summary!$C$13="N")*('Dvd Calendar'!$AN$2215='Field Check'!$C$25)&gt;0,"",'Dvd Calendar'!$AN$2211)))</f>
        <v/>
      </c>
      <c r="DA163" s="85">
        <f>IF(AM163="","",IF(ISNUMBER('Dvd Calendar'!$AO$2211)=FALSE,"",IF((Summary!$C$13="N")*('Dvd Calendar'!$AO$2215='Field Check'!$C$25)&gt;0,"",'Dvd Calendar'!$AO$2211)))</f>
        <v/>
      </c>
      <c r="DB163" s="85">
        <f>IF(AN163="","",IF(ISNUMBER('Dvd Calendar'!$AP$2211)=FALSE,"",IF((Summary!$C$13="N")*('Dvd Calendar'!$AP$2215='Field Check'!$C$25)&gt;0,"",'Dvd Calendar'!$AP$2211)))</f>
        <v/>
      </c>
      <c r="DC163" s="85">
        <f>IF(AO163="","",IF(ISNUMBER('Dvd Calendar'!$AQ$2211)=FALSE,"",IF((Summary!$C$13="N")*('Dvd Calendar'!$AQ$2215='Field Check'!$C$25)&gt;0,"",'Dvd Calendar'!$AQ$2211)))</f>
        <v/>
      </c>
      <c r="DD163" s="85">
        <f>IF(AP163="","",IF(ISNUMBER('Dvd Calendar'!$AR$2211)=FALSE,"",IF((Summary!$C$13="N")*('Dvd Calendar'!$AR$2215='Field Check'!$C$25)&gt;0,"",'Dvd Calendar'!$AR$2211)))</f>
        <v/>
      </c>
      <c r="DE163" s="85">
        <f>IF(AQ163="","",IF(ISNUMBER('Dvd Calendar'!$E$2218)=FALSE,"",IF((Summary!$C$13="N")*('Dvd Calendar'!$E$2222='Field Check'!$C$25)&gt;0,"",'Dvd Calendar'!$E$2218)))</f>
        <v/>
      </c>
      <c r="DF163" s="85">
        <f>IF(AR163="","",IF(ISNUMBER('Dvd Calendar'!$F$2218)=FALSE,"",IF((Summary!$C$13="N")*('Dvd Calendar'!$F$2222='Field Check'!$C$25)&gt;0,"",'Dvd Calendar'!$F$2218)))</f>
        <v/>
      </c>
      <c r="DG163" s="85">
        <f>IF(AS163="","",IF(ISNUMBER('Dvd Calendar'!$G$2218)=FALSE,"",IF((Summary!$C$13="N")*('Dvd Calendar'!$G$2222='Field Check'!$C$25)&gt;0,"",'Dvd Calendar'!$G$2218)))</f>
        <v/>
      </c>
      <c r="DH163" s="85">
        <f>IF(AT163="","",IF(ISNUMBER('Dvd Calendar'!$H$2218)=FALSE,"",IF((Summary!$C$13="N")*('Dvd Calendar'!$H$2222='Field Check'!$C$25)&gt;0,"",'Dvd Calendar'!$H$2218)))</f>
        <v/>
      </c>
      <c r="DI163" s="85">
        <f>IF(AU163="","",IF(ISNUMBER('Dvd Calendar'!$I$2218)=FALSE,"",IF((Summary!$C$13="N")*('Dvd Calendar'!$I$2222='Field Check'!$C$25)&gt;0,"",'Dvd Calendar'!$I$2218)))</f>
        <v/>
      </c>
      <c r="DJ163" s="85">
        <f>IF(AV163="","",IF(ISNUMBER('Dvd Calendar'!$J$2218)=FALSE,"",IF((Summary!$C$13="N")*('Dvd Calendar'!$J$2222='Field Check'!$C$25)&gt;0,"",'Dvd Calendar'!$J$2218)))</f>
        <v/>
      </c>
      <c r="DK163" s="85">
        <f>IF(AW163="","",IF(ISNUMBER('Dvd Calendar'!$K$2218)=FALSE,"",IF((Summary!$C$13="N")*('Dvd Calendar'!$K$2222='Field Check'!$C$25)&gt;0,"",'Dvd Calendar'!$K$2218)))</f>
        <v/>
      </c>
      <c r="DL163" s="85">
        <f>IF(AX163="","",IF(ISNUMBER('Dvd Calendar'!$L$2218)=FALSE,"",IF((Summary!$C$13="N")*('Dvd Calendar'!$L$2222='Field Check'!$C$25)&gt;0,"",'Dvd Calendar'!$L$2218)))</f>
        <v/>
      </c>
      <c r="DM163" s="85">
        <f>IF(AY163="","",IF(ISNUMBER('Dvd Calendar'!$M$2218)=FALSE,"",IF((Summary!$C$13="N")*('Dvd Calendar'!$M$2222='Field Check'!$C$25)&gt;0,"",'Dvd Calendar'!$M$2218)))</f>
        <v/>
      </c>
      <c r="DN163" s="85">
        <f>IF(AZ163="","",IF(ISNUMBER('Dvd Calendar'!$N$2218)=FALSE,"",IF((Summary!$C$13="N")*('Dvd Calendar'!$N$2222='Field Check'!$C$25)&gt;0,"",'Dvd Calendar'!$N$2218)))</f>
        <v/>
      </c>
      <c r="DO163" s="85">
        <f>IF(BA163="","",IF(ISNUMBER('Dvd Calendar'!$O$2218)=FALSE,"",IF((Summary!$C$13="N")*('Dvd Calendar'!$O$2222='Field Check'!$C$25)&gt;0,"",'Dvd Calendar'!$O$2218)))</f>
        <v/>
      </c>
      <c r="DP163" s="85">
        <f>IF(BB163="","",IF(ISNUMBER('Dvd Calendar'!$P$2218)=FALSE,"",IF((Summary!$C$13="N")*('Dvd Calendar'!$P$2222='Field Check'!$C$25)&gt;0,"",'Dvd Calendar'!$P$2218)))</f>
        <v/>
      </c>
      <c r="DQ163" s="85">
        <f>IF(BC163="","",IF(ISNUMBER('Dvd Calendar'!$Q$2218)=FALSE,"",IF((Summary!$C$13="N")*('Dvd Calendar'!$Q$2222='Field Check'!$C$25)&gt;0,"",'Dvd Calendar'!$Q$2218)))</f>
        <v/>
      </c>
      <c r="DR163" s="85">
        <f>IF(BD163="","",IF(ISNUMBER('Dvd Calendar'!$R$2218)=FALSE,"",IF((Summary!$C$13="N")*('Dvd Calendar'!$R$2222='Field Check'!$C$25)&gt;0,"",'Dvd Calendar'!$R$2218)))</f>
        <v/>
      </c>
      <c r="DS163" s="85">
        <f>IF(BE163="","",IF(ISNUMBER('Dvd Calendar'!$S$2218)=FALSE,"",IF((Summary!$C$13="N")*('Dvd Calendar'!$S$2222='Field Check'!$C$25)&gt;0,"",'Dvd Calendar'!$S$2218)))</f>
        <v/>
      </c>
      <c r="DT163" s="85">
        <f>IF(BF163="","",IF(ISNUMBER('Dvd Calendar'!$T$2218)=FALSE,"",IF((Summary!$C$13="N")*('Dvd Calendar'!$T$2222='Field Check'!$C$25)&gt;0,"",'Dvd Calendar'!$T$2218)))</f>
        <v/>
      </c>
      <c r="DU163" s="85">
        <f>IF(BG163="","",IF(ISNUMBER('Dvd Calendar'!$U$2218)=FALSE,"",IF((Summary!$C$13="N")*('Dvd Calendar'!$U$2222='Field Check'!$C$25)&gt;0,"",'Dvd Calendar'!$U$2218)))</f>
        <v/>
      </c>
      <c r="DV163" s="85">
        <f>IF(BH163="","",IF(ISNUMBER('Dvd Calendar'!$V$2218)=FALSE,"",IF((Summary!$C$13="N")*('Dvd Calendar'!$V$2222='Field Check'!$C$25)&gt;0,"",'Dvd Calendar'!$V$2218)))</f>
        <v/>
      </c>
      <c r="DW163" s="85">
        <f>IF(BI163="","",IF(ISNUMBER('Dvd Calendar'!$W$2218)=FALSE,"",IF((Summary!$C$13="N")*('Dvd Calendar'!$W$2222='Field Check'!$C$25)&gt;0,"",'Dvd Calendar'!$W$2218)))</f>
        <v/>
      </c>
      <c r="DX163" s="85">
        <f>IF(BJ163="","",IF(ISNUMBER('Dvd Calendar'!$X$2218)=FALSE,"",IF((Summary!$C$13="N")*('Dvd Calendar'!$X$2222='Field Check'!$C$25)&gt;0,"",'Dvd Calendar'!$X$2218)))</f>
        <v/>
      </c>
      <c r="DY163" s="85">
        <f>IF(BK163="","",IF(ISNUMBER('Dvd Calendar'!$Y$2218)=FALSE,"",IF((Summary!$C$13="N")*('Dvd Calendar'!$Y$2222='Field Check'!$C$25)&gt;0,"",'Dvd Calendar'!$Y$2218)))</f>
        <v/>
      </c>
      <c r="DZ163" s="85">
        <f>IF(BL163="","",IF(ISNUMBER('Dvd Calendar'!$Z$2218)=FALSE,"",IF((Summary!$C$13="N")*('Dvd Calendar'!$Z$2222='Field Check'!$C$25)&gt;0,"",'Dvd Calendar'!$Z$2218)))</f>
        <v/>
      </c>
      <c r="EA163" s="85">
        <f>IF(BM163="","",IF(ISNUMBER('Dvd Calendar'!$AA$2218)=FALSE,"",IF((Summary!$C$13="N")*('Dvd Calendar'!$AA$2222='Field Check'!$C$25)&gt;0,"",'Dvd Calendar'!$AA$2218)))</f>
        <v/>
      </c>
      <c r="EB163" s="85">
        <f>IF(BN163="","",IF(ISNUMBER('Dvd Calendar'!$AB$2218)=FALSE,"",IF((Summary!$C$13="N")*('Dvd Calendar'!$AB$2222='Field Check'!$C$25)&gt;0,"",'Dvd Calendar'!$AB$2218)))</f>
        <v/>
      </c>
      <c r="EC163" s="85">
        <f>IF(BO163="","",IF(ISNUMBER('Dvd Calendar'!$AC$2218)=FALSE,"",IF((Summary!$C$13="N")*('Dvd Calendar'!$AC$2222='Field Check'!$C$25)&gt;0,"",'Dvd Calendar'!$AC$2218)))</f>
        <v/>
      </c>
      <c r="EE163" s="85">
        <f>IF(BQ163="","",IFERROR(BQ163*HSCEI!$B$13*HSCEI!$G$13/HSCEI!$B$3,""))</f>
        <v/>
      </c>
      <c r="EF163" s="85">
        <f>IF(BR163="","",IFERROR(BR163*HSCEI!$B$13*HSCEI!$G$13/HSCEI!$B$3,""))</f>
        <v/>
      </c>
      <c r="EG163" s="85">
        <f>IF(BS163="","",IFERROR(BS163*HSCEI!$B$13*HSCEI!$G$13/HSCEI!$B$3,""))</f>
        <v/>
      </c>
      <c r="EH163" s="85">
        <f>IF(BT163="","",IFERROR(BT163*HSCEI!$B$13*HSCEI!$G$13/HSCEI!$B$3,""))</f>
        <v/>
      </c>
      <c r="EI163" s="85">
        <f>IF(BU163="","",IFERROR(BU163*HSCEI!$B$13*HSCEI!$G$13/HSCEI!$B$3,""))</f>
        <v/>
      </c>
      <c r="EJ163" s="85">
        <f>IF(BV163="","",IFERROR(BV163*HSCEI!$B$13*HSCEI!$G$13/HSCEI!$B$3,""))</f>
        <v/>
      </c>
      <c r="EK163" s="85">
        <f>IF(BW163="","",IFERROR(BW163*HSCEI!$B$13*HSCEI!$G$13/HSCEI!$B$3,""))</f>
        <v/>
      </c>
      <c r="EL163" s="85">
        <f>IF(BX163="","",IFERROR(BX163*HSCEI!$B$13*HSCEI!$G$13/HSCEI!$B$3,""))</f>
        <v/>
      </c>
      <c r="EM163" s="85">
        <f>IF(BY163="","",IFERROR(BY163*HSCEI!$B$13*HSCEI!$G$13/HSCEI!$B$3,""))</f>
        <v/>
      </c>
      <c r="EN163" s="85">
        <f>IF(BZ163="","",IFERROR(BZ163*HSCEI!$B$13*HSCEI!$G$13/HSCEI!$B$3,""))</f>
        <v/>
      </c>
      <c r="EO163" s="85">
        <f>IF(CA163="","",IFERROR(CA163*HSCEI!$B$13*HSCEI!$G$13/HSCEI!$B$3,""))</f>
        <v/>
      </c>
      <c r="EP163" s="85">
        <f>IF(CB163="","",IFERROR(CB163*HSCEI!$B$13*HSCEI!$G$13/HSCEI!$B$3,""))</f>
        <v/>
      </c>
      <c r="EQ163" s="85">
        <f>IF(CC163="","",IFERROR(CC163*HSCEI!$B$13*HSCEI!$G$13/HSCEI!$B$3,""))</f>
        <v/>
      </c>
      <c r="ER163" s="85">
        <f>IF(CD163="","",IFERROR(CD163*HSCEI!$B$13*HSCEI!$G$13/HSCEI!$B$3,""))</f>
        <v/>
      </c>
      <c r="ES163" s="85">
        <f>IF(CE163="","",IFERROR(CE163*HSCEI!$B$13*HSCEI!$G$13/HSCEI!$B$3,""))</f>
        <v/>
      </c>
      <c r="ET163" s="85">
        <f>IF(CF163="","",IFERROR(CF163*HSCEI!$B$13*HSCEI!$G$13/HSCEI!$B$3,""))</f>
        <v/>
      </c>
      <c r="EU163" s="85">
        <f>IF(CG163="","",IFERROR(CG163*HSCEI!$B$13*HSCEI!$G$13/HSCEI!$B$3,""))</f>
        <v/>
      </c>
      <c r="EV163" s="85">
        <f>IF(CH163="","",IFERROR(CH163*HSCEI!$B$13*HSCEI!$G$13/HSCEI!$B$3,""))</f>
        <v/>
      </c>
      <c r="EW163" s="85">
        <f>IF(CI163="","",IFERROR(CI163*HSCEI!$B$13*HSCEI!$G$13/HSCEI!$B$3,""))</f>
        <v/>
      </c>
      <c r="EX163" s="85">
        <f>IF(CJ163="","",IFERROR(CJ163*HSCEI!$B$13*HSCEI!$G$13/HSCEI!$B$3,""))</f>
        <v/>
      </c>
      <c r="EY163" s="85">
        <f>IF(CK163="","",IFERROR(CK163*HSCEI!$B$13*HSCEI!$G$13/HSCEI!$B$3,""))</f>
        <v/>
      </c>
      <c r="EZ163" s="85">
        <f>IF(CL163="","",IFERROR(CL163*HSCEI!$B$13*HSCEI!$G$13/HSCEI!$B$3,""))</f>
        <v/>
      </c>
      <c r="FA163" s="85">
        <f>IF(CM163="","",IFERROR(CM163*HSCEI!$B$13*HSCEI!$G$13/HSCEI!$B$3,""))</f>
        <v/>
      </c>
      <c r="FB163" s="85">
        <f>IF(CN163="","",IFERROR(CN163*HSCEI!$B$13*HSCEI!$G$13/HSCEI!$B$3,""))</f>
        <v/>
      </c>
      <c r="FC163" s="85">
        <f>IF(CO163="","",IFERROR(CO163*HSCEI!$B$13*HSCEI!$G$13/HSCEI!$B$3,""))</f>
        <v/>
      </c>
      <c r="FD163" s="85">
        <f>IF(CP163="","",IFERROR(CP163*HSCEI!$B$13*HSCEI!$G$13/HSCEI!$B$3,""))</f>
        <v/>
      </c>
      <c r="FE163" s="85">
        <f>IF(CQ163="","",IFERROR(CQ163*HSCEI!$B$13*HSCEI!$G$13/HSCEI!$B$3,""))</f>
        <v/>
      </c>
      <c r="FF163" s="85">
        <f>IF(CR163="","",IFERROR(CR163*HSCEI!$B$13*HSCEI!$G$13/HSCEI!$B$3,""))</f>
        <v/>
      </c>
      <c r="FG163" s="85">
        <f>IF(CS163="","",IFERROR(CS163*HSCEI!$B$13*HSCEI!$G$13/HSCEI!$B$3,""))</f>
        <v/>
      </c>
      <c r="FH163" s="85">
        <f>IF(CT163="","",IFERROR(CT163*HSCEI!$B$13*HSCEI!$G$13/HSCEI!$B$3,""))</f>
        <v/>
      </c>
      <c r="FI163" s="85">
        <f>IF(CU163="","",IFERROR(CU163*HSCEI!$B$13*HSCEI!$G$13/HSCEI!$B$3,""))</f>
        <v/>
      </c>
      <c r="FJ163" s="85">
        <f>IF(CV163="","",IFERROR(CV163*HSCEI!$B$13*HSCEI!$G$13/HSCEI!$B$3,""))</f>
        <v/>
      </c>
      <c r="FK163" s="85">
        <f>IF(CW163="","",IFERROR(CW163*HSCEI!$B$13*HSCEI!$G$13/HSCEI!$B$3,""))</f>
        <v/>
      </c>
      <c r="FL163" s="85">
        <f>IF(CX163="","",IFERROR(CX163*HSCEI!$B$13*HSCEI!$G$13/HSCEI!$B$3,""))</f>
        <v/>
      </c>
      <c r="FM163" s="85">
        <f>IF(CY163="","",IFERROR(CY163*HSCEI!$B$13*HSCEI!$G$13/HSCEI!$B$3,""))</f>
        <v/>
      </c>
      <c r="FN163" s="85">
        <f>IF(CZ163="","",IFERROR(CZ163*HSCEI!$B$13*HSCEI!$G$13/HSCEI!$B$3,""))</f>
        <v/>
      </c>
      <c r="FO163" s="85">
        <f>IF(DA163="","",IFERROR(DA163*HSCEI!$B$13*HSCEI!$G$13/HSCEI!$B$3,""))</f>
        <v/>
      </c>
      <c r="FP163" s="85">
        <f>IF(DB163="","",IFERROR(DB163*HSCEI!$B$13*HSCEI!$G$13/HSCEI!$B$3,""))</f>
        <v/>
      </c>
      <c r="FQ163" s="85">
        <f>IF(DC163="","",IFERROR(DC163*HSCEI!$B$13*HSCEI!$G$13/HSCEI!$B$3,""))</f>
        <v/>
      </c>
      <c r="FR163" s="85">
        <f>IF(DD163="","",IFERROR(DD163*HSCEI!$B$13*HSCEI!$G$13/HSCEI!$B$3,""))</f>
        <v/>
      </c>
      <c r="FS163" s="85">
        <f>IF(DE163="","",IFERROR(DE163*HSCEI!$B$13*HSCEI!$G$13/HSCEI!$B$3,""))</f>
        <v/>
      </c>
      <c r="FT163" s="85">
        <f>IF(DF163="","",IFERROR(DF163*HSCEI!$B$13*HSCEI!$G$13/HSCEI!$B$3,""))</f>
        <v/>
      </c>
      <c r="FU163" s="85">
        <f>IF(DG163="","",IFERROR(DG163*HSCEI!$B$13*HSCEI!$G$13/HSCEI!$B$3,""))</f>
        <v/>
      </c>
      <c r="FV163" s="85">
        <f>IF(DH163="","",IFERROR(DH163*HSCEI!$B$13*HSCEI!$G$13/HSCEI!$B$3,""))</f>
        <v/>
      </c>
      <c r="FW163" s="85">
        <f>IF(DI163="","",IFERROR(DI163*HSCEI!$B$13*HSCEI!$G$13/HSCEI!$B$3,""))</f>
        <v/>
      </c>
      <c r="FX163" s="85">
        <f>IF(DJ163="","",IFERROR(DJ163*HSCEI!$B$13*HSCEI!$G$13/HSCEI!$B$3,""))</f>
        <v/>
      </c>
      <c r="FY163" s="85">
        <f>IF(DK163="","",IFERROR(DK163*HSCEI!$B$13*HSCEI!$G$13/HSCEI!$B$3,""))</f>
        <v/>
      </c>
      <c r="FZ163" s="85">
        <f>IF(DL163="","",IFERROR(DL163*HSCEI!$B$13*HSCEI!$G$13/HSCEI!$B$3,""))</f>
        <v/>
      </c>
      <c r="GA163" s="85">
        <f>IF(DM163="","",IFERROR(DM163*HSCEI!$B$13*HSCEI!$G$13/HSCEI!$B$3,""))</f>
        <v/>
      </c>
      <c r="GB163" s="85">
        <f>IF(DN163="","",IFERROR(DN163*HSCEI!$B$13*HSCEI!$G$13/HSCEI!$B$3,""))</f>
        <v/>
      </c>
      <c r="GC163" s="85">
        <f>IF(DO163="","",IFERROR(DO163*HSCEI!$B$13*HSCEI!$G$13/HSCEI!$B$3,""))</f>
        <v/>
      </c>
      <c r="GD163" s="85">
        <f>IF(DP163="","",IFERROR(DP163*HSCEI!$B$13*HSCEI!$G$13/HSCEI!$B$3,""))</f>
        <v/>
      </c>
      <c r="GE163" s="85">
        <f>IF(DQ163="","",IFERROR(DQ163*HSCEI!$B$13*HSCEI!$G$13/HSCEI!$B$3,""))</f>
        <v/>
      </c>
      <c r="GF163" s="85">
        <f>IF(DR163="","",IFERROR(DR163*HSCEI!$B$13*HSCEI!$G$13/HSCEI!$B$3,""))</f>
        <v/>
      </c>
      <c r="GG163" s="85">
        <f>IF(DS163="","",IFERROR(DS163*HSCEI!$B$13*HSCEI!$G$13/HSCEI!$B$3,""))</f>
        <v/>
      </c>
      <c r="GH163" s="85">
        <f>IF(DT163="","",IFERROR(DT163*HSCEI!$B$13*HSCEI!$G$13/HSCEI!$B$3,""))</f>
        <v/>
      </c>
      <c r="GI163" s="85">
        <f>IF(DU163="","",IFERROR(DU163*HSCEI!$B$13*HSCEI!$G$13/HSCEI!$B$3,""))</f>
        <v/>
      </c>
      <c r="GJ163" s="85">
        <f>IF(DV163="","",IFERROR(DV163*HSCEI!$B$13*HSCEI!$G$13/HSCEI!$B$3,""))</f>
        <v/>
      </c>
      <c r="GK163" s="85">
        <f>IF(DW163="","",IFERROR(DW163*HSCEI!$B$13*HSCEI!$G$13/HSCEI!$B$3,""))</f>
        <v/>
      </c>
      <c r="GL163" s="85">
        <f>IF(DX163="","",IFERROR(DX163*HSCEI!$B$13*HSCEI!$G$13/HSCEI!$B$3,""))</f>
        <v/>
      </c>
      <c r="GM163" s="85">
        <f>IF(DY163="","",IFERROR(DY163*HSCEI!$B$13*HSCEI!$G$13/HSCEI!$B$3,""))</f>
        <v/>
      </c>
      <c r="GN163" s="85">
        <f>IF(DZ163="","",IFERROR(DZ163*HSCEI!$B$13*HSCEI!$G$13/HSCEI!$B$3,""))</f>
        <v/>
      </c>
      <c r="GO163" s="85">
        <f>IF(EA163="","",IFERROR(EA163*HSCEI!$B$13*HSCEI!$G$13/HSCEI!$B$3,""))</f>
        <v/>
      </c>
      <c r="GP163" s="85">
        <f>IF(EB163="","",IFERROR(EB163*HSCEI!$B$13*HSCEI!$G$13/HSCEI!$B$3,""))</f>
        <v/>
      </c>
      <c r="GQ163" s="85">
        <f>IF(EC163="","",IFERROR(EC163*HSCEI!$B$13*HSCEI!$G$13/HSCEI!$B$3,""))</f>
        <v/>
      </c>
    </row>
    <row r="164">
      <c r="B164" s="2">
        <f>IF(HSCEI!$C$14="","",HSCEI!$C$14)</f>
        <v/>
      </c>
      <c r="C164" s="41">
        <f>IF(N('Dvd Calendar'!$E$2225)=0,"",IF(('Dvd Calendar'!$E$2225&gt;=MIN(DATE(Summary!$C$12,1,1),Summary!$C$11))*('Dvd Calendar'!$E$2225&lt;=MAX(DATE(Summary!$C$12,12,31),Summary!$C$15))*('Dvd Calendar'!$E$2225&lt;=Summary!$C$11)=0,"",'Dvd Calendar'!$E$2225*1000000000+ISNUMBER('Dvd Calendar'!$E$2226)*100000000+('Dvd Calendar'!$E$2230='Field Check'!$C$25)*10000000+(N('Dvd Calendar'!$E$2224)&gt;0)*1000000+8*1000+1))</f>
        <v/>
      </c>
      <c r="D164" s="41">
        <f>IF(N('Dvd Calendar'!$F$2225)=0,"",IF(('Dvd Calendar'!$F$2225&gt;=MIN(DATE(Summary!$C$12,1,1),Summary!$C$11))*('Dvd Calendar'!$F$2225&lt;=MAX(DATE(Summary!$C$12,12,31),Summary!$C$15))*('Dvd Calendar'!$F$2225&lt;=Summary!$C$11)=0,"",'Dvd Calendar'!$F$2225*1000000000+ISNUMBER('Dvd Calendar'!$F$2226)*100000000+('Dvd Calendar'!$F$2230='Field Check'!$C$25)*10000000+(N('Dvd Calendar'!$F$2224)&gt;0)*1000000+8*1000+2))</f>
        <v/>
      </c>
      <c r="E164" s="41">
        <f>IF(N('Dvd Calendar'!$G$2225)=0,"",IF(('Dvd Calendar'!$G$2225&gt;=MIN(DATE(Summary!$C$12,1,1),Summary!$C$11))*('Dvd Calendar'!$G$2225&lt;=MAX(DATE(Summary!$C$12,12,31),Summary!$C$15))*('Dvd Calendar'!$G$2225&lt;=Summary!$C$11)=0,"",'Dvd Calendar'!$G$2225*1000000000+ISNUMBER('Dvd Calendar'!$G$2226)*100000000+('Dvd Calendar'!$G$2230='Field Check'!$C$25)*10000000+(N('Dvd Calendar'!$G$2224)&gt;0)*1000000+8*1000+3))</f>
        <v/>
      </c>
      <c r="F164" s="41">
        <f>IF(N('Dvd Calendar'!$H$2225)=0,"",IF(('Dvd Calendar'!$H$2225&gt;=MIN(DATE(Summary!$C$12,1,1),Summary!$C$11))*('Dvd Calendar'!$H$2225&lt;=MAX(DATE(Summary!$C$12,12,31),Summary!$C$15))*('Dvd Calendar'!$H$2225&lt;=Summary!$C$11)=0,"",'Dvd Calendar'!$H$2225*1000000000+ISNUMBER('Dvd Calendar'!$H$2226)*100000000+('Dvd Calendar'!$H$2230='Field Check'!$C$25)*10000000+(N('Dvd Calendar'!$H$2224)&gt;0)*1000000+8*1000+4))</f>
        <v/>
      </c>
      <c r="G164" s="41">
        <f>IF(N('Dvd Calendar'!$I$2225)=0,"",IF(('Dvd Calendar'!$I$2225&gt;=MIN(DATE(Summary!$C$12,1,1),Summary!$C$11))*('Dvd Calendar'!$I$2225&lt;=MAX(DATE(Summary!$C$12,12,31),Summary!$C$15))*('Dvd Calendar'!$I$2225&lt;=Summary!$C$11)=0,"",'Dvd Calendar'!$I$2225*1000000000+ISNUMBER('Dvd Calendar'!$I$2226)*100000000+('Dvd Calendar'!$I$2230='Field Check'!$C$25)*10000000+(N('Dvd Calendar'!$I$2224)&gt;0)*1000000+8*1000+5))</f>
        <v/>
      </c>
      <c r="H164" s="41">
        <f>IF(N('Dvd Calendar'!$J$2225)=0,"",IF(('Dvd Calendar'!$J$2225&gt;=MIN(DATE(Summary!$C$12,1,1),Summary!$C$11))*('Dvd Calendar'!$J$2225&lt;=MAX(DATE(Summary!$C$12,12,31),Summary!$C$15))*('Dvd Calendar'!$J$2225&lt;=Summary!$C$11)=0,"",'Dvd Calendar'!$J$2225*1000000000+ISNUMBER('Dvd Calendar'!$J$2226)*100000000+('Dvd Calendar'!$J$2230='Field Check'!$C$25)*10000000+(N('Dvd Calendar'!$J$2224)&gt;0)*1000000+8*1000+6))</f>
        <v/>
      </c>
      <c r="I164" s="41">
        <f>IF(N('Dvd Calendar'!$K$2225)=0,"",IF(('Dvd Calendar'!$K$2225&gt;=MIN(DATE(Summary!$C$12,1,1),Summary!$C$11))*('Dvd Calendar'!$K$2225&lt;=MAX(DATE(Summary!$C$12,12,31),Summary!$C$15))*('Dvd Calendar'!$K$2225&lt;=Summary!$C$11)=0,"",'Dvd Calendar'!$K$2225*1000000000+ISNUMBER('Dvd Calendar'!$K$2226)*100000000+('Dvd Calendar'!$K$2230='Field Check'!$C$25)*10000000+(N('Dvd Calendar'!$K$2224)&gt;0)*1000000+8*1000+7))</f>
        <v/>
      </c>
      <c r="J164" s="41">
        <f>IF(N('Dvd Calendar'!$L$2225)=0,"",IF(('Dvd Calendar'!$L$2225&gt;=MIN(DATE(Summary!$C$12,1,1),Summary!$C$11))*('Dvd Calendar'!$L$2225&lt;=MAX(DATE(Summary!$C$12,12,31),Summary!$C$15))*('Dvd Calendar'!$L$2225&lt;=Summary!$C$11)=0,"",'Dvd Calendar'!$L$2225*1000000000+ISNUMBER('Dvd Calendar'!$L$2226)*100000000+('Dvd Calendar'!$L$2230='Field Check'!$C$25)*10000000+(N('Dvd Calendar'!$L$2224)&gt;0)*1000000+8*1000+8))</f>
        <v/>
      </c>
      <c r="K164" s="41">
        <f>IF(N('Dvd Calendar'!$M$2225)=0,"",IF(('Dvd Calendar'!$M$2225&gt;=MIN(DATE(Summary!$C$12,1,1),Summary!$C$11))*('Dvd Calendar'!$M$2225&lt;=MAX(DATE(Summary!$C$12,12,31),Summary!$C$15))*('Dvd Calendar'!$M$2225&lt;=Summary!$C$11)=0,"",'Dvd Calendar'!$M$2225*1000000000+ISNUMBER('Dvd Calendar'!$M$2226)*100000000+('Dvd Calendar'!$M$2230='Field Check'!$C$25)*10000000+(N('Dvd Calendar'!$M$2224)&gt;0)*1000000+8*1000+9))</f>
        <v/>
      </c>
      <c r="L164" s="41">
        <f>IF(N('Dvd Calendar'!$N$2225)=0,"",IF(('Dvd Calendar'!$N$2225&gt;=MIN(DATE(Summary!$C$12,1,1),Summary!$C$11))*('Dvd Calendar'!$N$2225&lt;=MAX(DATE(Summary!$C$12,12,31),Summary!$C$15))*('Dvd Calendar'!$N$2225&lt;=Summary!$C$11)=0,"",'Dvd Calendar'!$N$2225*1000000000+ISNUMBER('Dvd Calendar'!$N$2226)*100000000+('Dvd Calendar'!$N$2230='Field Check'!$C$25)*10000000+(N('Dvd Calendar'!$N$2224)&gt;0)*1000000+8*1000+10))</f>
        <v/>
      </c>
      <c r="M164" s="41">
        <f>IF(N('Dvd Calendar'!$O$2225)=0,"",IF(('Dvd Calendar'!$O$2225&gt;=MIN(DATE(Summary!$C$12,1,1),Summary!$C$11))*('Dvd Calendar'!$O$2225&lt;=MAX(DATE(Summary!$C$12,12,31),Summary!$C$15))*('Dvd Calendar'!$O$2225&lt;=Summary!$C$11)=0,"",'Dvd Calendar'!$O$2225*1000000000+ISNUMBER('Dvd Calendar'!$O$2226)*100000000+('Dvd Calendar'!$O$2230='Field Check'!$C$25)*10000000+(N('Dvd Calendar'!$O$2224)&gt;0)*1000000+8*1000+11))</f>
        <v/>
      </c>
      <c r="N164" s="41">
        <f>IF(N('Dvd Calendar'!$P$2225)=0,"",IF(('Dvd Calendar'!$P$2225&gt;=MIN(DATE(Summary!$C$12,1,1),Summary!$C$11))*('Dvd Calendar'!$P$2225&lt;=MAX(DATE(Summary!$C$12,12,31),Summary!$C$15))*('Dvd Calendar'!$P$2225&lt;=Summary!$C$11)=0,"",'Dvd Calendar'!$P$2225*1000000000+ISNUMBER('Dvd Calendar'!$P$2226)*100000000+('Dvd Calendar'!$P$2230='Field Check'!$C$25)*10000000+(N('Dvd Calendar'!$P$2224)&gt;0)*1000000+8*1000+12))</f>
        <v/>
      </c>
      <c r="O164" s="41">
        <f>IF(N('Dvd Calendar'!$Q$2225)=0,"",IF(('Dvd Calendar'!$Q$2225&gt;=MIN(DATE(Summary!$C$12,1,1),Summary!$C$11))*('Dvd Calendar'!$Q$2225&lt;=MAX(DATE(Summary!$C$12,12,31),Summary!$C$15))*('Dvd Calendar'!$Q$2225&lt;=Summary!$C$11)=0,"",'Dvd Calendar'!$Q$2225*1000000000+ISNUMBER('Dvd Calendar'!$Q$2226)*100000000+('Dvd Calendar'!$Q$2230='Field Check'!$C$25)*10000000+(N('Dvd Calendar'!$Q$2224)&gt;0)*1000000+8*1000+13))</f>
        <v/>
      </c>
      <c r="P164" s="41">
        <f>IF(N('Dvd Calendar'!$R$2225)=0,"",IF(('Dvd Calendar'!$R$2225&gt;=MIN(DATE(Summary!$C$12,1,1),Summary!$C$11))*('Dvd Calendar'!$R$2225&lt;=MAX(DATE(Summary!$C$12,12,31),Summary!$C$15))*('Dvd Calendar'!$R$2225&lt;=Summary!$C$11)=0,"",'Dvd Calendar'!$R$2225*1000000000+ISNUMBER('Dvd Calendar'!$R$2226)*100000000+('Dvd Calendar'!$R$2230='Field Check'!$C$25)*10000000+(N('Dvd Calendar'!$R$2224)&gt;0)*1000000+8*1000+14))</f>
        <v/>
      </c>
      <c r="Q164" s="41">
        <f>IF(N('Dvd Calendar'!$S$2225)=0,"",IF(('Dvd Calendar'!$S$2225&gt;=MIN(DATE(Summary!$C$12,1,1),Summary!$C$11))*('Dvd Calendar'!$S$2225&lt;=MAX(DATE(Summary!$C$12,12,31),Summary!$C$15))*('Dvd Calendar'!$S$2225&lt;=Summary!$C$11)=0,"",'Dvd Calendar'!$S$2225*1000000000+ISNUMBER('Dvd Calendar'!$S$2226)*100000000+('Dvd Calendar'!$S$2230='Field Check'!$C$25)*10000000+(N('Dvd Calendar'!$S$2224)&gt;0)*1000000+8*1000+15))</f>
        <v/>
      </c>
      <c r="R164" s="41">
        <f>IF(N('Dvd Calendar'!$T$2225)=0,"",IF(('Dvd Calendar'!$T$2225&gt;=MIN(DATE(Summary!$C$12,1,1),Summary!$C$11))*('Dvd Calendar'!$T$2225&lt;=MAX(DATE(Summary!$C$12,12,31),Summary!$C$15))*('Dvd Calendar'!$T$2225&lt;=Summary!$C$11)=0,"",'Dvd Calendar'!$T$2225*1000000000+ISNUMBER('Dvd Calendar'!$T$2226)*100000000+('Dvd Calendar'!$T$2230='Field Check'!$C$25)*10000000+(N('Dvd Calendar'!$T$2224)&gt;0)*1000000+8*1000+16))</f>
        <v/>
      </c>
      <c r="S164" s="41">
        <f>IF(N('Dvd Calendar'!$U$2225)=0,"",IF(('Dvd Calendar'!$U$2225&gt;=MIN(DATE(Summary!$C$12,1,1),Summary!$C$11))*('Dvd Calendar'!$U$2225&lt;=MAX(DATE(Summary!$C$12,12,31),Summary!$C$15))*('Dvd Calendar'!$U$2225&lt;=Summary!$C$11)=0,"",'Dvd Calendar'!$U$2225*1000000000+ISNUMBER('Dvd Calendar'!$U$2226)*100000000+('Dvd Calendar'!$U$2230='Field Check'!$C$25)*10000000+(N('Dvd Calendar'!$U$2224)&gt;0)*1000000+8*1000+17))</f>
        <v/>
      </c>
      <c r="T164" s="41">
        <f>IF(N('Dvd Calendar'!$V$2225)=0,"",IF(('Dvd Calendar'!$V$2225&gt;=MIN(DATE(Summary!$C$12,1,1),Summary!$C$11))*('Dvd Calendar'!$V$2225&lt;=MAX(DATE(Summary!$C$12,12,31),Summary!$C$15))*('Dvd Calendar'!$V$2225&lt;=Summary!$C$11)=0,"",'Dvd Calendar'!$V$2225*1000000000+ISNUMBER('Dvd Calendar'!$V$2226)*100000000+('Dvd Calendar'!$V$2230='Field Check'!$C$25)*10000000+(N('Dvd Calendar'!$V$2224)&gt;0)*1000000+8*1000+18))</f>
        <v/>
      </c>
      <c r="U164" s="41">
        <f>IF(N('Dvd Calendar'!$W$2225)=0,"",IF(('Dvd Calendar'!$W$2225&gt;=MIN(DATE(Summary!$C$12,1,1),Summary!$C$11))*('Dvd Calendar'!$W$2225&lt;=MAX(DATE(Summary!$C$12,12,31),Summary!$C$15))*('Dvd Calendar'!$W$2225&lt;=Summary!$C$11)=0,"",'Dvd Calendar'!$W$2225*1000000000+ISNUMBER('Dvd Calendar'!$W$2226)*100000000+('Dvd Calendar'!$W$2230='Field Check'!$C$25)*10000000+(N('Dvd Calendar'!$W$2224)&gt;0)*1000000+8*1000+19))</f>
        <v/>
      </c>
      <c r="V164" s="41">
        <f>IF(N('Dvd Calendar'!$X$2225)=0,"",IF(('Dvd Calendar'!$X$2225&gt;=MIN(DATE(Summary!$C$12,1,1),Summary!$C$11))*('Dvd Calendar'!$X$2225&lt;=MAX(DATE(Summary!$C$12,12,31),Summary!$C$15))*('Dvd Calendar'!$X$2225&lt;=Summary!$C$11)=0,"",'Dvd Calendar'!$X$2225*1000000000+ISNUMBER('Dvd Calendar'!$X$2226)*100000000+('Dvd Calendar'!$X$2230='Field Check'!$C$25)*10000000+(N('Dvd Calendar'!$X$2224)&gt;0)*1000000+8*1000+20))</f>
        <v/>
      </c>
      <c r="W164" s="41">
        <f>IF(N('Dvd Calendar'!$Y$2225)=0,"",IF(('Dvd Calendar'!$Y$2225&gt;=MIN(DATE(Summary!$C$12,1,1),Summary!$C$11))*('Dvd Calendar'!$Y$2225&lt;=MAX(DATE(Summary!$C$12,12,31),Summary!$C$15))*('Dvd Calendar'!$Y$2225&lt;=Summary!$C$11)=0,"",'Dvd Calendar'!$Y$2225*1000000000+ISNUMBER('Dvd Calendar'!$Y$2226)*100000000+('Dvd Calendar'!$Y$2230='Field Check'!$C$25)*10000000+(N('Dvd Calendar'!$Y$2224)&gt;0)*1000000+8*1000+21))</f>
        <v/>
      </c>
      <c r="X164" s="41">
        <f>IF(N('Dvd Calendar'!$Z$2225)=0,"",IF(('Dvd Calendar'!$Z$2225&gt;=MIN(DATE(Summary!$C$12,1,1),Summary!$C$11))*('Dvd Calendar'!$Z$2225&lt;=MAX(DATE(Summary!$C$12,12,31),Summary!$C$15))*('Dvd Calendar'!$Z$2225&lt;=Summary!$C$11)=0,"",'Dvd Calendar'!$Z$2225*1000000000+ISNUMBER('Dvd Calendar'!$Z$2226)*100000000+('Dvd Calendar'!$Z$2230='Field Check'!$C$25)*10000000+(N('Dvd Calendar'!$Z$2224)&gt;0)*1000000+8*1000+22))</f>
        <v/>
      </c>
      <c r="Y164" s="41">
        <f>IF(N('Dvd Calendar'!$AA$2225)=0,"",IF(('Dvd Calendar'!$AA$2225&gt;=MIN(DATE(Summary!$C$12,1,1),Summary!$C$11))*('Dvd Calendar'!$AA$2225&lt;=MAX(DATE(Summary!$C$12,12,31),Summary!$C$15))*('Dvd Calendar'!$AA$2225&lt;=Summary!$C$11)=0,"",'Dvd Calendar'!$AA$2225*1000000000+ISNUMBER('Dvd Calendar'!$AA$2226)*100000000+('Dvd Calendar'!$AA$2230='Field Check'!$C$25)*10000000+(N('Dvd Calendar'!$AA$2224)&gt;0)*1000000+8*1000+23))</f>
        <v/>
      </c>
      <c r="Z164" s="41">
        <f>IF(N('Dvd Calendar'!$AB$2225)=0,"",IF(('Dvd Calendar'!$AB$2225&gt;=MIN(DATE(Summary!$C$12,1,1),Summary!$C$11))*('Dvd Calendar'!$AB$2225&lt;=MAX(DATE(Summary!$C$12,12,31),Summary!$C$15))*('Dvd Calendar'!$AB$2225&lt;=Summary!$C$11)=0,"",'Dvd Calendar'!$AB$2225*1000000000+ISNUMBER('Dvd Calendar'!$AB$2226)*100000000+('Dvd Calendar'!$AB$2230='Field Check'!$C$25)*10000000+(N('Dvd Calendar'!$AB$2224)&gt;0)*1000000+8*1000+24))</f>
        <v/>
      </c>
      <c r="AA164" s="41">
        <f>IF(N('Dvd Calendar'!$AC$2225)=0,"",IF(('Dvd Calendar'!$AC$2225&gt;=MIN(DATE(Summary!$C$12,1,1),Summary!$C$11))*('Dvd Calendar'!$AC$2225&lt;=MAX(DATE(Summary!$C$12,12,31),Summary!$C$15))*('Dvd Calendar'!$AC$2225&lt;=Summary!$C$11)=0,"",'Dvd Calendar'!$AC$2225*1000000000+ISNUMBER('Dvd Calendar'!$AC$2226)*100000000+('Dvd Calendar'!$AC$2230='Field Check'!$C$25)*10000000+(N('Dvd Calendar'!$AC$2224)&gt;0)*1000000+8*1000+25))</f>
        <v/>
      </c>
      <c r="AB164" s="41">
        <f>IF(N('Dvd Calendar'!$AD$2225)=0,"",IF(('Dvd Calendar'!$AD$2225&gt;=MIN(DATE(Summary!$C$12,1,1),Summary!$C$11))*('Dvd Calendar'!$AD$2225&lt;=MAX(DATE(Summary!$C$12,12,31),Summary!$C$15))*('Dvd Calendar'!$AD$2225&lt;=Summary!$C$11)=0,"",'Dvd Calendar'!$AD$2225*1000000000+ISNUMBER('Dvd Calendar'!$AD$2226)*100000000+('Dvd Calendar'!$AD$2230='Field Check'!$C$25)*10000000+(N('Dvd Calendar'!$AD$2224)&gt;0)*1000000+8*1000+26))</f>
        <v/>
      </c>
      <c r="AC164" s="41">
        <f>IF(N('Dvd Calendar'!$AE$2225)=0,"",IF(('Dvd Calendar'!$AE$2225&gt;=MIN(DATE(Summary!$C$12,1,1),Summary!$C$11))*('Dvd Calendar'!$AE$2225&lt;=MAX(DATE(Summary!$C$12,12,31),Summary!$C$15))*('Dvd Calendar'!$AE$2225&lt;=Summary!$C$11)=0,"",'Dvd Calendar'!$AE$2225*1000000000+ISNUMBER('Dvd Calendar'!$AE$2226)*100000000+('Dvd Calendar'!$AE$2230='Field Check'!$C$25)*10000000+(N('Dvd Calendar'!$AE$2224)&gt;0)*1000000+8*1000+27))</f>
        <v/>
      </c>
      <c r="AD164" s="41">
        <f>IF(N('Dvd Calendar'!$AF$2225)=0,"",IF(('Dvd Calendar'!$AF$2225&gt;=MIN(DATE(Summary!$C$12,1,1),Summary!$C$11))*('Dvd Calendar'!$AF$2225&lt;=MAX(DATE(Summary!$C$12,12,31),Summary!$C$15))*('Dvd Calendar'!$AF$2225&lt;=Summary!$C$11)=0,"",'Dvd Calendar'!$AF$2225*1000000000+ISNUMBER('Dvd Calendar'!$AF$2226)*100000000+('Dvd Calendar'!$AF$2230='Field Check'!$C$25)*10000000+(N('Dvd Calendar'!$AF$2224)&gt;0)*1000000+8*1000+28))</f>
        <v/>
      </c>
      <c r="AE164" s="41">
        <f>IF(N('Dvd Calendar'!$AG$2225)=0,"",IF(('Dvd Calendar'!$AG$2225&gt;=MIN(DATE(Summary!$C$12,1,1),Summary!$C$11))*('Dvd Calendar'!$AG$2225&lt;=MAX(DATE(Summary!$C$12,12,31),Summary!$C$15))*('Dvd Calendar'!$AG$2225&lt;=Summary!$C$11)=0,"",'Dvd Calendar'!$AG$2225*1000000000+ISNUMBER('Dvd Calendar'!$AG$2226)*100000000+('Dvd Calendar'!$AG$2230='Field Check'!$C$25)*10000000+(N('Dvd Calendar'!$AG$2224)&gt;0)*1000000+8*1000+29))</f>
        <v/>
      </c>
      <c r="AF164" s="41">
        <f>IF(N('Dvd Calendar'!$AH$2225)=0,"",IF(('Dvd Calendar'!$AH$2225&gt;=MIN(DATE(Summary!$C$12,1,1),Summary!$C$11))*('Dvd Calendar'!$AH$2225&lt;=MAX(DATE(Summary!$C$12,12,31),Summary!$C$15))*('Dvd Calendar'!$AH$2225&lt;=Summary!$C$11)=0,"",'Dvd Calendar'!$AH$2225*1000000000+ISNUMBER('Dvd Calendar'!$AH$2226)*100000000+('Dvd Calendar'!$AH$2230='Field Check'!$C$25)*10000000+(N('Dvd Calendar'!$AH$2224)&gt;0)*1000000+8*1000+30))</f>
        <v/>
      </c>
      <c r="AG164" s="41">
        <f>IF(N('Dvd Calendar'!$AI$2225)=0,"",IF(('Dvd Calendar'!$AI$2225&gt;=MIN(DATE(Summary!$C$12,1,1),Summary!$C$11))*('Dvd Calendar'!$AI$2225&lt;=MAX(DATE(Summary!$C$12,12,31),Summary!$C$15))*('Dvd Calendar'!$AI$2225&lt;=Summary!$C$11)=0,"",'Dvd Calendar'!$AI$2225*1000000000+ISNUMBER('Dvd Calendar'!$AI$2226)*100000000+('Dvd Calendar'!$AI$2230='Field Check'!$C$25)*10000000+(N('Dvd Calendar'!$AI$2224)&gt;0)*1000000+8*1000+31))</f>
        <v/>
      </c>
      <c r="AH164" s="41">
        <f>IF(N('Dvd Calendar'!$AJ$2225)=0,"",IF(('Dvd Calendar'!$AJ$2225&gt;=MIN(DATE(Summary!$C$12,1,1),Summary!$C$11))*('Dvd Calendar'!$AJ$2225&lt;=MAX(DATE(Summary!$C$12,12,31),Summary!$C$15))*('Dvd Calendar'!$AJ$2225&lt;=Summary!$C$11)=0,"",'Dvd Calendar'!$AJ$2225*1000000000+ISNUMBER('Dvd Calendar'!$AJ$2226)*100000000+('Dvd Calendar'!$AJ$2230='Field Check'!$C$25)*10000000+(N('Dvd Calendar'!$AJ$2224)&gt;0)*1000000+8*1000+32))</f>
        <v/>
      </c>
      <c r="AI164" s="41">
        <f>IF(N('Dvd Calendar'!$AK$2225)=0,"",IF(('Dvd Calendar'!$AK$2225&gt;=MIN(DATE(Summary!$C$12,1,1),Summary!$C$11))*('Dvd Calendar'!$AK$2225&lt;=MAX(DATE(Summary!$C$12,12,31),Summary!$C$15))*('Dvd Calendar'!$AK$2225&lt;=Summary!$C$11)=0,"",'Dvd Calendar'!$AK$2225*1000000000+ISNUMBER('Dvd Calendar'!$AK$2226)*100000000+('Dvd Calendar'!$AK$2230='Field Check'!$C$25)*10000000+(N('Dvd Calendar'!$AK$2224)&gt;0)*1000000+8*1000+33))</f>
        <v/>
      </c>
      <c r="AJ164" s="41">
        <f>IF(N('Dvd Calendar'!$AL$2225)=0,"",IF(('Dvd Calendar'!$AL$2225&gt;=MIN(DATE(Summary!$C$12,1,1),Summary!$C$11))*('Dvd Calendar'!$AL$2225&lt;=MAX(DATE(Summary!$C$12,12,31),Summary!$C$15))*('Dvd Calendar'!$AL$2225&lt;=Summary!$C$11)=0,"",'Dvd Calendar'!$AL$2225*1000000000+ISNUMBER('Dvd Calendar'!$AL$2226)*100000000+('Dvd Calendar'!$AL$2230='Field Check'!$C$25)*10000000+(N('Dvd Calendar'!$AL$2224)&gt;0)*1000000+8*1000+34))</f>
        <v/>
      </c>
      <c r="AK164" s="41">
        <f>IF(N('Dvd Calendar'!$AM$2225)=0,"",IF(('Dvd Calendar'!$AM$2225&gt;=MIN(DATE(Summary!$C$12,1,1),Summary!$C$11))*('Dvd Calendar'!$AM$2225&lt;=MAX(DATE(Summary!$C$12,12,31),Summary!$C$15))*('Dvd Calendar'!$AM$2225&lt;=Summary!$C$11)=0,"",'Dvd Calendar'!$AM$2225*1000000000+ISNUMBER('Dvd Calendar'!$AM$2226)*100000000+('Dvd Calendar'!$AM$2230='Field Check'!$C$25)*10000000+(N('Dvd Calendar'!$AM$2224)&gt;0)*1000000+8*1000+35))</f>
        <v/>
      </c>
      <c r="AL164" s="41">
        <f>IF(N('Dvd Calendar'!$AN$2225)=0,"",IF(('Dvd Calendar'!$AN$2225&gt;=MIN(DATE(Summary!$C$12,1,1),Summary!$C$11))*('Dvd Calendar'!$AN$2225&lt;=MAX(DATE(Summary!$C$12,12,31),Summary!$C$15))*('Dvd Calendar'!$AN$2225&lt;=Summary!$C$11)=0,"",'Dvd Calendar'!$AN$2225*1000000000+ISNUMBER('Dvd Calendar'!$AN$2226)*100000000+('Dvd Calendar'!$AN$2230='Field Check'!$C$25)*10000000+(N('Dvd Calendar'!$AN$2224)&gt;0)*1000000+8*1000+36))</f>
        <v/>
      </c>
      <c r="AM164" s="41">
        <f>IF(N('Dvd Calendar'!$AO$2225)=0,"",IF(('Dvd Calendar'!$AO$2225&gt;=MIN(DATE(Summary!$C$12,1,1),Summary!$C$11))*('Dvd Calendar'!$AO$2225&lt;=MAX(DATE(Summary!$C$12,12,31),Summary!$C$15))*('Dvd Calendar'!$AO$2225&lt;=Summary!$C$11)=0,"",'Dvd Calendar'!$AO$2225*1000000000+ISNUMBER('Dvd Calendar'!$AO$2226)*100000000+('Dvd Calendar'!$AO$2230='Field Check'!$C$25)*10000000+(N('Dvd Calendar'!$AO$2224)&gt;0)*1000000+8*1000+37))</f>
        <v/>
      </c>
      <c r="AN164" s="41">
        <f>IF(N('Dvd Calendar'!$AP$2225)=0,"",IF(('Dvd Calendar'!$AP$2225&gt;=MIN(DATE(Summary!$C$12,1,1),Summary!$C$11))*('Dvd Calendar'!$AP$2225&lt;=MAX(DATE(Summary!$C$12,12,31),Summary!$C$15))*('Dvd Calendar'!$AP$2225&lt;=Summary!$C$11)=0,"",'Dvd Calendar'!$AP$2225*1000000000+ISNUMBER('Dvd Calendar'!$AP$2226)*100000000+('Dvd Calendar'!$AP$2230='Field Check'!$C$25)*10000000+(N('Dvd Calendar'!$AP$2224)&gt;0)*1000000+8*1000+38))</f>
        <v/>
      </c>
      <c r="AO164" s="41">
        <f>IF(N('Dvd Calendar'!$AQ$2225)=0,"",IF(('Dvd Calendar'!$AQ$2225&gt;=MIN(DATE(Summary!$C$12,1,1),Summary!$C$11))*('Dvd Calendar'!$AQ$2225&lt;=MAX(DATE(Summary!$C$12,12,31),Summary!$C$15))*('Dvd Calendar'!$AQ$2225&lt;=Summary!$C$11)=0,"",'Dvd Calendar'!$AQ$2225*1000000000+ISNUMBER('Dvd Calendar'!$AQ$2226)*100000000+('Dvd Calendar'!$AQ$2230='Field Check'!$C$25)*10000000+(N('Dvd Calendar'!$AQ$2224)&gt;0)*1000000+8*1000+39))</f>
        <v/>
      </c>
      <c r="AP164" s="41">
        <f>IF(N('Dvd Calendar'!$AR$2225)=0,"",IF(('Dvd Calendar'!$AR$2225&gt;=MIN(DATE(Summary!$C$12,1,1),Summary!$C$11))*('Dvd Calendar'!$AR$2225&lt;=MAX(DATE(Summary!$C$12,12,31),Summary!$C$15))*('Dvd Calendar'!$AR$2225&lt;=Summary!$C$11)=0,"",'Dvd Calendar'!$AR$2225*1000000000+ISNUMBER('Dvd Calendar'!$AR$2226)*100000000+('Dvd Calendar'!$AR$2230='Field Check'!$C$25)*10000000+(N('Dvd Calendar'!$AR$2224)&gt;0)*1000000+8*1000+40))</f>
        <v/>
      </c>
      <c r="AQ164" s="41">
        <f>IF(N('Dvd Calendar'!$E$2232)=0,"",IF(('Dvd Calendar'!$E$2232&gt;=MIN(DATE(Summary!$C$12,1,1),Summary!$C$11))*('Dvd Calendar'!$E$2232&lt;=MAX(DATE(Summary!$C$12,12,31),Summary!$C$15))*('Dvd Calendar'!$E$2232&gt;Summary!$C$11)=0,"",'Dvd Calendar'!$E$2232*1000000000+ISNUMBER('Dvd Calendar'!$E$2233)*100000000+('Dvd Calendar'!$E$2237='Field Check'!$C$25)*10000000+(N('Dvd Calendar'!$E$2231)&gt;0)*1000000+8*1000+41))</f>
        <v/>
      </c>
      <c r="AR164" s="41">
        <f>IF(N('Dvd Calendar'!$F$2232)=0,"",IF(('Dvd Calendar'!$F$2232&gt;=MIN(DATE(Summary!$C$12,1,1),Summary!$C$11))*('Dvd Calendar'!$F$2232&lt;=MAX(DATE(Summary!$C$12,12,31),Summary!$C$15))*('Dvd Calendar'!$F$2232&gt;Summary!$C$11)=0,"",'Dvd Calendar'!$F$2232*1000000000+ISNUMBER('Dvd Calendar'!$F$2233)*100000000+('Dvd Calendar'!$F$2237='Field Check'!$C$25)*10000000+(N('Dvd Calendar'!$F$2231)&gt;0)*1000000+8*1000+42))</f>
        <v/>
      </c>
      <c r="AS164" s="41">
        <f>IF(N('Dvd Calendar'!$G$2232)=0,"",IF(('Dvd Calendar'!$G$2232&gt;=MIN(DATE(Summary!$C$12,1,1),Summary!$C$11))*('Dvd Calendar'!$G$2232&lt;=MAX(DATE(Summary!$C$12,12,31),Summary!$C$15))*('Dvd Calendar'!$G$2232&gt;Summary!$C$11)=0,"",'Dvd Calendar'!$G$2232*1000000000+ISNUMBER('Dvd Calendar'!$G$2233)*100000000+('Dvd Calendar'!$G$2237='Field Check'!$C$25)*10000000+(N('Dvd Calendar'!$G$2231)&gt;0)*1000000+8*1000+43))</f>
        <v/>
      </c>
      <c r="AT164" s="41">
        <f>IF(N('Dvd Calendar'!$H$2232)=0,"",IF(('Dvd Calendar'!$H$2232&gt;=MIN(DATE(Summary!$C$12,1,1),Summary!$C$11))*('Dvd Calendar'!$H$2232&lt;=MAX(DATE(Summary!$C$12,12,31),Summary!$C$15))*('Dvd Calendar'!$H$2232&gt;Summary!$C$11)=0,"",'Dvd Calendar'!$H$2232*1000000000+ISNUMBER('Dvd Calendar'!$H$2233)*100000000+('Dvd Calendar'!$H$2237='Field Check'!$C$25)*10000000+(N('Dvd Calendar'!$H$2231)&gt;0)*1000000+8*1000+44))</f>
        <v/>
      </c>
      <c r="AU164" s="41">
        <f>IF(N('Dvd Calendar'!$I$2232)=0,"",IF(('Dvd Calendar'!$I$2232&gt;=MIN(DATE(Summary!$C$12,1,1),Summary!$C$11))*('Dvd Calendar'!$I$2232&lt;=MAX(DATE(Summary!$C$12,12,31),Summary!$C$15))*('Dvd Calendar'!$I$2232&gt;Summary!$C$11)=0,"",'Dvd Calendar'!$I$2232*1000000000+ISNUMBER('Dvd Calendar'!$I$2233)*100000000+('Dvd Calendar'!$I$2237='Field Check'!$C$25)*10000000+(N('Dvd Calendar'!$I$2231)&gt;0)*1000000+8*1000+45))</f>
        <v/>
      </c>
      <c r="AV164" s="41">
        <f>IF(N('Dvd Calendar'!$J$2232)=0,"",IF(('Dvd Calendar'!$J$2232&gt;=MIN(DATE(Summary!$C$12,1,1),Summary!$C$11))*('Dvd Calendar'!$J$2232&lt;=MAX(DATE(Summary!$C$12,12,31),Summary!$C$15))*('Dvd Calendar'!$J$2232&gt;Summary!$C$11)=0,"",'Dvd Calendar'!$J$2232*1000000000+ISNUMBER('Dvd Calendar'!$J$2233)*100000000+('Dvd Calendar'!$J$2237='Field Check'!$C$25)*10000000+(N('Dvd Calendar'!$J$2231)&gt;0)*1000000+8*1000+46))</f>
        <v/>
      </c>
      <c r="AW164" s="41">
        <f>IF(N('Dvd Calendar'!$K$2232)=0,"",IF(('Dvd Calendar'!$K$2232&gt;=MIN(DATE(Summary!$C$12,1,1),Summary!$C$11))*('Dvd Calendar'!$K$2232&lt;=MAX(DATE(Summary!$C$12,12,31),Summary!$C$15))*('Dvd Calendar'!$K$2232&gt;Summary!$C$11)=0,"",'Dvd Calendar'!$K$2232*1000000000+ISNUMBER('Dvd Calendar'!$K$2233)*100000000+('Dvd Calendar'!$K$2237='Field Check'!$C$25)*10000000+(N('Dvd Calendar'!$K$2231)&gt;0)*1000000+8*1000+47))</f>
        <v/>
      </c>
      <c r="AX164" s="41">
        <f>IF(N('Dvd Calendar'!$L$2232)=0,"",IF(('Dvd Calendar'!$L$2232&gt;=MIN(DATE(Summary!$C$12,1,1),Summary!$C$11))*('Dvd Calendar'!$L$2232&lt;=MAX(DATE(Summary!$C$12,12,31),Summary!$C$15))*('Dvd Calendar'!$L$2232&gt;Summary!$C$11)=0,"",'Dvd Calendar'!$L$2232*1000000000+ISNUMBER('Dvd Calendar'!$L$2233)*100000000+('Dvd Calendar'!$L$2237='Field Check'!$C$25)*10000000+(N('Dvd Calendar'!$L$2231)&gt;0)*1000000+8*1000+48))</f>
        <v/>
      </c>
      <c r="AY164" s="41">
        <f>IF(N('Dvd Calendar'!$M$2232)=0,"",IF(('Dvd Calendar'!$M$2232&gt;=MIN(DATE(Summary!$C$12,1,1),Summary!$C$11))*('Dvd Calendar'!$M$2232&lt;=MAX(DATE(Summary!$C$12,12,31),Summary!$C$15))*('Dvd Calendar'!$M$2232&gt;Summary!$C$11)=0,"",'Dvd Calendar'!$M$2232*1000000000+ISNUMBER('Dvd Calendar'!$M$2233)*100000000+('Dvd Calendar'!$M$2237='Field Check'!$C$25)*10000000+(N('Dvd Calendar'!$M$2231)&gt;0)*1000000+8*1000+49))</f>
        <v/>
      </c>
      <c r="AZ164" s="41">
        <f>IF(N('Dvd Calendar'!$N$2232)=0,"",IF(('Dvd Calendar'!$N$2232&gt;=MIN(DATE(Summary!$C$12,1,1),Summary!$C$11))*('Dvd Calendar'!$N$2232&lt;=MAX(DATE(Summary!$C$12,12,31),Summary!$C$15))*('Dvd Calendar'!$N$2232&gt;Summary!$C$11)=0,"",'Dvd Calendar'!$N$2232*1000000000+ISNUMBER('Dvd Calendar'!$N$2233)*100000000+('Dvd Calendar'!$N$2237='Field Check'!$C$25)*10000000+(N('Dvd Calendar'!$N$2231)&gt;0)*1000000+8*1000+50))</f>
        <v/>
      </c>
      <c r="BA164" s="41">
        <f>IF(N('Dvd Calendar'!$O$2232)=0,"",IF(('Dvd Calendar'!$O$2232&gt;=MIN(DATE(Summary!$C$12,1,1),Summary!$C$11))*('Dvd Calendar'!$O$2232&lt;=MAX(DATE(Summary!$C$12,12,31),Summary!$C$15))*('Dvd Calendar'!$O$2232&gt;Summary!$C$11)=0,"",'Dvd Calendar'!$O$2232*1000000000+ISNUMBER('Dvd Calendar'!$O$2233)*100000000+('Dvd Calendar'!$O$2237='Field Check'!$C$25)*10000000+(N('Dvd Calendar'!$O$2231)&gt;0)*1000000+8*1000+51))</f>
        <v/>
      </c>
      <c r="BB164" s="41">
        <f>IF(N('Dvd Calendar'!$P$2232)=0,"",IF(('Dvd Calendar'!$P$2232&gt;=MIN(DATE(Summary!$C$12,1,1),Summary!$C$11))*('Dvd Calendar'!$P$2232&lt;=MAX(DATE(Summary!$C$12,12,31),Summary!$C$15))*('Dvd Calendar'!$P$2232&gt;Summary!$C$11)=0,"",'Dvd Calendar'!$P$2232*1000000000+ISNUMBER('Dvd Calendar'!$P$2233)*100000000+('Dvd Calendar'!$P$2237='Field Check'!$C$25)*10000000+(N('Dvd Calendar'!$P$2231)&gt;0)*1000000+8*1000+52))</f>
        <v/>
      </c>
      <c r="BC164" s="41">
        <f>IF(N('Dvd Calendar'!$Q$2232)=0,"",IF(('Dvd Calendar'!$Q$2232&gt;=MIN(DATE(Summary!$C$12,1,1),Summary!$C$11))*('Dvd Calendar'!$Q$2232&lt;=MAX(DATE(Summary!$C$12,12,31),Summary!$C$15))*('Dvd Calendar'!$Q$2232&gt;Summary!$C$11)=0,"",'Dvd Calendar'!$Q$2232*1000000000+ISNUMBER('Dvd Calendar'!$Q$2233)*100000000+('Dvd Calendar'!$Q$2237='Field Check'!$C$25)*10000000+(N('Dvd Calendar'!$Q$2231)&gt;0)*1000000+8*1000+53))</f>
        <v/>
      </c>
      <c r="BD164" s="41">
        <f>IF(N('Dvd Calendar'!$R$2232)=0,"",IF(('Dvd Calendar'!$R$2232&gt;=MIN(DATE(Summary!$C$12,1,1),Summary!$C$11))*('Dvd Calendar'!$R$2232&lt;=MAX(DATE(Summary!$C$12,12,31),Summary!$C$15))*('Dvd Calendar'!$R$2232&gt;Summary!$C$11)=0,"",'Dvd Calendar'!$R$2232*1000000000+ISNUMBER('Dvd Calendar'!$R$2233)*100000000+('Dvd Calendar'!$R$2237='Field Check'!$C$25)*10000000+(N('Dvd Calendar'!$R$2231)&gt;0)*1000000+8*1000+54))</f>
        <v/>
      </c>
      <c r="BE164" s="41">
        <f>IF(N('Dvd Calendar'!$S$2232)=0,"",IF(('Dvd Calendar'!$S$2232&gt;=MIN(DATE(Summary!$C$12,1,1),Summary!$C$11))*('Dvd Calendar'!$S$2232&lt;=MAX(DATE(Summary!$C$12,12,31),Summary!$C$15))*('Dvd Calendar'!$S$2232&gt;Summary!$C$11)=0,"",'Dvd Calendar'!$S$2232*1000000000+ISNUMBER('Dvd Calendar'!$S$2233)*100000000+('Dvd Calendar'!$S$2237='Field Check'!$C$25)*10000000+(N('Dvd Calendar'!$S$2231)&gt;0)*1000000+8*1000+55))</f>
        <v/>
      </c>
      <c r="BF164" s="41">
        <f>IF(N('Dvd Calendar'!$T$2232)=0,"",IF(('Dvd Calendar'!$T$2232&gt;=MIN(DATE(Summary!$C$12,1,1),Summary!$C$11))*('Dvd Calendar'!$T$2232&lt;=MAX(DATE(Summary!$C$12,12,31),Summary!$C$15))*('Dvd Calendar'!$T$2232&gt;Summary!$C$11)=0,"",'Dvd Calendar'!$T$2232*1000000000+ISNUMBER('Dvd Calendar'!$T$2233)*100000000+('Dvd Calendar'!$T$2237='Field Check'!$C$25)*10000000+(N('Dvd Calendar'!$T$2231)&gt;0)*1000000+8*1000+56))</f>
        <v/>
      </c>
      <c r="BG164" s="41">
        <f>IF(N('Dvd Calendar'!$U$2232)=0,"",IF(('Dvd Calendar'!$U$2232&gt;=MIN(DATE(Summary!$C$12,1,1),Summary!$C$11))*('Dvd Calendar'!$U$2232&lt;=MAX(DATE(Summary!$C$12,12,31),Summary!$C$15))*('Dvd Calendar'!$U$2232&gt;Summary!$C$11)=0,"",'Dvd Calendar'!$U$2232*1000000000+ISNUMBER('Dvd Calendar'!$U$2233)*100000000+('Dvd Calendar'!$U$2237='Field Check'!$C$25)*10000000+(N('Dvd Calendar'!$U$2231)&gt;0)*1000000+8*1000+57))</f>
        <v/>
      </c>
      <c r="BH164" s="41">
        <f>IF(N('Dvd Calendar'!$V$2232)=0,"",IF(('Dvd Calendar'!$V$2232&gt;=MIN(DATE(Summary!$C$12,1,1),Summary!$C$11))*('Dvd Calendar'!$V$2232&lt;=MAX(DATE(Summary!$C$12,12,31),Summary!$C$15))*('Dvd Calendar'!$V$2232&gt;Summary!$C$11)=0,"",'Dvd Calendar'!$V$2232*1000000000+ISNUMBER('Dvd Calendar'!$V$2233)*100000000+('Dvd Calendar'!$V$2237='Field Check'!$C$25)*10000000+(N('Dvd Calendar'!$V$2231)&gt;0)*1000000+8*1000+58))</f>
        <v/>
      </c>
      <c r="BI164" s="41">
        <f>IF(N('Dvd Calendar'!$W$2232)=0,"",IF(('Dvd Calendar'!$W$2232&gt;=MIN(DATE(Summary!$C$12,1,1),Summary!$C$11))*('Dvd Calendar'!$W$2232&lt;=MAX(DATE(Summary!$C$12,12,31),Summary!$C$15))*('Dvd Calendar'!$W$2232&gt;Summary!$C$11)=0,"",'Dvd Calendar'!$W$2232*1000000000+ISNUMBER('Dvd Calendar'!$W$2233)*100000000+('Dvd Calendar'!$W$2237='Field Check'!$C$25)*10000000+(N('Dvd Calendar'!$W$2231)&gt;0)*1000000+8*1000+59))</f>
        <v/>
      </c>
      <c r="BJ164" s="41">
        <f>IF(N('Dvd Calendar'!$X$2232)=0,"",IF(('Dvd Calendar'!$X$2232&gt;=MIN(DATE(Summary!$C$12,1,1),Summary!$C$11))*('Dvd Calendar'!$X$2232&lt;=MAX(DATE(Summary!$C$12,12,31),Summary!$C$15))*('Dvd Calendar'!$X$2232&gt;Summary!$C$11)=0,"",'Dvd Calendar'!$X$2232*1000000000+ISNUMBER('Dvd Calendar'!$X$2233)*100000000+('Dvd Calendar'!$X$2237='Field Check'!$C$25)*10000000+(N('Dvd Calendar'!$X$2231)&gt;0)*1000000+8*1000+60))</f>
        <v/>
      </c>
      <c r="BK164" s="41">
        <f>IF(N('Dvd Calendar'!$Y$2232)=0,"",IF(('Dvd Calendar'!$Y$2232&gt;=MIN(DATE(Summary!$C$12,1,1),Summary!$C$11))*('Dvd Calendar'!$Y$2232&lt;=MAX(DATE(Summary!$C$12,12,31),Summary!$C$15))*('Dvd Calendar'!$Y$2232&gt;Summary!$C$11)=0,"",'Dvd Calendar'!$Y$2232*1000000000+ISNUMBER('Dvd Calendar'!$Y$2233)*100000000+('Dvd Calendar'!$Y$2237='Field Check'!$C$25)*10000000+(N('Dvd Calendar'!$Y$2231)&gt;0)*1000000+8*1000+61))</f>
        <v/>
      </c>
      <c r="BL164" s="41">
        <f>IF(N('Dvd Calendar'!$Z$2232)=0,"",IF(('Dvd Calendar'!$Z$2232&gt;=MIN(DATE(Summary!$C$12,1,1),Summary!$C$11))*('Dvd Calendar'!$Z$2232&lt;=MAX(DATE(Summary!$C$12,12,31),Summary!$C$15))*('Dvd Calendar'!$Z$2232&gt;Summary!$C$11)=0,"",'Dvd Calendar'!$Z$2232*1000000000+ISNUMBER('Dvd Calendar'!$Z$2233)*100000000+('Dvd Calendar'!$Z$2237='Field Check'!$C$25)*10000000+(N('Dvd Calendar'!$Z$2231)&gt;0)*1000000+8*1000+62))</f>
        <v/>
      </c>
      <c r="BM164" s="41">
        <f>IF(N('Dvd Calendar'!$AA$2232)=0,"",IF(('Dvd Calendar'!$AA$2232&gt;=MIN(DATE(Summary!$C$12,1,1),Summary!$C$11))*('Dvd Calendar'!$AA$2232&lt;=MAX(DATE(Summary!$C$12,12,31),Summary!$C$15))*('Dvd Calendar'!$AA$2232&gt;Summary!$C$11)=0,"",'Dvd Calendar'!$AA$2232*1000000000+ISNUMBER('Dvd Calendar'!$AA$2233)*100000000+('Dvd Calendar'!$AA$2237='Field Check'!$C$25)*10000000+(N('Dvd Calendar'!$AA$2231)&gt;0)*1000000+8*1000+63))</f>
        <v/>
      </c>
      <c r="BN164" s="41">
        <f>IF(N('Dvd Calendar'!$AB$2232)=0,"",IF(('Dvd Calendar'!$AB$2232&gt;=MIN(DATE(Summary!$C$12,1,1),Summary!$C$11))*('Dvd Calendar'!$AB$2232&lt;=MAX(DATE(Summary!$C$12,12,31),Summary!$C$15))*('Dvd Calendar'!$AB$2232&gt;Summary!$C$11)=0,"",'Dvd Calendar'!$AB$2232*1000000000+ISNUMBER('Dvd Calendar'!$AB$2233)*100000000+('Dvd Calendar'!$AB$2237='Field Check'!$C$25)*10000000+(N('Dvd Calendar'!$AB$2231)&gt;0)*1000000+8*1000+64))</f>
        <v/>
      </c>
      <c r="BO164" s="41">
        <f>IF(N('Dvd Calendar'!$AC$2232)=0,"",IF(('Dvd Calendar'!$AC$2232&gt;=MIN(DATE(Summary!$C$12,1,1),Summary!$C$11))*('Dvd Calendar'!$AC$2232&lt;=MAX(DATE(Summary!$C$12,12,31),Summary!$C$15))*('Dvd Calendar'!$AC$2232&gt;Summary!$C$11)=0,"",'Dvd Calendar'!$AC$2232*1000000000+ISNUMBER('Dvd Calendar'!$AC$2233)*100000000+('Dvd Calendar'!$AC$2237='Field Check'!$C$25)*10000000+(N('Dvd Calendar'!$AC$2231)&gt;0)*1000000+8*1000+65))</f>
        <v/>
      </c>
      <c r="BQ164" s="85">
        <f>IF(C164="","",IF(ISNUMBER('Dvd Calendar'!$E$2226)=FALSE,"",IF((Summary!$C$13="N")*('Dvd Calendar'!$E$2230='Field Check'!$C$25)&gt;0,"",'Dvd Calendar'!$E$2226)))</f>
        <v/>
      </c>
      <c r="BR164" s="85">
        <f>IF(D164="","",IF(ISNUMBER('Dvd Calendar'!$F$2226)=FALSE,"",IF((Summary!$C$13="N")*('Dvd Calendar'!$F$2230='Field Check'!$C$25)&gt;0,"",'Dvd Calendar'!$F$2226)))</f>
        <v/>
      </c>
      <c r="BS164" s="85">
        <f>IF(E164="","",IF(ISNUMBER('Dvd Calendar'!$G$2226)=FALSE,"",IF((Summary!$C$13="N")*('Dvd Calendar'!$G$2230='Field Check'!$C$25)&gt;0,"",'Dvd Calendar'!$G$2226)))</f>
        <v/>
      </c>
      <c r="BT164" s="85">
        <f>IF(F164="","",IF(ISNUMBER('Dvd Calendar'!$H$2226)=FALSE,"",IF((Summary!$C$13="N")*('Dvd Calendar'!$H$2230='Field Check'!$C$25)&gt;0,"",'Dvd Calendar'!$H$2226)))</f>
        <v/>
      </c>
      <c r="BU164" s="85">
        <f>IF(G164="","",IF(ISNUMBER('Dvd Calendar'!$I$2226)=FALSE,"",IF((Summary!$C$13="N")*('Dvd Calendar'!$I$2230='Field Check'!$C$25)&gt;0,"",'Dvd Calendar'!$I$2226)))</f>
        <v/>
      </c>
      <c r="BV164" s="85">
        <f>IF(H164="","",IF(ISNUMBER('Dvd Calendar'!$J$2226)=FALSE,"",IF((Summary!$C$13="N")*('Dvd Calendar'!$J$2230='Field Check'!$C$25)&gt;0,"",'Dvd Calendar'!$J$2226)))</f>
        <v/>
      </c>
      <c r="BW164" s="85">
        <f>IF(I164="","",IF(ISNUMBER('Dvd Calendar'!$K$2226)=FALSE,"",IF((Summary!$C$13="N")*('Dvd Calendar'!$K$2230='Field Check'!$C$25)&gt;0,"",'Dvd Calendar'!$K$2226)))</f>
        <v/>
      </c>
      <c r="BX164" s="85">
        <f>IF(J164="","",IF(ISNUMBER('Dvd Calendar'!$L$2226)=FALSE,"",IF((Summary!$C$13="N")*('Dvd Calendar'!$L$2230='Field Check'!$C$25)&gt;0,"",'Dvd Calendar'!$L$2226)))</f>
        <v/>
      </c>
      <c r="BY164" s="85">
        <f>IF(K164="","",IF(ISNUMBER('Dvd Calendar'!$M$2226)=FALSE,"",IF((Summary!$C$13="N")*('Dvd Calendar'!$M$2230='Field Check'!$C$25)&gt;0,"",'Dvd Calendar'!$M$2226)))</f>
        <v/>
      </c>
      <c r="BZ164" s="85">
        <f>IF(L164="","",IF(ISNUMBER('Dvd Calendar'!$N$2226)=FALSE,"",IF((Summary!$C$13="N")*('Dvd Calendar'!$N$2230='Field Check'!$C$25)&gt;0,"",'Dvd Calendar'!$N$2226)))</f>
        <v/>
      </c>
      <c r="CA164" s="85">
        <f>IF(M164="","",IF(ISNUMBER('Dvd Calendar'!$O$2226)=FALSE,"",IF((Summary!$C$13="N")*('Dvd Calendar'!$O$2230='Field Check'!$C$25)&gt;0,"",'Dvd Calendar'!$O$2226)))</f>
        <v/>
      </c>
      <c r="CB164" s="85">
        <f>IF(N164="","",IF(ISNUMBER('Dvd Calendar'!$P$2226)=FALSE,"",IF((Summary!$C$13="N")*('Dvd Calendar'!$P$2230='Field Check'!$C$25)&gt;0,"",'Dvd Calendar'!$P$2226)))</f>
        <v/>
      </c>
      <c r="CC164" s="85">
        <f>IF(O164="","",IF(ISNUMBER('Dvd Calendar'!$Q$2226)=FALSE,"",IF((Summary!$C$13="N")*('Dvd Calendar'!$Q$2230='Field Check'!$C$25)&gt;0,"",'Dvd Calendar'!$Q$2226)))</f>
        <v/>
      </c>
      <c r="CD164" s="85">
        <f>IF(P164="","",IF(ISNUMBER('Dvd Calendar'!$R$2226)=FALSE,"",IF((Summary!$C$13="N")*('Dvd Calendar'!$R$2230='Field Check'!$C$25)&gt;0,"",'Dvd Calendar'!$R$2226)))</f>
        <v/>
      </c>
      <c r="CE164" s="85">
        <f>IF(Q164="","",IF(ISNUMBER('Dvd Calendar'!$S$2226)=FALSE,"",IF((Summary!$C$13="N")*('Dvd Calendar'!$S$2230='Field Check'!$C$25)&gt;0,"",'Dvd Calendar'!$S$2226)))</f>
        <v/>
      </c>
      <c r="CF164" s="85">
        <f>IF(R164="","",IF(ISNUMBER('Dvd Calendar'!$T$2226)=FALSE,"",IF((Summary!$C$13="N")*('Dvd Calendar'!$T$2230='Field Check'!$C$25)&gt;0,"",'Dvd Calendar'!$T$2226)))</f>
        <v/>
      </c>
      <c r="CG164" s="85">
        <f>IF(S164="","",IF(ISNUMBER('Dvd Calendar'!$U$2226)=FALSE,"",IF((Summary!$C$13="N")*('Dvd Calendar'!$U$2230='Field Check'!$C$25)&gt;0,"",'Dvd Calendar'!$U$2226)))</f>
        <v/>
      </c>
      <c r="CH164" s="85">
        <f>IF(T164="","",IF(ISNUMBER('Dvd Calendar'!$V$2226)=FALSE,"",IF((Summary!$C$13="N")*('Dvd Calendar'!$V$2230='Field Check'!$C$25)&gt;0,"",'Dvd Calendar'!$V$2226)))</f>
        <v/>
      </c>
      <c r="CI164" s="85">
        <f>IF(U164="","",IF(ISNUMBER('Dvd Calendar'!$W$2226)=FALSE,"",IF((Summary!$C$13="N")*('Dvd Calendar'!$W$2230='Field Check'!$C$25)&gt;0,"",'Dvd Calendar'!$W$2226)))</f>
        <v/>
      </c>
      <c r="CJ164" s="85">
        <f>IF(V164="","",IF(ISNUMBER('Dvd Calendar'!$X$2226)=FALSE,"",IF((Summary!$C$13="N")*('Dvd Calendar'!$X$2230='Field Check'!$C$25)&gt;0,"",'Dvd Calendar'!$X$2226)))</f>
        <v/>
      </c>
      <c r="CK164" s="85">
        <f>IF(W164="","",IF(ISNUMBER('Dvd Calendar'!$Y$2226)=FALSE,"",IF((Summary!$C$13="N")*('Dvd Calendar'!$Y$2230='Field Check'!$C$25)&gt;0,"",'Dvd Calendar'!$Y$2226)))</f>
        <v/>
      </c>
      <c r="CL164" s="85">
        <f>IF(X164="","",IF(ISNUMBER('Dvd Calendar'!$Z$2226)=FALSE,"",IF((Summary!$C$13="N")*('Dvd Calendar'!$Z$2230='Field Check'!$C$25)&gt;0,"",'Dvd Calendar'!$Z$2226)))</f>
        <v/>
      </c>
      <c r="CM164" s="85">
        <f>IF(Y164="","",IF(ISNUMBER('Dvd Calendar'!$AA$2226)=FALSE,"",IF((Summary!$C$13="N")*('Dvd Calendar'!$AA$2230='Field Check'!$C$25)&gt;0,"",'Dvd Calendar'!$AA$2226)))</f>
        <v/>
      </c>
      <c r="CN164" s="85">
        <f>IF(Z164="","",IF(ISNUMBER('Dvd Calendar'!$AB$2226)=FALSE,"",IF((Summary!$C$13="N")*('Dvd Calendar'!$AB$2230='Field Check'!$C$25)&gt;0,"",'Dvd Calendar'!$AB$2226)))</f>
        <v/>
      </c>
      <c r="CO164" s="85">
        <f>IF(AA164="","",IF(ISNUMBER('Dvd Calendar'!$AC$2226)=FALSE,"",IF((Summary!$C$13="N")*('Dvd Calendar'!$AC$2230='Field Check'!$C$25)&gt;0,"",'Dvd Calendar'!$AC$2226)))</f>
        <v/>
      </c>
      <c r="CP164" s="85">
        <f>IF(AB164="","",IF(ISNUMBER('Dvd Calendar'!$AD$2226)=FALSE,"",IF((Summary!$C$13="N")*('Dvd Calendar'!$AD$2230='Field Check'!$C$25)&gt;0,"",'Dvd Calendar'!$AD$2226)))</f>
        <v/>
      </c>
      <c r="CQ164" s="85">
        <f>IF(AC164="","",IF(ISNUMBER('Dvd Calendar'!$AE$2226)=FALSE,"",IF((Summary!$C$13="N")*('Dvd Calendar'!$AE$2230='Field Check'!$C$25)&gt;0,"",'Dvd Calendar'!$AE$2226)))</f>
        <v/>
      </c>
      <c r="CR164" s="85">
        <f>IF(AD164="","",IF(ISNUMBER('Dvd Calendar'!$AF$2226)=FALSE,"",IF((Summary!$C$13="N")*('Dvd Calendar'!$AF$2230='Field Check'!$C$25)&gt;0,"",'Dvd Calendar'!$AF$2226)))</f>
        <v/>
      </c>
      <c r="CS164" s="85">
        <f>IF(AE164="","",IF(ISNUMBER('Dvd Calendar'!$AG$2226)=FALSE,"",IF((Summary!$C$13="N")*('Dvd Calendar'!$AG$2230='Field Check'!$C$25)&gt;0,"",'Dvd Calendar'!$AG$2226)))</f>
        <v/>
      </c>
      <c r="CT164" s="85">
        <f>IF(AF164="","",IF(ISNUMBER('Dvd Calendar'!$AH$2226)=FALSE,"",IF((Summary!$C$13="N")*('Dvd Calendar'!$AH$2230='Field Check'!$C$25)&gt;0,"",'Dvd Calendar'!$AH$2226)))</f>
        <v/>
      </c>
      <c r="CU164" s="85">
        <f>IF(AG164="","",IF(ISNUMBER('Dvd Calendar'!$AI$2226)=FALSE,"",IF((Summary!$C$13="N")*('Dvd Calendar'!$AI$2230='Field Check'!$C$25)&gt;0,"",'Dvd Calendar'!$AI$2226)))</f>
        <v/>
      </c>
      <c r="CV164" s="85">
        <f>IF(AH164="","",IF(ISNUMBER('Dvd Calendar'!$AJ$2226)=FALSE,"",IF((Summary!$C$13="N")*('Dvd Calendar'!$AJ$2230='Field Check'!$C$25)&gt;0,"",'Dvd Calendar'!$AJ$2226)))</f>
        <v/>
      </c>
      <c r="CW164" s="85">
        <f>IF(AI164="","",IF(ISNUMBER('Dvd Calendar'!$AK$2226)=FALSE,"",IF((Summary!$C$13="N")*('Dvd Calendar'!$AK$2230='Field Check'!$C$25)&gt;0,"",'Dvd Calendar'!$AK$2226)))</f>
        <v/>
      </c>
      <c r="CX164" s="85">
        <f>IF(AJ164="","",IF(ISNUMBER('Dvd Calendar'!$AL$2226)=FALSE,"",IF((Summary!$C$13="N")*('Dvd Calendar'!$AL$2230='Field Check'!$C$25)&gt;0,"",'Dvd Calendar'!$AL$2226)))</f>
        <v/>
      </c>
      <c r="CY164" s="85">
        <f>IF(AK164="","",IF(ISNUMBER('Dvd Calendar'!$AM$2226)=FALSE,"",IF((Summary!$C$13="N")*('Dvd Calendar'!$AM$2230='Field Check'!$C$25)&gt;0,"",'Dvd Calendar'!$AM$2226)))</f>
        <v/>
      </c>
      <c r="CZ164" s="85">
        <f>IF(AL164="","",IF(ISNUMBER('Dvd Calendar'!$AN$2226)=FALSE,"",IF((Summary!$C$13="N")*('Dvd Calendar'!$AN$2230='Field Check'!$C$25)&gt;0,"",'Dvd Calendar'!$AN$2226)))</f>
        <v/>
      </c>
      <c r="DA164" s="85">
        <f>IF(AM164="","",IF(ISNUMBER('Dvd Calendar'!$AO$2226)=FALSE,"",IF((Summary!$C$13="N")*('Dvd Calendar'!$AO$2230='Field Check'!$C$25)&gt;0,"",'Dvd Calendar'!$AO$2226)))</f>
        <v/>
      </c>
      <c r="DB164" s="85">
        <f>IF(AN164="","",IF(ISNUMBER('Dvd Calendar'!$AP$2226)=FALSE,"",IF((Summary!$C$13="N")*('Dvd Calendar'!$AP$2230='Field Check'!$C$25)&gt;0,"",'Dvd Calendar'!$AP$2226)))</f>
        <v/>
      </c>
      <c r="DC164" s="85">
        <f>IF(AO164="","",IF(ISNUMBER('Dvd Calendar'!$AQ$2226)=FALSE,"",IF((Summary!$C$13="N")*('Dvd Calendar'!$AQ$2230='Field Check'!$C$25)&gt;0,"",'Dvd Calendar'!$AQ$2226)))</f>
        <v/>
      </c>
      <c r="DD164" s="85">
        <f>IF(AP164="","",IF(ISNUMBER('Dvd Calendar'!$AR$2226)=FALSE,"",IF((Summary!$C$13="N")*('Dvd Calendar'!$AR$2230='Field Check'!$C$25)&gt;0,"",'Dvd Calendar'!$AR$2226)))</f>
        <v/>
      </c>
      <c r="DE164" s="85">
        <f>IF(AQ164="","",IF(ISNUMBER('Dvd Calendar'!$E$2233)=FALSE,"",IF((Summary!$C$13="N")*('Dvd Calendar'!$E$2237='Field Check'!$C$25)&gt;0,"",'Dvd Calendar'!$E$2233)))</f>
        <v/>
      </c>
      <c r="DF164" s="85">
        <f>IF(AR164="","",IF(ISNUMBER('Dvd Calendar'!$F$2233)=FALSE,"",IF((Summary!$C$13="N")*('Dvd Calendar'!$F$2237='Field Check'!$C$25)&gt;0,"",'Dvd Calendar'!$F$2233)))</f>
        <v/>
      </c>
      <c r="DG164" s="85">
        <f>IF(AS164="","",IF(ISNUMBER('Dvd Calendar'!$G$2233)=FALSE,"",IF((Summary!$C$13="N")*('Dvd Calendar'!$G$2237='Field Check'!$C$25)&gt;0,"",'Dvd Calendar'!$G$2233)))</f>
        <v/>
      </c>
      <c r="DH164" s="85">
        <f>IF(AT164="","",IF(ISNUMBER('Dvd Calendar'!$H$2233)=FALSE,"",IF((Summary!$C$13="N")*('Dvd Calendar'!$H$2237='Field Check'!$C$25)&gt;0,"",'Dvd Calendar'!$H$2233)))</f>
        <v/>
      </c>
      <c r="DI164" s="85">
        <f>IF(AU164="","",IF(ISNUMBER('Dvd Calendar'!$I$2233)=FALSE,"",IF((Summary!$C$13="N")*('Dvd Calendar'!$I$2237='Field Check'!$C$25)&gt;0,"",'Dvd Calendar'!$I$2233)))</f>
        <v/>
      </c>
      <c r="DJ164" s="85">
        <f>IF(AV164="","",IF(ISNUMBER('Dvd Calendar'!$J$2233)=FALSE,"",IF((Summary!$C$13="N")*('Dvd Calendar'!$J$2237='Field Check'!$C$25)&gt;0,"",'Dvd Calendar'!$J$2233)))</f>
        <v/>
      </c>
      <c r="DK164" s="85">
        <f>IF(AW164="","",IF(ISNUMBER('Dvd Calendar'!$K$2233)=FALSE,"",IF((Summary!$C$13="N")*('Dvd Calendar'!$K$2237='Field Check'!$C$25)&gt;0,"",'Dvd Calendar'!$K$2233)))</f>
        <v/>
      </c>
      <c r="DL164" s="85">
        <f>IF(AX164="","",IF(ISNUMBER('Dvd Calendar'!$L$2233)=FALSE,"",IF((Summary!$C$13="N")*('Dvd Calendar'!$L$2237='Field Check'!$C$25)&gt;0,"",'Dvd Calendar'!$L$2233)))</f>
        <v/>
      </c>
      <c r="DM164" s="85">
        <f>IF(AY164="","",IF(ISNUMBER('Dvd Calendar'!$M$2233)=FALSE,"",IF((Summary!$C$13="N")*('Dvd Calendar'!$M$2237='Field Check'!$C$25)&gt;0,"",'Dvd Calendar'!$M$2233)))</f>
        <v/>
      </c>
      <c r="DN164" s="85">
        <f>IF(AZ164="","",IF(ISNUMBER('Dvd Calendar'!$N$2233)=FALSE,"",IF((Summary!$C$13="N")*('Dvd Calendar'!$N$2237='Field Check'!$C$25)&gt;0,"",'Dvd Calendar'!$N$2233)))</f>
        <v/>
      </c>
      <c r="DO164" s="85">
        <f>IF(BA164="","",IF(ISNUMBER('Dvd Calendar'!$O$2233)=FALSE,"",IF((Summary!$C$13="N")*('Dvd Calendar'!$O$2237='Field Check'!$C$25)&gt;0,"",'Dvd Calendar'!$O$2233)))</f>
        <v/>
      </c>
      <c r="DP164" s="85">
        <f>IF(BB164="","",IF(ISNUMBER('Dvd Calendar'!$P$2233)=FALSE,"",IF((Summary!$C$13="N")*('Dvd Calendar'!$P$2237='Field Check'!$C$25)&gt;0,"",'Dvd Calendar'!$P$2233)))</f>
        <v/>
      </c>
      <c r="DQ164" s="85">
        <f>IF(BC164="","",IF(ISNUMBER('Dvd Calendar'!$Q$2233)=FALSE,"",IF((Summary!$C$13="N")*('Dvd Calendar'!$Q$2237='Field Check'!$C$25)&gt;0,"",'Dvd Calendar'!$Q$2233)))</f>
        <v/>
      </c>
      <c r="DR164" s="85">
        <f>IF(BD164="","",IF(ISNUMBER('Dvd Calendar'!$R$2233)=FALSE,"",IF((Summary!$C$13="N")*('Dvd Calendar'!$R$2237='Field Check'!$C$25)&gt;0,"",'Dvd Calendar'!$R$2233)))</f>
        <v/>
      </c>
      <c r="DS164" s="85">
        <f>IF(BE164="","",IF(ISNUMBER('Dvd Calendar'!$S$2233)=FALSE,"",IF((Summary!$C$13="N")*('Dvd Calendar'!$S$2237='Field Check'!$C$25)&gt;0,"",'Dvd Calendar'!$S$2233)))</f>
        <v/>
      </c>
      <c r="DT164" s="85">
        <f>IF(BF164="","",IF(ISNUMBER('Dvd Calendar'!$T$2233)=FALSE,"",IF((Summary!$C$13="N")*('Dvd Calendar'!$T$2237='Field Check'!$C$25)&gt;0,"",'Dvd Calendar'!$T$2233)))</f>
        <v/>
      </c>
      <c r="DU164" s="85">
        <f>IF(BG164="","",IF(ISNUMBER('Dvd Calendar'!$U$2233)=FALSE,"",IF((Summary!$C$13="N")*('Dvd Calendar'!$U$2237='Field Check'!$C$25)&gt;0,"",'Dvd Calendar'!$U$2233)))</f>
        <v/>
      </c>
      <c r="DV164" s="85">
        <f>IF(BH164="","",IF(ISNUMBER('Dvd Calendar'!$V$2233)=FALSE,"",IF((Summary!$C$13="N")*('Dvd Calendar'!$V$2237='Field Check'!$C$25)&gt;0,"",'Dvd Calendar'!$V$2233)))</f>
        <v/>
      </c>
      <c r="DW164" s="85">
        <f>IF(BI164="","",IF(ISNUMBER('Dvd Calendar'!$W$2233)=FALSE,"",IF((Summary!$C$13="N")*('Dvd Calendar'!$W$2237='Field Check'!$C$25)&gt;0,"",'Dvd Calendar'!$W$2233)))</f>
        <v/>
      </c>
      <c r="DX164" s="85">
        <f>IF(BJ164="","",IF(ISNUMBER('Dvd Calendar'!$X$2233)=FALSE,"",IF((Summary!$C$13="N")*('Dvd Calendar'!$X$2237='Field Check'!$C$25)&gt;0,"",'Dvd Calendar'!$X$2233)))</f>
        <v/>
      </c>
      <c r="DY164" s="85">
        <f>IF(BK164="","",IF(ISNUMBER('Dvd Calendar'!$Y$2233)=FALSE,"",IF((Summary!$C$13="N")*('Dvd Calendar'!$Y$2237='Field Check'!$C$25)&gt;0,"",'Dvd Calendar'!$Y$2233)))</f>
        <v/>
      </c>
      <c r="DZ164" s="85">
        <f>IF(BL164="","",IF(ISNUMBER('Dvd Calendar'!$Z$2233)=FALSE,"",IF((Summary!$C$13="N")*('Dvd Calendar'!$Z$2237='Field Check'!$C$25)&gt;0,"",'Dvd Calendar'!$Z$2233)))</f>
        <v/>
      </c>
      <c r="EA164" s="85">
        <f>IF(BM164="","",IF(ISNUMBER('Dvd Calendar'!$AA$2233)=FALSE,"",IF((Summary!$C$13="N")*('Dvd Calendar'!$AA$2237='Field Check'!$C$25)&gt;0,"",'Dvd Calendar'!$AA$2233)))</f>
        <v/>
      </c>
      <c r="EB164" s="85">
        <f>IF(BN164="","",IF(ISNUMBER('Dvd Calendar'!$AB$2233)=FALSE,"",IF((Summary!$C$13="N")*('Dvd Calendar'!$AB$2237='Field Check'!$C$25)&gt;0,"",'Dvd Calendar'!$AB$2233)))</f>
        <v/>
      </c>
      <c r="EC164" s="85">
        <f>IF(BO164="","",IF(ISNUMBER('Dvd Calendar'!$AC$2233)=FALSE,"",IF((Summary!$C$13="N")*('Dvd Calendar'!$AC$2237='Field Check'!$C$25)&gt;0,"",'Dvd Calendar'!$AC$2233)))</f>
        <v/>
      </c>
      <c r="EE164" s="85">
        <f>IF(BQ164="","",IFERROR(BQ164*HSCEI!$B$14*HSCEI!$G$14/HSCEI!$B$3,""))</f>
        <v/>
      </c>
      <c r="EF164" s="85">
        <f>IF(BR164="","",IFERROR(BR164*HSCEI!$B$14*HSCEI!$G$14/HSCEI!$B$3,""))</f>
        <v/>
      </c>
      <c r="EG164" s="85">
        <f>IF(BS164="","",IFERROR(BS164*HSCEI!$B$14*HSCEI!$G$14/HSCEI!$B$3,""))</f>
        <v/>
      </c>
      <c r="EH164" s="85">
        <f>IF(BT164="","",IFERROR(BT164*HSCEI!$B$14*HSCEI!$G$14/HSCEI!$B$3,""))</f>
        <v/>
      </c>
      <c r="EI164" s="85">
        <f>IF(BU164="","",IFERROR(BU164*HSCEI!$B$14*HSCEI!$G$14/HSCEI!$B$3,""))</f>
        <v/>
      </c>
      <c r="EJ164" s="85">
        <f>IF(BV164="","",IFERROR(BV164*HSCEI!$B$14*HSCEI!$G$14/HSCEI!$B$3,""))</f>
        <v/>
      </c>
      <c r="EK164" s="85">
        <f>IF(BW164="","",IFERROR(BW164*HSCEI!$B$14*HSCEI!$G$14/HSCEI!$B$3,""))</f>
        <v/>
      </c>
      <c r="EL164" s="85">
        <f>IF(BX164="","",IFERROR(BX164*HSCEI!$B$14*HSCEI!$G$14/HSCEI!$B$3,""))</f>
        <v/>
      </c>
      <c r="EM164" s="85">
        <f>IF(BY164="","",IFERROR(BY164*HSCEI!$B$14*HSCEI!$G$14/HSCEI!$B$3,""))</f>
        <v/>
      </c>
      <c r="EN164" s="85">
        <f>IF(BZ164="","",IFERROR(BZ164*HSCEI!$B$14*HSCEI!$G$14/HSCEI!$B$3,""))</f>
        <v/>
      </c>
      <c r="EO164" s="85">
        <f>IF(CA164="","",IFERROR(CA164*HSCEI!$B$14*HSCEI!$G$14/HSCEI!$B$3,""))</f>
        <v/>
      </c>
      <c r="EP164" s="85">
        <f>IF(CB164="","",IFERROR(CB164*HSCEI!$B$14*HSCEI!$G$14/HSCEI!$B$3,""))</f>
        <v/>
      </c>
      <c r="EQ164" s="85">
        <f>IF(CC164="","",IFERROR(CC164*HSCEI!$B$14*HSCEI!$G$14/HSCEI!$B$3,""))</f>
        <v/>
      </c>
      <c r="ER164" s="85">
        <f>IF(CD164="","",IFERROR(CD164*HSCEI!$B$14*HSCEI!$G$14/HSCEI!$B$3,""))</f>
        <v/>
      </c>
      <c r="ES164" s="85">
        <f>IF(CE164="","",IFERROR(CE164*HSCEI!$B$14*HSCEI!$G$14/HSCEI!$B$3,""))</f>
        <v/>
      </c>
      <c r="ET164" s="85">
        <f>IF(CF164="","",IFERROR(CF164*HSCEI!$B$14*HSCEI!$G$14/HSCEI!$B$3,""))</f>
        <v/>
      </c>
      <c r="EU164" s="85">
        <f>IF(CG164="","",IFERROR(CG164*HSCEI!$B$14*HSCEI!$G$14/HSCEI!$B$3,""))</f>
        <v/>
      </c>
      <c r="EV164" s="85">
        <f>IF(CH164="","",IFERROR(CH164*HSCEI!$B$14*HSCEI!$G$14/HSCEI!$B$3,""))</f>
        <v/>
      </c>
      <c r="EW164" s="85">
        <f>IF(CI164="","",IFERROR(CI164*HSCEI!$B$14*HSCEI!$G$14/HSCEI!$B$3,""))</f>
        <v/>
      </c>
      <c r="EX164" s="85">
        <f>IF(CJ164="","",IFERROR(CJ164*HSCEI!$B$14*HSCEI!$G$14/HSCEI!$B$3,""))</f>
        <v/>
      </c>
      <c r="EY164" s="85">
        <f>IF(CK164="","",IFERROR(CK164*HSCEI!$B$14*HSCEI!$G$14/HSCEI!$B$3,""))</f>
        <v/>
      </c>
      <c r="EZ164" s="85">
        <f>IF(CL164="","",IFERROR(CL164*HSCEI!$B$14*HSCEI!$G$14/HSCEI!$B$3,""))</f>
        <v/>
      </c>
      <c r="FA164" s="85">
        <f>IF(CM164="","",IFERROR(CM164*HSCEI!$B$14*HSCEI!$G$14/HSCEI!$B$3,""))</f>
        <v/>
      </c>
      <c r="FB164" s="85">
        <f>IF(CN164="","",IFERROR(CN164*HSCEI!$B$14*HSCEI!$G$14/HSCEI!$B$3,""))</f>
        <v/>
      </c>
      <c r="FC164" s="85">
        <f>IF(CO164="","",IFERROR(CO164*HSCEI!$B$14*HSCEI!$G$14/HSCEI!$B$3,""))</f>
        <v/>
      </c>
      <c r="FD164" s="85">
        <f>IF(CP164="","",IFERROR(CP164*HSCEI!$B$14*HSCEI!$G$14/HSCEI!$B$3,""))</f>
        <v/>
      </c>
      <c r="FE164" s="85">
        <f>IF(CQ164="","",IFERROR(CQ164*HSCEI!$B$14*HSCEI!$G$14/HSCEI!$B$3,""))</f>
        <v/>
      </c>
      <c r="FF164" s="85">
        <f>IF(CR164="","",IFERROR(CR164*HSCEI!$B$14*HSCEI!$G$14/HSCEI!$B$3,""))</f>
        <v/>
      </c>
      <c r="FG164" s="85">
        <f>IF(CS164="","",IFERROR(CS164*HSCEI!$B$14*HSCEI!$G$14/HSCEI!$B$3,""))</f>
        <v/>
      </c>
      <c r="FH164" s="85">
        <f>IF(CT164="","",IFERROR(CT164*HSCEI!$B$14*HSCEI!$G$14/HSCEI!$B$3,""))</f>
        <v/>
      </c>
      <c r="FI164" s="85">
        <f>IF(CU164="","",IFERROR(CU164*HSCEI!$B$14*HSCEI!$G$14/HSCEI!$B$3,""))</f>
        <v/>
      </c>
      <c r="FJ164" s="85">
        <f>IF(CV164="","",IFERROR(CV164*HSCEI!$B$14*HSCEI!$G$14/HSCEI!$B$3,""))</f>
        <v/>
      </c>
      <c r="FK164" s="85">
        <f>IF(CW164="","",IFERROR(CW164*HSCEI!$B$14*HSCEI!$G$14/HSCEI!$B$3,""))</f>
        <v/>
      </c>
      <c r="FL164" s="85">
        <f>IF(CX164="","",IFERROR(CX164*HSCEI!$B$14*HSCEI!$G$14/HSCEI!$B$3,""))</f>
        <v/>
      </c>
      <c r="FM164" s="85">
        <f>IF(CY164="","",IFERROR(CY164*HSCEI!$B$14*HSCEI!$G$14/HSCEI!$B$3,""))</f>
        <v/>
      </c>
      <c r="FN164" s="85">
        <f>IF(CZ164="","",IFERROR(CZ164*HSCEI!$B$14*HSCEI!$G$14/HSCEI!$B$3,""))</f>
        <v/>
      </c>
      <c r="FO164" s="85">
        <f>IF(DA164="","",IFERROR(DA164*HSCEI!$B$14*HSCEI!$G$14/HSCEI!$B$3,""))</f>
        <v/>
      </c>
      <c r="FP164" s="85">
        <f>IF(DB164="","",IFERROR(DB164*HSCEI!$B$14*HSCEI!$G$14/HSCEI!$B$3,""))</f>
        <v/>
      </c>
      <c r="FQ164" s="85">
        <f>IF(DC164="","",IFERROR(DC164*HSCEI!$B$14*HSCEI!$G$14/HSCEI!$B$3,""))</f>
        <v/>
      </c>
      <c r="FR164" s="85">
        <f>IF(DD164="","",IFERROR(DD164*HSCEI!$B$14*HSCEI!$G$14/HSCEI!$B$3,""))</f>
        <v/>
      </c>
      <c r="FS164" s="85">
        <f>IF(DE164="","",IFERROR(DE164*HSCEI!$B$14*HSCEI!$G$14/HSCEI!$B$3,""))</f>
        <v/>
      </c>
      <c r="FT164" s="85">
        <f>IF(DF164="","",IFERROR(DF164*HSCEI!$B$14*HSCEI!$G$14/HSCEI!$B$3,""))</f>
        <v/>
      </c>
      <c r="FU164" s="85">
        <f>IF(DG164="","",IFERROR(DG164*HSCEI!$B$14*HSCEI!$G$14/HSCEI!$B$3,""))</f>
        <v/>
      </c>
      <c r="FV164" s="85">
        <f>IF(DH164="","",IFERROR(DH164*HSCEI!$B$14*HSCEI!$G$14/HSCEI!$B$3,""))</f>
        <v/>
      </c>
      <c r="FW164" s="85">
        <f>IF(DI164="","",IFERROR(DI164*HSCEI!$B$14*HSCEI!$G$14/HSCEI!$B$3,""))</f>
        <v/>
      </c>
      <c r="FX164" s="85">
        <f>IF(DJ164="","",IFERROR(DJ164*HSCEI!$B$14*HSCEI!$G$14/HSCEI!$B$3,""))</f>
        <v/>
      </c>
      <c r="FY164" s="85">
        <f>IF(DK164="","",IFERROR(DK164*HSCEI!$B$14*HSCEI!$G$14/HSCEI!$B$3,""))</f>
        <v/>
      </c>
      <c r="FZ164" s="85">
        <f>IF(DL164="","",IFERROR(DL164*HSCEI!$B$14*HSCEI!$G$14/HSCEI!$B$3,""))</f>
        <v/>
      </c>
      <c r="GA164" s="85">
        <f>IF(DM164="","",IFERROR(DM164*HSCEI!$B$14*HSCEI!$G$14/HSCEI!$B$3,""))</f>
        <v/>
      </c>
      <c r="GB164" s="85">
        <f>IF(DN164="","",IFERROR(DN164*HSCEI!$B$14*HSCEI!$G$14/HSCEI!$B$3,""))</f>
        <v/>
      </c>
      <c r="GC164" s="85">
        <f>IF(DO164="","",IFERROR(DO164*HSCEI!$B$14*HSCEI!$G$14/HSCEI!$B$3,""))</f>
        <v/>
      </c>
      <c r="GD164" s="85">
        <f>IF(DP164="","",IFERROR(DP164*HSCEI!$B$14*HSCEI!$G$14/HSCEI!$B$3,""))</f>
        <v/>
      </c>
      <c r="GE164" s="85">
        <f>IF(DQ164="","",IFERROR(DQ164*HSCEI!$B$14*HSCEI!$G$14/HSCEI!$B$3,""))</f>
        <v/>
      </c>
      <c r="GF164" s="85">
        <f>IF(DR164="","",IFERROR(DR164*HSCEI!$B$14*HSCEI!$G$14/HSCEI!$B$3,""))</f>
        <v/>
      </c>
      <c r="GG164" s="85">
        <f>IF(DS164="","",IFERROR(DS164*HSCEI!$B$14*HSCEI!$G$14/HSCEI!$B$3,""))</f>
        <v/>
      </c>
      <c r="GH164" s="85">
        <f>IF(DT164="","",IFERROR(DT164*HSCEI!$B$14*HSCEI!$G$14/HSCEI!$B$3,""))</f>
        <v/>
      </c>
      <c r="GI164" s="85">
        <f>IF(DU164="","",IFERROR(DU164*HSCEI!$B$14*HSCEI!$G$14/HSCEI!$B$3,""))</f>
        <v/>
      </c>
      <c r="GJ164" s="85">
        <f>IF(DV164="","",IFERROR(DV164*HSCEI!$B$14*HSCEI!$G$14/HSCEI!$B$3,""))</f>
        <v/>
      </c>
      <c r="GK164" s="85">
        <f>IF(DW164="","",IFERROR(DW164*HSCEI!$B$14*HSCEI!$G$14/HSCEI!$B$3,""))</f>
        <v/>
      </c>
      <c r="GL164" s="85">
        <f>IF(DX164="","",IFERROR(DX164*HSCEI!$B$14*HSCEI!$G$14/HSCEI!$B$3,""))</f>
        <v/>
      </c>
      <c r="GM164" s="85">
        <f>IF(DY164="","",IFERROR(DY164*HSCEI!$B$14*HSCEI!$G$14/HSCEI!$B$3,""))</f>
        <v/>
      </c>
      <c r="GN164" s="85">
        <f>IF(DZ164="","",IFERROR(DZ164*HSCEI!$B$14*HSCEI!$G$14/HSCEI!$B$3,""))</f>
        <v/>
      </c>
      <c r="GO164" s="85">
        <f>IF(EA164="","",IFERROR(EA164*HSCEI!$B$14*HSCEI!$G$14/HSCEI!$B$3,""))</f>
        <v/>
      </c>
      <c r="GP164" s="85">
        <f>IF(EB164="","",IFERROR(EB164*HSCEI!$B$14*HSCEI!$G$14/HSCEI!$B$3,""))</f>
        <v/>
      </c>
      <c r="GQ164" s="85">
        <f>IF(EC164="","",IFERROR(EC164*HSCEI!$B$14*HSCEI!$G$14/HSCEI!$B$3,""))</f>
        <v/>
      </c>
    </row>
    <row r="165">
      <c r="B165" s="2">
        <f>IF(HSCEI!$C$15="","",HSCEI!$C$15)</f>
        <v/>
      </c>
      <c r="C165" s="41">
        <f>IF(N('Dvd Calendar'!$E$2240)=0,"",IF(('Dvd Calendar'!$E$2240&gt;=MIN(DATE(Summary!$C$12,1,1),Summary!$C$11))*('Dvd Calendar'!$E$2240&lt;=MAX(DATE(Summary!$C$12,12,31),Summary!$C$15))*('Dvd Calendar'!$E$2240&lt;=Summary!$C$11)=0,"",'Dvd Calendar'!$E$2240*1000000000+ISNUMBER('Dvd Calendar'!$E$2241)*100000000+('Dvd Calendar'!$E$2245='Field Check'!$C$25)*10000000+(N('Dvd Calendar'!$E$2239)&gt;0)*1000000+9*1000+1))</f>
        <v/>
      </c>
      <c r="D165" s="41">
        <f>IF(N('Dvd Calendar'!$F$2240)=0,"",IF(('Dvd Calendar'!$F$2240&gt;=MIN(DATE(Summary!$C$12,1,1),Summary!$C$11))*('Dvd Calendar'!$F$2240&lt;=MAX(DATE(Summary!$C$12,12,31),Summary!$C$15))*('Dvd Calendar'!$F$2240&lt;=Summary!$C$11)=0,"",'Dvd Calendar'!$F$2240*1000000000+ISNUMBER('Dvd Calendar'!$F$2241)*100000000+('Dvd Calendar'!$F$2245='Field Check'!$C$25)*10000000+(N('Dvd Calendar'!$F$2239)&gt;0)*1000000+9*1000+2))</f>
        <v/>
      </c>
      <c r="E165" s="41">
        <f>IF(N('Dvd Calendar'!$G$2240)=0,"",IF(('Dvd Calendar'!$G$2240&gt;=MIN(DATE(Summary!$C$12,1,1),Summary!$C$11))*('Dvd Calendar'!$G$2240&lt;=MAX(DATE(Summary!$C$12,12,31),Summary!$C$15))*('Dvd Calendar'!$G$2240&lt;=Summary!$C$11)=0,"",'Dvd Calendar'!$G$2240*1000000000+ISNUMBER('Dvd Calendar'!$G$2241)*100000000+('Dvd Calendar'!$G$2245='Field Check'!$C$25)*10000000+(N('Dvd Calendar'!$G$2239)&gt;0)*1000000+9*1000+3))</f>
        <v/>
      </c>
      <c r="F165" s="41">
        <f>IF(N('Dvd Calendar'!$H$2240)=0,"",IF(('Dvd Calendar'!$H$2240&gt;=MIN(DATE(Summary!$C$12,1,1),Summary!$C$11))*('Dvd Calendar'!$H$2240&lt;=MAX(DATE(Summary!$C$12,12,31),Summary!$C$15))*('Dvd Calendar'!$H$2240&lt;=Summary!$C$11)=0,"",'Dvd Calendar'!$H$2240*1000000000+ISNUMBER('Dvd Calendar'!$H$2241)*100000000+('Dvd Calendar'!$H$2245='Field Check'!$C$25)*10000000+(N('Dvd Calendar'!$H$2239)&gt;0)*1000000+9*1000+4))</f>
        <v/>
      </c>
      <c r="G165" s="41">
        <f>IF(N('Dvd Calendar'!$I$2240)=0,"",IF(('Dvd Calendar'!$I$2240&gt;=MIN(DATE(Summary!$C$12,1,1),Summary!$C$11))*('Dvd Calendar'!$I$2240&lt;=MAX(DATE(Summary!$C$12,12,31),Summary!$C$15))*('Dvd Calendar'!$I$2240&lt;=Summary!$C$11)=0,"",'Dvd Calendar'!$I$2240*1000000000+ISNUMBER('Dvd Calendar'!$I$2241)*100000000+('Dvd Calendar'!$I$2245='Field Check'!$C$25)*10000000+(N('Dvd Calendar'!$I$2239)&gt;0)*1000000+9*1000+5))</f>
        <v/>
      </c>
      <c r="H165" s="41">
        <f>IF(N('Dvd Calendar'!$J$2240)=0,"",IF(('Dvd Calendar'!$J$2240&gt;=MIN(DATE(Summary!$C$12,1,1),Summary!$C$11))*('Dvd Calendar'!$J$2240&lt;=MAX(DATE(Summary!$C$12,12,31),Summary!$C$15))*('Dvd Calendar'!$J$2240&lt;=Summary!$C$11)=0,"",'Dvd Calendar'!$J$2240*1000000000+ISNUMBER('Dvd Calendar'!$J$2241)*100000000+('Dvd Calendar'!$J$2245='Field Check'!$C$25)*10000000+(N('Dvd Calendar'!$J$2239)&gt;0)*1000000+9*1000+6))</f>
        <v/>
      </c>
      <c r="I165" s="41">
        <f>IF(N('Dvd Calendar'!$K$2240)=0,"",IF(('Dvd Calendar'!$K$2240&gt;=MIN(DATE(Summary!$C$12,1,1),Summary!$C$11))*('Dvd Calendar'!$K$2240&lt;=MAX(DATE(Summary!$C$12,12,31),Summary!$C$15))*('Dvd Calendar'!$K$2240&lt;=Summary!$C$11)=0,"",'Dvd Calendar'!$K$2240*1000000000+ISNUMBER('Dvd Calendar'!$K$2241)*100000000+('Dvd Calendar'!$K$2245='Field Check'!$C$25)*10000000+(N('Dvd Calendar'!$K$2239)&gt;0)*1000000+9*1000+7))</f>
        <v/>
      </c>
      <c r="J165" s="41">
        <f>IF(N('Dvd Calendar'!$L$2240)=0,"",IF(('Dvd Calendar'!$L$2240&gt;=MIN(DATE(Summary!$C$12,1,1),Summary!$C$11))*('Dvd Calendar'!$L$2240&lt;=MAX(DATE(Summary!$C$12,12,31),Summary!$C$15))*('Dvd Calendar'!$L$2240&lt;=Summary!$C$11)=0,"",'Dvd Calendar'!$L$2240*1000000000+ISNUMBER('Dvd Calendar'!$L$2241)*100000000+('Dvd Calendar'!$L$2245='Field Check'!$C$25)*10000000+(N('Dvd Calendar'!$L$2239)&gt;0)*1000000+9*1000+8))</f>
        <v/>
      </c>
      <c r="K165" s="41">
        <f>IF(N('Dvd Calendar'!$M$2240)=0,"",IF(('Dvd Calendar'!$M$2240&gt;=MIN(DATE(Summary!$C$12,1,1),Summary!$C$11))*('Dvd Calendar'!$M$2240&lt;=MAX(DATE(Summary!$C$12,12,31),Summary!$C$15))*('Dvd Calendar'!$M$2240&lt;=Summary!$C$11)=0,"",'Dvd Calendar'!$M$2240*1000000000+ISNUMBER('Dvd Calendar'!$M$2241)*100000000+('Dvd Calendar'!$M$2245='Field Check'!$C$25)*10000000+(N('Dvd Calendar'!$M$2239)&gt;0)*1000000+9*1000+9))</f>
        <v/>
      </c>
      <c r="L165" s="41">
        <f>IF(N('Dvd Calendar'!$N$2240)=0,"",IF(('Dvd Calendar'!$N$2240&gt;=MIN(DATE(Summary!$C$12,1,1),Summary!$C$11))*('Dvd Calendar'!$N$2240&lt;=MAX(DATE(Summary!$C$12,12,31),Summary!$C$15))*('Dvd Calendar'!$N$2240&lt;=Summary!$C$11)=0,"",'Dvd Calendar'!$N$2240*1000000000+ISNUMBER('Dvd Calendar'!$N$2241)*100000000+('Dvd Calendar'!$N$2245='Field Check'!$C$25)*10000000+(N('Dvd Calendar'!$N$2239)&gt;0)*1000000+9*1000+10))</f>
        <v/>
      </c>
      <c r="M165" s="41">
        <f>IF(N('Dvd Calendar'!$O$2240)=0,"",IF(('Dvd Calendar'!$O$2240&gt;=MIN(DATE(Summary!$C$12,1,1),Summary!$C$11))*('Dvd Calendar'!$O$2240&lt;=MAX(DATE(Summary!$C$12,12,31),Summary!$C$15))*('Dvd Calendar'!$O$2240&lt;=Summary!$C$11)=0,"",'Dvd Calendar'!$O$2240*1000000000+ISNUMBER('Dvd Calendar'!$O$2241)*100000000+('Dvd Calendar'!$O$2245='Field Check'!$C$25)*10000000+(N('Dvd Calendar'!$O$2239)&gt;0)*1000000+9*1000+11))</f>
        <v/>
      </c>
      <c r="N165" s="41">
        <f>IF(N('Dvd Calendar'!$P$2240)=0,"",IF(('Dvd Calendar'!$P$2240&gt;=MIN(DATE(Summary!$C$12,1,1),Summary!$C$11))*('Dvd Calendar'!$P$2240&lt;=MAX(DATE(Summary!$C$12,12,31),Summary!$C$15))*('Dvd Calendar'!$P$2240&lt;=Summary!$C$11)=0,"",'Dvd Calendar'!$P$2240*1000000000+ISNUMBER('Dvd Calendar'!$P$2241)*100000000+('Dvd Calendar'!$P$2245='Field Check'!$C$25)*10000000+(N('Dvd Calendar'!$P$2239)&gt;0)*1000000+9*1000+12))</f>
        <v/>
      </c>
      <c r="O165" s="41">
        <f>IF(N('Dvd Calendar'!$Q$2240)=0,"",IF(('Dvd Calendar'!$Q$2240&gt;=MIN(DATE(Summary!$C$12,1,1),Summary!$C$11))*('Dvd Calendar'!$Q$2240&lt;=MAX(DATE(Summary!$C$12,12,31),Summary!$C$15))*('Dvd Calendar'!$Q$2240&lt;=Summary!$C$11)=0,"",'Dvd Calendar'!$Q$2240*1000000000+ISNUMBER('Dvd Calendar'!$Q$2241)*100000000+('Dvd Calendar'!$Q$2245='Field Check'!$C$25)*10000000+(N('Dvd Calendar'!$Q$2239)&gt;0)*1000000+9*1000+13))</f>
        <v/>
      </c>
      <c r="P165" s="41">
        <f>IF(N('Dvd Calendar'!$R$2240)=0,"",IF(('Dvd Calendar'!$R$2240&gt;=MIN(DATE(Summary!$C$12,1,1),Summary!$C$11))*('Dvd Calendar'!$R$2240&lt;=MAX(DATE(Summary!$C$12,12,31),Summary!$C$15))*('Dvd Calendar'!$R$2240&lt;=Summary!$C$11)=0,"",'Dvd Calendar'!$R$2240*1000000000+ISNUMBER('Dvd Calendar'!$R$2241)*100000000+('Dvd Calendar'!$R$2245='Field Check'!$C$25)*10000000+(N('Dvd Calendar'!$R$2239)&gt;0)*1000000+9*1000+14))</f>
        <v/>
      </c>
      <c r="Q165" s="41">
        <f>IF(N('Dvd Calendar'!$S$2240)=0,"",IF(('Dvd Calendar'!$S$2240&gt;=MIN(DATE(Summary!$C$12,1,1),Summary!$C$11))*('Dvd Calendar'!$S$2240&lt;=MAX(DATE(Summary!$C$12,12,31),Summary!$C$15))*('Dvd Calendar'!$S$2240&lt;=Summary!$C$11)=0,"",'Dvd Calendar'!$S$2240*1000000000+ISNUMBER('Dvd Calendar'!$S$2241)*100000000+('Dvd Calendar'!$S$2245='Field Check'!$C$25)*10000000+(N('Dvd Calendar'!$S$2239)&gt;0)*1000000+9*1000+15))</f>
        <v/>
      </c>
      <c r="R165" s="41">
        <f>IF(N('Dvd Calendar'!$T$2240)=0,"",IF(('Dvd Calendar'!$T$2240&gt;=MIN(DATE(Summary!$C$12,1,1),Summary!$C$11))*('Dvd Calendar'!$T$2240&lt;=MAX(DATE(Summary!$C$12,12,31),Summary!$C$15))*('Dvd Calendar'!$T$2240&lt;=Summary!$C$11)=0,"",'Dvd Calendar'!$T$2240*1000000000+ISNUMBER('Dvd Calendar'!$T$2241)*100000000+('Dvd Calendar'!$T$2245='Field Check'!$C$25)*10000000+(N('Dvd Calendar'!$T$2239)&gt;0)*1000000+9*1000+16))</f>
        <v/>
      </c>
      <c r="S165" s="41">
        <f>IF(N('Dvd Calendar'!$U$2240)=0,"",IF(('Dvd Calendar'!$U$2240&gt;=MIN(DATE(Summary!$C$12,1,1),Summary!$C$11))*('Dvd Calendar'!$U$2240&lt;=MAX(DATE(Summary!$C$12,12,31),Summary!$C$15))*('Dvd Calendar'!$U$2240&lt;=Summary!$C$11)=0,"",'Dvd Calendar'!$U$2240*1000000000+ISNUMBER('Dvd Calendar'!$U$2241)*100000000+('Dvd Calendar'!$U$2245='Field Check'!$C$25)*10000000+(N('Dvd Calendar'!$U$2239)&gt;0)*1000000+9*1000+17))</f>
        <v/>
      </c>
      <c r="T165" s="41">
        <f>IF(N('Dvd Calendar'!$V$2240)=0,"",IF(('Dvd Calendar'!$V$2240&gt;=MIN(DATE(Summary!$C$12,1,1),Summary!$C$11))*('Dvd Calendar'!$V$2240&lt;=MAX(DATE(Summary!$C$12,12,31),Summary!$C$15))*('Dvd Calendar'!$V$2240&lt;=Summary!$C$11)=0,"",'Dvd Calendar'!$V$2240*1000000000+ISNUMBER('Dvd Calendar'!$V$2241)*100000000+('Dvd Calendar'!$V$2245='Field Check'!$C$25)*10000000+(N('Dvd Calendar'!$V$2239)&gt;0)*1000000+9*1000+18))</f>
        <v/>
      </c>
      <c r="U165" s="41">
        <f>IF(N('Dvd Calendar'!$W$2240)=0,"",IF(('Dvd Calendar'!$W$2240&gt;=MIN(DATE(Summary!$C$12,1,1),Summary!$C$11))*('Dvd Calendar'!$W$2240&lt;=MAX(DATE(Summary!$C$12,12,31),Summary!$C$15))*('Dvd Calendar'!$W$2240&lt;=Summary!$C$11)=0,"",'Dvd Calendar'!$W$2240*1000000000+ISNUMBER('Dvd Calendar'!$W$2241)*100000000+('Dvd Calendar'!$W$2245='Field Check'!$C$25)*10000000+(N('Dvd Calendar'!$W$2239)&gt;0)*1000000+9*1000+19))</f>
        <v/>
      </c>
      <c r="V165" s="41">
        <f>IF(N('Dvd Calendar'!$X$2240)=0,"",IF(('Dvd Calendar'!$X$2240&gt;=MIN(DATE(Summary!$C$12,1,1),Summary!$C$11))*('Dvd Calendar'!$X$2240&lt;=MAX(DATE(Summary!$C$12,12,31),Summary!$C$15))*('Dvd Calendar'!$X$2240&lt;=Summary!$C$11)=0,"",'Dvd Calendar'!$X$2240*1000000000+ISNUMBER('Dvd Calendar'!$X$2241)*100000000+('Dvd Calendar'!$X$2245='Field Check'!$C$25)*10000000+(N('Dvd Calendar'!$X$2239)&gt;0)*1000000+9*1000+20))</f>
        <v/>
      </c>
      <c r="W165" s="41">
        <f>IF(N('Dvd Calendar'!$Y$2240)=0,"",IF(('Dvd Calendar'!$Y$2240&gt;=MIN(DATE(Summary!$C$12,1,1),Summary!$C$11))*('Dvd Calendar'!$Y$2240&lt;=MAX(DATE(Summary!$C$12,12,31),Summary!$C$15))*('Dvd Calendar'!$Y$2240&lt;=Summary!$C$11)=0,"",'Dvd Calendar'!$Y$2240*1000000000+ISNUMBER('Dvd Calendar'!$Y$2241)*100000000+('Dvd Calendar'!$Y$2245='Field Check'!$C$25)*10000000+(N('Dvd Calendar'!$Y$2239)&gt;0)*1000000+9*1000+21))</f>
        <v/>
      </c>
      <c r="X165" s="41">
        <f>IF(N('Dvd Calendar'!$Z$2240)=0,"",IF(('Dvd Calendar'!$Z$2240&gt;=MIN(DATE(Summary!$C$12,1,1),Summary!$C$11))*('Dvd Calendar'!$Z$2240&lt;=MAX(DATE(Summary!$C$12,12,31),Summary!$C$15))*('Dvd Calendar'!$Z$2240&lt;=Summary!$C$11)=0,"",'Dvd Calendar'!$Z$2240*1000000000+ISNUMBER('Dvd Calendar'!$Z$2241)*100000000+('Dvd Calendar'!$Z$2245='Field Check'!$C$25)*10000000+(N('Dvd Calendar'!$Z$2239)&gt;0)*1000000+9*1000+22))</f>
        <v/>
      </c>
      <c r="Y165" s="41">
        <f>IF(N('Dvd Calendar'!$AA$2240)=0,"",IF(('Dvd Calendar'!$AA$2240&gt;=MIN(DATE(Summary!$C$12,1,1),Summary!$C$11))*('Dvd Calendar'!$AA$2240&lt;=MAX(DATE(Summary!$C$12,12,31),Summary!$C$15))*('Dvd Calendar'!$AA$2240&lt;=Summary!$C$11)=0,"",'Dvd Calendar'!$AA$2240*1000000000+ISNUMBER('Dvd Calendar'!$AA$2241)*100000000+('Dvd Calendar'!$AA$2245='Field Check'!$C$25)*10000000+(N('Dvd Calendar'!$AA$2239)&gt;0)*1000000+9*1000+23))</f>
        <v/>
      </c>
      <c r="Z165" s="41">
        <f>IF(N('Dvd Calendar'!$AB$2240)=0,"",IF(('Dvd Calendar'!$AB$2240&gt;=MIN(DATE(Summary!$C$12,1,1),Summary!$C$11))*('Dvd Calendar'!$AB$2240&lt;=MAX(DATE(Summary!$C$12,12,31),Summary!$C$15))*('Dvd Calendar'!$AB$2240&lt;=Summary!$C$11)=0,"",'Dvd Calendar'!$AB$2240*1000000000+ISNUMBER('Dvd Calendar'!$AB$2241)*100000000+('Dvd Calendar'!$AB$2245='Field Check'!$C$25)*10000000+(N('Dvd Calendar'!$AB$2239)&gt;0)*1000000+9*1000+24))</f>
        <v/>
      </c>
      <c r="AA165" s="41">
        <f>IF(N('Dvd Calendar'!$AC$2240)=0,"",IF(('Dvd Calendar'!$AC$2240&gt;=MIN(DATE(Summary!$C$12,1,1),Summary!$C$11))*('Dvd Calendar'!$AC$2240&lt;=MAX(DATE(Summary!$C$12,12,31),Summary!$C$15))*('Dvd Calendar'!$AC$2240&lt;=Summary!$C$11)=0,"",'Dvd Calendar'!$AC$2240*1000000000+ISNUMBER('Dvd Calendar'!$AC$2241)*100000000+('Dvd Calendar'!$AC$2245='Field Check'!$C$25)*10000000+(N('Dvd Calendar'!$AC$2239)&gt;0)*1000000+9*1000+25))</f>
        <v/>
      </c>
      <c r="AB165" s="41">
        <f>IF(N('Dvd Calendar'!$AD$2240)=0,"",IF(('Dvd Calendar'!$AD$2240&gt;=MIN(DATE(Summary!$C$12,1,1),Summary!$C$11))*('Dvd Calendar'!$AD$2240&lt;=MAX(DATE(Summary!$C$12,12,31),Summary!$C$15))*('Dvd Calendar'!$AD$2240&lt;=Summary!$C$11)=0,"",'Dvd Calendar'!$AD$2240*1000000000+ISNUMBER('Dvd Calendar'!$AD$2241)*100000000+('Dvd Calendar'!$AD$2245='Field Check'!$C$25)*10000000+(N('Dvd Calendar'!$AD$2239)&gt;0)*1000000+9*1000+26))</f>
        <v/>
      </c>
      <c r="AC165" s="41">
        <f>IF(N('Dvd Calendar'!$AE$2240)=0,"",IF(('Dvd Calendar'!$AE$2240&gt;=MIN(DATE(Summary!$C$12,1,1),Summary!$C$11))*('Dvd Calendar'!$AE$2240&lt;=MAX(DATE(Summary!$C$12,12,31),Summary!$C$15))*('Dvd Calendar'!$AE$2240&lt;=Summary!$C$11)=0,"",'Dvd Calendar'!$AE$2240*1000000000+ISNUMBER('Dvd Calendar'!$AE$2241)*100000000+('Dvd Calendar'!$AE$2245='Field Check'!$C$25)*10000000+(N('Dvd Calendar'!$AE$2239)&gt;0)*1000000+9*1000+27))</f>
        <v/>
      </c>
      <c r="AD165" s="41">
        <f>IF(N('Dvd Calendar'!$AF$2240)=0,"",IF(('Dvd Calendar'!$AF$2240&gt;=MIN(DATE(Summary!$C$12,1,1),Summary!$C$11))*('Dvd Calendar'!$AF$2240&lt;=MAX(DATE(Summary!$C$12,12,31),Summary!$C$15))*('Dvd Calendar'!$AF$2240&lt;=Summary!$C$11)=0,"",'Dvd Calendar'!$AF$2240*1000000000+ISNUMBER('Dvd Calendar'!$AF$2241)*100000000+('Dvd Calendar'!$AF$2245='Field Check'!$C$25)*10000000+(N('Dvd Calendar'!$AF$2239)&gt;0)*1000000+9*1000+28))</f>
        <v/>
      </c>
      <c r="AE165" s="41">
        <f>IF(N('Dvd Calendar'!$AG$2240)=0,"",IF(('Dvd Calendar'!$AG$2240&gt;=MIN(DATE(Summary!$C$12,1,1),Summary!$C$11))*('Dvd Calendar'!$AG$2240&lt;=MAX(DATE(Summary!$C$12,12,31),Summary!$C$15))*('Dvd Calendar'!$AG$2240&lt;=Summary!$C$11)=0,"",'Dvd Calendar'!$AG$2240*1000000000+ISNUMBER('Dvd Calendar'!$AG$2241)*100000000+('Dvd Calendar'!$AG$2245='Field Check'!$C$25)*10000000+(N('Dvd Calendar'!$AG$2239)&gt;0)*1000000+9*1000+29))</f>
        <v/>
      </c>
      <c r="AF165" s="41">
        <f>IF(N('Dvd Calendar'!$AH$2240)=0,"",IF(('Dvd Calendar'!$AH$2240&gt;=MIN(DATE(Summary!$C$12,1,1),Summary!$C$11))*('Dvd Calendar'!$AH$2240&lt;=MAX(DATE(Summary!$C$12,12,31),Summary!$C$15))*('Dvd Calendar'!$AH$2240&lt;=Summary!$C$11)=0,"",'Dvd Calendar'!$AH$2240*1000000000+ISNUMBER('Dvd Calendar'!$AH$2241)*100000000+('Dvd Calendar'!$AH$2245='Field Check'!$C$25)*10000000+(N('Dvd Calendar'!$AH$2239)&gt;0)*1000000+9*1000+30))</f>
        <v/>
      </c>
      <c r="AG165" s="41">
        <f>IF(N('Dvd Calendar'!$AI$2240)=0,"",IF(('Dvd Calendar'!$AI$2240&gt;=MIN(DATE(Summary!$C$12,1,1),Summary!$C$11))*('Dvd Calendar'!$AI$2240&lt;=MAX(DATE(Summary!$C$12,12,31),Summary!$C$15))*('Dvd Calendar'!$AI$2240&lt;=Summary!$C$11)=0,"",'Dvd Calendar'!$AI$2240*1000000000+ISNUMBER('Dvd Calendar'!$AI$2241)*100000000+('Dvd Calendar'!$AI$2245='Field Check'!$C$25)*10000000+(N('Dvd Calendar'!$AI$2239)&gt;0)*1000000+9*1000+31))</f>
        <v/>
      </c>
      <c r="AH165" s="41">
        <f>IF(N('Dvd Calendar'!$AJ$2240)=0,"",IF(('Dvd Calendar'!$AJ$2240&gt;=MIN(DATE(Summary!$C$12,1,1),Summary!$C$11))*('Dvd Calendar'!$AJ$2240&lt;=MAX(DATE(Summary!$C$12,12,31),Summary!$C$15))*('Dvd Calendar'!$AJ$2240&lt;=Summary!$C$11)=0,"",'Dvd Calendar'!$AJ$2240*1000000000+ISNUMBER('Dvd Calendar'!$AJ$2241)*100000000+('Dvd Calendar'!$AJ$2245='Field Check'!$C$25)*10000000+(N('Dvd Calendar'!$AJ$2239)&gt;0)*1000000+9*1000+32))</f>
        <v/>
      </c>
      <c r="AI165" s="41">
        <f>IF(N('Dvd Calendar'!$AK$2240)=0,"",IF(('Dvd Calendar'!$AK$2240&gt;=MIN(DATE(Summary!$C$12,1,1),Summary!$C$11))*('Dvd Calendar'!$AK$2240&lt;=MAX(DATE(Summary!$C$12,12,31),Summary!$C$15))*('Dvd Calendar'!$AK$2240&lt;=Summary!$C$11)=0,"",'Dvd Calendar'!$AK$2240*1000000000+ISNUMBER('Dvd Calendar'!$AK$2241)*100000000+('Dvd Calendar'!$AK$2245='Field Check'!$C$25)*10000000+(N('Dvd Calendar'!$AK$2239)&gt;0)*1000000+9*1000+33))</f>
        <v/>
      </c>
      <c r="AJ165" s="41">
        <f>IF(N('Dvd Calendar'!$AL$2240)=0,"",IF(('Dvd Calendar'!$AL$2240&gt;=MIN(DATE(Summary!$C$12,1,1),Summary!$C$11))*('Dvd Calendar'!$AL$2240&lt;=MAX(DATE(Summary!$C$12,12,31),Summary!$C$15))*('Dvd Calendar'!$AL$2240&lt;=Summary!$C$11)=0,"",'Dvd Calendar'!$AL$2240*1000000000+ISNUMBER('Dvd Calendar'!$AL$2241)*100000000+('Dvd Calendar'!$AL$2245='Field Check'!$C$25)*10000000+(N('Dvd Calendar'!$AL$2239)&gt;0)*1000000+9*1000+34))</f>
        <v/>
      </c>
      <c r="AK165" s="41">
        <f>IF(N('Dvd Calendar'!$AM$2240)=0,"",IF(('Dvd Calendar'!$AM$2240&gt;=MIN(DATE(Summary!$C$12,1,1),Summary!$C$11))*('Dvd Calendar'!$AM$2240&lt;=MAX(DATE(Summary!$C$12,12,31),Summary!$C$15))*('Dvd Calendar'!$AM$2240&lt;=Summary!$C$11)=0,"",'Dvd Calendar'!$AM$2240*1000000000+ISNUMBER('Dvd Calendar'!$AM$2241)*100000000+('Dvd Calendar'!$AM$2245='Field Check'!$C$25)*10000000+(N('Dvd Calendar'!$AM$2239)&gt;0)*1000000+9*1000+35))</f>
        <v/>
      </c>
      <c r="AL165" s="41">
        <f>IF(N('Dvd Calendar'!$AN$2240)=0,"",IF(('Dvd Calendar'!$AN$2240&gt;=MIN(DATE(Summary!$C$12,1,1),Summary!$C$11))*('Dvd Calendar'!$AN$2240&lt;=MAX(DATE(Summary!$C$12,12,31),Summary!$C$15))*('Dvd Calendar'!$AN$2240&lt;=Summary!$C$11)=0,"",'Dvd Calendar'!$AN$2240*1000000000+ISNUMBER('Dvd Calendar'!$AN$2241)*100000000+('Dvd Calendar'!$AN$2245='Field Check'!$C$25)*10000000+(N('Dvd Calendar'!$AN$2239)&gt;0)*1000000+9*1000+36))</f>
        <v/>
      </c>
      <c r="AM165" s="41">
        <f>IF(N('Dvd Calendar'!$AO$2240)=0,"",IF(('Dvd Calendar'!$AO$2240&gt;=MIN(DATE(Summary!$C$12,1,1),Summary!$C$11))*('Dvd Calendar'!$AO$2240&lt;=MAX(DATE(Summary!$C$12,12,31),Summary!$C$15))*('Dvd Calendar'!$AO$2240&lt;=Summary!$C$11)=0,"",'Dvd Calendar'!$AO$2240*1000000000+ISNUMBER('Dvd Calendar'!$AO$2241)*100000000+('Dvd Calendar'!$AO$2245='Field Check'!$C$25)*10000000+(N('Dvd Calendar'!$AO$2239)&gt;0)*1000000+9*1000+37))</f>
        <v/>
      </c>
      <c r="AN165" s="41">
        <f>IF(N('Dvd Calendar'!$AP$2240)=0,"",IF(('Dvd Calendar'!$AP$2240&gt;=MIN(DATE(Summary!$C$12,1,1),Summary!$C$11))*('Dvd Calendar'!$AP$2240&lt;=MAX(DATE(Summary!$C$12,12,31),Summary!$C$15))*('Dvd Calendar'!$AP$2240&lt;=Summary!$C$11)=0,"",'Dvd Calendar'!$AP$2240*1000000000+ISNUMBER('Dvd Calendar'!$AP$2241)*100000000+('Dvd Calendar'!$AP$2245='Field Check'!$C$25)*10000000+(N('Dvd Calendar'!$AP$2239)&gt;0)*1000000+9*1000+38))</f>
        <v/>
      </c>
      <c r="AO165" s="41">
        <f>IF(N('Dvd Calendar'!$AQ$2240)=0,"",IF(('Dvd Calendar'!$AQ$2240&gt;=MIN(DATE(Summary!$C$12,1,1),Summary!$C$11))*('Dvd Calendar'!$AQ$2240&lt;=MAX(DATE(Summary!$C$12,12,31),Summary!$C$15))*('Dvd Calendar'!$AQ$2240&lt;=Summary!$C$11)=0,"",'Dvd Calendar'!$AQ$2240*1000000000+ISNUMBER('Dvd Calendar'!$AQ$2241)*100000000+('Dvd Calendar'!$AQ$2245='Field Check'!$C$25)*10000000+(N('Dvd Calendar'!$AQ$2239)&gt;0)*1000000+9*1000+39))</f>
        <v/>
      </c>
      <c r="AP165" s="41">
        <f>IF(N('Dvd Calendar'!$AR$2240)=0,"",IF(('Dvd Calendar'!$AR$2240&gt;=MIN(DATE(Summary!$C$12,1,1),Summary!$C$11))*('Dvd Calendar'!$AR$2240&lt;=MAX(DATE(Summary!$C$12,12,31),Summary!$C$15))*('Dvd Calendar'!$AR$2240&lt;=Summary!$C$11)=0,"",'Dvd Calendar'!$AR$2240*1000000000+ISNUMBER('Dvd Calendar'!$AR$2241)*100000000+('Dvd Calendar'!$AR$2245='Field Check'!$C$25)*10000000+(N('Dvd Calendar'!$AR$2239)&gt;0)*1000000+9*1000+40))</f>
        <v/>
      </c>
      <c r="AQ165" s="41">
        <f>IF(N('Dvd Calendar'!$E$2247)=0,"",IF(('Dvd Calendar'!$E$2247&gt;=MIN(DATE(Summary!$C$12,1,1),Summary!$C$11))*('Dvd Calendar'!$E$2247&lt;=MAX(DATE(Summary!$C$12,12,31),Summary!$C$15))*('Dvd Calendar'!$E$2247&gt;Summary!$C$11)=0,"",'Dvd Calendar'!$E$2247*1000000000+ISNUMBER('Dvd Calendar'!$E$2248)*100000000+('Dvd Calendar'!$E$2252='Field Check'!$C$25)*10000000+(N('Dvd Calendar'!$E$2246)&gt;0)*1000000+9*1000+41))</f>
        <v/>
      </c>
      <c r="AR165" s="41">
        <f>IF(N('Dvd Calendar'!$F$2247)=0,"",IF(('Dvd Calendar'!$F$2247&gt;=MIN(DATE(Summary!$C$12,1,1),Summary!$C$11))*('Dvd Calendar'!$F$2247&lt;=MAX(DATE(Summary!$C$12,12,31),Summary!$C$15))*('Dvd Calendar'!$F$2247&gt;Summary!$C$11)=0,"",'Dvd Calendar'!$F$2247*1000000000+ISNUMBER('Dvd Calendar'!$F$2248)*100000000+('Dvd Calendar'!$F$2252='Field Check'!$C$25)*10000000+(N('Dvd Calendar'!$F$2246)&gt;0)*1000000+9*1000+42))</f>
        <v/>
      </c>
      <c r="AS165" s="41">
        <f>IF(N('Dvd Calendar'!$G$2247)=0,"",IF(('Dvd Calendar'!$G$2247&gt;=MIN(DATE(Summary!$C$12,1,1),Summary!$C$11))*('Dvd Calendar'!$G$2247&lt;=MAX(DATE(Summary!$C$12,12,31),Summary!$C$15))*('Dvd Calendar'!$G$2247&gt;Summary!$C$11)=0,"",'Dvd Calendar'!$G$2247*1000000000+ISNUMBER('Dvd Calendar'!$G$2248)*100000000+('Dvd Calendar'!$G$2252='Field Check'!$C$25)*10000000+(N('Dvd Calendar'!$G$2246)&gt;0)*1000000+9*1000+43))</f>
        <v/>
      </c>
      <c r="AT165" s="41">
        <f>IF(N('Dvd Calendar'!$H$2247)=0,"",IF(('Dvd Calendar'!$H$2247&gt;=MIN(DATE(Summary!$C$12,1,1),Summary!$C$11))*('Dvd Calendar'!$H$2247&lt;=MAX(DATE(Summary!$C$12,12,31),Summary!$C$15))*('Dvd Calendar'!$H$2247&gt;Summary!$C$11)=0,"",'Dvd Calendar'!$H$2247*1000000000+ISNUMBER('Dvd Calendar'!$H$2248)*100000000+('Dvd Calendar'!$H$2252='Field Check'!$C$25)*10000000+(N('Dvd Calendar'!$H$2246)&gt;0)*1000000+9*1000+44))</f>
        <v/>
      </c>
      <c r="AU165" s="41">
        <f>IF(N('Dvd Calendar'!$I$2247)=0,"",IF(('Dvd Calendar'!$I$2247&gt;=MIN(DATE(Summary!$C$12,1,1),Summary!$C$11))*('Dvd Calendar'!$I$2247&lt;=MAX(DATE(Summary!$C$12,12,31),Summary!$C$15))*('Dvd Calendar'!$I$2247&gt;Summary!$C$11)=0,"",'Dvd Calendar'!$I$2247*1000000000+ISNUMBER('Dvd Calendar'!$I$2248)*100000000+('Dvd Calendar'!$I$2252='Field Check'!$C$25)*10000000+(N('Dvd Calendar'!$I$2246)&gt;0)*1000000+9*1000+45))</f>
        <v/>
      </c>
      <c r="AV165" s="41">
        <f>IF(N('Dvd Calendar'!$J$2247)=0,"",IF(('Dvd Calendar'!$J$2247&gt;=MIN(DATE(Summary!$C$12,1,1),Summary!$C$11))*('Dvd Calendar'!$J$2247&lt;=MAX(DATE(Summary!$C$12,12,31),Summary!$C$15))*('Dvd Calendar'!$J$2247&gt;Summary!$C$11)=0,"",'Dvd Calendar'!$J$2247*1000000000+ISNUMBER('Dvd Calendar'!$J$2248)*100000000+('Dvd Calendar'!$J$2252='Field Check'!$C$25)*10000000+(N('Dvd Calendar'!$J$2246)&gt;0)*1000000+9*1000+46))</f>
        <v/>
      </c>
      <c r="AW165" s="41">
        <f>IF(N('Dvd Calendar'!$K$2247)=0,"",IF(('Dvd Calendar'!$K$2247&gt;=MIN(DATE(Summary!$C$12,1,1),Summary!$C$11))*('Dvd Calendar'!$K$2247&lt;=MAX(DATE(Summary!$C$12,12,31),Summary!$C$15))*('Dvd Calendar'!$K$2247&gt;Summary!$C$11)=0,"",'Dvd Calendar'!$K$2247*1000000000+ISNUMBER('Dvd Calendar'!$K$2248)*100000000+('Dvd Calendar'!$K$2252='Field Check'!$C$25)*10000000+(N('Dvd Calendar'!$K$2246)&gt;0)*1000000+9*1000+47))</f>
        <v/>
      </c>
      <c r="AX165" s="41">
        <f>IF(N('Dvd Calendar'!$L$2247)=0,"",IF(('Dvd Calendar'!$L$2247&gt;=MIN(DATE(Summary!$C$12,1,1),Summary!$C$11))*('Dvd Calendar'!$L$2247&lt;=MAX(DATE(Summary!$C$12,12,31),Summary!$C$15))*('Dvd Calendar'!$L$2247&gt;Summary!$C$11)=0,"",'Dvd Calendar'!$L$2247*1000000000+ISNUMBER('Dvd Calendar'!$L$2248)*100000000+('Dvd Calendar'!$L$2252='Field Check'!$C$25)*10000000+(N('Dvd Calendar'!$L$2246)&gt;0)*1000000+9*1000+48))</f>
        <v/>
      </c>
      <c r="AY165" s="41">
        <f>IF(N('Dvd Calendar'!$M$2247)=0,"",IF(('Dvd Calendar'!$M$2247&gt;=MIN(DATE(Summary!$C$12,1,1),Summary!$C$11))*('Dvd Calendar'!$M$2247&lt;=MAX(DATE(Summary!$C$12,12,31),Summary!$C$15))*('Dvd Calendar'!$M$2247&gt;Summary!$C$11)=0,"",'Dvd Calendar'!$M$2247*1000000000+ISNUMBER('Dvd Calendar'!$M$2248)*100000000+('Dvd Calendar'!$M$2252='Field Check'!$C$25)*10000000+(N('Dvd Calendar'!$M$2246)&gt;0)*1000000+9*1000+49))</f>
        <v/>
      </c>
      <c r="AZ165" s="41">
        <f>IF(N('Dvd Calendar'!$N$2247)=0,"",IF(('Dvd Calendar'!$N$2247&gt;=MIN(DATE(Summary!$C$12,1,1),Summary!$C$11))*('Dvd Calendar'!$N$2247&lt;=MAX(DATE(Summary!$C$12,12,31),Summary!$C$15))*('Dvd Calendar'!$N$2247&gt;Summary!$C$11)=0,"",'Dvd Calendar'!$N$2247*1000000000+ISNUMBER('Dvd Calendar'!$N$2248)*100000000+('Dvd Calendar'!$N$2252='Field Check'!$C$25)*10000000+(N('Dvd Calendar'!$N$2246)&gt;0)*1000000+9*1000+50))</f>
        <v/>
      </c>
      <c r="BA165" s="41">
        <f>IF(N('Dvd Calendar'!$O$2247)=0,"",IF(('Dvd Calendar'!$O$2247&gt;=MIN(DATE(Summary!$C$12,1,1),Summary!$C$11))*('Dvd Calendar'!$O$2247&lt;=MAX(DATE(Summary!$C$12,12,31),Summary!$C$15))*('Dvd Calendar'!$O$2247&gt;Summary!$C$11)=0,"",'Dvd Calendar'!$O$2247*1000000000+ISNUMBER('Dvd Calendar'!$O$2248)*100000000+('Dvd Calendar'!$O$2252='Field Check'!$C$25)*10000000+(N('Dvd Calendar'!$O$2246)&gt;0)*1000000+9*1000+51))</f>
        <v/>
      </c>
      <c r="BB165" s="41">
        <f>IF(N('Dvd Calendar'!$P$2247)=0,"",IF(('Dvd Calendar'!$P$2247&gt;=MIN(DATE(Summary!$C$12,1,1),Summary!$C$11))*('Dvd Calendar'!$P$2247&lt;=MAX(DATE(Summary!$C$12,12,31),Summary!$C$15))*('Dvd Calendar'!$P$2247&gt;Summary!$C$11)=0,"",'Dvd Calendar'!$P$2247*1000000000+ISNUMBER('Dvd Calendar'!$P$2248)*100000000+('Dvd Calendar'!$P$2252='Field Check'!$C$25)*10000000+(N('Dvd Calendar'!$P$2246)&gt;0)*1000000+9*1000+52))</f>
        <v/>
      </c>
      <c r="BC165" s="41">
        <f>IF(N('Dvd Calendar'!$Q$2247)=0,"",IF(('Dvd Calendar'!$Q$2247&gt;=MIN(DATE(Summary!$C$12,1,1),Summary!$C$11))*('Dvd Calendar'!$Q$2247&lt;=MAX(DATE(Summary!$C$12,12,31),Summary!$C$15))*('Dvd Calendar'!$Q$2247&gt;Summary!$C$11)=0,"",'Dvd Calendar'!$Q$2247*1000000000+ISNUMBER('Dvd Calendar'!$Q$2248)*100000000+('Dvd Calendar'!$Q$2252='Field Check'!$C$25)*10000000+(N('Dvd Calendar'!$Q$2246)&gt;0)*1000000+9*1000+53))</f>
        <v/>
      </c>
      <c r="BD165" s="41">
        <f>IF(N('Dvd Calendar'!$R$2247)=0,"",IF(('Dvd Calendar'!$R$2247&gt;=MIN(DATE(Summary!$C$12,1,1),Summary!$C$11))*('Dvd Calendar'!$R$2247&lt;=MAX(DATE(Summary!$C$12,12,31),Summary!$C$15))*('Dvd Calendar'!$R$2247&gt;Summary!$C$11)=0,"",'Dvd Calendar'!$R$2247*1000000000+ISNUMBER('Dvd Calendar'!$R$2248)*100000000+('Dvd Calendar'!$R$2252='Field Check'!$C$25)*10000000+(N('Dvd Calendar'!$R$2246)&gt;0)*1000000+9*1000+54))</f>
        <v/>
      </c>
      <c r="BE165" s="41">
        <f>IF(N('Dvd Calendar'!$S$2247)=0,"",IF(('Dvd Calendar'!$S$2247&gt;=MIN(DATE(Summary!$C$12,1,1),Summary!$C$11))*('Dvd Calendar'!$S$2247&lt;=MAX(DATE(Summary!$C$12,12,31),Summary!$C$15))*('Dvd Calendar'!$S$2247&gt;Summary!$C$11)=0,"",'Dvd Calendar'!$S$2247*1000000000+ISNUMBER('Dvd Calendar'!$S$2248)*100000000+('Dvd Calendar'!$S$2252='Field Check'!$C$25)*10000000+(N('Dvd Calendar'!$S$2246)&gt;0)*1000000+9*1000+55))</f>
        <v/>
      </c>
      <c r="BF165" s="41">
        <f>IF(N('Dvd Calendar'!$T$2247)=0,"",IF(('Dvd Calendar'!$T$2247&gt;=MIN(DATE(Summary!$C$12,1,1),Summary!$C$11))*('Dvd Calendar'!$T$2247&lt;=MAX(DATE(Summary!$C$12,12,31),Summary!$C$15))*('Dvd Calendar'!$T$2247&gt;Summary!$C$11)=0,"",'Dvd Calendar'!$T$2247*1000000000+ISNUMBER('Dvd Calendar'!$T$2248)*100000000+('Dvd Calendar'!$T$2252='Field Check'!$C$25)*10000000+(N('Dvd Calendar'!$T$2246)&gt;0)*1000000+9*1000+56))</f>
        <v/>
      </c>
      <c r="BG165" s="41">
        <f>IF(N('Dvd Calendar'!$U$2247)=0,"",IF(('Dvd Calendar'!$U$2247&gt;=MIN(DATE(Summary!$C$12,1,1),Summary!$C$11))*('Dvd Calendar'!$U$2247&lt;=MAX(DATE(Summary!$C$12,12,31),Summary!$C$15))*('Dvd Calendar'!$U$2247&gt;Summary!$C$11)=0,"",'Dvd Calendar'!$U$2247*1000000000+ISNUMBER('Dvd Calendar'!$U$2248)*100000000+('Dvd Calendar'!$U$2252='Field Check'!$C$25)*10000000+(N('Dvd Calendar'!$U$2246)&gt;0)*1000000+9*1000+57))</f>
        <v/>
      </c>
      <c r="BH165" s="41">
        <f>IF(N('Dvd Calendar'!$V$2247)=0,"",IF(('Dvd Calendar'!$V$2247&gt;=MIN(DATE(Summary!$C$12,1,1),Summary!$C$11))*('Dvd Calendar'!$V$2247&lt;=MAX(DATE(Summary!$C$12,12,31),Summary!$C$15))*('Dvd Calendar'!$V$2247&gt;Summary!$C$11)=0,"",'Dvd Calendar'!$V$2247*1000000000+ISNUMBER('Dvd Calendar'!$V$2248)*100000000+('Dvd Calendar'!$V$2252='Field Check'!$C$25)*10000000+(N('Dvd Calendar'!$V$2246)&gt;0)*1000000+9*1000+58))</f>
        <v/>
      </c>
      <c r="BI165" s="41">
        <f>IF(N('Dvd Calendar'!$W$2247)=0,"",IF(('Dvd Calendar'!$W$2247&gt;=MIN(DATE(Summary!$C$12,1,1),Summary!$C$11))*('Dvd Calendar'!$W$2247&lt;=MAX(DATE(Summary!$C$12,12,31),Summary!$C$15))*('Dvd Calendar'!$W$2247&gt;Summary!$C$11)=0,"",'Dvd Calendar'!$W$2247*1000000000+ISNUMBER('Dvd Calendar'!$W$2248)*100000000+('Dvd Calendar'!$W$2252='Field Check'!$C$25)*10000000+(N('Dvd Calendar'!$W$2246)&gt;0)*1000000+9*1000+59))</f>
        <v/>
      </c>
      <c r="BJ165" s="41">
        <f>IF(N('Dvd Calendar'!$X$2247)=0,"",IF(('Dvd Calendar'!$X$2247&gt;=MIN(DATE(Summary!$C$12,1,1),Summary!$C$11))*('Dvd Calendar'!$X$2247&lt;=MAX(DATE(Summary!$C$12,12,31),Summary!$C$15))*('Dvd Calendar'!$X$2247&gt;Summary!$C$11)=0,"",'Dvd Calendar'!$X$2247*1000000000+ISNUMBER('Dvd Calendar'!$X$2248)*100000000+('Dvd Calendar'!$X$2252='Field Check'!$C$25)*10000000+(N('Dvd Calendar'!$X$2246)&gt;0)*1000000+9*1000+60))</f>
        <v/>
      </c>
      <c r="BK165" s="41">
        <f>IF(N('Dvd Calendar'!$Y$2247)=0,"",IF(('Dvd Calendar'!$Y$2247&gt;=MIN(DATE(Summary!$C$12,1,1),Summary!$C$11))*('Dvd Calendar'!$Y$2247&lt;=MAX(DATE(Summary!$C$12,12,31),Summary!$C$15))*('Dvd Calendar'!$Y$2247&gt;Summary!$C$11)=0,"",'Dvd Calendar'!$Y$2247*1000000000+ISNUMBER('Dvd Calendar'!$Y$2248)*100000000+('Dvd Calendar'!$Y$2252='Field Check'!$C$25)*10000000+(N('Dvd Calendar'!$Y$2246)&gt;0)*1000000+9*1000+61))</f>
        <v/>
      </c>
      <c r="BL165" s="41">
        <f>IF(N('Dvd Calendar'!$Z$2247)=0,"",IF(('Dvd Calendar'!$Z$2247&gt;=MIN(DATE(Summary!$C$12,1,1),Summary!$C$11))*('Dvd Calendar'!$Z$2247&lt;=MAX(DATE(Summary!$C$12,12,31),Summary!$C$15))*('Dvd Calendar'!$Z$2247&gt;Summary!$C$11)=0,"",'Dvd Calendar'!$Z$2247*1000000000+ISNUMBER('Dvd Calendar'!$Z$2248)*100000000+('Dvd Calendar'!$Z$2252='Field Check'!$C$25)*10000000+(N('Dvd Calendar'!$Z$2246)&gt;0)*1000000+9*1000+62))</f>
        <v/>
      </c>
      <c r="BM165" s="41">
        <f>IF(N('Dvd Calendar'!$AA$2247)=0,"",IF(('Dvd Calendar'!$AA$2247&gt;=MIN(DATE(Summary!$C$12,1,1),Summary!$C$11))*('Dvd Calendar'!$AA$2247&lt;=MAX(DATE(Summary!$C$12,12,31),Summary!$C$15))*('Dvd Calendar'!$AA$2247&gt;Summary!$C$11)=0,"",'Dvd Calendar'!$AA$2247*1000000000+ISNUMBER('Dvd Calendar'!$AA$2248)*100000000+('Dvd Calendar'!$AA$2252='Field Check'!$C$25)*10000000+(N('Dvd Calendar'!$AA$2246)&gt;0)*1000000+9*1000+63))</f>
        <v/>
      </c>
      <c r="BN165" s="41">
        <f>IF(N('Dvd Calendar'!$AB$2247)=0,"",IF(('Dvd Calendar'!$AB$2247&gt;=MIN(DATE(Summary!$C$12,1,1),Summary!$C$11))*('Dvd Calendar'!$AB$2247&lt;=MAX(DATE(Summary!$C$12,12,31),Summary!$C$15))*('Dvd Calendar'!$AB$2247&gt;Summary!$C$11)=0,"",'Dvd Calendar'!$AB$2247*1000000000+ISNUMBER('Dvd Calendar'!$AB$2248)*100000000+('Dvd Calendar'!$AB$2252='Field Check'!$C$25)*10000000+(N('Dvd Calendar'!$AB$2246)&gt;0)*1000000+9*1000+64))</f>
        <v/>
      </c>
      <c r="BO165" s="41">
        <f>IF(N('Dvd Calendar'!$AC$2247)=0,"",IF(('Dvd Calendar'!$AC$2247&gt;=MIN(DATE(Summary!$C$12,1,1),Summary!$C$11))*('Dvd Calendar'!$AC$2247&lt;=MAX(DATE(Summary!$C$12,12,31),Summary!$C$15))*('Dvd Calendar'!$AC$2247&gt;Summary!$C$11)=0,"",'Dvd Calendar'!$AC$2247*1000000000+ISNUMBER('Dvd Calendar'!$AC$2248)*100000000+('Dvd Calendar'!$AC$2252='Field Check'!$C$25)*10000000+(N('Dvd Calendar'!$AC$2246)&gt;0)*1000000+9*1000+65))</f>
        <v/>
      </c>
      <c r="BQ165" s="85">
        <f>IF(C165="","",IF(ISNUMBER('Dvd Calendar'!$E$2241)=FALSE,"",IF((Summary!$C$13="N")*('Dvd Calendar'!$E$2245='Field Check'!$C$25)&gt;0,"",'Dvd Calendar'!$E$2241)))</f>
        <v/>
      </c>
      <c r="BR165" s="85">
        <f>IF(D165="","",IF(ISNUMBER('Dvd Calendar'!$F$2241)=FALSE,"",IF((Summary!$C$13="N")*('Dvd Calendar'!$F$2245='Field Check'!$C$25)&gt;0,"",'Dvd Calendar'!$F$2241)))</f>
        <v/>
      </c>
      <c r="BS165" s="85">
        <f>IF(E165="","",IF(ISNUMBER('Dvd Calendar'!$G$2241)=FALSE,"",IF((Summary!$C$13="N")*('Dvd Calendar'!$G$2245='Field Check'!$C$25)&gt;0,"",'Dvd Calendar'!$G$2241)))</f>
        <v/>
      </c>
      <c r="BT165" s="85">
        <f>IF(F165="","",IF(ISNUMBER('Dvd Calendar'!$H$2241)=FALSE,"",IF((Summary!$C$13="N")*('Dvd Calendar'!$H$2245='Field Check'!$C$25)&gt;0,"",'Dvd Calendar'!$H$2241)))</f>
        <v/>
      </c>
      <c r="BU165" s="85">
        <f>IF(G165="","",IF(ISNUMBER('Dvd Calendar'!$I$2241)=FALSE,"",IF((Summary!$C$13="N")*('Dvd Calendar'!$I$2245='Field Check'!$C$25)&gt;0,"",'Dvd Calendar'!$I$2241)))</f>
        <v/>
      </c>
      <c r="BV165" s="85">
        <f>IF(H165="","",IF(ISNUMBER('Dvd Calendar'!$J$2241)=FALSE,"",IF((Summary!$C$13="N")*('Dvd Calendar'!$J$2245='Field Check'!$C$25)&gt;0,"",'Dvd Calendar'!$J$2241)))</f>
        <v/>
      </c>
      <c r="BW165" s="85">
        <f>IF(I165="","",IF(ISNUMBER('Dvd Calendar'!$K$2241)=FALSE,"",IF((Summary!$C$13="N")*('Dvd Calendar'!$K$2245='Field Check'!$C$25)&gt;0,"",'Dvd Calendar'!$K$2241)))</f>
        <v/>
      </c>
      <c r="BX165" s="85">
        <f>IF(J165="","",IF(ISNUMBER('Dvd Calendar'!$L$2241)=FALSE,"",IF((Summary!$C$13="N")*('Dvd Calendar'!$L$2245='Field Check'!$C$25)&gt;0,"",'Dvd Calendar'!$L$2241)))</f>
        <v/>
      </c>
      <c r="BY165" s="85">
        <f>IF(K165="","",IF(ISNUMBER('Dvd Calendar'!$M$2241)=FALSE,"",IF((Summary!$C$13="N")*('Dvd Calendar'!$M$2245='Field Check'!$C$25)&gt;0,"",'Dvd Calendar'!$M$2241)))</f>
        <v/>
      </c>
      <c r="BZ165" s="85">
        <f>IF(L165="","",IF(ISNUMBER('Dvd Calendar'!$N$2241)=FALSE,"",IF((Summary!$C$13="N")*('Dvd Calendar'!$N$2245='Field Check'!$C$25)&gt;0,"",'Dvd Calendar'!$N$2241)))</f>
        <v/>
      </c>
      <c r="CA165" s="85">
        <f>IF(M165="","",IF(ISNUMBER('Dvd Calendar'!$O$2241)=FALSE,"",IF((Summary!$C$13="N")*('Dvd Calendar'!$O$2245='Field Check'!$C$25)&gt;0,"",'Dvd Calendar'!$O$2241)))</f>
        <v/>
      </c>
      <c r="CB165" s="85">
        <f>IF(N165="","",IF(ISNUMBER('Dvd Calendar'!$P$2241)=FALSE,"",IF((Summary!$C$13="N")*('Dvd Calendar'!$P$2245='Field Check'!$C$25)&gt;0,"",'Dvd Calendar'!$P$2241)))</f>
        <v/>
      </c>
      <c r="CC165" s="85">
        <f>IF(O165="","",IF(ISNUMBER('Dvd Calendar'!$Q$2241)=FALSE,"",IF((Summary!$C$13="N")*('Dvd Calendar'!$Q$2245='Field Check'!$C$25)&gt;0,"",'Dvd Calendar'!$Q$2241)))</f>
        <v/>
      </c>
      <c r="CD165" s="85">
        <f>IF(P165="","",IF(ISNUMBER('Dvd Calendar'!$R$2241)=FALSE,"",IF((Summary!$C$13="N")*('Dvd Calendar'!$R$2245='Field Check'!$C$25)&gt;0,"",'Dvd Calendar'!$R$2241)))</f>
        <v/>
      </c>
      <c r="CE165" s="85">
        <f>IF(Q165="","",IF(ISNUMBER('Dvd Calendar'!$S$2241)=FALSE,"",IF((Summary!$C$13="N")*('Dvd Calendar'!$S$2245='Field Check'!$C$25)&gt;0,"",'Dvd Calendar'!$S$2241)))</f>
        <v/>
      </c>
      <c r="CF165" s="85">
        <f>IF(R165="","",IF(ISNUMBER('Dvd Calendar'!$T$2241)=FALSE,"",IF((Summary!$C$13="N")*('Dvd Calendar'!$T$2245='Field Check'!$C$25)&gt;0,"",'Dvd Calendar'!$T$2241)))</f>
        <v/>
      </c>
      <c r="CG165" s="85">
        <f>IF(S165="","",IF(ISNUMBER('Dvd Calendar'!$U$2241)=FALSE,"",IF((Summary!$C$13="N")*('Dvd Calendar'!$U$2245='Field Check'!$C$25)&gt;0,"",'Dvd Calendar'!$U$2241)))</f>
        <v/>
      </c>
      <c r="CH165" s="85">
        <f>IF(T165="","",IF(ISNUMBER('Dvd Calendar'!$V$2241)=FALSE,"",IF((Summary!$C$13="N")*('Dvd Calendar'!$V$2245='Field Check'!$C$25)&gt;0,"",'Dvd Calendar'!$V$2241)))</f>
        <v/>
      </c>
      <c r="CI165" s="85">
        <f>IF(U165="","",IF(ISNUMBER('Dvd Calendar'!$W$2241)=FALSE,"",IF((Summary!$C$13="N")*('Dvd Calendar'!$W$2245='Field Check'!$C$25)&gt;0,"",'Dvd Calendar'!$W$2241)))</f>
        <v/>
      </c>
      <c r="CJ165" s="85">
        <f>IF(V165="","",IF(ISNUMBER('Dvd Calendar'!$X$2241)=FALSE,"",IF((Summary!$C$13="N")*('Dvd Calendar'!$X$2245='Field Check'!$C$25)&gt;0,"",'Dvd Calendar'!$X$2241)))</f>
        <v/>
      </c>
      <c r="CK165" s="85">
        <f>IF(W165="","",IF(ISNUMBER('Dvd Calendar'!$Y$2241)=FALSE,"",IF((Summary!$C$13="N")*('Dvd Calendar'!$Y$2245='Field Check'!$C$25)&gt;0,"",'Dvd Calendar'!$Y$2241)))</f>
        <v/>
      </c>
      <c r="CL165" s="85">
        <f>IF(X165="","",IF(ISNUMBER('Dvd Calendar'!$Z$2241)=FALSE,"",IF((Summary!$C$13="N")*('Dvd Calendar'!$Z$2245='Field Check'!$C$25)&gt;0,"",'Dvd Calendar'!$Z$2241)))</f>
        <v/>
      </c>
      <c r="CM165" s="85">
        <f>IF(Y165="","",IF(ISNUMBER('Dvd Calendar'!$AA$2241)=FALSE,"",IF((Summary!$C$13="N")*('Dvd Calendar'!$AA$2245='Field Check'!$C$25)&gt;0,"",'Dvd Calendar'!$AA$2241)))</f>
        <v/>
      </c>
      <c r="CN165" s="85">
        <f>IF(Z165="","",IF(ISNUMBER('Dvd Calendar'!$AB$2241)=FALSE,"",IF((Summary!$C$13="N")*('Dvd Calendar'!$AB$2245='Field Check'!$C$25)&gt;0,"",'Dvd Calendar'!$AB$2241)))</f>
        <v/>
      </c>
      <c r="CO165" s="85">
        <f>IF(AA165="","",IF(ISNUMBER('Dvd Calendar'!$AC$2241)=FALSE,"",IF((Summary!$C$13="N")*('Dvd Calendar'!$AC$2245='Field Check'!$C$25)&gt;0,"",'Dvd Calendar'!$AC$2241)))</f>
        <v/>
      </c>
      <c r="CP165" s="85">
        <f>IF(AB165="","",IF(ISNUMBER('Dvd Calendar'!$AD$2241)=FALSE,"",IF((Summary!$C$13="N")*('Dvd Calendar'!$AD$2245='Field Check'!$C$25)&gt;0,"",'Dvd Calendar'!$AD$2241)))</f>
        <v/>
      </c>
      <c r="CQ165" s="85">
        <f>IF(AC165="","",IF(ISNUMBER('Dvd Calendar'!$AE$2241)=FALSE,"",IF((Summary!$C$13="N")*('Dvd Calendar'!$AE$2245='Field Check'!$C$25)&gt;0,"",'Dvd Calendar'!$AE$2241)))</f>
        <v/>
      </c>
      <c r="CR165" s="85">
        <f>IF(AD165="","",IF(ISNUMBER('Dvd Calendar'!$AF$2241)=FALSE,"",IF((Summary!$C$13="N")*('Dvd Calendar'!$AF$2245='Field Check'!$C$25)&gt;0,"",'Dvd Calendar'!$AF$2241)))</f>
        <v/>
      </c>
      <c r="CS165" s="85">
        <f>IF(AE165="","",IF(ISNUMBER('Dvd Calendar'!$AG$2241)=FALSE,"",IF((Summary!$C$13="N")*('Dvd Calendar'!$AG$2245='Field Check'!$C$25)&gt;0,"",'Dvd Calendar'!$AG$2241)))</f>
        <v/>
      </c>
      <c r="CT165" s="85">
        <f>IF(AF165="","",IF(ISNUMBER('Dvd Calendar'!$AH$2241)=FALSE,"",IF((Summary!$C$13="N")*('Dvd Calendar'!$AH$2245='Field Check'!$C$25)&gt;0,"",'Dvd Calendar'!$AH$2241)))</f>
        <v/>
      </c>
      <c r="CU165" s="85">
        <f>IF(AG165="","",IF(ISNUMBER('Dvd Calendar'!$AI$2241)=FALSE,"",IF((Summary!$C$13="N")*('Dvd Calendar'!$AI$2245='Field Check'!$C$25)&gt;0,"",'Dvd Calendar'!$AI$2241)))</f>
        <v/>
      </c>
      <c r="CV165" s="85">
        <f>IF(AH165="","",IF(ISNUMBER('Dvd Calendar'!$AJ$2241)=FALSE,"",IF((Summary!$C$13="N")*('Dvd Calendar'!$AJ$2245='Field Check'!$C$25)&gt;0,"",'Dvd Calendar'!$AJ$2241)))</f>
        <v/>
      </c>
      <c r="CW165" s="85">
        <f>IF(AI165="","",IF(ISNUMBER('Dvd Calendar'!$AK$2241)=FALSE,"",IF((Summary!$C$13="N")*('Dvd Calendar'!$AK$2245='Field Check'!$C$25)&gt;0,"",'Dvd Calendar'!$AK$2241)))</f>
        <v/>
      </c>
      <c r="CX165" s="85">
        <f>IF(AJ165="","",IF(ISNUMBER('Dvd Calendar'!$AL$2241)=FALSE,"",IF((Summary!$C$13="N")*('Dvd Calendar'!$AL$2245='Field Check'!$C$25)&gt;0,"",'Dvd Calendar'!$AL$2241)))</f>
        <v/>
      </c>
      <c r="CY165" s="85">
        <f>IF(AK165="","",IF(ISNUMBER('Dvd Calendar'!$AM$2241)=FALSE,"",IF((Summary!$C$13="N")*('Dvd Calendar'!$AM$2245='Field Check'!$C$25)&gt;0,"",'Dvd Calendar'!$AM$2241)))</f>
        <v/>
      </c>
      <c r="CZ165" s="85">
        <f>IF(AL165="","",IF(ISNUMBER('Dvd Calendar'!$AN$2241)=FALSE,"",IF((Summary!$C$13="N")*('Dvd Calendar'!$AN$2245='Field Check'!$C$25)&gt;0,"",'Dvd Calendar'!$AN$2241)))</f>
        <v/>
      </c>
      <c r="DA165" s="85">
        <f>IF(AM165="","",IF(ISNUMBER('Dvd Calendar'!$AO$2241)=FALSE,"",IF((Summary!$C$13="N")*('Dvd Calendar'!$AO$2245='Field Check'!$C$25)&gt;0,"",'Dvd Calendar'!$AO$2241)))</f>
        <v/>
      </c>
      <c r="DB165" s="85">
        <f>IF(AN165="","",IF(ISNUMBER('Dvd Calendar'!$AP$2241)=FALSE,"",IF((Summary!$C$13="N")*('Dvd Calendar'!$AP$2245='Field Check'!$C$25)&gt;0,"",'Dvd Calendar'!$AP$2241)))</f>
        <v/>
      </c>
      <c r="DC165" s="85">
        <f>IF(AO165="","",IF(ISNUMBER('Dvd Calendar'!$AQ$2241)=FALSE,"",IF((Summary!$C$13="N")*('Dvd Calendar'!$AQ$2245='Field Check'!$C$25)&gt;0,"",'Dvd Calendar'!$AQ$2241)))</f>
        <v/>
      </c>
      <c r="DD165" s="85">
        <f>IF(AP165="","",IF(ISNUMBER('Dvd Calendar'!$AR$2241)=FALSE,"",IF((Summary!$C$13="N")*('Dvd Calendar'!$AR$2245='Field Check'!$C$25)&gt;0,"",'Dvd Calendar'!$AR$2241)))</f>
        <v/>
      </c>
      <c r="DE165" s="85">
        <f>IF(AQ165="","",IF(ISNUMBER('Dvd Calendar'!$E$2248)=FALSE,"",IF((Summary!$C$13="N")*('Dvd Calendar'!$E$2252='Field Check'!$C$25)&gt;0,"",'Dvd Calendar'!$E$2248)))</f>
        <v/>
      </c>
      <c r="DF165" s="85">
        <f>IF(AR165="","",IF(ISNUMBER('Dvd Calendar'!$F$2248)=FALSE,"",IF((Summary!$C$13="N")*('Dvd Calendar'!$F$2252='Field Check'!$C$25)&gt;0,"",'Dvd Calendar'!$F$2248)))</f>
        <v/>
      </c>
      <c r="DG165" s="85">
        <f>IF(AS165="","",IF(ISNUMBER('Dvd Calendar'!$G$2248)=FALSE,"",IF((Summary!$C$13="N")*('Dvd Calendar'!$G$2252='Field Check'!$C$25)&gt;0,"",'Dvd Calendar'!$G$2248)))</f>
        <v/>
      </c>
      <c r="DH165" s="85">
        <f>IF(AT165="","",IF(ISNUMBER('Dvd Calendar'!$H$2248)=FALSE,"",IF((Summary!$C$13="N")*('Dvd Calendar'!$H$2252='Field Check'!$C$25)&gt;0,"",'Dvd Calendar'!$H$2248)))</f>
        <v/>
      </c>
      <c r="DI165" s="85">
        <f>IF(AU165="","",IF(ISNUMBER('Dvd Calendar'!$I$2248)=FALSE,"",IF((Summary!$C$13="N")*('Dvd Calendar'!$I$2252='Field Check'!$C$25)&gt;0,"",'Dvd Calendar'!$I$2248)))</f>
        <v/>
      </c>
      <c r="DJ165" s="85">
        <f>IF(AV165="","",IF(ISNUMBER('Dvd Calendar'!$J$2248)=FALSE,"",IF((Summary!$C$13="N")*('Dvd Calendar'!$J$2252='Field Check'!$C$25)&gt;0,"",'Dvd Calendar'!$J$2248)))</f>
        <v/>
      </c>
      <c r="DK165" s="85">
        <f>IF(AW165="","",IF(ISNUMBER('Dvd Calendar'!$K$2248)=FALSE,"",IF((Summary!$C$13="N")*('Dvd Calendar'!$K$2252='Field Check'!$C$25)&gt;0,"",'Dvd Calendar'!$K$2248)))</f>
        <v/>
      </c>
      <c r="DL165" s="85">
        <f>IF(AX165="","",IF(ISNUMBER('Dvd Calendar'!$L$2248)=FALSE,"",IF((Summary!$C$13="N")*('Dvd Calendar'!$L$2252='Field Check'!$C$25)&gt;0,"",'Dvd Calendar'!$L$2248)))</f>
        <v/>
      </c>
      <c r="DM165" s="85">
        <f>IF(AY165="","",IF(ISNUMBER('Dvd Calendar'!$M$2248)=FALSE,"",IF((Summary!$C$13="N")*('Dvd Calendar'!$M$2252='Field Check'!$C$25)&gt;0,"",'Dvd Calendar'!$M$2248)))</f>
        <v/>
      </c>
      <c r="DN165" s="85">
        <f>IF(AZ165="","",IF(ISNUMBER('Dvd Calendar'!$N$2248)=FALSE,"",IF((Summary!$C$13="N")*('Dvd Calendar'!$N$2252='Field Check'!$C$25)&gt;0,"",'Dvd Calendar'!$N$2248)))</f>
        <v/>
      </c>
      <c r="DO165" s="85">
        <f>IF(BA165="","",IF(ISNUMBER('Dvd Calendar'!$O$2248)=FALSE,"",IF((Summary!$C$13="N")*('Dvd Calendar'!$O$2252='Field Check'!$C$25)&gt;0,"",'Dvd Calendar'!$O$2248)))</f>
        <v/>
      </c>
      <c r="DP165" s="85">
        <f>IF(BB165="","",IF(ISNUMBER('Dvd Calendar'!$P$2248)=FALSE,"",IF((Summary!$C$13="N")*('Dvd Calendar'!$P$2252='Field Check'!$C$25)&gt;0,"",'Dvd Calendar'!$P$2248)))</f>
        <v/>
      </c>
      <c r="DQ165" s="85">
        <f>IF(BC165="","",IF(ISNUMBER('Dvd Calendar'!$Q$2248)=FALSE,"",IF((Summary!$C$13="N")*('Dvd Calendar'!$Q$2252='Field Check'!$C$25)&gt;0,"",'Dvd Calendar'!$Q$2248)))</f>
        <v/>
      </c>
      <c r="DR165" s="85">
        <f>IF(BD165="","",IF(ISNUMBER('Dvd Calendar'!$R$2248)=FALSE,"",IF((Summary!$C$13="N")*('Dvd Calendar'!$R$2252='Field Check'!$C$25)&gt;0,"",'Dvd Calendar'!$R$2248)))</f>
        <v/>
      </c>
      <c r="DS165" s="85">
        <f>IF(BE165="","",IF(ISNUMBER('Dvd Calendar'!$S$2248)=FALSE,"",IF((Summary!$C$13="N")*('Dvd Calendar'!$S$2252='Field Check'!$C$25)&gt;0,"",'Dvd Calendar'!$S$2248)))</f>
        <v/>
      </c>
      <c r="DT165" s="85">
        <f>IF(BF165="","",IF(ISNUMBER('Dvd Calendar'!$T$2248)=FALSE,"",IF((Summary!$C$13="N")*('Dvd Calendar'!$T$2252='Field Check'!$C$25)&gt;0,"",'Dvd Calendar'!$T$2248)))</f>
        <v/>
      </c>
      <c r="DU165" s="85">
        <f>IF(BG165="","",IF(ISNUMBER('Dvd Calendar'!$U$2248)=FALSE,"",IF((Summary!$C$13="N")*('Dvd Calendar'!$U$2252='Field Check'!$C$25)&gt;0,"",'Dvd Calendar'!$U$2248)))</f>
        <v/>
      </c>
      <c r="DV165" s="85">
        <f>IF(BH165="","",IF(ISNUMBER('Dvd Calendar'!$V$2248)=FALSE,"",IF((Summary!$C$13="N")*('Dvd Calendar'!$V$2252='Field Check'!$C$25)&gt;0,"",'Dvd Calendar'!$V$2248)))</f>
        <v/>
      </c>
      <c r="DW165" s="85">
        <f>IF(BI165="","",IF(ISNUMBER('Dvd Calendar'!$W$2248)=FALSE,"",IF((Summary!$C$13="N")*('Dvd Calendar'!$W$2252='Field Check'!$C$25)&gt;0,"",'Dvd Calendar'!$W$2248)))</f>
        <v/>
      </c>
      <c r="DX165" s="85">
        <f>IF(BJ165="","",IF(ISNUMBER('Dvd Calendar'!$X$2248)=FALSE,"",IF((Summary!$C$13="N")*('Dvd Calendar'!$X$2252='Field Check'!$C$25)&gt;0,"",'Dvd Calendar'!$X$2248)))</f>
        <v/>
      </c>
      <c r="DY165" s="85">
        <f>IF(BK165="","",IF(ISNUMBER('Dvd Calendar'!$Y$2248)=FALSE,"",IF((Summary!$C$13="N")*('Dvd Calendar'!$Y$2252='Field Check'!$C$25)&gt;0,"",'Dvd Calendar'!$Y$2248)))</f>
        <v/>
      </c>
      <c r="DZ165" s="85">
        <f>IF(BL165="","",IF(ISNUMBER('Dvd Calendar'!$Z$2248)=FALSE,"",IF((Summary!$C$13="N")*('Dvd Calendar'!$Z$2252='Field Check'!$C$25)&gt;0,"",'Dvd Calendar'!$Z$2248)))</f>
        <v/>
      </c>
      <c r="EA165" s="85">
        <f>IF(BM165="","",IF(ISNUMBER('Dvd Calendar'!$AA$2248)=FALSE,"",IF((Summary!$C$13="N")*('Dvd Calendar'!$AA$2252='Field Check'!$C$25)&gt;0,"",'Dvd Calendar'!$AA$2248)))</f>
        <v/>
      </c>
      <c r="EB165" s="85">
        <f>IF(BN165="","",IF(ISNUMBER('Dvd Calendar'!$AB$2248)=FALSE,"",IF((Summary!$C$13="N")*('Dvd Calendar'!$AB$2252='Field Check'!$C$25)&gt;0,"",'Dvd Calendar'!$AB$2248)))</f>
        <v/>
      </c>
      <c r="EC165" s="85">
        <f>IF(BO165="","",IF(ISNUMBER('Dvd Calendar'!$AC$2248)=FALSE,"",IF((Summary!$C$13="N")*('Dvd Calendar'!$AC$2252='Field Check'!$C$25)&gt;0,"",'Dvd Calendar'!$AC$2248)))</f>
        <v/>
      </c>
      <c r="EE165" s="85">
        <f>IF(BQ165="","",IFERROR(BQ165*HSCEI!$B$15*HSCEI!$G$15/HSCEI!$B$3,""))</f>
        <v/>
      </c>
      <c r="EF165" s="85">
        <f>IF(BR165="","",IFERROR(BR165*HSCEI!$B$15*HSCEI!$G$15/HSCEI!$B$3,""))</f>
        <v/>
      </c>
      <c r="EG165" s="85">
        <f>IF(BS165="","",IFERROR(BS165*HSCEI!$B$15*HSCEI!$G$15/HSCEI!$B$3,""))</f>
        <v/>
      </c>
      <c r="EH165" s="85">
        <f>IF(BT165="","",IFERROR(BT165*HSCEI!$B$15*HSCEI!$G$15/HSCEI!$B$3,""))</f>
        <v/>
      </c>
      <c r="EI165" s="85">
        <f>IF(BU165="","",IFERROR(BU165*HSCEI!$B$15*HSCEI!$G$15/HSCEI!$B$3,""))</f>
        <v/>
      </c>
      <c r="EJ165" s="85">
        <f>IF(BV165="","",IFERROR(BV165*HSCEI!$B$15*HSCEI!$G$15/HSCEI!$B$3,""))</f>
        <v/>
      </c>
      <c r="EK165" s="85">
        <f>IF(BW165="","",IFERROR(BW165*HSCEI!$B$15*HSCEI!$G$15/HSCEI!$B$3,""))</f>
        <v/>
      </c>
      <c r="EL165" s="85">
        <f>IF(BX165="","",IFERROR(BX165*HSCEI!$B$15*HSCEI!$G$15/HSCEI!$B$3,""))</f>
        <v/>
      </c>
      <c r="EM165" s="85">
        <f>IF(BY165="","",IFERROR(BY165*HSCEI!$B$15*HSCEI!$G$15/HSCEI!$B$3,""))</f>
        <v/>
      </c>
      <c r="EN165" s="85">
        <f>IF(BZ165="","",IFERROR(BZ165*HSCEI!$B$15*HSCEI!$G$15/HSCEI!$B$3,""))</f>
        <v/>
      </c>
      <c r="EO165" s="85">
        <f>IF(CA165="","",IFERROR(CA165*HSCEI!$B$15*HSCEI!$G$15/HSCEI!$B$3,""))</f>
        <v/>
      </c>
      <c r="EP165" s="85">
        <f>IF(CB165="","",IFERROR(CB165*HSCEI!$B$15*HSCEI!$G$15/HSCEI!$B$3,""))</f>
        <v/>
      </c>
      <c r="EQ165" s="85">
        <f>IF(CC165="","",IFERROR(CC165*HSCEI!$B$15*HSCEI!$G$15/HSCEI!$B$3,""))</f>
        <v/>
      </c>
      <c r="ER165" s="85">
        <f>IF(CD165="","",IFERROR(CD165*HSCEI!$B$15*HSCEI!$G$15/HSCEI!$B$3,""))</f>
        <v/>
      </c>
      <c r="ES165" s="85">
        <f>IF(CE165="","",IFERROR(CE165*HSCEI!$B$15*HSCEI!$G$15/HSCEI!$B$3,""))</f>
        <v/>
      </c>
      <c r="ET165" s="85">
        <f>IF(CF165="","",IFERROR(CF165*HSCEI!$B$15*HSCEI!$G$15/HSCEI!$B$3,""))</f>
        <v/>
      </c>
      <c r="EU165" s="85">
        <f>IF(CG165="","",IFERROR(CG165*HSCEI!$B$15*HSCEI!$G$15/HSCEI!$B$3,""))</f>
        <v/>
      </c>
      <c r="EV165" s="85">
        <f>IF(CH165="","",IFERROR(CH165*HSCEI!$B$15*HSCEI!$G$15/HSCEI!$B$3,""))</f>
        <v/>
      </c>
      <c r="EW165" s="85">
        <f>IF(CI165="","",IFERROR(CI165*HSCEI!$B$15*HSCEI!$G$15/HSCEI!$B$3,""))</f>
        <v/>
      </c>
      <c r="EX165" s="85">
        <f>IF(CJ165="","",IFERROR(CJ165*HSCEI!$B$15*HSCEI!$G$15/HSCEI!$B$3,""))</f>
        <v/>
      </c>
      <c r="EY165" s="85">
        <f>IF(CK165="","",IFERROR(CK165*HSCEI!$B$15*HSCEI!$G$15/HSCEI!$B$3,""))</f>
        <v/>
      </c>
      <c r="EZ165" s="85">
        <f>IF(CL165="","",IFERROR(CL165*HSCEI!$B$15*HSCEI!$G$15/HSCEI!$B$3,""))</f>
        <v/>
      </c>
      <c r="FA165" s="85">
        <f>IF(CM165="","",IFERROR(CM165*HSCEI!$B$15*HSCEI!$G$15/HSCEI!$B$3,""))</f>
        <v/>
      </c>
      <c r="FB165" s="85">
        <f>IF(CN165="","",IFERROR(CN165*HSCEI!$B$15*HSCEI!$G$15/HSCEI!$B$3,""))</f>
        <v/>
      </c>
      <c r="FC165" s="85">
        <f>IF(CO165="","",IFERROR(CO165*HSCEI!$B$15*HSCEI!$G$15/HSCEI!$B$3,""))</f>
        <v/>
      </c>
      <c r="FD165" s="85">
        <f>IF(CP165="","",IFERROR(CP165*HSCEI!$B$15*HSCEI!$G$15/HSCEI!$B$3,""))</f>
        <v/>
      </c>
      <c r="FE165" s="85">
        <f>IF(CQ165="","",IFERROR(CQ165*HSCEI!$B$15*HSCEI!$G$15/HSCEI!$B$3,""))</f>
        <v/>
      </c>
      <c r="FF165" s="85">
        <f>IF(CR165="","",IFERROR(CR165*HSCEI!$B$15*HSCEI!$G$15/HSCEI!$B$3,""))</f>
        <v/>
      </c>
      <c r="FG165" s="85">
        <f>IF(CS165="","",IFERROR(CS165*HSCEI!$B$15*HSCEI!$G$15/HSCEI!$B$3,""))</f>
        <v/>
      </c>
      <c r="FH165" s="85">
        <f>IF(CT165="","",IFERROR(CT165*HSCEI!$B$15*HSCEI!$G$15/HSCEI!$B$3,""))</f>
        <v/>
      </c>
      <c r="FI165" s="85">
        <f>IF(CU165="","",IFERROR(CU165*HSCEI!$B$15*HSCEI!$G$15/HSCEI!$B$3,""))</f>
        <v/>
      </c>
      <c r="FJ165" s="85">
        <f>IF(CV165="","",IFERROR(CV165*HSCEI!$B$15*HSCEI!$G$15/HSCEI!$B$3,""))</f>
        <v/>
      </c>
      <c r="FK165" s="85">
        <f>IF(CW165="","",IFERROR(CW165*HSCEI!$B$15*HSCEI!$G$15/HSCEI!$B$3,""))</f>
        <v/>
      </c>
      <c r="FL165" s="85">
        <f>IF(CX165="","",IFERROR(CX165*HSCEI!$B$15*HSCEI!$G$15/HSCEI!$B$3,""))</f>
        <v/>
      </c>
      <c r="FM165" s="85">
        <f>IF(CY165="","",IFERROR(CY165*HSCEI!$B$15*HSCEI!$G$15/HSCEI!$B$3,""))</f>
        <v/>
      </c>
      <c r="FN165" s="85">
        <f>IF(CZ165="","",IFERROR(CZ165*HSCEI!$B$15*HSCEI!$G$15/HSCEI!$B$3,""))</f>
        <v/>
      </c>
      <c r="FO165" s="85">
        <f>IF(DA165="","",IFERROR(DA165*HSCEI!$B$15*HSCEI!$G$15/HSCEI!$B$3,""))</f>
        <v/>
      </c>
      <c r="FP165" s="85">
        <f>IF(DB165="","",IFERROR(DB165*HSCEI!$B$15*HSCEI!$G$15/HSCEI!$B$3,""))</f>
        <v/>
      </c>
      <c r="FQ165" s="85">
        <f>IF(DC165="","",IFERROR(DC165*HSCEI!$B$15*HSCEI!$G$15/HSCEI!$B$3,""))</f>
        <v/>
      </c>
      <c r="FR165" s="85">
        <f>IF(DD165="","",IFERROR(DD165*HSCEI!$B$15*HSCEI!$G$15/HSCEI!$B$3,""))</f>
        <v/>
      </c>
      <c r="FS165" s="85">
        <f>IF(DE165="","",IFERROR(DE165*HSCEI!$B$15*HSCEI!$G$15/HSCEI!$B$3,""))</f>
        <v/>
      </c>
      <c r="FT165" s="85">
        <f>IF(DF165="","",IFERROR(DF165*HSCEI!$B$15*HSCEI!$G$15/HSCEI!$B$3,""))</f>
        <v/>
      </c>
      <c r="FU165" s="85">
        <f>IF(DG165="","",IFERROR(DG165*HSCEI!$B$15*HSCEI!$G$15/HSCEI!$B$3,""))</f>
        <v/>
      </c>
      <c r="FV165" s="85">
        <f>IF(DH165="","",IFERROR(DH165*HSCEI!$B$15*HSCEI!$G$15/HSCEI!$B$3,""))</f>
        <v/>
      </c>
      <c r="FW165" s="85">
        <f>IF(DI165="","",IFERROR(DI165*HSCEI!$B$15*HSCEI!$G$15/HSCEI!$B$3,""))</f>
        <v/>
      </c>
      <c r="FX165" s="85">
        <f>IF(DJ165="","",IFERROR(DJ165*HSCEI!$B$15*HSCEI!$G$15/HSCEI!$B$3,""))</f>
        <v/>
      </c>
      <c r="FY165" s="85">
        <f>IF(DK165="","",IFERROR(DK165*HSCEI!$B$15*HSCEI!$G$15/HSCEI!$B$3,""))</f>
        <v/>
      </c>
      <c r="FZ165" s="85">
        <f>IF(DL165="","",IFERROR(DL165*HSCEI!$B$15*HSCEI!$G$15/HSCEI!$B$3,""))</f>
        <v/>
      </c>
      <c r="GA165" s="85">
        <f>IF(DM165="","",IFERROR(DM165*HSCEI!$B$15*HSCEI!$G$15/HSCEI!$B$3,""))</f>
        <v/>
      </c>
      <c r="GB165" s="85">
        <f>IF(DN165="","",IFERROR(DN165*HSCEI!$B$15*HSCEI!$G$15/HSCEI!$B$3,""))</f>
        <v/>
      </c>
      <c r="GC165" s="85">
        <f>IF(DO165="","",IFERROR(DO165*HSCEI!$B$15*HSCEI!$G$15/HSCEI!$B$3,""))</f>
        <v/>
      </c>
      <c r="GD165" s="85">
        <f>IF(DP165="","",IFERROR(DP165*HSCEI!$B$15*HSCEI!$G$15/HSCEI!$B$3,""))</f>
        <v/>
      </c>
      <c r="GE165" s="85">
        <f>IF(DQ165="","",IFERROR(DQ165*HSCEI!$B$15*HSCEI!$G$15/HSCEI!$B$3,""))</f>
        <v/>
      </c>
      <c r="GF165" s="85">
        <f>IF(DR165="","",IFERROR(DR165*HSCEI!$B$15*HSCEI!$G$15/HSCEI!$B$3,""))</f>
        <v/>
      </c>
      <c r="GG165" s="85">
        <f>IF(DS165="","",IFERROR(DS165*HSCEI!$B$15*HSCEI!$G$15/HSCEI!$B$3,""))</f>
        <v/>
      </c>
      <c r="GH165" s="85">
        <f>IF(DT165="","",IFERROR(DT165*HSCEI!$B$15*HSCEI!$G$15/HSCEI!$B$3,""))</f>
        <v/>
      </c>
      <c r="GI165" s="85">
        <f>IF(DU165="","",IFERROR(DU165*HSCEI!$B$15*HSCEI!$G$15/HSCEI!$B$3,""))</f>
        <v/>
      </c>
      <c r="GJ165" s="85">
        <f>IF(DV165="","",IFERROR(DV165*HSCEI!$B$15*HSCEI!$G$15/HSCEI!$B$3,""))</f>
        <v/>
      </c>
      <c r="GK165" s="85">
        <f>IF(DW165="","",IFERROR(DW165*HSCEI!$B$15*HSCEI!$G$15/HSCEI!$B$3,""))</f>
        <v/>
      </c>
      <c r="GL165" s="85">
        <f>IF(DX165="","",IFERROR(DX165*HSCEI!$B$15*HSCEI!$G$15/HSCEI!$B$3,""))</f>
        <v/>
      </c>
      <c r="GM165" s="85">
        <f>IF(DY165="","",IFERROR(DY165*HSCEI!$B$15*HSCEI!$G$15/HSCEI!$B$3,""))</f>
        <v/>
      </c>
      <c r="GN165" s="85">
        <f>IF(DZ165="","",IFERROR(DZ165*HSCEI!$B$15*HSCEI!$G$15/HSCEI!$B$3,""))</f>
        <v/>
      </c>
      <c r="GO165" s="85">
        <f>IF(EA165="","",IFERROR(EA165*HSCEI!$B$15*HSCEI!$G$15/HSCEI!$B$3,""))</f>
        <v/>
      </c>
      <c r="GP165" s="85">
        <f>IF(EB165="","",IFERROR(EB165*HSCEI!$B$15*HSCEI!$G$15/HSCEI!$B$3,""))</f>
        <v/>
      </c>
      <c r="GQ165" s="85">
        <f>IF(EC165="","",IFERROR(EC165*HSCEI!$B$15*HSCEI!$G$15/HSCEI!$B$3,""))</f>
        <v/>
      </c>
    </row>
    <row r="166">
      <c r="B166" s="2">
        <f>IF(HSCEI!$C$16="","",HSCEI!$C$16)</f>
        <v/>
      </c>
      <c r="C166" s="41">
        <f>IF(N('Dvd Calendar'!$E$2255)=0,"",IF(('Dvd Calendar'!$E$2255&gt;=MIN(DATE(Summary!$C$12,1,1),Summary!$C$11))*('Dvd Calendar'!$E$2255&lt;=MAX(DATE(Summary!$C$12,12,31),Summary!$C$15))*('Dvd Calendar'!$E$2255&lt;=Summary!$C$11)=0,"",'Dvd Calendar'!$E$2255*1000000000+ISNUMBER('Dvd Calendar'!$E$2256)*100000000+('Dvd Calendar'!$E$2260='Field Check'!$C$25)*10000000+(N('Dvd Calendar'!$E$2254)&gt;0)*1000000+10*1000+1))</f>
        <v/>
      </c>
      <c r="D166" s="41">
        <f>IF(N('Dvd Calendar'!$F$2255)=0,"",IF(('Dvd Calendar'!$F$2255&gt;=MIN(DATE(Summary!$C$12,1,1),Summary!$C$11))*('Dvd Calendar'!$F$2255&lt;=MAX(DATE(Summary!$C$12,12,31),Summary!$C$15))*('Dvd Calendar'!$F$2255&lt;=Summary!$C$11)=0,"",'Dvd Calendar'!$F$2255*1000000000+ISNUMBER('Dvd Calendar'!$F$2256)*100000000+('Dvd Calendar'!$F$2260='Field Check'!$C$25)*10000000+(N('Dvd Calendar'!$F$2254)&gt;0)*1000000+10*1000+2))</f>
        <v/>
      </c>
      <c r="E166" s="41">
        <f>IF(N('Dvd Calendar'!$G$2255)=0,"",IF(('Dvd Calendar'!$G$2255&gt;=MIN(DATE(Summary!$C$12,1,1),Summary!$C$11))*('Dvd Calendar'!$G$2255&lt;=MAX(DATE(Summary!$C$12,12,31),Summary!$C$15))*('Dvd Calendar'!$G$2255&lt;=Summary!$C$11)=0,"",'Dvd Calendar'!$G$2255*1000000000+ISNUMBER('Dvd Calendar'!$G$2256)*100000000+('Dvd Calendar'!$G$2260='Field Check'!$C$25)*10000000+(N('Dvd Calendar'!$G$2254)&gt;0)*1000000+10*1000+3))</f>
        <v/>
      </c>
      <c r="F166" s="41">
        <f>IF(N('Dvd Calendar'!$H$2255)=0,"",IF(('Dvd Calendar'!$H$2255&gt;=MIN(DATE(Summary!$C$12,1,1),Summary!$C$11))*('Dvd Calendar'!$H$2255&lt;=MAX(DATE(Summary!$C$12,12,31),Summary!$C$15))*('Dvd Calendar'!$H$2255&lt;=Summary!$C$11)=0,"",'Dvd Calendar'!$H$2255*1000000000+ISNUMBER('Dvd Calendar'!$H$2256)*100000000+('Dvd Calendar'!$H$2260='Field Check'!$C$25)*10000000+(N('Dvd Calendar'!$H$2254)&gt;0)*1000000+10*1000+4))</f>
        <v/>
      </c>
      <c r="G166" s="41">
        <f>IF(N('Dvd Calendar'!$I$2255)=0,"",IF(('Dvd Calendar'!$I$2255&gt;=MIN(DATE(Summary!$C$12,1,1),Summary!$C$11))*('Dvd Calendar'!$I$2255&lt;=MAX(DATE(Summary!$C$12,12,31),Summary!$C$15))*('Dvd Calendar'!$I$2255&lt;=Summary!$C$11)=0,"",'Dvd Calendar'!$I$2255*1000000000+ISNUMBER('Dvd Calendar'!$I$2256)*100000000+('Dvd Calendar'!$I$2260='Field Check'!$C$25)*10000000+(N('Dvd Calendar'!$I$2254)&gt;0)*1000000+10*1000+5))</f>
        <v/>
      </c>
      <c r="H166" s="41">
        <f>IF(N('Dvd Calendar'!$J$2255)=0,"",IF(('Dvd Calendar'!$J$2255&gt;=MIN(DATE(Summary!$C$12,1,1),Summary!$C$11))*('Dvd Calendar'!$J$2255&lt;=MAX(DATE(Summary!$C$12,12,31),Summary!$C$15))*('Dvd Calendar'!$J$2255&lt;=Summary!$C$11)=0,"",'Dvd Calendar'!$J$2255*1000000000+ISNUMBER('Dvd Calendar'!$J$2256)*100000000+('Dvd Calendar'!$J$2260='Field Check'!$C$25)*10000000+(N('Dvd Calendar'!$J$2254)&gt;0)*1000000+10*1000+6))</f>
        <v/>
      </c>
      <c r="I166" s="41">
        <f>IF(N('Dvd Calendar'!$K$2255)=0,"",IF(('Dvd Calendar'!$K$2255&gt;=MIN(DATE(Summary!$C$12,1,1),Summary!$C$11))*('Dvd Calendar'!$K$2255&lt;=MAX(DATE(Summary!$C$12,12,31),Summary!$C$15))*('Dvd Calendar'!$K$2255&lt;=Summary!$C$11)=0,"",'Dvd Calendar'!$K$2255*1000000000+ISNUMBER('Dvd Calendar'!$K$2256)*100000000+('Dvd Calendar'!$K$2260='Field Check'!$C$25)*10000000+(N('Dvd Calendar'!$K$2254)&gt;0)*1000000+10*1000+7))</f>
        <v/>
      </c>
      <c r="J166" s="41">
        <f>IF(N('Dvd Calendar'!$L$2255)=0,"",IF(('Dvd Calendar'!$L$2255&gt;=MIN(DATE(Summary!$C$12,1,1),Summary!$C$11))*('Dvd Calendar'!$L$2255&lt;=MAX(DATE(Summary!$C$12,12,31),Summary!$C$15))*('Dvd Calendar'!$L$2255&lt;=Summary!$C$11)=0,"",'Dvd Calendar'!$L$2255*1000000000+ISNUMBER('Dvd Calendar'!$L$2256)*100000000+('Dvd Calendar'!$L$2260='Field Check'!$C$25)*10000000+(N('Dvd Calendar'!$L$2254)&gt;0)*1000000+10*1000+8))</f>
        <v/>
      </c>
      <c r="K166" s="41">
        <f>IF(N('Dvd Calendar'!$M$2255)=0,"",IF(('Dvd Calendar'!$M$2255&gt;=MIN(DATE(Summary!$C$12,1,1),Summary!$C$11))*('Dvd Calendar'!$M$2255&lt;=MAX(DATE(Summary!$C$12,12,31),Summary!$C$15))*('Dvd Calendar'!$M$2255&lt;=Summary!$C$11)=0,"",'Dvd Calendar'!$M$2255*1000000000+ISNUMBER('Dvd Calendar'!$M$2256)*100000000+('Dvd Calendar'!$M$2260='Field Check'!$C$25)*10000000+(N('Dvd Calendar'!$M$2254)&gt;0)*1000000+10*1000+9))</f>
        <v/>
      </c>
      <c r="L166" s="41">
        <f>IF(N('Dvd Calendar'!$N$2255)=0,"",IF(('Dvd Calendar'!$N$2255&gt;=MIN(DATE(Summary!$C$12,1,1),Summary!$C$11))*('Dvd Calendar'!$N$2255&lt;=MAX(DATE(Summary!$C$12,12,31),Summary!$C$15))*('Dvd Calendar'!$N$2255&lt;=Summary!$C$11)=0,"",'Dvd Calendar'!$N$2255*1000000000+ISNUMBER('Dvd Calendar'!$N$2256)*100000000+('Dvd Calendar'!$N$2260='Field Check'!$C$25)*10000000+(N('Dvd Calendar'!$N$2254)&gt;0)*1000000+10*1000+10))</f>
        <v/>
      </c>
      <c r="M166" s="41">
        <f>IF(N('Dvd Calendar'!$O$2255)=0,"",IF(('Dvd Calendar'!$O$2255&gt;=MIN(DATE(Summary!$C$12,1,1),Summary!$C$11))*('Dvd Calendar'!$O$2255&lt;=MAX(DATE(Summary!$C$12,12,31),Summary!$C$15))*('Dvd Calendar'!$O$2255&lt;=Summary!$C$11)=0,"",'Dvd Calendar'!$O$2255*1000000000+ISNUMBER('Dvd Calendar'!$O$2256)*100000000+('Dvd Calendar'!$O$2260='Field Check'!$C$25)*10000000+(N('Dvd Calendar'!$O$2254)&gt;0)*1000000+10*1000+11))</f>
        <v/>
      </c>
      <c r="N166" s="41">
        <f>IF(N('Dvd Calendar'!$P$2255)=0,"",IF(('Dvd Calendar'!$P$2255&gt;=MIN(DATE(Summary!$C$12,1,1),Summary!$C$11))*('Dvd Calendar'!$P$2255&lt;=MAX(DATE(Summary!$C$12,12,31),Summary!$C$15))*('Dvd Calendar'!$P$2255&lt;=Summary!$C$11)=0,"",'Dvd Calendar'!$P$2255*1000000000+ISNUMBER('Dvd Calendar'!$P$2256)*100000000+('Dvd Calendar'!$P$2260='Field Check'!$C$25)*10000000+(N('Dvd Calendar'!$P$2254)&gt;0)*1000000+10*1000+12))</f>
        <v/>
      </c>
      <c r="O166" s="41">
        <f>IF(N('Dvd Calendar'!$Q$2255)=0,"",IF(('Dvd Calendar'!$Q$2255&gt;=MIN(DATE(Summary!$C$12,1,1),Summary!$C$11))*('Dvd Calendar'!$Q$2255&lt;=MAX(DATE(Summary!$C$12,12,31),Summary!$C$15))*('Dvd Calendar'!$Q$2255&lt;=Summary!$C$11)=0,"",'Dvd Calendar'!$Q$2255*1000000000+ISNUMBER('Dvd Calendar'!$Q$2256)*100000000+('Dvd Calendar'!$Q$2260='Field Check'!$C$25)*10000000+(N('Dvd Calendar'!$Q$2254)&gt;0)*1000000+10*1000+13))</f>
        <v/>
      </c>
      <c r="P166" s="41">
        <f>IF(N('Dvd Calendar'!$R$2255)=0,"",IF(('Dvd Calendar'!$R$2255&gt;=MIN(DATE(Summary!$C$12,1,1),Summary!$C$11))*('Dvd Calendar'!$R$2255&lt;=MAX(DATE(Summary!$C$12,12,31),Summary!$C$15))*('Dvd Calendar'!$R$2255&lt;=Summary!$C$11)=0,"",'Dvd Calendar'!$R$2255*1000000000+ISNUMBER('Dvd Calendar'!$R$2256)*100000000+('Dvd Calendar'!$R$2260='Field Check'!$C$25)*10000000+(N('Dvd Calendar'!$R$2254)&gt;0)*1000000+10*1000+14))</f>
        <v/>
      </c>
      <c r="Q166" s="41">
        <f>IF(N('Dvd Calendar'!$S$2255)=0,"",IF(('Dvd Calendar'!$S$2255&gt;=MIN(DATE(Summary!$C$12,1,1),Summary!$C$11))*('Dvd Calendar'!$S$2255&lt;=MAX(DATE(Summary!$C$12,12,31),Summary!$C$15))*('Dvd Calendar'!$S$2255&lt;=Summary!$C$11)=0,"",'Dvd Calendar'!$S$2255*1000000000+ISNUMBER('Dvd Calendar'!$S$2256)*100000000+('Dvd Calendar'!$S$2260='Field Check'!$C$25)*10000000+(N('Dvd Calendar'!$S$2254)&gt;0)*1000000+10*1000+15))</f>
        <v/>
      </c>
      <c r="R166" s="41">
        <f>IF(N('Dvd Calendar'!$T$2255)=0,"",IF(('Dvd Calendar'!$T$2255&gt;=MIN(DATE(Summary!$C$12,1,1),Summary!$C$11))*('Dvd Calendar'!$T$2255&lt;=MAX(DATE(Summary!$C$12,12,31),Summary!$C$15))*('Dvd Calendar'!$T$2255&lt;=Summary!$C$11)=0,"",'Dvd Calendar'!$T$2255*1000000000+ISNUMBER('Dvd Calendar'!$T$2256)*100000000+('Dvd Calendar'!$T$2260='Field Check'!$C$25)*10000000+(N('Dvd Calendar'!$T$2254)&gt;0)*1000000+10*1000+16))</f>
        <v/>
      </c>
      <c r="S166" s="41">
        <f>IF(N('Dvd Calendar'!$U$2255)=0,"",IF(('Dvd Calendar'!$U$2255&gt;=MIN(DATE(Summary!$C$12,1,1),Summary!$C$11))*('Dvd Calendar'!$U$2255&lt;=MAX(DATE(Summary!$C$12,12,31),Summary!$C$15))*('Dvd Calendar'!$U$2255&lt;=Summary!$C$11)=0,"",'Dvd Calendar'!$U$2255*1000000000+ISNUMBER('Dvd Calendar'!$U$2256)*100000000+('Dvd Calendar'!$U$2260='Field Check'!$C$25)*10000000+(N('Dvd Calendar'!$U$2254)&gt;0)*1000000+10*1000+17))</f>
        <v/>
      </c>
      <c r="T166" s="41">
        <f>IF(N('Dvd Calendar'!$V$2255)=0,"",IF(('Dvd Calendar'!$V$2255&gt;=MIN(DATE(Summary!$C$12,1,1),Summary!$C$11))*('Dvd Calendar'!$V$2255&lt;=MAX(DATE(Summary!$C$12,12,31),Summary!$C$15))*('Dvd Calendar'!$V$2255&lt;=Summary!$C$11)=0,"",'Dvd Calendar'!$V$2255*1000000000+ISNUMBER('Dvd Calendar'!$V$2256)*100000000+('Dvd Calendar'!$V$2260='Field Check'!$C$25)*10000000+(N('Dvd Calendar'!$V$2254)&gt;0)*1000000+10*1000+18))</f>
        <v/>
      </c>
      <c r="U166" s="41">
        <f>IF(N('Dvd Calendar'!$W$2255)=0,"",IF(('Dvd Calendar'!$W$2255&gt;=MIN(DATE(Summary!$C$12,1,1),Summary!$C$11))*('Dvd Calendar'!$W$2255&lt;=MAX(DATE(Summary!$C$12,12,31),Summary!$C$15))*('Dvd Calendar'!$W$2255&lt;=Summary!$C$11)=0,"",'Dvd Calendar'!$W$2255*1000000000+ISNUMBER('Dvd Calendar'!$W$2256)*100000000+('Dvd Calendar'!$W$2260='Field Check'!$C$25)*10000000+(N('Dvd Calendar'!$W$2254)&gt;0)*1000000+10*1000+19))</f>
        <v/>
      </c>
      <c r="V166" s="41">
        <f>IF(N('Dvd Calendar'!$X$2255)=0,"",IF(('Dvd Calendar'!$X$2255&gt;=MIN(DATE(Summary!$C$12,1,1),Summary!$C$11))*('Dvd Calendar'!$X$2255&lt;=MAX(DATE(Summary!$C$12,12,31),Summary!$C$15))*('Dvd Calendar'!$X$2255&lt;=Summary!$C$11)=0,"",'Dvd Calendar'!$X$2255*1000000000+ISNUMBER('Dvd Calendar'!$X$2256)*100000000+('Dvd Calendar'!$X$2260='Field Check'!$C$25)*10000000+(N('Dvd Calendar'!$X$2254)&gt;0)*1000000+10*1000+20))</f>
        <v/>
      </c>
      <c r="W166" s="41">
        <f>IF(N('Dvd Calendar'!$Y$2255)=0,"",IF(('Dvd Calendar'!$Y$2255&gt;=MIN(DATE(Summary!$C$12,1,1),Summary!$C$11))*('Dvd Calendar'!$Y$2255&lt;=MAX(DATE(Summary!$C$12,12,31),Summary!$C$15))*('Dvd Calendar'!$Y$2255&lt;=Summary!$C$11)=0,"",'Dvd Calendar'!$Y$2255*1000000000+ISNUMBER('Dvd Calendar'!$Y$2256)*100000000+('Dvd Calendar'!$Y$2260='Field Check'!$C$25)*10000000+(N('Dvd Calendar'!$Y$2254)&gt;0)*1000000+10*1000+21))</f>
        <v/>
      </c>
      <c r="X166" s="41">
        <f>IF(N('Dvd Calendar'!$Z$2255)=0,"",IF(('Dvd Calendar'!$Z$2255&gt;=MIN(DATE(Summary!$C$12,1,1),Summary!$C$11))*('Dvd Calendar'!$Z$2255&lt;=MAX(DATE(Summary!$C$12,12,31),Summary!$C$15))*('Dvd Calendar'!$Z$2255&lt;=Summary!$C$11)=0,"",'Dvd Calendar'!$Z$2255*1000000000+ISNUMBER('Dvd Calendar'!$Z$2256)*100000000+('Dvd Calendar'!$Z$2260='Field Check'!$C$25)*10000000+(N('Dvd Calendar'!$Z$2254)&gt;0)*1000000+10*1000+22))</f>
        <v/>
      </c>
      <c r="Y166" s="41">
        <f>IF(N('Dvd Calendar'!$AA$2255)=0,"",IF(('Dvd Calendar'!$AA$2255&gt;=MIN(DATE(Summary!$C$12,1,1),Summary!$C$11))*('Dvd Calendar'!$AA$2255&lt;=MAX(DATE(Summary!$C$12,12,31),Summary!$C$15))*('Dvd Calendar'!$AA$2255&lt;=Summary!$C$11)=0,"",'Dvd Calendar'!$AA$2255*1000000000+ISNUMBER('Dvd Calendar'!$AA$2256)*100000000+('Dvd Calendar'!$AA$2260='Field Check'!$C$25)*10000000+(N('Dvd Calendar'!$AA$2254)&gt;0)*1000000+10*1000+23))</f>
        <v/>
      </c>
      <c r="Z166" s="41">
        <f>IF(N('Dvd Calendar'!$AB$2255)=0,"",IF(('Dvd Calendar'!$AB$2255&gt;=MIN(DATE(Summary!$C$12,1,1),Summary!$C$11))*('Dvd Calendar'!$AB$2255&lt;=MAX(DATE(Summary!$C$12,12,31),Summary!$C$15))*('Dvd Calendar'!$AB$2255&lt;=Summary!$C$11)=0,"",'Dvd Calendar'!$AB$2255*1000000000+ISNUMBER('Dvd Calendar'!$AB$2256)*100000000+('Dvd Calendar'!$AB$2260='Field Check'!$C$25)*10000000+(N('Dvd Calendar'!$AB$2254)&gt;0)*1000000+10*1000+24))</f>
        <v/>
      </c>
      <c r="AA166" s="41">
        <f>IF(N('Dvd Calendar'!$AC$2255)=0,"",IF(('Dvd Calendar'!$AC$2255&gt;=MIN(DATE(Summary!$C$12,1,1),Summary!$C$11))*('Dvd Calendar'!$AC$2255&lt;=MAX(DATE(Summary!$C$12,12,31),Summary!$C$15))*('Dvd Calendar'!$AC$2255&lt;=Summary!$C$11)=0,"",'Dvd Calendar'!$AC$2255*1000000000+ISNUMBER('Dvd Calendar'!$AC$2256)*100000000+('Dvd Calendar'!$AC$2260='Field Check'!$C$25)*10000000+(N('Dvd Calendar'!$AC$2254)&gt;0)*1000000+10*1000+25))</f>
        <v/>
      </c>
      <c r="AB166" s="41">
        <f>IF(N('Dvd Calendar'!$AD$2255)=0,"",IF(('Dvd Calendar'!$AD$2255&gt;=MIN(DATE(Summary!$C$12,1,1),Summary!$C$11))*('Dvd Calendar'!$AD$2255&lt;=MAX(DATE(Summary!$C$12,12,31),Summary!$C$15))*('Dvd Calendar'!$AD$2255&lt;=Summary!$C$11)=0,"",'Dvd Calendar'!$AD$2255*1000000000+ISNUMBER('Dvd Calendar'!$AD$2256)*100000000+('Dvd Calendar'!$AD$2260='Field Check'!$C$25)*10000000+(N('Dvd Calendar'!$AD$2254)&gt;0)*1000000+10*1000+26))</f>
        <v/>
      </c>
      <c r="AC166" s="41">
        <f>IF(N('Dvd Calendar'!$AE$2255)=0,"",IF(('Dvd Calendar'!$AE$2255&gt;=MIN(DATE(Summary!$C$12,1,1),Summary!$C$11))*('Dvd Calendar'!$AE$2255&lt;=MAX(DATE(Summary!$C$12,12,31),Summary!$C$15))*('Dvd Calendar'!$AE$2255&lt;=Summary!$C$11)=0,"",'Dvd Calendar'!$AE$2255*1000000000+ISNUMBER('Dvd Calendar'!$AE$2256)*100000000+('Dvd Calendar'!$AE$2260='Field Check'!$C$25)*10000000+(N('Dvd Calendar'!$AE$2254)&gt;0)*1000000+10*1000+27))</f>
        <v/>
      </c>
      <c r="AD166" s="41">
        <f>IF(N('Dvd Calendar'!$AF$2255)=0,"",IF(('Dvd Calendar'!$AF$2255&gt;=MIN(DATE(Summary!$C$12,1,1),Summary!$C$11))*('Dvd Calendar'!$AF$2255&lt;=MAX(DATE(Summary!$C$12,12,31),Summary!$C$15))*('Dvd Calendar'!$AF$2255&lt;=Summary!$C$11)=0,"",'Dvd Calendar'!$AF$2255*1000000000+ISNUMBER('Dvd Calendar'!$AF$2256)*100000000+('Dvd Calendar'!$AF$2260='Field Check'!$C$25)*10000000+(N('Dvd Calendar'!$AF$2254)&gt;0)*1000000+10*1000+28))</f>
        <v/>
      </c>
      <c r="AE166" s="41">
        <f>IF(N('Dvd Calendar'!$AG$2255)=0,"",IF(('Dvd Calendar'!$AG$2255&gt;=MIN(DATE(Summary!$C$12,1,1),Summary!$C$11))*('Dvd Calendar'!$AG$2255&lt;=MAX(DATE(Summary!$C$12,12,31),Summary!$C$15))*('Dvd Calendar'!$AG$2255&lt;=Summary!$C$11)=0,"",'Dvd Calendar'!$AG$2255*1000000000+ISNUMBER('Dvd Calendar'!$AG$2256)*100000000+('Dvd Calendar'!$AG$2260='Field Check'!$C$25)*10000000+(N('Dvd Calendar'!$AG$2254)&gt;0)*1000000+10*1000+29))</f>
        <v/>
      </c>
      <c r="AF166" s="41">
        <f>IF(N('Dvd Calendar'!$AH$2255)=0,"",IF(('Dvd Calendar'!$AH$2255&gt;=MIN(DATE(Summary!$C$12,1,1),Summary!$C$11))*('Dvd Calendar'!$AH$2255&lt;=MAX(DATE(Summary!$C$12,12,31),Summary!$C$15))*('Dvd Calendar'!$AH$2255&lt;=Summary!$C$11)=0,"",'Dvd Calendar'!$AH$2255*1000000000+ISNUMBER('Dvd Calendar'!$AH$2256)*100000000+('Dvd Calendar'!$AH$2260='Field Check'!$C$25)*10000000+(N('Dvd Calendar'!$AH$2254)&gt;0)*1000000+10*1000+30))</f>
        <v/>
      </c>
      <c r="AG166" s="41">
        <f>IF(N('Dvd Calendar'!$AI$2255)=0,"",IF(('Dvd Calendar'!$AI$2255&gt;=MIN(DATE(Summary!$C$12,1,1),Summary!$C$11))*('Dvd Calendar'!$AI$2255&lt;=MAX(DATE(Summary!$C$12,12,31),Summary!$C$15))*('Dvd Calendar'!$AI$2255&lt;=Summary!$C$11)=0,"",'Dvd Calendar'!$AI$2255*1000000000+ISNUMBER('Dvd Calendar'!$AI$2256)*100000000+('Dvd Calendar'!$AI$2260='Field Check'!$C$25)*10000000+(N('Dvd Calendar'!$AI$2254)&gt;0)*1000000+10*1000+31))</f>
        <v/>
      </c>
      <c r="AH166" s="41">
        <f>IF(N('Dvd Calendar'!$AJ$2255)=0,"",IF(('Dvd Calendar'!$AJ$2255&gt;=MIN(DATE(Summary!$C$12,1,1),Summary!$C$11))*('Dvd Calendar'!$AJ$2255&lt;=MAX(DATE(Summary!$C$12,12,31),Summary!$C$15))*('Dvd Calendar'!$AJ$2255&lt;=Summary!$C$11)=0,"",'Dvd Calendar'!$AJ$2255*1000000000+ISNUMBER('Dvd Calendar'!$AJ$2256)*100000000+('Dvd Calendar'!$AJ$2260='Field Check'!$C$25)*10000000+(N('Dvd Calendar'!$AJ$2254)&gt;0)*1000000+10*1000+32))</f>
        <v/>
      </c>
      <c r="AI166" s="41">
        <f>IF(N('Dvd Calendar'!$AK$2255)=0,"",IF(('Dvd Calendar'!$AK$2255&gt;=MIN(DATE(Summary!$C$12,1,1),Summary!$C$11))*('Dvd Calendar'!$AK$2255&lt;=MAX(DATE(Summary!$C$12,12,31),Summary!$C$15))*('Dvd Calendar'!$AK$2255&lt;=Summary!$C$11)=0,"",'Dvd Calendar'!$AK$2255*1000000000+ISNUMBER('Dvd Calendar'!$AK$2256)*100000000+('Dvd Calendar'!$AK$2260='Field Check'!$C$25)*10000000+(N('Dvd Calendar'!$AK$2254)&gt;0)*1000000+10*1000+33))</f>
        <v/>
      </c>
      <c r="AJ166" s="41">
        <f>IF(N('Dvd Calendar'!$AL$2255)=0,"",IF(('Dvd Calendar'!$AL$2255&gt;=MIN(DATE(Summary!$C$12,1,1),Summary!$C$11))*('Dvd Calendar'!$AL$2255&lt;=MAX(DATE(Summary!$C$12,12,31),Summary!$C$15))*('Dvd Calendar'!$AL$2255&lt;=Summary!$C$11)=0,"",'Dvd Calendar'!$AL$2255*1000000000+ISNUMBER('Dvd Calendar'!$AL$2256)*100000000+('Dvd Calendar'!$AL$2260='Field Check'!$C$25)*10000000+(N('Dvd Calendar'!$AL$2254)&gt;0)*1000000+10*1000+34))</f>
        <v/>
      </c>
      <c r="AK166" s="41">
        <f>IF(N('Dvd Calendar'!$AM$2255)=0,"",IF(('Dvd Calendar'!$AM$2255&gt;=MIN(DATE(Summary!$C$12,1,1),Summary!$C$11))*('Dvd Calendar'!$AM$2255&lt;=MAX(DATE(Summary!$C$12,12,31),Summary!$C$15))*('Dvd Calendar'!$AM$2255&lt;=Summary!$C$11)=0,"",'Dvd Calendar'!$AM$2255*1000000000+ISNUMBER('Dvd Calendar'!$AM$2256)*100000000+('Dvd Calendar'!$AM$2260='Field Check'!$C$25)*10000000+(N('Dvd Calendar'!$AM$2254)&gt;0)*1000000+10*1000+35))</f>
        <v/>
      </c>
      <c r="AL166" s="41">
        <f>IF(N('Dvd Calendar'!$AN$2255)=0,"",IF(('Dvd Calendar'!$AN$2255&gt;=MIN(DATE(Summary!$C$12,1,1),Summary!$C$11))*('Dvd Calendar'!$AN$2255&lt;=MAX(DATE(Summary!$C$12,12,31),Summary!$C$15))*('Dvd Calendar'!$AN$2255&lt;=Summary!$C$11)=0,"",'Dvd Calendar'!$AN$2255*1000000000+ISNUMBER('Dvd Calendar'!$AN$2256)*100000000+('Dvd Calendar'!$AN$2260='Field Check'!$C$25)*10000000+(N('Dvd Calendar'!$AN$2254)&gt;0)*1000000+10*1000+36))</f>
        <v/>
      </c>
      <c r="AM166" s="41">
        <f>IF(N('Dvd Calendar'!$AO$2255)=0,"",IF(('Dvd Calendar'!$AO$2255&gt;=MIN(DATE(Summary!$C$12,1,1),Summary!$C$11))*('Dvd Calendar'!$AO$2255&lt;=MAX(DATE(Summary!$C$12,12,31),Summary!$C$15))*('Dvd Calendar'!$AO$2255&lt;=Summary!$C$11)=0,"",'Dvd Calendar'!$AO$2255*1000000000+ISNUMBER('Dvd Calendar'!$AO$2256)*100000000+('Dvd Calendar'!$AO$2260='Field Check'!$C$25)*10000000+(N('Dvd Calendar'!$AO$2254)&gt;0)*1000000+10*1000+37))</f>
        <v/>
      </c>
      <c r="AN166" s="41">
        <f>IF(N('Dvd Calendar'!$AP$2255)=0,"",IF(('Dvd Calendar'!$AP$2255&gt;=MIN(DATE(Summary!$C$12,1,1),Summary!$C$11))*('Dvd Calendar'!$AP$2255&lt;=MAX(DATE(Summary!$C$12,12,31),Summary!$C$15))*('Dvd Calendar'!$AP$2255&lt;=Summary!$C$11)=0,"",'Dvd Calendar'!$AP$2255*1000000000+ISNUMBER('Dvd Calendar'!$AP$2256)*100000000+('Dvd Calendar'!$AP$2260='Field Check'!$C$25)*10000000+(N('Dvd Calendar'!$AP$2254)&gt;0)*1000000+10*1000+38))</f>
        <v/>
      </c>
      <c r="AO166" s="41">
        <f>IF(N('Dvd Calendar'!$AQ$2255)=0,"",IF(('Dvd Calendar'!$AQ$2255&gt;=MIN(DATE(Summary!$C$12,1,1),Summary!$C$11))*('Dvd Calendar'!$AQ$2255&lt;=MAX(DATE(Summary!$C$12,12,31),Summary!$C$15))*('Dvd Calendar'!$AQ$2255&lt;=Summary!$C$11)=0,"",'Dvd Calendar'!$AQ$2255*1000000000+ISNUMBER('Dvd Calendar'!$AQ$2256)*100000000+('Dvd Calendar'!$AQ$2260='Field Check'!$C$25)*10000000+(N('Dvd Calendar'!$AQ$2254)&gt;0)*1000000+10*1000+39))</f>
        <v/>
      </c>
      <c r="AP166" s="41">
        <f>IF(N('Dvd Calendar'!$AR$2255)=0,"",IF(('Dvd Calendar'!$AR$2255&gt;=MIN(DATE(Summary!$C$12,1,1),Summary!$C$11))*('Dvd Calendar'!$AR$2255&lt;=MAX(DATE(Summary!$C$12,12,31),Summary!$C$15))*('Dvd Calendar'!$AR$2255&lt;=Summary!$C$11)=0,"",'Dvd Calendar'!$AR$2255*1000000000+ISNUMBER('Dvd Calendar'!$AR$2256)*100000000+('Dvd Calendar'!$AR$2260='Field Check'!$C$25)*10000000+(N('Dvd Calendar'!$AR$2254)&gt;0)*1000000+10*1000+40))</f>
        <v/>
      </c>
      <c r="AQ166" s="41">
        <f>IF(N('Dvd Calendar'!$E$2262)=0,"",IF(('Dvd Calendar'!$E$2262&gt;=MIN(DATE(Summary!$C$12,1,1),Summary!$C$11))*('Dvd Calendar'!$E$2262&lt;=MAX(DATE(Summary!$C$12,12,31),Summary!$C$15))*('Dvd Calendar'!$E$2262&gt;Summary!$C$11)=0,"",'Dvd Calendar'!$E$2262*1000000000+ISNUMBER('Dvd Calendar'!$E$2263)*100000000+('Dvd Calendar'!$E$2267='Field Check'!$C$25)*10000000+(N('Dvd Calendar'!$E$2261)&gt;0)*1000000+10*1000+41))</f>
        <v/>
      </c>
      <c r="AR166" s="41">
        <f>IF(N('Dvd Calendar'!$F$2262)=0,"",IF(('Dvd Calendar'!$F$2262&gt;=MIN(DATE(Summary!$C$12,1,1),Summary!$C$11))*('Dvd Calendar'!$F$2262&lt;=MAX(DATE(Summary!$C$12,12,31),Summary!$C$15))*('Dvd Calendar'!$F$2262&gt;Summary!$C$11)=0,"",'Dvd Calendar'!$F$2262*1000000000+ISNUMBER('Dvd Calendar'!$F$2263)*100000000+('Dvd Calendar'!$F$2267='Field Check'!$C$25)*10000000+(N('Dvd Calendar'!$F$2261)&gt;0)*1000000+10*1000+42))</f>
        <v/>
      </c>
      <c r="AS166" s="41">
        <f>IF(N('Dvd Calendar'!$G$2262)=0,"",IF(('Dvd Calendar'!$G$2262&gt;=MIN(DATE(Summary!$C$12,1,1),Summary!$C$11))*('Dvd Calendar'!$G$2262&lt;=MAX(DATE(Summary!$C$12,12,31),Summary!$C$15))*('Dvd Calendar'!$G$2262&gt;Summary!$C$11)=0,"",'Dvd Calendar'!$G$2262*1000000000+ISNUMBER('Dvd Calendar'!$G$2263)*100000000+('Dvd Calendar'!$G$2267='Field Check'!$C$25)*10000000+(N('Dvd Calendar'!$G$2261)&gt;0)*1000000+10*1000+43))</f>
        <v/>
      </c>
      <c r="AT166" s="41">
        <f>IF(N('Dvd Calendar'!$H$2262)=0,"",IF(('Dvd Calendar'!$H$2262&gt;=MIN(DATE(Summary!$C$12,1,1),Summary!$C$11))*('Dvd Calendar'!$H$2262&lt;=MAX(DATE(Summary!$C$12,12,31),Summary!$C$15))*('Dvd Calendar'!$H$2262&gt;Summary!$C$11)=0,"",'Dvd Calendar'!$H$2262*1000000000+ISNUMBER('Dvd Calendar'!$H$2263)*100000000+('Dvd Calendar'!$H$2267='Field Check'!$C$25)*10000000+(N('Dvd Calendar'!$H$2261)&gt;0)*1000000+10*1000+44))</f>
        <v/>
      </c>
      <c r="AU166" s="41">
        <f>IF(N('Dvd Calendar'!$I$2262)=0,"",IF(('Dvd Calendar'!$I$2262&gt;=MIN(DATE(Summary!$C$12,1,1),Summary!$C$11))*('Dvd Calendar'!$I$2262&lt;=MAX(DATE(Summary!$C$12,12,31),Summary!$C$15))*('Dvd Calendar'!$I$2262&gt;Summary!$C$11)=0,"",'Dvd Calendar'!$I$2262*1000000000+ISNUMBER('Dvd Calendar'!$I$2263)*100000000+('Dvd Calendar'!$I$2267='Field Check'!$C$25)*10000000+(N('Dvd Calendar'!$I$2261)&gt;0)*1000000+10*1000+45))</f>
        <v/>
      </c>
      <c r="AV166" s="41">
        <f>IF(N('Dvd Calendar'!$J$2262)=0,"",IF(('Dvd Calendar'!$J$2262&gt;=MIN(DATE(Summary!$C$12,1,1),Summary!$C$11))*('Dvd Calendar'!$J$2262&lt;=MAX(DATE(Summary!$C$12,12,31),Summary!$C$15))*('Dvd Calendar'!$J$2262&gt;Summary!$C$11)=0,"",'Dvd Calendar'!$J$2262*1000000000+ISNUMBER('Dvd Calendar'!$J$2263)*100000000+('Dvd Calendar'!$J$2267='Field Check'!$C$25)*10000000+(N('Dvd Calendar'!$J$2261)&gt;0)*1000000+10*1000+46))</f>
        <v/>
      </c>
      <c r="AW166" s="41">
        <f>IF(N('Dvd Calendar'!$K$2262)=0,"",IF(('Dvd Calendar'!$K$2262&gt;=MIN(DATE(Summary!$C$12,1,1),Summary!$C$11))*('Dvd Calendar'!$K$2262&lt;=MAX(DATE(Summary!$C$12,12,31),Summary!$C$15))*('Dvd Calendar'!$K$2262&gt;Summary!$C$11)=0,"",'Dvd Calendar'!$K$2262*1000000000+ISNUMBER('Dvd Calendar'!$K$2263)*100000000+('Dvd Calendar'!$K$2267='Field Check'!$C$25)*10000000+(N('Dvd Calendar'!$K$2261)&gt;0)*1000000+10*1000+47))</f>
        <v/>
      </c>
      <c r="AX166" s="41">
        <f>IF(N('Dvd Calendar'!$L$2262)=0,"",IF(('Dvd Calendar'!$L$2262&gt;=MIN(DATE(Summary!$C$12,1,1),Summary!$C$11))*('Dvd Calendar'!$L$2262&lt;=MAX(DATE(Summary!$C$12,12,31),Summary!$C$15))*('Dvd Calendar'!$L$2262&gt;Summary!$C$11)=0,"",'Dvd Calendar'!$L$2262*1000000000+ISNUMBER('Dvd Calendar'!$L$2263)*100000000+('Dvd Calendar'!$L$2267='Field Check'!$C$25)*10000000+(N('Dvd Calendar'!$L$2261)&gt;0)*1000000+10*1000+48))</f>
        <v/>
      </c>
      <c r="AY166" s="41">
        <f>IF(N('Dvd Calendar'!$M$2262)=0,"",IF(('Dvd Calendar'!$M$2262&gt;=MIN(DATE(Summary!$C$12,1,1),Summary!$C$11))*('Dvd Calendar'!$M$2262&lt;=MAX(DATE(Summary!$C$12,12,31),Summary!$C$15))*('Dvd Calendar'!$M$2262&gt;Summary!$C$11)=0,"",'Dvd Calendar'!$M$2262*1000000000+ISNUMBER('Dvd Calendar'!$M$2263)*100000000+('Dvd Calendar'!$M$2267='Field Check'!$C$25)*10000000+(N('Dvd Calendar'!$M$2261)&gt;0)*1000000+10*1000+49))</f>
        <v/>
      </c>
      <c r="AZ166" s="41">
        <f>IF(N('Dvd Calendar'!$N$2262)=0,"",IF(('Dvd Calendar'!$N$2262&gt;=MIN(DATE(Summary!$C$12,1,1),Summary!$C$11))*('Dvd Calendar'!$N$2262&lt;=MAX(DATE(Summary!$C$12,12,31),Summary!$C$15))*('Dvd Calendar'!$N$2262&gt;Summary!$C$11)=0,"",'Dvd Calendar'!$N$2262*1000000000+ISNUMBER('Dvd Calendar'!$N$2263)*100000000+('Dvd Calendar'!$N$2267='Field Check'!$C$25)*10000000+(N('Dvd Calendar'!$N$2261)&gt;0)*1000000+10*1000+50))</f>
        <v/>
      </c>
      <c r="BA166" s="41">
        <f>IF(N('Dvd Calendar'!$O$2262)=0,"",IF(('Dvd Calendar'!$O$2262&gt;=MIN(DATE(Summary!$C$12,1,1),Summary!$C$11))*('Dvd Calendar'!$O$2262&lt;=MAX(DATE(Summary!$C$12,12,31),Summary!$C$15))*('Dvd Calendar'!$O$2262&gt;Summary!$C$11)=0,"",'Dvd Calendar'!$O$2262*1000000000+ISNUMBER('Dvd Calendar'!$O$2263)*100000000+('Dvd Calendar'!$O$2267='Field Check'!$C$25)*10000000+(N('Dvd Calendar'!$O$2261)&gt;0)*1000000+10*1000+51))</f>
        <v/>
      </c>
      <c r="BB166" s="41">
        <f>IF(N('Dvd Calendar'!$P$2262)=0,"",IF(('Dvd Calendar'!$P$2262&gt;=MIN(DATE(Summary!$C$12,1,1),Summary!$C$11))*('Dvd Calendar'!$P$2262&lt;=MAX(DATE(Summary!$C$12,12,31),Summary!$C$15))*('Dvd Calendar'!$P$2262&gt;Summary!$C$11)=0,"",'Dvd Calendar'!$P$2262*1000000000+ISNUMBER('Dvd Calendar'!$P$2263)*100000000+('Dvd Calendar'!$P$2267='Field Check'!$C$25)*10000000+(N('Dvd Calendar'!$P$2261)&gt;0)*1000000+10*1000+52))</f>
        <v/>
      </c>
      <c r="BC166" s="41">
        <f>IF(N('Dvd Calendar'!$Q$2262)=0,"",IF(('Dvd Calendar'!$Q$2262&gt;=MIN(DATE(Summary!$C$12,1,1),Summary!$C$11))*('Dvd Calendar'!$Q$2262&lt;=MAX(DATE(Summary!$C$12,12,31),Summary!$C$15))*('Dvd Calendar'!$Q$2262&gt;Summary!$C$11)=0,"",'Dvd Calendar'!$Q$2262*1000000000+ISNUMBER('Dvd Calendar'!$Q$2263)*100000000+('Dvd Calendar'!$Q$2267='Field Check'!$C$25)*10000000+(N('Dvd Calendar'!$Q$2261)&gt;0)*1000000+10*1000+53))</f>
        <v/>
      </c>
      <c r="BD166" s="41">
        <f>IF(N('Dvd Calendar'!$R$2262)=0,"",IF(('Dvd Calendar'!$R$2262&gt;=MIN(DATE(Summary!$C$12,1,1),Summary!$C$11))*('Dvd Calendar'!$R$2262&lt;=MAX(DATE(Summary!$C$12,12,31),Summary!$C$15))*('Dvd Calendar'!$R$2262&gt;Summary!$C$11)=0,"",'Dvd Calendar'!$R$2262*1000000000+ISNUMBER('Dvd Calendar'!$R$2263)*100000000+('Dvd Calendar'!$R$2267='Field Check'!$C$25)*10000000+(N('Dvd Calendar'!$R$2261)&gt;0)*1000000+10*1000+54))</f>
        <v/>
      </c>
      <c r="BE166" s="41">
        <f>IF(N('Dvd Calendar'!$S$2262)=0,"",IF(('Dvd Calendar'!$S$2262&gt;=MIN(DATE(Summary!$C$12,1,1),Summary!$C$11))*('Dvd Calendar'!$S$2262&lt;=MAX(DATE(Summary!$C$12,12,31),Summary!$C$15))*('Dvd Calendar'!$S$2262&gt;Summary!$C$11)=0,"",'Dvd Calendar'!$S$2262*1000000000+ISNUMBER('Dvd Calendar'!$S$2263)*100000000+('Dvd Calendar'!$S$2267='Field Check'!$C$25)*10000000+(N('Dvd Calendar'!$S$2261)&gt;0)*1000000+10*1000+55))</f>
        <v/>
      </c>
      <c r="BF166" s="41">
        <f>IF(N('Dvd Calendar'!$T$2262)=0,"",IF(('Dvd Calendar'!$T$2262&gt;=MIN(DATE(Summary!$C$12,1,1),Summary!$C$11))*('Dvd Calendar'!$T$2262&lt;=MAX(DATE(Summary!$C$12,12,31),Summary!$C$15))*('Dvd Calendar'!$T$2262&gt;Summary!$C$11)=0,"",'Dvd Calendar'!$T$2262*1000000000+ISNUMBER('Dvd Calendar'!$T$2263)*100000000+('Dvd Calendar'!$T$2267='Field Check'!$C$25)*10000000+(N('Dvd Calendar'!$T$2261)&gt;0)*1000000+10*1000+56))</f>
        <v/>
      </c>
      <c r="BG166" s="41">
        <f>IF(N('Dvd Calendar'!$U$2262)=0,"",IF(('Dvd Calendar'!$U$2262&gt;=MIN(DATE(Summary!$C$12,1,1),Summary!$C$11))*('Dvd Calendar'!$U$2262&lt;=MAX(DATE(Summary!$C$12,12,31),Summary!$C$15))*('Dvd Calendar'!$U$2262&gt;Summary!$C$11)=0,"",'Dvd Calendar'!$U$2262*1000000000+ISNUMBER('Dvd Calendar'!$U$2263)*100000000+('Dvd Calendar'!$U$2267='Field Check'!$C$25)*10000000+(N('Dvd Calendar'!$U$2261)&gt;0)*1000000+10*1000+57))</f>
        <v/>
      </c>
      <c r="BH166" s="41">
        <f>IF(N('Dvd Calendar'!$V$2262)=0,"",IF(('Dvd Calendar'!$V$2262&gt;=MIN(DATE(Summary!$C$12,1,1),Summary!$C$11))*('Dvd Calendar'!$V$2262&lt;=MAX(DATE(Summary!$C$12,12,31),Summary!$C$15))*('Dvd Calendar'!$V$2262&gt;Summary!$C$11)=0,"",'Dvd Calendar'!$V$2262*1000000000+ISNUMBER('Dvd Calendar'!$V$2263)*100000000+('Dvd Calendar'!$V$2267='Field Check'!$C$25)*10000000+(N('Dvd Calendar'!$V$2261)&gt;0)*1000000+10*1000+58))</f>
        <v/>
      </c>
      <c r="BI166" s="41">
        <f>IF(N('Dvd Calendar'!$W$2262)=0,"",IF(('Dvd Calendar'!$W$2262&gt;=MIN(DATE(Summary!$C$12,1,1),Summary!$C$11))*('Dvd Calendar'!$W$2262&lt;=MAX(DATE(Summary!$C$12,12,31),Summary!$C$15))*('Dvd Calendar'!$W$2262&gt;Summary!$C$11)=0,"",'Dvd Calendar'!$W$2262*1000000000+ISNUMBER('Dvd Calendar'!$W$2263)*100000000+('Dvd Calendar'!$W$2267='Field Check'!$C$25)*10000000+(N('Dvd Calendar'!$W$2261)&gt;0)*1000000+10*1000+59))</f>
        <v/>
      </c>
      <c r="BJ166" s="41">
        <f>IF(N('Dvd Calendar'!$X$2262)=0,"",IF(('Dvd Calendar'!$X$2262&gt;=MIN(DATE(Summary!$C$12,1,1),Summary!$C$11))*('Dvd Calendar'!$X$2262&lt;=MAX(DATE(Summary!$C$12,12,31),Summary!$C$15))*('Dvd Calendar'!$X$2262&gt;Summary!$C$11)=0,"",'Dvd Calendar'!$X$2262*1000000000+ISNUMBER('Dvd Calendar'!$X$2263)*100000000+('Dvd Calendar'!$X$2267='Field Check'!$C$25)*10000000+(N('Dvd Calendar'!$X$2261)&gt;0)*1000000+10*1000+60))</f>
        <v/>
      </c>
      <c r="BK166" s="41">
        <f>IF(N('Dvd Calendar'!$Y$2262)=0,"",IF(('Dvd Calendar'!$Y$2262&gt;=MIN(DATE(Summary!$C$12,1,1),Summary!$C$11))*('Dvd Calendar'!$Y$2262&lt;=MAX(DATE(Summary!$C$12,12,31),Summary!$C$15))*('Dvd Calendar'!$Y$2262&gt;Summary!$C$11)=0,"",'Dvd Calendar'!$Y$2262*1000000000+ISNUMBER('Dvd Calendar'!$Y$2263)*100000000+('Dvd Calendar'!$Y$2267='Field Check'!$C$25)*10000000+(N('Dvd Calendar'!$Y$2261)&gt;0)*1000000+10*1000+61))</f>
        <v/>
      </c>
      <c r="BL166" s="41">
        <f>IF(N('Dvd Calendar'!$Z$2262)=0,"",IF(('Dvd Calendar'!$Z$2262&gt;=MIN(DATE(Summary!$C$12,1,1),Summary!$C$11))*('Dvd Calendar'!$Z$2262&lt;=MAX(DATE(Summary!$C$12,12,31),Summary!$C$15))*('Dvd Calendar'!$Z$2262&gt;Summary!$C$11)=0,"",'Dvd Calendar'!$Z$2262*1000000000+ISNUMBER('Dvd Calendar'!$Z$2263)*100000000+('Dvd Calendar'!$Z$2267='Field Check'!$C$25)*10000000+(N('Dvd Calendar'!$Z$2261)&gt;0)*1000000+10*1000+62))</f>
        <v/>
      </c>
      <c r="BM166" s="41">
        <f>IF(N('Dvd Calendar'!$AA$2262)=0,"",IF(('Dvd Calendar'!$AA$2262&gt;=MIN(DATE(Summary!$C$12,1,1),Summary!$C$11))*('Dvd Calendar'!$AA$2262&lt;=MAX(DATE(Summary!$C$12,12,31),Summary!$C$15))*('Dvd Calendar'!$AA$2262&gt;Summary!$C$11)=0,"",'Dvd Calendar'!$AA$2262*1000000000+ISNUMBER('Dvd Calendar'!$AA$2263)*100000000+('Dvd Calendar'!$AA$2267='Field Check'!$C$25)*10000000+(N('Dvd Calendar'!$AA$2261)&gt;0)*1000000+10*1000+63))</f>
        <v/>
      </c>
      <c r="BN166" s="41">
        <f>IF(N('Dvd Calendar'!$AB$2262)=0,"",IF(('Dvd Calendar'!$AB$2262&gt;=MIN(DATE(Summary!$C$12,1,1),Summary!$C$11))*('Dvd Calendar'!$AB$2262&lt;=MAX(DATE(Summary!$C$12,12,31),Summary!$C$15))*('Dvd Calendar'!$AB$2262&gt;Summary!$C$11)=0,"",'Dvd Calendar'!$AB$2262*1000000000+ISNUMBER('Dvd Calendar'!$AB$2263)*100000000+('Dvd Calendar'!$AB$2267='Field Check'!$C$25)*10000000+(N('Dvd Calendar'!$AB$2261)&gt;0)*1000000+10*1000+64))</f>
        <v/>
      </c>
      <c r="BO166" s="41">
        <f>IF(N('Dvd Calendar'!$AC$2262)=0,"",IF(('Dvd Calendar'!$AC$2262&gt;=MIN(DATE(Summary!$C$12,1,1),Summary!$C$11))*('Dvd Calendar'!$AC$2262&lt;=MAX(DATE(Summary!$C$12,12,31),Summary!$C$15))*('Dvd Calendar'!$AC$2262&gt;Summary!$C$11)=0,"",'Dvd Calendar'!$AC$2262*1000000000+ISNUMBER('Dvd Calendar'!$AC$2263)*100000000+('Dvd Calendar'!$AC$2267='Field Check'!$C$25)*10000000+(N('Dvd Calendar'!$AC$2261)&gt;0)*1000000+10*1000+65))</f>
        <v/>
      </c>
      <c r="BQ166" s="85">
        <f>IF(C166="","",IF(ISNUMBER('Dvd Calendar'!$E$2256)=FALSE,"",IF((Summary!$C$13="N")*('Dvd Calendar'!$E$2260='Field Check'!$C$25)&gt;0,"",'Dvd Calendar'!$E$2256)))</f>
        <v/>
      </c>
      <c r="BR166" s="85">
        <f>IF(D166="","",IF(ISNUMBER('Dvd Calendar'!$F$2256)=FALSE,"",IF((Summary!$C$13="N")*('Dvd Calendar'!$F$2260='Field Check'!$C$25)&gt;0,"",'Dvd Calendar'!$F$2256)))</f>
        <v/>
      </c>
      <c r="BS166" s="85">
        <f>IF(E166="","",IF(ISNUMBER('Dvd Calendar'!$G$2256)=FALSE,"",IF((Summary!$C$13="N")*('Dvd Calendar'!$G$2260='Field Check'!$C$25)&gt;0,"",'Dvd Calendar'!$G$2256)))</f>
        <v/>
      </c>
      <c r="BT166" s="85">
        <f>IF(F166="","",IF(ISNUMBER('Dvd Calendar'!$H$2256)=FALSE,"",IF((Summary!$C$13="N")*('Dvd Calendar'!$H$2260='Field Check'!$C$25)&gt;0,"",'Dvd Calendar'!$H$2256)))</f>
        <v/>
      </c>
      <c r="BU166" s="85">
        <f>IF(G166="","",IF(ISNUMBER('Dvd Calendar'!$I$2256)=FALSE,"",IF((Summary!$C$13="N")*('Dvd Calendar'!$I$2260='Field Check'!$C$25)&gt;0,"",'Dvd Calendar'!$I$2256)))</f>
        <v/>
      </c>
      <c r="BV166" s="85">
        <f>IF(H166="","",IF(ISNUMBER('Dvd Calendar'!$J$2256)=FALSE,"",IF((Summary!$C$13="N")*('Dvd Calendar'!$J$2260='Field Check'!$C$25)&gt;0,"",'Dvd Calendar'!$J$2256)))</f>
        <v/>
      </c>
      <c r="BW166" s="85">
        <f>IF(I166="","",IF(ISNUMBER('Dvd Calendar'!$K$2256)=FALSE,"",IF((Summary!$C$13="N")*('Dvd Calendar'!$K$2260='Field Check'!$C$25)&gt;0,"",'Dvd Calendar'!$K$2256)))</f>
        <v/>
      </c>
      <c r="BX166" s="85">
        <f>IF(J166="","",IF(ISNUMBER('Dvd Calendar'!$L$2256)=FALSE,"",IF((Summary!$C$13="N")*('Dvd Calendar'!$L$2260='Field Check'!$C$25)&gt;0,"",'Dvd Calendar'!$L$2256)))</f>
        <v/>
      </c>
      <c r="BY166" s="85">
        <f>IF(K166="","",IF(ISNUMBER('Dvd Calendar'!$M$2256)=FALSE,"",IF((Summary!$C$13="N")*('Dvd Calendar'!$M$2260='Field Check'!$C$25)&gt;0,"",'Dvd Calendar'!$M$2256)))</f>
        <v/>
      </c>
      <c r="BZ166" s="85">
        <f>IF(L166="","",IF(ISNUMBER('Dvd Calendar'!$N$2256)=FALSE,"",IF((Summary!$C$13="N")*('Dvd Calendar'!$N$2260='Field Check'!$C$25)&gt;0,"",'Dvd Calendar'!$N$2256)))</f>
        <v/>
      </c>
      <c r="CA166" s="85">
        <f>IF(M166="","",IF(ISNUMBER('Dvd Calendar'!$O$2256)=FALSE,"",IF((Summary!$C$13="N")*('Dvd Calendar'!$O$2260='Field Check'!$C$25)&gt;0,"",'Dvd Calendar'!$O$2256)))</f>
        <v/>
      </c>
      <c r="CB166" s="85">
        <f>IF(N166="","",IF(ISNUMBER('Dvd Calendar'!$P$2256)=FALSE,"",IF((Summary!$C$13="N")*('Dvd Calendar'!$P$2260='Field Check'!$C$25)&gt;0,"",'Dvd Calendar'!$P$2256)))</f>
        <v/>
      </c>
      <c r="CC166" s="85">
        <f>IF(O166="","",IF(ISNUMBER('Dvd Calendar'!$Q$2256)=FALSE,"",IF((Summary!$C$13="N")*('Dvd Calendar'!$Q$2260='Field Check'!$C$25)&gt;0,"",'Dvd Calendar'!$Q$2256)))</f>
        <v/>
      </c>
      <c r="CD166" s="85">
        <f>IF(P166="","",IF(ISNUMBER('Dvd Calendar'!$R$2256)=FALSE,"",IF((Summary!$C$13="N")*('Dvd Calendar'!$R$2260='Field Check'!$C$25)&gt;0,"",'Dvd Calendar'!$R$2256)))</f>
        <v/>
      </c>
      <c r="CE166" s="85">
        <f>IF(Q166="","",IF(ISNUMBER('Dvd Calendar'!$S$2256)=FALSE,"",IF((Summary!$C$13="N")*('Dvd Calendar'!$S$2260='Field Check'!$C$25)&gt;0,"",'Dvd Calendar'!$S$2256)))</f>
        <v/>
      </c>
      <c r="CF166" s="85">
        <f>IF(R166="","",IF(ISNUMBER('Dvd Calendar'!$T$2256)=FALSE,"",IF((Summary!$C$13="N")*('Dvd Calendar'!$T$2260='Field Check'!$C$25)&gt;0,"",'Dvd Calendar'!$T$2256)))</f>
        <v/>
      </c>
      <c r="CG166" s="85">
        <f>IF(S166="","",IF(ISNUMBER('Dvd Calendar'!$U$2256)=FALSE,"",IF((Summary!$C$13="N")*('Dvd Calendar'!$U$2260='Field Check'!$C$25)&gt;0,"",'Dvd Calendar'!$U$2256)))</f>
        <v/>
      </c>
      <c r="CH166" s="85">
        <f>IF(T166="","",IF(ISNUMBER('Dvd Calendar'!$V$2256)=FALSE,"",IF((Summary!$C$13="N")*('Dvd Calendar'!$V$2260='Field Check'!$C$25)&gt;0,"",'Dvd Calendar'!$V$2256)))</f>
        <v/>
      </c>
      <c r="CI166" s="85">
        <f>IF(U166="","",IF(ISNUMBER('Dvd Calendar'!$W$2256)=FALSE,"",IF((Summary!$C$13="N")*('Dvd Calendar'!$W$2260='Field Check'!$C$25)&gt;0,"",'Dvd Calendar'!$W$2256)))</f>
        <v/>
      </c>
      <c r="CJ166" s="85">
        <f>IF(V166="","",IF(ISNUMBER('Dvd Calendar'!$X$2256)=FALSE,"",IF((Summary!$C$13="N")*('Dvd Calendar'!$X$2260='Field Check'!$C$25)&gt;0,"",'Dvd Calendar'!$X$2256)))</f>
        <v/>
      </c>
      <c r="CK166" s="85">
        <f>IF(W166="","",IF(ISNUMBER('Dvd Calendar'!$Y$2256)=FALSE,"",IF((Summary!$C$13="N")*('Dvd Calendar'!$Y$2260='Field Check'!$C$25)&gt;0,"",'Dvd Calendar'!$Y$2256)))</f>
        <v/>
      </c>
      <c r="CL166" s="85">
        <f>IF(X166="","",IF(ISNUMBER('Dvd Calendar'!$Z$2256)=FALSE,"",IF((Summary!$C$13="N")*('Dvd Calendar'!$Z$2260='Field Check'!$C$25)&gt;0,"",'Dvd Calendar'!$Z$2256)))</f>
        <v/>
      </c>
      <c r="CM166" s="85">
        <f>IF(Y166="","",IF(ISNUMBER('Dvd Calendar'!$AA$2256)=FALSE,"",IF((Summary!$C$13="N")*('Dvd Calendar'!$AA$2260='Field Check'!$C$25)&gt;0,"",'Dvd Calendar'!$AA$2256)))</f>
        <v/>
      </c>
      <c r="CN166" s="85">
        <f>IF(Z166="","",IF(ISNUMBER('Dvd Calendar'!$AB$2256)=FALSE,"",IF((Summary!$C$13="N")*('Dvd Calendar'!$AB$2260='Field Check'!$C$25)&gt;0,"",'Dvd Calendar'!$AB$2256)))</f>
        <v/>
      </c>
      <c r="CO166" s="85">
        <f>IF(AA166="","",IF(ISNUMBER('Dvd Calendar'!$AC$2256)=FALSE,"",IF((Summary!$C$13="N")*('Dvd Calendar'!$AC$2260='Field Check'!$C$25)&gt;0,"",'Dvd Calendar'!$AC$2256)))</f>
        <v/>
      </c>
      <c r="CP166" s="85">
        <f>IF(AB166="","",IF(ISNUMBER('Dvd Calendar'!$AD$2256)=FALSE,"",IF((Summary!$C$13="N")*('Dvd Calendar'!$AD$2260='Field Check'!$C$25)&gt;0,"",'Dvd Calendar'!$AD$2256)))</f>
        <v/>
      </c>
      <c r="CQ166" s="85">
        <f>IF(AC166="","",IF(ISNUMBER('Dvd Calendar'!$AE$2256)=FALSE,"",IF((Summary!$C$13="N")*('Dvd Calendar'!$AE$2260='Field Check'!$C$25)&gt;0,"",'Dvd Calendar'!$AE$2256)))</f>
        <v/>
      </c>
      <c r="CR166" s="85">
        <f>IF(AD166="","",IF(ISNUMBER('Dvd Calendar'!$AF$2256)=FALSE,"",IF((Summary!$C$13="N")*('Dvd Calendar'!$AF$2260='Field Check'!$C$25)&gt;0,"",'Dvd Calendar'!$AF$2256)))</f>
        <v/>
      </c>
      <c r="CS166" s="85">
        <f>IF(AE166="","",IF(ISNUMBER('Dvd Calendar'!$AG$2256)=FALSE,"",IF((Summary!$C$13="N")*('Dvd Calendar'!$AG$2260='Field Check'!$C$25)&gt;0,"",'Dvd Calendar'!$AG$2256)))</f>
        <v/>
      </c>
      <c r="CT166" s="85">
        <f>IF(AF166="","",IF(ISNUMBER('Dvd Calendar'!$AH$2256)=FALSE,"",IF((Summary!$C$13="N")*('Dvd Calendar'!$AH$2260='Field Check'!$C$25)&gt;0,"",'Dvd Calendar'!$AH$2256)))</f>
        <v/>
      </c>
      <c r="CU166" s="85">
        <f>IF(AG166="","",IF(ISNUMBER('Dvd Calendar'!$AI$2256)=FALSE,"",IF((Summary!$C$13="N")*('Dvd Calendar'!$AI$2260='Field Check'!$C$25)&gt;0,"",'Dvd Calendar'!$AI$2256)))</f>
        <v/>
      </c>
      <c r="CV166" s="85">
        <f>IF(AH166="","",IF(ISNUMBER('Dvd Calendar'!$AJ$2256)=FALSE,"",IF((Summary!$C$13="N")*('Dvd Calendar'!$AJ$2260='Field Check'!$C$25)&gt;0,"",'Dvd Calendar'!$AJ$2256)))</f>
        <v/>
      </c>
      <c r="CW166" s="85">
        <f>IF(AI166="","",IF(ISNUMBER('Dvd Calendar'!$AK$2256)=FALSE,"",IF((Summary!$C$13="N")*('Dvd Calendar'!$AK$2260='Field Check'!$C$25)&gt;0,"",'Dvd Calendar'!$AK$2256)))</f>
        <v/>
      </c>
      <c r="CX166" s="85">
        <f>IF(AJ166="","",IF(ISNUMBER('Dvd Calendar'!$AL$2256)=FALSE,"",IF((Summary!$C$13="N")*('Dvd Calendar'!$AL$2260='Field Check'!$C$25)&gt;0,"",'Dvd Calendar'!$AL$2256)))</f>
        <v/>
      </c>
      <c r="CY166" s="85">
        <f>IF(AK166="","",IF(ISNUMBER('Dvd Calendar'!$AM$2256)=FALSE,"",IF((Summary!$C$13="N")*('Dvd Calendar'!$AM$2260='Field Check'!$C$25)&gt;0,"",'Dvd Calendar'!$AM$2256)))</f>
        <v/>
      </c>
      <c r="CZ166" s="85">
        <f>IF(AL166="","",IF(ISNUMBER('Dvd Calendar'!$AN$2256)=FALSE,"",IF((Summary!$C$13="N")*('Dvd Calendar'!$AN$2260='Field Check'!$C$25)&gt;0,"",'Dvd Calendar'!$AN$2256)))</f>
        <v/>
      </c>
      <c r="DA166" s="85">
        <f>IF(AM166="","",IF(ISNUMBER('Dvd Calendar'!$AO$2256)=FALSE,"",IF((Summary!$C$13="N")*('Dvd Calendar'!$AO$2260='Field Check'!$C$25)&gt;0,"",'Dvd Calendar'!$AO$2256)))</f>
        <v/>
      </c>
      <c r="DB166" s="85">
        <f>IF(AN166="","",IF(ISNUMBER('Dvd Calendar'!$AP$2256)=FALSE,"",IF((Summary!$C$13="N")*('Dvd Calendar'!$AP$2260='Field Check'!$C$25)&gt;0,"",'Dvd Calendar'!$AP$2256)))</f>
        <v/>
      </c>
      <c r="DC166" s="85">
        <f>IF(AO166="","",IF(ISNUMBER('Dvd Calendar'!$AQ$2256)=FALSE,"",IF((Summary!$C$13="N")*('Dvd Calendar'!$AQ$2260='Field Check'!$C$25)&gt;0,"",'Dvd Calendar'!$AQ$2256)))</f>
        <v/>
      </c>
      <c r="DD166" s="85">
        <f>IF(AP166="","",IF(ISNUMBER('Dvd Calendar'!$AR$2256)=FALSE,"",IF((Summary!$C$13="N")*('Dvd Calendar'!$AR$2260='Field Check'!$C$25)&gt;0,"",'Dvd Calendar'!$AR$2256)))</f>
        <v/>
      </c>
      <c r="DE166" s="85">
        <f>IF(AQ166="","",IF(ISNUMBER('Dvd Calendar'!$E$2263)=FALSE,"",IF((Summary!$C$13="N")*('Dvd Calendar'!$E$2267='Field Check'!$C$25)&gt;0,"",'Dvd Calendar'!$E$2263)))</f>
        <v/>
      </c>
      <c r="DF166" s="85">
        <f>IF(AR166="","",IF(ISNUMBER('Dvd Calendar'!$F$2263)=FALSE,"",IF((Summary!$C$13="N")*('Dvd Calendar'!$F$2267='Field Check'!$C$25)&gt;0,"",'Dvd Calendar'!$F$2263)))</f>
        <v/>
      </c>
      <c r="DG166" s="85">
        <f>IF(AS166="","",IF(ISNUMBER('Dvd Calendar'!$G$2263)=FALSE,"",IF((Summary!$C$13="N")*('Dvd Calendar'!$G$2267='Field Check'!$C$25)&gt;0,"",'Dvd Calendar'!$G$2263)))</f>
        <v/>
      </c>
      <c r="DH166" s="85">
        <f>IF(AT166="","",IF(ISNUMBER('Dvd Calendar'!$H$2263)=FALSE,"",IF((Summary!$C$13="N")*('Dvd Calendar'!$H$2267='Field Check'!$C$25)&gt;0,"",'Dvd Calendar'!$H$2263)))</f>
        <v/>
      </c>
      <c r="DI166" s="85">
        <f>IF(AU166="","",IF(ISNUMBER('Dvd Calendar'!$I$2263)=FALSE,"",IF((Summary!$C$13="N")*('Dvd Calendar'!$I$2267='Field Check'!$C$25)&gt;0,"",'Dvd Calendar'!$I$2263)))</f>
        <v/>
      </c>
      <c r="DJ166" s="85">
        <f>IF(AV166="","",IF(ISNUMBER('Dvd Calendar'!$J$2263)=FALSE,"",IF((Summary!$C$13="N")*('Dvd Calendar'!$J$2267='Field Check'!$C$25)&gt;0,"",'Dvd Calendar'!$J$2263)))</f>
        <v/>
      </c>
      <c r="DK166" s="85">
        <f>IF(AW166="","",IF(ISNUMBER('Dvd Calendar'!$K$2263)=FALSE,"",IF((Summary!$C$13="N")*('Dvd Calendar'!$K$2267='Field Check'!$C$25)&gt;0,"",'Dvd Calendar'!$K$2263)))</f>
        <v/>
      </c>
      <c r="DL166" s="85">
        <f>IF(AX166="","",IF(ISNUMBER('Dvd Calendar'!$L$2263)=FALSE,"",IF((Summary!$C$13="N")*('Dvd Calendar'!$L$2267='Field Check'!$C$25)&gt;0,"",'Dvd Calendar'!$L$2263)))</f>
        <v/>
      </c>
      <c r="DM166" s="85">
        <f>IF(AY166="","",IF(ISNUMBER('Dvd Calendar'!$M$2263)=FALSE,"",IF((Summary!$C$13="N")*('Dvd Calendar'!$M$2267='Field Check'!$C$25)&gt;0,"",'Dvd Calendar'!$M$2263)))</f>
        <v/>
      </c>
      <c r="DN166" s="85">
        <f>IF(AZ166="","",IF(ISNUMBER('Dvd Calendar'!$N$2263)=FALSE,"",IF((Summary!$C$13="N")*('Dvd Calendar'!$N$2267='Field Check'!$C$25)&gt;0,"",'Dvd Calendar'!$N$2263)))</f>
        <v/>
      </c>
      <c r="DO166" s="85">
        <f>IF(BA166="","",IF(ISNUMBER('Dvd Calendar'!$O$2263)=FALSE,"",IF((Summary!$C$13="N")*('Dvd Calendar'!$O$2267='Field Check'!$C$25)&gt;0,"",'Dvd Calendar'!$O$2263)))</f>
        <v/>
      </c>
      <c r="DP166" s="85">
        <f>IF(BB166="","",IF(ISNUMBER('Dvd Calendar'!$P$2263)=FALSE,"",IF((Summary!$C$13="N")*('Dvd Calendar'!$P$2267='Field Check'!$C$25)&gt;0,"",'Dvd Calendar'!$P$2263)))</f>
        <v/>
      </c>
      <c r="DQ166" s="85">
        <f>IF(BC166="","",IF(ISNUMBER('Dvd Calendar'!$Q$2263)=FALSE,"",IF((Summary!$C$13="N")*('Dvd Calendar'!$Q$2267='Field Check'!$C$25)&gt;0,"",'Dvd Calendar'!$Q$2263)))</f>
        <v/>
      </c>
      <c r="DR166" s="85">
        <f>IF(BD166="","",IF(ISNUMBER('Dvd Calendar'!$R$2263)=FALSE,"",IF((Summary!$C$13="N")*('Dvd Calendar'!$R$2267='Field Check'!$C$25)&gt;0,"",'Dvd Calendar'!$R$2263)))</f>
        <v/>
      </c>
      <c r="DS166" s="85">
        <f>IF(BE166="","",IF(ISNUMBER('Dvd Calendar'!$S$2263)=FALSE,"",IF((Summary!$C$13="N")*('Dvd Calendar'!$S$2267='Field Check'!$C$25)&gt;0,"",'Dvd Calendar'!$S$2263)))</f>
        <v/>
      </c>
      <c r="DT166" s="85">
        <f>IF(BF166="","",IF(ISNUMBER('Dvd Calendar'!$T$2263)=FALSE,"",IF((Summary!$C$13="N")*('Dvd Calendar'!$T$2267='Field Check'!$C$25)&gt;0,"",'Dvd Calendar'!$T$2263)))</f>
        <v/>
      </c>
      <c r="DU166" s="85">
        <f>IF(BG166="","",IF(ISNUMBER('Dvd Calendar'!$U$2263)=FALSE,"",IF((Summary!$C$13="N")*('Dvd Calendar'!$U$2267='Field Check'!$C$25)&gt;0,"",'Dvd Calendar'!$U$2263)))</f>
        <v/>
      </c>
      <c r="DV166" s="85">
        <f>IF(BH166="","",IF(ISNUMBER('Dvd Calendar'!$V$2263)=FALSE,"",IF((Summary!$C$13="N")*('Dvd Calendar'!$V$2267='Field Check'!$C$25)&gt;0,"",'Dvd Calendar'!$V$2263)))</f>
        <v/>
      </c>
      <c r="DW166" s="85">
        <f>IF(BI166="","",IF(ISNUMBER('Dvd Calendar'!$W$2263)=FALSE,"",IF((Summary!$C$13="N")*('Dvd Calendar'!$W$2267='Field Check'!$C$25)&gt;0,"",'Dvd Calendar'!$W$2263)))</f>
        <v/>
      </c>
      <c r="DX166" s="85">
        <f>IF(BJ166="","",IF(ISNUMBER('Dvd Calendar'!$X$2263)=FALSE,"",IF((Summary!$C$13="N")*('Dvd Calendar'!$X$2267='Field Check'!$C$25)&gt;0,"",'Dvd Calendar'!$X$2263)))</f>
        <v/>
      </c>
      <c r="DY166" s="85">
        <f>IF(BK166="","",IF(ISNUMBER('Dvd Calendar'!$Y$2263)=FALSE,"",IF((Summary!$C$13="N")*('Dvd Calendar'!$Y$2267='Field Check'!$C$25)&gt;0,"",'Dvd Calendar'!$Y$2263)))</f>
        <v/>
      </c>
      <c r="DZ166" s="85">
        <f>IF(BL166="","",IF(ISNUMBER('Dvd Calendar'!$Z$2263)=FALSE,"",IF((Summary!$C$13="N")*('Dvd Calendar'!$Z$2267='Field Check'!$C$25)&gt;0,"",'Dvd Calendar'!$Z$2263)))</f>
        <v/>
      </c>
      <c r="EA166" s="85">
        <f>IF(BM166="","",IF(ISNUMBER('Dvd Calendar'!$AA$2263)=FALSE,"",IF((Summary!$C$13="N")*('Dvd Calendar'!$AA$2267='Field Check'!$C$25)&gt;0,"",'Dvd Calendar'!$AA$2263)))</f>
        <v/>
      </c>
      <c r="EB166" s="85">
        <f>IF(BN166="","",IF(ISNUMBER('Dvd Calendar'!$AB$2263)=FALSE,"",IF((Summary!$C$13="N")*('Dvd Calendar'!$AB$2267='Field Check'!$C$25)&gt;0,"",'Dvd Calendar'!$AB$2263)))</f>
        <v/>
      </c>
      <c r="EC166" s="85">
        <f>IF(BO166="","",IF(ISNUMBER('Dvd Calendar'!$AC$2263)=FALSE,"",IF((Summary!$C$13="N")*('Dvd Calendar'!$AC$2267='Field Check'!$C$25)&gt;0,"",'Dvd Calendar'!$AC$2263)))</f>
        <v/>
      </c>
      <c r="EE166" s="85">
        <f>IF(BQ166="","",IFERROR(BQ166*HSCEI!$B$16*HSCEI!$G$16/HSCEI!$B$3,""))</f>
        <v/>
      </c>
      <c r="EF166" s="85">
        <f>IF(BR166="","",IFERROR(BR166*HSCEI!$B$16*HSCEI!$G$16/HSCEI!$B$3,""))</f>
        <v/>
      </c>
      <c r="EG166" s="85">
        <f>IF(BS166="","",IFERROR(BS166*HSCEI!$B$16*HSCEI!$G$16/HSCEI!$B$3,""))</f>
        <v/>
      </c>
      <c r="EH166" s="85">
        <f>IF(BT166="","",IFERROR(BT166*HSCEI!$B$16*HSCEI!$G$16/HSCEI!$B$3,""))</f>
        <v/>
      </c>
      <c r="EI166" s="85">
        <f>IF(BU166="","",IFERROR(BU166*HSCEI!$B$16*HSCEI!$G$16/HSCEI!$B$3,""))</f>
        <v/>
      </c>
      <c r="EJ166" s="85">
        <f>IF(BV166="","",IFERROR(BV166*HSCEI!$B$16*HSCEI!$G$16/HSCEI!$B$3,""))</f>
        <v/>
      </c>
      <c r="EK166" s="85">
        <f>IF(BW166="","",IFERROR(BW166*HSCEI!$B$16*HSCEI!$G$16/HSCEI!$B$3,""))</f>
        <v/>
      </c>
      <c r="EL166" s="85">
        <f>IF(BX166="","",IFERROR(BX166*HSCEI!$B$16*HSCEI!$G$16/HSCEI!$B$3,""))</f>
        <v/>
      </c>
      <c r="EM166" s="85">
        <f>IF(BY166="","",IFERROR(BY166*HSCEI!$B$16*HSCEI!$G$16/HSCEI!$B$3,""))</f>
        <v/>
      </c>
      <c r="EN166" s="85">
        <f>IF(BZ166="","",IFERROR(BZ166*HSCEI!$B$16*HSCEI!$G$16/HSCEI!$B$3,""))</f>
        <v/>
      </c>
      <c r="EO166" s="85">
        <f>IF(CA166="","",IFERROR(CA166*HSCEI!$B$16*HSCEI!$G$16/HSCEI!$B$3,""))</f>
        <v/>
      </c>
      <c r="EP166" s="85">
        <f>IF(CB166="","",IFERROR(CB166*HSCEI!$B$16*HSCEI!$G$16/HSCEI!$B$3,""))</f>
        <v/>
      </c>
      <c r="EQ166" s="85">
        <f>IF(CC166="","",IFERROR(CC166*HSCEI!$B$16*HSCEI!$G$16/HSCEI!$B$3,""))</f>
        <v/>
      </c>
      <c r="ER166" s="85">
        <f>IF(CD166="","",IFERROR(CD166*HSCEI!$B$16*HSCEI!$G$16/HSCEI!$B$3,""))</f>
        <v/>
      </c>
      <c r="ES166" s="85">
        <f>IF(CE166="","",IFERROR(CE166*HSCEI!$B$16*HSCEI!$G$16/HSCEI!$B$3,""))</f>
        <v/>
      </c>
      <c r="ET166" s="85">
        <f>IF(CF166="","",IFERROR(CF166*HSCEI!$B$16*HSCEI!$G$16/HSCEI!$B$3,""))</f>
        <v/>
      </c>
      <c r="EU166" s="85">
        <f>IF(CG166="","",IFERROR(CG166*HSCEI!$B$16*HSCEI!$G$16/HSCEI!$B$3,""))</f>
        <v/>
      </c>
      <c r="EV166" s="85">
        <f>IF(CH166="","",IFERROR(CH166*HSCEI!$B$16*HSCEI!$G$16/HSCEI!$B$3,""))</f>
        <v/>
      </c>
      <c r="EW166" s="85">
        <f>IF(CI166="","",IFERROR(CI166*HSCEI!$B$16*HSCEI!$G$16/HSCEI!$B$3,""))</f>
        <v/>
      </c>
      <c r="EX166" s="85">
        <f>IF(CJ166="","",IFERROR(CJ166*HSCEI!$B$16*HSCEI!$G$16/HSCEI!$B$3,""))</f>
        <v/>
      </c>
      <c r="EY166" s="85">
        <f>IF(CK166="","",IFERROR(CK166*HSCEI!$B$16*HSCEI!$G$16/HSCEI!$B$3,""))</f>
        <v/>
      </c>
      <c r="EZ166" s="85">
        <f>IF(CL166="","",IFERROR(CL166*HSCEI!$B$16*HSCEI!$G$16/HSCEI!$B$3,""))</f>
        <v/>
      </c>
      <c r="FA166" s="85">
        <f>IF(CM166="","",IFERROR(CM166*HSCEI!$B$16*HSCEI!$G$16/HSCEI!$B$3,""))</f>
        <v/>
      </c>
      <c r="FB166" s="85">
        <f>IF(CN166="","",IFERROR(CN166*HSCEI!$B$16*HSCEI!$G$16/HSCEI!$B$3,""))</f>
        <v/>
      </c>
      <c r="FC166" s="85">
        <f>IF(CO166="","",IFERROR(CO166*HSCEI!$B$16*HSCEI!$G$16/HSCEI!$B$3,""))</f>
        <v/>
      </c>
      <c r="FD166" s="85">
        <f>IF(CP166="","",IFERROR(CP166*HSCEI!$B$16*HSCEI!$G$16/HSCEI!$B$3,""))</f>
        <v/>
      </c>
      <c r="FE166" s="85">
        <f>IF(CQ166="","",IFERROR(CQ166*HSCEI!$B$16*HSCEI!$G$16/HSCEI!$B$3,""))</f>
        <v/>
      </c>
      <c r="FF166" s="85">
        <f>IF(CR166="","",IFERROR(CR166*HSCEI!$B$16*HSCEI!$G$16/HSCEI!$B$3,""))</f>
        <v/>
      </c>
      <c r="FG166" s="85">
        <f>IF(CS166="","",IFERROR(CS166*HSCEI!$B$16*HSCEI!$G$16/HSCEI!$B$3,""))</f>
        <v/>
      </c>
      <c r="FH166" s="85">
        <f>IF(CT166="","",IFERROR(CT166*HSCEI!$B$16*HSCEI!$G$16/HSCEI!$B$3,""))</f>
        <v/>
      </c>
      <c r="FI166" s="85">
        <f>IF(CU166="","",IFERROR(CU166*HSCEI!$B$16*HSCEI!$G$16/HSCEI!$B$3,""))</f>
        <v/>
      </c>
      <c r="FJ166" s="85">
        <f>IF(CV166="","",IFERROR(CV166*HSCEI!$B$16*HSCEI!$G$16/HSCEI!$B$3,""))</f>
        <v/>
      </c>
      <c r="FK166" s="85">
        <f>IF(CW166="","",IFERROR(CW166*HSCEI!$B$16*HSCEI!$G$16/HSCEI!$B$3,""))</f>
        <v/>
      </c>
      <c r="FL166" s="85">
        <f>IF(CX166="","",IFERROR(CX166*HSCEI!$B$16*HSCEI!$G$16/HSCEI!$B$3,""))</f>
        <v/>
      </c>
      <c r="FM166" s="85">
        <f>IF(CY166="","",IFERROR(CY166*HSCEI!$B$16*HSCEI!$G$16/HSCEI!$B$3,""))</f>
        <v/>
      </c>
      <c r="FN166" s="85">
        <f>IF(CZ166="","",IFERROR(CZ166*HSCEI!$B$16*HSCEI!$G$16/HSCEI!$B$3,""))</f>
        <v/>
      </c>
      <c r="FO166" s="85">
        <f>IF(DA166="","",IFERROR(DA166*HSCEI!$B$16*HSCEI!$G$16/HSCEI!$B$3,""))</f>
        <v/>
      </c>
      <c r="FP166" s="85">
        <f>IF(DB166="","",IFERROR(DB166*HSCEI!$B$16*HSCEI!$G$16/HSCEI!$B$3,""))</f>
        <v/>
      </c>
      <c r="FQ166" s="85">
        <f>IF(DC166="","",IFERROR(DC166*HSCEI!$B$16*HSCEI!$G$16/HSCEI!$B$3,""))</f>
        <v/>
      </c>
      <c r="FR166" s="85">
        <f>IF(DD166="","",IFERROR(DD166*HSCEI!$B$16*HSCEI!$G$16/HSCEI!$B$3,""))</f>
        <v/>
      </c>
      <c r="FS166" s="85">
        <f>IF(DE166="","",IFERROR(DE166*HSCEI!$B$16*HSCEI!$G$16/HSCEI!$B$3,""))</f>
        <v/>
      </c>
      <c r="FT166" s="85">
        <f>IF(DF166="","",IFERROR(DF166*HSCEI!$B$16*HSCEI!$G$16/HSCEI!$B$3,""))</f>
        <v/>
      </c>
      <c r="FU166" s="85">
        <f>IF(DG166="","",IFERROR(DG166*HSCEI!$B$16*HSCEI!$G$16/HSCEI!$B$3,""))</f>
        <v/>
      </c>
      <c r="FV166" s="85">
        <f>IF(DH166="","",IFERROR(DH166*HSCEI!$B$16*HSCEI!$G$16/HSCEI!$B$3,""))</f>
        <v/>
      </c>
      <c r="FW166" s="85">
        <f>IF(DI166="","",IFERROR(DI166*HSCEI!$B$16*HSCEI!$G$16/HSCEI!$B$3,""))</f>
        <v/>
      </c>
      <c r="FX166" s="85">
        <f>IF(DJ166="","",IFERROR(DJ166*HSCEI!$B$16*HSCEI!$G$16/HSCEI!$B$3,""))</f>
        <v/>
      </c>
      <c r="FY166" s="85">
        <f>IF(DK166="","",IFERROR(DK166*HSCEI!$B$16*HSCEI!$G$16/HSCEI!$B$3,""))</f>
        <v/>
      </c>
      <c r="FZ166" s="85">
        <f>IF(DL166="","",IFERROR(DL166*HSCEI!$B$16*HSCEI!$G$16/HSCEI!$B$3,""))</f>
        <v/>
      </c>
      <c r="GA166" s="85">
        <f>IF(DM166="","",IFERROR(DM166*HSCEI!$B$16*HSCEI!$G$16/HSCEI!$B$3,""))</f>
        <v/>
      </c>
      <c r="GB166" s="85">
        <f>IF(DN166="","",IFERROR(DN166*HSCEI!$B$16*HSCEI!$G$16/HSCEI!$B$3,""))</f>
        <v/>
      </c>
      <c r="GC166" s="85">
        <f>IF(DO166="","",IFERROR(DO166*HSCEI!$B$16*HSCEI!$G$16/HSCEI!$B$3,""))</f>
        <v/>
      </c>
      <c r="GD166" s="85">
        <f>IF(DP166="","",IFERROR(DP166*HSCEI!$B$16*HSCEI!$G$16/HSCEI!$B$3,""))</f>
        <v/>
      </c>
      <c r="GE166" s="85">
        <f>IF(DQ166="","",IFERROR(DQ166*HSCEI!$B$16*HSCEI!$G$16/HSCEI!$B$3,""))</f>
        <v/>
      </c>
      <c r="GF166" s="85">
        <f>IF(DR166="","",IFERROR(DR166*HSCEI!$B$16*HSCEI!$G$16/HSCEI!$B$3,""))</f>
        <v/>
      </c>
      <c r="GG166" s="85">
        <f>IF(DS166="","",IFERROR(DS166*HSCEI!$B$16*HSCEI!$G$16/HSCEI!$B$3,""))</f>
        <v/>
      </c>
      <c r="GH166" s="85">
        <f>IF(DT166="","",IFERROR(DT166*HSCEI!$B$16*HSCEI!$G$16/HSCEI!$B$3,""))</f>
        <v/>
      </c>
      <c r="GI166" s="85">
        <f>IF(DU166="","",IFERROR(DU166*HSCEI!$B$16*HSCEI!$G$16/HSCEI!$B$3,""))</f>
        <v/>
      </c>
      <c r="GJ166" s="85">
        <f>IF(DV166="","",IFERROR(DV166*HSCEI!$B$16*HSCEI!$G$16/HSCEI!$B$3,""))</f>
        <v/>
      </c>
      <c r="GK166" s="85">
        <f>IF(DW166="","",IFERROR(DW166*HSCEI!$B$16*HSCEI!$G$16/HSCEI!$B$3,""))</f>
        <v/>
      </c>
      <c r="GL166" s="85">
        <f>IF(DX166="","",IFERROR(DX166*HSCEI!$B$16*HSCEI!$G$16/HSCEI!$B$3,""))</f>
        <v/>
      </c>
      <c r="GM166" s="85">
        <f>IF(DY166="","",IFERROR(DY166*HSCEI!$B$16*HSCEI!$G$16/HSCEI!$B$3,""))</f>
        <v/>
      </c>
      <c r="GN166" s="85">
        <f>IF(DZ166="","",IFERROR(DZ166*HSCEI!$B$16*HSCEI!$G$16/HSCEI!$B$3,""))</f>
        <v/>
      </c>
      <c r="GO166" s="85">
        <f>IF(EA166="","",IFERROR(EA166*HSCEI!$B$16*HSCEI!$G$16/HSCEI!$B$3,""))</f>
        <v/>
      </c>
      <c r="GP166" s="85">
        <f>IF(EB166="","",IFERROR(EB166*HSCEI!$B$16*HSCEI!$G$16/HSCEI!$B$3,""))</f>
        <v/>
      </c>
      <c r="GQ166" s="85">
        <f>IF(EC166="","",IFERROR(EC166*HSCEI!$B$16*HSCEI!$G$16/HSCEI!$B$3,""))</f>
        <v/>
      </c>
    </row>
    <row r="167">
      <c r="B167" s="2">
        <f>IF(HSCEI!$C$17="","",HSCEI!$C$17)</f>
        <v/>
      </c>
      <c r="C167" s="41">
        <f>IF(N('Dvd Calendar'!$E$2270)=0,"",IF(('Dvd Calendar'!$E$2270&gt;=MIN(DATE(Summary!$C$12,1,1),Summary!$C$11))*('Dvd Calendar'!$E$2270&lt;=MAX(DATE(Summary!$C$12,12,31),Summary!$C$15))*('Dvd Calendar'!$E$2270&lt;=Summary!$C$11)=0,"",'Dvd Calendar'!$E$2270*1000000000+ISNUMBER('Dvd Calendar'!$E$2271)*100000000+('Dvd Calendar'!$E$2275='Field Check'!$C$25)*10000000+(N('Dvd Calendar'!$E$2269)&gt;0)*1000000+11*1000+1))</f>
        <v/>
      </c>
      <c r="D167" s="41">
        <f>IF(N('Dvd Calendar'!$F$2270)=0,"",IF(('Dvd Calendar'!$F$2270&gt;=MIN(DATE(Summary!$C$12,1,1),Summary!$C$11))*('Dvd Calendar'!$F$2270&lt;=MAX(DATE(Summary!$C$12,12,31),Summary!$C$15))*('Dvd Calendar'!$F$2270&lt;=Summary!$C$11)=0,"",'Dvd Calendar'!$F$2270*1000000000+ISNUMBER('Dvd Calendar'!$F$2271)*100000000+('Dvd Calendar'!$F$2275='Field Check'!$C$25)*10000000+(N('Dvd Calendar'!$F$2269)&gt;0)*1000000+11*1000+2))</f>
        <v/>
      </c>
      <c r="E167" s="41">
        <f>IF(N('Dvd Calendar'!$G$2270)=0,"",IF(('Dvd Calendar'!$G$2270&gt;=MIN(DATE(Summary!$C$12,1,1),Summary!$C$11))*('Dvd Calendar'!$G$2270&lt;=MAX(DATE(Summary!$C$12,12,31),Summary!$C$15))*('Dvd Calendar'!$G$2270&lt;=Summary!$C$11)=0,"",'Dvd Calendar'!$G$2270*1000000000+ISNUMBER('Dvd Calendar'!$G$2271)*100000000+('Dvd Calendar'!$G$2275='Field Check'!$C$25)*10000000+(N('Dvd Calendar'!$G$2269)&gt;0)*1000000+11*1000+3))</f>
        <v/>
      </c>
      <c r="F167" s="41">
        <f>IF(N('Dvd Calendar'!$H$2270)=0,"",IF(('Dvd Calendar'!$H$2270&gt;=MIN(DATE(Summary!$C$12,1,1),Summary!$C$11))*('Dvd Calendar'!$H$2270&lt;=MAX(DATE(Summary!$C$12,12,31),Summary!$C$15))*('Dvd Calendar'!$H$2270&lt;=Summary!$C$11)=0,"",'Dvd Calendar'!$H$2270*1000000000+ISNUMBER('Dvd Calendar'!$H$2271)*100000000+('Dvd Calendar'!$H$2275='Field Check'!$C$25)*10000000+(N('Dvd Calendar'!$H$2269)&gt;0)*1000000+11*1000+4))</f>
        <v/>
      </c>
      <c r="G167" s="41">
        <f>IF(N('Dvd Calendar'!$I$2270)=0,"",IF(('Dvd Calendar'!$I$2270&gt;=MIN(DATE(Summary!$C$12,1,1),Summary!$C$11))*('Dvd Calendar'!$I$2270&lt;=MAX(DATE(Summary!$C$12,12,31),Summary!$C$15))*('Dvd Calendar'!$I$2270&lt;=Summary!$C$11)=0,"",'Dvd Calendar'!$I$2270*1000000000+ISNUMBER('Dvd Calendar'!$I$2271)*100000000+('Dvd Calendar'!$I$2275='Field Check'!$C$25)*10000000+(N('Dvd Calendar'!$I$2269)&gt;0)*1000000+11*1000+5))</f>
        <v/>
      </c>
      <c r="H167" s="41">
        <f>IF(N('Dvd Calendar'!$J$2270)=0,"",IF(('Dvd Calendar'!$J$2270&gt;=MIN(DATE(Summary!$C$12,1,1),Summary!$C$11))*('Dvd Calendar'!$J$2270&lt;=MAX(DATE(Summary!$C$12,12,31),Summary!$C$15))*('Dvd Calendar'!$J$2270&lt;=Summary!$C$11)=0,"",'Dvd Calendar'!$J$2270*1000000000+ISNUMBER('Dvd Calendar'!$J$2271)*100000000+('Dvd Calendar'!$J$2275='Field Check'!$C$25)*10000000+(N('Dvd Calendar'!$J$2269)&gt;0)*1000000+11*1000+6))</f>
        <v/>
      </c>
      <c r="I167" s="41">
        <f>IF(N('Dvd Calendar'!$K$2270)=0,"",IF(('Dvd Calendar'!$K$2270&gt;=MIN(DATE(Summary!$C$12,1,1),Summary!$C$11))*('Dvd Calendar'!$K$2270&lt;=MAX(DATE(Summary!$C$12,12,31),Summary!$C$15))*('Dvd Calendar'!$K$2270&lt;=Summary!$C$11)=0,"",'Dvd Calendar'!$K$2270*1000000000+ISNUMBER('Dvd Calendar'!$K$2271)*100000000+('Dvd Calendar'!$K$2275='Field Check'!$C$25)*10000000+(N('Dvd Calendar'!$K$2269)&gt;0)*1000000+11*1000+7))</f>
        <v/>
      </c>
      <c r="J167" s="41">
        <f>IF(N('Dvd Calendar'!$L$2270)=0,"",IF(('Dvd Calendar'!$L$2270&gt;=MIN(DATE(Summary!$C$12,1,1),Summary!$C$11))*('Dvd Calendar'!$L$2270&lt;=MAX(DATE(Summary!$C$12,12,31),Summary!$C$15))*('Dvd Calendar'!$L$2270&lt;=Summary!$C$11)=0,"",'Dvd Calendar'!$L$2270*1000000000+ISNUMBER('Dvd Calendar'!$L$2271)*100000000+('Dvd Calendar'!$L$2275='Field Check'!$C$25)*10000000+(N('Dvd Calendar'!$L$2269)&gt;0)*1000000+11*1000+8))</f>
        <v/>
      </c>
      <c r="K167" s="41">
        <f>IF(N('Dvd Calendar'!$M$2270)=0,"",IF(('Dvd Calendar'!$M$2270&gt;=MIN(DATE(Summary!$C$12,1,1),Summary!$C$11))*('Dvd Calendar'!$M$2270&lt;=MAX(DATE(Summary!$C$12,12,31),Summary!$C$15))*('Dvd Calendar'!$M$2270&lt;=Summary!$C$11)=0,"",'Dvd Calendar'!$M$2270*1000000000+ISNUMBER('Dvd Calendar'!$M$2271)*100000000+('Dvd Calendar'!$M$2275='Field Check'!$C$25)*10000000+(N('Dvd Calendar'!$M$2269)&gt;0)*1000000+11*1000+9))</f>
        <v/>
      </c>
      <c r="L167" s="41">
        <f>IF(N('Dvd Calendar'!$N$2270)=0,"",IF(('Dvd Calendar'!$N$2270&gt;=MIN(DATE(Summary!$C$12,1,1),Summary!$C$11))*('Dvd Calendar'!$N$2270&lt;=MAX(DATE(Summary!$C$12,12,31),Summary!$C$15))*('Dvd Calendar'!$N$2270&lt;=Summary!$C$11)=0,"",'Dvd Calendar'!$N$2270*1000000000+ISNUMBER('Dvd Calendar'!$N$2271)*100000000+('Dvd Calendar'!$N$2275='Field Check'!$C$25)*10000000+(N('Dvd Calendar'!$N$2269)&gt;0)*1000000+11*1000+10))</f>
        <v/>
      </c>
      <c r="M167" s="41">
        <f>IF(N('Dvd Calendar'!$O$2270)=0,"",IF(('Dvd Calendar'!$O$2270&gt;=MIN(DATE(Summary!$C$12,1,1),Summary!$C$11))*('Dvd Calendar'!$O$2270&lt;=MAX(DATE(Summary!$C$12,12,31),Summary!$C$15))*('Dvd Calendar'!$O$2270&lt;=Summary!$C$11)=0,"",'Dvd Calendar'!$O$2270*1000000000+ISNUMBER('Dvd Calendar'!$O$2271)*100000000+('Dvd Calendar'!$O$2275='Field Check'!$C$25)*10000000+(N('Dvd Calendar'!$O$2269)&gt;0)*1000000+11*1000+11))</f>
        <v/>
      </c>
      <c r="N167" s="41">
        <f>IF(N('Dvd Calendar'!$P$2270)=0,"",IF(('Dvd Calendar'!$P$2270&gt;=MIN(DATE(Summary!$C$12,1,1),Summary!$C$11))*('Dvd Calendar'!$P$2270&lt;=MAX(DATE(Summary!$C$12,12,31),Summary!$C$15))*('Dvd Calendar'!$P$2270&lt;=Summary!$C$11)=0,"",'Dvd Calendar'!$P$2270*1000000000+ISNUMBER('Dvd Calendar'!$P$2271)*100000000+('Dvd Calendar'!$P$2275='Field Check'!$C$25)*10000000+(N('Dvd Calendar'!$P$2269)&gt;0)*1000000+11*1000+12))</f>
        <v/>
      </c>
      <c r="O167" s="41">
        <f>IF(N('Dvd Calendar'!$Q$2270)=0,"",IF(('Dvd Calendar'!$Q$2270&gt;=MIN(DATE(Summary!$C$12,1,1),Summary!$C$11))*('Dvd Calendar'!$Q$2270&lt;=MAX(DATE(Summary!$C$12,12,31),Summary!$C$15))*('Dvd Calendar'!$Q$2270&lt;=Summary!$C$11)=0,"",'Dvd Calendar'!$Q$2270*1000000000+ISNUMBER('Dvd Calendar'!$Q$2271)*100000000+('Dvd Calendar'!$Q$2275='Field Check'!$C$25)*10000000+(N('Dvd Calendar'!$Q$2269)&gt;0)*1000000+11*1000+13))</f>
        <v/>
      </c>
      <c r="P167" s="41">
        <f>IF(N('Dvd Calendar'!$R$2270)=0,"",IF(('Dvd Calendar'!$R$2270&gt;=MIN(DATE(Summary!$C$12,1,1),Summary!$C$11))*('Dvd Calendar'!$R$2270&lt;=MAX(DATE(Summary!$C$12,12,31),Summary!$C$15))*('Dvd Calendar'!$R$2270&lt;=Summary!$C$11)=0,"",'Dvd Calendar'!$R$2270*1000000000+ISNUMBER('Dvd Calendar'!$R$2271)*100000000+('Dvd Calendar'!$R$2275='Field Check'!$C$25)*10000000+(N('Dvd Calendar'!$R$2269)&gt;0)*1000000+11*1000+14))</f>
        <v/>
      </c>
      <c r="Q167" s="41">
        <f>IF(N('Dvd Calendar'!$S$2270)=0,"",IF(('Dvd Calendar'!$S$2270&gt;=MIN(DATE(Summary!$C$12,1,1),Summary!$C$11))*('Dvd Calendar'!$S$2270&lt;=MAX(DATE(Summary!$C$12,12,31),Summary!$C$15))*('Dvd Calendar'!$S$2270&lt;=Summary!$C$11)=0,"",'Dvd Calendar'!$S$2270*1000000000+ISNUMBER('Dvd Calendar'!$S$2271)*100000000+('Dvd Calendar'!$S$2275='Field Check'!$C$25)*10000000+(N('Dvd Calendar'!$S$2269)&gt;0)*1000000+11*1000+15))</f>
        <v/>
      </c>
      <c r="R167" s="41">
        <f>IF(N('Dvd Calendar'!$T$2270)=0,"",IF(('Dvd Calendar'!$T$2270&gt;=MIN(DATE(Summary!$C$12,1,1),Summary!$C$11))*('Dvd Calendar'!$T$2270&lt;=MAX(DATE(Summary!$C$12,12,31),Summary!$C$15))*('Dvd Calendar'!$T$2270&lt;=Summary!$C$11)=0,"",'Dvd Calendar'!$T$2270*1000000000+ISNUMBER('Dvd Calendar'!$T$2271)*100000000+('Dvd Calendar'!$T$2275='Field Check'!$C$25)*10000000+(N('Dvd Calendar'!$T$2269)&gt;0)*1000000+11*1000+16))</f>
        <v/>
      </c>
      <c r="S167" s="41">
        <f>IF(N('Dvd Calendar'!$U$2270)=0,"",IF(('Dvd Calendar'!$U$2270&gt;=MIN(DATE(Summary!$C$12,1,1),Summary!$C$11))*('Dvd Calendar'!$U$2270&lt;=MAX(DATE(Summary!$C$12,12,31),Summary!$C$15))*('Dvd Calendar'!$U$2270&lt;=Summary!$C$11)=0,"",'Dvd Calendar'!$U$2270*1000000000+ISNUMBER('Dvd Calendar'!$U$2271)*100000000+('Dvd Calendar'!$U$2275='Field Check'!$C$25)*10000000+(N('Dvd Calendar'!$U$2269)&gt;0)*1000000+11*1000+17))</f>
        <v/>
      </c>
      <c r="T167" s="41">
        <f>IF(N('Dvd Calendar'!$V$2270)=0,"",IF(('Dvd Calendar'!$V$2270&gt;=MIN(DATE(Summary!$C$12,1,1),Summary!$C$11))*('Dvd Calendar'!$V$2270&lt;=MAX(DATE(Summary!$C$12,12,31),Summary!$C$15))*('Dvd Calendar'!$V$2270&lt;=Summary!$C$11)=0,"",'Dvd Calendar'!$V$2270*1000000000+ISNUMBER('Dvd Calendar'!$V$2271)*100000000+('Dvd Calendar'!$V$2275='Field Check'!$C$25)*10000000+(N('Dvd Calendar'!$V$2269)&gt;0)*1000000+11*1000+18))</f>
        <v/>
      </c>
      <c r="U167" s="41">
        <f>IF(N('Dvd Calendar'!$W$2270)=0,"",IF(('Dvd Calendar'!$W$2270&gt;=MIN(DATE(Summary!$C$12,1,1),Summary!$C$11))*('Dvd Calendar'!$W$2270&lt;=MAX(DATE(Summary!$C$12,12,31),Summary!$C$15))*('Dvd Calendar'!$W$2270&lt;=Summary!$C$11)=0,"",'Dvd Calendar'!$W$2270*1000000000+ISNUMBER('Dvd Calendar'!$W$2271)*100000000+('Dvd Calendar'!$W$2275='Field Check'!$C$25)*10000000+(N('Dvd Calendar'!$W$2269)&gt;0)*1000000+11*1000+19))</f>
        <v/>
      </c>
      <c r="V167" s="41">
        <f>IF(N('Dvd Calendar'!$X$2270)=0,"",IF(('Dvd Calendar'!$X$2270&gt;=MIN(DATE(Summary!$C$12,1,1),Summary!$C$11))*('Dvd Calendar'!$X$2270&lt;=MAX(DATE(Summary!$C$12,12,31),Summary!$C$15))*('Dvd Calendar'!$X$2270&lt;=Summary!$C$11)=0,"",'Dvd Calendar'!$X$2270*1000000000+ISNUMBER('Dvd Calendar'!$X$2271)*100000000+('Dvd Calendar'!$X$2275='Field Check'!$C$25)*10000000+(N('Dvd Calendar'!$X$2269)&gt;0)*1000000+11*1000+20))</f>
        <v/>
      </c>
      <c r="W167" s="41">
        <f>IF(N('Dvd Calendar'!$Y$2270)=0,"",IF(('Dvd Calendar'!$Y$2270&gt;=MIN(DATE(Summary!$C$12,1,1),Summary!$C$11))*('Dvd Calendar'!$Y$2270&lt;=MAX(DATE(Summary!$C$12,12,31),Summary!$C$15))*('Dvd Calendar'!$Y$2270&lt;=Summary!$C$11)=0,"",'Dvd Calendar'!$Y$2270*1000000000+ISNUMBER('Dvd Calendar'!$Y$2271)*100000000+('Dvd Calendar'!$Y$2275='Field Check'!$C$25)*10000000+(N('Dvd Calendar'!$Y$2269)&gt;0)*1000000+11*1000+21))</f>
        <v/>
      </c>
      <c r="X167" s="41">
        <f>IF(N('Dvd Calendar'!$Z$2270)=0,"",IF(('Dvd Calendar'!$Z$2270&gt;=MIN(DATE(Summary!$C$12,1,1),Summary!$C$11))*('Dvd Calendar'!$Z$2270&lt;=MAX(DATE(Summary!$C$12,12,31),Summary!$C$15))*('Dvd Calendar'!$Z$2270&lt;=Summary!$C$11)=0,"",'Dvd Calendar'!$Z$2270*1000000000+ISNUMBER('Dvd Calendar'!$Z$2271)*100000000+('Dvd Calendar'!$Z$2275='Field Check'!$C$25)*10000000+(N('Dvd Calendar'!$Z$2269)&gt;0)*1000000+11*1000+22))</f>
        <v/>
      </c>
      <c r="Y167" s="41">
        <f>IF(N('Dvd Calendar'!$AA$2270)=0,"",IF(('Dvd Calendar'!$AA$2270&gt;=MIN(DATE(Summary!$C$12,1,1),Summary!$C$11))*('Dvd Calendar'!$AA$2270&lt;=MAX(DATE(Summary!$C$12,12,31),Summary!$C$15))*('Dvd Calendar'!$AA$2270&lt;=Summary!$C$11)=0,"",'Dvd Calendar'!$AA$2270*1000000000+ISNUMBER('Dvd Calendar'!$AA$2271)*100000000+('Dvd Calendar'!$AA$2275='Field Check'!$C$25)*10000000+(N('Dvd Calendar'!$AA$2269)&gt;0)*1000000+11*1000+23))</f>
        <v/>
      </c>
      <c r="Z167" s="41">
        <f>IF(N('Dvd Calendar'!$AB$2270)=0,"",IF(('Dvd Calendar'!$AB$2270&gt;=MIN(DATE(Summary!$C$12,1,1),Summary!$C$11))*('Dvd Calendar'!$AB$2270&lt;=MAX(DATE(Summary!$C$12,12,31),Summary!$C$15))*('Dvd Calendar'!$AB$2270&lt;=Summary!$C$11)=0,"",'Dvd Calendar'!$AB$2270*1000000000+ISNUMBER('Dvd Calendar'!$AB$2271)*100000000+('Dvd Calendar'!$AB$2275='Field Check'!$C$25)*10000000+(N('Dvd Calendar'!$AB$2269)&gt;0)*1000000+11*1000+24))</f>
        <v/>
      </c>
      <c r="AA167" s="41">
        <f>IF(N('Dvd Calendar'!$AC$2270)=0,"",IF(('Dvd Calendar'!$AC$2270&gt;=MIN(DATE(Summary!$C$12,1,1),Summary!$C$11))*('Dvd Calendar'!$AC$2270&lt;=MAX(DATE(Summary!$C$12,12,31),Summary!$C$15))*('Dvd Calendar'!$AC$2270&lt;=Summary!$C$11)=0,"",'Dvd Calendar'!$AC$2270*1000000000+ISNUMBER('Dvd Calendar'!$AC$2271)*100000000+('Dvd Calendar'!$AC$2275='Field Check'!$C$25)*10000000+(N('Dvd Calendar'!$AC$2269)&gt;0)*1000000+11*1000+25))</f>
        <v/>
      </c>
      <c r="AB167" s="41">
        <f>IF(N('Dvd Calendar'!$AD$2270)=0,"",IF(('Dvd Calendar'!$AD$2270&gt;=MIN(DATE(Summary!$C$12,1,1),Summary!$C$11))*('Dvd Calendar'!$AD$2270&lt;=MAX(DATE(Summary!$C$12,12,31),Summary!$C$15))*('Dvd Calendar'!$AD$2270&lt;=Summary!$C$11)=0,"",'Dvd Calendar'!$AD$2270*1000000000+ISNUMBER('Dvd Calendar'!$AD$2271)*100000000+('Dvd Calendar'!$AD$2275='Field Check'!$C$25)*10000000+(N('Dvd Calendar'!$AD$2269)&gt;0)*1000000+11*1000+26))</f>
        <v/>
      </c>
      <c r="AC167" s="41">
        <f>IF(N('Dvd Calendar'!$AE$2270)=0,"",IF(('Dvd Calendar'!$AE$2270&gt;=MIN(DATE(Summary!$C$12,1,1),Summary!$C$11))*('Dvd Calendar'!$AE$2270&lt;=MAX(DATE(Summary!$C$12,12,31),Summary!$C$15))*('Dvd Calendar'!$AE$2270&lt;=Summary!$C$11)=0,"",'Dvd Calendar'!$AE$2270*1000000000+ISNUMBER('Dvd Calendar'!$AE$2271)*100000000+('Dvd Calendar'!$AE$2275='Field Check'!$C$25)*10000000+(N('Dvd Calendar'!$AE$2269)&gt;0)*1000000+11*1000+27))</f>
        <v/>
      </c>
      <c r="AD167" s="41">
        <f>IF(N('Dvd Calendar'!$AF$2270)=0,"",IF(('Dvd Calendar'!$AF$2270&gt;=MIN(DATE(Summary!$C$12,1,1),Summary!$C$11))*('Dvd Calendar'!$AF$2270&lt;=MAX(DATE(Summary!$C$12,12,31),Summary!$C$15))*('Dvd Calendar'!$AF$2270&lt;=Summary!$C$11)=0,"",'Dvd Calendar'!$AF$2270*1000000000+ISNUMBER('Dvd Calendar'!$AF$2271)*100000000+('Dvd Calendar'!$AF$2275='Field Check'!$C$25)*10000000+(N('Dvd Calendar'!$AF$2269)&gt;0)*1000000+11*1000+28))</f>
        <v/>
      </c>
      <c r="AE167" s="41">
        <f>IF(N('Dvd Calendar'!$AG$2270)=0,"",IF(('Dvd Calendar'!$AG$2270&gt;=MIN(DATE(Summary!$C$12,1,1),Summary!$C$11))*('Dvd Calendar'!$AG$2270&lt;=MAX(DATE(Summary!$C$12,12,31),Summary!$C$15))*('Dvd Calendar'!$AG$2270&lt;=Summary!$C$11)=0,"",'Dvd Calendar'!$AG$2270*1000000000+ISNUMBER('Dvd Calendar'!$AG$2271)*100000000+('Dvd Calendar'!$AG$2275='Field Check'!$C$25)*10000000+(N('Dvd Calendar'!$AG$2269)&gt;0)*1000000+11*1000+29))</f>
        <v/>
      </c>
      <c r="AF167" s="41">
        <f>IF(N('Dvd Calendar'!$AH$2270)=0,"",IF(('Dvd Calendar'!$AH$2270&gt;=MIN(DATE(Summary!$C$12,1,1),Summary!$C$11))*('Dvd Calendar'!$AH$2270&lt;=MAX(DATE(Summary!$C$12,12,31),Summary!$C$15))*('Dvd Calendar'!$AH$2270&lt;=Summary!$C$11)=0,"",'Dvd Calendar'!$AH$2270*1000000000+ISNUMBER('Dvd Calendar'!$AH$2271)*100000000+('Dvd Calendar'!$AH$2275='Field Check'!$C$25)*10000000+(N('Dvd Calendar'!$AH$2269)&gt;0)*1000000+11*1000+30))</f>
        <v/>
      </c>
      <c r="AG167" s="41">
        <f>IF(N('Dvd Calendar'!$AI$2270)=0,"",IF(('Dvd Calendar'!$AI$2270&gt;=MIN(DATE(Summary!$C$12,1,1),Summary!$C$11))*('Dvd Calendar'!$AI$2270&lt;=MAX(DATE(Summary!$C$12,12,31),Summary!$C$15))*('Dvd Calendar'!$AI$2270&lt;=Summary!$C$11)=0,"",'Dvd Calendar'!$AI$2270*1000000000+ISNUMBER('Dvd Calendar'!$AI$2271)*100000000+('Dvd Calendar'!$AI$2275='Field Check'!$C$25)*10000000+(N('Dvd Calendar'!$AI$2269)&gt;0)*1000000+11*1000+31))</f>
        <v/>
      </c>
      <c r="AH167" s="41">
        <f>IF(N('Dvd Calendar'!$AJ$2270)=0,"",IF(('Dvd Calendar'!$AJ$2270&gt;=MIN(DATE(Summary!$C$12,1,1),Summary!$C$11))*('Dvd Calendar'!$AJ$2270&lt;=MAX(DATE(Summary!$C$12,12,31),Summary!$C$15))*('Dvd Calendar'!$AJ$2270&lt;=Summary!$C$11)=0,"",'Dvd Calendar'!$AJ$2270*1000000000+ISNUMBER('Dvd Calendar'!$AJ$2271)*100000000+('Dvd Calendar'!$AJ$2275='Field Check'!$C$25)*10000000+(N('Dvd Calendar'!$AJ$2269)&gt;0)*1000000+11*1000+32))</f>
        <v/>
      </c>
      <c r="AI167" s="41">
        <f>IF(N('Dvd Calendar'!$AK$2270)=0,"",IF(('Dvd Calendar'!$AK$2270&gt;=MIN(DATE(Summary!$C$12,1,1),Summary!$C$11))*('Dvd Calendar'!$AK$2270&lt;=MAX(DATE(Summary!$C$12,12,31),Summary!$C$15))*('Dvd Calendar'!$AK$2270&lt;=Summary!$C$11)=0,"",'Dvd Calendar'!$AK$2270*1000000000+ISNUMBER('Dvd Calendar'!$AK$2271)*100000000+('Dvd Calendar'!$AK$2275='Field Check'!$C$25)*10000000+(N('Dvd Calendar'!$AK$2269)&gt;0)*1000000+11*1000+33))</f>
        <v/>
      </c>
      <c r="AJ167" s="41">
        <f>IF(N('Dvd Calendar'!$AL$2270)=0,"",IF(('Dvd Calendar'!$AL$2270&gt;=MIN(DATE(Summary!$C$12,1,1),Summary!$C$11))*('Dvd Calendar'!$AL$2270&lt;=MAX(DATE(Summary!$C$12,12,31),Summary!$C$15))*('Dvd Calendar'!$AL$2270&lt;=Summary!$C$11)=0,"",'Dvd Calendar'!$AL$2270*1000000000+ISNUMBER('Dvd Calendar'!$AL$2271)*100000000+('Dvd Calendar'!$AL$2275='Field Check'!$C$25)*10000000+(N('Dvd Calendar'!$AL$2269)&gt;0)*1000000+11*1000+34))</f>
        <v/>
      </c>
      <c r="AK167" s="41">
        <f>IF(N('Dvd Calendar'!$AM$2270)=0,"",IF(('Dvd Calendar'!$AM$2270&gt;=MIN(DATE(Summary!$C$12,1,1),Summary!$C$11))*('Dvd Calendar'!$AM$2270&lt;=MAX(DATE(Summary!$C$12,12,31),Summary!$C$15))*('Dvd Calendar'!$AM$2270&lt;=Summary!$C$11)=0,"",'Dvd Calendar'!$AM$2270*1000000000+ISNUMBER('Dvd Calendar'!$AM$2271)*100000000+('Dvd Calendar'!$AM$2275='Field Check'!$C$25)*10000000+(N('Dvd Calendar'!$AM$2269)&gt;0)*1000000+11*1000+35))</f>
        <v/>
      </c>
      <c r="AL167" s="41">
        <f>IF(N('Dvd Calendar'!$AN$2270)=0,"",IF(('Dvd Calendar'!$AN$2270&gt;=MIN(DATE(Summary!$C$12,1,1),Summary!$C$11))*('Dvd Calendar'!$AN$2270&lt;=MAX(DATE(Summary!$C$12,12,31),Summary!$C$15))*('Dvd Calendar'!$AN$2270&lt;=Summary!$C$11)=0,"",'Dvd Calendar'!$AN$2270*1000000000+ISNUMBER('Dvd Calendar'!$AN$2271)*100000000+('Dvd Calendar'!$AN$2275='Field Check'!$C$25)*10000000+(N('Dvd Calendar'!$AN$2269)&gt;0)*1000000+11*1000+36))</f>
        <v/>
      </c>
      <c r="AM167" s="41">
        <f>IF(N('Dvd Calendar'!$AO$2270)=0,"",IF(('Dvd Calendar'!$AO$2270&gt;=MIN(DATE(Summary!$C$12,1,1),Summary!$C$11))*('Dvd Calendar'!$AO$2270&lt;=MAX(DATE(Summary!$C$12,12,31),Summary!$C$15))*('Dvd Calendar'!$AO$2270&lt;=Summary!$C$11)=0,"",'Dvd Calendar'!$AO$2270*1000000000+ISNUMBER('Dvd Calendar'!$AO$2271)*100000000+('Dvd Calendar'!$AO$2275='Field Check'!$C$25)*10000000+(N('Dvd Calendar'!$AO$2269)&gt;0)*1000000+11*1000+37))</f>
        <v/>
      </c>
      <c r="AN167" s="41">
        <f>IF(N('Dvd Calendar'!$AP$2270)=0,"",IF(('Dvd Calendar'!$AP$2270&gt;=MIN(DATE(Summary!$C$12,1,1),Summary!$C$11))*('Dvd Calendar'!$AP$2270&lt;=MAX(DATE(Summary!$C$12,12,31),Summary!$C$15))*('Dvd Calendar'!$AP$2270&lt;=Summary!$C$11)=0,"",'Dvd Calendar'!$AP$2270*1000000000+ISNUMBER('Dvd Calendar'!$AP$2271)*100000000+('Dvd Calendar'!$AP$2275='Field Check'!$C$25)*10000000+(N('Dvd Calendar'!$AP$2269)&gt;0)*1000000+11*1000+38))</f>
        <v/>
      </c>
      <c r="AO167" s="41">
        <f>IF(N('Dvd Calendar'!$AQ$2270)=0,"",IF(('Dvd Calendar'!$AQ$2270&gt;=MIN(DATE(Summary!$C$12,1,1),Summary!$C$11))*('Dvd Calendar'!$AQ$2270&lt;=MAX(DATE(Summary!$C$12,12,31),Summary!$C$15))*('Dvd Calendar'!$AQ$2270&lt;=Summary!$C$11)=0,"",'Dvd Calendar'!$AQ$2270*1000000000+ISNUMBER('Dvd Calendar'!$AQ$2271)*100000000+('Dvd Calendar'!$AQ$2275='Field Check'!$C$25)*10000000+(N('Dvd Calendar'!$AQ$2269)&gt;0)*1000000+11*1000+39))</f>
        <v/>
      </c>
      <c r="AP167" s="41">
        <f>IF(N('Dvd Calendar'!$AR$2270)=0,"",IF(('Dvd Calendar'!$AR$2270&gt;=MIN(DATE(Summary!$C$12,1,1),Summary!$C$11))*('Dvd Calendar'!$AR$2270&lt;=MAX(DATE(Summary!$C$12,12,31),Summary!$C$15))*('Dvd Calendar'!$AR$2270&lt;=Summary!$C$11)=0,"",'Dvd Calendar'!$AR$2270*1000000000+ISNUMBER('Dvd Calendar'!$AR$2271)*100000000+('Dvd Calendar'!$AR$2275='Field Check'!$C$25)*10000000+(N('Dvd Calendar'!$AR$2269)&gt;0)*1000000+11*1000+40))</f>
        <v/>
      </c>
      <c r="AQ167" s="41">
        <f>IF(N('Dvd Calendar'!$E$2277)=0,"",IF(('Dvd Calendar'!$E$2277&gt;=MIN(DATE(Summary!$C$12,1,1),Summary!$C$11))*('Dvd Calendar'!$E$2277&lt;=MAX(DATE(Summary!$C$12,12,31),Summary!$C$15))*('Dvd Calendar'!$E$2277&gt;Summary!$C$11)=0,"",'Dvd Calendar'!$E$2277*1000000000+ISNUMBER('Dvd Calendar'!$E$2278)*100000000+('Dvd Calendar'!$E$2282='Field Check'!$C$25)*10000000+(N('Dvd Calendar'!$E$2276)&gt;0)*1000000+11*1000+41))</f>
        <v/>
      </c>
      <c r="AR167" s="41">
        <f>IF(N('Dvd Calendar'!$F$2277)=0,"",IF(('Dvd Calendar'!$F$2277&gt;=MIN(DATE(Summary!$C$12,1,1),Summary!$C$11))*('Dvd Calendar'!$F$2277&lt;=MAX(DATE(Summary!$C$12,12,31),Summary!$C$15))*('Dvd Calendar'!$F$2277&gt;Summary!$C$11)=0,"",'Dvd Calendar'!$F$2277*1000000000+ISNUMBER('Dvd Calendar'!$F$2278)*100000000+('Dvd Calendar'!$F$2282='Field Check'!$C$25)*10000000+(N('Dvd Calendar'!$F$2276)&gt;0)*1000000+11*1000+42))</f>
        <v/>
      </c>
      <c r="AS167" s="41">
        <f>IF(N('Dvd Calendar'!$G$2277)=0,"",IF(('Dvd Calendar'!$G$2277&gt;=MIN(DATE(Summary!$C$12,1,1),Summary!$C$11))*('Dvd Calendar'!$G$2277&lt;=MAX(DATE(Summary!$C$12,12,31),Summary!$C$15))*('Dvd Calendar'!$G$2277&gt;Summary!$C$11)=0,"",'Dvd Calendar'!$G$2277*1000000000+ISNUMBER('Dvd Calendar'!$G$2278)*100000000+('Dvd Calendar'!$G$2282='Field Check'!$C$25)*10000000+(N('Dvd Calendar'!$G$2276)&gt;0)*1000000+11*1000+43))</f>
        <v/>
      </c>
      <c r="AT167" s="41">
        <f>IF(N('Dvd Calendar'!$H$2277)=0,"",IF(('Dvd Calendar'!$H$2277&gt;=MIN(DATE(Summary!$C$12,1,1),Summary!$C$11))*('Dvd Calendar'!$H$2277&lt;=MAX(DATE(Summary!$C$12,12,31),Summary!$C$15))*('Dvd Calendar'!$H$2277&gt;Summary!$C$11)=0,"",'Dvd Calendar'!$H$2277*1000000000+ISNUMBER('Dvd Calendar'!$H$2278)*100000000+('Dvd Calendar'!$H$2282='Field Check'!$C$25)*10000000+(N('Dvd Calendar'!$H$2276)&gt;0)*1000000+11*1000+44))</f>
        <v/>
      </c>
      <c r="AU167" s="41">
        <f>IF(N('Dvd Calendar'!$I$2277)=0,"",IF(('Dvd Calendar'!$I$2277&gt;=MIN(DATE(Summary!$C$12,1,1),Summary!$C$11))*('Dvd Calendar'!$I$2277&lt;=MAX(DATE(Summary!$C$12,12,31),Summary!$C$15))*('Dvd Calendar'!$I$2277&gt;Summary!$C$11)=0,"",'Dvd Calendar'!$I$2277*1000000000+ISNUMBER('Dvd Calendar'!$I$2278)*100000000+('Dvd Calendar'!$I$2282='Field Check'!$C$25)*10000000+(N('Dvd Calendar'!$I$2276)&gt;0)*1000000+11*1000+45))</f>
        <v/>
      </c>
      <c r="AV167" s="41">
        <f>IF(N('Dvd Calendar'!$J$2277)=0,"",IF(('Dvd Calendar'!$J$2277&gt;=MIN(DATE(Summary!$C$12,1,1),Summary!$C$11))*('Dvd Calendar'!$J$2277&lt;=MAX(DATE(Summary!$C$12,12,31),Summary!$C$15))*('Dvd Calendar'!$J$2277&gt;Summary!$C$11)=0,"",'Dvd Calendar'!$J$2277*1000000000+ISNUMBER('Dvd Calendar'!$J$2278)*100000000+('Dvd Calendar'!$J$2282='Field Check'!$C$25)*10000000+(N('Dvd Calendar'!$J$2276)&gt;0)*1000000+11*1000+46))</f>
        <v/>
      </c>
      <c r="AW167" s="41">
        <f>IF(N('Dvd Calendar'!$K$2277)=0,"",IF(('Dvd Calendar'!$K$2277&gt;=MIN(DATE(Summary!$C$12,1,1),Summary!$C$11))*('Dvd Calendar'!$K$2277&lt;=MAX(DATE(Summary!$C$12,12,31),Summary!$C$15))*('Dvd Calendar'!$K$2277&gt;Summary!$C$11)=0,"",'Dvd Calendar'!$K$2277*1000000000+ISNUMBER('Dvd Calendar'!$K$2278)*100000000+('Dvd Calendar'!$K$2282='Field Check'!$C$25)*10000000+(N('Dvd Calendar'!$K$2276)&gt;0)*1000000+11*1000+47))</f>
        <v/>
      </c>
      <c r="AX167" s="41">
        <f>IF(N('Dvd Calendar'!$L$2277)=0,"",IF(('Dvd Calendar'!$L$2277&gt;=MIN(DATE(Summary!$C$12,1,1),Summary!$C$11))*('Dvd Calendar'!$L$2277&lt;=MAX(DATE(Summary!$C$12,12,31),Summary!$C$15))*('Dvd Calendar'!$L$2277&gt;Summary!$C$11)=0,"",'Dvd Calendar'!$L$2277*1000000000+ISNUMBER('Dvd Calendar'!$L$2278)*100000000+('Dvd Calendar'!$L$2282='Field Check'!$C$25)*10000000+(N('Dvd Calendar'!$L$2276)&gt;0)*1000000+11*1000+48))</f>
        <v/>
      </c>
      <c r="AY167" s="41">
        <f>IF(N('Dvd Calendar'!$M$2277)=0,"",IF(('Dvd Calendar'!$M$2277&gt;=MIN(DATE(Summary!$C$12,1,1),Summary!$C$11))*('Dvd Calendar'!$M$2277&lt;=MAX(DATE(Summary!$C$12,12,31),Summary!$C$15))*('Dvd Calendar'!$M$2277&gt;Summary!$C$11)=0,"",'Dvd Calendar'!$M$2277*1000000000+ISNUMBER('Dvd Calendar'!$M$2278)*100000000+('Dvd Calendar'!$M$2282='Field Check'!$C$25)*10000000+(N('Dvd Calendar'!$M$2276)&gt;0)*1000000+11*1000+49))</f>
        <v/>
      </c>
      <c r="AZ167" s="41">
        <f>IF(N('Dvd Calendar'!$N$2277)=0,"",IF(('Dvd Calendar'!$N$2277&gt;=MIN(DATE(Summary!$C$12,1,1),Summary!$C$11))*('Dvd Calendar'!$N$2277&lt;=MAX(DATE(Summary!$C$12,12,31),Summary!$C$15))*('Dvd Calendar'!$N$2277&gt;Summary!$C$11)=0,"",'Dvd Calendar'!$N$2277*1000000000+ISNUMBER('Dvd Calendar'!$N$2278)*100000000+('Dvd Calendar'!$N$2282='Field Check'!$C$25)*10000000+(N('Dvd Calendar'!$N$2276)&gt;0)*1000000+11*1000+50))</f>
        <v/>
      </c>
      <c r="BA167" s="41">
        <f>IF(N('Dvd Calendar'!$O$2277)=0,"",IF(('Dvd Calendar'!$O$2277&gt;=MIN(DATE(Summary!$C$12,1,1),Summary!$C$11))*('Dvd Calendar'!$O$2277&lt;=MAX(DATE(Summary!$C$12,12,31),Summary!$C$15))*('Dvd Calendar'!$O$2277&gt;Summary!$C$11)=0,"",'Dvd Calendar'!$O$2277*1000000000+ISNUMBER('Dvd Calendar'!$O$2278)*100000000+('Dvd Calendar'!$O$2282='Field Check'!$C$25)*10000000+(N('Dvd Calendar'!$O$2276)&gt;0)*1000000+11*1000+51))</f>
        <v/>
      </c>
      <c r="BB167" s="41">
        <f>IF(N('Dvd Calendar'!$P$2277)=0,"",IF(('Dvd Calendar'!$P$2277&gt;=MIN(DATE(Summary!$C$12,1,1),Summary!$C$11))*('Dvd Calendar'!$P$2277&lt;=MAX(DATE(Summary!$C$12,12,31),Summary!$C$15))*('Dvd Calendar'!$P$2277&gt;Summary!$C$11)=0,"",'Dvd Calendar'!$P$2277*1000000000+ISNUMBER('Dvd Calendar'!$P$2278)*100000000+('Dvd Calendar'!$P$2282='Field Check'!$C$25)*10000000+(N('Dvd Calendar'!$P$2276)&gt;0)*1000000+11*1000+52))</f>
        <v/>
      </c>
      <c r="BC167" s="41">
        <f>IF(N('Dvd Calendar'!$Q$2277)=0,"",IF(('Dvd Calendar'!$Q$2277&gt;=MIN(DATE(Summary!$C$12,1,1),Summary!$C$11))*('Dvd Calendar'!$Q$2277&lt;=MAX(DATE(Summary!$C$12,12,31),Summary!$C$15))*('Dvd Calendar'!$Q$2277&gt;Summary!$C$11)=0,"",'Dvd Calendar'!$Q$2277*1000000000+ISNUMBER('Dvd Calendar'!$Q$2278)*100000000+('Dvd Calendar'!$Q$2282='Field Check'!$C$25)*10000000+(N('Dvd Calendar'!$Q$2276)&gt;0)*1000000+11*1000+53))</f>
        <v/>
      </c>
      <c r="BD167" s="41">
        <f>IF(N('Dvd Calendar'!$R$2277)=0,"",IF(('Dvd Calendar'!$R$2277&gt;=MIN(DATE(Summary!$C$12,1,1),Summary!$C$11))*('Dvd Calendar'!$R$2277&lt;=MAX(DATE(Summary!$C$12,12,31),Summary!$C$15))*('Dvd Calendar'!$R$2277&gt;Summary!$C$11)=0,"",'Dvd Calendar'!$R$2277*1000000000+ISNUMBER('Dvd Calendar'!$R$2278)*100000000+('Dvd Calendar'!$R$2282='Field Check'!$C$25)*10000000+(N('Dvd Calendar'!$R$2276)&gt;0)*1000000+11*1000+54))</f>
        <v/>
      </c>
      <c r="BE167" s="41">
        <f>IF(N('Dvd Calendar'!$S$2277)=0,"",IF(('Dvd Calendar'!$S$2277&gt;=MIN(DATE(Summary!$C$12,1,1),Summary!$C$11))*('Dvd Calendar'!$S$2277&lt;=MAX(DATE(Summary!$C$12,12,31),Summary!$C$15))*('Dvd Calendar'!$S$2277&gt;Summary!$C$11)=0,"",'Dvd Calendar'!$S$2277*1000000000+ISNUMBER('Dvd Calendar'!$S$2278)*100000000+('Dvd Calendar'!$S$2282='Field Check'!$C$25)*10000000+(N('Dvd Calendar'!$S$2276)&gt;0)*1000000+11*1000+55))</f>
        <v/>
      </c>
      <c r="BF167" s="41">
        <f>IF(N('Dvd Calendar'!$T$2277)=0,"",IF(('Dvd Calendar'!$T$2277&gt;=MIN(DATE(Summary!$C$12,1,1),Summary!$C$11))*('Dvd Calendar'!$T$2277&lt;=MAX(DATE(Summary!$C$12,12,31),Summary!$C$15))*('Dvd Calendar'!$T$2277&gt;Summary!$C$11)=0,"",'Dvd Calendar'!$T$2277*1000000000+ISNUMBER('Dvd Calendar'!$T$2278)*100000000+('Dvd Calendar'!$T$2282='Field Check'!$C$25)*10000000+(N('Dvd Calendar'!$T$2276)&gt;0)*1000000+11*1000+56))</f>
        <v/>
      </c>
      <c r="BG167" s="41">
        <f>IF(N('Dvd Calendar'!$U$2277)=0,"",IF(('Dvd Calendar'!$U$2277&gt;=MIN(DATE(Summary!$C$12,1,1),Summary!$C$11))*('Dvd Calendar'!$U$2277&lt;=MAX(DATE(Summary!$C$12,12,31),Summary!$C$15))*('Dvd Calendar'!$U$2277&gt;Summary!$C$11)=0,"",'Dvd Calendar'!$U$2277*1000000000+ISNUMBER('Dvd Calendar'!$U$2278)*100000000+('Dvd Calendar'!$U$2282='Field Check'!$C$25)*10000000+(N('Dvd Calendar'!$U$2276)&gt;0)*1000000+11*1000+57))</f>
        <v/>
      </c>
      <c r="BH167" s="41">
        <f>IF(N('Dvd Calendar'!$V$2277)=0,"",IF(('Dvd Calendar'!$V$2277&gt;=MIN(DATE(Summary!$C$12,1,1),Summary!$C$11))*('Dvd Calendar'!$V$2277&lt;=MAX(DATE(Summary!$C$12,12,31),Summary!$C$15))*('Dvd Calendar'!$V$2277&gt;Summary!$C$11)=0,"",'Dvd Calendar'!$V$2277*1000000000+ISNUMBER('Dvd Calendar'!$V$2278)*100000000+('Dvd Calendar'!$V$2282='Field Check'!$C$25)*10000000+(N('Dvd Calendar'!$V$2276)&gt;0)*1000000+11*1000+58))</f>
        <v/>
      </c>
      <c r="BI167" s="41">
        <f>IF(N('Dvd Calendar'!$W$2277)=0,"",IF(('Dvd Calendar'!$W$2277&gt;=MIN(DATE(Summary!$C$12,1,1),Summary!$C$11))*('Dvd Calendar'!$W$2277&lt;=MAX(DATE(Summary!$C$12,12,31),Summary!$C$15))*('Dvd Calendar'!$W$2277&gt;Summary!$C$11)=0,"",'Dvd Calendar'!$W$2277*1000000000+ISNUMBER('Dvd Calendar'!$W$2278)*100000000+('Dvd Calendar'!$W$2282='Field Check'!$C$25)*10000000+(N('Dvd Calendar'!$W$2276)&gt;0)*1000000+11*1000+59))</f>
        <v/>
      </c>
      <c r="BJ167" s="41">
        <f>IF(N('Dvd Calendar'!$X$2277)=0,"",IF(('Dvd Calendar'!$X$2277&gt;=MIN(DATE(Summary!$C$12,1,1),Summary!$C$11))*('Dvd Calendar'!$X$2277&lt;=MAX(DATE(Summary!$C$12,12,31),Summary!$C$15))*('Dvd Calendar'!$X$2277&gt;Summary!$C$11)=0,"",'Dvd Calendar'!$X$2277*1000000000+ISNUMBER('Dvd Calendar'!$X$2278)*100000000+('Dvd Calendar'!$X$2282='Field Check'!$C$25)*10000000+(N('Dvd Calendar'!$X$2276)&gt;0)*1000000+11*1000+60))</f>
        <v/>
      </c>
      <c r="BK167" s="41">
        <f>IF(N('Dvd Calendar'!$Y$2277)=0,"",IF(('Dvd Calendar'!$Y$2277&gt;=MIN(DATE(Summary!$C$12,1,1),Summary!$C$11))*('Dvd Calendar'!$Y$2277&lt;=MAX(DATE(Summary!$C$12,12,31),Summary!$C$15))*('Dvd Calendar'!$Y$2277&gt;Summary!$C$11)=0,"",'Dvd Calendar'!$Y$2277*1000000000+ISNUMBER('Dvd Calendar'!$Y$2278)*100000000+('Dvd Calendar'!$Y$2282='Field Check'!$C$25)*10000000+(N('Dvd Calendar'!$Y$2276)&gt;0)*1000000+11*1000+61))</f>
        <v/>
      </c>
      <c r="BL167" s="41">
        <f>IF(N('Dvd Calendar'!$Z$2277)=0,"",IF(('Dvd Calendar'!$Z$2277&gt;=MIN(DATE(Summary!$C$12,1,1),Summary!$C$11))*('Dvd Calendar'!$Z$2277&lt;=MAX(DATE(Summary!$C$12,12,31),Summary!$C$15))*('Dvd Calendar'!$Z$2277&gt;Summary!$C$11)=0,"",'Dvd Calendar'!$Z$2277*1000000000+ISNUMBER('Dvd Calendar'!$Z$2278)*100000000+('Dvd Calendar'!$Z$2282='Field Check'!$C$25)*10000000+(N('Dvd Calendar'!$Z$2276)&gt;0)*1000000+11*1000+62))</f>
        <v/>
      </c>
      <c r="BM167" s="41">
        <f>IF(N('Dvd Calendar'!$AA$2277)=0,"",IF(('Dvd Calendar'!$AA$2277&gt;=MIN(DATE(Summary!$C$12,1,1),Summary!$C$11))*('Dvd Calendar'!$AA$2277&lt;=MAX(DATE(Summary!$C$12,12,31),Summary!$C$15))*('Dvd Calendar'!$AA$2277&gt;Summary!$C$11)=0,"",'Dvd Calendar'!$AA$2277*1000000000+ISNUMBER('Dvd Calendar'!$AA$2278)*100000000+('Dvd Calendar'!$AA$2282='Field Check'!$C$25)*10000000+(N('Dvd Calendar'!$AA$2276)&gt;0)*1000000+11*1000+63))</f>
        <v/>
      </c>
      <c r="BN167" s="41">
        <f>IF(N('Dvd Calendar'!$AB$2277)=0,"",IF(('Dvd Calendar'!$AB$2277&gt;=MIN(DATE(Summary!$C$12,1,1),Summary!$C$11))*('Dvd Calendar'!$AB$2277&lt;=MAX(DATE(Summary!$C$12,12,31),Summary!$C$15))*('Dvd Calendar'!$AB$2277&gt;Summary!$C$11)=0,"",'Dvd Calendar'!$AB$2277*1000000000+ISNUMBER('Dvd Calendar'!$AB$2278)*100000000+('Dvd Calendar'!$AB$2282='Field Check'!$C$25)*10000000+(N('Dvd Calendar'!$AB$2276)&gt;0)*1000000+11*1000+64))</f>
        <v/>
      </c>
      <c r="BO167" s="41">
        <f>IF(N('Dvd Calendar'!$AC$2277)=0,"",IF(('Dvd Calendar'!$AC$2277&gt;=MIN(DATE(Summary!$C$12,1,1),Summary!$C$11))*('Dvd Calendar'!$AC$2277&lt;=MAX(DATE(Summary!$C$12,12,31),Summary!$C$15))*('Dvd Calendar'!$AC$2277&gt;Summary!$C$11)=0,"",'Dvd Calendar'!$AC$2277*1000000000+ISNUMBER('Dvd Calendar'!$AC$2278)*100000000+('Dvd Calendar'!$AC$2282='Field Check'!$C$25)*10000000+(N('Dvd Calendar'!$AC$2276)&gt;0)*1000000+11*1000+65))</f>
        <v/>
      </c>
      <c r="BQ167" s="85">
        <f>IF(C167="","",IF(ISNUMBER('Dvd Calendar'!$E$2271)=FALSE,"",IF((Summary!$C$13="N")*('Dvd Calendar'!$E$2275='Field Check'!$C$25)&gt;0,"",'Dvd Calendar'!$E$2271)))</f>
        <v/>
      </c>
      <c r="BR167" s="85">
        <f>IF(D167="","",IF(ISNUMBER('Dvd Calendar'!$F$2271)=FALSE,"",IF((Summary!$C$13="N")*('Dvd Calendar'!$F$2275='Field Check'!$C$25)&gt;0,"",'Dvd Calendar'!$F$2271)))</f>
        <v/>
      </c>
      <c r="BS167" s="85">
        <f>IF(E167="","",IF(ISNUMBER('Dvd Calendar'!$G$2271)=FALSE,"",IF((Summary!$C$13="N")*('Dvd Calendar'!$G$2275='Field Check'!$C$25)&gt;0,"",'Dvd Calendar'!$G$2271)))</f>
        <v/>
      </c>
      <c r="BT167" s="85">
        <f>IF(F167="","",IF(ISNUMBER('Dvd Calendar'!$H$2271)=FALSE,"",IF((Summary!$C$13="N")*('Dvd Calendar'!$H$2275='Field Check'!$C$25)&gt;0,"",'Dvd Calendar'!$H$2271)))</f>
        <v/>
      </c>
      <c r="BU167" s="85">
        <f>IF(G167="","",IF(ISNUMBER('Dvd Calendar'!$I$2271)=FALSE,"",IF((Summary!$C$13="N")*('Dvd Calendar'!$I$2275='Field Check'!$C$25)&gt;0,"",'Dvd Calendar'!$I$2271)))</f>
        <v/>
      </c>
      <c r="BV167" s="85">
        <f>IF(H167="","",IF(ISNUMBER('Dvd Calendar'!$J$2271)=FALSE,"",IF((Summary!$C$13="N")*('Dvd Calendar'!$J$2275='Field Check'!$C$25)&gt;0,"",'Dvd Calendar'!$J$2271)))</f>
        <v/>
      </c>
      <c r="BW167" s="85">
        <f>IF(I167="","",IF(ISNUMBER('Dvd Calendar'!$K$2271)=FALSE,"",IF((Summary!$C$13="N")*('Dvd Calendar'!$K$2275='Field Check'!$C$25)&gt;0,"",'Dvd Calendar'!$K$2271)))</f>
        <v/>
      </c>
      <c r="BX167" s="85">
        <f>IF(J167="","",IF(ISNUMBER('Dvd Calendar'!$L$2271)=FALSE,"",IF((Summary!$C$13="N")*('Dvd Calendar'!$L$2275='Field Check'!$C$25)&gt;0,"",'Dvd Calendar'!$L$2271)))</f>
        <v/>
      </c>
      <c r="BY167" s="85">
        <f>IF(K167="","",IF(ISNUMBER('Dvd Calendar'!$M$2271)=FALSE,"",IF((Summary!$C$13="N")*('Dvd Calendar'!$M$2275='Field Check'!$C$25)&gt;0,"",'Dvd Calendar'!$M$2271)))</f>
        <v/>
      </c>
      <c r="BZ167" s="85">
        <f>IF(L167="","",IF(ISNUMBER('Dvd Calendar'!$N$2271)=FALSE,"",IF((Summary!$C$13="N")*('Dvd Calendar'!$N$2275='Field Check'!$C$25)&gt;0,"",'Dvd Calendar'!$N$2271)))</f>
        <v/>
      </c>
      <c r="CA167" s="85">
        <f>IF(M167="","",IF(ISNUMBER('Dvd Calendar'!$O$2271)=FALSE,"",IF((Summary!$C$13="N")*('Dvd Calendar'!$O$2275='Field Check'!$C$25)&gt;0,"",'Dvd Calendar'!$O$2271)))</f>
        <v/>
      </c>
      <c r="CB167" s="85">
        <f>IF(N167="","",IF(ISNUMBER('Dvd Calendar'!$P$2271)=FALSE,"",IF((Summary!$C$13="N")*('Dvd Calendar'!$P$2275='Field Check'!$C$25)&gt;0,"",'Dvd Calendar'!$P$2271)))</f>
        <v/>
      </c>
      <c r="CC167" s="85">
        <f>IF(O167="","",IF(ISNUMBER('Dvd Calendar'!$Q$2271)=FALSE,"",IF((Summary!$C$13="N")*('Dvd Calendar'!$Q$2275='Field Check'!$C$25)&gt;0,"",'Dvd Calendar'!$Q$2271)))</f>
        <v/>
      </c>
      <c r="CD167" s="85">
        <f>IF(P167="","",IF(ISNUMBER('Dvd Calendar'!$R$2271)=FALSE,"",IF((Summary!$C$13="N")*('Dvd Calendar'!$R$2275='Field Check'!$C$25)&gt;0,"",'Dvd Calendar'!$R$2271)))</f>
        <v/>
      </c>
      <c r="CE167" s="85">
        <f>IF(Q167="","",IF(ISNUMBER('Dvd Calendar'!$S$2271)=FALSE,"",IF((Summary!$C$13="N")*('Dvd Calendar'!$S$2275='Field Check'!$C$25)&gt;0,"",'Dvd Calendar'!$S$2271)))</f>
        <v/>
      </c>
      <c r="CF167" s="85">
        <f>IF(R167="","",IF(ISNUMBER('Dvd Calendar'!$T$2271)=FALSE,"",IF((Summary!$C$13="N")*('Dvd Calendar'!$T$2275='Field Check'!$C$25)&gt;0,"",'Dvd Calendar'!$T$2271)))</f>
        <v/>
      </c>
      <c r="CG167" s="85">
        <f>IF(S167="","",IF(ISNUMBER('Dvd Calendar'!$U$2271)=FALSE,"",IF((Summary!$C$13="N")*('Dvd Calendar'!$U$2275='Field Check'!$C$25)&gt;0,"",'Dvd Calendar'!$U$2271)))</f>
        <v/>
      </c>
      <c r="CH167" s="85">
        <f>IF(T167="","",IF(ISNUMBER('Dvd Calendar'!$V$2271)=FALSE,"",IF((Summary!$C$13="N")*('Dvd Calendar'!$V$2275='Field Check'!$C$25)&gt;0,"",'Dvd Calendar'!$V$2271)))</f>
        <v/>
      </c>
      <c r="CI167" s="85">
        <f>IF(U167="","",IF(ISNUMBER('Dvd Calendar'!$W$2271)=FALSE,"",IF((Summary!$C$13="N")*('Dvd Calendar'!$W$2275='Field Check'!$C$25)&gt;0,"",'Dvd Calendar'!$W$2271)))</f>
        <v/>
      </c>
      <c r="CJ167" s="85">
        <f>IF(V167="","",IF(ISNUMBER('Dvd Calendar'!$X$2271)=FALSE,"",IF((Summary!$C$13="N")*('Dvd Calendar'!$X$2275='Field Check'!$C$25)&gt;0,"",'Dvd Calendar'!$X$2271)))</f>
        <v/>
      </c>
      <c r="CK167" s="85">
        <f>IF(W167="","",IF(ISNUMBER('Dvd Calendar'!$Y$2271)=FALSE,"",IF((Summary!$C$13="N")*('Dvd Calendar'!$Y$2275='Field Check'!$C$25)&gt;0,"",'Dvd Calendar'!$Y$2271)))</f>
        <v/>
      </c>
      <c r="CL167" s="85">
        <f>IF(X167="","",IF(ISNUMBER('Dvd Calendar'!$Z$2271)=FALSE,"",IF((Summary!$C$13="N")*('Dvd Calendar'!$Z$2275='Field Check'!$C$25)&gt;0,"",'Dvd Calendar'!$Z$2271)))</f>
        <v/>
      </c>
      <c r="CM167" s="85">
        <f>IF(Y167="","",IF(ISNUMBER('Dvd Calendar'!$AA$2271)=FALSE,"",IF((Summary!$C$13="N")*('Dvd Calendar'!$AA$2275='Field Check'!$C$25)&gt;0,"",'Dvd Calendar'!$AA$2271)))</f>
        <v/>
      </c>
      <c r="CN167" s="85">
        <f>IF(Z167="","",IF(ISNUMBER('Dvd Calendar'!$AB$2271)=FALSE,"",IF((Summary!$C$13="N")*('Dvd Calendar'!$AB$2275='Field Check'!$C$25)&gt;0,"",'Dvd Calendar'!$AB$2271)))</f>
        <v/>
      </c>
      <c r="CO167" s="85">
        <f>IF(AA167="","",IF(ISNUMBER('Dvd Calendar'!$AC$2271)=FALSE,"",IF((Summary!$C$13="N")*('Dvd Calendar'!$AC$2275='Field Check'!$C$25)&gt;0,"",'Dvd Calendar'!$AC$2271)))</f>
        <v/>
      </c>
      <c r="CP167" s="85">
        <f>IF(AB167="","",IF(ISNUMBER('Dvd Calendar'!$AD$2271)=FALSE,"",IF((Summary!$C$13="N")*('Dvd Calendar'!$AD$2275='Field Check'!$C$25)&gt;0,"",'Dvd Calendar'!$AD$2271)))</f>
        <v/>
      </c>
      <c r="CQ167" s="85">
        <f>IF(AC167="","",IF(ISNUMBER('Dvd Calendar'!$AE$2271)=FALSE,"",IF((Summary!$C$13="N")*('Dvd Calendar'!$AE$2275='Field Check'!$C$25)&gt;0,"",'Dvd Calendar'!$AE$2271)))</f>
        <v/>
      </c>
      <c r="CR167" s="85">
        <f>IF(AD167="","",IF(ISNUMBER('Dvd Calendar'!$AF$2271)=FALSE,"",IF((Summary!$C$13="N")*('Dvd Calendar'!$AF$2275='Field Check'!$C$25)&gt;0,"",'Dvd Calendar'!$AF$2271)))</f>
        <v/>
      </c>
      <c r="CS167" s="85">
        <f>IF(AE167="","",IF(ISNUMBER('Dvd Calendar'!$AG$2271)=FALSE,"",IF((Summary!$C$13="N")*('Dvd Calendar'!$AG$2275='Field Check'!$C$25)&gt;0,"",'Dvd Calendar'!$AG$2271)))</f>
        <v/>
      </c>
      <c r="CT167" s="85">
        <f>IF(AF167="","",IF(ISNUMBER('Dvd Calendar'!$AH$2271)=FALSE,"",IF((Summary!$C$13="N")*('Dvd Calendar'!$AH$2275='Field Check'!$C$25)&gt;0,"",'Dvd Calendar'!$AH$2271)))</f>
        <v/>
      </c>
      <c r="CU167" s="85">
        <f>IF(AG167="","",IF(ISNUMBER('Dvd Calendar'!$AI$2271)=FALSE,"",IF((Summary!$C$13="N")*('Dvd Calendar'!$AI$2275='Field Check'!$C$25)&gt;0,"",'Dvd Calendar'!$AI$2271)))</f>
        <v/>
      </c>
      <c r="CV167" s="85">
        <f>IF(AH167="","",IF(ISNUMBER('Dvd Calendar'!$AJ$2271)=FALSE,"",IF((Summary!$C$13="N")*('Dvd Calendar'!$AJ$2275='Field Check'!$C$25)&gt;0,"",'Dvd Calendar'!$AJ$2271)))</f>
        <v/>
      </c>
      <c r="CW167" s="85">
        <f>IF(AI167="","",IF(ISNUMBER('Dvd Calendar'!$AK$2271)=FALSE,"",IF((Summary!$C$13="N")*('Dvd Calendar'!$AK$2275='Field Check'!$C$25)&gt;0,"",'Dvd Calendar'!$AK$2271)))</f>
        <v/>
      </c>
      <c r="CX167" s="85">
        <f>IF(AJ167="","",IF(ISNUMBER('Dvd Calendar'!$AL$2271)=FALSE,"",IF((Summary!$C$13="N")*('Dvd Calendar'!$AL$2275='Field Check'!$C$25)&gt;0,"",'Dvd Calendar'!$AL$2271)))</f>
        <v/>
      </c>
      <c r="CY167" s="85">
        <f>IF(AK167="","",IF(ISNUMBER('Dvd Calendar'!$AM$2271)=FALSE,"",IF((Summary!$C$13="N")*('Dvd Calendar'!$AM$2275='Field Check'!$C$25)&gt;0,"",'Dvd Calendar'!$AM$2271)))</f>
        <v/>
      </c>
      <c r="CZ167" s="85">
        <f>IF(AL167="","",IF(ISNUMBER('Dvd Calendar'!$AN$2271)=FALSE,"",IF((Summary!$C$13="N")*('Dvd Calendar'!$AN$2275='Field Check'!$C$25)&gt;0,"",'Dvd Calendar'!$AN$2271)))</f>
        <v/>
      </c>
      <c r="DA167" s="85">
        <f>IF(AM167="","",IF(ISNUMBER('Dvd Calendar'!$AO$2271)=FALSE,"",IF((Summary!$C$13="N")*('Dvd Calendar'!$AO$2275='Field Check'!$C$25)&gt;0,"",'Dvd Calendar'!$AO$2271)))</f>
        <v/>
      </c>
      <c r="DB167" s="85">
        <f>IF(AN167="","",IF(ISNUMBER('Dvd Calendar'!$AP$2271)=FALSE,"",IF((Summary!$C$13="N")*('Dvd Calendar'!$AP$2275='Field Check'!$C$25)&gt;0,"",'Dvd Calendar'!$AP$2271)))</f>
        <v/>
      </c>
      <c r="DC167" s="85">
        <f>IF(AO167="","",IF(ISNUMBER('Dvd Calendar'!$AQ$2271)=FALSE,"",IF((Summary!$C$13="N")*('Dvd Calendar'!$AQ$2275='Field Check'!$C$25)&gt;0,"",'Dvd Calendar'!$AQ$2271)))</f>
        <v/>
      </c>
      <c r="DD167" s="85">
        <f>IF(AP167="","",IF(ISNUMBER('Dvd Calendar'!$AR$2271)=FALSE,"",IF((Summary!$C$13="N")*('Dvd Calendar'!$AR$2275='Field Check'!$C$25)&gt;0,"",'Dvd Calendar'!$AR$2271)))</f>
        <v/>
      </c>
      <c r="DE167" s="85">
        <f>IF(AQ167="","",IF(ISNUMBER('Dvd Calendar'!$E$2278)=FALSE,"",IF((Summary!$C$13="N")*('Dvd Calendar'!$E$2282='Field Check'!$C$25)&gt;0,"",'Dvd Calendar'!$E$2278)))</f>
        <v/>
      </c>
      <c r="DF167" s="85">
        <f>IF(AR167="","",IF(ISNUMBER('Dvd Calendar'!$F$2278)=FALSE,"",IF((Summary!$C$13="N")*('Dvd Calendar'!$F$2282='Field Check'!$C$25)&gt;0,"",'Dvd Calendar'!$F$2278)))</f>
        <v/>
      </c>
      <c r="DG167" s="85">
        <f>IF(AS167="","",IF(ISNUMBER('Dvd Calendar'!$G$2278)=FALSE,"",IF((Summary!$C$13="N")*('Dvd Calendar'!$G$2282='Field Check'!$C$25)&gt;0,"",'Dvd Calendar'!$G$2278)))</f>
        <v/>
      </c>
      <c r="DH167" s="85">
        <f>IF(AT167="","",IF(ISNUMBER('Dvd Calendar'!$H$2278)=FALSE,"",IF((Summary!$C$13="N")*('Dvd Calendar'!$H$2282='Field Check'!$C$25)&gt;0,"",'Dvd Calendar'!$H$2278)))</f>
        <v/>
      </c>
      <c r="DI167" s="85">
        <f>IF(AU167="","",IF(ISNUMBER('Dvd Calendar'!$I$2278)=FALSE,"",IF((Summary!$C$13="N")*('Dvd Calendar'!$I$2282='Field Check'!$C$25)&gt;0,"",'Dvd Calendar'!$I$2278)))</f>
        <v/>
      </c>
      <c r="DJ167" s="85">
        <f>IF(AV167="","",IF(ISNUMBER('Dvd Calendar'!$J$2278)=FALSE,"",IF((Summary!$C$13="N")*('Dvd Calendar'!$J$2282='Field Check'!$C$25)&gt;0,"",'Dvd Calendar'!$J$2278)))</f>
        <v/>
      </c>
      <c r="DK167" s="85">
        <f>IF(AW167="","",IF(ISNUMBER('Dvd Calendar'!$K$2278)=FALSE,"",IF((Summary!$C$13="N")*('Dvd Calendar'!$K$2282='Field Check'!$C$25)&gt;0,"",'Dvd Calendar'!$K$2278)))</f>
        <v/>
      </c>
      <c r="DL167" s="85">
        <f>IF(AX167="","",IF(ISNUMBER('Dvd Calendar'!$L$2278)=FALSE,"",IF((Summary!$C$13="N")*('Dvd Calendar'!$L$2282='Field Check'!$C$25)&gt;0,"",'Dvd Calendar'!$L$2278)))</f>
        <v/>
      </c>
      <c r="DM167" s="85">
        <f>IF(AY167="","",IF(ISNUMBER('Dvd Calendar'!$M$2278)=FALSE,"",IF((Summary!$C$13="N")*('Dvd Calendar'!$M$2282='Field Check'!$C$25)&gt;0,"",'Dvd Calendar'!$M$2278)))</f>
        <v/>
      </c>
      <c r="DN167" s="85">
        <f>IF(AZ167="","",IF(ISNUMBER('Dvd Calendar'!$N$2278)=FALSE,"",IF((Summary!$C$13="N")*('Dvd Calendar'!$N$2282='Field Check'!$C$25)&gt;0,"",'Dvd Calendar'!$N$2278)))</f>
        <v/>
      </c>
      <c r="DO167" s="85">
        <f>IF(BA167="","",IF(ISNUMBER('Dvd Calendar'!$O$2278)=FALSE,"",IF((Summary!$C$13="N")*('Dvd Calendar'!$O$2282='Field Check'!$C$25)&gt;0,"",'Dvd Calendar'!$O$2278)))</f>
        <v/>
      </c>
      <c r="DP167" s="85">
        <f>IF(BB167="","",IF(ISNUMBER('Dvd Calendar'!$P$2278)=FALSE,"",IF((Summary!$C$13="N")*('Dvd Calendar'!$P$2282='Field Check'!$C$25)&gt;0,"",'Dvd Calendar'!$P$2278)))</f>
        <v/>
      </c>
      <c r="DQ167" s="85">
        <f>IF(BC167="","",IF(ISNUMBER('Dvd Calendar'!$Q$2278)=FALSE,"",IF((Summary!$C$13="N")*('Dvd Calendar'!$Q$2282='Field Check'!$C$25)&gt;0,"",'Dvd Calendar'!$Q$2278)))</f>
        <v/>
      </c>
      <c r="DR167" s="85">
        <f>IF(BD167="","",IF(ISNUMBER('Dvd Calendar'!$R$2278)=FALSE,"",IF((Summary!$C$13="N")*('Dvd Calendar'!$R$2282='Field Check'!$C$25)&gt;0,"",'Dvd Calendar'!$R$2278)))</f>
        <v/>
      </c>
      <c r="DS167" s="85">
        <f>IF(BE167="","",IF(ISNUMBER('Dvd Calendar'!$S$2278)=FALSE,"",IF((Summary!$C$13="N")*('Dvd Calendar'!$S$2282='Field Check'!$C$25)&gt;0,"",'Dvd Calendar'!$S$2278)))</f>
        <v/>
      </c>
      <c r="DT167" s="85">
        <f>IF(BF167="","",IF(ISNUMBER('Dvd Calendar'!$T$2278)=FALSE,"",IF((Summary!$C$13="N")*('Dvd Calendar'!$T$2282='Field Check'!$C$25)&gt;0,"",'Dvd Calendar'!$T$2278)))</f>
        <v/>
      </c>
      <c r="DU167" s="85">
        <f>IF(BG167="","",IF(ISNUMBER('Dvd Calendar'!$U$2278)=FALSE,"",IF((Summary!$C$13="N")*('Dvd Calendar'!$U$2282='Field Check'!$C$25)&gt;0,"",'Dvd Calendar'!$U$2278)))</f>
        <v/>
      </c>
      <c r="DV167" s="85">
        <f>IF(BH167="","",IF(ISNUMBER('Dvd Calendar'!$V$2278)=FALSE,"",IF((Summary!$C$13="N")*('Dvd Calendar'!$V$2282='Field Check'!$C$25)&gt;0,"",'Dvd Calendar'!$V$2278)))</f>
        <v/>
      </c>
      <c r="DW167" s="85">
        <f>IF(BI167="","",IF(ISNUMBER('Dvd Calendar'!$W$2278)=FALSE,"",IF((Summary!$C$13="N")*('Dvd Calendar'!$W$2282='Field Check'!$C$25)&gt;0,"",'Dvd Calendar'!$W$2278)))</f>
        <v/>
      </c>
      <c r="DX167" s="85">
        <f>IF(BJ167="","",IF(ISNUMBER('Dvd Calendar'!$X$2278)=FALSE,"",IF((Summary!$C$13="N")*('Dvd Calendar'!$X$2282='Field Check'!$C$25)&gt;0,"",'Dvd Calendar'!$X$2278)))</f>
        <v/>
      </c>
      <c r="DY167" s="85">
        <f>IF(BK167="","",IF(ISNUMBER('Dvd Calendar'!$Y$2278)=FALSE,"",IF((Summary!$C$13="N")*('Dvd Calendar'!$Y$2282='Field Check'!$C$25)&gt;0,"",'Dvd Calendar'!$Y$2278)))</f>
        <v/>
      </c>
      <c r="DZ167" s="85">
        <f>IF(BL167="","",IF(ISNUMBER('Dvd Calendar'!$Z$2278)=FALSE,"",IF((Summary!$C$13="N")*('Dvd Calendar'!$Z$2282='Field Check'!$C$25)&gt;0,"",'Dvd Calendar'!$Z$2278)))</f>
        <v/>
      </c>
      <c r="EA167" s="85">
        <f>IF(BM167="","",IF(ISNUMBER('Dvd Calendar'!$AA$2278)=FALSE,"",IF((Summary!$C$13="N")*('Dvd Calendar'!$AA$2282='Field Check'!$C$25)&gt;0,"",'Dvd Calendar'!$AA$2278)))</f>
        <v/>
      </c>
      <c r="EB167" s="85">
        <f>IF(BN167="","",IF(ISNUMBER('Dvd Calendar'!$AB$2278)=FALSE,"",IF((Summary!$C$13="N")*('Dvd Calendar'!$AB$2282='Field Check'!$C$25)&gt;0,"",'Dvd Calendar'!$AB$2278)))</f>
        <v/>
      </c>
      <c r="EC167" s="85">
        <f>IF(BO167="","",IF(ISNUMBER('Dvd Calendar'!$AC$2278)=FALSE,"",IF((Summary!$C$13="N")*('Dvd Calendar'!$AC$2282='Field Check'!$C$25)&gt;0,"",'Dvd Calendar'!$AC$2278)))</f>
        <v/>
      </c>
      <c r="EE167" s="85">
        <f>IF(BQ167="","",IFERROR(BQ167*HSCEI!$B$17*HSCEI!$G$17/HSCEI!$B$3,""))</f>
        <v/>
      </c>
      <c r="EF167" s="85">
        <f>IF(BR167="","",IFERROR(BR167*HSCEI!$B$17*HSCEI!$G$17/HSCEI!$B$3,""))</f>
        <v/>
      </c>
      <c r="EG167" s="85">
        <f>IF(BS167="","",IFERROR(BS167*HSCEI!$B$17*HSCEI!$G$17/HSCEI!$B$3,""))</f>
        <v/>
      </c>
      <c r="EH167" s="85">
        <f>IF(BT167="","",IFERROR(BT167*HSCEI!$B$17*HSCEI!$G$17/HSCEI!$B$3,""))</f>
        <v/>
      </c>
      <c r="EI167" s="85">
        <f>IF(BU167="","",IFERROR(BU167*HSCEI!$B$17*HSCEI!$G$17/HSCEI!$B$3,""))</f>
        <v/>
      </c>
      <c r="EJ167" s="85">
        <f>IF(BV167="","",IFERROR(BV167*HSCEI!$B$17*HSCEI!$G$17/HSCEI!$B$3,""))</f>
        <v/>
      </c>
      <c r="EK167" s="85">
        <f>IF(BW167="","",IFERROR(BW167*HSCEI!$B$17*HSCEI!$G$17/HSCEI!$B$3,""))</f>
        <v/>
      </c>
      <c r="EL167" s="85">
        <f>IF(BX167="","",IFERROR(BX167*HSCEI!$B$17*HSCEI!$G$17/HSCEI!$B$3,""))</f>
        <v/>
      </c>
      <c r="EM167" s="85">
        <f>IF(BY167="","",IFERROR(BY167*HSCEI!$B$17*HSCEI!$G$17/HSCEI!$B$3,""))</f>
        <v/>
      </c>
      <c r="EN167" s="85">
        <f>IF(BZ167="","",IFERROR(BZ167*HSCEI!$B$17*HSCEI!$G$17/HSCEI!$B$3,""))</f>
        <v/>
      </c>
      <c r="EO167" s="85">
        <f>IF(CA167="","",IFERROR(CA167*HSCEI!$B$17*HSCEI!$G$17/HSCEI!$B$3,""))</f>
        <v/>
      </c>
      <c r="EP167" s="85">
        <f>IF(CB167="","",IFERROR(CB167*HSCEI!$B$17*HSCEI!$G$17/HSCEI!$B$3,""))</f>
        <v/>
      </c>
      <c r="EQ167" s="85">
        <f>IF(CC167="","",IFERROR(CC167*HSCEI!$B$17*HSCEI!$G$17/HSCEI!$B$3,""))</f>
        <v/>
      </c>
      <c r="ER167" s="85">
        <f>IF(CD167="","",IFERROR(CD167*HSCEI!$B$17*HSCEI!$G$17/HSCEI!$B$3,""))</f>
        <v/>
      </c>
      <c r="ES167" s="85">
        <f>IF(CE167="","",IFERROR(CE167*HSCEI!$B$17*HSCEI!$G$17/HSCEI!$B$3,""))</f>
        <v/>
      </c>
      <c r="ET167" s="85">
        <f>IF(CF167="","",IFERROR(CF167*HSCEI!$B$17*HSCEI!$G$17/HSCEI!$B$3,""))</f>
        <v/>
      </c>
      <c r="EU167" s="85">
        <f>IF(CG167="","",IFERROR(CG167*HSCEI!$B$17*HSCEI!$G$17/HSCEI!$B$3,""))</f>
        <v/>
      </c>
      <c r="EV167" s="85">
        <f>IF(CH167="","",IFERROR(CH167*HSCEI!$B$17*HSCEI!$G$17/HSCEI!$B$3,""))</f>
        <v/>
      </c>
      <c r="EW167" s="85">
        <f>IF(CI167="","",IFERROR(CI167*HSCEI!$B$17*HSCEI!$G$17/HSCEI!$B$3,""))</f>
        <v/>
      </c>
      <c r="EX167" s="85">
        <f>IF(CJ167="","",IFERROR(CJ167*HSCEI!$B$17*HSCEI!$G$17/HSCEI!$B$3,""))</f>
        <v/>
      </c>
      <c r="EY167" s="85">
        <f>IF(CK167="","",IFERROR(CK167*HSCEI!$B$17*HSCEI!$G$17/HSCEI!$B$3,""))</f>
        <v/>
      </c>
      <c r="EZ167" s="85">
        <f>IF(CL167="","",IFERROR(CL167*HSCEI!$B$17*HSCEI!$G$17/HSCEI!$B$3,""))</f>
        <v/>
      </c>
      <c r="FA167" s="85">
        <f>IF(CM167="","",IFERROR(CM167*HSCEI!$B$17*HSCEI!$G$17/HSCEI!$B$3,""))</f>
        <v/>
      </c>
      <c r="FB167" s="85">
        <f>IF(CN167="","",IFERROR(CN167*HSCEI!$B$17*HSCEI!$G$17/HSCEI!$B$3,""))</f>
        <v/>
      </c>
      <c r="FC167" s="85">
        <f>IF(CO167="","",IFERROR(CO167*HSCEI!$B$17*HSCEI!$G$17/HSCEI!$B$3,""))</f>
        <v/>
      </c>
      <c r="FD167" s="85">
        <f>IF(CP167="","",IFERROR(CP167*HSCEI!$B$17*HSCEI!$G$17/HSCEI!$B$3,""))</f>
        <v/>
      </c>
      <c r="FE167" s="85">
        <f>IF(CQ167="","",IFERROR(CQ167*HSCEI!$B$17*HSCEI!$G$17/HSCEI!$B$3,""))</f>
        <v/>
      </c>
      <c r="FF167" s="85">
        <f>IF(CR167="","",IFERROR(CR167*HSCEI!$B$17*HSCEI!$G$17/HSCEI!$B$3,""))</f>
        <v/>
      </c>
      <c r="FG167" s="85">
        <f>IF(CS167="","",IFERROR(CS167*HSCEI!$B$17*HSCEI!$G$17/HSCEI!$B$3,""))</f>
        <v/>
      </c>
      <c r="FH167" s="85">
        <f>IF(CT167="","",IFERROR(CT167*HSCEI!$B$17*HSCEI!$G$17/HSCEI!$B$3,""))</f>
        <v/>
      </c>
      <c r="FI167" s="85">
        <f>IF(CU167="","",IFERROR(CU167*HSCEI!$B$17*HSCEI!$G$17/HSCEI!$B$3,""))</f>
        <v/>
      </c>
      <c r="FJ167" s="85">
        <f>IF(CV167="","",IFERROR(CV167*HSCEI!$B$17*HSCEI!$G$17/HSCEI!$B$3,""))</f>
        <v/>
      </c>
      <c r="FK167" s="85">
        <f>IF(CW167="","",IFERROR(CW167*HSCEI!$B$17*HSCEI!$G$17/HSCEI!$B$3,""))</f>
        <v/>
      </c>
      <c r="FL167" s="85">
        <f>IF(CX167="","",IFERROR(CX167*HSCEI!$B$17*HSCEI!$G$17/HSCEI!$B$3,""))</f>
        <v/>
      </c>
      <c r="FM167" s="85">
        <f>IF(CY167="","",IFERROR(CY167*HSCEI!$B$17*HSCEI!$G$17/HSCEI!$B$3,""))</f>
        <v/>
      </c>
      <c r="FN167" s="85">
        <f>IF(CZ167="","",IFERROR(CZ167*HSCEI!$B$17*HSCEI!$G$17/HSCEI!$B$3,""))</f>
        <v/>
      </c>
      <c r="FO167" s="85">
        <f>IF(DA167="","",IFERROR(DA167*HSCEI!$B$17*HSCEI!$G$17/HSCEI!$B$3,""))</f>
        <v/>
      </c>
      <c r="FP167" s="85">
        <f>IF(DB167="","",IFERROR(DB167*HSCEI!$B$17*HSCEI!$G$17/HSCEI!$B$3,""))</f>
        <v/>
      </c>
      <c r="FQ167" s="85">
        <f>IF(DC167="","",IFERROR(DC167*HSCEI!$B$17*HSCEI!$G$17/HSCEI!$B$3,""))</f>
        <v/>
      </c>
      <c r="FR167" s="85">
        <f>IF(DD167="","",IFERROR(DD167*HSCEI!$B$17*HSCEI!$G$17/HSCEI!$B$3,""))</f>
        <v/>
      </c>
      <c r="FS167" s="85">
        <f>IF(DE167="","",IFERROR(DE167*HSCEI!$B$17*HSCEI!$G$17/HSCEI!$B$3,""))</f>
        <v/>
      </c>
      <c r="FT167" s="85">
        <f>IF(DF167="","",IFERROR(DF167*HSCEI!$B$17*HSCEI!$G$17/HSCEI!$B$3,""))</f>
        <v/>
      </c>
      <c r="FU167" s="85">
        <f>IF(DG167="","",IFERROR(DG167*HSCEI!$B$17*HSCEI!$G$17/HSCEI!$B$3,""))</f>
        <v/>
      </c>
      <c r="FV167" s="85">
        <f>IF(DH167="","",IFERROR(DH167*HSCEI!$B$17*HSCEI!$G$17/HSCEI!$B$3,""))</f>
        <v/>
      </c>
      <c r="FW167" s="85">
        <f>IF(DI167="","",IFERROR(DI167*HSCEI!$B$17*HSCEI!$G$17/HSCEI!$B$3,""))</f>
        <v/>
      </c>
      <c r="FX167" s="85">
        <f>IF(DJ167="","",IFERROR(DJ167*HSCEI!$B$17*HSCEI!$G$17/HSCEI!$B$3,""))</f>
        <v/>
      </c>
      <c r="FY167" s="85">
        <f>IF(DK167="","",IFERROR(DK167*HSCEI!$B$17*HSCEI!$G$17/HSCEI!$B$3,""))</f>
        <v/>
      </c>
      <c r="FZ167" s="85">
        <f>IF(DL167="","",IFERROR(DL167*HSCEI!$B$17*HSCEI!$G$17/HSCEI!$B$3,""))</f>
        <v/>
      </c>
      <c r="GA167" s="85">
        <f>IF(DM167="","",IFERROR(DM167*HSCEI!$B$17*HSCEI!$G$17/HSCEI!$B$3,""))</f>
        <v/>
      </c>
      <c r="GB167" s="85">
        <f>IF(DN167="","",IFERROR(DN167*HSCEI!$B$17*HSCEI!$G$17/HSCEI!$B$3,""))</f>
        <v/>
      </c>
      <c r="GC167" s="85">
        <f>IF(DO167="","",IFERROR(DO167*HSCEI!$B$17*HSCEI!$G$17/HSCEI!$B$3,""))</f>
        <v/>
      </c>
      <c r="GD167" s="85">
        <f>IF(DP167="","",IFERROR(DP167*HSCEI!$B$17*HSCEI!$G$17/HSCEI!$B$3,""))</f>
        <v/>
      </c>
      <c r="GE167" s="85">
        <f>IF(DQ167="","",IFERROR(DQ167*HSCEI!$B$17*HSCEI!$G$17/HSCEI!$B$3,""))</f>
        <v/>
      </c>
      <c r="GF167" s="85">
        <f>IF(DR167="","",IFERROR(DR167*HSCEI!$B$17*HSCEI!$G$17/HSCEI!$B$3,""))</f>
        <v/>
      </c>
      <c r="GG167" s="85">
        <f>IF(DS167="","",IFERROR(DS167*HSCEI!$B$17*HSCEI!$G$17/HSCEI!$B$3,""))</f>
        <v/>
      </c>
      <c r="GH167" s="85">
        <f>IF(DT167="","",IFERROR(DT167*HSCEI!$B$17*HSCEI!$G$17/HSCEI!$B$3,""))</f>
        <v/>
      </c>
      <c r="GI167" s="85">
        <f>IF(DU167="","",IFERROR(DU167*HSCEI!$B$17*HSCEI!$G$17/HSCEI!$B$3,""))</f>
        <v/>
      </c>
      <c r="GJ167" s="85">
        <f>IF(DV167="","",IFERROR(DV167*HSCEI!$B$17*HSCEI!$G$17/HSCEI!$B$3,""))</f>
        <v/>
      </c>
      <c r="GK167" s="85">
        <f>IF(DW167="","",IFERROR(DW167*HSCEI!$B$17*HSCEI!$G$17/HSCEI!$B$3,""))</f>
        <v/>
      </c>
      <c r="GL167" s="85">
        <f>IF(DX167="","",IFERROR(DX167*HSCEI!$B$17*HSCEI!$G$17/HSCEI!$B$3,""))</f>
        <v/>
      </c>
      <c r="GM167" s="85">
        <f>IF(DY167="","",IFERROR(DY167*HSCEI!$B$17*HSCEI!$G$17/HSCEI!$B$3,""))</f>
        <v/>
      </c>
      <c r="GN167" s="85">
        <f>IF(DZ167="","",IFERROR(DZ167*HSCEI!$B$17*HSCEI!$G$17/HSCEI!$B$3,""))</f>
        <v/>
      </c>
      <c r="GO167" s="85">
        <f>IF(EA167="","",IFERROR(EA167*HSCEI!$B$17*HSCEI!$G$17/HSCEI!$B$3,""))</f>
        <v/>
      </c>
      <c r="GP167" s="85">
        <f>IF(EB167="","",IFERROR(EB167*HSCEI!$B$17*HSCEI!$G$17/HSCEI!$B$3,""))</f>
        <v/>
      </c>
      <c r="GQ167" s="85">
        <f>IF(EC167="","",IFERROR(EC167*HSCEI!$B$17*HSCEI!$G$17/HSCEI!$B$3,""))</f>
        <v/>
      </c>
    </row>
    <row r="168">
      <c r="B168" s="2">
        <f>IF(HSCEI!$C$18="","",HSCEI!$C$18)</f>
        <v/>
      </c>
      <c r="C168" s="41">
        <f>IF(N('Dvd Calendar'!$E$2285)=0,"",IF(('Dvd Calendar'!$E$2285&gt;=MIN(DATE(Summary!$C$12,1,1),Summary!$C$11))*('Dvd Calendar'!$E$2285&lt;=MAX(DATE(Summary!$C$12,12,31),Summary!$C$15))*('Dvd Calendar'!$E$2285&lt;=Summary!$C$11)=0,"",'Dvd Calendar'!$E$2285*1000000000+ISNUMBER('Dvd Calendar'!$E$2286)*100000000+('Dvd Calendar'!$E$2290='Field Check'!$C$25)*10000000+(N('Dvd Calendar'!$E$2284)&gt;0)*1000000+12*1000+1))</f>
        <v/>
      </c>
      <c r="D168" s="41">
        <f>IF(N('Dvd Calendar'!$F$2285)=0,"",IF(('Dvd Calendar'!$F$2285&gt;=MIN(DATE(Summary!$C$12,1,1),Summary!$C$11))*('Dvd Calendar'!$F$2285&lt;=MAX(DATE(Summary!$C$12,12,31),Summary!$C$15))*('Dvd Calendar'!$F$2285&lt;=Summary!$C$11)=0,"",'Dvd Calendar'!$F$2285*1000000000+ISNUMBER('Dvd Calendar'!$F$2286)*100000000+('Dvd Calendar'!$F$2290='Field Check'!$C$25)*10000000+(N('Dvd Calendar'!$F$2284)&gt;0)*1000000+12*1000+2))</f>
        <v/>
      </c>
      <c r="E168" s="41">
        <f>IF(N('Dvd Calendar'!$G$2285)=0,"",IF(('Dvd Calendar'!$G$2285&gt;=MIN(DATE(Summary!$C$12,1,1),Summary!$C$11))*('Dvd Calendar'!$G$2285&lt;=MAX(DATE(Summary!$C$12,12,31),Summary!$C$15))*('Dvd Calendar'!$G$2285&lt;=Summary!$C$11)=0,"",'Dvd Calendar'!$G$2285*1000000000+ISNUMBER('Dvd Calendar'!$G$2286)*100000000+('Dvd Calendar'!$G$2290='Field Check'!$C$25)*10000000+(N('Dvd Calendar'!$G$2284)&gt;0)*1000000+12*1000+3))</f>
        <v/>
      </c>
      <c r="F168" s="41">
        <f>IF(N('Dvd Calendar'!$H$2285)=0,"",IF(('Dvd Calendar'!$H$2285&gt;=MIN(DATE(Summary!$C$12,1,1),Summary!$C$11))*('Dvd Calendar'!$H$2285&lt;=MAX(DATE(Summary!$C$12,12,31),Summary!$C$15))*('Dvd Calendar'!$H$2285&lt;=Summary!$C$11)=0,"",'Dvd Calendar'!$H$2285*1000000000+ISNUMBER('Dvd Calendar'!$H$2286)*100000000+('Dvd Calendar'!$H$2290='Field Check'!$C$25)*10000000+(N('Dvd Calendar'!$H$2284)&gt;0)*1000000+12*1000+4))</f>
        <v/>
      </c>
      <c r="G168" s="41">
        <f>IF(N('Dvd Calendar'!$I$2285)=0,"",IF(('Dvd Calendar'!$I$2285&gt;=MIN(DATE(Summary!$C$12,1,1),Summary!$C$11))*('Dvd Calendar'!$I$2285&lt;=MAX(DATE(Summary!$C$12,12,31),Summary!$C$15))*('Dvd Calendar'!$I$2285&lt;=Summary!$C$11)=0,"",'Dvd Calendar'!$I$2285*1000000000+ISNUMBER('Dvd Calendar'!$I$2286)*100000000+('Dvd Calendar'!$I$2290='Field Check'!$C$25)*10000000+(N('Dvd Calendar'!$I$2284)&gt;0)*1000000+12*1000+5))</f>
        <v/>
      </c>
      <c r="H168" s="41">
        <f>IF(N('Dvd Calendar'!$J$2285)=0,"",IF(('Dvd Calendar'!$J$2285&gt;=MIN(DATE(Summary!$C$12,1,1),Summary!$C$11))*('Dvd Calendar'!$J$2285&lt;=MAX(DATE(Summary!$C$12,12,31),Summary!$C$15))*('Dvd Calendar'!$J$2285&lt;=Summary!$C$11)=0,"",'Dvd Calendar'!$J$2285*1000000000+ISNUMBER('Dvd Calendar'!$J$2286)*100000000+('Dvd Calendar'!$J$2290='Field Check'!$C$25)*10000000+(N('Dvd Calendar'!$J$2284)&gt;0)*1000000+12*1000+6))</f>
        <v/>
      </c>
      <c r="I168" s="41">
        <f>IF(N('Dvd Calendar'!$K$2285)=0,"",IF(('Dvd Calendar'!$K$2285&gt;=MIN(DATE(Summary!$C$12,1,1),Summary!$C$11))*('Dvd Calendar'!$K$2285&lt;=MAX(DATE(Summary!$C$12,12,31),Summary!$C$15))*('Dvd Calendar'!$K$2285&lt;=Summary!$C$11)=0,"",'Dvd Calendar'!$K$2285*1000000000+ISNUMBER('Dvd Calendar'!$K$2286)*100000000+('Dvd Calendar'!$K$2290='Field Check'!$C$25)*10000000+(N('Dvd Calendar'!$K$2284)&gt;0)*1000000+12*1000+7))</f>
        <v/>
      </c>
      <c r="J168" s="41">
        <f>IF(N('Dvd Calendar'!$L$2285)=0,"",IF(('Dvd Calendar'!$L$2285&gt;=MIN(DATE(Summary!$C$12,1,1),Summary!$C$11))*('Dvd Calendar'!$L$2285&lt;=MAX(DATE(Summary!$C$12,12,31),Summary!$C$15))*('Dvd Calendar'!$L$2285&lt;=Summary!$C$11)=0,"",'Dvd Calendar'!$L$2285*1000000000+ISNUMBER('Dvd Calendar'!$L$2286)*100000000+('Dvd Calendar'!$L$2290='Field Check'!$C$25)*10000000+(N('Dvd Calendar'!$L$2284)&gt;0)*1000000+12*1000+8))</f>
        <v/>
      </c>
      <c r="K168" s="41">
        <f>IF(N('Dvd Calendar'!$M$2285)=0,"",IF(('Dvd Calendar'!$M$2285&gt;=MIN(DATE(Summary!$C$12,1,1),Summary!$C$11))*('Dvd Calendar'!$M$2285&lt;=MAX(DATE(Summary!$C$12,12,31),Summary!$C$15))*('Dvd Calendar'!$M$2285&lt;=Summary!$C$11)=0,"",'Dvd Calendar'!$M$2285*1000000000+ISNUMBER('Dvd Calendar'!$M$2286)*100000000+('Dvd Calendar'!$M$2290='Field Check'!$C$25)*10000000+(N('Dvd Calendar'!$M$2284)&gt;0)*1000000+12*1000+9))</f>
        <v/>
      </c>
      <c r="L168" s="41">
        <f>IF(N('Dvd Calendar'!$N$2285)=0,"",IF(('Dvd Calendar'!$N$2285&gt;=MIN(DATE(Summary!$C$12,1,1),Summary!$C$11))*('Dvd Calendar'!$N$2285&lt;=MAX(DATE(Summary!$C$12,12,31),Summary!$C$15))*('Dvd Calendar'!$N$2285&lt;=Summary!$C$11)=0,"",'Dvd Calendar'!$N$2285*1000000000+ISNUMBER('Dvd Calendar'!$N$2286)*100000000+('Dvd Calendar'!$N$2290='Field Check'!$C$25)*10000000+(N('Dvd Calendar'!$N$2284)&gt;0)*1000000+12*1000+10))</f>
        <v/>
      </c>
      <c r="M168" s="41">
        <f>IF(N('Dvd Calendar'!$O$2285)=0,"",IF(('Dvd Calendar'!$O$2285&gt;=MIN(DATE(Summary!$C$12,1,1),Summary!$C$11))*('Dvd Calendar'!$O$2285&lt;=MAX(DATE(Summary!$C$12,12,31),Summary!$C$15))*('Dvd Calendar'!$O$2285&lt;=Summary!$C$11)=0,"",'Dvd Calendar'!$O$2285*1000000000+ISNUMBER('Dvd Calendar'!$O$2286)*100000000+('Dvd Calendar'!$O$2290='Field Check'!$C$25)*10000000+(N('Dvd Calendar'!$O$2284)&gt;0)*1000000+12*1000+11))</f>
        <v/>
      </c>
      <c r="N168" s="41">
        <f>IF(N('Dvd Calendar'!$P$2285)=0,"",IF(('Dvd Calendar'!$P$2285&gt;=MIN(DATE(Summary!$C$12,1,1),Summary!$C$11))*('Dvd Calendar'!$P$2285&lt;=MAX(DATE(Summary!$C$12,12,31),Summary!$C$15))*('Dvd Calendar'!$P$2285&lt;=Summary!$C$11)=0,"",'Dvd Calendar'!$P$2285*1000000000+ISNUMBER('Dvd Calendar'!$P$2286)*100000000+('Dvd Calendar'!$P$2290='Field Check'!$C$25)*10000000+(N('Dvd Calendar'!$P$2284)&gt;0)*1000000+12*1000+12))</f>
        <v/>
      </c>
      <c r="O168" s="41">
        <f>IF(N('Dvd Calendar'!$Q$2285)=0,"",IF(('Dvd Calendar'!$Q$2285&gt;=MIN(DATE(Summary!$C$12,1,1),Summary!$C$11))*('Dvd Calendar'!$Q$2285&lt;=MAX(DATE(Summary!$C$12,12,31),Summary!$C$15))*('Dvd Calendar'!$Q$2285&lt;=Summary!$C$11)=0,"",'Dvd Calendar'!$Q$2285*1000000000+ISNUMBER('Dvd Calendar'!$Q$2286)*100000000+('Dvd Calendar'!$Q$2290='Field Check'!$C$25)*10000000+(N('Dvd Calendar'!$Q$2284)&gt;0)*1000000+12*1000+13))</f>
        <v/>
      </c>
      <c r="P168" s="41">
        <f>IF(N('Dvd Calendar'!$R$2285)=0,"",IF(('Dvd Calendar'!$R$2285&gt;=MIN(DATE(Summary!$C$12,1,1),Summary!$C$11))*('Dvd Calendar'!$R$2285&lt;=MAX(DATE(Summary!$C$12,12,31),Summary!$C$15))*('Dvd Calendar'!$R$2285&lt;=Summary!$C$11)=0,"",'Dvd Calendar'!$R$2285*1000000000+ISNUMBER('Dvd Calendar'!$R$2286)*100000000+('Dvd Calendar'!$R$2290='Field Check'!$C$25)*10000000+(N('Dvd Calendar'!$R$2284)&gt;0)*1000000+12*1000+14))</f>
        <v/>
      </c>
      <c r="Q168" s="41">
        <f>IF(N('Dvd Calendar'!$S$2285)=0,"",IF(('Dvd Calendar'!$S$2285&gt;=MIN(DATE(Summary!$C$12,1,1),Summary!$C$11))*('Dvd Calendar'!$S$2285&lt;=MAX(DATE(Summary!$C$12,12,31),Summary!$C$15))*('Dvd Calendar'!$S$2285&lt;=Summary!$C$11)=0,"",'Dvd Calendar'!$S$2285*1000000000+ISNUMBER('Dvd Calendar'!$S$2286)*100000000+('Dvd Calendar'!$S$2290='Field Check'!$C$25)*10000000+(N('Dvd Calendar'!$S$2284)&gt;0)*1000000+12*1000+15))</f>
        <v/>
      </c>
      <c r="R168" s="41">
        <f>IF(N('Dvd Calendar'!$T$2285)=0,"",IF(('Dvd Calendar'!$T$2285&gt;=MIN(DATE(Summary!$C$12,1,1),Summary!$C$11))*('Dvd Calendar'!$T$2285&lt;=MAX(DATE(Summary!$C$12,12,31),Summary!$C$15))*('Dvd Calendar'!$T$2285&lt;=Summary!$C$11)=0,"",'Dvd Calendar'!$T$2285*1000000000+ISNUMBER('Dvd Calendar'!$T$2286)*100000000+('Dvd Calendar'!$T$2290='Field Check'!$C$25)*10000000+(N('Dvd Calendar'!$T$2284)&gt;0)*1000000+12*1000+16))</f>
        <v/>
      </c>
      <c r="S168" s="41">
        <f>IF(N('Dvd Calendar'!$U$2285)=0,"",IF(('Dvd Calendar'!$U$2285&gt;=MIN(DATE(Summary!$C$12,1,1),Summary!$C$11))*('Dvd Calendar'!$U$2285&lt;=MAX(DATE(Summary!$C$12,12,31),Summary!$C$15))*('Dvd Calendar'!$U$2285&lt;=Summary!$C$11)=0,"",'Dvd Calendar'!$U$2285*1000000000+ISNUMBER('Dvd Calendar'!$U$2286)*100000000+('Dvd Calendar'!$U$2290='Field Check'!$C$25)*10000000+(N('Dvd Calendar'!$U$2284)&gt;0)*1000000+12*1000+17))</f>
        <v/>
      </c>
      <c r="T168" s="41">
        <f>IF(N('Dvd Calendar'!$V$2285)=0,"",IF(('Dvd Calendar'!$V$2285&gt;=MIN(DATE(Summary!$C$12,1,1),Summary!$C$11))*('Dvd Calendar'!$V$2285&lt;=MAX(DATE(Summary!$C$12,12,31),Summary!$C$15))*('Dvd Calendar'!$V$2285&lt;=Summary!$C$11)=0,"",'Dvd Calendar'!$V$2285*1000000000+ISNUMBER('Dvd Calendar'!$V$2286)*100000000+('Dvd Calendar'!$V$2290='Field Check'!$C$25)*10000000+(N('Dvd Calendar'!$V$2284)&gt;0)*1000000+12*1000+18))</f>
        <v/>
      </c>
      <c r="U168" s="41">
        <f>IF(N('Dvd Calendar'!$W$2285)=0,"",IF(('Dvd Calendar'!$W$2285&gt;=MIN(DATE(Summary!$C$12,1,1),Summary!$C$11))*('Dvd Calendar'!$W$2285&lt;=MAX(DATE(Summary!$C$12,12,31),Summary!$C$15))*('Dvd Calendar'!$W$2285&lt;=Summary!$C$11)=0,"",'Dvd Calendar'!$W$2285*1000000000+ISNUMBER('Dvd Calendar'!$W$2286)*100000000+('Dvd Calendar'!$W$2290='Field Check'!$C$25)*10000000+(N('Dvd Calendar'!$W$2284)&gt;0)*1000000+12*1000+19))</f>
        <v/>
      </c>
      <c r="V168" s="41">
        <f>IF(N('Dvd Calendar'!$X$2285)=0,"",IF(('Dvd Calendar'!$X$2285&gt;=MIN(DATE(Summary!$C$12,1,1),Summary!$C$11))*('Dvd Calendar'!$X$2285&lt;=MAX(DATE(Summary!$C$12,12,31),Summary!$C$15))*('Dvd Calendar'!$X$2285&lt;=Summary!$C$11)=0,"",'Dvd Calendar'!$X$2285*1000000000+ISNUMBER('Dvd Calendar'!$X$2286)*100000000+('Dvd Calendar'!$X$2290='Field Check'!$C$25)*10000000+(N('Dvd Calendar'!$X$2284)&gt;0)*1000000+12*1000+20))</f>
        <v/>
      </c>
      <c r="W168" s="41">
        <f>IF(N('Dvd Calendar'!$Y$2285)=0,"",IF(('Dvd Calendar'!$Y$2285&gt;=MIN(DATE(Summary!$C$12,1,1),Summary!$C$11))*('Dvd Calendar'!$Y$2285&lt;=MAX(DATE(Summary!$C$12,12,31),Summary!$C$15))*('Dvd Calendar'!$Y$2285&lt;=Summary!$C$11)=0,"",'Dvd Calendar'!$Y$2285*1000000000+ISNUMBER('Dvd Calendar'!$Y$2286)*100000000+('Dvd Calendar'!$Y$2290='Field Check'!$C$25)*10000000+(N('Dvd Calendar'!$Y$2284)&gt;0)*1000000+12*1000+21))</f>
        <v/>
      </c>
      <c r="X168" s="41">
        <f>IF(N('Dvd Calendar'!$Z$2285)=0,"",IF(('Dvd Calendar'!$Z$2285&gt;=MIN(DATE(Summary!$C$12,1,1),Summary!$C$11))*('Dvd Calendar'!$Z$2285&lt;=MAX(DATE(Summary!$C$12,12,31),Summary!$C$15))*('Dvd Calendar'!$Z$2285&lt;=Summary!$C$11)=0,"",'Dvd Calendar'!$Z$2285*1000000000+ISNUMBER('Dvd Calendar'!$Z$2286)*100000000+('Dvd Calendar'!$Z$2290='Field Check'!$C$25)*10000000+(N('Dvd Calendar'!$Z$2284)&gt;0)*1000000+12*1000+22))</f>
        <v/>
      </c>
      <c r="Y168" s="41">
        <f>IF(N('Dvd Calendar'!$AA$2285)=0,"",IF(('Dvd Calendar'!$AA$2285&gt;=MIN(DATE(Summary!$C$12,1,1),Summary!$C$11))*('Dvd Calendar'!$AA$2285&lt;=MAX(DATE(Summary!$C$12,12,31),Summary!$C$15))*('Dvd Calendar'!$AA$2285&lt;=Summary!$C$11)=0,"",'Dvd Calendar'!$AA$2285*1000000000+ISNUMBER('Dvd Calendar'!$AA$2286)*100000000+('Dvd Calendar'!$AA$2290='Field Check'!$C$25)*10000000+(N('Dvd Calendar'!$AA$2284)&gt;0)*1000000+12*1000+23))</f>
        <v/>
      </c>
      <c r="Z168" s="41">
        <f>IF(N('Dvd Calendar'!$AB$2285)=0,"",IF(('Dvd Calendar'!$AB$2285&gt;=MIN(DATE(Summary!$C$12,1,1),Summary!$C$11))*('Dvd Calendar'!$AB$2285&lt;=MAX(DATE(Summary!$C$12,12,31),Summary!$C$15))*('Dvd Calendar'!$AB$2285&lt;=Summary!$C$11)=0,"",'Dvd Calendar'!$AB$2285*1000000000+ISNUMBER('Dvd Calendar'!$AB$2286)*100000000+('Dvd Calendar'!$AB$2290='Field Check'!$C$25)*10000000+(N('Dvd Calendar'!$AB$2284)&gt;0)*1000000+12*1000+24))</f>
        <v/>
      </c>
      <c r="AA168" s="41">
        <f>IF(N('Dvd Calendar'!$AC$2285)=0,"",IF(('Dvd Calendar'!$AC$2285&gt;=MIN(DATE(Summary!$C$12,1,1),Summary!$C$11))*('Dvd Calendar'!$AC$2285&lt;=MAX(DATE(Summary!$C$12,12,31),Summary!$C$15))*('Dvd Calendar'!$AC$2285&lt;=Summary!$C$11)=0,"",'Dvd Calendar'!$AC$2285*1000000000+ISNUMBER('Dvd Calendar'!$AC$2286)*100000000+('Dvd Calendar'!$AC$2290='Field Check'!$C$25)*10000000+(N('Dvd Calendar'!$AC$2284)&gt;0)*1000000+12*1000+25))</f>
        <v/>
      </c>
      <c r="AB168" s="41">
        <f>IF(N('Dvd Calendar'!$AD$2285)=0,"",IF(('Dvd Calendar'!$AD$2285&gt;=MIN(DATE(Summary!$C$12,1,1),Summary!$C$11))*('Dvd Calendar'!$AD$2285&lt;=MAX(DATE(Summary!$C$12,12,31),Summary!$C$15))*('Dvd Calendar'!$AD$2285&lt;=Summary!$C$11)=0,"",'Dvd Calendar'!$AD$2285*1000000000+ISNUMBER('Dvd Calendar'!$AD$2286)*100000000+('Dvd Calendar'!$AD$2290='Field Check'!$C$25)*10000000+(N('Dvd Calendar'!$AD$2284)&gt;0)*1000000+12*1000+26))</f>
        <v/>
      </c>
      <c r="AC168" s="41">
        <f>IF(N('Dvd Calendar'!$AE$2285)=0,"",IF(('Dvd Calendar'!$AE$2285&gt;=MIN(DATE(Summary!$C$12,1,1),Summary!$C$11))*('Dvd Calendar'!$AE$2285&lt;=MAX(DATE(Summary!$C$12,12,31),Summary!$C$15))*('Dvd Calendar'!$AE$2285&lt;=Summary!$C$11)=0,"",'Dvd Calendar'!$AE$2285*1000000000+ISNUMBER('Dvd Calendar'!$AE$2286)*100000000+('Dvd Calendar'!$AE$2290='Field Check'!$C$25)*10000000+(N('Dvd Calendar'!$AE$2284)&gt;0)*1000000+12*1000+27))</f>
        <v/>
      </c>
      <c r="AD168" s="41">
        <f>IF(N('Dvd Calendar'!$AF$2285)=0,"",IF(('Dvd Calendar'!$AF$2285&gt;=MIN(DATE(Summary!$C$12,1,1),Summary!$C$11))*('Dvd Calendar'!$AF$2285&lt;=MAX(DATE(Summary!$C$12,12,31),Summary!$C$15))*('Dvd Calendar'!$AF$2285&lt;=Summary!$C$11)=0,"",'Dvd Calendar'!$AF$2285*1000000000+ISNUMBER('Dvd Calendar'!$AF$2286)*100000000+('Dvd Calendar'!$AF$2290='Field Check'!$C$25)*10000000+(N('Dvd Calendar'!$AF$2284)&gt;0)*1000000+12*1000+28))</f>
        <v/>
      </c>
      <c r="AE168" s="41">
        <f>IF(N('Dvd Calendar'!$AG$2285)=0,"",IF(('Dvd Calendar'!$AG$2285&gt;=MIN(DATE(Summary!$C$12,1,1),Summary!$C$11))*('Dvd Calendar'!$AG$2285&lt;=MAX(DATE(Summary!$C$12,12,31),Summary!$C$15))*('Dvd Calendar'!$AG$2285&lt;=Summary!$C$11)=0,"",'Dvd Calendar'!$AG$2285*1000000000+ISNUMBER('Dvd Calendar'!$AG$2286)*100000000+('Dvd Calendar'!$AG$2290='Field Check'!$C$25)*10000000+(N('Dvd Calendar'!$AG$2284)&gt;0)*1000000+12*1000+29))</f>
        <v/>
      </c>
      <c r="AF168" s="41">
        <f>IF(N('Dvd Calendar'!$AH$2285)=0,"",IF(('Dvd Calendar'!$AH$2285&gt;=MIN(DATE(Summary!$C$12,1,1),Summary!$C$11))*('Dvd Calendar'!$AH$2285&lt;=MAX(DATE(Summary!$C$12,12,31),Summary!$C$15))*('Dvd Calendar'!$AH$2285&lt;=Summary!$C$11)=0,"",'Dvd Calendar'!$AH$2285*1000000000+ISNUMBER('Dvd Calendar'!$AH$2286)*100000000+('Dvd Calendar'!$AH$2290='Field Check'!$C$25)*10000000+(N('Dvd Calendar'!$AH$2284)&gt;0)*1000000+12*1000+30))</f>
        <v/>
      </c>
      <c r="AG168" s="41">
        <f>IF(N('Dvd Calendar'!$AI$2285)=0,"",IF(('Dvd Calendar'!$AI$2285&gt;=MIN(DATE(Summary!$C$12,1,1),Summary!$C$11))*('Dvd Calendar'!$AI$2285&lt;=MAX(DATE(Summary!$C$12,12,31),Summary!$C$15))*('Dvd Calendar'!$AI$2285&lt;=Summary!$C$11)=0,"",'Dvd Calendar'!$AI$2285*1000000000+ISNUMBER('Dvd Calendar'!$AI$2286)*100000000+('Dvd Calendar'!$AI$2290='Field Check'!$C$25)*10000000+(N('Dvd Calendar'!$AI$2284)&gt;0)*1000000+12*1000+31))</f>
        <v/>
      </c>
      <c r="AH168" s="41">
        <f>IF(N('Dvd Calendar'!$AJ$2285)=0,"",IF(('Dvd Calendar'!$AJ$2285&gt;=MIN(DATE(Summary!$C$12,1,1),Summary!$C$11))*('Dvd Calendar'!$AJ$2285&lt;=MAX(DATE(Summary!$C$12,12,31),Summary!$C$15))*('Dvd Calendar'!$AJ$2285&lt;=Summary!$C$11)=0,"",'Dvd Calendar'!$AJ$2285*1000000000+ISNUMBER('Dvd Calendar'!$AJ$2286)*100000000+('Dvd Calendar'!$AJ$2290='Field Check'!$C$25)*10000000+(N('Dvd Calendar'!$AJ$2284)&gt;0)*1000000+12*1000+32))</f>
        <v/>
      </c>
      <c r="AI168" s="41">
        <f>IF(N('Dvd Calendar'!$AK$2285)=0,"",IF(('Dvd Calendar'!$AK$2285&gt;=MIN(DATE(Summary!$C$12,1,1),Summary!$C$11))*('Dvd Calendar'!$AK$2285&lt;=MAX(DATE(Summary!$C$12,12,31),Summary!$C$15))*('Dvd Calendar'!$AK$2285&lt;=Summary!$C$11)=0,"",'Dvd Calendar'!$AK$2285*1000000000+ISNUMBER('Dvd Calendar'!$AK$2286)*100000000+('Dvd Calendar'!$AK$2290='Field Check'!$C$25)*10000000+(N('Dvd Calendar'!$AK$2284)&gt;0)*1000000+12*1000+33))</f>
        <v/>
      </c>
      <c r="AJ168" s="41">
        <f>IF(N('Dvd Calendar'!$AL$2285)=0,"",IF(('Dvd Calendar'!$AL$2285&gt;=MIN(DATE(Summary!$C$12,1,1),Summary!$C$11))*('Dvd Calendar'!$AL$2285&lt;=MAX(DATE(Summary!$C$12,12,31),Summary!$C$15))*('Dvd Calendar'!$AL$2285&lt;=Summary!$C$11)=0,"",'Dvd Calendar'!$AL$2285*1000000000+ISNUMBER('Dvd Calendar'!$AL$2286)*100000000+('Dvd Calendar'!$AL$2290='Field Check'!$C$25)*10000000+(N('Dvd Calendar'!$AL$2284)&gt;0)*1000000+12*1000+34))</f>
        <v/>
      </c>
      <c r="AK168" s="41">
        <f>IF(N('Dvd Calendar'!$AM$2285)=0,"",IF(('Dvd Calendar'!$AM$2285&gt;=MIN(DATE(Summary!$C$12,1,1),Summary!$C$11))*('Dvd Calendar'!$AM$2285&lt;=MAX(DATE(Summary!$C$12,12,31),Summary!$C$15))*('Dvd Calendar'!$AM$2285&lt;=Summary!$C$11)=0,"",'Dvd Calendar'!$AM$2285*1000000000+ISNUMBER('Dvd Calendar'!$AM$2286)*100000000+('Dvd Calendar'!$AM$2290='Field Check'!$C$25)*10000000+(N('Dvd Calendar'!$AM$2284)&gt;0)*1000000+12*1000+35))</f>
        <v/>
      </c>
      <c r="AL168" s="41">
        <f>IF(N('Dvd Calendar'!$AN$2285)=0,"",IF(('Dvd Calendar'!$AN$2285&gt;=MIN(DATE(Summary!$C$12,1,1),Summary!$C$11))*('Dvd Calendar'!$AN$2285&lt;=MAX(DATE(Summary!$C$12,12,31),Summary!$C$15))*('Dvd Calendar'!$AN$2285&lt;=Summary!$C$11)=0,"",'Dvd Calendar'!$AN$2285*1000000000+ISNUMBER('Dvd Calendar'!$AN$2286)*100000000+('Dvd Calendar'!$AN$2290='Field Check'!$C$25)*10000000+(N('Dvd Calendar'!$AN$2284)&gt;0)*1000000+12*1000+36))</f>
        <v/>
      </c>
      <c r="AM168" s="41">
        <f>IF(N('Dvd Calendar'!$AO$2285)=0,"",IF(('Dvd Calendar'!$AO$2285&gt;=MIN(DATE(Summary!$C$12,1,1),Summary!$C$11))*('Dvd Calendar'!$AO$2285&lt;=MAX(DATE(Summary!$C$12,12,31),Summary!$C$15))*('Dvd Calendar'!$AO$2285&lt;=Summary!$C$11)=0,"",'Dvd Calendar'!$AO$2285*1000000000+ISNUMBER('Dvd Calendar'!$AO$2286)*100000000+('Dvd Calendar'!$AO$2290='Field Check'!$C$25)*10000000+(N('Dvd Calendar'!$AO$2284)&gt;0)*1000000+12*1000+37))</f>
        <v/>
      </c>
      <c r="AN168" s="41">
        <f>IF(N('Dvd Calendar'!$AP$2285)=0,"",IF(('Dvd Calendar'!$AP$2285&gt;=MIN(DATE(Summary!$C$12,1,1),Summary!$C$11))*('Dvd Calendar'!$AP$2285&lt;=MAX(DATE(Summary!$C$12,12,31),Summary!$C$15))*('Dvd Calendar'!$AP$2285&lt;=Summary!$C$11)=0,"",'Dvd Calendar'!$AP$2285*1000000000+ISNUMBER('Dvd Calendar'!$AP$2286)*100000000+('Dvd Calendar'!$AP$2290='Field Check'!$C$25)*10000000+(N('Dvd Calendar'!$AP$2284)&gt;0)*1000000+12*1000+38))</f>
        <v/>
      </c>
      <c r="AO168" s="41">
        <f>IF(N('Dvd Calendar'!$AQ$2285)=0,"",IF(('Dvd Calendar'!$AQ$2285&gt;=MIN(DATE(Summary!$C$12,1,1),Summary!$C$11))*('Dvd Calendar'!$AQ$2285&lt;=MAX(DATE(Summary!$C$12,12,31),Summary!$C$15))*('Dvd Calendar'!$AQ$2285&lt;=Summary!$C$11)=0,"",'Dvd Calendar'!$AQ$2285*1000000000+ISNUMBER('Dvd Calendar'!$AQ$2286)*100000000+('Dvd Calendar'!$AQ$2290='Field Check'!$C$25)*10000000+(N('Dvd Calendar'!$AQ$2284)&gt;0)*1000000+12*1000+39))</f>
        <v/>
      </c>
      <c r="AP168" s="41">
        <f>IF(N('Dvd Calendar'!$AR$2285)=0,"",IF(('Dvd Calendar'!$AR$2285&gt;=MIN(DATE(Summary!$C$12,1,1),Summary!$C$11))*('Dvd Calendar'!$AR$2285&lt;=MAX(DATE(Summary!$C$12,12,31),Summary!$C$15))*('Dvd Calendar'!$AR$2285&lt;=Summary!$C$11)=0,"",'Dvd Calendar'!$AR$2285*1000000000+ISNUMBER('Dvd Calendar'!$AR$2286)*100000000+('Dvd Calendar'!$AR$2290='Field Check'!$C$25)*10000000+(N('Dvd Calendar'!$AR$2284)&gt;0)*1000000+12*1000+40))</f>
        <v/>
      </c>
      <c r="AQ168" s="41">
        <f>IF(N('Dvd Calendar'!$E$2292)=0,"",IF(('Dvd Calendar'!$E$2292&gt;=MIN(DATE(Summary!$C$12,1,1),Summary!$C$11))*('Dvd Calendar'!$E$2292&lt;=MAX(DATE(Summary!$C$12,12,31),Summary!$C$15))*('Dvd Calendar'!$E$2292&gt;Summary!$C$11)=0,"",'Dvd Calendar'!$E$2292*1000000000+ISNUMBER('Dvd Calendar'!$E$2293)*100000000+('Dvd Calendar'!$E$2297='Field Check'!$C$25)*10000000+(N('Dvd Calendar'!$E$2291)&gt;0)*1000000+12*1000+41))</f>
        <v/>
      </c>
      <c r="AR168" s="41">
        <f>IF(N('Dvd Calendar'!$F$2292)=0,"",IF(('Dvd Calendar'!$F$2292&gt;=MIN(DATE(Summary!$C$12,1,1),Summary!$C$11))*('Dvd Calendar'!$F$2292&lt;=MAX(DATE(Summary!$C$12,12,31),Summary!$C$15))*('Dvd Calendar'!$F$2292&gt;Summary!$C$11)=0,"",'Dvd Calendar'!$F$2292*1000000000+ISNUMBER('Dvd Calendar'!$F$2293)*100000000+('Dvd Calendar'!$F$2297='Field Check'!$C$25)*10000000+(N('Dvd Calendar'!$F$2291)&gt;0)*1000000+12*1000+42))</f>
        <v/>
      </c>
      <c r="AS168" s="41">
        <f>IF(N('Dvd Calendar'!$G$2292)=0,"",IF(('Dvd Calendar'!$G$2292&gt;=MIN(DATE(Summary!$C$12,1,1),Summary!$C$11))*('Dvd Calendar'!$G$2292&lt;=MAX(DATE(Summary!$C$12,12,31),Summary!$C$15))*('Dvd Calendar'!$G$2292&gt;Summary!$C$11)=0,"",'Dvd Calendar'!$G$2292*1000000000+ISNUMBER('Dvd Calendar'!$G$2293)*100000000+('Dvd Calendar'!$G$2297='Field Check'!$C$25)*10000000+(N('Dvd Calendar'!$G$2291)&gt;0)*1000000+12*1000+43))</f>
        <v/>
      </c>
      <c r="AT168" s="41">
        <f>IF(N('Dvd Calendar'!$H$2292)=0,"",IF(('Dvd Calendar'!$H$2292&gt;=MIN(DATE(Summary!$C$12,1,1),Summary!$C$11))*('Dvd Calendar'!$H$2292&lt;=MAX(DATE(Summary!$C$12,12,31),Summary!$C$15))*('Dvd Calendar'!$H$2292&gt;Summary!$C$11)=0,"",'Dvd Calendar'!$H$2292*1000000000+ISNUMBER('Dvd Calendar'!$H$2293)*100000000+('Dvd Calendar'!$H$2297='Field Check'!$C$25)*10000000+(N('Dvd Calendar'!$H$2291)&gt;0)*1000000+12*1000+44))</f>
        <v/>
      </c>
      <c r="AU168" s="41">
        <f>IF(N('Dvd Calendar'!$I$2292)=0,"",IF(('Dvd Calendar'!$I$2292&gt;=MIN(DATE(Summary!$C$12,1,1),Summary!$C$11))*('Dvd Calendar'!$I$2292&lt;=MAX(DATE(Summary!$C$12,12,31),Summary!$C$15))*('Dvd Calendar'!$I$2292&gt;Summary!$C$11)=0,"",'Dvd Calendar'!$I$2292*1000000000+ISNUMBER('Dvd Calendar'!$I$2293)*100000000+('Dvd Calendar'!$I$2297='Field Check'!$C$25)*10000000+(N('Dvd Calendar'!$I$2291)&gt;0)*1000000+12*1000+45))</f>
        <v/>
      </c>
      <c r="AV168" s="41">
        <f>IF(N('Dvd Calendar'!$J$2292)=0,"",IF(('Dvd Calendar'!$J$2292&gt;=MIN(DATE(Summary!$C$12,1,1),Summary!$C$11))*('Dvd Calendar'!$J$2292&lt;=MAX(DATE(Summary!$C$12,12,31),Summary!$C$15))*('Dvd Calendar'!$J$2292&gt;Summary!$C$11)=0,"",'Dvd Calendar'!$J$2292*1000000000+ISNUMBER('Dvd Calendar'!$J$2293)*100000000+('Dvd Calendar'!$J$2297='Field Check'!$C$25)*10000000+(N('Dvd Calendar'!$J$2291)&gt;0)*1000000+12*1000+46))</f>
        <v/>
      </c>
      <c r="AW168" s="41">
        <f>IF(N('Dvd Calendar'!$K$2292)=0,"",IF(('Dvd Calendar'!$K$2292&gt;=MIN(DATE(Summary!$C$12,1,1),Summary!$C$11))*('Dvd Calendar'!$K$2292&lt;=MAX(DATE(Summary!$C$12,12,31),Summary!$C$15))*('Dvd Calendar'!$K$2292&gt;Summary!$C$11)=0,"",'Dvd Calendar'!$K$2292*1000000000+ISNUMBER('Dvd Calendar'!$K$2293)*100000000+('Dvd Calendar'!$K$2297='Field Check'!$C$25)*10000000+(N('Dvd Calendar'!$K$2291)&gt;0)*1000000+12*1000+47))</f>
        <v/>
      </c>
      <c r="AX168" s="41">
        <f>IF(N('Dvd Calendar'!$L$2292)=0,"",IF(('Dvd Calendar'!$L$2292&gt;=MIN(DATE(Summary!$C$12,1,1),Summary!$C$11))*('Dvd Calendar'!$L$2292&lt;=MAX(DATE(Summary!$C$12,12,31),Summary!$C$15))*('Dvd Calendar'!$L$2292&gt;Summary!$C$11)=0,"",'Dvd Calendar'!$L$2292*1000000000+ISNUMBER('Dvd Calendar'!$L$2293)*100000000+('Dvd Calendar'!$L$2297='Field Check'!$C$25)*10000000+(N('Dvd Calendar'!$L$2291)&gt;0)*1000000+12*1000+48))</f>
        <v/>
      </c>
      <c r="AY168" s="41">
        <f>IF(N('Dvd Calendar'!$M$2292)=0,"",IF(('Dvd Calendar'!$M$2292&gt;=MIN(DATE(Summary!$C$12,1,1),Summary!$C$11))*('Dvd Calendar'!$M$2292&lt;=MAX(DATE(Summary!$C$12,12,31),Summary!$C$15))*('Dvd Calendar'!$M$2292&gt;Summary!$C$11)=0,"",'Dvd Calendar'!$M$2292*1000000000+ISNUMBER('Dvd Calendar'!$M$2293)*100000000+('Dvd Calendar'!$M$2297='Field Check'!$C$25)*10000000+(N('Dvd Calendar'!$M$2291)&gt;0)*1000000+12*1000+49))</f>
        <v/>
      </c>
      <c r="AZ168" s="41">
        <f>IF(N('Dvd Calendar'!$N$2292)=0,"",IF(('Dvd Calendar'!$N$2292&gt;=MIN(DATE(Summary!$C$12,1,1),Summary!$C$11))*('Dvd Calendar'!$N$2292&lt;=MAX(DATE(Summary!$C$12,12,31),Summary!$C$15))*('Dvd Calendar'!$N$2292&gt;Summary!$C$11)=0,"",'Dvd Calendar'!$N$2292*1000000000+ISNUMBER('Dvd Calendar'!$N$2293)*100000000+('Dvd Calendar'!$N$2297='Field Check'!$C$25)*10000000+(N('Dvd Calendar'!$N$2291)&gt;0)*1000000+12*1000+50))</f>
        <v/>
      </c>
      <c r="BA168" s="41">
        <f>IF(N('Dvd Calendar'!$O$2292)=0,"",IF(('Dvd Calendar'!$O$2292&gt;=MIN(DATE(Summary!$C$12,1,1),Summary!$C$11))*('Dvd Calendar'!$O$2292&lt;=MAX(DATE(Summary!$C$12,12,31),Summary!$C$15))*('Dvd Calendar'!$O$2292&gt;Summary!$C$11)=0,"",'Dvd Calendar'!$O$2292*1000000000+ISNUMBER('Dvd Calendar'!$O$2293)*100000000+('Dvd Calendar'!$O$2297='Field Check'!$C$25)*10000000+(N('Dvd Calendar'!$O$2291)&gt;0)*1000000+12*1000+51))</f>
        <v/>
      </c>
      <c r="BB168" s="41">
        <f>IF(N('Dvd Calendar'!$P$2292)=0,"",IF(('Dvd Calendar'!$P$2292&gt;=MIN(DATE(Summary!$C$12,1,1),Summary!$C$11))*('Dvd Calendar'!$P$2292&lt;=MAX(DATE(Summary!$C$12,12,31),Summary!$C$15))*('Dvd Calendar'!$P$2292&gt;Summary!$C$11)=0,"",'Dvd Calendar'!$P$2292*1000000000+ISNUMBER('Dvd Calendar'!$P$2293)*100000000+('Dvd Calendar'!$P$2297='Field Check'!$C$25)*10000000+(N('Dvd Calendar'!$P$2291)&gt;0)*1000000+12*1000+52))</f>
        <v/>
      </c>
      <c r="BC168" s="41">
        <f>IF(N('Dvd Calendar'!$Q$2292)=0,"",IF(('Dvd Calendar'!$Q$2292&gt;=MIN(DATE(Summary!$C$12,1,1),Summary!$C$11))*('Dvd Calendar'!$Q$2292&lt;=MAX(DATE(Summary!$C$12,12,31),Summary!$C$15))*('Dvd Calendar'!$Q$2292&gt;Summary!$C$11)=0,"",'Dvd Calendar'!$Q$2292*1000000000+ISNUMBER('Dvd Calendar'!$Q$2293)*100000000+('Dvd Calendar'!$Q$2297='Field Check'!$C$25)*10000000+(N('Dvd Calendar'!$Q$2291)&gt;0)*1000000+12*1000+53))</f>
        <v/>
      </c>
      <c r="BD168" s="41">
        <f>IF(N('Dvd Calendar'!$R$2292)=0,"",IF(('Dvd Calendar'!$R$2292&gt;=MIN(DATE(Summary!$C$12,1,1),Summary!$C$11))*('Dvd Calendar'!$R$2292&lt;=MAX(DATE(Summary!$C$12,12,31),Summary!$C$15))*('Dvd Calendar'!$R$2292&gt;Summary!$C$11)=0,"",'Dvd Calendar'!$R$2292*1000000000+ISNUMBER('Dvd Calendar'!$R$2293)*100000000+('Dvd Calendar'!$R$2297='Field Check'!$C$25)*10000000+(N('Dvd Calendar'!$R$2291)&gt;0)*1000000+12*1000+54))</f>
        <v/>
      </c>
      <c r="BE168" s="41">
        <f>IF(N('Dvd Calendar'!$S$2292)=0,"",IF(('Dvd Calendar'!$S$2292&gt;=MIN(DATE(Summary!$C$12,1,1),Summary!$C$11))*('Dvd Calendar'!$S$2292&lt;=MAX(DATE(Summary!$C$12,12,31),Summary!$C$15))*('Dvd Calendar'!$S$2292&gt;Summary!$C$11)=0,"",'Dvd Calendar'!$S$2292*1000000000+ISNUMBER('Dvd Calendar'!$S$2293)*100000000+('Dvd Calendar'!$S$2297='Field Check'!$C$25)*10000000+(N('Dvd Calendar'!$S$2291)&gt;0)*1000000+12*1000+55))</f>
        <v/>
      </c>
      <c r="BF168" s="41">
        <f>IF(N('Dvd Calendar'!$T$2292)=0,"",IF(('Dvd Calendar'!$T$2292&gt;=MIN(DATE(Summary!$C$12,1,1),Summary!$C$11))*('Dvd Calendar'!$T$2292&lt;=MAX(DATE(Summary!$C$12,12,31),Summary!$C$15))*('Dvd Calendar'!$T$2292&gt;Summary!$C$11)=0,"",'Dvd Calendar'!$T$2292*1000000000+ISNUMBER('Dvd Calendar'!$T$2293)*100000000+('Dvd Calendar'!$T$2297='Field Check'!$C$25)*10000000+(N('Dvd Calendar'!$T$2291)&gt;0)*1000000+12*1000+56))</f>
        <v/>
      </c>
      <c r="BG168" s="41">
        <f>IF(N('Dvd Calendar'!$U$2292)=0,"",IF(('Dvd Calendar'!$U$2292&gt;=MIN(DATE(Summary!$C$12,1,1),Summary!$C$11))*('Dvd Calendar'!$U$2292&lt;=MAX(DATE(Summary!$C$12,12,31),Summary!$C$15))*('Dvd Calendar'!$U$2292&gt;Summary!$C$11)=0,"",'Dvd Calendar'!$U$2292*1000000000+ISNUMBER('Dvd Calendar'!$U$2293)*100000000+('Dvd Calendar'!$U$2297='Field Check'!$C$25)*10000000+(N('Dvd Calendar'!$U$2291)&gt;0)*1000000+12*1000+57))</f>
        <v/>
      </c>
      <c r="BH168" s="41">
        <f>IF(N('Dvd Calendar'!$V$2292)=0,"",IF(('Dvd Calendar'!$V$2292&gt;=MIN(DATE(Summary!$C$12,1,1),Summary!$C$11))*('Dvd Calendar'!$V$2292&lt;=MAX(DATE(Summary!$C$12,12,31),Summary!$C$15))*('Dvd Calendar'!$V$2292&gt;Summary!$C$11)=0,"",'Dvd Calendar'!$V$2292*1000000000+ISNUMBER('Dvd Calendar'!$V$2293)*100000000+('Dvd Calendar'!$V$2297='Field Check'!$C$25)*10000000+(N('Dvd Calendar'!$V$2291)&gt;0)*1000000+12*1000+58))</f>
        <v/>
      </c>
      <c r="BI168" s="41">
        <f>IF(N('Dvd Calendar'!$W$2292)=0,"",IF(('Dvd Calendar'!$W$2292&gt;=MIN(DATE(Summary!$C$12,1,1),Summary!$C$11))*('Dvd Calendar'!$W$2292&lt;=MAX(DATE(Summary!$C$12,12,31),Summary!$C$15))*('Dvd Calendar'!$W$2292&gt;Summary!$C$11)=0,"",'Dvd Calendar'!$W$2292*1000000000+ISNUMBER('Dvd Calendar'!$W$2293)*100000000+('Dvd Calendar'!$W$2297='Field Check'!$C$25)*10000000+(N('Dvd Calendar'!$W$2291)&gt;0)*1000000+12*1000+59))</f>
        <v/>
      </c>
      <c r="BJ168" s="41">
        <f>IF(N('Dvd Calendar'!$X$2292)=0,"",IF(('Dvd Calendar'!$X$2292&gt;=MIN(DATE(Summary!$C$12,1,1),Summary!$C$11))*('Dvd Calendar'!$X$2292&lt;=MAX(DATE(Summary!$C$12,12,31),Summary!$C$15))*('Dvd Calendar'!$X$2292&gt;Summary!$C$11)=0,"",'Dvd Calendar'!$X$2292*1000000000+ISNUMBER('Dvd Calendar'!$X$2293)*100000000+('Dvd Calendar'!$X$2297='Field Check'!$C$25)*10000000+(N('Dvd Calendar'!$X$2291)&gt;0)*1000000+12*1000+60))</f>
        <v/>
      </c>
      <c r="BK168" s="41">
        <f>IF(N('Dvd Calendar'!$Y$2292)=0,"",IF(('Dvd Calendar'!$Y$2292&gt;=MIN(DATE(Summary!$C$12,1,1),Summary!$C$11))*('Dvd Calendar'!$Y$2292&lt;=MAX(DATE(Summary!$C$12,12,31),Summary!$C$15))*('Dvd Calendar'!$Y$2292&gt;Summary!$C$11)=0,"",'Dvd Calendar'!$Y$2292*1000000000+ISNUMBER('Dvd Calendar'!$Y$2293)*100000000+('Dvd Calendar'!$Y$2297='Field Check'!$C$25)*10000000+(N('Dvd Calendar'!$Y$2291)&gt;0)*1000000+12*1000+61))</f>
        <v/>
      </c>
      <c r="BL168" s="41">
        <f>IF(N('Dvd Calendar'!$Z$2292)=0,"",IF(('Dvd Calendar'!$Z$2292&gt;=MIN(DATE(Summary!$C$12,1,1),Summary!$C$11))*('Dvd Calendar'!$Z$2292&lt;=MAX(DATE(Summary!$C$12,12,31),Summary!$C$15))*('Dvd Calendar'!$Z$2292&gt;Summary!$C$11)=0,"",'Dvd Calendar'!$Z$2292*1000000000+ISNUMBER('Dvd Calendar'!$Z$2293)*100000000+('Dvd Calendar'!$Z$2297='Field Check'!$C$25)*10000000+(N('Dvd Calendar'!$Z$2291)&gt;0)*1000000+12*1000+62))</f>
        <v/>
      </c>
      <c r="BM168" s="41">
        <f>IF(N('Dvd Calendar'!$AA$2292)=0,"",IF(('Dvd Calendar'!$AA$2292&gt;=MIN(DATE(Summary!$C$12,1,1),Summary!$C$11))*('Dvd Calendar'!$AA$2292&lt;=MAX(DATE(Summary!$C$12,12,31),Summary!$C$15))*('Dvd Calendar'!$AA$2292&gt;Summary!$C$11)=0,"",'Dvd Calendar'!$AA$2292*1000000000+ISNUMBER('Dvd Calendar'!$AA$2293)*100000000+('Dvd Calendar'!$AA$2297='Field Check'!$C$25)*10000000+(N('Dvd Calendar'!$AA$2291)&gt;0)*1000000+12*1000+63))</f>
        <v/>
      </c>
      <c r="BN168" s="41">
        <f>IF(N('Dvd Calendar'!$AB$2292)=0,"",IF(('Dvd Calendar'!$AB$2292&gt;=MIN(DATE(Summary!$C$12,1,1),Summary!$C$11))*('Dvd Calendar'!$AB$2292&lt;=MAX(DATE(Summary!$C$12,12,31),Summary!$C$15))*('Dvd Calendar'!$AB$2292&gt;Summary!$C$11)=0,"",'Dvd Calendar'!$AB$2292*1000000000+ISNUMBER('Dvd Calendar'!$AB$2293)*100000000+('Dvd Calendar'!$AB$2297='Field Check'!$C$25)*10000000+(N('Dvd Calendar'!$AB$2291)&gt;0)*1000000+12*1000+64))</f>
        <v/>
      </c>
      <c r="BO168" s="41">
        <f>IF(N('Dvd Calendar'!$AC$2292)=0,"",IF(('Dvd Calendar'!$AC$2292&gt;=MIN(DATE(Summary!$C$12,1,1),Summary!$C$11))*('Dvd Calendar'!$AC$2292&lt;=MAX(DATE(Summary!$C$12,12,31),Summary!$C$15))*('Dvd Calendar'!$AC$2292&gt;Summary!$C$11)=0,"",'Dvd Calendar'!$AC$2292*1000000000+ISNUMBER('Dvd Calendar'!$AC$2293)*100000000+('Dvd Calendar'!$AC$2297='Field Check'!$C$25)*10000000+(N('Dvd Calendar'!$AC$2291)&gt;0)*1000000+12*1000+65))</f>
        <v/>
      </c>
      <c r="BQ168" s="85">
        <f>IF(C168="","",IF(ISNUMBER('Dvd Calendar'!$E$2286)=FALSE,"",IF((Summary!$C$13="N")*('Dvd Calendar'!$E$2290='Field Check'!$C$25)&gt;0,"",'Dvd Calendar'!$E$2286)))</f>
        <v/>
      </c>
      <c r="BR168" s="85">
        <f>IF(D168="","",IF(ISNUMBER('Dvd Calendar'!$F$2286)=FALSE,"",IF((Summary!$C$13="N")*('Dvd Calendar'!$F$2290='Field Check'!$C$25)&gt;0,"",'Dvd Calendar'!$F$2286)))</f>
        <v/>
      </c>
      <c r="BS168" s="85">
        <f>IF(E168="","",IF(ISNUMBER('Dvd Calendar'!$G$2286)=FALSE,"",IF((Summary!$C$13="N")*('Dvd Calendar'!$G$2290='Field Check'!$C$25)&gt;0,"",'Dvd Calendar'!$G$2286)))</f>
        <v/>
      </c>
      <c r="BT168" s="85">
        <f>IF(F168="","",IF(ISNUMBER('Dvd Calendar'!$H$2286)=FALSE,"",IF((Summary!$C$13="N")*('Dvd Calendar'!$H$2290='Field Check'!$C$25)&gt;0,"",'Dvd Calendar'!$H$2286)))</f>
        <v/>
      </c>
      <c r="BU168" s="85">
        <f>IF(G168="","",IF(ISNUMBER('Dvd Calendar'!$I$2286)=FALSE,"",IF((Summary!$C$13="N")*('Dvd Calendar'!$I$2290='Field Check'!$C$25)&gt;0,"",'Dvd Calendar'!$I$2286)))</f>
        <v/>
      </c>
      <c r="BV168" s="85">
        <f>IF(H168="","",IF(ISNUMBER('Dvd Calendar'!$J$2286)=FALSE,"",IF((Summary!$C$13="N")*('Dvd Calendar'!$J$2290='Field Check'!$C$25)&gt;0,"",'Dvd Calendar'!$J$2286)))</f>
        <v/>
      </c>
      <c r="BW168" s="85">
        <f>IF(I168="","",IF(ISNUMBER('Dvd Calendar'!$K$2286)=FALSE,"",IF((Summary!$C$13="N")*('Dvd Calendar'!$K$2290='Field Check'!$C$25)&gt;0,"",'Dvd Calendar'!$K$2286)))</f>
        <v/>
      </c>
      <c r="BX168" s="85">
        <f>IF(J168="","",IF(ISNUMBER('Dvd Calendar'!$L$2286)=FALSE,"",IF((Summary!$C$13="N")*('Dvd Calendar'!$L$2290='Field Check'!$C$25)&gt;0,"",'Dvd Calendar'!$L$2286)))</f>
        <v/>
      </c>
      <c r="BY168" s="85">
        <f>IF(K168="","",IF(ISNUMBER('Dvd Calendar'!$M$2286)=FALSE,"",IF((Summary!$C$13="N")*('Dvd Calendar'!$M$2290='Field Check'!$C$25)&gt;0,"",'Dvd Calendar'!$M$2286)))</f>
        <v/>
      </c>
      <c r="BZ168" s="85">
        <f>IF(L168="","",IF(ISNUMBER('Dvd Calendar'!$N$2286)=FALSE,"",IF((Summary!$C$13="N")*('Dvd Calendar'!$N$2290='Field Check'!$C$25)&gt;0,"",'Dvd Calendar'!$N$2286)))</f>
        <v/>
      </c>
      <c r="CA168" s="85">
        <f>IF(M168="","",IF(ISNUMBER('Dvd Calendar'!$O$2286)=FALSE,"",IF((Summary!$C$13="N")*('Dvd Calendar'!$O$2290='Field Check'!$C$25)&gt;0,"",'Dvd Calendar'!$O$2286)))</f>
        <v/>
      </c>
      <c r="CB168" s="85">
        <f>IF(N168="","",IF(ISNUMBER('Dvd Calendar'!$P$2286)=FALSE,"",IF((Summary!$C$13="N")*('Dvd Calendar'!$P$2290='Field Check'!$C$25)&gt;0,"",'Dvd Calendar'!$P$2286)))</f>
        <v/>
      </c>
      <c r="CC168" s="85">
        <f>IF(O168="","",IF(ISNUMBER('Dvd Calendar'!$Q$2286)=FALSE,"",IF((Summary!$C$13="N")*('Dvd Calendar'!$Q$2290='Field Check'!$C$25)&gt;0,"",'Dvd Calendar'!$Q$2286)))</f>
        <v/>
      </c>
      <c r="CD168" s="85">
        <f>IF(P168="","",IF(ISNUMBER('Dvd Calendar'!$R$2286)=FALSE,"",IF((Summary!$C$13="N")*('Dvd Calendar'!$R$2290='Field Check'!$C$25)&gt;0,"",'Dvd Calendar'!$R$2286)))</f>
        <v/>
      </c>
      <c r="CE168" s="85">
        <f>IF(Q168="","",IF(ISNUMBER('Dvd Calendar'!$S$2286)=FALSE,"",IF((Summary!$C$13="N")*('Dvd Calendar'!$S$2290='Field Check'!$C$25)&gt;0,"",'Dvd Calendar'!$S$2286)))</f>
        <v/>
      </c>
      <c r="CF168" s="85">
        <f>IF(R168="","",IF(ISNUMBER('Dvd Calendar'!$T$2286)=FALSE,"",IF((Summary!$C$13="N")*('Dvd Calendar'!$T$2290='Field Check'!$C$25)&gt;0,"",'Dvd Calendar'!$T$2286)))</f>
        <v/>
      </c>
      <c r="CG168" s="85">
        <f>IF(S168="","",IF(ISNUMBER('Dvd Calendar'!$U$2286)=FALSE,"",IF((Summary!$C$13="N")*('Dvd Calendar'!$U$2290='Field Check'!$C$25)&gt;0,"",'Dvd Calendar'!$U$2286)))</f>
        <v/>
      </c>
      <c r="CH168" s="85">
        <f>IF(T168="","",IF(ISNUMBER('Dvd Calendar'!$V$2286)=FALSE,"",IF((Summary!$C$13="N")*('Dvd Calendar'!$V$2290='Field Check'!$C$25)&gt;0,"",'Dvd Calendar'!$V$2286)))</f>
        <v/>
      </c>
      <c r="CI168" s="85">
        <f>IF(U168="","",IF(ISNUMBER('Dvd Calendar'!$W$2286)=FALSE,"",IF((Summary!$C$13="N")*('Dvd Calendar'!$W$2290='Field Check'!$C$25)&gt;0,"",'Dvd Calendar'!$W$2286)))</f>
        <v/>
      </c>
      <c r="CJ168" s="85">
        <f>IF(V168="","",IF(ISNUMBER('Dvd Calendar'!$X$2286)=FALSE,"",IF((Summary!$C$13="N")*('Dvd Calendar'!$X$2290='Field Check'!$C$25)&gt;0,"",'Dvd Calendar'!$X$2286)))</f>
        <v/>
      </c>
      <c r="CK168" s="85">
        <f>IF(W168="","",IF(ISNUMBER('Dvd Calendar'!$Y$2286)=FALSE,"",IF((Summary!$C$13="N")*('Dvd Calendar'!$Y$2290='Field Check'!$C$25)&gt;0,"",'Dvd Calendar'!$Y$2286)))</f>
        <v/>
      </c>
      <c r="CL168" s="85">
        <f>IF(X168="","",IF(ISNUMBER('Dvd Calendar'!$Z$2286)=FALSE,"",IF((Summary!$C$13="N")*('Dvd Calendar'!$Z$2290='Field Check'!$C$25)&gt;0,"",'Dvd Calendar'!$Z$2286)))</f>
        <v/>
      </c>
      <c r="CM168" s="85">
        <f>IF(Y168="","",IF(ISNUMBER('Dvd Calendar'!$AA$2286)=FALSE,"",IF((Summary!$C$13="N")*('Dvd Calendar'!$AA$2290='Field Check'!$C$25)&gt;0,"",'Dvd Calendar'!$AA$2286)))</f>
        <v/>
      </c>
      <c r="CN168" s="85">
        <f>IF(Z168="","",IF(ISNUMBER('Dvd Calendar'!$AB$2286)=FALSE,"",IF((Summary!$C$13="N")*('Dvd Calendar'!$AB$2290='Field Check'!$C$25)&gt;0,"",'Dvd Calendar'!$AB$2286)))</f>
        <v/>
      </c>
      <c r="CO168" s="85">
        <f>IF(AA168="","",IF(ISNUMBER('Dvd Calendar'!$AC$2286)=FALSE,"",IF((Summary!$C$13="N")*('Dvd Calendar'!$AC$2290='Field Check'!$C$25)&gt;0,"",'Dvd Calendar'!$AC$2286)))</f>
        <v/>
      </c>
      <c r="CP168" s="85">
        <f>IF(AB168="","",IF(ISNUMBER('Dvd Calendar'!$AD$2286)=FALSE,"",IF((Summary!$C$13="N")*('Dvd Calendar'!$AD$2290='Field Check'!$C$25)&gt;0,"",'Dvd Calendar'!$AD$2286)))</f>
        <v/>
      </c>
      <c r="CQ168" s="85">
        <f>IF(AC168="","",IF(ISNUMBER('Dvd Calendar'!$AE$2286)=FALSE,"",IF((Summary!$C$13="N")*('Dvd Calendar'!$AE$2290='Field Check'!$C$25)&gt;0,"",'Dvd Calendar'!$AE$2286)))</f>
        <v/>
      </c>
      <c r="CR168" s="85">
        <f>IF(AD168="","",IF(ISNUMBER('Dvd Calendar'!$AF$2286)=FALSE,"",IF((Summary!$C$13="N")*('Dvd Calendar'!$AF$2290='Field Check'!$C$25)&gt;0,"",'Dvd Calendar'!$AF$2286)))</f>
        <v/>
      </c>
      <c r="CS168" s="85">
        <f>IF(AE168="","",IF(ISNUMBER('Dvd Calendar'!$AG$2286)=FALSE,"",IF((Summary!$C$13="N")*('Dvd Calendar'!$AG$2290='Field Check'!$C$25)&gt;0,"",'Dvd Calendar'!$AG$2286)))</f>
        <v/>
      </c>
      <c r="CT168" s="85">
        <f>IF(AF168="","",IF(ISNUMBER('Dvd Calendar'!$AH$2286)=FALSE,"",IF((Summary!$C$13="N")*('Dvd Calendar'!$AH$2290='Field Check'!$C$25)&gt;0,"",'Dvd Calendar'!$AH$2286)))</f>
        <v/>
      </c>
      <c r="CU168" s="85">
        <f>IF(AG168="","",IF(ISNUMBER('Dvd Calendar'!$AI$2286)=FALSE,"",IF((Summary!$C$13="N")*('Dvd Calendar'!$AI$2290='Field Check'!$C$25)&gt;0,"",'Dvd Calendar'!$AI$2286)))</f>
        <v/>
      </c>
      <c r="CV168" s="85">
        <f>IF(AH168="","",IF(ISNUMBER('Dvd Calendar'!$AJ$2286)=FALSE,"",IF((Summary!$C$13="N")*('Dvd Calendar'!$AJ$2290='Field Check'!$C$25)&gt;0,"",'Dvd Calendar'!$AJ$2286)))</f>
        <v/>
      </c>
      <c r="CW168" s="85">
        <f>IF(AI168="","",IF(ISNUMBER('Dvd Calendar'!$AK$2286)=FALSE,"",IF((Summary!$C$13="N")*('Dvd Calendar'!$AK$2290='Field Check'!$C$25)&gt;0,"",'Dvd Calendar'!$AK$2286)))</f>
        <v/>
      </c>
      <c r="CX168" s="85">
        <f>IF(AJ168="","",IF(ISNUMBER('Dvd Calendar'!$AL$2286)=FALSE,"",IF((Summary!$C$13="N")*('Dvd Calendar'!$AL$2290='Field Check'!$C$25)&gt;0,"",'Dvd Calendar'!$AL$2286)))</f>
        <v/>
      </c>
      <c r="CY168" s="85">
        <f>IF(AK168="","",IF(ISNUMBER('Dvd Calendar'!$AM$2286)=FALSE,"",IF((Summary!$C$13="N")*('Dvd Calendar'!$AM$2290='Field Check'!$C$25)&gt;0,"",'Dvd Calendar'!$AM$2286)))</f>
        <v/>
      </c>
      <c r="CZ168" s="85">
        <f>IF(AL168="","",IF(ISNUMBER('Dvd Calendar'!$AN$2286)=FALSE,"",IF((Summary!$C$13="N")*('Dvd Calendar'!$AN$2290='Field Check'!$C$25)&gt;0,"",'Dvd Calendar'!$AN$2286)))</f>
        <v/>
      </c>
      <c r="DA168" s="85">
        <f>IF(AM168="","",IF(ISNUMBER('Dvd Calendar'!$AO$2286)=FALSE,"",IF((Summary!$C$13="N")*('Dvd Calendar'!$AO$2290='Field Check'!$C$25)&gt;0,"",'Dvd Calendar'!$AO$2286)))</f>
        <v/>
      </c>
      <c r="DB168" s="85">
        <f>IF(AN168="","",IF(ISNUMBER('Dvd Calendar'!$AP$2286)=FALSE,"",IF((Summary!$C$13="N")*('Dvd Calendar'!$AP$2290='Field Check'!$C$25)&gt;0,"",'Dvd Calendar'!$AP$2286)))</f>
        <v/>
      </c>
      <c r="DC168" s="85">
        <f>IF(AO168="","",IF(ISNUMBER('Dvd Calendar'!$AQ$2286)=FALSE,"",IF((Summary!$C$13="N")*('Dvd Calendar'!$AQ$2290='Field Check'!$C$25)&gt;0,"",'Dvd Calendar'!$AQ$2286)))</f>
        <v/>
      </c>
      <c r="DD168" s="85">
        <f>IF(AP168="","",IF(ISNUMBER('Dvd Calendar'!$AR$2286)=FALSE,"",IF((Summary!$C$13="N")*('Dvd Calendar'!$AR$2290='Field Check'!$C$25)&gt;0,"",'Dvd Calendar'!$AR$2286)))</f>
        <v/>
      </c>
      <c r="DE168" s="85">
        <f>IF(AQ168="","",IF(ISNUMBER('Dvd Calendar'!$E$2293)=FALSE,"",IF((Summary!$C$13="N")*('Dvd Calendar'!$E$2297='Field Check'!$C$25)&gt;0,"",'Dvd Calendar'!$E$2293)))</f>
        <v/>
      </c>
      <c r="DF168" s="85">
        <f>IF(AR168="","",IF(ISNUMBER('Dvd Calendar'!$F$2293)=FALSE,"",IF((Summary!$C$13="N")*('Dvd Calendar'!$F$2297='Field Check'!$C$25)&gt;0,"",'Dvd Calendar'!$F$2293)))</f>
        <v/>
      </c>
      <c r="DG168" s="85">
        <f>IF(AS168="","",IF(ISNUMBER('Dvd Calendar'!$G$2293)=FALSE,"",IF((Summary!$C$13="N")*('Dvd Calendar'!$G$2297='Field Check'!$C$25)&gt;0,"",'Dvd Calendar'!$G$2293)))</f>
        <v/>
      </c>
      <c r="DH168" s="85">
        <f>IF(AT168="","",IF(ISNUMBER('Dvd Calendar'!$H$2293)=FALSE,"",IF((Summary!$C$13="N")*('Dvd Calendar'!$H$2297='Field Check'!$C$25)&gt;0,"",'Dvd Calendar'!$H$2293)))</f>
        <v/>
      </c>
      <c r="DI168" s="85">
        <f>IF(AU168="","",IF(ISNUMBER('Dvd Calendar'!$I$2293)=FALSE,"",IF((Summary!$C$13="N")*('Dvd Calendar'!$I$2297='Field Check'!$C$25)&gt;0,"",'Dvd Calendar'!$I$2293)))</f>
        <v/>
      </c>
      <c r="DJ168" s="85">
        <f>IF(AV168="","",IF(ISNUMBER('Dvd Calendar'!$J$2293)=FALSE,"",IF((Summary!$C$13="N")*('Dvd Calendar'!$J$2297='Field Check'!$C$25)&gt;0,"",'Dvd Calendar'!$J$2293)))</f>
        <v/>
      </c>
      <c r="DK168" s="85">
        <f>IF(AW168="","",IF(ISNUMBER('Dvd Calendar'!$K$2293)=FALSE,"",IF((Summary!$C$13="N")*('Dvd Calendar'!$K$2297='Field Check'!$C$25)&gt;0,"",'Dvd Calendar'!$K$2293)))</f>
        <v/>
      </c>
      <c r="DL168" s="85">
        <f>IF(AX168="","",IF(ISNUMBER('Dvd Calendar'!$L$2293)=FALSE,"",IF((Summary!$C$13="N")*('Dvd Calendar'!$L$2297='Field Check'!$C$25)&gt;0,"",'Dvd Calendar'!$L$2293)))</f>
        <v/>
      </c>
      <c r="DM168" s="85">
        <f>IF(AY168="","",IF(ISNUMBER('Dvd Calendar'!$M$2293)=FALSE,"",IF((Summary!$C$13="N")*('Dvd Calendar'!$M$2297='Field Check'!$C$25)&gt;0,"",'Dvd Calendar'!$M$2293)))</f>
        <v/>
      </c>
      <c r="DN168" s="85">
        <f>IF(AZ168="","",IF(ISNUMBER('Dvd Calendar'!$N$2293)=FALSE,"",IF((Summary!$C$13="N")*('Dvd Calendar'!$N$2297='Field Check'!$C$25)&gt;0,"",'Dvd Calendar'!$N$2293)))</f>
        <v/>
      </c>
      <c r="DO168" s="85">
        <f>IF(BA168="","",IF(ISNUMBER('Dvd Calendar'!$O$2293)=FALSE,"",IF((Summary!$C$13="N")*('Dvd Calendar'!$O$2297='Field Check'!$C$25)&gt;0,"",'Dvd Calendar'!$O$2293)))</f>
        <v/>
      </c>
      <c r="DP168" s="85">
        <f>IF(BB168="","",IF(ISNUMBER('Dvd Calendar'!$P$2293)=FALSE,"",IF((Summary!$C$13="N")*('Dvd Calendar'!$P$2297='Field Check'!$C$25)&gt;0,"",'Dvd Calendar'!$P$2293)))</f>
        <v/>
      </c>
      <c r="DQ168" s="85">
        <f>IF(BC168="","",IF(ISNUMBER('Dvd Calendar'!$Q$2293)=FALSE,"",IF((Summary!$C$13="N")*('Dvd Calendar'!$Q$2297='Field Check'!$C$25)&gt;0,"",'Dvd Calendar'!$Q$2293)))</f>
        <v/>
      </c>
      <c r="DR168" s="85">
        <f>IF(BD168="","",IF(ISNUMBER('Dvd Calendar'!$R$2293)=FALSE,"",IF((Summary!$C$13="N")*('Dvd Calendar'!$R$2297='Field Check'!$C$25)&gt;0,"",'Dvd Calendar'!$R$2293)))</f>
        <v/>
      </c>
      <c r="DS168" s="85">
        <f>IF(BE168="","",IF(ISNUMBER('Dvd Calendar'!$S$2293)=FALSE,"",IF((Summary!$C$13="N")*('Dvd Calendar'!$S$2297='Field Check'!$C$25)&gt;0,"",'Dvd Calendar'!$S$2293)))</f>
        <v/>
      </c>
      <c r="DT168" s="85">
        <f>IF(BF168="","",IF(ISNUMBER('Dvd Calendar'!$T$2293)=FALSE,"",IF((Summary!$C$13="N")*('Dvd Calendar'!$T$2297='Field Check'!$C$25)&gt;0,"",'Dvd Calendar'!$T$2293)))</f>
        <v/>
      </c>
      <c r="DU168" s="85">
        <f>IF(BG168="","",IF(ISNUMBER('Dvd Calendar'!$U$2293)=FALSE,"",IF((Summary!$C$13="N")*('Dvd Calendar'!$U$2297='Field Check'!$C$25)&gt;0,"",'Dvd Calendar'!$U$2293)))</f>
        <v/>
      </c>
      <c r="DV168" s="85">
        <f>IF(BH168="","",IF(ISNUMBER('Dvd Calendar'!$V$2293)=FALSE,"",IF((Summary!$C$13="N")*('Dvd Calendar'!$V$2297='Field Check'!$C$25)&gt;0,"",'Dvd Calendar'!$V$2293)))</f>
        <v/>
      </c>
      <c r="DW168" s="85">
        <f>IF(BI168="","",IF(ISNUMBER('Dvd Calendar'!$W$2293)=FALSE,"",IF((Summary!$C$13="N")*('Dvd Calendar'!$W$2297='Field Check'!$C$25)&gt;0,"",'Dvd Calendar'!$W$2293)))</f>
        <v/>
      </c>
      <c r="DX168" s="85">
        <f>IF(BJ168="","",IF(ISNUMBER('Dvd Calendar'!$X$2293)=FALSE,"",IF((Summary!$C$13="N")*('Dvd Calendar'!$X$2297='Field Check'!$C$25)&gt;0,"",'Dvd Calendar'!$X$2293)))</f>
        <v/>
      </c>
      <c r="DY168" s="85">
        <f>IF(BK168="","",IF(ISNUMBER('Dvd Calendar'!$Y$2293)=FALSE,"",IF((Summary!$C$13="N")*('Dvd Calendar'!$Y$2297='Field Check'!$C$25)&gt;0,"",'Dvd Calendar'!$Y$2293)))</f>
        <v/>
      </c>
      <c r="DZ168" s="85">
        <f>IF(BL168="","",IF(ISNUMBER('Dvd Calendar'!$Z$2293)=FALSE,"",IF((Summary!$C$13="N")*('Dvd Calendar'!$Z$2297='Field Check'!$C$25)&gt;0,"",'Dvd Calendar'!$Z$2293)))</f>
        <v/>
      </c>
      <c r="EA168" s="85">
        <f>IF(BM168="","",IF(ISNUMBER('Dvd Calendar'!$AA$2293)=FALSE,"",IF((Summary!$C$13="N")*('Dvd Calendar'!$AA$2297='Field Check'!$C$25)&gt;0,"",'Dvd Calendar'!$AA$2293)))</f>
        <v/>
      </c>
      <c r="EB168" s="85">
        <f>IF(BN168="","",IF(ISNUMBER('Dvd Calendar'!$AB$2293)=FALSE,"",IF((Summary!$C$13="N")*('Dvd Calendar'!$AB$2297='Field Check'!$C$25)&gt;0,"",'Dvd Calendar'!$AB$2293)))</f>
        <v/>
      </c>
      <c r="EC168" s="85">
        <f>IF(BO168="","",IF(ISNUMBER('Dvd Calendar'!$AC$2293)=FALSE,"",IF((Summary!$C$13="N")*('Dvd Calendar'!$AC$2297='Field Check'!$C$25)&gt;0,"",'Dvd Calendar'!$AC$2293)))</f>
        <v/>
      </c>
      <c r="EE168" s="85">
        <f>IF(BQ168="","",IFERROR(BQ168*HSCEI!$B$18*HSCEI!$G$18/HSCEI!$B$3,""))</f>
        <v/>
      </c>
      <c r="EF168" s="85">
        <f>IF(BR168="","",IFERROR(BR168*HSCEI!$B$18*HSCEI!$G$18/HSCEI!$B$3,""))</f>
        <v/>
      </c>
      <c r="EG168" s="85">
        <f>IF(BS168="","",IFERROR(BS168*HSCEI!$B$18*HSCEI!$G$18/HSCEI!$B$3,""))</f>
        <v/>
      </c>
      <c r="EH168" s="85">
        <f>IF(BT168="","",IFERROR(BT168*HSCEI!$B$18*HSCEI!$G$18/HSCEI!$B$3,""))</f>
        <v/>
      </c>
      <c r="EI168" s="85">
        <f>IF(BU168="","",IFERROR(BU168*HSCEI!$B$18*HSCEI!$G$18/HSCEI!$B$3,""))</f>
        <v/>
      </c>
      <c r="EJ168" s="85">
        <f>IF(BV168="","",IFERROR(BV168*HSCEI!$B$18*HSCEI!$G$18/HSCEI!$B$3,""))</f>
        <v/>
      </c>
      <c r="EK168" s="85">
        <f>IF(BW168="","",IFERROR(BW168*HSCEI!$B$18*HSCEI!$G$18/HSCEI!$B$3,""))</f>
        <v/>
      </c>
      <c r="EL168" s="85">
        <f>IF(BX168="","",IFERROR(BX168*HSCEI!$B$18*HSCEI!$G$18/HSCEI!$B$3,""))</f>
        <v/>
      </c>
      <c r="EM168" s="85">
        <f>IF(BY168="","",IFERROR(BY168*HSCEI!$B$18*HSCEI!$G$18/HSCEI!$B$3,""))</f>
        <v/>
      </c>
      <c r="EN168" s="85">
        <f>IF(BZ168="","",IFERROR(BZ168*HSCEI!$B$18*HSCEI!$G$18/HSCEI!$B$3,""))</f>
        <v/>
      </c>
      <c r="EO168" s="85">
        <f>IF(CA168="","",IFERROR(CA168*HSCEI!$B$18*HSCEI!$G$18/HSCEI!$B$3,""))</f>
        <v/>
      </c>
      <c r="EP168" s="85">
        <f>IF(CB168="","",IFERROR(CB168*HSCEI!$B$18*HSCEI!$G$18/HSCEI!$B$3,""))</f>
        <v/>
      </c>
      <c r="EQ168" s="85">
        <f>IF(CC168="","",IFERROR(CC168*HSCEI!$B$18*HSCEI!$G$18/HSCEI!$B$3,""))</f>
        <v/>
      </c>
      <c r="ER168" s="85">
        <f>IF(CD168="","",IFERROR(CD168*HSCEI!$B$18*HSCEI!$G$18/HSCEI!$B$3,""))</f>
        <v/>
      </c>
      <c r="ES168" s="85">
        <f>IF(CE168="","",IFERROR(CE168*HSCEI!$B$18*HSCEI!$G$18/HSCEI!$B$3,""))</f>
        <v/>
      </c>
      <c r="ET168" s="85">
        <f>IF(CF168="","",IFERROR(CF168*HSCEI!$B$18*HSCEI!$G$18/HSCEI!$B$3,""))</f>
        <v/>
      </c>
      <c r="EU168" s="85">
        <f>IF(CG168="","",IFERROR(CG168*HSCEI!$B$18*HSCEI!$G$18/HSCEI!$B$3,""))</f>
        <v/>
      </c>
      <c r="EV168" s="85">
        <f>IF(CH168="","",IFERROR(CH168*HSCEI!$B$18*HSCEI!$G$18/HSCEI!$B$3,""))</f>
        <v/>
      </c>
      <c r="EW168" s="85">
        <f>IF(CI168="","",IFERROR(CI168*HSCEI!$B$18*HSCEI!$G$18/HSCEI!$B$3,""))</f>
        <v/>
      </c>
      <c r="EX168" s="85">
        <f>IF(CJ168="","",IFERROR(CJ168*HSCEI!$B$18*HSCEI!$G$18/HSCEI!$B$3,""))</f>
        <v/>
      </c>
      <c r="EY168" s="85">
        <f>IF(CK168="","",IFERROR(CK168*HSCEI!$B$18*HSCEI!$G$18/HSCEI!$B$3,""))</f>
        <v/>
      </c>
      <c r="EZ168" s="85">
        <f>IF(CL168="","",IFERROR(CL168*HSCEI!$B$18*HSCEI!$G$18/HSCEI!$B$3,""))</f>
        <v/>
      </c>
      <c r="FA168" s="85">
        <f>IF(CM168="","",IFERROR(CM168*HSCEI!$B$18*HSCEI!$G$18/HSCEI!$B$3,""))</f>
        <v/>
      </c>
      <c r="FB168" s="85">
        <f>IF(CN168="","",IFERROR(CN168*HSCEI!$B$18*HSCEI!$G$18/HSCEI!$B$3,""))</f>
        <v/>
      </c>
      <c r="FC168" s="85">
        <f>IF(CO168="","",IFERROR(CO168*HSCEI!$B$18*HSCEI!$G$18/HSCEI!$B$3,""))</f>
        <v/>
      </c>
      <c r="FD168" s="85">
        <f>IF(CP168="","",IFERROR(CP168*HSCEI!$B$18*HSCEI!$G$18/HSCEI!$B$3,""))</f>
        <v/>
      </c>
      <c r="FE168" s="85">
        <f>IF(CQ168="","",IFERROR(CQ168*HSCEI!$B$18*HSCEI!$G$18/HSCEI!$B$3,""))</f>
        <v/>
      </c>
      <c r="FF168" s="85">
        <f>IF(CR168="","",IFERROR(CR168*HSCEI!$B$18*HSCEI!$G$18/HSCEI!$B$3,""))</f>
        <v/>
      </c>
      <c r="FG168" s="85">
        <f>IF(CS168="","",IFERROR(CS168*HSCEI!$B$18*HSCEI!$G$18/HSCEI!$B$3,""))</f>
        <v/>
      </c>
      <c r="FH168" s="85">
        <f>IF(CT168="","",IFERROR(CT168*HSCEI!$B$18*HSCEI!$G$18/HSCEI!$B$3,""))</f>
        <v/>
      </c>
      <c r="FI168" s="85">
        <f>IF(CU168="","",IFERROR(CU168*HSCEI!$B$18*HSCEI!$G$18/HSCEI!$B$3,""))</f>
        <v/>
      </c>
      <c r="FJ168" s="85">
        <f>IF(CV168="","",IFERROR(CV168*HSCEI!$B$18*HSCEI!$G$18/HSCEI!$B$3,""))</f>
        <v/>
      </c>
      <c r="FK168" s="85">
        <f>IF(CW168="","",IFERROR(CW168*HSCEI!$B$18*HSCEI!$G$18/HSCEI!$B$3,""))</f>
        <v/>
      </c>
      <c r="FL168" s="85">
        <f>IF(CX168="","",IFERROR(CX168*HSCEI!$B$18*HSCEI!$G$18/HSCEI!$B$3,""))</f>
        <v/>
      </c>
      <c r="FM168" s="85">
        <f>IF(CY168="","",IFERROR(CY168*HSCEI!$B$18*HSCEI!$G$18/HSCEI!$B$3,""))</f>
        <v/>
      </c>
      <c r="FN168" s="85">
        <f>IF(CZ168="","",IFERROR(CZ168*HSCEI!$B$18*HSCEI!$G$18/HSCEI!$B$3,""))</f>
        <v/>
      </c>
      <c r="FO168" s="85">
        <f>IF(DA168="","",IFERROR(DA168*HSCEI!$B$18*HSCEI!$G$18/HSCEI!$B$3,""))</f>
        <v/>
      </c>
      <c r="FP168" s="85">
        <f>IF(DB168="","",IFERROR(DB168*HSCEI!$B$18*HSCEI!$G$18/HSCEI!$B$3,""))</f>
        <v/>
      </c>
      <c r="FQ168" s="85">
        <f>IF(DC168="","",IFERROR(DC168*HSCEI!$B$18*HSCEI!$G$18/HSCEI!$B$3,""))</f>
        <v/>
      </c>
      <c r="FR168" s="85">
        <f>IF(DD168="","",IFERROR(DD168*HSCEI!$B$18*HSCEI!$G$18/HSCEI!$B$3,""))</f>
        <v/>
      </c>
      <c r="FS168" s="85">
        <f>IF(DE168="","",IFERROR(DE168*HSCEI!$B$18*HSCEI!$G$18/HSCEI!$B$3,""))</f>
        <v/>
      </c>
      <c r="FT168" s="85">
        <f>IF(DF168="","",IFERROR(DF168*HSCEI!$B$18*HSCEI!$G$18/HSCEI!$B$3,""))</f>
        <v/>
      </c>
      <c r="FU168" s="85">
        <f>IF(DG168="","",IFERROR(DG168*HSCEI!$B$18*HSCEI!$G$18/HSCEI!$B$3,""))</f>
        <v/>
      </c>
      <c r="FV168" s="85">
        <f>IF(DH168="","",IFERROR(DH168*HSCEI!$B$18*HSCEI!$G$18/HSCEI!$B$3,""))</f>
        <v/>
      </c>
      <c r="FW168" s="85">
        <f>IF(DI168="","",IFERROR(DI168*HSCEI!$B$18*HSCEI!$G$18/HSCEI!$B$3,""))</f>
        <v/>
      </c>
      <c r="FX168" s="85">
        <f>IF(DJ168="","",IFERROR(DJ168*HSCEI!$B$18*HSCEI!$G$18/HSCEI!$B$3,""))</f>
        <v/>
      </c>
      <c r="FY168" s="85">
        <f>IF(DK168="","",IFERROR(DK168*HSCEI!$B$18*HSCEI!$G$18/HSCEI!$B$3,""))</f>
        <v/>
      </c>
      <c r="FZ168" s="85">
        <f>IF(DL168="","",IFERROR(DL168*HSCEI!$B$18*HSCEI!$G$18/HSCEI!$B$3,""))</f>
        <v/>
      </c>
      <c r="GA168" s="85">
        <f>IF(DM168="","",IFERROR(DM168*HSCEI!$B$18*HSCEI!$G$18/HSCEI!$B$3,""))</f>
        <v/>
      </c>
      <c r="GB168" s="85">
        <f>IF(DN168="","",IFERROR(DN168*HSCEI!$B$18*HSCEI!$G$18/HSCEI!$B$3,""))</f>
        <v/>
      </c>
      <c r="GC168" s="85">
        <f>IF(DO168="","",IFERROR(DO168*HSCEI!$B$18*HSCEI!$G$18/HSCEI!$B$3,""))</f>
        <v/>
      </c>
      <c r="GD168" s="85">
        <f>IF(DP168="","",IFERROR(DP168*HSCEI!$B$18*HSCEI!$G$18/HSCEI!$B$3,""))</f>
        <v/>
      </c>
      <c r="GE168" s="85">
        <f>IF(DQ168="","",IFERROR(DQ168*HSCEI!$B$18*HSCEI!$G$18/HSCEI!$B$3,""))</f>
        <v/>
      </c>
      <c r="GF168" s="85">
        <f>IF(DR168="","",IFERROR(DR168*HSCEI!$B$18*HSCEI!$G$18/HSCEI!$B$3,""))</f>
        <v/>
      </c>
      <c r="GG168" s="85">
        <f>IF(DS168="","",IFERROR(DS168*HSCEI!$B$18*HSCEI!$G$18/HSCEI!$B$3,""))</f>
        <v/>
      </c>
      <c r="GH168" s="85">
        <f>IF(DT168="","",IFERROR(DT168*HSCEI!$B$18*HSCEI!$G$18/HSCEI!$B$3,""))</f>
        <v/>
      </c>
      <c r="GI168" s="85">
        <f>IF(DU168="","",IFERROR(DU168*HSCEI!$B$18*HSCEI!$G$18/HSCEI!$B$3,""))</f>
        <v/>
      </c>
      <c r="GJ168" s="85">
        <f>IF(DV168="","",IFERROR(DV168*HSCEI!$B$18*HSCEI!$G$18/HSCEI!$B$3,""))</f>
        <v/>
      </c>
      <c r="GK168" s="85">
        <f>IF(DW168="","",IFERROR(DW168*HSCEI!$B$18*HSCEI!$G$18/HSCEI!$B$3,""))</f>
        <v/>
      </c>
      <c r="GL168" s="85">
        <f>IF(DX168="","",IFERROR(DX168*HSCEI!$B$18*HSCEI!$G$18/HSCEI!$B$3,""))</f>
        <v/>
      </c>
      <c r="GM168" s="85">
        <f>IF(DY168="","",IFERROR(DY168*HSCEI!$B$18*HSCEI!$G$18/HSCEI!$B$3,""))</f>
        <v/>
      </c>
      <c r="GN168" s="85">
        <f>IF(DZ168="","",IFERROR(DZ168*HSCEI!$B$18*HSCEI!$G$18/HSCEI!$B$3,""))</f>
        <v/>
      </c>
      <c r="GO168" s="85">
        <f>IF(EA168="","",IFERROR(EA168*HSCEI!$B$18*HSCEI!$G$18/HSCEI!$B$3,""))</f>
        <v/>
      </c>
      <c r="GP168" s="85">
        <f>IF(EB168="","",IFERROR(EB168*HSCEI!$B$18*HSCEI!$G$18/HSCEI!$B$3,""))</f>
        <v/>
      </c>
      <c r="GQ168" s="85">
        <f>IF(EC168="","",IFERROR(EC168*HSCEI!$B$18*HSCEI!$G$18/HSCEI!$B$3,""))</f>
        <v/>
      </c>
    </row>
    <row r="169">
      <c r="B169" s="2">
        <f>IF(HSCEI!$C$19="","",HSCEI!$C$19)</f>
        <v/>
      </c>
      <c r="C169" s="41">
        <f>IF(N('Dvd Calendar'!$E$2300)=0,"",IF(('Dvd Calendar'!$E$2300&gt;=MIN(DATE(Summary!$C$12,1,1),Summary!$C$11))*('Dvd Calendar'!$E$2300&lt;=MAX(DATE(Summary!$C$12,12,31),Summary!$C$15))*('Dvd Calendar'!$E$2300&lt;=Summary!$C$11)=0,"",'Dvd Calendar'!$E$2300*1000000000+ISNUMBER('Dvd Calendar'!$E$2301)*100000000+('Dvd Calendar'!$E$2305='Field Check'!$C$25)*10000000+(N('Dvd Calendar'!$E$2299)&gt;0)*1000000+13*1000+1))</f>
        <v/>
      </c>
      <c r="D169" s="41">
        <f>IF(N('Dvd Calendar'!$F$2300)=0,"",IF(('Dvd Calendar'!$F$2300&gt;=MIN(DATE(Summary!$C$12,1,1),Summary!$C$11))*('Dvd Calendar'!$F$2300&lt;=MAX(DATE(Summary!$C$12,12,31),Summary!$C$15))*('Dvd Calendar'!$F$2300&lt;=Summary!$C$11)=0,"",'Dvd Calendar'!$F$2300*1000000000+ISNUMBER('Dvd Calendar'!$F$2301)*100000000+('Dvd Calendar'!$F$2305='Field Check'!$C$25)*10000000+(N('Dvd Calendar'!$F$2299)&gt;0)*1000000+13*1000+2))</f>
        <v/>
      </c>
      <c r="E169" s="41">
        <f>IF(N('Dvd Calendar'!$G$2300)=0,"",IF(('Dvd Calendar'!$G$2300&gt;=MIN(DATE(Summary!$C$12,1,1),Summary!$C$11))*('Dvd Calendar'!$G$2300&lt;=MAX(DATE(Summary!$C$12,12,31),Summary!$C$15))*('Dvd Calendar'!$G$2300&lt;=Summary!$C$11)=0,"",'Dvd Calendar'!$G$2300*1000000000+ISNUMBER('Dvd Calendar'!$G$2301)*100000000+('Dvd Calendar'!$G$2305='Field Check'!$C$25)*10000000+(N('Dvd Calendar'!$G$2299)&gt;0)*1000000+13*1000+3))</f>
        <v/>
      </c>
      <c r="F169" s="41">
        <f>IF(N('Dvd Calendar'!$H$2300)=0,"",IF(('Dvd Calendar'!$H$2300&gt;=MIN(DATE(Summary!$C$12,1,1),Summary!$C$11))*('Dvd Calendar'!$H$2300&lt;=MAX(DATE(Summary!$C$12,12,31),Summary!$C$15))*('Dvd Calendar'!$H$2300&lt;=Summary!$C$11)=0,"",'Dvd Calendar'!$H$2300*1000000000+ISNUMBER('Dvd Calendar'!$H$2301)*100000000+('Dvd Calendar'!$H$2305='Field Check'!$C$25)*10000000+(N('Dvd Calendar'!$H$2299)&gt;0)*1000000+13*1000+4))</f>
        <v/>
      </c>
      <c r="G169" s="41">
        <f>IF(N('Dvd Calendar'!$I$2300)=0,"",IF(('Dvd Calendar'!$I$2300&gt;=MIN(DATE(Summary!$C$12,1,1),Summary!$C$11))*('Dvd Calendar'!$I$2300&lt;=MAX(DATE(Summary!$C$12,12,31),Summary!$C$15))*('Dvd Calendar'!$I$2300&lt;=Summary!$C$11)=0,"",'Dvd Calendar'!$I$2300*1000000000+ISNUMBER('Dvd Calendar'!$I$2301)*100000000+('Dvd Calendar'!$I$2305='Field Check'!$C$25)*10000000+(N('Dvd Calendar'!$I$2299)&gt;0)*1000000+13*1000+5))</f>
        <v/>
      </c>
      <c r="H169" s="41">
        <f>IF(N('Dvd Calendar'!$J$2300)=0,"",IF(('Dvd Calendar'!$J$2300&gt;=MIN(DATE(Summary!$C$12,1,1),Summary!$C$11))*('Dvd Calendar'!$J$2300&lt;=MAX(DATE(Summary!$C$12,12,31),Summary!$C$15))*('Dvd Calendar'!$J$2300&lt;=Summary!$C$11)=0,"",'Dvd Calendar'!$J$2300*1000000000+ISNUMBER('Dvd Calendar'!$J$2301)*100000000+('Dvd Calendar'!$J$2305='Field Check'!$C$25)*10000000+(N('Dvd Calendar'!$J$2299)&gt;0)*1000000+13*1000+6))</f>
        <v/>
      </c>
      <c r="I169" s="41">
        <f>IF(N('Dvd Calendar'!$K$2300)=0,"",IF(('Dvd Calendar'!$K$2300&gt;=MIN(DATE(Summary!$C$12,1,1),Summary!$C$11))*('Dvd Calendar'!$K$2300&lt;=MAX(DATE(Summary!$C$12,12,31),Summary!$C$15))*('Dvd Calendar'!$K$2300&lt;=Summary!$C$11)=0,"",'Dvd Calendar'!$K$2300*1000000000+ISNUMBER('Dvd Calendar'!$K$2301)*100000000+('Dvd Calendar'!$K$2305='Field Check'!$C$25)*10000000+(N('Dvd Calendar'!$K$2299)&gt;0)*1000000+13*1000+7))</f>
        <v/>
      </c>
      <c r="J169" s="41">
        <f>IF(N('Dvd Calendar'!$L$2300)=0,"",IF(('Dvd Calendar'!$L$2300&gt;=MIN(DATE(Summary!$C$12,1,1),Summary!$C$11))*('Dvd Calendar'!$L$2300&lt;=MAX(DATE(Summary!$C$12,12,31),Summary!$C$15))*('Dvd Calendar'!$L$2300&lt;=Summary!$C$11)=0,"",'Dvd Calendar'!$L$2300*1000000000+ISNUMBER('Dvd Calendar'!$L$2301)*100000000+('Dvd Calendar'!$L$2305='Field Check'!$C$25)*10000000+(N('Dvd Calendar'!$L$2299)&gt;0)*1000000+13*1000+8))</f>
        <v/>
      </c>
      <c r="K169" s="41">
        <f>IF(N('Dvd Calendar'!$M$2300)=0,"",IF(('Dvd Calendar'!$M$2300&gt;=MIN(DATE(Summary!$C$12,1,1),Summary!$C$11))*('Dvd Calendar'!$M$2300&lt;=MAX(DATE(Summary!$C$12,12,31),Summary!$C$15))*('Dvd Calendar'!$M$2300&lt;=Summary!$C$11)=0,"",'Dvd Calendar'!$M$2300*1000000000+ISNUMBER('Dvd Calendar'!$M$2301)*100000000+('Dvd Calendar'!$M$2305='Field Check'!$C$25)*10000000+(N('Dvd Calendar'!$M$2299)&gt;0)*1000000+13*1000+9))</f>
        <v/>
      </c>
      <c r="L169" s="41">
        <f>IF(N('Dvd Calendar'!$N$2300)=0,"",IF(('Dvd Calendar'!$N$2300&gt;=MIN(DATE(Summary!$C$12,1,1),Summary!$C$11))*('Dvd Calendar'!$N$2300&lt;=MAX(DATE(Summary!$C$12,12,31),Summary!$C$15))*('Dvd Calendar'!$N$2300&lt;=Summary!$C$11)=0,"",'Dvd Calendar'!$N$2300*1000000000+ISNUMBER('Dvd Calendar'!$N$2301)*100000000+('Dvd Calendar'!$N$2305='Field Check'!$C$25)*10000000+(N('Dvd Calendar'!$N$2299)&gt;0)*1000000+13*1000+10))</f>
        <v/>
      </c>
      <c r="M169" s="41">
        <f>IF(N('Dvd Calendar'!$O$2300)=0,"",IF(('Dvd Calendar'!$O$2300&gt;=MIN(DATE(Summary!$C$12,1,1),Summary!$C$11))*('Dvd Calendar'!$O$2300&lt;=MAX(DATE(Summary!$C$12,12,31),Summary!$C$15))*('Dvd Calendar'!$O$2300&lt;=Summary!$C$11)=0,"",'Dvd Calendar'!$O$2300*1000000000+ISNUMBER('Dvd Calendar'!$O$2301)*100000000+('Dvd Calendar'!$O$2305='Field Check'!$C$25)*10000000+(N('Dvd Calendar'!$O$2299)&gt;0)*1000000+13*1000+11))</f>
        <v/>
      </c>
      <c r="N169" s="41">
        <f>IF(N('Dvd Calendar'!$P$2300)=0,"",IF(('Dvd Calendar'!$P$2300&gt;=MIN(DATE(Summary!$C$12,1,1),Summary!$C$11))*('Dvd Calendar'!$P$2300&lt;=MAX(DATE(Summary!$C$12,12,31),Summary!$C$15))*('Dvd Calendar'!$P$2300&lt;=Summary!$C$11)=0,"",'Dvd Calendar'!$P$2300*1000000000+ISNUMBER('Dvd Calendar'!$P$2301)*100000000+('Dvd Calendar'!$P$2305='Field Check'!$C$25)*10000000+(N('Dvd Calendar'!$P$2299)&gt;0)*1000000+13*1000+12))</f>
        <v/>
      </c>
      <c r="O169" s="41">
        <f>IF(N('Dvd Calendar'!$Q$2300)=0,"",IF(('Dvd Calendar'!$Q$2300&gt;=MIN(DATE(Summary!$C$12,1,1),Summary!$C$11))*('Dvd Calendar'!$Q$2300&lt;=MAX(DATE(Summary!$C$12,12,31),Summary!$C$15))*('Dvd Calendar'!$Q$2300&lt;=Summary!$C$11)=0,"",'Dvd Calendar'!$Q$2300*1000000000+ISNUMBER('Dvd Calendar'!$Q$2301)*100000000+('Dvd Calendar'!$Q$2305='Field Check'!$C$25)*10000000+(N('Dvd Calendar'!$Q$2299)&gt;0)*1000000+13*1000+13))</f>
        <v/>
      </c>
      <c r="P169" s="41">
        <f>IF(N('Dvd Calendar'!$R$2300)=0,"",IF(('Dvd Calendar'!$R$2300&gt;=MIN(DATE(Summary!$C$12,1,1),Summary!$C$11))*('Dvd Calendar'!$R$2300&lt;=MAX(DATE(Summary!$C$12,12,31),Summary!$C$15))*('Dvd Calendar'!$R$2300&lt;=Summary!$C$11)=0,"",'Dvd Calendar'!$R$2300*1000000000+ISNUMBER('Dvd Calendar'!$R$2301)*100000000+('Dvd Calendar'!$R$2305='Field Check'!$C$25)*10000000+(N('Dvd Calendar'!$R$2299)&gt;0)*1000000+13*1000+14))</f>
        <v/>
      </c>
      <c r="Q169" s="41">
        <f>IF(N('Dvd Calendar'!$S$2300)=0,"",IF(('Dvd Calendar'!$S$2300&gt;=MIN(DATE(Summary!$C$12,1,1),Summary!$C$11))*('Dvd Calendar'!$S$2300&lt;=MAX(DATE(Summary!$C$12,12,31),Summary!$C$15))*('Dvd Calendar'!$S$2300&lt;=Summary!$C$11)=0,"",'Dvd Calendar'!$S$2300*1000000000+ISNUMBER('Dvd Calendar'!$S$2301)*100000000+('Dvd Calendar'!$S$2305='Field Check'!$C$25)*10000000+(N('Dvd Calendar'!$S$2299)&gt;0)*1000000+13*1000+15))</f>
        <v/>
      </c>
      <c r="R169" s="41">
        <f>IF(N('Dvd Calendar'!$T$2300)=0,"",IF(('Dvd Calendar'!$T$2300&gt;=MIN(DATE(Summary!$C$12,1,1),Summary!$C$11))*('Dvd Calendar'!$T$2300&lt;=MAX(DATE(Summary!$C$12,12,31),Summary!$C$15))*('Dvd Calendar'!$T$2300&lt;=Summary!$C$11)=0,"",'Dvd Calendar'!$T$2300*1000000000+ISNUMBER('Dvd Calendar'!$T$2301)*100000000+('Dvd Calendar'!$T$2305='Field Check'!$C$25)*10000000+(N('Dvd Calendar'!$T$2299)&gt;0)*1000000+13*1000+16))</f>
        <v/>
      </c>
      <c r="S169" s="41">
        <f>IF(N('Dvd Calendar'!$U$2300)=0,"",IF(('Dvd Calendar'!$U$2300&gt;=MIN(DATE(Summary!$C$12,1,1),Summary!$C$11))*('Dvd Calendar'!$U$2300&lt;=MAX(DATE(Summary!$C$12,12,31),Summary!$C$15))*('Dvd Calendar'!$U$2300&lt;=Summary!$C$11)=0,"",'Dvd Calendar'!$U$2300*1000000000+ISNUMBER('Dvd Calendar'!$U$2301)*100000000+('Dvd Calendar'!$U$2305='Field Check'!$C$25)*10000000+(N('Dvd Calendar'!$U$2299)&gt;0)*1000000+13*1000+17))</f>
        <v/>
      </c>
      <c r="T169" s="41">
        <f>IF(N('Dvd Calendar'!$V$2300)=0,"",IF(('Dvd Calendar'!$V$2300&gt;=MIN(DATE(Summary!$C$12,1,1),Summary!$C$11))*('Dvd Calendar'!$V$2300&lt;=MAX(DATE(Summary!$C$12,12,31),Summary!$C$15))*('Dvd Calendar'!$V$2300&lt;=Summary!$C$11)=0,"",'Dvd Calendar'!$V$2300*1000000000+ISNUMBER('Dvd Calendar'!$V$2301)*100000000+('Dvd Calendar'!$V$2305='Field Check'!$C$25)*10000000+(N('Dvd Calendar'!$V$2299)&gt;0)*1000000+13*1000+18))</f>
        <v/>
      </c>
      <c r="U169" s="41">
        <f>IF(N('Dvd Calendar'!$W$2300)=0,"",IF(('Dvd Calendar'!$W$2300&gt;=MIN(DATE(Summary!$C$12,1,1),Summary!$C$11))*('Dvd Calendar'!$W$2300&lt;=MAX(DATE(Summary!$C$12,12,31),Summary!$C$15))*('Dvd Calendar'!$W$2300&lt;=Summary!$C$11)=0,"",'Dvd Calendar'!$W$2300*1000000000+ISNUMBER('Dvd Calendar'!$W$2301)*100000000+('Dvd Calendar'!$W$2305='Field Check'!$C$25)*10000000+(N('Dvd Calendar'!$W$2299)&gt;0)*1000000+13*1000+19))</f>
        <v/>
      </c>
      <c r="V169" s="41">
        <f>IF(N('Dvd Calendar'!$X$2300)=0,"",IF(('Dvd Calendar'!$X$2300&gt;=MIN(DATE(Summary!$C$12,1,1),Summary!$C$11))*('Dvd Calendar'!$X$2300&lt;=MAX(DATE(Summary!$C$12,12,31),Summary!$C$15))*('Dvd Calendar'!$X$2300&lt;=Summary!$C$11)=0,"",'Dvd Calendar'!$X$2300*1000000000+ISNUMBER('Dvd Calendar'!$X$2301)*100000000+('Dvd Calendar'!$X$2305='Field Check'!$C$25)*10000000+(N('Dvd Calendar'!$X$2299)&gt;0)*1000000+13*1000+20))</f>
        <v/>
      </c>
      <c r="W169" s="41">
        <f>IF(N('Dvd Calendar'!$Y$2300)=0,"",IF(('Dvd Calendar'!$Y$2300&gt;=MIN(DATE(Summary!$C$12,1,1),Summary!$C$11))*('Dvd Calendar'!$Y$2300&lt;=MAX(DATE(Summary!$C$12,12,31),Summary!$C$15))*('Dvd Calendar'!$Y$2300&lt;=Summary!$C$11)=0,"",'Dvd Calendar'!$Y$2300*1000000000+ISNUMBER('Dvd Calendar'!$Y$2301)*100000000+('Dvd Calendar'!$Y$2305='Field Check'!$C$25)*10000000+(N('Dvd Calendar'!$Y$2299)&gt;0)*1000000+13*1000+21))</f>
        <v/>
      </c>
      <c r="X169" s="41">
        <f>IF(N('Dvd Calendar'!$Z$2300)=0,"",IF(('Dvd Calendar'!$Z$2300&gt;=MIN(DATE(Summary!$C$12,1,1),Summary!$C$11))*('Dvd Calendar'!$Z$2300&lt;=MAX(DATE(Summary!$C$12,12,31),Summary!$C$15))*('Dvd Calendar'!$Z$2300&lt;=Summary!$C$11)=0,"",'Dvd Calendar'!$Z$2300*1000000000+ISNUMBER('Dvd Calendar'!$Z$2301)*100000000+('Dvd Calendar'!$Z$2305='Field Check'!$C$25)*10000000+(N('Dvd Calendar'!$Z$2299)&gt;0)*1000000+13*1000+22))</f>
        <v/>
      </c>
      <c r="Y169" s="41">
        <f>IF(N('Dvd Calendar'!$AA$2300)=0,"",IF(('Dvd Calendar'!$AA$2300&gt;=MIN(DATE(Summary!$C$12,1,1),Summary!$C$11))*('Dvd Calendar'!$AA$2300&lt;=MAX(DATE(Summary!$C$12,12,31),Summary!$C$15))*('Dvd Calendar'!$AA$2300&lt;=Summary!$C$11)=0,"",'Dvd Calendar'!$AA$2300*1000000000+ISNUMBER('Dvd Calendar'!$AA$2301)*100000000+('Dvd Calendar'!$AA$2305='Field Check'!$C$25)*10000000+(N('Dvd Calendar'!$AA$2299)&gt;0)*1000000+13*1000+23))</f>
        <v/>
      </c>
      <c r="Z169" s="41">
        <f>IF(N('Dvd Calendar'!$AB$2300)=0,"",IF(('Dvd Calendar'!$AB$2300&gt;=MIN(DATE(Summary!$C$12,1,1),Summary!$C$11))*('Dvd Calendar'!$AB$2300&lt;=MAX(DATE(Summary!$C$12,12,31),Summary!$C$15))*('Dvd Calendar'!$AB$2300&lt;=Summary!$C$11)=0,"",'Dvd Calendar'!$AB$2300*1000000000+ISNUMBER('Dvd Calendar'!$AB$2301)*100000000+('Dvd Calendar'!$AB$2305='Field Check'!$C$25)*10000000+(N('Dvd Calendar'!$AB$2299)&gt;0)*1000000+13*1000+24))</f>
        <v/>
      </c>
      <c r="AA169" s="41">
        <f>IF(N('Dvd Calendar'!$AC$2300)=0,"",IF(('Dvd Calendar'!$AC$2300&gt;=MIN(DATE(Summary!$C$12,1,1),Summary!$C$11))*('Dvd Calendar'!$AC$2300&lt;=MAX(DATE(Summary!$C$12,12,31),Summary!$C$15))*('Dvd Calendar'!$AC$2300&lt;=Summary!$C$11)=0,"",'Dvd Calendar'!$AC$2300*1000000000+ISNUMBER('Dvd Calendar'!$AC$2301)*100000000+('Dvd Calendar'!$AC$2305='Field Check'!$C$25)*10000000+(N('Dvd Calendar'!$AC$2299)&gt;0)*1000000+13*1000+25))</f>
        <v/>
      </c>
      <c r="AB169" s="41">
        <f>IF(N('Dvd Calendar'!$AD$2300)=0,"",IF(('Dvd Calendar'!$AD$2300&gt;=MIN(DATE(Summary!$C$12,1,1),Summary!$C$11))*('Dvd Calendar'!$AD$2300&lt;=MAX(DATE(Summary!$C$12,12,31),Summary!$C$15))*('Dvd Calendar'!$AD$2300&lt;=Summary!$C$11)=0,"",'Dvd Calendar'!$AD$2300*1000000000+ISNUMBER('Dvd Calendar'!$AD$2301)*100000000+('Dvd Calendar'!$AD$2305='Field Check'!$C$25)*10000000+(N('Dvd Calendar'!$AD$2299)&gt;0)*1000000+13*1000+26))</f>
        <v/>
      </c>
      <c r="AC169" s="41">
        <f>IF(N('Dvd Calendar'!$AE$2300)=0,"",IF(('Dvd Calendar'!$AE$2300&gt;=MIN(DATE(Summary!$C$12,1,1),Summary!$C$11))*('Dvd Calendar'!$AE$2300&lt;=MAX(DATE(Summary!$C$12,12,31),Summary!$C$15))*('Dvd Calendar'!$AE$2300&lt;=Summary!$C$11)=0,"",'Dvd Calendar'!$AE$2300*1000000000+ISNUMBER('Dvd Calendar'!$AE$2301)*100000000+('Dvd Calendar'!$AE$2305='Field Check'!$C$25)*10000000+(N('Dvd Calendar'!$AE$2299)&gt;0)*1000000+13*1000+27))</f>
        <v/>
      </c>
      <c r="AD169" s="41">
        <f>IF(N('Dvd Calendar'!$AF$2300)=0,"",IF(('Dvd Calendar'!$AF$2300&gt;=MIN(DATE(Summary!$C$12,1,1),Summary!$C$11))*('Dvd Calendar'!$AF$2300&lt;=MAX(DATE(Summary!$C$12,12,31),Summary!$C$15))*('Dvd Calendar'!$AF$2300&lt;=Summary!$C$11)=0,"",'Dvd Calendar'!$AF$2300*1000000000+ISNUMBER('Dvd Calendar'!$AF$2301)*100000000+('Dvd Calendar'!$AF$2305='Field Check'!$C$25)*10000000+(N('Dvd Calendar'!$AF$2299)&gt;0)*1000000+13*1000+28))</f>
        <v/>
      </c>
      <c r="AE169" s="41">
        <f>IF(N('Dvd Calendar'!$AG$2300)=0,"",IF(('Dvd Calendar'!$AG$2300&gt;=MIN(DATE(Summary!$C$12,1,1),Summary!$C$11))*('Dvd Calendar'!$AG$2300&lt;=MAX(DATE(Summary!$C$12,12,31),Summary!$C$15))*('Dvd Calendar'!$AG$2300&lt;=Summary!$C$11)=0,"",'Dvd Calendar'!$AG$2300*1000000000+ISNUMBER('Dvd Calendar'!$AG$2301)*100000000+('Dvd Calendar'!$AG$2305='Field Check'!$C$25)*10000000+(N('Dvd Calendar'!$AG$2299)&gt;0)*1000000+13*1000+29))</f>
        <v/>
      </c>
      <c r="AF169" s="41">
        <f>IF(N('Dvd Calendar'!$AH$2300)=0,"",IF(('Dvd Calendar'!$AH$2300&gt;=MIN(DATE(Summary!$C$12,1,1),Summary!$C$11))*('Dvd Calendar'!$AH$2300&lt;=MAX(DATE(Summary!$C$12,12,31),Summary!$C$15))*('Dvd Calendar'!$AH$2300&lt;=Summary!$C$11)=0,"",'Dvd Calendar'!$AH$2300*1000000000+ISNUMBER('Dvd Calendar'!$AH$2301)*100000000+('Dvd Calendar'!$AH$2305='Field Check'!$C$25)*10000000+(N('Dvd Calendar'!$AH$2299)&gt;0)*1000000+13*1000+30))</f>
        <v/>
      </c>
      <c r="AG169" s="41">
        <f>IF(N('Dvd Calendar'!$AI$2300)=0,"",IF(('Dvd Calendar'!$AI$2300&gt;=MIN(DATE(Summary!$C$12,1,1),Summary!$C$11))*('Dvd Calendar'!$AI$2300&lt;=MAX(DATE(Summary!$C$12,12,31),Summary!$C$15))*('Dvd Calendar'!$AI$2300&lt;=Summary!$C$11)=0,"",'Dvd Calendar'!$AI$2300*1000000000+ISNUMBER('Dvd Calendar'!$AI$2301)*100000000+('Dvd Calendar'!$AI$2305='Field Check'!$C$25)*10000000+(N('Dvd Calendar'!$AI$2299)&gt;0)*1000000+13*1000+31))</f>
        <v/>
      </c>
      <c r="AH169" s="41">
        <f>IF(N('Dvd Calendar'!$AJ$2300)=0,"",IF(('Dvd Calendar'!$AJ$2300&gt;=MIN(DATE(Summary!$C$12,1,1),Summary!$C$11))*('Dvd Calendar'!$AJ$2300&lt;=MAX(DATE(Summary!$C$12,12,31),Summary!$C$15))*('Dvd Calendar'!$AJ$2300&lt;=Summary!$C$11)=0,"",'Dvd Calendar'!$AJ$2300*1000000000+ISNUMBER('Dvd Calendar'!$AJ$2301)*100000000+('Dvd Calendar'!$AJ$2305='Field Check'!$C$25)*10000000+(N('Dvd Calendar'!$AJ$2299)&gt;0)*1000000+13*1000+32))</f>
        <v/>
      </c>
      <c r="AI169" s="41">
        <f>IF(N('Dvd Calendar'!$AK$2300)=0,"",IF(('Dvd Calendar'!$AK$2300&gt;=MIN(DATE(Summary!$C$12,1,1),Summary!$C$11))*('Dvd Calendar'!$AK$2300&lt;=MAX(DATE(Summary!$C$12,12,31),Summary!$C$15))*('Dvd Calendar'!$AK$2300&lt;=Summary!$C$11)=0,"",'Dvd Calendar'!$AK$2300*1000000000+ISNUMBER('Dvd Calendar'!$AK$2301)*100000000+('Dvd Calendar'!$AK$2305='Field Check'!$C$25)*10000000+(N('Dvd Calendar'!$AK$2299)&gt;0)*1000000+13*1000+33))</f>
        <v/>
      </c>
      <c r="AJ169" s="41">
        <f>IF(N('Dvd Calendar'!$AL$2300)=0,"",IF(('Dvd Calendar'!$AL$2300&gt;=MIN(DATE(Summary!$C$12,1,1),Summary!$C$11))*('Dvd Calendar'!$AL$2300&lt;=MAX(DATE(Summary!$C$12,12,31),Summary!$C$15))*('Dvd Calendar'!$AL$2300&lt;=Summary!$C$11)=0,"",'Dvd Calendar'!$AL$2300*1000000000+ISNUMBER('Dvd Calendar'!$AL$2301)*100000000+('Dvd Calendar'!$AL$2305='Field Check'!$C$25)*10000000+(N('Dvd Calendar'!$AL$2299)&gt;0)*1000000+13*1000+34))</f>
        <v/>
      </c>
      <c r="AK169" s="41">
        <f>IF(N('Dvd Calendar'!$AM$2300)=0,"",IF(('Dvd Calendar'!$AM$2300&gt;=MIN(DATE(Summary!$C$12,1,1),Summary!$C$11))*('Dvd Calendar'!$AM$2300&lt;=MAX(DATE(Summary!$C$12,12,31),Summary!$C$15))*('Dvd Calendar'!$AM$2300&lt;=Summary!$C$11)=0,"",'Dvd Calendar'!$AM$2300*1000000000+ISNUMBER('Dvd Calendar'!$AM$2301)*100000000+('Dvd Calendar'!$AM$2305='Field Check'!$C$25)*10000000+(N('Dvd Calendar'!$AM$2299)&gt;0)*1000000+13*1000+35))</f>
        <v/>
      </c>
      <c r="AL169" s="41">
        <f>IF(N('Dvd Calendar'!$AN$2300)=0,"",IF(('Dvd Calendar'!$AN$2300&gt;=MIN(DATE(Summary!$C$12,1,1),Summary!$C$11))*('Dvd Calendar'!$AN$2300&lt;=MAX(DATE(Summary!$C$12,12,31),Summary!$C$15))*('Dvd Calendar'!$AN$2300&lt;=Summary!$C$11)=0,"",'Dvd Calendar'!$AN$2300*1000000000+ISNUMBER('Dvd Calendar'!$AN$2301)*100000000+('Dvd Calendar'!$AN$2305='Field Check'!$C$25)*10000000+(N('Dvd Calendar'!$AN$2299)&gt;0)*1000000+13*1000+36))</f>
        <v/>
      </c>
      <c r="AM169" s="41">
        <f>IF(N('Dvd Calendar'!$AO$2300)=0,"",IF(('Dvd Calendar'!$AO$2300&gt;=MIN(DATE(Summary!$C$12,1,1),Summary!$C$11))*('Dvd Calendar'!$AO$2300&lt;=MAX(DATE(Summary!$C$12,12,31),Summary!$C$15))*('Dvd Calendar'!$AO$2300&lt;=Summary!$C$11)=0,"",'Dvd Calendar'!$AO$2300*1000000000+ISNUMBER('Dvd Calendar'!$AO$2301)*100000000+('Dvd Calendar'!$AO$2305='Field Check'!$C$25)*10000000+(N('Dvd Calendar'!$AO$2299)&gt;0)*1000000+13*1000+37))</f>
        <v/>
      </c>
      <c r="AN169" s="41">
        <f>IF(N('Dvd Calendar'!$AP$2300)=0,"",IF(('Dvd Calendar'!$AP$2300&gt;=MIN(DATE(Summary!$C$12,1,1),Summary!$C$11))*('Dvd Calendar'!$AP$2300&lt;=MAX(DATE(Summary!$C$12,12,31),Summary!$C$15))*('Dvd Calendar'!$AP$2300&lt;=Summary!$C$11)=0,"",'Dvd Calendar'!$AP$2300*1000000000+ISNUMBER('Dvd Calendar'!$AP$2301)*100000000+('Dvd Calendar'!$AP$2305='Field Check'!$C$25)*10000000+(N('Dvd Calendar'!$AP$2299)&gt;0)*1000000+13*1000+38))</f>
        <v/>
      </c>
      <c r="AO169" s="41">
        <f>IF(N('Dvd Calendar'!$AQ$2300)=0,"",IF(('Dvd Calendar'!$AQ$2300&gt;=MIN(DATE(Summary!$C$12,1,1),Summary!$C$11))*('Dvd Calendar'!$AQ$2300&lt;=MAX(DATE(Summary!$C$12,12,31),Summary!$C$15))*('Dvd Calendar'!$AQ$2300&lt;=Summary!$C$11)=0,"",'Dvd Calendar'!$AQ$2300*1000000000+ISNUMBER('Dvd Calendar'!$AQ$2301)*100000000+('Dvd Calendar'!$AQ$2305='Field Check'!$C$25)*10000000+(N('Dvd Calendar'!$AQ$2299)&gt;0)*1000000+13*1000+39))</f>
        <v/>
      </c>
      <c r="AP169" s="41">
        <f>IF(N('Dvd Calendar'!$AR$2300)=0,"",IF(('Dvd Calendar'!$AR$2300&gt;=MIN(DATE(Summary!$C$12,1,1),Summary!$C$11))*('Dvd Calendar'!$AR$2300&lt;=MAX(DATE(Summary!$C$12,12,31),Summary!$C$15))*('Dvd Calendar'!$AR$2300&lt;=Summary!$C$11)=0,"",'Dvd Calendar'!$AR$2300*1000000000+ISNUMBER('Dvd Calendar'!$AR$2301)*100000000+('Dvd Calendar'!$AR$2305='Field Check'!$C$25)*10000000+(N('Dvd Calendar'!$AR$2299)&gt;0)*1000000+13*1000+40))</f>
        <v/>
      </c>
      <c r="AQ169" s="41">
        <f>IF(N('Dvd Calendar'!$E$2307)=0,"",IF(('Dvd Calendar'!$E$2307&gt;=MIN(DATE(Summary!$C$12,1,1),Summary!$C$11))*('Dvd Calendar'!$E$2307&lt;=MAX(DATE(Summary!$C$12,12,31),Summary!$C$15))*('Dvd Calendar'!$E$2307&gt;Summary!$C$11)=0,"",'Dvd Calendar'!$E$2307*1000000000+ISNUMBER('Dvd Calendar'!$E$2308)*100000000+('Dvd Calendar'!$E$2312='Field Check'!$C$25)*10000000+(N('Dvd Calendar'!$E$2306)&gt;0)*1000000+13*1000+41))</f>
        <v/>
      </c>
      <c r="AR169" s="41">
        <f>IF(N('Dvd Calendar'!$F$2307)=0,"",IF(('Dvd Calendar'!$F$2307&gt;=MIN(DATE(Summary!$C$12,1,1),Summary!$C$11))*('Dvd Calendar'!$F$2307&lt;=MAX(DATE(Summary!$C$12,12,31),Summary!$C$15))*('Dvd Calendar'!$F$2307&gt;Summary!$C$11)=0,"",'Dvd Calendar'!$F$2307*1000000000+ISNUMBER('Dvd Calendar'!$F$2308)*100000000+('Dvd Calendar'!$F$2312='Field Check'!$C$25)*10000000+(N('Dvd Calendar'!$F$2306)&gt;0)*1000000+13*1000+42))</f>
        <v/>
      </c>
      <c r="AS169" s="41">
        <f>IF(N('Dvd Calendar'!$G$2307)=0,"",IF(('Dvd Calendar'!$G$2307&gt;=MIN(DATE(Summary!$C$12,1,1),Summary!$C$11))*('Dvd Calendar'!$G$2307&lt;=MAX(DATE(Summary!$C$12,12,31),Summary!$C$15))*('Dvd Calendar'!$G$2307&gt;Summary!$C$11)=0,"",'Dvd Calendar'!$G$2307*1000000000+ISNUMBER('Dvd Calendar'!$G$2308)*100000000+('Dvd Calendar'!$G$2312='Field Check'!$C$25)*10000000+(N('Dvd Calendar'!$G$2306)&gt;0)*1000000+13*1000+43))</f>
        <v/>
      </c>
      <c r="AT169" s="41">
        <f>IF(N('Dvd Calendar'!$H$2307)=0,"",IF(('Dvd Calendar'!$H$2307&gt;=MIN(DATE(Summary!$C$12,1,1),Summary!$C$11))*('Dvd Calendar'!$H$2307&lt;=MAX(DATE(Summary!$C$12,12,31),Summary!$C$15))*('Dvd Calendar'!$H$2307&gt;Summary!$C$11)=0,"",'Dvd Calendar'!$H$2307*1000000000+ISNUMBER('Dvd Calendar'!$H$2308)*100000000+('Dvd Calendar'!$H$2312='Field Check'!$C$25)*10000000+(N('Dvd Calendar'!$H$2306)&gt;0)*1000000+13*1000+44))</f>
        <v/>
      </c>
      <c r="AU169" s="41">
        <f>IF(N('Dvd Calendar'!$I$2307)=0,"",IF(('Dvd Calendar'!$I$2307&gt;=MIN(DATE(Summary!$C$12,1,1),Summary!$C$11))*('Dvd Calendar'!$I$2307&lt;=MAX(DATE(Summary!$C$12,12,31),Summary!$C$15))*('Dvd Calendar'!$I$2307&gt;Summary!$C$11)=0,"",'Dvd Calendar'!$I$2307*1000000000+ISNUMBER('Dvd Calendar'!$I$2308)*100000000+('Dvd Calendar'!$I$2312='Field Check'!$C$25)*10000000+(N('Dvd Calendar'!$I$2306)&gt;0)*1000000+13*1000+45))</f>
        <v/>
      </c>
      <c r="AV169" s="41">
        <f>IF(N('Dvd Calendar'!$J$2307)=0,"",IF(('Dvd Calendar'!$J$2307&gt;=MIN(DATE(Summary!$C$12,1,1),Summary!$C$11))*('Dvd Calendar'!$J$2307&lt;=MAX(DATE(Summary!$C$12,12,31),Summary!$C$15))*('Dvd Calendar'!$J$2307&gt;Summary!$C$11)=0,"",'Dvd Calendar'!$J$2307*1000000000+ISNUMBER('Dvd Calendar'!$J$2308)*100000000+('Dvd Calendar'!$J$2312='Field Check'!$C$25)*10000000+(N('Dvd Calendar'!$J$2306)&gt;0)*1000000+13*1000+46))</f>
        <v/>
      </c>
      <c r="AW169" s="41">
        <f>IF(N('Dvd Calendar'!$K$2307)=0,"",IF(('Dvd Calendar'!$K$2307&gt;=MIN(DATE(Summary!$C$12,1,1),Summary!$C$11))*('Dvd Calendar'!$K$2307&lt;=MAX(DATE(Summary!$C$12,12,31),Summary!$C$15))*('Dvd Calendar'!$K$2307&gt;Summary!$C$11)=0,"",'Dvd Calendar'!$K$2307*1000000000+ISNUMBER('Dvd Calendar'!$K$2308)*100000000+('Dvd Calendar'!$K$2312='Field Check'!$C$25)*10000000+(N('Dvd Calendar'!$K$2306)&gt;0)*1000000+13*1000+47))</f>
        <v/>
      </c>
      <c r="AX169" s="41">
        <f>IF(N('Dvd Calendar'!$L$2307)=0,"",IF(('Dvd Calendar'!$L$2307&gt;=MIN(DATE(Summary!$C$12,1,1),Summary!$C$11))*('Dvd Calendar'!$L$2307&lt;=MAX(DATE(Summary!$C$12,12,31),Summary!$C$15))*('Dvd Calendar'!$L$2307&gt;Summary!$C$11)=0,"",'Dvd Calendar'!$L$2307*1000000000+ISNUMBER('Dvd Calendar'!$L$2308)*100000000+('Dvd Calendar'!$L$2312='Field Check'!$C$25)*10000000+(N('Dvd Calendar'!$L$2306)&gt;0)*1000000+13*1000+48))</f>
        <v/>
      </c>
      <c r="AY169" s="41">
        <f>IF(N('Dvd Calendar'!$M$2307)=0,"",IF(('Dvd Calendar'!$M$2307&gt;=MIN(DATE(Summary!$C$12,1,1),Summary!$C$11))*('Dvd Calendar'!$M$2307&lt;=MAX(DATE(Summary!$C$12,12,31),Summary!$C$15))*('Dvd Calendar'!$M$2307&gt;Summary!$C$11)=0,"",'Dvd Calendar'!$M$2307*1000000000+ISNUMBER('Dvd Calendar'!$M$2308)*100000000+('Dvd Calendar'!$M$2312='Field Check'!$C$25)*10000000+(N('Dvd Calendar'!$M$2306)&gt;0)*1000000+13*1000+49))</f>
        <v/>
      </c>
      <c r="AZ169" s="41">
        <f>IF(N('Dvd Calendar'!$N$2307)=0,"",IF(('Dvd Calendar'!$N$2307&gt;=MIN(DATE(Summary!$C$12,1,1),Summary!$C$11))*('Dvd Calendar'!$N$2307&lt;=MAX(DATE(Summary!$C$12,12,31),Summary!$C$15))*('Dvd Calendar'!$N$2307&gt;Summary!$C$11)=0,"",'Dvd Calendar'!$N$2307*1000000000+ISNUMBER('Dvd Calendar'!$N$2308)*100000000+('Dvd Calendar'!$N$2312='Field Check'!$C$25)*10000000+(N('Dvd Calendar'!$N$2306)&gt;0)*1000000+13*1000+50))</f>
        <v/>
      </c>
      <c r="BA169" s="41">
        <f>IF(N('Dvd Calendar'!$O$2307)=0,"",IF(('Dvd Calendar'!$O$2307&gt;=MIN(DATE(Summary!$C$12,1,1),Summary!$C$11))*('Dvd Calendar'!$O$2307&lt;=MAX(DATE(Summary!$C$12,12,31),Summary!$C$15))*('Dvd Calendar'!$O$2307&gt;Summary!$C$11)=0,"",'Dvd Calendar'!$O$2307*1000000000+ISNUMBER('Dvd Calendar'!$O$2308)*100000000+('Dvd Calendar'!$O$2312='Field Check'!$C$25)*10000000+(N('Dvd Calendar'!$O$2306)&gt;0)*1000000+13*1000+51))</f>
        <v/>
      </c>
      <c r="BB169" s="41">
        <f>IF(N('Dvd Calendar'!$P$2307)=0,"",IF(('Dvd Calendar'!$P$2307&gt;=MIN(DATE(Summary!$C$12,1,1),Summary!$C$11))*('Dvd Calendar'!$P$2307&lt;=MAX(DATE(Summary!$C$12,12,31),Summary!$C$15))*('Dvd Calendar'!$P$2307&gt;Summary!$C$11)=0,"",'Dvd Calendar'!$P$2307*1000000000+ISNUMBER('Dvd Calendar'!$P$2308)*100000000+('Dvd Calendar'!$P$2312='Field Check'!$C$25)*10000000+(N('Dvd Calendar'!$P$2306)&gt;0)*1000000+13*1000+52))</f>
        <v/>
      </c>
      <c r="BC169" s="41">
        <f>IF(N('Dvd Calendar'!$Q$2307)=0,"",IF(('Dvd Calendar'!$Q$2307&gt;=MIN(DATE(Summary!$C$12,1,1),Summary!$C$11))*('Dvd Calendar'!$Q$2307&lt;=MAX(DATE(Summary!$C$12,12,31),Summary!$C$15))*('Dvd Calendar'!$Q$2307&gt;Summary!$C$11)=0,"",'Dvd Calendar'!$Q$2307*1000000000+ISNUMBER('Dvd Calendar'!$Q$2308)*100000000+('Dvd Calendar'!$Q$2312='Field Check'!$C$25)*10000000+(N('Dvd Calendar'!$Q$2306)&gt;0)*1000000+13*1000+53))</f>
        <v/>
      </c>
      <c r="BD169" s="41">
        <f>IF(N('Dvd Calendar'!$R$2307)=0,"",IF(('Dvd Calendar'!$R$2307&gt;=MIN(DATE(Summary!$C$12,1,1),Summary!$C$11))*('Dvd Calendar'!$R$2307&lt;=MAX(DATE(Summary!$C$12,12,31),Summary!$C$15))*('Dvd Calendar'!$R$2307&gt;Summary!$C$11)=0,"",'Dvd Calendar'!$R$2307*1000000000+ISNUMBER('Dvd Calendar'!$R$2308)*100000000+('Dvd Calendar'!$R$2312='Field Check'!$C$25)*10000000+(N('Dvd Calendar'!$R$2306)&gt;0)*1000000+13*1000+54))</f>
        <v/>
      </c>
      <c r="BE169" s="41">
        <f>IF(N('Dvd Calendar'!$S$2307)=0,"",IF(('Dvd Calendar'!$S$2307&gt;=MIN(DATE(Summary!$C$12,1,1),Summary!$C$11))*('Dvd Calendar'!$S$2307&lt;=MAX(DATE(Summary!$C$12,12,31),Summary!$C$15))*('Dvd Calendar'!$S$2307&gt;Summary!$C$11)=0,"",'Dvd Calendar'!$S$2307*1000000000+ISNUMBER('Dvd Calendar'!$S$2308)*100000000+('Dvd Calendar'!$S$2312='Field Check'!$C$25)*10000000+(N('Dvd Calendar'!$S$2306)&gt;0)*1000000+13*1000+55))</f>
        <v/>
      </c>
      <c r="BF169" s="41">
        <f>IF(N('Dvd Calendar'!$T$2307)=0,"",IF(('Dvd Calendar'!$T$2307&gt;=MIN(DATE(Summary!$C$12,1,1),Summary!$C$11))*('Dvd Calendar'!$T$2307&lt;=MAX(DATE(Summary!$C$12,12,31),Summary!$C$15))*('Dvd Calendar'!$T$2307&gt;Summary!$C$11)=0,"",'Dvd Calendar'!$T$2307*1000000000+ISNUMBER('Dvd Calendar'!$T$2308)*100000000+('Dvd Calendar'!$T$2312='Field Check'!$C$25)*10000000+(N('Dvd Calendar'!$T$2306)&gt;0)*1000000+13*1000+56))</f>
        <v/>
      </c>
      <c r="BG169" s="41">
        <f>IF(N('Dvd Calendar'!$U$2307)=0,"",IF(('Dvd Calendar'!$U$2307&gt;=MIN(DATE(Summary!$C$12,1,1),Summary!$C$11))*('Dvd Calendar'!$U$2307&lt;=MAX(DATE(Summary!$C$12,12,31),Summary!$C$15))*('Dvd Calendar'!$U$2307&gt;Summary!$C$11)=0,"",'Dvd Calendar'!$U$2307*1000000000+ISNUMBER('Dvd Calendar'!$U$2308)*100000000+('Dvd Calendar'!$U$2312='Field Check'!$C$25)*10000000+(N('Dvd Calendar'!$U$2306)&gt;0)*1000000+13*1000+57))</f>
        <v/>
      </c>
      <c r="BH169" s="41">
        <f>IF(N('Dvd Calendar'!$V$2307)=0,"",IF(('Dvd Calendar'!$V$2307&gt;=MIN(DATE(Summary!$C$12,1,1),Summary!$C$11))*('Dvd Calendar'!$V$2307&lt;=MAX(DATE(Summary!$C$12,12,31),Summary!$C$15))*('Dvd Calendar'!$V$2307&gt;Summary!$C$11)=0,"",'Dvd Calendar'!$V$2307*1000000000+ISNUMBER('Dvd Calendar'!$V$2308)*100000000+('Dvd Calendar'!$V$2312='Field Check'!$C$25)*10000000+(N('Dvd Calendar'!$V$2306)&gt;0)*1000000+13*1000+58))</f>
        <v/>
      </c>
      <c r="BI169" s="41">
        <f>IF(N('Dvd Calendar'!$W$2307)=0,"",IF(('Dvd Calendar'!$W$2307&gt;=MIN(DATE(Summary!$C$12,1,1),Summary!$C$11))*('Dvd Calendar'!$W$2307&lt;=MAX(DATE(Summary!$C$12,12,31),Summary!$C$15))*('Dvd Calendar'!$W$2307&gt;Summary!$C$11)=0,"",'Dvd Calendar'!$W$2307*1000000000+ISNUMBER('Dvd Calendar'!$W$2308)*100000000+('Dvd Calendar'!$W$2312='Field Check'!$C$25)*10000000+(N('Dvd Calendar'!$W$2306)&gt;0)*1000000+13*1000+59))</f>
        <v/>
      </c>
      <c r="BJ169" s="41">
        <f>IF(N('Dvd Calendar'!$X$2307)=0,"",IF(('Dvd Calendar'!$X$2307&gt;=MIN(DATE(Summary!$C$12,1,1),Summary!$C$11))*('Dvd Calendar'!$X$2307&lt;=MAX(DATE(Summary!$C$12,12,31),Summary!$C$15))*('Dvd Calendar'!$X$2307&gt;Summary!$C$11)=0,"",'Dvd Calendar'!$X$2307*1000000000+ISNUMBER('Dvd Calendar'!$X$2308)*100000000+('Dvd Calendar'!$X$2312='Field Check'!$C$25)*10000000+(N('Dvd Calendar'!$X$2306)&gt;0)*1000000+13*1000+60))</f>
        <v/>
      </c>
      <c r="BK169" s="41">
        <f>IF(N('Dvd Calendar'!$Y$2307)=0,"",IF(('Dvd Calendar'!$Y$2307&gt;=MIN(DATE(Summary!$C$12,1,1),Summary!$C$11))*('Dvd Calendar'!$Y$2307&lt;=MAX(DATE(Summary!$C$12,12,31),Summary!$C$15))*('Dvd Calendar'!$Y$2307&gt;Summary!$C$11)=0,"",'Dvd Calendar'!$Y$2307*1000000000+ISNUMBER('Dvd Calendar'!$Y$2308)*100000000+('Dvd Calendar'!$Y$2312='Field Check'!$C$25)*10000000+(N('Dvd Calendar'!$Y$2306)&gt;0)*1000000+13*1000+61))</f>
        <v/>
      </c>
      <c r="BL169" s="41">
        <f>IF(N('Dvd Calendar'!$Z$2307)=0,"",IF(('Dvd Calendar'!$Z$2307&gt;=MIN(DATE(Summary!$C$12,1,1),Summary!$C$11))*('Dvd Calendar'!$Z$2307&lt;=MAX(DATE(Summary!$C$12,12,31),Summary!$C$15))*('Dvd Calendar'!$Z$2307&gt;Summary!$C$11)=0,"",'Dvd Calendar'!$Z$2307*1000000000+ISNUMBER('Dvd Calendar'!$Z$2308)*100000000+('Dvd Calendar'!$Z$2312='Field Check'!$C$25)*10000000+(N('Dvd Calendar'!$Z$2306)&gt;0)*1000000+13*1000+62))</f>
        <v/>
      </c>
      <c r="BM169" s="41">
        <f>IF(N('Dvd Calendar'!$AA$2307)=0,"",IF(('Dvd Calendar'!$AA$2307&gt;=MIN(DATE(Summary!$C$12,1,1),Summary!$C$11))*('Dvd Calendar'!$AA$2307&lt;=MAX(DATE(Summary!$C$12,12,31),Summary!$C$15))*('Dvd Calendar'!$AA$2307&gt;Summary!$C$11)=0,"",'Dvd Calendar'!$AA$2307*1000000000+ISNUMBER('Dvd Calendar'!$AA$2308)*100000000+('Dvd Calendar'!$AA$2312='Field Check'!$C$25)*10000000+(N('Dvd Calendar'!$AA$2306)&gt;0)*1000000+13*1000+63))</f>
        <v/>
      </c>
      <c r="BN169" s="41">
        <f>IF(N('Dvd Calendar'!$AB$2307)=0,"",IF(('Dvd Calendar'!$AB$2307&gt;=MIN(DATE(Summary!$C$12,1,1),Summary!$C$11))*('Dvd Calendar'!$AB$2307&lt;=MAX(DATE(Summary!$C$12,12,31),Summary!$C$15))*('Dvd Calendar'!$AB$2307&gt;Summary!$C$11)=0,"",'Dvd Calendar'!$AB$2307*1000000000+ISNUMBER('Dvd Calendar'!$AB$2308)*100000000+('Dvd Calendar'!$AB$2312='Field Check'!$C$25)*10000000+(N('Dvd Calendar'!$AB$2306)&gt;0)*1000000+13*1000+64))</f>
        <v/>
      </c>
      <c r="BO169" s="41">
        <f>IF(N('Dvd Calendar'!$AC$2307)=0,"",IF(('Dvd Calendar'!$AC$2307&gt;=MIN(DATE(Summary!$C$12,1,1),Summary!$C$11))*('Dvd Calendar'!$AC$2307&lt;=MAX(DATE(Summary!$C$12,12,31),Summary!$C$15))*('Dvd Calendar'!$AC$2307&gt;Summary!$C$11)=0,"",'Dvd Calendar'!$AC$2307*1000000000+ISNUMBER('Dvd Calendar'!$AC$2308)*100000000+('Dvd Calendar'!$AC$2312='Field Check'!$C$25)*10000000+(N('Dvd Calendar'!$AC$2306)&gt;0)*1000000+13*1000+65))</f>
        <v/>
      </c>
      <c r="BQ169" s="85">
        <f>IF(C169="","",IF(ISNUMBER('Dvd Calendar'!$E$2301)=FALSE,"",IF((Summary!$C$13="N")*('Dvd Calendar'!$E$2305='Field Check'!$C$25)&gt;0,"",'Dvd Calendar'!$E$2301)))</f>
        <v/>
      </c>
      <c r="BR169" s="85">
        <f>IF(D169="","",IF(ISNUMBER('Dvd Calendar'!$F$2301)=FALSE,"",IF((Summary!$C$13="N")*('Dvd Calendar'!$F$2305='Field Check'!$C$25)&gt;0,"",'Dvd Calendar'!$F$2301)))</f>
        <v/>
      </c>
      <c r="BS169" s="85">
        <f>IF(E169="","",IF(ISNUMBER('Dvd Calendar'!$G$2301)=FALSE,"",IF((Summary!$C$13="N")*('Dvd Calendar'!$G$2305='Field Check'!$C$25)&gt;0,"",'Dvd Calendar'!$G$2301)))</f>
        <v/>
      </c>
      <c r="BT169" s="85">
        <f>IF(F169="","",IF(ISNUMBER('Dvd Calendar'!$H$2301)=FALSE,"",IF((Summary!$C$13="N")*('Dvd Calendar'!$H$2305='Field Check'!$C$25)&gt;0,"",'Dvd Calendar'!$H$2301)))</f>
        <v/>
      </c>
      <c r="BU169" s="85">
        <f>IF(G169="","",IF(ISNUMBER('Dvd Calendar'!$I$2301)=FALSE,"",IF((Summary!$C$13="N")*('Dvd Calendar'!$I$2305='Field Check'!$C$25)&gt;0,"",'Dvd Calendar'!$I$2301)))</f>
        <v/>
      </c>
      <c r="BV169" s="85">
        <f>IF(H169="","",IF(ISNUMBER('Dvd Calendar'!$J$2301)=FALSE,"",IF((Summary!$C$13="N")*('Dvd Calendar'!$J$2305='Field Check'!$C$25)&gt;0,"",'Dvd Calendar'!$J$2301)))</f>
        <v/>
      </c>
      <c r="BW169" s="85">
        <f>IF(I169="","",IF(ISNUMBER('Dvd Calendar'!$K$2301)=FALSE,"",IF((Summary!$C$13="N")*('Dvd Calendar'!$K$2305='Field Check'!$C$25)&gt;0,"",'Dvd Calendar'!$K$2301)))</f>
        <v/>
      </c>
      <c r="BX169" s="85">
        <f>IF(J169="","",IF(ISNUMBER('Dvd Calendar'!$L$2301)=FALSE,"",IF((Summary!$C$13="N")*('Dvd Calendar'!$L$2305='Field Check'!$C$25)&gt;0,"",'Dvd Calendar'!$L$2301)))</f>
        <v/>
      </c>
      <c r="BY169" s="85">
        <f>IF(K169="","",IF(ISNUMBER('Dvd Calendar'!$M$2301)=FALSE,"",IF((Summary!$C$13="N")*('Dvd Calendar'!$M$2305='Field Check'!$C$25)&gt;0,"",'Dvd Calendar'!$M$2301)))</f>
        <v/>
      </c>
      <c r="BZ169" s="85">
        <f>IF(L169="","",IF(ISNUMBER('Dvd Calendar'!$N$2301)=FALSE,"",IF((Summary!$C$13="N")*('Dvd Calendar'!$N$2305='Field Check'!$C$25)&gt;0,"",'Dvd Calendar'!$N$2301)))</f>
        <v/>
      </c>
      <c r="CA169" s="85">
        <f>IF(M169="","",IF(ISNUMBER('Dvd Calendar'!$O$2301)=FALSE,"",IF((Summary!$C$13="N")*('Dvd Calendar'!$O$2305='Field Check'!$C$25)&gt;0,"",'Dvd Calendar'!$O$2301)))</f>
        <v/>
      </c>
      <c r="CB169" s="85">
        <f>IF(N169="","",IF(ISNUMBER('Dvd Calendar'!$P$2301)=FALSE,"",IF((Summary!$C$13="N")*('Dvd Calendar'!$P$2305='Field Check'!$C$25)&gt;0,"",'Dvd Calendar'!$P$2301)))</f>
        <v/>
      </c>
      <c r="CC169" s="85">
        <f>IF(O169="","",IF(ISNUMBER('Dvd Calendar'!$Q$2301)=FALSE,"",IF((Summary!$C$13="N")*('Dvd Calendar'!$Q$2305='Field Check'!$C$25)&gt;0,"",'Dvd Calendar'!$Q$2301)))</f>
        <v/>
      </c>
      <c r="CD169" s="85">
        <f>IF(P169="","",IF(ISNUMBER('Dvd Calendar'!$R$2301)=FALSE,"",IF((Summary!$C$13="N")*('Dvd Calendar'!$R$2305='Field Check'!$C$25)&gt;0,"",'Dvd Calendar'!$R$2301)))</f>
        <v/>
      </c>
      <c r="CE169" s="85">
        <f>IF(Q169="","",IF(ISNUMBER('Dvd Calendar'!$S$2301)=FALSE,"",IF((Summary!$C$13="N")*('Dvd Calendar'!$S$2305='Field Check'!$C$25)&gt;0,"",'Dvd Calendar'!$S$2301)))</f>
        <v/>
      </c>
      <c r="CF169" s="85">
        <f>IF(R169="","",IF(ISNUMBER('Dvd Calendar'!$T$2301)=FALSE,"",IF((Summary!$C$13="N")*('Dvd Calendar'!$T$2305='Field Check'!$C$25)&gt;0,"",'Dvd Calendar'!$T$2301)))</f>
        <v/>
      </c>
      <c r="CG169" s="85">
        <f>IF(S169="","",IF(ISNUMBER('Dvd Calendar'!$U$2301)=FALSE,"",IF((Summary!$C$13="N")*('Dvd Calendar'!$U$2305='Field Check'!$C$25)&gt;0,"",'Dvd Calendar'!$U$2301)))</f>
        <v/>
      </c>
      <c r="CH169" s="85">
        <f>IF(T169="","",IF(ISNUMBER('Dvd Calendar'!$V$2301)=FALSE,"",IF((Summary!$C$13="N")*('Dvd Calendar'!$V$2305='Field Check'!$C$25)&gt;0,"",'Dvd Calendar'!$V$2301)))</f>
        <v/>
      </c>
      <c r="CI169" s="85">
        <f>IF(U169="","",IF(ISNUMBER('Dvd Calendar'!$W$2301)=FALSE,"",IF((Summary!$C$13="N")*('Dvd Calendar'!$W$2305='Field Check'!$C$25)&gt;0,"",'Dvd Calendar'!$W$2301)))</f>
        <v/>
      </c>
      <c r="CJ169" s="85">
        <f>IF(V169="","",IF(ISNUMBER('Dvd Calendar'!$X$2301)=FALSE,"",IF((Summary!$C$13="N")*('Dvd Calendar'!$X$2305='Field Check'!$C$25)&gt;0,"",'Dvd Calendar'!$X$2301)))</f>
        <v/>
      </c>
      <c r="CK169" s="85">
        <f>IF(W169="","",IF(ISNUMBER('Dvd Calendar'!$Y$2301)=FALSE,"",IF((Summary!$C$13="N")*('Dvd Calendar'!$Y$2305='Field Check'!$C$25)&gt;0,"",'Dvd Calendar'!$Y$2301)))</f>
        <v/>
      </c>
      <c r="CL169" s="85">
        <f>IF(X169="","",IF(ISNUMBER('Dvd Calendar'!$Z$2301)=FALSE,"",IF((Summary!$C$13="N")*('Dvd Calendar'!$Z$2305='Field Check'!$C$25)&gt;0,"",'Dvd Calendar'!$Z$2301)))</f>
        <v/>
      </c>
      <c r="CM169" s="85">
        <f>IF(Y169="","",IF(ISNUMBER('Dvd Calendar'!$AA$2301)=FALSE,"",IF((Summary!$C$13="N")*('Dvd Calendar'!$AA$2305='Field Check'!$C$25)&gt;0,"",'Dvd Calendar'!$AA$2301)))</f>
        <v/>
      </c>
      <c r="CN169" s="85">
        <f>IF(Z169="","",IF(ISNUMBER('Dvd Calendar'!$AB$2301)=FALSE,"",IF((Summary!$C$13="N")*('Dvd Calendar'!$AB$2305='Field Check'!$C$25)&gt;0,"",'Dvd Calendar'!$AB$2301)))</f>
        <v/>
      </c>
      <c r="CO169" s="85">
        <f>IF(AA169="","",IF(ISNUMBER('Dvd Calendar'!$AC$2301)=FALSE,"",IF((Summary!$C$13="N")*('Dvd Calendar'!$AC$2305='Field Check'!$C$25)&gt;0,"",'Dvd Calendar'!$AC$2301)))</f>
        <v/>
      </c>
      <c r="CP169" s="85">
        <f>IF(AB169="","",IF(ISNUMBER('Dvd Calendar'!$AD$2301)=FALSE,"",IF((Summary!$C$13="N")*('Dvd Calendar'!$AD$2305='Field Check'!$C$25)&gt;0,"",'Dvd Calendar'!$AD$2301)))</f>
        <v/>
      </c>
      <c r="CQ169" s="85">
        <f>IF(AC169="","",IF(ISNUMBER('Dvd Calendar'!$AE$2301)=FALSE,"",IF((Summary!$C$13="N")*('Dvd Calendar'!$AE$2305='Field Check'!$C$25)&gt;0,"",'Dvd Calendar'!$AE$2301)))</f>
        <v/>
      </c>
      <c r="CR169" s="85">
        <f>IF(AD169="","",IF(ISNUMBER('Dvd Calendar'!$AF$2301)=FALSE,"",IF((Summary!$C$13="N")*('Dvd Calendar'!$AF$2305='Field Check'!$C$25)&gt;0,"",'Dvd Calendar'!$AF$2301)))</f>
        <v/>
      </c>
      <c r="CS169" s="85">
        <f>IF(AE169="","",IF(ISNUMBER('Dvd Calendar'!$AG$2301)=FALSE,"",IF((Summary!$C$13="N")*('Dvd Calendar'!$AG$2305='Field Check'!$C$25)&gt;0,"",'Dvd Calendar'!$AG$2301)))</f>
        <v/>
      </c>
      <c r="CT169" s="85">
        <f>IF(AF169="","",IF(ISNUMBER('Dvd Calendar'!$AH$2301)=FALSE,"",IF((Summary!$C$13="N")*('Dvd Calendar'!$AH$2305='Field Check'!$C$25)&gt;0,"",'Dvd Calendar'!$AH$2301)))</f>
        <v/>
      </c>
      <c r="CU169" s="85">
        <f>IF(AG169="","",IF(ISNUMBER('Dvd Calendar'!$AI$2301)=FALSE,"",IF((Summary!$C$13="N")*('Dvd Calendar'!$AI$2305='Field Check'!$C$25)&gt;0,"",'Dvd Calendar'!$AI$2301)))</f>
        <v/>
      </c>
      <c r="CV169" s="85">
        <f>IF(AH169="","",IF(ISNUMBER('Dvd Calendar'!$AJ$2301)=FALSE,"",IF((Summary!$C$13="N")*('Dvd Calendar'!$AJ$2305='Field Check'!$C$25)&gt;0,"",'Dvd Calendar'!$AJ$2301)))</f>
        <v/>
      </c>
      <c r="CW169" s="85">
        <f>IF(AI169="","",IF(ISNUMBER('Dvd Calendar'!$AK$2301)=FALSE,"",IF((Summary!$C$13="N")*('Dvd Calendar'!$AK$2305='Field Check'!$C$25)&gt;0,"",'Dvd Calendar'!$AK$2301)))</f>
        <v/>
      </c>
      <c r="CX169" s="85">
        <f>IF(AJ169="","",IF(ISNUMBER('Dvd Calendar'!$AL$2301)=FALSE,"",IF((Summary!$C$13="N")*('Dvd Calendar'!$AL$2305='Field Check'!$C$25)&gt;0,"",'Dvd Calendar'!$AL$2301)))</f>
        <v/>
      </c>
      <c r="CY169" s="85">
        <f>IF(AK169="","",IF(ISNUMBER('Dvd Calendar'!$AM$2301)=FALSE,"",IF((Summary!$C$13="N")*('Dvd Calendar'!$AM$2305='Field Check'!$C$25)&gt;0,"",'Dvd Calendar'!$AM$2301)))</f>
        <v/>
      </c>
      <c r="CZ169" s="85">
        <f>IF(AL169="","",IF(ISNUMBER('Dvd Calendar'!$AN$2301)=FALSE,"",IF((Summary!$C$13="N")*('Dvd Calendar'!$AN$2305='Field Check'!$C$25)&gt;0,"",'Dvd Calendar'!$AN$2301)))</f>
        <v/>
      </c>
      <c r="DA169" s="85">
        <f>IF(AM169="","",IF(ISNUMBER('Dvd Calendar'!$AO$2301)=FALSE,"",IF((Summary!$C$13="N")*('Dvd Calendar'!$AO$2305='Field Check'!$C$25)&gt;0,"",'Dvd Calendar'!$AO$2301)))</f>
        <v/>
      </c>
      <c r="DB169" s="85">
        <f>IF(AN169="","",IF(ISNUMBER('Dvd Calendar'!$AP$2301)=FALSE,"",IF((Summary!$C$13="N")*('Dvd Calendar'!$AP$2305='Field Check'!$C$25)&gt;0,"",'Dvd Calendar'!$AP$2301)))</f>
        <v/>
      </c>
      <c r="DC169" s="85">
        <f>IF(AO169="","",IF(ISNUMBER('Dvd Calendar'!$AQ$2301)=FALSE,"",IF((Summary!$C$13="N")*('Dvd Calendar'!$AQ$2305='Field Check'!$C$25)&gt;0,"",'Dvd Calendar'!$AQ$2301)))</f>
        <v/>
      </c>
      <c r="DD169" s="85">
        <f>IF(AP169="","",IF(ISNUMBER('Dvd Calendar'!$AR$2301)=FALSE,"",IF((Summary!$C$13="N")*('Dvd Calendar'!$AR$2305='Field Check'!$C$25)&gt;0,"",'Dvd Calendar'!$AR$2301)))</f>
        <v/>
      </c>
      <c r="DE169" s="85">
        <f>IF(AQ169="","",IF(ISNUMBER('Dvd Calendar'!$E$2308)=FALSE,"",IF((Summary!$C$13="N")*('Dvd Calendar'!$E$2312='Field Check'!$C$25)&gt;0,"",'Dvd Calendar'!$E$2308)))</f>
        <v/>
      </c>
      <c r="DF169" s="85">
        <f>IF(AR169="","",IF(ISNUMBER('Dvd Calendar'!$F$2308)=FALSE,"",IF((Summary!$C$13="N")*('Dvd Calendar'!$F$2312='Field Check'!$C$25)&gt;0,"",'Dvd Calendar'!$F$2308)))</f>
        <v/>
      </c>
      <c r="DG169" s="85">
        <f>IF(AS169="","",IF(ISNUMBER('Dvd Calendar'!$G$2308)=FALSE,"",IF((Summary!$C$13="N")*('Dvd Calendar'!$G$2312='Field Check'!$C$25)&gt;0,"",'Dvd Calendar'!$G$2308)))</f>
        <v/>
      </c>
      <c r="DH169" s="85">
        <f>IF(AT169="","",IF(ISNUMBER('Dvd Calendar'!$H$2308)=FALSE,"",IF((Summary!$C$13="N")*('Dvd Calendar'!$H$2312='Field Check'!$C$25)&gt;0,"",'Dvd Calendar'!$H$2308)))</f>
        <v/>
      </c>
      <c r="DI169" s="85">
        <f>IF(AU169="","",IF(ISNUMBER('Dvd Calendar'!$I$2308)=FALSE,"",IF((Summary!$C$13="N")*('Dvd Calendar'!$I$2312='Field Check'!$C$25)&gt;0,"",'Dvd Calendar'!$I$2308)))</f>
        <v/>
      </c>
      <c r="DJ169" s="85">
        <f>IF(AV169="","",IF(ISNUMBER('Dvd Calendar'!$J$2308)=FALSE,"",IF((Summary!$C$13="N")*('Dvd Calendar'!$J$2312='Field Check'!$C$25)&gt;0,"",'Dvd Calendar'!$J$2308)))</f>
        <v/>
      </c>
      <c r="DK169" s="85">
        <f>IF(AW169="","",IF(ISNUMBER('Dvd Calendar'!$K$2308)=FALSE,"",IF((Summary!$C$13="N")*('Dvd Calendar'!$K$2312='Field Check'!$C$25)&gt;0,"",'Dvd Calendar'!$K$2308)))</f>
        <v/>
      </c>
      <c r="DL169" s="85">
        <f>IF(AX169="","",IF(ISNUMBER('Dvd Calendar'!$L$2308)=FALSE,"",IF((Summary!$C$13="N")*('Dvd Calendar'!$L$2312='Field Check'!$C$25)&gt;0,"",'Dvd Calendar'!$L$2308)))</f>
        <v/>
      </c>
      <c r="DM169" s="85">
        <f>IF(AY169="","",IF(ISNUMBER('Dvd Calendar'!$M$2308)=FALSE,"",IF((Summary!$C$13="N")*('Dvd Calendar'!$M$2312='Field Check'!$C$25)&gt;0,"",'Dvd Calendar'!$M$2308)))</f>
        <v/>
      </c>
      <c r="DN169" s="85">
        <f>IF(AZ169="","",IF(ISNUMBER('Dvd Calendar'!$N$2308)=FALSE,"",IF((Summary!$C$13="N")*('Dvd Calendar'!$N$2312='Field Check'!$C$25)&gt;0,"",'Dvd Calendar'!$N$2308)))</f>
        <v/>
      </c>
      <c r="DO169" s="85">
        <f>IF(BA169="","",IF(ISNUMBER('Dvd Calendar'!$O$2308)=FALSE,"",IF((Summary!$C$13="N")*('Dvd Calendar'!$O$2312='Field Check'!$C$25)&gt;0,"",'Dvd Calendar'!$O$2308)))</f>
        <v/>
      </c>
      <c r="DP169" s="85">
        <f>IF(BB169="","",IF(ISNUMBER('Dvd Calendar'!$P$2308)=FALSE,"",IF((Summary!$C$13="N")*('Dvd Calendar'!$P$2312='Field Check'!$C$25)&gt;0,"",'Dvd Calendar'!$P$2308)))</f>
        <v/>
      </c>
      <c r="DQ169" s="85">
        <f>IF(BC169="","",IF(ISNUMBER('Dvd Calendar'!$Q$2308)=FALSE,"",IF((Summary!$C$13="N")*('Dvd Calendar'!$Q$2312='Field Check'!$C$25)&gt;0,"",'Dvd Calendar'!$Q$2308)))</f>
        <v/>
      </c>
      <c r="DR169" s="85">
        <f>IF(BD169="","",IF(ISNUMBER('Dvd Calendar'!$R$2308)=FALSE,"",IF((Summary!$C$13="N")*('Dvd Calendar'!$R$2312='Field Check'!$C$25)&gt;0,"",'Dvd Calendar'!$R$2308)))</f>
        <v/>
      </c>
      <c r="DS169" s="85">
        <f>IF(BE169="","",IF(ISNUMBER('Dvd Calendar'!$S$2308)=FALSE,"",IF((Summary!$C$13="N")*('Dvd Calendar'!$S$2312='Field Check'!$C$25)&gt;0,"",'Dvd Calendar'!$S$2308)))</f>
        <v/>
      </c>
      <c r="DT169" s="85">
        <f>IF(BF169="","",IF(ISNUMBER('Dvd Calendar'!$T$2308)=FALSE,"",IF((Summary!$C$13="N")*('Dvd Calendar'!$T$2312='Field Check'!$C$25)&gt;0,"",'Dvd Calendar'!$T$2308)))</f>
        <v/>
      </c>
      <c r="DU169" s="85">
        <f>IF(BG169="","",IF(ISNUMBER('Dvd Calendar'!$U$2308)=FALSE,"",IF((Summary!$C$13="N")*('Dvd Calendar'!$U$2312='Field Check'!$C$25)&gt;0,"",'Dvd Calendar'!$U$2308)))</f>
        <v/>
      </c>
      <c r="DV169" s="85">
        <f>IF(BH169="","",IF(ISNUMBER('Dvd Calendar'!$V$2308)=FALSE,"",IF((Summary!$C$13="N")*('Dvd Calendar'!$V$2312='Field Check'!$C$25)&gt;0,"",'Dvd Calendar'!$V$2308)))</f>
        <v/>
      </c>
      <c r="DW169" s="85">
        <f>IF(BI169="","",IF(ISNUMBER('Dvd Calendar'!$W$2308)=FALSE,"",IF((Summary!$C$13="N")*('Dvd Calendar'!$W$2312='Field Check'!$C$25)&gt;0,"",'Dvd Calendar'!$W$2308)))</f>
        <v/>
      </c>
      <c r="DX169" s="85">
        <f>IF(BJ169="","",IF(ISNUMBER('Dvd Calendar'!$X$2308)=FALSE,"",IF((Summary!$C$13="N")*('Dvd Calendar'!$X$2312='Field Check'!$C$25)&gt;0,"",'Dvd Calendar'!$X$2308)))</f>
        <v/>
      </c>
      <c r="DY169" s="85">
        <f>IF(BK169="","",IF(ISNUMBER('Dvd Calendar'!$Y$2308)=FALSE,"",IF((Summary!$C$13="N")*('Dvd Calendar'!$Y$2312='Field Check'!$C$25)&gt;0,"",'Dvd Calendar'!$Y$2308)))</f>
        <v/>
      </c>
      <c r="DZ169" s="85">
        <f>IF(BL169="","",IF(ISNUMBER('Dvd Calendar'!$Z$2308)=FALSE,"",IF((Summary!$C$13="N")*('Dvd Calendar'!$Z$2312='Field Check'!$C$25)&gt;0,"",'Dvd Calendar'!$Z$2308)))</f>
        <v/>
      </c>
      <c r="EA169" s="85">
        <f>IF(BM169="","",IF(ISNUMBER('Dvd Calendar'!$AA$2308)=FALSE,"",IF((Summary!$C$13="N")*('Dvd Calendar'!$AA$2312='Field Check'!$C$25)&gt;0,"",'Dvd Calendar'!$AA$2308)))</f>
        <v/>
      </c>
      <c r="EB169" s="85">
        <f>IF(BN169="","",IF(ISNUMBER('Dvd Calendar'!$AB$2308)=FALSE,"",IF((Summary!$C$13="N")*('Dvd Calendar'!$AB$2312='Field Check'!$C$25)&gt;0,"",'Dvd Calendar'!$AB$2308)))</f>
        <v/>
      </c>
      <c r="EC169" s="85">
        <f>IF(BO169="","",IF(ISNUMBER('Dvd Calendar'!$AC$2308)=FALSE,"",IF((Summary!$C$13="N")*('Dvd Calendar'!$AC$2312='Field Check'!$C$25)&gt;0,"",'Dvd Calendar'!$AC$2308)))</f>
        <v/>
      </c>
      <c r="EE169" s="85">
        <f>IF(BQ169="","",IFERROR(BQ169*HSCEI!$B$19*HSCEI!$G$19/HSCEI!$B$3,""))</f>
        <v/>
      </c>
      <c r="EF169" s="85">
        <f>IF(BR169="","",IFERROR(BR169*HSCEI!$B$19*HSCEI!$G$19/HSCEI!$B$3,""))</f>
        <v/>
      </c>
      <c r="EG169" s="85">
        <f>IF(BS169="","",IFERROR(BS169*HSCEI!$B$19*HSCEI!$G$19/HSCEI!$B$3,""))</f>
        <v/>
      </c>
      <c r="EH169" s="85">
        <f>IF(BT169="","",IFERROR(BT169*HSCEI!$B$19*HSCEI!$G$19/HSCEI!$B$3,""))</f>
        <v/>
      </c>
      <c r="EI169" s="85">
        <f>IF(BU169="","",IFERROR(BU169*HSCEI!$B$19*HSCEI!$G$19/HSCEI!$B$3,""))</f>
        <v/>
      </c>
      <c r="EJ169" s="85">
        <f>IF(BV169="","",IFERROR(BV169*HSCEI!$B$19*HSCEI!$G$19/HSCEI!$B$3,""))</f>
        <v/>
      </c>
      <c r="EK169" s="85">
        <f>IF(BW169="","",IFERROR(BW169*HSCEI!$B$19*HSCEI!$G$19/HSCEI!$B$3,""))</f>
        <v/>
      </c>
      <c r="EL169" s="85">
        <f>IF(BX169="","",IFERROR(BX169*HSCEI!$B$19*HSCEI!$G$19/HSCEI!$B$3,""))</f>
        <v/>
      </c>
      <c r="EM169" s="85">
        <f>IF(BY169="","",IFERROR(BY169*HSCEI!$B$19*HSCEI!$G$19/HSCEI!$B$3,""))</f>
        <v/>
      </c>
      <c r="EN169" s="85">
        <f>IF(BZ169="","",IFERROR(BZ169*HSCEI!$B$19*HSCEI!$G$19/HSCEI!$B$3,""))</f>
        <v/>
      </c>
      <c r="EO169" s="85">
        <f>IF(CA169="","",IFERROR(CA169*HSCEI!$B$19*HSCEI!$G$19/HSCEI!$B$3,""))</f>
        <v/>
      </c>
      <c r="EP169" s="85">
        <f>IF(CB169="","",IFERROR(CB169*HSCEI!$B$19*HSCEI!$G$19/HSCEI!$B$3,""))</f>
        <v/>
      </c>
      <c r="EQ169" s="85">
        <f>IF(CC169="","",IFERROR(CC169*HSCEI!$B$19*HSCEI!$G$19/HSCEI!$B$3,""))</f>
        <v/>
      </c>
      <c r="ER169" s="85">
        <f>IF(CD169="","",IFERROR(CD169*HSCEI!$B$19*HSCEI!$G$19/HSCEI!$B$3,""))</f>
        <v/>
      </c>
      <c r="ES169" s="85">
        <f>IF(CE169="","",IFERROR(CE169*HSCEI!$B$19*HSCEI!$G$19/HSCEI!$B$3,""))</f>
        <v/>
      </c>
      <c r="ET169" s="85">
        <f>IF(CF169="","",IFERROR(CF169*HSCEI!$B$19*HSCEI!$G$19/HSCEI!$B$3,""))</f>
        <v/>
      </c>
      <c r="EU169" s="85">
        <f>IF(CG169="","",IFERROR(CG169*HSCEI!$B$19*HSCEI!$G$19/HSCEI!$B$3,""))</f>
        <v/>
      </c>
      <c r="EV169" s="85">
        <f>IF(CH169="","",IFERROR(CH169*HSCEI!$B$19*HSCEI!$G$19/HSCEI!$B$3,""))</f>
        <v/>
      </c>
      <c r="EW169" s="85">
        <f>IF(CI169="","",IFERROR(CI169*HSCEI!$B$19*HSCEI!$G$19/HSCEI!$B$3,""))</f>
        <v/>
      </c>
      <c r="EX169" s="85">
        <f>IF(CJ169="","",IFERROR(CJ169*HSCEI!$B$19*HSCEI!$G$19/HSCEI!$B$3,""))</f>
        <v/>
      </c>
      <c r="EY169" s="85">
        <f>IF(CK169="","",IFERROR(CK169*HSCEI!$B$19*HSCEI!$G$19/HSCEI!$B$3,""))</f>
        <v/>
      </c>
      <c r="EZ169" s="85">
        <f>IF(CL169="","",IFERROR(CL169*HSCEI!$B$19*HSCEI!$G$19/HSCEI!$B$3,""))</f>
        <v/>
      </c>
      <c r="FA169" s="85">
        <f>IF(CM169="","",IFERROR(CM169*HSCEI!$B$19*HSCEI!$G$19/HSCEI!$B$3,""))</f>
        <v/>
      </c>
      <c r="FB169" s="85">
        <f>IF(CN169="","",IFERROR(CN169*HSCEI!$B$19*HSCEI!$G$19/HSCEI!$B$3,""))</f>
        <v/>
      </c>
      <c r="FC169" s="85">
        <f>IF(CO169="","",IFERROR(CO169*HSCEI!$B$19*HSCEI!$G$19/HSCEI!$B$3,""))</f>
        <v/>
      </c>
      <c r="FD169" s="85">
        <f>IF(CP169="","",IFERROR(CP169*HSCEI!$B$19*HSCEI!$G$19/HSCEI!$B$3,""))</f>
        <v/>
      </c>
      <c r="FE169" s="85">
        <f>IF(CQ169="","",IFERROR(CQ169*HSCEI!$B$19*HSCEI!$G$19/HSCEI!$B$3,""))</f>
        <v/>
      </c>
      <c r="FF169" s="85">
        <f>IF(CR169="","",IFERROR(CR169*HSCEI!$B$19*HSCEI!$G$19/HSCEI!$B$3,""))</f>
        <v/>
      </c>
      <c r="FG169" s="85">
        <f>IF(CS169="","",IFERROR(CS169*HSCEI!$B$19*HSCEI!$G$19/HSCEI!$B$3,""))</f>
        <v/>
      </c>
      <c r="FH169" s="85">
        <f>IF(CT169="","",IFERROR(CT169*HSCEI!$B$19*HSCEI!$G$19/HSCEI!$B$3,""))</f>
        <v/>
      </c>
      <c r="FI169" s="85">
        <f>IF(CU169="","",IFERROR(CU169*HSCEI!$B$19*HSCEI!$G$19/HSCEI!$B$3,""))</f>
        <v/>
      </c>
      <c r="FJ169" s="85">
        <f>IF(CV169="","",IFERROR(CV169*HSCEI!$B$19*HSCEI!$G$19/HSCEI!$B$3,""))</f>
        <v/>
      </c>
      <c r="FK169" s="85">
        <f>IF(CW169="","",IFERROR(CW169*HSCEI!$B$19*HSCEI!$G$19/HSCEI!$B$3,""))</f>
        <v/>
      </c>
      <c r="FL169" s="85">
        <f>IF(CX169="","",IFERROR(CX169*HSCEI!$B$19*HSCEI!$G$19/HSCEI!$B$3,""))</f>
        <v/>
      </c>
      <c r="FM169" s="85">
        <f>IF(CY169="","",IFERROR(CY169*HSCEI!$B$19*HSCEI!$G$19/HSCEI!$B$3,""))</f>
        <v/>
      </c>
      <c r="FN169" s="85">
        <f>IF(CZ169="","",IFERROR(CZ169*HSCEI!$B$19*HSCEI!$G$19/HSCEI!$B$3,""))</f>
        <v/>
      </c>
      <c r="FO169" s="85">
        <f>IF(DA169="","",IFERROR(DA169*HSCEI!$B$19*HSCEI!$G$19/HSCEI!$B$3,""))</f>
        <v/>
      </c>
      <c r="FP169" s="85">
        <f>IF(DB169="","",IFERROR(DB169*HSCEI!$B$19*HSCEI!$G$19/HSCEI!$B$3,""))</f>
        <v/>
      </c>
      <c r="FQ169" s="85">
        <f>IF(DC169="","",IFERROR(DC169*HSCEI!$B$19*HSCEI!$G$19/HSCEI!$B$3,""))</f>
        <v/>
      </c>
      <c r="FR169" s="85">
        <f>IF(DD169="","",IFERROR(DD169*HSCEI!$B$19*HSCEI!$G$19/HSCEI!$B$3,""))</f>
        <v/>
      </c>
      <c r="FS169" s="85">
        <f>IF(DE169="","",IFERROR(DE169*HSCEI!$B$19*HSCEI!$G$19/HSCEI!$B$3,""))</f>
        <v/>
      </c>
      <c r="FT169" s="85">
        <f>IF(DF169="","",IFERROR(DF169*HSCEI!$B$19*HSCEI!$G$19/HSCEI!$B$3,""))</f>
        <v/>
      </c>
      <c r="FU169" s="85">
        <f>IF(DG169="","",IFERROR(DG169*HSCEI!$B$19*HSCEI!$G$19/HSCEI!$B$3,""))</f>
        <v/>
      </c>
      <c r="FV169" s="85">
        <f>IF(DH169="","",IFERROR(DH169*HSCEI!$B$19*HSCEI!$G$19/HSCEI!$B$3,""))</f>
        <v/>
      </c>
      <c r="FW169" s="85">
        <f>IF(DI169="","",IFERROR(DI169*HSCEI!$B$19*HSCEI!$G$19/HSCEI!$B$3,""))</f>
        <v/>
      </c>
      <c r="FX169" s="85">
        <f>IF(DJ169="","",IFERROR(DJ169*HSCEI!$B$19*HSCEI!$G$19/HSCEI!$B$3,""))</f>
        <v/>
      </c>
      <c r="FY169" s="85">
        <f>IF(DK169="","",IFERROR(DK169*HSCEI!$B$19*HSCEI!$G$19/HSCEI!$B$3,""))</f>
        <v/>
      </c>
      <c r="FZ169" s="85">
        <f>IF(DL169="","",IFERROR(DL169*HSCEI!$B$19*HSCEI!$G$19/HSCEI!$B$3,""))</f>
        <v/>
      </c>
      <c r="GA169" s="85">
        <f>IF(DM169="","",IFERROR(DM169*HSCEI!$B$19*HSCEI!$G$19/HSCEI!$B$3,""))</f>
        <v/>
      </c>
      <c r="GB169" s="85">
        <f>IF(DN169="","",IFERROR(DN169*HSCEI!$B$19*HSCEI!$G$19/HSCEI!$B$3,""))</f>
        <v/>
      </c>
      <c r="GC169" s="85">
        <f>IF(DO169="","",IFERROR(DO169*HSCEI!$B$19*HSCEI!$G$19/HSCEI!$B$3,""))</f>
        <v/>
      </c>
      <c r="GD169" s="85">
        <f>IF(DP169="","",IFERROR(DP169*HSCEI!$B$19*HSCEI!$G$19/HSCEI!$B$3,""))</f>
        <v/>
      </c>
      <c r="GE169" s="85">
        <f>IF(DQ169="","",IFERROR(DQ169*HSCEI!$B$19*HSCEI!$G$19/HSCEI!$B$3,""))</f>
        <v/>
      </c>
      <c r="GF169" s="85">
        <f>IF(DR169="","",IFERROR(DR169*HSCEI!$B$19*HSCEI!$G$19/HSCEI!$B$3,""))</f>
        <v/>
      </c>
      <c r="GG169" s="85">
        <f>IF(DS169="","",IFERROR(DS169*HSCEI!$B$19*HSCEI!$G$19/HSCEI!$B$3,""))</f>
        <v/>
      </c>
      <c r="GH169" s="85">
        <f>IF(DT169="","",IFERROR(DT169*HSCEI!$B$19*HSCEI!$G$19/HSCEI!$B$3,""))</f>
        <v/>
      </c>
      <c r="GI169" s="85">
        <f>IF(DU169="","",IFERROR(DU169*HSCEI!$B$19*HSCEI!$G$19/HSCEI!$B$3,""))</f>
        <v/>
      </c>
      <c r="GJ169" s="85">
        <f>IF(DV169="","",IFERROR(DV169*HSCEI!$B$19*HSCEI!$G$19/HSCEI!$B$3,""))</f>
        <v/>
      </c>
      <c r="GK169" s="85">
        <f>IF(DW169="","",IFERROR(DW169*HSCEI!$B$19*HSCEI!$G$19/HSCEI!$B$3,""))</f>
        <v/>
      </c>
      <c r="GL169" s="85">
        <f>IF(DX169="","",IFERROR(DX169*HSCEI!$B$19*HSCEI!$G$19/HSCEI!$B$3,""))</f>
        <v/>
      </c>
      <c r="GM169" s="85">
        <f>IF(DY169="","",IFERROR(DY169*HSCEI!$B$19*HSCEI!$G$19/HSCEI!$B$3,""))</f>
        <v/>
      </c>
      <c r="GN169" s="85">
        <f>IF(DZ169="","",IFERROR(DZ169*HSCEI!$B$19*HSCEI!$G$19/HSCEI!$B$3,""))</f>
        <v/>
      </c>
      <c r="GO169" s="85">
        <f>IF(EA169="","",IFERROR(EA169*HSCEI!$B$19*HSCEI!$G$19/HSCEI!$B$3,""))</f>
        <v/>
      </c>
      <c r="GP169" s="85">
        <f>IF(EB169="","",IFERROR(EB169*HSCEI!$B$19*HSCEI!$G$19/HSCEI!$B$3,""))</f>
        <v/>
      </c>
      <c r="GQ169" s="85">
        <f>IF(EC169="","",IFERROR(EC169*HSCEI!$B$19*HSCEI!$G$19/HSCEI!$B$3,""))</f>
        <v/>
      </c>
    </row>
    <row r="170">
      <c r="B170" s="2">
        <f>IF(HSCEI!$C$20="","",HSCEI!$C$20)</f>
        <v/>
      </c>
      <c r="C170" s="41">
        <f>IF(N('Dvd Calendar'!$E$2315)=0,"",IF(('Dvd Calendar'!$E$2315&gt;=MIN(DATE(Summary!$C$12,1,1),Summary!$C$11))*('Dvd Calendar'!$E$2315&lt;=MAX(DATE(Summary!$C$12,12,31),Summary!$C$15))*('Dvd Calendar'!$E$2315&lt;=Summary!$C$11)=0,"",'Dvd Calendar'!$E$2315*1000000000+ISNUMBER('Dvd Calendar'!$E$2316)*100000000+('Dvd Calendar'!$E$2320='Field Check'!$C$25)*10000000+(N('Dvd Calendar'!$E$2314)&gt;0)*1000000+14*1000+1))</f>
        <v/>
      </c>
      <c r="D170" s="41">
        <f>IF(N('Dvd Calendar'!$F$2315)=0,"",IF(('Dvd Calendar'!$F$2315&gt;=MIN(DATE(Summary!$C$12,1,1),Summary!$C$11))*('Dvd Calendar'!$F$2315&lt;=MAX(DATE(Summary!$C$12,12,31),Summary!$C$15))*('Dvd Calendar'!$F$2315&lt;=Summary!$C$11)=0,"",'Dvd Calendar'!$F$2315*1000000000+ISNUMBER('Dvd Calendar'!$F$2316)*100000000+('Dvd Calendar'!$F$2320='Field Check'!$C$25)*10000000+(N('Dvd Calendar'!$F$2314)&gt;0)*1000000+14*1000+2))</f>
        <v/>
      </c>
      <c r="E170" s="41">
        <f>IF(N('Dvd Calendar'!$G$2315)=0,"",IF(('Dvd Calendar'!$G$2315&gt;=MIN(DATE(Summary!$C$12,1,1),Summary!$C$11))*('Dvd Calendar'!$G$2315&lt;=MAX(DATE(Summary!$C$12,12,31),Summary!$C$15))*('Dvd Calendar'!$G$2315&lt;=Summary!$C$11)=0,"",'Dvd Calendar'!$G$2315*1000000000+ISNUMBER('Dvd Calendar'!$G$2316)*100000000+('Dvd Calendar'!$G$2320='Field Check'!$C$25)*10000000+(N('Dvd Calendar'!$G$2314)&gt;0)*1000000+14*1000+3))</f>
        <v/>
      </c>
      <c r="F170" s="41">
        <f>IF(N('Dvd Calendar'!$H$2315)=0,"",IF(('Dvd Calendar'!$H$2315&gt;=MIN(DATE(Summary!$C$12,1,1),Summary!$C$11))*('Dvd Calendar'!$H$2315&lt;=MAX(DATE(Summary!$C$12,12,31),Summary!$C$15))*('Dvd Calendar'!$H$2315&lt;=Summary!$C$11)=0,"",'Dvd Calendar'!$H$2315*1000000000+ISNUMBER('Dvd Calendar'!$H$2316)*100000000+('Dvd Calendar'!$H$2320='Field Check'!$C$25)*10000000+(N('Dvd Calendar'!$H$2314)&gt;0)*1000000+14*1000+4))</f>
        <v/>
      </c>
      <c r="G170" s="41">
        <f>IF(N('Dvd Calendar'!$I$2315)=0,"",IF(('Dvd Calendar'!$I$2315&gt;=MIN(DATE(Summary!$C$12,1,1),Summary!$C$11))*('Dvd Calendar'!$I$2315&lt;=MAX(DATE(Summary!$C$12,12,31),Summary!$C$15))*('Dvd Calendar'!$I$2315&lt;=Summary!$C$11)=0,"",'Dvd Calendar'!$I$2315*1000000000+ISNUMBER('Dvd Calendar'!$I$2316)*100000000+('Dvd Calendar'!$I$2320='Field Check'!$C$25)*10000000+(N('Dvd Calendar'!$I$2314)&gt;0)*1000000+14*1000+5))</f>
        <v/>
      </c>
      <c r="H170" s="41">
        <f>IF(N('Dvd Calendar'!$J$2315)=0,"",IF(('Dvd Calendar'!$J$2315&gt;=MIN(DATE(Summary!$C$12,1,1),Summary!$C$11))*('Dvd Calendar'!$J$2315&lt;=MAX(DATE(Summary!$C$12,12,31),Summary!$C$15))*('Dvd Calendar'!$J$2315&lt;=Summary!$C$11)=0,"",'Dvd Calendar'!$J$2315*1000000000+ISNUMBER('Dvd Calendar'!$J$2316)*100000000+('Dvd Calendar'!$J$2320='Field Check'!$C$25)*10000000+(N('Dvd Calendar'!$J$2314)&gt;0)*1000000+14*1000+6))</f>
        <v/>
      </c>
      <c r="I170" s="41">
        <f>IF(N('Dvd Calendar'!$K$2315)=0,"",IF(('Dvd Calendar'!$K$2315&gt;=MIN(DATE(Summary!$C$12,1,1),Summary!$C$11))*('Dvd Calendar'!$K$2315&lt;=MAX(DATE(Summary!$C$12,12,31),Summary!$C$15))*('Dvd Calendar'!$K$2315&lt;=Summary!$C$11)=0,"",'Dvd Calendar'!$K$2315*1000000000+ISNUMBER('Dvd Calendar'!$K$2316)*100000000+('Dvd Calendar'!$K$2320='Field Check'!$C$25)*10000000+(N('Dvd Calendar'!$K$2314)&gt;0)*1000000+14*1000+7))</f>
        <v/>
      </c>
      <c r="J170" s="41">
        <f>IF(N('Dvd Calendar'!$L$2315)=0,"",IF(('Dvd Calendar'!$L$2315&gt;=MIN(DATE(Summary!$C$12,1,1),Summary!$C$11))*('Dvd Calendar'!$L$2315&lt;=MAX(DATE(Summary!$C$12,12,31),Summary!$C$15))*('Dvd Calendar'!$L$2315&lt;=Summary!$C$11)=0,"",'Dvd Calendar'!$L$2315*1000000000+ISNUMBER('Dvd Calendar'!$L$2316)*100000000+('Dvd Calendar'!$L$2320='Field Check'!$C$25)*10000000+(N('Dvd Calendar'!$L$2314)&gt;0)*1000000+14*1000+8))</f>
        <v/>
      </c>
      <c r="K170" s="41">
        <f>IF(N('Dvd Calendar'!$M$2315)=0,"",IF(('Dvd Calendar'!$M$2315&gt;=MIN(DATE(Summary!$C$12,1,1),Summary!$C$11))*('Dvd Calendar'!$M$2315&lt;=MAX(DATE(Summary!$C$12,12,31),Summary!$C$15))*('Dvd Calendar'!$M$2315&lt;=Summary!$C$11)=0,"",'Dvd Calendar'!$M$2315*1000000000+ISNUMBER('Dvd Calendar'!$M$2316)*100000000+('Dvd Calendar'!$M$2320='Field Check'!$C$25)*10000000+(N('Dvd Calendar'!$M$2314)&gt;0)*1000000+14*1000+9))</f>
        <v/>
      </c>
      <c r="L170" s="41">
        <f>IF(N('Dvd Calendar'!$N$2315)=0,"",IF(('Dvd Calendar'!$N$2315&gt;=MIN(DATE(Summary!$C$12,1,1),Summary!$C$11))*('Dvd Calendar'!$N$2315&lt;=MAX(DATE(Summary!$C$12,12,31),Summary!$C$15))*('Dvd Calendar'!$N$2315&lt;=Summary!$C$11)=0,"",'Dvd Calendar'!$N$2315*1000000000+ISNUMBER('Dvd Calendar'!$N$2316)*100000000+('Dvd Calendar'!$N$2320='Field Check'!$C$25)*10000000+(N('Dvd Calendar'!$N$2314)&gt;0)*1000000+14*1000+10))</f>
        <v/>
      </c>
      <c r="M170" s="41">
        <f>IF(N('Dvd Calendar'!$O$2315)=0,"",IF(('Dvd Calendar'!$O$2315&gt;=MIN(DATE(Summary!$C$12,1,1),Summary!$C$11))*('Dvd Calendar'!$O$2315&lt;=MAX(DATE(Summary!$C$12,12,31),Summary!$C$15))*('Dvd Calendar'!$O$2315&lt;=Summary!$C$11)=0,"",'Dvd Calendar'!$O$2315*1000000000+ISNUMBER('Dvd Calendar'!$O$2316)*100000000+('Dvd Calendar'!$O$2320='Field Check'!$C$25)*10000000+(N('Dvd Calendar'!$O$2314)&gt;0)*1000000+14*1000+11))</f>
        <v/>
      </c>
      <c r="N170" s="41">
        <f>IF(N('Dvd Calendar'!$P$2315)=0,"",IF(('Dvd Calendar'!$P$2315&gt;=MIN(DATE(Summary!$C$12,1,1),Summary!$C$11))*('Dvd Calendar'!$P$2315&lt;=MAX(DATE(Summary!$C$12,12,31),Summary!$C$15))*('Dvd Calendar'!$P$2315&lt;=Summary!$C$11)=0,"",'Dvd Calendar'!$P$2315*1000000000+ISNUMBER('Dvd Calendar'!$P$2316)*100000000+('Dvd Calendar'!$P$2320='Field Check'!$C$25)*10000000+(N('Dvd Calendar'!$P$2314)&gt;0)*1000000+14*1000+12))</f>
        <v/>
      </c>
      <c r="O170" s="41">
        <f>IF(N('Dvd Calendar'!$Q$2315)=0,"",IF(('Dvd Calendar'!$Q$2315&gt;=MIN(DATE(Summary!$C$12,1,1),Summary!$C$11))*('Dvd Calendar'!$Q$2315&lt;=MAX(DATE(Summary!$C$12,12,31),Summary!$C$15))*('Dvd Calendar'!$Q$2315&lt;=Summary!$C$11)=0,"",'Dvd Calendar'!$Q$2315*1000000000+ISNUMBER('Dvd Calendar'!$Q$2316)*100000000+('Dvd Calendar'!$Q$2320='Field Check'!$C$25)*10000000+(N('Dvd Calendar'!$Q$2314)&gt;0)*1000000+14*1000+13))</f>
        <v/>
      </c>
      <c r="P170" s="41">
        <f>IF(N('Dvd Calendar'!$R$2315)=0,"",IF(('Dvd Calendar'!$R$2315&gt;=MIN(DATE(Summary!$C$12,1,1),Summary!$C$11))*('Dvd Calendar'!$R$2315&lt;=MAX(DATE(Summary!$C$12,12,31),Summary!$C$15))*('Dvd Calendar'!$R$2315&lt;=Summary!$C$11)=0,"",'Dvd Calendar'!$R$2315*1000000000+ISNUMBER('Dvd Calendar'!$R$2316)*100000000+('Dvd Calendar'!$R$2320='Field Check'!$C$25)*10000000+(N('Dvd Calendar'!$R$2314)&gt;0)*1000000+14*1000+14))</f>
        <v/>
      </c>
      <c r="Q170" s="41">
        <f>IF(N('Dvd Calendar'!$S$2315)=0,"",IF(('Dvd Calendar'!$S$2315&gt;=MIN(DATE(Summary!$C$12,1,1),Summary!$C$11))*('Dvd Calendar'!$S$2315&lt;=MAX(DATE(Summary!$C$12,12,31),Summary!$C$15))*('Dvd Calendar'!$S$2315&lt;=Summary!$C$11)=0,"",'Dvd Calendar'!$S$2315*1000000000+ISNUMBER('Dvd Calendar'!$S$2316)*100000000+('Dvd Calendar'!$S$2320='Field Check'!$C$25)*10000000+(N('Dvd Calendar'!$S$2314)&gt;0)*1000000+14*1000+15))</f>
        <v/>
      </c>
      <c r="R170" s="41">
        <f>IF(N('Dvd Calendar'!$T$2315)=0,"",IF(('Dvd Calendar'!$T$2315&gt;=MIN(DATE(Summary!$C$12,1,1),Summary!$C$11))*('Dvd Calendar'!$T$2315&lt;=MAX(DATE(Summary!$C$12,12,31),Summary!$C$15))*('Dvd Calendar'!$T$2315&lt;=Summary!$C$11)=0,"",'Dvd Calendar'!$T$2315*1000000000+ISNUMBER('Dvd Calendar'!$T$2316)*100000000+('Dvd Calendar'!$T$2320='Field Check'!$C$25)*10000000+(N('Dvd Calendar'!$T$2314)&gt;0)*1000000+14*1000+16))</f>
        <v/>
      </c>
      <c r="S170" s="41">
        <f>IF(N('Dvd Calendar'!$U$2315)=0,"",IF(('Dvd Calendar'!$U$2315&gt;=MIN(DATE(Summary!$C$12,1,1),Summary!$C$11))*('Dvd Calendar'!$U$2315&lt;=MAX(DATE(Summary!$C$12,12,31),Summary!$C$15))*('Dvd Calendar'!$U$2315&lt;=Summary!$C$11)=0,"",'Dvd Calendar'!$U$2315*1000000000+ISNUMBER('Dvd Calendar'!$U$2316)*100000000+('Dvd Calendar'!$U$2320='Field Check'!$C$25)*10000000+(N('Dvd Calendar'!$U$2314)&gt;0)*1000000+14*1000+17))</f>
        <v/>
      </c>
      <c r="T170" s="41">
        <f>IF(N('Dvd Calendar'!$V$2315)=0,"",IF(('Dvd Calendar'!$V$2315&gt;=MIN(DATE(Summary!$C$12,1,1),Summary!$C$11))*('Dvd Calendar'!$V$2315&lt;=MAX(DATE(Summary!$C$12,12,31),Summary!$C$15))*('Dvd Calendar'!$V$2315&lt;=Summary!$C$11)=0,"",'Dvd Calendar'!$V$2315*1000000000+ISNUMBER('Dvd Calendar'!$V$2316)*100000000+('Dvd Calendar'!$V$2320='Field Check'!$C$25)*10000000+(N('Dvd Calendar'!$V$2314)&gt;0)*1000000+14*1000+18))</f>
        <v/>
      </c>
      <c r="U170" s="41">
        <f>IF(N('Dvd Calendar'!$W$2315)=0,"",IF(('Dvd Calendar'!$W$2315&gt;=MIN(DATE(Summary!$C$12,1,1),Summary!$C$11))*('Dvd Calendar'!$W$2315&lt;=MAX(DATE(Summary!$C$12,12,31),Summary!$C$15))*('Dvd Calendar'!$W$2315&lt;=Summary!$C$11)=0,"",'Dvd Calendar'!$W$2315*1000000000+ISNUMBER('Dvd Calendar'!$W$2316)*100000000+('Dvd Calendar'!$W$2320='Field Check'!$C$25)*10000000+(N('Dvd Calendar'!$W$2314)&gt;0)*1000000+14*1000+19))</f>
        <v/>
      </c>
      <c r="V170" s="41">
        <f>IF(N('Dvd Calendar'!$X$2315)=0,"",IF(('Dvd Calendar'!$X$2315&gt;=MIN(DATE(Summary!$C$12,1,1),Summary!$C$11))*('Dvd Calendar'!$X$2315&lt;=MAX(DATE(Summary!$C$12,12,31),Summary!$C$15))*('Dvd Calendar'!$X$2315&lt;=Summary!$C$11)=0,"",'Dvd Calendar'!$X$2315*1000000000+ISNUMBER('Dvd Calendar'!$X$2316)*100000000+('Dvd Calendar'!$X$2320='Field Check'!$C$25)*10000000+(N('Dvd Calendar'!$X$2314)&gt;0)*1000000+14*1000+20))</f>
        <v/>
      </c>
      <c r="W170" s="41">
        <f>IF(N('Dvd Calendar'!$Y$2315)=0,"",IF(('Dvd Calendar'!$Y$2315&gt;=MIN(DATE(Summary!$C$12,1,1),Summary!$C$11))*('Dvd Calendar'!$Y$2315&lt;=MAX(DATE(Summary!$C$12,12,31),Summary!$C$15))*('Dvd Calendar'!$Y$2315&lt;=Summary!$C$11)=0,"",'Dvd Calendar'!$Y$2315*1000000000+ISNUMBER('Dvd Calendar'!$Y$2316)*100000000+('Dvd Calendar'!$Y$2320='Field Check'!$C$25)*10000000+(N('Dvd Calendar'!$Y$2314)&gt;0)*1000000+14*1000+21))</f>
        <v/>
      </c>
      <c r="X170" s="41">
        <f>IF(N('Dvd Calendar'!$Z$2315)=0,"",IF(('Dvd Calendar'!$Z$2315&gt;=MIN(DATE(Summary!$C$12,1,1),Summary!$C$11))*('Dvd Calendar'!$Z$2315&lt;=MAX(DATE(Summary!$C$12,12,31),Summary!$C$15))*('Dvd Calendar'!$Z$2315&lt;=Summary!$C$11)=0,"",'Dvd Calendar'!$Z$2315*1000000000+ISNUMBER('Dvd Calendar'!$Z$2316)*100000000+('Dvd Calendar'!$Z$2320='Field Check'!$C$25)*10000000+(N('Dvd Calendar'!$Z$2314)&gt;0)*1000000+14*1000+22))</f>
        <v/>
      </c>
      <c r="Y170" s="41">
        <f>IF(N('Dvd Calendar'!$AA$2315)=0,"",IF(('Dvd Calendar'!$AA$2315&gt;=MIN(DATE(Summary!$C$12,1,1),Summary!$C$11))*('Dvd Calendar'!$AA$2315&lt;=MAX(DATE(Summary!$C$12,12,31),Summary!$C$15))*('Dvd Calendar'!$AA$2315&lt;=Summary!$C$11)=0,"",'Dvd Calendar'!$AA$2315*1000000000+ISNUMBER('Dvd Calendar'!$AA$2316)*100000000+('Dvd Calendar'!$AA$2320='Field Check'!$C$25)*10000000+(N('Dvd Calendar'!$AA$2314)&gt;0)*1000000+14*1000+23))</f>
        <v/>
      </c>
      <c r="Z170" s="41">
        <f>IF(N('Dvd Calendar'!$AB$2315)=0,"",IF(('Dvd Calendar'!$AB$2315&gt;=MIN(DATE(Summary!$C$12,1,1),Summary!$C$11))*('Dvd Calendar'!$AB$2315&lt;=MAX(DATE(Summary!$C$12,12,31),Summary!$C$15))*('Dvd Calendar'!$AB$2315&lt;=Summary!$C$11)=0,"",'Dvd Calendar'!$AB$2315*1000000000+ISNUMBER('Dvd Calendar'!$AB$2316)*100000000+('Dvd Calendar'!$AB$2320='Field Check'!$C$25)*10000000+(N('Dvd Calendar'!$AB$2314)&gt;0)*1000000+14*1000+24))</f>
        <v/>
      </c>
      <c r="AA170" s="41">
        <f>IF(N('Dvd Calendar'!$AC$2315)=0,"",IF(('Dvd Calendar'!$AC$2315&gt;=MIN(DATE(Summary!$C$12,1,1),Summary!$C$11))*('Dvd Calendar'!$AC$2315&lt;=MAX(DATE(Summary!$C$12,12,31),Summary!$C$15))*('Dvd Calendar'!$AC$2315&lt;=Summary!$C$11)=0,"",'Dvd Calendar'!$AC$2315*1000000000+ISNUMBER('Dvd Calendar'!$AC$2316)*100000000+('Dvd Calendar'!$AC$2320='Field Check'!$C$25)*10000000+(N('Dvd Calendar'!$AC$2314)&gt;0)*1000000+14*1000+25))</f>
        <v/>
      </c>
      <c r="AB170" s="41">
        <f>IF(N('Dvd Calendar'!$AD$2315)=0,"",IF(('Dvd Calendar'!$AD$2315&gt;=MIN(DATE(Summary!$C$12,1,1),Summary!$C$11))*('Dvd Calendar'!$AD$2315&lt;=MAX(DATE(Summary!$C$12,12,31),Summary!$C$15))*('Dvd Calendar'!$AD$2315&lt;=Summary!$C$11)=0,"",'Dvd Calendar'!$AD$2315*1000000000+ISNUMBER('Dvd Calendar'!$AD$2316)*100000000+('Dvd Calendar'!$AD$2320='Field Check'!$C$25)*10000000+(N('Dvd Calendar'!$AD$2314)&gt;0)*1000000+14*1000+26))</f>
        <v/>
      </c>
      <c r="AC170" s="41">
        <f>IF(N('Dvd Calendar'!$AE$2315)=0,"",IF(('Dvd Calendar'!$AE$2315&gt;=MIN(DATE(Summary!$C$12,1,1),Summary!$C$11))*('Dvd Calendar'!$AE$2315&lt;=MAX(DATE(Summary!$C$12,12,31),Summary!$C$15))*('Dvd Calendar'!$AE$2315&lt;=Summary!$C$11)=0,"",'Dvd Calendar'!$AE$2315*1000000000+ISNUMBER('Dvd Calendar'!$AE$2316)*100000000+('Dvd Calendar'!$AE$2320='Field Check'!$C$25)*10000000+(N('Dvd Calendar'!$AE$2314)&gt;0)*1000000+14*1000+27))</f>
        <v/>
      </c>
      <c r="AD170" s="41">
        <f>IF(N('Dvd Calendar'!$AF$2315)=0,"",IF(('Dvd Calendar'!$AF$2315&gt;=MIN(DATE(Summary!$C$12,1,1),Summary!$C$11))*('Dvd Calendar'!$AF$2315&lt;=MAX(DATE(Summary!$C$12,12,31),Summary!$C$15))*('Dvd Calendar'!$AF$2315&lt;=Summary!$C$11)=0,"",'Dvd Calendar'!$AF$2315*1000000000+ISNUMBER('Dvd Calendar'!$AF$2316)*100000000+('Dvd Calendar'!$AF$2320='Field Check'!$C$25)*10000000+(N('Dvd Calendar'!$AF$2314)&gt;0)*1000000+14*1000+28))</f>
        <v/>
      </c>
      <c r="AE170" s="41">
        <f>IF(N('Dvd Calendar'!$AG$2315)=0,"",IF(('Dvd Calendar'!$AG$2315&gt;=MIN(DATE(Summary!$C$12,1,1),Summary!$C$11))*('Dvd Calendar'!$AG$2315&lt;=MAX(DATE(Summary!$C$12,12,31),Summary!$C$15))*('Dvd Calendar'!$AG$2315&lt;=Summary!$C$11)=0,"",'Dvd Calendar'!$AG$2315*1000000000+ISNUMBER('Dvd Calendar'!$AG$2316)*100000000+('Dvd Calendar'!$AG$2320='Field Check'!$C$25)*10000000+(N('Dvd Calendar'!$AG$2314)&gt;0)*1000000+14*1000+29))</f>
        <v/>
      </c>
      <c r="AF170" s="41">
        <f>IF(N('Dvd Calendar'!$AH$2315)=0,"",IF(('Dvd Calendar'!$AH$2315&gt;=MIN(DATE(Summary!$C$12,1,1),Summary!$C$11))*('Dvd Calendar'!$AH$2315&lt;=MAX(DATE(Summary!$C$12,12,31),Summary!$C$15))*('Dvd Calendar'!$AH$2315&lt;=Summary!$C$11)=0,"",'Dvd Calendar'!$AH$2315*1000000000+ISNUMBER('Dvd Calendar'!$AH$2316)*100000000+('Dvd Calendar'!$AH$2320='Field Check'!$C$25)*10000000+(N('Dvd Calendar'!$AH$2314)&gt;0)*1000000+14*1000+30))</f>
        <v/>
      </c>
      <c r="AG170" s="41">
        <f>IF(N('Dvd Calendar'!$AI$2315)=0,"",IF(('Dvd Calendar'!$AI$2315&gt;=MIN(DATE(Summary!$C$12,1,1),Summary!$C$11))*('Dvd Calendar'!$AI$2315&lt;=MAX(DATE(Summary!$C$12,12,31),Summary!$C$15))*('Dvd Calendar'!$AI$2315&lt;=Summary!$C$11)=0,"",'Dvd Calendar'!$AI$2315*1000000000+ISNUMBER('Dvd Calendar'!$AI$2316)*100000000+('Dvd Calendar'!$AI$2320='Field Check'!$C$25)*10000000+(N('Dvd Calendar'!$AI$2314)&gt;0)*1000000+14*1000+31))</f>
        <v/>
      </c>
      <c r="AH170" s="41">
        <f>IF(N('Dvd Calendar'!$AJ$2315)=0,"",IF(('Dvd Calendar'!$AJ$2315&gt;=MIN(DATE(Summary!$C$12,1,1),Summary!$C$11))*('Dvd Calendar'!$AJ$2315&lt;=MAX(DATE(Summary!$C$12,12,31),Summary!$C$15))*('Dvd Calendar'!$AJ$2315&lt;=Summary!$C$11)=0,"",'Dvd Calendar'!$AJ$2315*1000000000+ISNUMBER('Dvd Calendar'!$AJ$2316)*100000000+('Dvd Calendar'!$AJ$2320='Field Check'!$C$25)*10000000+(N('Dvd Calendar'!$AJ$2314)&gt;0)*1000000+14*1000+32))</f>
        <v/>
      </c>
      <c r="AI170" s="41">
        <f>IF(N('Dvd Calendar'!$AK$2315)=0,"",IF(('Dvd Calendar'!$AK$2315&gt;=MIN(DATE(Summary!$C$12,1,1),Summary!$C$11))*('Dvd Calendar'!$AK$2315&lt;=MAX(DATE(Summary!$C$12,12,31),Summary!$C$15))*('Dvd Calendar'!$AK$2315&lt;=Summary!$C$11)=0,"",'Dvd Calendar'!$AK$2315*1000000000+ISNUMBER('Dvd Calendar'!$AK$2316)*100000000+('Dvd Calendar'!$AK$2320='Field Check'!$C$25)*10000000+(N('Dvd Calendar'!$AK$2314)&gt;0)*1000000+14*1000+33))</f>
        <v/>
      </c>
      <c r="AJ170" s="41">
        <f>IF(N('Dvd Calendar'!$AL$2315)=0,"",IF(('Dvd Calendar'!$AL$2315&gt;=MIN(DATE(Summary!$C$12,1,1),Summary!$C$11))*('Dvd Calendar'!$AL$2315&lt;=MAX(DATE(Summary!$C$12,12,31),Summary!$C$15))*('Dvd Calendar'!$AL$2315&lt;=Summary!$C$11)=0,"",'Dvd Calendar'!$AL$2315*1000000000+ISNUMBER('Dvd Calendar'!$AL$2316)*100000000+('Dvd Calendar'!$AL$2320='Field Check'!$C$25)*10000000+(N('Dvd Calendar'!$AL$2314)&gt;0)*1000000+14*1000+34))</f>
        <v/>
      </c>
      <c r="AK170" s="41">
        <f>IF(N('Dvd Calendar'!$AM$2315)=0,"",IF(('Dvd Calendar'!$AM$2315&gt;=MIN(DATE(Summary!$C$12,1,1),Summary!$C$11))*('Dvd Calendar'!$AM$2315&lt;=MAX(DATE(Summary!$C$12,12,31),Summary!$C$15))*('Dvd Calendar'!$AM$2315&lt;=Summary!$C$11)=0,"",'Dvd Calendar'!$AM$2315*1000000000+ISNUMBER('Dvd Calendar'!$AM$2316)*100000000+('Dvd Calendar'!$AM$2320='Field Check'!$C$25)*10000000+(N('Dvd Calendar'!$AM$2314)&gt;0)*1000000+14*1000+35))</f>
        <v/>
      </c>
      <c r="AL170" s="41">
        <f>IF(N('Dvd Calendar'!$AN$2315)=0,"",IF(('Dvd Calendar'!$AN$2315&gt;=MIN(DATE(Summary!$C$12,1,1),Summary!$C$11))*('Dvd Calendar'!$AN$2315&lt;=MAX(DATE(Summary!$C$12,12,31),Summary!$C$15))*('Dvd Calendar'!$AN$2315&lt;=Summary!$C$11)=0,"",'Dvd Calendar'!$AN$2315*1000000000+ISNUMBER('Dvd Calendar'!$AN$2316)*100000000+('Dvd Calendar'!$AN$2320='Field Check'!$C$25)*10000000+(N('Dvd Calendar'!$AN$2314)&gt;0)*1000000+14*1000+36))</f>
        <v/>
      </c>
      <c r="AM170" s="41">
        <f>IF(N('Dvd Calendar'!$AO$2315)=0,"",IF(('Dvd Calendar'!$AO$2315&gt;=MIN(DATE(Summary!$C$12,1,1),Summary!$C$11))*('Dvd Calendar'!$AO$2315&lt;=MAX(DATE(Summary!$C$12,12,31),Summary!$C$15))*('Dvd Calendar'!$AO$2315&lt;=Summary!$C$11)=0,"",'Dvd Calendar'!$AO$2315*1000000000+ISNUMBER('Dvd Calendar'!$AO$2316)*100000000+('Dvd Calendar'!$AO$2320='Field Check'!$C$25)*10000000+(N('Dvd Calendar'!$AO$2314)&gt;0)*1000000+14*1000+37))</f>
        <v/>
      </c>
      <c r="AN170" s="41">
        <f>IF(N('Dvd Calendar'!$AP$2315)=0,"",IF(('Dvd Calendar'!$AP$2315&gt;=MIN(DATE(Summary!$C$12,1,1),Summary!$C$11))*('Dvd Calendar'!$AP$2315&lt;=MAX(DATE(Summary!$C$12,12,31),Summary!$C$15))*('Dvd Calendar'!$AP$2315&lt;=Summary!$C$11)=0,"",'Dvd Calendar'!$AP$2315*1000000000+ISNUMBER('Dvd Calendar'!$AP$2316)*100000000+('Dvd Calendar'!$AP$2320='Field Check'!$C$25)*10000000+(N('Dvd Calendar'!$AP$2314)&gt;0)*1000000+14*1000+38))</f>
        <v/>
      </c>
      <c r="AO170" s="41">
        <f>IF(N('Dvd Calendar'!$AQ$2315)=0,"",IF(('Dvd Calendar'!$AQ$2315&gt;=MIN(DATE(Summary!$C$12,1,1),Summary!$C$11))*('Dvd Calendar'!$AQ$2315&lt;=MAX(DATE(Summary!$C$12,12,31),Summary!$C$15))*('Dvd Calendar'!$AQ$2315&lt;=Summary!$C$11)=0,"",'Dvd Calendar'!$AQ$2315*1000000000+ISNUMBER('Dvd Calendar'!$AQ$2316)*100000000+('Dvd Calendar'!$AQ$2320='Field Check'!$C$25)*10000000+(N('Dvd Calendar'!$AQ$2314)&gt;0)*1000000+14*1000+39))</f>
        <v/>
      </c>
      <c r="AP170" s="41">
        <f>IF(N('Dvd Calendar'!$AR$2315)=0,"",IF(('Dvd Calendar'!$AR$2315&gt;=MIN(DATE(Summary!$C$12,1,1),Summary!$C$11))*('Dvd Calendar'!$AR$2315&lt;=MAX(DATE(Summary!$C$12,12,31),Summary!$C$15))*('Dvd Calendar'!$AR$2315&lt;=Summary!$C$11)=0,"",'Dvd Calendar'!$AR$2315*1000000000+ISNUMBER('Dvd Calendar'!$AR$2316)*100000000+('Dvd Calendar'!$AR$2320='Field Check'!$C$25)*10000000+(N('Dvd Calendar'!$AR$2314)&gt;0)*1000000+14*1000+40))</f>
        <v/>
      </c>
      <c r="AQ170" s="41">
        <f>IF(N('Dvd Calendar'!$E$2322)=0,"",IF(('Dvd Calendar'!$E$2322&gt;=MIN(DATE(Summary!$C$12,1,1),Summary!$C$11))*('Dvd Calendar'!$E$2322&lt;=MAX(DATE(Summary!$C$12,12,31),Summary!$C$15))*('Dvd Calendar'!$E$2322&gt;Summary!$C$11)=0,"",'Dvd Calendar'!$E$2322*1000000000+ISNUMBER('Dvd Calendar'!$E$2323)*100000000+('Dvd Calendar'!$E$2327='Field Check'!$C$25)*10000000+(N('Dvd Calendar'!$E$2321)&gt;0)*1000000+14*1000+41))</f>
        <v/>
      </c>
      <c r="AR170" s="41">
        <f>IF(N('Dvd Calendar'!$F$2322)=0,"",IF(('Dvd Calendar'!$F$2322&gt;=MIN(DATE(Summary!$C$12,1,1),Summary!$C$11))*('Dvd Calendar'!$F$2322&lt;=MAX(DATE(Summary!$C$12,12,31),Summary!$C$15))*('Dvd Calendar'!$F$2322&gt;Summary!$C$11)=0,"",'Dvd Calendar'!$F$2322*1000000000+ISNUMBER('Dvd Calendar'!$F$2323)*100000000+('Dvd Calendar'!$F$2327='Field Check'!$C$25)*10000000+(N('Dvd Calendar'!$F$2321)&gt;0)*1000000+14*1000+42))</f>
        <v/>
      </c>
      <c r="AS170" s="41">
        <f>IF(N('Dvd Calendar'!$G$2322)=0,"",IF(('Dvd Calendar'!$G$2322&gt;=MIN(DATE(Summary!$C$12,1,1),Summary!$C$11))*('Dvd Calendar'!$G$2322&lt;=MAX(DATE(Summary!$C$12,12,31),Summary!$C$15))*('Dvd Calendar'!$G$2322&gt;Summary!$C$11)=0,"",'Dvd Calendar'!$G$2322*1000000000+ISNUMBER('Dvd Calendar'!$G$2323)*100000000+('Dvd Calendar'!$G$2327='Field Check'!$C$25)*10000000+(N('Dvd Calendar'!$G$2321)&gt;0)*1000000+14*1000+43))</f>
        <v/>
      </c>
      <c r="AT170" s="41">
        <f>IF(N('Dvd Calendar'!$H$2322)=0,"",IF(('Dvd Calendar'!$H$2322&gt;=MIN(DATE(Summary!$C$12,1,1),Summary!$C$11))*('Dvd Calendar'!$H$2322&lt;=MAX(DATE(Summary!$C$12,12,31),Summary!$C$15))*('Dvd Calendar'!$H$2322&gt;Summary!$C$11)=0,"",'Dvd Calendar'!$H$2322*1000000000+ISNUMBER('Dvd Calendar'!$H$2323)*100000000+('Dvd Calendar'!$H$2327='Field Check'!$C$25)*10000000+(N('Dvd Calendar'!$H$2321)&gt;0)*1000000+14*1000+44))</f>
        <v/>
      </c>
      <c r="AU170" s="41">
        <f>IF(N('Dvd Calendar'!$I$2322)=0,"",IF(('Dvd Calendar'!$I$2322&gt;=MIN(DATE(Summary!$C$12,1,1),Summary!$C$11))*('Dvd Calendar'!$I$2322&lt;=MAX(DATE(Summary!$C$12,12,31),Summary!$C$15))*('Dvd Calendar'!$I$2322&gt;Summary!$C$11)=0,"",'Dvd Calendar'!$I$2322*1000000000+ISNUMBER('Dvd Calendar'!$I$2323)*100000000+('Dvd Calendar'!$I$2327='Field Check'!$C$25)*10000000+(N('Dvd Calendar'!$I$2321)&gt;0)*1000000+14*1000+45))</f>
        <v/>
      </c>
      <c r="AV170" s="41">
        <f>IF(N('Dvd Calendar'!$J$2322)=0,"",IF(('Dvd Calendar'!$J$2322&gt;=MIN(DATE(Summary!$C$12,1,1),Summary!$C$11))*('Dvd Calendar'!$J$2322&lt;=MAX(DATE(Summary!$C$12,12,31),Summary!$C$15))*('Dvd Calendar'!$J$2322&gt;Summary!$C$11)=0,"",'Dvd Calendar'!$J$2322*1000000000+ISNUMBER('Dvd Calendar'!$J$2323)*100000000+('Dvd Calendar'!$J$2327='Field Check'!$C$25)*10000000+(N('Dvd Calendar'!$J$2321)&gt;0)*1000000+14*1000+46))</f>
        <v/>
      </c>
      <c r="AW170" s="41">
        <f>IF(N('Dvd Calendar'!$K$2322)=0,"",IF(('Dvd Calendar'!$K$2322&gt;=MIN(DATE(Summary!$C$12,1,1),Summary!$C$11))*('Dvd Calendar'!$K$2322&lt;=MAX(DATE(Summary!$C$12,12,31),Summary!$C$15))*('Dvd Calendar'!$K$2322&gt;Summary!$C$11)=0,"",'Dvd Calendar'!$K$2322*1000000000+ISNUMBER('Dvd Calendar'!$K$2323)*100000000+('Dvd Calendar'!$K$2327='Field Check'!$C$25)*10000000+(N('Dvd Calendar'!$K$2321)&gt;0)*1000000+14*1000+47))</f>
        <v/>
      </c>
      <c r="AX170" s="41">
        <f>IF(N('Dvd Calendar'!$L$2322)=0,"",IF(('Dvd Calendar'!$L$2322&gt;=MIN(DATE(Summary!$C$12,1,1),Summary!$C$11))*('Dvd Calendar'!$L$2322&lt;=MAX(DATE(Summary!$C$12,12,31),Summary!$C$15))*('Dvd Calendar'!$L$2322&gt;Summary!$C$11)=0,"",'Dvd Calendar'!$L$2322*1000000000+ISNUMBER('Dvd Calendar'!$L$2323)*100000000+('Dvd Calendar'!$L$2327='Field Check'!$C$25)*10000000+(N('Dvd Calendar'!$L$2321)&gt;0)*1000000+14*1000+48))</f>
        <v/>
      </c>
      <c r="AY170" s="41">
        <f>IF(N('Dvd Calendar'!$M$2322)=0,"",IF(('Dvd Calendar'!$M$2322&gt;=MIN(DATE(Summary!$C$12,1,1),Summary!$C$11))*('Dvd Calendar'!$M$2322&lt;=MAX(DATE(Summary!$C$12,12,31),Summary!$C$15))*('Dvd Calendar'!$M$2322&gt;Summary!$C$11)=0,"",'Dvd Calendar'!$M$2322*1000000000+ISNUMBER('Dvd Calendar'!$M$2323)*100000000+('Dvd Calendar'!$M$2327='Field Check'!$C$25)*10000000+(N('Dvd Calendar'!$M$2321)&gt;0)*1000000+14*1000+49))</f>
        <v/>
      </c>
      <c r="AZ170" s="41">
        <f>IF(N('Dvd Calendar'!$N$2322)=0,"",IF(('Dvd Calendar'!$N$2322&gt;=MIN(DATE(Summary!$C$12,1,1),Summary!$C$11))*('Dvd Calendar'!$N$2322&lt;=MAX(DATE(Summary!$C$12,12,31),Summary!$C$15))*('Dvd Calendar'!$N$2322&gt;Summary!$C$11)=0,"",'Dvd Calendar'!$N$2322*1000000000+ISNUMBER('Dvd Calendar'!$N$2323)*100000000+('Dvd Calendar'!$N$2327='Field Check'!$C$25)*10000000+(N('Dvd Calendar'!$N$2321)&gt;0)*1000000+14*1000+50))</f>
        <v/>
      </c>
      <c r="BA170" s="41">
        <f>IF(N('Dvd Calendar'!$O$2322)=0,"",IF(('Dvd Calendar'!$O$2322&gt;=MIN(DATE(Summary!$C$12,1,1),Summary!$C$11))*('Dvd Calendar'!$O$2322&lt;=MAX(DATE(Summary!$C$12,12,31),Summary!$C$15))*('Dvd Calendar'!$O$2322&gt;Summary!$C$11)=0,"",'Dvd Calendar'!$O$2322*1000000000+ISNUMBER('Dvd Calendar'!$O$2323)*100000000+('Dvd Calendar'!$O$2327='Field Check'!$C$25)*10000000+(N('Dvd Calendar'!$O$2321)&gt;0)*1000000+14*1000+51))</f>
        <v/>
      </c>
      <c r="BB170" s="41">
        <f>IF(N('Dvd Calendar'!$P$2322)=0,"",IF(('Dvd Calendar'!$P$2322&gt;=MIN(DATE(Summary!$C$12,1,1),Summary!$C$11))*('Dvd Calendar'!$P$2322&lt;=MAX(DATE(Summary!$C$12,12,31),Summary!$C$15))*('Dvd Calendar'!$P$2322&gt;Summary!$C$11)=0,"",'Dvd Calendar'!$P$2322*1000000000+ISNUMBER('Dvd Calendar'!$P$2323)*100000000+('Dvd Calendar'!$P$2327='Field Check'!$C$25)*10000000+(N('Dvd Calendar'!$P$2321)&gt;0)*1000000+14*1000+52))</f>
        <v/>
      </c>
      <c r="BC170" s="41">
        <f>IF(N('Dvd Calendar'!$Q$2322)=0,"",IF(('Dvd Calendar'!$Q$2322&gt;=MIN(DATE(Summary!$C$12,1,1),Summary!$C$11))*('Dvd Calendar'!$Q$2322&lt;=MAX(DATE(Summary!$C$12,12,31),Summary!$C$15))*('Dvd Calendar'!$Q$2322&gt;Summary!$C$11)=0,"",'Dvd Calendar'!$Q$2322*1000000000+ISNUMBER('Dvd Calendar'!$Q$2323)*100000000+('Dvd Calendar'!$Q$2327='Field Check'!$C$25)*10000000+(N('Dvd Calendar'!$Q$2321)&gt;0)*1000000+14*1000+53))</f>
        <v/>
      </c>
      <c r="BD170" s="41">
        <f>IF(N('Dvd Calendar'!$R$2322)=0,"",IF(('Dvd Calendar'!$R$2322&gt;=MIN(DATE(Summary!$C$12,1,1),Summary!$C$11))*('Dvd Calendar'!$R$2322&lt;=MAX(DATE(Summary!$C$12,12,31),Summary!$C$15))*('Dvd Calendar'!$R$2322&gt;Summary!$C$11)=0,"",'Dvd Calendar'!$R$2322*1000000000+ISNUMBER('Dvd Calendar'!$R$2323)*100000000+('Dvd Calendar'!$R$2327='Field Check'!$C$25)*10000000+(N('Dvd Calendar'!$R$2321)&gt;0)*1000000+14*1000+54))</f>
        <v/>
      </c>
      <c r="BE170" s="41">
        <f>IF(N('Dvd Calendar'!$S$2322)=0,"",IF(('Dvd Calendar'!$S$2322&gt;=MIN(DATE(Summary!$C$12,1,1),Summary!$C$11))*('Dvd Calendar'!$S$2322&lt;=MAX(DATE(Summary!$C$12,12,31),Summary!$C$15))*('Dvd Calendar'!$S$2322&gt;Summary!$C$11)=0,"",'Dvd Calendar'!$S$2322*1000000000+ISNUMBER('Dvd Calendar'!$S$2323)*100000000+('Dvd Calendar'!$S$2327='Field Check'!$C$25)*10000000+(N('Dvd Calendar'!$S$2321)&gt;0)*1000000+14*1000+55))</f>
        <v/>
      </c>
      <c r="BF170" s="41">
        <f>IF(N('Dvd Calendar'!$T$2322)=0,"",IF(('Dvd Calendar'!$T$2322&gt;=MIN(DATE(Summary!$C$12,1,1),Summary!$C$11))*('Dvd Calendar'!$T$2322&lt;=MAX(DATE(Summary!$C$12,12,31),Summary!$C$15))*('Dvd Calendar'!$T$2322&gt;Summary!$C$11)=0,"",'Dvd Calendar'!$T$2322*1000000000+ISNUMBER('Dvd Calendar'!$T$2323)*100000000+('Dvd Calendar'!$T$2327='Field Check'!$C$25)*10000000+(N('Dvd Calendar'!$T$2321)&gt;0)*1000000+14*1000+56))</f>
        <v/>
      </c>
      <c r="BG170" s="41">
        <f>IF(N('Dvd Calendar'!$U$2322)=0,"",IF(('Dvd Calendar'!$U$2322&gt;=MIN(DATE(Summary!$C$12,1,1),Summary!$C$11))*('Dvd Calendar'!$U$2322&lt;=MAX(DATE(Summary!$C$12,12,31),Summary!$C$15))*('Dvd Calendar'!$U$2322&gt;Summary!$C$11)=0,"",'Dvd Calendar'!$U$2322*1000000000+ISNUMBER('Dvd Calendar'!$U$2323)*100000000+('Dvd Calendar'!$U$2327='Field Check'!$C$25)*10000000+(N('Dvd Calendar'!$U$2321)&gt;0)*1000000+14*1000+57))</f>
        <v/>
      </c>
      <c r="BH170" s="41">
        <f>IF(N('Dvd Calendar'!$V$2322)=0,"",IF(('Dvd Calendar'!$V$2322&gt;=MIN(DATE(Summary!$C$12,1,1),Summary!$C$11))*('Dvd Calendar'!$V$2322&lt;=MAX(DATE(Summary!$C$12,12,31),Summary!$C$15))*('Dvd Calendar'!$V$2322&gt;Summary!$C$11)=0,"",'Dvd Calendar'!$V$2322*1000000000+ISNUMBER('Dvd Calendar'!$V$2323)*100000000+('Dvd Calendar'!$V$2327='Field Check'!$C$25)*10000000+(N('Dvd Calendar'!$V$2321)&gt;0)*1000000+14*1000+58))</f>
        <v/>
      </c>
      <c r="BI170" s="41">
        <f>IF(N('Dvd Calendar'!$W$2322)=0,"",IF(('Dvd Calendar'!$W$2322&gt;=MIN(DATE(Summary!$C$12,1,1),Summary!$C$11))*('Dvd Calendar'!$W$2322&lt;=MAX(DATE(Summary!$C$12,12,31),Summary!$C$15))*('Dvd Calendar'!$W$2322&gt;Summary!$C$11)=0,"",'Dvd Calendar'!$W$2322*1000000000+ISNUMBER('Dvd Calendar'!$W$2323)*100000000+('Dvd Calendar'!$W$2327='Field Check'!$C$25)*10000000+(N('Dvd Calendar'!$W$2321)&gt;0)*1000000+14*1000+59))</f>
        <v/>
      </c>
      <c r="BJ170" s="41">
        <f>IF(N('Dvd Calendar'!$X$2322)=0,"",IF(('Dvd Calendar'!$X$2322&gt;=MIN(DATE(Summary!$C$12,1,1),Summary!$C$11))*('Dvd Calendar'!$X$2322&lt;=MAX(DATE(Summary!$C$12,12,31),Summary!$C$15))*('Dvd Calendar'!$X$2322&gt;Summary!$C$11)=0,"",'Dvd Calendar'!$X$2322*1000000000+ISNUMBER('Dvd Calendar'!$X$2323)*100000000+('Dvd Calendar'!$X$2327='Field Check'!$C$25)*10000000+(N('Dvd Calendar'!$X$2321)&gt;0)*1000000+14*1000+60))</f>
        <v/>
      </c>
      <c r="BK170" s="41">
        <f>IF(N('Dvd Calendar'!$Y$2322)=0,"",IF(('Dvd Calendar'!$Y$2322&gt;=MIN(DATE(Summary!$C$12,1,1),Summary!$C$11))*('Dvd Calendar'!$Y$2322&lt;=MAX(DATE(Summary!$C$12,12,31),Summary!$C$15))*('Dvd Calendar'!$Y$2322&gt;Summary!$C$11)=0,"",'Dvd Calendar'!$Y$2322*1000000000+ISNUMBER('Dvd Calendar'!$Y$2323)*100000000+('Dvd Calendar'!$Y$2327='Field Check'!$C$25)*10000000+(N('Dvd Calendar'!$Y$2321)&gt;0)*1000000+14*1000+61))</f>
        <v/>
      </c>
      <c r="BL170" s="41">
        <f>IF(N('Dvd Calendar'!$Z$2322)=0,"",IF(('Dvd Calendar'!$Z$2322&gt;=MIN(DATE(Summary!$C$12,1,1),Summary!$C$11))*('Dvd Calendar'!$Z$2322&lt;=MAX(DATE(Summary!$C$12,12,31),Summary!$C$15))*('Dvd Calendar'!$Z$2322&gt;Summary!$C$11)=0,"",'Dvd Calendar'!$Z$2322*1000000000+ISNUMBER('Dvd Calendar'!$Z$2323)*100000000+('Dvd Calendar'!$Z$2327='Field Check'!$C$25)*10000000+(N('Dvd Calendar'!$Z$2321)&gt;0)*1000000+14*1000+62))</f>
        <v/>
      </c>
      <c r="BM170" s="41">
        <f>IF(N('Dvd Calendar'!$AA$2322)=0,"",IF(('Dvd Calendar'!$AA$2322&gt;=MIN(DATE(Summary!$C$12,1,1),Summary!$C$11))*('Dvd Calendar'!$AA$2322&lt;=MAX(DATE(Summary!$C$12,12,31),Summary!$C$15))*('Dvd Calendar'!$AA$2322&gt;Summary!$C$11)=0,"",'Dvd Calendar'!$AA$2322*1000000000+ISNUMBER('Dvd Calendar'!$AA$2323)*100000000+('Dvd Calendar'!$AA$2327='Field Check'!$C$25)*10000000+(N('Dvd Calendar'!$AA$2321)&gt;0)*1000000+14*1000+63))</f>
        <v/>
      </c>
      <c r="BN170" s="41">
        <f>IF(N('Dvd Calendar'!$AB$2322)=0,"",IF(('Dvd Calendar'!$AB$2322&gt;=MIN(DATE(Summary!$C$12,1,1),Summary!$C$11))*('Dvd Calendar'!$AB$2322&lt;=MAX(DATE(Summary!$C$12,12,31),Summary!$C$15))*('Dvd Calendar'!$AB$2322&gt;Summary!$C$11)=0,"",'Dvd Calendar'!$AB$2322*1000000000+ISNUMBER('Dvd Calendar'!$AB$2323)*100000000+('Dvd Calendar'!$AB$2327='Field Check'!$C$25)*10000000+(N('Dvd Calendar'!$AB$2321)&gt;0)*1000000+14*1000+64))</f>
        <v/>
      </c>
      <c r="BO170" s="41">
        <f>IF(N('Dvd Calendar'!$AC$2322)=0,"",IF(('Dvd Calendar'!$AC$2322&gt;=MIN(DATE(Summary!$C$12,1,1),Summary!$C$11))*('Dvd Calendar'!$AC$2322&lt;=MAX(DATE(Summary!$C$12,12,31),Summary!$C$15))*('Dvd Calendar'!$AC$2322&gt;Summary!$C$11)=0,"",'Dvd Calendar'!$AC$2322*1000000000+ISNUMBER('Dvd Calendar'!$AC$2323)*100000000+('Dvd Calendar'!$AC$2327='Field Check'!$C$25)*10000000+(N('Dvd Calendar'!$AC$2321)&gt;0)*1000000+14*1000+65))</f>
        <v/>
      </c>
      <c r="BQ170" s="85">
        <f>IF(C170="","",IF(ISNUMBER('Dvd Calendar'!$E$2316)=FALSE,"",IF((Summary!$C$13="N")*('Dvd Calendar'!$E$2320='Field Check'!$C$25)&gt;0,"",'Dvd Calendar'!$E$2316)))</f>
        <v/>
      </c>
      <c r="BR170" s="85">
        <f>IF(D170="","",IF(ISNUMBER('Dvd Calendar'!$F$2316)=FALSE,"",IF((Summary!$C$13="N")*('Dvd Calendar'!$F$2320='Field Check'!$C$25)&gt;0,"",'Dvd Calendar'!$F$2316)))</f>
        <v/>
      </c>
      <c r="BS170" s="85">
        <f>IF(E170="","",IF(ISNUMBER('Dvd Calendar'!$G$2316)=FALSE,"",IF((Summary!$C$13="N")*('Dvd Calendar'!$G$2320='Field Check'!$C$25)&gt;0,"",'Dvd Calendar'!$G$2316)))</f>
        <v/>
      </c>
      <c r="BT170" s="85">
        <f>IF(F170="","",IF(ISNUMBER('Dvd Calendar'!$H$2316)=FALSE,"",IF((Summary!$C$13="N")*('Dvd Calendar'!$H$2320='Field Check'!$C$25)&gt;0,"",'Dvd Calendar'!$H$2316)))</f>
        <v/>
      </c>
      <c r="BU170" s="85">
        <f>IF(G170="","",IF(ISNUMBER('Dvd Calendar'!$I$2316)=FALSE,"",IF((Summary!$C$13="N")*('Dvd Calendar'!$I$2320='Field Check'!$C$25)&gt;0,"",'Dvd Calendar'!$I$2316)))</f>
        <v/>
      </c>
      <c r="BV170" s="85">
        <f>IF(H170="","",IF(ISNUMBER('Dvd Calendar'!$J$2316)=FALSE,"",IF((Summary!$C$13="N")*('Dvd Calendar'!$J$2320='Field Check'!$C$25)&gt;0,"",'Dvd Calendar'!$J$2316)))</f>
        <v/>
      </c>
      <c r="BW170" s="85">
        <f>IF(I170="","",IF(ISNUMBER('Dvd Calendar'!$K$2316)=FALSE,"",IF((Summary!$C$13="N")*('Dvd Calendar'!$K$2320='Field Check'!$C$25)&gt;0,"",'Dvd Calendar'!$K$2316)))</f>
        <v/>
      </c>
      <c r="BX170" s="85">
        <f>IF(J170="","",IF(ISNUMBER('Dvd Calendar'!$L$2316)=FALSE,"",IF((Summary!$C$13="N")*('Dvd Calendar'!$L$2320='Field Check'!$C$25)&gt;0,"",'Dvd Calendar'!$L$2316)))</f>
        <v/>
      </c>
      <c r="BY170" s="85">
        <f>IF(K170="","",IF(ISNUMBER('Dvd Calendar'!$M$2316)=FALSE,"",IF((Summary!$C$13="N")*('Dvd Calendar'!$M$2320='Field Check'!$C$25)&gt;0,"",'Dvd Calendar'!$M$2316)))</f>
        <v/>
      </c>
      <c r="BZ170" s="85">
        <f>IF(L170="","",IF(ISNUMBER('Dvd Calendar'!$N$2316)=FALSE,"",IF((Summary!$C$13="N")*('Dvd Calendar'!$N$2320='Field Check'!$C$25)&gt;0,"",'Dvd Calendar'!$N$2316)))</f>
        <v/>
      </c>
      <c r="CA170" s="85">
        <f>IF(M170="","",IF(ISNUMBER('Dvd Calendar'!$O$2316)=FALSE,"",IF((Summary!$C$13="N")*('Dvd Calendar'!$O$2320='Field Check'!$C$25)&gt;0,"",'Dvd Calendar'!$O$2316)))</f>
        <v/>
      </c>
      <c r="CB170" s="85">
        <f>IF(N170="","",IF(ISNUMBER('Dvd Calendar'!$P$2316)=FALSE,"",IF((Summary!$C$13="N")*('Dvd Calendar'!$P$2320='Field Check'!$C$25)&gt;0,"",'Dvd Calendar'!$P$2316)))</f>
        <v/>
      </c>
      <c r="CC170" s="85">
        <f>IF(O170="","",IF(ISNUMBER('Dvd Calendar'!$Q$2316)=FALSE,"",IF((Summary!$C$13="N")*('Dvd Calendar'!$Q$2320='Field Check'!$C$25)&gt;0,"",'Dvd Calendar'!$Q$2316)))</f>
        <v/>
      </c>
      <c r="CD170" s="85">
        <f>IF(P170="","",IF(ISNUMBER('Dvd Calendar'!$R$2316)=FALSE,"",IF((Summary!$C$13="N")*('Dvd Calendar'!$R$2320='Field Check'!$C$25)&gt;0,"",'Dvd Calendar'!$R$2316)))</f>
        <v/>
      </c>
      <c r="CE170" s="85">
        <f>IF(Q170="","",IF(ISNUMBER('Dvd Calendar'!$S$2316)=FALSE,"",IF((Summary!$C$13="N")*('Dvd Calendar'!$S$2320='Field Check'!$C$25)&gt;0,"",'Dvd Calendar'!$S$2316)))</f>
        <v/>
      </c>
      <c r="CF170" s="85">
        <f>IF(R170="","",IF(ISNUMBER('Dvd Calendar'!$T$2316)=FALSE,"",IF((Summary!$C$13="N")*('Dvd Calendar'!$T$2320='Field Check'!$C$25)&gt;0,"",'Dvd Calendar'!$T$2316)))</f>
        <v/>
      </c>
      <c r="CG170" s="85">
        <f>IF(S170="","",IF(ISNUMBER('Dvd Calendar'!$U$2316)=FALSE,"",IF((Summary!$C$13="N")*('Dvd Calendar'!$U$2320='Field Check'!$C$25)&gt;0,"",'Dvd Calendar'!$U$2316)))</f>
        <v/>
      </c>
      <c r="CH170" s="85">
        <f>IF(T170="","",IF(ISNUMBER('Dvd Calendar'!$V$2316)=FALSE,"",IF((Summary!$C$13="N")*('Dvd Calendar'!$V$2320='Field Check'!$C$25)&gt;0,"",'Dvd Calendar'!$V$2316)))</f>
        <v/>
      </c>
      <c r="CI170" s="85">
        <f>IF(U170="","",IF(ISNUMBER('Dvd Calendar'!$W$2316)=FALSE,"",IF((Summary!$C$13="N")*('Dvd Calendar'!$W$2320='Field Check'!$C$25)&gt;0,"",'Dvd Calendar'!$W$2316)))</f>
        <v/>
      </c>
      <c r="CJ170" s="85">
        <f>IF(V170="","",IF(ISNUMBER('Dvd Calendar'!$X$2316)=FALSE,"",IF((Summary!$C$13="N")*('Dvd Calendar'!$X$2320='Field Check'!$C$25)&gt;0,"",'Dvd Calendar'!$X$2316)))</f>
        <v/>
      </c>
      <c r="CK170" s="85">
        <f>IF(W170="","",IF(ISNUMBER('Dvd Calendar'!$Y$2316)=FALSE,"",IF((Summary!$C$13="N")*('Dvd Calendar'!$Y$2320='Field Check'!$C$25)&gt;0,"",'Dvd Calendar'!$Y$2316)))</f>
        <v/>
      </c>
      <c r="CL170" s="85">
        <f>IF(X170="","",IF(ISNUMBER('Dvd Calendar'!$Z$2316)=FALSE,"",IF((Summary!$C$13="N")*('Dvd Calendar'!$Z$2320='Field Check'!$C$25)&gt;0,"",'Dvd Calendar'!$Z$2316)))</f>
        <v/>
      </c>
      <c r="CM170" s="85">
        <f>IF(Y170="","",IF(ISNUMBER('Dvd Calendar'!$AA$2316)=FALSE,"",IF((Summary!$C$13="N")*('Dvd Calendar'!$AA$2320='Field Check'!$C$25)&gt;0,"",'Dvd Calendar'!$AA$2316)))</f>
        <v/>
      </c>
      <c r="CN170" s="85">
        <f>IF(Z170="","",IF(ISNUMBER('Dvd Calendar'!$AB$2316)=FALSE,"",IF((Summary!$C$13="N")*('Dvd Calendar'!$AB$2320='Field Check'!$C$25)&gt;0,"",'Dvd Calendar'!$AB$2316)))</f>
        <v/>
      </c>
      <c r="CO170" s="85">
        <f>IF(AA170="","",IF(ISNUMBER('Dvd Calendar'!$AC$2316)=FALSE,"",IF((Summary!$C$13="N")*('Dvd Calendar'!$AC$2320='Field Check'!$C$25)&gt;0,"",'Dvd Calendar'!$AC$2316)))</f>
        <v/>
      </c>
      <c r="CP170" s="85">
        <f>IF(AB170="","",IF(ISNUMBER('Dvd Calendar'!$AD$2316)=FALSE,"",IF((Summary!$C$13="N")*('Dvd Calendar'!$AD$2320='Field Check'!$C$25)&gt;0,"",'Dvd Calendar'!$AD$2316)))</f>
        <v/>
      </c>
      <c r="CQ170" s="85">
        <f>IF(AC170="","",IF(ISNUMBER('Dvd Calendar'!$AE$2316)=FALSE,"",IF((Summary!$C$13="N")*('Dvd Calendar'!$AE$2320='Field Check'!$C$25)&gt;0,"",'Dvd Calendar'!$AE$2316)))</f>
        <v/>
      </c>
      <c r="CR170" s="85">
        <f>IF(AD170="","",IF(ISNUMBER('Dvd Calendar'!$AF$2316)=FALSE,"",IF((Summary!$C$13="N")*('Dvd Calendar'!$AF$2320='Field Check'!$C$25)&gt;0,"",'Dvd Calendar'!$AF$2316)))</f>
        <v/>
      </c>
      <c r="CS170" s="85">
        <f>IF(AE170="","",IF(ISNUMBER('Dvd Calendar'!$AG$2316)=FALSE,"",IF((Summary!$C$13="N")*('Dvd Calendar'!$AG$2320='Field Check'!$C$25)&gt;0,"",'Dvd Calendar'!$AG$2316)))</f>
        <v/>
      </c>
      <c r="CT170" s="85">
        <f>IF(AF170="","",IF(ISNUMBER('Dvd Calendar'!$AH$2316)=FALSE,"",IF((Summary!$C$13="N")*('Dvd Calendar'!$AH$2320='Field Check'!$C$25)&gt;0,"",'Dvd Calendar'!$AH$2316)))</f>
        <v/>
      </c>
      <c r="CU170" s="85">
        <f>IF(AG170="","",IF(ISNUMBER('Dvd Calendar'!$AI$2316)=FALSE,"",IF((Summary!$C$13="N")*('Dvd Calendar'!$AI$2320='Field Check'!$C$25)&gt;0,"",'Dvd Calendar'!$AI$2316)))</f>
        <v/>
      </c>
      <c r="CV170" s="85">
        <f>IF(AH170="","",IF(ISNUMBER('Dvd Calendar'!$AJ$2316)=FALSE,"",IF((Summary!$C$13="N")*('Dvd Calendar'!$AJ$2320='Field Check'!$C$25)&gt;0,"",'Dvd Calendar'!$AJ$2316)))</f>
        <v/>
      </c>
      <c r="CW170" s="85">
        <f>IF(AI170="","",IF(ISNUMBER('Dvd Calendar'!$AK$2316)=FALSE,"",IF((Summary!$C$13="N")*('Dvd Calendar'!$AK$2320='Field Check'!$C$25)&gt;0,"",'Dvd Calendar'!$AK$2316)))</f>
        <v/>
      </c>
      <c r="CX170" s="85">
        <f>IF(AJ170="","",IF(ISNUMBER('Dvd Calendar'!$AL$2316)=FALSE,"",IF((Summary!$C$13="N")*('Dvd Calendar'!$AL$2320='Field Check'!$C$25)&gt;0,"",'Dvd Calendar'!$AL$2316)))</f>
        <v/>
      </c>
      <c r="CY170" s="85">
        <f>IF(AK170="","",IF(ISNUMBER('Dvd Calendar'!$AM$2316)=FALSE,"",IF((Summary!$C$13="N")*('Dvd Calendar'!$AM$2320='Field Check'!$C$25)&gt;0,"",'Dvd Calendar'!$AM$2316)))</f>
        <v/>
      </c>
      <c r="CZ170" s="85">
        <f>IF(AL170="","",IF(ISNUMBER('Dvd Calendar'!$AN$2316)=FALSE,"",IF((Summary!$C$13="N")*('Dvd Calendar'!$AN$2320='Field Check'!$C$25)&gt;0,"",'Dvd Calendar'!$AN$2316)))</f>
        <v/>
      </c>
      <c r="DA170" s="85">
        <f>IF(AM170="","",IF(ISNUMBER('Dvd Calendar'!$AO$2316)=FALSE,"",IF((Summary!$C$13="N")*('Dvd Calendar'!$AO$2320='Field Check'!$C$25)&gt;0,"",'Dvd Calendar'!$AO$2316)))</f>
        <v/>
      </c>
      <c r="DB170" s="85">
        <f>IF(AN170="","",IF(ISNUMBER('Dvd Calendar'!$AP$2316)=FALSE,"",IF((Summary!$C$13="N")*('Dvd Calendar'!$AP$2320='Field Check'!$C$25)&gt;0,"",'Dvd Calendar'!$AP$2316)))</f>
        <v/>
      </c>
      <c r="DC170" s="85">
        <f>IF(AO170="","",IF(ISNUMBER('Dvd Calendar'!$AQ$2316)=FALSE,"",IF((Summary!$C$13="N")*('Dvd Calendar'!$AQ$2320='Field Check'!$C$25)&gt;0,"",'Dvd Calendar'!$AQ$2316)))</f>
        <v/>
      </c>
      <c r="DD170" s="85">
        <f>IF(AP170="","",IF(ISNUMBER('Dvd Calendar'!$AR$2316)=FALSE,"",IF((Summary!$C$13="N")*('Dvd Calendar'!$AR$2320='Field Check'!$C$25)&gt;0,"",'Dvd Calendar'!$AR$2316)))</f>
        <v/>
      </c>
      <c r="DE170" s="85">
        <f>IF(AQ170="","",IF(ISNUMBER('Dvd Calendar'!$E$2323)=FALSE,"",IF((Summary!$C$13="N")*('Dvd Calendar'!$E$2327='Field Check'!$C$25)&gt;0,"",'Dvd Calendar'!$E$2323)))</f>
        <v/>
      </c>
      <c r="DF170" s="85">
        <f>IF(AR170="","",IF(ISNUMBER('Dvd Calendar'!$F$2323)=FALSE,"",IF((Summary!$C$13="N")*('Dvd Calendar'!$F$2327='Field Check'!$C$25)&gt;0,"",'Dvd Calendar'!$F$2323)))</f>
        <v/>
      </c>
      <c r="DG170" s="85">
        <f>IF(AS170="","",IF(ISNUMBER('Dvd Calendar'!$G$2323)=FALSE,"",IF((Summary!$C$13="N")*('Dvd Calendar'!$G$2327='Field Check'!$C$25)&gt;0,"",'Dvd Calendar'!$G$2323)))</f>
        <v/>
      </c>
      <c r="DH170" s="85">
        <f>IF(AT170="","",IF(ISNUMBER('Dvd Calendar'!$H$2323)=FALSE,"",IF((Summary!$C$13="N")*('Dvd Calendar'!$H$2327='Field Check'!$C$25)&gt;0,"",'Dvd Calendar'!$H$2323)))</f>
        <v/>
      </c>
      <c r="DI170" s="85">
        <f>IF(AU170="","",IF(ISNUMBER('Dvd Calendar'!$I$2323)=FALSE,"",IF((Summary!$C$13="N")*('Dvd Calendar'!$I$2327='Field Check'!$C$25)&gt;0,"",'Dvd Calendar'!$I$2323)))</f>
        <v/>
      </c>
      <c r="DJ170" s="85">
        <f>IF(AV170="","",IF(ISNUMBER('Dvd Calendar'!$J$2323)=FALSE,"",IF((Summary!$C$13="N")*('Dvd Calendar'!$J$2327='Field Check'!$C$25)&gt;0,"",'Dvd Calendar'!$J$2323)))</f>
        <v/>
      </c>
      <c r="DK170" s="85">
        <f>IF(AW170="","",IF(ISNUMBER('Dvd Calendar'!$K$2323)=FALSE,"",IF((Summary!$C$13="N")*('Dvd Calendar'!$K$2327='Field Check'!$C$25)&gt;0,"",'Dvd Calendar'!$K$2323)))</f>
        <v/>
      </c>
      <c r="DL170" s="85">
        <f>IF(AX170="","",IF(ISNUMBER('Dvd Calendar'!$L$2323)=FALSE,"",IF((Summary!$C$13="N")*('Dvd Calendar'!$L$2327='Field Check'!$C$25)&gt;0,"",'Dvd Calendar'!$L$2323)))</f>
        <v/>
      </c>
      <c r="DM170" s="85">
        <f>IF(AY170="","",IF(ISNUMBER('Dvd Calendar'!$M$2323)=FALSE,"",IF((Summary!$C$13="N")*('Dvd Calendar'!$M$2327='Field Check'!$C$25)&gt;0,"",'Dvd Calendar'!$M$2323)))</f>
        <v/>
      </c>
      <c r="DN170" s="85">
        <f>IF(AZ170="","",IF(ISNUMBER('Dvd Calendar'!$N$2323)=FALSE,"",IF((Summary!$C$13="N")*('Dvd Calendar'!$N$2327='Field Check'!$C$25)&gt;0,"",'Dvd Calendar'!$N$2323)))</f>
        <v/>
      </c>
      <c r="DO170" s="85">
        <f>IF(BA170="","",IF(ISNUMBER('Dvd Calendar'!$O$2323)=FALSE,"",IF((Summary!$C$13="N")*('Dvd Calendar'!$O$2327='Field Check'!$C$25)&gt;0,"",'Dvd Calendar'!$O$2323)))</f>
        <v/>
      </c>
      <c r="DP170" s="85">
        <f>IF(BB170="","",IF(ISNUMBER('Dvd Calendar'!$P$2323)=FALSE,"",IF((Summary!$C$13="N")*('Dvd Calendar'!$P$2327='Field Check'!$C$25)&gt;0,"",'Dvd Calendar'!$P$2323)))</f>
        <v/>
      </c>
      <c r="DQ170" s="85">
        <f>IF(BC170="","",IF(ISNUMBER('Dvd Calendar'!$Q$2323)=FALSE,"",IF((Summary!$C$13="N")*('Dvd Calendar'!$Q$2327='Field Check'!$C$25)&gt;0,"",'Dvd Calendar'!$Q$2323)))</f>
        <v/>
      </c>
      <c r="DR170" s="85">
        <f>IF(BD170="","",IF(ISNUMBER('Dvd Calendar'!$R$2323)=FALSE,"",IF((Summary!$C$13="N")*('Dvd Calendar'!$R$2327='Field Check'!$C$25)&gt;0,"",'Dvd Calendar'!$R$2323)))</f>
        <v/>
      </c>
      <c r="DS170" s="85">
        <f>IF(BE170="","",IF(ISNUMBER('Dvd Calendar'!$S$2323)=FALSE,"",IF((Summary!$C$13="N")*('Dvd Calendar'!$S$2327='Field Check'!$C$25)&gt;0,"",'Dvd Calendar'!$S$2323)))</f>
        <v/>
      </c>
      <c r="DT170" s="85">
        <f>IF(BF170="","",IF(ISNUMBER('Dvd Calendar'!$T$2323)=FALSE,"",IF((Summary!$C$13="N")*('Dvd Calendar'!$T$2327='Field Check'!$C$25)&gt;0,"",'Dvd Calendar'!$T$2323)))</f>
        <v/>
      </c>
      <c r="DU170" s="85">
        <f>IF(BG170="","",IF(ISNUMBER('Dvd Calendar'!$U$2323)=FALSE,"",IF((Summary!$C$13="N")*('Dvd Calendar'!$U$2327='Field Check'!$C$25)&gt;0,"",'Dvd Calendar'!$U$2323)))</f>
        <v/>
      </c>
      <c r="DV170" s="85">
        <f>IF(BH170="","",IF(ISNUMBER('Dvd Calendar'!$V$2323)=FALSE,"",IF((Summary!$C$13="N")*('Dvd Calendar'!$V$2327='Field Check'!$C$25)&gt;0,"",'Dvd Calendar'!$V$2323)))</f>
        <v/>
      </c>
      <c r="DW170" s="85">
        <f>IF(BI170="","",IF(ISNUMBER('Dvd Calendar'!$W$2323)=FALSE,"",IF((Summary!$C$13="N")*('Dvd Calendar'!$W$2327='Field Check'!$C$25)&gt;0,"",'Dvd Calendar'!$W$2323)))</f>
        <v/>
      </c>
      <c r="DX170" s="85">
        <f>IF(BJ170="","",IF(ISNUMBER('Dvd Calendar'!$X$2323)=FALSE,"",IF((Summary!$C$13="N")*('Dvd Calendar'!$X$2327='Field Check'!$C$25)&gt;0,"",'Dvd Calendar'!$X$2323)))</f>
        <v/>
      </c>
      <c r="DY170" s="85">
        <f>IF(BK170="","",IF(ISNUMBER('Dvd Calendar'!$Y$2323)=FALSE,"",IF((Summary!$C$13="N")*('Dvd Calendar'!$Y$2327='Field Check'!$C$25)&gt;0,"",'Dvd Calendar'!$Y$2323)))</f>
        <v/>
      </c>
      <c r="DZ170" s="85">
        <f>IF(BL170="","",IF(ISNUMBER('Dvd Calendar'!$Z$2323)=FALSE,"",IF((Summary!$C$13="N")*('Dvd Calendar'!$Z$2327='Field Check'!$C$25)&gt;0,"",'Dvd Calendar'!$Z$2323)))</f>
        <v/>
      </c>
      <c r="EA170" s="85">
        <f>IF(BM170="","",IF(ISNUMBER('Dvd Calendar'!$AA$2323)=FALSE,"",IF((Summary!$C$13="N")*('Dvd Calendar'!$AA$2327='Field Check'!$C$25)&gt;0,"",'Dvd Calendar'!$AA$2323)))</f>
        <v/>
      </c>
      <c r="EB170" s="85">
        <f>IF(BN170="","",IF(ISNUMBER('Dvd Calendar'!$AB$2323)=FALSE,"",IF((Summary!$C$13="N")*('Dvd Calendar'!$AB$2327='Field Check'!$C$25)&gt;0,"",'Dvd Calendar'!$AB$2323)))</f>
        <v/>
      </c>
      <c r="EC170" s="85">
        <f>IF(BO170="","",IF(ISNUMBER('Dvd Calendar'!$AC$2323)=FALSE,"",IF((Summary!$C$13="N")*('Dvd Calendar'!$AC$2327='Field Check'!$C$25)&gt;0,"",'Dvd Calendar'!$AC$2323)))</f>
        <v/>
      </c>
      <c r="EE170" s="85">
        <f>IF(BQ170="","",IFERROR(BQ170*HSCEI!$B$20*HSCEI!$G$20/HSCEI!$B$3,""))</f>
        <v/>
      </c>
      <c r="EF170" s="85">
        <f>IF(BR170="","",IFERROR(BR170*HSCEI!$B$20*HSCEI!$G$20/HSCEI!$B$3,""))</f>
        <v/>
      </c>
      <c r="EG170" s="85">
        <f>IF(BS170="","",IFERROR(BS170*HSCEI!$B$20*HSCEI!$G$20/HSCEI!$B$3,""))</f>
        <v/>
      </c>
      <c r="EH170" s="85">
        <f>IF(BT170="","",IFERROR(BT170*HSCEI!$B$20*HSCEI!$G$20/HSCEI!$B$3,""))</f>
        <v/>
      </c>
      <c r="EI170" s="85">
        <f>IF(BU170="","",IFERROR(BU170*HSCEI!$B$20*HSCEI!$G$20/HSCEI!$B$3,""))</f>
        <v/>
      </c>
      <c r="EJ170" s="85">
        <f>IF(BV170="","",IFERROR(BV170*HSCEI!$B$20*HSCEI!$G$20/HSCEI!$B$3,""))</f>
        <v/>
      </c>
      <c r="EK170" s="85">
        <f>IF(BW170="","",IFERROR(BW170*HSCEI!$B$20*HSCEI!$G$20/HSCEI!$B$3,""))</f>
        <v/>
      </c>
      <c r="EL170" s="85">
        <f>IF(BX170="","",IFERROR(BX170*HSCEI!$B$20*HSCEI!$G$20/HSCEI!$B$3,""))</f>
        <v/>
      </c>
      <c r="EM170" s="85">
        <f>IF(BY170="","",IFERROR(BY170*HSCEI!$B$20*HSCEI!$G$20/HSCEI!$B$3,""))</f>
        <v/>
      </c>
      <c r="EN170" s="85">
        <f>IF(BZ170="","",IFERROR(BZ170*HSCEI!$B$20*HSCEI!$G$20/HSCEI!$B$3,""))</f>
        <v/>
      </c>
      <c r="EO170" s="85">
        <f>IF(CA170="","",IFERROR(CA170*HSCEI!$B$20*HSCEI!$G$20/HSCEI!$B$3,""))</f>
        <v/>
      </c>
      <c r="EP170" s="85">
        <f>IF(CB170="","",IFERROR(CB170*HSCEI!$B$20*HSCEI!$G$20/HSCEI!$B$3,""))</f>
        <v/>
      </c>
      <c r="EQ170" s="85">
        <f>IF(CC170="","",IFERROR(CC170*HSCEI!$B$20*HSCEI!$G$20/HSCEI!$B$3,""))</f>
        <v/>
      </c>
      <c r="ER170" s="85">
        <f>IF(CD170="","",IFERROR(CD170*HSCEI!$B$20*HSCEI!$G$20/HSCEI!$B$3,""))</f>
        <v/>
      </c>
      <c r="ES170" s="85">
        <f>IF(CE170="","",IFERROR(CE170*HSCEI!$B$20*HSCEI!$G$20/HSCEI!$B$3,""))</f>
        <v/>
      </c>
      <c r="ET170" s="85">
        <f>IF(CF170="","",IFERROR(CF170*HSCEI!$B$20*HSCEI!$G$20/HSCEI!$B$3,""))</f>
        <v/>
      </c>
      <c r="EU170" s="85">
        <f>IF(CG170="","",IFERROR(CG170*HSCEI!$B$20*HSCEI!$G$20/HSCEI!$B$3,""))</f>
        <v/>
      </c>
      <c r="EV170" s="85">
        <f>IF(CH170="","",IFERROR(CH170*HSCEI!$B$20*HSCEI!$G$20/HSCEI!$B$3,""))</f>
        <v/>
      </c>
      <c r="EW170" s="85">
        <f>IF(CI170="","",IFERROR(CI170*HSCEI!$B$20*HSCEI!$G$20/HSCEI!$B$3,""))</f>
        <v/>
      </c>
      <c r="EX170" s="85">
        <f>IF(CJ170="","",IFERROR(CJ170*HSCEI!$B$20*HSCEI!$G$20/HSCEI!$B$3,""))</f>
        <v/>
      </c>
      <c r="EY170" s="85">
        <f>IF(CK170="","",IFERROR(CK170*HSCEI!$B$20*HSCEI!$G$20/HSCEI!$B$3,""))</f>
        <v/>
      </c>
      <c r="EZ170" s="85">
        <f>IF(CL170="","",IFERROR(CL170*HSCEI!$B$20*HSCEI!$G$20/HSCEI!$B$3,""))</f>
        <v/>
      </c>
      <c r="FA170" s="85">
        <f>IF(CM170="","",IFERROR(CM170*HSCEI!$B$20*HSCEI!$G$20/HSCEI!$B$3,""))</f>
        <v/>
      </c>
      <c r="FB170" s="85">
        <f>IF(CN170="","",IFERROR(CN170*HSCEI!$B$20*HSCEI!$G$20/HSCEI!$B$3,""))</f>
        <v/>
      </c>
      <c r="FC170" s="85">
        <f>IF(CO170="","",IFERROR(CO170*HSCEI!$B$20*HSCEI!$G$20/HSCEI!$B$3,""))</f>
        <v/>
      </c>
      <c r="FD170" s="85">
        <f>IF(CP170="","",IFERROR(CP170*HSCEI!$B$20*HSCEI!$G$20/HSCEI!$B$3,""))</f>
        <v/>
      </c>
      <c r="FE170" s="85">
        <f>IF(CQ170="","",IFERROR(CQ170*HSCEI!$B$20*HSCEI!$G$20/HSCEI!$B$3,""))</f>
        <v/>
      </c>
      <c r="FF170" s="85">
        <f>IF(CR170="","",IFERROR(CR170*HSCEI!$B$20*HSCEI!$G$20/HSCEI!$B$3,""))</f>
        <v/>
      </c>
      <c r="FG170" s="85">
        <f>IF(CS170="","",IFERROR(CS170*HSCEI!$B$20*HSCEI!$G$20/HSCEI!$B$3,""))</f>
        <v/>
      </c>
      <c r="FH170" s="85">
        <f>IF(CT170="","",IFERROR(CT170*HSCEI!$B$20*HSCEI!$G$20/HSCEI!$B$3,""))</f>
        <v/>
      </c>
      <c r="FI170" s="85">
        <f>IF(CU170="","",IFERROR(CU170*HSCEI!$B$20*HSCEI!$G$20/HSCEI!$B$3,""))</f>
        <v/>
      </c>
      <c r="FJ170" s="85">
        <f>IF(CV170="","",IFERROR(CV170*HSCEI!$B$20*HSCEI!$G$20/HSCEI!$B$3,""))</f>
        <v/>
      </c>
      <c r="FK170" s="85">
        <f>IF(CW170="","",IFERROR(CW170*HSCEI!$B$20*HSCEI!$G$20/HSCEI!$B$3,""))</f>
        <v/>
      </c>
      <c r="FL170" s="85">
        <f>IF(CX170="","",IFERROR(CX170*HSCEI!$B$20*HSCEI!$G$20/HSCEI!$B$3,""))</f>
        <v/>
      </c>
      <c r="FM170" s="85">
        <f>IF(CY170="","",IFERROR(CY170*HSCEI!$B$20*HSCEI!$G$20/HSCEI!$B$3,""))</f>
        <v/>
      </c>
      <c r="FN170" s="85">
        <f>IF(CZ170="","",IFERROR(CZ170*HSCEI!$B$20*HSCEI!$G$20/HSCEI!$B$3,""))</f>
        <v/>
      </c>
      <c r="FO170" s="85">
        <f>IF(DA170="","",IFERROR(DA170*HSCEI!$B$20*HSCEI!$G$20/HSCEI!$B$3,""))</f>
        <v/>
      </c>
      <c r="FP170" s="85">
        <f>IF(DB170="","",IFERROR(DB170*HSCEI!$B$20*HSCEI!$G$20/HSCEI!$B$3,""))</f>
        <v/>
      </c>
      <c r="FQ170" s="85">
        <f>IF(DC170="","",IFERROR(DC170*HSCEI!$B$20*HSCEI!$G$20/HSCEI!$B$3,""))</f>
        <v/>
      </c>
      <c r="FR170" s="85">
        <f>IF(DD170="","",IFERROR(DD170*HSCEI!$B$20*HSCEI!$G$20/HSCEI!$B$3,""))</f>
        <v/>
      </c>
      <c r="FS170" s="85">
        <f>IF(DE170="","",IFERROR(DE170*HSCEI!$B$20*HSCEI!$G$20/HSCEI!$B$3,""))</f>
        <v/>
      </c>
      <c r="FT170" s="85">
        <f>IF(DF170="","",IFERROR(DF170*HSCEI!$B$20*HSCEI!$G$20/HSCEI!$B$3,""))</f>
        <v/>
      </c>
      <c r="FU170" s="85">
        <f>IF(DG170="","",IFERROR(DG170*HSCEI!$B$20*HSCEI!$G$20/HSCEI!$B$3,""))</f>
        <v/>
      </c>
      <c r="FV170" s="85">
        <f>IF(DH170="","",IFERROR(DH170*HSCEI!$B$20*HSCEI!$G$20/HSCEI!$B$3,""))</f>
        <v/>
      </c>
      <c r="FW170" s="85">
        <f>IF(DI170="","",IFERROR(DI170*HSCEI!$B$20*HSCEI!$G$20/HSCEI!$B$3,""))</f>
        <v/>
      </c>
      <c r="FX170" s="85">
        <f>IF(DJ170="","",IFERROR(DJ170*HSCEI!$B$20*HSCEI!$G$20/HSCEI!$B$3,""))</f>
        <v/>
      </c>
      <c r="FY170" s="85">
        <f>IF(DK170="","",IFERROR(DK170*HSCEI!$B$20*HSCEI!$G$20/HSCEI!$B$3,""))</f>
        <v/>
      </c>
      <c r="FZ170" s="85">
        <f>IF(DL170="","",IFERROR(DL170*HSCEI!$B$20*HSCEI!$G$20/HSCEI!$B$3,""))</f>
        <v/>
      </c>
      <c r="GA170" s="85">
        <f>IF(DM170="","",IFERROR(DM170*HSCEI!$B$20*HSCEI!$G$20/HSCEI!$B$3,""))</f>
        <v/>
      </c>
      <c r="GB170" s="85">
        <f>IF(DN170="","",IFERROR(DN170*HSCEI!$B$20*HSCEI!$G$20/HSCEI!$B$3,""))</f>
        <v/>
      </c>
      <c r="GC170" s="85">
        <f>IF(DO170="","",IFERROR(DO170*HSCEI!$B$20*HSCEI!$G$20/HSCEI!$B$3,""))</f>
        <v/>
      </c>
      <c r="GD170" s="85">
        <f>IF(DP170="","",IFERROR(DP170*HSCEI!$B$20*HSCEI!$G$20/HSCEI!$B$3,""))</f>
        <v/>
      </c>
      <c r="GE170" s="85">
        <f>IF(DQ170="","",IFERROR(DQ170*HSCEI!$B$20*HSCEI!$G$20/HSCEI!$B$3,""))</f>
        <v/>
      </c>
      <c r="GF170" s="85">
        <f>IF(DR170="","",IFERROR(DR170*HSCEI!$B$20*HSCEI!$G$20/HSCEI!$B$3,""))</f>
        <v/>
      </c>
      <c r="GG170" s="85">
        <f>IF(DS170="","",IFERROR(DS170*HSCEI!$B$20*HSCEI!$G$20/HSCEI!$B$3,""))</f>
        <v/>
      </c>
      <c r="GH170" s="85">
        <f>IF(DT170="","",IFERROR(DT170*HSCEI!$B$20*HSCEI!$G$20/HSCEI!$B$3,""))</f>
        <v/>
      </c>
      <c r="GI170" s="85">
        <f>IF(DU170="","",IFERROR(DU170*HSCEI!$B$20*HSCEI!$G$20/HSCEI!$B$3,""))</f>
        <v/>
      </c>
      <c r="GJ170" s="85">
        <f>IF(DV170="","",IFERROR(DV170*HSCEI!$B$20*HSCEI!$G$20/HSCEI!$B$3,""))</f>
        <v/>
      </c>
      <c r="GK170" s="85">
        <f>IF(DW170="","",IFERROR(DW170*HSCEI!$B$20*HSCEI!$G$20/HSCEI!$B$3,""))</f>
        <v/>
      </c>
      <c r="GL170" s="85">
        <f>IF(DX170="","",IFERROR(DX170*HSCEI!$B$20*HSCEI!$G$20/HSCEI!$B$3,""))</f>
        <v/>
      </c>
      <c r="GM170" s="85">
        <f>IF(DY170="","",IFERROR(DY170*HSCEI!$B$20*HSCEI!$G$20/HSCEI!$B$3,""))</f>
        <v/>
      </c>
      <c r="GN170" s="85">
        <f>IF(DZ170="","",IFERROR(DZ170*HSCEI!$B$20*HSCEI!$G$20/HSCEI!$B$3,""))</f>
        <v/>
      </c>
      <c r="GO170" s="85">
        <f>IF(EA170="","",IFERROR(EA170*HSCEI!$B$20*HSCEI!$G$20/HSCEI!$B$3,""))</f>
        <v/>
      </c>
      <c r="GP170" s="85">
        <f>IF(EB170="","",IFERROR(EB170*HSCEI!$B$20*HSCEI!$G$20/HSCEI!$B$3,""))</f>
        <v/>
      </c>
      <c r="GQ170" s="85">
        <f>IF(EC170="","",IFERROR(EC170*HSCEI!$B$20*HSCEI!$G$20/HSCEI!$B$3,""))</f>
        <v/>
      </c>
    </row>
    <row r="171">
      <c r="B171" s="2">
        <f>IF(HSCEI!$C$21="","",HSCEI!$C$21)</f>
        <v/>
      </c>
      <c r="C171" s="41">
        <f>IF(N('Dvd Calendar'!$E$2330)=0,"",IF(('Dvd Calendar'!$E$2330&gt;=MIN(DATE(Summary!$C$12,1,1),Summary!$C$11))*('Dvd Calendar'!$E$2330&lt;=MAX(DATE(Summary!$C$12,12,31),Summary!$C$15))*('Dvd Calendar'!$E$2330&lt;=Summary!$C$11)=0,"",'Dvd Calendar'!$E$2330*1000000000+ISNUMBER('Dvd Calendar'!$E$2331)*100000000+('Dvd Calendar'!$E$2335='Field Check'!$C$25)*10000000+(N('Dvd Calendar'!$E$2329)&gt;0)*1000000+15*1000+1))</f>
        <v/>
      </c>
      <c r="D171" s="41">
        <f>IF(N('Dvd Calendar'!$F$2330)=0,"",IF(('Dvd Calendar'!$F$2330&gt;=MIN(DATE(Summary!$C$12,1,1),Summary!$C$11))*('Dvd Calendar'!$F$2330&lt;=MAX(DATE(Summary!$C$12,12,31),Summary!$C$15))*('Dvd Calendar'!$F$2330&lt;=Summary!$C$11)=0,"",'Dvd Calendar'!$F$2330*1000000000+ISNUMBER('Dvd Calendar'!$F$2331)*100000000+('Dvd Calendar'!$F$2335='Field Check'!$C$25)*10000000+(N('Dvd Calendar'!$F$2329)&gt;0)*1000000+15*1000+2))</f>
        <v/>
      </c>
      <c r="E171" s="41">
        <f>IF(N('Dvd Calendar'!$G$2330)=0,"",IF(('Dvd Calendar'!$G$2330&gt;=MIN(DATE(Summary!$C$12,1,1),Summary!$C$11))*('Dvd Calendar'!$G$2330&lt;=MAX(DATE(Summary!$C$12,12,31),Summary!$C$15))*('Dvd Calendar'!$G$2330&lt;=Summary!$C$11)=0,"",'Dvd Calendar'!$G$2330*1000000000+ISNUMBER('Dvd Calendar'!$G$2331)*100000000+('Dvd Calendar'!$G$2335='Field Check'!$C$25)*10000000+(N('Dvd Calendar'!$G$2329)&gt;0)*1000000+15*1000+3))</f>
        <v/>
      </c>
      <c r="F171" s="41">
        <f>IF(N('Dvd Calendar'!$H$2330)=0,"",IF(('Dvd Calendar'!$H$2330&gt;=MIN(DATE(Summary!$C$12,1,1),Summary!$C$11))*('Dvd Calendar'!$H$2330&lt;=MAX(DATE(Summary!$C$12,12,31),Summary!$C$15))*('Dvd Calendar'!$H$2330&lt;=Summary!$C$11)=0,"",'Dvd Calendar'!$H$2330*1000000000+ISNUMBER('Dvd Calendar'!$H$2331)*100000000+('Dvd Calendar'!$H$2335='Field Check'!$C$25)*10000000+(N('Dvd Calendar'!$H$2329)&gt;0)*1000000+15*1000+4))</f>
        <v/>
      </c>
      <c r="G171" s="41">
        <f>IF(N('Dvd Calendar'!$I$2330)=0,"",IF(('Dvd Calendar'!$I$2330&gt;=MIN(DATE(Summary!$C$12,1,1),Summary!$C$11))*('Dvd Calendar'!$I$2330&lt;=MAX(DATE(Summary!$C$12,12,31),Summary!$C$15))*('Dvd Calendar'!$I$2330&lt;=Summary!$C$11)=0,"",'Dvd Calendar'!$I$2330*1000000000+ISNUMBER('Dvd Calendar'!$I$2331)*100000000+('Dvd Calendar'!$I$2335='Field Check'!$C$25)*10000000+(N('Dvd Calendar'!$I$2329)&gt;0)*1000000+15*1000+5))</f>
        <v/>
      </c>
      <c r="H171" s="41">
        <f>IF(N('Dvd Calendar'!$J$2330)=0,"",IF(('Dvd Calendar'!$J$2330&gt;=MIN(DATE(Summary!$C$12,1,1),Summary!$C$11))*('Dvd Calendar'!$J$2330&lt;=MAX(DATE(Summary!$C$12,12,31),Summary!$C$15))*('Dvd Calendar'!$J$2330&lt;=Summary!$C$11)=0,"",'Dvd Calendar'!$J$2330*1000000000+ISNUMBER('Dvd Calendar'!$J$2331)*100000000+('Dvd Calendar'!$J$2335='Field Check'!$C$25)*10000000+(N('Dvd Calendar'!$J$2329)&gt;0)*1000000+15*1000+6))</f>
        <v/>
      </c>
      <c r="I171" s="41">
        <f>IF(N('Dvd Calendar'!$K$2330)=0,"",IF(('Dvd Calendar'!$K$2330&gt;=MIN(DATE(Summary!$C$12,1,1),Summary!$C$11))*('Dvd Calendar'!$K$2330&lt;=MAX(DATE(Summary!$C$12,12,31),Summary!$C$15))*('Dvd Calendar'!$K$2330&lt;=Summary!$C$11)=0,"",'Dvd Calendar'!$K$2330*1000000000+ISNUMBER('Dvd Calendar'!$K$2331)*100000000+('Dvd Calendar'!$K$2335='Field Check'!$C$25)*10000000+(N('Dvd Calendar'!$K$2329)&gt;0)*1000000+15*1000+7))</f>
        <v/>
      </c>
      <c r="J171" s="41">
        <f>IF(N('Dvd Calendar'!$L$2330)=0,"",IF(('Dvd Calendar'!$L$2330&gt;=MIN(DATE(Summary!$C$12,1,1),Summary!$C$11))*('Dvd Calendar'!$L$2330&lt;=MAX(DATE(Summary!$C$12,12,31),Summary!$C$15))*('Dvd Calendar'!$L$2330&lt;=Summary!$C$11)=0,"",'Dvd Calendar'!$L$2330*1000000000+ISNUMBER('Dvd Calendar'!$L$2331)*100000000+('Dvd Calendar'!$L$2335='Field Check'!$C$25)*10000000+(N('Dvd Calendar'!$L$2329)&gt;0)*1000000+15*1000+8))</f>
        <v/>
      </c>
      <c r="K171" s="41">
        <f>IF(N('Dvd Calendar'!$M$2330)=0,"",IF(('Dvd Calendar'!$M$2330&gt;=MIN(DATE(Summary!$C$12,1,1),Summary!$C$11))*('Dvd Calendar'!$M$2330&lt;=MAX(DATE(Summary!$C$12,12,31),Summary!$C$15))*('Dvd Calendar'!$M$2330&lt;=Summary!$C$11)=0,"",'Dvd Calendar'!$M$2330*1000000000+ISNUMBER('Dvd Calendar'!$M$2331)*100000000+('Dvd Calendar'!$M$2335='Field Check'!$C$25)*10000000+(N('Dvd Calendar'!$M$2329)&gt;0)*1000000+15*1000+9))</f>
        <v/>
      </c>
      <c r="L171" s="41">
        <f>IF(N('Dvd Calendar'!$N$2330)=0,"",IF(('Dvd Calendar'!$N$2330&gt;=MIN(DATE(Summary!$C$12,1,1),Summary!$C$11))*('Dvd Calendar'!$N$2330&lt;=MAX(DATE(Summary!$C$12,12,31),Summary!$C$15))*('Dvd Calendar'!$N$2330&lt;=Summary!$C$11)=0,"",'Dvd Calendar'!$N$2330*1000000000+ISNUMBER('Dvd Calendar'!$N$2331)*100000000+('Dvd Calendar'!$N$2335='Field Check'!$C$25)*10000000+(N('Dvd Calendar'!$N$2329)&gt;0)*1000000+15*1000+10))</f>
        <v/>
      </c>
      <c r="M171" s="41">
        <f>IF(N('Dvd Calendar'!$O$2330)=0,"",IF(('Dvd Calendar'!$O$2330&gt;=MIN(DATE(Summary!$C$12,1,1),Summary!$C$11))*('Dvd Calendar'!$O$2330&lt;=MAX(DATE(Summary!$C$12,12,31),Summary!$C$15))*('Dvd Calendar'!$O$2330&lt;=Summary!$C$11)=0,"",'Dvd Calendar'!$O$2330*1000000000+ISNUMBER('Dvd Calendar'!$O$2331)*100000000+('Dvd Calendar'!$O$2335='Field Check'!$C$25)*10000000+(N('Dvd Calendar'!$O$2329)&gt;0)*1000000+15*1000+11))</f>
        <v/>
      </c>
      <c r="N171" s="41">
        <f>IF(N('Dvd Calendar'!$P$2330)=0,"",IF(('Dvd Calendar'!$P$2330&gt;=MIN(DATE(Summary!$C$12,1,1),Summary!$C$11))*('Dvd Calendar'!$P$2330&lt;=MAX(DATE(Summary!$C$12,12,31),Summary!$C$15))*('Dvd Calendar'!$P$2330&lt;=Summary!$C$11)=0,"",'Dvd Calendar'!$P$2330*1000000000+ISNUMBER('Dvd Calendar'!$P$2331)*100000000+('Dvd Calendar'!$P$2335='Field Check'!$C$25)*10000000+(N('Dvd Calendar'!$P$2329)&gt;0)*1000000+15*1000+12))</f>
        <v/>
      </c>
      <c r="O171" s="41">
        <f>IF(N('Dvd Calendar'!$Q$2330)=0,"",IF(('Dvd Calendar'!$Q$2330&gt;=MIN(DATE(Summary!$C$12,1,1),Summary!$C$11))*('Dvd Calendar'!$Q$2330&lt;=MAX(DATE(Summary!$C$12,12,31),Summary!$C$15))*('Dvd Calendar'!$Q$2330&lt;=Summary!$C$11)=0,"",'Dvd Calendar'!$Q$2330*1000000000+ISNUMBER('Dvd Calendar'!$Q$2331)*100000000+('Dvd Calendar'!$Q$2335='Field Check'!$C$25)*10000000+(N('Dvd Calendar'!$Q$2329)&gt;0)*1000000+15*1000+13))</f>
        <v/>
      </c>
      <c r="P171" s="41">
        <f>IF(N('Dvd Calendar'!$R$2330)=0,"",IF(('Dvd Calendar'!$R$2330&gt;=MIN(DATE(Summary!$C$12,1,1),Summary!$C$11))*('Dvd Calendar'!$R$2330&lt;=MAX(DATE(Summary!$C$12,12,31),Summary!$C$15))*('Dvd Calendar'!$R$2330&lt;=Summary!$C$11)=0,"",'Dvd Calendar'!$R$2330*1000000000+ISNUMBER('Dvd Calendar'!$R$2331)*100000000+('Dvd Calendar'!$R$2335='Field Check'!$C$25)*10000000+(N('Dvd Calendar'!$R$2329)&gt;0)*1000000+15*1000+14))</f>
        <v/>
      </c>
      <c r="Q171" s="41">
        <f>IF(N('Dvd Calendar'!$S$2330)=0,"",IF(('Dvd Calendar'!$S$2330&gt;=MIN(DATE(Summary!$C$12,1,1),Summary!$C$11))*('Dvd Calendar'!$S$2330&lt;=MAX(DATE(Summary!$C$12,12,31),Summary!$C$15))*('Dvd Calendar'!$S$2330&lt;=Summary!$C$11)=0,"",'Dvd Calendar'!$S$2330*1000000000+ISNUMBER('Dvd Calendar'!$S$2331)*100000000+('Dvd Calendar'!$S$2335='Field Check'!$C$25)*10000000+(N('Dvd Calendar'!$S$2329)&gt;0)*1000000+15*1000+15))</f>
        <v/>
      </c>
      <c r="R171" s="41">
        <f>IF(N('Dvd Calendar'!$T$2330)=0,"",IF(('Dvd Calendar'!$T$2330&gt;=MIN(DATE(Summary!$C$12,1,1),Summary!$C$11))*('Dvd Calendar'!$T$2330&lt;=MAX(DATE(Summary!$C$12,12,31),Summary!$C$15))*('Dvd Calendar'!$T$2330&lt;=Summary!$C$11)=0,"",'Dvd Calendar'!$T$2330*1000000000+ISNUMBER('Dvd Calendar'!$T$2331)*100000000+('Dvd Calendar'!$T$2335='Field Check'!$C$25)*10000000+(N('Dvd Calendar'!$T$2329)&gt;0)*1000000+15*1000+16))</f>
        <v/>
      </c>
      <c r="S171" s="41">
        <f>IF(N('Dvd Calendar'!$U$2330)=0,"",IF(('Dvd Calendar'!$U$2330&gt;=MIN(DATE(Summary!$C$12,1,1),Summary!$C$11))*('Dvd Calendar'!$U$2330&lt;=MAX(DATE(Summary!$C$12,12,31),Summary!$C$15))*('Dvd Calendar'!$U$2330&lt;=Summary!$C$11)=0,"",'Dvd Calendar'!$U$2330*1000000000+ISNUMBER('Dvd Calendar'!$U$2331)*100000000+('Dvd Calendar'!$U$2335='Field Check'!$C$25)*10000000+(N('Dvd Calendar'!$U$2329)&gt;0)*1000000+15*1000+17))</f>
        <v/>
      </c>
      <c r="T171" s="41">
        <f>IF(N('Dvd Calendar'!$V$2330)=0,"",IF(('Dvd Calendar'!$V$2330&gt;=MIN(DATE(Summary!$C$12,1,1),Summary!$C$11))*('Dvd Calendar'!$V$2330&lt;=MAX(DATE(Summary!$C$12,12,31),Summary!$C$15))*('Dvd Calendar'!$V$2330&lt;=Summary!$C$11)=0,"",'Dvd Calendar'!$V$2330*1000000000+ISNUMBER('Dvd Calendar'!$V$2331)*100000000+('Dvd Calendar'!$V$2335='Field Check'!$C$25)*10000000+(N('Dvd Calendar'!$V$2329)&gt;0)*1000000+15*1000+18))</f>
        <v/>
      </c>
      <c r="U171" s="41">
        <f>IF(N('Dvd Calendar'!$W$2330)=0,"",IF(('Dvd Calendar'!$W$2330&gt;=MIN(DATE(Summary!$C$12,1,1),Summary!$C$11))*('Dvd Calendar'!$W$2330&lt;=MAX(DATE(Summary!$C$12,12,31),Summary!$C$15))*('Dvd Calendar'!$W$2330&lt;=Summary!$C$11)=0,"",'Dvd Calendar'!$W$2330*1000000000+ISNUMBER('Dvd Calendar'!$W$2331)*100000000+('Dvd Calendar'!$W$2335='Field Check'!$C$25)*10000000+(N('Dvd Calendar'!$W$2329)&gt;0)*1000000+15*1000+19))</f>
        <v/>
      </c>
      <c r="V171" s="41">
        <f>IF(N('Dvd Calendar'!$X$2330)=0,"",IF(('Dvd Calendar'!$X$2330&gt;=MIN(DATE(Summary!$C$12,1,1),Summary!$C$11))*('Dvd Calendar'!$X$2330&lt;=MAX(DATE(Summary!$C$12,12,31),Summary!$C$15))*('Dvd Calendar'!$X$2330&lt;=Summary!$C$11)=0,"",'Dvd Calendar'!$X$2330*1000000000+ISNUMBER('Dvd Calendar'!$X$2331)*100000000+('Dvd Calendar'!$X$2335='Field Check'!$C$25)*10000000+(N('Dvd Calendar'!$X$2329)&gt;0)*1000000+15*1000+20))</f>
        <v/>
      </c>
      <c r="W171" s="41">
        <f>IF(N('Dvd Calendar'!$Y$2330)=0,"",IF(('Dvd Calendar'!$Y$2330&gt;=MIN(DATE(Summary!$C$12,1,1),Summary!$C$11))*('Dvd Calendar'!$Y$2330&lt;=MAX(DATE(Summary!$C$12,12,31),Summary!$C$15))*('Dvd Calendar'!$Y$2330&lt;=Summary!$C$11)=0,"",'Dvd Calendar'!$Y$2330*1000000000+ISNUMBER('Dvd Calendar'!$Y$2331)*100000000+('Dvd Calendar'!$Y$2335='Field Check'!$C$25)*10000000+(N('Dvd Calendar'!$Y$2329)&gt;0)*1000000+15*1000+21))</f>
        <v/>
      </c>
      <c r="X171" s="41">
        <f>IF(N('Dvd Calendar'!$Z$2330)=0,"",IF(('Dvd Calendar'!$Z$2330&gt;=MIN(DATE(Summary!$C$12,1,1),Summary!$C$11))*('Dvd Calendar'!$Z$2330&lt;=MAX(DATE(Summary!$C$12,12,31),Summary!$C$15))*('Dvd Calendar'!$Z$2330&lt;=Summary!$C$11)=0,"",'Dvd Calendar'!$Z$2330*1000000000+ISNUMBER('Dvd Calendar'!$Z$2331)*100000000+('Dvd Calendar'!$Z$2335='Field Check'!$C$25)*10000000+(N('Dvd Calendar'!$Z$2329)&gt;0)*1000000+15*1000+22))</f>
        <v/>
      </c>
      <c r="Y171" s="41">
        <f>IF(N('Dvd Calendar'!$AA$2330)=0,"",IF(('Dvd Calendar'!$AA$2330&gt;=MIN(DATE(Summary!$C$12,1,1),Summary!$C$11))*('Dvd Calendar'!$AA$2330&lt;=MAX(DATE(Summary!$C$12,12,31),Summary!$C$15))*('Dvd Calendar'!$AA$2330&lt;=Summary!$C$11)=0,"",'Dvd Calendar'!$AA$2330*1000000000+ISNUMBER('Dvd Calendar'!$AA$2331)*100000000+('Dvd Calendar'!$AA$2335='Field Check'!$C$25)*10000000+(N('Dvd Calendar'!$AA$2329)&gt;0)*1000000+15*1000+23))</f>
        <v/>
      </c>
      <c r="Z171" s="41">
        <f>IF(N('Dvd Calendar'!$AB$2330)=0,"",IF(('Dvd Calendar'!$AB$2330&gt;=MIN(DATE(Summary!$C$12,1,1),Summary!$C$11))*('Dvd Calendar'!$AB$2330&lt;=MAX(DATE(Summary!$C$12,12,31),Summary!$C$15))*('Dvd Calendar'!$AB$2330&lt;=Summary!$C$11)=0,"",'Dvd Calendar'!$AB$2330*1000000000+ISNUMBER('Dvd Calendar'!$AB$2331)*100000000+('Dvd Calendar'!$AB$2335='Field Check'!$C$25)*10000000+(N('Dvd Calendar'!$AB$2329)&gt;0)*1000000+15*1000+24))</f>
        <v/>
      </c>
      <c r="AA171" s="41">
        <f>IF(N('Dvd Calendar'!$AC$2330)=0,"",IF(('Dvd Calendar'!$AC$2330&gt;=MIN(DATE(Summary!$C$12,1,1),Summary!$C$11))*('Dvd Calendar'!$AC$2330&lt;=MAX(DATE(Summary!$C$12,12,31),Summary!$C$15))*('Dvd Calendar'!$AC$2330&lt;=Summary!$C$11)=0,"",'Dvd Calendar'!$AC$2330*1000000000+ISNUMBER('Dvd Calendar'!$AC$2331)*100000000+('Dvd Calendar'!$AC$2335='Field Check'!$C$25)*10000000+(N('Dvd Calendar'!$AC$2329)&gt;0)*1000000+15*1000+25))</f>
        <v/>
      </c>
      <c r="AB171" s="41">
        <f>IF(N('Dvd Calendar'!$AD$2330)=0,"",IF(('Dvd Calendar'!$AD$2330&gt;=MIN(DATE(Summary!$C$12,1,1),Summary!$C$11))*('Dvd Calendar'!$AD$2330&lt;=MAX(DATE(Summary!$C$12,12,31),Summary!$C$15))*('Dvd Calendar'!$AD$2330&lt;=Summary!$C$11)=0,"",'Dvd Calendar'!$AD$2330*1000000000+ISNUMBER('Dvd Calendar'!$AD$2331)*100000000+('Dvd Calendar'!$AD$2335='Field Check'!$C$25)*10000000+(N('Dvd Calendar'!$AD$2329)&gt;0)*1000000+15*1000+26))</f>
        <v/>
      </c>
      <c r="AC171" s="41">
        <f>IF(N('Dvd Calendar'!$AE$2330)=0,"",IF(('Dvd Calendar'!$AE$2330&gt;=MIN(DATE(Summary!$C$12,1,1),Summary!$C$11))*('Dvd Calendar'!$AE$2330&lt;=MAX(DATE(Summary!$C$12,12,31),Summary!$C$15))*('Dvd Calendar'!$AE$2330&lt;=Summary!$C$11)=0,"",'Dvd Calendar'!$AE$2330*1000000000+ISNUMBER('Dvd Calendar'!$AE$2331)*100000000+('Dvd Calendar'!$AE$2335='Field Check'!$C$25)*10000000+(N('Dvd Calendar'!$AE$2329)&gt;0)*1000000+15*1000+27))</f>
        <v/>
      </c>
      <c r="AD171" s="41">
        <f>IF(N('Dvd Calendar'!$AF$2330)=0,"",IF(('Dvd Calendar'!$AF$2330&gt;=MIN(DATE(Summary!$C$12,1,1),Summary!$C$11))*('Dvd Calendar'!$AF$2330&lt;=MAX(DATE(Summary!$C$12,12,31),Summary!$C$15))*('Dvd Calendar'!$AF$2330&lt;=Summary!$C$11)=0,"",'Dvd Calendar'!$AF$2330*1000000000+ISNUMBER('Dvd Calendar'!$AF$2331)*100000000+('Dvd Calendar'!$AF$2335='Field Check'!$C$25)*10000000+(N('Dvd Calendar'!$AF$2329)&gt;0)*1000000+15*1000+28))</f>
        <v/>
      </c>
      <c r="AE171" s="41">
        <f>IF(N('Dvd Calendar'!$AG$2330)=0,"",IF(('Dvd Calendar'!$AG$2330&gt;=MIN(DATE(Summary!$C$12,1,1),Summary!$C$11))*('Dvd Calendar'!$AG$2330&lt;=MAX(DATE(Summary!$C$12,12,31),Summary!$C$15))*('Dvd Calendar'!$AG$2330&lt;=Summary!$C$11)=0,"",'Dvd Calendar'!$AG$2330*1000000000+ISNUMBER('Dvd Calendar'!$AG$2331)*100000000+('Dvd Calendar'!$AG$2335='Field Check'!$C$25)*10000000+(N('Dvd Calendar'!$AG$2329)&gt;0)*1000000+15*1000+29))</f>
        <v/>
      </c>
      <c r="AF171" s="41">
        <f>IF(N('Dvd Calendar'!$AH$2330)=0,"",IF(('Dvd Calendar'!$AH$2330&gt;=MIN(DATE(Summary!$C$12,1,1),Summary!$C$11))*('Dvd Calendar'!$AH$2330&lt;=MAX(DATE(Summary!$C$12,12,31),Summary!$C$15))*('Dvd Calendar'!$AH$2330&lt;=Summary!$C$11)=0,"",'Dvd Calendar'!$AH$2330*1000000000+ISNUMBER('Dvd Calendar'!$AH$2331)*100000000+('Dvd Calendar'!$AH$2335='Field Check'!$C$25)*10000000+(N('Dvd Calendar'!$AH$2329)&gt;0)*1000000+15*1000+30))</f>
        <v/>
      </c>
      <c r="AG171" s="41">
        <f>IF(N('Dvd Calendar'!$AI$2330)=0,"",IF(('Dvd Calendar'!$AI$2330&gt;=MIN(DATE(Summary!$C$12,1,1),Summary!$C$11))*('Dvd Calendar'!$AI$2330&lt;=MAX(DATE(Summary!$C$12,12,31),Summary!$C$15))*('Dvd Calendar'!$AI$2330&lt;=Summary!$C$11)=0,"",'Dvd Calendar'!$AI$2330*1000000000+ISNUMBER('Dvd Calendar'!$AI$2331)*100000000+('Dvd Calendar'!$AI$2335='Field Check'!$C$25)*10000000+(N('Dvd Calendar'!$AI$2329)&gt;0)*1000000+15*1000+31))</f>
        <v/>
      </c>
      <c r="AH171" s="41">
        <f>IF(N('Dvd Calendar'!$AJ$2330)=0,"",IF(('Dvd Calendar'!$AJ$2330&gt;=MIN(DATE(Summary!$C$12,1,1),Summary!$C$11))*('Dvd Calendar'!$AJ$2330&lt;=MAX(DATE(Summary!$C$12,12,31),Summary!$C$15))*('Dvd Calendar'!$AJ$2330&lt;=Summary!$C$11)=0,"",'Dvd Calendar'!$AJ$2330*1000000000+ISNUMBER('Dvd Calendar'!$AJ$2331)*100000000+('Dvd Calendar'!$AJ$2335='Field Check'!$C$25)*10000000+(N('Dvd Calendar'!$AJ$2329)&gt;0)*1000000+15*1000+32))</f>
        <v/>
      </c>
      <c r="AI171" s="41">
        <f>IF(N('Dvd Calendar'!$AK$2330)=0,"",IF(('Dvd Calendar'!$AK$2330&gt;=MIN(DATE(Summary!$C$12,1,1),Summary!$C$11))*('Dvd Calendar'!$AK$2330&lt;=MAX(DATE(Summary!$C$12,12,31),Summary!$C$15))*('Dvd Calendar'!$AK$2330&lt;=Summary!$C$11)=0,"",'Dvd Calendar'!$AK$2330*1000000000+ISNUMBER('Dvd Calendar'!$AK$2331)*100000000+('Dvd Calendar'!$AK$2335='Field Check'!$C$25)*10000000+(N('Dvd Calendar'!$AK$2329)&gt;0)*1000000+15*1000+33))</f>
        <v/>
      </c>
      <c r="AJ171" s="41">
        <f>IF(N('Dvd Calendar'!$AL$2330)=0,"",IF(('Dvd Calendar'!$AL$2330&gt;=MIN(DATE(Summary!$C$12,1,1),Summary!$C$11))*('Dvd Calendar'!$AL$2330&lt;=MAX(DATE(Summary!$C$12,12,31),Summary!$C$15))*('Dvd Calendar'!$AL$2330&lt;=Summary!$C$11)=0,"",'Dvd Calendar'!$AL$2330*1000000000+ISNUMBER('Dvd Calendar'!$AL$2331)*100000000+('Dvd Calendar'!$AL$2335='Field Check'!$C$25)*10000000+(N('Dvd Calendar'!$AL$2329)&gt;0)*1000000+15*1000+34))</f>
        <v/>
      </c>
      <c r="AK171" s="41">
        <f>IF(N('Dvd Calendar'!$AM$2330)=0,"",IF(('Dvd Calendar'!$AM$2330&gt;=MIN(DATE(Summary!$C$12,1,1),Summary!$C$11))*('Dvd Calendar'!$AM$2330&lt;=MAX(DATE(Summary!$C$12,12,31),Summary!$C$15))*('Dvd Calendar'!$AM$2330&lt;=Summary!$C$11)=0,"",'Dvd Calendar'!$AM$2330*1000000000+ISNUMBER('Dvd Calendar'!$AM$2331)*100000000+('Dvd Calendar'!$AM$2335='Field Check'!$C$25)*10000000+(N('Dvd Calendar'!$AM$2329)&gt;0)*1000000+15*1000+35))</f>
        <v/>
      </c>
      <c r="AL171" s="41">
        <f>IF(N('Dvd Calendar'!$AN$2330)=0,"",IF(('Dvd Calendar'!$AN$2330&gt;=MIN(DATE(Summary!$C$12,1,1),Summary!$C$11))*('Dvd Calendar'!$AN$2330&lt;=MAX(DATE(Summary!$C$12,12,31),Summary!$C$15))*('Dvd Calendar'!$AN$2330&lt;=Summary!$C$11)=0,"",'Dvd Calendar'!$AN$2330*1000000000+ISNUMBER('Dvd Calendar'!$AN$2331)*100000000+('Dvd Calendar'!$AN$2335='Field Check'!$C$25)*10000000+(N('Dvd Calendar'!$AN$2329)&gt;0)*1000000+15*1000+36))</f>
        <v/>
      </c>
      <c r="AM171" s="41">
        <f>IF(N('Dvd Calendar'!$AO$2330)=0,"",IF(('Dvd Calendar'!$AO$2330&gt;=MIN(DATE(Summary!$C$12,1,1),Summary!$C$11))*('Dvd Calendar'!$AO$2330&lt;=MAX(DATE(Summary!$C$12,12,31),Summary!$C$15))*('Dvd Calendar'!$AO$2330&lt;=Summary!$C$11)=0,"",'Dvd Calendar'!$AO$2330*1000000000+ISNUMBER('Dvd Calendar'!$AO$2331)*100000000+('Dvd Calendar'!$AO$2335='Field Check'!$C$25)*10000000+(N('Dvd Calendar'!$AO$2329)&gt;0)*1000000+15*1000+37))</f>
        <v/>
      </c>
      <c r="AN171" s="41">
        <f>IF(N('Dvd Calendar'!$AP$2330)=0,"",IF(('Dvd Calendar'!$AP$2330&gt;=MIN(DATE(Summary!$C$12,1,1),Summary!$C$11))*('Dvd Calendar'!$AP$2330&lt;=MAX(DATE(Summary!$C$12,12,31),Summary!$C$15))*('Dvd Calendar'!$AP$2330&lt;=Summary!$C$11)=0,"",'Dvd Calendar'!$AP$2330*1000000000+ISNUMBER('Dvd Calendar'!$AP$2331)*100000000+('Dvd Calendar'!$AP$2335='Field Check'!$C$25)*10000000+(N('Dvd Calendar'!$AP$2329)&gt;0)*1000000+15*1000+38))</f>
        <v/>
      </c>
      <c r="AO171" s="41">
        <f>IF(N('Dvd Calendar'!$AQ$2330)=0,"",IF(('Dvd Calendar'!$AQ$2330&gt;=MIN(DATE(Summary!$C$12,1,1),Summary!$C$11))*('Dvd Calendar'!$AQ$2330&lt;=MAX(DATE(Summary!$C$12,12,31),Summary!$C$15))*('Dvd Calendar'!$AQ$2330&lt;=Summary!$C$11)=0,"",'Dvd Calendar'!$AQ$2330*1000000000+ISNUMBER('Dvd Calendar'!$AQ$2331)*100000000+('Dvd Calendar'!$AQ$2335='Field Check'!$C$25)*10000000+(N('Dvd Calendar'!$AQ$2329)&gt;0)*1000000+15*1000+39))</f>
        <v/>
      </c>
      <c r="AP171" s="41">
        <f>IF(N('Dvd Calendar'!$AR$2330)=0,"",IF(('Dvd Calendar'!$AR$2330&gt;=MIN(DATE(Summary!$C$12,1,1),Summary!$C$11))*('Dvd Calendar'!$AR$2330&lt;=MAX(DATE(Summary!$C$12,12,31),Summary!$C$15))*('Dvd Calendar'!$AR$2330&lt;=Summary!$C$11)=0,"",'Dvd Calendar'!$AR$2330*1000000000+ISNUMBER('Dvd Calendar'!$AR$2331)*100000000+('Dvd Calendar'!$AR$2335='Field Check'!$C$25)*10000000+(N('Dvd Calendar'!$AR$2329)&gt;0)*1000000+15*1000+40))</f>
        <v/>
      </c>
      <c r="AQ171" s="41">
        <f>IF(N('Dvd Calendar'!$E$2337)=0,"",IF(('Dvd Calendar'!$E$2337&gt;=MIN(DATE(Summary!$C$12,1,1),Summary!$C$11))*('Dvd Calendar'!$E$2337&lt;=MAX(DATE(Summary!$C$12,12,31),Summary!$C$15))*('Dvd Calendar'!$E$2337&gt;Summary!$C$11)=0,"",'Dvd Calendar'!$E$2337*1000000000+ISNUMBER('Dvd Calendar'!$E$2338)*100000000+('Dvd Calendar'!$E$2342='Field Check'!$C$25)*10000000+(N('Dvd Calendar'!$E$2336)&gt;0)*1000000+15*1000+41))</f>
        <v/>
      </c>
      <c r="AR171" s="41">
        <f>IF(N('Dvd Calendar'!$F$2337)=0,"",IF(('Dvd Calendar'!$F$2337&gt;=MIN(DATE(Summary!$C$12,1,1),Summary!$C$11))*('Dvd Calendar'!$F$2337&lt;=MAX(DATE(Summary!$C$12,12,31),Summary!$C$15))*('Dvd Calendar'!$F$2337&gt;Summary!$C$11)=0,"",'Dvd Calendar'!$F$2337*1000000000+ISNUMBER('Dvd Calendar'!$F$2338)*100000000+('Dvd Calendar'!$F$2342='Field Check'!$C$25)*10000000+(N('Dvd Calendar'!$F$2336)&gt;0)*1000000+15*1000+42))</f>
        <v/>
      </c>
      <c r="AS171" s="41">
        <f>IF(N('Dvd Calendar'!$G$2337)=0,"",IF(('Dvd Calendar'!$G$2337&gt;=MIN(DATE(Summary!$C$12,1,1),Summary!$C$11))*('Dvd Calendar'!$G$2337&lt;=MAX(DATE(Summary!$C$12,12,31),Summary!$C$15))*('Dvd Calendar'!$G$2337&gt;Summary!$C$11)=0,"",'Dvd Calendar'!$G$2337*1000000000+ISNUMBER('Dvd Calendar'!$G$2338)*100000000+('Dvd Calendar'!$G$2342='Field Check'!$C$25)*10000000+(N('Dvd Calendar'!$G$2336)&gt;0)*1000000+15*1000+43))</f>
        <v/>
      </c>
      <c r="AT171" s="41">
        <f>IF(N('Dvd Calendar'!$H$2337)=0,"",IF(('Dvd Calendar'!$H$2337&gt;=MIN(DATE(Summary!$C$12,1,1),Summary!$C$11))*('Dvd Calendar'!$H$2337&lt;=MAX(DATE(Summary!$C$12,12,31),Summary!$C$15))*('Dvd Calendar'!$H$2337&gt;Summary!$C$11)=0,"",'Dvd Calendar'!$H$2337*1000000000+ISNUMBER('Dvd Calendar'!$H$2338)*100000000+('Dvd Calendar'!$H$2342='Field Check'!$C$25)*10000000+(N('Dvd Calendar'!$H$2336)&gt;0)*1000000+15*1000+44))</f>
        <v/>
      </c>
      <c r="AU171" s="41">
        <f>IF(N('Dvd Calendar'!$I$2337)=0,"",IF(('Dvd Calendar'!$I$2337&gt;=MIN(DATE(Summary!$C$12,1,1),Summary!$C$11))*('Dvd Calendar'!$I$2337&lt;=MAX(DATE(Summary!$C$12,12,31),Summary!$C$15))*('Dvd Calendar'!$I$2337&gt;Summary!$C$11)=0,"",'Dvd Calendar'!$I$2337*1000000000+ISNUMBER('Dvd Calendar'!$I$2338)*100000000+('Dvd Calendar'!$I$2342='Field Check'!$C$25)*10000000+(N('Dvd Calendar'!$I$2336)&gt;0)*1000000+15*1000+45))</f>
        <v/>
      </c>
      <c r="AV171" s="41">
        <f>IF(N('Dvd Calendar'!$J$2337)=0,"",IF(('Dvd Calendar'!$J$2337&gt;=MIN(DATE(Summary!$C$12,1,1),Summary!$C$11))*('Dvd Calendar'!$J$2337&lt;=MAX(DATE(Summary!$C$12,12,31),Summary!$C$15))*('Dvd Calendar'!$J$2337&gt;Summary!$C$11)=0,"",'Dvd Calendar'!$J$2337*1000000000+ISNUMBER('Dvd Calendar'!$J$2338)*100000000+('Dvd Calendar'!$J$2342='Field Check'!$C$25)*10000000+(N('Dvd Calendar'!$J$2336)&gt;0)*1000000+15*1000+46))</f>
        <v/>
      </c>
      <c r="AW171" s="41">
        <f>IF(N('Dvd Calendar'!$K$2337)=0,"",IF(('Dvd Calendar'!$K$2337&gt;=MIN(DATE(Summary!$C$12,1,1),Summary!$C$11))*('Dvd Calendar'!$K$2337&lt;=MAX(DATE(Summary!$C$12,12,31),Summary!$C$15))*('Dvd Calendar'!$K$2337&gt;Summary!$C$11)=0,"",'Dvd Calendar'!$K$2337*1000000000+ISNUMBER('Dvd Calendar'!$K$2338)*100000000+('Dvd Calendar'!$K$2342='Field Check'!$C$25)*10000000+(N('Dvd Calendar'!$K$2336)&gt;0)*1000000+15*1000+47))</f>
        <v/>
      </c>
      <c r="AX171" s="41">
        <f>IF(N('Dvd Calendar'!$L$2337)=0,"",IF(('Dvd Calendar'!$L$2337&gt;=MIN(DATE(Summary!$C$12,1,1),Summary!$C$11))*('Dvd Calendar'!$L$2337&lt;=MAX(DATE(Summary!$C$12,12,31),Summary!$C$15))*('Dvd Calendar'!$L$2337&gt;Summary!$C$11)=0,"",'Dvd Calendar'!$L$2337*1000000000+ISNUMBER('Dvd Calendar'!$L$2338)*100000000+('Dvd Calendar'!$L$2342='Field Check'!$C$25)*10000000+(N('Dvd Calendar'!$L$2336)&gt;0)*1000000+15*1000+48))</f>
        <v/>
      </c>
      <c r="AY171" s="41">
        <f>IF(N('Dvd Calendar'!$M$2337)=0,"",IF(('Dvd Calendar'!$M$2337&gt;=MIN(DATE(Summary!$C$12,1,1),Summary!$C$11))*('Dvd Calendar'!$M$2337&lt;=MAX(DATE(Summary!$C$12,12,31),Summary!$C$15))*('Dvd Calendar'!$M$2337&gt;Summary!$C$11)=0,"",'Dvd Calendar'!$M$2337*1000000000+ISNUMBER('Dvd Calendar'!$M$2338)*100000000+('Dvd Calendar'!$M$2342='Field Check'!$C$25)*10000000+(N('Dvd Calendar'!$M$2336)&gt;0)*1000000+15*1000+49))</f>
        <v/>
      </c>
      <c r="AZ171" s="41">
        <f>IF(N('Dvd Calendar'!$N$2337)=0,"",IF(('Dvd Calendar'!$N$2337&gt;=MIN(DATE(Summary!$C$12,1,1),Summary!$C$11))*('Dvd Calendar'!$N$2337&lt;=MAX(DATE(Summary!$C$12,12,31),Summary!$C$15))*('Dvd Calendar'!$N$2337&gt;Summary!$C$11)=0,"",'Dvd Calendar'!$N$2337*1000000000+ISNUMBER('Dvd Calendar'!$N$2338)*100000000+('Dvd Calendar'!$N$2342='Field Check'!$C$25)*10000000+(N('Dvd Calendar'!$N$2336)&gt;0)*1000000+15*1000+50))</f>
        <v/>
      </c>
      <c r="BA171" s="41">
        <f>IF(N('Dvd Calendar'!$O$2337)=0,"",IF(('Dvd Calendar'!$O$2337&gt;=MIN(DATE(Summary!$C$12,1,1),Summary!$C$11))*('Dvd Calendar'!$O$2337&lt;=MAX(DATE(Summary!$C$12,12,31),Summary!$C$15))*('Dvd Calendar'!$O$2337&gt;Summary!$C$11)=0,"",'Dvd Calendar'!$O$2337*1000000000+ISNUMBER('Dvd Calendar'!$O$2338)*100000000+('Dvd Calendar'!$O$2342='Field Check'!$C$25)*10000000+(N('Dvd Calendar'!$O$2336)&gt;0)*1000000+15*1000+51))</f>
        <v/>
      </c>
      <c r="BB171" s="41">
        <f>IF(N('Dvd Calendar'!$P$2337)=0,"",IF(('Dvd Calendar'!$P$2337&gt;=MIN(DATE(Summary!$C$12,1,1),Summary!$C$11))*('Dvd Calendar'!$P$2337&lt;=MAX(DATE(Summary!$C$12,12,31),Summary!$C$15))*('Dvd Calendar'!$P$2337&gt;Summary!$C$11)=0,"",'Dvd Calendar'!$P$2337*1000000000+ISNUMBER('Dvd Calendar'!$P$2338)*100000000+('Dvd Calendar'!$P$2342='Field Check'!$C$25)*10000000+(N('Dvd Calendar'!$P$2336)&gt;0)*1000000+15*1000+52))</f>
        <v/>
      </c>
      <c r="BC171" s="41">
        <f>IF(N('Dvd Calendar'!$Q$2337)=0,"",IF(('Dvd Calendar'!$Q$2337&gt;=MIN(DATE(Summary!$C$12,1,1),Summary!$C$11))*('Dvd Calendar'!$Q$2337&lt;=MAX(DATE(Summary!$C$12,12,31),Summary!$C$15))*('Dvd Calendar'!$Q$2337&gt;Summary!$C$11)=0,"",'Dvd Calendar'!$Q$2337*1000000000+ISNUMBER('Dvd Calendar'!$Q$2338)*100000000+('Dvd Calendar'!$Q$2342='Field Check'!$C$25)*10000000+(N('Dvd Calendar'!$Q$2336)&gt;0)*1000000+15*1000+53))</f>
        <v/>
      </c>
      <c r="BD171" s="41">
        <f>IF(N('Dvd Calendar'!$R$2337)=0,"",IF(('Dvd Calendar'!$R$2337&gt;=MIN(DATE(Summary!$C$12,1,1),Summary!$C$11))*('Dvd Calendar'!$R$2337&lt;=MAX(DATE(Summary!$C$12,12,31),Summary!$C$15))*('Dvd Calendar'!$R$2337&gt;Summary!$C$11)=0,"",'Dvd Calendar'!$R$2337*1000000000+ISNUMBER('Dvd Calendar'!$R$2338)*100000000+('Dvd Calendar'!$R$2342='Field Check'!$C$25)*10000000+(N('Dvd Calendar'!$R$2336)&gt;0)*1000000+15*1000+54))</f>
        <v/>
      </c>
      <c r="BE171" s="41">
        <f>IF(N('Dvd Calendar'!$S$2337)=0,"",IF(('Dvd Calendar'!$S$2337&gt;=MIN(DATE(Summary!$C$12,1,1),Summary!$C$11))*('Dvd Calendar'!$S$2337&lt;=MAX(DATE(Summary!$C$12,12,31),Summary!$C$15))*('Dvd Calendar'!$S$2337&gt;Summary!$C$11)=0,"",'Dvd Calendar'!$S$2337*1000000000+ISNUMBER('Dvd Calendar'!$S$2338)*100000000+('Dvd Calendar'!$S$2342='Field Check'!$C$25)*10000000+(N('Dvd Calendar'!$S$2336)&gt;0)*1000000+15*1000+55))</f>
        <v/>
      </c>
      <c r="BF171" s="41">
        <f>IF(N('Dvd Calendar'!$T$2337)=0,"",IF(('Dvd Calendar'!$T$2337&gt;=MIN(DATE(Summary!$C$12,1,1),Summary!$C$11))*('Dvd Calendar'!$T$2337&lt;=MAX(DATE(Summary!$C$12,12,31),Summary!$C$15))*('Dvd Calendar'!$T$2337&gt;Summary!$C$11)=0,"",'Dvd Calendar'!$T$2337*1000000000+ISNUMBER('Dvd Calendar'!$T$2338)*100000000+('Dvd Calendar'!$T$2342='Field Check'!$C$25)*10000000+(N('Dvd Calendar'!$T$2336)&gt;0)*1000000+15*1000+56))</f>
        <v/>
      </c>
      <c r="BG171" s="41">
        <f>IF(N('Dvd Calendar'!$U$2337)=0,"",IF(('Dvd Calendar'!$U$2337&gt;=MIN(DATE(Summary!$C$12,1,1),Summary!$C$11))*('Dvd Calendar'!$U$2337&lt;=MAX(DATE(Summary!$C$12,12,31),Summary!$C$15))*('Dvd Calendar'!$U$2337&gt;Summary!$C$11)=0,"",'Dvd Calendar'!$U$2337*1000000000+ISNUMBER('Dvd Calendar'!$U$2338)*100000000+('Dvd Calendar'!$U$2342='Field Check'!$C$25)*10000000+(N('Dvd Calendar'!$U$2336)&gt;0)*1000000+15*1000+57))</f>
        <v/>
      </c>
      <c r="BH171" s="41">
        <f>IF(N('Dvd Calendar'!$V$2337)=0,"",IF(('Dvd Calendar'!$V$2337&gt;=MIN(DATE(Summary!$C$12,1,1),Summary!$C$11))*('Dvd Calendar'!$V$2337&lt;=MAX(DATE(Summary!$C$12,12,31),Summary!$C$15))*('Dvd Calendar'!$V$2337&gt;Summary!$C$11)=0,"",'Dvd Calendar'!$V$2337*1000000000+ISNUMBER('Dvd Calendar'!$V$2338)*100000000+('Dvd Calendar'!$V$2342='Field Check'!$C$25)*10000000+(N('Dvd Calendar'!$V$2336)&gt;0)*1000000+15*1000+58))</f>
        <v/>
      </c>
      <c r="BI171" s="41">
        <f>IF(N('Dvd Calendar'!$W$2337)=0,"",IF(('Dvd Calendar'!$W$2337&gt;=MIN(DATE(Summary!$C$12,1,1),Summary!$C$11))*('Dvd Calendar'!$W$2337&lt;=MAX(DATE(Summary!$C$12,12,31),Summary!$C$15))*('Dvd Calendar'!$W$2337&gt;Summary!$C$11)=0,"",'Dvd Calendar'!$W$2337*1000000000+ISNUMBER('Dvd Calendar'!$W$2338)*100000000+('Dvd Calendar'!$W$2342='Field Check'!$C$25)*10000000+(N('Dvd Calendar'!$W$2336)&gt;0)*1000000+15*1000+59))</f>
        <v/>
      </c>
      <c r="BJ171" s="41">
        <f>IF(N('Dvd Calendar'!$X$2337)=0,"",IF(('Dvd Calendar'!$X$2337&gt;=MIN(DATE(Summary!$C$12,1,1),Summary!$C$11))*('Dvd Calendar'!$X$2337&lt;=MAX(DATE(Summary!$C$12,12,31),Summary!$C$15))*('Dvd Calendar'!$X$2337&gt;Summary!$C$11)=0,"",'Dvd Calendar'!$X$2337*1000000000+ISNUMBER('Dvd Calendar'!$X$2338)*100000000+('Dvd Calendar'!$X$2342='Field Check'!$C$25)*10000000+(N('Dvd Calendar'!$X$2336)&gt;0)*1000000+15*1000+60))</f>
        <v/>
      </c>
      <c r="BK171" s="41">
        <f>IF(N('Dvd Calendar'!$Y$2337)=0,"",IF(('Dvd Calendar'!$Y$2337&gt;=MIN(DATE(Summary!$C$12,1,1),Summary!$C$11))*('Dvd Calendar'!$Y$2337&lt;=MAX(DATE(Summary!$C$12,12,31),Summary!$C$15))*('Dvd Calendar'!$Y$2337&gt;Summary!$C$11)=0,"",'Dvd Calendar'!$Y$2337*1000000000+ISNUMBER('Dvd Calendar'!$Y$2338)*100000000+('Dvd Calendar'!$Y$2342='Field Check'!$C$25)*10000000+(N('Dvd Calendar'!$Y$2336)&gt;0)*1000000+15*1000+61))</f>
        <v/>
      </c>
      <c r="BL171" s="41">
        <f>IF(N('Dvd Calendar'!$Z$2337)=0,"",IF(('Dvd Calendar'!$Z$2337&gt;=MIN(DATE(Summary!$C$12,1,1),Summary!$C$11))*('Dvd Calendar'!$Z$2337&lt;=MAX(DATE(Summary!$C$12,12,31),Summary!$C$15))*('Dvd Calendar'!$Z$2337&gt;Summary!$C$11)=0,"",'Dvd Calendar'!$Z$2337*1000000000+ISNUMBER('Dvd Calendar'!$Z$2338)*100000000+('Dvd Calendar'!$Z$2342='Field Check'!$C$25)*10000000+(N('Dvd Calendar'!$Z$2336)&gt;0)*1000000+15*1000+62))</f>
        <v/>
      </c>
      <c r="BM171" s="41">
        <f>IF(N('Dvd Calendar'!$AA$2337)=0,"",IF(('Dvd Calendar'!$AA$2337&gt;=MIN(DATE(Summary!$C$12,1,1),Summary!$C$11))*('Dvd Calendar'!$AA$2337&lt;=MAX(DATE(Summary!$C$12,12,31),Summary!$C$15))*('Dvd Calendar'!$AA$2337&gt;Summary!$C$11)=0,"",'Dvd Calendar'!$AA$2337*1000000000+ISNUMBER('Dvd Calendar'!$AA$2338)*100000000+('Dvd Calendar'!$AA$2342='Field Check'!$C$25)*10000000+(N('Dvd Calendar'!$AA$2336)&gt;0)*1000000+15*1000+63))</f>
        <v/>
      </c>
      <c r="BN171" s="41">
        <f>IF(N('Dvd Calendar'!$AB$2337)=0,"",IF(('Dvd Calendar'!$AB$2337&gt;=MIN(DATE(Summary!$C$12,1,1),Summary!$C$11))*('Dvd Calendar'!$AB$2337&lt;=MAX(DATE(Summary!$C$12,12,31),Summary!$C$15))*('Dvd Calendar'!$AB$2337&gt;Summary!$C$11)=0,"",'Dvd Calendar'!$AB$2337*1000000000+ISNUMBER('Dvd Calendar'!$AB$2338)*100000000+('Dvd Calendar'!$AB$2342='Field Check'!$C$25)*10000000+(N('Dvd Calendar'!$AB$2336)&gt;0)*1000000+15*1000+64))</f>
        <v/>
      </c>
      <c r="BO171" s="41">
        <f>IF(N('Dvd Calendar'!$AC$2337)=0,"",IF(('Dvd Calendar'!$AC$2337&gt;=MIN(DATE(Summary!$C$12,1,1),Summary!$C$11))*('Dvd Calendar'!$AC$2337&lt;=MAX(DATE(Summary!$C$12,12,31),Summary!$C$15))*('Dvd Calendar'!$AC$2337&gt;Summary!$C$11)=0,"",'Dvd Calendar'!$AC$2337*1000000000+ISNUMBER('Dvd Calendar'!$AC$2338)*100000000+('Dvd Calendar'!$AC$2342='Field Check'!$C$25)*10000000+(N('Dvd Calendar'!$AC$2336)&gt;0)*1000000+15*1000+65))</f>
        <v/>
      </c>
      <c r="BQ171" s="85">
        <f>IF(C171="","",IF(ISNUMBER('Dvd Calendar'!$E$2331)=FALSE,"",IF((Summary!$C$13="N")*('Dvd Calendar'!$E$2335='Field Check'!$C$25)&gt;0,"",'Dvd Calendar'!$E$2331)))</f>
        <v/>
      </c>
      <c r="BR171" s="85">
        <f>IF(D171="","",IF(ISNUMBER('Dvd Calendar'!$F$2331)=FALSE,"",IF((Summary!$C$13="N")*('Dvd Calendar'!$F$2335='Field Check'!$C$25)&gt;0,"",'Dvd Calendar'!$F$2331)))</f>
        <v/>
      </c>
      <c r="BS171" s="85">
        <f>IF(E171="","",IF(ISNUMBER('Dvd Calendar'!$G$2331)=FALSE,"",IF((Summary!$C$13="N")*('Dvd Calendar'!$G$2335='Field Check'!$C$25)&gt;0,"",'Dvd Calendar'!$G$2331)))</f>
        <v/>
      </c>
      <c r="BT171" s="85">
        <f>IF(F171="","",IF(ISNUMBER('Dvd Calendar'!$H$2331)=FALSE,"",IF((Summary!$C$13="N")*('Dvd Calendar'!$H$2335='Field Check'!$C$25)&gt;0,"",'Dvd Calendar'!$H$2331)))</f>
        <v/>
      </c>
      <c r="BU171" s="85">
        <f>IF(G171="","",IF(ISNUMBER('Dvd Calendar'!$I$2331)=FALSE,"",IF((Summary!$C$13="N")*('Dvd Calendar'!$I$2335='Field Check'!$C$25)&gt;0,"",'Dvd Calendar'!$I$2331)))</f>
        <v/>
      </c>
      <c r="BV171" s="85">
        <f>IF(H171="","",IF(ISNUMBER('Dvd Calendar'!$J$2331)=FALSE,"",IF((Summary!$C$13="N")*('Dvd Calendar'!$J$2335='Field Check'!$C$25)&gt;0,"",'Dvd Calendar'!$J$2331)))</f>
        <v/>
      </c>
      <c r="BW171" s="85">
        <f>IF(I171="","",IF(ISNUMBER('Dvd Calendar'!$K$2331)=FALSE,"",IF((Summary!$C$13="N")*('Dvd Calendar'!$K$2335='Field Check'!$C$25)&gt;0,"",'Dvd Calendar'!$K$2331)))</f>
        <v/>
      </c>
      <c r="BX171" s="85">
        <f>IF(J171="","",IF(ISNUMBER('Dvd Calendar'!$L$2331)=FALSE,"",IF((Summary!$C$13="N")*('Dvd Calendar'!$L$2335='Field Check'!$C$25)&gt;0,"",'Dvd Calendar'!$L$2331)))</f>
        <v/>
      </c>
      <c r="BY171" s="85">
        <f>IF(K171="","",IF(ISNUMBER('Dvd Calendar'!$M$2331)=FALSE,"",IF((Summary!$C$13="N")*('Dvd Calendar'!$M$2335='Field Check'!$C$25)&gt;0,"",'Dvd Calendar'!$M$2331)))</f>
        <v/>
      </c>
      <c r="BZ171" s="85">
        <f>IF(L171="","",IF(ISNUMBER('Dvd Calendar'!$N$2331)=FALSE,"",IF((Summary!$C$13="N")*('Dvd Calendar'!$N$2335='Field Check'!$C$25)&gt;0,"",'Dvd Calendar'!$N$2331)))</f>
        <v/>
      </c>
      <c r="CA171" s="85">
        <f>IF(M171="","",IF(ISNUMBER('Dvd Calendar'!$O$2331)=FALSE,"",IF((Summary!$C$13="N")*('Dvd Calendar'!$O$2335='Field Check'!$C$25)&gt;0,"",'Dvd Calendar'!$O$2331)))</f>
        <v/>
      </c>
      <c r="CB171" s="85">
        <f>IF(N171="","",IF(ISNUMBER('Dvd Calendar'!$P$2331)=FALSE,"",IF((Summary!$C$13="N")*('Dvd Calendar'!$P$2335='Field Check'!$C$25)&gt;0,"",'Dvd Calendar'!$P$2331)))</f>
        <v/>
      </c>
      <c r="CC171" s="85">
        <f>IF(O171="","",IF(ISNUMBER('Dvd Calendar'!$Q$2331)=FALSE,"",IF((Summary!$C$13="N")*('Dvd Calendar'!$Q$2335='Field Check'!$C$25)&gt;0,"",'Dvd Calendar'!$Q$2331)))</f>
        <v/>
      </c>
      <c r="CD171" s="85">
        <f>IF(P171="","",IF(ISNUMBER('Dvd Calendar'!$R$2331)=FALSE,"",IF((Summary!$C$13="N")*('Dvd Calendar'!$R$2335='Field Check'!$C$25)&gt;0,"",'Dvd Calendar'!$R$2331)))</f>
        <v/>
      </c>
      <c r="CE171" s="85">
        <f>IF(Q171="","",IF(ISNUMBER('Dvd Calendar'!$S$2331)=FALSE,"",IF((Summary!$C$13="N")*('Dvd Calendar'!$S$2335='Field Check'!$C$25)&gt;0,"",'Dvd Calendar'!$S$2331)))</f>
        <v/>
      </c>
      <c r="CF171" s="85">
        <f>IF(R171="","",IF(ISNUMBER('Dvd Calendar'!$T$2331)=FALSE,"",IF((Summary!$C$13="N")*('Dvd Calendar'!$T$2335='Field Check'!$C$25)&gt;0,"",'Dvd Calendar'!$T$2331)))</f>
        <v/>
      </c>
      <c r="CG171" s="85">
        <f>IF(S171="","",IF(ISNUMBER('Dvd Calendar'!$U$2331)=FALSE,"",IF((Summary!$C$13="N")*('Dvd Calendar'!$U$2335='Field Check'!$C$25)&gt;0,"",'Dvd Calendar'!$U$2331)))</f>
        <v/>
      </c>
      <c r="CH171" s="85">
        <f>IF(T171="","",IF(ISNUMBER('Dvd Calendar'!$V$2331)=FALSE,"",IF((Summary!$C$13="N")*('Dvd Calendar'!$V$2335='Field Check'!$C$25)&gt;0,"",'Dvd Calendar'!$V$2331)))</f>
        <v/>
      </c>
      <c r="CI171" s="85">
        <f>IF(U171="","",IF(ISNUMBER('Dvd Calendar'!$W$2331)=FALSE,"",IF((Summary!$C$13="N")*('Dvd Calendar'!$W$2335='Field Check'!$C$25)&gt;0,"",'Dvd Calendar'!$W$2331)))</f>
        <v/>
      </c>
      <c r="CJ171" s="85">
        <f>IF(V171="","",IF(ISNUMBER('Dvd Calendar'!$X$2331)=FALSE,"",IF((Summary!$C$13="N")*('Dvd Calendar'!$X$2335='Field Check'!$C$25)&gt;0,"",'Dvd Calendar'!$X$2331)))</f>
        <v/>
      </c>
      <c r="CK171" s="85">
        <f>IF(W171="","",IF(ISNUMBER('Dvd Calendar'!$Y$2331)=FALSE,"",IF((Summary!$C$13="N")*('Dvd Calendar'!$Y$2335='Field Check'!$C$25)&gt;0,"",'Dvd Calendar'!$Y$2331)))</f>
        <v/>
      </c>
      <c r="CL171" s="85">
        <f>IF(X171="","",IF(ISNUMBER('Dvd Calendar'!$Z$2331)=FALSE,"",IF((Summary!$C$13="N")*('Dvd Calendar'!$Z$2335='Field Check'!$C$25)&gt;0,"",'Dvd Calendar'!$Z$2331)))</f>
        <v/>
      </c>
      <c r="CM171" s="85">
        <f>IF(Y171="","",IF(ISNUMBER('Dvd Calendar'!$AA$2331)=FALSE,"",IF((Summary!$C$13="N")*('Dvd Calendar'!$AA$2335='Field Check'!$C$25)&gt;0,"",'Dvd Calendar'!$AA$2331)))</f>
        <v/>
      </c>
      <c r="CN171" s="85">
        <f>IF(Z171="","",IF(ISNUMBER('Dvd Calendar'!$AB$2331)=FALSE,"",IF((Summary!$C$13="N")*('Dvd Calendar'!$AB$2335='Field Check'!$C$25)&gt;0,"",'Dvd Calendar'!$AB$2331)))</f>
        <v/>
      </c>
      <c r="CO171" s="85">
        <f>IF(AA171="","",IF(ISNUMBER('Dvd Calendar'!$AC$2331)=FALSE,"",IF((Summary!$C$13="N")*('Dvd Calendar'!$AC$2335='Field Check'!$C$25)&gt;0,"",'Dvd Calendar'!$AC$2331)))</f>
        <v/>
      </c>
      <c r="CP171" s="85">
        <f>IF(AB171="","",IF(ISNUMBER('Dvd Calendar'!$AD$2331)=FALSE,"",IF((Summary!$C$13="N")*('Dvd Calendar'!$AD$2335='Field Check'!$C$25)&gt;0,"",'Dvd Calendar'!$AD$2331)))</f>
        <v/>
      </c>
      <c r="CQ171" s="85">
        <f>IF(AC171="","",IF(ISNUMBER('Dvd Calendar'!$AE$2331)=FALSE,"",IF((Summary!$C$13="N")*('Dvd Calendar'!$AE$2335='Field Check'!$C$25)&gt;0,"",'Dvd Calendar'!$AE$2331)))</f>
        <v/>
      </c>
      <c r="CR171" s="85">
        <f>IF(AD171="","",IF(ISNUMBER('Dvd Calendar'!$AF$2331)=FALSE,"",IF((Summary!$C$13="N")*('Dvd Calendar'!$AF$2335='Field Check'!$C$25)&gt;0,"",'Dvd Calendar'!$AF$2331)))</f>
        <v/>
      </c>
      <c r="CS171" s="85">
        <f>IF(AE171="","",IF(ISNUMBER('Dvd Calendar'!$AG$2331)=FALSE,"",IF((Summary!$C$13="N")*('Dvd Calendar'!$AG$2335='Field Check'!$C$25)&gt;0,"",'Dvd Calendar'!$AG$2331)))</f>
        <v/>
      </c>
      <c r="CT171" s="85">
        <f>IF(AF171="","",IF(ISNUMBER('Dvd Calendar'!$AH$2331)=FALSE,"",IF((Summary!$C$13="N")*('Dvd Calendar'!$AH$2335='Field Check'!$C$25)&gt;0,"",'Dvd Calendar'!$AH$2331)))</f>
        <v/>
      </c>
      <c r="CU171" s="85">
        <f>IF(AG171="","",IF(ISNUMBER('Dvd Calendar'!$AI$2331)=FALSE,"",IF((Summary!$C$13="N")*('Dvd Calendar'!$AI$2335='Field Check'!$C$25)&gt;0,"",'Dvd Calendar'!$AI$2331)))</f>
        <v/>
      </c>
      <c r="CV171" s="85">
        <f>IF(AH171="","",IF(ISNUMBER('Dvd Calendar'!$AJ$2331)=FALSE,"",IF((Summary!$C$13="N")*('Dvd Calendar'!$AJ$2335='Field Check'!$C$25)&gt;0,"",'Dvd Calendar'!$AJ$2331)))</f>
        <v/>
      </c>
      <c r="CW171" s="85">
        <f>IF(AI171="","",IF(ISNUMBER('Dvd Calendar'!$AK$2331)=FALSE,"",IF((Summary!$C$13="N")*('Dvd Calendar'!$AK$2335='Field Check'!$C$25)&gt;0,"",'Dvd Calendar'!$AK$2331)))</f>
        <v/>
      </c>
      <c r="CX171" s="85">
        <f>IF(AJ171="","",IF(ISNUMBER('Dvd Calendar'!$AL$2331)=FALSE,"",IF((Summary!$C$13="N")*('Dvd Calendar'!$AL$2335='Field Check'!$C$25)&gt;0,"",'Dvd Calendar'!$AL$2331)))</f>
        <v/>
      </c>
      <c r="CY171" s="85">
        <f>IF(AK171="","",IF(ISNUMBER('Dvd Calendar'!$AM$2331)=FALSE,"",IF((Summary!$C$13="N")*('Dvd Calendar'!$AM$2335='Field Check'!$C$25)&gt;0,"",'Dvd Calendar'!$AM$2331)))</f>
        <v/>
      </c>
      <c r="CZ171" s="85">
        <f>IF(AL171="","",IF(ISNUMBER('Dvd Calendar'!$AN$2331)=FALSE,"",IF((Summary!$C$13="N")*('Dvd Calendar'!$AN$2335='Field Check'!$C$25)&gt;0,"",'Dvd Calendar'!$AN$2331)))</f>
        <v/>
      </c>
      <c r="DA171" s="85">
        <f>IF(AM171="","",IF(ISNUMBER('Dvd Calendar'!$AO$2331)=FALSE,"",IF((Summary!$C$13="N")*('Dvd Calendar'!$AO$2335='Field Check'!$C$25)&gt;0,"",'Dvd Calendar'!$AO$2331)))</f>
        <v/>
      </c>
      <c r="DB171" s="85">
        <f>IF(AN171="","",IF(ISNUMBER('Dvd Calendar'!$AP$2331)=FALSE,"",IF((Summary!$C$13="N")*('Dvd Calendar'!$AP$2335='Field Check'!$C$25)&gt;0,"",'Dvd Calendar'!$AP$2331)))</f>
        <v/>
      </c>
      <c r="DC171" s="85">
        <f>IF(AO171="","",IF(ISNUMBER('Dvd Calendar'!$AQ$2331)=FALSE,"",IF((Summary!$C$13="N")*('Dvd Calendar'!$AQ$2335='Field Check'!$C$25)&gt;0,"",'Dvd Calendar'!$AQ$2331)))</f>
        <v/>
      </c>
      <c r="DD171" s="85">
        <f>IF(AP171="","",IF(ISNUMBER('Dvd Calendar'!$AR$2331)=FALSE,"",IF((Summary!$C$13="N")*('Dvd Calendar'!$AR$2335='Field Check'!$C$25)&gt;0,"",'Dvd Calendar'!$AR$2331)))</f>
        <v/>
      </c>
      <c r="DE171" s="85">
        <f>IF(AQ171="","",IF(ISNUMBER('Dvd Calendar'!$E$2338)=FALSE,"",IF((Summary!$C$13="N")*('Dvd Calendar'!$E$2342='Field Check'!$C$25)&gt;0,"",'Dvd Calendar'!$E$2338)))</f>
        <v/>
      </c>
      <c r="DF171" s="85">
        <f>IF(AR171="","",IF(ISNUMBER('Dvd Calendar'!$F$2338)=FALSE,"",IF((Summary!$C$13="N")*('Dvd Calendar'!$F$2342='Field Check'!$C$25)&gt;0,"",'Dvd Calendar'!$F$2338)))</f>
        <v/>
      </c>
      <c r="DG171" s="85">
        <f>IF(AS171="","",IF(ISNUMBER('Dvd Calendar'!$G$2338)=FALSE,"",IF((Summary!$C$13="N")*('Dvd Calendar'!$G$2342='Field Check'!$C$25)&gt;0,"",'Dvd Calendar'!$G$2338)))</f>
        <v/>
      </c>
      <c r="DH171" s="85">
        <f>IF(AT171="","",IF(ISNUMBER('Dvd Calendar'!$H$2338)=FALSE,"",IF((Summary!$C$13="N")*('Dvd Calendar'!$H$2342='Field Check'!$C$25)&gt;0,"",'Dvd Calendar'!$H$2338)))</f>
        <v/>
      </c>
      <c r="DI171" s="85">
        <f>IF(AU171="","",IF(ISNUMBER('Dvd Calendar'!$I$2338)=FALSE,"",IF((Summary!$C$13="N")*('Dvd Calendar'!$I$2342='Field Check'!$C$25)&gt;0,"",'Dvd Calendar'!$I$2338)))</f>
        <v/>
      </c>
      <c r="DJ171" s="85">
        <f>IF(AV171="","",IF(ISNUMBER('Dvd Calendar'!$J$2338)=FALSE,"",IF((Summary!$C$13="N")*('Dvd Calendar'!$J$2342='Field Check'!$C$25)&gt;0,"",'Dvd Calendar'!$J$2338)))</f>
        <v/>
      </c>
      <c r="DK171" s="85">
        <f>IF(AW171="","",IF(ISNUMBER('Dvd Calendar'!$K$2338)=FALSE,"",IF((Summary!$C$13="N")*('Dvd Calendar'!$K$2342='Field Check'!$C$25)&gt;0,"",'Dvd Calendar'!$K$2338)))</f>
        <v/>
      </c>
      <c r="DL171" s="85">
        <f>IF(AX171="","",IF(ISNUMBER('Dvd Calendar'!$L$2338)=FALSE,"",IF((Summary!$C$13="N")*('Dvd Calendar'!$L$2342='Field Check'!$C$25)&gt;0,"",'Dvd Calendar'!$L$2338)))</f>
        <v/>
      </c>
      <c r="DM171" s="85">
        <f>IF(AY171="","",IF(ISNUMBER('Dvd Calendar'!$M$2338)=FALSE,"",IF((Summary!$C$13="N")*('Dvd Calendar'!$M$2342='Field Check'!$C$25)&gt;0,"",'Dvd Calendar'!$M$2338)))</f>
        <v/>
      </c>
      <c r="DN171" s="85">
        <f>IF(AZ171="","",IF(ISNUMBER('Dvd Calendar'!$N$2338)=FALSE,"",IF((Summary!$C$13="N")*('Dvd Calendar'!$N$2342='Field Check'!$C$25)&gt;0,"",'Dvd Calendar'!$N$2338)))</f>
        <v/>
      </c>
      <c r="DO171" s="85">
        <f>IF(BA171="","",IF(ISNUMBER('Dvd Calendar'!$O$2338)=FALSE,"",IF((Summary!$C$13="N")*('Dvd Calendar'!$O$2342='Field Check'!$C$25)&gt;0,"",'Dvd Calendar'!$O$2338)))</f>
        <v/>
      </c>
      <c r="DP171" s="85">
        <f>IF(BB171="","",IF(ISNUMBER('Dvd Calendar'!$P$2338)=FALSE,"",IF((Summary!$C$13="N")*('Dvd Calendar'!$P$2342='Field Check'!$C$25)&gt;0,"",'Dvd Calendar'!$P$2338)))</f>
        <v/>
      </c>
      <c r="DQ171" s="85">
        <f>IF(BC171="","",IF(ISNUMBER('Dvd Calendar'!$Q$2338)=FALSE,"",IF((Summary!$C$13="N")*('Dvd Calendar'!$Q$2342='Field Check'!$C$25)&gt;0,"",'Dvd Calendar'!$Q$2338)))</f>
        <v/>
      </c>
      <c r="DR171" s="85">
        <f>IF(BD171="","",IF(ISNUMBER('Dvd Calendar'!$R$2338)=FALSE,"",IF((Summary!$C$13="N")*('Dvd Calendar'!$R$2342='Field Check'!$C$25)&gt;0,"",'Dvd Calendar'!$R$2338)))</f>
        <v/>
      </c>
      <c r="DS171" s="85">
        <f>IF(BE171="","",IF(ISNUMBER('Dvd Calendar'!$S$2338)=FALSE,"",IF((Summary!$C$13="N")*('Dvd Calendar'!$S$2342='Field Check'!$C$25)&gt;0,"",'Dvd Calendar'!$S$2338)))</f>
        <v/>
      </c>
      <c r="DT171" s="85">
        <f>IF(BF171="","",IF(ISNUMBER('Dvd Calendar'!$T$2338)=FALSE,"",IF((Summary!$C$13="N")*('Dvd Calendar'!$T$2342='Field Check'!$C$25)&gt;0,"",'Dvd Calendar'!$T$2338)))</f>
        <v/>
      </c>
      <c r="DU171" s="85">
        <f>IF(BG171="","",IF(ISNUMBER('Dvd Calendar'!$U$2338)=FALSE,"",IF((Summary!$C$13="N")*('Dvd Calendar'!$U$2342='Field Check'!$C$25)&gt;0,"",'Dvd Calendar'!$U$2338)))</f>
        <v/>
      </c>
      <c r="DV171" s="85">
        <f>IF(BH171="","",IF(ISNUMBER('Dvd Calendar'!$V$2338)=FALSE,"",IF((Summary!$C$13="N")*('Dvd Calendar'!$V$2342='Field Check'!$C$25)&gt;0,"",'Dvd Calendar'!$V$2338)))</f>
        <v/>
      </c>
      <c r="DW171" s="85">
        <f>IF(BI171="","",IF(ISNUMBER('Dvd Calendar'!$W$2338)=FALSE,"",IF((Summary!$C$13="N")*('Dvd Calendar'!$W$2342='Field Check'!$C$25)&gt;0,"",'Dvd Calendar'!$W$2338)))</f>
        <v/>
      </c>
      <c r="DX171" s="85">
        <f>IF(BJ171="","",IF(ISNUMBER('Dvd Calendar'!$X$2338)=FALSE,"",IF((Summary!$C$13="N")*('Dvd Calendar'!$X$2342='Field Check'!$C$25)&gt;0,"",'Dvd Calendar'!$X$2338)))</f>
        <v/>
      </c>
      <c r="DY171" s="85">
        <f>IF(BK171="","",IF(ISNUMBER('Dvd Calendar'!$Y$2338)=FALSE,"",IF((Summary!$C$13="N")*('Dvd Calendar'!$Y$2342='Field Check'!$C$25)&gt;0,"",'Dvd Calendar'!$Y$2338)))</f>
        <v/>
      </c>
      <c r="DZ171" s="85">
        <f>IF(BL171="","",IF(ISNUMBER('Dvd Calendar'!$Z$2338)=FALSE,"",IF((Summary!$C$13="N")*('Dvd Calendar'!$Z$2342='Field Check'!$C$25)&gt;0,"",'Dvd Calendar'!$Z$2338)))</f>
        <v/>
      </c>
      <c r="EA171" s="85">
        <f>IF(BM171="","",IF(ISNUMBER('Dvd Calendar'!$AA$2338)=FALSE,"",IF((Summary!$C$13="N")*('Dvd Calendar'!$AA$2342='Field Check'!$C$25)&gt;0,"",'Dvd Calendar'!$AA$2338)))</f>
        <v/>
      </c>
      <c r="EB171" s="85">
        <f>IF(BN171="","",IF(ISNUMBER('Dvd Calendar'!$AB$2338)=FALSE,"",IF((Summary!$C$13="N")*('Dvd Calendar'!$AB$2342='Field Check'!$C$25)&gt;0,"",'Dvd Calendar'!$AB$2338)))</f>
        <v/>
      </c>
      <c r="EC171" s="85">
        <f>IF(BO171="","",IF(ISNUMBER('Dvd Calendar'!$AC$2338)=FALSE,"",IF((Summary!$C$13="N")*('Dvd Calendar'!$AC$2342='Field Check'!$C$25)&gt;0,"",'Dvd Calendar'!$AC$2338)))</f>
        <v/>
      </c>
      <c r="EE171" s="85">
        <f>IF(BQ171="","",IFERROR(BQ171*HSCEI!$B$21*HSCEI!$G$21/HSCEI!$B$3,""))</f>
        <v/>
      </c>
      <c r="EF171" s="85">
        <f>IF(BR171="","",IFERROR(BR171*HSCEI!$B$21*HSCEI!$G$21/HSCEI!$B$3,""))</f>
        <v/>
      </c>
      <c r="EG171" s="85">
        <f>IF(BS171="","",IFERROR(BS171*HSCEI!$B$21*HSCEI!$G$21/HSCEI!$B$3,""))</f>
        <v/>
      </c>
      <c r="EH171" s="85">
        <f>IF(BT171="","",IFERROR(BT171*HSCEI!$B$21*HSCEI!$G$21/HSCEI!$B$3,""))</f>
        <v/>
      </c>
      <c r="EI171" s="85">
        <f>IF(BU171="","",IFERROR(BU171*HSCEI!$B$21*HSCEI!$G$21/HSCEI!$B$3,""))</f>
        <v/>
      </c>
      <c r="EJ171" s="85">
        <f>IF(BV171="","",IFERROR(BV171*HSCEI!$B$21*HSCEI!$G$21/HSCEI!$B$3,""))</f>
        <v/>
      </c>
      <c r="EK171" s="85">
        <f>IF(BW171="","",IFERROR(BW171*HSCEI!$B$21*HSCEI!$G$21/HSCEI!$B$3,""))</f>
        <v/>
      </c>
      <c r="EL171" s="85">
        <f>IF(BX171="","",IFERROR(BX171*HSCEI!$B$21*HSCEI!$G$21/HSCEI!$B$3,""))</f>
        <v/>
      </c>
      <c r="EM171" s="85">
        <f>IF(BY171="","",IFERROR(BY171*HSCEI!$B$21*HSCEI!$G$21/HSCEI!$B$3,""))</f>
        <v/>
      </c>
      <c r="EN171" s="85">
        <f>IF(BZ171="","",IFERROR(BZ171*HSCEI!$B$21*HSCEI!$G$21/HSCEI!$B$3,""))</f>
        <v/>
      </c>
      <c r="EO171" s="85">
        <f>IF(CA171="","",IFERROR(CA171*HSCEI!$B$21*HSCEI!$G$21/HSCEI!$B$3,""))</f>
        <v/>
      </c>
      <c r="EP171" s="85">
        <f>IF(CB171="","",IFERROR(CB171*HSCEI!$B$21*HSCEI!$G$21/HSCEI!$B$3,""))</f>
        <v/>
      </c>
      <c r="EQ171" s="85">
        <f>IF(CC171="","",IFERROR(CC171*HSCEI!$B$21*HSCEI!$G$21/HSCEI!$B$3,""))</f>
        <v/>
      </c>
      <c r="ER171" s="85">
        <f>IF(CD171="","",IFERROR(CD171*HSCEI!$B$21*HSCEI!$G$21/HSCEI!$B$3,""))</f>
        <v/>
      </c>
      <c r="ES171" s="85">
        <f>IF(CE171="","",IFERROR(CE171*HSCEI!$B$21*HSCEI!$G$21/HSCEI!$B$3,""))</f>
        <v/>
      </c>
      <c r="ET171" s="85">
        <f>IF(CF171="","",IFERROR(CF171*HSCEI!$B$21*HSCEI!$G$21/HSCEI!$B$3,""))</f>
        <v/>
      </c>
      <c r="EU171" s="85">
        <f>IF(CG171="","",IFERROR(CG171*HSCEI!$B$21*HSCEI!$G$21/HSCEI!$B$3,""))</f>
        <v/>
      </c>
      <c r="EV171" s="85">
        <f>IF(CH171="","",IFERROR(CH171*HSCEI!$B$21*HSCEI!$G$21/HSCEI!$B$3,""))</f>
        <v/>
      </c>
      <c r="EW171" s="85">
        <f>IF(CI171="","",IFERROR(CI171*HSCEI!$B$21*HSCEI!$G$21/HSCEI!$B$3,""))</f>
        <v/>
      </c>
      <c r="EX171" s="85">
        <f>IF(CJ171="","",IFERROR(CJ171*HSCEI!$B$21*HSCEI!$G$21/HSCEI!$B$3,""))</f>
        <v/>
      </c>
      <c r="EY171" s="85">
        <f>IF(CK171="","",IFERROR(CK171*HSCEI!$B$21*HSCEI!$G$21/HSCEI!$B$3,""))</f>
        <v/>
      </c>
      <c r="EZ171" s="85">
        <f>IF(CL171="","",IFERROR(CL171*HSCEI!$B$21*HSCEI!$G$21/HSCEI!$B$3,""))</f>
        <v/>
      </c>
      <c r="FA171" s="85">
        <f>IF(CM171="","",IFERROR(CM171*HSCEI!$B$21*HSCEI!$G$21/HSCEI!$B$3,""))</f>
        <v/>
      </c>
      <c r="FB171" s="85">
        <f>IF(CN171="","",IFERROR(CN171*HSCEI!$B$21*HSCEI!$G$21/HSCEI!$B$3,""))</f>
        <v/>
      </c>
      <c r="FC171" s="85">
        <f>IF(CO171="","",IFERROR(CO171*HSCEI!$B$21*HSCEI!$G$21/HSCEI!$B$3,""))</f>
        <v/>
      </c>
      <c r="FD171" s="85">
        <f>IF(CP171="","",IFERROR(CP171*HSCEI!$B$21*HSCEI!$G$21/HSCEI!$B$3,""))</f>
        <v/>
      </c>
      <c r="FE171" s="85">
        <f>IF(CQ171="","",IFERROR(CQ171*HSCEI!$B$21*HSCEI!$G$21/HSCEI!$B$3,""))</f>
        <v/>
      </c>
      <c r="FF171" s="85">
        <f>IF(CR171="","",IFERROR(CR171*HSCEI!$B$21*HSCEI!$G$21/HSCEI!$B$3,""))</f>
        <v/>
      </c>
      <c r="FG171" s="85">
        <f>IF(CS171="","",IFERROR(CS171*HSCEI!$B$21*HSCEI!$G$21/HSCEI!$B$3,""))</f>
        <v/>
      </c>
      <c r="FH171" s="85">
        <f>IF(CT171="","",IFERROR(CT171*HSCEI!$B$21*HSCEI!$G$21/HSCEI!$B$3,""))</f>
        <v/>
      </c>
      <c r="FI171" s="85">
        <f>IF(CU171="","",IFERROR(CU171*HSCEI!$B$21*HSCEI!$G$21/HSCEI!$B$3,""))</f>
        <v/>
      </c>
      <c r="FJ171" s="85">
        <f>IF(CV171="","",IFERROR(CV171*HSCEI!$B$21*HSCEI!$G$21/HSCEI!$B$3,""))</f>
        <v/>
      </c>
      <c r="FK171" s="85">
        <f>IF(CW171="","",IFERROR(CW171*HSCEI!$B$21*HSCEI!$G$21/HSCEI!$B$3,""))</f>
        <v/>
      </c>
      <c r="FL171" s="85">
        <f>IF(CX171="","",IFERROR(CX171*HSCEI!$B$21*HSCEI!$G$21/HSCEI!$B$3,""))</f>
        <v/>
      </c>
      <c r="FM171" s="85">
        <f>IF(CY171="","",IFERROR(CY171*HSCEI!$B$21*HSCEI!$G$21/HSCEI!$B$3,""))</f>
        <v/>
      </c>
      <c r="FN171" s="85">
        <f>IF(CZ171="","",IFERROR(CZ171*HSCEI!$B$21*HSCEI!$G$21/HSCEI!$B$3,""))</f>
        <v/>
      </c>
      <c r="FO171" s="85">
        <f>IF(DA171="","",IFERROR(DA171*HSCEI!$B$21*HSCEI!$G$21/HSCEI!$B$3,""))</f>
        <v/>
      </c>
      <c r="FP171" s="85">
        <f>IF(DB171="","",IFERROR(DB171*HSCEI!$B$21*HSCEI!$G$21/HSCEI!$B$3,""))</f>
        <v/>
      </c>
      <c r="FQ171" s="85">
        <f>IF(DC171="","",IFERROR(DC171*HSCEI!$B$21*HSCEI!$G$21/HSCEI!$B$3,""))</f>
        <v/>
      </c>
      <c r="FR171" s="85">
        <f>IF(DD171="","",IFERROR(DD171*HSCEI!$B$21*HSCEI!$G$21/HSCEI!$B$3,""))</f>
        <v/>
      </c>
      <c r="FS171" s="85">
        <f>IF(DE171="","",IFERROR(DE171*HSCEI!$B$21*HSCEI!$G$21/HSCEI!$B$3,""))</f>
        <v/>
      </c>
      <c r="FT171" s="85">
        <f>IF(DF171="","",IFERROR(DF171*HSCEI!$B$21*HSCEI!$G$21/HSCEI!$B$3,""))</f>
        <v/>
      </c>
      <c r="FU171" s="85">
        <f>IF(DG171="","",IFERROR(DG171*HSCEI!$B$21*HSCEI!$G$21/HSCEI!$B$3,""))</f>
        <v/>
      </c>
      <c r="FV171" s="85">
        <f>IF(DH171="","",IFERROR(DH171*HSCEI!$B$21*HSCEI!$G$21/HSCEI!$B$3,""))</f>
        <v/>
      </c>
      <c r="FW171" s="85">
        <f>IF(DI171="","",IFERROR(DI171*HSCEI!$B$21*HSCEI!$G$21/HSCEI!$B$3,""))</f>
        <v/>
      </c>
      <c r="FX171" s="85">
        <f>IF(DJ171="","",IFERROR(DJ171*HSCEI!$B$21*HSCEI!$G$21/HSCEI!$B$3,""))</f>
        <v/>
      </c>
      <c r="FY171" s="85">
        <f>IF(DK171="","",IFERROR(DK171*HSCEI!$B$21*HSCEI!$G$21/HSCEI!$B$3,""))</f>
        <v/>
      </c>
      <c r="FZ171" s="85">
        <f>IF(DL171="","",IFERROR(DL171*HSCEI!$B$21*HSCEI!$G$21/HSCEI!$B$3,""))</f>
        <v/>
      </c>
      <c r="GA171" s="85">
        <f>IF(DM171="","",IFERROR(DM171*HSCEI!$B$21*HSCEI!$G$21/HSCEI!$B$3,""))</f>
        <v/>
      </c>
      <c r="GB171" s="85">
        <f>IF(DN171="","",IFERROR(DN171*HSCEI!$B$21*HSCEI!$G$21/HSCEI!$B$3,""))</f>
        <v/>
      </c>
      <c r="GC171" s="85">
        <f>IF(DO171="","",IFERROR(DO171*HSCEI!$B$21*HSCEI!$G$21/HSCEI!$B$3,""))</f>
        <v/>
      </c>
      <c r="GD171" s="85">
        <f>IF(DP171="","",IFERROR(DP171*HSCEI!$B$21*HSCEI!$G$21/HSCEI!$B$3,""))</f>
        <v/>
      </c>
      <c r="GE171" s="85">
        <f>IF(DQ171="","",IFERROR(DQ171*HSCEI!$B$21*HSCEI!$G$21/HSCEI!$B$3,""))</f>
        <v/>
      </c>
      <c r="GF171" s="85">
        <f>IF(DR171="","",IFERROR(DR171*HSCEI!$B$21*HSCEI!$G$21/HSCEI!$B$3,""))</f>
        <v/>
      </c>
      <c r="GG171" s="85">
        <f>IF(DS171="","",IFERROR(DS171*HSCEI!$B$21*HSCEI!$G$21/HSCEI!$B$3,""))</f>
        <v/>
      </c>
      <c r="GH171" s="85">
        <f>IF(DT171="","",IFERROR(DT171*HSCEI!$B$21*HSCEI!$G$21/HSCEI!$B$3,""))</f>
        <v/>
      </c>
      <c r="GI171" s="85">
        <f>IF(DU171="","",IFERROR(DU171*HSCEI!$B$21*HSCEI!$G$21/HSCEI!$B$3,""))</f>
        <v/>
      </c>
      <c r="GJ171" s="85">
        <f>IF(DV171="","",IFERROR(DV171*HSCEI!$B$21*HSCEI!$G$21/HSCEI!$B$3,""))</f>
        <v/>
      </c>
      <c r="GK171" s="85">
        <f>IF(DW171="","",IFERROR(DW171*HSCEI!$B$21*HSCEI!$G$21/HSCEI!$B$3,""))</f>
        <v/>
      </c>
      <c r="GL171" s="85">
        <f>IF(DX171="","",IFERROR(DX171*HSCEI!$B$21*HSCEI!$G$21/HSCEI!$B$3,""))</f>
        <v/>
      </c>
      <c r="GM171" s="85">
        <f>IF(DY171="","",IFERROR(DY171*HSCEI!$B$21*HSCEI!$G$21/HSCEI!$B$3,""))</f>
        <v/>
      </c>
      <c r="GN171" s="85">
        <f>IF(DZ171="","",IFERROR(DZ171*HSCEI!$B$21*HSCEI!$G$21/HSCEI!$B$3,""))</f>
        <v/>
      </c>
      <c r="GO171" s="85">
        <f>IF(EA171="","",IFERROR(EA171*HSCEI!$B$21*HSCEI!$G$21/HSCEI!$B$3,""))</f>
        <v/>
      </c>
      <c r="GP171" s="85">
        <f>IF(EB171="","",IFERROR(EB171*HSCEI!$B$21*HSCEI!$G$21/HSCEI!$B$3,""))</f>
        <v/>
      </c>
      <c r="GQ171" s="85">
        <f>IF(EC171="","",IFERROR(EC171*HSCEI!$B$21*HSCEI!$G$21/HSCEI!$B$3,""))</f>
        <v/>
      </c>
    </row>
    <row r="172">
      <c r="B172" s="2">
        <f>IF(HSCEI!$C$22="","",HSCEI!$C$22)</f>
        <v/>
      </c>
      <c r="C172" s="41">
        <f>IF(N('Dvd Calendar'!$E$2345)=0,"",IF(('Dvd Calendar'!$E$2345&gt;=MIN(DATE(Summary!$C$12,1,1),Summary!$C$11))*('Dvd Calendar'!$E$2345&lt;=MAX(DATE(Summary!$C$12,12,31),Summary!$C$15))*('Dvd Calendar'!$E$2345&lt;=Summary!$C$11)=0,"",'Dvd Calendar'!$E$2345*1000000000+ISNUMBER('Dvd Calendar'!$E$2346)*100000000+('Dvd Calendar'!$E$2350='Field Check'!$C$25)*10000000+(N('Dvd Calendar'!$E$2344)&gt;0)*1000000+16*1000+1))</f>
        <v/>
      </c>
      <c r="D172" s="41">
        <f>IF(N('Dvd Calendar'!$F$2345)=0,"",IF(('Dvd Calendar'!$F$2345&gt;=MIN(DATE(Summary!$C$12,1,1),Summary!$C$11))*('Dvd Calendar'!$F$2345&lt;=MAX(DATE(Summary!$C$12,12,31),Summary!$C$15))*('Dvd Calendar'!$F$2345&lt;=Summary!$C$11)=0,"",'Dvd Calendar'!$F$2345*1000000000+ISNUMBER('Dvd Calendar'!$F$2346)*100000000+('Dvd Calendar'!$F$2350='Field Check'!$C$25)*10000000+(N('Dvd Calendar'!$F$2344)&gt;0)*1000000+16*1000+2))</f>
        <v/>
      </c>
      <c r="E172" s="41">
        <f>IF(N('Dvd Calendar'!$G$2345)=0,"",IF(('Dvd Calendar'!$G$2345&gt;=MIN(DATE(Summary!$C$12,1,1),Summary!$C$11))*('Dvd Calendar'!$G$2345&lt;=MAX(DATE(Summary!$C$12,12,31),Summary!$C$15))*('Dvd Calendar'!$G$2345&lt;=Summary!$C$11)=0,"",'Dvd Calendar'!$G$2345*1000000000+ISNUMBER('Dvd Calendar'!$G$2346)*100000000+('Dvd Calendar'!$G$2350='Field Check'!$C$25)*10000000+(N('Dvd Calendar'!$G$2344)&gt;0)*1000000+16*1000+3))</f>
        <v/>
      </c>
      <c r="F172" s="41">
        <f>IF(N('Dvd Calendar'!$H$2345)=0,"",IF(('Dvd Calendar'!$H$2345&gt;=MIN(DATE(Summary!$C$12,1,1),Summary!$C$11))*('Dvd Calendar'!$H$2345&lt;=MAX(DATE(Summary!$C$12,12,31),Summary!$C$15))*('Dvd Calendar'!$H$2345&lt;=Summary!$C$11)=0,"",'Dvd Calendar'!$H$2345*1000000000+ISNUMBER('Dvd Calendar'!$H$2346)*100000000+('Dvd Calendar'!$H$2350='Field Check'!$C$25)*10000000+(N('Dvd Calendar'!$H$2344)&gt;0)*1000000+16*1000+4))</f>
        <v/>
      </c>
      <c r="G172" s="41">
        <f>IF(N('Dvd Calendar'!$I$2345)=0,"",IF(('Dvd Calendar'!$I$2345&gt;=MIN(DATE(Summary!$C$12,1,1),Summary!$C$11))*('Dvd Calendar'!$I$2345&lt;=MAX(DATE(Summary!$C$12,12,31),Summary!$C$15))*('Dvd Calendar'!$I$2345&lt;=Summary!$C$11)=0,"",'Dvd Calendar'!$I$2345*1000000000+ISNUMBER('Dvd Calendar'!$I$2346)*100000000+('Dvd Calendar'!$I$2350='Field Check'!$C$25)*10000000+(N('Dvd Calendar'!$I$2344)&gt;0)*1000000+16*1000+5))</f>
        <v/>
      </c>
      <c r="H172" s="41">
        <f>IF(N('Dvd Calendar'!$J$2345)=0,"",IF(('Dvd Calendar'!$J$2345&gt;=MIN(DATE(Summary!$C$12,1,1),Summary!$C$11))*('Dvd Calendar'!$J$2345&lt;=MAX(DATE(Summary!$C$12,12,31),Summary!$C$15))*('Dvd Calendar'!$J$2345&lt;=Summary!$C$11)=0,"",'Dvd Calendar'!$J$2345*1000000000+ISNUMBER('Dvd Calendar'!$J$2346)*100000000+('Dvd Calendar'!$J$2350='Field Check'!$C$25)*10000000+(N('Dvd Calendar'!$J$2344)&gt;0)*1000000+16*1000+6))</f>
        <v/>
      </c>
      <c r="I172" s="41">
        <f>IF(N('Dvd Calendar'!$K$2345)=0,"",IF(('Dvd Calendar'!$K$2345&gt;=MIN(DATE(Summary!$C$12,1,1),Summary!$C$11))*('Dvd Calendar'!$K$2345&lt;=MAX(DATE(Summary!$C$12,12,31),Summary!$C$15))*('Dvd Calendar'!$K$2345&lt;=Summary!$C$11)=0,"",'Dvd Calendar'!$K$2345*1000000000+ISNUMBER('Dvd Calendar'!$K$2346)*100000000+('Dvd Calendar'!$K$2350='Field Check'!$C$25)*10000000+(N('Dvd Calendar'!$K$2344)&gt;0)*1000000+16*1000+7))</f>
        <v/>
      </c>
      <c r="J172" s="41">
        <f>IF(N('Dvd Calendar'!$L$2345)=0,"",IF(('Dvd Calendar'!$L$2345&gt;=MIN(DATE(Summary!$C$12,1,1),Summary!$C$11))*('Dvd Calendar'!$L$2345&lt;=MAX(DATE(Summary!$C$12,12,31),Summary!$C$15))*('Dvd Calendar'!$L$2345&lt;=Summary!$C$11)=0,"",'Dvd Calendar'!$L$2345*1000000000+ISNUMBER('Dvd Calendar'!$L$2346)*100000000+('Dvd Calendar'!$L$2350='Field Check'!$C$25)*10000000+(N('Dvd Calendar'!$L$2344)&gt;0)*1000000+16*1000+8))</f>
        <v/>
      </c>
      <c r="K172" s="41">
        <f>IF(N('Dvd Calendar'!$M$2345)=0,"",IF(('Dvd Calendar'!$M$2345&gt;=MIN(DATE(Summary!$C$12,1,1),Summary!$C$11))*('Dvd Calendar'!$M$2345&lt;=MAX(DATE(Summary!$C$12,12,31),Summary!$C$15))*('Dvd Calendar'!$M$2345&lt;=Summary!$C$11)=0,"",'Dvd Calendar'!$M$2345*1000000000+ISNUMBER('Dvd Calendar'!$M$2346)*100000000+('Dvd Calendar'!$M$2350='Field Check'!$C$25)*10000000+(N('Dvd Calendar'!$M$2344)&gt;0)*1000000+16*1000+9))</f>
        <v/>
      </c>
      <c r="L172" s="41">
        <f>IF(N('Dvd Calendar'!$N$2345)=0,"",IF(('Dvd Calendar'!$N$2345&gt;=MIN(DATE(Summary!$C$12,1,1),Summary!$C$11))*('Dvd Calendar'!$N$2345&lt;=MAX(DATE(Summary!$C$12,12,31),Summary!$C$15))*('Dvd Calendar'!$N$2345&lt;=Summary!$C$11)=0,"",'Dvd Calendar'!$N$2345*1000000000+ISNUMBER('Dvd Calendar'!$N$2346)*100000000+('Dvd Calendar'!$N$2350='Field Check'!$C$25)*10000000+(N('Dvd Calendar'!$N$2344)&gt;0)*1000000+16*1000+10))</f>
        <v/>
      </c>
      <c r="M172" s="41">
        <f>IF(N('Dvd Calendar'!$O$2345)=0,"",IF(('Dvd Calendar'!$O$2345&gt;=MIN(DATE(Summary!$C$12,1,1),Summary!$C$11))*('Dvd Calendar'!$O$2345&lt;=MAX(DATE(Summary!$C$12,12,31),Summary!$C$15))*('Dvd Calendar'!$O$2345&lt;=Summary!$C$11)=0,"",'Dvd Calendar'!$O$2345*1000000000+ISNUMBER('Dvd Calendar'!$O$2346)*100000000+('Dvd Calendar'!$O$2350='Field Check'!$C$25)*10000000+(N('Dvd Calendar'!$O$2344)&gt;0)*1000000+16*1000+11))</f>
        <v/>
      </c>
      <c r="N172" s="41">
        <f>IF(N('Dvd Calendar'!$P$2345)=0,"",IF(('Dvd Calendar'!$P$2345&gt;=MIN(DATE(Summary!$C$12,1,1),Summary!$C$11))*('Dvd Calendar'!$P$2345&lt;=MAX(DATE(Summary!$C$12,12,31),Summary!$C$15))*('Dvd Calendar'!$P$2345&lt;=Summary!$C$11)=0,"",'Dvd Calendar'!$P$2345*1000000000+ISNUMBER('Dvd Calendar'!$P$2346)*100000000+('Dvd Calendar'!$P$2350='Field Check'!$C$25)*10000000+(N('Dvd Calendar'!$P$2344)&gt;0)*1000000+16*1000+12))</f>
        <v/>
      </c>
      <c r="O172" s="41">
        <f>IF(N('Dvd Calendar'!$Q$2345)=0,"",IF(('Dvd Calendar'!$Q$2345&gt;=MIN(DATE(Summary!$C$12,1,1),Summary!$C$11))*('Dvd Calendar'!$Q$2345&lt;=MAX(DATE(Summary!$C$12,12,31),Summary!$C$15))*('Dvd Calendar'!$Q$2345&lt;=Summary!$C$11)=0,"",'Dvd Calendar'!$Q$2345*1000000000+ISNUMBER('Dvd Calendar'!$Q$2346)*100000000+('Dvd Calendar'!$Q$2350='Field Check'!$C$25)*10000000+(N('Dvd Calendar'!$Q$2344)&gt;0)*1000000+16*1000+13))</f>
        <v/>
      </c>
      <c r="P172" s="41">
        <f>IF(N('Dvd Calendar'!$R$2345)=0,"",IF(('Dvd Calendar'!$R$2345&gt;=MIN(DATE(Summary!$C$12,1,1),Summary!$C$11))*('Dvd Calendar'!$R$2345&lt;=MAX(DATE(Summary!$C$12,12,31),Summary!$C$15))*('Dvd Calendar'!$R$2345&lt;=Summary!$C$11)=0,"",'Dvd Calendar'!$R$2345*1000000000+ISNUMBER('Dvd Calendar'!$R$2346)*100000000+('Dvd Calendar'!$R$2350='Field Check'!$C$25)*10000000+(N('Dvd Calendar'!$R$2344)&gt;0)*1000000+16*1000+14))</f>
        <v/>
      </c>
      <c r="Q172" s="41">
        <f>IF(N('Dvd Calendar'!$S$2345)=0,"",IF(('Dvd Calendar'!$S$2345&gt;=MIN(DATE(Summary!$C$12,1,1),Summary!$C$11))*('Dvd Calendar'!$S$2345&lt;=MAX(DATE(Summary!$C$12,12,31),Summary!$C$15))*('Dvd Calendar'!$S$2345&lt;=Summary!$C$11)=0,"",'Dvd Calendar'!$S$2345*1000000000+ISNUMBER('Dvd Calendar'!$S$2346)*100000000+('Dvd Calendar'!$S$2350='Field Check'!$C$25)*10000000+(N('Dvd Calendar'!$S$2344)&gt;0)*1000000+16*1000+15))</f>
        <v/>
      </c>
      <c r="R172" s="41">
        <f>IF(N('Dvd Calendar'!$T$2345)=0,"",IF(('Dvd Calendar'!$T$2345&gt;=MIN(DATE(Summary!$C$12,1,1),Summary!$C$11))*('Dvd Calendar'!$T$2345&lt;=MAX(DATE(Summary!$C$12,12,31),Summary!$C$15))*('Dvd Calendar'!$T$2345&lt;=Summary!$C$11)=0,"",'Dvd Calendar'!$T$2345*1000000000+ISNUMBER('Dvd Calendar'!$T$2346)*100000000+('Dvd Calendar'!$T$2350='Field Check'!$C$25)*10000000+(N('Dvd Calendar'!$T$2344)&gt;0)*1000000+16*1000+16))</f>
        <v/>
      </c>
      <c r="S172" s="41">
        <f>IF(N('Dvd Calendar'!$U$2345)=0,"",IF(('Dvd Calendar'!$U$2345&gt;=MIN(DATE(Summary!$C$12,1,1),Summary!$C$11))*('Dvd Calendar'!$U$2345&lt;=MAX(DATE(Summary!$C$12,12,31),Summary!$C$15))*('Dvd Calendar'!$U$2345&lt;=Summary!$C$11)=0,"",'Dvd Calendar'!$U$2345*1000000000+ISNUMBER('Dvd Calendar'!$U$2346)*100000000+('Dvd Calendar'!$U$2350='Field Check'!$C$25)*10000000+(N('Dvd Calendar'!$U$2344)&gt;0)*1000000+16*1000+17))</f>
        <v/>
      </c>
      <c r="T172" s="41">
        <f>IF(N('Dvd Calendar'!$V$2345)=0,"",IF(('Dvd Calendar'!$V$2345&gt;=MIN(DATE(Summary!$C$12,1,1),Summary!$C$11))*('Dvd Calendar'!$V$2345&lt;=MAX(DATE(Summary!$C$12,12,31),Summary!$C$15))*('Dvd Calendar'!$V$2345&lt;=Summary!$C$11)=0,"",'Dvd Calendar'!$V$2345*1000000000+ISNUMBER('Dvd Calendar'!$V$2346)*100000000+('Dvd Calendar'!$V$2350='Field Check'!$C$25)*10000000+(N('Dvd Calendar'!$V$2344)&gt;0)*1000000+16*1000+18))</f>
        <v/>
      </c>
      <c r="U172" s="41">
        <f>IF(N('Dvd Calendar'!$W$2345)=0,"",IF(('Dvd Calendar'!$W$2345&gt;=MIN(DATE(Summary!$C$12,1,1),Summary!$C$11))*('Dvd Calendar'!$W$2345&lt;=MAX(DATE(Summary!$C$12,12,31),Summary!$C$15))*('Dvd Calendar'!$W$2345&lt;=Summary!$C$11)=0,"",'Dvd Calendar'!$W$2345*1000000000+ISNUMBER('Dvd Calendar'!$W$2346)*100000000+('Dvd Calendar'!$W$2350='Field Check'!$C$25)*10000000+(N('Dvd Calendar'!$W$2344)&gt;0)*1000000+16*1000+19))</f>
        <v/>
      </c>
      <c r="V172" s="41">
        <f>IF(N('Dvd Calendar'!$X$2345)=0,"",IF(('Dvd Calendar'!$X$2345&gt;=MIN(DATE(Summary!$C$12,1,1),Summary!$C$11))*('Dvd Calendar'!$X$2345&lt;=MAX(DATE(Summary!$C$12,12,31),Summary!$C$15))*('Dvd Calendar'!$X$2345&lt;=Summary!$C$11)=0,"",'Dvd Calendar'!$X$2345*1000000000+ISNUMBER('Dvd Calendar'!$X$2346)*100000000+('Dvd Calendar'!$X$2350='Field Check'!$C$25)*10000000+(N('Dvd Calendar'!$X$2344)&gt;0)*1000000+16*1000+20))</f>
        <v/>
      </c>
      <c r="W172" s="41">
        <f>IF(N('Dvd Calendar'!$Y$2345)=0,"",IF(('Dvd Calendar'!$Y$2345&gt;=MIN(DATE(Summary!$C$12,1,1),Summary!$C$11))*('Dvd Calendar'!$Y$2345&lt;=MAX(DATE(Summary!$C$12,12,31),Summary!$C$15))*('Dvd Calendar'!$Y$2345&lt;=Summary!$C$11)=0,"",'Dvd Calendar'!$Y$2345*1000000000+ISNUMBER('Dvd Calendar'!$Y$2346)*100000000+('Dvd Calendar'!$Y$2350='Field Check'!$C$25)*10000000+(N('Dvd Calendar'!$Y$2344)&gt;0)*1000000+16*1000+21))</f>
        <v/>
      </c>
      <c r="X172" s="41">
        <f>IF(N('Dvd Calendar'!$Z$2345)=0,"",IF(('Dvd Calendar'!$Z$2345&gt;=MIN(DATE(Summary!$C$12,1,1),Summary!$C$11))*('Dvd Calendar'!$Z$2345&lt;=MAX(DATE(Summary!$C$12,12,31),Summary!$C$15))*('Dvd Calendar'!$Z$2345&lt;=Summary!$C$11)=0,"",'Dvd Calendar'!$Z$2345*1000000000+ISNUMBER('Dvd Calendar'!$Z$2346)*100000000+('Dvd Calendar'!$Z$2350='Field Check'!$C$25)*10000000+(N('Dvd Calendar'!$Z$2344)&gt;0)*1000000+16*1000+22))</f>
        <v/>
      </c>
      <c r="Y172" s="41">
        <f>IF(N('Dvd Calendar'!$AA$2345)=0,"",IF(('Dvd Calendar'!$AA$2345&gt;=MIN(DATE(Summary!$C$12,1,1),Summary!$C$11))*('Dvd Calendar'!$AA$2345&lt;=MAX(DATE(Summary!$C$12,12,31),Summary!$C$15))*('Dvd Calendar'!$AA$2345&lt;=Summary!$C$11)=0,"",'Dvd Calendar'!$AA$2345*1000000000+ISNUMBER('Dvd Calendar'!$AA$2346)*100000000+('Dvd Calendar'!$AA$2350='Field Check'!$C$25)*10000000+(N('Dvd Calendar'!$AA$2344)&gt;0)*1000000+16*1000+23))</f>
        <v/>
      </c>
      <c r="Z172" s="41">
        <f>IF(N('Dvd Calendar'!$AB$2345)=0,"",IF(('Dvd Calendar'!$AB$2345&gt;=MIN(DATE(Summary!$C$12,1,1),Summary!$C$11))*('Dvd Calendar'!$AB$2345&lt;=MAX(DATE(Summary!$C$12,12,31),Summary!$C$15))*('Dvd Calendar'!$AB$2345&lt;=Summary!$C$11)=0,"",'Dvd Calendar'!$AB$2345*1000000000+ISNUMBER('Dvd Calendar'!$AB$2346)*100000000+('Dvd Calendar'!$AB$2350='Field Check'!$C$25)*10000000+(N('Dvd Calendar'!$AB$2344)&gt;0)*1000000+16*1000+24))</f>
        <v/>
      </c>
      <c r="AA172" s="41">
        <f>IF(N('Dvd Calendar'!$AC$2345)=0,"",IF(('Dvd Calendar'!$AC$2345&gt;=MIN(DATE(Summary!$C$12,1,1),Summary!$C$11))*('Dvd Calendar'!$AC$2345&lt;=MAX(DATE(Summary!$C$12,12,31),Summary!$C$15))*('Dvd Calendar'!$AC$2345&lt;=Summary!$C$11)=0,"",'Dvd Calendar'!$AC$2345*1000000000+ISNUMBER('Dvd Calendar'!$AC$2346)*100000000+('Dvd Calendar'!$AC$2350='Field Check'!$C$25)*10000000+(N('Dvd Calendar'!$AC$2344)&gt;0)*1000000+16*1000+25))</f>
        <v/>
      </c>
      <c r="AB172" s="41">
        <f>IF(N('Dvd Calendar'!$AD$2345)=0,"",IF(('Dvd Calendar'!$AD$2345&gt;=MIN(DATE(Summary!$C$12,1,1),Summary!$C$11))*('Dvd Calendar'!$AD$2345&lt;=MAX(DATE(Summary!$C$12,12,31),Summary!$C$15))*('Dvd Calendar'!$AD$2345&lt;=Summary!$C$11)=0,"",'Dvd Calendar'!$AD$2345*1000000000+ISNUMBER('Dvd Calendar'!$AD$2346)*100000000+('Dvd Calendar'!$AD$2350='Field Check'!$C$25)*10000000+(N('Dvd Calendar'!$AD$2344)&gt;0)*1000000+16*1000+26))</f>
        <v/>
      </c>
      <c r="AC172" s="41">
        <f>IF(N('Dvd Calendar'!$AE$2345)=0,"",IF(('Dvd Calendar'!$AE$2345&gt;=MIN(DATE(Summary!$C$12,1,1),Summary!$C$11))*('Dvd Calendar'!$AE$2345&lt;=MAX(DATE(Summary!$C$12,12,31),Summary!$C$15))*('Dvd Calendar'!$AE$2345&lt;=Summary!$C$11)=0,"",'Dvd Calendar'!$AE$2345*1000000000+ISNUMBER('Dvd Calendar'!$AE$2346)*100000000+('Dvd Calendar'!$AE$2350='Field Check'!$C$25)*10000000+(N('Dvd Calendar'!$AE$2344)&gt;0)*1000000+16*1000+27))</f>
        <v/>
      </c>
      <c r="AD172" s="41">
        <f>IF(N('Dvd Calendar'!$AF$2345)=0,"",IF(('Dvd Calendar'!$AF$2345&gt;=MIN(DATE(Summary!$C$12,1,1),Summary!$C$11))*('Dvd Calendar'!$AF$2345&lt;=MAX(DATE(Summary!$C$12,12,31),Summary!$C$15))*('Dvd Calendar'!$AF$2345&lt;=Summary!$C$11)=0,"",'Dvd Calendar'!$AF$2345*1000000000+ISNUMBER('Dvd Calendar'!$AF$2346)*100000000+('Dvd Calendar'!$AF$2350='Field Check'!$C$25)*10000000+(N('Dvd Calendar'!$AF$2344)&gt;0)*1000000+16*1000+28))</f>
        <v/>
      </c>
      <c r="AE172" s="41">
        <f>IF(N('Dvd Calendar'!$AG$2345)=0,"",IF(('Dvd Calendar'!$AG$2345&gt;=MIN(DATE(Summary!$C$12,1,1),Summary!$C$11))*('Dvd Calendar'!$AG$2345&lt;=MAX(DATE(Summary!$C$12,12,31),Summary!$C$15))*('Dvd Calendar'!$AG$2345&lt;=Summary!$C$11)=0,"",'Dvd Calendar'!$AG$2345*1000000000+ISNUMBER('Dvd Calendar'!$AG$2346)*100000000+('Dvd Calendar'!$AG$2350='Field Check'!$C$25)*10000000+(N('Dvd Calendar'!$AG$2344)&gt;0)*1000000+16*1000+29))</f>
        <v/>
      </c>
      <c r="AF172" s="41">
        <f>IF(N('Dvd Calendar'!$AH$2345)=0,"",IF(('Dvd Calendar'!$AH$2345&gt;=MIN(DATE(Summary!$C$12,1,1),Summary!$C$11))*('Dvd Calendar'!$AH$2345&lt;=MAX(DATE(Summary!$C$12,12,31),Summary!$C$15))*('Dvd Calendar'!$AH$2345&lt;=Summary!$C$11)=0,"",'Dvd Calendar'!$AH$2345*1000000000+ISNUMBER('Dvd Calendar'!$AH$2346)*100000000+('Dvd Calendar'!$AH$2350='Field Check'!$C$25)*10000000+(N('Dvd Calendar'!$AH$2344)&gt;0)*1000000+16*1000+30))</f>
        <v/>
      </c>
      <c r="AG172" s="41">
        <f>IF(N('Dvd Calendar'!$AI$2345)=0,"",IF(('Dvd Calendar'!$AI$2345&gt;=MIN(DATE(Summary!$C$12,1,1),Summary!$C$11))*('Dvd Calendar'!$AI$2345&lt;=MAX(DATE(Summary!$C$12,12,31),Summary!$C$15))*('Dvd Calendar'!$AI$2345&lt;=Summary!$C$11)=0,"",'Dvd Calendar'!$AI$2345*1000000000+ISNUMBER('Dvd Calendar'!$AI$2346)*100000000+('Dvd Calendar'!$AI$2350='Field Check'!$C$25)*10000000+(N('Dvd Calendar'!$AI$2344)&gt;0)*1000000+16*1000+31))</f>
        <v/>
      </c>
      <c r="AH172" s="41">
        <f>IF(N('Dvd Calendar'!$AJ$2345)=0,"",IF(('Dvd Calendar'!$AJ$2345&gt;=MIN(DATE(Summary!$C$12,1,1),Summary!$C$11))*('Dvd Calendar'!$AJ$2345&lt;=MAX(DATE(Summary!$C$12,12,31),Summary!$C$15))*('Dvd Calendar'!$AJ$2345&lt;=Summary!$C$11)=0,"",'Dvd Calendar'!$AJ$2345*1000000000+ISNUMBER('Dvd Calendar'!$AJ$2346)*100000000+('Dvd Calendar'!$AJ$2350='Field Check'!$C$25)*10000000+(N('Dvd Calendar'!$AJ$2344)&gt;0)*1000000+16*1000+32))</f>
        <v/>
      </c>
      <c r="AI172" s="41">
        <f>IF(N('Dvd Calendar'!$AK$2345)=0,"",IF(('Dvd Calendar'!$AK$2345&gt;=MIN(DATE(Summary!$C$12,1,1),Summary!$C$11))*('Dvd Calendar'!$AK$2345&lt;=MAX(DATE(Summary!$C$12,12,31),Summary!$C$15))*('Dvd Calendar'!$AK$2345&lt;=Summary!$C$11)=0,"",'Dvd Calendar'!$AK$2345*1000000000+ISNUMBER('Dvd Calendar'!$AK$2346)*100000000+('Dvd Calendar'!$AK$2350='Field Check'!$C$25)*10000000+(N('Dvd Calendar'!$AK$2344)&gt;0)*1000000+16*1000+33))</f>
        <v/>
      </c>
      <c r="AJ172" s="41">
        <f>IF(N('Dvd Calendar'!$AL$2345)=0,"",IF(('Dvd Calendar'!$AL$2345&gt;=MIN(DATE(Summary!$C$12,1,1),Summary!$C$11))*('Dvd Calendar'!$AL$2345&lt;=MAX(DATE(Summary!$C$12,12,31),Summary!$C$15))*('Dvd Calendar'!$AL$2345&lt;=Summary!$C$11)=0,"",'Dvd Calendar'!$AL$2345*1000000000+ISNUMBER('Dvd Calendar'!$AL$2346)*100000000+('Dvd Calendar'!$AL$2350='Field Check'!$C$25)*10000000+(N('Dvd Calendar'!$AL$2344)&gt;0)*1000000+16*1000+34))</f>
        <v/>
      </c>
      <c r="AK172" s="41">
        <f>IF(N('Dvd Calendar'!$AM$2345)=0,"",IF(('Dvd Calendar'!$AM$2345&gt;=MIN(DATE(Summary!$C$12,1,1),Summary!$C$11))*('Dvd Calendar'!$AM$2345&lt;=MAX(DATE(Summary!$C$12,12,31),Summary!$C$15))*('Dvd Calendar'!$AM$2345&lt;=Summary!$C$11)=0,"",'Dvd Calendar'!$AM$2345*1000000000+ISNUMBER('Dvd Calendar'!$AM$2346)*100000000+('Dvd Calendar'!$AM$2350='Field Check'!$C$25)*10000000+(N('Dvd Calendar'!$AM$2344)&gt;0)*1000000+16*1000+35))</f>
        <v/>
      </c>
      <c r="AL172" s="41">
        <f>IF(N('Dvd Calendar'!$AN$2345)=0,"",IF(('Dvd Calendar'!$AN$2345&gt;=MIN(DATE(Summary!$C$12,1,1),Summary!$C$11))*('Dvd Calendar'!$AN$2345&lt;=MAX(DATE(Summary!$C$12,12,31),Summary!$C$15))*('Dvd Calendar'!$AN$2345&lt;=Summary!$C$11)=0,"",'Dvd Calendar'!$AN$2345*1000000000+ISNUMBER('Dvd Calendar'!$AN$2346)*100000000+('Dvd Calendar'!$AN$2350='Field Check'!$C$25)*10000000+(N('Dvd Calendar'!$AN$2344)&gt;0)*1000000+16*1000+36))</f>
        <v/>
      </c>
      <c r="AM172" s="41">
        <f>IF(N('Dvd Calendar'!$AO$2345)=0,"",IF(('Dvd Calendar'!$AO$2345&gt;=MIN(DATE(Summary!$C$12,1,1),Summary!$C$11))*('Dvd Calendar'!$AO$2345&lt;=MAX(DATE(Summary!$C$12,12,31),Summary!$C$15))*('Dvd Calendar'!$AO$2345&lt;=Summary!$C$11)=0,"",'Dvd Calendar'!$AO$2345*1000000000+ISNUMBER('Dvd Calendar'!$AO$2346)*100000000+('Dvd Calendar'!$AO$2350='Field Check'!$C$25)*10000000+(N('Dvd Calendar'!$AO$2344)&gt;0)*1000000+16*1000+37))</f>
        <v/>
      </c>
      <c r="AN172" s="41">
        <f>IF(N('Dvd Calendar'!$AP$2345)=0,"",IF(('Dvd Calendar'!$AP$2345&gt;=MIN(DATE(Summary!$C$12,1,1),Summary!$C$11))*('Dvd Calendar'!$AP$2345&lt;=MAX(DATE(Summary!$C$12,12,31),Summary!$C$15))*('Dvd Calendar'!$AP$2345&lt;=Summary!$C$11)=0,"",'Dvd Calendar'!$AP$2345*1000000000+ISNUMBER('Dvd Calendar'!$AP$2346)*100000000+('Dvd Calendar'!$AP$2350='Field Check'!$C$25)*10000000+(N('Dvd Calendar'!$AP$2344)&gt;0)*1000000+16*1000+38))</f>
        <v/>
      </c>
      <c r="AO172" s="41">
        <f>IF(N('Dvd Calendar'!$AQ$2345)=0,"",IF(('Dvd Calendar'!$AQ$2345&gt;=MIN(DATE(Summary!$C$12,1,1),Summary!$C$11))*('Dvd Calendar'!$AQ$2345&lt;=MAX(DATE(Summary!$C$12,12,31),Summary!$C$15))*('Dvd Calendar'!$AQ$2345&lt;=Summary!$C$11)=0,"",'Dvd Calendar'!$AQ$2345*1000000000+ISNUMBER('Dvd Calendar'!$AQ$2346)*100000000+('Dvd Calendar'!$AQ$2350='Field Check'!$C$25)*10000000+(N('Dvd Calendar'!$AQ$2344)&gt;0)*1000000+16*1000+39))</f>
        <v/>
      </c>
      <c r="AP172" s="41">
        <f>IF(N('Dvd Calendar'!$AR$2345)=0,"",IF(('Dvd Calendar'!$AR$2345&gt;=MIN(DATE(Summary!$C$12,1,1),Summary!$C$11))*('Dvd Calendar'!$AR$2345&lt;=MAX(DATE(Summary!$C$12,12,31),Summary!$C$15))*('Dvd Calendar'!$AR$2345&lt;=Summary!$C$11)=0,"",'Dvd Calendar'!$AR$2345*1000000000+ISNUMBER('Dvd Calendar'!$AR$2346)*100000000+('Dvd Calendar'!$AR$2350='Field Check'!$C$25)*10000000+(N('Dvd Calendar'!$AR$2344)&gt;0)*1000000+16*1000+40))</f>
        <v/>
      </c>
      <c r="AQ172" s="41">
        <f>IF(N('Dvd Calendar'!$E$2352)=0,"",IF(('Dvd Calendar'!$E$2352&gt;=MIN(DATE(Summary!$C$12,1,1),Summary!$C$11))*('Dvd Calendar'!$E$2352&lt;=MAX(DATE(Summary!$C$12,12,31),Summary!$C$15))*('Dvd Calendar'!$E$2352&gt;Summary!$C$11)=0,"",'Dvd Calendar'!$E$2352*1000000000+ISNUMBER('Dvd Calendar'!$E$2353)*100000000+('Dvd Calendar'!$E$2357='Field Check'!$C$25)*10000000+(N('Dvd Calendar'!$E$2351)&gt;0)*1000000+16*1000+41))</f>
        <v/>
      </c>
      <c r="AR172" s="41">
        <f>IF(N('Dvd Calendar'!$F$2352)=0,"",IF(('Dvd Calendar'!$F$2352&gt;=MIN(DATE(Summary!$C$12,1,1),Summary!$C$11))*('Dvd Calendar'!$F$2352&lt;=MAX(DATE(Summary!$C$12,12,31),Summary!$C$15))*('Dvd Calendar'!$F$2352&gt;Summary!$C$11)=0,"",'Dvd Calendar'!$F$2352*1000000000+ISNUMBER('Dvd Calendar'!$F$2353)*100000000+('Dvd Calendar'!$F$2357='Field Check'!$C$25)*10000000+(N('Dvd Calendar'!$F$2351)&gt;0)*1000000+16*1000+42))</f>
        <v/>
      </c>
      <c r="AS172" s="41">
        <f>IF(N('Dvd Calendar'!$G$2352)=0,"",IF(('Dvd Calendar'!$G$2352&gt;=MIN(DATE(Summary!$C$12,1,1),Summary!$C$11))*('Dvd Calendar'!$G$2352&lt;=MAX(DATE(Summary!$C$12,12,31),Summary!$C$15))*('Dvd Calendar'!$G$2352&gt;Summary!$C$11)=0,"",'Dvd Calendar'!$G$2352*1000000000+ISNUMBER('Dvd Calendar'!$G$2353)*100000000+('Dvd Calendar'!$G$2357='Field Check'!$C$25)*10000000+(N('Dvd Calendar'!$G$2351)&gt;0)*1000000+16*1000+43))</f>
        <v/>
      </c>
      <c r="AT172" s="41">
        <f>IF(N('Dvd Calendar'!$H$2352)=0,"",IF(('Dvd Calendar'!$H$2352&gt;=MIN(DATE(Summary!$C$12,1,1),Summary!$C$11))*('Dvd Calendar'!$H$2352&lt;=MAX(DATE(Summary!$C$12,12,31),Summary!$C$15))*('Dvd Calendar'!$H$2352&gt;Summary!$C$11)=0,"",'Dvd Calendar'!$H$2352*1000000000+ISNUMBER('Dvd Calendar'!$H$2353)*100000000+('Dvd Calendar'!$H$2357='Field Check'!$C$25)*10000000+(N('Dvd Calendar'!$H$2351)&gt;0)*1000000+16*1000+44))</f>
        <v/>
      </c>
      <c r="AU172" s="41">
        <f>IF(N('Dvd Calendar'!$I$2352)=0,"",IF(('Dvd Calendar'!$I$2352&gt;=MIN(DATE(Summary!$C$12,1,1),Summary!$C$11))*('Dvd Calendar'!$I$2352&lt;=MAX(DATE(Summary!$C$12,12,31),Summary!$C$15))*('Dvd Calendar'!$I$2352&gt;Summary!$C$11)=0,"",'Dvd Calendar'!$I$2352*1000000000+ISNUMBER('Dvd Calendar'!$I$2353)*100000000+('Dvd Calendar'!$I$2357='Field Check'!$C$25)*10000000+(N('Dvd Calendar'!$I$2351)&gt;0)*1000000+16*1000+45))</f>
        <v/>
      </c>
      <c r="AV172" s="41">
        <f>IF(N('Dvd Calendar'!$J$2352)=0,"",IF(('Dvd Calendar'!$J$2352&gt;=MIN(DATE(Summary!$C$12,1,1),Summary!$C$11))*('Dvd Calendar'!$J$2352&lt;=MAX(DATE(Summary!$C$12,12,31),Summary!$C$15))*('Dvd Calendar'!$J$2352&gt;Summary!$C$11)=0,"",'Dvd Calendar'!$J$2352*1000000000+ISNUMBER('Dvd Calendar'!$J$2353)*100000000+('Dvd Calendar'!$J$2357='Field Check'!$C$25)*10000000+(N('Dvd Calendar'!$J$2351)&gt;0)*1000000+16*1000+46))</f>
        <v/>
      </c>
      <c r="AW172" s="41">
        <f>IF(N('Dvd Calendar'!$K$2352)=0,"",IF(('Dvd Calendar'!$K$2352&gt;=MIN(DATE(Summary!$C$12,1,1),Summary!$C$11))*('Dvd Calendar'!$K$2352&lt;=MAX(DATE(Summary!$C$12,12,31),Summary!$C$15))*('Dvd Calendar'!$K$2352&gt;Summary!$C$11)=0,"",'Dvd Calendar'!$K$2352*1000000000+ISNUMBER('Dvd Calendar'!$K$2353)*100000000+('Dvd Calendar'!$K$2357='Field Check'!$C$25)*10000000+(N('Dvd Calendar'!$K$2351)&gt;0)*1000000+16*1000+47))</f>
        <v/>
      </c>
      <c r="AX172" s="41">
        <f>IF(N('Dvd Calendar'!$L$2352)=0,"",IF(('Dvd Calendar'!$L$2352&gt;=MIN(DATE(Summary!$C$12,1,1),Summary!$C$11))*('Dvd Calendar'!$L$2352&lt;=MAX(DATE(Summary!$C$12,12,31),Summary!$C$15))*('Dvd Calendar'!$L$2352&gt;Summary!$C$11)=0,"",'Dvd Calendar'!$L$2352*1000000000+ISNUMBER('Dvd Calendar'!$L$2353)*100000000+('Dvd Calendar'!$L$2357='Field Check'!$C$25)*10000000+(N('Dvd Calendar'!$L$2351)&gt;0)*1000000+16*1000+48))</f>
        <v/>
      </c>
      <c r="AY172" s="41">
        <f>IF(N('Dvd Calendar'!$M$2352)=0,"",IF(('Dvd Calendar'!$M$2352&gt;=MIN(DATE(Summary!$C$12,1,1),Summary!$C$11))*('Dvd Calendar'!$M$2352&lt;=MAX(DATE(Summary!$C$12,12,31),Summary!$C$15))*('Dvd Calendar'!$M$2352&gt;Summary!$C$11)=0,"",'Dvd Calendar'!$M$2352*1000000000+ISNUMBER('Dvd Calendar'!$M$2353)*100000000+('Dvd Calendar'!$M$2357='Field Check'!$C$25)*10000000+(N('Dvd Calendar'!$M$2351)&gt;0)*1000000+16*1000+49))</f>
        <v/>
      </c>
      <c r="AZ172" s="41">
        <f>IF(N('Dvd Calendar'!$N$2352)=0,"",IF(('Dvd Calendar'!$N$2352&gt;=MIN(DATE(Summary!$C$12,1,1),Summary!$C$11))*('Dvd Calendar'!$N$2352&lt;=MAX(DATE(Summary!$C$12,12,31),Summary!$C$15))*('Dvd Calendar'!$N$2352&gt;Summary!$C$11)=0,"",'Dvd Calendar'!$N$2352*1000000000+ISNUMBER('Dvd Calendar'!$N$2353)*100000000+('Dvd Calendar'!$N$2357='Field Check'!$C$25)*10000000+(N('Dvd Calendar'!$N$2351)&gt;0)*1000000+16*1000+50))</f>
        <v/>
      </c>
      <c r="BA172" s="41">
        <f>IF(N('Dvd Calendar'!$O$2352)=0,"",IF(('Dvd Calendar'!$O$2352&gt;=MIN(DATE(Summary!$C$12,1,1),Summary!$C$11))*('Dvd Calendar'!$O$2352&lt;=MAX(DATE(Summary!$C$12,12,31),Summary!$C$15))*('Dvd Calendar'!$O$2352&gt;Summary!$C$11)=0,"",'Dvd Calendar'!$O$2352*1000000000+ISNUMBER('Dvd Calendar'!$O$2353)*100000000+('Dvd Calendar'!$O$2357='Field Check'!$C$25)*10000000+(N('Dvd Calendar'!$O$2351)&gt;0)*1000000+16*1000+51))</f>
        <v/>
      </c>
      <c r="BB172" s="41">
        <f>IF(N('Dvd Calendar'!$P$2352)=0,"",IF(('Dvd Calendar'!$P$2352&gt;=MIN(DATE(Summary!$C$12,1,1),Summary!$C$11))*('Dvd Calendar'!$P$2352&lt;=MAX(DATE(Summary!$C$12,12,31),Summary!$C$15))*('Dvd Calendar'!$P$2352&gt;Summary!$C$11)=0,"",'Dvd Calendar'!$P$2352*1000000000+ISNUMBER('Dvd Calendar'!$P$2353)*100000000+('Dvd Calendar'!$P$2357='Field Check'!$C$25)*10000000+(N('Dvd Calendar'!$P$2351)&gt;0)*1000000+16*1000+52))</f>
        <v/>
      </c>
      <c r="BC172" s="41">
        <f>IF(N('Dvd Calendar'!$Q$2352)=0,"",IF(('Dvd Calendar'!$Q$2352&gt;=MIN(DATE(Summary!$C$12,1,1),Summary!$C$11))*('Dvd Calendar'!$Q$2352&lt;=MAX(DATE(Summary!$C$12,12,31),Summary!$C$15))*('Dvd Calendar'!$Q$2352&gt;Summary!$C$11)=0,"",'Dvd Calendar'!$Q$2352*1000000000+ISNUMBER('Dvd Calendar'!$Q$2353)*100000000+('Dvd Calendar'!$Q$2357='Field Check'!$C$25)*10000000+(N('Dvd Calendar'!$Q$2351)&gt;0)*1000000+16*1000+53))</f>
        <v/>
      </c>
      <c r="BD172" s="41">
        <f>IF(N('Dvd Calendar'!$R$2352)=0,"",IF(('Dvd Calendar'!$R$2352&gt;=MIN(DATE(Summary!$C$12,1,1),Summary!$C$11))*('Dvd Calendar'!$R$2352&lt;=MAX(DATE(Summary!$C$12,12,31),Summary!$C$15))*('Dvd Calendar'!$R$2352&gt;Summary!$C$11)=0,"",'Dvd Calendar'!$R$2352*1000000000+ISNUMBER('Dvd Calendar'!$R$2353)*100000000+('Dvd Calendar'!$R$2357='Field Check'!$C$25)*10000000+(N('Dvd Calendar'!$R$2351)&gt;0)*1000000+16*1000+54))</f>
        <v/>
      </c>
      <c r="BE172" s="41">
        <f>IF(N('Dvd Calendar'!$S$2352)=0,"",IF(('Dvd Calendar'!$S$2352&gt;=MIN(DATE(Summary!$C$12,1,1),Summary!$C$11))*('Dvd Calendar'!$S$2352&lt;=MAX(DATE(Summary!$C$12,12,31),Summary!$C$15))*('Dvd Calendar'!$S$2352&gt;Summary!$C$11)=0,"",'Dvd Calendar'!$S$2352*1000000000+ISNUMBER('Dvd Calendar'!$S$2353)*100000000+('Dvd Calendar'!$S$2357='Field Check'!$C$25)*10000000+(N('Dvd Calendar'!$S$2351)&gt;0)*1000000+16*1000+55))</f>
        <v/>
      </c>
      <c r="BF172" s="41">
        <f>IF(N('Dvd Calendar'!$T$2352)=0,"",IF(('Dvd Calendar'!$T$2352&gt;=MIN(DATE(Summary!$C$12,1,1),Summary!$C$11))*('Dvd Calendar'!$T$2352&lt;=MAX(DATE(Summary!$C$12,12,31),Summary!$C$15))*('Dvd Calendar'!$T$2352&gt;Summary!$C$11)=0,"",'Dvd Calendar'!$T$2352*1000000000+ISNUMBER('Dvd Calendar'!$T$2353)*100000000+('Dvd Calendar'!$T$2357='Field Check'!$C$25)*10000000+(N('Dvd Calendar'!$T$2351)&gt;0)*1000000+16*1000+56))</f>
        <v/>
      </c>
      <c r="BG172" s="41">
        <f>IF(N('Dvd Calendar'!$U$2352)=0,"",IF(('Dvd Calendar'!$U$2352&gt;=MIN(DATE(Summary!$C$12,1,1),Summary!$C$11))*('Dvd Calendar'!$U$2352&lt;=MAX(DATE(Summary!$C$12,12,31),Summary!$C$15))*('Dvd Calendar'!$U$2352&gt;Summary!$C$11)=0,"",'Dvd Calendar'!$U$2352*1000000000+ISNUMBER('Dvd Calendar'!$U$2353)*100000000+('Dvd Calendar'!$U$2357='Field Check'!$C$25)*10000000+(N('Dvd Calendar'!$U$2351)&gt;0)*1000000+16*1000+57))</f>
        <v/>
      </c>
      <c r="BH172" s="41">
        <f>IF(N('Dvd Calendar'!$V$2352)=0,"",IF(('Dvd Calendar'!$V$2352&gt;=MIN(DATE(Summary!$C$12,1,1),Summary!$C$11))*('Dvd Calendar'!$V$2352&lt;=MAX(DATE(Summary!$C$12,12,31),Summary!$C$15))*('Dvd Calendar'!$V$2352&gt;Summary!$C$11)=0,"",'Dvd Calendar'!$V$2352*1000000000+ISNUMBER('Dvd Calendar'!$V$2353)*100000000+('Dvd Calendar'!$V$2357='Field Check'!$C$25)*10000000+(N('Dvd Calendar'!$V$2351)&gt;0)*1000000+16*1000+58))</f>
        <v/>
      </c>
      <c r="BI172" s="41">
        <f>IF(N('Dvd Calendar'!$W$2352)=0,"",IF(('Dvd Calendar'!$W$2352&gt;=MIN(DATE(Summary!$C$12,1,1),Summary!$C$11))*('Dvd Calendar'!$W$2352&lt;=MAX(DATE(Summary!$C$12,12,31),Summary!$C$15))*('Dvd Calendar'!$W$2352&gt;Summary!$C$11)=0,"",'Dvd Calendar'!$W$2352*1000000000+ISNUMBER('Dvd Calendar'!$W$2353)*100000000+('Dvd Calendar'!$W$2357='Field Check'!$C$25)*10000000+(N('Dvd Calendar'!$W$2351)&gt;0)*1000000+16*1000+59))</f>
        <v/>
      </c>
      <c r="BJ172" s="41">
        <f>IF(N('Dvd Calendar'!$X$2352)=0,"",IF(('Dvd Calendar'!$X$2352&gt;=MIN(DATE(Summary!$C$12,1,1),Summary!$C$11))*('Dvd Calendar'!$X$2352&lt;=MAX(DATE(Summary!$C$12,12,31),Summary!$C$15))*('Dvd Calendar'!$X$2352&gt;Summary!$C$11)=0,"",'Dvd Calendar'!$X$2352*1000000000+ISNUMBER('Dvd Calendar'!$X$2353)*100000000+('Dvd Calendar'!$X$2357='Field Check'!$C$25)*10000000+(N('Dvd Calendar'!$X$2351)&gt;0)*1000000+16*1000+60))</f>
        <v/>
      </c>
      <c r="BK172" s="41">
        <f>IF(N('Dvd Calendar'!$Y$2352)=0,"",IF(('Dvd Calendar'!$Y$2352&gt;=MIN(DATE(Summary!$C$12,1,1),Summary!$C$11))*('Dvd Calendar'!$Y$2352&lt;=MAX(DATE(Summary!$C$12,12,31),Summary!$C$15))*('Dvd Calendar'!$Y$2352&gt;Summary!$C$11)=0,"",'Dvd Calendar'!$Y$2352*1000000000+ISNUMBER('Dvd Calendar'!$Y$2353)*100000000+('Dvd Calendar'!$Y$2357='Field Check'!$C$25)*10000000+(N('Dvd Calendar'!$Y$2351)&gt;0)*1000000+16*1000+61))</f>
        <v/>
      </c>
      <c r="BL172" s="41">
        <f>IF(N('Dvd Calendar'!$Z$2352)=0,"",IF(('Dvd Calendar'!$Z$2352&gt;=MIN(DATE(Summary!$C$12,1,1),Summary!$C$11))*('Dvd Calendar'!$Z$2352&lt;=MAX(DATE(Summary!$C$12,12,31),Summary!$C$15))*('Dvd Calendar'!$Z$2352&gt;Summary!$C$11)=0,"",'Dvd Calendar'!$Z$2352*1000000000+ISNUMBER('Dvd Calendar'!$Z$2353)*100000000+('Dvd Calendar'!$Z$2357='Field Check'!$C$25)*10000000+(N('Dvd Calendar'!$Z$2351)&gt;0)*1000000+16*1000+62))</f>
        <v/>
      </c>
      <c r="BM172" s="41">
        <f>IF(N('Dvd Calendar'!$AA$2352)=0,"",IF(('Dvd Calendar'!$AA$2352&gt;=MIN(DATE(Summary!$C$12,1,1),Summary!$C$11))*('Dvd Calendar'!$AA$2352&lt;=MAX(DATE(Summary!$C$12,12,31),Summary!$C$15))*('Dvd Calendar'!$AA$2352&gt;Summary!$C$11)=0,"",'Dvd Calendar'!$AA$2352*1000000000+ISNUMBER('Dvd Calendar'!$AA$2353)*100000000+('Dvd Calendar'!$AA$2357='Field Check'!$C$25)*10000000+(N('Dvd Calendar'!$AA$2351)&gt;0)*1000000+16*1000+63))</f>
        <v/>
      </c>
      <c r="BN172" s="41">
        <f>IF(N('Dvd Calendar'!$AB$2352)=0,"",IF(('Dvd Calendar'!$AB$2352&gt;=MIN(DATE(Summary!$C$12,1,1),Summary!$C$11))*('Dvd Calendar'!$AB$2352&lt;=MAX(DATE(Summary!$C$12,12,31),Summary!$C$15))*('Dvd Calendar'!$AB$2352&gt;Summary!$C$11)=0,"",'Dvd Calendar'!$AB$2352*1000000000+ISNUMBER('Dvd Calendar'!$AB$2353)*100000000+('Dvd Calendar'!$AB$2357='Field Check'!$C$25)*10000000+(N('Dvd Calendar'!$AB$2351)&gt;0)*1000000+16*1000+64))</f>
        <v/>
      </c>
      <c r="BO172" s="41">
        <f>IF(N('Dvd Calendar'!$AC$2352)=0,"",IF(('Dvd Calendar'!$AC$2352&gt;=MIN(DATE(Summary!$C$12,1,1),Summary!$C$11))*('Dvd Calendar'!$AC$2352&lt;=MAX(DATE(Summary!$C$12,12,31),Summary!$C$15))*('Dvd Calendar'!$AC$2352&gt;Summary!$C$11)=0,"",'Dvd Calendar'!$AC$2352*1000000000+ISNUMBER('Dvd Calendar'!$AC$2353)*100000000+('Dvd Calendar'!$AC$2357='Field Check'!$C$25)*10000000+(N('Dvd Calendar'!$AC$2351)&gt;0)*1000000+16*1000+65))</f>
        <v/>
      </c>
      <c r="BQ172" s="85">
        <f>IF(C172="","",IF(ISNUMBER('Dvd Calendar'!$E$2346)=FALSE,"",IF((Summary!$C$13="N")*('Dvd Calendar'!$E$2350='Field Check'!$C$25)&gt;0,"",'Dvd Calendar'!$E$2346)))</f>
        <v/>
      </c>
      <c r="BR172" s="85">
        <f>IF(D172="","",IF(ISNUMBER('Dvd Calendar'!$F$2346)=FALSE,"",IF((Summary!$C$13="N")*('Dvd Calendar'!$F$2350='Field Check'!$C$25)&gt;0,"",'Dvd Calendar'!$F$2346)))</f>
        <v/>
      </c>
      <c r="BS172" s="85">
        <f>IF(E172="","",IF(ISNUMBER('Dvd Calendar'!$G$2346)=FALSE,"",IF((Summary!$C$13="N")*('Dvd Calendar'!$G$2350='Field Check'!$C$25)&gt;0,"",'Dvd Calendar'!$G$2346)))</f>
        <v/>
      </c>
      <c r="BT172" s="85">
        <f>IF(F172="","",IF(ISNUMBER('Dvd Calendar'!$H$2346)=FALSE,"",IF((Summary!$C$13="N")*('Dvd Calendar'!$H$2350='Field Check'!$C$25)&gt;0,"",'Dvd Calendar'!$H$2346)))</f>
        <v/>
      </c>
      <c r="BU172" s="85">
        <f>IF(G172="","",IF(ISNUMBER('Dvd Calendar'!$I$2346)=FALSE,"",IF((Summary!$C$13="N")*('Dvd Calendar'!$I$2350='Field Check'!$C$25)&gt;0,"",'Dvd Calendar'!$I$2346)))</f>
        <v/>
      </c>
      <c r="BV172" s="85">
        <f>IF(H172="","",IF(ISNUMBER('Dvd Calendar'!$J$2346)=FALSE,"",IF((Summary!$C$13="N")*('Dvd Calendar'!$J$2350='Field Check'!$C$25)&gt;0,"",'Dvd Calendar'!$J$2346)))</f>
        <v/>
      </c>
      <c r="BW172" s="85">
        <f>IF(I172="","",IF(ISNUMBER('Dvd Calendar'!$K$2346)=FALSE,"",IF((Summary!$C$13="N")*('Dvd Calendar'!$K$2350='Field Check'!$C$25)&gt;0,"",'Dvd Calendar'!$K$2346)))</f>
        <v/>
      </c>
      <c r="BX172" s="85">
        <f>IF(J172="","",IF(ISNUMBER('Dvd Calendar'!$L$2346)=FALSE,"",IF((Summary!$C$13="N")*('Dvd Calendar'!$L$2350='Field Check'!$C$25)&gt;0,"",'Dvd Calendar'!$L$2346)))</f>
        <v/>
      </c>
      <c r="BY172" s="85">
        <f>IF(K172="","",IF(ISNUMBER('Dvd Calendar'!$M$2346)=FALSE,"",IF((Summary!$C$13="N")*('Dvd Calendar'!$M$2350='Field Check'!$C$25)&gt;0,"",'Dvd Calendar'!$M$2346)))</f>
        <v/>
      </c>
      <c r="BZ172" s="85">
        <f>IF(L172="","",IF(ISNUMBER('Dvd Calendar'!$N$2346)=FALSE,"",IF((Summary!$C$13="N")*('Dvd Calendar'!$N$2350='Field Check'!$C$25)&gt;0,"",'Dvd Calendar'!$N$2346)))</f>
        <v/>
      </c>
      <c r="CA172" s="85">
        <f>IF(M172="","",IF(ISNUMBER('Dvd Calendar'!$O$2346)=FALSE,"",IF((Summary!$C$13="N")*('Dvd Calendar'!$O$2350='Field Check'!$C$25)&gt;0,"",'Dvd Calendar'!$O$2346)))</f>
        <v/>
      </c>
      <c r="CB172" s="85">
        <f>IF(N172="","",IF(ISNUMBER('Dvd Calendar'!$P$2346)=FALSE,"",IF((Summary!$C$13="N")*('Dvd Calendar'!$P$2350='Field Check'!$C$25)&gt;0,"",'Dvd Calendar'!$P$2346)))</f>
        <v/>
      </c>
      <c r="CC172" s="85">
        <f>IF(O172="","",IF(ISNUMBER('Dvd Calendar'!$Q$2346)=FALSE,"",IF((Summary!$C$13="N")*('Dvd Calendar'!$Q$2350='Field Check'!$C$25)&gt;0,"",'Dvd Calendar'!$Q$2346)))</f>
        <v/>
      </c>
      <c r="CD172" s="85">
        <f>IF(P172="","",IF(ISNUMBER('Dvd Calendar'!$R$2346)=FALSE,"",IF((Summary!$C$13="N")*('Dvd Calendar'!$R$2350='Field Check'!$C$25)&gt;0,"",'Dvd Calendar'!$R$2346)))</f>
        <v/>
      </c>
      <c r="CE172" s="85">
        <f>IF(Q172="","",IF(ISNUMBER('Dvd Calendar'!$S$2346)=FALSE,"",IF((Summary!$C$13="N")*('Dvd Calendar'!$S$2350='Field Check'!$C$25)&gt;0,"",'Dvd Calendar'!$S$2346)))</f>
        <v/>
      </c>
      <c r="CF172" s="85">
        <f>IF(R172="","",IF(ISNUMBER('Dvd Calendar'!$T$2346)=FALSE,"",IF((Summary!$C$13="N")*('Dvd Calendar'!$T$2350='Field Check'!$C$25)&gt;0,"",'Dvd Calendar'!$T$2346)))</f>
        <v/>
      </c>
      <c r="CG172" s="85">
        <f>IF(S172="","",IF(ISNUMBER('Dvd Calendar'!$U$2346)=FALSE,"",IF((Summary!$C$13="N")*('Dvd Calendar'!$U$2350='Field Check'!$C$25)&gt;0,"",'Dvd Calendar'!$U$2346)))</f>
        <v/>
      </c>
      <c r="CH172" s="85">
        <f>IF(T172="","",IF(ISNUMBER('Dvd Calendar'!$V$2346)=FALSE,"",IF((Summary!$C$13="N")*('Dvd Calendar'!$V$2350='Field Check'!$C$25)&gt;0,"",'Dvd Calendar'!$V$2346)))</f>
        <v/>
      </c>
      <c r="CI172" s="85">
        <f>IF(U172="","",IF(ISNUMBER('Dvd Calendar'!$W$2346)=FALSE,"",IF((Summary!$C$13="N")*('Dvd Calendar'!$W$2350='Field Check'!$C$25)&gt;0,"",'Dvd Calendar'!$W$2346)))</f>
        <v/>
      </c>
      <c r="CJ172" s="85">
        <f>IF(V172="","",IF(ISNUMBER('Dvd Calendar'!$X$2346)=FALSE,"",IF((Summary!$C$13="N")*('Dvd Calendar'!$X$2350='Field Check'!$C$25)&gt;0,"",'Dvd Calendar'!$X$2346)))</f>
        <v/>
      </c>
      <c r="CK172" s="85">
        <f>IF(W172="","",IF(ISNUMBER('Dvd Calendar'!$Y$2346)=FALSE,"",IF((Summary!$C$13="N")*('Dvd Calendar'!$Y$2350='Field Check'!$C$25)&gt;0,"",'Dvd Calendar'!$Y$2346)))</f>
        <v/>
      </c>
      <c r="CL172" s="85">
        <f>IF(X172="","",IF(ISNUMBER('Dvd Calendar'!$Z$2346)=FALSE,"",IF((Summary!$C$13="N")*('Dvd Calendar'!$Z$2350='Field Check'!$C$25)&gt;0,"",'Dvd Calendar'!$Z$2346)))</f>
        <v/>
      </c>
      <c r="CM172" s="85">
        <f>IF(Y172="","",IF(ISNUMBER('Dvd Calendar'!$AA$2346)=FALSE,"",IF((Summary!$C$13="N")*('Dvd Calendar'!$AA$2350='Field Check'!$C$25)&gt;0,"",'Dvd Calendar'!$AA$2346)))</f>
        <v/>
      </c>
      <c r="CN172" s="85">
        <f>IF(Z172="","",IF(ISNUMBER('Dvd Calendar'!$AB$2346)=FALSE,"",IF((Summary!$C$13="N")*('Dvd Calendar'!$AB$2350='Field Check'!$C$25)&gt;0,"",'Dvd Calendar'!$AB$2346)))</f>
        <v/>
      </c>
      <c r="CO172" s="85">
        <f>IF(AA172="","",IF(ISNUMBER('Dvd Calendar'!$AC$2346)=FALSE,"",IF((Summary!$C$13="N")*('Dvd Calendar'!$AC$2350='Field Check'!$C$25)&gt;0,"",'Dvd Calendar'!$AC$2346)))</f>
        <v/>
      </c>
      <c r="CP172" s="85">
        <f>IF(AB172="","",IF(ISNUMBER('Dvd Calendar'!$AD$2346)=FALSE,"",IF((Summary!$C$13="N")*('Dvd Calendar'!$AD$2350='Field Check'!$C$25)&gt;0,"",'Dvd Calendar'!$AD$2346)))</f>
        <v/>
      </c>
      <c r="CQ172" s="85">
        <f>IF(AC172="","",IF(ISNUMBER('Dvd Calendar'!$AE$2346)=FALSE,"",IF((Summary!$C$13="N")*('Dvd Calendar'!$AE$2350='Field Check'!$C$25)&gt;0,"",'Dvd Calendar'!$AE$2346)))</f>
        <v/>
      </c>
      <c r="CR172" s="85">
        <f>IF(AD172="","",IF(ISNUMBER('Dvd Calendar'!$AF$2346)=FALSE,"",IF((Summary!$C$13="N")*('Dvd Calendar'!$AF$2350='Field Check'!$C$25)&gt;0,"",'Dvd Calendar'!$AF$2346)))</f>
        <v/>
      </c>
      <c r="CS172" s="85">
        <f>IF(AE172="","",IF(ISNUMBER('Dvd Calendar'!$AG$2346)=FALSE,"",IF((Summary!$C$13="N")*('Dvd Calendar'!$AG$2350='Field Check'!$C$25)&gt;0,"",'Dvd Calendar'!$AG$2346)))</f>
        <v/>
      </c>
      <c r="CT172" s="85">
        <f>IF(AF172="","",IF(ISNUMBER('Dvd Calendar'!$AH$2346)=FALSE,"",IF((Summary!$C$13="N")*('Dvd Calendar'!$AH$2350='Field Check'!$C$25)&gt;0,"",'Dvd Calendar'!$AH$2346)))</f>
        <v/>
      </c>
      <c r="CU172" s="85">
        <f>IF(AG172="","",IF(ISNUMBER('Dvd Calendar'!$AI$2346)=FALSE,"",IF((Summary!$C$13="N")*('Dvd Calendar'!$AI$2350='Field Check'!$C$25)&gt;0,"",'Dvd Calendar'!$AI$2346)))</f>
        <v/>
      </c>
      <c r="CV172" s="85">
        <f>IF(AH172="","",IF(ISNUMBER('Dvd Calendar'!$AJ$2346)=FALSE,"",IF((Summary!$C$13="N")*('Dvd Calendar'!$AJ$2350='Field Check'!$C$25)&gt;0,"",'Dvd Calendar'!$AJ$2346)))</f>
        <v/>
      </c>
      <c r="CW172" s="85">
        <f>IF(AI172="","",IF(ISNUMBER('Dvd Calendar'!$AK$2346)=FALSE,"",IF((Summary!$C$13="N")*('Dvd Calendar'!$AK$2350='Field Check'!$C$25)&gt;0,"",'Dvd Calendar'!$AK$2346)))</f>
        <v/>
      </c>
      <c r="CX172" s="85">
        <f>IF(AJ172="","",IF(ISNUMBER('Dvd Calendar'!$AL$2346)=FALSE,"",IF((Summary!$C$13="N")*('Dvd Calendar'!$AL$2350='Field Check'!$C$25)&gt;0,"",'Dvd Calendar'!$AL$2346)))</f>
        <v/>
      </c>
      <c r="CY172" s="85">
        <f>IF(AK172="","",IF(ISNUMBER('Dvd Calendar'!$AM$2346)=FALSE,"",IF((Summary!$C$13="N")*('Dvd Calendar'!$AM$2350='Field Check'!$C$25)&gt;0,"",'Dvd Calendar'!$AM$2346)))</f>
        <v/>
      </c>
      <c r="CZ172" s="85">
        <f>IF(AL172="","",IF(ISNUMBER('Dvd Calendar'!$AN$2346)=FALSE,"",IF((Summary!$C$13="N")*('Dvd Calendar'!$AN$2350='Field Check'!$C$25)&gt;0,"",'Dvd Calendar'!$AN$2346)))</f>
        <v/>
      </c>
      <c r="DA172" s="85">
        <f>IF(AM172="","",IF(ISNUMBER('Dvd Calendar'!$AO$2346)=FALSE,"",IF((Summary!$C$13="N")*('Dvd Calendar'!$AO$2350='Field Check'!$C$25)&gt;0,"",'Dvd Calendar'!$AO$2346)))</f>
        <v/>
      </c>
      <c r="DB172" s="85">
        <f>IF(AN172="","",IF(ISNUMBER('Dvd Calendar'!$AP$2346)=FALSE,"",IF((Summary!$C$13="N")*('Dvd Calendar'!$AP$2350='Field Check'!$C$25)&gt;0,"",'Dvd Calendar'!$AP$2346)))</f>
        <v/>
      </c>
      <c r="DC172" s="85">
        <f>IF(AO172="","",IF(ISNUMBER('Dvd Calendar'!$AQ$2346)=FALSE,"",IF((Summary!$C$13="N")*('Dvd Calendar'!$AQ$2350='Field Check'!$C$25)&gt;0,"",'Dvd Calendar'!$AQ$2346)))</f>
        <v/>
      </c>
      <c r="DD172" s="85">
        <f>IF(AP172="","",IF(ISNUMBER('Dvd Calendar'!$AR$2346)=FALSE,"",IF((Summary!$C$13="N")*('Dvd Calendar'!$AR$2350='Field Check'!$C$25)&gt;0,"",'Dvd Calendar'!$AR$2346)))</f>
        <v/>
      </c>
      <c r="DE172" s="85">
        <f>IF(AQ172="","",IF(ISNUMBER('Dvd Calendar'!$E$2353)=FALSE,"",IF((Summary!$C$13="N")*('Dvd Calendar'!$E$2357='Field Check'!$C$25)&gt;0,"",'Dvd Calendar'!$E$2353)))</f>
        <v/>
      </c>
      <c r="DF172" s="85">
        <f>IF(AR172="","",IF(ISNUMBER('Dvd Calendar'!$F$2353)=FALSE,"",IF((Summary!$C$13="N")*('Dvd Calendar'!$F$2357='Field Check'!$C$25)&gt;0,"",'Dvd Calendar'!$F$2353)))</f>
        <v/>
      </c>
      <c r="DG172" s="85">
        <f>IF(AS172="","",IF(ISNUMBER('Dvd Calendar'!$G$2353)=FALSE,"",IF((Summary!$C$13="N")*('Dvd Calendar'!$G$2357='Field Check'!$C$25)&gt;0,"",'Dvd Calendar'!$G$2353)))</f>
        <v/>
      </c>
      <c r="DH172" s="85">
        <f>IF(AT172="","",IF(ISNUMBER('Dvd Calendar'!$H$2353)=FALSE,"",IF((Summary!$C$13="N")*('Dvd Calendar'!$H$2357='Field Check'!$C$25)&gt;0,"",'Dvd Calendar'!$H$2353)))</f>
        <v/>
      </c>
      <c r="DI172" s="85">
        <f>IF(AU172="","",IF(ISNUMBER('Dvd Calendar'!$I$2353)=FALSE,"",IF((Summary!$C$13="N")*('Dvd Calendar'!$I$2357='Field Check'!$C$25)&gt;0,"",'Dvd Calendar'!$I$2353)))</f>
        <v/>
      </c>
      <c r="DJ172" s="85">
        <f>IF(AV172="","",IF(ISNUMBER('Dvd Calendar'!$J$2353)=FALSE,"",IF((Summary!$C$13="N")*('Dvd Calendar'!$J$2357='Field Check'!$C$25)&gt;0,"",'Dvd Calendar'!$J$2353)))</f>
        <v/>
      </c>
      <c r="DK172" s="85">
        <f>IF(AW172="","",IF(ISNUMBER('Dvd Calendar'!$K$2353)=FALSE,"",IF((Summary!$C$13="N")*('Dvd Calendar'!$K$2357='Field Check'!$C$25)&gt;0,"",'Dvd Calendar'!$K$2353)))</f>
        <v/>
      </c>
      <c r="DL172" s="85">
        <f>IF(AX172="","",IF(ISNUMBER('Dvd Calendar'!$L$2353)=FALSE,"",IF((Summary!$C$13="N")*('Dvd Calendar'!$L$2357='Field Check'!$C$25)&gt;0,"",'Dvd Calendar'!$L$2353)))</f>
        <v/>
      </c>
      <c r="DM172" s="85">
        <f>IF(AY172="","",IF(ISNUMBER('Dvd Calendar'!$M$2353)=FALSE,"",IF((Summary!$C$13="N")*('Dvd Calendar'!$M$2357='Field Check'!$C$25)&gt;0,"",'Dvd Calendar'!$M$2353)))</f>
        <v/>
      </c>
      <c r="DN172" s="85">
        <f>IF(AZ172="","",IF(ISNUMBER('Dvd Calendar'!$N$2353)=FALSE,"",IF((Summary!$C$13="N")*('Dvd Calendar'!$N$2357='Field Check'!$C$25)&gt;0,"",'Dvd Calendar'!$N$2353)))</f>
        <v/>
      </c>
      <c r="DO172" s="85">
        <f>IF(BA172="","",IF(ISNUMBER('Dvd Calendar'!$O$2353)=FALSE,"",IF((Summary!$C$13="N")*('Dvd Calendar'!$O$2357='Field Check'!$C$25)&gt;0,"",'Dvd Calendar'!$O$2353)))</f>
        <v/>
      </c>
      <c r="DP172" s="85">
        <f>IF(BB172="","",IF(ISNUMBER('Dvd Calendar'!$P$2353)=FALSE,"",IF((Summary!$C$13="N")*('Dvd Calendar'!$P$2357='Field Check'!$C$25)&gt;0,"",'Dvd Calendar'!$P$2353)))</f>
        <v/>
      </c>
      <c r="DQ172" s="85">
        <f>IF(BC172="","",IF(ISNUMBER('Dvd Calendar'!$Q$2353)=FALSE,"",IF((Summary!$C$13="N")*('Dvd Calendar'!$Q$2357='Field Check'!$C$25)&gt;0,"",'Dvd Calendar'!$Q$2353)))</f>
        <v/>
      </c>
      <c r="DR172" s="85">
        <f>IF(BD172="","",IF(ISNUMBER('Dvd Calendar'!$R$2353)=FALSE,"",IF((Summary!$C$13="N")*('Dvd Calendar'!$R$2357='Field Check'!$C$25)&gt;0,"",'Dvd Calendar'!$R$2353)))</f>
        <v/>
      </c>
      <c r="DS172" s="85">
        <f>IF(BE172="","",IF(ISNUMBER('Dvd Calendar'!$S$2353)=FALSE,"",IF((Summary!$C$13="N")*('Dvd Calendar'!$S$2357='Field Check'!$C$25)&gt;0,"",'Dvd Calendar'!$S$2353)))</f>
        <v/>
      </c>
      <c r="DT172" s="85">
        <f>IF(BF172="","",IF(ISNUMBER('Dvd Calendar'!$T$2353)=FALSE,"",IF((Summary!$C$13="N")*('Dvd Calendar'!$T$2357='Field Check'!$C$25)&gt;0,"",'Dvd Calendar'!$T$2353)))</f>
        <v/>
      </c>
      <c r="DU172" s="85">
        <f>IF(BG172="","",IF(ISNUMBER('Dvd Calendar'!$U$2353)=FALSE,"",IF((Summary!$C$13="N")*('Dvd Calendar'!$U$2357='Field Check'!$C$25)&gt;0,"",'Dvd Calendar'!$U$2353)))</f>
        <v/>
      </c>
      <c r="DV172" s="85">
        <f>IF(BH172="","",IF(ISNUMBER('Dvd Calendar'!$V$2353)=FALSE,"",IF((Summary!$C$13="N")*('Dvd Calendar'!$V$2357='Field Check'!$C$25)&gt;0,"",'Dvd Calendar'!$V$2353)))</f>
        <v/>
      </c>
      <c r="DW172" s="85">
        <f>IF(BI172="","",IF(ISNUMBER('Dvd Calendar'!$W$2353)=FALSE,"",IF((Summary!$C$13="N")*('Dvd Calendar'!$W$2357='Field Check'!$C$25)&gt;0,"",'Dvd Calendar'!$W$2353)))</f>
        <v/>
      </c>
      <c r="DX172" s="85">
        <f>IF(BJ172="","",IF(ISNUMBER('Dvd Calendar'!$X$2353)=FALSE,"",IF((Summary!$C$13="N")*('Dvd Calendar'!$X$2357='Field Check'!$C$25)&gt;0,"",'Dvd Calendar'!$X$2353)))</f>
        <v/>
      </c>
      <c r="DY172" s="85">
        <f>IF(BK172="","",IF(ISNUMBER('Dvd Calendar'!$Y$2353)=FALSE,"",IF((Summary!$C$13="N")*('Dvd Calendar'!$Y$2357='Field Check'!$C$25)&gt;0,"",'Dvd Calendar'!$Y$2353)))</f>
        <v/>
      </c>
      <c r="DZ172" s="85">
        <f>IF(BL172="","",IF(ISNUMBER('Dvd Calendar'!$Z$2353)=FALSE,"",IF((Summary!$C$13="N")*('Dvd Calendar'!$Z$2357='Field Check'!$C$25)&gt;0,"",'Dvd Calendar'!$Z$2353)))</f>
        <v/>
      </c>
      <c r="EA172" s="85">
        <f>IF(BM172="","",IF(ISNUMBER('Dvd Calendar'!$AA$2353)=FALSE,"",IF((Summary!$C$13="N")*('Dvd Calendar'!$AA$2357='Field Check'!$C$25)&gt;0,"",'Dvd Calendar'!$AA$2353)))</f>
        <v/>
      </c>
      <c r="EB172" s="85">
        <f>IF(BN172="","",IF(ISNUMBER('Dvd Calendar'!$AB$2353)=FALSE,"",IF((Summary!$C$13="N")*('Dvd Calendar'!$AB$2357='Field Check'!$C$25)&gt;0,"",'Dvd Calendar'!$AB$2353)))</f>
        <v/>
      </c>
      <c r="EC172" s="85">
        <f>IF(BO172="","",IF(ISNUMBER('Dvd Calendar'!$AC$2353)=FALSE,"",IF((Summary!$C$13="N")*('Dvd Calendar'!$AC$2357='Field Check'!$C$25)&gt;0,"",'Dvd Calendar'!$AC$2353)))</f>
        <v/>
      </c>
      <c r="EE172" s="85">
        <f>IF(BQ172="","",IFERROR(BQ172*HSCEI!$B$22*HSCEI!$G$22/HSCEI!$B$3,""))</f>
        <v/>
      </c>
      <c r="EF172" s="85">
        <f>IF(BR172="","",IFERROR(BR172*HSCEI!$B$22*HSCEI!$G$22/HSCEI!$B$3,""))</f>
        <v/>
      </c>
      <c r="EG172" s="85">
        <f>IF(BS172="","",IFERROR(BS172*HSCEI!$B$22*HSCEI!$G$22/HSCEI!$B$3,""))</f>
        <v/>
      </c>
      <c r="EH172" s="85">
        <f>IF(BT172="","",IFERROR(BT172*HSCEI!$B$22*HSCEI!$G$22/HSCEI!$B$3,""))</f>
        <v/>
      </c>
      <c r="EI172" s="85">
        <f>IF(BU172="","",IFERROR(BU172*HSCEI!$B$22*HSCEI!$G$22/HSCEI!$B$3,""))</f>
        <v/>
      </c>
      <c r="EJ172" s="85">
        <f>IF(BV172="","",IFERROR(BV172*HSCEI!$B$22*HSCEI!$G$22/HSCEI!$B$3,""))</f>
        <v/>
      </c>
      <c r="EK172" s="85">
        <f>IF(BW172="","",IFERROR(BW172*HSCEI!$B$22*HSCEI!$G$22/HSCEI!$B$3,""))</f>
        <v/>
      </c>
      <c r="EL172" s="85">
        <f>IF(BX172="","",IFERROR(BX172*HSCEI!$B$22*HSCEI!$G$22/HSCEI!$B$3,""))</f>
        <v/>
      </c>
      <c r="EM172" s="85">
        <f>IF(BY172="","",IFERROR(BY172*HSCEI!$B$22*HSCEI!$G$22/HSCEI!$B$3,""))</f>
        <v/>
      </c>
      <c r="EN172" s="85">
        <f>IF(BZ172="","",IFERROR(BZ172*HSCEI!$B$22*HSCEI!$G$22/HSCEI!$B$3,""))</f>
        <v/>
      </c>
      <c r="EO172" s="85">
        <f>IF(CA172="","",IFERROR(CA172*HSCEI!$B$22*HSCEI!$G$22/HSCEI!$B$3,""))</f>
        <v/>
      </c>
      <c r="EP172" s="85">
        <f>IF(CB172="","",IFERROR(CB172*HSCEI!$B$22*HSCEI!$G$22/HSCEI!$B$3,""))</f>
        <v/>
      </c>
      <c r="EQ172" s="85">
        <f>IF(CC172="","",IFERROR(CC172*HSCEI!$B$22*HSCEI!$G$22/HSCEI!$B$3,""))</f>
        <v/>
      </c>
      <c r="ER172" s="85">
        <f>IF(CD172="","",IFERROR(CD172*HSCEI!$B$22*HSCEI!$G$22/HSCEI!$B$3,""))</f>
        <v/>
      </c>
      <c r="ES172" s="85">
        <f>IF(CE172="","",IFERROR(CE172*HSCEI!$B$22*HSCEI!$G$22/HSCEI!$B$3,""))</f>
        <v/>
      </c>
      <c r="ET172" s="85">
        <f>IF(CF172="","",IFERROR(CF172*HSCEI!$B$22*HSCEI!$G$22/HSCEI!$B$3,""))</f>
        <v/>
      </c>
      <c r="EU172" s="85">
        <f>IF(CG172="","",IFERROR(CG172*HSCEI!$B$22*HSCEI!$G$22/HSCEI!$B$3,""))</f>
        <v/>
      </c>
      <c r="EV172" s="85">
        <f>IF(CH172="","",IFERROR(CH172*HSCEI!$B$22*HSCEI!$G$22/HSCEI!$B$3,""))</f>
        <v/>
      </c>
      <c r="EW172" s="85">
        <f>IF(CI172="","",IFERROR(CI172*HSCEI!$B$22*HSCEI!$G$22/HSCEI!$B$3,""))</f>
        <v/>
      </c>
      <c r="EX172" s="85">
        <f>IF(CJ172="","",IFERROR(CJ172*HSCEI!$B$22*HSCEI!$G$22/HSCEI!$B$3,""))</f>
        <v/>
      </c>
      <c r="EY172" s="85">
        <f>IF(CK172="","",IFERROR(CK172*HSCEI!$B$22*HSCEI!$G$22/HSCEI!$B$3,""))</f>
        <v/>
      </c>
      <c r="EZ172" s="85">
        <f>IF(CL172="","",IFERROR(CL172*HSCEI!$B$22*HSCEI!$G$22/HSCEI!$B$3,""))</f>
        <v/>
      </c>
      <c r="FA172" s="85">
        <f>IF(CM172="","",IFERROR(CM172*HSCEI!$B$22*HSCEI!$G$22/HSCEI!$B$3,""))</f>
        <v/>
      </c>
      <c r="FB172" s="85">
        <f>IF(CN172="","",IFERROR(CN172*HSCEI!$B$22*HSCEI!$G$22/HSCEI!$B$3,""))</f>
        <v/>
      </c>
      <c r="FC172" s="85">
        <f>IF(CO172="","",IFERROR(CO172*HSCEI!$B$22*HSCEI!$G$22/HSCEI!$B$3,""))</f>
        <v/>
      </c>
      <c r="FD172" s="85">
        <f>IF(CP172="","",IFERROR(CP172*HSCEI!$B$22*HSCEI!$G$22/HSCEI!$B$3,""))</f>
        <v/>
      </c>
      <c r="FE172" s="85">
        <f>IF(CQ172="","",IFERROR(CQ172*HSCEI!$B$22*HSCEI!$G$22/HSCEI!$B$3,""))</f>
        <v/>
      </c>
      <c r="FF172" s="85">
        <f>IF(CR172="","",IFERROR(CR172*HSCEI!$B$22*HSCEI!$G$22/HSCEI!$B$3,""))</f>
        <v/>
      </c>
      <c r="FG172" s="85">
        <f>IF(CS172="","",IFERROR(CS172*HSCEI!$B$22*HSCEI!$G$22/HSCEI!$B$3,""))</f>
        <v/>
      </c>
      <c r="FH172" s="85">
        <f>IF(CT172="","",IFERROR(CT172*HSCEI!$B$22*HSCEI!$G$22/HSCEI!$B$3,""))</f>
        <v/>
      </c>
      <c r="FI172" s="85">
        <f>IF(CU172="","",IFERROR(CU172*HSCEI!$B$22*HSCEI!$G$22/HSCEI!$B$3,""))</f>
        <v/>
      </c>
      <c r="FJ172" s="85">
        <f>IF(CV172="","",IFERROR(CV172*HSCEI!$B$22*HSCEI!$G$22/HSCEI!$B$3,""))</f>
        <v/>
      </c>
      <c r="FK172" s="85">
        <f>IF(CW172="","",IFERROR(CW172*HSCEI!$B$22*HSCEI!$G$22/HSCEI!$B$3,""))</f>
        <v/>
      </c>
      <c r="FL172" s="85">
        <f>IF(CX172="","",IFERROR(CX172*HSCEI!$B$22*HSCEI!$G$22/HSCEI!$B$3,""))</f>
        <v/>
      </c>
      <c r="FM172" s="85">
        <f>IF(CY172="","",IFERROR(CY172*HSCEI!$B$22*HSCEI!$G$22/HSCEI!$B$3,""))</f>
        <v/>
      </c>
      <c r="FN172" s="85">
        <f>IF(CZ172="","",IFERROR(CZ172*HSCEI!$B$22*HSCEI!$G$22/HSCEI!$B$3,""))</f>
        <v/>
      </c>
      <c r="FO172" s="85">
        <f>IF(DA172="","",IFERROR(DA172*HSCEI!$B$22*HSCEI!$G$22/HSCEI!$B$3,""))</f>
        <v/>
      </c>
      <c r="FP172" s="85">
        <f>IF(DB172="","",IFERROR(DB172*HSCEI!$B$22*HSCEI!$G$22/HSCEI!$B$3,""))</f>
        <v/>
      </c>
      <c r="FQ172" s="85">
        <f>IF(DC172="","",IFERROR(DC172*HSCEI!$B$22*HSCEI!$G$22/HSCEI!$B$3,""))</f>
        <v/>
      </c>
      <c r="FR172" s="85">
        <f>IF(DD172="","",IFERROR(DD172*HSCEI!$B$22*HSCEI!$G$22/HSCEI!$B$3,""))</f>
        <v/>
      </c>
      <c r="FS172" s="85">
        <f>IF(DE172="","",IFERROR(DE172*HSCEI!$B$22*HSCEI!$G$22/HSCEI!$B$3,""))</f>
        <v/>
      </c>
      <c r="FT172" s="85">
        <f>IF(DF172="","",IFERROR(DF172*HSCEI!$B$22*HSCEI!$G$22/HSCEI!$B$3,""))</f>
        <v/>
      </c>
      <c r="FU172" s="85">
        <f>IF(DG172="","",IFERROR(DG172*HSCEI!$B$22*HSCEI!$G$22/HSCEI!$B$3,""))</f>
        <v/>
      </c>
      <c r="FV172" s="85">
        <f>IF(DH172="","",IFERROR(DH172*HSCEI!$B$22*HSCEI!$G$22/HSCEI!$B$3,""))</f>
        <v/>
      </c>
      <c r="FW172" s="85">
        <f>IF(DI172="","",IFERROR(DI172*HSCEI!$B$22*HSCEI!$G$22/HSCEI!$B$3,""))</f>
        <v/>
      </c>
      <c r="FX172" s="85">
        <f>IF(DJ172="","",IFERROR(DJ172*HSCEI!$B$22*HSCEI!$G$22/HSCEI!$B$3,""))</f>
        <v/>
      </c>
      <c r="FY172" s="85">
        <f>IF(DK172="","",IFERROR(DK172*HSCEI!$B$22*HSCEI!$G$22/HSCEI!$B$3,""))</f>
        <v/>
      </c>
      <c r="FZ172" s="85">
        <f>IF(DL172="","",IFERROR(DL172*HSCEI!$B$22*HSCEI!$G$22/HSCEI!$B$3,""))</f>
        <v/>
      </c>
      <c r="GA172" s="85">
        <f>IF(DM172="","",IFERROR(DM172*HSCEI!$B$22*HSCEI!$G$22/HSCEI!$B$3,""))</f>
        <v/>
      </c>
      <c r="GB172" s="85">
        <f>IF(DN172="","",IFERROR(DN172*HSCEI!$B$22*HSCEI!$G$22/HSCEI!$B$3,""))</f>
        <v/>
      </c>
      <c r="GC172" s="85">
        <f>IF(DO172="","",IFERROR(DO172*HSCEI!$B$22*HSCEI!$G$22/HSCEI!$B$3,""))</f>
        <v/>
      </c>
      <c r="GD172" s="85">
        <f>IF(DP172="","",IFERROR(DP172*HSCEI!$B$22*HSCEI!$G$22/HSCEI!$B$3,""))</f>
        <v/>
      </c>
      <c r="GE172" s="85">
        <f>IF(DQ172="","",IFERROR(DQ172*HSCEI!$B$22*HSCEI!$G$22/HSCEI!$B$3,""))</f>
        <v/>
      </c>
      <c r="GF172" s="85">
        <f>IF(DR172="","",IFERROR(DR172*HSCEI!$B$22*HSCEI!$G$22/HSCEI!$B$3,""))</f>
        <v/>
      </c>
      <c r="GG172" s="85">
        <f>IF(DS172="","",IFERROR(DS172*HSCEI!$B$22*HSCEI!$G$22/HSCEI!$B$3,""))</f>
        <v/>
      </c>
      <c r="GH172" s="85">
        <f>IF(DT172="","",IFERROR(DT172*HSCEI!$B$22*HSCEI!$G$22/HSCEI!$B$3,""))</f>
        <v/>
      </c>
      <c r="GI172" s="85">
        <f>IF(DU172="","",IFERROR(DU172*HSCEI!$B$22*HSCEI!$G$22/HSCEI!$B$3,""))</f>
        <v/>
      </c>
      <c r="GJ172" s="85">
        <f>IF(DV172="","",IFERROR(DV172*HSCEI!$B$22*HSCEI!$G$22/HSCEI!$B$3,""))</f>
        <v/>
      </c>
      <c r="GK172" s="85">
        <f>IF(DW172="","",IFERROR(DW172*HSCEI!$B$22*HSCEI!$G$22/HSCEI!$B$3,""))</f>
        <v/>
      </c>
      <c r="GL172" s="85">
        <f>IF(DX172="","",IFERROR(DX172*HSCEI!$B$22*HSCEI!$G$22/HSCEI!$B$3,""))</f>
        <v/>
      </c>
      <c r="GM172" s="85">
        <f>IF(DY172="","",IFERROR(DY172*HSCEI!$B$22*HSCEI!$G$22/HSCEI!$B$3,""))</f>
        <v/>
      </c>
      <c r="GN172" s="85">
        <f>IF(DZ172="","",IFERROR(DZ172*HSCEI!$B$22*HSCEI!$G$22/HSCEI!$B$3,""))</f>
        <v/>
      </c>
      <c r="GO172" s="85">
        <f>IF(EA172="","",IFERROR(EA172*HSCEI!$B$22*HSCEI!$G$22/HSCEI!$B$3,""))</f>
        <v/>
      </c>
      <c r="GP172" s="85">
        <f>IF(EB172="","",IFERROR(EB172*HSCEI!$B$22*HSCEI!$G$22/HSCEI!$B$3,""))</f>
        <v/>
      </c>
      <c r="GQ172" s="85">
        <f>IF(EC172="","",IFERROR(EC172*HSCEI!$B$22*HSCEI!$G$22/HSCEI!$B$3,""))</f>
        <v/>
      </c>
    </row>
    <row r="173">
      <c r="B173" s="2">
        <f>IF(HSCEI!$C$23="","",HSCEI!$C$23)</f>
        <v/>
      </c>
      <c r="C173" s="41">
        <f>IF(N('Dvd Calendar'!$E$2360)=0,"",IF(('Dvd Calendar'!$E$2360&gt;=MIN(DATE(Summary!$C$12,1,1),Summary!$C$11))*('Dvd Calendar'!$E$2360&lt;=MAX(DATE(Summary!$C$12,12,31),Summary!$C$15))*('Dvd Calendar'!$E$2360&lt;=Summary!$C$11)=0,"",'Dvd Calendar'!$E$2360*1000000000+ISNUMBER('Dvd Calendar'!$E$2361)*100000000+('Dvd Calendar'!$E$2365='Field Check'!$C$25)*10000000+(N('Dvd Calendar'!$E$2359)&gt;0)*1000000+17*1000+1))</f>
        <v/>
      </c>
      <c r="D173" s="41">
        <f>IF(N('Dvd Calendar'!$F$2360)=0,"",IF(('Dvd Calendar'!$F$2360&gt;=MIN(DATE(Summary!$C$12,1,1),Summary!$C$11))*('Dvd Calendar'!$F$2360&lt;=MAX(DATE(Summary!$C$12,12,31),Summary!$C$15))*('Dvd Calendar'!$F$2360&lt;=Summary!$C$11)=0,"",'Dvd Calendar'!$F$2360*1000000000+ISNUMBER('Dvd Calendar'!$F$2361)*100000000+('Dvd Calendar'!$F$2365='Field Check'!$C$25)*10000000+(N('Dvd Calendar'!$F$2359)&gt;0)*1000000+17*1000+2))</f>
        <v/>
      </c>
      <c r="E173" s="41">
        <f>IF(N('Dvd Calendar'!$G$2360)=0,"",IF(('Dvd Calendar'!$G$2360&gt;=MIN(DATE(Summary!$C$12,1,1),Summary!$C$11))*('Dvd Calendar'!$G$2360&lt;=MAX(DATE(Summary!$C$12,12,31),Summary!$C$15))*('Dvd Calendar'!$G$2360&lt;=Summary!$C$11)=0,"",'Dvd Calendar'!$G$2360*1000000000+ISNUMBER('Dvd Calendar'!$G$2361)*100000000+('Dvd Calendar'!$G$2365='Field Check'!$C$25)*10000000+(N('Dvd Calendar'!$G$2359)&gt;0)*1000000+17*1000+3))</f>
        <v/>
      </c>
      <c r="F173" s="41">
        <f>IF(N('Dvd Calendar'!$H$2360)=0,"",IF(('Dvd Calendar'!$H$2360&gt;=MIN(DATE(Summary!$C$12,1,1),Summary!$C$11))*('Dvd Calendar'!$H$2360&lt;=MAX(DATE(Summary!$C$12,12,31),Summary!$C$15))*('Dvd Calendar'!$H$2360&lt;=Summary!$C$11)=0,"",'Dvd Calendar'!$H$2360*1000000000+ISNUMBER('Dvd Calendar'!$H$2361)*100000000+('Dvd Calendar'!$H$2365='Field Check'!$C$25)*10000000+(N('Dvd Calendar'!$H$2359)&gt;0)*1000000+17*1000+4))</f>
        <v/>
      </c>
      <c r="G173" s="41">
        <f>IF(N('Dvd Calendar'!$I$2360)=0,"",IF(('Dvd Calendar'!$I$2360&gt;=MIN(DATE(Summary!$C$12,1,1),Summary!$C$11))*('Dvd Calendar'!$I$2360&lt;=MAX(DATE(Summary!$C$12,12,31),Summary!$C$15))*('Dvd Calendar'!$I$2360&lt;=Summary!$C$11)=0,"",'Dvd Calendar'!$I$2360*1000000000+ISNUMBER('Dvd Calendar'!$I$2361)*100000000+('Dvd Calendar'!$I$2365='Field Check'!$C$25)*10000000+(N('Dvd Calendar'!$I$2359)&gt;0)*1000000+17*1000+5))</f>
        <v/>
      </c>
      <c r="H173" s="41">
        <f>IF(N('Dvd Calendar'!$J$2360)=0,"",IF(('Dvd Calendar'!$J$2360&gt;=MIN(DATE(Summary!$C$12,1,1),Summary!$C$11))*('Dvd Calendar'!$J$2360&lt;=MAX(DATE(Summary!$C$12,12,31),Summary!$C$15))*('Dvd Calendar'!$J$2360&lt;=Summary!$C$11)=0,"",'Dvd Calendar'!$J$2360*1000000000+ISNUMBER('Dvd Calendar'!$J$2361)*100000000+('Dvd Calendar'!$J$2365='Field Check'!$C$25)*10000000+(N('Dvd Calendar'!$J$2359)&gt;0)*1000000+17*1000+6))</f>
        <v/>
      </c>
      <c r="I173" s="41">
        <f>IF(N('Dvd Calendar'!$K$2360)=0,"",IF(('Dvd Calendar'!$K$2360&gt;=MIN(DATE(Summary!$C$12,1,1),Summary!$C$11))*('Dvd Calendar'!$K$2360&lt;=MAX(DATE(Summary!$C$12,12,31),Summary!$C$15))*('Dvd Calendar'!$K$2360&lt;=Summary!$C$11)=0,"",'Dvd Calendar'!$K$2360*1000000000+ISNUMBER('Dvd Calendar'!$K$2361)*100000000+('Dvd Calendar'!$K$2365='Field Check'!$C$25)*10000000+(N('Dvd Calendar'!$K$2359)&gt;0)*1000000+17*1000+7))</f>
        <v/>
      </c>
      <c r="J173" s="41">
        <f>IF(N('Dvd Calendar'!$L$2360)=0,"",IF(('Dvd Calendar'!$L$2360&gt;=MIN(DATE(Summary!$C$12,1,1),Summary!$C$11))*('Dvd Calendar'!$L$2360&lt;=MAX(DATE(Summary!$C$12,12,31),Summary!$C$15))*('Dvd Calendar'!$L$2360&lt;=Summary!$C$11)=0,"",'Dvd Calendar'!$L$2360*1000000000+ISNUMBER('Dvd Calendar'!$L$2361)*100000000+('Dvd Calendar'!$L$2365='Field Check'!$C$25)*10000000+(N('Dvd Calendar'!$L$2359)&gt;0)*1000000+17*1000+8))</f>
        <v/>
      </c>
      <c r="K173" s="41">
        <f>IF(N('Dvd Calendar'!$M$2360)=0,"",IF(('Dvd Calendar'!$M$2360&gt;=MIN(DATE(Summary!$C$12,1,1),Summary!$C$11))*('Dvd Calendar'!$M$2360&lt;=MAX(DATE(Summary!$C$12,12,31),Summary!$C$15))*('Dvd Calendar'!$M$2360&lt;=Summary!$C$11)=0,"",'Dvd Calendar'!$M$2360*1000000000+ISNUMBER('Dvd Calendar'!$M$2361)*100000000+('Dvd Calendar'!$M$2365='Field Check'!$C$25)*10000000+(N('Dvd Calendar'!$M$2359)&gt;0)*1000000+17*1000+9))</f>
        <v/>
      </c>
      <c r="L173" s="41">
        <f>IF(N('Dvd Calendar'!$N$2360)=0,"",IF(('Dvd Calendar'!$N$2360&gt;=MIN(DATE(Summary!$C$12,1,1),Summary!$C$11))*('Dvd Calendar'!$N$2360&lt;=MAX(DATE(Summary!$C$12,12,31),Summary!$C$15))*('Dvd Calendar'!$N$2360&lt;=Summary!$C$11)=0,"",'Dvd Calendar'!$N$2360*1000000000+ISNUMBER('Dvd Calendar'!$N$2361)*100000000+('Dvd Calendar'!$N$2365='Field Check'!$C$25)*10000000+(N('Dvd Calendar'!$N$2359)&gt;0)*1000000+17*1000+10))</f>
        <v/>
      </c>
      <c r="M173" s="41">
        <f>IF(N('Dvd Calendar'!$O$2360)=0,"",IF(('Dvd Calendar'!$O$2360&gt;=MIN(DATE(Summary!$C$12,1,1),Summary!$C$11))*('Dvd Calendar'!$O$2360&lt;=MAX(DATE(Summary!$C$12,12,31),Summary!$C$15))*('Dvd Calendar'!$O$2360&lt;=Summary!$C$11)=0,"",'Dvd Calendar'!$O$2360*1000000000+ISNUMBER('Dvd Calendar'!$O$2361)*100000000+('Dvd Calendar'!$O$2365='Field Check'!$C$25)*10000000+(N('Dvd Calendar'!$O$2359)&gt;0)*1000000+17*1000+11))</f>
        <v/>
      </c>
      <c r="N173" s="41">
        <f>IF(N('Dvd Calendar'!$P$2360)=0,"",IF(('Dvd Calendar'!$P$2360&gt;=MIN(DATE(Summary!$C$12,1,1),Summary!$C$11))*('Dvd Calendar'!$P$2360&lt;=MAX(DATE(Summary!$C$12,12,31),Summary!$C$15))*('Dvd Calendar'!$P$2360&lt;=Summary!$C$11)=0,"",'Dvd Calendar'!$P$2360*1000000000+ISNUMBER('Dvd Calendar'!$P$2361)*100000000+('Dvd Calendar'!$P$2365='Field Check'!$C$25)*10000000+(N('Dvd Calendar'!$P$2359)&gt;0)*1000000+17*1000+12))</f>
        <v/>
      </c>
      <c r="O173" s="41">
        <f>IF(N('Dvd Calendar'!$Q$2360)=0,"",IF(('Dvd Calendar'!$Q$2360&gt;=MIN(DATE(Summary!$C$12,1,1),Summary!$C$11))*('Dvd Calendar'!$Q$2360&lt;=MAX(DATE(Summary!$C$12,12,31),Summary!$C$15))*('Dvd Calendar'!$Q$2360&lt;=Summary!$C$11)=0,"",'Dvd Calendar'!$Q$2360*1000000000+ISNUMBER('Dvd Calendar'!$Q$2361)*100000000+('Dvd Calendar'!$Q$2365='Field Check'!$C$25)*10000000+(N('Dvd Calendar'!$Q$2359)&gt;0)*1000000+17*1000+13))</f>
        <v/>
      </c>
      <c r="P173" s="41">
        <f>IF(N('Dvd Calendar'!$R$2360)=0,"",IF(('Dvd Calendar'!$R$2360&gt;=MIN(DATE(Summary!$C$12,1,1),Summary!$C$11))*('Dvd Calendar'!$R$2360&lt;=MAX(DATE(Summary!$C$12,12,31),Summary!$C$15))*('Dvd Calendar'!$R$2360&lt;=Summary!$C$11)=0,"",'Dvd Calendar'!$R$2360*1000000000+ISNUMBER('Dvd Calendar'!$R$2361)*100000000+('Dvd Calendar'!$R$2365='Field Check'!$C$25)*10000000+(N('Dvd Calendar'!$R$2359)&gt;0)*1000000+17*1000+14))</f>
        <v/>
      </c>
      <c r="Q173" s="41">
        <f>IF(N('Dvd Calendar'!$S$2360)=0,"",IF(('Dvd Calendar'!$S$2360&gt;=MIN(DATE(Summary!$C$12,1,1),Summary!$C$11))*('Dvd Calendar'!$S$2360&lt;=MAX(DATE(Summary!$C$12,12,31),Summary!$C$15))*('Dvd Calendar'!$S$2360&lt;=Summary!$C$11)=0,"",'Dvd Calendar'!$S$2360*1000000000+ISNUMBER('Dvd Calendar'!$S$2361)*100000000+('Dvd Calendar'!$S$2365='Field Check'!$C$25)*10000000+(N('Dvd Calendar'!$S$2359)&gt;0)*1000000+17*1000+15))</f>
        <v/>
      </c>
      <c r="R173" s="41">
        <f>IF(N('Dvd Calendar'!$T$2360)=0,"",IF(('Dvd Calendar'!$T$2360&gt;=MIN(DATE(Summary!$C$12,1,1),Summary!$C$11))*('Dvd Calendar'!$T$2360&lt;=MAX(DATE(Summary!$C$12,12,31),Summary!$C$15))*('Dvd Calendar'!$T$2360&lt;=Summary!$C$11)=0,"",'Dvd Calendar'!$T$2360*1000000000+ISNUMBER('Dvd Calendar'!$T$2361)*100000000+('Dvd Calendar'!$T$2365='Field Check'!$C$25)*10000000+(N('Dvd Calendar'!$T$2359)&gt;0)*1000000+17*1000+16))</f>
        <v/>
      </c>
      <c r="S173" s="41">
        <f>IF(N('Dvd Calendar'!$U$2360)=0,"",IF(('Dvd Calendar'!$U$2360&gt;=MIN(DATE(Summary!$C$12,1,1),Summary!$C$11))*('Dvd Calendar'!$U$2360&lt;=MAX(DATE(Summary!$C$12,12,31),Summary!$C$15))*('Dvd Calendar'!$U$2360&lt;=Summary!$C$11)=0,"",'Dvd Calendar'!$U$2360*1000000000+ISNUMBER('Dvd Calendar'!$U$2361)*100000000+('Dvd Calendar'!$U$2365='Field Check'!$C$25)*10000000+(N('Dvd Calendar'!$U$2359)&gt;0)*1000000+17*1000+17))</f>
        <v/>
      </c>
      <c r="T173" s="41">
        <f>IF(N('Dvd Calendar'!$V$2360)=0,"",IF(('Dvd Calendar'!$V$2360&gt;=MIN(DATE(Summary!$C$12,1,1),Summary!$C$11))*('Dvd Calendar'!$V$2360&lt;=MAX(DATE(Summary!$C$12,12,31),Summary!$C$15))*('Dvd Calendar'!$V$2360&lt;=Summary!$C$11)=0,"",'Dvd Calendar'!$V$2360*1000000000+ISNUMBER('Dvd Calendar'!$V$2361)*100000000+('Dvd Calendar'!$V$2365='Field Check'!$C$25)*10000000+(N('Dvd Calendar'!$V$2359)&gt;0)*1000000+17*1000+18))</f>
        <v/>
      </c>
      <c r="U173" s="41">
        <f>IF(N('Dvd Calendar'!$W$2360)=0,"",IF(('Dvd Calendar'!$W$2360&gt;=MIN(DATE(Summary!$C$12,1,1),Summary!$C$11))*('Dvd Calendar'!$W$2360&lt;=MAX(DATE(Summary!$C$12,12,31),Summary!$C$15))*('Dvd Calendar'!$W$2360&lt;=Summary!$C$11)=0,"",'Dvd Calendar'!$W$2360*1000000000+ISNUMBER('Dvd Calendar'!$W$2361)*100000000+('Dvd Calendar'!$W$2365='Field Check'!$C$25)*10000000+(N('Dvd Calendar'!$W$2359)&gt;0)*1000000+17*1000+19))</f>
        <v/>
      </c>
      <c r="V173" s="41">
        <f>IF(N('Dvd Calendar'!$X$2360)=0,"",IF(('Dvd Calendar'!$X$2360&gt;=MIN(DATE(Summary!$C$12,1,1),Summary!$C$11))*('Dvd Calendar'!$X$2360&lt;=MAX(DATE(Summary!$C$12,12,31),Summary!$C$15))*('Dvd Calendar'!$X$2360&lt;=Summary!$C$11)=0,"",'Dvd Calendar'!$X$2360*1000000000+ISNUMBER('Dvd Calendar'!$X$2361)*100000000+('Dvd Calendar'!$X$2365='Field Check'!$C$25)*10000000+(N('Dvd Calendar'!$X$2359)&gt;0)*1000000+17*1000+20))</f>
        <v/>
      </c>
      <c r="W173" s="41">
        <f>IF(N('Dvd Calendar'!$Y$2360)=0,"",IF(('Dvd Calendar'!$Y$2360&gt;=MIN(DATE(Summary!$C$12,1,1),Summary!$C$11))*('Dvd Calendar'!$Y$2360&lt;=MAX(DATE(Summary!$C$12,12,31),Summary!$C$15))*('Dvd Calendar'!$Y$2360&lt;=Summary!$C$11)=0,"",'Dvd Calendar'!$Y$2360*1000000000+ISNUMBER('Dvd Calendar'!$Y$2361)*100000000+('Dvd Calendar'!$Y$2365='Field Check'!$C$25)*10000000+(N('Dvd Calendar'!$Y$2359)&gt;0)*1000000+17*1000+21))</f>
        <v/>
      </c>
      <c r="X173" s="41">
        <f>IF(N('Dvd Calendar'!$Z$2360)=0,"",IF(('Dvd Calendar'!$Z$2360&gt;=MIN(DATE(Summary!$C$12,1,1),Summary!$C$11))*('Dvd Calendar'!$Z$2360&lt;=MAX(DATE(Summary!$C$12,12,31),Summary!$C$15))*('Dvd Calendar'!$Z$2360&lt;=Summary!$C$11)=0,"",'Dvd Calendar'!$Z$2360*1000000000+ISNUMBER('Dvd Calendar'!$Z$2361)*100000000+('Dvd Calendar'!$Z$2365='Field Check'!$C$25)*10000000+(N('Dvd Calendar'!$Z$2359)&gt;0)*1000000+17*1000+22))</f>
        <v/>
      </c>
      <c r="Y173" s="41">
        <f>IF(N('Dvd Calendar'!$AA$2360)=0,"",IF(('Dvd Calendar'!$AA$2360&gt;=MIN(DATE(Summary!$C$12,1,1),Summary!$C$11))*('Dvd Calendar'!$AA$2360&lt;=MAX(DATE(Summary!$C$12,12,31),Summary!$C$15))*('Dvd Calendar'!$AA$2360&lt;=Summary!$C$11)=0,"",'Dvd Calendar'!$AA$2360*1000000000+ISNUMBER('Dvd Calendar'!$AA$2361)*100000000+('Dvd Calendar'!$AA$2365='Field Check'!$C$25)*10000000+(N('Dvd Calendar'!$AA$2359)&gt;0)*1000000+17*1000+23))</f>
        <v/>
      </c>
      <c r="Z173" s="41">
        <f>IF(N('Dvd Calendar'!$AB$2360)=0,"",IF(('Dvd Calendar'!$AB$2360&gt;=MIN(DATE(Summary!$C$12,1,1),Summary!$C$11))*('Dvd Calendar'!$AB$2360&lt;=MAX(DATE(Summary!$C$12,12,31),Summary!$C$15))*('Dvd Calendar'!$AB$2360&lt;=Summary!$C$11)=0,"",'Dvd Calendar'!$AB$2360*1000000000+ISNUMBER('Dvd Calendar'!$AB$2361)*100000000+('Dvd Calendar'!$AB$2365='Field Check'!$C$25)*10000000+(N('Dvd Calendar'!$AB$2359)&gt;0)*1000000+17*1000+24))</f>
        <v/>
      </c>
      <c r="AA173" s="41">
        <f>IF(N('Dvd Calendar'!$AC$2360)=0,"",IF(('Dvd Calendar'!$AC$2360&gt;=MIN(DATE(Summary!$C$12,1,1),Summary!$C$11))*('Dvd Calendar'!$AC$2360&lt;=MAX(DATE(Summary!$C$12,12,31),Summary!$C$15))*('Dvd Calendar'!$AC$2360&lt;=Summary!$C$11)=0,"",'Dvd Calendar'!$AC$2360*1000000000+ISNUMBER('Dvd Calendar'!$AC$2361)*100000000+('Dvd Calendar'!$AC$2365='Field Check'!$C$25)*10000000+(N('Dvd Calendar'!$AC$2359)&gt;0)*1000000+17*1000+25))</f>
        <v/>
      </c>
      <c r="AB173" s="41">
        <f>IF(N('Dvd Calendar'!$AD$2360)=0,"",IF(('Dvd Calendar'!$AD$2360&gt;=MIN(DATE(Summary!$C$12,1,1),Summary!$C$11))*('Dvd Calendar'!$AD$2360&lt;=MAX(DATE(Summary!$C$12,12,31),Summary!$C$15))*('Dvd Calendar'!$AD$2360&lt;=Summary!$C$11)=0,"",'Dvd Calendar'!$AD$2360*1000000000+ISNUMBER('Dvd Calendar'!$AD$2361)*100000000+('Dvd Calendar'!$AD$2365='Field Check'!$C$25)*10000000+(N('Dvd Calendar'!$AD$2359)&gt;0)*1000000+17*1000+26))</f>
        <v/>
      </c>
      <c r="AC173" s="41">
        <f>IF(N('Dvd Calendar'!$AE$2360)=0,"",IF(('Dvd Calendar'!$AE$2360&gt;=MIN(DATE(Summary!$C$12,1,1),Summary!$C$11))*('Dvd Calendar'!$AE$2360&lt;=MAX(DATE(Summary!$C$12,12,31),Summary!$C$15))*('Dvd Calendar'!$AE$2360&lt;=Summary!$C$11)=0,"",'Dvd Calendar'!$AE$2360*1000000000+ISNUMBER('Dvd Calendar'!$AE$2361)*100000000+('Dvd Calendar'!$AE$2365='Field Check'!$C$25)*10000000+(N('Dvd Calendar'!$AE$2359)&gt;0)*1000000+17*1000+27))</f>
        <v/>
      </c>
      <c r="AD173" s="41">
        <f>IF(N('Dvd Calendar'!$AF$2360)=0,"",IF(('Dvd Calendar'!$AF$2360&gt;=MIN(DATE(Summary!$C$12,1,1),Summary!$C$11))*('Dvd Calendar'!$AF$2360&lt;=MAX(DATE(Summary!$C$12,12,31),Summary!$C$15))*('Dvd Calendar'!$AF$2360&lt;=Summary!$C$11)=0,"",'Dvd Calendar'!$AF$2360*1000000000+ISNUMBER('Dvd Calendar'!$AF$2361)*100000000+('Dvd Calendar'!$AF$2365='Field Check'!$C$25)*10000000+(N('Dvd Calendar'!$AF$2359)&gt;0)*1000000+17*1000+28))</f>
        <v/>
      </c>
      <c r="AE173" s="41">
        <f>IF(N('Dvd Calendar'!$AG$2360)=0,"",IF(('Dvd Calendar'!$AG$2360&gt;=MIN(DATE(Summary!$C$12,1,1),Summary!$C$11))*('Dvd Calendar'!$AG$2360&lt;=MAX(DATE(Summary!$C$12,12,31),Summary!$C$15))*('Dvd Calendar'!$AG$2360&lt;=Summary!$C$11)=0,"",'Dvd Calendar'!$AG$2360*1000000000+ISNUMBER('Dvd Calendar'!$AG$2361)*100000000+('Dvd Calendar'!$AG$2365='Field Check'!$C$25)*10000000+(N('Dvd Calendar'!$AG$2359)&gt;0)*1000000+17*1000+29))</f>
        <v/>
      </c>
      <c r="AF173" s="41">
        <f>IF(N('Dvd Calendar'!$AH$2360)=0,"",IF(('Dvd Calendar'!$AH$2360&gt;=MIN(DATE(Summary!$C$12,1,1),Summary!$C$11))*('Dvd Calendar'!$AH$2360&lt;=MAX(DATE(Summary!$C$12,12,31),Summary!$C$15))*('Dvd Calendar'!$AH$2360&lt;=Summary!$C$11)=0,"",'Dvd Calendar'!$AH$2360*1000000000+ISNUMBER('Dvd Calendar'!$AH$2361)*100000000+('Dvd Calendar'!$AH$2365='Field Check'!$C$25)*10000000+(N('Dvd Calendar'!$AH$2359)&gt;0)*1000000+17*1000+30))</f>
        <v/>
      </c>
      <c r="AG173" s="41">
        <f>IF(N('Dvd Calendar'!$AI$2360)=0,"",IF(('Dvd Calendar'!$AI$2360&gt;=MIN(DATE(Summary!$C$12,1,1),Summary!$C$11))*('Dvd Calendar'!$AI$2360&lt;=MAX(DATE(Summary!$C$12,12,31),Summary!$C$15))*('Dvd Calendar'!$AI$2360&lt;=Summary!$C$11)=0,"",'Dvd Calendar'!$AI$2360*1000000000+ISNUMBER('Dvd Calendar'!$AI$2361)*100000000+('Dvd Calendar'!$AI$2365='Field Check'!$C$25)*10000000+(N('Dvd Calendar'!$AI$2359)&gt;0)*1000000+17*1000+31))</f>
        <v/>
      </c>
      <c r="AH173" s="41">
        <f>IF(N('Dvd Calendar'!$AJ$2360)=0,"",IF(('Dvd Calendar'!$AJ$2360&gt;=MIN(DATE(Summary!$C$12,1,1),Summary!$C$11))*('Dvd Calendar'!$AJ$2360&lt;=MAX(DATE(Summary!$C$12,12,31),Summary!$C$15))*('Dvd Calendar'!$AJ$2360&lt;=Summary!$C$11)=0,"",'Dvd Calendar'!$AJ$2360*1000000000+ISNUMBER('Dvd Calendar'!$AJ$2361)*100000000+('Dvd Calendar'!$AJ$2365='Field Check'!$C$25)*10000000+(N('Dvd Calendar'!$AJ$2359)&gt;0)*1000000+17*1000+32))</f>
        <v/>
      </c>
      <c r="AI173" s="41">
        <f>IF(N('Dvd Calendar'!$AK$2360)=0,"",IF(('Dvd Calendar'!$AK$2360&gt;=MIN(DATE(Summary!$C$12,1,1),Summary!$C$11))*('Dvd Calendar'!$AK$2360&lt;=MAX(DATE(Summary!$C$12,12,31),Summary!$C$15))*('Dvd Calendar'!$AK$2360&lt;=Summary!$C$11)=0,"",'Dvd Calendar'!$AK$2360*1000000000+ISNUMBER('Dvd Calendar'!$AK$2361)*100000000+('Dvd Calendar'!$AK$2365='Field Check'!$C$25)*10000000+(N('Dvd Calendar'!$AK$2359)&gt;0)*1000000+17*1000+33))</f>
        <v/>
      </c>
      <c r="AJ173" s="41">
        <f>IF(N('Dvd Calendar'!$AL$2360)=0,"",IF(('Dvd Calendar'!$AL$2360&gt;=MIN(DATE(Summary!$C$12,1,1),Summary!$C$11))*('Dvd Calendar'!$AL$2360&lt;=MAX(DATE(Summary!$C$12,12,31),Summary!$C$15))*('Dvd Calendar'!$AL$2360&lt;=Summary!$C$11)=0,"",'Dvd Calendar'!$AL$2360*1000000000+ISNUMBER('Dvd Calendar'!$AL$2361)*100000000+('Dvd Calendar'!$AL$2365='Field Check'!$C$25)*10000000+(N('Dvd Calendar'!$AL$2359)&gt;0)*1000000+17*1000+34))</f>
        <v/>
      </c>
      <c r="AK173" s="41">
        <f>IF(N('Dvd Calendar'!$AM$2360)=0,"",IF(('Dvd Calendar'!$AM$2360&gt;=MIN(DATE(Summary!$C$12,1,1),Summary!$C$11))*('Dvd Calendar'!$AM$2360&lt;=MAX(DATE(Summary!$C$12,12,31),Summary!$C$15))*('Dvd Calendar'!$AM$2360&lt;=Summary!$C$11)=0,"",'Dvd Calendar'!$AM$2360*1000000000+ISNUMBER('Dvd Calendar'!$AM$2361)*100000000+('Dvd Calendar'!$AM$2365='Field Check'!$C$25)*10000000+(N('Dvd Calendar'!$AM$2359)&gt;0)*1000000+17*1000+35))</f>
        <v/>
      </c>
      <c r="AL173" s="41">
        <f>IF(N('Dvd Calendar'!$AN$2360)=0,"",IF(('Dvd Calendar'!$AN$2360&gt;=MIN(DATE(Summary!$C$12,1,1),Summary!$C$11))*('Dvd Calendar'!$AN$2360&lt;=MAX(DATE(Summary!$C$12,12,31),Summary!$C$15))*('Dvd Calendar'!$AN$2360&lt;=Summary!$C$11)=0,"",'Dvd Calendar'!$AN$2360*1000000000+ISNUMBER('Dvd Calendar'!$AN$2361)*100000000+('Dvd Calendar'!$AN$2365='Field Check'!$C$25)*10000000+(N('Dvd Calendar'!$AN$2359)&gt;0)*1000000+17*1000+36))</f>
        <v/>
      </c>
      <c r="AM173" s="41">
        <f>IF(N('Dvd Calendar'!$AO$2360)=0,"",IF(('Dvd Calendar'!$AO$2360&gt;=MIN(DATE(Summary!$C$12,1,1),Summary!$C$11))*('Dvd Calendar'!$AO$2360&lt;=MAX(DATE(Summary!$C$12,12,31),Summary!$C$15))*('Dvd Calendar'!$AO$2360&lt;=Summary!$C$11)=0,"",'Dvd Calendar'!$AO$2360*1000000000+ISNUMBER('Dvd Calendar'!$AO$2361)*100000000+('Dvd Calendar'!$AO$2365='Field Check'!$C$25)*10000000+(N('Dvd Calendar'!$AO$2359)&gt;0)*1000000+17*1000+37))</f>
        <v/>
      </c>
      <c r="AN173" s="41">
        <f>IF(N('Dvd Calendar'!$AP$2360)=0,"",IF(('Dvd Calendar'!$AP$2360&gt;=MIN(DATE(Summary!$C$12,1,1),Summary!$C$11))*('Dvd Calendar'!$AP$2360&lt;=MAX(DATE(Summary!$C$12,12,31),Summary!$C$15))*('Dvd Calendar'!$AP$2360&lt;=Summary!$C$11)=0,"",'Dvd Calendar'!$AP$2360*1000000000+ISNUMBER('Dvd Calendar'!$AP$2361)*100000000+('Dvd Calendar'!$AP$2365='Field Check'!$C$25)*10000000+(N('Dvd Calendar'!$AP$2359)&gt;0)*1000000+17*1000+38))</f>
        <v/>
      </c>
      <c r="AO173" s="41">
        <f>IF(N('Dvd Calendar'!$AQ$2360)=0,"",IF(('Dvd Calendar'!$AQ$2360&gt;=MIN(DATE(Summary!$C$12,1,1),Summary!$C$11))*('Dvd Calendar'!$AQ$2360&lt;=MAX(DATE(Summary!$C$12,12,31),Summary!$C$15))*('Dvd Calendar'!$AQ$2360&lt;=Summary!$C$11)=0,"",'Dvd Calendar'!$AQ$2360*1000000000+ISNUMBER('Dvd Calendar'!$AQ$2361)*100000000+('Dvd Calendar'!$AQ$2365='Field Check'!$C$25)*10000000+(N('Dvd Calendar'!$AQ$2359)&gt;0)*1000000+17*1000+39))</f>
        <v/>
      </c>
      <c r="AP173" s="41">
        <f>IF(N('Dvd Calendar'!$AR$2360)=0,"",IF(('Dvd Calendar'!$AR$2360&gt;=MIN(DATE(Summary!$C$12,1,1),Summary!$C$11))*('Dvd Calendar'!$AR$2360&lt;=MAX(DATE(Summary!$C$12,12,31),Summary!$C$15))*('Dvd Calendar'!$AR$2360&lt;=Summary!$C$11)=0,"",'Dvd Calendar'!$AR$2360*1000000000+ISNUMBER('Dvd Calendar'!$AR$2361)*100000000+('Dvd Calendar'!$AR$2365='Field Check'!$C$25)*10000000+(N('Dvd Calendar'!$AR$2359)&gt;0)*1000000+17*1000+40))</f>
        <v/>
      </c>
      <c r="AQ173" s="41">
        <f>IF(N('Dvd Calendar'!$E$2367)=0,"",IF(('Dvd Calendar'!$E$2367&gt;=MIN(DATE(Summary!$C$12,1,1),Summary!$C$11))*('Dvd Calendar'!$E$2367&lt;=MAX(DATE(Summary!$C$12,12,31),Summary!$C$15))*('Dvd Calendar'!$E$2367&gt;Summary!$C$11)=0,"",'Dvd Calendar'!$E$2367*1000000000+ISNUMBER('Dvd Calendar'!$E$2368)*100000000+('Dvd Calendar'!$E$2372='Field Check'!$C$25)*10000000+(N('Dvd Calendar'!$E$2366)&gt;0)*1000000+17*1000+41))</f>
        <v/>
      </c>
      <c r="AR173" s="41">
        <f>IF(N('Dvd Calendar'!$F$2367)=0,"",IF(('Dvd Calendar'!$F$2367&gt;=MIN(DATE(Summary!$C$12,1,1),Summary!$C$11))*('Dvd Calendar'!$F$2367&lt;=MAX(DATE(Summary!$C$12,12,31),Summary!$C$15))*('Dvd Calendar'!$F$2367&gt;Summary!$C$11)=0,"",'Dvd Calendar'!$F$2367*1000000000+ISNUMBER('Dvd Calendar'!$F$2368)*100000000+('Dvd Calendar'!$F$2372='Field Check'!$C$25)*10000000+(N('Dvd Calendar'!$F$2366)&gt;0)*1000000+17*1000+42))</f>
        <v/>
      </c>
      <c r="AS173" s="41">
        <f>IF(N('Dvd Calendar'!$G$2367)=0,"",IF(('Dvd Calendar'!$G$2367&gt;=MIN(DATE(Summary!$C$12,1,1),Summary!$C$11))*('Dvd Calendar'!$G$2367&lt;=MAX(DATE(Summary!$C$12,12,31),Summary!$C$15))*('Dvd Calendar'!$G$2367&gt;Summary!$C$11)=0,"",'Dvd Calendar'!$G$2367*1000000000+ISNUMBER('Dvd Calendar'!$G$2368)*100000000+('Dvd Calendar'!$G$2372='Field Check'!$C$25)*10000000+(N('Dvd Calendar'!$G$2366)&gt;0)*1000000+17*1000+43))</f>
        <v/>
      </c>
      <c r="AT173" s="41">
        <f>IF(N('Dvd Calendar'!$H$2367)=0,"",IF(('Dvd Calendar'!$H$2367&gt;=MIN(DATE(Summary!$C$12,1,1),Summary!$C$11))*('Dvd Calendar'!$H$2367&lt;=MAX(DATE(Summary!$C$12,12,31),Summary!$C$15))*('Dvd Calendar'!$H$2367&gt;Summary!$C$11)=0,"",'Dvd Calendar'!$H$2367*1000000000+ISNUMBER('Dvd Calendar'!$H$2368)*100000000+('Dvd Calendar'!$H$2372='Field Check'!$C$25)*10000000+(N('Dvd Calendar'!$H$2366)&gt;0)*1000000+17*1000+44))</f>
        <v/>
      </c>
      <c r="AU173" s="41">
        <f>IF(N('Dvd Calendar'!$I$2367)=0,"",IF(('Dvd Calendar'!$I$2367&gt;=MIN(DATE(Summary!$C$12,1,1),Summary!$C$11))*('Dvd Calendar'!$I$2367&lt;=MAX(DATE(Summary!$C$12,12,31),Summary!$C$15))*('Dvd Calendar'!$I$2367&gt;Summary!$C$11)=0,"",'Dvd Calendar'!$I$2367*1000000000+ISNUMBER('Dvd Calendar'!$I$2368)*100000000+('Dvd Calendar'!$I$2372='Field Check'!$C$25)*10000000+(N('Dvd Calendar'!$I$2366)&gt;0)*1000000+17*1000+45))</f>
        <v/>
      </c>
      <c r="AV173" s="41">
        <f>IF(N('Dvd Calendar'!$J$2367)=0,"",IF(('Dvd Calendar'!$J$2367&gt;=MIN(DATE(Summary!$C$12,1,1),Summary!$C$11))*('Dvd Calendar'!$J$2367&lt;=MAX(DATE(Summary!$C$12,12,31),Summary!$C$15))*('Dvd Calendar'!$J$2367&gt;Summary!$C$11)=0,"",'Dvd Calendar'!$J$2367*1000000000+ISNUMBER('Dvd Calendar'!$J$2368)*100000000+('Dvd Calendar'!$J$2372='Field Check'!$C$25)*10000000+(N('Dvd Calendar'!$J$2366)&gt;0)*1000000+17*1000+46))</f>
        <v/>
      </c>
      <c r="AW173" s="41">
        <f>IF(N('Dvd Calendar'!$K$2367)=0,"",IF(('Dvd Calendar'!$K$2367&gt;=MIN(DATE(Summary!$C$12,1,1),Summary!$C$11))*('Dvd Calendar'!$K$2367&lt;=MAX(DATE(Summary!$C$12,12,31),Summary!$C$15))*('Dvd Calendar'!$K$2367&gt;Summary!$C$11)=0,"",'Dvd Calendar'!$K$2367*1000000000+ISNUMBER('Dvd Calendar'!$K$2368)*100000000+('Dvd Calendar'!$K$2372='Field Check'!$C$25)*10000000+(N('Dvd Calendar'!$K$2366)&gt;0)*1000000+17*1000+47))</f>
        <v/>
      </c>
      <c r="AX173" s="41">
        <f>IF(N('Dvd Calendar'!$L$2367)=0,"",IF(('Dvd Calendar'!$L$2367&gt;=MIN(DATE(Summary!$C$12,1,1),Summary!$C$11))*('Dvd Calendar'!$L$2367&lt;=MAX(DATE(Summary!$C$12,12,31),Summary!$C$15))*('Dvd Calendar'!$L$2367&gt;Summary!$C$11)=0,"",'Dvd Calendar'!$L$2367*1000000000+ISNUMBER('Dvd Calendar'!$L$2368)*100000000+('Dvd Calendar'!$L$2372='Field Check'!$C$25)*10000000+(N('Dvd Calendar'!$L$2366)&gt;0)*1000000+17*1000+48))</f>
        <v/>
      </c>
      <c r="AY173" s="41">
        <f>IF(N('Dvd Calendar'!$M$2367)=0,"",IF(('Dvd Calendar'!$M$2367&gt;=MIN(DATE(Summary!$C$12,1,1),Summary!$C$11))*('Dvd Calendar'!$M$2367&lt;=MAX(DATE(Summary!$C$12,12,31),Summary!$C$15))*('Dvd Calendar'!$M$2367&gt;Summary!$C$11)=0,"",'Dvd Calendar'!$M$2367*1000000000+ISNUMBER('Dvd Calendar'!$M$2368)*100000000+('Dvd Calendar'!$M$2372='Field Check'!$C$25)*10000000+(N('Dvd Calendar'!$M$2366)&gt;0)*1000000+17*1000+49))</f>
        <v/>
      </c>
      <c r="AZ173" s="41">
        <f>IF(N('Dvd Calendar'!$N$2367)=0,"",IF(('Dvd Calendar'!$N$2367&gt;=MIN(DATE(Summary!$C$12,1,1),Summary!$C$11))*('Dvd Calendar'!$N$2367&lt;=MAX(DATE(Summary!$C$12,12,31),Summary!$C$15))*('Dvd Calendar'!$N$2367&gt;Summary!$C$11)=0,"",'Dvd Calendar'!$N$2367*1000000000+ISNUMBER('Dvd Calendar'!$N$2368)*100000000+('Dvd Calendar'!$N$2372='Field Check'!$C$25)*10000000+(N('Dvd Calendar'!$N$2366)&gt;0)*1000000+17*1000+50))</f>
        <v/>
      </c>
      <c r="BA173" s="41">
        <f>IF(N('Dvd Calendar'!$O$2367)=0,"",IF(('Dvd Calendar'!$O$2367&gt;=MIN(DATE(Summary!$C$12,1,1),Summary!$C$11))*('Dvd Calendar'!$O$2367&lt;=MAX(DATE(Summary!$C$12,12,31),Summary!$C$15))*('Dvd Calendar'!$O$2367&gt;Summary!$C$11)=0,"",'Dvd Calendar'!$O$2367*1000000000+ISNUMBER('Dvd Calendar'!$O$2368)*100000000+('Dvd Calendar'!$O$2372='Field Check'!$C$25)*10000000+(N('Dvd Calendar'!$O$2366)&gt;0)*1000000+17*1000+51))</f>
        <v/>
      </c>
      <c r="BB173" s="41">
        <f>IF(N('Dvd Calendar'!$P$2367)=0,"",IF(('Dvd Calendar'!$P$2367&gt;=MIN(DATE(Summary!$C$12,1,1),Summary!$C$11))*('Dvd Calendar'!$P$2367&lt;=MAX(DATE(Summary!$C$12,12,31),Summary!$C$15))*('Dvd Calendar'!$P$2367&gt;Summary!$C$11)=0,"",'Dvd Calendar'!$P$2367*1000000000+ISNUMBER('Dvd Calendar'!$P$2368)*100000000+('Dvd Calendar'!$P$2372='Field Check'!$C$25)*10000000+(N('Dvd Calendar'!$P$2366)&gt;0)*1000000+17*1000+52))</f>
        <v/>
      </c>
      <c r="BC173" s="41">
        <f>IF(N('Dvd Calendar'!$Q$2367)=0,"",IF(('Dvd Calendar'!$Q$2367&gt;=MIN(DATE(Summary!$C$12,1,1),Summary!$C$11))*('Dvd Calendar'!$Q$2367&lt;=MAX(DATE(Summary!$C$12,12,31),Summary!$C$15))*('Dvd Calendar'!$Q$2367&gt;Summary!$C$11)=0,"",'Dvd Calendar'!$Q$2367*1000000000+ISNUMBER('Dvd Calendar'!$Q$2368)*100000000+('Dvd Calendar'!$Q$2372='Field Check'!$C$25)*10000000+(N('Dvd Calendar'!$Q$2366)&gt;0)*1000000+17*1000+53))</f>
        <v/>
      </c>
      <c r="BD173" s="41">
        <f>IF(N('Dvd Calendar'!$R$2367)=0,"",IF(('Dvd Calendar'!$R$2367&gt;=MIN(DATE(Summary!$C$12,1,1),Summary!$C$11))*('Dvd Calendar'!$R$2367&lt;=MAX(DATE(Summary!$C$12,12,31),Summary!$C$15))*('Dvd Calendar'!$R$2367&gt;Summary!$C$11)=0,"",'Dvd Calendar'!$R$2367*1000000000+ISNUMBER('Dvd Calendar'!$R$2368)*100000000+('Dvd Calendar'!$R$2372='Field Check'!$C$25)*10000000+(N('Dvd Calendar'!$R$2366)&gt;0)*1000000+17*1000+54))</f>
        <v/>
      </c>
      <c r="BE173" s="41">
        <f>IF(N('Dvd Calendar'!$S$2367)=0,"",IF(('Dvd Calendar'!$S$2367&gt;=MIN(DATE(Summary!$C$12,1,1),Summary!$C$11))*('Dvd Calendar'!$S$2367&lt;=MAX(DATE(Summary!$C$12,12,31),Summary!$C$15))*('Dvd Calendar'!$S$2367&gt;Summary!$C$11)=0,"",'Dvd Calendar'!$S$2367*1000000000+ISNUMBER('Dvd Calendar'!$S$2368)*100000000+('Dvd Calendar'!$S$2372='Field Check'!$C$25)*10000000+(N('Dvd Calendar'!$S$2366)&gt;0)*1000000+17*1000+55))</f>
        <v/>
      </c>
      <c r="BF173" s="41">
        <f>IF(N('Dvd Calendar'!$T$2367)=0,"",IF(('Dvd Calendar'!$T$2367&gt;=MIN(DATE(Summary!$C$12,1,1),Summary!$C$11))*('Dvd Calendar'!$T$2367&lt;=MAX(DATE(Summary!$C$12,12,31),Summary!$C$15))*('Dvd Calendar'!$T$2367&gt;Summary!$C$11)=0,"",'Dvd Calendar'!$T$2367*1000000000+ISNUMBER('Dvd Calendar'!$T$2368)*100000000+('Dvd Calendar'!$T$2372='Field Check'!$C$25)*10000000+(N('Dvd Calendar'!$T$2366)&gt;0)*1000000+17*1000+56))</f>
        <v/>
      </c>
      <c r="BG173" s="41">
        <f>IF(N('Dvd Calendar'!$U$2367)=0,"",IF(('Dvd Calendar'!$U$2367&gt;=MIN(DATE(Summary!$C$12,1,1),Summary!$C$11))*('Dvd Calendar'!$U$2367&lt;=MAX(DATE(Summary!$C$12,12,31),Summary!$C$15))*('Dvd Calendar'!$U$2367&gt;Summary!$C$11)=0,"",'Dvd Calendar'!$U$2367*1000000000+ISNUMBER('Dvd Calendar'!$U$2368)*100000000+('Dvd Calendar'!$U$2372='Field Check'!$C$25)*10000000+(N('Dvd Calendar'!$U$2366)&gt;0)*1000000+17*1000+57))</f>
        <v/>
      </c>
      <c r="BH173" s="41">
        <f>IF(N('Dvd Calendar'!$V$2367)=0,"",IF(('Dvd Calendar'!$V$2367&gt;=MIN(DATE(Summary!$C$12,1,1),Summary!$C$11))*('Dvd Calendar'!$V$2367&lt;=MAX(DATE(Summary!$C$12,12,31),Summary!$C$15))*('Dvd Calendar'!$V$2367&gt;Summary!$C$11)=0,"",'Dvd Calendar'!$V$2367*1000000000+ISNUMBER('Dvd Calendar'!$V$2368)*100000000+('Dvd Calendar'!$V$2372='Field Check'!$C$25)*10000000+(N('Dvd Calendar'!$V$2366)&gt;0)*1000000+17*1000+58))</f>
        <v/>
      </c>
      <c r="BI173" s="41">
        <f>IF(N('Dvd Calendar'!$W$2367)=0,"",IF(('Dvd Calendar'!$W$2367&gt;=MIN(DATE(Summary!$C$12,1,1),Summary!$C$11))*('Dvd Calendar'!$W$2367&lt;=MAX(DATE(Summary!$C$12,12,31),Summary!$C$15))*('Dvd Calendar'!$W$2367&gt;Summary!$C$11)=0,"",'Dvd Calendar'!$W$2367*1000000000+ISNUMBER('Dvd Calendar'!$W$2368)*100000000+('Dvd Calendar'!$W$2372='Field Check'!$C$25)*10000000+(N('Dvd Calendar'!$W$2366)&gt;0)*1000000+17*1000+59))</f>
        <v/>
      </c>
      <c r="BJ173" s="41">
        <f>IF(N('Dvd Calendar'!$X$2367)=0,"",IF(('Dvd Calendar'!$X$2367&gt;=MIN(DATE(Summary!$C$12,1,1),Summary!$C$11))*('Dvd Calendar'!$X$2367&lt;=MAX(DATE(Summary!$C$12,12,31),Summary!$C$15))*('Dvd Calendar'!$X$2367&gt;Summary!$C$11)=0,"",'Dvd Calendar'!$X$2367*1000000000+ISNUMBER('Dvd Calendar'!$X$2368)*100000000+('Dvd Calendar'!$X$2372='Field Check'!$C$25)*10000000+(N('Dvd Calendar'!$X$2366)&gt;0)*1000000+17*1000+60))</f>
        <v/>
      </c>
      <c r="BK173" s="41">
        <f>IF(N('Dvd Calendar'!$Y$2367)=0,"",IF(('Dvd Calendar'!$Y$2367&gt;=MIN(DATE(Summary!$C$12,1,1),Summary!$C$11))*('Dvd Calendar'!$Y$2367&lt;=MAX(DATE(Summary!$C$12,12,31),Summary!$C$15))*('Dvd Calendar'!$Y$2367&gt;Summary!$C$11)=0,"",'Dvd Calendar'!$Y$2367*1000000000+ISNUMBER('Dvd Calendar'!$Y$2368)*100000000+('Dvd Calendar'!$Y$2372='Field Check'!$C$25)*10000000+(N('Dvd Calendar'!$Y$2366)&gt;0)*1000000+17*1000+61))</f>
        <v/>
      </c>
      <c r="BL173" s="41">
        <f>IF(N('Dvd Calendar'!$Z$2367)=0,"",IF(('Dvd Calendar'!$Z$2367&gt;=MIN(DATE(Summary!$C$12,1,1),Summary!$C$11))*('Dvd Calendar'!$Z$2367&lt;=MAX(DATE(Summary!$C$12,12,31),Summary!$C$15))*('Dvd Calendar'!$Z$2367&gt;Summary!$C$11)=0,"",'Dvd Calendar'!$Z$2367*1000000000+ISNUMBER('Dvd Calendar'!$Z$2368)*100000000+('Dvd Calendar'!$Z$2372='Field Check'!$C$25)*10000000+(N('Dvd Calendar'!$Z$2366)&gt;0)*1000000+17*1000+62))</f>
        <v/>
      </c>
      <c r="BM173" s="41">
        <f>IF(N('Dvd Calendar'!$AA$2367)=0,"",IF(('Dvd Calendar'!$AA$2367&gt;=MIN(DATE(Summary!$C$12,1,1),Summary!$C$11))*('Dvd Calendar'!$AA$2367&lt;=MAX(DATE(Summary!$C$12,12,31),Summary!$C$15))*('Dvd Calendar'!$AA$2367&gt;Summary!$C$11)=0,"",'Dvd Calendar'!$AA$2367*1000000000+ISNUMBER('Dvd Calendar'!$AA$2368)*100000000+('Dvd Calendar'!$AA$2372='Field Check'!$C$25)*10000000+(N('Dvd Calendar'!$AA$2366)&gt;0)*1000000+17*1000+63))</f>
        <v/>
      </c>
      <c r="BN173" s="41">
        <f>IF(N('Dvd Calendar'!$AB$2367)=0,"",IF(('Dvd Calendar'!$AB$2367&gt;=MIN(DATE(Summary!$C$12,1,1),Summary!$C$11))*('Dvd Calendar'!$AB$2367&lt;=MAX(DATE(Summary!$C$12,12,31),Summary!$C$15))*('Dvd Calendar'!$AB$2367&gt;Summary!$C$11)=0,"",'Dvd Calendar'!$AB$2367*1000000000+ISNUMBER('Dvd Calendar'!$AB$2368)*100000000+('Dvd Calendar'!$AB$2372='Field Check'!$C$25)*10000000+(N('Dvd Calendar'!$AB$2366)&gt;0)*1000000+17*1000+64))</f>
        <v/>
      </c>
      <c r="BO173" s="41">
        <f>IF(N('Dvd Calendar'!$AC$2367)=0,"",IF(('Dvd Calendar'!$AC$2367&gt;=MIN(DATE(Summary!$C$12,1,1),Summary!$C$11))*('Dvd Calendar'!$AC$2367&lt;=MAX(DATE(Summary!$C$12,12,31),Summary!$C$15))*('Dvd Calendar'!$AC$2367&gt;Summary!$C$11)=0,"",'Dvd Calendar'!$AC$2367*1000000000+ISNUMBER('Dvd Calendar'!$AC$2368)*100000000+('Dvd Calendar'!$AC$2372='Field Check'!$C$25)*10000000+(N('Dvd Calendar'!$AC$2366)&gt;0)*1000000+17*1000+65))</f>
        <v/>
      </c>
      <c r="BQ173" s="85">
        <f>IF(C173="","",IF(ISNUMBER('Dvd Calendar'!$E$2361)=FALSE,"",IF((Summary!$C$13="N")*('Dvd Calendar'!$E$2365='Field Check'!$C$25)&gt;0,"",'Dvd Calendar'!$E$2361)))</f>
        <v/>
      </c>
      <c r="BR173" s="85">
        <f>IF(D173="","",IF(ISNUMBER('Dvd Calendar'!$F$2361)=FALSE,"",IF((Summary!$C$13="N")*('Dvd Calendar'!$F$2365='Field Check'!$C$25)&gt;0,"",'Dvd Calendar'!$F$2361)))</f>
        <v/>
      </c>
      <c r="BS173" s="85">
        <f>IF(E173="","",IF(ISNUMBER('Dvd Calendar'!$G$2361)=FALSE,"",IF((Summary!$C$13="N")*('Dvd Calendar'!$G$2365='Field Check'!$C$25)&gt;0,"",'Dvd Calendar'!$G$2361)))</f>
        <v/>
      </c>
      <c r="BT173" s="85">
        <f>IF(F173="","",IF(ISNUMBER('Dvd Calendar'!$H$2361)=FALSE,"",IF((Summary!$C$13="N")*('Dvd Calendar'!$H$2365='Field Check'!$C$25)&gt;0,"",'Dvd Calendar'!$H$2361)))</f>
        <v/>
      </c>
      <c r="BU173" s="85">
        <f>IF(G173="","",IF(ISNUMBER('Dvd Calendar'!$I$2361)=FALSE,"",IF((Summary!$C$13="N")*('Dvd Calendar'!$I$2365='Field Check'!$C$25)&gt;0,"",'Dvd Calendar'!$I$2361)))</f>
        <v/>
      </c>
      <c r="BV173" s="85">
        <f>IF(H173="","",IF(ISNUMBER('Dvd Calendar'!$J$2361)=FALSE,"",IF((Summary!$C$13="N")*('Dvd Calendar'!$J$2365='Field Check'!$C$25)&gt;0,"",'Dvd Calendar'!$J$2361)))</f>
        <v/>
      </c>
      <c r="BW173" s="85">
        <f>IF(I173="","",IF(ISNUMBER('Dvd Calendar'!$K$2361)=FALSE,"",IF((Summary!$C$13="N")*('Dvd Calendar'!$K$2365='Field Check'!$C$25)&gt;0,"",'Dvd Calendar'!$K$2361)))</f>
        <v/>
      </c>
      <c r="BX173" s="85">
        <f>IF(J173="","",IF(ISNUMBER('Dvd Calendar'!$L$2361)=FALSE,"",IF((Summary!$C$13="N")*('Dvd Calendar'!$L$2365='Field Check'!$C$25)&gt;0,"",'Dvd Calendar'!$L$2361)))</f>
        <v/>
      </c>
      <c r="BY173" s="85">
        <f>IF(K173="","",IF(ISNUMBER('Dvd Calendar'!$M$2361)=FALSE,"",IF((Summary!$C$13="N")*('Dvd Calendar'!$M$2365='Field Check'!$C$25)&gt;0,"",'Dvd Calendar'!$M$2361)))</f>
        <v/>
      </c>
      <c r="BZ173" s="85">
        <f>IF(L173="","",IF(ISNUMBER('Dvd Calendar'!$N$2361)=FALSE,"",IF((Summary!$C$13="N")*('Dvd Calendar'!$N$2365='Field Check'!$C$25)&gt;0,"",'Dvd Calendar'!$N$2361)))</f>
        <v/>
      </c>
      <c r="CA173" s="85">
        <f>IF(M173="","",IF(ISNUMBER('Dvd Calendar'!$O$2361)=FALSE,"",IF((Summary!$C$13="N")*('Dvd Calendar'!$O$2365='Field Check'!$C$25)&gt;0,"",'Dvd Calendar'!$O$2361)))</f>
        <v/>
      </c>
      <c r="CB173" s="85">
        <f>IF(N173="","",IF(ISNUMBER('Dvd Calendar'!$P$2361)=FALSE,"",IF((Summary!$C$13="N")*('Dvd Calendar'!$P$2365='Field Check'!$C$25)&gt;0,"",'Dvd Calendar'!$P$2361)))</f>
        <v/>
      </c>
      <c r="CC173" s="85">
        <f>IF(O173="","",IF(ISNUMBER('Dvd Calendar'!$Q$2361)=FALSE,"",IF((Summary!$C$13="N")*('Dvd Calendar'!$Q$2365='Field Check'!$C$25)&gt;0,"",'Dvd Calendar'!$Q$2361)))</f>
        <v/>
      </c>
      <c r="CD173" s="85">
        <f>IF(P173="","",IF(ISNUMBER('Dvd Calendar'!$R$2361)=FALSE,"",IF((Summary!$C$13="N")*('Dvd Calendar'!$R$2365='Field Check'!$C$25)&gt;0,"",'Dvd Calendar'!$R$2361)))</f>
        <v/>
      </c>
      <c r="CE173" s="85">
        <f>IF(Q173="","",IF(ISNUMBER('Dvd Calendar'!$S$2361)=FALSE,"",IF((Summary!$C$13="N")*('Dvd Calendar'!$S$2365='Field Check'!$C$25)&gt;0,"",'Dvd Calendar'!$S$2361)))</f>
        <v/>
      </c>
      <c r="CF173" s="85">
        <f>IF(R173="","",IF(ISNUMBER('Dvd Calendar'!$T$2361)=FALSE,"",IF((Summary!$C$13="N")*('Dvd Calendar'!$T$2365='Field Check'!$C$25)&gt;0,"",'Dvd Calendar'!$T$2361)))</f>
        <v/>
      </c>
      <c r="CG173" s="85">
        <f>IF(S173="","",IF(ISNUMBER('Dvd Calendar'!$U$2361)=FALSE,"",IF((Summary!$C$13="N")*('Dvd Calendar'!$U$2365='Field Check'!$C$25)&gt;0,"",'Dvd Calendar'!$U$2361)))</f>
        <v/>
      </c>
      <c r="CH173" s="85">
        <f>IF(T173="","",IF(ISNUMBER('Dvd Calendar'!$V$2361)=FALSE,"",IF((Summary!$C$13="N")*('Dvd Calendar'!$V$2365='Field Check'!$C$25)&gt;0,"",'Dvd Calendar'!$V$2361)))</f>
        <v/>
      </c>
      <c r="CI173" s="85">
        <f>IF(U173="","",IF(ISNUMBER('Dvd Calendar'!$W$2361)=FALSE,"",IF((Summary!$C$13="N")*('Dvd Calendar'!$W$2365='Field Check'!$C$25)&gt;0,"",'Dvd Calendar'!$W$2361)))</f>
        <v/>
      </c>
      <c r="CJ173" s="85">
        <f>IF(V173="","",IF(ISNUMBER('Dvd Calendar'!$X$2361)=FALSE,"",IF((Summary!$C$13="N")*('Dvd Calendar'!$X$2365='Field Check'!$C$25)&gt;0,"",'Dvd Calendar'!$X$2361)))</f>
        <v/>
      </c>
      <c r="CK173" s="85">
        <f>IF(W173="","",IF(ISNUMBER('Dvd Calendar'!$Y$2361)=FALSE,"",IF((Summary!$C$13="N")*('Dvd Calendar'!$Y$2365='Field Check'!$C$25)&gt;0,"",'Dvd Calendar'!$Y$2361)))</f>
        <v/>
      </c>
      <c r="CL173" s="85">
        <f>IF(X173="","",IF(ISNUMBER('Dvd Calendar'!$Z$2361)=FALSE,"",IF((Summary!$C$13="N")*('Dvd Calendar'!$Z$2365='Field Check'!$C$25)&gt;0,"",'Dvd Calendar'!$Z$2361)))</f>
        <v/>
      </c>
      <c r="CM173" s="85">
        <f>IF(Y173="","",IF(ISNUMBER('Dvd Calendar'!$AA$2361)=FALSE,"",IF((Summary!$C$13="N")*('Dvd Calendar'!$AA$2365='Field Check'!$C$25)&gt;0,"",'Dvd Calendar'!$AA$2361)))</f>
        <v/>
      </c>
      <c r="CN173" s="85">
        <f>IF(Z173="","",IF(ISNUMBER('Dvd Calendar'!$AB$2361)=FALSE,"",IF((Summary!$C$13="N")*('Dvd Calendar'!$AB$2365='Field Check'!$C$25)&gt;0,"",'Dvd Calendar'!$AB$2361)))</f>
        <v/>
      </c>
      <c r="CO173" s="85">
        <f>IF(AA173="","",IF(ISNUMBER('Dvd Calendar'!$AC$2361)=FALSE,"",IF((Summary!$C$13="N")*('Dvd Calendar'!$AC$2365='Field Check'!$C$25)&gt;0,"",'Dvd Calendar'!$AC$2361)))</f>
        <v/>
      </c>
      <c r="CP173" s="85">
        <f>IF(AB173="","",IF(ISNUMBER('Dvd Calendar'!$AD$2361)=FALSE,"",IF((Summary!$C$13="N")*('Dvd Calendar'!$AD$2365='Field Check'!$C$25)&gt;0,"",'Dvd Calendar'!$AD$2361)))</f>
        <v/>
      </c>
      <c r="CQ173" s="85">
        <f>IF(AC173="","",IF(ISNUMBER('Dvd Calendar'!$AE$2361)=FALSE,"",IF((Summary!$C$13="N")*('Dvd Calendar'!$AE$2365='Field Check'!$C$25)&gt;0,"",'Dvd Calendar'!$AE$2361)))</f>
        <v/>
      </c>
      <c r="CR173" s="85">
        <f>IF(AD173="","",IF(ISNUMBER('Dvd Calendar'!$AF$2361)=FALSE,"",IF((Summary!$C$13="N")*('Dvd Calendar'!$AF$2365='Field Check'!$C$25)&gt;0,"",'Dvd Calendar'!$AF$2361)))</f>
        <v/>
      </c>
      <c r="CS173" s="85">
        <f>IF(AE173="","",IF(ISNUMBER('Dvd Calendar'!$AG$2361)=FALSE,"",IF((Summary!$C$13="N")*('Dvd Calendar'!$AG$2365='Field Check'!$C$25)&gt;0,"",'Dvd Calendar'!$AG$2361)))</f>
        <v/>
      </c>
      <c r="CT173" s="85">
        <f>IF(AF173="","",IF(ISNUMBER('Dvd Calendar'!$AH$2361)=FALSE,"",IF((Summary!$C$13="N")*('Dvd Calendar'!$AH$2365='Field Check'!$C$25)&gt;0,"",'Dvd Calendar'!$AH$2361)))</f>
        <v/>
      </c>
      <c r="CU173" s="85">
        <f>IF(AG173="","",IF(ISNUMBER('Dvd Calendar'!$AI$2361)=FALSE,"",IF((Summary!$C$13="N")*('Dvd Calendar'!$AI$2365='Field Check'!$C$25)&gt;0,"",'Dvd Calendar'!$AI$2361)))</f>
        <v/>
      </c>
      <c r="CV173" s="85">
        <f>IF(AH173="","",IF(ISNUMBER('Dvd Calendar'!$AJ$2361)=FALSE,"",IF((Summary!$C$13="N")*('Dvd Calendar'!$AJ$2365='Field Check'!$C$25)&gt;0,"",'Dvd Calendar'!$AJ$2361)))</f>
        <v/>
      </c>
      <c r="CW173" s="85">
        <f>IF(AI173="","",IF(ISNUMBER('Dvd Calendar'!$AK$2361)=FALSE,"",IF((Summary!$C$13="N")*('Dvd Calendar'!$AK$2365='Field Check'!$C$25)&gt;0,"",'Dvd Calendar'!$AK$2361)))</f>
        <v/>
      </c>
      <c r="CX173" s="85">
        <f>IF(AJ173="","",IF(ISNUMBER('Dvd Calendar'!$AL$2361)=FALSE,"",IF((Summary!$C$13="N")*('Dvd Calendar'!$AL$2365='Field Check'!$C$25)&gt;0,"",'Dvd Calendar'!$AL$2361)))</f>
        <v/>
      </c>
      <c r="CY173" s="85">
        <f>IF(AK173="","",IF(ISNUMBER('Dvd Calendar'!$AM$2361)=FALSE,"",IF((Summary!$C$13="N")*('Dvd Calendar'!$AM$2365='Field Check'!$C$25)&gt;0,"",'Dvd Calendar'!$AM$2361)))</f>
        <v/>
      </c>
      <c r="CZ173" s="85">
        <f>IF(AL173="","",IF(ISNUMBER('Dvd Calendar'!$AN$2361)=FALSE,"",IF((Summary!$C$13="N")*('Dvd Calendar'!$AN$2365='Field Check'!$C$25)&gt;0,"",'Dvd Calendar'!$AN$2361)))</f>
        <v/>
      </c>
      <c r="DA173" s="85">
        <f>IF(AM173="","",IF(ISNUMBER('Dvd Calendar'!$AO$2361)=FALSE,"",IF((Summary!$C$13="N")*('Dvd Calendar'!$AO$2365='Field Check'!$C$25)&gt;0,"",'Dvd Calendar'!$AO$2361)))</f>
        <v/>
      </c>
      <c r="DB173" s="85">
        <f>IF(AN173="","",IF(ISNUMBER('Dvd Calendar'!$AP$2361)=FALSE,"",IF((Summary!$C$13="N")*('Dvd Calendar'!$AP$2365='Field Check'!$C$25)&gt;0,"",'Dvd Calendar'!$AP$2361)))</f>
        <v/>
      </c>
      <c r="DC173" s="85">
        <f>IF(AO173="","",IF(ISNUMBER('Dvd Calendar'!$AQ$2361)=FALSE,"",IF((Summary!$C$13="N")*('Dvd Calendar'!$AQ$2365='Field Check'!$C$25)&gt;0,"",'Dvd Calendar'!$AQ$2361)))</f>
        <v/>
      </c>
      <c r="DD173" s="85">
        <f>IF(AP173="","",IF(ISNUMBER('Dvd Calendar'!$AR$2361)=FALSE,"",IF((Summary!$C$13="N")*('Dvd Calendar'!$AR$2365='Field Check'!$C$25)&gt;0,"",'Dvd Calendar'!$AR$2361)))</f>
        <v/>
      </c>
      <c r="DE173" s="85">
        <f>IF(AQ173="","",IF(ISNUMBER('Dvd Calendar'!$E$2368)=FALSE,"",IF((Summary!$C$13="N")*('Dvd Calendar'!$E$2372='Field Check'!$C$25)&gt;0,"",'Dvd Calendar'!$E$2368)))</f>
        <v/>
      </c>
      <c r="DF173" s="85">
        <f>IF(AR173="","",IF(ISNUMBER('Dvd Calendar'!$F$2368)=FALSE,"",IF((Summary!$C$13="N")*('Dvd Calendar'!$F$2372='Field Check'!$C$25)&gt;0,"",'Dvd Calendar'!$F$2368)))</f>
        <v/>
      </c>
      <c r="DG173" s="85">
        <f>IF(AS173="","",IF(ISNUMBER('Dvd Calendar'!$G$2368)=FALSE,"",IF((Summary!$C$13="N")*('Dvd Calendar'!$G$2372='Field Check'!$C$25)&gt;0,"",'Dvd Calendar'!$G$2368)))</f>
        <v/>
      </c>
      <c r="DH173" s="85">
        <f>IF(AT173="","",IF(ISNUMBER('Dvd Calendar'!$H$2368)=FALSE,"",IF((Summary!$C$13="N")*('Dvd Calendar'!$H$2372='Field Check'!$C$25)&gt;0,"",'Dvd Calendar'!$H$2368)))</f>
        <v/>
      </c>
      <c r="DI173" s="85">
        <f>IF(AU173="","",IF(ISNUMBER('Dvd Calendar'!$I$2368)=FALSE,"",IF((Summary!$C$13="N")*('Dvd Calendar'!$I$2372='Field Check'!$C$25)&gt;0,"",'Dvd Calendar'!$I$2368)))</f>
        <v/>
      </c>
      <c r="DJ173" s="85">
        <f>IF(AV173="","",IF(ISNUMBER('Dvd Calendar'!$J$2368)=FALSE,"",IF((Summary!$C$13="N")*('Dvd Calendar'!$J$2372='Field Check'!$C$25)&gt;0,"",'Dvd Calendar'!$J$2368)))</f>
        <v/>
      </c>
      <c r="DK173" s="85">
        <f>IF(AW173="","",IF(ISNUMBER('Dvd Calendar'!$K$2368)=FALSE,"",IF((Summary!$C$13="N")*('Dvd Calendar'!$K$2372='Field Check'!$C$25)&gt;0,"",'Dvd Calendar'!$K$2368)))</f>
        <v/>
      </c>
      <c r="DL173" s="85">
        <f>IF(AX173="","",IF(ISNUMBER('Dvd Calendar'!$L$2368)=FALSE,"",IF((Summary!$C$13="N")*('Dvd Calendar'!$L$2372='Field Check'!$C$25)&gt;0,"",'Dvd Calendar'!$L$2368)))</f>
        <v/>
      </c>
      <c r="DM173" s="85">
        <f>IF(AY173="","",IF(ISNUMBER('Dvd Calendar'!$M$2368)=FALSE,"",IF((Summary!$C$13="N")*('Dvd Calendar'!$M$2372='Field Check'!$C$25)&gt;0,"",'Dvd Calendar'!$M$2368)))</f>
        <v/>
      </c>
      <c r="DN173" s="85">
        <f>IF(AZ173="","",IF(ISNUMBER('Dvd Calendar'!$N$2368)=FALSE,"",IF((Summary!$C$13="N")*('Dvd Calendar'!$N$2372='Field Check'!$C$25)&gt;0,"",'Dvd Calendar'!$N$2368)))</f>
        <v/>
      </c>
      <c r="DO173" s="85">
        <f>IF(BA173="","",IF(ISNUMBER('Dvd Calendar'!$O$2368)=FALSE,"",IF((Summary!$C$13="N")*('Dvd Calendar'!$O$2372='Field Check'!$C$25)&gt;0,"",'Dvd Calendar'!$O$2368)))</f>
        <v/>
      </c>
      <c r="DP173" s="85">
        <f>IF(BB173="","",IF(ISNUMBER('Dvd Calendar'!$P$2368)=FALSE,"",IF((Summary!$C$13="N")*('Dvd Calendar'!$P$2372='Field Check'!$C$25)&gt;0,"",'Dvd Calendar'!$P$2368)))</f>
        <v/>
      </c>
      <c r="DQ173" s="85">
        <f>IF(BC173="","",IF(ISNUMBER('Dvd Calendar'!$Q$2368)=FALSE,"",IF((Summary!$C$13="N")*('Dvd Calendar'!$Q$2372='Field Check'!$C$25)&gt;0,"",'Dvd Calendar'!$Q$2368)))</f>
        <v/>
      </c>
      <c r="DR173" s="85">
        <f>IF(BD173="","",IF(ISNUMBER('Dvd Calendar'!$R$2368)=FALSE,"",IF((Summary!$C$13="N")*('Dvd Calendar'!$R$2372='Field Check'!$C$25)&gt;0,"",'Dvd Calendar'!$R$2368)))</f>
        <v/>
      </c>
      <c r="DS173" s="85">
        <f>IF(BE173="","",IF(ISNUMBER('Dvd Calendar'!$S$2368)=FALSE,"",IF((Summary!$C$13="N")*('Dvd Calendar'!$S$2372='Field Check'!$C$25)&gt;0,"",'Dvd Calendar'!$S$2368)))</f>
        <v/>
      </c>
      <c r="DT173" s="85">
        <f>IF(BF173="","",IF(ISNUMBER('Dvd Calendar'!$T$2368)=FALSE,"",IF((Summary!$C$13="N")*('Dvd Calendar'!$T$2372='Field Check'!$C$25)&gt;0,"",'Dvd Calendar'!$T$2368)))</f>
        <v/>
      </c>
      <c r="DU173" s="85">
        <f>IF(BG173="","",IF(ISNUMBER('Dvd Calendar'!$U$2368)=FALSE,"",IF((Summary!$C$13="N")*('Dvd Calendar'!$U$2372='Field Check'!$C$25)&gt;0,"",'Dvd Calendar'!$U$2368)))</f>
        <v/>
      </c>
      <c r="DV173" s="85">
        <f>IF(BH173="","",IF(ISNUMBER('Dvd Calendar'!$V$2368)=FALSE,"",IF((Summary!$C$13="N")*('Dvd Calendar'!$V$2372='Field Check'!$C$25)&gt;0,"",'Dvd Calendar'!$V$2368)))</f>
        <v/>
      </c>
      <c r="DW173" s="85">
        <f>IF(BI173="","",IF(ISNUMBER('Dvd Calendar'!$W$2368)=FALSE,"",IF((Summary!$C$13="N")*('Dvd Calendar'!$W$2372='Field Check'!$C$25)&gt;0,"",'Dvd Calendar'!$W$2368)))</f>
        <v/>
      </c>
      <c r="DX173" s="85">
        <f>IF(BJ173="","",IF(ISNUMBER('Dvd Calendar'!$X$2368)=FALSE,"",IF((Summary!$C$13="N")*('Dvd Calendar'!$X$2372='Field Check'!$C$25)&gt;0,"",'Dvd Calendar'!$X$2368)))</f>
        <v/>
      </c>
      <c r="DY173" s="85">
        <f>IF(BK173="","",IF(ISNUMBER('Dvd Calendar'!$Y$2368)=FALSE,"",IF((Summary!$C$13="N")*('Dvd Calendar'!$Y$2372='Field Check'!$C$25)&gt;0,"",'Dvd Calendar'!$Y$2368)))</f>
        <v/>
      </c>
      <c r="DZ173" s="85">
        <f>IF(BL173="","",IF(ISNUMBER('Dvd Calendar'!$Z$2368)=FALSE,"",IF((Summary!$C$13="N")*('Dvd Calendar'!$Z$2372='Field Check'!$C$25)&gt;0,"",'Dvd Calendar'!$Z$2368)))</f>
        <v/>
      </c>
      <c r="EA173" s="85">
        <f>IF(BM173="","",IF(ISNUMBER('Dvd Calendar'!$AA$2368)=FALSE,"",IF((Summary!$C$13="N")*('Dvd Calendar'!$AA$2372='Field Check'!$C$25)&gt;0,"",'Dvd Calendar'!$AA$2368)))</f>
        <v/>
      </c>
      <c r="EB173" s="85">
        <f>IF(BN173="","",IF(ISNUMBER('Dvd Calendar'!$AB$2368)=FALSE,"",IF((Summary!$C$13="N")*('Dvd Calendar'!$AB$2372='Field Check'!$C$25)&gt;0,"",'Dvd Calendar'!$AB$2368)))</f>
        <v/>
      </c>
      <c r="EC173" s="85">
        <f>IF(BO173="","",IF(ISNUMBER('Dvd Calendar'!$AC$2368)=FALSE,"",IF((Summary!$C$13="N")*('Dvd Calendar'!$AC$2372='Field Check'!$C$25)&gt;0,"",'Dvd Calendar'!$AC$2368)))</f>
        <v/>
      </c>
      <c r="EE173" s="85">
        <f>IF(BQ173="","",IFERROR(BQ173*HSCEI!$B$23*HSCEI!$G$23/HSCEI!$B$3,""))</f>
        <v/>
      </c>
      <c r="EF173" s="85">
        <f>IF(BR173="","",IFERROR(BR173*HSCEI!$B$23*HSCEI!$G$23/HSCEI!$B$3,""))</f>
        <v/>
      </c>
      <c r="EG173" s="85">
        <f>IF(BS173="","",IFERROR(BS173*HSCEI!$B$23*HSCEI!$G$23/HSCEI!$B$3,""))</f>
        <v/>
      </c>
      <c r="EH173" s="85">
        <f>IF(BT173="","",IFERROR(BT173*HSCEI!$B$23*HSCEI!$G$23/HSCEI!$B$3,""))</f>
        <v/>
      </c>
      <c r="EI173" s="85">
        <f>IF(BU173="","",IFERROR(BU173*HSCEI!$B$23*HSCEI!$G$23/HSCEI!$B$3,""))</f>
        <v/>
      </c>
      <c r="EJ173" s="85">
        <f>IF(BV173="","",IFERROR(BV173*HSCEI!$B$23*HSCEI!$G$23/HSCEI!$B$3,""))</f>
        <v/>
      </c>
      <c r="EK173" s="85">
        <f>IF(BW173="","",IFERROR(BW173*HSCEI!$B$23*HSCEI!$G$23/HSCEI!$B$3,""))</f>
        <v/>
      </c>
      <c r="EL173" s="85">
        <f>IF(BX173="","",IFERROR(BX173*HSCEI!$B$23*HSCEI!$G$23/HSCEI!$B$3,""))</f>
        <v/>
      </c>
      <c r="EM173" s="85">
        <f>IF(BY173="","",IFERROR(BY173*HSCEI!$B$23*HSCEI!$G$23/HSCEI!$B$3,""))</f>
        <v/>
      </c>
      <c r="EN173" s="85">
        <f>IF(BZ173="","",IFERROR(BZ173*HSCEI!$B$23*HSCEI!$G$23/HSCEI!$B$3,""))</f>
        <v/>
      </c>
      <c r="EO173" s="85">
        <f>IF(CA173="","",IFERROR(CA173*HSCEI!$B$23*HSCEI!$G$23/HSCEI!$B$3,""))</f>
        <v/>
      </c>
      <c r="EP173" s="85">
        <f>IF(CB173="","",IFERROR(CB173*HSCEI!$B$23*HSCEI!$G$23/HSCEI!$B$3,""))</f>
        <v/>
      </c>
      <c r="EQ173" s="85">
        <f>IF(CC173="","",IFERROR(CC173*HSCEI!$B$23*HSCEI!$G$23/HSCEI!$B$3,""))</f>
        <v/>
      </c>
      <c r="ER173" s="85">
        <f>IF(CD173="","",IFERROR(CD173*HSCEI!$B$23*HSCEI!$G$23/HSCEI!$B$3,""))</f>
        <v/>
      </c>
      <c r="ES173" s="85">
        <f>IF(CE173="","",IFERROR(CE173*HSCEI!$B$23*HSCEI!$G$23/HSCEI!$B$3,""))</f>
        <v/>
      </c>
      <c r="ET173" s="85">
        <f>IF(CF173="","",IFERROR(CF173*HSCEI!$B$23*HSCEI!$G$23/HSCEI!$B$3,""))</f>
        <v/>
      </c>
      <c r="EU173" s="85">
        <f>IF(CG173="","",IFERROR(CG173*HSCEI!$B$23*HSCEI!$G$23/HSCEI!$B$3,""))</f>
        <v/>
      </c>
      <c r="EV173" s="85">
        <f>IF(CH173="","",IFERROR(CH173*HSCEI!$B$23*HSCEI!$G$23/HSCEI!$B$3,""))</f>
        <v/>
      </c>
      <c r="EW173" s="85">
        <f>IF(CI173="","",IFERROR(CI173*HSCEI!$B$23*HSCEI!$G$23/HSCEI!$B$3,""))</f>
        <v/>
      </c>
      <c r="EX173" s="85">
        <f>IF(CJ173="","",IFERROR(CJ173*HSCEI!$B$23*HSCEI!$G$23/HSCEI!$B$3,""))</f>
        <v/>
      </c>
      <c r="EY173" s="85">
        <f>IF(CK173="","",IFERROR(CK173*HSCEI!$B$23*HSCEI!$G$23/HSCEI!$B$3,""))</f>
        <v/>
      </c>
      <c r="EZ173" s="85">
        <f>IF(CL173="","",IFERROR(CL173*HSCEI!$B$23*HSCEI!$G$23/HSCEI!$B$3,""))</f>
        <v/>
      </c>
      <c r="FA173" s="85">
        <f>IF(CM173="","",IFERROR(CM173*HSCEI!$B$23*HSCEI!$G$23/HSCEI!$B$3,""))</f>
        <v/>
      </c>
      <c r="FB173" s="85">
        <f>IF(CN173="","",IFERROR(CN173*HSCEI!$B$23*HSCEI!$G$23/HSCEI!$B$3,""))</f>
        <v/>
      </c>
      <c r="FC173" s="85">
        <f>IF(CO173="","",IFERROR(CO173*HSCEI!$B$23*HSCEI!$G$23/HSCEI!$B$3,""))</f>
        <v/>
      </c>
      <c r="FD173" s="85">
        <f>IF(CP173="","",IFERROR(CP173*HSCEI!$B$23*HSCEI!$G$23/HSCEI!$B$3,""))</f>
        <v/>
      </c>
      <c r="FE173" s="85">
        <f>IF(CQ173="","",IFERROR(CQ173*HSCEI!$B$23*HSCEI!$G$23/HSCEI!$B$3,""))</f>
        <v/>
      </c>
      <c r="FF173" s="85">
        <f>IF(CR173="","",IFERROR(CR173*HSCEI!$B$23*HSCEI!$G$23/HSCEI!$B$3,""))</f>
        <v/>
      </c>
      <c r="FG173" s="85">
        <f>IF(CS173="","",IFERROR(CS173*HSCEI!$B$23*HSCEI!$G$23/HSCEI!$B$3,""))</f>
        <v/>
      </c>
      <c r="FH173" s="85">
        <f>IF(CT173="","",IFERROR(CT173*HSCEI!$B$23*HSCEI!$G$23/HSCEI!$B$3,""))</f>
        <v/>
      </c>
      <c r="FI173" s="85">
        <f>IF(CU173="","",IFERROR(CU173*HSCEI!$B$23*HSCEI!$G$23/HSCEI!$B$3,""))</f>
        <v/>
      </c>
      <c r="FJ173" s="85">
        <f>IF(CV173="","",IFERROR(CV173*HSCEI!$B$23*HSCEI!$G$23/HSCEI!$B$3,""))</f>
        <v/>
      </c>
      <c r="FK173" s="85">
        <f>IF(CW173="","",IFERROR(CW173*HSCEI!$B$23*HSCEI!$G$23/HSCEI!$B$3,""))</f>
        <v/>
      </c>
      <c r="FL173" s="85">
        <f>IF(CX173="","",IFERROR(CX173*HSCEI!$B$23*HSCEI!$G$23/HSCEI!$B$3,""))</f>
        <v/>
      </c>
      <c r="FM173" s="85">
        <f>IF(CY173="","",IFERROR(CY173*HSCEI!$B$23*HSCEI!$G$23/HSCEI!$B$3,""))</f>
        <v/>
      </c>
      <c r="FN173" s="85">
        <f>IF(CZ173="","",IFERROR(CZ173*HSCEI!$B$23*HSCEI!$G$23/HSCEI!$B$3,""))</f>
        <v/>
      </c>
      <c r="FO173" s="85">
        <f>IF(DA173="","",IFERROR(DA173*HSCEI!$B$23*HSCEI!$G$23/HSCEI!$B$3,""))</f>
        <v/>
      </c>
      <c r="FP173" s="85">
        <f>IF(DB173="","",IFERROR(DB173*HSCEI!$B$23*HSCEI!$G$23/HSCEI!$B$3,""))</f>
        <v/>
      </c>
      <c r="FQ173" s="85">
        <f>IF(DC173="","",IFERROR(DC173*HSCEI!$B$23*HSCEI!$G$23/HSCEI!$B$3,""))</f>
        <v/>
      </c>
      <c r="FR173" s="85">
        <f>IF(DD173="","",IFERROR(DD173*HSCEI!$B$23*HSCEI!$G$23/HSCEI!$B$3,""))</f>
        <v/>
      </c>
      <c r="FS173" s="85">
        <f>IF(DE173="","",IFERROR(DE173*HSCEI!$B$23*HSCEI!$G$23/HSCEI!$B$3,""))</f>
        <v/>
      </c>
      <c r="FT173" s="85">
        <f>IF(DF173="","",IFERROR(DF173*HSCEI!$B$23*HSCEI!$G$23/HSCEI!$B$3,""))</f>
        <v/>
      </c>
      <c r="FU173" s="85">
        <f>IF(DG173="","",IFERROR(DG173*HSCEI!$B$23*HSCEI!$G$23/HSCEI!$B$3,""))</f>
        <v/>
      </c>
      <c r="FV173" s="85">
        <f>IF(DH173="","",IFERROR(DH173*HSCEI!$B$23*HSCEI!$G$23/HSCEI!$B$3,""))</f>
        <v/>
      </c>
      <c r="FW173" s="85">
        <f>IF(DI173="","",IFERROR(DI173*HSCEI!$B$23*HSCEI!$G$23/HSCEI!$B$3,""))</f>
        <v/>
      </c>
      <c r="FX173" s="85">
        <f>IF(DJ173="","",IFERROR(DJ173*HSCEI!$B$23*HSCEI!$G$23/HSCEI!$B$3,""))</f>
        <v/>
      </c>
      <c r="FY173" s="85">
        <f>IF(DK173="","",IFERROR(DK173*HSCEI!$B$23*HSCEI!$G$23/HSCEI!$B$3,""))</f>
        <v/>
      </c>
      <c r="FZ173" s="85">
        <f>IF(DL173="","",IFERROR(DL173*HSCEI!$B$23*HSCEI!$G$23/HSCEI!$B$3,""))</f>
        <v/>
      </c>
      <c r="GA173" s="85">
        <f>IF(DM173="","",IFERROR(DM173*HSCEI!$B$23*HSCEI!$G$23/HSCEI!$B$3,""))</f>
        <v/>
      </c>
      <c r="GB173" s="85">
        <f>IF(DN173="","",IFERROR(DN173*HSCEI!$B$23*HSCEI!$G$23/HSCEI!$B$3,""))</f>
        <v/>
      </c>
      <c r="GC173" s="85">
        <f>IF(DO173="","",IFERROR(DO173*HSCEI!$B$23*HSCEI!$G$23/HSCEI!$B$3,""))</f>
        <v/>
      </c>
      <c r="GD173" s="85">
        <f>IF(DP173="","",IFERROR(DP173*HSCEI!$B$23*HSCEI!$G$23/HSCEI!$B$3,""))</f>
        <v/>
      </c>
      <c r="GE173" s="85">
        <f>IF(DQ173="","",IFERROR(DQ173*HSCEI!$B$23*HSCEI!$G$23/HSCEI!$B$3,""))</f>
        <v/>
      </c>
      <c r="GF173" s="85">
        <f>IF(DR173="","",IFERROR(DR173*HSCEI!$B$23*HSCEI!$G$23/HSCEI!$B$3,""))</f>
        <v/>
      </c>
      <c r="GG173" s="85">
        <f>IF(DS173="","",IFERROR(DS173*HSCEI!$B$23*HSCEI!$G$23/HSCEI!$B$3,""))</f>
        <v/>
      </c>
      <c r="GH173" s="85">
        <f>IF(DT173="","",IFERROR(DT173*HSCEI!$B$23*HSCEI!$G$23/HSCEI!$B$3,""))</f>
        <v/>
      </c>
      <c r="GI173" s="85">
        <f>IF(DU173="","",IFERROR(DU173*HSCEI!$B$23*HSCEI!$G$23/HSCEI!$B$3,""))</f>
        <v/>
      </c>
      <c r="GJ173" s="85">
        <f>IF(DV173="","",IFERROR(DV173*HSCEI!$B$23*HSCEI!$G$23/HSCEI!$B$3,""))</f>
        <v/>
      </c>
      <c r="GK173" s="85">
        <f>IF(DW173="","",IFERROR(DW173*HSCEI!$B$23*HSCEI!$G$23/HSCEI!$B$3,""))</f>
        <v/>
      </c>
      <c r="GL173" s="85">
        <f>IF(DX173="","",IFERROR(DX173*HSCEI!$B$23*HSCEI!$G$23/HSCEI!$B$3,""))</f>
        <v/>
      </c>
      <c r="GM173" s="85">
        <f>IF(DY173="","",IFERROR(DY173*HSCEI!$B$23*HSCEI!$G$23/HSCEI!$B$3,""))</f>
        <v/>
      </c>
      <c r="GN173" s="85">
        <f>IF(DZ173="","",IFERROR(DZ173*HSCEI!$B$23*HSCEI!$G$23/HSCEI!$B$3,""))</f>
        <v/>
      </c>
      <c r="GO173" s="85">
        <f>IF(EA173="","",IFERROR(EA173*HSCEI!$B$23*HSCEI!$G$23/HSCEI!$B$3,""))</f>
        <v/>
      </c>
      <c r="GP173" s="85">
        <f>IF(EB173="","",IFERROR(EB173*HSCEI!$B$23*HSCEI!$G$23/HSCEI!$B$3,""))</f>
        <v/>
      </c>
      <c r="GQ173" s="85">
        <f>IF(EC173="","",IFERROR(EC173*HSCEI!$B$23*HSCEI!$G$23/HSCEI!$B$3,""))</f>
        <v/>
      </c>
    </row>
    <row r="174">
      <c r="B174" s="2">
        <f>IF(HSCEI!$C$24="","",HSCEI!$C$24)</f>
        <v/>
      </c>
      <c r="C174" s="41">
        <f>IF(N('Dvd Calendar'!$E$2375)=0,"",IF(('Dvd Calendar'!$E$2375&gt;=MIN(DATE(Summary!$C$12,1,1),Summary!$C$11))*('Dvd Calendar'!$E$2375&lt;=MAX(DATE(Summary!$C$12,12,31),Summary!$C$15))*('Dvd Calendar'!$E$2375&lt;=Summary!$C$11)=0,"",'Dvd Calendar'!$E$2375*1000000000+ISNUMBER('Dvd Calendar'!$E$2376)*100000000+('Dvd Calendar'!$E$2380='Field Check'!$C$25)*10000000+(N('Dvd Calendar'!$E$2374)&gt;0)*1000000+18*1000+1))</f>
        <v/>
      </c>
      <c r="D174" s="41">
        <f>IF(N('Dvd Calendar'!$F$2375)=0,"",IF(('Dvd Calendar'!$F$2375&gt;=MIN(DATE(Summary!$C$12,1,1),Summary!$C$11))*('Dvd Calendar'!$F$2375&lt;=MAX(DATE(Summary!$C$12,12,31),Summary!$C$15))*('Dvd Calendar'!$F$2375&lt;=Summary!$C$11)=0,"",'Dvd Calendar'!$F$2375*1000000000+ISNUMBER('Dvd Calendar'!$F$2376)*100000000+('Dvd Calendar'!$F$2380='Field Check'!$C$25)*10000000+(N('Dvd Calendar'!$F$2374)&gt;0)*1000000+18*1000+2))</f>
        <v/>
      </c>
      <c r="E174" s="41">
        <f>IF(N('Dvd Calendar'!$G$2375)=0,"",IF(('Dvd Calendar'!$G$2375&gt;=MIN(DATE(Summary!$C$12,1,1),Summary!$C$11))*('Dvd Calendar'!$G$2375&lt;=MAX(DATE(Summary!$C$12,12,31),Summary!$C$15))*('Dvd Calendar'!$G$2375&lt;=Summary!$C$11)=0,"",'Dvd Calendar'!$G$2375*1000000000+ISNUMBER('Dvd Calendar'!$G$2376)*100000000+('Dvd Calendar'!$G$2380='Field Check'!$C$25)*10000000+(N('Dvd Calendar'!$G$2374)&gt;0)*1000000+18*1000+3))</f>
        <v/>
      </c>
      <c r="F174" s="41">
        <f>IF(N('Dvd Calendar'!$H$2375)=0,"",IF(('Dvd Calendar'!$H$2375&gt;=MIN(DATE(Summary!$C$12,1,1),Summary!$C$11))*('Dvd Calendar'!$H$2375&lt;=MAX(DATE(Summary!$C$12,12,31),Summary!$C$15))*('Dvd Calendar'!$H$2375&lt;=Summary!$C$11)=0,"",'Dvd Calendar'!$H$2375*1000000000+ISNUMBER('Dvd Calendar'!$H$2376)*100000000+('Dvd Calendar'!$H$2380='Field Check'!$C$25)*10000000+(N('Dvd Calendar'!$H$2374)&gt;0)*1000000+18*1000+4))</f>
        <v/>
      </c>
      <c r="G174" s="41">
        <f>IF(N('Dvd Calendar'!$I$2375)=0,"",IF(('Dvd Calendar'!$I$2375&gt;=MIN(DATE(Summary!$C$12,1,1),Summary!$C$11))*('Dvd Calendar'!$I$2375&lt;=MAX(DATE(Summary!$C$12,12,31),Summary!$C$15))*('Dvd Calendar'!$I$2375&lt;=Summary!$C$11)=0,"",'Dvd Calendar'!$I$2375*1000000000+ISNUMBER('Dvd Calendar'!$I$2376)*100000000+('Dvd Calendar'!$I$2380='Field Check'!$C$25)*10000000+(N('Dvd Calendar'!$I$2374)&gt;0)*1000000+18*1000+5))</f>
        <v/>
      </c>
      <c r="H174" s="41">
        <f>IF(N('Dvd Calendar'!$J$2375)=0,"",IF(('Dvd Calendar'!$J$2375&gt;=MIN(DATE(Summary!$C$12,1,1),Summary!$C$11))*('Dvd Calendar'!$J$2375&lt;=MAX(DATE(Summary!$C$12,12,31),Summary!$C$15))*('Dvd Calendar'!$J$2375&lt;=Summary!$C$11)=0,"",'Dvd Calendar'!$J$2375*1000000000+ISNUMBER('Dvd Calendar'!$J$2376)*100000000+('Dvd Calendar'!$J$2380='Field Check'!$C$25)*10000000+(N('Dvd Calendar'!$J$2374)&gt;0)*1000000+18*1000+6))</f>
        <v/>
      </c>
      <c r="I174" s="41">
        <f>IF(N('Dvd Calendar'!$K$2375)=0,"",IF(('Dvd Calendar'!$K$2375&gt;=MIN(DATE(Summary!$C$12,1,1),Summary!$C$11))*('Dvd Calendar'!$K$2375&lt;=MAX(DATE(Summary!$C$12,12,31),Summary!$C$15))*('Dvd Calendar'!$K$2375&lt;=Summary!$C$11)=0,"",'Dvd Calendar'!$K$2375*1000000000+ISNUMBER('Dvd Calendar'!$K$2376)*100000000+('Dvd Calendar'!$K$2380='Field Check'!$C$25)*10000000+(N('Dvd Calendar'!$K$2374)&gt;0)*1000000+18*1000+7))</f>
        <v/>
      </c>
      <c r="J174" s="41">
        <f>IF(N('Dvd Calendar'!$L$2375)=0,"",IF(('Dvd Calendar'!$L$2375&gt;=MIN(DATE(Summary!$C$12,1,1),Summary!$C$11))*('Dvd Calendar'!$L$2375&lt;=MAX(DATE(Summary!$C$12,12,31),Summary!$C$15))*('Dvd Calendar'!$L$2375&lt;=Summary!$C$11)=0,"",'Dvd Calendar'!$L$2375*1000000000+ISNUMBER('Dvd Calendar'!$L$2376)*100000000+('Dvd Calendar'!$L$2380='Field Check'!$C$25)*10000000+(N('Dvd Calendar'!$L$2374)&gt;0)*1000000+18*1000+8))</f>
        <v/>
      </c>
      <c r="K174" s="41">
        <f>IF(N('Dvd Calendar'!$M$2375)=0,"",IF(('Dvd Calendar'!$M$2375&gt;=MIN(DATE(Summary!$C$12,1,1),Summary!$C$11))*('Dvd Calendar'!$M$2375&lt;=MAX(DATE(Summary!$C$12,12,31),Summary!$C$15))*('Dvd Calendar'!$M$2375&lt;=Summary!$C$11)=0,"",'Dvd Calendar'!$M$2375*1000000000+ISNUMBER('Dvd Calendar'!$M$2376)*100000000+('Dvd Calendar'!$M$2380='Field Check'!$C$25)*10000000+(N('Dvd Calendar'!$M$2374)&gt;0)*1000000+18*1000+9))</f>
        <v/>
      </c>
      <c r="L174" s="41">
        <f>IF(N('Dvd Calendar'!$N$2375)=0,"",IF(('Dvd Calendar'!$N$2375&gt;=MIN(DATE(Summary!$C$12,1,1),Summary!$C$11))*('Dvd Calendar'!$N$2375&lt;=MAX(DATE(Summary!$C$12,12,31),Summary!$C$15))*('Dvd Calendar'!$N$2375&lt;=Summary!$C$11)=0,"",'Dvd Calendar'!$N$2375*1000000000+ISNUMBER('Dvd Calendar'!$N$2376)*100000000+('Dvd Calendar'!$N$2380='Field Check'!$C$25)*10000000+(N('Dvd Calendar'!$N$2374)&gt;0)*1000000+18*1000+10))</f>
        <v/>
      </c>
      <c r="M174" s="41">
        <f>IF(N('Dvd Calendar'!$O$2375)=0,"",IF(('Dvd Calendar'!$O$2375&gt;=MIN(DATE(Summary!$C$12,1,1),Summary!$C$11))*('Dvd Calendar'!$O$2375&lt;=MAX(DATE(Summary!$C$12,12,31),Summary!$C$15))*('Dvd Calendar'!$O$2375&lt;=Summary!$C$11)=0,"",'Dvd Calendar'!$O$2375*1000000000+ISNUMBER('Dvd Calendar'!$O$2376)*100000000+('Dvd Calendar'!$O$2380='Field Check'!$C$25)*10000000+(N('Dvd Calendar'!$O$2374)&gt;0)*1000000+18*1000+11))</f>
        <v/>
      </c>
      <c r="N174" s="41">
        <f>IF(N('Dvd Calendar'!$P$2375)=0,"",IF(('Dvd Calendar'!$P$2375&gt;=MIN(DATE(Summary!$C$12,1,1),Summary!$C$11))*('Dvd Calendar'!$P$2375&lt;=MAX(DATE(Summary!$C$12,12,31),Summary!$C$15))*('Dvd Calendar'!$P$2375&lt;=Summary!$C$11)=0,"",'Dvd Calendar'!$P$2375*1000000000+ISNUMBER('Dvd Calendar'!$P$2376)*100000000+('Dvd Calendar'!$P$2380='Field Check'!$C$25)*10000000+(N('Dvd Calendar'!$P$2374)&gt;0)*1000000+18*1000+12))</f>
        <v/>
      </c>
      <c r="O174" s="41">
        <f>IF(N('Dvd Calendar'!$Q$2375)=0,"",IF(('Dvd Calendar'!$Q$2375&gt;=MIN(DATE(Summary!$C$12,1,1),Summary!$C$11))*('Dvd Calendar'!$Q$2375&lt;=MAX(DATE(Summary!$C$12,12,31),Summary!$C$15))*('Dvd Calendar'!$Q$2375&lt;=Summary!$C$11)=0,"",'Dvd Calendar'!$Q$2375*1000000000+ISNUMBER('Dvd Calendar'!$Q$2376)*100000000+('Dvd Calendar'!$Q$2380='Field Check'!$C$25)*10000000+(N('Dvd Calendar'!$Q$2374)&gt;0)*1000000+18*1000+13))</f>
        <v/>
      </c>
      <c r="P174" s="41">
        <f>IF(N('Dvd Calendar'!$R$2375)=0,"",IF(('Dvd Calendar'!$R$2375&gt;=MIN(DATE(Summary!$C$12,1,1),Summary!$C$11))*('Dvd Calendar'!$R$2375&lt;=MAX(DATE(Summary!$C$12,12,31),Summary!$C$15))*('Dvd Calendar'!$R$2375&lt;=Summary!$C$11)=0,"",'Dvd Calendar'!$R$2375*1000000000+ISNUMBER('Dvd Calendar'!$R$2376)*100000000+('Dvd Calendar'!$R$2380='Field Check'!$C$25)*10000000+(N('Dvd Calendar'!$R$2374)&gt;0)*1000000+18*1000+14))</f>
        <v/>
      </c>
      <c r="Q174" s="41">
        <f>IF(N('Dvd Calendar'!$S$2375)=0,"",IF(('Dvd Calendar'!$S$2375&gt;=MIN(DATE(Summary!$C$12,1,1),Summary!$C$11))*('Dvd Calendar'!$S$2375&lt;=MAX(DATE(Summary!$C$12,12,31),Summary!$C$15))*('Dvd Calendar'!$S$2375&lt;=Summary!$C$11)=0,"",'Dvd Calendar'!$S$2375*1000000000+ISNUMBER('Dvd Calendar'!$S$2376)*100000000+('Dvd Calendar'!$S$2380='Field Check'!$C$25)*10000000+(N('Dvd Calendar'!$S$2374)&gt;0)*1000000+18*1000+15))</f>
        <v/>
      </c>
      <c r="R174" s="41">
        <f>IF(N('Dvd Calendar'!$T$2375)=0,"",IF(('Dvd Calendar'!$T$2375&gt;=MIN(DATE(Summary!$C$12,1,1),Summary!$C$11))*('Dvd Calendar'!$T$2375&lt;=MAX(DATE(Summary!$C$12,12,31),Summary!$C$15))*('Dvd Calendar'!$T$2375&lt;=Summary!$C$11)=0,"",'Dvd Calendar'!$T$2375*1000000000+ISNUMBER('Dvd Calendar'!$T$2376)*100000000+('Dvd Calendar'!$T$2380='Field Check'!$C$25)*10000000+(N('Dvd Calendar'!$T$2374)&gt;0)*1000000+18*1000+16))</f>
        <v/>
      </c>
      <c r="S174" s="41">
        <f>IF(N('Dvd Calendar'!$U$2375)=0,"",IF(('Dvd Calendar'!$U$2375&gt;=MIN(DATE(Summary!$C$12,1,1),Summary!$C$11))*('Dvd Calendar'!$U$2375&lt;=MAX(DATE(Summary!$C$12,12,31),Summary!$C$15))*('Dvd Calendar'!$U$2375&lt;=Summary!$C$11)=0,"",'Dvd Calendar'!$U$2375*1000000000+ISNUMBER('Dvd Calendar'!$U$2376)*100000000+('Dvd Calendar'!$U$2380='Field Check'!$C$25)*10000000+(N('Dvd Calendar'!$U$2374)&gt;0)*1000000+18*1000+17))</f>
        <v/>
      </c>
      <c r="T174" s="41">
        <f>IF(N('Dvd Calendar'!$V$2375)=0,"",IF(('Dvd Calendar'!$V$2375&gt;=MIN(DATE(Summary!$C$12,1,1),Summary!$C$11))*('Dvd Calendar'!$V$2375&lt;=MAX(DATE(Summary!$C$12,12,31),Summary!$C$15))*('Dvd Calendar'!$V$2375&lt;=Summary!$C$11)=0,"",'Dvd Calendar'!$V$2375*1000000000+ISNUMBER('Dvd Calendar'!$V$2376)*100000000+('Dvd Calendar'!$V$2380='Field Check'!$C$25)*10000000+(N('Dvd Calendar'!$V$2374)&gt;0)*1000000+18*1000+18))</f>
        <v/>
      </c>
      <c r="U174" s="41">
        <f>IF(N('Dvd Calendar'!$W$2375)=0,"",IF(('Dvd Calendar'!$W$2375&gt;=MIN(DATE(Summary!$C$12,1,1),Summary!$C$11))*('Dvd Calendar'!$W$2375&lt;=MAX(DATE(Summary!$C$12,12,31),Summary!$C$15))*('Dvd Calendar'!$W$2375&lt;=Summary!$C$11)=0,"",'Dvd Calendar'!$W$2375*1000000000+ISNUMBER('Dvd Calendar'!$W$2376)*100000000+('Dvd Calendar'!$W$2380='Field Check'!$C$25)*10000000+(N('Dvd Calendar'!$W$2374)&gt;0)*1000000+18*1000+19))</f>
        <v/>
      </c>
      <c r="V174" s="41">
        <f>IF(N('Dvd Calendar'!$X$2375)=0,"",IF(('Dvd Calendar'!$X$2375&gt;=MIN(DATE(Summary!$C$12,1,1),Summary!$C$11))*('Dvd Calendar'!$X$2375&lt;=MAX(DATE(Summary!$C$12,12,31),Summary!$C$15))*('Dvd Calendar'!$X$2375&lt;=Summary!$C$11)=0,"",'Dvd Calendar'!$X$2375*1000000000+ISNUMBER('Dvd Calendar'!$X$2376)*100000000+('Dvd Calendar'!$X$2380='Field Check'!$C$25)*10000000+(N('Dvd Calendar'!$X$2374)&gt;0)*1000000+18*1000+20))</f>
        <v/>
      </c>
      <c r="W174" s="41">
        <f>IF(N('Dvd Calendar'!$Y$2375)=0,"",IF(('Dvd Calendar'!$Y$2375&gt;=MIN(DATE(Summary!$C$12,1,1),Summary!$C$11))*('Dvd Calendar'!$Y$2375&lt;=MAX(DATE(Summary!$C$12,12,31),Summary!$C$15))*('Dvd Calendar'!$Y$2375&lt;=Summary!$C$11)=0,"",'Dvd Calendar'!$Y$2375*1000000000+ISNUMBER('Dvd Calendar'!$Y$2376)*100000000+('Dvd Calendar'!$Y$2380='Field Check'!$C$25)*10000000+(N('Dvd Calendar'!$Y$2374)&gt;0)*1000000+18*1000+21))</f>
        <v/>
      </c>
      <c r="X174" s="41">
        <f>IF(N('Dvd Calendar'!$Z$2375)=0,"",IF(('Dvd Calendar'!$Z$2375&gt;=MIN(DATE(Summary!$C$12,1,1),Summary!$C$11))*('Dvd Calendar'!$Z$2375&lt;=MAX(DATE(Summary!$C$12,12,31),Summary!$C$15))*('Dvd Calendar'!$Z$2375&lt;=Summary!$C$11)=0,"",'Dvd Calendar'!$Z$2375*1000000000+ISNUMBER('Dvd Calendar'!$Z$2376)*100000000+('Dvd Calendar'!$Z$2380='Field Check'!$C$25)*10000000+(N('Dvd Calendar'!$Z$2374)&gt;0)*1000000+18*1000+22))</f>
        <v/>
      </c>
      <c r="Y174" s="41">
        <f>IF(N('Dvd Calendar'!$AA$2375)=0,"",IF(('Dvd Calendar'!$AA$2375&gt;=MIN(DATE(Summary!$C$12,1,1),Summary!$C$11))*('Dvd Calendar'!$AA$2375&lt;=MAX(DATE(Summary!$C$12,12,31),Summary!$C$15))*('Dvd Calendar'!$AA$2375&lt;=Summary!$C$11)=0,"",'Dvd Calendar'!$AA$2375*1000000000+ISNUMBER('Dvd Calendar'!$AA$2376)*100000000+('Dvd Calendar'!$AA$2380='Field Check'!$C$25)*10000000+(N('Dvd Calendar'!$AA$2374)&gt;0)*1000000+18*1000+23))</f>
        <v/>
      </c>
      <c r="Z174" s="41">
        <f>IF(N('Dvd Calendar'!$AB$2375)=0,"",IF(('Dvd Calendar'!$AB$2375&gt;=MIN(DATE(Summary!$C$12,1,1),Summary!$C$11))*('Dvd Calendar'!$AB$2375&lt;=MAX(DATE(Summary!$C$12,12,31),Summary!$C$15))*('Dvd Calendar'!$AB$2375&lt;=Summary!$C$11)=0,"",'Dvd Calendar'!$AB$2375*1000000000+ISNUMBER('Dvd Calendar'!$AB$2376)*100000000+('Dvd Calendar'!$AB$2380='Field Check'!$C$25)*10000000+(N('Dvd Calendar'!$AB$2374)&gt;0)*1000000+18*1000+24))</f>
        <v/>
      </c>
      <c r="AA174" s="41">
        <f>IF(N('Dvd Calendar'!$AC$2375)=0,"",IF(('Dvd Calendar'!$AC$2375&gt;=MIN(DATE(Summary!$C$12,1,1),Summary!$C$11))*('Dvd Calendar'!$AC$2375&lt;=MAX(DATE(Summary!$C$12,12,31),Summary!$C$15))*('Dvd Calendar'!$AC$2375&lt;=Summary!$C$11)=0,"",'Dvd Calendar'!$AC$2375*1000000000+ISNUMBER('Dvd Calendar'!$AC$2376)*100000000+('Dvd Calendar'!$AC$2380='Field Check'!$C$25)*10000000+(N('Dvd Calendar'!$AC$2374)&gt;0)*1000000+18*1000+25))</f>
        <v/>
      </c>
      <c r="AB174" s="41">
        <f>IF(N('Dvd Calendar'!$AD$2375)=0,"",IF(('Dvd Calendar'!$AD$2375&gt;=MIN(DATE(Summary!$C$12,1,1),Summary!$C$11))*('Dvd Calendar'!$AD$2375&lt;=MAX(DATE(Summary!$C$12,12,31),Summary!$C$15))*('Dvd Calendar'!$AD$2375&lt;=Summary!$C$11)=0,"",'Dvd Calendar'!$AD$2375*1000000000+ISNUMBER('Dvd Calendar'!$AD$2376)*100000000+('Dvd Calendar'!$AD$2380='Field Check'!$C$25)*10000000+(N('Dvd Calendar'!$AD$2374)&gt;0)*1000000+18*1000+26))</f>
        <v/>
      </c>
      <c r="AC174" s="41">
        <f>IF(N('Dvd Calendar'!$AE$2375)=0,"",IF(('Dvd Calendar'!$AE$2375&gt;=MIN(DATE(Summary!$C$12,1,1),Summary!$C$11))*('Dvd Calendar'!$AE$2375&lt;=MAX(DATE(Summary!$C$12,12,31),Summary!$C$15))*('Dvd Calendar'!$AE$2375&lt;=Summary!$C$11)=0,"",'Dvd Calendar'!$AE$2375*1000000000+ISNUMBER('Dvd Calendar'!$AE$2376)*100000000+('Dvd Calendar'!$AE$2380='Field Check'!$C$25)*10000000+(N('Dvd Calendar'!$AE$2374)&gt;0)*1000000+18*1000+27))</f>
        <v/>
      </c>
      <c r="AD174" s="41">
        <f>IF(N('Dvd Calendar'!$AF$2375)=0,"",IF(('Dvd Calendar'!$AF$2375&gt;=MIN(DATE(Summary!$C$12,1,1),Summary!$C$11))*('Dvd Calendar'!$AF$2375&lt;=MAX(DATE(Summary!$C$12,12,31),Summary!$C$15))*('Dvd Calendar'!$AF$2375&lt;=Summary!$C$11)=0,"",'Dvd Calendar'!$AF$2375*1000000000+ISNUMBER('Dvd Calendar'!$AF$2376)*100000000+('Dvd Calendar'!$AF$2380='Field Check'!$C$25)*10000000+(N('Dvd Calendar'!$AF$2374)&gt;0)*1000000+18*1000+28))</f>
        <v/>
      </c>
      <c r="AE174" s="41">
        <f>IF(N('Dvd Calendar'!$AG$2375)=0,"",IF(('Dvd Calendar'!$AG$2375&gt;=MIN(DATE(Summary!$C$12,1,1),Summary!$C$11))*('Dvd Calendar'!$AG$2375&lt;=MAX(DATE(Summary!$C$12,12,31),Summary!$C$15))*('Dvd Calendar'!$AG$2375&lt;=Summary!$C$11)=0,"",'Dvd Calendar'!$AG$2375*1000000000+ISNUMBER('Dvd Calendar'!$AG$2376)*100000000+('Dvd Calendar'!$AG$2380='Field Check'!$C$25)*10000000+(N('Dvd Calendar'!$AG$2374)&gt;0)*1000000+18*1000+29))</f>
        <v/>
      </c>
      <c r="AF174" s="41">
        <f>IF(N('Dvd Calendar'!$AH$2375)=0,"",IF(('Dvd Calendar'!$AH$2375&gt;=MIN(DATE(Summary!$C$12,1,1),Summary!$C$11))*('Dvd Calendar'!$AH$2375&lt;=MAX(DATE(Summary!$C$12,12,31),Summary!$C$15))*('Dvd Calendar'!$AH$2375&lt;=Summary!$C$11)=0,"",'Dvd Calendar'!$AH$2375*1000000000+ISNUMBER('Dvd Calendar'!$AH$2376)*100000000+('Dvd Calendar'!$AH$2380='Field Check'!$C$25)*10000000+(N('Dvd Calendar'!$AH$2374)&gt;0)*1000000+18*1000+30))</f>
        <v/>
      </c>
      <c r="AG174" s="41">
        <f>IF(N('Dvd Calendar'!$AI$2375)=0,"",IF(('Dvd Calendar'!$AI$2375&gt;=MIN(DATE(Summary!$C$12,1,1),Summary!$C$11))*('Dvd Calendar'!$AI$2375&lt;=MAX(DATE(Summary!$C$12,12,31),Summary!$C$15))*('Dvd Calendar'!$AI$2375&lt;=Summary!$C$11)=0,"",'Dvd Calendar'!$AI$2375*1000000000+ISNUMBER('Dvd Calendar'!$AI$2376)*100000000+('Dvd Calendar'!$AI$2380='Field Check'!$C$25)*10000000+(N('Dvd Calendar'!$AI$2374)&gt;0)*1000000+18*1000+31))</f>
        <v/>
      </c>
      <c r="AH174" s="41">
        <f>IF(N('Dvd Calendar'!$AJ$2375)=0,"",IF(('Dvd Calendar'!$AJ$2375&gt;=MIN(DATE(Summary!$C$12,1,1),Summary!$C$11))*('Dvd Calendar'!$AJ$2375&lt;=MAX(DATE(Summary!$C$12,12,31),Summary!$C$15))*('Dvd Calendar'!$AJ$2375&lt;=Summary!$C$11)=0,"",'Dvd Calendar'!$AJ$2375*1000000000+ISNUMBER('Dvd Calendar'!$AJ$2376)*100000000+('Dvd Calendar'!$AJ$2380='Field Check'!$C$25)*10000000+(N('Dvd Calendar'!$AJ$2374)&gt;0)*1000000+18*1000+32))</f>
        <v/>
      </c>
      <c r="AI174" s="41">
        <f>IF(N('Dvd Calendar'!$AK$2375)=0,"",IF(('Dvd Calendar'!$AK$2375&gt;=MIN(DATE(Summary!$C$12,1,1),Summary!$C$11))*('Dvd Calendar'!$AK$2375&lt;=MAX(DATE(Summary!$C$12,12,31),Summary!$C$15))*('Dvd Calendar'!$AK$2375&lt;=Summary!$C$11)=0,"",'Dvd Calendar'!$AK$2375*1000000000+ISNUMBER('Dvd Calendar'!$AK$2376)*100000000+('Dvd Calendar'!$AK$2380='Field Check'!$C$25)*10000000+(N('Dvd Calendar'!$AK$2374)&gt;0)*1000000+18*1000+33))</f>
        <v/>
      </c>
      <c r="AJ174" s="41">
        <f>IF(N('Dvd Calendar'!$AL$2375)=0,"",IF(('Dvd Calendar'!$AL$2375&gt;=MIN(DATE(Summary!$C$12,1,1),Summary!$C$11))*('Dvd Calendar'!$AL$2375&lt;=MAX(DATE(Summary!$C$12,12,31),Summary!$C$15))*('Dvd Calendar'!$AL$2375&lt;=Summary!$C$11)=0,"",'Dvd Calendar'!$AL$2375*1000000000+ISNUMBER('Dvd Calendar'!$AL$2376)*100000000+('Dvd Calendar'!$AL$2380='Field Check'!$C$25)*10000000+(N('Dvd Calendar'!$AL$2374)&gt;0)*1000000+18*1000+34))</f>
        <v/>
      </c>
      <c r="AK174" s="41">
        <f>IF(N('Dvd Calendar'!$AM$2375)=0,"",IF(('Dvd Calendar'!$AM$2375&gt;=MIN(DATE(Summary!$C$12,1,1),Summary!$C$11))*('Dvd Calendar'!$AM$2375&lt;=MAX(DATE(Summary!$C$12,12,31),Summary!$C$15))*('Dvd Calendar'!$AM$2375&lt;=Summary!$C$11)=0,"",'Dvd Calendar'!$AM$2375*1000000000+ISNUMBER('Dvd Calendar'!$AM$2376)*100000000+('Dvd Calendar'!$AM$2380='Field Check'!$C$25)*10000000+(N('Dvd Calendar'!$AM$2374)&gt;0)*1000000+18*1000+35))</f>
        <v/>
      </c>
      <c r="AL174" s="41">
        <f>IF(N('Dvd Calendar'!$AN$2375)=0,"",IF(('Dvd Calendar'!$AN$2375&gt;=MIN(DATE(Summary!$C$12,1,1),Summary!$C$11))*('Dvd Calendar'!$AN$2375&lt;=MAX(DATE(Summary!$C$12,12,31),Summary!$C$15))*('Dvd Calendar'!$AN$2375&lt;=Summary!$C$11)=0,"",'Dvd Calendar'!$AN$2375*1000000000+ISNUMBER('Dvd Calendar'!$AN$2376)*100000000+('Dvd Calendar'!$AN$2380='Field Check'!$C$25)*10000000+(N('Dvd Calendar'!$AN$2374)&gt;0)*1000000+18*1000+36))</f>
        <v/>
      </c>
      <c r="AM174" s="41">
        <f>IF(N('Dvd Calendar'!$AO$2375)=0,"",IF(('Dvd Calendar'!$AO$2375&gt;=MIN(DATE(Summary!$C$12,1,1),Summary!$C$11))*('Dvd Calendar'!$AO$2375&lt;=MAX(DATE(Summary!$C$12,12,31),Summary!$C$15))*('Dvd Calendar'!$AO$2375&lt;=Summary!$C$11)=0,"",'Dvd Calendar'!$AO$2375*1000000000+ISNUMBER('Dvd Calendar'!$AO$2376)*100000000+('Dvd Calendar'!$AO$2380='Field Check'!$C$25)*10000000+(N('Dvd Calendar'!$AO$2374)&gt;0)*1000000+18*1000+37))</f>
        <v/>
      </c>
      <c r="AN174" s="41">
        <f>IF(N('Dvd Calendar'!$AP$2375)=0,"",IF(('Dvd Calendar'!$AP$2375&gt;=MIN(DATE(Summary!$C$12,1,1),Summary!$C$11))*('Dvd Calendar'!$AP$2375&lt;=MAX(DATE(Summary!$C$12,12,31),Summary!$C$15))*('Dvd Calendar'!$AP$2375&lt;=Summary!$C$11)=0,"",'Dvd Calendar'!$AP$2375*1000000000+ISNUMBER('Dvd Calendar'!$AP$2376)*100000000+('Dvd Calendar'!$AP$2380='Field Check'!$C$25)*10000000+(N('Dvd Calendar'!$AP$2374)&gt;0)*1000000+18*1000+38))</f>
        <v/>
      </c>
      <c r="AO174" s="41">
        <f>IF(N('Dvd Calendar'!$AQ$2375)=0,"",IF(('Dvd Calendar'!$AQ$2375&gt;=MIN(DATE(Summary!$C$12,1,1),Summary!$C$11))*('Dvd Calendar'!$AQ$2375&lt;=MAX(DATE(Summary!$C$12,12,31),Summary!$C$15))*('Dvd Calendar'!$AQ$2375&lt;=Summary!$C$11)=0,"",'Dvd Calendar'!$AQ$2375*1000000000+ISNUMBER('Dvd Calendar'!$AQ$2376)*100000000+('Dvd Calendar'!$AQ$2380='Field Check'!$C$25)*10000000+(N('Dvd Calendar'!$AQ$2374)&gt;0)*1000000+18*1000+39))</f>
        <v/>
      </c>
      <c r="AP174" s="41">
        <f>IF(N('Dvd Calendar'!$AR$2375)=0,"",IF(('Dvd Calendar'!$AR$2375&gt;=MIN(DATE(Summary!$C$12,1,1),Summary!$C$11))*('Dvd Calendar'!$AR$2375&lt;=MAX(DATE(Summary!$C$12,12,31),Summary!$C$15))*('Dvd Calendar'!$AR$2375&lt;=Summary!$C$11)=0,"",'Dvd Calendar'!$AR$2375*1000000000+ISNUMBER('Dvd Calendar'!$AR$2376)*100000000+('Dvd Calendar'!$AR$2380='Field Check'!$C$25)*10000000+(N('Dvd Calendar'!$AR$2374)&gt;0)*1000000+18*1000+40))</f>
        <v/>
      </c>
      <c r="AQ174" s="41">
        <f>IF(N('Dvd Calendar'!$E$2382)=0,"",IF(('Dvd Calendar'!$E$2382&gt;=MIN(DATE(Summary!$C$12,1,1),Summary!$C$11))*('Dvd Calendar'!$E$2382&lt;=MAX(DATE(Summary!$C$12,12,31),Summary!$C$15))*('Dvd Calendar'!$E$2382&gt;Summary!$C$11)=0,"",'Dvd Calendar'!$E$2382*1000000000+ISNUMBER('Dvd Calendar'!$E$2383)*100000000+('Dvd Calendar'!$E$2387='Field Check'!$C$25)*10000000+(N('Dvd Calendar'!$E$2381)&gt;0)*1000000+18*1000+41))</f>
        <v/>
      </c>
      <c r="AR174" s="41">
        <f>IF(N('Dvd Calendar'!$F$2382)=0,"",IF(('Dvd Calendar'!$F$2382&gt;=MIN(DATE(Summary!$C$12,1,1),Summary!$C$11))*('Dvd Calendar'!$F$2382&lt;=MAX(DATE(Summary!$C$12,12,31),Summary!$C$15))*('Dvd Calendar'!$F$2382&gt;Summary!$C$11)=0,"",'Dvd Calendar'!$F$2382*1000000000+ISNUMBER('Dvd Calendar'!$F$2383)*100000000+('Dvd Calendar'!$F$2387='Field Check'!$C$25)*10000000+(N('Dvd Calendar'!$F$2381)&gt;0)*1000000+18*1000+42))</f>
        <v/>
      </c>
      <c r="AS174" s="41">
        <f>IF(N('Dvd Calendar'!$G$2382)=0,"",IF(('Dvd Calendar'!$G$2382&gt;=MIN(DATE(Summary!$C$12,1,1),Summary!$C$11))*('Dvd Calendar'!$G$2382&lt;=MAX(DATE(Summary!$C$12,12,31),Summary!$C$15))*('Dvd Calendar'!$G$2382&gt;Summary!$C$11)=0,"",'Dvd Calendar'!$G$2382*1000000000+ISNUMBER('Dvd Calendar'!$G$2383)*100000000+('Dvd Calendar'!$G$2387='Field Check'!$C$25)*10000000+(N('Dvd Calendar'!$G$2381)&gt;0)*1000000+18*1000+43))</f>
        <v/>
      </c>
      <c r="AT174" s="41">
        <f>IF(N('Dvd Calendar'!$H$2382)=0,"",IF(('Dvd Calendar'!$H$2382&gt;=MIN(DATE(Summary!$C$12,1,1),Summary!$C$11))*('Dvd Calendar'!$H$2382&lt;=MAX(DATE(Summary!$C$12,12,31),Summary!$C$15))*('Dvd Calendar'!$H$2382&gt;Summary!$C$11)=0,"",'Dvd Calendar'!$H$2382*1000000000+ISNUMBER('Dvd Calendar'!$H$2383)*100000000+('Dvd Calendar'!$H$2387='Field Check'!$C$25)*10000000+(N('Dvd Calendar'!$H$2381)&gt;0)*1000000+18*1000+44))</f>
        <v/>
      </c>
      <c r="AU174" s="41">
        <f>IF(N('Dvd Calendar'!$I$2382)=0,"",IF(('Dvd Calendar'!$I$2382&gt;=MIN(DATE(Summary!$C$12,1,1),Summary!$C$11))*('Dvd Calendar'!$I$2382&lt;=MAX(DATE(Summary!$C$12,12,31),Summary!$C$15))*('Dvd Calendar'!$I$2382&gt;Summary!$C$11)=0,"",'Dvd Calendar'!$I$2382*1000000000+ISNUMBER('Dvd Calendar'!$I$2383)*100000000+('Dvd Calendar'!$I$2387='Field Check'!$C$25)*10000000+(N('Dvd Calendar'!$I$2381)&gt;0)*1000000+18*1000+45))</f>
        <v/>
      </c>
      <c r="AV174" s="41">
        <f>IF(N('Dvd Calendar'!$J$2382)=0,"",IF(('Dvd Calendar'!$J$2382&gt;=MIN(DATE(Summary!$C$12,1,1),Summary!$C$11))*('Dvd Calendar'!$J$2382&lt;=MAX(DATE(Summary!$C$12,12,31),Summary!$C$15))*('Dvd Calendar'!$J$2382&gt;Summary!$C$11)=0,"",'Dvd Calendar'!$J$2382*1000000000+ISNUMBER('Dvd Calendar'!$J$2383)*100000000+('Dvd Calendar'!$J$2387='Field Check'!$C$25)*10000000+(N('Dvd Calendar'!$J$2381)&gt;0)*1000000+18*1000+46))</f>
        <v/>
      </c>
      <c r="AW174" s="41">
        <f>IF(N('Dvd Calendar'!$K$2382)=0,"",IF(('Dvd Calendar'!$K$2382&gt;=MIN(DATE(Summary!$C$12,1,1),Summary!$C$11))*('Dvd Calendar'!$K$2382&lt;=MAX(DATE(Summary!$C$12,12,31),Summary!$C$15))*('Dvd Calendar'!$K$2382&gt;Summary!$C$11)=0,"",'Dvd Calendar'!$K$2382*1000000000+ISNUMBER('Dvd Calendar'!$K$2383)*100000000+('Dvd Calendar'!$K$2387='Field Check'!$C$25)*10000000+(N('Dvd Calendar'!$K$2381)&gt;0)*1000000+18*1000+47))</f>
        <v/>
      </c>
      <c r="AX174" s="41">
        <f>IF(N('Dvd Calendar'!$L$2382)=0,"",IF(('Dvd Calendar'!$L$2382&gt;=MIN(DATE(Summary!$C$12,1,1),Summary!$C$11))*('Dvd Calendar'!$L$2382&lt;=MAX(DATE(Summary!$C$12,12,31),Summary!$C$15))*('Dvd Calendar'!$L$2382&gt;Summary!$C$11)=0,"",'Dvd Calendar'!$L$2382*1000000000+ISNUMBER('Dvd Calendar'!$L$2383)*100000000+('Dvd Calendar'!$L$2387='Field Check'!$C$25)*10000000+(N('Dvd Calendar'!$L$2381)&gt;0)*1000000+18*1000+48))</f>
        <v/>
      </c>
      <c r="AY174" s="41">
        <f>IF(N('Dvd Calendar'!$M$2382)=0,"",IF(('Dvd Calendar'!$M$2382&gt;=MIN(DATE(Summary!$C$12,1,1),Summary!$C$11))*('Dvd Calendar'!$M$2382&lt;=MAX(DATE(Summary!$C$12,12,31),Summary!$C$15))*('Dvd Calendar'!$M$2382&gt;Summary!$C$11)=0,"",'Dvd Calendar'!$M$2382*1000000000+ISNUMBER('Dvd Calendar'!$M$2383)*100000000+('Dvd Calendar'!$M$2387='Field Check'!$C$25)*10000000+(N('Dvd Calendar'!$M$2381)&gt;0)*1000000+18*1000+49))</f>
        <v/>
      </c>
      <c r="AZ174" s="41">
        <f>IF(N('Dvd Calendar'!$N$2382)=0,"",IF(('Dvd Calendar'!$N$2382&gt;=MIN(DATE(Summary!$C$12,1,1),Summary!$C$11))*('Dvd Calendar'!$N$2382&lt;=MAX(DATE(Summary!$C$12,12,31),Summary!$C$15))*('Dvd Calendar'!$N$2382&gt;Summary!$C$11)=0,"",'Dvd Calendar'!$N$2382*1000000000+ISNUMBER('Dvd Calendar'!$N$2383)*100000000+('Dvd Calendar'!$N$2387='Field Check'!$C$25)*10000000+(N('Dvd Calendar'!$N$2381)&gt;0)*1000000+18*1000+50))</f>
        <v/>
      </c>
      <c r="BA174" s="41">
        <f>IF(N('Dvd Calendar'!$O$2382)=0,"",IF(('Dvd Calendar'!$O$2382&gt;=MIN(DATE(Summary!$C$12,1,1),Summary!$C$11))*('Dvd Calendar'!$O$2382&lt;=MAX(DATE(Summary!$C$12,12,31),Summary!$C$15))*('Dvd Calendar'!$O$2382&gt;Summary!$C$11)=0,"",'Dvd Calendar'!$O$2382*1000000000+ISNUMBER('Dvd Calendar'!$O$2383)*100000000+('Dvd Calendar'!$O$2387='Field Check'!$C$25)*10000000+(N('Dvd Calendar'!$O$2381)&gt;0)*1000000+18*1000+51))</f>
        <v/>
      </c>
      <c r="BB174" s="41">
        <f>IF(N('Dvd Calendar'!$P$2382)=0,"",IF(('Dvd Calendar'!$P$2382&gt;=MIN(DATE(Summary!$C$12,1,1),Summary!$C$11))*('Dvd Calendar'!$P$2382&lt;=MAX(DATE(Summary!$C$12,12,31),Summary!$C$15))*('Dvd Calendar'!$P$2382&gt;Summary!$C$11)=0,"",'Dvd Calendar'!$P$2382*1000000000+ISNUMBER('Dvd Calendar'!$P$2383)*100000000+('Dvd Calendar'!$P$2387='Field Check'!$C$25)*10000000+(N('Dvd Calendar'!$P$2381)&gt;0)*1000000+18*1000+52))</f>
        <v/>
      </c>
      <c r="BC174" s="41">
        <f>IF(N('Dvd Calendar'!$Q$2382)=0,"",IF(('Dvd Calendar'!$Q$2382&gt;=MIN(DATE(Summary!$C$12,1,1),Summary!$C$11))*('Dvd Calendar'!$Q$2382&lt;=MAX(DATE(Summary!$C$12,12,31),Summary!$C$15))*('Dvd Calendar'!$Q$2382&gt;Summary!$C$11)=0,"",'Dvd Calendar'!$Q$2382*1000000000+ISNUMBER('Dvd Calendar'!$Q$2383)*100000000+('Dvd Calendar'!$Q$2387='Field Check'!$C$25)*10000000+(N('Dvd Calendar'!$Q$2381)&gt;0)*1000000+18*1000+53))</f>
        <v/>
      </c>
      <c r="BD174" s="41">
        <f>IF(N('Dvd Calendar'!$R$2382)=0,"",IF(('Dvd Calendar'!$R$2382&gt;=MIN(DATE(Summary!$C$12,1,1),Summary!$C$11))*('Dvd Calendar'!$R$2382&lt;=MAX(DATE(Summary!$C$12,12,31),Summary!$C$15))*('Dvd Calendar'!$R$2382&gt;Summary!$C$11)=0,"",'Dvd Calendar'!$R$2382*1000000000+ISNUMBER('Dvd Calendar'!$R$2383)*100000000+('Dvd Calendar'!$R$2387='Field Check'!$C$25)*10000000+(N('Dvd Calendar'!$R$2381)&gt;0)*1000000+18*1000+54))</f>
        <v/>
      </c>
      <c r="BE174" s="41">
        <f>IF(N('Dvd Calendar'!$S$2382)=0,"",IF(('Dvd Calendar'!$S$2382&gt;=MIN(DATE(Summary!$C$12,1,1),Summary!$C$11))*('Dvd Calendar'!$S$2382&lt;=MAX(DATE(Summary!$C$12,12,31),Summary!$C$15))*('Dvd Calendar'!$S$2382&gt;Summary!$C$11)=0,"",'Dvd Calendar'!$S$2382*1000000000+ISNUMBER('Dvd Calendar'!$S$2383)*100000000+('Dvd Calendar'!$S$2387='Field Check'!$C$25)*10000000+(N('Dvd Calendar'!$S$2381)&gt;0)*1000000+18*1000+55))</f>
        <v/>
      </c>
      <c r="BF174" s="41">
        <f>IF(N('Dvd Calendar'!$T$2382)=0,"",IF(('Dvd Calendar'!$T$2382&gt;=MIN(DATE(Summary!$C$12,1,1),Summary!$C$11))*('Dvd Calendar'!$T$2382&lt;=MAX(DATE(Summary!$C$12,12,31),Summary!$C$15))*('Dvd Calendar'!$T$2382&gt;Summary!$C$11)=0,"",'Dvd Calendar'!$T$2382*1000000000+ISNUMBER('Dvd Calendar'!$T$2383)*100000000+('Dvd Calendar'!$T$2387='Field Check'!$C$25)*10000000+(N('Dvd Calendar'!$T$2381)&gt;0)*1000000+18*1000+56))</f>
        <v/>
      </c>
      <c r="BG174" s="41">
        <f>IF(N('Dvd Calendar'!$U$2382)=0,"",IF(('Dvd Calendar'!$U$2382&gt;=MIN(DATE(Summary!$C$12,1,1),Summary!$C$11))*('Dvd Calendar'!$U$2382&lt;=MAX(DATE(Summary!$C$12,12,31),Summary!$C$15))*('Dvd Calendar'!$U$2382&gt;Summary!$C$11)=0,"",'Dvd Calendar'!$U$2382*1000000000+ISNUMBER('Dvd Calendar'!$U$2383)*100000000+('Dvd Calendar'!$U$2387='Field Check'!$C$25)*10000000+(N('Dvd Calendar'!$U$2381)&gt;0)*1000000+18*1000+57))</f>
        <v/>
      </c>
      <c r="BH174" s="41">
        <f>IF(N('Dvd Calendar'!$V$2382)=0,"",IF(('Dvd Calendar'!$V$2382&gt;=MIN(DATE(Summary!$C$12,1,1),Summary!$C$11))*('Dvd Calendar'!$V$2382&lt;=MAX(DATE(Summary!$C$12,12,31),Summary!$C$15))*('Dvd Calendar'!$V$2382&gt;Summary!$C$11)=0,"",'Dvd Calendar'!$V$2382*1000000000+ISNUMBER('Dvd Calendar'!$V$2383)*100000000+('Dvd Calendar'!$V$2387='Field Check'!$C$25)*10000000+(N('Dvd Calendar'!$V$2381)&gt;0)*1000000+18*1000+58))</f>
        <v/>
      </c>
      <c r="BI174" s="41">
        <f>IF(N('Dvd Calendar'!$W$2382)=0,"",IF(('Dvd Calendar'!$W$2382&gt;=MIN(DATE(Summary!$C$12,1,1),Summary!$C$11))*('Dvd Calendar'!$W$2382&lt;=MAX(DATE(Summary!$C$12,12,31),Summary!$C$15))*('Dvd Calendar'!$W$2382&gt;Summary!$C$11)=0,"",'Dvd Calendar'!$W$2382*1000000000+ISNUMBER('Dvd Calendar'!$W$2383)*100000000+('Dvd Calendar'!$W$2387='Field Check'!$C$25)*10000000+(N('Dvd Calendar'!$W$2381)&gt;0)*1000000+18*1000+59))</f>
        <v/>
      </c>
      <c r="BJ174" s="41">
        <f>IF(N('Dvd Calendar'!$X$2382)=0,"",IF(('Dvd Calendar'!$X$2382&gt;=MIN(DATE(Summary!$C$12,1,1),Summary!$C$11))*('Dvd Calendar'!$X$2382&lt;=MAX(DATE(Summary!$C$12,12,31),Summary!$C$15))*('Dvd Calendar'!$X$2382&gt;Summary!$C$11)=0,"",'Dvd Calendar'!$X$2382*1000000000+ISNUMBER('Dvd Calendar'!$X$2383)*100000000+('Dvd Calendar'!$X$2387='Field Check'!$C$25)*10000000+(N('Dvd Calendar'!$X$2381)&gt;0)*1000000+18*1000+60))</f>
        <v/>
      </c>
      <c r="BK174" s="41">
        <f>IF(N('Dvd Calendar'!$Y$2382)=0,"",IF(('Dvd Calendar'!$Y$2382&gt;=MIN(DATE(Summary!$C$12,1,1),Summary!$C$11))*('Dvd Calendar'!$Y$2382&lt;=MAX(DATE(Summary!$C$12,12,31),Summary!$C$15))*('Dvd Calendar'!$Y$2382&gt;Summary!$C$11)=0,"",'Dvd Calendar'!$Y$2382*1000000000+ISNUMBER('Dvd Calendar'!$Y$2383)*100000000+('Dvd Calendar'!$Y$2387='Field Check'!$C$25)*10000000+(N('Dvd Calendar'!$Y$2381)&gt;0)*1000000+18*1000+61))</f>
        <v/>
      </c>
      <c r="BL174" s="41">
        <f>IF(N('Dvd Calendar'!$Z$2382)=0,"",IF(('Dvd Calendar'!$Z$2382&gt;=MIN(DATE(Summary!$C$12,1,1),Summary!$C$11))*('Dvd Calendar'!$Z$2382&lt;=MAX(DATE(Summary!$C$12,12,31),Summary!$C$15))*('Dvd Calendar'!$Z$2382&gt;Summary!$C$11)=0,"",'Dvd Calendar'!$Z$2382*1000000000+ISNUMBER('Dvd Calendar'!$Z$2383)*100000000+('Dvd Calendar'!$Z$2387='Field Check'!$C$25)*10000000+(N('Dvd Calendar'!$Z$2381)&gt;0)*1000000+18*1000+62))</f>
        <v/>
      </c>
      <c r="BM174" s="41">
        <f>IF(N('Dvd Calendar'!$AA$2382)=0,"",IF(('Dvd Calendar'!$AA$2382&gt;=MIN(DATE(Summary!$C$12,1,1),Summary!$C$11))*('Dvd Calendar'!$AA$2382&lt;=MAX(DATE(Summary!$C$12,12,31),Summary!$C$15))*('Dvd Calendar'!$AA$2382&gt;Summary!$C$11)=0,"",'Dvd Calendar'!$AA$2382*1000000000+ISNUMBER('Dvd Calendar'!$AA$2383)*100000000+('Dvd Calendar'!$AA$2387='Field Check'!$C$25)*10000000+(N('Dvd Calendar'!$AA$2381)&gt;0)*1000000+18*1000+63))</f>
        <v/>
      </c>
      <c r="BN174" s="41">
        <f>IF(N('Dvd Calendar'!$AB$2382)=0,"",IF(('Dvd Calendar'!$AB$2382&gt;=MIN(DATE(Summary!$C$12,1,1),Summary!$C$11))*('Dvd Calendar'!$AB$2382&lt;=MAX(DATE(Summary!$C$12,12,31),Summary!$C$15))*('Dvd Calendar'!$AB$2382&gt;Summary!$C$11)=0,"",'Dvd Calendar'!$AB$2382*1000000000+ISNUMBER('Dvd Calendar'!$AB$2383)*100000000+('Dvd Calendar'!$AB$2387='Field Check'!$C$25)*10000000+(N('Dvd Calendar'!$AB$2381)&gt;0)*1000000+18*1000+64))</f>
        <v/>
      </c>
      <c r="BO174" s="41">
        <f>IF(N('Dvd Calendar'!$AC$2382)=0,"",IF(('Dvd Calendar'!$AC$2382&gt;=MIN(DATE(Summary!$C$12,1,1),Summary!$C$11))*('Dvd Calendar'!$AC$2382&lt;=MAX(DATE(Summary!$C$12,12,31),Summary!$C$15))*('Dvd Calendar'!$AC$2382&gt;Summary!$C$11)=0,"",'Dvd Calendar'!$AC$2382*1000000000+ISNUMBER('Dvd Calendar'!$AC$2383)*100000000+('Dvd Calendar'!$AC$2387='Field Check'!$C$25)*10000000+(N('Dvd Calendar'!$AC$2381)&gt;0)*1000000+18*1000+65))</f>
        <v/>
      </c>
      <c r="BQ174" s="85">
        <f>IF(C174="","",IF(ISNUMBER('Dvd Calendar'!$E$2376)=FALSE,"",IF((Summary!$C$13="N")*('Dvd Calendar'!$E$2380='Field Check'!$C$25)&gt;0,"",'Dvd Calendar'!$E$2376)))</f>
        <v/>
      </c>
      <c r="BR174" s="85">
        <f>IF(D174="","",IF(ISNUMBER('Dvd Calendar'!$F$2376)=FALSE,"",IF((Summary!$C$13="N")*('Dvd Calendar'!$F$2380='Field Check'!$C$25)&gt;0,"",'Dvd Calendar'!$F$2376)))</f>
        <v/>
      </c>
      <c r="BS174" s="85">
        <f>IF(E174="","",IF(ISNUMBER('Dvd Calendar'!$G$2376)=FALSE,"",IF((Summary!$C$13="N")*('Dvd Calendar'!$G$2380='Field Check'!$C$25)&gt;0,"",'Dvd Calendar'!$G$2376)))</f>
        <v/>
      </c>
      <c r="BT174" s="85">
        <f>IF(F174="","",IF(ISNUMBER('Dvd Calendar'!$H$2376)=FALSE,"",IF((Summary!$C$13="N")*('Dvd Calendar'!$H$2380='Field Check'!$C$25)&gt;0,"",'Dvd Calendar'!$H$2376)))</f>
        <v/>
      </c>
      <c r="BU174" s="85">
        <f>IF(G174="","",IF(ISNUMBER('Dvd Calendar'!$I$2376)=FALSE,"",IF((Summary!$C$13="N")*('Dvd Calendar'!$I$2380='Field Check'!$C$25)&gt;0,"",'Dvd Calendar'!$I$2376)))</f>
        <v/>
      </c>
      <c r="BV174" s="85">
        <f>IF(H174="","",IF(ISNUMBER('Dvd Calendar'!$J$2376)=FALSE,"",IF((Summary!$C$13="N")*('Dvd Calendar'!$J$2380='Field Check'!$C$25)&gt;0,"",'Dvd Calendar'!$J$2376)))</f>
        <v/>
      </c>
      <c r="BW174" s="85">
        <f>IF(I174="","",IF(ISNUMBER('Dvd Calendar'!$K$2376)=FALSE,"",IF((Summary!$C$13="N")*('Dvd Calendar'!$K$2380='Field Check'!$C$25)&gt;0,"",'Dvd Calendar'!$K$2376)))</f>
        <v/>
      </c>
      <c r="BX174" s="85">
        <f>IF(J174="","",IF(ISNUMBER('Dvd Calendar'!$L$2376)=FALSE,"",IF((Summary!$C$13="N")*('Dvd Calendar'!$L$2380='Field Check'!$C$25)&gt;0,"",'Dvd Calendar'!$L$2376)))</f>
        <v/>
      </c>
      <c r="BY174" s="85">
        <f>IF(K174="","",IF(ISNUMBER('Dvd Calendar'!$M$2376)=FALSE,"",IF((Summary!$C$13="N")*('Dvd Calendar'!$M$2380='Field Check'!$C$25)&gt;0,"",'Dvd Calendar'!$M$2376)))</f>
        <v/>
      </c>
      <c r="BZ174" s="85">
        <f>IF(L174="","",IF(ISNUMBER('Dvd Calendar'!$N$2376)=FALSE,"",IF((Summary!$C$13="N")*('Dvd Calendar'!$N$2380='Field Check'!$C$25)&gt;0,"",'Dvd Calendar'!$N$2376)))</f>
        <v/>
      </c>
      <c r="CA174" s="85">
        <f>IF(M174="","",IF(ISNUMBER('Dvd Calendar'!$O$2376)=FALSE,"",IF((Summary!$C$13="N")*('Dvd Calendar'!$O$2380='Field Check'!$C$25)&gt;0,"",'Dvd Calendar'!$O$2376)))</f>
        <v/>
      </c>
      <c r="CB174" s="85">
        <f>IF(N174="","",IF(ISNUMBER('Dvd Calendar'!$P$2376)=FALSE,"",IF((Summary!$C$13="N")*('Dvd Calendar'!$P$2380='Field Check'!$C$25)&gt;0,"",'Dvd Calendar'!$P$2376)))</f>
        <v/>
      </c>
      <c r="CC174" s="85">
        <f>IF(O174="","",IF(ISNUMBER('Dvd Calendar'!$Q$2376)=FALSE,"",IF((Summary!$C$13="N")*('Dvd Calendar'!$Q$2380='Field Check'!$C$25)&gt;0,"",'Dvd Calendar'!$Q$2376)))</f>
        <v/>
      </c>
      <c r="CD174" s="85">
        <f>IF(P174="","",IF(ISNUMBER('Dvd Calendar'!$R$2376)=FALSE,"",IF((Summary!$C$13="N")*('Dvd Calendar'!$R$2380='Field Check'!$C$25)&gt;0,"",'Dvd Calendar'!$R$2376)))</f>
        <v/>
      </c>
      <c r="CE174" s="85">
        <f>IF(Q174="","",IF(ISNUMBER('Dvd Calendar'!$S$2376)=FALSE,"",IF((Summary!$C$13="N")*('Dvd Calendar'!$S$2380='Field Check'!$C$25)&gt;0,"",'Dvd Calendar'!$S$2376)))</f>
        <v/>
      </c>
      <c r="CF174" s="85">
        <f>IF(R174="","",IF(ISNUMBER('Dvd Calendar'!$T$2376)=FALSE,"",IF((Summary!$C$13="N")*('Dvd Calendar'!$T$2380='Field Check'!$C$25)&gt;0,"",'Dvd Calendar'!$T$2376)))</f>
        <v/>
      </c>
      <c r="CG174" s="85">
        <f>IF(S174="","",IF(ISNUMBER('Dvd Calendar'!$U$2376)=FALSE,"",IF((Summary!$C$13="N")*('Dvd Calendar'!$U$2380='Field Check'!$C$25)&gt;0,"",'Dvd Calendar'!$U$2376)))</f>
        <v/>
      </c>
      <c r="CH174" s="85">
        <f>IF(T174="","",IF(ISNUMBER('Dvd Calendar'!$V$2376)=FALSE,"",IF((Summary!$C$13="N")*('Dvd Calendar'!$V$2380='Field Check'!$C$25)&gt;0,"",'Dvd Calendar'!$V$2376)))</f>
        <v/>
      </c>
      <c r="CI174" s="85">
        <f>IF(U174="","",IF(ISNUMBER('Dvd Calendar'!$W$2376)=FALSE,"",IF((Summary!$C$13="N")*('Dvd Calendar'!$W$2380='Field Check'!$C$25)&gt;0,"",'Dvd Calendar'!$W$2376)))</f>
        <v/>
      </c>
      <c r="CJ174" s="85">
        <f>IF(V174="","",IF(ISNUMBER('Dvd Calendar'!$X$2376)=FALSE,"",IF((Summary!$C$13="N")*('Dvd Calendar'!$X$2380='Field Check'!$C$25)&gt;0,"",'Dvd Calendar'!$X$2376)))</f>
        <v/>
      </c>
      <c r="CK174" s="85">
        <f>IF(W174="","",IF(ISNUMBER('Dvd Calendar'!$Y$2376)=FALSE,"",IF((Summary!$C$13="N")*('Dvd Calendar'!$Y$2380='Field Check'!$C$25)&gt;0,"",'Dvd Calendar'!$Y$2376)))</f>
        <v/>
      </c>
      <c r="CL174" s="85">
        <f>IF(X174="","",IF(ISNUMBER('Dvd Calendar'!$Z$2376)=FALSE,"",IF((Summary!$C$13="N")*('Dvd Calendar'!$Z$2380='Field Check'!$C$25)&gt;0,"",'Dvd Calendar'!$Z$2376)))</f>
        <v/>
      </c>
      <c r="CM174" s="85">
        <f>IF(Y174="","",IF(ISNUMBER('Dvd Calendar'!$AA$2376)=FALSE,"",IF((Summary!$C$13="N")*('Dvd Calendar'!$AA$2380='Field Check'!$C$25)&gt;0,"",'Dvd Calendar'!$AA$2376)))</f>
        <v/>
      </c>
      <c r="CN174" s="85">
        <f>IF(Z174="","",IF(ISNUMBER('Dvd Calendar'!$AB$2376)=FALSE,"",IF((Summary!$C$13="N")*('Dvd Calendar'!$AB$2380='Field Check'!$C$25)&gt;0,"",'Dvd Calendar'!$AB$2376)))</f>
        <v/>
      </c>
      <c r="CO174" s="85">
        <f>IF(AA174="","",IF(ISNUMBER('Dvd Calendar'!$AC$2376)=FALSE,"",IF((Summary!$C$13="N")*('Dvd Calendar'!$AC$2380='Field Check'!$C$25)&gt;0,"",'Dvd Calendar'!$AC$2376)))</f>
        <v/>
      </c>
      <c r="CP174" s="85">
        <f>IF(AB174="","",IF(ISNUMBER('Dvd Calendar'!$AD$2376)=FALSE,"",IF((Summary!$C$13="N")*('Dvd Calendar'!$AD$2380='Field Check'!$C$25)&gt;0,"",'Dvd Calendar'!$AD$2376)))</f>
        <v/>
      </c>
      <c r="CQ174" s="85">
        <f>IF(AC174="","",IF(ISNUMBER('Dvd Calendar'!$AE$2376)=FALSE,"",IF((Summary!$C$13="N")*('Dvd Calendar'!$AE$2380='Field Check'!$C$25)&gt;0,"",'Dvd Calendar'!$AE$2376)))</f>
        <v/>
      </c>
      <c r="CR174" s="85">
        <f>IF(AD174="","",IF(ISNUMBER('Dvd Calendar'!$AF$2376)=FALSE,"",IF((Summary!$C$13="N")*('Dvd Calendar'!$AF$2380='Field Check'!$C$25)&gt;0,"",'Dvd Calendar'!$AF$2376)))</f>
        <v/>
      </c>
      <c r="CS174" s="85">
        <f>IF(AE174="","",IF(ISNUMBER('Dvd Calendar'!$AG$2376)=FALSE,"",IF((Summary!$C$13="N")*('Dvd Calendar'!$AG$2380='Field Check'!$C$25)&gt;0,"",'Dvd Calendar'!$AG$2376)))</f>
        <v/>
      </c>
      <c r="CT174" s="85">
        <f>IF(AF174="","",IF(ISNUMBER('Dvd Calendar'!$AH$2376)=FALSE,"",IF((Summary!$C$13="N")*('Dvd Calendar'!$AH$2380='Field Check'!$C$25)&gt;0,"",'Dvd Calendar'!$AH$2376)))</f>
        <v/>
      </c>
      <c r="CU174" s="85">
        <f>IF(AG174="","",IF(ISNUMBER('Dvd Calendar'!$AI$2376)=FALSE,"",IF((Summary!$C$13="N")*('Dvd Calendar'!$AI$2380='Field Check'!$C$25)&gt;0,"",'Dvd Calendar'!$AI$2376)))</f>
        <v/>
      </c>
      <c r="CV174" s="85">
        <f>IF(AH174="","",IF(ISNUMBER('Dvd Calendar'!$AJ$2376)=FALSE,"",IF((Summary!$C$13="N")*('Dvd Calendar'!$AJ$2380='Field Check'!$C$25)&gt;0,"",'Dvd Calendar'!$AJ$2376)))</f>
        <v/>
      </c>
      <c r="CW174" s="85">
        <f>IF(AI174="","",IF(ISNUMBER('Dvd Calendar'!$AK$2376)=FALSE,"",IF((Summary!$C$13="N")*('Dvd Calendar'!$AK$2380='Field Check'!$C$25)&gt;0,"",'Dvd Calendar'!$AK$2376)))</f>
        <v/>
      </c>
      <c r="CX174" s="85">
        <f>IF(AJ174="","",IF(ISNUMBER('Dvd Calendar'!$AL$2376)=FALSE,"",IF((Summary!$C$13="N")*('Dvd Calendar'!$AL$2380='Field Check'!$C$25)&gt;0,"",'Dvd Calendar'!$AL$2376)))</f>
        <v/>
      </c>
      <c r="CY174" s="85">
        <f>IF(AK174="","",IF(ISNUMBER('Dvd Calendar'!$AM$2376)=FALSE,"",IF((Summary!$C$13="N")*('Dvd Calendar'!$AM$2380='Field Check'!$C$25)&gt;0,"",'Dvd Calendar'!$AM$2376)))</f>
        <v/>
      </c>
      <c r="CZ174" s="85">
        <f>IF(AL174="","",IF(ISNUMBER('Dvd Calendar'!$AN$2376)=FALSE,"",IF((Summary!$C$13="N")*('Dvd Calendar'!$AN$2380='Field Check'!$C$25)&gt;0,"",'Dvd Calendar'!$AN$2376)))</f>
        <v/>
      </c>
      <c r="DA174" s="85">
        <f>IF(AM174="","",IF(ISNUMBER('Dvd Calendar'!$AO$2376)=FALSE,"",IF((Summary!$C$13="N")*('Dvd Calendar'!$AO$2380='Field Check'!$C$25)&gt;0,"",'Dvd Calendar'!$AO$2376)))</f>
        <v/>
      </c>
      <c r="DB174" s="85">
        <f>IF(AN174="","",IF(ISNUMBER('Dvd Calendar'!$AP$2376)=FALSE,"",IF((Summary!$C$13="N")*('Dvd Calendar'!$AP$2380='Field Check'!$C$25)&gt;0,"",'Dvd Calendar'!$AP$2376)))</f>
        <v/>
      </c>
      <c r="DC174" s="85">
        <f>IF(AO174="","",IF(ISNUMBER('Dvd Calendar'!$AQ$2376)=FALSE,"",IF((Summary!$C$13="N")*('Dvd Calendar'!$AQ$2380='Field Check'!$C$25)&gt;0,"",'Dvd Calendar'!$AQ$2376)))</f>
        <v/>
      </c>
      <c r="DD174" s="85">
        <f>IF(AP174="","",IF(ISNUMBER('Dvd Calendar'!$AR$2376)=FALSE,"",IF((Summary!$C$13="N")*('Dvd Calendar'!$AR$2380='Field Check'!$C$25)&gt;0,"",'Dvd Calendar'!$AR$2376)))</f>
        <v/>
      </c>
      <c r="DE174" s="85">
        <f>IF(AQ174="","",IF(ISNUMBER('Dvd Calendar'!$E$2383)=FALSE,"",IF((Summary!$C$13="N")*('Dvd Calendar'!$E$2387='Field Check'!$C$25)&gt;0,"",'Dvd Calendar'!$E$2383)))</f>
        <v/>
      </c>
      <c r="DF174" s="85">
        <f>IF(AR174="","",IF(ISNUMBER('Dvd Calendar'!$F$2383)=FALSE,"",IF((Summary!$C$13="N")*('Dvd Calendar'!$F$2387='Field Check'!$C$25)&gt;0,"",'Dvd Calendar'!$F$2383)))</f>
        <v/>
      </c>
      <c r="DG174" s="85">
        <f>IF(AS174="","",IF(ISNUMBER('Dvd Calendar'!$G$2383)=FALSE,"",IF((Summary!$C$13="N")*('Dvd Calendar'!$G$2387='Field Check'!$C$25)&gt;0,"",'Dvd Calendar'!$G$2383)))</f>
        <v/>
      </c>
      <c r="DH174" s="85">
        <f>IF(AT174="","",IF(ISNUMBER('Dvd Calendar'!$H$2383)=FALSE,"",IF((Summary!$C$13="N")*('Dvd Calendar'!$H$2387='Field Check'!$C$25)&gt;0,"",'Dvd Calendar'!$H$2383)))</f>
        <v/>
      </c>
      <c r="DI174" s="85">
        <f>IF(AU174="","",IF(ISNUMBER('Dvd Calendar'!$I$2383)=FALSE,"",IF((Summary!$C$13="N")*('Dvd Calendar'!$I$2387='Field Check'!$C$25)&gt;0,"",'Dvd Calendar'!$I$2383)))</f>
        <v/>
      </c>
      <c r="DJ174" s="85">
        <f>IF(AV174="","",IF(ISNUMBER('Dvd Calendar'!$J$2383)=FALSE,"",IF((Summary!$C$13="N")*('Dvd Calendar'!$J$2387='Field Check'!$C$25)&gt;0,"",'Dvd Calendar'!$J$2383)))</f>
        <v/>
      </c>
      <c r="DK174" s="85">
        <f>IF(AW174="","",IF(ISNUMBER('Dvd Calendar'!$K$2383)=FALSE,"",IF((Summary!$C$13="N")*('Dvd Calendar'!$K$2387='Field Check'!$C$25)&gt;0,"",'Dvd Calendar'!$K$2383)))</f>
        <v/>
      </c>
      <c r="DL174" s="85">
        <f>IF(AX174="","",IF(ISNUMBER('Dvd Calendar'!$L$2383)=FALSE,"",IF((Summary!$C$13="N")*('Dvd Calendar'!$L$2387='Field Check'!$C$25)&gt;0,"",'Dvd Calendar'!$L$2383)))</f>
        <v/>
      </c>
      <c r="DM174" s="85">
        <f>IF(AY174="","",IF(ISNUMBER('Dvd Calendar'!$M$2383)=FALSE,"",IF((Summary!$C$13="N")*('Dvd Calendar'!$M$2387='Field Check'!$C$25)&gt;0,"",'Dvd Calendar'!$M$2383)))</f>
        <v/>
      </c>
      <c r="DN174" s="85">
        <f>IF(AZ174="","",IF(ISNUMBER('Dvd Calendar'!$N$2383)=FALSE,"",IF((Summary!$C$13="N")*('Dvd Calendar'!$N$2387='Field Check'!$C$25)&gt;0,"",'Dvd Calendar'!$N$2383)))</f>
        <v/>
      </c>
      <c r="DO174" s="85">
        <f>IF(BA174="","",IF(ISNUMBER('Dvd Calendar'!$O$2383)=FALSE,"",IF((Summary!$C$13="N")*('Dvd Calendar'!$O$2387='Field Check'!$C$25)&gt;0,"",'Dvd Calendar'!$O$2383)))</f>
        <v/>
      </c>
      <c r="DP174" s="85">
        <f>IF(BB174="","",IF(ISNUMBER('Dvd Calendar'!$P$2383)=FALSE,"",IF((Summary!$C$13="N")*('Dvd Calendar'!$P$2387='Field Check'!$C$25)&gt;0,"",'Dvd Calendar'!$P$2383)))</f>
        <v/>
      </c>
      <c r="DQ174" s="85">
        <f>IF(BC174="","",IF(ISNUMBER('Dvd Calendar'!$Q$2383)=FALSE,"",IF((Summary!$C$13="N")*('Dvd Calendar'!$Q$2387='Field Check'!$C$25)&gt;0,"",'Dvd Calendar'!$Q$2383)))</f>
        <v/>
      </c>
      <c r="DR174" s="85">
        <f>IF(BD174="","",IF(ISNUMBER('Dvd Calendar'!$R$2383)=FALSE,"",IF((Summary!$C$13="N")*('Dvd Calendar'!$R$2387='Field Check'!$C$25)&gt;0,"",'Dvd Calendar'!$R$2383)))</f>
        <v/>
      </c>
      <c r="DS174" s="85">
        <f>IF(BE174="","",IF(ISNUMBER('Dvd Calendar'!$S$2383)=FALSE,"",IF((Summary!$C$13="N")*('Dvd Calendar'!$S$2387='Field Check'!$C$25)&gt;0,"",'Dvd Calendar'!$S$2383)))</f>
        <v/>
      </c>
      <c r="DT174" s="85">
        <f>IF(BF174="","",IF(ISNUMBER('Dvd Calendar'!$T$2383)=FALSE,"",IF((Summary!$C$13="N")*('Dvd Calendar'!$T$2387='Field Check'!$C$25)&gt;0,"",'Dvd Calendar'!$T$2383)))</f>
        <v/>
      </c>
      <c r="DU174" s="85">
        <f>IF(BG174="","",IF(ISNUMBER('Dvd Calendar'!$U$2383)=FALSE,"",IF((Summary!$C$13="N")*('Dvd Calendar'!$U$2387='Field Check'!$C$25)&gt;0,"",'Dvd Calendar'!$U$2383)))</f>
        <v/>
      </c>
      <c r="DV174" s="85">
        <f>IF(BH174="","",IF(ISNUMBER('Dvd Calendar'!$V$2383)=FALSE,"",IF((Summary!$C$13="N")*('Dvd Calendar'!$V$2387='Field Check'!$C$25)&gt;0,"",'Dvd Calendar'!$V$2383)))</f>
        <v/>
      </c>
      <c r="DW174" s="85">
        <f>IF(BI174="","",IF(ISNUMBER('Dvd Calendar'!$W$2383)=FALSE,"",IF((Summary!$C$13="N")*('Dvd Calendar'!$W$2387='Field Check'!$C$25)&gt;0,"",'Dvd Calendar'!$W$2383)))</f>
        <v/>
      </c>
      <c r="DX174" s="85">
        <f>IF(BJ174="","",IF(ISNUMBER('Dvd Calendar'!$X$2383)=FALSE,"",IF((Summary!$C$13="N")*('Dvd Calendar'!$X$2387='Field Check'!$C$25)&gt;0,"",'Dvd Calendar'!$X$2383)))</f>
        <v/>
      </c>
      <c r="DY174" s="85">
        <f>IF(BK174="","",IF(ISNUMBER('Dvd Calendar'!$Y$2383)=FALSE,"",IF((Summary!$C$13="N")*('Dvd Calendar'!$Y$2387='Field Check'!$C$25)&gt;0,"",'Dvd Calendar'!$Y$2383)))</f>
        <v/>
      </c>
      <c r="DZ174" s="85">
        <f>IF(BL174="","",IF(ISNUMBER('Dvd Calendar'!$Z$2383)=FALSE,"",IF((Summary!$C$13="N")*('Dvd Calendar'!$Z$2387='Field Check'!$C$25)&gt;0,"",'Dvd Calendar'!$Z$2383)))</f>
        <v/>
      </c>
      <c r="EA174" s="85">
        <f>IF(BM174="","",IF(ISNUMBER('Dvd Calendar'!$AA$2383)=FALSE,"",IF((Summary!$C$13="N")*('Dvd Calendar'!$AA$2387='Field Check'!$C$25)&gt;0,"",'Dvd Calendar'!$AA$2383)))</f>
        <v/>
      </c>
      <c r="EB174" s="85">
        <f>IF(BN174="","",IF(ISNUMBER('Dvd Calendar'!$AB$2383)=FALSE,"",IF((Summary!$C$13="N")*('Dvd Calendar'!$AB$2387='Field Check'!$C$25)&gt;0,"",'Dvd Calendar'!$AB$2383)))</f>
        <v/>
      </c>
      <c r="EC174" s="85">
        <f>IF(BO174="","",IF(ISNUMBER('Dvd Calendar'!$AC$2383)=FALSE,"",IF((Summary!$C$13="N")*('Dvd Calendar'!$AC$2387='Field Check'!$C$25)&gt;0,"",'Dvd Calendar'!$AC$2383)))</f>
        <v/>
      </c>
      <c r="EE174" s="85">
        <f>IF(BQ174="","",IFERROR(BQ174*HSCEI!$B$24*HSCEI!$G$24/HSCEI!$B$3,""))</f>
        <v/>
      </c>
      <c r="EF174" s="85">
        <f>IF(BR174="","",IFERROR(BR174*HSCEI!$B$24*HSCEI!$G$24/HSCEI!$B$3,""))</f>
        <v/>
      </c>
      <c r="EG174" s="85">
        <f>IF(BS174="","",IFERROR(BS174*HSCEI!$B$24*HSCEI!$G$24/HSCEI!$B$3,""))</f>
        <v/>
      </c>
      <c r="EH174" s="85">
        <f>IF(BT174="","",IFERROR(BT174*HSCEI!$B$24*HSCEI!$G$24/HSCEI!$B$3,""))</f>
        <v/>
      </c>
      <c r="EI174" s="85">
        <f>IF(BU174="","",IFERROR(BU174*HSCEI!$B$24*HSCEI!$G$24/HSCEI!$B$3,""))</f>
        <v/>
      </c>
      <c r="EJ174" s="85">
        <f>IF(BV174="","",IFERROR(BV174*HSCEI!$B$24*HSCEI!$G$24/HSCEI!$B$3,""))</f>
        <v/>
      </c>
      <c r="EK174" s="85">
        <f>IF(BW174="","",IFERROR(BW174*HSCEI!$B$24*HSCEI!$G$24/HSCEI!$B$3,""))</f>
        <v/>
      </c>
      <c r="EL174" s="85">
        <f>IF(BX174="","",IFERROR(BX174*HSCEI!$B$24*HSCEI!$G$24/HSCEI!$B$3,""))</f>
        <v/>
      </c>
      <c r="EM174" s="85">
        <f>IF(BY174="","",IFERROR(BY174*HSCEI!$B$24*HSCEI!$G$24/HSCEI!$B$3,""))</f>
        <v/>
      </c>
      <c r="EN174" s="85">
        <f>IF(BZ174="","",IFERROR(BZ174*HSCEI!$B$24*HSCEI!$G$24/HSCEI!$B$3,""))</f>
        <v/>
      </c>
      <c r="EO174" s="85">
        <f>IF(CA174="","",IFERROR(CA174*HSCEI!$B$24*HSCEI!$G$24/HSCEI!$B$3,""))</f>
        <v/>
      </c>
      <c r="EP174" s="85">
        <f>IF(CB174="","",IFERROR(CB174*HSCEI!$B$24*HSCEI!$G$24/HSCEI!$B$3,""))</f>
        <v/>
      </c>
      <c r="EQ174" s="85">
        <f>IF(CC174="","",IFERROR(CC174*HSCEI!$B$24*HSCEI!$G$24/HSCEI!$B$3,""))</f>
        <v/>
      </c>
      <c r="ER174" s="85">
        <f>IF(CD174="","",IFERROR(CD174*HSCEI!$B$24*HSCEI!$G$24/HSCEI!$B$3,""))</f>
        <v/>
      </c>
      <c r="ES174" s="85">
        <f>IF(CE174="","",IFERROR(CE174*HSCEI!$B$24*HSCEI!$G$24/HSCEI!$B$3,""))</f>
        <v/>
      </c>
      <c r="ET174" s="85">
        <f>IF(CF174="","",IFERROR(CF174*HSCEI!$B$24*HSCEI!$G$24/HSCEI!$B$3,""))</f>
        <v/>
      </c>
      <c r="EU174" s="85">
        <f>IF(CG174="","",IFERROR(CG174*HSCEI!$B$24*HSCEI!$G$24/HSCEI!$B$3,""))</f>
        <v/>
      </c>
      <c r="EV174" s="85">
        <f>IF(CH174="","",IFERROR(CH174*HSCEI!$B$24*HSCEI!$G$24/HSCEI!$B$3,""))</f>
        <v/>
      </c>
      <c r="EW174" s="85">
        <f>IF(CI174="","",IFERROR(CI174*HSCEI!$B$24*HSCEI!$G$24/HSCEI!$B$3,""))</f>
        <v/>
      </c>
      <c r="EX174" s="85">
        <f>IF(CJ174="","",IFERROR(CJ174*HSCEI!$B$24*HSCEI!$G$24/HSCEI!$B$3,""))</f>
        <v/>
      </c>
      <c r="EY174" s="85">
        <f>IF(CK174="","",IFERROR(CK174*HSCEI!$B$24*HSCEI!$G$24/HSCEI!$B$3,""))</f>
        <v/>
      </c>
      <c r="EZ174" s="85">
        <f>IF(CL174="","",IFERROR(CL174*HSCEI!$B$24*HSCEI!$G$24/HSCEI!$B$3,""))</f>
        <v/>
      </c>
      <c r="FA174" s="85">
        <f>IF(CM174="","",IFERROR(CM174*HSCEI!$B$24*HSCEI!$G$24/HSCEI!$B$3,""))</f>
        <v/>
      </c>
      <c r="FB174" s="85">
        <f>IF(CN174="","",IFERROR(CN174*HSCEI!$B$24*HSCEI!$G$24/HSCEI!$B$3,""))</f>
        <v/>
      </c>
      <c r="FC174" s="85">
        <f>IF(CO174="","",IFERROR(CO174*HSCEI!$B$24*HSCEI!$G$24/HSCEI!$B$3,""))</f>
        <v/>
      </c>
      <c r="FD174" s="85">
        <f>IF(CP174="","",IFERROR(CP174*HSCEI!$B$24*HSCEI!$G$24/HSCEI!$B$3,""))</f>
        <v/>
      </c>
      <c r="FE174" s="85">
        <f>IF(CQ174="","",IFERROR(CQ174*HSCEI!$B$24*HSCEI!$G$24/HSCEI!$B$3,""))</f>
        <v/>
      </c>
      <c r="FF174" s="85">
        <f>IF(CR174="","",IFERROR(CR174*HSCEI!$B$24*HSCEI!$G$24/HSCEI!$B$3,""))</f>
        <v/>
      </c>
      <c r="FG174" s="85">
        <f>IF(CS174="","",IFERROR(CS174*HSCEI!$B$24*HSCEI!$G$24/HSCEI!$B$3,""))</f>
        <v/>
      </c>
      <c r="FH174" s="85">
        <f>IF(CT174="","",IFERROR(CT174*HSCEI!$B$24*HSCEI!$G$24/HSCEI!$B$3,""))</f>
        <v/>
      </c>
      <c r="FI174" s="85">
        <f>IF(CU174="","",IFERROR(CU174*HSCEI!$B$24*HSCEI!$G$24/HSCEI!$B$3,""))</f>
        <v/>
      </c>
      <c r="FJ174" s="85">
        <f>IF(CV174="","",IFERROR(CV174*HSCEI!$B$24*HSCEI!$G$24/HSCEI!$B$3,""))</f>
        <v/>
      </c>
      <c r="FK174" s="85">
        <f>IF(CW174="","",IFERROR(CW174*HSCEI!$B$24*HSCEI!$G$24/HSCEI!$B$3,""))</f>
        <v/>
      </c>
      <c r="FL174" s="85">
        <f>IF(CX174="","",IFERROR(CX174*HSCEI!$B$24*HSCEI!$G$24/HSCEI!$B$3,""))</f>
        <v/>
      </c>
      <c r="FM174" s="85">
        <f>IF(CY174="","",IFERROR(CY174*HSCEI!$B$24*HSCEI!$G$24/HSCEI!$B$3,""))</f>
        <v/>
      </c>
      <c r="FN174" s="85">
        <f>IF(CZ174="","",IFERROR(CZ174*HSCEI!$B$24*HSCEI!$G$24/HSCEI!$B$3,""))</f>
        <v/>
      </c>
      <c r="FO174" s="85">
        <f>IF(DA174="","",IFERROR(DA174*HSCEI!$B$24*HSCEI!$G$24/HSCEI!$B$3,""))</f>
        <v/>
      </c>
      <c r="FP174" s="85">
        <f>IF(DB174="","",IFERROR(DB174*HSCEI!$B$24*HSCEI!$G$24/HSCEI!$B$3,""))</f>
        <v/>
      </c>
      <c r="FQ174" s="85">
        <f>IF(DC174="","",IFERROR(DC174*HSCEI!$B$24*HSCEI!$G$24/HSCEI!$B$3,""))</f>
        <v/>
      </c>
      <c r="FR174" s="85">
        <f>IF(DD174="","",IFERROR(DD174*HSCEI!$B$24*HSCEI!$G$24/HSCEI!$B$3,""))</f>
        <v/>
      </c>
      <c r="FS174" s="85">
        <f>IF(DE174="","",IFERROR(DE174*HSCEI!$B$24*HSCEI!$G$24/HSCEI!$B$3,""))</f>
        <v/>
      </c>
      <c r="FT174" s="85">
        <f>IF(DF174="","",IFERROR(DF174*HSCEI!$B$24*HSCEI!$G$24/HSCEI!$B$3,""))</f>
        <v/>
      </c>
      <c r="FU174" s="85">
        <f>IF(DG174="","",IFERROR(DG174*HSCEI!$B$24*HSCEI!$G$24/HSCEI!$B$3,""))</f>
        <v/>
      </c>
      <c r="FV174" s="85">
        <f>IF(DH174="","",IFERROR(DH174*HSCEI!$B$24*HSCEI!$G$24/HSCEI!$B$3,""))</f>
        <v/>
      </c>
      <c r="FW174" s="85">
        <f>IF(DI174="","",IFERROR(DI174*HSCEI!$B$24*HSCEI!$G$24/HSCEI!$B$3,""))</f>
        <v/>
      </c>
      <c r="FX174" s="85">
        <f>IF(DJ174="","",IFERROR(DJ174*HSCEI!$B$24*HSCEI!$G$24/HSCEI!$B$3,""))</f>
        <v/>
      </c>
      <c r="FY174" s="85">
        <f>IF(DK174="","",IFERROR(DK174*HSCEI!$B$24*HSCEI!$G$24/HSCEI!$B$3,""))</f>
        <v/>
      </c>
      <c r="FZ174" s="85">
        <f>IF(DL174="","",IFERROR(DL174*HSCEI!$B$24*HSCEI!$G$24/HSCEI!$B$3,""))</f>
        <v/>
      </c>
      <c r="GA174" s="85">
        <f>IF(DM174="","",IFERROR(DM174*HSCEI!$B$24*HSCEI!$G$24/HSCEI!$B$3,""))</f>
        <v/>
      </c>
      <c r="GB174" s="85">
        <f>IF(DN174="","",IFERROR(DN174*HSCEI!$B$24*HSCEI!$G$24/HSCEI!$B$3,""))</f>
        <v/>
      </c>
      <c r="GC174" s="85">
        <f>IF(DO174="","",IFERROR(DO174*HSCEI!$B$24*HSCEI!$G$24/HSCEI!$B$3,""))</f>
        <v/>
      </c>
      <c r="GD174" s="85">
        <f>IF(DP174="","",IFERROR(DP174*HSCEI!$B$24*HSCEI!$G$24/HSCEI!$B$3,""))</f>
        <v/>
      </c>
      <c r="GE174" s="85">
        <f>IF(DQ174="","",IFERROR(DQ174*HSCEI!$B$24*HSCEI!$G$24/HSCEI!$B$3,""))</f>
        <v/>
      </c>
      <c r="GF174" s="85">
        <f>IF(DR174="","",IFERROR(DR174*HSCEI!$B$24*HSCEI!$G$24/HSCEI!$B$3,""))</f>
        <v/>
      </c>
      <c r="GG174" s="85">
        <f>IF(DS174="","",IFERROR(DS174*HSCEI!$B$24*HSCEI!$G$24/HSCEI!$B$3,""))</f>
        <v/>
      </c>
      <c r="GH174" s="85">
        <f>IF(DT174="","",IFERROR(DT174*HSCEI!$B$24*HSCEI!$G$24/HSCEI!$B$3,""))</f>
        <v/>
      </c>
      <c r="GI174" s="85">
        <f>IF(DU174="","",IFERROR(DU174*HSCEI!$B$24*HSCEI!$G$24/HSCEI!$B$3,""))</f>
        <v/>
      </c>
      <c r="GJ174" s="85">
        <f>IF(DV174="","",IFERROR(DV174*HSCEI!$B$24*HSCEI!$G$24/HSCEI!$B$3,""))</f>
        <v/>
      </c>
      <c r="GK174" s="85">
        <f>IF(DW174="","",IFERROR(DW174*HSCEI!$B$24*HSCEI!$G$24/HSCEI!$B$3,""))</f>
        <v/>
      </c>
      <c r="GL174" s="85">
        <f>IF(DX174="","",IFERROR(DX174*HSCEI!$B$24*HSCEI!$G$24/HSCEI!$B$3,""))</f>
        <v/>
      </c>
      <c r="GM174" s="85">
        <f>IF(DY174="","",IFERROR(DY174*HSCEI!$B$24*HSCEI!$G$24/HSCEI!$B$3,""))</f>
        <v/>
      </c>
      <c r="GN174" s="85">
        <f>IF(DZ174="","",IFERROR(DZ174*HSCEI!$B$24*HSCEI!$G$24/HSCEI!$B$3,""))</f>
        <v/>
      </c>
      <c r="GO174" s="85">
        <f>IF(EA174="","",IFERROR(EA174*HSCEI!$B$24*HSCEI!$G$24/HSCEI!$B$3,""))</f>
        <v/>
      </c>
      <c r="GP174" s="85">
        <f>IF(EB174="","",IFERROR(EB174*HSCEI!$B$24*HSCEI!$G$24/HSCEI!$B$3,""))</f>
        <v/>
      </c>
      <c r="GQ174" s="85">
        <f>IF(EC174="","",IFERROR(EC174*HSCEI!$B$24*HSCEI!$G$24/HSCEI!$B$3,""))</f>
        <v/>
      </c>
    </row>
    <row r="175">
      <c r="B175" s="2">
        <f>IF(HSCEI!$C$25="","",HSCEI!$C$25)</f>
        <v/>
      </c>
      <c r="C175" s="41">
        <f>IF(N('Dvd Calendar'!$E$2390)=0,"",IF(('Dvd Calendar'!$E$2390&gt;=MIN(DATE(Summary!$C$12,1,1),Summary!$C$11))*('Dvd Calendar'!$E$2390&lt;=MAX(DATE(Summary!$C$12,12,31),Summary!$C$15))*('Dvd Calendar'!$E$2390&lt;=Summary!$C$11)=0,"",'Dvd Calendar'!$E$2390*1000000000+ISNUMBER('Dvd Calendar'!$E$2391)*100000000+('Dvd Calendar'!$E$2395='Field Check'!$C$25)*10000000+(N('Dvd Calendar'!$E$2389)&gt;0)*1000000+19*1000+1))</f>
        <v/>
      </c>
      <c r="D175" s="41">
        <f>IF(N('Dvd Calendar'!$F$2390)=0,"",IF(('Dvd Calendar'!$F$2390&gt;=MIN(DATE(Summary!$C$12,1,1),Summary!$C$11))*('Dvd Calendar'!$F$2390&lt;=MAX(DATE(Summary!$C$12,12,31),Summary!$C$15))*('Dvd Calendar'!$F$2390&lt;=Summary!$C$11)=0,"",'Dvd Calendar'!$F$2390*1000000000+ISNUMBER('Dvd Calendar'!$F$2391)*100000000+('Dvd Calendar'!$F$2395='Field Check'!$C$25)*10000000+(N('Dvd Calendar'!$F$2389)&gt;0)*1000000+19*1000+2))</f>
        <v/>
      </c>
      <c r="E175" s="41">
        <f>IF(N('Dvd Calendar'!$G$2390)=0,"",IF(('Dvd Calendar'!$G$2390&gt;=MIN(DATE(Summary!$C$12,1,1),Summary!$C$11))*('Dvd Calendar'!$G$2390&lt;=MAX(DATE(Summary!$C$12,12,31),Summary!$C$15))*('Dvd Calendar'!$G$2390&lt;=Summary!$C$11)=0,"",'Dvd Calendar'!$G$2390*1000000000+ISNUMBER('Dvd Calendar'!$G$2391)*100000000+('Dvd Calendar'!$G$2395='Field Check'!$C$25)*10000000+(N('Dvd Calendar'!$G$2389)&gt;0)*1000000+19*1000+3))</f>
        <v/>
      </c>
      <c r="F175" s="41">
        <f>IF(N('Dvd Calendar'!$H$2390)=0,"",IF(('Dvd Calendar'!$H$2390&gt;=MIN(DATE(Summary!$C$12,1,1),Summary!$C$11))*('Dvd Calendar'!$H$2390&lt;=MAX(DATE(Summary!$C$12,12,31),Summary!$C$15))*('Dvd Calendar'!$H$2390&lt;=Summary!$C$11)=0,"",'Dvd Calendar'!$H$2390*1000000000+ISNUMBER('Dvd Calendar'!$H$2391)*100000000+('Dvd Calendar'!$H$2395='Field Check'!$C$25)*10000000+(N('Dvd Calendar'!$H$2389)&gt;0)*1000000+19*1000+4))</f>
        <v/>
      </c>
      <c r="G175" s="41">
        <f>IF(N('Dvd Calendar'!$I$2390)=0,"",IF(('Dvd Calendar'!$I$2390&gt;=MIN(DATE(Summary!$C$12,1,1),Summary!$C$11))*('Dvd Calendar'!$I$2390&lt;=MAX(DATE(Summary!$C$12,12,31),Summary!$C$15))*('Dvd Calendar'!$I$2390&lt;=Summary!$C$11)=0,"",'Dvd Calendar'!$I$2390*1000000000+ISNUMBER('Dvd Calendar'!$I$2391)*100000000+('Dvd Calendar'!$I$2395='Field Check'!$C$25)*10000000+(N('Dvd Calendar'!$I$2389)&gt;0)*1000000+19*1000+5))</f>
        <v/>
      </c>
      <c r="H175" s="41">
        <f>IF(N('Dvd Calendar'!$J$2390)=0,"",IF(('Dvd Calendar'!$J$2390&gt;=MIN(DATE(Summary!$C$12,1,1),Summary!$C$11))*('Dvd Calendar'!$J$2390&lt;=MAX(DATE(Summary!$C$12,12,31),Summary!$C$15))*('Dvd Calendar'!$J$2390&lt;=Summary!$C$11)=0,"",'Dvd Calendar'!$J$2390*1000000000+ISNUMBER('Dvd Calendar'!$J$2391)*100000000+('Dvd Calendar'!$J$2395='Field Check'!$C$25)*10000000+(N('Dvd Calendar'!$J$2389)&gt;0)*1000000+19*1000+6))</f>
        <v/>
      </c>
      <c r="I175" s="41">
        <f>IF(N('Dvd Calendar'!$K$2390)=0,"",IF(('Dvd Calendar'!$K$2390&gt;=MIN(DATE(Summary!$C$12,1,1),Summary!$C$11))*('Dvd Calendar'!$K$2390&lt;=MAX(DATE(Summary!$C$12,12,31),Summary!$C$15))*('Dvd Calendar'!$K$2390&lt;=Summary!$C$11)=0,"",'Dvd Calendar'!$K$2390*1000000000+ISNUMBER('Dvd Calendar'!$K$2391)*100000000+('Dvd Calendar'!$K$2395='Field Check'!$C$25)*10000000+(N('Dvd Calendar'!$K$2389)&gt;0)*1000000+19*1000+7))</f>
        <v/>
      </c>
      <c r="J175" s="41">
        <f>IF(N('Dvd Calendar'!$L$2390)=0,"",IF(('Dvd Calendar'!$L$2390&gt;=MIN(DATE(Summary!$C$12,1,1),Summary!$C$11))*('Dvd Calendar'!$L$2390&lt;=MAX(DATE(Summary!$C$12,12,31),Summary!$C$15))*('Dvd Calendar'!$L$2390&lt;=Summary!$C$11)=0,"",'Dvd Calendar'!$L$2390*1000000000+ISNUMBER('Dvd Calendar'!$L$2391)*100000000+('Dvd Calendar'!$L$2395='Field Check'!$C$25)*10000000+(N('Dvd Calendar'!$L$2389)&gt;0)*1000000+19*1000+8))</f>
        <v/>
      </c>
      <c r="K175" s="41">
        <f>IF(N('Dvd Calendar'!$M$2390)=0,"",IF(('Dvd Calendar'!$M$2390&gt;=MIN(DATE(Summary!$C$12,1,1),Summary!$C$11))*('Dvd Calendar'!$M$2390&lt;=MAX(DATE(Summary!$C$12,12,31),Summary!$C$15))*('Dvd Calendar'!$M$2390&lt;=Summary!$C$11)=0,"",'Dvd Calendar'!$M$2390*1000000000+ISNUMBER('Dvd Calendar'!$M$2391)*100000000+('Dvd Calendar'!$M$2395='Field Check'!$C$25)*10000000+(N('Dvd Calendar'!$M$2389)&gt;0)*1000000+19*1000+9))</f>
        <v/>
      </c>
      <c r="L175" s="41">
        <f>IF(N('Dvd Calendar'!$N$2390)=0,"",IF(('Dvd Calendar'!$N$2390&gt;=MIN(DATE(Summary!$C$12,1,1),Summary!$C$11))*('Dvd Calendar'!$N$2390&lt;=MAX(DATE(Summary!$C$12,12,31),Summary!$C$15))*('Dvd Calendar'!$N$2390&lt;=Summary!$C$11)=0,"",'Dvd Calendar'!$N$2390*1000000000+ISNUMBER('Dvd Calendar'!$N$2391)*100000000+('Dvd Calendar'!$N$2395='Field Check'!$C$25)*10000000+(N('Dvd Calendar'!$N$2389)&gt;0)*1000000+19*1000+10))</f>
        <v/>
      </c>
      <c r="M175" s="41">
        <f>IF(N('Dvd Calendar'!$O$2390)=0,"",IF(('Dvd Calendar'!$O$2390&gt;=MIN(DATE(Summary!$C$12,1,1),Summary!$C$11))*('Dvd Calendar'!$O$2390&lt;=MAX(DATE(Summary!$C$12,12,31),Summary!$C$15))*('Dvd Calendar'!$O$2390&lt;=Summary!$C$11)=0,"",'Dvd Calendar'!$O$2390*1000000000+ISNUMBER('Dvd Calendar'!$O$2391)*100000000+('Dvd Calendar'!$O$2395='Field Check'!$C$25)*10000000+(N('Dvd Calendar'!$O$2389)&gt;0)*1000000+19*1000+11))</f>
        <v/>
      </c>
      <c r="N175" s="41">
        <f>IF(N('Dvd Calendar'!$P$2390)=0,"",IF(('Dvd Calendar'!$P$2390&gt;=MIN(DATE(Summary!$C$12,1,1),Summary!$C$11))*('Dvd Calendar'!$P$2390&lt;=MAX(DATE(Summary!$C$12,12,31),Summary!$C$15))*('Dvd Calendar'!$P$2390&lt;=Summary!$C$11)=0,"",'Dvd Calendar'!$P$2390*1000000000+ISNUMBER('Dvd Calendar'!$P$2391)*100000000+('Dvd Calendar'!$P$2395='Field Check'!$C$25)*10000000+(N('Dvd Calendar'!$P$2389)&gt;0)*1000000+19*1000+12))</f>
        <v/>
      </c>
      <c r="O175" s="41">
        <f>IF(N('Dvd Calendar'!$Q$2390)=0,"",IF(('Dvd Calendar'!$Q$2390&gt;=MIN(DATE(Summary!$C$12,1,1),Summary!$C$11))*('Dvd Calendar'!$Q$2390&lt;=MAX(DATE(Summary!$C$12,12,31),Summary!$C$15))*('Dvd Calendar'!$Q$2390&lt;=Summary!$C$11)=0,"",'Dvd Calendar'!$Q$2390*1000000000+ISNUMBER('Dvd Calendar'!$Q$2391)*100000000+('Dvd Calendar'!$Q$2395='Field Check'!$C$25)*10000000+(N('Dvd Calendar'!$Q$2389)&gt;0)*1000000+19*1000+13))</f>
        <v/>
      </c>
      <c r="P175" s="41">
        <f>IF(N('Dvd Calendar'!$R$2390)=0,"",IF(('Dvd Calendar'!$R$2390&gt;=MIN(DATE(Summary!$C$12,1,1),Summary!$C$11))*('Dvd Calendar'!$R$2390&lt;=MAX(DATE(Summary!$C$12,12,31),Summary!$C$15))*('Dvd Calendar'!$R$2390&lt;=Summary!$C$11)=0,"",'Dvd Calendar'!$R$2390*1000000000+ISNUMBER('Dvd Calendar'!$R$2391)*100000000+('Dvd Calendar'!$R$2395='Field Check'!$C$25)*10000000+(N('Dvd Calendar'!$R$2389)&gt;0)*1000000+19*1000+14))</f>
        <v/>
      </c>
      <c r="Q175" s="41">
        <f>IF(N('Dvd Calendar'!$S$2390)=0,"",IF(('Dvd Calendar'!$S$2390&gt;=MIN(DATE(Summary!$C$12,1,1),Summary!$C$11))*('Dvd Calendar'!$S$2390&lt;=MAX(DATE(Summary!$C$12,12,31),Summary!$C$15))*('Dvd Calendar'!$S$2390&lt;=Summary!$C$11)=0,"",'Dvd Calendar'!$S$2390*1000000000+ISNUMBER('Dvd Calendar'!$S$2391)*100000000+('Dvd Calendar'!$S$2395='Field Check'!$C$25)*10000000+(N('Dvd Calendar'!$S$2389)&gt;0)*1000000+19*1000+15))</f>
        <v/>
      </c>
      <c r="R175" s="41">
        <f>IF(N('Dvd Calendar'!$T$2390)=0,"",IF(('Dvd Calendar'!$T$2390&gt;=MIN(DATE(Summary!$C$12,1,1),Summary!$C$11))*('Dvd Calendar'!$T$2390&lt;=MAX(DATE(Summary!$C$12,12,31),Summary!$C$15))*('Dvd Calendar'!$T$2390&lt;=Summary!$C$11)=0,"",'Dvd Calendar'!$T$2390*1000000000+ISNUMBER('Dvd Calendar'!$T$2391)*100000000+('Dvd Calendar'!$T$2395='Field Check'!$C$25)*10000000+(N('Dvd Calendar'!$T$2389)&gt;0)*1000000+19*1000+16))</f>
        <v/>
      </c>
      <c r="S175" s="41">
        <f>IF(N('Dvd Calendar'!$U$2390)=0,"",IF(('Dvd Calendar'!$U$2390&gt;=MIN(DATE(Summary!$C$12,1,1),Summary!$C$11))*('Dvd Calendar'!$U$2390&lt;=MAX(DATE(Summary!$C$12,12,31),Summary!$C$15))*('Dvd Calendar'!$U$2390&lt;=Summary!$C$11)=0,"",'Dvd Calendar'!$U$2390*1000000000+ISNUMBER('Dvd Calendar'!$U$2391)*100000000+('Dvd Calendar'!$U$2395='Field Check'!$C$25)*10000000+(N('Dvd Calendar'!$U$2389)&gt;0)*1000000+19*1000+17))</f>
        <v/>
      </c>
      <c r="T175" s="41">
        <f>IF(N('Dvd Calendar'!$V$2390)=0,"",IF(('Dvd Calendar'!$V$2390&gt;=MIN(DATE(Summary!$C$12,1,1),Summary!$C$11))*('Dvd Calendar'!$V$2390&lt;=MAX(DATE(Summary!$C$12,12,31),Summary!$C$15))*('Dvd Calendar'!$V$2390&lt;=Summary!$C$11)=0,"",'Dvd Calendar'!$V$2390*1000000000+ISNUMBER('Dvd Calendar'!$V$2391)*100000000+('Dvd Calendar'!$V$2395='Field Check'!$C$25)*10000000+(N('Dvd Calendar'!$V$2389)&gt;0)*1000000+19*1000+18))</f>
        <v/>
      </c>
      <c r="U175" s="41">
        <f>IF(N('Dvd Calendar'!$W$2390)=0,"",IF(('Dvd Calendar'!$W$2390&gt;=MIN(DATE(Summary!$C$12,1,1),Summary!$C$11))*('Dvd Calendar'!$W$2390&lt;=MAX(DATE(Summary!$C$12,12,31),Summary!$C$15))*('Dvd Calendar'!$W$2390&lt;=Summary!$C$11)=0,"",'Dvd Calendar'!$W$2390*1000000000+ISNUMBER('Dvd Calendar'!$W$2391)*100000000+('Dvd Calendar'!$W$2395='Field Check'!$C$25)*10000000+(N('Dvd Calendar'!$W$2389)&gt;0)*1000000+19*1000+19))</f>
        <v/>
      </c>
      <c r="V175" s="41">
        <f>IF(N('Dvd Calendar'!$X$2390)=0,"",IF(('Dvd Calendar'!$X$2390&gt;=MIN(DATE(Summary!$C$12,1,1),Summary!$C$11))*('Dvd Calendar'!$X$2390&lt;=MAX(DATE(Summary!$C$12,12,31),Summary!$C$15))*('Dvd Calendar'!$X$2390&lt;=Summary!$C$11)=0,"",'Dvd Calendar'!$X$2390*1000000000+ISNUMBER('Dvd Calendar'!$X$2391)*100000000+('Dvd Calendar'!$X$2395='Field Check'!$C$25)*10000000+(N('Dvd Calendar'!$X$2389)&gt;0)*1000000+19*1000+20))</f>
        <v/>
      </c>
      <c r="W175" s="41">
        <f>IF(N('Dvd Calendar'!$Y$2390)=0,"",IF(('Dvd Calendar'!$Y$2390&gt;=MIN(DATE(Summary!$C$12,1,1),Summary!$C$11))*('Dvd Calendar'!$Y$2390&lt;=MAX(DATE(Summary!$C$12,12,31),Summary!$C$15))*('Dvd Calendar'!$Y$2390&lt;=Summary!$C$11)=0,"",'Dvd Calendar'!$Y$2390*1000000000+ISNUMBER('Dvd Calendar'!$Y$2391)*100000000+('Dvd Calendar'!$Y$2395='Field Check'!$C$25)*10000000+(N('Dvd Calendar'!$Y$2389)&gt;0)*1000000+19*1000+21))</f>
        <v/>
      </c>
      <c r="X175" s="41">
        <f>IF(N('Dvd Calendar'!$Z$2390)=0,"",IF(('Dvd Calendar'!$Z$2390&gt;=MIN(DATE(Summary!$C$12,1,1),Summary!$C$11))*('Dvd Calendar'!$Z$2390&lt;=MAX(DATE(Summary!$C$12,12,31),Summary!$C$15))*('Dvd Calendar'!$Z$2390&lt;=Summary!$C$11)=0,"",'Dvd Calendar'!$Z$2390*1000000000+ISNUMBER('Dvd Calendar'!$Z$2391)*100000000+('Dvd Calendar'!$Z$2395='Field Check'!$C$25)*10000000+(N('Dvd Calendar'!$Z$2389)&gt;0)*1000000+19*1000+22))</f>
        <v/>
      </c>
      <c r="Y175" s="41">
        <f>IF(N('Dvd Calendar'!$AA$2390)=0,"",IF(('Dvd Calendar'!$AA$2390&gt;=MIN(DATE(Summary!$C$12,1,1),Summary!$C$11))*('Dvd Calendar'!$AA$2390&lt;=MAX(DATE(Summary!$C$12,12,31),Summary!$C$15))*('Dvd Calendar'!$AA$2390&lt;=Summary!$C$11)=0,"",'Dvd Calendar'!$AA$2390*1000000000+ISNUMBER('Dvd Calendar'!$AA$2391)*100000000+('Dvd Calendar'!$AA$2395='Field Check'!$C$25)*10000000+(N('Dvd Calendar'!$AA$2389)&gt;0)*1000000+19*1000+23))</f>
        <v/>
      </c>
      <c r="Z175" s="41">
        <f>IF(N('Dvd Calendar'!$AB$2390)=0,"",IF(('Dvd Calendar'!$AB$2390&gt;=MIN(DATE(Summary!$C$12,1,1),Summary!$C$11))*('Dvd Calendar'!$AB$2390&lt;=MAX(DATE(Summary!$C$12,12,31),Summary!$C$15))*('Dvd Calendar'!$AB$2390&lt;=Summary!$C$11)=0,"",'Dvd Calendar'!$AB$2390*1000000000+ISNUMBER('Dvd Calendar'!$AB$2391)*100000000+('Dvd Calendar'!$AB$2395='Field Check'!$C$25)*10000000+(N('Dvd Calendar'!$AB$2389)&gt;0)*1000000+19*1000+24))</f>
        <v/>
      </c>
      <c r="AA175" s="41">
        <f>IF(N('Dvd Calendar'!$AC$2390)=0,"",IF(('Dvd Calendar'!$AC$2390&gt;=MIN(DATE(Summary!$C$12,1,1),Summary!$C$11))*('Dvd Calendar'!$AC$2390&lt;=MAX(DATE(Summary!$C$12,12,31),Summary!$C$15))*('Dvd Calendar'!$AC$2390&lt;=Summary!$C$11)=0,"",'Dvd Calendar'!$AC$2390*1000000000+ISNUMBER('Dvd Calendar'!$AC$2391)*100000000+('Dvd Calendar'!$AC$2395='Field Check'!$C$25)*10000000+(N('Dvd Calendar'!$AC$2389)&gt;0)*1000000+19*1000+25))</f>
        <v/>
      </c>
      <c r="AB175" s="41">
        <f>IF(N('Dvd Calendar'!$AD$2390)=0,"",IF(('Dvd Calendar'!$AD$2390&gt;=MIN(DATE(Summary!$C$12,1,1),Summary!$C$11))*('Dvd Calendar'!$AD$2390&lt;=MAX(DATE(Summary!$C$12,12,31),Summary!$C$15))*('Dvd Calendar'!$AD$2390&lt;=Summary!$C$11)=0,"",'Dvd Calendar'!$AD$2390*1000000000+ISNUMBER('Dvd Calendar'!$AD$2391)*100000000+('Dvd Calendar'!$AD$2395='Field Check'!$C$25)*10000000+(N('Dvd Calendar'!$AD$2389)&gt;0)*1000000+19*1000+26))</f>
        <v/>
      </c>
      <c r="AC175" s="41">
        <f>IF(N('Dvd Calendar'!$AE$2390)=0,"",IF(('Dvd Calendar'!$AE$2390&gt;=MIN(DATE(Summary!$C$12,1,1),Summary!$C$11))*('Dvd Calendar'!$AE$2390&lt;=MAX(DATE(Summary!$C$12,12,31),Summary!$C$15))*('Dvd Calendar'!$AE$2390&lt;=Summary!$C$11)=0,"",'Dvd Calendar'!$AE$2390*1000000000+ISNUMBER('Dvd Calendar'!$AE$2391)*100000000+('Dvd Calendar'!$AE$2395='Field Check'!$C$25)*10000000+(N('Dvd Calendar'!$AE$2389)&gt;0)*1000000+19*1000+27))</f>
        <v/>
      </c>
      <c r="AD175" s="41">
        <f>IF(N('Dvd Calendar'!$AF$2390)=0,"",IF(('Dvd Calendar'!$AF$2390&gt;=MIN(DATE(Summary!$C$12,1,1),Summary!$C$11))*('Dvd Calendar'!$AF$2390&lt;=MAX(DATE(Summary!$C$12,12,31),Summary!$C$15))*('Dvd Calendar'!$AF$2390&lt;=Summary!$C$11)=0,"",'Dvd Calendar'!$AF$2390*1000000000+ISNUMBER('Dvd Calendar'!$AF$2391)*100000000+('Dvd Calendar'!$AF$2395='Field Check'!$C$25)*10000000+(N('Dvd Calendar'!$AF$2389)&gt;0)*1000000+19*1000+28))</f>
        <v/>
      </c>
      <c r="AE175" s="41">
        <f>IF(N('Dvd Calendar'!$AG$2390)=0,"",IF(('Dvd Calendar'!$AG$2390&gt;=MIN(DATE(Summary!$C$12,1,1),Summary!$C$11))*('Dvd Calendar'!$AG$2390&lt;=MAX(DATE(Summary!$C$12,12,31),Summary!$C$15))*('Dvd Calendar'!$AG$2390&lt;=Summary!$C$11)=0,"",'Dvd Calendar'!$AG$2390*1000000000+ISNUMBER('Dvd Calendar'!$AG$2391)*100000000+('Dvd Calendar'!$AG$2395='Field Check'!$C$25)*10000000+(N('Dvd Calendar'!$AG$2389)&gt;0)*1000000+19*1000+29))</f>
        <v/>
      </c>
      <c r="AF175" s="41">
        <f>IF(N('Dvd Calendar'!$AH$2390)=0,"",IF(('Dvd Calendar'!$AH$2390&gt;=MIN(DATE(Summary!$C$12,1,1),Summary!$C$11))*('Dvd Calendar'!$AH$2390&lt;=MAX(DATE(Summary!$C$12,12,31),Summary!$C$15))*('Dvd Calendar'!$AH$2390&lt;=Summary!$C$11)=0,"",'Dvd Calendar'!$AH$2390*1000000000+ISNUMBER('Dvd Calendar'!$AH$2391)*100000000+('Dvd Calendar'!$AH$2395='Field Check'!$C$25)*10000000+(N('Dvd Calendar'!$AH$2389)&gt;0)*1000000+19*1000+30))</f>
        <v/>
      </c>
      <c r="AG175" s="41">
        <f>IF(N('Dvd Calendar'!$AI$2390)=0,"",IF(('Dvd Calendar'!$AI$2390&gt;=MIN(DATE(Summary!$C$12,1,1),Summary!$C$11))*('Dvd Calendar'!$AI$2390&lt;=MAX(DATE(Summary!$C$12,12,31),Summary!$C$15))*('Dvd Calendar'!$AI$2390&lt;=Summary!$C$11)=0,"",'Dvd Calendar'!$AI$2390*1000000000+ISNUMBER('Dvd Calendar'!$AI$2391)*100000000+('Dvd Calendar'!$AI$2395='Field Check'!$C$25)*10000000+(N('Dvd Calendar'!$AI$2389)&gt;0)*1000000+19*1000+31))</f>
        <v/>
      </c>
      <c r="AH175" s="41">
        <f>IF(N('Dvd Calendar'!$AJ$2390)=0,"",IF(('Dvd Calendar'!$AJ$2390&gt;=MIN(DATE(Summary!$C$12,1,1),Summary!$C$11))*('Dvd Calendar'!$AJ$2390&lt;=MAX(DATE(Summary!$C$12,12,31),Summary!$C$15))*('Dvd Calendar'!$AJ$2390&lt;=Summary!$C$11)=0,"",'Dvd Calendar'!$AJ$2390*1000000000+ISNUMBER('Dvd Calendar'!$AJ$2391)*100000000+('Dvd Calendar'!$AJ$2395='Field Check'!$C$25)*10000000+(N('Dvd Calendar'!$AJ$2389)&gt;0)*1000000+19*1000+32))</f>
        <v/>
      </c>
      <c r="AI175" s="41">
        <f>IF(N('Dvd Calendar'!$AK$2390)=0,"",IF(('Dvd Calendar'!$AK$2390&gt;=MIN(DATE(Summary!$C$12,1,1),Summary!$C$11))*('Dvd Calendar'!$AK$2390&lt;=MAX(DATE(Summary!$C$12,12,31),Summary!$C$15))*('Dvd Calendar'!$AK$2390&lt;=Summary!$C$11)=0,"",'Dvd Calendar'!$AK$2390*1000000000+ISNUMBER('Dvd Calendar'!$AK$2391)*100000000+('Dvd Calendar'!$AK$2395='Field Check'!$C$25)*10000000+(N('Dvd Calendar'!$AK$2389)&gt;0)*1000000+19*1000+33))</f>
        <v/>
      </c>
      <c r="AJ175" s="41">
        <f>IF(N('Dvd Calendar'!$AL$2390)=0,"",IF(('Dvd Calendar'!$AL$2390&gt;=MIN(DATE(Summary!$C$12,1,1),Summary!$C$11))*('Dvd Calendar'!$AL$2390&lt;=MAX(DATE(Summary!$C$12,12,31),Summary!$C$15))*('Dvd Calendar'!$AL$2390&lt;=Summary!$C$11)=0,"",'Dvd Calendar'!$AL$2390*1000000000+ISNUMBER('Dvd Calendar'!$AL$2391)*100000000+('Dvd Calendar'!$AL$2395='Field Check'!$C$25)*10000000+(N('Dvd Calendar'!$AL$2389)&gt;0)*1000000+19*1000+34))</f>
        <v/>
      </c>
      <c r="AK175" s="41">
        <f>IF(N('Dvd Calendar'!$AM$2390)=0,"",IF(('Dvd Calendar'!$AM$2390&gt;=MIN(DATE(Summary!$C$12,1,1),Summary!$C$11))*('Dvd Calendar'!$AM$2390&lt;=MAX(DATE(Summary!$C$12,12,31),Summary!$C$15))*('Dvd Calendar'!$AM$2390&lt;=Summary!$C$11)=0,"",'Dvd Calendar'!$AM$2390*1000000000+ISNUMBER('Dvd Calendar'!$AM$2391)*100000000+('Dvd Calendar'!$AM$2395='Field Check'!$C$25)*10000000+(N('Dvd Calendar'!$AM$2389)&gt;0)*1000000+19*1000+35))</f>
        <v/>
      </c>
      <c r="AL175" s="41">
        <f>IF(N('Dvd Calendar'!$AN$2390)=0,"",IF(('Dvd Calendar'!$AN$2390&gt;=MIN(DATE(Summary!$C$12,1,1),Summary!$C$11))*('Dvd Calendar'!$AN$2390&lt;=MAX(DATE(Summary!$C$12,12,31),Summary!$C$15))*('Dvd Calendar'!$AN$2390&lt;=Summary!$C$11)=0,"",'Dvd Calendar'!$AN$2390*1000000000+ISNUMBER('Dvd Calendar'!$AN$2391)*100000000+('Dvd Calendar'!$AN$2395='Field Check'!$C$25)*10000000+(N('Dvd Calendar'!$AN$2389)&gt;0)*1000000+19*1000+36))</f>
        <v/>
      </c>
      <c r="AM175" s="41">
        <f>IF(N('Dvd Calendar'!$AO$2390)=0,"",IF(('Dvd Calendar'!$AO$2390&gt;=MIN(DATE(Summary!$C$12,1,1),Summary!$C$11))*('Dvd Calendar'!$AO$2390&lt;=MAX(DATE(Summary!$C$12,12,31),Summary!$C$15))*('Dvd Calendar'!$AO$2390&lt;=Summary!$C$11)=0,"",'Dvd Calendar'!$AO$2390*1000000000+ISNUMBER('Dvd Calendar'!$AO$2391)*100000000+('Dvd Calendar'!$AO$2395='Field Check'!$C$25)*10000000+(N('Dvd Calendar'!$AO$2389)&gt;0)*1000000+19*1000+37))</f>
        <v/>
      </c>
      <c r="AN175" s="41">
        <f>IF(N('Dvd Calendar'!$AP$2390)=0,"",IF(('Dvd Calendar'!$AP$2390&gt;=MIN(DATE(Summary!$C$12,1,1),Summary!$C$11))*('Dvd Calendar'!$AP$2390&lt;=MAX(DATE(Summary!$C$12,12,31),Summary!$C$15))*('Dvd Calendar'!$AP$2390&lt;=Summary!$C$11)=0,"",'Dvd Calendar'!$AP$2390*1000000000+ISNUMBER('Dvd Calendar'!$AP$2391)*100000000+('Dvd Calendar'!$AP$2395='Field Check'!$C$25)*10000000+(N('Dvd Calendar'!$AP$2389)&gt;0)*1000000+19*1000+38))</f>
        <v/>
      </c>
      <c r="AO175" s="41">
        <f>IF(N('Dvd Calendar'!$AQ$2390)=0,"",IF(('Dvd Calendar'!$AQ$2390&gt;=MIN(DATE(Summary!$C$12,1,1),Summary!$C$11))*('Dvd Calendar'!$AQ$2390&lt;=MAX(DATE(Summary!$C$12,12,31),Summary!$C$15))*('Dvd Calendar'!$AQ$2390&lt;=Summary!$C$11)=0,"",'Dvd Calendar'!$AQ$2390*1000000000+ISNUMBER('Dvd Calendar'!$AQ$2391)*100000000+('Dvd Calendar'!$AQ$2395='Field Check'!$C$25)*10000000+(N('Dvd Calendar'!$AQ$2389)&gt;0)*1000000+19*1000+39))</f>
        <v/>
      </c>
      <c r="AP175" s="41">
        <f>IF(N('Dvd Calendar'!$AR$2390)=0,"",IF(('Dvd Calendar'!$AR$2390&gt;=MIN(DATE(Summary!$C$12,1,1),Summary!$C$11))*('Dvd Calendar'!$AR$2390&lt;=MAX(DATE(Summary!$C$12,12,31),Summary!$C$15))*('Dvd Calendar'!$AR$2390&lt;=Summary!$C$11)=0,"",'Dvd Calendar'!$AR$2390*1000000000+ISNUMBER('Dvd Calendar'!$AR$2391)*100000000+('Dvd Calendar'!$AR$2395='Field Check'!$C$25)*10000000+(N('Dvd Calendar'!$AR$2389)&gt;0)*1000000+19*1000+40))</f>
        <v/>
      </c>
      <c r="AQ175" s="41">
        <f>IF(N('Dvd Calendar'!$E$2397)=0,"",IF(('Dvd Calendar'!$E$2397&gt;=MIN(DATE(Summary!$C$12,1,1),Summary!$C$11))*('Dvd Calendar'!$E$2397&lt;=MAX(DATE(Summary!$C$12,12,31),Summary!$C$15))*('Dvd Calendar'!$E$2397&gt;Summary!$C$11)=0,"",'Dvd Calendar'!$E$2397*1000000000+ISNUMBER('Dvd Calendar'!$E$2398)*100000000+('Dvd Calendar'!$E$2402='Field Check'!$C$25)*10000000+(N('Dvd Calendar'!$E$2396)&gt;0)*1000000+19*1000+41))</f>
        <v/>
      </c>
      <c r="AR175" s="41">
        <f>IF(N('Dvd Calendar'!$F$2397)=0,"",IF(('Dvd Calendar'!$F$2397&gt;=MIN(DATE(Summary!$C$12,1,1),Summary!$C$11))*('Dvd Calendar'!$F$2397&lt;=MAX(DATE(Summary!$C$12,12,31),Summary!$C$15))*('Dvd Calendar'!$F$2397&gt;Summary!$C$11)=0,"",'Dvd Calendar'!$F$2397*1000000000+ISNUMBER('Dvd Calendar'!$F$2398)*100000000+('Dvd Calendar'!$F$2402='Field Check'!$C$25)*10000000+(N('Dvd Calendar'!$F$2396)&gt;0)*1000000+19*1000+42))</f>
        <v/>
      </c>
      <c r="AS175" s="41">
        <f>IF(N('Dvd Calendar'!$G$2397)=0,"",IF(('Dvd Calendar'!$G$2397&gt;=MIN(DATE(Summary!$C$12,1,1),Summary!$C$11))*('Dvd Calendar'!$G$2397&lt;=MAX(DATE(Summary!$C$12,12,31),Summary!$C$15))*('Dvd Calendar'!$G$2397&gt;Summary!$C$11)=0,"",'Dvd Calendar'!$G$2397*1000000000+ISNUMBER('Dvd Calendar'!$G$2398)*100000000+('Dvd Calendar'!$G$2402='Field Check'!$C$25)*10000000+(N('Dvd Calendar'!$G$2396)&gt;0)*1000000+19*1000+43))</f>
        <v/>
      </c>
      <c r="AT175" s="41">
        <f>IF(N('Dvd Calendar'!$H$2397)=0,"",IF(('Dvd Calendar'!$H$2397&gt;=MIN(DATE(Summary!$C$12,1,1),Summary!$C$11))*('Dvd Calendar'!$H$2397&lt;=MAX(DATE(Summary!$C$12,12,31),Summary!$C$15))*('Dvd Calendar'!$H$2397&gt;Summary!$C$11)=0,"",'Dvd Calendar'!$H$2397*1000000000+ISNUMBER('Dvd Calendar'!$H$2398)*100000000+('Dvd Calendar'!$H$2402='Field Check'!$C$25)*10000000+(N('Dvd Calendar'!$H$2396)&gt;0)*1000000+19*1000+44))</f>
        <v/>
      </c>
      <c r="AU175" s="41">
        <f>IF(N('Dvd Calendar'!$I$2397)=0,"",IF(('Dvd Calendar'!$I$2397&gt;=MIN(DATE(Summary!$C$12,1,1),Summary!$C$11))*('Dvd Calendar'!$I$2397&lt;=MAX(DATE(Summary!$C$12,12,31),Summary!$C$15))*('Dvd Calendar'!$I$2397&gt;Summary!$C$11)=0,"",'Dvd Calendar'!$I$2397*1000000000+ISNUMBER('Dvd Calendar'!$I$2398)*100000000+('Dvd Calendar'!$I$2402='Field Check'!$C$25)*10000000+(N('Dvd Calendar'!$I$2396)&gt;0)*1000000+19*1000+45))</f>
        <v/>
      </c>
      <c r="AV175" s="41">
        <f>IF(N('Dvd Calendar'!$J$2397)=0,"",IF(('Dvd Calendar'!$J$2397&gt;=MIN(DATE(Summary!$C$12,1,1),Summary!$C$11))*('Dvd Calendar'!$J$2397&lt;=MAX(DATE(Summary!$C$12,12,31),Summary!$C$15))*('Dvd Calendar'!$J$2397&gt;Summary!$C$11)=0,"",'Dvd Calendar'!$J$2397*1000000000+ISNUMBER('Dvd Calendar'!$J$2398)*100000000+('Dvd Calendar'!$J$2402='Field Check'!$C$25)*10000000+(N('Dvd Calendar'!$J$2396)&gt;0)*1000000+19*1000+46))</f>
        <v/>
      </c>
      <c r="AW175" s="41">
        <f>IF(N('Dvd Calendar'!$K$2397)=0,"",IF(('Dvd Calendar'!$K$2397&gt;=MIN(DATE(Summary!$C$12,1,1),Summary!$C$11))*('Dvd Calendar'!$K$2397&lt;=MAX(DATE(Summary!$C$12,12,31),Summary!$C$15))*('Dvd Calendar'!$K$2397&gt;Summary!$C$11)=0,"",'Dvd Calendar'!$K$2397*1000000000+ISNUMBER('Dvd Calendar'!$K$2398)*100000000+('Dvd Calendar'!$K$2402='Field Check'!$C$25)*10000000+(N('Dvd Calendar'!$K$2396)&gt;0)*1000000+19*1000+47))</f>
        <v/>
      </c>
      <c r="AX175" s="41">
        <f>IF(N('Dvd Calendar'!$L$2397)=0,"",IF(('Dvd Calendar'!$L$2397&gt;=MIN(DATE(Summary!$C$12,1,1),Summary!$C$11))*('Dvd Calendar'!$L$2397&lt;=MAX(DATE(Summary!$C$12,12,31),Summary!$C$15))*('Dvd Calendar'!$L$2397&gt;Summary!$C$11)=0,"",'Dvd Calendar'!$L$2397*1000000000+ISNUMBER('Dvd Calendar'!$L$2398)*100000000+('Dvd Calendar'!$L$2402='Field Check'!$C$25)*10000000+(N('Dvd Calendar'!$L$2396)&gt;0)*1000000+19*1000+48))</f>
        <v/>
      </c>
      <c r="AY175" s="41">
        <f>IF(N('Dvd Calendar'!$M$2397)=0,"",IF(('Dvd Calendar'!$M$2397&gt;=MIN(DATE(Summary!$C$12,1,1),Summary!$C$11))*('Dvd Calendar'!$M$2397&lt;=MAX(DATE(Summary!$C$12,12,31),Summary!$C$15))*('Dvd Calendar'!$M$2397&gt;Summary!$C$11)=0,"",'Dvd Calendar'!$M$2397*1000000000+ISNUMBER('Dvd Calendar'!$M$2398)*100000000+('Dvd Calendar'!$M$2402='Field Check'!$C$25)*10000000+(N('Dvd Calendar'!$M$2396)&gt;0)*1000000+19*1000+49))</f>
        <v/>
      </c>
      <c r="AZ175" s="41">
        <f>IF(N('Dvd Calendar'!$N$2397)=0,"",IF(('Dvd Calendar'!$N$2397&gt;=MIN(DATE(Summary!$C$12,1,1),Summary!$C$11))*('Dvd Calendar'!$N$2397&lt;=MAX(DATE(Summary!$C$12,12,31),Summary!$C$15))*('Dvd Calendar'!$N$2397&gt;Summary!$C$11)=0,"",'Dvd Calendar'!$N$2397*1000000000+ISNUMBER('Dvd Calendar'!$N$2398)*100000000+('Dvd Calendar'!$N$2402='Field Check'!$C$25)*10000000+(N('Dvd Calendar'!$N$2396)&gt;0)*1000000+19*1000+50))</f>
        <v/>
      </c>
      <c r="BA175" s="41">
        <f>IF(N('Dvd Calendar'!$O$2397)=0,"",IF(('Dvd Calendar'!$O$2397&gt;=MIN(DATE(Summary!$C$12,1,1),Summary!$C$11))*('Dvd Calendar'!$O$2397&lt;=MAX(DATE(Summary!$C$12,12,31),Summary!$C$15))*('Dvd Calendar'!$O$2397&gt;Summary!$C$11)=0,"",'Dvd Calendar'!$O$2397*1000000000+ISNUMBER('Dvd Calendar'!$O$2398)*100000000+('Dvd Calendar'!$O$2402='Field Check'!$C$25)*10000000+(N('Dvd Calendar'!$O$2396)&gt;0)*1000000+19*1000+51))</f>
        <v/>
      </c>
      <c r="BB175" s="41">
        <f>IF(N('Dvd Calendar'!$P$2397)=0,"",IF(('Dvd Calendar'!$P$2397&gt;=MIN(DATE(Summary!$C$12,1,1),Summary!$C$11))*('Dvd Calendar'!$P$2397&lt;=MAX(DATE(Summary!$C$12,12,31),Summary!$C$15))*('Dvd Calendar'!$P$2397&gt;Summary!$C$11)=0,"",'Dvd Calendar'!$P$2397*1000000000+ISNUMBER('Dvd Calendar'!$P$2398)*100000000+('Dvd Calendar'!$P$2402='Field Check'!$C$25)*10000000+(N('Dvd Calendar'!$P$2396)&gt;0)*1000000+19*1000+52))</f>
        <v/>
      </c>
      <c r="BC175" s="41">
        <f>IF(N('Dvd Calendar'!$Q$2397)=0,"",IF(('Dvd Calendar'!$Q$2397&gt;=MIN(DATE(Summary!$C$12,1,1),Summary!$C$11))*('Dvd Calendar'!$Q$2397&lt;=MAX(DATE(Summary!$C$12,12,31),Summary!$C$15))*('Dvd Calendar'!$Q$2397&gt;Summary!$C$11)=0,"",'Dvd Calendar'!$Q$2397*1000000000+ISNUMBER('Dvd Calendar'!$Q$2398)*100000000+('Dvd Calendar'!$Q$2402='Field Check'!$C$25)*10000000+(N('Dvd Calendar'!$Q$2396)&gt;0)*1000000+19*1000+53))</f>
        <v/>
      </c>
      <c r="BD175" s="41">
        <f>IF(N('Dvd Calendar'!$R$2397)=0,"",IF(('Dvd Calendar'!$R$2397&gt;=MIN(DATE(Summary!$C$12,1,1),Summary!$C$11))*('Dvd Calendar'!$R$2397&lt;=MAX(DATE(Summary!$C$12,12,31),Summary!$C$15))*('Dvd Calendar'!$R$2397&gt;Summary!$C$11)=0,"",'Dvd Calendar'!$R$2397*1000000000+ISNUMBER('Dvd Calendar'!$R$2398)*100000000+('Dvd Calendar'!$R$2402='Field Check'!$C$25)*10000000+(N('Dvd Calendar'!$R$2396)&gt;0)*1000000+19*1000+54))</f>
        <v/>
      </c>
      <c r="BE175" s="41">
        <f>IF(N('Dvd Calendar'!$S$2397)=0,"",IF(('Dvd Calendar'!$S$2397&gt;=MIN(DATE(Summary!$C$12,1,1),Summary!$C$11))*('Dvd Calendar'!$S$2397&lt;=MAX(DATE(Summary!$C$12,12,31),Summary!$C$15))*('Dvd Calendar'!$S$2397&gt;Summary!$C$11)=0,"",'Dvd Calendar'!$S$2397*1000000000+ISNUMBER('Dvd Calendar'!$S$2398)*100000000+('Dvd Calendar'!$S$2402='Field Check'!$C$25)*10000000+(N('Dvd Calendar'!$S$2396)&gt;0)*1000000+19*1000+55))</f>
        <v/>
      </c>
      <c r="BF175" s="41">
        <f>IF(N('Dvd Calendar'!$T$2397)=0,"",IF(('Dvd Calendar'!$T$2397&gt;=MIN(DATE(Summary!$C$12,1,1),Summary!$C$11))*('Dvd Calendar'!$T$2397&lt;=MAX(DATE(Summary!$C$12,12,31),Summary!$C$15))*('Dvd Calendar'!$T$2397&gt;Summary!$C$11)=0,"",'Dvd Calendar'!$T$2397*1000000000+ISNUMBER('Dvd Calendar'!$T$2398)*100000000+('Dvd Calendar'!$T$2402='Field Check'!$C$25)*10000000+(N('Dvd Calendar'!$T$2396)&gt;0)*1000000+19*1000+56))</f>
        <v/>
      </c>
      <c r="BG175" s="41">
        <f>IF(N('Dvd Calendar'!$U$2397)=0,"",IF(('Dvd Calendar'!$U$2397&gt;=MIN(DATE(Summary!$C$12,1,1),Summary!$C$11))*('Dvd Calendar'!$U$2397&lt;=MAX(DATE(Summary!$C$12,12,31),Summary!$C$15))*('Dvd Calendar'!$U$2397&gt;Summary!$C$11)=0,"",'Dvd Calendar'!$U$2397*1000000000+ISNUMBER('Dvd Calendar'!$U$2398)*100000000+('Dvd Calendar'!$U$2402='Field Check'!$C$25)*10000000+(N('Dvd Calendar'!$U$2396)&gt;0)*1000000+19*1000+57))</f>
        <v/>
      </c>
      <c r="BH175" s="41">
        <f>IF(N('Dvd Calendar'!$V$2397)=0,"",IF(('Dvd Calendar'!$V$2397&gt;=MIN(DATE(Summary!$C$12,1,1),Summary!$C$11))*('Dvd Calendar'!$V$2397&lt;=MAX(DATE(Summary!$C$12,12,31),Summary!$C$15))*('Dvd Calendar'!$V$2397&gt;Summary!$C$11)=0,"",'Dvd Calendar'!$V$2397*1000000000+ISNUMBER('Dvd Calendar'!$V$2398)*100000000+('Dvd Calendar'!$V$2402='Field Check'!$C$25)*10000000+(N('Dvd Calendar'!$V$2396)&gt;0)*1000000+19*1000+58))</f>
        <v/>
      </c>
      <c r="BI175" s="41">
        <f>IF(N('Dvd Calendar'!$W$2397)=0,"",IF(('Dvd Calendar'!$W$2397&gt;=MIN(DATE(Summary!$C$12,1,1),Summary!$C$11))*('Dvd Calendar'!$W$2397&lt;=MAX(DATE(Summary!$C$12,12,31),Summary!$C$15))*('Dvd Calendar'!$W$2397&gt;Summary!$C$11)=0,"",'Dvd Calendar'!$W$2397*1000000000+ISNUMBER('Dvd Calendar'!$W$2398)*100000000+('Dvd Calendar'!$W$2402='Field Check'!$C$25)*10000000+(N('Dvd Calendar'!$W$2396)&gt;0)*1000000+19*1000+59))</f>
        <v/>
      </c>
      <c r="BJ175" s="41">
        <f>IF(N('Dvd Calendar'!$X$2397)=0,"",IF(('Dvd Calendar'!$X$2397&gt;=MIN(DATE(Summary!$C$12,1,1),Summary!$C$11))*('Dvd Calendar'!$X$2397&lt;=MAX(DATE(Summary!$C$12,12,31),Summary!$C$15))*('Dvd Calendar'!$X$2397&gt;Summary!$C$11)=0,"",'Dvd Calendar'!$X$2397*1000000000+ISNUMBER('Dvd Calendar'!$X$2398)*100000000+('Dvd Calendar'!$X$2402='Field Check'!$C$25)*10000000+(N('Dvd Calendar'!$X$2396)&gt;0)*1000000+19*1000+60))</f>
        <v/>
      </c>
      <c r="BK175" s="41">
        <f>IF(N('Dvd Calendar'!$Y$2397)=0,"",IF(('Dvd Calendar'!$Y$2397&gt;=MIN(DATE(Summary!$C$12,1,1),Summary!$C$11))*('Dvd Calendar'!$Y$2397&lt;=MAX(DATE(Summary!$C$12,12,31),Summary!$C$15))*('Dvd Calendar'!$Y$2397&gt;Summary!$C$11)=0,"",'Dvd Calendar'!$Y$2397*1000000000+ISNUMBER('Dvd Calendar'!$Y$2398)*100000000+('Dvd Calendar'!$Y$2402='Field Check'!$C$25)*10000000+(N('Dvd Calendar'!$Y$2396)&gt;0)*1000000+19*1000+61))</f>
        <v/>
      </c>
      <c r="BL175" s="41">
        <f>IF(N('Dvd Calendar'!$Z$2397)=0,"",IF(('Dvd Calendar'!$Z$2397&gt;=MIN(DATE(Summary!$C$12,1,1),Summary!$C$11))*('Dvd Calendar'!$Z$2397&lt;=MAX(DATE(Summary!$C$12,12,31),Summary!$C$15))*('Dvd Calendar'!$Z$2397&gt;Summary!$C$11)=0,"",'Dvd Calendar'!$Z$2397*1000000000+ISNUMBER('Dvd Calendar'!$Z$2398)*100000000+('Dvd Calendar'!$Z$2402='Field Check'!$C$25)*10000000+(N('Dvd Calendar'!$Z$2396)&gt;0)*1000000+19*1000+62))</f>
        <v/>
      </c>
      <c r="BM175" s="41">
        <f>IF(N('Dvd Calendar'!$AA$2397)=0,"",IF(('Dvd Calendar'!$AA$2397&gt;=MIN(DATE(Summary!$C$12,1,1),Summary!$C$11))*('Dvd Calendar'!$AA$2397&lt;=MAX(DATE(Summary!$C$12,12,31),Summary!$C$15))*('Dvd Calendar'!$AA$2397&gt;Summary!$C$11)=0,"",'Dvd Calendar'!$AA$2397*1000000000+ISNUMBER('Dvd Calendar'!$AA$2398)*100000000+('Dvd Calendar'!$AA$2402='Field Check'!$C$25)*10000000+(N('Dvd Calendar'!$AA$2396)&gt;0)*1000000+19*1000+63))</f>
        <v/>
      </c>
      <c r="BN175" s="41">
        <f>IF(N('Dvd Calendar'!$AB$2397)=0,"",IF(('Dvd Calendar'!$AB$2397&gt;=MIN(DATE(Summary!$C$12,1,1),Summary!$C$11))*('Dvd Calendar'!$AB$2397&lt;=MAX(DATE(Summary!$C$12,12,31),Summary!$C$15))*('Dvd Calendar'!$AB$2397&gt;Summary!$C$11)=0,"",'Dvd Calendar'!$AB$2397*1000000000+ISNUMBER('Dvd Calendar'!$AB$2398)*100000000+('Dvd Calendar'!$AB$2402='Field Check'!$C$25)*10000000+(N('Dvd Calendar'!$AB$2396)&gt;0)*1000000+19*1000+64))</f>
        <v/>
      </c>
      <c r="BO175" s="41">
        <f>IF(N('Dvd Calendar'!$AC$2397)=0,"",IF(('Dvd Calendar'!$AC$2397&gt;=MIN(DATE(Summary!$C$12,1,1),Summary!$C$11))*('Dvd Calendar'!$AC$2397&lt;=MAX(DATE(Summary!$C$12,12,31),Summary!$C$15))*('Dvd Calendar'!$AC$2397&gt;Summary!$C$11)=0,"",'Dvd Calendar'!$AC$2397*1000000000+ISNUMBER('Dvd Calendar'!$AC$2398)*100000000+('Dvd Calendar'!$AC$2402='Field Check'!$C$25)*10000000+(N('Dvd Calendar'!$AC$2396)&gt;0)*1000000+19*1000+65))</f>
        <v/>
      </c>
      <c r="BQ175" s="85">
        <f>IF(C175="","",IF(ISNUMBER('Dvd Calendar'!$E$2391)=FALSE,"",IF((Summary!$C$13="N")*('Dvd Calendar'!$E$2395='Field Check'!$C$25)&gt;0,"",'Dvd Calendar'!$E$2391)))</f>
        <v/>
      </c>
      <c r="BR175" s="85">
        <f>IF(D175="","",IF(ISNUMBER('Dvd Calendar'!$F$2391)=FALSE,"",IF((Summary!$C$13="N")*('Dvd Calendar'!$F$2395='Field Check'!$C$25)&gt;0,"",'Dvd Calendar'!$F$2391)))</f>
        <v/>
      </c>
      <c r="BS175" s="85">
        <f>IF(E175="","",IF(ISNUMBER('Dvd Calendar'!$G$2391)=FALSE,"",IF((Summary!$C$13="N")*('Dvd Calendar'!$G$2395='Field Check'!$C$25)&gt;0,"",'Dvd Calendar'!$G$2391)))</f>
        <v/>
      </c>
      <c r="BT175" s="85">
        <f>IF(F175="","",IF(ISNUMBER('Dvd Calendar'!$H$2391)=FALSE,"",IF((Summary!$C$13="N")*('Dvd Calendar'!$H$2395='Field Check'!$C$25)&gt;0,"",'Dvd Calendar'!$H$2391)))</f>
        <v/>
      </c>
      <c r="BU175" s="85">
        <f>IF(G175="","",IF(ISNUMBER('Dvd Calendar'!$I$2391)=FALSE,"",IF((Summary!$C$13="N")*('Dvd Calendar'!$I$2395='Field Check'!$C$25)&gt;0,"",'Dvd Calendar'!$I$2391)))</f>
        <v/>
      </c>
      <c r="BV175" s="85">
        <f>IF(H175="","",IF(ISNUMBER('Dvd Calendar'!$J$2391)=FALSE,"",IF((Summary!$C$13="N")*('Dvd Calendar'!$J$2395='Field Check'!$C$25)&gt;0,"",'Dvd Calendar'!$J$2391)))</f>
        <v/>
      </c>
      <c r="BW175" s="85">
        <f>IF(I175="","",IF(ISNUMBER('Dvd Calendar'!$K$2391)=FALSE,"",IF((Summary!$C$13="N")*('Dvd Calendar'!$K$2395='Field Check'!$C$25)&gt;0,"",'Dvd Calendar'!$K$2391)))</f>
        <v/>
      </c>
      <c r="BX175" s="85">
        <f>IF(J175="","",IF(ISNUMBER('Dvd Calendar'!$L$2391)=FALSE,"",IF((Summary!$C$13="N")*('Dvd Calendar'!$L$2395='Field Check'!$C$25)&gt;0,"",'Dvd Calendar'!$L$2391)))</f>
        <v/>
      </c>
      <c r="BY175" s="85">
        <f>IF(K175="","",IF(ISNUMBER('Dvd Calendar'!$M$2391)=FALSE,"",IF((Summary!$C$13="N")*('Dvd Calendar'!$M$2395='Field Check'!$C$25)&gt;0,"",'Dvd Calendar'!$M$2391)))</f>
        <v/>
      </c>
      <c r="BZ175" s="85">
        <f>IF(L175="","",IF(ISNUMBER('Dvd Calendar'!$N$2391)=FALSE,"",IF((Summary!$C$13="N")*('Dvd Calendar'!$N$2395='Field Check'!$C$25)&gt;0,"",'Dvd Calendar'!$N$2391)))</f>
        <v/>
      </c>
      <c r="CA175" s="85">
        <f>IF(M175="","",IF(ISNUMBER('Dvd Calendar'!$O$2391)=FALSE,"",IF((Summary!$C$13="N")*('Dvd Calendar'!$O$2395='Field Check'!$C$25)&gt;0,"",'Dvd Calendar'!$O$2391)))</f>
        <v/>
      </c>
      <c r="CB175" s="85">
        <f>IF(N175="","",IF(ISNUMBER('Dvd Calendar'!$P$2391)=FALSE,"",IF((Summary!$C$13="N")*('Dvd Calendar'!$P$2395='Field Check'!$C$25)&gt;0,"",'Dvd Calendar'!$P$2391)))</f>
        <v/>
      </c>
      <c r="CC175" s="85">
        <f>IF(O175="","",IF(ISNUMBER('Dvd Calendar'!$Q$2391)=FALSE,"",IF((Summary!$C$13="N")*('Dvd Calendar'!$Q$2395='Field Check'!$C$25)&gt;0,"",'Dvd Calendar'!$Q$2391)))</f>
        <v/>
      </c>
      <c r="CD175" s="85">
        <f>IF(P175="","",IF(ISNUMBER('Dvd Calendar'!$R$2391)=FALSE,"",IF((Summary!$C$13="N")*('Dvd Calendar'!$R$2395='Field Check'!$C$25)&gt;0,"",'Dvd Calendar'!$R$2391)))</f>
        <v/>
      </c>
      <c r="CE175" s="85">
        <f>IF(Q175="","",IF(ISNUMBER('Dvd Calendar'!$S$2391)=FALSE,"",IF((Summary!$C$13="N")*('Dvd Calendar'!$S$2395='Field Check'!$C$25)&gt;0,"",'Dvd Calendar'!$S$2391)))</f>
        <v/>
      </c>
      <c r="CF175" s="85">
        <f>IF(R175="","",IF(ISNUMBER('Dvd Calendar'!$T$2391)=FALSE,"",IF((Summary!$C$13="N")*('Dvd Calendar'!$T$2395='Field Check'!$C$25)&gt;0,"",'Dvd Calendar'!$T$2391)))</f>
        <v/>
      </c>
      <c r="CG175" s="85">
        <f>IF(S175="","",IF(ISNUMBER('Dvd Calendar'!$U$2391)=FALSE,"",IF((Summary!$C$13="N")*('Dvd Calendar'!$U$2395='Field Check'!$C$25)&gt;0,"",'Dvd Calendar'!$U$2391)))</f>
        <v/>
      </c>
      <c r="CH175" s="85">
        <f>IF(T175="","",IF(ISNUMBER('Dvd Calendar'!$V$2391)=FALSE,"",IF((Summary!$C$13="N")*('Dvd Calendar'!$V$2395='Field Check'!$C$25)&gt;0,"",'Dvd Calendar'!$V$2391)))</f>
        <v/>
      </c>
      <c r="CI175" s="85">
        <f>IF(U175="","",IF(ISNUMBER('Dvd Calendar'!$W$2391)=FALSE,"",IF((Summary!$C$13="N")*('Dvd Calendar'!$W$2395='Field Check'!$C$25)&gt;0,"",'Dvd Calendar'!$W$2391)))</f>
        <v/>
      </c>
      <c r="CJ175" s="85">
        <f>IF(V175="","",IF(ISNUMBER('Dvd Calendar'!$X$2391)=FALSE,"",IF((Summary!$C$13="N")*('Dvd Calendar'!$X$2395='Field Check'!$C$25)&gt;0,"",'Dvd Calendar'!$X$2391)))</f>
        <v/>
      </c>
      <c r="CK175" s="85">
        <f>IF(W175="","",IF(ISNUMBER('Dvd Calendar'!$Y$2391)=FALSE,"",IF((Summary!$C$13="N")*('Dvd Calendar'!$Y$2395='Field Check'!$C$25)&gt;0,"",'Dvd Calendar'!$Y$2391)))</f>
        <v/>
      </c>
      <c r="CL175" s="85">
        <f>IF(X175="","",IF(ISNUMBER('Dvd Calendar'!$Z$2391)=FALSE,"",IF((Summary!$C$13="N")*('Dvd Calendar'!$Z$2395='Field Check'!$C$25)&gt;0,"",'Dvd Calendar'!$Z$2391)))</f>
        <v/>
      </c>
      <c r="CM175" s="85">
        <f>IF(Y175="","",IF(ISNUMBER('Dvd Calendar'!$AA$2391)=FALSE,"",IF((Summary!$C$13="N")*('Dvd Calendar'!$AA$2395='Field Check'!$C$25)&gt;0,"",'Dvd Calendar'!$AA$2391)))</f>
        <v/>
      </c>
      <c r="CN175" s="85">
        <f>IF(Z175="","",IF(ISNUMBER('Dvd Calendar'!$AB$2391)=FALSE,"",IF((Summary!$C$13="N")*('Dvd Calendar'!$AB$2395='Field Check'!$C$25)&gt;0,"",'Dvd Calendar'!$AB$2391)))</f>
        <v/>
      </c>
      <c r="CO175" s="85">
        <f>IF(AA175="","",IF(ISNUMBER('Dvd Calendar'!$AC$2391)=FALSE,"",IF((Summary!$C$13="N")*('Dvd Calendar'!$AC$2395='Field Check'!$C$25)&gt;0,"",'Dvd Calendar'!$AC$2391)))</f>
        <v/>
      </c>
      <c r="CP175" s="85">
        <f>IF(AB175="","",IF(ISNUMBER('Dvd Calendar'!$AD$2391)=FALSE,"",IF((Summary!$C$13="N")*('Dvd Calendar'!$AD$2395='Field Check'!$C$25)&gt;0,"",'Dvd Calendar'!$AD$2391)))</f>
        <v/>
      </c>
      <c r="CQ175" s="85">
        <f>IF(AC175="","",IF(ISNUMBER('Dvd Calendar'!$AE$2391)=FALSE,"",IF((Summary!$C$13="N")*('Dvd Calendar'!$AE$2395='Field Check'!$C$25)&gt;0,"",'Dvd Calendar'!$AE$2391)))</f>
        <v/>
      </c>
      <c r="CR175" s="85">
        <f>IF(AD175="","",IF(ISNUMBER('Dvd Calendar'!$AF$2391)=FALSE,"",IF((Summary!$C$13="N")*('Dvd Calendar'!$AF$2395='Field Check'!$C$25)&gt;0,"",'Dvd Calendar'!$AF$2391)))</f>
        <v/>
      </c>
      <c r="CS175" s="85">
        <f>IF(AE175="","",IF(ISNUMBER('Dvd Calendar'!$AG$2391)=FALSE,"",IF((Summary!$C$13="N")*('Dvd Calendar'!$AG$2395='Field Check'!$C$25)&gt;0,"",'Dvd Calendar'!$AG$2391)))</f>
        <v/>
      </c>
      <c r="CT175" s="85">
        <f>IF(AF175="","",IF(ISNUMBER('Dvd Calendar'!$AH$2391)=FALSE,"",IF((Summary!$C$13="N")*('Dvd Calendar'!$AH$2395='Field Check'!$C$25)&gt;0,"",'Dvd Calendar'!$AH$2391)))</f>
        <v/>
      </c>
      <c r="CU175" s="85">
        <f>IF(AG175="","",IF(ISNUMBER('Dvd Calendar'!$AI$2391)=FALSE,"",IF((Summary!$C$13="N")*('Dvd Calendar'!$AI$2395='Field Check'!$C$25)&gt;0,"",'Dvd Calendar'!$AI$2391)))</f>
        <v/>
      </c>
      <c r="CV175" s="85">
        <f>IF(AH175="","",IF(ISNUMBER('Dvd Calendar'!$AJ$2391)=FALSE,"",IF((Summary!$C$13="N")*('Dvd Calendar'!$AJ$2395='Field Check'!$C$25)&gt;0,"",'Dvd Calendar'!$AJ$2391)))</f>
        <v/>
      </c>
      <c r="CW175" s="85">
        <f>IF(AI175="","",IF(ISNUMBER('Dvd Calendar'!$AK$2391)=FALSE,"",IF((Summary!$C$13="N")*('Dvd Calendar'!$AK$2395='Field Check'!$C$25)&gt;0,"",'Dvd Calendar'!$AK$2391)))</f>
        <v/>
      </c>
      <c r="CX175" s="85">
        <f>IF(AJ175="","",IF(ISNUMBER('Dvd Calendar'!$AL$2391)=FALSE,"",IF((Summary!$C$13="N")*('Dvd Calendar'!$AL$2395='Field Check'!$C$25)&gt;0,"",'Dvd Calendar'!$AL$2391)))</f>
        <v/>
      </c>
      <c r="CY175" s="85">
        <f>IF(AK175="","",IF(ISNUMBER('Dvd Calendar'!$AM$2391)=FALSE,"",IF((Summary!$C$13="N")*('Dvd Calendar'!$AM$2395='Field Check'!$C$25)&gt;0,"",'Dvd Calendar'!$AM$2391)))</f>
        <v/>
      </c>
      <c r="CZ175" s="85">
        <f>IF(AL175="","",IF(ISNUMBER('Dvd Calendar'!$AN$2391)=FALSE,"",IF((Summary!$C$13="N")*('Dvd Calendar'!$AN$2395='Field Check'!$C$25)&gt;0,"",'Dvd Calendar'!$AN$2391)))</f>
        <v/>
      </c>
      <c r="DA175" s="85">
        <f>IF(AM175="","",IF(ISNUMBER('Dvd Calendar'!$AO$2391)=FALSE,"",IF((Summary!$C$13="N")*('Dvd Calendar'!$AO$2395='Field Check'!$C$25)&gt;0,"",'Dvd Calendar'!$AO$2391)))</f>
        <v/>
      </c>
      <c r="DB175" s="85">
        <f>IF(AN175="","",IF(ISNUMBER('Dvd Calendar'!$AP$2391)=FALSE,"",IF((Summary!$C$13="N")*('Dvd Calendar'!$AP$2395='Field Check'!$C$25)&gt;0,"",'Dvd Calendar'!$AP$2391)))</f>
        <v/>
      </c>
      <c r="DC175" s="85">
        <f>IF(AO175="","",IF(ISNUMBER('Dvd Calendar'!$AQ$2391)=FALSE,"",IF((Summary!$C$13="N")*('Dvd Calendar'!$AQ$2395='Field Check'!$C$25)&gt;0,"",'Dvd Calendar'!$AQ$2391)))</f>
        <v/>
      </c>
      <c r="DD175" s="85">
        <f>IF(AP175="","",IF(ISNUMBER('Dvd Calendar'!$AR$2391)=FALSE,"",IF((Summary!$C$13="N")*('Dvd Calendar'!$AR$2395='Field Check'!$C$25)&gt;0,"",'Dvd Calendar'!$AR$2391)))</f>
        <v/>
      </c>
      <c r="DE175" s="85">
        <f>IF(AQ175="","",IF(ISNUMBER('Dvd Calendar'!$E$2398)=FALSE,"",IF((Summary!$C$13="N")*('Dvd Calendar'!$E$2402='Field Check'!$C$25)&gt;0,"",'Dvd Calendar'!$E$2398)))</f>
        <v/>
      </c>
      <c r="DF175" s="85">
        <f>IF(AR175="","",IF(ISNUMBER('Dvd Calendar'!$F$2398)=FALSE,"",IF((Summary!$C$13="N")*('Dvd Calendar'!$F$2402='Field Check'!$C$25)&gt;0,"",'Dvd Calendar'!$F$2398)))</f>
        <v/>
      </c>
      <c r="DG175" s="85">
        <f>IF(AS175="","",IF(ISNUMBER('Dvd Calendar'!$G$2398)=FALSE,"",IF((Summary!$C$13="N")*('Dvd Calendar'!$G$2402='Field Check'!$C$25)&gt;0,"",'Dvd Calendar'!$G$2398)))</f>
        <v/>
      </c>
      <c r="DH175" s="85">
        <f>IF(AT175="","",IF(ISNUMBER('Dvd Calendar'!$H$2398)=FALSE,"",IF((Summary!$C$13="N")*('Dvd Calendar'!$H$2402='Field Check'!$C$25)&gt;0,"",'Dvd Calendar'!$H$2398)))</f>
        <v/>
      </c>
      <c r="DI175" s="85">
        <f>IF(AU175="","",IF(ISNUMBER('Dvd Calendar'!$I$2398)=FALSE,"",IF((Summary!$C$13="N")*('Dvd Calendar'!$I$2402='Field Check'!$C$25)&gt;0,"",'Dvd Calendar'!$I$2398)))</f>
        <v/>
      </c>
      <c r="DJ175" s="85">
        <f>IF(AV175="","",IF(ISNUMBER('Dvd Calendar'!$J$2398)=FALSE,"",IF((Summary!$C$13="N")*('Dvd Calendar'!$J$2402='Field Check'!$C$25)&gt;0,"",'Dvd Calendar'!$J$2398)))</f>
        <v/>
      </c>
      <c r="DK175" s="85">
        <f>IF(AW175="","",IF(ISNUMBER('Dvd Calendar'!$K$2398)=FALSE,"",IF((Summary!$C$13="N")*('Dvd Calendar'!$K$2402='Field Check'!$C$25)&gt;0,"",'Dvd Calendar'!$K$2398)))</f>
        <v/>
      </c>
      <c r="DL175" s="85">
        <f>IF(AX175="","",IF(ISNUMBER('Dvd Calendar'!$L$2398)=FALSE,"",IF((Summary!$C$13="N")*('Dvd Calendar'!$L$2402='Field Check'!$C$25)&gt;0,"",'Dvd Calendar'!$L$2398)))</f>
        <v/>
      </c>
      <c r="DM175" s="85">
        <f>IF(AY175="","",IF(ISNUMBER('Dvd Calendar'!$M$2398)=FALSE,"",IF((Summary!$C$13="N")*('Dvd Calendar'!$M$2402='Field Check'!$C$25)&gt;0,"",'Dvd Calendar'!$M$2398)))</f>
        <v/>
      </c>
      <c r="DN175" s="85">
        <f>IF(AZ175="","",IF(ISNUMBER('Dvd Calendar'!$N$2398)=FALSE,"",IF((Summary!$C$13="N")*('Dvd Calendar'!$N$2402='Field Check'!$C$25)&gt;0,"",'Dvd Calendar'!$N$2398)))</f>
        <v/>
      </c>
      <c r="DO175" s="85">
        <f>IF(BA175="","",IF(ISNUMBER('Dvd Calendar'!$O$2398)=FALSE,"",IF((Summary!$C$13="N")*('Dvd Calendar'!$O$2402='Field Check'!$C$25)&gt;0,"",'Dvd Calendar'!$O$2398)))</f>
        <v/>
      </c>
      <c r="DP175" s="85">
        <f>IF(BB175="","",IF(ISNUMBER('Dvd Calendar'!$P$2398)=FALSE,"",IF((Summary!$C$13="N")*('Dvd Calendar'!$P$2402='Field Check'!$C$25)&gt;0,"",'Dvd Calendar'!$P$2398)))</f>
        <v/>
      </c>
      <c r="DQ175" s="85">
        <f>IF(BC175="","",IF(ISNUMBER('Dvd Calendar'!$Q$2398)=FALSE,"",IF((Summary!$C$13="N")*('Dvd Calendar'!$Q$2402='Field Check'!$C$25)&gt;0,"",'Dvd Calendar'!$Q$2398)))</f>
        <v/>
      </c>
      <c r="DR175" s="85">
        <f>IF(BD175="","",IF(ISNUMBER('Dvd Calendar'!$R$2398)=FALSE,"",IF((Summary!$C$13="N")*('Dvd Calendar'!$R$2402='Field Check'!$C$25)&gt;0,"",'Dvd Calendar'!$R$2398)))</f>
        <v/>
      </c>
      <c r="DS175" s="85">
        <f>IF(BE175="","",IF(ISNUMBER('Dvd Calendar'!$S$2398)=FALSE,"",IF((Summary!$C$13="N")*('Dvd Calendar'!$S$2402='Field Check'!$C$25)&gt;0,"",'Dvd Calendar'!$S$2398)))</f>
        <v/>
      </c>
      <c r="DT175" s="85">
        <f>IF(BF175="","",IF(ISNUMBER('Dvd Calendar'!$T$2398)=FALSE,"",IF((Summary!$C$13="N")*('Dvd Calendar'!$T$2402='Field Check'!$C$25)&gt;0,"",'Dvd Calendar'!$T$2398)))</f>
        <v/>
      </c>
      <c r="DU175" s="85">
        <f>IF(BG175="","",IF(ISNUMBER('Dvd Calendar'!$U$2398)=FALSE,"",IF((Summary!$C$13="N")*('Dvd Calendar'!$U$2402='Field Check'!$C$25)&gt;0,"",'Dvd Calendar'!$U$2398)))</f>
        <v/>
      </c>
      <c r="DV175" s="85">
        <f>IF(BH175="","",IF(ISNUMBER('Dvd Calendar'!$V$2398)=FALSE,"",IF((Summary!$C$13="N")*('Dvd Calendar'!$V$2402='Field Check'!$C$25)&gt;0,"",'Dvd Calendar'!$V$2398)))</f>
        <v/>
      </c>
      <c r="DW175" s="85">
        <f>IF(BI175="","",IF(ISNUMBER('Dvd Calendar'!$W$2398)=FALSE,"",IF((Summary!$C$13="N")*('Dvd Calendar'!$W$2402='Field Check'!$C$25)&gt;0,"",'Dvd Calendar'!$W$2398)))</f>
        <v/>
      </c>
      <c r="DX175" s="85">
        <f>IF(BJ175="","",IF(ISNUMBER('Dvd Calendar'!$X$2398)=FALSE,"",IF((Summary!$C$13="N")*('Dvd Calendar'!$X$2402='Field Check'!$C$25)&gt;0,"",'Dvd Calendar'!$X$2398)))</f>
        <v/>
      </c>
      <c r="DY175" s="85">
        <f>IF(BK175="","",IF(ISNUMBER('Dvd Calendar'!$Y$2398)=FALSE,"",IF((Summary!$C$13="N")*('Dvd Calendar'!$Y$2402='Field Check'!$C$25)&gt;0,"",'Dvd Calendar'!$Y$2398)))</f>
        <v/>
      </c>
      <c r="DZ175" s="85">
        <f>IF(BL175="","",IF(ISNUMBER('Dvd Calendar'!$Z$2398)=FALSE,"",IF((Summary!$C$13="N")*('Dvd Calendar'!$Z$2402='Field Check'!$C$25)&gt;0,"",'Dvd Calendar'!$Z$2398)))</f>
        <v/>
      </c>
      <c r="EA175" s="85">
        <f>IF(BM175="","",IF(ISNUMBER('Dvd Calendar'!$AA$2398)=FALSE,"",IF((Summary!$C$13="N")*('Dvd Calendar'!$AA$2402='Field Check'!$C$25)&gt;0,"",'Dvd Calendar'!$AA$2398)))</f>
        <v/>
      </c>
      <c r="EB175" s="85">
        <f>IF(BN175="","",IF(ISNUMBER('Dvd Calendar'!$AB$2398)=FALSE,"",IF((Summary!$C$13="N")*('Dvd Calendar'!$AB$2402='Field Check'!$C$25)&gt;0,"",'Dvd Calendar'!$AB$2398)))</f>
        <v/>
      </c>
      <c r="EC175" s="85">
        <f>IF(BO175="","",IF(ISNUMBER('Dvd Calendar'!$AC$2398)=FALSE,"",IF((Summary!$C$13="N")*('Dvd Calendar'!$AC$2402='Field Check'!$C$25)&gt;0,"",'Dvd Calendar'!$AC$2398)))</f>
        <v/>
      </c>
      <c r="EE175" s="85">
        <f>IF(BQ175="","",IFERROR(BQ175*HSCEI!$B$25*HSCEI!$G$25/HSCEI!$B$3,""))</f>
        <v/>
      </c>
      <c r="EF175" s="85">
        <f>IF(BR175="","",IFERROR(BR175*HSCEI!$B$25*HSCEI!$G$25/HSCEI!$B$3,""))</f>
        <v/>
      </c>
      <c r="EG175" s="85">
        <f>IF(BS175="","",IFERROR(BS175*HSCEI!$B$25*HSCEI!$G$25/HSCEI!$B$3,""))</f>
        <v/>
      </c>
      <c r="EH175" s="85">
        <f>IF(BT175="","",IFERROR(BT175*HSCEI!$B$25*HSCEI!$G$25/HSCEI!$B$3,""))</f>
        <v/>
      </c>
      <c r="EI175" s="85">
        <f>IF(BU175="","",IFERROR(BU175*HSCEI!$B$25*HSCEI!$G$25/HSCEI!$B$3,""))</f>
        <v/>
      </c>
      <c r="EJ175" s="85">
        <f>IF(BV175="","",IFERROR(BV175*HSCEI!$B$25*HSCEI!$G$25/HSCEI!$B$3,""))</f>
        <v/>
      </c>
      <c r="EK175" s="85">
        <f>IF(BW175="","",IFERROR(BW175*HSCEI!$B$25*HSCEI!$G$25/HSCEI!$B$3,""))</f>
        <v/>
      </c>
      <c r="EL175" s="85">
        <f>IF(BX175="","",IFERROR(BX175*HSCEI!$B$25*HSCEI!$G$25/HSCEI!$B$3,""))</f>
        <v/>
      </c>
      <c r="EM175" s="85">
        <f>IF(BY175="","",IFERROR(BY175*HSCEI!$B$25*HSCEI!$G$25/HSCEI!$B$3,""))</f>
        <v/>
      </c>
      <c r="EN175" s="85">
        <f>IF(BZ175="","",IFERROR(BZ175*HSCEI!$B$25*HSCEI!$G$25/HSCEI!$B$3,""))</f>
        <v/>
      </c>
      <c r="EO175" s="85">
        <f>IF(CA175="","",IFERROR(CA175*HSCEI!$B$25*HSCEI!$G$25/HSCEI!$B$3,""))</f>
        <v/>
      </c>
      <c r="EP175" s="85">
        <f>IF(CB175="","",IFERROR(CB175*HSCEI!$B$25*HSCEI!$G$25/HSCEI!$B$3,""))</f>
        <v/>
      </c>
      <c r="EQ175" s="85">
        <f>IF(CC175="","",IFERROR(CC175*HSCEI!$B$25*HSCEI!$G$25/HSCEI!$B$3,""))</f>
        <v/>
      </c>
      <c r="ER175" s="85">
        <f>IF(CD175="","",IFERROR(CD175*HSCEI!$B$25*HSCEI!$G$25/HSCEI!$B$3,""))</f>
        <v/>
      </c>
      <c r="ES175" s="85">
        <f>IF(CE175="","",IFERROR(CE175*HSCEI!$B$25*HSCEI!$G$25/HSCEI!$B$3,""))</f>
        <v/>
      </c>
      <c r="ET175" s="85">
        <f>IF(CF175="","",IFERROR(CF175*HSCEI!$B$25*HSCEI!$G$25/HSCEI!$B$3,""))</f>
        <v/>
      </c>
      <c r="EU175" s="85">
        <f>IF(CG175="","",IFERROR(CG175*HSCEI!$B$25*HSCEI!$G$25/HSCEI!$B$3,""))</f>
        <v/>
      </c>
      <c r="EV175" s="85">
        <f>IF(CH175="","",IFERROR(CH175*HSCEI!$B$25*HSCEI!$G$25/HSCEI!$B$3,""))</f>
        <v/>
      </c>
      <c r="EW175" s="85">
        <f>IF(CI175="","",IFERROR(CI175*HSCEI!$B$25*HSCEI!$G$25/HSCEI!$B$3,""))</f>
        <v/>
      </c>
      <c r="EX175" s="85">
        <f>IF(CJ175="","",IFERROR(CJ175*HSCEI!$B$25*HSCEI!$G$25/HSCEI!$B$3,""))</f>
        <v/>
      </c>
      <c r="EY175" s="85">
        <f>IF(CK175="","",IFERROR(CK175*HSCEI!$B$25*HSCEI!$G$25/HSCEI!$B$3,""))</f>
        <v/>
      </c>
      <c r="EZ175" s="85">
        <f>IF(CL175="","",IFERROR(CL175*HSCEI!$B$25*HSCEI!$G$25/HSCEI!$B$3,""))</f>
        <v/>
      </c>
      <c r="FA175" s="85">
        <f>IF(CM175="","",IFERROR(CM175*HSCEI!$B$25*HSCEI!$G$25/HSCEI!$B$3,""))</f>
        <v/>
      </c>
      <c r="FB175" s="85">
        <f>IF(CN175="","",IFERROR(CN175*HSCEI!$B$25*HSCEI!$G$25/HSCEI!$B$3,""))</f>
        <v/>
      </c>
      <c r="FC175" s="85">
        <f>IF(CO175="","",IFERROR(CO175*HSCEI!$B$25*HSCEI!$G$25/HSCEI!$B$3,""))</f>
        <v/>
      </c>
      <c r="FD175" s="85">
        <f>IF(CP175="","",IFERROR(CP175*HSCEI!$B$25*HSCEI!$G$25/HSCEI!$B$3,""))</f>
        <v/>
      </c>
      <c r="FE175" s="85">
        <f>IF(CQ175="","",IFERROR(CQ175*HSCEI!$B$25*HSCEI!$G$25/HSCEI!$B$3,""))</f>
        <v/>
      </c>
      <c r="FF175" s="85">
        <f>IF(CR175="","",IFERROR(CR175*HSCEI!$B$25*HSCEI!$G$25/HSCEI!$B$3,""))</f>
        <v/>
      </c>
      <c r="FG175" s="85">
        <f>IF(CS175="","",IFERROR(CS175*HSCEI!$B$25*HSCEI!$G$25/HSCEI!$B$3,""))</f>
        <v/>
      </c>
      <c r="FH175" s="85">
        <f>IF(CT175="","",IFERROR(CT175*HSCEI!$B$25*HSCEI!$G$25/HSCEI!$B$3,""))</f>
        <v/>
      </c>
      <c r="FI175" s="85">
        <f>IF(CU175="","",IFERROR(CU175*HSCEI!$B$25*HSCEI!$G$25/HSCEI!$B$3,""))</f>
        <v/>
      </c>
      <c r="FJ175" s="85">
        <f>IF(CV175="","",IFERROR(CV175*HSCEI!$B$25*HSCEI!$G$25/HSCEI!$B$3,""))</f>
        <v/>
      </c>
      <c r="FK175" s="85">
        <f>IF(CW175="","",IFERROR(CW175*HSCEI!$B$25*HSCEI!$G$25/HSCEI!$B$3,""))</f>
        <v/>
      </c>
      <c r="FL175" s="85">
        <f>IF(CX175="","",IFERROR(CX175*HSCEI!$B$25*HSCEI!$G$25/HSCEI!$B$3,""))</f>
        <v/>
      </c>
      <c r="FM175" s="85">
        <f>IF(CY175="","",IFERROR(CY175*HSCEI!$B$25*HSCEI!$G$25/HSCEI!$B$3,""))</f>
        <v/>
      </c>
      <c r="FN175" s="85">
        <f>IF(CZ175="","",IFERROR(CZ175*HSCEI!$B$25*HSCEI!$G$25/HSCEI!$B$3,""))</f>
        <v/>
      </c>
      <c r="FO175" s="85">
        <f>IF(DA175="","",IFERROR(DA175*HSCEI!$B$25*HSCEI!$G$25/HSCEI!$B$3,""))</f>
        <v/>
      </c>
      <c r="FP175" s="85">
        <f>IF(DB175="","",IFERROR(DB175*HSCEI!$B$25*HSCEI!$G$25/HSCEI!$B$3,""))</f>
        <v/>
      </c>
      <c r="FQ175" s="85">
        <f>IF(DC175="","",IFERROR(DC175*HSCEI!$B$25*HSCEI!$G$25/HSCEI!$B$3,""))</f>
        <v/>
      </c>
      <c r="FR175" s="85">
        <f>IF(DD175="","",IFERROR(DD175*HSCEI!$B$25*HSCEI!$G$25/HSCEI!$B$3,""))</f>
        <v/>
      </c>
      <c r="FS175" s="85">
        <f>IF(DE175="","",IFERROR(DE175*HSCEI!$B$25*HSCEI!$G$25/HSCEI!$B$3,""))</f>
        <v/>
      </c>
      <c r="FT175" s="85">
        <f>IF(DF175="","",IFERROR(DF175*HSCEI!$B$25*HSCEI!$G$25/HSCEI!$B$3,""))</f>
        <v/>
      </c>
      <c r="FU175" s="85">
        <f>IF(DG175="","",IFERROR(DG175*HSCEI!$B$25*HSCEI!$G$25/HSCEI!$B$3,""))</f>
        <v/>
      </c>
      <c r="FV175" s="85">
        <f>IF(DH175="","",IFERROR(DH175*HSCEI!$B$25*HSCEI!$G$25/HSCEI!$B$3,""))</f>
        <v/>
      </c>
      <c r="FW175" s="85">
        <f>IF(DI175="","",IFERROR(DI175*HSCEI!$B$25*HSCEI!$G$25/HSCEI!$B$3,""))</f>
        <v/>
      </c>
      <c r="FX175" s="85">
        <f>IF(DJ175="","",IFERROR(DJ175*HSCEI!$B$25*HSCEI!$G$25/HSCEI!$B$3,""))</f>
        <v/>
      </c>
      <c r="FY175" s="85">
        <f>IF(DK175="","",IFERROR(DK175*HSCEI!$B$25*HSCEI!$G$25/HSCEI!$B$3,""))</f>
        <v/>
      </c>
      <c r="FZ175" s="85">
        <f>IF(DL175="","",IFERROR(DL175*HSCEI!$B$25*HSCEI!$G$25/HSCEI!$B$3,""))</f>
        <v/>
      </c>
      <c r="GA175" s="85">
        <f>IF(DM175="","",IFERROR(DM175*HSCEI!$B$25*HSCEI!$G$25/HSCEI!$B$3,""))</f>
        <v/>
      </c>
      <c r="GB175" s="85">
        <f>IF(DN175="","",IFERROR(DN175*HSCEI!$B$25*HSCEI!$G$25/HSCEI!$B$3,""))</f>
        <v/>
      </c>
      <c r="GC175" s="85">
        <f>IF(DO175="","",IFERROR(DO175*HSCEI!$B$25*HSCEI!$G$25/HSCEI!$B$3,""))</f>
        <v/>
      </c>
      <c r="GD175" s="85">
        <f>IF(DP175="","",IFERROR(DP175*HSCEI!$B$25*HSCEI!$G$25/HSCEI!$B$3,""))</f>
        <v/>
      </c>
      <c r="GE175" s="85">
        <f>IF(DQ175="","",IFERROR(DQ175*HSCEI!$B$25*HSCEI!$G$25/HSCEI!$B$3,""))</f>
        <v/>
      </c>
      <c r="GF175" s="85">
        <f>IF(DR175="","",IFERROR(DR175*HSCEI!$B$25*HSCEI!$G$25/HSCEI!$B$3,""))</f>
        <v/>
      </c>
      <c r="GG175" s="85">
        <f>IF(DS175="","",IFERROR(DS175*HSCEI!$B$25*HSCEI!$G$25/HSCEI!$B$3,""))</f>
        <v/>
      </c>
      <c r="GH175" s="85">
        <f>IF(DT175="","",IFERROR(DT175*HSCEI!$B$25*HSCEI!$G$25/HSCEI!$B$3,""))</f>
        <v/>
      </c>
      <c r="GI175" s="85">
        <f>IF(DU175="","",IFERROR(DU175*HSCEI!$B$25*HSCEI!$G$25/HSCEI!$B$3,""))</f>
        <v/>
      </c>
      <c r="GJ175" s="85">
        <f>IF(DV175="","",IFERROR(DV175*HSCEI!$B$25*HSCEI!$G$25/HSCEI!$B$3,""))</f>
        <v/>
      </c>
      <c r="GK175" s="85">
        <f>IF(DW175="","",IFERROR(DW175*HSCEI!$B$25*HSCEI!$G$25/HSCEI!$B$3,""))</f>
        <v/>
      </c>
      <c r="GL175" s="85">
        <f>IF(DX175="","",IFERROR(DX175*HSCEI!$B$25*HSCEI!$G$25/HSCEI!$B$3,""))</f>
        <v/>
      </c>
      <c r="GM175" s="85">
        <f>IF(DY175="","",IFERROR(DY175*HSCEI!$B$25*HSCEI!$G$25/HSCEI!$B$3,""))</f>
        <v/>
      </c>
      <c r="GN175" s="85">
        <f>IF(DZ175="","",IFERROR(DZ175*HSCEI!$B$25*HSCEI!$G$25/HSCEI!$B$3,""))</f>
        <v/>
      </c>
      <c r="GO175" s="85">
        <f>IF(EA175="","",IFERROR(EA175*HSCEI!$B$25*HSCEI!$G$25/HSCEI!$B$3,""))</f>
        <v/>
      </c>
      <c r="GP175" s="85">
        <f>IF(EB175="","",IFERROR(EB175*HSCEI!$B$25*HSCEI!$G$25/HSCEI!$B$3,""))</f>
        <v/>
      </c>
      <c r="GQ175" s="85">
        <f>IF(EC175="","",IFERROR(EC175*HSCEI!$B$25*HSCEI!$G$25/HSCEI!$B$3,""))</f>
        <v/>
      </c>
    </row>
    <row r="176">
      <c r="B176" s="2">
        <f>IF(HSCEI!$C$26="","",HSCEI!$C$26)</f>
        <v/>
      </c>
      <c r="C176" s="41">
        <f>IF(N('Dvd Calendar'!$E$2405)=0,"",IF(('Dvd Calendar'!$E$2405&gt;=MIN(DATE(Summary!$C$12,1,1),Summary!$C$11))*('Dvd Calendar'!$E$2405&lt;=MAX(DATE(Summary!$C$12,12,31),Summary!$C$15))*('Dvd Calendar'!$E$2405&lt;=Summary!$C$11)=0,"",'Dvd Calendar'!$E$2405*1000000000+ISNUMBER('Dvd Calendar'!$E$2406)*100000000+('Dvd Calendar'!$E$2410='Field Check'!$C$25)*10000000+(N('Dvd Calendar'!$E$2404)&gt;0)*1000000+20*1000+1))</f>
        <v/>
      </c>
      <c r="D176" s="41">
        <f>IF(N('Dvd Calendar'!$F$2405)=0,"",IF(('Dvd Calendar'!$F$2405&gt;=MIN(DATE(Summary!$C$12,1,1),Summary!$C$11))*('Dvd Calendar'!$F$2405&lt;=MAX(DATE(Summary!$C$12,12,31),Summary!$C$15))*('Dvd Calendar'!$F$2405&lt;=Summary!$C$11)=0,"",'Dvd Calendar'!$F$2405*1000000000+ISNUMBER('Dvd Calendar'!$F$2406)*100000000+('Dvd Calendar'!$F$2410='Field Check'!$C$25)*10000000+(N('Dvd Calendar'!$F$2404)&gt;0)*1000000+20*1000+2))</f>
        <v/>
      </c>
      <c r="E176" s="41">
        <f>IF(N('Dvd Calendar'!$G$2405)=0,"",IF(('Dvd Calendar'!$G$2405&gt;=MIN(DATE(Summary!$C$12,1,1),Summary!$C$11))*('Dvd Calendar'!$G$2405&lt;=MAX(DATE(Summary!$C$12,12,31),Summary!$C$15))*('Dvd Calendar'!$G$2405&lt;=Summary!$C$11)=0,"",'Dvd Calendar'!$G$2405*1000000000+ISNUMBER('Dvd Calendar'!$G$2406)*100000000+('Dvd Calendar'!$G$2410='Field Check'!$C$25)*10000000+(N('Dvd Calendar'!$G$2404)&gt;0)*1000000+20*1000+3))</f>
        <v/>
      </c>
      <c r="F176" s="41">
        <f>IF(N('Dvd Calendar'!$H$2405)=0,"",IF(('Dvd Calendar'!$H$2405&gt;=MIN(DATE(Summary!$C$12,1,1),Summary!$C$11))*('Dvd Calendar'!$H$2405&lt;=MAX(DATE(Summary!$C$12,12,31),Summary!$C$15))*('Dvd Calendar'!$H$2405&lt;=Summary!$C$11)=0,"",'Dvd Calendar'!$H$2405*1000000000+ISNUMBER('Dvd Calendar'!$H$2406)*100000000+('Dvd Calendar'!$H$2410='Field Check'!$C$25)*10000000+(N('Dvd Calendar'!$H$2404)&gt;0)*1000000+20*1000+4))</f>
        <v/>
      </c>
      <c r="G176" s="41">
        <f>IF(N('Dvd Calendar'!$I$2405)=0,"",IF(('Dvd Calendar'!$I$2405&gt;=MIN(DATE(Summary!$C$12,1,1),Summary!$C$11))*('Dvd Calendar'!$I$2405&lt;=MAX(DATE(Summary!$C$12,12,31),Summary!$C$15))*('Dvd Calendar'!$I$2405&lt;=Summary!$C$11)=0,"",'Dvd Calendar'!$I$2405*1000000000+ISNUMBER('Dvd Calendar'!$I$2406)*100000000+('Dvd Calendar'!$I$2410='Field Check'!$C$25)*10000000+(N('Dvd Calendar'!$I$2404)&gt;0)*1000000+20*1000+5))</f>
        <v/>
      </c>
      <c r="H176" s="41">
        <f>IF(N('Dvd Calendar'!$J$2405)=0,"",IF(('Dvd Calendar'!$J$2405&gt;=MIN(DATE(Summary!$C$12,1,1),Summary!$C$11))*('Dvd Calendar'!$J$2405&lt;=MAX(DATE(Summary!$C$12,12,31),Summary!$C$15))*('Dvd Calendar'!$J$2405&lt;=Summary!$C$11)=0,"",'Dvd Calendar'!$J$2405*1000000000+ISNUMBER('Dvd Calendar'!$J$2406)*100000000+('Dvd Calendar'!$J$2410='Field Check'!$C$25)*10000000+(N('Dvd Calendar'!$J$2404)&gt;0)*1000000+20*1000+6))</f>
        <v/>
      </c>
      <c r="I176" s="41">
        <f>IF(N('Dvd Calendar'!$K$2405)=0,"",IF(('Dvd Calendar'!$K$2405&gt;=MIN(DATE(Summary!$C$12,1,1),Summary!$C$11))*('Dvd Calendar'!$K$2405&lt;=MAX(DATE(Summary!$C$12,12,31),Summary!$C$15))*('Dvd Calendar'!$K$2405&lt;=Summary!$C$11)=0,"",'Dvd Calendar'!$K$2405*1000000000+ISNUMBER('Dvd Calendar'!$K$2406)*100000000+('Dvd Calendar'!$K$2410='Field Check'!$C$25)*10000000+(N('Dvd Calendar'!$K$2404)&gt;0)*1000000+20*1000+7))</f>
        <v/>
      </c>
      <c r="J176" s="41">
        <f>IF(N('Dvd Calendar'!$L$2405)=0,"",IF(('Dvd Calendar'!$L$2405&gt;=MIN(DATE(Summary!$C$12,1,1),Summary!$C$11))*('Dvd Calendar'!$L$2405&lt;=MAX(DATE(Summary!$C$12,12,31),Summary!$C$15))*('Dvd Calendar'!$L$2405&lt;=Summary!$C$11)=0,"",'Dvd Calendar'!$L$2405*1000000000+ISNUMBER('Dvd Calendar'!$L$2406)*100000000+('Dvd Calendar'!$L$2410='Field Check'!$C$25)*10000000+(N('Dvd Calendar'!$L$2404)&gt;0)*1000000+20*1000+8))</f>
        <v/>
      </c>
      <c r="K176" s="41">
        <f>IF(N('Dvd Calendar'!$M$2405)=0,"",IF(('Dvd Calendar'!$M$2405&gt;=MIN(DATE(Summary!$C$12,1,1),Summary!$C$11))*('Dvd Calendar'!$M$2405&lt;=MAX(DATE(Summary!$C$12,12,31),Summary!$C$15))*('Dvd Calendar'!$M$2405&lt;=Summary!$C$11)=0,"",'Dvd Calendar'!$M$2405*1000000000+ISNUMBER('Dvd Calendar'!$M$2406)*100000000+('Dvd Calendar'!$M$2410='Field Check'!$C$25)*10000000+(N('Dvd Calendar'!$M$2404)&gt;0)*1000000+20*1000+9))</f>
        <v/>
      </c>
      <c r="L176" s="41">
        <f>IF(N('Dvd Calendar'!$N$2405)=0,"",IF(('Dvd Calendar'!$N$2405&gt;=MIN(DATE(Summary!$C$12,1,1),Summary!$C$11))*('Dvd Calendar'!$N$2405&lt;=MAX(DATE(Summary!$C$12,12,31),Summary!$C$15))*('Dvd Calendar'!$N$2405&lt;=Summary!$C$11)=0,"",'Dvd Calendar'!$N$2405*1000000000+ISNUMBER('Dvd Calendar'!$N$2406)*100000000+('Dvd Calendar'!$N$2410='Field Check'!$C$25)*10000000+(N('Dvd Calendar'!$N$2404)&gt;0)*1000000+20*1000+10))</f>
        <v/>
      </c>
      <c r="M176" s="41">
        <f>IF(N('Dvd Calendar'!$O$2405)=0,"",IF(('Dvd Calendar'!$O$2405&gt;=MIN(DATE(Summary!$C$12,1,1),Summary!$C$11))*('Dvd Calendar'!$O$2405&lt;=MAX(DATE(Summary!$C$12,12,31),Summary!$C$15))*('Dvd Calendar'!$O$2405&lt;=Summary!$C$11)=0,"",'Dvd Calendar'!$O$2405*1000000000+ISNUMBER('Dvd Calendar'!$O$2406)*100000000+('Dvd Calendar'!$O$2410='Field Check'!$C$25)*10000000+(N('Dvd Calendar'!$O$2404)&gt;0)*1000000+20*1000+11))</f>
        <v/>
      </c>
      <c r="N176" s="41">
        <f>IF(N('Dvd Calendar'!$P$2405)=0,"",IF(('Dvd Calendar'!$P$2405&gt;=MIN(DATE(Summary!$C$12,1,1),Summary!$C$11))*('Dvd Calendar'!$P$2405&lt;=MAX(DATE(Summary!$C$12,12,31),Summary!$C$15))*('Dvd Calendar'!$P$2405&lt;=Summary!$C$11)=0,"",'Dvd Calendar'!$P$2405*1000000000+ISNUMBER('Dvd Calendar'!$P$2406)*100000000+('Dvd Calendar'!$P$2410='Field Check'!$C$25)*10000000+(N('Dvd Calendar'!$P$2404)&gt;0)*1000000+20*1000+12))</f>
        <v/>
      </c>
      <c r="O176" s="41">
        <f>IF(N('Dvd Calendar'!$Q$2405)=0,"",IF(('Dvd Calendar'!$Q$2405&gt;=MIN(DATE(Summary!$C$12,1,1),Summary!$C$11))*('Dvd Calendar'!$Q$2405&lt;=MAX(DATE(Summary!$C$12,12,31),Summary!$C$15))*('Dvd Calendar'!$Q$2405&lt;=Summary!$C$11)=0,"",'Dvd Calendar'!$Q$2405*1000000000+ISNUMBER('Dvd Calendar'!$Q$2406)*100000000+('Dvd Calendar'!$Q$2410='Field Check'!$C$25)*10000000+(N('Dvd Calendar'!$Q$2404)&gt;0)*1000000+20*1000+13))</f>
        <v/>
      </c>
      <c r="P176" s="41">
        <f>IF(N('Dvd Calendar'!$R$2405)=0,"",IF(('Dvd Calendar'!$R$2405&gt;=MIN(DATE(Summary!$C$12,1,1),Summary!$C$11))*('Dvd Calendar'!$R$2405&lt;=MAX(DATE(Summary!$C$12,12,31),Summary!$C$15))*('Dvd Calendar'!$R$2405&lt;=Summary!$C$11)=0,"",'Dvd Calendar'!$R$2405*1000000000+ISNUMBER('Dvd Calendar'!$R$2406)*100000000+('Dvd Calendar'!$R$2410='Field Check'!$C$25)*10000000+(N('Dvd Calendar'!$R$2404)&gt;0)*1000000+20*1000+14))</f>
        <v/>
      </c>
      <c r="Q176" s="41">
        <f>IF(N('Dvd Calendar'!$S$2405)=0,"",IF(('Dvd Calendar'!$S$2405&gt;=MIN(DATE(Summary!$C$12,1,1),Summary!$C$11))*('Dvd Calendar'!$S$2405&lt;=MAX(DATE(Summary!$C$12,12,31),Summary!$C$15))*('Dvd Calendar'!$S$2405&lt;=Summary!$C$11)=0,"",'Dvd Calendar'!$S$2405*1000000000+ISNUMBER('Dvd Calendar'!$S$2406)*100000000+('Dvd Calendar'!$S$2410='Field Check'!$C$25)*10000000+(N('Dvd Calendar'!$S$2404)&gt;0)*1000000+20*1000+15))</f>
        <v/>
      </c>
      <c r="R176" s="41">
        <f>IF(N('Dvd Calendar'!$T$2405)=0,"",IF(('Dvd Calendar'!$T$2405&gt;=MIN(DATE(Summary!$C$12,1,1),Summary!$C$11))*('Dvd Calendar'!$T$2405&lt;=MAX(DATE(Summary!$C$12,12,31),Summary!$C$15))*('Dvd Calendar'!$T$2405&lt;=Summary!$C$11)=0,"",'Dvd Calendar'!$T$2405*1000000000+ISNUMBER('Dvd Calendar'!$T$2406)*100000000+('Dvd Calendar'!$T$2410='Field Check'!$C$25)*10000000+(N('Dvd Calendar'!$T$2404)&gt;0)*1000000+20*1000+16))</f>
        <v/>
      </c>
      <c r="S176" s="41">
        <f>IF(N('Dvd Calendar'!$U$2405)=0,"",IF(('Dvd Calendar'!$U$2405&gt;=MIN(DATE(Summary!$C$12,1,1),Summary!$C$11))*('Dvd Calendar'!$U$2405&lt;=MAX(DATE(Summary!$C$12,12,31),Summary!$C$15))*('Dvd Calendar'!$U$2405&lt;=Summary!$C$11)=0,"",'Dvd Calendar'!$U$2405*1000000000+ISNUMBER('Dvd Calendar'!$U$2406)*100000000+('Dvd Calendar'!$U$2410='Field Check'!$C$25)*10000000+(N('Dvd Calendar'!$U$2404)&gt;0)*1000000+20*1000+17))</f>
        <v/>
      </c>
      <c r="T176" s="41">
        <f>IF(N('Dvd Calendar'!$V$2405)=0,"",IF(('Dvd Calendar'!$V$2405&gt;=MIN(DATE(Summary!$C$12,1,1),Summary!$C$11))*('Dvd Calendar'!$V$2405&lt;=MAX(DATE(Summary!$C$12,12,31),Summary!$C$15))*('Dvd Calendar'!$V$2405&lt;=Summary!$C$11)=0,"",'Dvd Calendar'!$V$2405*1000000000+ISNUMBER('Dvd Calendar'!$V$2406)*100000000+('Dvd Calendar'!$V$2410='Field Check'!$C$25)*10000000+(N('Dvd Calendar'!$V$2404)&gt;0)*1000000+20*1000+18))</f>
        <v/>
      </c>
      <c r="U176" s="41">
        <f>IF(N('Dvd Calendar'!$W$2405)=0,"",IF(('Dvd Calendar'!$W$2405&gt;=MIN(DATE(Summary!$C$12,1,1),Summary!$C$11))*('Dvd Calendar'!$W$2405&lt;=MAX(DATE(Summary!$C$12,12,31),Summary!$C$15))*('Dvd Calendar'!$W$2405&lt;=Summary!$C$11)=0,"",'Dvd Calendar'!$W$2405*1000000000+ISNUMBER('Dvd Calendar'!$W$2406)*100000000+('Dvd Calendar'!$W$2410='Field Check'!$C$25)*10000000+(N('Dvd Calendar'!$W$2404)&gt;0)*1000000+20*1000+19))</f>
        <v/>
      </c>
      <c r="V176" s="41">
        <f>IF(N('Dvd Calendar'!$X$2405)=0,"",IF(('Dvd Calendar'!$X$2405&gt;=MIN(DATE(Summary!$C$12,1,1),Summary!$C$11))*('Dvd Calendar'!$X$2405&lt;=MAX(DATE(Summary!$C$12,12,31),Summary!$C$15))*('Dvd Calendar'!$X$2405&lt;=Summary!$C$11)=0,"",'Dvd Calendar'!$X$2405*1000000000+ISNUMBER('Dvd Calendar'!$X$2406)*100000000+('Dvd Calendar'!$X$2410='Field Check'!$C$25)*10000000+(N('Dvd Calendar'!$X$2404)&gt;0)*1000000+20*1000+20))</f>
        <v/>
      </c>
      <c r="W176" s="41">
        <f>IF(N('Dvd Calendar'!$Y$2405)=0,"",IF(('Dvd Calendar'!$Y$2405&gt;=MIN(DATE(Summary!$C$12,1,1),Summary!$C$11))*('Dvd Calendar'!$Y$2405&lt;=MAX(DATE(Summary!$C$12,12,31),Summary!$C$15))*('Dvd Calendar'!$Y$2405&lt;=Summary!$C$11)=0,"",'Dvd Calendar'!$Y$2405*1000000000+ISNUMBER('Dvd Calendar'!$Y$2406)*100000000+('Dvd Calendar'!$Y$2410='Field Check'!$C$25)*10000000+(N('Dvd Calendar'!$Y$2404)&gt;0)*1000000+20*1000+21))</f>
        <v/>
      </c>
      <c r="X176" s="41">
        <f>IF(N('Dvd Calendar'!$Z$2405)=0,"",IF(('Dvd Calendar'!$Z$2405&gt;=MIN(DATE(Summary!$C$12,1,1),Summary!$C$11))*('Dvd Calendar'!$Z$2405&lt;=MAX(DATE(Summary!$C$12,12,31),Summary!$C$15))*('Dvd Calendar'!$Z$2405&lt;=Summary!$C$11)=0,"",'Dvd Calendar'!$Z$2405*1000000000+ISNUMBER('Dvd Calendar'!$Z$2406)*100000000+('Dvd Calendar'!$Z$2410='Field Check'!$C$25)*10000000+(N('Dvd Calendar'!$Z$2404)&gt;0)*1000000+20*1000+22))</f>
        <v/>
      </c>
      <c r="Y176" s="41">
        <f>IF(N('Dvd Calendar'!$AA$2405)=0,"",IF(('Dvd Calendar'!$AA$2405&gt;=MIN(DATE(Summary!$C$12,1,1),Summary!$C$11))*('Dvd Calendar'!$AA$2405&lt;=MAX(DATE(Summary!$C$12,12,31),Summary!$C$15))*('Dvd Calendar'!$AA$2405&lt;=Summary!$C$11)=0,"",'Dvd Calendar'!$AA$2405*1000000000+ISNUMBER('Dvd Calendar'!$AA$2406)*100000000+('Dvd Calendar'!$AA$2410='Field Check'!$C$25)*10000000+(N('Dvd Calendar'!$AA$2404)&gt;0)*1000000+20*1000+23))</f>
        <v/>
      </c>
      <c r="Z176" s="41">
        <f>IF(N('Dvd Calendar'!$AB$2405)=0,"",IF(('Dvd Calendar'!$AB$2405&gt;=MIN(DATE(Summary!$C$12,1,1),Summary!$C$11))*('Dvd Calendar'!$AB$2405&lt;=MAX(DATE(Summary!$C$12,12,31),Summary!$C$15))*('Dvd Calendar'!$AB$2405&lt;=Summary!$C$11)=0,"",'Dvd Calendar'!$AB$2405*1000000000+ISNUMBER('Dvd Calendar'!$AB$2406)*100000000+('Dvd Calendar'!$AB$2410='Field Check'!$C$25)*10000000+(N('Dvd Calendar'!$AB$2404)&gt;0)*1000000+20*1000+24))</f>
        <v/>
      </c>
      <c r="AA176" s="41">
        <f>IF(N('Dvd Calendar'!$AC$2405)=0,"",IF(('Dvd Calendar'!$AC$2405&gt;=MIN(DATE(Summary!$C$12,1,1),Summary!$C$11))*('Dvd Calendar'!$AC$2405&lt;=MAX(DATE(Summary!$C$12,12,31),Summary!$C$15))*('Dvd Calendar'!$AC$2405&lt;=Summary!$C$11)=0,"",'Dvd Calendar'!$AC$2405*1000000000+ISNUMBER('Dvd Calendar'!$AC$2406)*100000000+('Dvd Calendar'!$AC$2410='Field Check'!$C$25)*10000000+(N('Dvd Calendar'!$AC$2404)&gt;0)*1000000+20*1000+25))</f>
        <v/>
      </c>
      <c r="AB176" s="41">
        <f>IF(N('Dvd Calendar'!$AD$2405)=0,"",IF(('Dvd Calendar'!$AD$2405&gt;=MIN(DATE(Summary!$C$12,1,1),Summary!$C$11))*('Dvd Calendar'!$AD$2405&lt;=MAX(DATE(Summary!$C$12,12,31),Summary!$C$15))*('Dvd Calendar'!$AD$2405&lt;=Summary!$C$11)=0,"",'Dvd Calendar'!$AD$2405*1000000000+ISNUMBER('Dvd Calendar'!$AD$2406)*100000000+('Dvd Calendar'!$AD$2410='Field Check'!$C$25)*10000000+(N('Dvd Calendar'!$AD$2404)&gt;0)*1000000+20*1000+26))</f>
        <v/>
      </c>
      <c r="AC176" s="41">
        <f>IF(N('Dvd Calendar'!$AE$2405)=0,"",IF(('Dvd Calendar'!$AE$2405&gt;=MIN(DATE(Summary!$C$12,1,1),Summary!$C$11))*('Dvd Calendar'!$AE$2405&lt;=MAX(DATE(Summary!$C$12,12,31),Summary!$C$15))*('Dvd Calendar'!$AE$2405&lt;=Summary!$C$11)=0,"",'Dvd Calendar'!$AE$2405*1000000000+ISNUMBER('Dvd Calendar'!$AE$2406)*100000000+('Dvd Calendar'!$AE$2410='Field Check'!$C$25)*10000000+(N('Dvd Calendar'!$AE$2404)&gt;0)*1000000+20*1000+27))</f>
        <v/>
      </c>
      <c r="AD176" s="41">
        <f>IF(N('Dvd Calendar'!$AF$2405)=0,"",IF(('Dvd Calendar'!$AF$2405&gt;=MIN(DATE(Summary!$C$12,1,1),Summary!$C$11))*('Dvd Calendar'!$AF$2405&lt;=MAX(DATE(Summary!$C$12,12,31),Summary!$C$15))*('Dvd Calendar'!$AF$2405&lt;=Summary!$C$11)=0,"",'Dvd Calendar'!$AF$2405*1000000000+ISNUMBER('Dvd Calendar'!$AF$2406)*100000000+('Dvd Calendar'!$AF$2410='Field Check'!$C$25)*10000000+(N('Dvd Calendar'!$AF$2404)&gt;0)*1000000+20*1000+28))</f>
        <v/>
      </c>
      <c r="AE176" s="41">
        <f>IF(N('Dvd Calendar'!$AG$2405)=0,"",IF(('Dvd Calendar'!$AG$2405&gt;=MIN(DATE(Summary!$C$12,1,1),Summary!$C$11))*('Dvd Calendar'!$AG$2405&lt;=MAX(DATE(Summary!$C$12,12,31),Summary!$C$15))*('Dvd Calendar'!$AG$2405&lt;=Summary!$C$11)=0,"",'Dvd Calendar'!$AG$2405*1000000000+ISNUMBER('Dvd Calendar'!$AG$2406)*100000000+('Dvd Calendar'!$AG$2410='Field Check'!$C$25)*10000000+(N('Dvd Calendar'!$AG$2404)&gt;0)*1000000+20*1000+29))</f>
        <v/>
      </c>
      <c r="AF176" s="41">
        <f>IF(N('Dvd Calendar'!$AH$2405)=0,"",IF(('Dvd Calendar'!$AH$2405&gt;=MIN(DATE(Summary!$C$12,1,1),Summary!$C$11))*('Dvd Calendar'!$AH$2405&lt;=MAX(DATE(Summary!$C$12,12,31),Summary!$C$15))*('Dvd Calendar'!$AH$2405&lt;=Summary!$C$11)=0,"",'Dvd Calendar'!$AH$2405*1000000000+ISNUMBER('Dvd Calendar'!$AH$2406)*100000000+('Dvd Calendar'!$AH$2410='Field Check'!$C$25)*10000000+(N('Dvd Calendar'!$AH$2404)&gt;0)*1000000+20*1000+30))</f>
        <v/>
      </c>
      <c r="AG176" s="41">
        <f>IF(N('Dvd Calendar'!$AI$2405)=0,"",IF(('Dvd Calendar'!$AI$2405&gt;=MIN(DATE(Summary!$C$12,1,1),Summary!$C$11))*('Dvd Calendar'!$AI$2405&lt;=MAX(DATE(Summary!$C$12,12,31),Summary!$C$15))*('Dvd Calendar'!$AI$2405&lt;=Summary!$C$11)=0,"",'Dvd Calendar'!$AI$2405*1000000000+ISNUMBER('Dvd Calendar'!$AI$2406)*100000000+('Dvd Calendar'!$AI$2410='Field Check'!$C$25)*10000000+(N('Dvd Calendar'!$AI$2404)&gt;0)*1000000+20*1000+31))</f>
        <v/>
      </c>
      <c r="AH176" s="41">
        <f>IF(N('Dvd Calendar'!$AJ$2405)=0,"",IF(('Dvd Calendar'!$AJ$2405&gt;=MIN(DATE(Summary!$C$12,1,1),Summary!$C$11))*('Dvd Calendar'!$AJ$2405&lt;=MAX(DATE(Summary!$C$12,12,31),Summary!$C$15))*('Dvd Calendar'!$AJ$2405&lt;=Summary!$C$11)=0,"",'Dvd Calendar'!$AJ$2405*1000000000+ISNUMBER('Dvd Calendar'!$AJ$2406)*100000000+('Dvd Calendar'!$AJ$2410='Field Check'!$C$25)*10000000+(N('Dvd Calendar'!$AJ$2404)&gt;0)*1000000+20*1000+32))</f>
        <v/>
      </c>
      <c r="AI176" s="41">
        <f>IF(N('Dvd Calendar'!$AK$2405)=0,"",IF(('Dvd Calendar'!$AK$2405&gt;=MIN(DATE(Summary!$C$12,1,1),Summary!$C$11))*('Dvd Calendar'!$AK$2405&lt;=MAX(DATE(Summary!$C$12,12,31),Summary!$C$15))*('Dvd Calendar'!$AK$2405&lt;=Summary!$C$11)=0,"",'Dvd Calendar'!$AK$2405*1000000000+ISNUMBER('Dvd Calendar'!$AK$2406)*100000000+('Dvd Calendar'!$AK$2410='Field Check'!$C$25)*10000000+(N('Dvd Calendar'!$AK$2404)&gt;0)*1000000+20*1000+33))</f>
        <v/>
      </c>
      <c r="AJ176" s="41">
        <f>IF(N('Dvd Calendar'!$AL$2405)=0,"",IF(('Dvd Calendar'!$AL$2405&gt;=MIN(DATE(Summary!$C$12,1,1),Summary!$C$11))*('Dvd Calendar'!$AL$2405&lt;=MAX(DATE(Summary!$C$12,12,31),Summary!$C$15))*('Dvd Calendar'!$AL$2405&lt;=Summary!$C$11)=0,"",'Dvd Calendar'!$AL$2405*1000000000+ISNUMBER('Dvd Calendar'!$AL$2406)*100000000+('Dvd Calendar'!$AL$2410='Field Check'!$C$25)*10000000+(N('Dvd Calendar'!$AL$2404)&gt;0)*1000000+20*1000+34))</f>
        <v/>
      </c>
      <c r="AK176" s="41">
        <f>IF(N('Dvd Calendar'!$AM$2405)=0,"",IF(('Dvd Calendar'!$AM$2405&gt;=MIN(DATE(Summary!$C$12,1,1),Summary!$C$11))*('Dvd Calendar'!$AM$2405&lt;=MAX(DATE(Summary!$C$12,12,31),Summary!$C$15))*('Dvd Calendar'!$AM$2405&lt;=Summary!$C$11)=0,"",'Dvd Calendar'!$AM$2405*1000000000+ISNUMBER('Dvd Calendar'!$AM$2406)*100000000+('Dvd Calendar'!$AM$2410='Field Check'!$C$25)*10000000+(N('Dvd Calendar'!$AM$2404)&gt;0)*1000000+20*1000+35))</f>
        <v/>
      </c>
      <c r="AL176" s="41">
        <f>IF(N('Dvd Calendar'!$AN$2405)=0,"",IF(('Dvd Calendar'!$AN$2405&gt;=MIN(DATE(Summary!$C$12,1,1),Summary!$C$11))*('Dvd Calendar'!$AN$2405&lt;=MAX(DATE(Summary!$C$12,12,31),Summary!$C$15))*('Dvd Calendar'!$AN$2405&lt;=Summary!$C$11)=0,"",'Dvd Calendar'!$AN$2405*1000000000+ISNUMBER('Dvd Calendar'!$AN$2406)*100000000+('Dvd Calendar'!$AN$2410='Field Check'!$C$25)*10000000+(N('Dvd Calendar'!$AN$2404)&gt;0)*1000000+20*1000+36))</f>
        <v/>
      </c>
      <c r="AM176" s="41">
        <f>IF(N('Dvd Calendar'!$AO$2405)=0,"",IF(('Dvd Calendar'!$AO$2405&gt;=MIN(DATE(Summary!$C$12,1,1),Summary!$C$11))*('Dvd Calendar'!$AO$2405&lt;=MAX(DATE(Summary!$C$12,12,31),Summary!$C$15))*('Dvd Calendar'!$AO$2405&lt;=Summary!$C$11)=0,"",'Dvd Calendar'!$AO$2405*1000000000+ISNUMBER('Dvd Calendar'!$AO$2406)*100000000+('Dvd Calendar'!$AO$2410='Field Check'!$C$25)*10000000+(N('Dvd Calendar'!$AO$2404)&gt;0)*1000000+20*1000+37))</f>
        <v/>
      </c>
      <c r="AN176" s="41">
        <f>IF(N('Dvd Calendar'!$AP$2405)=0,"",IF(('Dvd Calendar'!$AP$2405&gt;=MIN(DATE(Summary!$C$12,1,1),Summary!$C$11))*('Dvd Calendar'!$AP$2405&lt;=MAX(DATE(Summary!$C$12,12,31),Summary!$C$15))*('Dvd Calendar'!$AP$2405&lt;=Summary!$C$11)=0,"",'Dvd Calendar'!$AP$2405*1000000000+ISNUMBER('Dvd Calendar'!$AP$2406)*100000000+('Dvd Calendar'!$AP$2410='Field Check'!$C$25)*10000000+(N('Dvd Calendar'!$AP$2404)&gt;0)*1000000+20*1000+38))</f>
        <v/>
      </c>
      <c r="AO176" s="41">
        <f>IF(N('Dvd Calendar'!$AQ$2405)=0,"",IF(('Dvd Calendar'!$AQ$2405&gt;=MIN(DATE(Summary!$C$12,1,1),Summary!$C$11))*('Dvd Calendar'!$AQ$2405&lt;=MAX(DATE(Summary!$C$12,12,31),Summary!$C$15))*('Dvd Calendar'!$AQ$2405&lt;=Summary!$C$11)=0,"",'Dvd Calendar'!$AQ$2405*1000000000+ISNUMBER('Dvd Calendar'!$AQ$2406)*100000000+('Dvd Calendar'!$AQ$2410='Field Check'!$C$25)*10000000+(N('Dvd Calendar'!$AQ$2404)&gt;0)*1000000+20*1000+39))</f>
        <v/>
      </c>
      <c r="AP176" s="41">
        <f>IF(N('Dvd Calendar'!$AR$2405)=0,"",IF(('Dvd Calendar'!$AR$2405&gt;=MIN(DATE(Summary!$C$12,1,1),Summary!$C$11))*('Dvd Calendar'!$AR$2405&lt;=MAX(DATE(Summary!$C$12,12,31),Summary!$C$15))*('Dvd Calendar'!$AR$2405&lt;=Summary!$C$11)=0,"",'Dvd Calendar'!$AR$2405*1000000000+ISNUMBER('Dvd Calendar'!$AR$2406)*100000000+('Dvd Calendar'!$AR$2410='Field Check'!$C$25)*10000000+(N('Dvd Calendar'!$AR$2404)&gt;0)*1000000+20*1000+40))</f>
        <v/>
      </c>
      <c r="AQ176" s="41">
        <f>IF(N('Dvd Calendar'!$E$2412)=0,"",IF(('Dvd Calendar'!$E$2412&gt;=MIN(DATE(Summary!$C$12,1,1),Summary!$C$11))*('Dvd Calendar'!$E$2412&lt;=MAX(DATE(Summary!$C$12,12,31),Summary!$C$15))*('Dvd Calendar'!$E$2412&gt;Summary!$C$11)=0,"",'Dvd Calendar'!$E$2412*1000000000+ISNUMBER('Dvd Calendar'!$E$2413)*100000000+('Dvd Calendar'!$E$2417='Field Check'!$C$25)*10000000+(N('Dvd Calendar'!$E$2411)&gt;0)*1000000+20*1000+41))</f>
        <v/>
      </c>
      <c r="AR176" s="41">
        <f>IF(N('Dvd Calendar'!$F$2412)=0,"",IF(('Dvd Calendar'!$F$2412&gt;=MIN(DATE(Summary!$C$12,1,1),Summary!$C$11))*('Dvd Calendar'!$F$2412&lt;=MAX(DATE(Summary!$C$12,12,31),Summary!$C$15))*('Dvd Calendar'!$F$2412&gt;Summary!$C$11)=0,"",'Dvd Calendar'!$F$2412*1000000000+ISNUMBER('Dvd Calendar'!$F$2413)*100000000+('Dvd Calendar'!$F$2417='Field Check'!$C$25)*10000000+(N('Dvd Calendar'!$F$2411)&gt;0)*1000000+20*1000+42))</f>
        <v/>
      </c>
      <c r="AS176" s="41">
        <f>IF(N('Dvd Calendar'!$G$2412)=0,"",IF(('Dvd Calendar'!$G$2412&gt;=MIN(DATE(Summary!$C$12,1,1),Summary!$C$11))*('Dvd Calendar'!$G$2412&lt;=MAX(DATE(Summary!$C$12,12,31),Summary!$C$15))*('Dvd Calendar'!$G$2412&gt;Summary!$C$11)=0,"",'Dvd Calendar'!$G$2412*1000000000+ISNUMBER('Dvd Calendar'!$G$2413)*100000000+('Dvd Calendar'!$G$2417='Field Check'!$C$25)*10000000+(N('Dvd Calendar'!$G$2411)&gt;0)*1000000+20*1000+43))</f>
        <v/>
      </c>
      <c r="AT176" s="41">
        <f>IF(N('Dvd Calendar'!$H$2412)=0,"",IF(('Dvd Calendar'!$H$2412&gt;=MIN(DATE(Summary!$C$12,1,1),Summary!$C$11))*('Dvd Calendar'!$H$2412&lt;=MAX(DATE(Summary!$C$12,12,31),Summary!$C$15))*('Dvd Calendar'!$H$2412&gt;Summary!$C$11)=0,"",'Dvd Calendar'!$H$2412*1000000000+ISNUMBER('Dvd Calendar'!$H$2413)*100000000+('Dvd Calendar'!$H$2417='Field Check'!$C$25)*10000000+(N('Dvd Calendar'!$H$2411)&gt;0)*1000000+20*1000+44))</f>
        <v/>
      </c>
      <c r="AU176" s="41">
        <f>IF(N('Dvd Calendar'!$I$2412)=0,"",IF(('Dvd Calendar'!$I$2412&gt;=MIN(DATE(Summary!$C$12,1,1),Summary!$C$11))*('Dvd Calendar'!$I$2412&lt;=MAX(DATE(Summary!$C$12,12,31),Summary!$C$15))*('Dvd Calendar'!$I$2412&gt;Summary!$C$11)=0,"",'Dvd Calendar'!$I$2412*1000000000+ISNUMBER('Dvd Calendar'!$I$2413)*100000000+('Dvd Calendar'!$I$2417='Field Check'!$C$25)*10000000+(N('Dvd Calendar'!$I$2411)&gt;0)*1000000+20*1000+45))</f>
        <v/>
      </c>
      <c r="AV176" s="41">
        <f>IF(N('Dvd Calendar'!$J$2412)=0,"",IF(('Dvd Calendar'!$J$2412&gt;=MIN(DATE(Summary!$C$12,1,1),Summary!$C$11))*('Dvd Calendar'!$J$2412&lt;=MAX(DATE(Summary!$C$12,12,31),Summary!$C$15))*('Dvd Calendar'!$J$2412&gt;Summary!$C$11)=0,"",'Dvd Calendar'!$J$2412*1000000000+ISNUMBER('Dvd Calendar'!$J$2413)*100000000+('Dvd Calendar'!$J$2417='Field Check'!$C$25)*10000000+(N('Dvd Calendar'!$J$2411)&gt;0)*1000000+20*1000+46))</f>
        <v/>
      </c>
      <c r="AW176" s="41">
        <f>IF(N('Dvd Calendar'!$K$2412)=0,"",IF(('Dvd Calendar'!$K$2412&gt;=MIN(DATE(Summary!$C$12,1,1),Summary!$C$11))*('Dvd Calendar'!$K$2412&lt;=MAX(DATE(Summary!$C$12,12,31),Summary!$C$15))*('Dvd Calendar'!$K$2412&gt;Summary!$C$11)=0,"",'Dvd Calendar'!$K$2412*1000000000+ISNUMBER('Dvd Calendar'!$K$2413)*100000000+('Dvd Calendar'!$K$2417='Field Check'!$C$25)*10000000+(N('Dvd Calendar'!$K$2411)&gt;0)*1000000+20*1000+47))</f>
        <v/>
      </c>
      <c r="AX176" s="41">
        <f>IF(N('Dvd Calendar'!$L$2412)=0,"",IF(('Dvd Calendar'!$L$2412&gt;=MIN(DATE(Summary!$C$12,1,1),Summary!$C$11))*('Dvd Calendar'!$L$2412&lt;=MAX(DATE(Summary!$C$12,12,31),Summary!$C$15))*('Dvd Calendar'!$L$2412&gt;Summary!$C$11)=0,"",'Dvd Calendar'!$L$2412*1000000000+ISNUMBER('Dvd Calendar'!$L$2413)*100000000+('Dvd Calendar'!$L$2417='Field Check'!$C$25)*10000000+(N('Dvd Calendar'!$L$2411)&gt;0)*1000000+20*1000+48))</f>
        <v/>
      </c>
      <c r="AY176" s="41">
        <f>IF(N('Dvd Calendar'!$M$2412)=0,"",IF(('Dvd Calendar'!$M$2412&gt;=MIN(DATE(Summary!$C$12,1,1),Summary!$C$11))*('Dvd Calendar'!$M$2412&lt;=MAX(DATE(Summary!$C$12,12,31),Summary!$C$15))*('Dvd Calendar'!$M$2412&gt;Summary!$C$11)=0,"",'Dvd Calendar'!$M$2412*1000000000+ISNUMBER('Dvd Calendar'!$M$2413)*100000000+('Dvd Calendar'!$M$2417='Field Check'!$C$25)*10000000+(N('Dvd Calendar'!$M$2411)&gt;0)*1000000+20*1000+49))</f>
        <v/>
      </c>
      <c r="AZ176" s="41">
        <f>IF(N('Dvd Calendar'!$N$2412)=0,"",IF(('Dvd Calendar'!$N$2412&gt;=MIN(DATE(Summary!$C$12,1,1),Summary!$C$11))*('Dvd Calendar'!$N$2412&lt;=MAX(DATE(Summary!$C$12,12,31),Summary!$C$15))*('Dvd Calendar'!$N$2412&gt;Summary!$C$11)=0,"",'Dvd Calendar'!$N$2412*1000000000+ISNUMBER('Dvd Calendar'!$N$2413)*100000000+('Dvd Calendar'!$N$2417='Field Check'!$C$25)*10000000+(N('Dvd Calendar'!$N$2411)&gt;0)*1000000+20*1000+50))</f>
        <v/>
      </c>
      <c r="BA176" s="41">
        <f>IF(N('Dvd Calendar'!$O$2412)=0,"",IF(('Dvd Calendar'!$O$2412&gt;=MIN(DATE(Summary!$C$12,1,1),Summary!$C$11))*('Dvd Calendar'!$O$2412&lt;=MAX(DATE(Summary!$C$12,12,31),Summary!$C$15))*('Dvd Calendar'!$O$2412&gt;Summary!$C$11)=0,"",'Dvd Calendar'!$O$2412*1000000000+ISNUMBER('Dvd Calendar'!$O$2413)*100000000+('Dvd Calendar'!$O$2417='Field Check'!$C$25)*10000000+(N('Dvd Calendar'!$O$2411)&gt;0)*1000000+20*1000+51))</f>
        <v/>
      </c>
      <c r="BB176" s="41">
        <f>IF(N('Dvd Calendar'!$P$2412)=0,"",IF(('Dvd Calendar'!$P$2412&gt;=MIN(DATE(Summary!$C$12,1,1),Summary!$C$11))*('Dvd Calendar'!$P$2412&lt;=MAX(DATE(Summary!$C$12,12,31),Summary!$C$15))*('Dvd Calendar'!$P$2412&gt;Summary!$C$11)=0,"",'Dvd Calendar'!$P$2412*1000000000+ISNUMBER('Dvd Calendar'!$P$2413)*100000000+('Dvd Calendar'!$P$2417='Field Check'!$C$25)*10000000+(N('Dvd Calendar'!$P$2411)&gt;0)*1000000+20*1000+52))</f>
        <v/>
      </c>
      <c r="BC176" s="41">
        <f>IF(N('Dvd Calendar'!$Q$2412)=0,"",IF(('Dvd Calendar'!$Q$2412&gt;=MIN(DATE(Summary!$C$12,1,1),Summary!$C$11))*('Dvd Calendar'!$Q$2412&lt;=MAX(DATE(Summary!$C$12,12,31),Summary!$C$15))*('Dvd Calendar'!$Q$2412&gt;Summary!$C$11)=0,"",'Dvd Calendar'!$Q$2412*1000000000+ISNUMBER('Dvd Calendar'!$Q$2413)*100000000+('Dvd Calendar'!$Q$2417='Field Check'!$C$25)*10000000+(N('Dvd Calendar'!$Q$2411)&gt;0)*1000000+20*1000+53))</f>
        <v/>
      </c>
      <c r="BD176" s="41">
        <f>IF(N('Dvd Calendar'!$R$2412)=0,"",IF(('Dvd Calendar'!$R$2412&gt;=MIN(DATE(Summary!$C$12,1,1),Summary!$C$11))*('Dvd Calendar'!$R$2412&lt;=MAX(DATE(Summary!$C$12,12,31),Summary!$C$15))*('Dvd Calendar'!$R$2412&gt;Summary!$C$11)=0,"",'Dvd Calendar'!$R$2412*1000000000+ISNUMBER('Dvd Calendar'!$R$2413)*100000000+('Dvd Calendar'!$R$2417='Field Check'!$C$25)*10000000+(N('Dvd Calendar'!$R$2411)&gt;0)*1000000+20*1000+54))</f>
        <v/>
      </c>
      <c r="BE176" s="41">
        <f>IF(N('Dvd Calendar'!$S$2412)=0,"",IF(('Dvd Calendar'!$S$2412&gt;=MIN(DATE(Summary!$C$12,1,1),Summary!$C$11))*('Dvd Calendar'!$S$2412&lt;=MAX(DATE(Summary!$C$12,12,31),Summary!$C$15))*('Dvd Calendar'!$S$2412&gt;Summary!$C$11)=0,"",'Dvd Calendar'!$S$2412*1000000000+ISNUMBER('Dvd Calendar'!$S$2413)*100000000+('Dvd Calendar'!$S$2417='Field Check'!$C$25)*10000000+(N('Dvd Calendar'!$S$2411)&gt;0)*1000000+20*1000+55))</f>
        <v/>
      </c>
      <c r="BF176" s="41">
        <f>IF(N('Dvd Calendar'!$T$2412)=0,"",IF(('Dvd Calendar'!$T$2412&gt;=MIN(DATE(Summary!$C$12,1,1),Summary!$C$11))*('Dvd Calendar'!$T$2412&lt;=MAX(DATE(Summary!$C$12,12,31),Summary!$C$15))*('Dvd Calendar'!$T$2412&gt;Summary!$C$11)=0,"",'Dvd Calendar'!$T$2412*1000000000+ISNUMBER('Dvd Calendar'!$T$2413)*100000000+('Dvd Calendar'!$T$2417='Field Check'!$C$25)*10000000+(N('Dvd Calendar'!$T$2411)&gt;0)*1000000+20*1000+56))</f>
        <v/>
      </c>
      <c r="BG176" s="41">
        <f>IF(N('Dvd Calendar'!$U$2412)=0,"",IF(('Dvd Calendar'!$U$2412&gt;=MIN(DATE(Summary!$C$12,1,1),Summary!$C$11))*('Dvd Calendar'!$U$2412&lt;=MAX(DATE(Summary!$C$12,12,31),Summary!$C$15))*('Dvd Calendar'!$U$2412&gt;Summary!$C$11)=0,"",'Dvd Calendar'!$U$2412*1000000000+ISNUMBER('Dvd Calendar'!$U$2413)*100000000+('Dvd Calendar'!$U$2417='Field Check'!$C$25)*10000000+(N('Dvd Calendar'!$U$2411)&gt;0)*1000000+20*1000+57))</f>
        <v/>
      </c>
      <c r="BH176" s="41">
        <f>IF(N('Dvd Calendar'!$V$2412)=0,"",IF(('Dvd Calendar'!$V$2412&gt;=MIN(DATE(Summary!$C$12,1,1),Summary!$C$11))*('Dvd Calendar'!$V$2412&lt;=MAX(DATE(Summary!$C$12,12,31),Summary!$C$15))*('Dvd Calendar'!$V$2412&gt;Summary!$C$11)=0,"",'Dvd Calendar'!$V$2412*1000000000+ISNUMBER('Dvd Calendar'!$V$2413)*100000000+('Dvd Calendar'!$V$2417='Field Check'!$C$25)*10000000+(N('Dvd Calendar'!$V$2411)&gt;0)*1000000+20*1000+58))</f>
        <v/>
      </c>
      <c r="BI176" s="41">
        <f>IF(N('Dvd Calendar'!$W$2412)=0,"",IF(('Dvd Calendar'!$W$2412&gt;=MIN(DATE(Summary!$C$12,1,1),Summary!$C$11))*('Dvd Calendar'!$W$2412&lt;=MAX(DATE(Summary!$C$12,12,31),Summary!$C$15))*('Dvd Calendar'!$W$2412&gt;Summary!$C$11)=0,"",'Dvd Calendar'!$W$2412*1000000000+ISNUMBER('Dvd Calendar'!$W$2413)*100000000+('Dvd Calendar'!$W$2417='Field Check'!$C$25)*10000000+(N('Dvd Calendar'!$W$2411)&gt;0)*1000000+20*1000+59))</f>
        <v/>
      </c>
      <c r="BJ176" s="41">
        <f>IF(N('Dvd Calendar'!$X$2412)=0,"",IF(('Dvd Calendar'!$X$2412&gt;=MIN(DATE(Summary!$C$12,1,1),Summary!$C$11))*('Dvd Calendar'!$X$2412&lt;=MAX(DATE(Summary!$C$12,12,31),Summary!$C$15))*('Dvd Calendar'!$X$2412&gt;Summary!$C$11)=0,"",'Dvd Calendar'!$X$2412*1000000000+ISNUMBER('Dvd Calendar'!$X$2413)*100000000+('Dvd Calendar'!$X$2417='Field Check'!$C$25)*10000000+(N('Dvd Calendar'!$X$2411)&gt;0)*1000000+20*1000+60))</f>
        <v/>
      </c>
      <c r="BK176" s="41">
        <f>IF(N('Dvd Calendar'!$Y$2412)=0,"",IF(('Dvd Calendar'!$Y$2412&gt;=MIN(DATE(Summary!$C$12,1,1),Summary!$C$11))*('Dvd Calendar'!$Y$2412&lt;=MAX(DATE(Summary!$C$12,12,31),Summary!$C$15))*('Dvd Calendar'!$Y$2412&gt;Summary!$C$11)=0,"",'Dvd Calendar'!$Y$2412*1000000000+ISNUMBER('Dvd Calendar'!$Y$2413)*100000000+('Dvd Calendar'!$Y$2417='Field Check'!$C$25)*10000000+(N('Dvd Calendar'!$Y$2411)&gt;0)*1000000+20*1000+61))</f>
        <v/>
      </c>
      <c r="BL176" s="41">
        <f>IF(N('Dvd Calendar'!$Z$2412)=0,"",IF(('Dvd Calendar'!$Z$2412&gt;=MIN(DATE(Summary!$C$12,1,1),Summary!$C$11))*('Dvd Calendar'!$Z$2412&lt;=MAX(DATE(Summary!$C$12,12,31),Summary!$C$15))*('Dvd Calendar'!$Z$2412&gt;Summary!$C$11)=0,"",'Dvd Calendar'!$Z$2412*1000000000+ISNUMBER('Dvd Calendar'!$Z$2413)*100000000+('Dvd Calendar'!$Z$2417='Field Check'!$C$25)*10000000+(N('Dvd Calendar'!$Z$2411)&gt;0)*1000000+20*1000+62))</f>
        <v/>
      </c>
      <c r="BM176" s="41">
        <f>IF(N('Dvd Calendar'!$AA$2412)=0,"",IF(('Dvd Calendar'!$AA$2412&gt;=MIN(DATE(Summary!$C$12,1,1),Summary!$C$11))*('Dvd Calendar'!$AA$2412&lt;=MAX(DATE(Summary!$C$12,12,31),Summary!$C$15))*('Dvd Calendar'!$AA$2412&gt;Summary!$C$11)=0,"",'Dvd Calendar'!$AA$2412*1000000000+ISNUMBER('Dvd Calendar'!$AA$2413)*100000000+('Dvd Calendar'!$AA$2417='Field Check'!$C$25)*10000000+(N('Dvd Calendar'!$AA$2411)&gt;0)*1000000+20*1000+63))</f>
        <v/>
      </c>
      <c r="BN176" s="41">
        <f>IF(N('Dvd Calendar'!$AB$2412)=0,"",IF(('Dvd Calendar'!$AB$2412&gt;=MIN(DATE(Summary!$C$12,1,1),Summary!$C$11))*('Dvd Calendar'!$AB$2412&lt;=MAX(DATE(Summary!$C$12,12,31),Summary!$C$15))*('Dvd Calendar'!$AB$2412&gt;Summary!$C$11)=0,"",'Dvd Calendar'!$AB$2412*1000000000+ISNUMBER('Dvd Calendar'!$AB$2413)*100000000+('Dvd Calendar'!$AB$2417='Field Check'!$C$25)*10000000+(N('Dvd Calendar'!$AB$2411)&gt;0)*1000000+20*1000+64))</f>
        <v/>
      </c>
      <c r="BO176" s="41">
        <f>IF(N('Dvd Calendar'!$AC$2412)=0,"",IF(('Dvd Calendar'!$AC$2412&gt;=MIN(DATE(Summary!$C$12,1,1),Summary!$C$11))*('Dvd Calendar'!$AC$2412&lt;=MAX(DATE(Summary!$C$12,12,31),Summary!$C$15))*('Dvd Calendar'!$AC$2412&gt;Summary!$C$11)=0,"",'Dvd Calendar'!$AC$2412*1000000000+ISNUMBER('Dvd Calendar'!$AC$2413)*100000000+('Dvd Calendar'!$AC$2417='Field Check'!$C$25)*10000000+(N('Dvd Calendar'!$AC$2411)&gt;0)*1000000+20*1000+65))</f>
        <v/>
      </c>
      <c r="BQ176" s="85">
        <f>IF(C176="","",IF(ISNUMBER('Dvd Calendar'!$E$2406)=FALSE,"",IF((Summary!$C$13="N")*('Dvd Calendar'!$E$2410='Field Check'!$C$25)&gt;0,"",'Dvd Calendar'!$E$2406)))</f>
        <v/>
      </c>
      <c r="BR176" s="85">
        <f>IF(D176="","",IF(ISNUMBER('Dvd Calendar'!$F$2406)=FALSE,"",IF((Summary!$C$13="N")*('Dvd Calendar'!$F$2410='Field Check'!$C$25)&gt;0,"",'Dvd Calendar'!$F$2406)))</f>
        <v/>
      </c>
      <c r="BS176" s="85">
        <f>IF(E176="","",IF(ISNUMBER('Dvd Calendar'!$G$2406)=FALSE,"",IF((Summary!$C$13="N")*('Dvd Calendar'!$G$2410='Field Check'!$C$25)&gt;0,"",'Dvd Calendar'!$G$2406)))</f>
        <v/>
      </c>
      <c r="BT176" s="85">
        <f>IF(F176="","",IF(ISNUMBER('Dvd Calendar'!$H$2406)=FALSE,"",IF((Summary!$C$13="N")*('Dvd Calendar'!$H$2410='Field Check'!$C$25)&gt;0,"",'Dvd Calendar'!$H$2406)))</f>
        <v/>
      </c>
      <c r="BU176" s="85">
        <f>IF(G176="","",IF(ISNUMBER('Dvd Calendar'!$I$2406)=FALSE,"",IF((Summary!$C$13="N")*('Dvd Calendar'!$I$2410='Field Check'!$C$25)&gt;0,"",'Dvd Calendar'!$I$2406)))</f>
        <v/>
      </c>
      <c r="BV176" s="85">
        <f>IF(H176="","",IF(ISNUMBER('Dvd Calendar'!$J$2406)=FALSE,"",IF((Summary!$C$13="N")*('Dvd Calendar'!$J$2410='Field Check'!$C$25)&gt;0,"",'Dvd Calendar'!$J$2406)))</f>
        <v/>
      </c>
      <c r="BW176" s="85">
        <f>IF(I176="","",IF(ISNUMBER('Dvd Calendar'!$K$2406)=FALSE,"",IF((Summary!$C$13="N")*('Dvd Calendar'!$K$2410='Field Check'!$C$25)&gt;0,"",'Dvd Calendar'!$K$2406)))</f>
        <v/>
      </c>
      <c r="BX176" s="85">
        <f>IF(J176="","",IF(ISNUMBER('Dvd Calendar'!$L$2406)=FALSE,"",IF((Summary!$C$13="N")*('Dvd Calendar'!$L$2410='Field Check'!$C$25)&gt;0,"",'Dvd Calendar'!$L$2406)))</f>
        <v/>
      </c>
      <c r="BY176" s="85">
        <f>IF(K176="","",IF(ISNUMBER('Dvd Calendar'!$M$2406)=FALSE,"",IF((Summary!$C$13="N")*('Dvd Calendar'!$M$2410='Field Check'!$C$25)&gt;0,"",'Dvd Calendar'!$M$2406)))</f>
        <v/>
      </c>
      <c r="BZ176" s="85">
        <f>IF(L176="","",IF(ISNUMBER('Dvd Calendar'!$N$2406)=FALSE,"",IF((Summary!$C$13="N")*('Dvd Calendar'!$N$2410='Field Check'!$C$25)&gt;0,"",'Dvd Calendar'!$N$2406)))</f>
        <v/>
      </c>
      <c r="CA176" s="85">
        <f>IF(M176="","",IF(ISNUMBER('Dvd Calendar'!$O$2406)=FALSE,"",IF((Summary!$C$13="N")*('Dvd Calendar'!$O$2410='Field Check'!$C$25)&gt;0,"",'Dvd Calendar'!$O$2406)))</f>
        <v/>
      </c>
      <c r="CB176" s="85">
        <f>IF(N176="","",IF(ISNUMBER('Dvd Calendar'!$P$2406)=FALSE,"",IF((Summary!$C$13="N")*('Dvd Calendar'!$P$2410='Field Check'!$C$25)&gt;0,"",'Dvd Calendar'!$P$2406)))</f>
        <v/>
      </c>
      <c r="CC176" s="85">
        <f>IF(O176="","",IF(ISNUMBER('Dvd Calendar'!$Q$2406)=FALSE,"",IF((Summary!$C$13="N")*('Dvd Calendar'!$Q$2410='Field Check'!$C$25)&gt;0,"",'Dvd Calendar'!$Q$2406)))</f>
        <v/>
      </c>
      <c r="CD176" s="85">
        <f>IF(P176="","",IF(ISNUMBER('Dvd Calendar'!$R$2406)=FALSE,"",IF((Summary!$C$13="N")*('Dvd Calendar'!$R$2410='Field Check'!$C$25)&gt;0,"",'Dvd Calendar'!$R$2406)))</f>
        <v/>
      </c>
      <c r="CE176" s="85">
        <f>IF(Q176="","",IF(ISNUMBER('Dvd Calendar'!$S$2406)=FALSE,"",IF((Summary!$C$13="N")*('Dvd Calendar'!$S$2410='Field Check'!$C$25)&gt;0,"",'Dvd Calendar'!$S$2406)))</f>
        <v/>
      </c>
      <c r="CF176" s="85">
        <f>IF(R176="","",IF(ISNUMBER('Dvd Calendar'!$T$2406)=FALSE,"",IF((Summary!$C$13="N")*('Dvd Calendar'!$T$2410='Field Check'!$C$25)&gt;0,"",'Dvd Calendar'!$T$2406)))</f>
        <v/>
      </c>
      <c r="CG176" s="85">
        <f>IF(S176="","",IF(ISNUMBER('Dvd Calendar'!$U$2406)=FALSE,"",IF((Summary!$C$13="N")*('Dvd Calendar'!$U$2410='Field Check'!$C$25)&gt;0,"",'Dvd Calendar'!$U$2406)))</f>
        <v/>
      </c>
      <c r="CH176" s="85">
        <f>IF(T176="","",IF(ISNUMBER('Dvd Calendar'!$V$2406)=FALSE,"",IF((Summary!$C$13="N")*('Dvd Calendar'!$V$2410='Field Check'!$C$25)&gt;0,"",'Dvd Calendar'!$V$2406)))</f>
        <v/>
      </c>
      <c r="CI176" s="85">
        <f>IF(U176="","",IF(ISNUMBER('Dvd Calendar'!$W$2406)=FALSE,"",IF((Summary!$C$13="N")*('Dvd Calendar'!$W$2410='Field Check'!$C$25)&gt;0,"",'Dvd Calendar'!$W$2406)))</f>
        <v/>
      </c>
      <c r="CJ176" s="85">
        <f>IF(V176="","",IF(ISNUMBER('Dvd Calendar'!$X$2406)=FALSE,"",IF((Summary!$C$13="N")*('Dvd Calendar'!$X$2410='Field Check'!$C$25)&gt;0,"",'Dvd Calendar'!$X$2406)))</f>
        <v/>
      </c>
      <c r="CK176" s="85">
        <f>IF(W176="","",IF(ISNUMBER('Dvd Calendar'!$Y$2406)=FALSE,"",IF((Summary!$C$13="N")*('Dvd Calendar'!$Y$2410='Field Check'!$C$25)&gt;0,"",'Dvd Calendar'!$Y$2406)))</f>
        <v/>
      </c>
      <c r="CL176" s="85">
        <f>IF(X176="","",IF(ISNUMBER('Dvd Calendar'!$Z$2406)=FALSE,"",IF((Summary!$C$13="N")*('Dvd Calendar'!$Z$2410='Field Check'!$C$25)&gt;0,"",'Dvd Calendar'!$Z$2406)))</f>
        <v/>
      </c>
      <c r="CM176" s="85">
        <f>IF(Y176="","",IF(ISNUMBER('Dvd Calendar'!$AA$2406)=FALSE,"",IF((Summary!$C$13="N")*('Dvd Calendar'!$AA$2410='Field Check'!$C$25)&gt;0,"",'Dvd Calendar'!$AA$2406)))</f>
        <v/>
      </c>
      <c r="CN176" s="85">
        <f>IF(Z176="","",IF(ISNUMBER('Dvd Calendar'!$AB$2406)=FALSE,"",IF((Summary!$C$13="N")*('Dvd Calendar'!$AB$2410='Field Check'!$C$25)&gt;0,"",'Dvd Calendar'!$AB$2406)))</f>
        <v/>
      </c>
      <c r="CO176" s="85">
        <f>IF(AA176="","",IF(ISNUMBER('Dvd Calendar'!$AC$2406)=FALSE,"",IF((Summary!$C$13="N")*('Dvd Calendar'!$AC$2410='Field Check'!$C$25)&gt;0,"",'Dvd Calendar'!$AC$2406)))</f>
        <v/>
      </c>
      <c r="CP176" s="85">
        <f>IF(AB176="","",IF(ISNUMBER('Dvd Calendar'!$AD$2406)=FALSE,"",IF((Summary!$C$13="N")*('Dvd Calendar'!$AD$2410='Field Check'!$C$25)&gt;0,"",'Dvd Calendar'!$AD$2406)))</f>
        <v/>
      </c>
      <c r="CQ176" s="85">
        <f>IF(AC176="","",IF(ISNUMBER('Dvd Calendar'!$AE$2406)=FALSE,"",IF((Summary!$C$13="N")*('Dvd Calendar'!$AE$2410='Field Check'!$C$25)&gt;0,"",'Dvd Calendar'!$AE$2406)))</f>
        <v/>
      </c>
      <c r="CR176" s="85">
        <f>IF(AD176="","",IF(ISNUMBER('Dvd Calendar'!$AF$2406)=FALSE,"",IF((Summary!$C$13="N")*('Dvd Calendar'!$AF$2410='Field Check'!$C$25)&gt;0,"",'Dvd Calendar'!$AF$2406)))</f>
        <v/>
      </c>
      <c r="CS176" s="85">
        <f>IF(AE176="","",IF(ISNUMBER('Dvd Calendar'!$AG$2406)=FALSE,"",IF((Summary!$C$13="N")*('Dvd Calendar'!$AG$2410='Field Check'!$C$25)&gt;0,"",'Dvd Calendar'!$AG$2406)))</f>
        <v/>
      </c>
      <c r="CT176" s="85">
        <f>IF(AF176="","",IF(ISNUMBER('Dvd Calendar'!$AH$2406)=FALSE,"",IF((Summary!$C$13="N")*('Dvd Calendar'!$AH$2410='Field Check'!$C$25)&gt;0,"",'Dvd Calendar'!$AH$2406)))</f>
        <v/>
      </c>
      <c r="CU176" s="85">
        <f>IF(AG176="","",IF(ISNUMBER('Dvd Calendar'!$AI$2406)=FALSE,"",IF((Summary!$C$13="N")*('Dvd Calendar'!$AI$2410='Field Check'!$C$25)&gt;0,"",'Dvd Calendar'!$AI$2406)))</f>
        <v/>
      </c>
      <c r="CV176" s="85">
        <f>IF(AH176="","",IF(ISNUMBER('Dvd Calendar'!$AJ$2406)=FALSE,"",IF((Summary!$C$13="N")*('Dvd Calendar'!$AJ$2410='Field Check'!$C$25)&gt;0,"",'Dvd Calendar'!$AJ$2406)))</f>
        <v/>
      </c>
      <c r="CW176" s="85">
        <f>IF(AI176="","",IF(ISNUMBER('Dvd Calendar'!$AK$2406)=FALSE,"",IF((Summary!$C$13="N")*('Dvd Calendar'!$AK$2410='Field Check'!$C$25)&gt;0,"",'Dvd Calendar'!$AK$2406)))</f>
        <v/>
      </c>
      <c r="CX176" s="85">
        <f>IF(AJ176="","",IF(ISNUMBER('Dvd Calendar'!$AL$2406)=FALSE,"",IF((Summary!$C$13="N")*('Dvd Calendar'!$AL$2410='Field Check'!$C$25)&gt;0,"",'Dvd Calendar'!$AL$2406)))</f>
        <v/>
      </c>
      <c r="CY176" s="85">
        <f>IF(AK176="","",IF(ISNUMBER('Dvd Calendar'!$AM$2406)=FALSE,"",IF((Summary!$C$13="N")*('Dvd Calendar'!$AM$2410='Field Check'!$C$25)&gt;0,"",'Dvd Calendar'!$AM$2406)))</f>
        <v/>
      </c>
      <c r="CZ176" s="85">
        <f>IF(AL176="","",IF(ISNUMBER('Dvd Calendar'!$AN$2406)=FALSE,"",IF((Summary!$C$13="N")*('Dvd Calendar'!$AN$2410='Field Check'!$C$25)&gt;0,"",'Dvd Calendar'!$AN$2406)))</f>
        <v/>
      </c>
      <c r="DA176" s="85">
        <f>IF(AM176="","",IF(ISNUMBER('Dvd Calendar'!$AO$2406)=FALSE,"",IF((Summary!$C$13="N")*('Dvd Calendar'!$AO$2410='Field Check'!$C$25)&gt;0,"",'Dvd Calendar'!$AO$2406)))</f>
        <v/>
      </c>
      <c r="DB176" s="85">
        <f>IF(AN176="","",IF(ISNUMBER('Dvd Calendar'!$AP$2406)=FALSE,"",IF((Summary!$C$13="N")*('Dvd Calendar'!$AP$2410='Field Check'!$C$25)&gt;0,"",'Dvd Calendar'!$AP$2406)))</f>
        <v/>
      </c>
      <c r="DC176" s="85">
        <f>IF(AO176="","",IF(ISNUMBER('Dvd Calendar'!$AQ$2406)=FALSE,"",IF((Summary!$C$13="N")*('Dvd Calendar'!$AQ$2410='Field Check'!$C$25)&gt;0,"",'Dvd Calendar'!$AQ$2406)))</f>
        <v/>
      </c>
      <c r="DD176" s="85">
        <f>IF(AP176="","",IF(ISNUMBER('Dvd Calendar'!$AR$2406)=FALSE,"",IF((Summary!$C$13="N")*('Dvd Calendar'!$AR$2410='Field Check'!$C$25)&gt;0,"",'Dvd Calendar'!$AR$2406)))</f>
        <v/>
      </c>
      <c r="DE176" s="85">
        <f>IF(AQ176="","",IF(ISNUMBER('Dvd Calendar'!$E$2413)=FALSE,"",IF((Summary!$C$13="N")*('Dvd Calendar'!$E$2417='Field Check'!$C$25)&gt;0,"",'Dvd Calendar'!$E$2413)))</f>
        <v/>
      </c>
      <c r="DF176" s="85">
        <f>IF(AR176="","",IF(ISNUMBER('Dvd Calendar'!$F$2413)=FALSE,"",IF((Summary!$C$13="N")*('Dvd Calendar'!$F$2417='Field Check'!$C$25)&gt;0,"",'Dvd Calendar'!$F$2413)))</f>
        <v/>
      </c>
      <c r="DG176" s="85">
        <f>IF(AS176="","",IF(ISNUMBER('Dvd Calendar'!$G$2413)=FALSE,"",IF((Summary!$C$13="N")*('Dvd Calendar'!$G$2417='Field Check'!$C$25)&gt;0,"",'Dvd Calendar'!$G$2413)))</f>
        <v/>
      </c>
      <c r="DH176" s="85">
        <f>IF(AT176="","",IF(ISNUMBER('Dvd Calendar'!$H$2413)=FALSE,"",IF((Summary!$C$13="N")*('Dvd Calendar'!$H$2417='Field Check'!$C$25)&gt;0,"",'Dvd Calendar'!$H$2413)))</f>
        <v/>
      </c>
      <c r="DI176" s="85">
        <f>IF(AU176="","",IF(ISNUMBER('Dvd Calendar'!$I$2413)=FALSE,"",IF((Summary!$C$13="N")*('Dvd Calendar'!$I$2417='Field Check'!$C$25)&gt;0,"",'Dvd Calendar'!$I$2413)))</f>
        <v/>
      </c>
      <c r="DJ176" s="85">
        <f>IF(AV176="","",IF(ISNUMBER('Dvd Calendar'!$J$2413)=FALSE,"",IF((Summary!$C$13="N")*('Dvd Calendar'!$J$2417='Field Check'!$C$25)&gt;0,"",'Dvd Calendar'!$J$2413)))</f>
        <v/>
      </c>
      <c r="DK176" s="85">
        <f>IF(AW176="","",IF(ISNUMBER('Dvd Calendar'!$K$2413)=FALSE,"",IF((Summary!$C$13="N")*('Dvd Calendar'!$K$2417='Field Check'!$C$25)&gt;0,"",'Dvd Calendar'!$K$2413)))</f>
        <v/>
      </c>
      <c r="DL176" s="85">
        <f>IF(AX176="","",IF(ISNUMBER('Dvd Calendar'!$L$2413)=FALSE,"",IF((Summary!$C$13="N")*('Dvd Calendar'!$L$2417='Field Check'!$C$25)&gt;0,"",'Dvd Calendar'!$L$2413)))</f>
        <v/>
      </c>
      <c r="DM176" s="85">
        <f>IF(AY176="","",IF(ISNUMBER('Dvd Calendar'!$M$2413)=FALSE,"",IF((Summary!$C$13="N")*('Dvd Calendar'!$M$2417='Field Check'!$C$25)&gt;0,"",'Dvd Calendar'!$M$2413)))</f>
        <v/>
      </c>
      <c r="DN176" s="85">
        <f>IF(AZ176="","",IF(ISNUMBER('Dvd Calendar'!$N$2413)=FALSE,"",IF((Summary!$C$13="N")*('Dvd Calendar'!$N$2417='Field Check'!$C$25)&gt;0,"",'Dvd Calendar'!$N$2413)))</f>
        <v/>
      </c>
      <c r="DO176" s="85">
        <f>IF(BA176="","",IF(ISNUMBER('Dvd Calendar'!$O$2413)=FALSE,"",IF((Summary!$C$13="N")*('Dvd Calendar'!$O$2417='Field Check'!$C$25)&gt;0,"",'Dvd Calendar'!$O$2413)))</f>
        <v/>
      </c>
      <c r="DP176" s="85">
        <f>IF(BB176="","",IF(ISNUMBER('Dvd Calendar'!$P$2413)=FALSE,"",IF((Summary!$C$13="N")*('Dvd Calendar'!$P$2417='Field Check'!$C$25)&gt;0,"",'Dvd Calendar'!$P$2413)))</f>
        <v/>
      </c>
      <c r="DQ176" s="85">
        <f>IF(BC176="","",IF(ISNUMBER('Dvd Calendar'!$Q$2413)=FALSE,"",IF((Summary!$C$13="N")*('Dvd Calendar'!$Q$2417='Field Check'!$C$25)&gt;0,"",'Dvd Calendar'!$Q$2413)))</f>
        <v/>
      </c>
      <c r="DR176" s="85">
        <f>IF(BD176="","",IF(ISNUMBER('Dvd Calendar'!$R$2413)=FALSE,"",IF((Summary!$C$13="N")*('Dvd Calendar'!$R$2417='Field Check'!$C$25)&gt;0,"",'Dvd Calendar'!$R$2413)))</f>
        <v/>
      </c>
      <c r="DS176" s="85">
        <f>IF(BE176="","",IF(ISNUMBER('Dvd Calendar'!$S$2413)=FALSE,"",IF((Summary!$C$13="N")*('Dvd Calendar'!$S$2417='Field Check'!$C$25)&gt;0,"",'Dvd Calendar'!$S$2413)))</f>
        <v/>
      </c>
      <c r="DT176" s="85">
        <f>IF(BF176="","",IF(ISNUMBER('Dvd Calendar'!$T$2413)=FALSE,"",IF((Summary!$C$13="N")*('Dvd Calendar'!$T$2417='Field Check'!$C$25)&gt;0,"",'Dvd Calendar'!$T$2413)))</f>
        <v/>
      </c>
      <c r="DU176" s="85">
        <f>IF(BG176="","",IF(ISNUMBER('Dvd Calendar'!$U$2413)=FALSE,"",IF((Summary!$C$13="N")*('Dvd Calendar'!$U$2417='Field Check'!$C$25)&gt;0,"",'Dvd Calendar'!$U$2413)))</f>
        <v/>
      </c>
      <c r="DV176" s="85">
        <f>IF(BH176="","",IF(ISNUMBER('Dvd Calendar'!$V$2413)=FALSE,"",IF((Summary!$C$13="N")*('Dvd Calendar'!$V$2417='Field Check'!$C$25)&gt;0,"",'Dvd Calendar'!$V$2413)))</f>
        <v/>
      </c>
      <c r="DW176" s="85">
        <f>IF(BI176="","",IF(ISNUMBER('Dvd Calendar'!$W$2413)=FALSE,"",IF((Summary!$C$13="N")*('Dvd Calendar'!$W$2417='Field Check'!$C$25)&gt;0,"",'Dvd Calendar'!$W$2413)))</f>
        <v/>
      </c>
      <c r="DX176" s="85">
        <f>IF(BJ176="","",IF(ISNUMBER('Dvd Calendar'!$X$2413)=FALSE,"",IF((Summary!$C$13="N")*('Dvd Calendar'!$X$2417='Field Check'!$C$25)&gt;0,"",'Dvd Calendar'!$X$2413)))</f>
        <v/>
      </c>
      <c r="DY176" s="85">
        <f>IF(BK176="","",IF(ISNUMBER('Dvd Calendar'!$Y$2413)=FALSE,"",IF((Summary!$C$13="N")*('Dvd Calendar'!$Y$2417='Field Check'!$C$25)&gt;0,"",'Dvd Calendar'!$Y$2413)))</f>
        <v/>
      </c>
      <c r="DZ176" s="85">
        <f>IF(BL176="","",IF(ISNUMBER('Dvd Calendar'!$Z$2413)=FALSE,"",IF((Summary!$C$13="N")*('Dvd Calendar'!$Z$2417='Field Check'!$C$25)&gt;0,"",'Dvd Calendar'!$Z$2413)))</f>
        <v/>
      </c>
      <c r="EA176" s="85">
        <f>IF(BM176="","",IF(ISNUMBER('Dvd Calendar'!$AA$2413)=FALSE,"",IF((Summary!$C$13="N")*('Dvd Calendar'!$AA$2417='Field Check'!$C$25)&gt;0,"",'Dvd Calendar'!$AA$2413)))</f>
        <v/>
      </c>
      <c r="EB176" s="85">
        <f>IF(BN176="","",IF(ISNUMBER('Dvd Calendar'!$AB$2413)=FALSE,"",IF((Summary!$C$13="N")*('Dvd Calendar'!$AB$2417='Field Check'!$C$25)&gt;0,"",'Dvd Calendar'!$AB$2413)))</f>
        <v/>
      </c>
      <c r="EC176" s="85">
        <f>IF(BO176="","",IF(ISNUMBER('Dvd Calendar'!$AC$2413)=FALSE,"",IF((Summary!$C$13="N")*('Dvd Calendar'!$AC$2417='Field Check'!$C$25)&gt;0,"",'Dvd Calendar'!$AC$2413)))</f>
        <v/>
      </c>
      <c r="EE176" s="85">
        <f>IF(BQ176="","",IFERROR(BQ176*HSCEI!$B$26*HSCEI!$G$26/HSCEI!$B$3,""))</f>
        <v/>
      </c>
      <c r="EF176" s="85">
        <f>IF(BR176="","",IFERROR(BR176*HSCEI!$B$26*HSCEI!$G$26/HSCEI!$B$3,""))</f>
        <v/>
      </c>
      <c r="EG176" s="85">
        <f>IF(BS176="","",IFERROR(BS176*HSCEI!$B$26*HSCEI!$G$26/HSCEI!$B$3,""))</f>
        <v/>
      </c>
      <c r="EH176" s="85">
        <f>IF(BT176="","",IFERROR(BT176*HSCEI!$B$26*HSCEI!$G$26/HSCEI!$B$3,""))</f>
        <v/>
      </c>
      <c r="EI176" s="85">
        <f>IF(BU176="","",IFERROR(BU176*HSCEI!$B$26*HSCEI!$G$26/HSCEI!$B$3,""))</f>
        <v/>
      </c>
      <c r="EJ176" s="85">
        <f>IF(BV176="","",IFERROR(BV176*HSCEI!$B$26*HSCEI!$G$26/HSCEI!$B$3,""))</f>
        <v/>
      </c>
      <c r="EK176" s="85">
        <f>IF(BW176="","",IFERROR(BW176*HSCEI!$B$26*HSCEI!$G$26/HSCEI!$B$3,""))</f>
        <v/>
      </c>
      <c r="EL176" s="85">
        <f>IF(BX176="","",IFERROR(BX176*HSCEI!$B$26*HSCEI!$G$26/HSCEI!$B$3,""))</f>
        <v/>
      </c>
      <c r="EM176" s="85">
        <f>IF(BY176="","",IFERROR(BY176*HSCEI!$B$26*HSCEI!$G$26/HSCEI!$B$3,""))</f>
        <v/>
      </c>
      <c r="EN176" s="85">
        <f>IF(BZ176="","",IFERROR(BZ176*HSCEI!$B$26*HSCEI!$G$26/HSCEI!$B$3,""))</f>
        <v/>
      </c>
      <c r="EO176" s="85">
        <f>IF(CA176="","",IFERROR(CA176*HSCEI!$B$26*HSCEI!$G$26/HSCEI!$B$3,""))</f>
        <v/>
      </c>
      <c r="EP176" s="85">
        <f>IF(CB176="","",IFERROR(CB176*HSCEI!$B$26*HSCEI!$G$26/HSCEI!$B$3,""))</f>
        <v/>
      </c>
      <c r="EQ176" s="85">
        <f>IF(CC176="","",IFERROR(CC176*HSCEI!$B$26*HSCEI!$G$26/HSCEI!$B$3,""))</f>
        <v/>
      </c>
      <c r="ER176" s="85">
        <f>IF(CD176="","",IFERROR(CD176*HSCEI!$B$26*HSCEI!$G$26/HSCEI!$B$3,""))</f>
        <v/>
      </c>
      <c r="ES176" s="85">
        <f>IF(CE176="","",IFERROR(CE176*HSCEI!$B$26*HSCEI!$G$26/HSCEI!$B$3,""))</f>
        <v/>
      </c>
      <c r="ET176" s="85">
        <f>IF(CF176="","",IFERROR(CF176*HSCEI!$B$26*HSCEI!$G$26/HSCEI!$B$3,""))</f>
        <v/>
      </c>
      <c r="EU176" s="85">
        <f>IF(CG176="","",IFERROR(CG176*HSCEI!$B$26*HSCEI!$G$26/HSCEI!$B$3,""))</f>
        <v/>
      </c>
      <c r="EV176" s="85">
        <f>IF(CH176="","",IFERROR(CH176*HSCEI!$B$26*HSCEI!$G$26/HSCEI!$B$3,""))</f>
        <v/>
      </c>
      <c r="EW176" s="85">
        <f>IF(CI176="","",IFERROR(CI176*HSCEI!$B$26*HSCEI!$G$26/HSCEI!$B$3,""))</f>
        <v/>
      </c>
      <c r="EX176" s="85">
        <f>IF(CJ176="","",IFERROR(CJ176*HSCEI!$B$26*HSCEI!$G$26/HSCEI!$B$3,""))</f>
        <v/>
      </c>
      <c r="EY176" s="85">
        <f>IF(CK176="","",IFERROR(CK176*HSCEI!$B$26*HSCEI!$G$26/HSCEI!$B$3,""))</f>
        <v/>
      </c>
      <c r="EZ176" s="85">
        <f>IF(CL176="","",IFERROR(CL176*HSCEI!$B$26*HSCEI!$G$26/HSCEI!$B$3,""))</f>
        <v/>
      </c>
      <c r="FA176" s="85">
        <f>IF(CM176="","",IFERROR(CM176*HSCEI!$B$26*HSCEI!$G$26/HSCEI!$B$3,""))</f>
        <v/>
      </c>
      <c r="FB176" s="85">
        <f>IF(CN176="","",IFERROR(CN176*HSCEI!$B$26*HSCEI!$G$26/HSCEI!$B$3,""))</f>
        <v/>
      </c>
      <c r="FC176" s="85">
        <f>IF(CO176="","",IFERROR(CO176*HSCEI!$B$26*HSCEI!$G$26/HSCEI!$B$3,""))</f>
        <v/>
      </c>
      <c r="FD176" s="85">
        <f>IF(CP176="","",IFERROR(CP176*HSCEI!$B$26*HSCEI!$G$26/HSCEI!$B$3,""))</f>
        <v/>
      </c>
      <c r="FE176" s="85">
        <f>IF(CQ176="","",IFERROR(CQ176*HSCEI!$B$26*HSCEI!$G$26/HSCEI!$B$3,""))</f>
        <v/>
      </c>
      <c r="FF176" s="85">
        <f>IF(CR176="","",IFERROR(CR176*HSCEI!$B$26*HSCEI!$G$26/HSCEI!$B$3,""))</f>
        <v/>
      </c>
      <c r="FG176" s="85">
        <f>IF(CS176="","",IFERROR(CS176*HSCEI!$B$26*HSCEI!$G$26/HSCEI!$B$3,""))</f>
        <v/>
      </c>
      <c r="FH176" s="85">
        <f>IF(CT176="","",IFERROR(CT176*HSCEI!$B$26*HSCEI!$G$26/HSCEI!$B$3,""))</f>
        <v/>
      </c>
      <c r="FI176" s="85">
        <f>IF(CU176="","",IFERROR(CU176*HSCEI!$B$26*HSCEI!$G$26/HSCEI!$B$3,""))</f>
        <v/>
      </c>
      <c r="FJ176" s="85">
        <f>IF(CV176="","",IFERROR(CV176*HSCEI!$B$26*HSCEI!$G$26/HSCEI!$B$3,""))</f>
        <v/>
      </c>
      <c r="FK176" s="85">
        <f>IF(CW176="","",IFERROR(CW176*HSCEI!$B$26*HSCEI!$G$26/HSCEI!$B$3,""))</f>
        <v/>
      </c>
      <c r="FL176" s="85">
        <f>IF(CX176="","",IFERROR(CX176*HSCEI!$B$26*HSCEI!$G$26/HSCEI!$B$3,""))</f>
        <v/>
      </c>
      <c r="FM176" s="85">
        <f>IF(CY176="","",IFERROR(CY176*HSCEI!$B$26*HSCEI!$G$26/HSCEI!$B$3,""))</f>
        <v/>
      </c>
      <c r="FN176" s="85">
        <f>IF(CZ176="","",IFERROR(CZ176*HSCEI!$B$26*HSCEI!$G$26/HSCEI!$B$3,""))</f>
        <v/>
      </c>
      <c r="FO176" s="85">
        <f>IF(DA176="","",IFERROR(DA176*HSCEI!$B$26*HSCEI!$G$26/HSCEI!$B$3,""))</f>
        <v/>
      </c>
      <c r="FP176" s="85">
        <f>IF(DB176="","",IFERROR(DB176*HSCEI!$B$26*HSCEI!$G$26/HSCEI!$B$3,""))</f>
        <v/>
      </c>
      <c r="FQ176" s="85">
        <f>IF(DC176="","",IFERROR(DC176*HSCEI!$B$26*HSCEI!$G$26/HSCEI!$B$3,""))</f>
        <v/>
      </c>
      <c r="FR176" s="85">
        <f>IF(DD176="","",IFERROR(DD176*HSCEI!$B$26*HSCEI!$G$26/HSCEI!$B$3,""))</f>
        <v/>
      </c>
      <c r="FS176" s="85">
        <f>IF(DE176="","",IFERROR(DE176*HSCEI!$B$26*HSCEI!$G$26/HSCEI!$B$3,""))</f>
        <v/>
      </c>
      <c r="FT176" s="85">
        <f>IF(DF176="","",IFERROR(DF176*HSCEI!$B$26*HSCEI!$G$26/HSCEI!$B$3,""))</f>
        <v/>
      </c>
      <c r="FU176" s="85">
        <f>IF(DG176="","",IFERROR(DG176*HSCEI!$B$26*HSCEI!$G$26/HSCEI!$B$3,""))</f>
        <v/>
      </c>
      <c r="FV176" s="85">
        <f>IF(DH176="","",IFERROR(DH176*HSCEI!$B$26*HSCEI!$G$26/HSCEI!$B$3,""))</f>
        <v/>
      </c>
      <c r="FW176" s="85">
        <f>IF(DI176="","",IFERROR(DI176*HSCEI!$B$26*HSCEI!$G$26/HSCEI!$B$3,""))</f>
        <v/>
      </c>
      <c r="FX176" s="85">
        <f>IF(DJ176="","",IFERROR(DJ176*HSCEI!$B$26*HSCEI!$G$26/HSCEI!$B$3,""))</f>
        <v/>
      </c>
      <c r="FY176" s="85">
        <f>IF(DK176="","",IFERROR(DK176*HSCEI!$B$26*HSCEI!$G$26/HSCEI!$B$3,""))</f>
        <v/>
      </c>
      <c r="FZ176" s="85">
        <f>IF(DL176="","",IFERROR(DL176*HSCEI!$B$26*HSCEI!$G$26/HSCEI!$B$3,""))</f>
        <v/>
      </c>
      <c r="GA176" s="85">
        <f>IF(DM176="","",IFERROR(DM176*HSCEI!$B$26*HSCEI!$G$26/HSCEI!$B$3,""))</f>
        <v/>
      </c>
      <c r="GB176" s="85">
        <f>IF(DN176="","",IFERROR(DN176*HSCEI!$B$26*HSCEI!$G$26/HSCEI!$B$3,""))</f>
        <v/>
      </c>
      <c r="GC176" s="85">
        <f>IF(DO176="","",IFERROR(DO176*HSCEI!$B$26*HSCEI!$G$26/HSCEI!$B$3,""))</f>
        <v/>
      </c>
      <c r="GD176" s="85">
        <f>IF(DP176="","",IFERROR(DP176*HSCEI!$B$26*HSCEI!$G$26/HSCEI!$B$3,""))</f>
        <v/>
      </c>
      <c r="GE176" s="85">
        <f>IF(DQ176="","",IFERROR(DQ176*HSCEI!$B$26*HSCEI!$G$26/HSCEI!$B$3,""))</f>
        <v/>
      </c>
      <c r="GF176" s="85">
        <f>IF(DR176="","",IFERROR(DR176*HSCEI!$B$26*HSCEI!$G$26/HSCEI!$B$3,""))</f>
        <v/>
      </c>
      <c r="GG176" s="85">
        <f>IF(DS176="","",IFERROR(DS176*HSCEI!$B$26*HSCEI!$G$26/HSCEI!$B$3,""))</f>
        <v/>
      </c>
      <c r="GH176" s="85">
        <f>IF(DT176="","",IFERROR(DT176*HSCEI!$B$26*HSCEI!$G$26/HSCEI!$B$3,""))</f>
        <v/>
      </c>
      <c r="GI176" s="85">
        <f>IF(DU176="","",IFERROR(DU176*HSCEI!$B$26*HSCEI!$G$26/HSCEI!$B$3,""))</f>
        <v/>
      </c>
      <c r="GJ176" s="85">
        <f>IF(DV176="","",IFERROR(DV176*HSCEI!$B$26*HSCEI!$G$26/HSCEI!$B$3,""))</f>
        <v/>
      </c>
      <c r="GK176" s="85">
        <f>IF(DW176="","",IFERROR(DW176*HSCEI!$B$26*HSCEI!$G$26/HSCEI!$B$3,""))</f>
        <v/>
      </c>
      <c r="GL176" s="85">
        <f>IF(DX176="","",IFERROR(DX176*HSCEI!$B$26*HSCEI!$G$26/HSCEI!$B$3,""))</f>
        <v/>
      </c>
      <c r="GM176" s="85">
        <f>IF(DY176="","",IFERROR(DY176*HSCEI!$B$26*HSCEI!$G$26/HSCEI!$B$3,""))</f>
        <v/>
      </c>
      <c r="GN176" s="85">
        <f>IF(DZ176="","",IFERROR(DZ176*HSCEI!$B$26*HSCEI!$G$26/HSCEI!$B$3,""))</f>
        <v/>
      </c>
      <c r="GO176" s="85">
        <f>IF(EA176="","",IFERROR(EA176*HSCEI!$B$26*HSCEI!$G$26/HSCEI!$B$3,""))</f>
        <v/>
      </c>
      <c r="GP176" s="85">
        <f>IF(EB176="","",IFERROR(EB176*HSCEI!$B$26*HSCEI!$G$26/HSCEI!$B$3,""))</f>
        <v/>
      </c>
      <c r="GQ176" s="85">
        <f>IF(EC176="","",IFERROR(EC176*HSCEI!$B$26*HSCEI!$G$26/HSCEI!$B$3,""))</f>
        <v/>
      </c>
    </row>
    <row r="177">
      <c r="B177" s="2">
        <f>IF(HSCEI!$C$27="","",HSCEI!$C$27)</f>
        <v/>
      </c>
      <c r="C177" s="41">
        <f>IF(N('Dvd Calendar'!$E$2420)=0,"",IF(('Dvd Calendar'!$E$2420&gt;=MIN(DATE(Summary!$C$12,1,1),Summary!$C$11))*('Dvd Calendar'!$E$2420&lt;=MAX(DATE(Summary!$C$12,12,31),Summary!$C$15))*('Dvd Calendar'!$E$2420&lt;=Summary!$C$11)=0,"",'Dvd Calendar'!$E$2420*1000000000+ISNUMBER('Dvd Calendar'!$E$2421)*100000000+('Dvd Calendar'!$E$2425='Field Check'!$C$25)*10000000+(N('Dvd Calendar'!$E$2419)&gt;0)*1000000+21*1000+1))</f>
        <v/>
      </c>
      <c r="D177" s="41">
        <f>IF(N('Dvd Calendar'!$F$2420)=0,"",IF(('Dvd Calendar'!$F$2420&gt;=MIN(DATE(Summary!$C$12,1,1),Summary!$C$11))*('Dvd Calendar'!$F$2420&lt;=MAX(DATE(Summary!$C$12,12,31),Summary!$C$15))*('Dvd Calendar'!$F$2420&lt;=Summary!$C$11)=0,"",'Dvd Calendar'!$F$2420*1000000000+ISNUMBER('Dvd Calendar'!$F$2421)*100000000+('Dvd Calendar'!$F$2425='Field Check'!$C$25)*10000000+(N('Dvd Calendar'!$F$2419)&gt;0)*1000000+21*1000+2))</f>
        <v/>
      </c>
      <c r="E177" s="41">
        <f>IF(N('Dvd Calendar'!$G$2420)=0,"",IF(('Dvd Calendar'!$G$2420&gt;=MIN(DATE(Summary!$C$12,1,1),Summary!$C$11))*('Dvd Calendar'!$G$2420&lt;=MAX(DATE(Summary!$C$12,12,31),Summary!$C$15))*('Dvd Calendar'!$G$2420&lt;=Summary!$C$11)=0,"",'Dvd Calendar'!$G$2420*1000000000+ISNUMBER('Dvd Calendar'!$G$2421)*100000000+('Dvd Calendar'!$G$2425='Field Check'!$C$25)*10000000+(N('Dvd Calendar'!$G$2419)&gt;0)*1000000+21*1000+3))</f>
        <v/>
      </c>
      <c r="F177" s="41">
        <f>IF(N('Dvd Calendar'!$H$2420)=0,"",IF(('Dvd Calendar'!$H$2420&gt;=MIN(DATE(Summary!$C$12,1,1),Summary!$C$11))*('Dvd Calendar'!$H$2420&lt;=MAX(DATE(Summary!$C$12,12,31),Summary!$C$15))*('Dvd Calendar'!$H$2420&lt;=Summary!$C$11)=0,"",'Dvd Calendar'!$H$2420*1000000000+ISNUMBER('Dvd Calendar'!$H$2421)*100000000+('Dvd Calendar'!$H$2425='Field Check'!$C$25)*10000000+(N('Dvd Calendar'!$H$2419)&gt;0)*1000000+21*1000+4))</f>
        <v/>
      </c>
      <c r="G177" s="41">
        <f>IF(N('Dvd Calendar'!$I$2420)=0,"",IF(('Dvd Calendar'!$I$2420&gt;=MIN(DATE(Summary!$C$12,1,1),Summary!$C$11))*('Dvd Calendar'!$I$2420&lt;=MAX(DATE(Summary!$C$12,12,31),Summary!$C$15))*('Dvd Calendar'!$I$2420&lt;=Summary!$C$11)=0,"",'Dvd Calendar'!$I$2420*1000000000+ISNUMBER('Dvd Calendar'!$I$2421)*100000000+('Dvd Calendar'!$I$2425='Field Check'!$C$25)*10000000+(N('Dvd Calendar'!$I$2419)&gt;0)*1000000+21*1000+5))</f>
        <v/>
      </c>
      <c r="H177" s="41">
        <f>IF(N('Dvd Calendar'!$J$2420)=0,"",IF(('Dvd Calendar'!$J$2420&gt;=MIN(DATE(Summary!$C$12,1,1),Summary!$C$11))*('Dvd Calendar'!$J$2420&lt;=MAX(DATE(Summary!$C$12,12,31),Summary!$C$15))*('Dvd Calendar'!$J$2420&lt;=Summary!$C$11)=0,"",'Dvd Calendar'!$J$2420*1000000000+ISNUMBER('Dvd Calendar'!$J$2421)*100000000+('Dvd Calendar'!$J$2425='Field Check'!$C$25)*10000000+(N('Dvd Calendar'!$J$2419)&gt;0)*1000000+21*1000+6))</f>
        <v/>
      </c>
      <c r="I177" s="41">
        <f>IF(N('Dvd Calendar'!$K$2420)=0,"",IF(('Dvd Calendar'!$K$2420&gt;=MIN(DATE(Summary!$C$12,1,1),Summary!$C$11))*('Dvd Calendar'!$K$2420&lt;=MAX(DATE(Summary!$C$12,12,31),Summary!$C$15))*('Dvd Calendar'!$K$2420&lt;=Summary!$C$11)=0,"",'Dvd Calendar'!$K$2420*1000000000+ISNUMBER('Dvd Calendar'!$K$2421)*100000000+('Dvd Calendar'!$K$2425='Field Check'!$C$25)*10000000+(N('Dvd Calendar'!$K$2419)&gt;0)*1000000+21*1000+7))</f>
        <v/>
      </c>
      <c r="J177" s="41">
        <f>IF(N('Dvd Calendar'!$L$2420)=0,"",IF(('Dvd Calendar'!$L$2420&gt;=MIN(DATE(Summary!$C$12,1,1),Summary!$C$11))*('Dvd Calendar'!$L$2420&lt;=MAX(DATE(Summary!$C$12,12,31),Summary!$C$15))*('Dvd Calendar'!$L$2420&lt;=Summary!$C$11)=0,"",'Dvd Calendar'!$L$2420*1000000000+ISNUMBER('Dvd Calendar'!$L$2421)*100000000+('Dvd Calendar'!$L$2425='Field Check'!$C$25)*10000000+(N('Dvd Calendar'!$L$2419)&gt;0)*1000000+21*1000+8))</f>
        <v/>
      </c>
      <c r="K177" s="41">
        <f>IF(N('Dvd Calendar'!$M$2420)=0,"",IF(('Dvd Calendar'!$M$2420&gt;=MIN(DATE(Summary!$C$12,1,1),Summary!$C$11))*('Dvd Calendar'!$M$2420&lt;=MAX(DATE(Summary!$C$12,12,31),Summary!$C$15))*('Dvd Calendar'!$M$2420&lt;=Summary!$C$11)=0,"",'Dvd Calendar'!$M$2420*1000000000+ISNUMBER('Dvd Calendar'!$M$2421)*100000000+('Dvd Calendar'!$M$2425='Field Check'!$C$25)*10000000+(N('Dvd Calendar'!$M$2419)&gt;0)*1000000+21*1000+9))</f>
        <v/>
      </c>
      <c r="L177" s="41">
        <f>IF(N('Dvd Calendar'!$N$2420)=0,"",IF(('Dvd Calendar'!$N$2420&gt;=MIN(DATE(Summary!$C$12,1,1),Summary!$C$11))*('Dvd Calendar'!$N$2420&lt;=MAX(DATE(Summary!$C$12,12,31),Summary!$C$15))*('Dvd Calendar'!$N$2420&lt;=Summary!$C$11)=0,"",'Dvd Calendar'!$N$2420*1000000000+ISNUMBER('Dvd Calendar'!$N$2421)*100000000+('Dvd Calendar'!$N$2425='Field Check'!$C$25)*10000000+(N('Dvd Calendar'!$N$2419)&gt;0)*1000000+21*1000+10))</f>
        <v/>
      </c>
      <c r="M177" s="41">
        <f>IF(N('Dvd Calendar'!$O$2420)=0,"",IF(('Dvd Calendar'!$O$2420&gt;=MIN(DATE(Summary!$C$12,1,1),Summary!$C$11))*('Dvd Calendar'!$O$2420&lt;=MAX(DATE(Summary!$C$12,12,31),Summary!$C$15))*('Dvd Calendar'!$O$2420&lt;=Summary!$C$11)=0,"",'Dvd Calendar'!$O$2420*1000000000+ISNUMBER('Dvd Calendar'!$O$2421)*100000000+('Dvd Calendar'!$O$2425='Field Check'!$C$25)*10000000+(N('Dvd Calendar'!$O$2419)&gt;0)*1000000+21*1000+11))</f>
        <v/>
      </c>
      <c r="N177" s="41">
        <f>IF(N('Dvd Calendar'!$P$2420)=0,"",IF(('Dvd Calendar'!$P$2420&gt;=MIN(DATE(Summary!$C$12,1,1),Summary!$C$11))*('Dvd Calendar'!$P$2420&lt;=MAX(DATE(Summary!$C$12,12,31),Summary!$C$15))*('Dvd Calendar'!$P$2420&lt;=Summary!$C$11)=0,"",'Dvd Calendar'!$P$2420*1000000000+ISNUMBER('Dvd Calendar'!$P$2421)*100000000+('Dvd Calendar'!$P$2425='Field Check'!$C$25)*10000000+(N('Dvd Calendar'!$P$2419)&gt;0)*1000000+21*1000+12))</f>
        <v/>
      </c>
      <c r="O177" s="41">
        <f>IF(N('Dvd Calendar'!$Q$2420)=0,"",IF(('Dvd Calendar'!$Q$2420&gt;=MIN(DATE(Summary!$C$12,1,1),Summary!$C$11))*('Dvd Calendar'!$Q$2420&lt;=MAX(DATE(Summary!$C$12,12,31),Summary!$C$15))*('Dvd Calendar'!$Q$2420&lt;=Summary!$C$11)=0,"",'Dvd Calendar'!$Q$2420*1000000000+ISNUMBER('Dvd Calendar'!$Q$2421)*100000000+('Dvd Calendar'!$Q$2425='Field Check'!$C$25)*10000000+(N('Dvd Calendar'!$Q$2419)&gt;0)*1000000+21*1000+13))</f>
        <v/>
      </c>
      <c r="P177" s="41">
        <f>IF(N('Dvd Calendar'!$R$2420)=0,"",IF(('Dvd Calendar'!$R$2420&gt;=MIN(DATE(Summary!$C$12,1,1),Summary!$C$11))*('Dvd Calendar'!$R$2420&lt;=MAX(DATE(Summary!$C$12,12,31),Summary!$C$15))*('Dvd Calendar'!$R$2420&lt;=Summary!$C$11)=0,"",'Dvd Calendar'!$R$2420*1000000000+ISNUMBER('Dvd Calendar'!$R$2421)*100000000+('Dvd Calendar'!$R$2425='Field Check'!$C$25)*10000000+(N('Dvd Calendar'!$R$2419)&gt;0)*1000000+21*1000+14))</f>
        <v/>
      </c>
      <c r="Q177" s="41">
        <f>IF(N('Dvd Calendar'!$S$2420)=0,"",IF(('Dvd Calendar'!$S$2420&gt;=MIN(DATE(Summary!$C$12,1,1),Summary!$C$11))*('Dvd Calendar'!$S$2420&lt;=MAX(DATE(Summary!$C$12,12,31),Summary!$C$15))*('Dvd Calendar'!$S$2420&lt;=Summary!$C$11)=0,"",'Dvd Calendar'!$S$2420*1000000000+ISNUMBER('Dvd Calendar'!$S$2421)*100000000+('Dvd Calendar'!$S$2425='Field Check'!$C$25)*10000000+(N('Dvd Calendar'!$S$2419)&gt;0)*1000000+21*1000+15))</f>
        <v/>
      </c>
      <c r="R177" s="41">
        <f>IF(N('Dvd Calendar'!$T$2420)=0,"",IF(('Dvd Calendar'!$T$2420&gt;=MIN(DATE(Summary!$C$12,1,1),Summary!$C$11))*('Dvd Calendar'!$T$2420&lt;=MAX(DATE(Summary!$C$12,12,31),Summary!$C$15))*('Dvd Calendar'!$T$2420&lt;=Summary!$C$11)=0,"",'Dvd Calendar'!$T$2420*1000000000+ISNUMBER('Dvd Calendar'!$T$2421)*100000000+('Dvd Calendar'!$T$2425='Field Check'!$C$25)*10000000+(N('Dvd Calendar'!$T$2419)&gt;0)*1000000+21*1000+16))</f>
        <v/>
      </c>
      <c r="S177" s="41">
        <f>IF(N('Dvd Calendar'!$U$2420)=0,"",IF(('Dvd Calendar'!$U$2420&gt;=MIN(DATE(Summary!$C$12,1,1),Summary!$C$11))*('Dvd Calendar'!$U$2420&lt;=MAX(DATE(Summary!$C$12,12,31),Summary!$C$15))*('Dvd Calendar'!$U$2420&lt;=Summary!$C$11)=0,"",'Dvd Calendar'!$U$2420*1000000000+ISNUMBER('Dvd Calendar'!$U$2421)*100000000+('Dvd Calendar'!$U$2425='Field Check'!$C$25)*10000000+(N('Dvd Calendar'!$U$2419)&gt;0)*1000000+21*1000+17))</f>
        <v/>
      </c>
      <c r="T177" s="41">
        <f>IF(N('Dvd Calendar'!$V$2420)=0,"",IF(('Dvd Calendar'!$V$2420&gt;=MIN(DATE(Summary!$C$12,1,1),Summary!$C$11))*('Dvd Calendar'!$V$2420&lt;=MAX(DATE(Summary!$C$12,12,31),Summary!$C$15))*('Dvd Calendar'!$V$2420&lt;=Summary!$C$11)=0,"",'Dvd Calendar'!$V$2420*1000000000+ISNUMBER('Dvd Calendar'!$V$2421)*100000000+('Dvd Calendar'!$V$2425='Field Check'!$C$25)*10000000+(N('Dvd Calendar'!$V$2419)&gt;0)*1000000+21*1000+18))</f>
        <v/>
      </c>
      <c r="U177" s="41">
        <f>IF(N('Dvd Calendar'!$W$2420)=0,"",IF(('Dvd Calendar'!$W$2420&gt;=MIN(DATE(Summary!$C$12,1,1),Summary!$C$11))*('Dvd Calendar'!$W$2420&lt;=MAX(DATE(Summary!$C$12,12,31),Summary!$C$15))*('Dvd Calendar'!$W$2420&lt;=Summary!$C$11)=0,"",'Dvd Calendar'!$W$2420*1000000000+ISNUMBER('Dvd Calendar'!$W$2421)*100000000+('Dvd Calendar'!$W$2425='Field Check'!$C$25)*10000000+(N('Dvd Calendar'!$W$2419)&gt;0)*1000000+21*1000+19))</f>
        <v/>
      </c>
      <c r="V177" s="41">
        <f>IF(N('Dvd Calendar'!$X$2420)=0,"",IF(('Dvd Calendar'!$X$2420&gt;=MIN(DATE(Summary!$C$12,1,1),Summary!$C$11))*('Dvd Calendar'!$X$2420&lt;=MAX(DATE(Summary!$C$12,12,31),Summary!$C$15))*('Dvd Calendar'!$X$2420&lt;=Summary!$C$11)=0,"",'Dvd Calendar'!$X$2420*1000000000+ISNUMBER('Dvd Calendar'!$X$2421)*100000000+('Dvd Calendar'!$X$2425='Field Check'!$C$25)*10000000+(N('Dvd Calendar'!$X$2419)&gt;0)*1000000+21*1000+20))</f>
        <v/>
      </c>
      <c r="W177" s="41">
        <f>IF(N('Dvd Calendar'!$Y$2420)=0,"",IF(('Dvd Calendar'!$Y$2420&gt;=MIN(DATE(Summary!$C$12,1,1),Summary!$C$11))*('Dvd Calendar'!$Y$2420&lt;=MAX(DATE(Summary!$C$12,12,31),Summary!$C$15))*('Dvd Calendar'!$Y$2420&lt;=Summary!$C$11)=0,"",'Dvd Calendar'!$Y$2420*1000000000+ISNUMBER('Dvd Calendar'!$Y$2421)*100000000+('Dvd Calendar'!$Y$2425='Field Check'!$C$25)*10000000+(N('Dvd Calendar'!$Y$2419)&gt;0)*1000000+21*1000+21))</f>
        <v/>
      </c>
      <c r="X177" s="41">
        <f>IF(N('Dvd Calendar'!$Z$2420)=0,"",IF(('Dvd Calendar'!$Z$2420&gt;=MIN(DATE(Summary!$C$12,1,1),Summary!$C$11))*('Dvd Calendar'!$Z$2420&lt;=MAX(DATE(Summary!$C$12,12,31),Summary!$C$15))*('Dvd Calendar'!$Z$2420&lt;=Summary!$C$11)=0,"",'Dvd Calendar'!$Z$2420*1000000000+ISNUMBER('Dvd Calendar'!$Z$2421)*100000000+('Dvd Calendar'!$Z$2425='Field Check'!$C$25)*10000000+(N('Dvd Calendar'!$Z$2419)&gt;0)*1000000+21*1000+22))</f>
        <v/>
      </c>
      <c r="Y177" s="41">
        <f>IF(N('Dvd Calendar'!$AA$2420)=0,"",IF(('Dvd Calendar'!$AA$2420&gt;=MIN(DATE(Summary!$C$12,1,1),Summary!$C$11))*('Dvd Calendar'!$AA$2420&lt;=MAX(DATE(Summary!$C$12,12,31),Summary!$C$15))*('Dvd Calendar'!$AA$2420&lt;=Summary!$C$11)=0,"",'Dvd Calendar'!$AA$2420*1000000000+ISNUMBER('Dvd Calendar'!$AA$2421)*100000000+('Dvd Calendar'!$AA$2425='Field Check'!$C$25)*10000000+(N('Dvd Calendar'!$AA$2419)&gt;0)*1000000+21*1000+23))</f>
        <v/>
      </c>
      <c r="Z177" s="41">
        <f>IF(N('Dvd Calendar'!$AB$2420)=0,"",IF(('Dvd Calendar'!$AB$2420&gt;=MIN(DATE(Summary!$C$12,1,1),Summary!$C$11))*('Dvd Calendar'!$AB$2420&lt;=MAX(DATE(Summary!$C$12,12,31),Summary!$C$15))*('Dvd Calendar'!$AB$2420&lt;=Summary!$C$11)=0,"",'Dvd Calendar'!$AB$2420*1000000000+ISNUMBER('Dvd Calendar'!$AB$2421)*100000000+('Dvd Calendar'!$AB$2425='Field Check'!$C$25)*10000000+(N('Dvd Calendar'!$AB$2419)&gt;0)*1000000+21*1000+24))</f>
        <v/>
      </c>
      <c r="AA177" s="41">
        <f>IF(N('Dvd Calendar'!$AC$2420)=0,"",IF(('Dvd Calendar'!$AC$2420&gt;=MIN(DATE(Summary!$C$12,1,1),Summary!$C$11))*('Dvd Calendar'!$AC$2420&lt;=MAX(DATE(Summary!$C$12,12,31),Summary!$C$15))*('Dvd Calendar'!$AC$2420&lt;=Summary!$C$11)=0,"",'Dvd Calendar'!$AC$2420*1000000000+ISNUMBER('Dvd Calendar'!$AC$2421)*100000000+('Dvd Calendar'!$AC$2425='Field Check'!$C$25)*10000000+(N('Dvd Calendar'!$AC$2419)&gt;0)*1000000+21*1000+25))</f>
        <v/>
      </c>
      <c r="AB177" s="41">
        <f>IF(N('Dvd Calendar'!$AD$2420)=0,"",IF(('Dvd Calendar'!$AD$2420&gt;=MIN(DATE(Summary!$C$12,1,1),Summary!$C$11))*('Dvd Calendar'!$AD$2420&lt;=MAX(DATE(Summary!$C$12,12,31),Summary!$C$15))*('Dvd Calendar'!$AD$2420&lt;=Summary!$C$11)=0,"",'Dvd Calendar'!$AD$2420*1000000000+ISNUMBER('Dvd Calendar'!$AD$2421)*100000000+('Dvd Calendar'!$AD$2425='Field Check'!$C$25)*10000000+(N('Dvd Calendar'!$AD$2419)&gt;0)*1000000+21*1000+26))</f>
        <v/>
      </c>
      <c r="AC177" s="41">
        <f>IF(N('Dvd Calendar'!$AE$2420)=0,"",IF(('Dvd Calendar'!$AE$2420&gt;=MIN(DATE(Summary!$C$12,1,1),Summary!$C$11))*('Dvd Calendar'!$AE$2420&lt;=MAX(DATE(Summary!$C$12,12,31),Summary!$C$15))*('Dvd Calendar'!$AE$2420&lt;=Summary!$C$11)=0,"",'Dvd Calendar'!$AE$2420*1000000000+ISNUMBER('Dvd Calendar'!$AE$2421)*100000000+('Dvd Calendar'!$AE$2425='Field Check'!$C$25)*10000000+(N('Dvd Calendar'!$AE$2419)&gt;0)*1000000+21*1000+27))</f>
        <v/>
      </c>
      <c r="AD177" s="41">
        <f>IF(N('Dvd Calendar'!$AF$2420)=0,"",IF(('Dvd Calendar'!$AF$2420&gt;=MIN(DATE(Summary!$C$12,1,1),Summary!$C$11))*('Dvd Calendar'!$AF$2420&lt;=MAX(DATE(Summary!$C$12,12,31),Summary!$C$15))*('Dvd Calendar'!$AF$2420&lt;=Summary!$C$11)=0,"",'Dvd Calendar'!$AF$2420*1000000000+ISNUMBER('Dvd Calendar'!$AF$2421)*100000000+('Dvd Calendar'!$AF$2425='Field Check'!$C$25)*10000000+(N('Dvd Calendar'!$AF$2419)&gt;0)*1000000+21*1000+28))</f>
        <v/>
      </c>
      <c r="AE177" s="41">
        <f>IF(N('Dvd Calendar'!$AG$2420)=0,"",IF(('Dvd Calendar'!$AG$2420&gt;=MIN(DATE(Summary!$C$12,1,1),Summary!$C$11))*('Dvd Calendar'!$AG$2420&lt;=MAX(DATE(Summary!$C$12,12,31),Summary!$C$15))*('Dvd Calendar'!$AG$2420&lt;=Summary!$C$11)=0,"",'Dvd Calendar'!$AG$2420*1000000000+ISNUMBER('Dvd Calendar'!$AG$2421)*100000000+('Dvd Calendar'!$AG$2425='Field Check'!$C$25)*10000000+(N('Dvd Calendar'!$AG$2419)&gt;0)*1000000+21*1000+29))</f>
        <v/>
      </c>
      <c r="AF177" s="41">
        <f>IF(N('Dvd Calendar'!$AH$2420)=0,"",IF(('Dvd Calendar'!$AH$2420&gt;=MIN(DATE(Summary!$C$12,1,1),Summary!$C$11))*('Dvd Calendar'!$AH$2420&lt;=MAX(DATE(Summary!$C$12,12,31),Summary!$C$15))*('Dvd Calendar'!$AH$2420&lt;=Summary!$C$11)=0,"",'Dvd Calendar'!$AH$2420*1000000000+ISNUMBER('Dvd Calendar'!$AH$2421)*100000000+('Dvd Calendar'!$AH$2425='Field Check'!$C$25)*10000000+(N('Dvd Calendar'!$AH$2419)&gt;0)*1000000+21*1000+30))</f>
        <v/>
      </c>
      <c r="AG177" s="41">
        <f>IF(N('Dvd Calendar'!$AI$2420)=0,"",IF(('Dvd Calendar'!$AI$2420&gt;=MIN(DATE(Summary!$C$12,1,1),Summary!$C$11))*('Dvd Calendar'!$AI$2420&lt;=MAX(DATE(Summary!$C$12,12,31),Summary!$C$15))*('Dvd Calendar'!$AI$2420&lt;=Summary!$C$11)=0,"",'Dvd Calendar'!$AI$2420*1000000000+ISNUMBER('Dvd Calendar'!$AI$2421)*100000000+('Dvd Calendar'!$AI$2425='Field Check'!$C$25)*10000000+(N('Dvd Calendar'!$AI$2419)&gt;0)*1000000+21*1000+31))</f>
        <v/>
      </c>
      <c r="AH177" s="41">
        <f>IF(N('Dvd Calendar'!$AJ$2420)=0,"",IF(('Dvd Calendar'!$AJ$2420&gt;=MIN(DATE(Summary!$C$12,1,1),Summary!$C$11))*('Dvd Calendar'!$AJ$2420&lt;=MAX(DATE(Summary!$C$12,12,31),Summary!$C$15))*('Dvd Calendar'!$AJ$2420&lt;=Summary!$C$11)=0,"",'Dvd Calendar'!$AJ$2420*1000000000+ISNUMBER('Dvd Calendar'!$AJ$2421)*100000000+('Dvd Calendar'!$AJ$2425='Field Check'!$C$25)*10000000+(N('Dvd Calendar'!$AJ$2419)&gt;0)*1000000+21*1000+32))</f>
        <v/>
      </c>
      <c r="AI177" s="41">
        <f>IF(N('Dvd Calendar'!$AK$2420)=0,"",IF(('Dvd Calendar'!$AK$2420&gt;=MIN(DATE(Summary!$C$12,1,1),Summary!$C$11))*('Dvd Calendar'!$AK$2420&lt;=MAX(DATE(Summary!$C$12,12,31),Summary!$C$15))*('Dvd Calendar'!$AK$2420&lt;=Summary!$C$11)=0,"",'Dvd Calendar'!$AK$2420*1000000000+ISNUMBER('Dvd Calendar'!$AK$2421)*100000000+('Dvd Calendar'!$AK$2425='Field Check'!$C$25)*10000000+(N('Dvd Calendar'!$AK$2419)&gt;0)*1000000+21*1000+33))</f>
        <v/>
      </c>
      <c r="AJ177" s="41">
        <f>IF(N('Dvd Calendar'!$AL$2420)=0,"",IF(('Dvd Calendar'!$AL$2420&gt;=MIN(DATE(Summary!$C$12,1,1),Summary!$C$11))*('Dvd Calendar'!$AL$2420&lt;=MAX(DATE(Summary!$C$12,12,31),Summary!$C$15))*('Dvd Calendar'!$AL$2420&lt;=Summary!$C$11)=0,"",'Dvd Calendar'!$AL$2420*1000000000+ISNUMBER('Dvd Calendar'!$AL$2421)*100000000+('Dvd Calendar'!$AL$2425='Field Check'!$C$25)*10000000+(N('Dvd Calendar'!$AL$2419)&gt;0)*1000000+21*1000+34))</f>
        <v/>
      </c>
      <c r="AK177" s="41">
        <f>IF(N('Dvd Calendar'!$AM$2420)=0,"",IF(('Dvd Calendar'!$AM$2420&gt;=MIN(DATE(Summary!$C$12,1,1),Summary!$C$11))*('Dvd Calendar'!$AM$2420&lt;=MAX(DATE(Summary!$C$12,12,31),Summary!$C$15))*('Dvd Calendar'!$AM$2420&lt;=Summary!$C$11)=0,"",'Dvd Calendar'!$AM$2420*1000000000+ISNUMBER('Dvd Calendar'!$AM$2421)*100000000+('Dvd Calendar'!$AM$2425='Field Check'!$C$25)*10000000+(N('Dvd Calendar'!$AM$2419)&gt;0)*1000000+21*1000+35))</f>
        <v/>
      </c>
      <c r="AL177" s="41">
        <f>IF(N('Dvd Calendar'!$AN$2420)=0,"",IF(('Dvd Calendar'!$AN$2420&gt;=MIN(DATE(Summary!$C$12,1,1),Summary!$C$11))*('Dvd Calendar'!$AN$2420&lt;=MAX(DATE(Summary!$C$12,12,31),Summary!$C$15))*('Dvd Calendar'!$AN$2420&lt;=Summary!$C$11)=0,"",'Dvd Calendar'!$AN$2420*1000000000+ISNUMBER('Dvd Calendar'!$AN$2421)*100000000+('Dvd Calendar'!$AN$2425='Field Check'!$C$25)*10000000+(N('Dvd Calendar'!$AN$2419)&gt;0)*1000000+21*1000+36))</f>
        <v/>
      </c>
      <c r="AM177" s="41">
        <f>IF(N('Dvd Calendar'!$AO$2420)=0,"",IF(('Dvd Calendar'!$AO$2420&gt;=MIN(DATE(Summary!$C$12,1,1),Summary!$C$11))*('Dvd Calendar'!$AO$2420&lt;=MAX(DATE(Summary!$C$12,12,31),Summary!$C$15))*('Dvd Calendar'!$AO$2420&lt;=Summary!$C$11)=0,"",'Dvd Calendar'!$AO$2420*1000000000+ISNUMBER('Dvd Calendar'!$AO$2421)*100000000+('Dvd Calendar'!$AO$2425='Field Check'!$C$25)*10000000+(N('Dvd Calendar'!$AO$2419)&gt;0)*1000000+21*1000+37))</f>
        <v/>
      </c>
      <c r="AN177" s="41">
        <f>IF(N('Dvd Calendar'!$AP$2420)=0,"",IF(('Dvd Calendar'!$AP$2420&gt;=MIN(DATE(Summary!$C$12,1,1),Summary!$C$11))*('Dvd Calendar'!$AP$2420&lt;=MAX(DATE(Summary!$C$12,12,31),Summary!$C$15))*('Dvd Calendar'!$AP$2420&lt;=Summary!$C$11)=0,"",'Dvd Calendar'!$AP$2420*1000000000+ISNUMBER('Dvd Calendar'!$AP$2421)*100000000+('Dvd Calendar'!$AP$2425='Field Check'!$C$25)*10000000+(N('Dvd Calendar'!$AP$2419)&gt;0)*1000000+21*1000+38))</f>
        <v/>
      </c>
      <c r="AO177" s="41">
        <f>IF(N('Dvd Calendar'!$AQ$2420)=0,"",IF(('Dvd Calendar'!$AQ$2420&gt;=MIN(DATE(Summary!$C$12,1,1),Summary!$C$11))*('Dvd Calendar'!$AQ$2420&lt;=MAX(DATE(Summary!$C$12,12,31),Summary!$C$15))*('Dvd Calendar'!$AQ$2420&lt;=Summary!$C$11)=0,"",'Dvd Calendar'!$AQ$2420*1000000000+ISNUMBER('Dvd Calendar'!$AQ$2421)*100000000+('Dvd Calendar'!$AQ$2425='Field Check'!$C$25)*10000000+(N('Dvd Calendar'!$AQ$2419)&gt;0)*1000000+21*1000+39))</f>
        <v/>
      </c>
      <c r="AP177" s="41">
        <f>IF(N('Dvd Calendar'!$AR$2420)=0,"",IF(('Dvd Calendar'!$AR$2420&gt;=MIN(DATE(Summary!$C$12,1,1),Summary!$C$11))*('Dvd Calendar'!$AR$2420&lt;=MAX(DATE(Summary!$C$12,12,31),Summary!$C$15))*('Dvd Calendar'!$AR$2420&lt;=Summary!$C$11)=0,"",'Dvd Calendar'!$AR$2420*1000000000+ISNUMBER('Dvd Calendar'!$AR$2421)*100000000+('Dvd Calendar'!$AR$2425='Field Check'!$C$25)*10000000+(N('Dvd Calendar'!$AR$2419)&gt;0)*1000000+21*1000+40))</f>
        <v/>
      </c>
      <c r="AQ177" s="41">
        <f>IF(N('Dvd Calendar'!$E$2427)=0,"",IF(('Dvd Calendar'!$E$2427&gt;=MIN(DATE(Summary!$C$12,1,1),Summary!$C$11))*('Dvd Calendar'!$E$2427&lt;=MAX(DATE(Summary!$C$12,12,31),Summary!$C$15))*('Dvd Calendar'!$E$2427&gt;Summary!$C$11)=0,"",'Dvd Calendar'!$E$2427*1000000000+ISNUMBER('Dvd Calendar'!$E$2428)*100000000+('Dvd Calendar'!$E$2432='Field Check'!$C$25)*10000000+(N('Dvd Calendar'!$E$2426)&gt;0)*1000000+21*1000+41))</f>
        <v/>
      </c>
      <c r="AR177" s="41">
        <f>IF(N('Dvd Calendar'!$F$2427)=0,"",IF(('Dvd Calendar'!$F$2427&gt;=MIN(DATE(Summary!$C$12,1,1),Summary!$C$11))*('Dvd Calendar'!$F$2427&lt;=MAX(DATE(Summary!$C$12,12,31),Summary!$C$15))*('Dvd Calendar'!$F$2427&gt;Summary!$C$11)=0,"",'Dvd Calendar'!$F$2427*1000000000+ISNUMBER('Dvd Calendar'!$F$2428)*100000000+('Dvd Calendar'!$F$2432='Field Check'!$C$25)*10000000+(N('Dvd Calendar'!$F$2426)&gt;0)*1000000+21*1000+42))</f>
        <v/>
      </c>
      <c r="AS177" s="41">
        <f>IF(N('Dvd Calendar'!$G$2427)=0,"",IF(('Dvd Calendar'!$G$2427&gt;=MIN(DATE(Summary!$C$12,1,1),Summary!$C$11))*('Dvd Calendar'!$G$2427&lt;=MAX(DATE(Summary!$C$12,12,31),Summary!$C$15))*('Dvd Calendar'!$G$2427&gt;Summary!$C$11)=0,"",'Dvd Calendar'!$G$2427*1000000000+ISNUMBER('Dvd Calendar'!$G$2428)*100000000+('Dvd Calendar'!$G$2432='Field Check'!$C$25)*10000000+(N('Dvd Calendar'!$G$2426)&gt;0)*1000000+21*1000+43))</f>
        <v/>
      </c>
      <c r="AT177" s="41">
        <f>IF(N('Dvd Calendar'!$H$2427)=0,"",IF(('Dvd Calendar'!$H$2427&gt;=MIN(DATE(Summary!$C$12,1,1),Summary!$C$11))*('Dvd Calendar'!$H$2427&lt;=MAX(DATE(Summary!$C$12,12,31),Summary!$C$15))*('Dvd Calendar'!$H$2427&gt;Summary!$C$11)=0,"",'Dvd Calendar'!$H$2427*1000000000+ISNUMBER('Dvd Calendar'!$H$2428)*100000000+('Dvd Calendar'!$H$2432='Field Check'!$C$25)*10000000+(N('Dvd Calendar'!$H$2426)&gt;0)*1000000+21*1000+44))</f>
        <v/>
      </c>
      <c r="AU177" s="41">
        <f>IF(N('Dvd Calendar'!$I$2427)=0,"",IF(('Dvd Calendar'!$I$2427&gt;=MIN(DATE(Summary!$C$12,1,1),Summary!$C$11))*('Dvd Calendar'!$I$2427&lt;=MAX(DATE(Summary!$C$12,12,31),Summary!$C$15))*('Dvd Calendar'!$I$2427&gt;Summary!$C$11)=0,"",'Dvd Calendar'!$I$2427*1000000000+ISNUMBER('Dvd Calendar'!$I$2428)*100000000+('Dvd Calendar'!$I$2432='Field Check'!$C$25)*10000000+(N('Dvd Calendar'!$I$2426)&gt;0)*1000000+21*1000+45))</f>
        <v/>
      </c>
      <c r="AV177" s="41">
        <f>IF(N('Dvd Calendar'!$J$2427)=0,"",IF(('Dvd Calendar'!$J$2427&gt;=MIN(DATE(Summary!$C$12,1,1),Summary!$C$11))*('Dvd Calendar'!$J$2427&lt;=MAX(DATE(Summary!$C$12,12,31),Summary!$C$15))*('Dvd Calendar'!$J$2427&gt;Summary!$C$11)=0,"",'Dvd Calendar'!$J$2427*1000000000+ISNUMBER('Dvd Calendar'!$J$2428)*100000000+('Dvd Calendar'!$J$2432='Field Check'!$C$25)*10000000+(N('Dvd Calendar'!$J$2426)&gt;0)*1000000+21*1000+46))</f>
        <v/>
      </c>
      <c r="AW177" s="41">
        <f>IF(N('Dvd Calendar'!$K$2427)=0,"",IF(('Dvd Calendar'!$K$2427&gt;=MIN(DATE(Summary!$C$12,1,1),Summary!$C$11))*('Dvd Calendar'!$K$2427&lt;=MAX(DATE(Summary!$C$12,12,31),Summary!$C$15))*('Dvd Calendar'!$K$2427&gt;Summary!$C$11)=0,"",'Dvd Calendar'!$K$2427*1000000000+ISNUMBER('Dvd Calendar'!$K$2428)*100000000+('Dvd Calendar'!$K$2432='Field Check'!$C$25)*10000000+(N('Dvd Calendar'!$K$2426)&gt;0)*1000000+21*1000+47))</f>
        <v/>
      </c>
      <c r="AX177" s="41">
        <f>IF(N('Dvd Calendar'!$L$2427)=0,"",IF(('Dvd Calendar'!$L$2427&gt;=MIN(DATE(Summary!$C$12,1,1),Summary!$C$11))*('Dvd Calendar'!$L$2427&lt;=MAX(DATE(Summary!$C$12,12,31),Summary!$C$15))*('Dvd Calendar'!$L$2427&gt;Summary!$C$11)=0,"",'Dvd Calendar'!$L$2427*1000000000+ISNUMBER('Dvd Calendar'!$L$2428)*100000000+('Dvd Calendar'!$L$2432='Field Check'!$C$25)*10000000+(N('Dvd Calendar'!$L$2426)&gt;0)*1000000+21*1000+48))</f>
        <v/>
      </c>
      <c r="AY177" s="41">
        <f>IF(N('Dvd Calendar'!$M$2427)=0,"",IF(('Dvd Calendar'!$M$2427&gt;=MIN(DATE(Summary!$C$12,1,1),Summary!$C$11))*('Dvd Calendar'!$M$2427&lt;=MAX(DATE(Summary!$C$12,12,31),Summary!$C$15))*('Dvd Calendar'!$M$2427&gt;Summary!$C$11)=0,"",'Dvd Calendar'!$M$2427*1000000000+ISNUMBER('Dvd Calendar'!$M$2428)*100000000+('Dvd Calendar'!$M$2432='Field Check'!$C$25)*10000000+(N('Dvd Calendar'!$M$2426)&gt;0)*1000000+21*1000+49))</f>
        <v/>
      </c>
      <c r="AZ177" s="41">
        <f>IF(N('Dvd Calendar'!$N$2427)=0,"",IF(('Dvd Calendar'!$N$2427&gt;=MIN(DATE(Summary!$C$12,1,1),Summary!$C$11))*('Dvd Calendar'!$N$2427&lt;=MAX(DATE(Summary!$C$12,12,31),Summary!$C$15))*('Dvd Calendar'!$N$2427&gt;Summary!$C$11)=0,"",'Dvd Calendar'!$N$2427*1000000000+ISNUMBER('Dvd Calendar'!$N$2428)*100000000+('Dvd Calendar'!$N$2432='Field Check'!$C$25)*10000000+(N('Dvd Calendar'!$N$2426)&gt;0)*1000000+21*1000+50))</f>
        <v/>
      </c>
      <c r="BA177" s="41">
        <f>IF(N('Dvd Calendar'!$O$2427)=0,"",IF(('Dvd Calendar'!$O$2427&gt;=MIN(DATE(Summary!$C$12,1,1),Summary!$C$11))*('Dvd Calendar'!$O$2427&lt;=MAX(DATE(Summary!$C$12,12,31),Summary!$C$15))*('Dvd Calendar'!$O$2427&gt;Summary!$C$11)=0,"",'Dvd Calendar'!$O$2427*1000000000+ISNUMBER('Dvd Calendar'!$O$2428)*100000000+('Dvd Calendar'!$O$2432='Field Check'!$C$25)*10000000+(N('Dvd Calendar'!$O$2426)&gt;0)*1000000+21*1000+51))</f>
        <v/>
      </c>
      <c r="BB177" s="41">
        <f>IF(N('Dvd Calendar'!$P$2427)=0,"",IF(('Dvd Calendar'!$P$2427&gt;=MIN(DATE(Summary!$C$12,1,1),Summary!$C$11))*('Dvd Calendar'!$P$2427&lt;=MAX(DATE(Summary!$C$12,12,31),Summary!$C$15))*('Dvd Calendar'!$P$2427&gt;Summary!$C$11)=0,"",'Dvd Calendar'!$P$2427*1000000000+ISNUMBER('Dvd Calendar'!$P$2428)*100000000+('Dvd Calendar'!$P$2432='Field Check'!$C$25)*10000000+(N('Dvd Calendar'!$P$2426)&gt;0)*1000000+21*1000+52))</f>
        <v/>
      </c>
      <c r="BC177" s="41">
        <f>IF(N('Dvd Calendar'!$Q$2427)=0,"",IF(('Dvd Calendar'!$Q$2427&gt;=MIN(DATE(Summary!$C$12,1,1),Summary!$C$11))*('Dvd Calendar'!$Q$2427&lt;=MAX(DATE(Summary!$C$12,12,31),Summary!$C$15))*('Dvd Calendar'!$Q$2427&gt;Summary!$C$11)=0,"",'Dvd Calendar'!$Q$2427*1000000000+ISNUMBER('Dvd Calendar'!$Q$2428)*100000000+('Dvd Calendar'!$Q$2432='Field Check'!$C$25)*10000000+(N('Dvd Calendar'!$Q$2426)&gt;0)*1000000+21*1000+53))</f>
        <v/>
      </c>
      <c r="BD177" s="41">
        <f>IF(N('Dvd Calendar'!$R$2427)=0,"",IF(('Dvd Calendar'!$R$2427&gt;=MIN(DATE(Summary!$C$12,1,1),Summary!$C$11))*('Dvd Calendar'!$R$2427&lt;=MAX(DATE(Summary!$C$12,12,31),Summary!$C$15))*('Dvd Calendar'!$R$2427&gt;Summary!$C$11)=0,"",'Dvd Calendar'!$R$2427*1000000000+ISNUMBER('Dvd Calendar'!$R$2428)*100000000+('Dvd Calendar'!$R$2432='Field Check'!$C$25)*10000000+(N('Dvd Calendar'!$R$2426)&gt;0)*1000000+21*1000+54))</f>
        <v/>
      </c>
      <c r="BE177" s="41">
        <f>IF(N('Dvd Calendar'!$S$2427)=0,"",IF(('Dvd Calendar'!$S$2427&gt;=MIN(DATE(Summary!$C$12,1,1),Summary!$C$11))*('Dvd Calendar'!$S$2427&lt;=MAX(DATE(Summary!$C$12,12,31),Summary!$C$15))*('Dvd Calendar'!$S$2427&gt;Summary!$C$11)=0,"",'Dvd Calendar'!$S$2427*1000000000+ISNUMBER('Dvd Calendar'!$S$2428)*100000000+('Dvd Calendar'!$S$2432='Field Check'!$C$25)*10000000+(N('Dvd Calendar'!$S$2426)&gt;0)*1000000+21*1000+55))</f>
        <v/>
      </c>
      <c r="BF177" s="41">
        <f>IF(N('Dvd Calendar'!$T$2427)=0,"",IF(('Dvd Calendar'!$T$2427&gt;=MIN(DATE(Summary!$C$12,1,1),Summary!$C$11))*('Dvd Calendar'!$T$2427&lt;=MAX(DATE(Summary!$C$12,12,31),Summary!$C$15))*('Dvd Calendar'!$T$2427&gt;Summary!$C$11)=0,"",'Dvd Calendar'!$T$2427*1000000000+ISNUMBER('Dvd Calendar'!$T$2428)*100000000+('Dvd Calendar'!$T$2432='Field Check'!$C$25)*10000000+(N('Dvd Calendar'!$T$2426)&gt;0)*1000000+21*1000+56))</f>
        <v/>
      </c>
      <c r="BG177" s="41">
        <f>IF(N('Dvd Calendar'!$U$2427)=0,"",IF(('Dvd Calendar'!$U$2427&gt;=MIN(DATE(Summary!$C$12,1,1),Summary!$C$11))*('Dvd Calendar'!$U$2427&lt;=MAX(DATE(Summary!$C$12,12,31),Summary!$C$15))*('Dvd Calendar'!$U$2427&gt;Summary!$C$11)=0,"",'Dvd Calendar'!$U$2427*1000000000+ISNUMBER('Dvd Calendar'!$U$2428)*100000000+('Dvd Calendar'!$U$2432='Field Check'!$C$25)*10000000+(N('Dvd Calendar'!$U$2426)&gt;0)*1000000+21*1000+57))</f>
        <v/>
      </c>
      <c r="BH177" s="41">
        <f>IF(N('Dvd Calendar'!$V$2427)=0,"",IF(('Dvd Calendar'!$V$2427&gt;=MIN(DATE(Summary!$C$12,1,1),Summary!$C$11))*('Dvd Calendar'!$V$2427&lt;=MAX(DATE(Summary!$C$12,12,31),Summary!$C$15))*('Dvd Calendar'!$V$2427&gt;Summary!$C$11)=0,"",'Dvd Calendar'!$V$2427*1000000000+ISNUMBER('Dvd Calendar'!$V$2428)*100000000+('Dvd Calendar'!$V$2432='Field Check'!$C$25)*10000000+(N('Dvd Calendar'!$V$2426)&gt;0)*1000000+21*1000+58))</f>
        <v/>
      </c>
      <c r="BI177" s="41">
        <f>IF(N('Dvd Calendar'!$W$2427)=0,"",IF(('Dvd Calendar'!$W$2427&gt;=MIN(DATE(Summary!$C$12,1,1),Summary!$C$11))*('Dvd Calendar'!$W$2427&lt;=MAX(DATE(Summary!$C$12,12,31),Summary!$C$15))*('Dvd Calendar'!$W$2427&gt;Summary!$C$11)=0,"",'Dvd Calendar'!$W$2427*1000000000+ISNUMBER('Dvd Calendar'!$W$2428)*100000000+('Dvd Calendar'!$W$2432='Field Check'!$C$25)*10000000+(N('Dvd Calendar'!$W$2426)&gt;0)*1000000+21*1000+59))</f>
        <v/>
      </c>
      <c r="BJ177" s="41">
        <f>IF(N('Dvd Calendar'!$X$2427)=0,"",IF(('Dvd Calendar'!$X$2427&gt;=MIN(DATE(Summary!$C$12,1,1),Summary!$C$11))*('Dvd Calendar'!$X$2427&lt;=MAX(DATE(Summary!$C$12,12,31),Summary!$C$15))*('Dvd Calendar'!$X$2427&gt;Summary!$C$11)=0,"",'Dvd Calendar'!$X$2427*1000000000+ISNUMBER('Dvd Calendar'!$X$2428)*100000000+('Dvd Calendar'!$X$2432='Field Check'!$C$25)*10000000+(N('Dvd Calendar'!$X$2426)&gt;0)*1000000+21*1000+60))</f>
        <v/>
      </c>
      <c r="BK177" s="41">
        <f>IF(N('Dvd Calendar'!$Y$2427)=0,"",IF(('Dvd Calendar'!$Y$2427&gt;=MIN(DATE(Summary!$C$12,1,1),Summary!$C$11))*('Dvd Calendar'!$Y$2427&lt;=MAX(DATE(Summary!$C$12,12,31),Summary!$C$15))*('Dvd Calendar'!$Y$2427&gt;Summary!$C$11)=0,"",'Dvd Calendar'!$Y$2427*1000000000+ISNUMBER('Dvd Calendar'!$Y$2428)*100000000+('Dvd Calendar'!$Y$2432='Field Check'!$C$25)*10000000+(N('Dvd Calendar'!$Y$2426)&gt;0)*1000000+21*1000+61))</f>
        <v/>
      </c>
      <c r="BL177" s="41">
        <f>IF(N('Dvd Calendar'!$Z$2427)=0,"",IF(('Dvd Calendar'!$Z$2427&gt;=MIN(DATE(Summary!$C$12,1,1),Summary!$C$11))*('Dvd Calendar'!$Z$2427&lt;=MAX(DATE(Summary!$C$12,12,31),Summary!$C$15))*('Dvd Calendar'!$Z$2427&gt;Summary!$C$11)=0,"",'Dvd Calendar'!$Z$2427*1000000000+ISNUMBER('Dvd Calendar'!$Z$2428)*100000000+('Dvd Calendar'!$Z$2432='Field Check'!$C$25)*10000000+(N('Dvd Calendar'!$Z$2426)&gt;0)*1000000+21*1000+62))</f>
        <v/>
      </c>
      <c r="BM177" s="41">
        <f>IF(N('Dvd Calendar'!$AA$2427)=0,"",IF(('Dvd Calendar'!$AA$2427&gt;=MIN(DATE(Summary!$C$12,1,1),Summary!$C$11))*('Dvd Calendar'!$AA$2427&lt;=MAX(DATE(Summary!$C$12,12,31),Summary!$C$15))*('Dvd Calendar'!$AA$2427&gt;Summary!$C$11)=0,"",'Dvd Calendar'!$AA$2427*1000000000+ISNUMBER('Dvd Calendar'!$AA$2428)*100000000+('Dvd Calendar'!$AA$2432='Field Check'!$C$25)*10000000+(N('Dvd Calendar'!$AA$2426)&gt;0)*1000000+21*1000+63))</f>
        <v/>
      </c>
      <c r="BN177" s="41">
        <f>IF(N('Dvd Calendar'!$AB$2427)=0,"",IF(('Dvd Calendar'!$AB$2427&gt;=MIN(DATE(Summary!$C$12,1,1),Summary!$C$11))*('Dvd Calendar'!$AB$2427&lt;=MAX(DATE(Summary!$C$12,12,31),Summary!$C$15))*('Dvd Calendar'!$AB$2427&gt;Summary!$C$11)=0,"",'Dvd Calendar'!$AB$2427*1000000000+ISNUMBER('Dvd Calendar'!$AB$2428)*100000000+('Dvd Calendar'!$AB$2432='Field Check'!$C$25)*10000000+(N('Dvd Calendar'!$AB$2426)&gt;0)*1000000+21*1000+64))</f>
        <v/>
      </c>
      <c r="BO177" s="41">
        <f>IF(N('Dvd Calendar'!$AC$2427)=0,"",IF(('Dvd Calendar'!$AC$2427&gt;=MIN(DATE(Summary!$C$12,1,1),Summary!$C$11))*('Dvd Calendar'!$AC$2427&lt;=MAX(DATE(Summary!$C$12,12,31),Summary!$C$15))*('Dvd Calendar'!$AC$2427&gt;Summary!$C$11)=0,"",'Dvd Calendar'!$AC$2427*1000000000+ISNUMBER('Dvd Calendar'!$AC$2428)*100000000+('Dvd Calendar'!$AC$2432='Field Check'!$C$25)*10000000+(N('Dvd Calendar'!$AC$2426)&gt;0)*1000000+21*1000+65))</f>
        <v/>
      </c>
      <c r="BQ177" s="85">
        <f>IF(C177="","",IF(ISNUMBER('Dvd Calendar'!$E$2421)=FALSE,"",IF((Summary!$C$13="N")*('Dvd Calendar'!$E$2425='Field Check'!$C$25)&gt;0,"",'Dvd Calendar'!$E$2421)))</f>
        <v/>
      </c>
      <c r="BR177" s="85">
        <f>IF(D177="","",IF(ISNUMBER('Dvd Calendar'!$F$2421)=FALSE,"",IF((Summary!$C$13="N")*('Dvd Calendar'!$F$2425='Field Check'!$C$25)&gt;0,"",'Dvd Calendar'!$F$2421)))</f>
        <v/>
      </c>
      <c r="BS177" s="85">
        <f>IF(E177="","",IF(ISNUMBER('Dvd Calendar'!$G$2421)=FALSE,"",IF((Summary!$C$13="N")*('Dvd Calendar'!$G$2425='Field Check'!$C$25)&gt;0,"",'Dvd Calendar'!$G$2421)))</f>
        <v/>
      </c>
      <c r="BT177" s="85">
        <f>IF(F177="","",IF(ISNUMBER('Dvd Calendar'!$H$2421)=FALSE,"",IF((Summary!$C$13="N")*('Dvd Calendar'!$H$2425='Field Check'!$C$25)&gt;0,"",'Dvd Calendar'!$H$2421)))</f>
        <v/>
      </c>
      <c r="BU177" s="85">
        <f>IF(G177="","",IF(ISNUMBER('Dvd Calendar'!$I$2421)=FALSE,"",IF((Summary!$C$13="N")*('Dvd Calendar'!$I$2425='Field Check'!$C$25)&gt;0,"",'Dvd Calendar'!$I$2421)))</f>
        <v/>
      </c>
      <c r="BV177" s="85">
        <f>IF(H177="","",IF(ISNUMBER('Dvd Calendar'!$J$2421)=FALSE,"",IF((Summary!$C$13="N")*('Dvd Calendar'!$J$2425='Field Check'!$C$25)&gt;0,"",'Dvd Calendar'!$J$2421)))</f>
        <v/>
      </c>
      <c r="BW177" s="85">
        <f>IF(I177="","",IF(ISNUMBER('Dvd Calendar'!$K$2421)=FALSE,"",IF((Summary!$C$13="N")*('Dvd Calendar'!$K$2425='Field Check'!$C$25)&gt;0,"",'Dvd Calendar'!$K$2421)))</f>
        <v/>
      </c>
      <c r="BX177" s="85">
        <f>IF(J177="","",IF(ISNUMBER('Dvd Calendar'!$L$2421)=FALSE,"",IF((Summary!$C$13="N")*('Dvd Calendar'!$L$2425='Field Check'!$C$25)&gt;0,"",'Dvd Calendar'!$L$2421)))</f>
        <v/>
      </c>
      <c r="BY177" s="85">
        <f>IF(K177="","",IF(ISNUMBER('Dvd Calendar'!$M$2421)=FALSE,"",IF((Summary!$C$13="N")*('Dvd Calendar'!$M$2425='Field Check'!$C$25)&gt;0,"",'Dvd Calendar'!$M$2421)))</f>
        <v/>
      </c>
      <c r="BZ177" s="85">
        <f>IF(L177="","",IF(ISNUMBER('Dvd Calendar'!$N$2421)=FALSE,"",IF((Summary!$C$13="N")*('Dvd Calendar'!$N$2425='Field Check'!$C$25)&gt;0,"",'Dvd Calendar'!$N$2421)))</f>
        <v/>
      </c>
      <c r="CA177" s="85">
        <f>IF(M177="","",IF(ISNUMBER('Dvd Calendar'!$O$2421)=FALSE,"",IF((Summary!$C$13="N")*('Dvd Calendar'!$O$2425='Field Check'!$C$25)&gt;0,"",'Dvd Calendar'!$O$2421)))</f>
        <v/>
      </c>
      <c r="CB177" s="85">
        <f>IF(N177="","",IF(ISNUMBER('Dvd Calendar'!$P$2421)=FALSE,"",IF((Summary!$C$13="N")*('Dvd Calendar'!$P$2425='Field Check'!$C$25)&gt;0,"",'Dvd Calendar'!$P$2421)))</f>
        <v/>
      </c>
      <c r="CC177" s="85">
        <f>IF(O177="","",IF(ISNUMBER('Dvd Calendar'!$Q$2421)=FALSE,"",IF((Summary!$C$13="N")*('Dvd Calendar'!$Q$2425='Field Check'!$C$25)&gt;0,"",'Dvd Calendar'!$Q$2421)))</f>
        <v/>
      </c>
      <c r="CD177" s="85">
        <f>IF(P177="","",IF(ISNUMBER('Dvd Calendar'!$R$2421)=FALSE,"",IF((Summary!$C$13="N")*('Dvd Calendar'!$R$2425='Field Check'!$C$25)&gt;0,"",'Dvd Calendar'!$R$2421)))</f>
        <v/>
      </c>
      <c r="CE177" s="85">
        <f>IF(Q177="","",IF(ISNUMBER('Dvd Calendar'!$S$2421)=FALSE,"",IF((Summary!$C$13="N")*('Dvd Calendar'!$S$2425='Field Check'!$C$25)&gt;0,"",'Dvd Calendar'!$S$2421)))</f>
        <v/>
      </c>
      <c r="CF177" s="85">
        <f>IF(R177="","",IF(ISNUMBER('Dvd Calendar'!$T$2421)=FALSE,"",IF((Summary!$C$13="N")*('Dvd Calendar'!$T$2425='Field Check'!$C$25)&gt;0,"",'Dvd Calendar'!$T$2421)))</f>
        <v/>
      </c>
      <c r="CG177" s="85">
        <f>IF(S177="","",IF(ISNUMBER('Dvd Calendar'!$U$2421)=FALSE,"",IF((Summary!$C$13="N")*('Dvd Calendar'!$U$2425='Field Check'!$C$25)&gt;0,"",'Dvd Calendar'!$U$2421)))</f>
        <v/>
      </c>
      <c r="CH177" s="85">
        <f>IF(T177="","",IF(ISNUMBER('Dvd Calendar'!$V$2421)=FALSE,"",IF((Summary!$C$13="N")*('Dvd Calendar'!$V$2425='Field Check'!$C$25)&gt;0,"",'Dvd Calendar'!$V$2421)))</f>
        <v/>
      </c>
      <c r="CI177" s="85">
        <f>IF(U177="","",IF(ISNUMBER('Dvd Calendar'!$W$2421)=FALSE,"",IF((Summary!$C$13="N")*('Dvd Calendar'!$W$2425='Field Check'!$C$25)&gt;0,"",'Dvd Calendar'!$W$2421)))</f>
        <v/>
      </c>
      <c r="CJ177" s="85">
        <f>IF(V177="","",IF(ISNUMBER('Dvd Calendar'!$X$2421)=FALSE,"",IF((Summary!$C$13="N")*('Dvd Calendar'!$X$2425='Field Check'!$C$25)&gt;0,"",'Dvd Calendar'!$X$2421)))</f>
        <v/>
      </c>
      <c r="CK177" s="85">
        <f>IF(W177="","",IF(ISNUMBER('Dvd Calendar'!$Y$2421)=FALSE,"",IF((Summary!$C$13="N")*('Dvd Calendar'!$Y$2425='Field Check'!$C$25)&gt;0,"",'Dvd Calendar'!$Y$2421)))</f>
        <v/>
      </c>
      <c r="CL177" s="85">
        <f>IF(X177="","",IF(ISNUMBER('Dvd Calendar'!$Z$2421)=FALSE,"",IF((Summary!$C$13="N")*('Dvd Calendar'!$Z$2425='Field Check'!$C$25)&gt;0,"",'Dvd Calendar'!$Z$2421)))</f>
        <v/>
      </c>
      <c r="CM177" s="85">
        <f>IF(Y177="","",IF(ISNUMBER('Dvd Calendar'!$AA$2421)=FALSE,"",IF((Summary!$C$13="N")*('Dvd Calendar'!$AA$2425='Field Check'!$C$25)&gt;0,"",'Dvd Calendar'!$AA$2421)))</f>
        <v/>
      </c>
      <c r="CN177" s="85">
        <f>IF(Z177="","",IF(ISNUMBER('Dvd Calendar'!$AB$2421)=FALSE,"",IF((Summary!$C$13="N")*('Dvd Calendar'!$AB$2425='Field Check'!$C$25)&gt;0,"",'Dvd Calendar'!$AB$2421)))</f>
        <v/>
      </c>
      <c r="CO177" s="85">
        <f>IF(AA177="","",IF(ISNUMBER('Dvd Calendar'!$AC$2421)=FALSE,"",IF((Summary!$C$13="N")*('Dvd Calendar'!$AC$2425='Field Check'!$C$25)&gt;0,"",'Dvd Calendar'!$AC$2421)))</f>
        <v/>
      </c>
      <c r="CP177" s="85">
        <f>IF(AB177="","",IF(ISNUMBER('Dvd Calendar'!$AD$2421)=FALSE,"",IF((Summary!$C$13="N")*('Dvd Calendar'!$AD$2425='Field Check'!$C$25)&gt;0,"",'Dvd Calendar'!$AD$2421)))</f>
        <v/>
      </c>
      <c r="CQ177" s="85">
        <f>IF(AC177="","",IF(ISNUMBER('Dvd Calendar'!$AE$2421)=FALSE,"",IF((Summary!$C$13="N")*('Dvd Calendar'!$AE$2425='Field Check'!$C$25)&gt;0,"",'Dvd Calendar'!$AE$2421)))</f>
        <v/>
      </c>
      <c r="CR177" s="85">
        <f>IF(AD177="","",IF(ISNUMBER('Dvd Calendar'!$AF$2421)=FALSE,"",IF((Summary!$C$13="N")*('Dvd Calendar'!$AF$2425='Field Check'!$C$25)&gt;0,"",'Dvd Calendar'!$AF$2421)))</f>
        <v/>
      </c>
      <c r="CS177" s="85">
        <f>IF(AE177="","",IF(ISNUMBER('Dvd Calendar'!$AG$2421)=FALSE,"",IF((Summary!$C$13="N")*('Dvd Calendar'!$AG$2425='Field Check'!$C$25)&gt;0,"",'Dvd Calendar'!$AG$2421)))</f>
        <v/>
      </c>
      <c r="CT177" s="85">
        <f>IF(AF177="","",IF(ISNUMBER('Dvd Calendar'!$AH$2421)=FALSE,"",IF((Summary!$C$13="N")*('Dvd Calendar'!$AH$2425='Field Check'!$C$25)&gt;0,"",'Dvd Calendar'!$AH$2421)))</f>
        <v/>
      </c>
      <c r="CU177" s="85">
        <f>IF(AG177="","",IF(ISNUMBER('Dvd Calendar'!$AI$2421)=FALSE,"",IF((Summary!$C$13="N")*('Dvd Calendar'!$AI$2425='Field Check'!$C$25)&gt;0,"",'Dvd Calendar'!$AI$2421)))</f>
        <v/>
      </c>
      <c r="CV177" s="85">
        <f>IF(AH177="","",IF(ISNUMBER('Dvd Calendar'!$AJ$2421)=FALSE,"",IF((Summary!$C$13="N")*('Dvd Calendar'!$AJ$2425='Field Check'!$C$25)&gt;0,"",'Dvd Calendar'!$AJ$2421)))</f>
        <v/>
      </c>
      <c r="CW177" s="85">
        <f>IF(AI177="","",IF(ISNUMBER('Dvd Calendar'!$AK$2421)=FALSE,"",IF((Summary!$C$13="N")*('Dvd Calendar'!$AK$2425='Field Check'!$C$25)&gt;0,"",'Dvd Calendar'!$AK$2421)))</f>
        <v/>
      </c>
      <c r="CX177" s="85">
        <f>IF(AJ177="","",IF(ISNUMBER('Dvd Calendar'!$AL$2421)=FALSE,"",IF((Summary!$C$13="N")*('Dvd Calendar'!$AL$2425='Field Check'!$C$25)&gt;0,"",'Dvd Calendar'!$AL$2421)))</f>
        <v/>
      </c>
      <c r="CY177" s="85">
        <f>IF(AK177="","",IF(ISNUMBER('Dvd Calendar'!$AM$2421)=FALSE,"",IF((Summary!$C$13="N")*('Dvd Calendar'!$AM$2425='Field Check'!$C$25)&gt;0,"",'Dvd Calendar'!$AM$2421)))</f>
        <v/>
      </c>
      <c r="CZ177" s="85">
        <f>IF(AL177="","",IF(ISNUMBER('Dvd Calendar'!$AN$2421)=FALSE,"",IF((Summary!$C$13="N")*('Dvd Calendar'!$AN$2425='Field Check'!$C$25)&gt;0,"",'Dvd Calendar'!$AN$2421)))</f>
        <v/>
      </c>
      <c r="DA177" s="85">
        <f>IF(AM177="","",IF(ISNUMBER('Dvd Calendar'!$AO$2421)=FALSE,"",IF((Summary!$C$13="N")*('Dvd Calendar'!$AO$2425='Field Check'!$C$25)&gt;0,"",'Dvd Calendar'!$AO$2421)))</f>
        <v/>
      </c>
      <c r="DB177" s="85">
        <f>IF(AN177="","",IF(ISNUMBER('Dvd Calendar'!$AP$2421)=FALSE,"",IF((Summary!$C$13="N")*('Dvd Calendar'!$AP$2425='Field Check'!$C$25)&gt;0,"",'Dvd Calendar'!$AP$2421)))</f>
        <v/>
      </c>
      <c r="DC177" s="85">
        <f>IF(AO177="","",IF(ISNUMBER('Dvd Calendar'!$AQ$2421)=FALSE,"",IF((Summary!$C$13="N")*('Dvd Calendar'!$AQ$2425='Field Check'!$C$25)&gt;0,"",'Dvd Calendar'!$AQ$2421)))</f>
        <v/>
      </c>
      <c r="DD177" s="85">
        <f>IF(AP177="","",IF(ISNUMBER('Dvd Calendar'!$AR$2421)=FALSE,"",IF((Summary!$C$13="N")*('Dvd Calendar'!$AR$2425='Field Check'!$C$25)&gt;0,"",'Dvd Calendar'!$AR$2421)))</f>
        <v/>
      </c>
      <c r="DE177" s="85">
        <f>IF(AQ177="","",IF(ISNUMBER('Dvd Calendar'!$E$2428)=FALSE,"",IF((Summary!$C$13="N")*('Dvd Calendar'!$E$2432='Field Check'!$C$25)&gt;0,"",'Dvd Calendar'!$E$2428)))</f>
        <v/>
      </c>
      <c r="DF177" s="85">
        <f>IF(AR177="","",IF(ISNUMBER('Dvd Calendar'!$F$2428)=FALSE,"",IF((Summary!$C$13="N")*('Dvd Calendar'!$F$2432='Field Check'!$C$25)&gt;0,"",'Dvd Calendar'!$F$2428)))</f>
        <v/>
      </c>
      <c r="DG177" s="85">
        <f>IF(AS177="","",IF(ISNUMBER('Dvd Calendar'!$G$2428)=FALSE,"",IF((Summary!$C$13="N")*('Dvd Calendar'!$G$2432='Field Check'!$C$25)&gt;0,"",'Dvd Calendar'!$G$2428)))</f>
        <v/>
      </c>
      <c r="DH177" s="85">
        <f>IF(AT177="","",IF(ISNUMBER('Dvd Calendar'!$H$2428)=FALSE,"",IF((Summary!$C$13="N")*('Dvd Calendar'!$H$2432='Field Check'!$C$25)&gt;0,"",'Dvd Calendar'!$H$2428)))</f>
        <v/>
      </c>
      <c r="DI177" s="85">
        <f>IF(AU177="","",IF(ISNUMBER('Dvd Calendar'!$I$2428)=FALSE,"",IF((Summary!$C$13="N")*('Dvd Calendar'!$I$2432='Field Check'!$C$25)&gt;0,"",'Dvd Calendar'!$I$2428)))</f>
        <v/>
      </c>
      <c r="DJ177" s="85">
        <f>IF(AV177="","",IF(ISNUMBER('Dvd Calendar'!$J$2428)=FALSE,"",IF((Summary!$C$13="N")*('Dvd Calendar'!$J$2432='Field Check'!$C$25)&gt;0,"",'Dvd Calendar'!$J$2428)))</f>
        <v/>
      </c>
      <c r="DK177" s="85">
        <f>IF(AW177="","",IF(ISNUMBER('Dvd Calendar'!$K$2428)=FALSE,"",IF((Summary!$C$13="N")*('Dvd Calendar'!$K$2432='Field Check'!$C$25)&gt;0,"",'Dvd Calendar'!$K$2428)))</f>
        <v/>
      </c>
      <c r="DL177" s="85">
        <f>IF(AX177="","",IF(ISNUMBER('Dvd Calendar'!$L$2428)=FALSE,"",IF((Summary!$C$13="N")*('Dvd Calendar'!$L$2432='Field Check'!$C$25)&gt;0,"",'Dvd Calendar'!$L$2428)))</f>
        <v/>
      </c>
      <c r="DM177" s="85">
        <f>IF(AY177="","",IF(ISNUMBER('Dvd Calendar'!$M$2428)=FALSE,"",IF((Summary!$C$13="N")*('Dvd Calendar'!$M$2432='Field Check'!$C$25)&gt;0,"",'Dvd Calendar'!$M$2428)))</f>
        <v/>
      </c>
      <c r="DN177" s="85">
        <f>IF(AZ177="","",IF(ISNUMBER('Dvd Calendar'!$N$2428)=FALSE,"",IF((Summary!$C$13="N")*('Dvd Calendar'!$N$2432='Field Check'!$C$25)&gt;0,"",'Dvd Calendar'!$N$2428)))</f>
        <v/>
      </c>
      <c r="DO177" s="85">
        <f>IF(BA177="","",IF(ISNUMBER('Dvd Calendar'!$O$2428)=FALSE,"",IF((Summary!$C$13="N")*('Dvd Calendar'!$O$2432='Field Check'!$C$25)&gt;0,"",'Dvd Calendar'!$O$2428)))</f>
        <v/>
      </c>
      <c r="DP177" s="85">
        <f>IF(BB177="","",IF(ISNUMBER('Dvd Calendar'!$P$2428)=FALSE,"",IF((Summary!$C$13="N")*('Dvd Calendar'!$P$2432='Field Check'!$C$25)&gt;0,"",'Dvd Calendar'!$P$2428)))</f>
        <v/>
      </c>
      <c r="DQ177" s="85">
        <f>IF(BC177="","",IF(ISNUMBER('Dvd Calendar'!$Q$2428)=FALSE,"",IF((Summary!$C$13="N")*('Dvd Calendar'!$Q$2432='Field Check'!$C$25)&gt;0,"",'Dvd Calendar'!$Q$2428)))</f>
        <v/>
      </c>
      <c r="DR177" s="85">
        <f>IF(BD177="","",IF(ISNUMBER('Dvd Calendar'!$R$2428)=FALSE,"",IF((Summary!$C$13="N")*('Dvd Calendar'!$R$2432='Field Check'!$C$25)&gt;0,"",'Dvd Calendar'!$R$2428)))</f>
        <v/>
      </c>
      <c r="DS177" s="85">
        <f>IF(BE177="","",IF(ISNUMBER('Dvd Calendar'!$S$2428)=FALSE,"",IF((Summary!$C$13="N")*('Dvd Calendar'!$S$2432='Field Check'!$C$25)&gt;0,"",'Dvd Calendar'!$S$2428)))</f>
        <v/>
      </c>
      <c r="DT177" s="85">
        <f>IF(BF177="","",IF(ISNUMBER('Dvd Calendar'!$T$2428)=FALSE,"",IF((Summary!$C$13="N")*('Dvd Calendar'!$T$2432='Field Check'!$C$25)&gt;0,"",'Dvd Calendar'!$T$2428)))</f>
        <v/>
      </c>
      <c r="DU177" s="85">
        <f>IF(BG177="","",IF(ISNUMBER('Dvd Calendar'!$U$2428)=FALSE,"",IF((Summary!$C$13="N")*('Dvd Calendar'!$U$2432='Field Check'!$C$25)&gt;0,"",'Dvd Calendar'!$U$2428)))</f>
        <v/>
      </c>
      <c r="DV177" s="85">
        <f>IF(BH177="","",IF(ISNUMBER('Dvd Calendar'!$V$2428)=FALSE,"",IF((Summary!$C$13="N")*('Dvd Calendar'!$V$2432='Field Check'!$C$25)&gt;0,"",'Dvd Calendar'!$V$2428)))</f>
        <v/>
      </c>
      <c r="DW177" s="85">
        <f>IF(BI177="","",IF(ISNUMBER('Dvd Calendar'!$W$2428)=FALSE,"",IF((Summary!$C$13="N")*('Dvd Calendar'!$W$2432='Field Check'!$C$25)&gt;0,"",'Dvd Calendar'!$W$2428)))</f>
        <v/>
      </c>
      <c r="DX177" s="85">
        <f>IF(BJ177="","",IF(ISNUMBER('Dvd Calendar'!$X$2428)=FALSE,"",IF((Summary!$C$13="N")*('Dvd Calendar'!$X$2432='Field Check'!$C$25)&gt;0,"",'Dvd Calendar'!$X$2428)))</f>
        <v/>
      </c>
      <c r="DY177" s="85">
        <f>IF(BK177="","",IF(ISNUMBER('Dvd Calendar'!$Y$2428)=FALSE,"",IF((Summary!$C$13="N")*('Dvd Calendar'!$Y$2432='Field Check'!$C$25)&gt;0,"",'Dvd Calendar'!$Y$2428)))</f>
        <v/>
      </c>
      <c r="DZ177" s="85">
        <f>IF(BL177="","",IF(ISNUMBER('Dvd Calendar'!$Z$2428)=FALSE,"",IF((Summary!$C$13="N")*('Dvd Calendar'!$Z$2432='Field Check'!$C$25)&gt;0,"",'Dvd Calendar'!$Z$2428)))</f>
        <v/>
      </c>
      <c r="EA177" s="85">
        <f>IF(BM177="","",IF(ISNUMBER('Dvd Calendar'!$AA$2428)=FALSE,"",IF((Summary!$C$13="N")*('Dvd Calendar'!$AA$2432='Field Check'!$C$25)&gt;0,"",'Dvd Calendar'!$AA$2428)))</f>
        <v/>
      </c>
      <c r="EB177" s="85">
        <f>IF(BN177="","",IF(ISNUMBER('Dvd Calendar'!$AB$2428)=FALSE,"",IF((Summary!$C$13="N")*('Dvd Calendar'!$AB$2432='Field Check'!$C$25)&gt;0,"",'Dvd Calendar'!$AB$2428)))</f>
        <v/>
      </c>
      <c r="EC177" s="85">
        <f>IF(BO177="","",IF(ISNUMBER('Dvd Calendar'!$AC$2428)=FALSE,"",IF((Summary!$C$13="N")*('Dvd Calendar'!$AC$2432='Field Check'!$C$25)&gt;0,"",'Dvd Calendar'!$AC$2428)))</f>
        <v/>
      </c>
      <c r="EE177" s="85">
        <f>IF(BQ177="","",IFERROR(BQ177*HSCEI!$B$27*HSCEI!$G$27/HSCEI!$B$3,""))</f>
        <v/>
      </c>
      <c r="EF177" s="85">
        <f>IF(BR177="","",IFERROR(BR177*HSCEI!$B$27*HSCEI!$G$27/HSCEI!$B$3,""))</f>
        <v/>
      </c>
      <c r="EG177" s="85">
        <f>IF(BS177="","",IFERROR(BS177*HSCEI!$B$27*HSCEI!$G$27/HSCEI!$B$3,""))</f>
        <v/>
      </c>
      <c r="EH177" s="85">
        <f>IF(BT177="","",IFERROR(BT177*HSCEI!$B$27*HSCEI!$G$27/HSCEI!$B$3,""))</f>
        <v/>
      </c>
      <c r="EI177" s="85">
        <f>IF(BU177="","",IFERROR(BU177*HSCEI!$B$27*HSCEI!$G$27/HSCEI!$B$3,""))</f>
        <v/>
      </c>
      <c r="EJ177" s="85">
        <f>IF(BV177="","",IFERROR(BV177*HSCEI!$B$27*HSCEI!$G$27/HSCEI!$B$3,""))</f>
        <v/>
      </c>
      <c r="EK177" s="85">
        <f>IF(BW177="","",IFERROR(BW177*HSCEI!$B$27*HSCEI!$G$27/HSCEI!$B$3,""))</f>
        <v/>
      </c>
      <c r="EL177" s="85">
        <f>IF(BX177="","",IFERROR(BX177*HSCEI!$B$27*HSCEI!$G$27/HSCEI!$B$3,""))</f>
        <v/>
      </c>
      <c r="EM177" s="85">
        <f>IF(BY177="","",IFERROR(BY177*HSCEI!$B$27*HSCEI!$G$27/HSCEI!$B$3,""))</f>
        <v/>
      </c>
      <c r="EN177" s="85">
        <f>IF(BZ177="","",IFERROR(BZ177*HSCEI!$B$27*HSCEI!$G$27/HSCEI!$B$3,""))</f>
        <v/>
      </c>
      <c r="EO177" s="85">
        <f>IF(CA177="","",IFERROR(CA177*HSCEI!$B$27*HSCEI!$G$27/HSCEI!$B$3,""))</f>
        <v/>
      </c>
      <c r="EP177" s="85">
        <f>IF(CB177="","",IFERROR(CB177*HSCEI!$B$27*HSCEI!$G$27/HSCEI!$B$3,""))</f>
        <v/>
      </c>
      <c r="EQ177" s="85">
        <f>IF(CC177="","",IFERROR(CC177*HSCEI!$B$27*HSCEI!$G$27/HSCEI!$B$3,""))</f>
        <v/>
      </c>
      <c r="ER177" s="85">
        <f>IF(CD177="","",IFERROR(CD177*HSCEI!$B$27*HSCEI!$G$27/HSCEI!$B$3,""))</f>
        <v/>
      </c>
      <c r="ES177" s="85">
        <f>IF(CE177="","",IFERROR(CE177*HSCEI!$B$27*HSCEI!$G$27/HSCEI!$B$3,""))</f>
        <v/>
      </c>
      <c r="ET177" s="85">
        <f>IF(CF177="","",IFERROR(CF177*HSCEI!$B$27*HSCEI!$G$27/HSCEI!$B$3,""))</f>
        <v/>
      </c>
      <c r="EU177" s="85">
        <f>IF(CG177="","",IFERROR(CG177*HSCEI!$B$27*HSCEI!$G$27/HSCEI!$B$3,""))</f>
        <v/>
      </c>
      <c r="EV177" s="85">
        <f>IF(CH177="","",IFERROR(CH177*HSCEI!$B$27*HSCEI!$G$27/HSCEI!$B$3,""))</f>
        <v/>
      </c>
      <c r="EW177" s="85">
        <f>IF(CI177="","",IFERROR(CI177*HSCEI!$B$27*HSCEI!$G$27/HSCEI!$B$3,""))</f>
        <v/>
      </c>
      <c r="EX177" s="85">
        <f>IF(CJ177="","",IFERROR(CJ177*HSCEI!$B$27*HSCEI!$G$27/HSCEI!$B$3,""))</f>
        <v/>
      </c>
      <c r="EY177" s="85">
        <f>IF(CK177="","",IFERROR(CK177*HSCEI!$B$27*HSCEI!$G$27/HSCEI!$B$3,""))</f>
        <v/>
      </c>
      <c r="EZ177" s="85">
        <f>IF(CL177="","",IFERROR(CL177*HSCEI!$B$27*HSCEI!$G$27/HSCEI!$B$3,""))</f>
        <v/>
      </c>
      <c r="FA177" s="85">
        <f>IF(CM177="","",IFERROR(CM177*HSCEI!$B$27*HSCEI!$G$27/HSCEI!$B$3,""))</f>
        <v/>
      </c>
      <c r="FB177" s="85">
        <f>IF(CN177="","",IFERROR(CN177*HSCEI!$B$27*HSCEI!$G$27/HSCEI!$B$3,""))</f>
        <v/>
      </c>
      <c r="FC177" s="85">
        <f>IF(CO177="","",IFERROR(CO177*HSCEI!$B$27*HSCEI!$G$27/HSCEI!$B$3,""))</f>
        <v/>
      </c>
      <c r="FD177" s="85">
        <f>IF(CP177="","",IFERROR(CP177*HSCEI!$B$27*HSCEI!$G$27/HSCEI!$B$3,""))</f>
        <v/>
      </c>
      <c r="FE177" s="85">
        <f>IF(CQ177="","",IFERROR(CQ177*HSCEI!$B$27*HSCEI!$G$27/HSCEI!$B$3,""))</f>
        <v/>
      </c>
      <c r="FF177" s="85">
        <f>IF(CR177="","",IFERROR(CR177*HSCEI!$B$27*HSCEI!$G$27/HSCEI!$B$3,""))</f>
        <v/>
      </c>
      <c r="FG177" s="85">
        <f>IF(CS177="","",IFERROR(CS177*HSCEI!$B$27*HSCEI!$G$27/HSCEI!$B$3,""))</f>
        <v/>
      </c>
      <c r="FH177" s="85">
        <f>IF(CT177="","",IFERROR(CT177*HSCEI!$B$27*HSCEI!$G$27/HSCEI!$B$3,""))</f>
        <v/>
      </c>
      <c r="FI177" s="85">
        <f>IF(CU177="","",IFERROR(CU177*HSCEI!$B$27*HSCEI!$G$27/HSCEI!$B$3,""))</f>
        <v/>
      </c>
      <c r="FJ177" s="85">
        <f>IF(CV177="","",IFERROR(CV177*HSCEI!$B$27*HSCEI!$G$27/HSCEI!$B$3,""))</f>
        <v/>
      </c>
      <c r="FK177" s="85">
        <f>IF(CW177="","",IFERROR(CW177*HSCEI!$B$27*HSCEI!$G$27/HSCEI!$B$3,""))</f>
        <v/>
      </c>
      <c r="FL177" s="85">
        <f>IF(CX177="","",IFERROR(CX177*HSCEI!$B$27*HSCEI!$G$27/HSCEI!$B$3,""))</f>
        <v/>
      </c>
      <c r="FM177" s="85">
        <f>IF(CY177="","",IFERROR(CY177*HSCEI!$B$27*HSCEI!$G$27/HSCEI!$B$3,""))</f>
        <v/>
      </c>
      <c r="FN177" s="85">
        <f>IF(CZ177="","",IFERROR(CZ177*HSCEI!$B$27*HSCEI!$G$27/HSCEI!$B$3,""))</f>
        <v/>
      </c>
      <c r="FO177" s="85">
        <f>IF(DA177="","",IFERROR(DA177*HSCEI!$B$27*HSCEI!$G$27/HSCEI!$B$3,""))</f>
        <v/>
      </c>
      <c r="FP177" s="85">
        <f>IF(DB177="","",IFERROR(DB177*HSCEI!$B$27*HSCEI!$G$27/HSCEI!$B$3,""))</f>
        <v/>
      </c>
      <c r="FQ177" s="85">
        <f>IF(DC177="","",IFERROR(DC177*HSCEI!$B$27*HSCEI!$G$27/HSCEI!$B$3,""))</f>
        <v/>
      </c>
      <c r="FR177" s="85">
        <f>IF(DD177="","",IFERROR(DD177*HSCEI!$B$27*HSCEI!$G$27/HSCEI!$B$3,""))</f>
        <v/>
      </c>
      <c r="FS177" s="85">
        <f>IF(DE177="","",IFERROR(DE177*HSCEI!$B$27*HSCEI!$G$27/HSCEI!$B$3,""))</f>
        <v/>
      </c>
      <c r="FT177" s="85">
        <f>IF(DF177="","",IFERROR(DF177*HSCEI!$B$27*HSCEI!$G$27/HSCEI!$B$3,""))</f>
        <v/>
      </c>
      <c r="FU177" s="85">
        <f>IF(DG177="","",IFERROR(DG177*HSCEI!$B$27*HSCEI!$G$27/HSCEI!$B$3,""))</f>
        <v/>
      </c>
      <c r="FV177" s="85">
        <f>IF(DH177="","",IFERROR(DH177*HSCEI!$B$27*HSCEI!$G$27/HSCEI!$B$3,""))</f>
        <v/>
      </c>
      <c r="FW177" s="85">
        <f>IF(DI177="","",IFERROR(DI177*HSCEI!$B$27*HSCEI!$G$27/HSCEI!$B$3,""))</f>
        <v/>
      </c>
      <c r="FX177" s="85">
        <f>IF(DJ177="","",IFERROR(DJ177*HSCEI!$B$27*HSCEI!$G$27/HSCEI!$B$3,""))</f>
        <v/>
      </c>
      <c r="FY177" s="85">
        <f>IF(DK177="","",IFERROR(DK177*HSCEI!$B$27*HSCEI!$G$27/HSCEI!$B$3,""))</f>
        <v/>
      </c>
      <c r="FZ177" s="85">
        <f>IF(DL177="","",IFERROR(DL177*HSCEI!$B$27*HSCEI!$G$27/HSCEI!$B$3,""))</f>
        <v/>
      </c>
      <c r="GA177" s="85">
        <f>IF(DM177="","",IFERROR(DM177*HSCEI!$B$27*HSCEI!$G$27/HSCEI!$B$3,""))</f>
        <v/>
      </c>
      <c r="GB177" s="85">
        <f>IF(DN177="","",IFERROR(DN177*HSCEI!$B$27*HSCEI!$G$27/HSCEI!$B$3,""))</f>
        <v/>
      </c>
      <c r="GC177" s="85">
        <f>IF(DO177="","",IFERROR(DO177*HSCEI!$B$27*HSCEI!$G$27/HSCEI!$B$3,""))</f>
        <v/>
      </c>
      <c r="GD177" s="85">
        <f>IF(DP177="","",IFERROR(DP177*HSCEI!$B$27*HSCEI!$G$27/HSCEI!$B$3,""))</f>
        <v/>
      </c>
      <c r="GE177" s="85">
        <f>IF(DQ177="","",IFERROR(DQ177*HSCEI!$B$27*HSCEI!$G$27/HSCEI!$B$3,""))</f>
        <v/>
      </c>
      <c r="GF177" s="85">
        <f>IF(DR177="","",IFERROR(DR177*HSCEI!$B$27*HSCEI!$G$27/HSCEI!$B$3,""))</f>
        <v/>
      </c>
      <c r="GG177" s="85">
        <f>IF(DS177="","",IFERROR(DS177*HSCEI!$B$27*HSCEI!$G$27/HSCEI!$B$3,""))</f>
        <v/>
      </c>
      <c r="GH177" s="85">
        <f>IF(DT177="","",IFERROR(DT177*HSCEI!$B$27*HSCEI!$G$27/HSCEI!$B$3,""))</f>
        <v/>
      </c>
      <c r="GI177" s="85">
        <f>IF(DU177="","",IFERROR(DU177*HSCEI!$B$27*HSCEI!$G$27/HSCEI!$B$3,""))</f>
        <v/>
      </c>
      <c r="GJ177" s="85">
        <f>IF(DV177="","",IFERROR(DV177*HSCEI!$B$27*HSCEI!$G$27/HSCEI!$B$3,""))</f>
        <v/>
      </c>
      <c r="GK177" s="85">
        <f>IF(DW177="","",IFERROR(DW177*HSCEI!$B$27*HSCEI!$G$27/HSCEI!$B$3,""))</f>
        <v/>
      </c>
      <c r="GL177" s="85">
        <f>IF(DX177="","",IFERROR(DX177*HSCEI!$B$27*HSCEI!$G$27/HSCEI!$B$3,""))</f>
        <v/>
      </c>
      <c r="GM177" s="85">
        <f>IF(DY177="","",IFERROR(DY177*HSCEI!$B$27*HSCEI!$G$27/HSCEI!$B$3,""))</f>
        <v/>
      </c>
      <c r="GN177" s="85">
        <f>IF(DZ177="","",IFERROR(DZ177*HSCEI!$B$27*HSCEI!$G$27/HSCEI!$B$3,""))</f>
        <v/>
      </c>
      <c r="GO177" s="85">
        <f>IF(EA177="","",IFERROR(EA177*HSCEI!$B$27*HSCEI!$G$27/HSCEI!$B$3,""))</f>
        <v/>
      </c>
      <c r="GP177" s="85">
        <f>IF(EB177="","",IFERROR(EB177*HSCEI!$B$27*HSCEI!$G$27/HSCEI!$B$3,""))</f>
        <v/>
      </c>
      <c r="GQ177" s="85">
        <f>IF(EC177="","",IFERROR(EC177*HSCEI!$B$27*HSCEI!$G$27/HSCEI!$B$3,""))</f>
        <v/>
      </c>
    </row>
    <row r="178">
      <c r="B178" s="2">
        <f>IF(HSCEI!$C$28="","",HSCEI!$C$28)</f>
        <v/>
      </c>
      <c r="C178" s="41">
        <f>IF(N('Dvd Calendar'!$E$2435)=0,"",IF(('Dvd Calendar'!$E$2435&gt;=MIN(DATE(Summary!$C$12,1,1),Summary!$C$11))*('Dvd Calendar'!$E$2435&lt;=MAX(DATE(Summary!$C$12,12,31),Summary!$C$15))*('Dvd Calendar'!$E$2435&lt;=Summary!$C$11)=0,"",'Dvd Calendar'!$E$2435*1000000000+ISNUMBER('Dvd Calendar'!$E$2436)*100000000+('Dvd Calendar'!$E$2440='Field Check'!$C$25)*10000000+(N('Dvd Calendar'!$E$2434)&gt;0)*1000000+22*1000+1))</f>
        <v/>
      </c>
      <c r="D178" s="41">
        <f>IF(N('Dvd Calendar'!$F$2435)=0,"",IF(('Dvd Calendar'!$F$2435&gt;=MIN(DATE(Summary!$C$12,1,1),Summary!$C$11))*('Dvd Calendar'!$F$2435&lt;=MAX(DATE(Summary!$C$12,12,31),Summary!$C$15))*('Dvd Calendar'!$F$2435&lt;=Summary!$C$11)=0,"",'Dvd Calendar'!$F$2435*1000000000+ISNUMBER('Dvd Calendar'!$F$2436)*100000000+('Dvd Calendar'!$F$2440='Field Check'!$C$25)*10000000+(N('Dvd Calendar'!$F$2434)&gt;0)*1000000+22*1000+2))</f>
        <v/>
      </c>
      <c r="E178" s="41">
        <f>IF(N('Dvd Calendar'!$G$2435)=0,"",IF(('Dvd Calendar'!$G$2435&gt;=MIN(DATE(Summary!$C$12,1,1),Summary!$C$11))*('Dvd Calendar'!$G$2435&lt;=MAX(DATE(Summary!$C$12,12,31),Summary!$C$15))*('Dvd Calendar'!$G$2435&lt;=Summary!$C$11)=0,"",'Dvd Calendar'!$G$2435*1000000000+ISNUMBER('Dvd Calendar'!$G$2436)*100000000+('Dvd Calendar'!$G$2440='Field Check'!$C$25)*10000000+(N('Dvd Calendar'!$G$2434)&gt;0)*1000000+22*1000+3))</f>
        <v/>
      </c>
      <c r="F178" s="41">
        <f>IF(N('Dvd Calendar'!$H$2435)=0,"",IF(('Dvd Calendar'!$H$2435&gt;=MIN(DATE(Summary!$C$12,1,1),Summary!$C$11))*('Dvd Calendar'!$H$2435&lt;=MAX(DATE(Summary!$C$12,12,31),Summary!$C$15))*('Dvd Calendar'!$H$2435&lt;=Summary!$C$11)=0,"",'Dvd Calendar'!$H$2435*1000000000+ISNUMBER('Dvd Calendar'!$H$2436)*100000000+('Dvd Calendar'!$H$2440='Field Check'!$C$25)*10000000+(N('Dvd Calendar'!$H$2434)&gt;0)*1000000+22*1000+4))</f>
        <v/>
      </c>
      <c r="G178" s="41">
        <f>IF(N('Dvd Calendar'!$I$2435)=0,"",IF(('Dvd Calendar'!$I$2435&gt;=MIN(DATE(Summary!$C$12,1,1),Summary!$C$11))*('Dvd Calendar'!$I$2435&lt;=MAX(DATE(Summary!$C$12,12,31),Summary!$C$15))*('Dvd Calendar'!$I$2435&lt;=Summary!$C$11)=0,"",'Dvd Calendar'!$I$2435*1000000000+ISNUMBER('Dvd Calendar'!$I$2436)*100000000+('Dvd Calendar'!$I$2440='Field Check'!$C$25)*10000000+(N('Dvd Calendar'!$I$2434)&gt;0)*1000000+22*1000+5))</f>
        <v/>
      </c>
      <c r="H178" s="41">
        <f>IF(N('Dvd Calendar'!$J$2435)=0,"",IF(('Dvd Calendar'!$J$2435&gt;=MIN(DATE(Summary!$C$12,1,1),Summary!$C$11))*('Dvd Calendar'!$J$2435&lt;=MAX(DATE(Summary!$C$12,12,31),Summary!$C$15))*('Dvd Calendar'!$J$2435&lt;=Summary!$C$11)=0,"",'Dvd Calendar'!$J$2435*1000000000+ISNUMBER('Dvd Calendar'!$J$2436)*100000000+('Dvd Calendar'!$J$2440='Field Check'!$C$25)*10000000+(N('Dvd Calendar'!$J$2434)&gt;0)*1000000+22*1000+6))</f>
        <v/>
      </c>
      <c r="I178" s="41">
        <f>IF(N('Dvd Calendar'!$K$2435)=0,"",IF(('Dvd Calendar'!$K$2435&gt;=MIN(DATE(Summary!$C$12,1,1),Summary!$C$11))*('Dvd Calendar'!$K$2435&lt;=MAX(DATE(Summary!$C$12,12,31),Summary!$C$15))*('Dvd Calendar'!$K$2435&lt;=Summary!$C$11)=0,"",'Dvd Calendar'!$K$2435*1000000000+ISNUMBER('Dvd Calendar'!$K$2436)*100000000+('Dvd Calendar'!$K$2440='Field Check'!$C$25)*10000000+(N('Dvd Calendar'!$K$2434)&gt;0)*1000000+22*1000+7))</f>
        <v/>
      </c>
      <c r="J178" s="41">
        <f>IF(N('Dvd Calendar'!$L$2435)=0,"",IF(('Dvd Calendar'!$L$2435&gt;=MIN(DATE(Summary!$C$12,1,1),Summary!$C$11))*('Dvd Calendar'!$L$2435&lt;=MAX(DATE(Summary!$C$12,12,31),Summary!$C$15))*('Dvd Calendar'!$L$2435&lt;=Summary!$C$11)=0,"",'Dvd Calendar'!$L$2435*1000000000+ISNUMBER('Dvd Calendar'!$L$2436)*100000000+('Dvd Calendar'!$L$2440='Field Check'!$C$25)*10000000+(N('Dvd Calendar'!$L$2434)&gt;0)*1000000+22*1000+8))</f>
        <v/>
      </c>
      <c r="K178" s="41">
        <f>IF(N('Dvd Calendar'!$M$2435)=0,"",IF(('Dvd Calendar'!$M$2435&gt;=MIN(DATE(Summary!$C$12,1,1),Summary!$C$11))*('Dvd Calendar'!$M$2435&lt;=MAX(DATE(Summary!$C$12,12,31),Summary!$C$15))*('Dvd Calendar'!$M$2435&lt;=Summary!$C$11)=0,"",'Dvd Calendar'!$M$2435*1000000000+ISNUMBER('Dvd Calendar'!$M$2436)*100000000+('Dvd Calendar'!$M$2440='Field Check'!$C$25)*10000000+(N('Dvd Calendar'!$M$2434)&gt;0)*1000000+22*1000+9))</f>
        <v/>
      </c>
      <c r="L178" s="41">
        <f>IF(N('Dvd Calendar'!$N$2435)=0,"",IF(('Dvd Calendar'!$N$2435&gt;=MIN(DATE(Summary!$C$12,1,1),Summary!$C$11))*('Dvd Calendar'!$N$2435&lt;=MAX(DATE(Summary!$C$12,12,31),Summary!$C$15))*('Dvd Calendar'!$N$2435&lt;=Summary!$C$11)=0,"",'Dvd Calendar'!$N$2435*1000000000+ISNUMBER('Dvd Calendar'!$N$2436)*100000000+('Dvd Calendar'!$N$2440='Field Check'!$C$25)*10000000+(N('Dvd Calendar'!$N$2434)&gt;0)*1000000+22*1000+10))</f>
        <v/>
      </c>
      <c r="M178" s="41">
        <f>IF(N('Dvd Calendar'!$O$2435)=0,"",IF(('Dvd Calendar'!$O$2435&gt;=MIN(DATE(Summary!$C$12,1,1),Summary!$C$11))*('Dvd Calendar'!$O$2435&lt;=MAX(DATE(Summary!$C$12,12,31),Summary!$C$15))*('Dvd Calendar'!$O$2435&lt;=Summary!$C$11)=0,"",'Dvd Calendar'!$O$2435*1000000000+ISNUMBER('Dvd Calendar'!$O$2436)*100000000+('Dvd Calendar'!$O$2440='Field Check'!$C$25)*10000000+(N('Dvd Calendar'!$O$2434)&gt;0)*1000000+22*1000+11))</f>
        <v/>
      </c>
      <c r="N178" s="41">
        <f>IF(N('Dvd Calendar'!$P$2435)=0,"",IF(('Dvd Calendar'!$P$2435&gt;=MIN(DATE(Summary!$C$12,1,1),Summary!$C$11))*('Dvd Calendar'!$P$2435&lt;=MAX(DATE(Summary!$C$12,12,31),Summary!$C$15))*('Dvd Calendar'!$P$2435&lt;=Summary!$C$11)=0,"",'Dvd Calendar'!$P$2435*1000000000+ISNUMBER('Dvd Calendar'!$P$2436)*100000000+('Dvd Calendar'!$P$2440='Field Check'!$C$25)*10000000+(N('Dvd Calendar'!$P$2434)&gt;0)*1000000+22*1000+12))</f>
        <v/>
      </c>
      <c r="O178" s="41">
        <f>IF(N('Dvd Calendar'!$Q$2435)=0,"",IF(('Dvd Calendar'!$Q$2435&gt;=MIN(DATE(Summary!$C$12,1,1),Summary!$C$11))*('Dvd Calendar'!$Q$2435&lt;=MAX(DATE(Summary!$C$12,12,31),Summary!$C$15))*('Dvd Calendar'!$Q$2435&lt;=Summary!$C$11)=0,"",'Dvd Calendar'!$Q$2435*1000000000+ISNUMBER('Dvd Calendar'!$Q$2436)*100000000+('Dvd Calendar'!$Q$2440='Field Check'!$C$25)*10000000+(N('Dvd Calendar'!$Q$2434)&gt;0)*1000000+22*1000+13))</f>
        <v/>
      </c>
      <c r="P178" s="41">
        <f>IF(N('Dvd Calendar'!$R$2435)=0,"",IF(('Dvd Calendar'!$R$2435&gt;=MIN(DATE(Summary!$C$12,1,1),Summary!$C$11))*('Dvd Calendar'!$R$2435&lt;=MAX(DATE(Summary!$C$12,12,31),Summary!$C$15))*('Dvd Calendar'!$R$2435&lt;=Summary!$C$11)=0,"",'Dvd Calendar'!$R$2435*1000000000+ISNUMBER('Dvd Calendar'!$R$2436)*100000000+('Dvd Calendar'!$R$2440='Field Check'!$C$25)*10000000+(N('Dvd Calendar'!$R$2434)&gt;0)*1000000+22*1000+14))</f>
        <v/>
      </c>
      <c r="Q178" s="41">
        <f>IF(N('Dvd Calendar'!$S$2435)=0,"",IF(('Dvd Calendar'!$S$2435&gt;=MIN(DATE(Summary!$C$12,1,1),Summary!$C$11))*('Dvd Calendar'!$S$2435&lt;=MAX(DATE(Summary!$C$12,12,31),Summary!$C$15))*('Dvd Calendar'!$S$2435&lt;=Summary!$C$11)=0,"",'Dvd Calendar'!$S$2435*1000000000+ISNUMBER('Dvd Calendar'!$S$2436)*100000000+('Dvd Calendar'!$S$2440='Field Check'!$C$25)*10000000+(N('Dvd Calendar'!$S$2434)&gt;0)*1000000+22*1000+15))</f>
        <v/>
      </c>
      <c r="R178" s="41">
        <f>IF(N('Dvd Calendar'!$T$2435)=0,"",IF(('Dvd Calendar'!$T$2435&gt;=MIN(DATE(Summary!$C$12,1,1),Summary!$C$11))*('Dvd Calendar'!$T$2435&lt;=MAX(DATE(Summary!$C$12,12,31),Summary!$C$15))*('Dvd Calendar'!$T$2435&lt;=Summary!$C$11)=0,"",'Dvd Calendar'!$T$2435*1000000000+ISNUMBER('Dvd Calendar'!$T$2436)*100000000+('Dvd Calendar'!$T$2440='Field Check'!$C$25)*10000000+(N('Dvd Calendar'!$T$2434)&gt;0)*1000000+22*1000+16))</f>
        <v/>
      </c>
      <c r="S178" s="41">
        <f>IF(N('Dvd Calendar'!$U$2435)=0,"",IF(('Dvd Calendar'!$U$2435&gt;=MIN(DATE(Summary!$C$12,1,1),Summary!$C$11))*('Dvd Calendar'!$U$2435&lt;=MAX(DATE(Summary!$C$12,12,31),Summary!$C$15))*('Dvd Calendar'!$U$2435&lt;=Summary!$C$11)=0,"",'Dvd Calendar'!$U$2435*1000000000+ISNUMBER('Dvd Calendar'!$U$2436)*100000000+('Dvd Calendar'!$U$2440='Field Check'!$C$25)*10000000+(N('Dvd Calendar'!$U$2434)&gt;0)*1000000+22*1000+17))</f>
        <v/>
      </c>
      <c r="T178" s="41">
        <f>IF(N('Dvd Calendar'!$V$2435)=0,"",IF(('Dvd Calendar'!$V$2435&gt;=MIN(DATE(Summary!$C$12,1,1),Summary!$C$11))*('Dvd Calendar'!$V$2435&lt;=MAX(DATE(Summary!$C$12,12,31),Summary!$C$15))*('Dvd Calendar'!$V$2435&lt;=Summary!$C$11)=0,"",'Dvd Calendar'!$V$2435*1000000000+ISNUMBER('Dvd Calendar'!$V$2436)*100000000+('Dvd Calendar'!$V$2440='Field Check'!$C$25)*10000000+(N('Dvd Calendar'!$V$2434)&gt;0)*1000000+22*1000+18))</f>
        <v/>
      </c>
      <c r="U178" s="41">
        <f>IF(N('Dvd Calendar'!$W$2435)=0,"",IF(('Dvd Calendar'!$W$2435&gt;=MIN(DATE(Summary!$C$12,1,1),Summary!$C$11))*('Dvd Calendar'!$W$2435&lt;=MAX(DATE(Summary!$C$12,12,31),Summary!$C$15))*('Dvd Calendar'!$W$2435&lt;=Summary!$C$11)=0,"",'Dvd Calendar'!$W$2435*1000000000+ISNUMBER('Dvd Calendar'!$W$2436)*100000000+('Dvd Calendar'!$W$2440='Field Check'!$C$25)*10000000+(N('Dvd Calendar'!$W$2434)&gt;0)*1000000+22*1000+19))</f>
        <v/>
      </c>
      <c r="V178" s="41">
        <f>IF(N('Dvd Calendar'!$X$2435)=0,"",IF(('Dvd Calendar'!$X$2435&gt;=MIN(DATE(Summary!$C$12,1,1),Summary!$C$11))*('Dvd Calendar'!$X$2435&lt;=MAX(DATE(Summary!$C$12,12,31),Summary!$C$15))*('Dvd Calendar'!$X$2435&lt;=Summary!$C$11)=0,"",'Dvd Calendar'!$X$2435*1000000000+ISNUMBER('Dvd Calendar'!$X$2436)*100000000+('Dvd Calendar'!$X$2440='Field Check'!$C$25)*10000000+(N('Dvd Calendar'!$X$2434)&gt;0)*1000000+22*1000+20))</f>
        <v/>
      </c>
      <c r="W178" s="41">
        <f>IF(N('Dvd Calendar'!$Y$2435)=0,"",IF(('Dvd Calendar'!$Y$2435&gt;=MIN(DATE(Summary!$C$12,1,1),Summary!$C$11))*('Dvd Calendar'!$Y$2435&lt;=MAX(DATE(Summary!$C$12,12,31),Summary!$C$15))*('Dvd Calendar'!$Y$2435&lt;=Summary!$C$11)=0,"",'Dvd Calendar'!$Y$2435*1000000000+ISNUMBER('Dvd Calendar'!$Y$2436)*100000000+('Dvd Calendar'!$Y$2440='Field Check'!$C$25)*10000000+(N('Dvd Calendar'!$Y$2434)&gt;0)*1000000+22*1000+21))</f>
        <v/>
      </c>
      <c r="X178" s="41">
        <f>IF(N('Dvd Calendar'!$Z$2435)=0,"",IF(('Dvd Calendar'!$Z$2435&gt;=MIN(DATE(Summary!$C$12,1,1),Summary!$C$11))*('Dvd Calendar'!$Z$2435&lt;=MAX(DATE(Summary!$C$12,12,31),Summary!$C$15))*('Dvd Calendar'!$Z$2435&lt;=Summary!$C$11)=0,"",'Dvd Calendar'!$Z$2435*1000000000+ISNUMBER('Dvd Calendar'!$Z$2436)*100000000+('Dvd Calendar'!$Z$2440='Field Check'!$C$25)*10000000+(N('Dvd Calendar'!$Z$2434)&gt;0)*1000000+22*1000+22))</f>
        <v/>
      </c>
      <c r="Y178" s="41">
        <f>IF(N('Dvd Calendar'!$AA$2435)=0,"",IF(('Dvd Calendar'!$AA$2435&gt;=MIN(DATE(Summary!$C$12,1,1),Summary!$C$11))*('Dvd Calendar'!$AA$2435&lt;=MAX(DATE(Summary!$C$12,12,31),Summary!$C$15))*('Dvd Calendar'!$AA$2435&lt;=Summary!$C$11)=0,"",'Dvd Calendar'!$AA$2435*1000000000+ISNUMBER('Dvd Calendar'!$AA$2436)*100000000+('Dvd Calendar'!$AA$2440='Field Check'!$C$25)*10000000+(N('Dvd Calendar'!$AA$2434)&gt;0)*1000000+22*1000+23))</f>
        <v/>
      </c>
      <c r="Z178" s="41">
        <f>IF(N('Dvd Calendar'!$AB$2435)=0,"",IF(('Dvd Calendar'!$AB$2435&gt;=MIN(DATE(Summary!$C$12,1,1),Summary!$C$11))*('Dvd Calendar'!$AB$2435&lt;=MAX(DATE(Summary!$C$12,12,31),Summary!$C$15))*('Dvd Calendar'!$AB$2435&lt;=Summary!$C$11)=0,"",'Dvd Calendar'!$AB$2435*1000000000+ISNUMBER('Dvd Calendar'!$AB$2436)*100000000+('Dvd Calendar'!$AB$2440='Field Check'!$C$25)*10000000+(N('Dvd Calendar'!$AB$2434)&gt;0)*1000000+22*1000+24))</f>
        <v/>
      </c>
      <c r="AA178" s="41">
        <f>IF(N('Dvd Calendar'!$AC$2435)=0,"",IF(('Dvd Calendar'!$AC$2435&gt;=MIN(DATE(Summary!$C$12,1,1),Summary!$C$11))*('Dvd Calendar'!$AC$2435&lt;=MAX(DATE(Summary!$C$12,12,31),Summary!$C$15))*('Dvd Calendar'!$AC$2435&lt;=Summary!$C$11)=0,"",'Dvd Calendar'!$AC$2435*1000000000+ISNUMBER('Dvd Calendar'!$AC$2436)*100000000+('Dvd Calendar'!$AC$2440='Field Check'!$C$25)*10000000+(N('Dvd Calendar'!$AC$2434)&gt;0)*1000000+22*1000+25))</f>
        <v/>
      </c>
      <c r="AB178" s="41">
        <f>IF(N('Dvd Calendar'!$AD$2435)=0,"",IF(('Dvd Calendar'!$AD$2435&gt;=MIN(DATE(Summary!$C$12,1,1),Summary!$C$11))*('Dvd Calendar'!$AD$2435&lt;=MAX(DATE(Summary!$C$12,12,31),Summary!$C$15))*('Dvd Calendar'!$AD$2435&lt;=Summary!$C$11)=0,"",'Dvd Calendar'!$AD$2435*1000000000+ISNUMBER('Dvd Calendar'!$AD$2436)*100000000+('Dvd Calendar'!$AD$2440='Field Check'!$C$25)*10000000+(N('Dvd Calendar'!$AD$2434)&gt;0)*1000000+22*1000+26))</f>
        <v/>
      </c>
      <c r="AC178" s="41">
        <f>IF(N('Dvd Calendar'!$AE$2435)=0,"",IF(('Dvd Calendar'!$AE$2435&gt;=MIN(DATE(Summary!$C$12,1,1),Summary!$C$11))*('Dvd Calendar'!$AE$2435&lt;=MAX(DATE(Summary!$C$12,12,31),Summary!$C$15))*('Dvd Calendar'!$AE$2435&lt;=Summary!$C$11)=0,"",'Dvd Calendar'!$AE$2435*1000000000+ISNUMBER('Dvd Calendar'!$AE$2436)*100000000+('Dvd Calendar'!$AE$2440='Field Check'!$C$25)*10000000+(N('Dvd Calendar'!$AE$2434)&gt;0)*1000000+22*1000+27))</f>
        <v/>
      </c>
      <c r="AD178" s="41">
        <f>IF(N('Dvd Calendar'!$AF$2435)=0,"",IF(('Dvd Calendar'!$AF$2435&gt;=MIN(DATE(Summary!$C$12,1,1),Summary!$C$11))*('Dvd Calendar'!$AF$2435&lt;=MAX(DATE(Summary!$C$12,12,31),Summary!$C$15))*('Dvd Calendar'!$AF$2435&lt;=Summary!$C$11)=0,"",'Dvd Calendar'!$AF$2435*1000000000+ISNUMBER('Dvd Calendar'!$AF$2436)*100000000+('Dvd Calendar'!$AF$2440='Field Check'!$C$25)*10000000+(N('Dvd Calendar'!$AF$2434)&gt;0)*1000000+22*1000+28))</f>
        <v/>
      </c>
      <c r="AE178" s="41">
        <f>IF(N('Dvd Calendar'!$AG$2435)=0,"",IF(('Dvd Calendar'!$AG$2435&gt;=MIN(DATE(Summary!$C$12,1,1),Summary!$C$11))*('Dvd Calendar'!$AG$2435&lt;=MAX(DATE(Summary!$C$12,12,31),Summary!$C$15))*('Dvd Calendar'!$AG$2435&lt;=Summary!$C$11)=0,"",'Dvd Calendar'!$AG$2435*1000000000+ISNUMBER('Dvd Calendar'!$AG$2436)*100000000+('Dvd Calendar'!$AG$2440='Field Check'!$C$25)*10000000+(N('Dvd Calendar'!$AG$2434)&gt;0)*1000000+22*1000+29))</f>
        <v/>
      </c>
      <c r="AF178" s="41">
        <f>IF(N('Dvd Calendar'!$AH$2435)=0,"",IF(('Dvd Calendar'!$AH$2435&gt;=MIN(DATE(Summary!$C$12,1,1),Summary!$C$11))*('Dvd Calendar'!$AH$2435&lt;=MAX(DATE(Summary!$C$12,12,31),Summary!$C$15))*('Dvd Calendar'!$AH$2435&lt;=Summary!$C$11)=0,"",'Dvd Calendar'!$AH$2435*1000000000+ISNUMBER('Dvd Calendar'!$AH$2436)*100000000+('Dvd Calendar'!$AH$2440='Field Check'!$C$25)*10000000+(N('Dvd Calendar'!$AH$2434)&gt;0)*1000000+22*1000+30))</f>
        <v/>
      </c>
      <c r="AG178" s="41">
        <f>IF(N('Dvd Calendar'!$AI$2435)=0,"",IF(('Dvd Calendar'!$AI$2435&gt;=MIN(DATE(Summary!$C$12,1,1),Summary!$C$11))*('Dvd Calendar'!$AI$2435&lt;=MAX(DATE(Summary!$C$12,12,31),Summary!$C$15))*('Dvd Calendar'!$AI$2435&lt;=Summary!$C$11)=0,"",'Dvd Calendar'!$AI$2435*1000000000+ISNUMBER('Dvd Calendar'!$AI$2436)*100000000+('Dvd Calendar'!$AI$2440='Field Check'!$C$25)*10000000+(N('Dvd Calendar'!$AI$2434)&gt;0)*1000000+22*1000+31))</f>
        <v/>
      </c>
      <c r="AH178" s="41">
        <f>IF(N('Dvd Calendar'!$AJ$2435)=0,"",IF(('Dvd Calendar'!$AJ$2435&gt;=MIN(DATE(Summary!$C$12,1,1),Summary!$C$11))*('Dvd Calendar'!$AJ$2435&lt;=MAX(DATE(Summary!$C$12,12,31),Summary!$C$15))*('Dvd Calendar'!$AJ$2435&lt;=Summary!$C$11)=0,"",'Dvd Calendar'!$AJ$2435*1000000000+ISNUMBER('Dvd Calendar'!$AJ$2436)*100000000+('Dvd Calendar'!$AJ$2440='Field Check'!$C$25)*10000000+(N('Dvd Calendar'!$AJ$2434)&gt;0)*1000000+22*1000+32))</f>
        <v/>
      </c>
      <c r="AI178" s="41">
        <f>IF(N('Dvd Calendar'!$AK$2435)=0,"",IF(('Dvd Calendar'!$AK$2435&gt;=MIN(DATE(Summary!$C$12,1,1),Summary!$C$11))*('Dvd Calendar'!$AK$2435&lt;=MAX(DATE(Summary!$C$12,12,31),Summary!$C$15))*('Dvd Calendar'!$AK$2435&lt;=Summary!$C$11)=0,"",'Dvd Calendar'!$AK$2435*1000000000+ISNUMBER('Dvd Calendar'!$AK$2436)*100000000+('Dvd Calendar'!$AK$2440='Field Check'!$C$25)*10000000+(N('Dvd Calendar'!$AK$2434)&gt;0)*1000000+22*1000+33))</f>
        <v/>
      </c>
      <c r="AJ178" s="41">
        <f>IF(N('Dvd Calendar'!$AL$2435)=0,"",IF(('Dvd Calendar'!$AL$2435&gt;=MIN(DATE(Summary!$C$12,1,1),Summary!$C$11))*('Dvd Calendar'!$AL$2435&lt;=MAX(DATE(Summary!$C$12,12,31),Summary!$C$15))*('Dvd Calendar'!$AL$2435&lt;=Summary!$C$11)=0,"",'Dvd Calendar'!$AL$2435*1000000000+ISNUMBER('Dvd Calendar'!$AL$2436)*100000000+('Dvd Calendar'!$AL$2440='Field Check'!$C$25)*10000000+(N('Dvd Calendar'!$AL$2434)&gt;0)*1000000+22*1000+34))</f>
        <v/>
      </c>
      <c r="AK178" s="41">
        <f>IF(N('Dvd Calendar'!$AM$2435)=0,"",IF(('Dvd Calendar'!$AM$2435&gt;=MIN(DATE(Summary!$C$12,1,1),Summary!$C$11))*('Dvd Calendar'!$AM$2435&lt;=MAX(DATE(Summary!$C$12,12,31),Summary!$C$15))*('Dvd Calendar'!$AM$2435&lt;=Summary!$C$11)=0,"",'Dvd Calendar'!$AM$2435*1000000000+ISNUMBER('Dvd Calendar'!$AM$2436)*100000000+('Dvd Calendar'!$AM$2440='Field Check'!$C$25)*10000000+(N('Dvd Calendar'!$AM$2434)&gt;0)*1000000+22*1000+35))</f>
        <v/>
      </c>
      <c r="AL178" s="41">
        <f>IF(N('Dvd Calendar'!$AN$2435)=0,"",IF(('Dvd Calendar'!$AN$2435&gt;=MIN(DATE(Summary!$C$12,1,1),Summary!$C$11))*('Dvd Calendar'!$AN$2435&lt;=MAX(DATE(Summary!$C$12,12,31),Summary!$C$15))*('Dvd Calendar'!$AN$2435&lt;=Summary!$C$11)=0,"",'Dvd Calendar'!$AN$2435*1000000000+ISNUMBER('Dvd Calendar'!$AN$2436)*100000000+('Dvd Calendar'!$AN$2440='Field Check'!$C$25)*10000000+(N('Dvd Calendar'!$AN$2434)&gt;0)*1000000+22*1000+36))</f>
        <v/>
      </c>
      <c r="AM178" s="41">
        <f>IF(N('Dvd Calendar'!$AO$2435)=0,"",IF(('Dvd Calendar'!$AO$2435&gt;=MIN(DATE(Summary!$C$12,1,1),Summary!$C$11))*('Dvd Calendar'!$AO$2435&lt;=MAX(DATE(Summary!$C$12,12,31),Summary!$C$15))*('Dvd Calendar'!$AO$2435&lt;=Summary!$C$11)=0,"",'Dvd Calendar'!$AO$2435*1000000000+ISNUMBER('Dvd Calendar'!$AO$2436)*100000000+('Dvd Calendar'!$AO$2440='Field Check'!$C$25)*10000000+(N('Dvd Calendar'!$AO$2434)&gt;0)*1000000+22*1000+37))</f>
        <v/>
      </c>
      <c r="AN178" s="41">
        <f>IF(N('Dvd Calendar'!$AP$2435)=0,"",IF(('Dvd Calendar'!$AP$2435&gt;=MIN(DATE(Summary!$C$12,1,1),Summary!$C$11))*('Dvd Calendar'!$AP$2435&lt;=MAX(DATE(Summary!$C$12,12,31),Summary!$C$15))*('Dvd Calendar'!$AP$2435&lt;=Summary!$C$11)=0,"",'Dvd Calendar'!$AP$2435*1000000000+ISNUMBER('Dvd Calendar'!$AP$2436)*100000000+('Dvd Calendar'!$AP$2440='Field Check'!$C$25)*10000000+(N('Dvd Calendar'!$AP$2434)&gt;0)*1000000+22*1000+38))</f>
        <v/>
      </c>
      <c r="AO178" s="41">
        <f>IF(N('Dvd Calendar'!$AQ$2435)=0,"",IF(('Dvd Calendar'!$AQ$2435&gt;=MIN(DATE(Summary!$C$12,1,1),Summary!$C$11))*('Dvd Calendar'!$AQ$2435&lt;=MAX(DATE(Summary!$C$12,12,31),Summary!$C$15))*('Dvd Calendar'!$AQ$2435&lt;=Summary!$C$11)=0,"",'Dvd Calendar'!$AQ$2435*1000000000+ISNUMBER('Dvd Calendar'!$AQ$2436)*100000000+('Dvd Calendar'!$AQ$2440='Field Check'!$C$25)*10000000+(N('Dvd Calendar'!$AQ$2434)&gt;0)*1000000+22*1000+39))</f>
        <v/>
      </c>
      <c r="AP178" s="41">
        <f>IF(N('Dvd Calendar'!$AR$2435)=0,"",IF(('Dvd Calendar'!$AR$2435&gt;=MIN(DATE(Summary!$C$12,1,1),Summary!$C$11))*('Dvd Calendar'!$AR$2435&lt;=MAX(DATE(Summary!$C$12,12,31),Summary!$C$15))*('Dvd Calendar'!$AR$2435&lt;=Summary!$C$11)=0,"",'Dvd Calendar'!$AR$2435*1000000000+ISNUMBER('Dvd Calendar'!$AR$2436)*100000000+('Dvd Calendar'!$AR$2440='Field Check'!$C$25)*10000000+(N('Dvd Calendar'!$AR$2434)&gt;0)*1000000+22*1000+40))</f>
        <v/>
      </c>
      <c r="AQ178" s="41">
        <f>IF(N('Dvd Calendar'!$E$2442)=0,"",IF(('Dvd Calendar'!$E$2442&gt;=MIN(DATE(Summary!$C$12,1,1),Summary!$C$11))*('Dvd Calendar'!$E$2442&lt;=MAX(DATE(Summary!$C$12,12,31),Summary!$C$15))*('Dvd Calendar'!$E$2442&gt;Summary!$C$11)=0,"",'Dvd Calendar'!$E$2442*1000000000+ISNUMBER('Dvd Calendar'!$E$2443)*100000000+('Dvd Calendar'!$E$2447='Field Check'!$C$25)*10000000+(N('Dvd Calendar'!$E$2441)&gt;0)*1000000+22*1000+41))</f>
        <v/>
      </c>
      <c r="AR178" s="41">
        <f>IF(N('Dvd Calendar'!$F$2442)=0,"",IF(('Dvd Calendar'!$F$2442&gt;=MIN(DATE(Summary!$C$12,1,1),Summary!$C$11))*('Dvd Calendar'!$F$2442&lt;=MAX(DATE(Summary!$C$12,12,31),Summary!$C$15))*('Dvd Calendar'!$F$2442&gt;Summary!$C$11)=0,"",'Dvd Calendar'!$F$2442*1000000000+ISNUMBER('Dvd Calendar'!$F$2443)*100000000+('Dvd Calendar'!$F$2447='Field Check'!$C$25)*10000000+(N('Dvd Calendar'!$F$2441)&gt;0)*1000000+22*1000+42))</f>
        <v/>
      </c>
      <c r="AS178" s="41">
        <f>IF(N('Dvd Calendar'!$G$2442)=0,"",IF(('Dvd Calendar'!$G$2442&gt;=MIN(DATE(Summary!$C$12,1,1),Summary!$C$11))*('Dvd Calendar'!$G$2442&lt;=MAX(DATE(Summary!$C$12,12,31),Summary!$C$15))*('Dvd Calendar'!$G$2442&gt;Summary!$C$11)=0,"",'Dvd Calendar'!$G$2442*1000000000+ISNUMBER('Dvd Calendar'!$G$2443)*100000000+('Dvd Calendar'!$G$2447='Field Check'!$C$25)*10000000+(N('Dvd Calendar'!$G$2441)&gt;0)*1000000+22*1000+43))</f>
        <v/>
      </c>
      <c r="AT178" s="41">
        <f>IF(N('Dvd Calendar'!$H$2442)=0,"",IF(('Dvd Calendar'!$H$2442&gt;=MIN(DATE(Summary!$C$12,1,1),Summary!$C$11))*('Dvd Calendar'!$H$2442&lt;=MAX(DATE(Summary!$C$12,12,31),Summary!$C$15))*('Dvd Calendar'!$H$2442&gt;Summary!$C$11)=0,"",'Dvd Calendar'!$H$2442*1000000000+ISNUMBER('Dvd Calendar'!$H$2443)*100000000+('Dvd Calendar'!$H$2447='Field Check'!$C$25)*10000000+(N('Dvd Calendar'!$H$2441)&gt;0)*1000000+22*1000+44))</f>
        <v/>
      </c>
      <c r="AU178" s="41">
        <f>IF(N('Dvd Calendar'!$I$2442)=0,"",IF(('Dvd Calendar'!$I$2442&gt;=MIN(DATE(Summary!$C$12,1,1),Summary!$C$11))*('Dvd Calendar'!$I$2442&lt;=MAX(DATE(Summary!$C$12,12,31),Summary!$C$15))*('Dvd Calendar'!$I$2442&gt;Summary!$C$11)=0,"",'Dvd Calendar'!$I$2442*1000000000+ISNUMBER('Dvd Calendar'!$I$2443)*100000000+('Dvd Calendar'!$I$2447='Field Check'!$C$25)*10000000+(N('Dvd Calendar'!$I$2441)&gt;0)*1000000+22*1000+45))</f>
        <v/>
      </c>
      <c r="AV178" s="41">
        <f>IF(N('Dvd Calendar'!$J$2442)=0,"",IF(('Dvd Calendar'!$J$2442&gt;=MIN(DATE(Summary!$C$12,1,1),Summary!$C$11))*('Dvd Calendar'!$J$2442&lt;=MAX(DATE(Summary!$C$12,12,31),Summary!$C$15))*('Dvd Calendar'!$J$2442&gt;Summary!$C$11)=0,"",'Dvd Calendar'!$J$2442*1000000000+ISNUMBER('Dvd Calendar'!$J$2443)*100000000+('Dvd Calendar'!$J$2447='Field Check'!$C$25)*10000000+(N('Dvd Calendar'!$J$2441)&gt;0)*1000000+22*1000+46))</f>
        <v/>
      </c>
      <c r="AW178" s="41">
        <f>IF(N('Dvd Calendar'!$K$2442)=0,"",IF(('Dvd Calendar'!$K$2442&gt;=MIN(DATE(Summary!$C$12,1,1),Summary!$C$11))*('Dvd Calendar'!$K$2442&lt;=MAX(DATE(Summary!$C$12,12,31),Summary!$C$15))*('Dvd Calendar'!$K$2442&gt;Summary!$C$11)=0,"",'Dvd Calendar'!$K$2442*1000000000+ISNUMBER('Dvd Calendar'!$K$2443)*100000000+('Dvd Calendar'!$K$2447='Field Check'!$C$25)*10000000+(N('Dvd Calendar'!$K$2441)&gt;0)*1000000+22*1000+47))</f>
        <v/>
      </c>
      <c r="AX178" s="41">
        <f>IF(N('Dvd Calendar'!$L$2442)=0,"",IF(('Dvd Calendar'!$L$2442&gt;=MIN(DATE(Summary!$C$12,1,1),Summary!$C$11))*('Dvd Calendar'!$L$2442&lt;=MAX(DATE(Summary!$C$12,12,31),Summary!$C$15))*('Dvd Calendar'!$L$2442&gt;Summary!$C$11)=0,"",'Dvd Calendar'!$L$2442*1000000000+ISNUMBER('Dvd Calendar'!$L$2443)*100000000+('Dvd Calendar'!$L$2447='Field Check'!$C$25)*10000000+(N('Dvd Calendar'!$L$2441)&gt;0)*1000000+22*1000+48))</f>
        <v/>
      </c>
      <c r="AY178" s="41">
        <f>IF(N('Dvd Calendar'!$M$2442)=0,"",IF(('Dvd Calendar'!$M$2442&gt;=MIN(DATE(Summary!$C$12,1,1),Summary!$C$11))*('Dvd Calendar'!$M$2442&lt;=MAX(DATE(Summary!$C$12,12,31),Summary!$C$15))*('Dvd Calendar'!$M$2442&gt;Summary!$C$11)=0,"",'Dvd Calendar'!$M$2442*1000000000+ISNUMBER('Dvd Calendar'!$M$2443)*100000000+('Dvd Calendar'!$M$2447='Field Check'!$C$25)*10000000+(N('Dvd Calendar'!$M$2441)&gt;0)*1000000+22*1000+49))</f>
        <v/>
      </c>
      <c r="AZ178" s="41">
        <f>IF(N('Dvd Calendar'!$N$2442)=0,"",IF(('Dvd Calendar'!$N$2442&gt;=MIN(DATE(Summary!$C$12,1,1),Summary!$C$11))*('Dvd Calendar'!$N$2442&lt;=MAX(DATE(Summary!$C$12,12,31),Summary!$C$15))*('Dvd Calendar'!$N$2442&gt;Summary!$C$11)=0,"",'Dvd Calendar'!$N$2442*1000000000+ISNUMBER('Dvd Calendar'!$N$2443)*100000000+('Dvd Calendar'!$N$2447='Field Check'!$C$25)*10000000+(N('Dvd Calendar'!$N$2441)&gt;0)*1000000+22*1000+50))</f>
        <v/>
      </c>
      <c r="BA178" s="41">
        <f>IF(N('Dvd Calendar'!$O$2442)=0,"",IF(('Dvd Calendar'!$O$2442&gt;=MIN(DATE(Summary!$C$12,1,1),Summary!$C$11))*('Dvd Calendar'!$O$2442&lt;=MAX(DATE(Summary!$C$12,12,31),Summary!$C$15))*('Dvd Calendar'!$O$2442&gt;Summary!$C$11)=0,"",'Dvd Calendar'!$O$2442*1000000000+ISNUMBER('Dvd Calendar'!$O$2443)*100000000+('Dvd Calendar'!$O$2447='Field Check'!$C$25)*10000000+(N('Dvd Calendar'!$O$2441)&gt;0)*1000000+22*1000+51))</f>
        <v/>
      </c>
      <c r="BB178" s="41">
        <f>IF(N('Dvd Calendar'!$P$2442)=0,"",IF(('Dvd Calendar'!$P$2442&gt;=MIN(DATE(Summary!$C$12,1,1),Summary!$C$11))*('Dvd Calendar'!$P$2442&lt;=MAX(DATE(Summary!$C$12,12,31),Summary!$C$15))*('Dvd Calendar'!$P$2442&gt;Summary!$C$11)=0,"",'Dvd Calendar'!$P$2442*1000000000+ISNUMBER('Dvd Calendar'!$P$2443)*100000000+('Dvd Calendar'!$P$2447='Field Check'!$C$25)*10000000+(N('Dvd Calendar'!$P$2441)&gt;0)*1000000+22*1000+52))</f>
        <v/>
      </c>
      <c r="BC178" s="41">
        <f>IF(N('Dvd Calendar'!$Q$2442)=0,"",IF(('Dvd Calendar'!$Q$2442&gt;=MIN(DATE(Summary!$C$12,1,1),Summary!$C$11))*('Dvd Calendar'!$Q$2442&lt;=MAX(DATE(Summary!$C$12,12,31),Summary!$C$15))*('Dvd Calendar'!$Q$2442&gt;Summary!$C$11)=0,"",'Dvd Calendar'!$Q$2442*1000000000+ISNUMBER('Dvd Calendar'!$Q$2443)*100000000+('Dvd Calendar'!$Q$2447='Field Check'!$C$25)*10000000+(N('Dvd Calendar'!$Q$2441)&gt;0)*1000000+22*1000+53))</f>
        <v/>
      </c>
      <c r="BD178" s="41">
        <f>IF(N('Dvd Calendar'!$R$2442)=0,"",IF(('Dvd Calendar'!$R$2442&gt;=MIN(DATE(Summary!$C$12,1,1),Summary!$C$11))*('Dvd Calendar'!$R$2442&lt;=MAX(DATE(Summary!$C$12,12,31),Summary!$C$15))*('Dvd Calendar'!$R$2442&gt;Summary!$C$11)=0,"",'Dvd Calendar'!$R$2442*1000000000+ISNUMBER('Dvd Calendar'!$R$2443)*100000000+('Dvd Calendar'!$R$2447='Field Check'!$C$25)*10000000+(N('Dvd Calendar'!$R$2441)&gt;0)*1000000+22*1000+54))</f>
        <v/>
      </c>
      <c r="BE178" s="41">
        <f>IF(N('Dvd Calendar'!$S$2442)=0,"",IF(('Dvd Calendar'!$S$2442&gt;=MIN(DATE(Summary!$C$12,1,1),Summary!$C$11))*('Dvd Calendar'!$S$2442&lt;=MAX(DATE(Summary!$C$12,12,31),Summary!$C$15))*('Dvd Calendar'!$S$2442&gt;Summary!$C$11)=0,"",'Dvd Calendar'!$S$2442*1000000000+ISNUMBER('Dvd Calendar'!$S$2443)*100000000+('Dvd Calendar'!$S$2447='Field Check'!$C$25)*10000000+(N('Dvd Calendar'!$S$2441)&gt;0)*1000000+22*1000+55))</f>
        <v/>
      </c>
      <c r="BF178" s="41">
        <f>IF(N('Dvd Calendar'!$T$2442)=0,"",IF(('Dvd Calendar'!$T$2442&gt;=MIN(DATE(Summary!$C$12,1,1),Summary!$C$11))*('Dvd Calendar'!$T$2442&lt;=MAX(DATE(Summary!$C$12,12,31),Summary!$C$15))*('Dvd Calendar'!$T$2442&gt;Summary!$C$11)=0,"",'Dvd Calendar'!$T$2442*1000000000+ISNUMBER('Dvd Calendar'!$T$2443)*100000000+('Dvd Calendar'!$T$2447='Field Check'!$C$25)*10000000+(N('Dvd Calendar'!$T$2441)&gt;0)*1000000+22*1000+56))</f>
        <v/>
      </c>
      <c r="BG178" s="41">
        <f>IF(N('Dvd Calendar'!$U$2442)=0,"",IF(('Dvd Calendar'!$U$2442&gt;=MIN(DATE(Summary!$C$12,1,1),Summary!$C$11))*('Dvd Calendar'!$U$2442&lt;=MAX(DATE(Summary!$C$12,12,31),Summary!$C$15))*('Dvd Calendar'!$U$2442&gt;Summary!$C$11)=0,"",'Dvd Calendar'!$U$2442*1000000000+ISNUMBER('Dvd Calendar'!$U$2443)*100000000+('Dvd Calendar'!$U$2447='Field Check'!$C$25)*10000000+(N('Dvd Calendar'!$U$2441)&gt;0)*1000000+22*1000+57))</f>
        <v/>
      </c>
      <c r="BH178" s="41">
        <f>IF(N('Dvd Calendar'!$V$2442)=0,"",IF(('Dvd Calendar'!$V$2442&gt;=MIN(DATE(Summary!$C$12,1,1),Summary!$C$11))*('Dvd Calendar'!$V$2442&lt;=MAX(DATE(Summary!$C$12,12,31),Summary!$C$15))*('Dvd Calendar'!$V$2442&gt;Summary!$C$11)=0,"",'Dvd Calendar'!$V$2442*1000000000+ISNUMBER('Dvd Calendar'!$V$2443)*100000000+('Dvd Calendar'!$V$2447='Field Check'!$C$25)*10000000+(N('Dvd Calendar'!$V$2441)&gt;0)*1000000+22*1000+58))</f>
        <v/>
      </c>
      <c r="BI178" s="41">
        <f>IF(N('Dvd Calendar'!$W$2442)=0,"",IF(('Dvd Calendar'!$W$2442&gt;=MIN(DATE(Summary!$C$12,1,1),Summary!$C$11))*('Dvd Calendar'!$W$2442&lt;=MAX(DATE(Summary!$C$12,12,31),Summary!$C$15))*('Dvd Calendar'!$W$2442&gt;Summary!$C$11)=0,"",'Dvd Calendar'!$W$2442*1000000000+ISNUMBER('Dvd Calendar'!$W$2443)*100000000+('Dvd Calendar'!$W$2447='Field Check'!$C$25)*10000000+(N('Dvd Calendar'!$W$2441)&gt;0)*1000000+22*1000+59))</f>
        <v/>
      </c>
      <c r="BJ178" s="41">
        <f>IF(N('Dvd Calendar'!$X$2442)=0,"",IF(('Dvd Calendar'!$X$2442&gt;=MIN(DATE(Summary!$C$12,1,1),Summary!$C$11))*('Dvd Calendar'!$X$2442&lt;=MAX(DATE(Summary!$C$12,12,31),Summary!$C$15))*('Dvd Calendar'!$X$2442&gt;Summary!$C$11)=0,"",'Dvd Calendar'!$X$2442*1000000000+ISNUMBER('Dvd Calendar'!$X$2443)*100000000+('Dvd Calendar'!$X$2447='Field Check'!$C$25)*10000000+(N('Dvd Calendar'!$X$2441)&gt;0)*1000000+22*1000+60))</f>
        <v/>
      </c>
      <c r="BK178" s="41">
        <f>IF(N('Dvd Calendar'!$Y$2442)=0,"",IF(('Dvd Calendar'!$Y$2442&gt;=MIN(DATE(Summary!$C$12,1,1),Summary!$C$11))*('Dvd Calendar'!$Y$2442&lt;=MAX(DATE(Summary!$C$12,12,31),Summary!$C$15))*('Dvd Calendar'!$Y$2442&gt;Summary!$C$11)=0,"",'Dvd Calendar'!$Y$2442*1000000000+ISNUMBER('Dvd Calendar'!$Y$2443)*100000000+('Dvd Calendar'!$Y$2447='Field Check'!$C$25)*10000000+(N('Dvd Calendar'!$Y$2441)&gt;0)*1000000+22*1000+61))</f>
        <v/>
      </c>
      <c r="BL178" s="41">
        <f>IF(N('Dvd Calendar'!$Z$2442)=0,"",IF(('Dvd Calendar'!$Z$2442&gt;=MIN(DATE(Summary!$C$12,1,1),Summary!$C$11))*('Dvd Calendar'!$Z$2442&lt;=MAX(DATE(Summary!$C$12,12,31),Summary!$C$15))*('Dvd Calendar'!$Z$2442&gt;Summary!$C$11)=0,"",'Dvd Calendar'!$Z$2442*1000000000+ISNUMBER('Dvd Calendar'!$Z$2443)*100000000+('Dvd Calendar'!$Z$2447='Field Check'!$C$25)*10000000+(N('Dvd Calendar'!$Z$2441)&gt;0)*1000000+22*1000+62))</f>
        <v/>
      </c>
      <c r="BM178" s="41">
        <f>IF(N('Dvd Calendar'!$AA$2442)=0,"",IF(('Dvd Calendar'!$AA$2442&gt;=MIN(DATE(Summary!$C$12,1,1),Summary!$C$11))*('Dvd Calendar'!$AA$2442&lt;=MAX(DATE(Summary!$C$12,12,31),Summary!$C$15))*('Dvd Calendar'!$AA$2442&gt;Summary!$C$11)=0,"",'Dvd Calendar'!$AA$2442*1000000000+ISNUMBER('Dvd Calendar'!$AA$2443)*100000000+('Dvd Calendar'!$AA$2447='Field Check'!$C$25)*10000000+(N('Dvd Calendar'!$AA$2441)&gt;0)*1000000+22*1000+63))</f>
        <v/>
      </c>
      <c r="BN178" s="41">
        <f>IF(N('Dvd Calendar'!$AB$2442)=0,"",IF(('Dvd Calendar'!$AB$2442&gt;=MIN(DATE(Summary!$C$12,1,1),Summary!$C$11))*('Dvd Calendar'!$AB$2442&lt;=MAX(DATE(Summary!$C$12,12,31),Summary!$C$15))*('Dvd Calendar'!$AB$2442&gt;Summary!$C$11)=0,"",'Dvd Calendar'!$AB$2442*1000000000+ISNUMBER('Dvd Calendar'!$AB$2443)*100000000+('Dvd Calendar'!$AB$2447='Field Check'!$C$25)*10000000+(N('Dvd Calendar'!$AB$2441)&gt;0)*1000000+22*1000+64))</f>
        <v/>
      </c>
      <c r="BO178" s="41">
        <f>IF(N('Dvd Calendar'!$AC$2442)=0,"",IF(('Dvd Calendar'!$AC$2442&gt;=MIN(DATE(Summary!$C$12,1,1),Summary!$C$11))*('Dvd Calendar'!$AC$2442&lt;=MAX(DATE(Summary!$C$12,12,31),Summary!$C$15))*('Dvd Calendar'!$AC$2442&gt;Summary!$C$11)=0,"",'Dvd Calendar'!$AC$2442*1000000000+ISNUMBER('Dvd Calendar'!$AC$2443)*100000000+('Dvd Calendar'!$AC$2447='Field Check'!$C$25)*10000000+(N('Dvd Calendar'!$AC$2441)&gt;0)*1000000+22*1000+65))</f>
        <v/>
      </c>
      <c r="BQ178" s="85">
        <f>IF(C178="","",IF(ISNUMBER('Dvd Calendar'!$E$2436)=FALSE,"",IF((Summary!$C$13="N")*('Dvd Calendar'!$E$2440='Field Check'!$C$25)&gt;0,"",'Dvd Calendar'!$E$2436)))</f>
        <v/>
      </c>
      <c r="BR178" s="85">
        <f>IF(D178="","",IF(ISNUMBER('Dvd Calendar'!$F$2436)=FALSE,"",IF((Summary!$C$13="N")*('Dvd Calendar'!$F$2440='Field Check'!$C$25)&gt;0,"",'Dvd Calendar'!$F$2436)))</f>
        <v/>
      </c>
      <c r="BS178" s="85">
        <f>IF(E178="","",IF(ISNUMBER('Dvd Calendar'!$G$2436)=FALSE,"",IF((Summary!$C$13="N")*('Dvd Calendar'!$G$2440='Field Check'!$C$25)&gt;0,"",'Dvd Calendar'!$G$2436)))</f>
        <v/>
      </c>
      <c r="BT178" s="85">
        <f>IF(F178="","",IF(ISNUMBER('Dvd Calendar'!$H$2436)=FALSE,"",IF((Summary!$C$13="N")*('Dvd Calendar'!$H$2440='Field Check'!$C$25)&gt;0,"",'Dvd Calendar'!$H$2436)))</f>
        <v/>
      </c>
      <c r="BU178" s="85">
        <f>IF(G178="","",IF(ISNUMBER('Dvd Calendar'!$I$2436)=FALSE,"",IF((Summary!$C$13="N")*('Dvd Calendar'!$I$2440='Field Check'!$C$25)&gt;0,"",'Dvd Calendar'!$I$2436)))</f>
        <v/>
      </c>
      <c r="BV178" s="85">
        <f>IF(H178="","",IF(ISNUMBER('Dvd Calendar'!$J$2436)=FALSE,"",IF((Summary!$C$13="N")*('Dvd Calendar'!$J$2440='Field Check'!$C$25)&gt;0,"",'Dvd Calendar'!$J$2436)))</f>
        <v/>
      </c>
      <c r="BW178" s="85">
        <f>IF(I178="","",IF(ISNUMBER('Dvd Calendar'!$K$2436)=FALSE,"",IF((Summary!$C$13="N")*('Dvd Calendar'!$K$2440='Field Check'!$C$25)&gt;0,"",'Dvd Calendar'!$K$2436)))</f>
        <v/>
      </c>
      <c r="BX178" s="85">
        <f>IF(J178="","",IF(ISNUMBER('Dvd Calendar'!$L$2436)=FALSE,"",IF((Summary!$C$13="N")*('Dvd Calendar'!$L$2440='Field Check'!$C$25)&gt;0,"",'Dvd Calendar'!$L$2436)))</f>
        <v/>
      </c>
      <c r="BY178" s="85">
        <f>IF(K178="","",IF(ISNUMBER('Dvd Calendar'!$M$2436)=FALSE,"",IF((Summary!$C$13="N")*('Dvd Calendar'!$M$2440='Field Check'!$C$25)&gt;0,"",'Dvd Calendar'!$M$2436)))</f>
        <v/>
      </c>
      <c r="BZ178" s="85">
        <f>IF(L178="","",IF(ISNUMBER('Dvd Calendar'!$N$2436)=FALSE,"",IF((Summary!$C$13="N")*('Dvd Calendar'!$N$2440='Field Check'!$C$25)&gt;0,"",'Dvd Calendar'!$N$2436)))</f>
        <v/>
      </c>
      <c r="CA178" s="85">
        <f>IF(M178="","",IF(ISNUMBER('Dvd Calendar'!$O$2436)=FALSE,"",IF((Summary!$C$13="N")*('Dvd Calendar'!$O$2440='Field Check'!$C$25)&gt;0,"",'Dvd Calendar'!$O$2436)))</f>
        <v/>
      </c>
      <c r="CB178" s="85">
        <f>IF(N178="","",IF(ISNUMBER('Dvd Calendar'!$P$2436)=FALSE,"",IF((Summary!$C$13="N")*('Dvd Calendar'!$P$2440='Field Check'!$C$25)&gt;0,"",'Dvd Calendar'!$P$2436)))</f>
        <v/>
      </c>
      <c r="CC178" s="85">
        <f>IF(O178="","",IF(ISNUMBER('Dvd Calendar'!$Q$2436)=FALSE,"",IF((Summary!$C$13="N")*('Dvd Calendar'!$Q$2440='Field Check'!$C$25)&gt;0,"",'Dvd Calendar'!$Q$2436)))</f>
        <v/>
      </c>
      <c r="CD178" s="85">
        <f>IF(P178="","",IF(ISNUMBER('Dvd Calendar'!$R$2436)=FALSE,"",IF((Summary!$C$13="N")*('Dvd Calendar'!$R$2440='Field Check'!$C$25)&gt;0,"",'Dvd Calendar'!$R$2436)))</f>
        <v/>
      </c>
      <c r="CE178" s="85">
        <f>IF(Q178="","",IF(ISNUMBER('Dvd Calendar'!$S$2436)=FALSE,"",IF((Summary!$C$13="N")*('Dvd Calendar'!$S$2440='Field Check'!$C$25)&gt;0,"",'Dvd Calendar'!$S$2436)))</f>
        <v/>
      </c>
      <c r="CF178" s="85">
        <f>IF(R178="","",IF(ISNUMBER('Dvd Calendar'!$T$2436)=FALSE,"",IF((Summary!$C$13="N")*('Dvd Calendar'!$T$2440='Field Check'!$C$25)&gt;0,"",'Dvd Calendar'!$T$2436)))</f>
        <v/>
      </c>
      <c r="CG178" s="85">
        <f>IF(S178="","",IF(ISNUMBER('Dvd Calendar'!$U$2436)=FALSE,"",IF((Summary!$C$13="N")*('Dvd Calendar'!$U$2440='Field Check'!$C$25)&gt;0,"",'Dvd Calendar'!$U$2436)))</f>
        <v/>
      </c>
      <c r="CH178" s="85">
        <f>IF(T178="","",IF(ISNUMBER('Dvd Calendar'!$V$2436)=FALSE,"",IF((Summary!$C$13="N")*('Dvd Calendar'!$V$2440='Field Check'!$C$25)&gt;0,"",'Dvd Calendar'!$V$2436)))</f>
        <v/>
      </c>
      <c r="CI178" s="85">
        <f>IF(U178="","",IF(ISNUMBER('Dvd Calendar'!$W$2436)=FALSE,"",IF((Summary!$C$13="N")*('Dvd Calendar'!$W$2440='Field Check'!$C$25)&gt;0,"",'Dvd Calendar'!$W$2436)))</f>
        <v/>
      </c>
      <c r="CJ178" s="85">
        <f>IF(V178="","",IF(ISNUMBER('Dvd Calendar'!$X$2436)=FALSE,"",IF((Summary!$C$13="N")*('Dvd Calendar'!$X$2440='Field Check'!$C$25)&gt;0,"",'Dvd Calendar'!$X$2436)))</f>
        <v/>
      </c>
      <c r="CK178" s="85">
        <f>IF(W178="","",IF(ISNUMBER('Dvd Calendar'!$Y$2436)=FALSE,"",IF((Summary!$C$13="N")*('Dvd Calendar'!$Y$2440='Field Check'!$C$25)&gt;0,"",'Dvd Calendar'!$Y$2436)))</f>
        <v/>
      </c>
      <c r="CL178" s="85">
        <f>IF(X178="","",IF(ISNUMBER('Dvd Calendar'!$Z$2436)=FALSE,"",IF((Summary!$C$13="N")*('Dvd Calendar'!$Z$2440='Field Check'!$C$25)&gt;0,"",'Dvd Calendar'!$Z$2436)))</f>
        <v/>
      </c>
      <c r="CM178" s="85">
        <f>IF(Y178="","",IF(ISNUMBER('Dvd Calendar'!$AA$2436)=FALSE,"",IF((Summary!$C$13="N")*('Dvd Calendar'!$AA$2440='Field Check'!$C$25)&gt;0,"",'Dvd Calendar'!$AA$2436)))</f>
        <v/>
      </c>
      <c r="CN178" s="85">
        <f>IF(Z178="","",IF(ISNUMBER('Dvd Calendar'!$AB$2436)=FALSE,"",IF((Summary!$C$13="N")*('Dvd Calendar'!$AB$2440='Field Check'!$C$25)&gt;0,"",'Dvd Calendar'!$AB$2436)))</f>
        <v/>
      </c>
      <c r="CO178" s="85">
        <f>IF(AA178="","",IF(ISNUMBER('Dvd Calendar'!$AC$2436)=FALSE,"",IF((Summary!$C$13="N")*('Dvd Calendar'!$AC$2440='Field Check'!$C$25)&gt;0,"",'Dvd Calendar'!$AC$2436)))</f>
        <v/>
      </c>
      <c r="CP178" s="85">
        <f>IF(AB178="","",IF(ISNUMBER('Dvd Calendar'!$AD$2436)=FALSE,"",IF((Summary!$C$13="N")*('Dvd Calendar'!$AD$2440='Field Check'!$C$25)&gt;0,"",'Dvd Calendar'!$AD$2436)))</f>
        <v/>
      </c>
      <c r="CQ178" s="85">
        <f>IF(AC178="","",IF(ISNUMBER('Dvd Calendar'!$AE$2436)=FALSE,"",IF((Summary!$C$13="N")*('Dvd Calendar'!$AE$2440='Field Check'!$C$25)&gt;0,"",'Dvd Calendar'!$AE$2436)))</f>
        <v/>
      </c>
      <c r="CR178" s="85">
        <f>IF(AD178="","",IF(ISNUMBER('Dvd Calendar'!$AF$2436)=FALSE,"",IF((Summary!$C$13="N")*('Dvd Calendar'!$AF$2440='Field Check'!$C$25)&gt;0,"",'Dvd Calendar'!$AF$2436)))</f>
        <v/>
      </c>
      <c r="CS178" s="85">
        <f>IF(AE178="","",IF(ISNUMBER('Dvd Calendar'!$AG$2436)=FALSE,"",IF((Summary!$C$13="N")*('Dvd Calendar'!$AG$2440='Field Check'!$C$25)&gt;0,"",'Dvd Calendar'!$AG$2436)))</f>
        <v/>
      </c>
      <c r="CT178" s="85">
        <f>IF(AF178="","",IF(ISNUMBER('Dvd Calendar'!$AH$2436)=FALSE,"",IF((Summary!$C$13="N")*('Dvd Calendar'!$AH$2440='Field Check'!$C$25)&gt;0,"",'Dvd Calendar'!$AH$2436)))</f>
        <v/>
      </c>
      <c r="CU178" s="85">
        <f>IF(AG178="","",IF(ISNUMBER('Dvd Calendar'!$AI$2436)=FALSE,"",IF((Summary!$C$13="N")*('Dvd Calendar'!$AI$2440='Field Check'!$C$25)&gt;0,"",'Dvd Calendar'!$AI$2436)))</f>
        <v/>
      </c>
      <c r="CV178" s="85">
        <f>IF(AH178="","",IF(ISNUMBER('Dvd Calendar'!$AJ$2436)=FALSE,"",IF((Summary!$C$13="N")*('Dvd Calendar'!$AJ$2440='Field Check'!$C$25)&gt;0,"",'Dvd Calendar'!$AJ$2436)))</f>
        <v/>
      </c>
      <c r="CW178" s="85">
        <f>IF(AI178="","",IF(ISNUMBER('Dvd Calendar'!$AK$2436)=FALSE,"",IF((Summary!$C$13="N")*('Dvd Calendar'!$AK$2440='Field Check'!$C$25)&gt;0,"",'Dvd Calendar'!$AK$2436)))</f>
        <v/>
      </c>
      <c r="CX178" s="85">
        <f>IF(AJ178="","",IF(ISNUMBER('Dvd Calendar'!$AL$2436)=FALSE,"",IF((Summary!$C$13="N")*('Dvd Calendar'!$AL$2440='Field Check'!$C$25)&gt;0,"",'Dvd Calendar'!$AL$2436)))</f>
        <v/>
      </c>
      <c r="CY178" s="85">
        <f>IF(AK178="","",IF(ISNUMBER('Dvd Calendar'!$AM$2436)=FALSE,"",IF((Summary!$C$13="N")*('Dvd Calendar'!$AM$2440='Field Check'!$C$25)&gt;0,"",'Dvd Calendar'!$AM$2436)))</f>
        <v/>
      </c>
      <c r="CZ178" s="85">
        <f>IF(AL178="","",IF(ISNUMBER('Dvd Calendar'!$AN$2436)=FALSE,"",IF((Summary!$C$13="N")*('Dvd Calendar'!$AN$2440='Field Check'!$C$25)&gt;0,"",'Dvd Calendar'!$AN$2436)))</f>
        <v/>
      </c>
      <c r="DA178" s="85">
        <f>IF(AM178="","",IF(ISNUMBER('Dvd Calendar'!$AO$2436)=FALSE,"",IF((Summary!$C$13="N")*('Dvd Calendar'!$AO$2440='Field Check'!$C$25)&gt;0,"",'Dvd Calendar'!$AO$2436)))</f>
        <v/>
      </c>
      <c r="DB178" s="85">
        <f>IF(AN178="","",IF(ISNUMBER('Dvd Calendar'!$AP$2436)=FALSE,"",IF((Summary!$C$13="N")*('Dvd Calendar'!$AP$2440='Field Check'!$C$25)&gt;0,"",'Dvd Calendar'!$AP$2436)))</f>
        <v/>
      </c>
      <c r="DC178" s="85">
        <f>IF(AO178="","",IF(ISNUMBER('Dvd Calendar'!$AQ$2436)=FALSE,"",IF((Summary!$C$13="N")*('Dvd Calendar'!$AQ$2440='Field Check'!$C$25)&gt;0,"",'Dvd Calendar'!$AQ$2436)))</f>
        <v/>
      </c>
      <c r="DD178" s="85">
        <f>IF(AP178="","",IF(ISNUMBER('Dvd Calendar'!$AR$2436)=FALSE,"",IF((Summary!$C$13="N")*('Dvd Calendar'!$AR$2440='Field Check'!$C$25)&gt;0,"",'Dvd Calendar'!$AR$2436)))</f>
        <v/>
      </c>
      <c r="DE178" s="85">
        <f>IF(AQ178="","",IF(ISNUMBER('Dvd Calendar'!$E$2443)=FALSE,"",IF((Summary!$C$13="N")*('Dvd Calendar'!$E$2447='Field Check'!$C$25)&gt;0,"",'Dvd Calendar'!$E$2443)))</f>
        <v/>
      </c>
      <c r="DF178" s="85">
        <f>IF(AR178="","",IF(ISNUMBER('Dvd Calendar'!$F$2443)=FALSE,"",IF((Summary!$C$13="N")*('Dvd Calendar'!$F$2447='Field Check'!$C$25)&gt;0,"",'Dvd Calendar'!$F$2443)))</f>
        <v/>
      </c>
      <c r="DG178" s="85">
        <f>IF(AS178="","",IF(ISNUMBER('Dvd Calendar'!$G$2443)=FALSE,"",IF((Summary!$C$13="N")*('Dvd Calendar'!$G$2447='Field Check'!$C$25)&gt;0,"",'Dvd Calendar'!$G$2443)))</f>
        <v/>
      </c>
      <c r="DH178" s="85">
        <f>IF(AT178="","",IF(ISNUMBER('Dvd Calendar'!$H$2443)=FALSE,"",IF((Summary!$C$13="N")*('Dvd Calendar'!$H$2447='Field Check'!$C$25)&gt;0,"",'Dvd Calendar'!$H$2443)))</f>
        <v/>
      </c>
      <c r="DI178" s="85">
        <f>IF(AU178="","",IF(ISNUMBER('Dvd Calendar'!$I$2443)=FALSE,"",IF((Summary!$C$13="N")*('Dvd Calendar'!$I$2447='Field Check'!$C$25)&gt;0,"",'Dvd Calendar'!$I$2443)))</f>
        <v/>
      </c>
      <c r="DJ178" s="85">
        <f>IF(AV178="","",IF(ISNUMBER('Dvd Calendar'!$J$2443)=FALSE,"",IF((Summary!$C$13="N")*('Dvd Calendar'!$J$2447='Field Check'!$C$25)&gt;0,"",'Dvd Calendar'!$J$2443)))</f>
        <v/>
      </c>
      <c r="DK178" s="85">
        <f>IF(AW178="","",IF(ISNUMBER('Dvd Calendar'!$K$2443)=FALSE,"",IF((Summary!$C$13="N")*('Dvd Calendar'!$K$2447='Field Check'!$C$25)&gt;0,"",'Dvd Calendar'!$K$2443)))</f>
        <v/>
      </c>
      <c r="DL178" s="85">
        <f>IF(AX178="","",IF(ISNUMBER('Dvd Calendar'!$L$2443)=FALSE,"",IF((Summary!$C$13="N")*('Dvd Calendar'!$L$2447='Field Check'!$C$25)&gt;0,"",'Dvd Calendar'!$L$2443)))</f>
        <v/>
      </c>
      <c r="DM178" s="85">
        <f>IF(AY178="","",IF(ISNUMBER('Dvd Calendar'!$M$2443)=FALSE,"",IF((Summary!$C$13="N")*('Dvd Calendar'!$M$2447='Field Check'!$C$25)&gt;0,"",'Dvd Calendar'!$M$2443)))</f>
        <v/>
      </c>
      <c r="DN178" s="85">
        <f>IF(AZ178="","",IF(ISNUMBER('Dvd Calendar'!$N$2443)=FALSE,"",IF((Summary!$C$13="N")*('Dvd Calendar'!$N$2447='Field Check'!$C$25)&gt;0,"",'Dvd Calendar'!$N$2443)))</f>
        <v/>
      </c>
      <c r="DO178" s="85">
        <f>IF(BA178="","",IF(ISNUMBER('Dvd Calendar'!$O$2443)=FALSE,"",IF((Summary!$C$13="N")*('Dvd Calendar'!$O$2447='Field Check'!$C$25)&gt;0,"",'Dvd Calendar'!$O$2443)))</f>
        <v/>
      </c>
      <c r="DP178" s="85">
        <f>IF(BB178="","",IF(ISNUMBER('Dvd Calendar'!$P$2443)=FALSE,"",IF((Summary!$C$13="N")*('Dvd Calendar'!$P$2447='Field Check'!$C$25)&gt;0,"",'Dvd Calendar'!$P$2443)))</f>
        <v/>
      </c>
      <c r="DQ178" s="85">
        <f>IF(BC178="","",IF(ISNUMBER('Dvd Calendar'!$Q$2443)=FALSE,"",IF((Summary!$C$13="N")*('Dvd Calendar'!$Q$2447='Field Check'!$C$25)&gt;0,"",'Dvd Calendar'!$Q$2443)))</f>
        <v/>
      </c>
      <c r="DR178" s="85">
        <f>IF(BD178="","",IF(ISNUMBER('Dvd Calendar'!$R$2443)=FALSE,"",IF((Summary!$C$13="N")*('Dvd Calendar'!$R$2447='Field Check'!$C$25)&gt;0,"",'Dvd Calendar'!$R$2443)))</f>
        <v/>
      </c>
      <c r="DS178" s="85">
        <f>IF(BE178="","",IF(ISNUMBER('Dvd Calendar'!$S$2443)=FALSE,"",IF((Summary!$C$13="N")*('Dvd Calendar'!$S$2447='Field Check'!$C$25)&gt;0,"",'Dvd Calendar'!$S$2443)))</f>
        <v/>
      </c>
      <c r="DT178" s="85">
        <f>IF(BF178="","",IF(ISNUMBER('Dvd Calendar'!$T$2443)=FALSE,"",IF((Summary!$C$13="N")*('Dvd Calendar'!$T$2447='Field Check'!$C$25)&gt;0,"",'Dvd Calendar'!$T$2443)))</f>
        <v/>
      </c>
      <c r="DU178" s="85">
        <f>IF(BG178="","",IF(ISNUMBER('Dvd Calendar'!$U$2443)=FALSE,"",IF((Summary!$C$13="N")*('Dvd Calendar'!$U$2447='Field Check'!$C$25)&gt;0,"",'Dvd Calendar'!$U$2443)))</f>
        <v/>
      </c>
      <c r="DV178" s="85">
        <f>IF(BH178="","",IF(ISNUMBER('Dvd Calendar'!$V$2443)=FALSE,"",IF((Summary!$C$13="N")*('Dvd Calendar'!$V$2447='Field Check'!$C$25)&gt;0,"",'Dvd Calendar'!$V$2443)))</f>
        <v/>
      </c>
      <c r="DW178" s="85">
        <f>IF(BI178="","",IF(ISNUMBER('Dvd Calendar'!$W$2443)=FALSE,"",IF((Summary!$C$13="N")*('Dvd Calendar'!$W$2447='Field Check'!$C$25)&gt;0,"",'Dvd Calendar'!$W$2443)))</f>
        <v/>
      </c>
      <c r="DX178" s="85">
        <f>IF(BJ178="","",IF(ISNUMBER('Dvd Calendar'!$X$2443)=FALSE,"",IF((Summary!$C$13="N")*('Dvd Calendar'!$X$2447='Field Check'!$C$25)&gt;0,"",'Dvd Calendar'!$X$2443)))</f>
        <v/>
      </c>
      <c r="DY178" s="85">
        <f>IF(BK178="","",IF(ISNUMBER('Dvd Calendar'!$Y$2443)=FALSE,"",IF((Summary!$C$13="N")*('Dvd Calendar'!$Y$2447='Field Check'!$C$25)&gt;0,"",'Dvd Calendar'!$Y$2443)))</f>
        <v/>
      </c>
      <c r="DZ178" s="85">
        <f>IF(BL178="","",IF(ISNUMBER('Dvd Calendar'!$Z$2443)=FALSE,"",IF((Summary!$C$13="N")*('Dvd Calendar'!$Z$2447='Field Check'!$C$25)&gt;0,"",'Dvd Calendar'!$Z$2443)))</f>
        <v/>
      </c>
      <c r="EA178" s="85">
        <f>IF(BM178="","",IF(ISNUMBER('Dvd Calendar'!$AA$2443)=FALSE,"",IF((Summary!$C$13="N")*('Dvd Calendar'!$AA$2447='Field Check'!$C$25)&gt;0,"",'Dvd Calendar'!$AA$2443)))</f>
        <v/>
      </c>
      <c r="EB178" s="85">
        <f>IF(BN178="","",IF(ISNUMBER('Dvd Calendar'!$AB$2443)=FALSE,"",IF((Summary!$C$13="N")*('Dvd Calendar'!$AB$2447='Field Check'!$C$25)&gt;0,"",'Dvd Calendar'!$AB$2443)))</f>
        <v/>
      </c>
      <c r="EC178" s="85">
        <f>IF(BO178="","",IF(ISNUMBER('Dvd Calendar'!$AC$2443)=FALSE,"",IF((Summary!$C$13="N")*('Dvd Calendar'!$AC$2447='Field Check'!$C$25)&gt;0,"",'Dvd Calendar'!$AC$2443)))</f>
        <v/>
      </c>
      <c r="EE178" s="85">
        <f>IF(BQ178="","",IFERROR(BQ178*HSCEI!$B$28*HSCEI!$G$28/HSCEI!$B$3,""))</f>
        <v/>
      </c>
      <c r="EF178" s="85">
        <f>IF(BR178="","",IFERROR(BR178*HSCEI!$B$28*HSCEI!$G$28/HSCEI!$B$3,""))</f>
        <v/>
      </c>
      <c r="EG178" s="85">
        <f>IF(BS178="","",IFERROR(BS178*HSCEI!$B$28*HSCEI!$G$28/HSCEI!$B$3,""))</f>
        <v/>
      </c>
      <c r="EH178" s="85">
        <f>IF(BT178="","",IFERROR(BT178*HSCEI!$B$28*HSCEI!$G$28/HSCEI!$B$3,""))</f>
        <v/>
      </c>
      <c r="EI178" s="85">
        <f>IF(BU178="","",IFERROR(BU178*HSCEI!$B$28*HSCEI!$G$28/HSCEI!$B$3,""))</f>
        <v/>
      </c>
      <c r="EJ178" s="85">
        <f>IF(BV178="","",IFERROR(BV178*HSCEI!$B$28*HSCEI!$G$28/HSCEI!$B$3,""))</f>
        <v/>
      </c>
      <c r="EK178" s="85">
        <f>IF(BW178="","",IFERROR(BW178*HSCEI!$B$28*HSCEI!$G$28/HSCEI!$B$3,""))</f>
        <v/>
      </c>
      <c r="EL178" s="85">
        <f>IF(BX178="","",IFERROR(BX178*HSCEI!$B$28*HSCEI!$G$28/HSCEI!$B$3,""))</f>
        <v/>
      </c>
      <c r="EM178" s="85">
        <f>IF(BY178="","",IFERROR(BY178*HSCEI!$B$28*HSCEI!$G$28/HSCEI!$B$3,""))</f>
        <v/>
      </c>
      <c r="EN178" s="85">
        <f>IF(BZ178="","",IFERROR(BZ178*HSCEI!$B$28*HSCEI!$G$28/HSCEI!$B$3,""))</f>
        <v/>
      </c>
      <c r="EO178" s="85">
        <f>IF(CA178="","",IFERROR(CA178*HSCEI!$B$28*HSCEI!$G$28/HSCEI!$B$3,""))</f>
        <v/>
      </c>
      <c r="EP178" s="85">
        <f>IF(CB178="","",IFERROR(CB178*HSCEI!$B$28*HSCEI!$G$28/HSCEI!$B$3,""))</f>
        <v/>
      </c>
      <c r="EQ178" s="85">
        <f>IF(CC178="","",IFERROR(CC178*HSCEI!$B$28*HSCEI!$G$28/HSCEI!$B$3,""))</f>
        <v/>
      </c>
      <c r="ER178" s="85">
        <f>IF(CD178="","",IFERROR(CD178*HSCEI!$B$28*HSCEI!$G$28/HSCEI!$B$3,""))</f>
        <v/>
      </c>
      <c r="ES178" s="85">
        <f>IF(CE178="","",IFERROR(CE178*HSCEI!$B$28*HSCEI!$G$28/HSCEI!$B$3,""))</f>
        <v/>
      </c>
      <c r="ET178" s="85">
        <f>IF(CF178="","",IFERROR(CF178*HSCEI!$B$28*HSCEI!$G$28/HSCEI!$B$3,""))</f>
        <v/>
      </c>
      <c r="EU178" s="85">
        <f>IF(CG178="","",IFERROR(CG178*HSCEI!$B$28*HSCEI!$G$28/HSCEI!$B$3,""))</f>
        <v/>
      </c>
      <c r="EV178" s="85">
        <f>IF(CH178="","",IFERROR(CH178*HSCEI!$B$28*HSCEI!$G$28/HSCEI!$B$3,""))</f>
        <v/>
      </c>
      <c r="EW178" s="85">
        <f>IF(CI178="","",IFERROR(CI178*HSCEI!$B$28*HSCEI!$G$28/HSCEI!$B$3,""))</f>
        <v/>
      </c>
      <c r="EX178" s="85">
        <f>IF(CJ178="","",IFERROR(CJ178*HSCEI!$B$28*HSCEI!$G$28/HSCEI!$B$3,""))</f>
        <v/>
      </c>
      <c r="EY178" s="85">
        <f>IF(CK178="","",IFERROR(CK178*HSCEI!$B$28*HSCEI!$G$28/HSCEI!$B$3,""))</f>
        <v/>
      </c>
      <c r="EZ178" s="85">
        <f>IF(CL178="","",IFERROR(CL178*HSCEI!$B$28*HSCEI!$G$28/HSCEI!$B$3,""))</f>
        <v/>
      </c>
      <c r="FA178" s="85">
        <f>IF(CM178="","",IFERROR(CM178*HSCEI!$B$28*HSCEI!$G$28/HSCEI!$B$3,""))</f>
        <v/>
      </c>
      <c r="FB178" s="85">
        <f>IF(CN178="","",IFERROR(CN178*HSCEI!$B$28*HSCEI!$G$28/HSCEI!$B$3,""))</f>
        <v/>
      </c>
      <c r="FC178" s="85">
        <f>IF(CO178="","",IFERROR(CO178*HSCEI!$B$28*HSCEI!$G$28/HSCEI!$B$3,""))</f>
        <v/>
      </c>
      <c r="FD178" s="85">
        <f>IF(CP178="","",IFERROR(CP178*HSCEI!$B$28*HSCEI!$G$28/HSCEI!$B$3,""))</f>
        <v/>
      </c>
      <c r="FE178" s="85">
        <f>IF(CQ178="","",IFERROR(CQ178*HSCEI!$B$28*HSCEI!$G$28/HSCEI!$B$3,""))</f>
        <v/>
      </c>
      <c r="FF178" s="85">
        <f>IF(CR178="","",IFERROR(CR178*HSCEI!$B$28*HSCEI!$G$28/HSCEI!$B$3,""))</f>
        <v/>
      </c>
      <c r="FG178" s="85">
        <f>IF(CS178="","",IFERROR(CS178*HSCEI!$B$28*HSCEI!$G$28/HSCEI!$B$3,""))</f>
        <v/>
      </c>
      <c r="FH178" s="85">
        <f>IF(CT178="","",IFERROR(CT178*HSCEI!$B$28*HSCEI!$G$28/HSCEI!$B$3,""))</f>
        <v/>
      </c>
      <c r="FI178" s="85">
        <f>IF(CU178="","",IFERROR(CU178*HSCEI!$B$28*HSCEI!$G$28/HSCEI!$B$3,""))</f>
        <v/>
      </c>
      <c r="FJ178" s="85">
        <f>IF(CV178="","",IFERROR(CV178*HSCEI!$B$28*HSCEI!$G$28/HSCEI!$B$3,""))</f>
        <v/>
      </c>
      <c r="FK178" s="85">
        <f>IF(CW178="","",IFERROR(CW178*HSCEI!$B$28*HSCEI!$G$28/HSCEI!$B$3,""))</f>
        <v/>
      </c>
      <c r="FL178" s="85">
        <f>IF(CX178="","",IFERROR(CX178*HSCEI!$B$28*HSCEI!$G$28/HSCEI!$B$3,""))</f>
        <v/>
      </c>
      <c r="FM178" s="85">
        <f>IF(CY178="","",IFERROR(CY178*HSCEI!$B$28*HSCEI!$G$28/HSCEI!$B$3,""))</f>
        <v/>
      </c>
      <c r="FN178" s="85">
        <f>IF(CZ178="","",IFERROR(CZ178*HSCEI!$B$28*HSCEI!$G$28/HSCEI!$B$3,""))</f>
        <v/>
      </c>
      <c r="FO178" s="85">
        <f>IF(DA178="","",IFERROR(DA178*HSCEI!$B$28*HSCEI!$G$28/HSCEI!$B$3,""))</f>
        <v/>
      </c>
      <c r="FP178" s="85">
        <f>IF(DB178="","",IFERROR(DB178*HSCEI!$B$28*HSCEI!$G$28/HSCEI!$B$3,""))</f>
        <v/>
      </c>
      <c r="FQ178" s="85">
        <f>IF(DC178="","",IFERROR(DC178*HSCEI!$B$28*HSCEI!$G$28/HSCEI!$B$3,""))</f>
        <v/>
      </c>
      <c r="FR178" s="85">
        <f>IF(DD178="","",IFERROR(DD178*HSCEI!$B$28*HSCEI!$G$28/HSCEI!$B$3,""))</f>
        <v/>
      </c>
      <c r="FS178" s="85">
        <f>IF(DE178="","",IFERROR(DE178*HSCEI!$B$28*HSCEI!$G$28/HSCEI!$B$3,""))</f>
        <v/>
      </c>
      <c r="FT178" s="85">
        <f>IF(DF178="","",IFERROR(DF178*HSCEI!$B$28*HSCEI!$G$28/HSCEI!$B$3,""))</f>
        <v/>
      </c>
      <c r="FU178" s="85">
        <f>IF(DG178="","",IFERROR(DG178*HSCEI!$B$28*HSCEI!$G$28/HSCEI!$B$3,""))</f>
        <v/>
      </c>
      <c r="FV178" s="85">
        <f>IF(DH178="","",IFERROR(DH178*HSCEI!$B$28*HSCEI!$G$28/HSCEI!$B$3,""))</f>
        <v/>
      </c>
      <c r="FW178" s="85">
        <f>IF(DI178="","",IFERROR(DI178*HSCEI!$B$28*HSCEI!$G$28/HSCEI!$B$3,""))</f>
        <v/>
      </c>
      <c r="FX178" s="85">
        <f>IF(DJ178="","",IFERROR(DJ178*HSCEI!$B$28*HSCEI!$G$28/HSCEI!$B$3,""))</f>
        <v/>
      </c>
      <c r="FY178" s="85">
        <f>IF(DK178="","",IFERROR(DK178*HSCEI!$B$28*HSCEI!$G$28/HSCEI!$B$3,""))</f>
        <v/>
      </c>
      <c r="FZ178" s="85">
        <f>IF(DL178="","",IFERROR(DL178*HSCEI!$B$28*HSCEI!$G$28/HSCEI!$B$3,""))</f>
        <v/>
      </c>
      <c r="GA178" s="85">
        <f>IF(DM178="","",IFERROR(DM178*HSCEI!$B$28*HSCEI!$G$28/HSCEI!$B$3,""))</f>
        <v/>
      </c>
      <c r="GB178" s="85">
        <f>IF(DN178="","",IFERROR(DN178*HSCEI!$B$28*HSCEI!$G$28/HSCEI!$B$3,""))</f>
        <v/>
      </c>
      <c r="GC178" s="85">
        <f>IF(DO178="","",IFERROR(DO178*HSCEI!$B$28*HSCEI!$G$28/HSCEI!$B$3,""))</f>
        <v/>
      </c>
      <c r="GD178" s="85">
        <f>IF(DP178="","",IFERROR(DP178*HSCEI!$B$28*HSCEI!$G$28/HSCEI!$B$3,""))</f>
        <v/>
      </c>
      <c r="GE178" s="85">
        <f>IF(DQ178="","",IFERROR(DQ178*HSCEI!$B$28*HSCEI!$G$28/HSCEI!$B$3,""))</f>
        <v/>
      </c>
      <c r="GF178" s="85">
        <f>IF(DR178="","",IFERROR(DR178*HSCEI!$B$28*HSCEI!$G$28/HSCEI!$B$3,""))</f>
        <v/>
      </c>
      <c r="GG178" s="85">
        <f>IF(DS178="","",IFERROR(DS178*HSCEI!$B$28*HSCEI!$G$28/HSCEI!$B$3,""))</f>
        <v/>
      </c>
      <c r="GH178" s="85">
        <f>IF(DT178="","",IFERROR(DT178*HSCEI!$B$28*HSCEI!$G$28/HSCEI!$B$3,""))</f>
        <v/>
      </c>
      <c r="GI178" s="85">
        <f>IF(DU178="","",IFERROR(DU178*HSCEI!$B$28*HSCEI!$G$28/HSCEI!$B$3,""))</f>
        <v/>
      </c>
      <c r="GJ178" s="85">
        <f>IF(DV178="","",IFERROR(DV178*HSCEI!$B$28*HSCEI!$G$28/HSCEI!$B$3,""))</f>
        <v/>
      </c>
      <c r="GK178" s="85">
        <f>IF(DW178="","",IFERROR(DW178*HSCEI!$B$28*HSCEI!$G$28/HSCEI!$B$3,""))</f>
        <v/>
      </c>
      <c r="GL178" s="85">
        <f>IF(DX178="","",IFERROR(DX178*HSCEI!$B$28*HSCEI!$G$28/HSCEI!$B$3,""))</f>
        <v/>
      </c>
      <c r="GM178" s="85">
        <f>IF(DY178="","",IFERROR(DY178*HSCEI!$B$28*HSCEI!$G$28/HSCEI!$B$3,""))</f>
        <v/>
      </c>
      <c r="GN178" s="85">
        <f>IF(DZ178="","",IFERROR(DZ178*HSCEI!$B$28*HSCEI!$G$28/HSCEI!$B$3,""))</f>
        <v/>
      </c>
      <c r="GO178" s="85">
        <f>IF(EA178="","",IFERROR(EA178*HSCEI!$B$28*HSCEI!$G$28/HSCEI!$B$3,""))</f>
        <v/>
      </c>
      <c r="GP178" s="85">
        <f>IF(EB178="","",IFERROR(EB178*HSCEI!$B$28*HSCEI!$G$28/HSCEI!$B$3,""))</f>
        <v/>
      </c>
      <c r="GQ178" s="85">
        <f>IF(EC178="","",IFERROR(EC178*HSCEI!$B$28*HSCEI!$G$28/HSCEI!$B$3,""))</f>
        <v/>
      </c>
    </row>
    <row r="179">
      <c r="B179" s="2">
        <f>IF(HSCEI!$C$29="","",HSCEI!$C$29)</f>
        <v/>
      </c>
      <c r="C179" s="41">
        <f>IF(N('Dvd Calendar'!$E$2450)=0,"",IF(('Dvd Calendar'!$E$2450&gt;=MIN(DATE(Summary!$C$12,1,1),Summary!$C$11))*('Dvd Calendar'!$E$2450&lt;=MAX(DATE(Summary!$C$12,12,31),Summary!$C$15))*('Dvd Calendar'!$E$2450&lt;=Summary!$C$11)=0,"",'Dvd Calendar'!$E$2450*1000000000+ISNUMBER('Dvd Calendar'!$E$2451)*100000000+('Dvd Calendar'!$E$2455='Field Check'!$C$25)*10000000+(N('Dvd Calendar'!$E$2449)&gt;0)*1000000+23*1000+1))</f>
        <v/>
      </c>
      <c r="D179" s="41">
        <f>IF(N('Dvd Calendar'!$F$2450)=0,"",IF(('Dvd Calendar'!$F$2450&gt;=MIN(DATE(Summary!$C$12,1,1),Summary!$C$11))*('Dvd Calendar'!$F$2450&lt;=MAX(DATE(Summary!$C$12,12,31),Summary!$C$15))*('Dvd Calendar'!$F$2450&lt;=Summary!$C$11)=0,"",'Dvd Calendar'!$F$2450*1000000000+ISNUMBER('Dvd Calendar'!$F$2451)*100000000+('Dvd Calendar'!$F$2455='Field Check'!$C$25)*10000000+(N('Dvd Calendar'!$F$2449)&gt;0)*1000000+23*1000+2))</f>
        <v/>
      </c>
      <c r="E179" s="41">
        <f>IF(N('Dvd Calendar'!$G$2450)=0,"",IF(('Dvd Calendar'!$G$2450&gt;=MIN(DATE(Summary!$C$12,1,1),Summary!$C$11))*('Dvd Calendar'!$G$2450&lt;=MAX(DATE(Summary!$C$12,12,31),Summary!$C$15))*('Dvd Calendar'!$G$2450&lt;=Summary!$C$11)=0,"",'Dvd Calendar'!$G$2450*1000000000+ISNUMBER('Dvd Calendar'!$G$2451)*100000000+('Dvd Calendar'!$G$2455='Field Check'!$C$25)*10000000+(N('Dvd Calendar'!$G$2449)&gt;0)*1000000+23*1000+3))</f>
        <v/>
      </c>
      <c r="F179" s="41">
        <f>IF(N('Dvd Calendar'!$H$2450)=0,"",IF(('Dvd Calendar'!$H$2450&gt;=MIN(DATE(Summary!$C$12,1,1),Summary!$C$11))*('Dvd Calendar'!$H$2450&lt;=MAX(DATE(Summary!$C$12,12,31),Summary!$C$15))*('Dvd Calendar'!$H$2450&lt;=Summary!$C$11)=0,"",'Dvd Calendar'!$H$2450*1000000000+ISNUMBER('Dvd Calendar'!$H$2451)*100000000+('Dvd Calendar'!$H$2455='Field Check'!$C$25)*10000000+(N('Dvd Calendar'!$H$2449)&gt;0)*1000000+23*1000+4))</f>
        <v/>
      </c>
      <c r="G179" s="41">
        <f>IF(N('Dvd Calendar'!$I$2450)=0,"",IF(('Dvd Calendar'!$I$2450&gt;=MIN(DATE(Summary!$C$12,1,1),Summary!$C$11))*('Dvd Calendar'!$I$2450&lt;=MAX(DATE(Summary!$C$12,12,31),Summary!$C$15))*('Dvd Calendar'!$I$2450&lt;=Summary!$C$11)=0,"",'Dvd Calendar'!$I$2450*1000000000+ISNUMBER('Dvd Calendar'!$I$2451)*100000000+('Dvd Calendar'!$I$2455='Field Check'!$C$25)*10000000+(N('Dvd Calendar'!$I$2449)&gt;0)*1000000+23*1000+5))</f>
        <v/>
      </c>
      <c r="H179" s="41">
        <f>IF(N('Dvd Calendar'!$J$2450)=0,"",IF(('Dvd Calendar'!$J$2450&gt;=MIN(DATE(Summary!$C$12,1,1),Summary!$C$11))*('Dvd Calendar'!$J$2450&lt;=MAX(DATE(Summary!$C$12,12,31),Summary!$C$15))*('Dvd Calendar'!$J$2450&lt;=Summary!$C$11)=0,"",'Dvd Calendar'!$J$2450*1000000000+ISNUMBER('Dvd Calendar'!$J$2451)*100000000+('Dvd Calendar'!$J$2455='Field Check'!$C$25)*10000000+(N('Dvd Calendar'!$J$2449)&gt;0)*1000000+23*1000+6))</f>
        <v/>
      </c>
      <c r="I179" s="41">
        <f>IF(N('Dvd Calendar'!$K$2450)=0,"",IF(('Dvd Calendar'!$K$2450&gt;=MIN(DATE(Summary!$C$12,1,1),Summary!$C$11))*('Dvd Calendar'!$K$2450&lt;=MAX(DATE(Summary!$C$12,12,31),Summary!$C$15))*('Dvd Calendar'!$K$2450&lt;=Summary!$C$11)=0,"",'Dvd Calendar'!$K$2450*1000000000+ISNUMBER('Dvd Calendar'!$K$2451)*100000000+('Dvd Calendar'!$K$2455='Field Check'!$C$25)*10000000+(N('Dvd Calendar'!$K$2449)&gt;0)*1000000+23*1000+7))</f>
        <v/>
      </c>
      <c r="J179" s="41">
        <f>IF(N('Dvd Calendar'!$L$2450)=0,"",IF(('Dvd Calendar'!$L$2450&gt;=MIN(DATE(Summary!$C$12,1,1),Summary!$C$11))*('Dvd Calendar'!$L$2450&lt;=MAX(DATE(Summary!$C$12,12,31),Summary!$C$15))*('Dvd Calendar'!$L$2450&lt;=Summary!$C$11)=0,"",'Dvd Calendar'!$L$2450*1000000000+ISNUMBER('Dvd Calendar'!$L$2451)*100000000+('Dvd Calendar'!$L$2455='Field Check'!$C$25)*10000000+(N('Dvd Calendar'!$L$2449)&gt;0)*1000000+23*1000+8))</f>
        <v/>
      </c>
      <c r="K179" s="41">
        <f>IF(N('Dvd Calendar'!$M$2450)=0,"",IF(('Dvd Calendar'!$M$2450&gt;=MIN(DATE(Summary!$C$12,1,1),Summary!$C$11))*('Dvd Calendar'!$M$2450&lt;=MAX(DATE(Summary!$C$12,12,31),Summary!$C$15))*('Dvd Calendar'!$M$2450&lt;=Summary!$C$11)=0,"",'Dvd Calendar'!$M$2450*1000000000+ISNUMBER('Dvd Calendar'!$M$2451)*100000000+('Dvd Calendar'!$M$2455='Field Check'!$C$25)*10000000+(N('Dvd Calendar'!$M$2449)&gt;0)*1000000+23*1000+9))</f>
        <v/>
      </c>
      <c r="L179" s="41">
        <f>IF(N('Dvd Calendar'!$N$2450)=0,"",IF(('Dvd Calendar'!$N$2450&gt;=MIN(DATE(Summary!$C$12,1,1),Summary!$C$11))*('Dvd Calendar'!$N$2450&lt;=MAX(DATE(Summary!$C$12,12,31),Summary!$C$15))*('Dvd Calendar'!$N$2450&lt;=Summary!$C$11)=0,"",'Dvd Calendar'!$N$2450*1000000000+ISNUMBER('Dvd Calendar'!$N$2451)*100000000+('Dvd Calendar'!$N$2455='Field Check'!$C$25)*10000000+(N('Dvd Calendar'!$N$2449)&gt;0)*1000000+23*1000+10))</f>
        <v/>
      </c>
      <c r="M179" s="41">
        <f>IF(N('Dvd Calendar'!$O$2450)=0,"",IF(('Dvd Calendar'!$O$2450&gt;=MIN(DATE(Summary!$C$12,1,1),Summary!$C$11))*('Dvd Calendar'!$O$2450&lt;=MAX(DATE(Summary!$C$12,12,31),Summary!$C$15))*('Dvd Calendar'!$O$2450&lt;=Summary!$C$11)=0,"",'Dvd Calendar'!$O$2450*1000000000+ISNUMBER('Dvd Calendar'!$O$2451)*100000000+('Dvd Calendar'!$O$2455='Field Check'!$C$25)*10000000+(N('Dvd Calendar'!$O$2449)&gt;0)*1000000+23*1000+11))</f>
        <v/>
      </c>
      <c r="N179" s="41">
        <f>IF(N('Dvd Calendar'!$P$2450)=0,"",IF(('Dvd Calendar'!$P$2450&gt;=MIN(DATE(Summary!$C$12,1,1),Summary!$C$11))*('Dvd Calendar'!$P$2450&lt;=MAX(DATE(Summary!$C$12,12,31),Summary!$C$15))*('Dvd Calendar'!$P$2450&lt;=Summary!$C$11)=0,"",'Dvd Calendar'!$P$2450*1000000000+ISNUMBER('Dvd Calendar'!$P$2451)*100000000+('Dvd Calendar'!$P$2455='Field Check'!$C$25)*10000000+(N('Dvd Calendar'!$P$2449)&gt;0)*1000000+23*1000+12))</f>
        <v/>
      </c>
      <c r="O179" s="41">
        <f>IF(N('Dvd Calendar'!$Q$2450)=0,"",IF(('Dvd Calendar'!$Q$2450&gt;=MIN(DATE(Summary!$C$12,1,1),Summary!$C$11))*('Dvd Calendar'!$Q$2450&lt;=MAX(DATE(Summary!$C$12,12,31),Summary!$C$15))*('Dvd Calendar'!$Q$2450&lt;=Summary!$C$11)=0,"",'Dvd Calendar'!$Q$2450*1000000000+ISNUMBER('Dvd Calendar'!$Q$2451)*100000000+('Dvd Calendar'!$Q$2455='Field Check'!$C$25)*10000000+(N('Dvd Calendar'!$Q$2449)&gt;0)*1000000+23*1000+13))</f>
        <v/>
      </c>
      <c r="P179" s="41">
        <f>IF(N('Dvd Calendar'!$R$2450)=0,"",IF(('Dvd Calendar'!$R$2450&gt;=MIN(DATE(Summary!$C$12,1,1),Summary!$C$11))*('Dvd Calendar'!$R$2450&lt;=MAX(DATE(Summary!$C$12,12,31),Summary!$C$15))*('Dvd Calendar'!$R$2450&lt;=Summary!$C$11)=0,"",'Dvd Calendar'!$R$2450*1000000000+ISNUMBER('Dvd Calendar'!$R$2451)*100000000+('Dvd Calendar'!$R$2455='Field Check'!$C$25)*10000000+(N('Dvd Calendar'!$R$2449)&gt;0)*1000000+23*1000+14))</f>
        <v/>
      </c>
      <c r="Q179" s="41">
        <f>IF(N('Dvd Calendar'!$S$2450)=0,"",IF(('Dvd Calendar'!$S$2450&gt;=MIN(DATE(Summary!$C$12,1,1),Summary!$C$11))*('Dvd Calendar'!$S$2450&lt;=MAX(DATE(Summary!$C$12,12,31),Summary!$C$15))*('Dvd Calendar'!$S$2450&lt;=Summary!$C$11)=0,"",'Dvd Calendar'!$S$2450*1000000000+ISNUMBER('Dvd Calendar'!$S$2451)*100000000+('Dvd Calendar'!$S$2455='Field Check'!$C$25)*10000000+(N('Dvd Calendar'!$S$2449)&gt;0)*1000000+23*1000+15))</f>
        <v/>
      </c>
      <c r="R179" s="41">
        <f>IF(N('Dvd Calendar'!$T$2450)=0,"",IF(('Dvd Calendar'!$T$2450&gt;=MIN(DATE(Summary!$C$12,1,1),Summary!$C$11))*('Dvd Calendar'!$T$2450&lt;=MAX(DATE(Summary!$C$12,12,31),Summary!$C$15))*('Dvd Calendar'!$T$2450&lt;=Summary!$C$11)=0,"",'Dvd Calendar'!$T$2450*1000000000+ISNUMBER('Dvd Calendar'!$T$2451)*100000000+('Dvd Calendar'!$T$2455='Field Check'!$C$25)*10000000+(N('Dvd Calendar'!$T$2449)&gt;0)*1000000+23*1000+16))</f>
        <v/>
      </c>
      <c r="S179" s="41">
        <f>IF(N('Dvd Calendar'!$U$2450)=0,"",IF(('Dvd Calendar'!$U$2450&gt;=MIN(DATE(Summary!$C$12,1,1),Summary!$C$11))*('Dvd Calendar'!$U$2450&lt;=MAX(DATE(Summary!$C$12,12,31),Summary!$C$15))*('Dvd Calendar'!$U$2450&lt;=Summary!$C$11)=0,"",'Dvd Calendar'!$U$2450*1000000000+ISNUMBER('Dvd Calendar'!$U$2451)*100000000+('Dvd Calendar'!$U$2455='Field Check'!$C$25)*10000000+(N('Dvd Calendar'!$U$2449)&gt;0)*1000000+23*1000+17))</f>
        <v/>
      </c>
      <c r="T179" s="41">
        <f>IF(N('Dvd Calendar'!$V$2450)=0,"",IF(('Dvd Calendar'!$V$2450&gt;=MIN(DATE(Summary!$C$12,1,1),Summary!$C$11))*('Dvd Calendar'!$V$2450&lt;=MAX(DATE(Summary!$C$12,12,31),Summary!$C$15))*('Dvd Calendar'!$V$2450&lt;=Summary!$C$11)=0,"",'Dvd Calendar'!$V$2450*1000000000+ISNUMBER('Dvd Calendar'!$V$2451)*100000000+('Dvd Calendar'!$V$2455='Field Check'!$C$25)*10000000+(N('Dvd Calendar'!$V$2449)&gt;0)*1000000+23*1000+18))</f>
        <v/>
      </c>
      <c r="U179" s="41">
        <f>IF(N('Dvd Calendar'!$W$2450)=0,"",IF(('Dvd Calendar'!$W$2450&gt;=MIN(DATE(Summary!$C$12,1,1),Summary!$C$11))*('Dvd Calendar'!$W$2450&lt;=MAX(DATE(Summary!$C$12,12,31),Summary!$C$15))*('Dvd Calendar'!$W$2450&lt;=Summary!$C$11)=0,"",'Dvd Calendar'!$W$2450*1000000000+ISNUMBER('Dvd Calendar'!$W$2451)*100000000+('Dvd Calendar'!$W$2455='Field Check'!$C$25)*10000000+(N('Dvd Calendar'!$W$2449)&gt;0)*1000000+23*1000+19))</f>
        <v/>
      </c>
      <c r="V179" s="41">
        <f>IF(N('Dvd Calendar'!$X$2450)=0,"",IF(('Dvd Calendar'!$X$2450&gt;=MIN(DATE(Summary!$C$12,1,1),Summary!$C$11))*('Dvd Calendar'!$X$2450&lt;=MAX(DATE(Summary!$C$12,12,31),Summary!$C$15))*('Dvd Calendar'!$X$2450&lt;=Summary!$C$11)=0,"",'Dvd Calendar'!$X$2450*1000000000+ISNUMBER('Dvd Calendar'!$X$2451)*100000000+('Dvd Calendar'!$X$2455='Field Check'!$C$25)*10000000+(N('Dvd Calendar'!$X$2449)&gt;0)*1000000+23*1000+20))</f>
        <v/>
      </c>
      <c r="W179" s="41">
        <f>IF(N('Dvd Calendar'!$Y$2450)=0,"",IF(('Dvd Calendar'!$Y$2450&gt;=MIN(DATE(Summary!$C$12,1,1),Summary!$C$11))*('Dvd Calendar'!$Y$2450&lt;=MAX(DATE(Summary!$C$12,12,31),Summary!$C$15))*('Dvd Calendar'!$Y$2450&lt;=Summary!$C$11)=0,"",'Dvd Calendar'!$Y$2450*1000000000+ISNUMBER('Dvd Calendar'!$Y$2451)*100000000+('Dvd Calendar'!$Y$2455='Field Check'!$C$25)*10000000+(N('Dvd Calendar'!$Y$2449)&gt;0)*1000000+23*1000+21))</f>
        <v/>
      </c>
      <c r="X179" s="41">
        <f>IF(N('Dvd Calendar'!$Z$2450)=0,"",IF(('Dvd Calendar'!$Z$2450&gt;=MIN(DATE(Summary!$C$12,1,1),Summary!$C$11))*('Dvd Calendar'!$Z$2450&lt;=MAX(DATE(Summary!$C$12,12,31),Summary!$C$15))*('Dvd Calendar'!$Z$2450&lt;=Summary!$C$11)=0,"",'Dvd Calendar'!$Z$2450*1000000000+ISNUMBER('Dvd Calendar'!$Z$2451)*100000000+('Dvd Calendar'!$Z$2455='Field Check'!$C$25)*10000000+(N('Dvd Calendar'!$Z$2449)&gt;0)*1000000+23*1000+22))</f>
        <v/>
      </c>
      <c r="Y179" s="41">
        <f>IF(N('Dvd Calendar'!$AA$2450)=0,"",IF(('Dvd Calendar'!$AA$2450&gt;=MIN(DATE(Summary!$C$12,1,1),Summary!$C$11))*('Dvd Calendar'!$AA$2450&lt;=MAX(DATE(Summary!$C$12,12,31),Summary!$C$15))*('Dvd Calendar'!$AA$2450&lt;=Summary!$C$11)=0,"",'Dvd Calendar'!$AA$2450*1000000000+ISNUMBER('Dvd Calendar'!$AA$2451)*100000000+('Dvd Calendar'!$AA$2455='Field Check'!$C$25)*10000000+(N('Dvd Calendar'!$AA$2449)&gt;0)*1000000+23*1000+23))</f>
        <v/>
      </c>
      <c r="Z179" s="41">
        <f>IF(N('Dvd Calendar'!$AB$2450)=0,"",IF(('Dvd Calendar'!$AB$2450&gt;=MIN(DATE(Summary!$C$12,1,1),Summary!$C$11))*('Dvd Calendar'!$AB$2450&lt;=MAX(DATE(Summary!$C$12,12,31),Summary!$C$15))*('Dvd Calendar'!$AB$2450&lt;=Summary!$C$11)=0,"",'Dvd Calendar'!$AB$2450*1000000000+ISNUMBER('Dvd Calendar'!$AB$2451)*100000000+('Dvd Calendar'!$AB$2455='Field Check'!$C$25)*10000000+(N('Dvd Calendar'!$AB$2449)&gt;0)*1000000+23*1000+24))</f>
        <v/>
      </c>
      <c r="AA179" s="41">
        <f>IF(N('Dvd Calendar'!$AC$2450)=0,"",IF(('Dvd Calendar'!$AC$2450&gt;=MIN(DATE(Summary!$C$12,1,1),Summary!$C$11))*('Dvd Calendar'!$AC$2450&lt;=MAX(DATE(Summary!$C$12,12,31),Summary!$C$15))*('Dvd Calendar'!$AC$2450&lt;=Summary!$C$11)=0,"",'Dvd Calendar'!$AC$2450*1000000000+ISNUMBER('Dvd Calendar'!$AC$2451)*100000000+('Dvd Calendar'!$AC$2455='Field Check'!$C$25)*10000000+(N('Dvd Calendar'!$AC$2449)&gt;0)*1000000+23*1000+25))</f>
        <v/>
      </c>
      <c r="AB179" s="41">
        <f>IF(N('Dvd Calendar'!$AD$2450)=0,"",IF(('Dvd Calendar'!$AD$2450&gt;=MIN(DATE(Summary!$C$12,1,1),Summary!$C$11))*('Dvd Calendar'!$AD$2450&lt;=MAX(DATE(Summary!$C$12,12,31),Summary!$C$15))*('Dvd Calendar'!$AD$2450&lt;=Summary!$C$11)=0,"",'Dvd Calendar'!$AD$2450*1000000000+ISNUMBER('Dvd Calendar'!$AD$2451)*100000000+('Dvd Calendar'!$AD$2455='Field Check'!$C$25)*10000000+(N('Dvd Calendar'!$AD$2449)&gt;0)*1000000+23*1000+26))</f>
        <v/>
      </c>
      <c r="AC179" s="41">
        <f>IF(N('Dvd Calendar'!$AE$2450)=0,"",IF(('Dvd Calendar'!$AE$2450&gt;=MIN(DATE(Summary!$C$12,1,1),Summary!$C$11))*('Dvd Calendar'!$AE$2450&lt;=MAX(DATE(Summary!$C$12,12,31),Summary!$C$15))*('Dvd Calendar'!$AE$2450&lt;=Summary!$C$11)=0,"",'Dvd Calendar'!$AE$2450*1000000000+ISNUMBER('Dvd Calendar'!$AE$2451)*100000000+('Dvd Calendar'!$AE$2455='Field Check'!$C$25)*10000000+(N('Dvd Calendar'!$AE$2449)&gt;0)*1000000+23*1000+27))</f>
        <v/>
      </c>
      <c r="AD179" s="41">
        <f>IF(N('Dvd Calendar'!$AF$2450)=0,"",IF(('Dvd Calendar'!$AF$2450&gt;=MIN(DATE(Summary!$C$12,1,1),Summary!$C$11))*('Dvd Calendar'!$AF$2450&lt;=MAX(DATE(Summary!$C$12,12,31),Summary!$C$15))*('Dvd Calendar'!$AF$2450&lt;=Summary!$C$11)=0,"",'Dvd Calendar'!$AF$2450*1000000000+ISNUMBER('Dvd Calendar'!$AF$2451)*100000000+('Dvd Calendar'!$AF$2455='Field Check'!$C$25)*10000000+(N('Dvd Calendar'!$AF$2449)&gt;0)*1000000+23*1000+28))</f>
        <v/>
      </c>
      <c r="AE179" s="41">
        <f>IF(N('Dvd Calendar'!$AG$2450)=0,"",IF(('Dvd Calendar'!$AG$2450&gt;=MIN(DATE(Summary!$C$12,1,1),Summary!$C$11))*('Dvd Calendar'!$AG$2450&lt;=MAX(DATE(Summary!$C$12,12,31),Summary!$C$15))*('Dvd Calendar'!$AG$2450&lt;=Summary!$C$11)=0,"",'Dvd Calendar'!$AG$2450*1000000000+ISNUMBER('Dvd Calendar'!$AG$2451)*100000000+('Dvd Calendar'!$AG$2455='Field Check'!$C$25)*10000000+(N('Dvd Calendar'!$AG$2449)&gt;0)*1000000+23*1000+29))</f>
        <v/>
      </c>
      <c r="AF179" s="41">
        <f>IF(N('Dvd Calendar'!$AH$2450)=0,"",IF(('Dvd Calendar'!$AH$2450&gt;=MIN(DATE(Summary!$C$12,1,1),Summary!$C$11))*('Dvd Calendar'!$AH$2450&lt;=MAX(DATE(Summary!$C$12,12,31),Summary!$C$15))*('Dvd Calendar'!$AH$2450&lt;=Summary!$C$11)=0,"",'Dvd Calendar'!$AH$2450*1000000000+ISNUMBER('Dvd Calendar'!$AH$2451)*100000000+('Dvd Calendar'!$AH$2455='Field Check'!$C$25)*10000000+(N('Dvd Calendar'!$AH$2449)&gt;0)*1000000+23*1000+30))</f>
        <v/>
      </c>
      <c r="AG179" s="41">
        <f>IF(N('Dvd Calendar'!$AI$2450)=0,"",IF(('Dvd Calendar'!$AI$2450&gt;=MIN(DATE(Summary!$C$12,1,1),Summary!$C$11))*('Dvd Calendar'!$AI$2450&lt;=MAX(DATE(Summary!$C$12,12,31),Summary!$C$15))*('Dvd Calendar'!$AI$2450&lt;=Summary!$C$11)=0,"",'Dvd Calendar'!$AI$2450*1000000000+ISNUMBER('Dvd Calendar'!$AI$2451)*100000000+('Dvd Calendar'!$AI$2455='Field Check'!$C$25)*10000000+(N('Dvd Calendar'!$AI$2449)&gt;0)*1000000+23*1000+31))</f>
        <v/>
      </c>
      <c r="AH179" s="41">
        <f>IF(N('Dvd Calendar'!$AJ$2450)=0,"",IF(('Dvd Calendar'!$AJ$2450&gt;=MIN(DATE(Summary!$C$12,1,1),Summary!$C$11))*('Dvd Calendar'!$AJ$2450&lt;=MAX(DATE(Summary!$C$12,12,31),Summary!$C$15))*('Dvd Calendar'!$AJ$2450&lt;=Summary!$C$11)=0,"",'Dvd Calendar'!$AJ$2450*1000000000+ISNUMBER('Dvd Calendar'!$AJ$2451)*100000000+('Dvd Calendar'!$AJ$2455='Field Check'!$C$25)*10000000+(N('Dvd Calendar'!$AJ$2449)&gt;0)*1000000+23*1000+32))</f>
        <v/>
      </c>
      <c r="AI179" s="41">
        <f>IF(N('Dvd Calendar'!$AK$2450)=0,"",IF(('Dvd Calendar'!$AK$2450&gt;=MIN(DATE(Summary!$C$12,1,1),Summary!$C$11))*('Dvd Calendar'!$AK$2450&lt;=MAX(DATE(Summary!$C$12,12,31),Summary!$C$15))*('Dvd Calendar'!$AK$2450&lt;=Summary!$C$11)=0,"",'Dvd Calendar'!$AK$2450*1000000000+ISNUMBER('Dvd Calendar'!$AK$2451)*100000000+('Dvd Calendar'!$AK$2455='Field Check'!$C$25)*10000000+(N('Dvd Calendar'!$AK$2449)&gt;0)*1000000+23*1000+33))</f>
        <v/>
      </c>
      <c r="AJ179" s="41">
        <f>IF(N('Dvd Calendar'!$AL$2450)=0,"",IF(('Dvd Calendar'!$AL$2450&gt;=MIN(DATE(Summary!$C$12,1,1),Summary!$C$11))*('Dvd Calendar'!$AL$2450&lt;=MAX(DATE(Summary!$C$12,12,31),Summary!$C$15))*('Dvd Calendar'!$AL$2450&lt;=Summary!$C$11)=0,"",'Dvd Calendar'!$AL$2450*1000000000+ISNUMBER('Dvd Calendar'!$AL$2451)*100000000+('Dvd Calendar'!$AL$2455='Field Check'!$C$25)*10000000+(N('Dvd Calendar'!$AL$2449)&gt;0)*1000000+23*1000+34))</f>
        <v/>
      </c>
      <c r="AK179" s="41">
        <f>IF(N('Dvd Calendar'!$AM$2450)=0,"",IF(('Dvd Calendar'!$AM$2450&gt;=MIN(DATE(Summary!$C$12,1,1),Summary!$C$11))*('Dvd Calendar'!$AM$2450&lt;=MAX(DATE(Summary!$C$12,12,31),Summary!$C$15))*('Dvd Calendar'!$AM$2450&lt;=Summary!$C$11)=0,"",'Dvd Calendar'!$AM$2450*1000000000+ISNUMBER('Dvd Calendar'!$AM$2451)*100000000+('Dvd Calendar'!$AM$2455='Field Check'!$C$25)*10000000+(N('Dvd Calendar'!$AM$2449)&gt;0)*1000000+23*1000+35))</f>
        <v/>
      </c>
      <c r="AL179" s="41">
        <f>IF(N('Dvd Calendar'!$AN$2450)=0,"",IF(('Dvd Calendar'!$AN$2450&gt;=MIN(DATE(Summary!$C$12,1,1),Summary!$C$11))*('Dvd Calendar'!$AN$2450&lt;=MAX(DATE(Summary!$C$12,12,31),Summary!$C$15))*('Dvd Calendar'!$AN$2450&lt;=Summary!$C$11)=0,"",'Dvd Calendar'!$AN$2450*1000000000+ISNUMBER('Dvd Calendar'!$AN$2451)*100000000+('Dvd Calendar'!$AN$2455='Field Check'!$C$25)*10000000+(N('Dvd Calendar'!$AN$2449)&gt;0)*1000000+23*1000+36))</f>
        <v/>
      </c>
      <c r="AM179" s="41">
        <f>IF(N('Dvd Calendar'!$AO$2450)=0,"",IF(('Dvd Calendar'!$AO$2450&gt;=MIN(DATE(Summary!$C$12,1,1),Summary!$C$11))*('Dvd Calendar'!$AO$2450&lt;=MAX(DATE(Summary!$C$12,12,31),Summary!$C$15))*('Dvd Calendar'!$AO$2450&lt;=Summary!$C$11)=0,"",'Dvd Calendar'!$AO$2450*1000000000+ISNUMBER('Dvd Calendar'!$AO$2451)*100000000+('Dvd Calendar'!$AO$2455='Field Check'!$C$25)*10000000+(N('Dvd Calendar'!$AO$2449)&gt;0)*1000000+23*1000+37))</f>
        <v/>
      </c>
      <c r="AN179" s="41">
        <f>IF(N('Dvd Calendar'!$AP$2450)=0,"",IF(('Dvd Calendar'!$AP$2450&gt;=MIN(DATE(Summary!$C$12,1,1),Summary!$C$11))*('Dvd Calendar'!$AP$2450&lt;=MAX(DATE(Summary!$C$12,12,31),Summary!$C$15))*('Dvd Calendar'!$AP$2450&lt;=Summary!$C$11)=0,"",'Dvd Calendar'!$AP$2450*1000000000+ISNUMBER('Dvd Calendar'!$AP$2451)*100000000+('Dvd Calendar'!$AP$2455='Field Check'!$C$25)*10000000+(N('Dvd Calendar'!$AP$2449)&gt;0)*1000000+23*1000+38))</f>
        <v/>
      </c>
      <c r="AO179" s="41">
        <f>IF(N('Dvd Calendar'!$AQ$2450)=0,"",IF(('Dvd Calendar'!$AQ$2450&gt;=MIN(DATE(Summary!$C$12,1,1),Summary!$C$11))*('Dvd Calendar'!$AQ$2450&lt;=MAX(DATE(Summary!$C$12,12,31),Summary!$C$15))*('Dvd Calendar'!$AQ$2450&lt;=Summary!$C$11)=0,"",'Dvd Calendar'!$AQ$2450*1000000000+ISNUMBER('Dvd Calendar'!$AQ$2451)*100000000+('Dvd Calendar'!$AQ$2455='Field Check'!$C$25)*10000000+(N('Dvd Calendar'!$AQ$2449)&gt;0)*1000000+23*1000+39))</f>
        <v/>
      </c>
      <c r="AP179" s="41">
        <f>IF(N('Dvd Calendar'!$AR$2450)=0,"",IF(('Dvd Calendar'!$AR$2450&gt;=MIN(DATE(Summary!$C$12,1,1),Summary!$C$11))*('Dvd Calendar'!$AR$2450&lt;=MAX(DATE(Summary!$C$12,12,31),Summary!$C$15))*('Dvd Calendar'!$AR$2450&lt;=Summary!$C$11)=0,"",'Dvd Calendar'!$AR$2450*1000000000+ISNUMBER('Dvd Calendar'!$AR$2451)*100000000+('Dvd Calendar'!$AR$2455='Field Check'!$C$25)*10000000+(N('Dvd Calendar'!$AR$2449)&gt;0)*1000000+23*1000+40))</f>
        <v/>
      </c>
      <c r="AQ179" s="41">
        <f>IF(N('Dvd Calendar'!$E$2457)=0,"",IF(('Dvd Calendar'!$E$2457&gt;=MIN(DATE(Summary!$C$12,1,1),Summary!$C$11))*('Dvd Calendar'!$E$2457&lt;=MAX(DATE(Summary!$C$12,12,31),Summary!$C$15))*('Dvd Calendar'!$E$2457&gt;Summary!$C$11)=0,"",'Dvd Calendar'!$E$2457*1000000000+ISNUMBER('Dvd Calendar'!$E$2458)*100000000+('Dvd Calendar'!$E$2462='Field Check'!$C$25)*10000000+(N('Dvd Calendar'!$E$2456)&gt;0)*1000000+23*1000+41))</f>
        <v/>
      </c>
      <c r="AR179" s="41">
        <f>IF(N('Dvd Calendar'!$F$2457)=0,"",IF(('Dvd Calendar'!$F$2457&gt;=MIN(DATE(Summary!$C$12,1,1),Summary!$C$11))*('Dvd Calendar'!$F$2457&lt;=MAX(DATE(Summary!$C$12,12,31),Summary!$C$15))*('Dvd Calendar'!$F$2457&gt;Summary!$C$11)=0,"",'Dvd Calendar'!$F$2457*1000000000+ISNUMBER('Dvd Calendar'!$F$2458)*100000000+('Dvd Calendar'!$F$2462='Field Check'!$C$25)*10000000+(N('Dvd Calendar'!$F$2456)&gt;0)*1000000+23*1000+42))</f>
        <v/>
      </c>
      <c r="AS179" s="41">
        <f>IF(N('Dvd Calendar'!$G$2457)=0,"",IF(('Dvd Calendar'!$G$2457&gt;=MIN(DATE(Summary!$C$12,1,1),Summary!$C$11))*('Dvd Calendar'!$G$2457&lt;=MAX(DATE(Summary!$C$12,12,31),Summary!$C$15))*('Dvd Calendar'!$G$2457&gt;Summary!$C$11)=0,"",'Dvd Calendar'!$G$2457*1000000000+ISNUMBER('Dvd Calendar'!$G$2458)*100000000+('Dvd Calendar'!$G$2462='Field Check'!$C$25)*10000000+(N('Dvd Calendar'!$G$2456)&gt;0)*1000000+23*1000+43))</f>
        <v/>
      </c>
      <c r="AT179" s="41">
        <f>IF(N('Dvd Calendar'!$H$2457)=0,"",IF(('Dvd Calendar'!$H$2457&gt;=MIN(DATE(Summary!$C$12,1,1),Summary!$C$11))*('Dvd Calendar'!$H$2457&lt;=MAX(DATE(Summary!$C$12,12,31),Summary!$C$15))*('Dvd Calendar'!$H$2457&gt;Summary!$C$11)=0,"",'Dvd Calendar'!$H$2457*1000000000+ISNUMBER('Dvd Calendar'!$H$2458)*100000000+('Dvd Calendar'!$H$2462='Field Check'!$C$25)*10000000+(N('Dvd Calendar'!$H$2456)&gt;0)*1000000+23*1000+44))</f>
        <v/>
      </c>
      <c r="AU179" s="41">
        <f>IF(N('Dvd Calendar'!$I$2457)=0,"",IF(('Dvd Calendar'!$I$2457&gt;=MIN(DATE(Summary!$C$12,1,1),Summary!$C$11))*('Dvd Calendar'!$I$2457&lt;=MAX(DATE(Summary!$C$12,12,31),Summary!$C$15))*('Dvd Calendar'!$I$2457&gt;Summary!$C$11)=0,"",'Dvd Calendar'!$I$2457*1000000000+ISNUMBER('Dvd Calendar'!$I$2458)*100000000+('Dvd Calendar'!$I$2462='Field Check'!$C$25)*10000000+(N('Dvd Calendar'!$I$2456)&gt;0)*1000000+23*1000+45))</f>
        <v/>
      </c>
      <c r="AV179" s="41">
        <f>IF(N('Dvd Calendar'!$J$2457)=0,"",IF(('Dvd Calendar'!$J$2457&gt;=MIN(DATE(Summary!$C$12,1,1),Summary!$C$11))*('Dvd Calendar'!$J$2457&lt;=MAX(DATE(Summary!$C$12,12,31),Summary!$C$15))*('Dvd Calendar'!$J$2457&gt;Summary!$C$11)=0,"",'Dvd Calendar'!$J$2457*1000000000+ISNUMBER('Dvd Calendar'!$J$2458)*100000000+('Dvd Calendar'!$J$2462='Field Check'!$C$25)*10000000+(N('Dvd Calendar'!$J$2456)&gt;0)*1000000+23*1000+46))</f>
        <v/>
      </c>
      <c r="AW179" s="41">
        <f>IF(N('Dvd Calendar'!$K$2457)=0,"",IF(('Dvd Calendar'!$K$2457&gt;=MIN(DATE(Summary!$C$12,1,1),Summary!$C$11))*('Dvd Calendar'!$K$2457&lt;=MAX(DATE(Summary!$C$12,12,31),Summary!$C$15))*('Dvd Calendar'!$K$2457&gt;Summary!$C$11)=0,"",'Dvd Calendar'!$K$2457*1000000000+ISNUMBER('Dvd Calendar'!$K$2458)*100000000+('Dvd Calendar'!$K$2462='Field Check'!$C$25)*10000000+(N('Dvd Calendar'!$K$2456)&gt;0)*1000000+23*1000+47))</f>
        <v/>
      </c>
      <c r="AX179" s="41">
        <f>IF(N('Dvd Calendar'!$L$2457)=0,"",IF(('Dvd Calendar'!$L$2457&gt;=MIN(DATE(Summary!$C$12,1,1),Summary!$C$11))*('Dvd Calendar'!$L$2457&lt;=MAX(DATE(Summary!$C$12,12,31),Summary!$C$15))*('Dvd Calendar'!$L$2457&gt;Summary!$C$11)=0,"",'Dvd Calendar'!$L$2457*1000000000+ISNUMBER('Dvd Calendar'!$L$2458)*100000000+('Dvd Calendar'!$L$2462='Field Check'!$C$25)*10000000+(N('Dvd Calendar'!$L$2456)&gt;0)*1000000+23*1000+48))</f>
        <v/>
      </c>
      <c r="AY179" s="41">
        <f>IF(N('Dvd Calendar'!$M$2457)=0,"",IF(('Dvd Calendar'!$M$2457&gt;=MIN(DATE(Summary!$C$12,1,1),Summary!$C$11))*('Dvd Calendar'!$M$2457&lt;=MAX(DATE(Summary!$C$12,12,31),Summary!$C$15))*('Dvd Calendar'!$M$2457&gt;Summary!$C$11)=0,"",'Dvd Calendar'!$M$2457*1000000000+ISNUMBER('Dvd Calendar'!$M$2458)*100000000+('Dvd Calendar'!$M$2462='Field Check'!$C$25)*10000000+(N('Dvd Calendar'!$M$2456)&gt;0)*1000000+23*1000+49))</f>
        <v/>
      </c>
      <c r="AZ179" s="41">
        <f>IF(N('Dvd Calendar'!$N$2457)=0,"",IF(('Dvd Calendar'!$N$2457&gt;=MIN(DATE(Summary!$C$12,1,1),Summary!$C$11))*('Dvd Calendar'!$N$2457&lt;=MAX(DATE(Summary!$C$12,12,31),Summary!$C$15))*('Dvd Calendar'!$N$2457&gt;Summary!$C$11)=0,"",'Dvd Calendar'!$N$2457*1000000000+ISNUMBER('Dvd Calendar'!$N$2458)*100000000+('Dvd Calendar'!$N$2462='Field Check'!$C$25)*10000000+(N('Dvd Calendar'!$N$2456)&gt;0)*1000000+23*1000+50))</f>
        <v/>
      </c>
      <c r="BA179" s="41">
        <f>IF(N('Dvd Calendar'!$O$2457)=0,"",IF(('Dvd Calendar'!$O$2457&gt;=MIN(DATE(Summary!$C$12,1,1),Summary!$C$11))*('Dvd Calendar'!$O$2457&lt;=MAX(DATE(Summary!$C$12,12,31),Summary!$C$15))*('Dvd Calendar'!$O$2457&gt;Summary!$C$11)=0,"",'Dvd Calendar'!$O$2457*1000000000+ISNUMBER('Dvd Calendar'!$O$2458)*100000000+('Dvd Calendar'!$O$2462='Field Check'!$C$25)*10000000+(N('Dvd Calendar'!$O$2456)&gt;0)*1000000+23*1000+51))</f>
        <v/>
      </c>
      <c r="BB179" s="41">
        <f>IF(N('Dvd Calendar'!$P$2457)=0,"",IF(('Dvd Calendar'!$P$2457&gt;=MIN(DATE(Summary!$C$12,1,1),Summary!$C$11))*('Dvd Calendar'!$P$2457&lt;=MAX(DATE(Summary!$C$12,12,31),Summary!$C$15))*('Dvd Calendar'!$P$2457&gt;Summary!$C$11)=0,"",'Dvd Calendar'!$P$2457*1000000000+ISNUMBER('Dvd Calendar'!$P$2458)*100000000+('Dvd Calendar'!$P$2462='Field Check'!$C$25)*10000000+(N('Dvd Calendar'!$P$2456)&gt;0)*1000000+23*1000+52))</f>
        <v/>
      </c>
      <c r="BC179" s="41">
        <f>IF(N('Dvd Calendar'!$Q$2457)=0,"",IF(('Dvd Calendar'!$Q$2457&gt;=MIN(DATE(Summary!$C$12,1,1),Summary!$C$11))*('Dvd Calendar'!$Q$2457&lt;=MAX(DATE(Summary!$C$12,12,31),Summary!$C$15))*('Dvd Calendar'!$Q$2457&gt;Summary!$C$11)=0,"",'Dvd Calendar'!$Q$2457*1000000000+ISNUMBER('Dvd Calendar'!$Q$2458)*100000000+('Dvd Calendar'!$Q$2462='Field Check'!$C$25)*10000000+(N('Dvd Calendar'!$Q$2456)&gt;0)*1000000+23*1000+53))</f>
        <v/>
      </c>
      <c r="BD179" s="41">
        <f>IF(N('Dvd Calendar'!$R$2457)=0,"",IF(('Dvd Calendar'!$R$2457&gt;=MIN(DATE(Summary!$C$12,1,1),Summary!$C$11))*('Dvd Calendar'!$R$2457&lt;=MAX(DATE(Summary!$C$12,12,31),Summary!$C$15))*('Dvd Calendar'!$R$2457&gt;Summary!$C$11)=0,"",'Dvd Calendar'!$R$2457*1000000000+ISNUMBER('Dvd Calendar'!$R$2458)*100000000+('Dvd Calendar'!$R$2462='Field Check'!$C$25)*10000000+(N('Dvd Calendar'!$R$2456)&gt;0)*1000000+23*1000+54))</f>
        <v/>
      </c>
      <c r="BE179" s="41">
        <f>IF(N('Dvd Calendar'!$S$2457)=0,"",IF(('Dvd Calendar'!$S$2457&gt;=MIN(DATE(Summary!$C$12,1,1),Summary!$C$11))*('Dvd Calendar'!$S$2457&lt;=MAX(DATE(Summary!$C$12,12,31),Summary!$C$15))*('Dvd Calendar'!$S$2457&gt;Summary!$C$11)=0,"",'Dvd Calendar'!$S$2457*1000000000+ISNUMBER('Dvd Calendar'!$S$2458)*100000000+('Dvd Calendar'!$S$2462='Field Check'!$C$25)*10000000+(N('Dvd Calendar'!$S$2456)&gt;0)*1000000+23*1000+55))</f>
        <v/>
      </c>
      <c r="BF179" s="41">
        <f>IF(N('Dvd Calendar'!$T$2457)=0,"",IF(('Dvd Calendar'!$T$2457&gt;=MIN(DATE(Summary!$C$12,1,1),Summary!$C$11))*('Dvd Calendar'!$T$2457&lt;=MAX(DATE(Summary!$C$12,12,31),Summary!$C$15))*('Dvd Calendar'!$T$2457&gt;Summary!$C$11)=0,"",'Dvd Calendar'!$T$2457*1000000000+ISNUMBER('Dvd Calendar'!$T$2458)*100000000+('Dvd Calendar'!$T$2462='Field Check'!$C$25)*10000000+(N('Dvd Calendar'!$T$2456)&gt;0)*1000000+23*1000+56))</f>
        <v/>
      </c>
      <c r="BG179" s="41">
        <f>IF(N('Dvd Calendar'!$U$2457)=0,"",IF(('Dvd Calendar'!$U$2457&gt;=MIN(DATE(Summary!$C$12,1,1),Summary!$C$11))*('Dvd Calendar'!$U$2457&lt;=MAX(DATE(Summary!$C$12,12,31),Summary!$C$15))*('Dvd Calendar'!$U$2457&gt;Summary!$C$11)=0,"",'Dvd Calendar'!$U$2457*1000000000+ISNUMBER('Dvd Calendar'!$U$2458)*100000000+('Dvd Calendar'!$U$2462='Field Check'!$C$25)*10000000+(N('Dvd Calendar'!$U$2456)&gt;0)*1000000+23*1000+57))</f>
        <v/>
      </c>
      <c r="BH179" s="41">
        <f>IF(N('Dvd Calendar'!$V$2457)=0,"",IF(('Dvd Calendar'!$V$2457&gt;=MIN(DATE(Summary!$C$12,1,1),Summary!$C$11))*('Dvd Calendar'!$V$2457&lt;=MAX(DATE(Summary!$C$12,12,31),Summary!$C$15))*('Dvd Calendar'!$V$2457&gt;Summary!$C$11)=0,"",'Dvd Calendar'!$V$2457*1000000000+ISNUMBER('Dvd Calendar'!$V$2458)*100000000+('Dvd Calendar'!$V$2462='Field Check'!$C$25)*10000000+(N('Dvd Calendar'!$V$2456)&gt;0)*1000000+23*1000+58))</f>
        <v/>
      </c>
      <c r="BI179" s="41">
        <f>IF(N('Dvd Calendar'!$W$2457)=0,"",IF(('Dvd Calendar'!$W$2457&gt;=MIN(DATE(Summary!$C$12,1,1),Summary!$C$11))*('Dvd Calendar'!$W$2457&lt;=MAX(DATE(Summary!$C$12,12,31),Summary!$C$15))*('Dvd Calendar'!$W$2457&gt;Summary!$C$11)=0,"",'Dvd Calendar'!$W$2457*1000000000+ISNUMBER('Dvd Calendar'!$W$2458)*100000000+('Dvd Calendar'!$W$2462='Field Check'!$C$25)*10000000+(N('Dvd Calendar'!$W$2456)&gt;0)*1000000+23*1000+59))</f>
        <v/>
      </c>
      <c r="BJ179" s="41">
        <f>IF(N('Dvd Calendar'!$X$2457)=0,"",IF(('Dvd Calendar'!$X$2457&gt;=MIN(DATE(Summary!$C$12,1,1),Summary!$C$11))*('Dvd Calendar'!$X$2457&lt;=MAX(DATE(Summary!$C$12,12,31),Summary!$C$15))*('Dvd Calendar'!$X$2457&gt;Summary!$C$11)=0,"",'Dvd Calendar'!$X$2457*1000000000+ISNUMBER('Dvd Calendar'!$X$2458)*100000000+('Dvd Calendar'!$X$2462='Field Check'!$C$25)*10000000+(N('Dvd Calendar'!$X$2456)&gt;0)*1000000+23*1000+60))</f>
        <v/>
      </c>
      <c r="BK179" s="41">
        <f>IF(N('Dvd Calendar'!$Y$2457)=0,"",IF(('Dvd Calendar'!$Y$2457&gt;=MIN(DATE(Summary!$C$12,1,1),Summary!$C$11))*('Dvd Calendar'!$Y$2457&lt;=MAX(DATE(Summary!$C$12,12,31),Summary!$C$15))*('Dvd Calendar'!$Y$2457&gt;Summary!$C$11)=0,"",'Dvd Calendar'!$Y$2457*1000000000+ISNUMBER('Dvd Calendar'!$Y$2458)*100000000+('Dvd Calendar'!$Y$2462='Field Check'!$C$25)*10000000+(N('Dvd Calendar'!$Y$2456)&gt;0)*1000000+23*1000+61))</f>
        <v/>
      </c>
      <c r="BL179" s="41">
        <f>IF(N('Dvd Calendar'!$Z$2457)=0,"",IF(('Dvd Calendar'!$Z$2457&gt;=MIN(DATE(Summary!$C$12,1,1),Summary!$C$11))*('Dvd Calendar'!$Z$2457&lt;=MAX(DATE(Summary!$C$12,12,31),Summary!$C$15))*('Dvd Calendar'!$Z$2457&gt;Summary!$C$11)=0,"",'Dvd Calendar'!$Z$2457*1000000000+ISNUMBER('Dvd Calendar'!$Z$2458)*100000000+('Dvd Calendar'!$Z$2462='Field Check'!$C$25)*10000000+(N('Dvd Calendar'!$Z$2456)&gt;0)*1000000+23*1000+62))</f>
        <v/>
      </c>
      <c r="BM179" s="41">
        <f>IF(N('Dvd Calendar'!$AA$2457)=0,"",IF(('Dvd Calendar'!$AA$2457&gt;=MIN(DATE(Summary!$C$12,1,1),Summary!$C$11))*('Dvd Calendar'!$AA$2457&lt;=MAX(DATE(Summary!$C$12,12,31),Summary!$C$15))*('Dvd Calendar'!$AA$2457&gt;Summary!$C$11)=0,"",'Dvd Calendar'!$AA$2457*1000000000+ISNUMBER('Dvd Calendar'!$AA$2458)*100000000+('Dvd Calendar'!$AA$2462='Field Check'!$C$25)*10000000+(N('Dvd Calendar'!$AA$2456)&gt;0)*1000000+23*1000+63))</f>
        <v/>
      </c>
      <c r="BN179" s="41">
        <f>IF(N('Dvd Calendar'!$AB$2457)=0,"",IF(('Dvd Calendar'!$AB$2457&gt;=MIN(DATE(Summary!$C$12,1,1),Summary!$C$11))*('Dvd Calendar'!$AB$2457&lt;=MAX(DATE(Summary!$C$12,12,31),Summary!$C$15))*('Dvd Calendar'!$AB$2457&gt;Summary!$C$11)=0,"",'Dvd Calendar'!$AB$2457*1000000000+ISNUMBER('Dvd Calendar'!$AB$2458)*100000000+('Dvd Calendar'!$AB$2462='Field Check'!$C$25)*10000000+(N('Dvd Calendar'!$AB$2456)&gt;0)*1000000+23*1000+64))</f>
        <v/>
      </c>
      <c r="BO179" s="41">
        <f>IF(N('Dvd Calendar'!$AC$2457)=0,"",IF(('Dvd Calendar'!$AC$2457&gt;=MIN(DATE(Summary!$C$12,1,1),Summary!$C$11))*('Dvd Calendar'!$AC$2457&lt;=MAX(DATE(Summary!$C$12,12,31),Summary!$C$15))*('Dvd Calendar'!$AC$2457&gt;Summary!$C$11)=0,"",'Dvd Calendar'!$AC$2457*1000000000+ISNUMBER('Dvd Calendar'!$AC$2458)*100000000+('Dvd Calendar'!$AC$2462='Field Check'!$C$25)*10000000+(N('Dvd Calendar'!$AC$2456)&gt;0)*1000000+23*1000+65))</f>
        <v/>
      </c>
      <c r="BQ179" s="85">
        <f>IF(C179="","",IF(ISNUMBER('Dvd Calendar'!$E$2451)=FALSE,"",IF((Summary!$C$13="N")*('Dvd Calendar'!$E$2455='Field Check'!$C$25)&gt;0,"",'Dvd Calendar'!$E$2451)))</f>
        <v/>
      </c>
      <c r="BR179" s="85">
        <f>IF(D179="","",IF(ISNUMBER('Dvd Calendar'!$F$2451)=FALSE,"",IF((Summary!$C$13="N")*('Dvd Calendar'!$F$2455='Field Check'!$C$25)&gt;0,"",'Dvd Calendar'!$F$2451)))</f>
        <v/>
      </c>
      <c r="BS179" s="85">
        <f>IF(E179="","",IF(ISNUMBER('Dvd Calendar'!$G$2451)=FALSE,"",IF((Summary!$C$13="N")*('Dvd Calendar'!$G$2455='Field Check'!$C$25)&gt;0,"",'Dvd Calendar'!$G$2451)))</f>
        <v/>
      </c>
      <c r="BT179" s="85">
        <f>IF(F179="","",IF(ISNUMBER('Dvd Calendar'!$H$2451)=FALSE,"",IF((Summary!$C$13="N")*('Dvd Calendar'!$H$2455='Field Check'!$C$25)&gt;0,"",'Dvd Calendar'!$H$2451)))</f>
        <v/>
      </c>
      <c r="BU179" s="85">
        <f>IF(G179="","",IF(ISNUMBER('Dvd Calendar'!$I$2451)=FALSE,"",IF((Summary!$C$13="N")*('Dvd Calendar'!$I$2455='Field Check'!$C$25)&gt;0,"",'Dvd Calendar'!$I$2451)))</f>
        <v/>
      </c>
      <c r="BV179" s="85">
        <f>IF(H179="","",IF(ISNUMBER('Dvd Calendar'!$J$2451)=FALSE,"",IF((Summary!$C$13="N")*('Dvd Calendar'!$J$2455='Field Check'!$C$25)&gt;0,"",'Dvd Calendar'!$J$2451)))</f>
        <v/>
      </c>
      <c r="BW179" s="85">
        <f>IF(I179="","",IF(ISNUMBER('Dvd Calendar'!$K$2451)=FALSE,"",IF((Summary!$C$13="N")*('Dvd Calendar'!$K$2455='Field Check'!$C$25)&gt;0,"",'Dvd Calendar'!$K$2451)))</f>
        <v/>
      </c>
      <c r="BX179" s="85">
        <f>IF(J179="","",IF(ISNUMBER('Dvd Calendar'!$L$2451)=FALSE,"",IF((Summary!$C$13="N")*('Dvd Calendar'!$L$2455='Field Check'!$C$25)&gt;0,"",'Dvd Calendar'!$L$2451)))</f>
        <v/>
      </c>
      <c r="BY179" s="85">
        <f>IF(K179="","",IF(ISNUMBER('Dvd Calendar'!$M$2451)=FALSE,"",IF((Summary!$C$13="N")*('Dvd Calendar'!$M$2455='Field Check'!$C$25)&gt;0,"",'Dvd Calendar'!$M$2451)))</f>
        <v/>
      </c>
      <c r="BZ179" s="85">
        <f>IF(L179="","",IF(ISNUMBER('Dvd Calendar'!$N$2451)=FALSE,"",IF((Summary!$C$13="N")*('Dvd Calendar'!$N$2455='Field Check'!$C$25)&gt;0,"",'Dvd Calendar'!$N$2451)))</f>
        <v/>
      </c>
      <c r="CA179" s="85">
        <f>IF(M179="","",IF(ISNUMBER('Dvd Calendar'!$O$2451)=FALSE,"",IF((Summary!$C$13="N")*('Dvd Calendar'!$O$2455='Field Check'!$C$25)&gt;0,"",'Dvd Calendar'!$O$2451)))</f>
        <v/>
      </c>
      <c r="CB179" s="85">
        <f>IF(N179="","",IF(ISNUMBER('Dvd Calendar'!$P$2451)=FALSE,"",IF((Summary!$C$13="N")*('Dvd Calendar'!$P$2455='Field Check'!$C$25)&gt;0,"",'Dvd Calendar'!$P$2451)))</f>
        <v/>
      </c>
      <c r="CC179" s="85">
        <f>IF(O179="","",IF(ISNUMBER('Dvd Calendar'!$Q$2451)=FALSE,"",IF((Summary!$C$13="N")*('Dvd Calendar'!$Q$2455='Field Check'!$C$25)&gt;0,"",'Dvd Calendar'!$Q$2451)))</f>
        <v/>
      </c>
      <c r="CD179" s="85">
        <f>IF(P179="","",IF(ISNUMBER('Dvd Calendar'!$R$2451)=FALSE,"",IF((Summary!$C$13="N")*('Dvd Calendar'!$R$2455='Field Check'!$C$25)&gt;0,"",'Dvd Calendar'!$R$2451)))</f>
        <v/>
      </c>
      <c r="CE179" s="85">
        <f>IF(Q179="","",IF(ISNUMBER('Dvd Calendar'!$S$2451)=FALSE,"",IF((Summary!$C$13="N")*('Dvd Calendar'!$S$2455='Field Check'!$C$25)&gt;0,"",'Dvd Calendar'!$S$2451)))</f>
        <v/>
      </c>
      <c r="CF179" s="85">
        <f>IF(R179="","",IF(ISNUMBER('Dvd Calendar'!$T$2451)=FALSE,"",IF((Summary!$C$13="N")*('Dvd Calendar'!$T$2455='Field Check'!$C$25)&gt;0,"",'Dvd Calendar'!$T$2451)))</f>
        <v/>
      </c>
      <c r="CG179" s="85">
        <f>IF(S179="","",IF(ISNUMBER('Dvd Calendar'!$U$2451)=FALSE,"",IF((Summary!$C$13="N")*('Dvd Calendar'!$U$2455='Field Check'!$C$25)&gt;0,"",'Dvd Calendar'!$U$2451)))</f>
        <v/>
      </c>
      <c r="CH179" s="85">
        <f>IF(T179="","",IF(ISNUMBER('Dvd Calendar'!$V$2451)=FALSE,"",IF((Summary!$C$13="N")*('Dvd Calendar'!$V$2455='Field Check'!$C$25)&gt;0,"",'Dvd Calendar'!$V$2451)))</f>
        <v/>
      </c>
      <c r="CI179" s="85">
        <f>IF(U179="","",IF(ISNUMBER('Dvd Calendar'!$W$2451)=FALSE,"",IF((Summary!$C$13="N")*('Dvd Calendar'!$W$2455='Field Check'!$C$25)&gt;0,"",'Dvd Calendar'!$W$2451)))</f>
        <v/>
      </c>
      <c r="CJ179" s="85">
        <f>IF(V179="","",IF(ISNUMBER('Dvd Calendar'!$X$2451)=FALSE,"",IF((Summary!$C$13="N")*('Dvd Calendar'!$X$2455='Field Check'!$C$25)&gt;0,"",'Dvd Calendar'!$X$2451)))</f>
        <v/>
      </c>
      <c r="CK179" s="85">
        <f>IF(W179="","",IF(ISNUMBER('Dvd Calendar'!$Y$2451)=FALSE,"",IF((Summary!$C$13="N")*('Dvd Calendar'!$Y$2455='Field Check'!$C$25)&gt;0,"",'Dvd Calendar'!$Y$2451)))</f>
        <v/>
      </c>
      <c r="CL179" s="85">
        <f>IF(X179="","",IF(ISNUMBER('Dvd Calendar'!$Z$2451)=FALSE,"",IF((Summary!$C$13="N")*('Dvd Calendar'!$Z$2455='Field Check'!$C$25)&gt;0,"",'Dvd Calendar'!$Z$2451)))</f>
        <v/>
      </c>
      <c r="CM179" s="85">
        <f>IF(Y179="","",IF(ISNUMBER('Dvd Calendar'!$AA$2451)=FALSE,"",IF((Summary!$C$13="N")*('Dvd Calendar'!$AA$2455='Field Check'!$C$25)&gt;0,"",'Dvd Calendar'!$AA$2451)))</f>
        <v/>
      </c>
      <c r="CN179" s="85">
        <f>IF(Z179="","",IF(ISNUMBER('Dvd Calendar'!$AB$2451)=FALSE,"",IF((Summary!$C$13="N")*('Dvd Calendar'!$AB$2455='Field Check'!$C$25)&gt;0,"",'Dvd Calendar'!$AB$2451)))</f>
        <v/>
      </c>
      <c r="CO179" s="85">
        <f>IF(AA179="","",IF(ISNUMBER('Dvd Calendar'!$AC$2451)=FALSE,"",IF((Summary!$C$13="N")*('Dvd Calendar'!$AC$2455='Field Check'!$C$25)&gt;0,"",'Dvd Calendar'!$AC$2451)))</f>
        <v/>
      </c>
      <c r="CP179" s="85">
        <f>IF(AB179="","",IF(ISNUMBER('Dvd Calendar'!$AD$2451)=FALSE,"",IF((Summary!$C$13="N")*('Dvd Calendar'!$AD$2455='Field Check'!$C$25)&gt;0,"",'Dvd Calendar'!$AD$2451)))</f>
        <v/>
      </c>
      <c r="CQ179" s="85">
        <f>IF(AC179="","",IF(ISNUMBER('Dvd Calendar'!$AE$2451)=FALSE,"",IF((Summary!$C$13="N")*('Dvd Calendar'!$AE$2455='Field Check'!$C$25)&gt;0,"",'Dvd Calendar'!$AE$2451)))</f>
        <v/>
      </c>
      <c r="CR179" s="85">
        <f>IF(AD179="","",IF(ISNUMBER('Dvd Calendar'!$AF$2451)=FALSE,"",IF((Summary!$C$13="N")*('Dvd Calendar'!$AF$2455='Field Check'!$C$25)&gt;0,"",'Dvd Calendar'!$AF$2451)))</f>
        <v/>
      </c>
      <c r="CS179" s="85">
        <f>IF(AE179="","",IF(ISNUMBER('Dvd Calendar'!$AG$2451)=FALSE,"",IF((Summary!$C$13="N")*('Dvd Calendar'!$AG$2455='Field Check'!$C$25)&gt;0,"",'Dvd Calendar'!$AG$2451)))</f>
        <v/>
      </c>
      <c r="CT179" s="85">
        <f>IF(AF179="","",IF(ISNUMBER('Dvd Calendar'!$AH$2451)=FALSE,"",IF((Summary!$C$13="N")*('Dvd Calendar'!$AH$2455='Field Check'!$C$25)&gt;0,"",'Dvd Calendar'!$AH$2451)))</f>
        <v/>
      </c>
      <c r="CU179" s="85">
        <f>IF(AG179="","",IF(ISNUMBER('Dvd Calendar'!$AI$2451)=FALSE,"",IF((Summary!$C$13="N")*('Dvd Calendar'!$AI$2455='Field Check'!$C$25)&gt;0,"",'Dvd Calendar'!$AI$2451)))</f>
        <v/>
      </c>
      <c r="CV179" s="85">
        <f>IF(AH179="","",IF(ISNUMBER('Dvd Calendar'!$AJ$2451)=FALSE,"",IF((Summary!$C$13="N")*('Dvd Calendar'!$AJ$2455='Field Check'!$C$25)&gt;0,"",'Dvd Calendar'!$AJ$2451)))</f>
        <v/>
      </c>
      <c r="CW179" s="85">
        <f>IF(AI179="","",IF(ISNUMBER('Dvd Calendar'!$AK$2451)=FALSE,"",IF((Summary!$C$13="N")*('Dvd Calendar'!$AK$2455='Field Check'!$C$25)&gt;0,"",'Dvd Calendar'!$AK$2451)))</f>
        <v/>
      </c>
      <c r="CX179" s="85">
        <f>IF(AJ179="","",IF(ISNUMBER('Dvd Calendar'!$AL$2451)=FALSE,"",IF((Summary!$C$13="N")*('Dvd Calendar'!$AL$2455='Field Check'!$C$25)&gt;0,"",'Dvd Calendar'!$AL$2451)))</f>
        <v/>
      </c>
      <c r="CY179" s="85">
        <f>IF(AK179="","",IF(ISNUMBER('Dvd Calendar'!$AM$2451)=FALSE,"",IF((Summary!$C$13="N")*('Dvd Calendar'!$AM$2455='Field Check'!$C$25)&gt;0,"",'Dvd Calendar'!$AM$2451)))</f>
        <v/>
      </c>
      <c r="CZ179" s="85">
        <f>IF(AL179="","",IF(ISNUMBER('Dvd Calendar'!$AN$2451)=FALSE,"",IF((Summary!$C$13="N")*('Dvd Calendar'!$AN$2455='Field Check'!$C$25)&gt;0,"",'Dvd Calendar'!$AN$2451)))</f>
        <v/>
      </c>
      <c r="DA179" s="85">
        <f>IF(AM179="","",IF(ISNUMBER('Dvd Calendar'!$AO$2451)=FALSE,"",IF((Summary!$C$13="N")*('Dvd Calendar'!$AO$2455='Field Check'!$C$25)&gt;0,"",'Dvd Calendar'!$AO$2451)))</f>
        <v/>
      </c>
      <c r="DB179" s="85">
        <f>IF(AN179="","",IF(ISNUMBER('Dvd Calendar'!$AP$2451)=FALSE,"",IF((Summary!$C$13="N")*('Dvd Calendar'!$AP$2455='Field Check'!$C$25)&gt;0,"",'Dvd Calendar'!$AP$2451)))</f>
        <v/>
      </c>
      <c r="DC179" s="85">
        <f>IF(AO179="","",IF(ISNUMBER('Dvd Calendar'!$AQ$2451)=FALSE,"",IF((Summary!$C$13="N")*('Dvd Calendar'!$AQ$2455='Field Check'!$C$25)&gt;0,"",'Dvd Calendar'!$AQ$2451)))</f>
        <v/>
      </c>
      <c r="DD179" s="85">
        <f>IF(AP179="","",IF(ISNUMBER('Dvd Calendar'!$AR$2451)=FALSE,"",IF((Summary!$C$13="N")*('Dvd Calendar'!$AR$2455='Field Check'!$C$25)&gt;0,"",'Dvd Calendar'!$AR$2451)))</f>
        <v/>
      </c>
      <c r="DE179" s="85">
        <f>IF(AQ179="","",IF(ISNUMBER('Dvd Calendar'!$E$2458)=FALSE,"",IF((Summary!$C$13="N")*('Dvd Calendar'!$E$2462='Field Check'!$C$25)&gt;0,"",'Dvd Calendar'!$E$2458)))</f>
        <v/>
      </c>
      <c r="DF179" s="85">
        <f>IF(AR179="","",IF(ISNUMBER('Dvd Calendar'!$F$2458)=FALSE,"",IF((Summary!$C$13="N")*('Dvd Calendar'!$F$2462='Field Check'!$C$25)&gt;0,"",'Dvd Calendar'!$F$2458)))</f>
        <v/>
      </c>
      <c r="DG179" s="85">
        <f>IF(AS179="","",IF(ISNUMBER('Dvd Calendar'!$G$2458)=FALSE,"",IF((Summary!$C$13="N")*('Dvd Calendar'!$G$2462='Field Check'!$C$25)&gt;0,"",'Dvd Calendar'!$G$2458)))</f>
        <v/>
      </c>
      <c r="DH179" s="85">
        <f>IF(AT179="","",IF(ISNUMBER('Dvd Calendar'!$H$2458)=FALSE,"",IF((Summary!$C$13="N")*('Dvd Calendar'!$H$2462='Field Check'!$C$25)&gt;0,"",'Dvd Calendar'!$H$2458)))</f>
        <v/>
      </c>
      <c r="DI179" s="85">
        <f>IF(AU179="","",IF(ISNUMBER('Dvd Calendar'!$I$2458)=FALSE,"",IF((Summary!$C$13="N")*('Dvd Calendar'!$I$2462='Field Check'!$C$25)&gt;0,"",'Dvd Calendar'!$I$2458)))</f>
        <v/>
      </c>
      <c r="DJ179" s="85">
        <f>IF(AV179="","",IF(ISNUMBER('Dvd Calendar'!$J$2458)=FALSE,"",IF((Summary!$C$13="N")*('Dvd Calendar'!$J$2462='Field Check'!$C$25)&gt;0,"",'Dvd Calendar'!$J$2458)))</f>
        <v/>
      </c>
      <c r="DK179" s="85">
        <f>IF(AW179="","",IF(ISNUMBER('Dvd Calendar'!$K$2458)=FALSE,"",IF((Summary!$C$13="N")*('Dvd Calendar'!$K$2462='Field Check'!$C$25)&gt;0,"",'Dvd Calendar'!$K$2458)))</f>
        <v/>
      </c>
      <c r="DL179" s="85">
        <f>IF(AX179="","",IF(ISNUMBER('Dvd Calendar'!$L$2458)=FALSE,"",IF((Summary!$C$13="N")*('Dvd Calendar'!$L$2462='Field Check'!$C$25)&gt;0,"",'Dvd Calendar'!$L$2458)))</f>
        <v/>
      </c>
      <c r="DM179" s="85">
        <f>IF(AY179="","",IF(ISNUMBER('Dvd Calendar'!$M$2458)=FALSE,"",IF((Summary!$C$13="N")*('Dvd Calendar'!$M$2462='Field Check'!$C$25)&gt;0,"",'Dvd Calendar'!$M$2458)))</f>
        <v/>
      </c>
      <c r="DN179" s="85">
        <f>IF(AZ179="","",IF(ISNUMBER('Dvd Calendar'!$N$2458)=FALSE,"",IF((Summary!$C$13="N")*('Dvd Calendar'!$N$2462='Field Check'!$C$25)&gt;0,"",'Dvd Calendar'!$N$2458)))</f>
        <v/>
      </c>
      <c r="DO179" s="85">
        <f>IF(BA179="","",IF(ISNUMBER('Dvd Calendar'!$O$2458)=FALSE,"",IF((Summary!$C$13="N")*('Dvd Calendar'!$O$2462='Field Check'!$C$25)&gt;0,"",'Dvd Calendar'!$O$2458)))</f>
        <v/>
      </c>
      <c r="DP179" s="85">
        <f>IF(BB179="","",IF(ISNUMBER('Dvd Calendar'!$P$2458)=FALSE,"",IF((Summary!$C$13="N")*('Dvd Calendar'!$P$2462='Field Check'!$C$25)&gt;0,"",'Dvd Calendar'!$P$2458)))</f>
        <v/>
      </c>
      <c r="DQ179" s="85">
        <f>IF(BC179="","",IF(ISNUMBER('Dvd Calendar'!$Q$2458)=FALSE,"",IF((Summary!$C$13="N")*('Dvd Calendar'!$Q$2462='Field Check'!$C$25)&gt;0,"",'Dvd Calendar'!$Q$2458)))</f>
        <v/>
      </c>
      <c r="DR179" s="85">
        <f>IF(BD179="","",IF(ISNUMBER('Dvd Calendar'!$R$2458)=FALSE,"",IF((Summary!$C$13="N")*('Dvd Calendar'!$R$2462='Field Check'!$C$25)&gt;0,"",'Dvd Calendar'!$R$2458)))</f>
        <v/>
      </c>
      <c r="DS179" s="85">
        <f>IF(BE179="","",IF(ISNUMBER('Dvd Calendar'!$S$2458)=FALSE,"",IF((Summary!$C$13="N")*('Dvd Calendar'!$S$2462='Field Check'!$C$25)&gt;0,"",'Dvd Calendar'!$S$2458)))</f>
        <v/>
      </c>
      <c r="DT179" s="85">
        <f>IF(BF179="","",IF(ISNUMBER('Dvd Calendar'!$T$2458)=FALSE,"",IF((Summary!$C$13="N")*('Dvd Calendar'!$T$2462='Field Check'!$C$25)&gt;0,"",'Dvd Calendar'!$T$2458)))</f>
        <v/>
      </c>
      <c r="DU179" s="85">
        <f>IF(BG179="","",IF(ISNUMBER('Dvd Calendar'!$U$2458)=FALSE,"",IF((Summary!$C$13="N")*('Dvd Calendar'!$U$2462='Field Check'!$C$25)&gt;0,"",'Dvd Calendar'!$U$2458)))</f>
        <v/>
      </c>
      <c r="DV179" s="85">
        <f>IF(BH179="","",IF(ISNUMBER('Dvd Calendar'!$V$2458)=FALSE,"",IF((Summary!$C$13="N")*('Dvd Calendar'!$V$2462='Field Check'!$C$25)&gt;0,"",'Dvd Calendar'!$V$2458)))</f>
        <v/>
      </c>
      <c r="DW179" s="85">
        <f>IF(BI179="","",IF(ISNUMBER('Dvd Calendar'!$W$2458)=FALSE,"",IF((Summary!$C$13="N")*('Dvd Calendar'!$W$2462='Field Check'!$C$25)&gt;0,"",'Dvd Calendar'!$W$2458)))</f>
        <v/>
      </c>
      <c r="DX179" s="85">
        <f>IF(BJ179="","",IF(ISNUMBER('Dvd Calendar'!$X$2458)=FALSE,"",IF((Summary!$C$13="N")*('Dvd Calendar'!$X$2462='Field Check'!$C$25)&gt;0,"",'Dvd Calendar'!$X$2458)))</f>
        <v/>
      </c>
      <c r="DY179" s="85">
        <f>IF(BK179="","",IF(ISNUMBER('Dvd Calendar'!$Y$2458)=FALSE,"",IF((Summary!$C$13="N")*('Dvd Calendar'!$Y$2462='Field Check'!$C$25)&gt;0,"",'Dvd Calendar'!$Y$2458)))</f>
        <v/>
      </c>
      <c r="DZ179" s="85">
        <f>IF(BL179="","",IF(ISNUMBER('Dvd Calendar'!$Z$2458)=FALSE,"",IF((Summary!$C$13="N")*('Dvd Calendar'!$Z$2462='Field Check'!$C$25)&gt;0,"",'Dvd Calendar'!$Z$2458)))</f>
        <v/>
      </c>
      <c r="EA179" s="85">
        <f>IF(BM179="","",IF(ISNUMBER('Dvd Calendar'!$AA$2458)=FALSE,"",IF((Summary!$C$13="N")*('Dvd Calendar'!$AA$2462='Field Check'!$C$25)&gt;0,"",'Dvd Calendar'!$AA$2458)))</f>
        <v/>
      </c>
      <c r="EB179" s="85">
        <f>IF(BN179="","",IF(ISNUMBER('Dvd Calendar'!$AB$2458)=FALSE,"",IF((Summary!$C$13="N")*('Dvd Calendar'!$AB$2462='Field Check'!$C$25)&gt;0,"",'Dvd Calendar'!$AB$2458)))</f>
        <v/>
      </c>
      <c r="EC179" s="85">
        <f>IF(BO179="","",IF(ISNUMBER('Dvd Calendar'!$AC$2458)=FALSE,"",IF((Summary!$C$13="N")*('Dvd Calendar'!$AC$2462='Field Check'!$C$25)&gt;0,"",'Dvd Calendar'!$AC$2458)))</f>
        <v/>
      </c>
      <c r="EE179" s="85">
        <f>IF(BQ179="","",IFERROR(BQ179*HSCEI!$B$29*HSCEI!$G$29/HSCEI!$B$3,""))</f>
        <v/>
      </c>
      <c r="EF179" s="85">
        <f>IF(BR179="","",IFERROR(BR179*HSCEI!$B$29*HSCEI!$G$29/HSCEI!$B$3,""))</f>
        <v/>
      </c>
      <c r="EG179" s="85">
        <f>IF(BS179="","",IFERROR(BS179*HSCEI!$B$29*HSCEI!$G$29/HSCEI!$B$3,""))</f>
        <v/>
      </c>
      <c r="EH179" s="85">
        <f>IF(BT179="","",IFERROR(BT179*HSCEI!$B$29*HSCEI!$G$29/HSCEI!$B$3,""))</f>
        <v/>
      </c>
      <c r="EI179" s="85">
        <f>IF(BU179="","",IFERROR(BU179*HSCEI!$B$29*HSCEI!$G$29/HSCEI!$B$3,""))</f>
        <v/>
      </c>
      <c r="EJ179" s="85">
        <f>IF(BV179="","",IFERROR(BV179*HSCEI!$B$29*HSCEI!$G$29/HSCEI!$B$3,""))</f>
        <v/>
      </c>
      <c r="EK179" s="85">
        <f>IF(BW179="","",IFERROR(BW179*HSCEI!$B$29*HSCEI!$G$29/HSCEI!$B$3,""))</f>
        <v/>
      </c>
      <c r="EL179" s="85">
        <f>IF(BX179="","",IFERROR(BX179*HSCEI!$B$29*HSCEI!$G$29/HSCEI!$B$3,""))</f>
        <v/>
      </c>
      <c r="EM179" s="85">
        <f>IF(BY179="","",IFERROR(BY179*HSCEI!$B$29*HSCEI!$G$29/HSCEI!$B$3,""))</f>
        <v/>
      </c>
      <c r="EN179" s="85">
        <f>IF(BZ179="","",IFERROR(BZ179*HSCEI!$B$29*HSCEI!$G$29/HSCEI!$B$3,""))</f>
        <v/>
      </c>
      <c r="EO179" s="85">
        <f>IF(CA179="","",IFERROR(CA179*HSCEI!$B$29*HSCEI!$G$29/HSCEI!$B$3,""))</f>
        <v/>
      </c>
      <c r="EP179" s="85">
        <f>IF(CB179="","",IFERROR(CB179*HSCEI!$B$29*HSCEI!$G$29/HSCEI!$B$3,""))</f>
        <v/>
      </c>
      <c r="EQ179" s="85">
        <f>IF(CC179="","",IFERROR(CC179*HSCEI!$B$29*HSCEI!$G$29/HSCEI!$B$3,""))</f>
        <v/>
      </c>
      <c r="ER179" s="85">
        <f>IF(CD179="","",IFERROR(CD179*HSCEI!$B$29*HSCEI!$G$29/HSCEI!$B$3,""))</f>
        <v/>
      </c>
      <c r="ES179" s="85">
        <f>IF(CE179="","",IFERROR(CE179*HSCEI!$B$29*HSCEI!$G$29/HSCEI!$B$3,""))</f>
        <v/>
      </c>
      <c r="ET179" s="85">
        <f>IF(CF179="","",IFERROR(CF179*HSCEI!$B$29*HSCEI!$G$29/HSCEI!$B$3,""))</f>
        <v/>
      </c>
      <c r="EU179" s="85">
        <f>IF(CG179="","",IFERROR(CG179*HSCEI!$B$29*HSCEI!$G$29/HSCEI!$B$3,""))</f>
        <v/>
      </c>
      <c r="EV179" s="85">
        <f>IF(CH179="","",IFERROR(CH179*HSCEI!$B$29*HSCEI!$G$29/HSCEI!$B$3,""))</f>
        <v/>
      </c>
      <c r="EW179" s="85">
        <f>IF(CI179="","",IFERROR(CI179*HSCEI!$B$29*HSCEI!$G$29/HSCEI!$B$3,""))</f>
        <v/>
      </c>
      <c r="EX179" s="85">
        <f>IF(CJ179="","",IFERROR(CJ179*HSCEI!$B$29*HSCEI!$G$29/HSCEI!$B$3,""))</f>
        <v/>
      </c>
      <c r="EY179" s="85">
        <f>IF(CK179="","",IFERROR(CK179*HSCEI!$B$29*HSCEI!$G$29/HSCEI!$B$3,""))</f>
        <v/>
      </c>
      <c r="EZ179" s="85">
        <f>IF(CL179="","",IFERROR(CL179*HSCEI!$B$29*HSCEI!$G$29/HSCEI!$B$3,""))</f>
        <v/>
      </c>
      <c r="FA179" s="85">
        <f>IF(CM179="","",IFERROR(CM179*HSCEI!$B$29*HSCEI!$G$29/HSCEI!$B$3,""))</f>
        <v/>
      </c>
      <c r="FB179" s="85">
        <f>IF(CN179="","",IFERROR(CN179*HSCEI!$B$29*HSCEI!$G$29/HSCEI!$B$3,""))</f>
        <v/>
      </c>
      <c r="FC179" s="85">
        <f>IF(CO179="","",IFERROR(CO179*HSCEI!$B$29*HSCEI!$G$29/HSCEI!$B$3,""))</f>
        <v/>
      </c>
      <c r="FD179" s="85">
        <f>IF(CP179="","",IFERROR(CP179*HSCEI!$B$29*HSCEI!$G$29/HSCEI!$B$3,""))</f>
        <v/>
      </c>
      <c r="FE179" s="85">
        <f>IF(CQ179="","",IFERROR(CQ179*HSCEI!$B$29*HSCEI!$G$29/HSCEI!$B$3,""))</f>
        <v/>
      </c>
      <c r="FF179" s="85">
        <f>IF(CR179="","",IFERROR(CR179*HSCEI!$B$29*HSCEI!$G$29/HSCEI!$B$3,""))</f>
        <v/>
      </c>
      <c r="FG179" s="85">
        <f>IF(CS179="","",IFERROR(CS179*HSCEI!$B$29*HSCEI!$G$29/HSCEI!$B$3,""))</f>
        <v/>
      </c>
      <c r="FH179" s="85">
        <f>IF(CT179="","",IFERROR(CT179*HSCEI!$B$29*HSCEI!$G$29/HSCEI!$B$3,""))</f>
        <v/>
      </c>
      <c r="FI179" s="85">
        <f>IF(CU179="","",IFERROR(CU179*HSCEI!$B$29*HSCEI!$G$29/HSCEI!$B$3,""))</f>
        <v/>
      </c>
      <c r="FJ179" s="85">
        <f>IF(CV179="","",IFERROR(CV179*HSCEI!$B$29*HSCEI!$G$29/HSCEI!$B$3,""))</f>
        <v/>
      </c>
      <c r="FK179" s="85">
        <f>IF(CW179="","",IFERROR(CW179*HSCEI!$B$29*HSCEI!$G$29/HSCEI!$B$3,""))</f>
        <v/>
      </c>
      <c r="FL179" s="85">
        <f>IF(CX179="","",IFERROR(CX179*HSCEI!$B$29*HSCEI!$G$29/HSCEI!$B$3,""))</f>
        <v/>
      </c>
      <c r="FM179" s="85">
        <f>IF(CY179="","",IFERROR(CY179*HSCEI!$B$29*HSCEI!$G$29/HSCEI!$B$3,""))</f>
        <v/>
      </c>
      <c r="FN179" s="85">
        <f>IF(CZ179="","",IFERROR(CZ179*HSCEI!$B$29*HSCEI!$G$29/HSCEI!$B$3,""))</f>
        <v/>
      </c>
      <c r="FO179" s="85">
        <f>IF(DA179="","",IFERROR(DA179*HSCEI!$B$29*HSCEI!$G$29/HSCEI!$B$3,""))</f>
        <v/>
      </c>
      <c r="FP179" s="85">
        <f>IF(DB179="","",IFERROR(DB179*HSCEI!$B$29*HSCEI!$G$29/HSCEI!$B$3,""))</f>
        <v/>
      </c>
      <c r="FQ179" s="85">
        <f>IF(DC179="","",IFERROR(DC179*HSCEI!$B$29*HSCEI!$G$29/HSCEI!$B$3,""))</f>
        <v/>
      </c>
      <c r="FR179" s="85">
        <f>IF(DD179="","",IFERROR(DD179*HSCEI!$B$29*HSCEI!$G$29/HSCEI!$B$3,""))</f>
        <v/>
      </c>
      <c r="FS179" s="85">
        <f>IF(DE179="","",IFERROR(DE179*HSCEI!$B$29*HSCEI!$G$29/HSCEI!$B$3,""))</f>
        <v/>
      </c>
      <c r="FT179" s="85">
        <f>IF(DF179="","",IFERROR(DF179*HSCEI!$B$29*HSCEI!$G$29/HSCEI!$B$3,""))</f>
        <v/>
      </c>
      <c r="FU179" s="85">
        <f>IF(DG179="","",IFERROR(DG179*HSCEI!$B$29*HSCEI!$G$29/HSCEI!$B$3,""))</f>
        <v/>
      </c>
      <c r="FV179" s="85">
        <f>IF(DH179="","",IFERROR(DH179*HSCEI!$B$29*HSCEI!$G$29/HSCEI!$B$3,""))</f>
        <v/>
      </c>
      <c r="FW179" s="85">
        <f>IF(DI179="","",IFERROR(DI179*HSCEI!$B$29*HSCEI!$G$29/HSCEI!$B$3,""))</f>
        <v/>
      </c>
      <c r="FX179" s="85">
        <f>IF(DJ179="","",IFERROR(DJ179*HSCEI!$B$29*HSCEI!$G$29/HSCEI!$B$3,""))</f>
        <v/>
      </c>
      <c r="FY179" s="85">
        <f>IF(DK179="","",IFERROR(DK179*HSCEI!$B$29*HSCEI!$G$29/HSCEI!$B$3,""))</f>
        <v/>
      </c>
      <c r="FZ179" s="85">
        <f>IF(DL179="","",IFERROR(DL179*HSCEI!$B$29*HSCEI!$G$29/HSCEI!$B$3,""))</f>
        <v/>
      </c>
      <c r="GA179" s="85">
        <f>IF(DM179="","",IFERROR(DM179*HSCEI!$B$29*HSCEI!$G$29/HSCEI!$B$3,""))</f>
        <v/>
      </c>
      <c r="GB179" s="85">
        <f>IF(DN179="","",IFERROR(DN179*HSCEI!$B$29*HSCEI!$G$29/HSCEI!$B$3,""))</f>
        <v/>
      </c>
      <c r="GC179" s="85">
        <f>IF(DO179="","",IFERROR(DO179*HSCEI!$B$29*HSCEI!$G$29/HSCEI!$B$3,""))</f>
        <v/>
      </c>
      <c r="GD179" s="85">
        <f>IF(DP179="","",IFERROR(DP179*HSCEI!$B$29*HSCEI!$G$29/HSCEI!$B$3,""))</f>
        <v/>
      </c>
      <c r="GE179" s="85">
        <f>IF(DQ179="","",IFERROR(DQ179*HSCEI!$B$29*HSCEI!$G$29/HSCEI!$B$3,""))</f>
        <v/>
      </c>
      <c r="GF179" s="85">
        <f>IF(DR179="","",IFERROR(DR179*HSCEI!$B$29*HSCEI!$G$29/HSCEI!$B$3,""))</f>
        <v/>
      </c>
      <c r="GG179" s="85">
        <f>IF(DS179="","",IFERROR(DS179*HSCEI!$B$29*HSCEI!$G$29/HSCEI!$B$3,""))</f>
        <v/>
      </c>
      <c r="GH179" s="85">
        <f>IF(DT179="","",IFERROR(DT179*HSCEI!$B$29*HSCEI!$G$29/HSCEI!$B$3,""))</f>
        <v/>
      </c>
      <c r="GI179" s="85">
        <f>IF(DU179="","",IFERROR(DU179*HSCEI!$B$29*HSCEI!$G$29/HSCEI!$B$3,""))</f>
        <v/>
      </c>
      <c r="GJ179" s="85">
        <f>IF(DV179="","",IFERROR(DV179*HSCEI!$B$29*HSCEI!$G$29/HSCEI!$B$3,""))</f>
        <v/>
      </c>
      <c r="GK179" s="85">
        <f>IF(DW179="","",IFERROR(DW179*HSCEI!$B$29*HSCEI!$G$29/HSCEI!$B$3,""))</f>
        <v/>
      </c>
      <c r="GL179" s="85">
        <f>IF(DX179="","",IFERROR(DX179*HSCEI!$B$29*HSCEI!$G$29/HSCEI!$B$3,""))</f>
        <v/>
      </c>
      <c r="GM179" s="85">
        <f>IF(DY179="","",IFERROR(DY179*HSCEI!$B$29*HSCEI!$G$29/HSCEI!$B$3,""))</f>
        <v/>
      </c>
      <c r="GN179" s="85">
        <f>IF(DZ179="","",IFERROR(DZ179*HSCEI!$B$29*HSCEI!$G$29/HSCEI!$B$3,""))</f>
        <v/>
      </c>
      <c r="GO179" s="85">
        <f>IF(EA179="","",IFERROR(EA179*HSCEI!$B$29*HSCEI!$G$29/HSCEI!$B$3,""))</f>
        <v/>
      </c>
      <c r="GP179" s="85">
        <f>IF(EB179="","",IFERROR(EB179*HSCEI!$B$29*HSCEI!$G$29/HSCEI!$B$3,""))</f>
        <v/>
      </c>
      <c r="GQ179" s="85">
        <f>IF(EC179="","",IFERROR(EC179*HSCEI!$B$29*HSCEI!$G$29/HSCEI!$B$3,""))</f>
        <v/>
      </c>
    </row>
    <row r="180">
      <c r="B180" s="2">
        <f>IF(HSCEI!$C$30="","",HSCEI!$C$30)</f>
        <v/>
      </c>
      <c r="C180" s="41">
        <f>IF(N('Dvd Calendar'!$E$2465)=0,"",IF(('Dvd Calendar'!$E$2465&gt;=MIN(DATE(Summary!$C$12,1,1),Summary!$C$11))*('Dvd Calendar'!$E$2465&lt;=MAX(DATE(Summary!$C$12,12,31),Summary!$C$15))*('Dvd Calendar'!$E$2465&lt;=Summary!$C$11)=0,"",'Dvd Calendar'!$E$2465*1000000000+ISNUMBER('Dvd Calendar'!$E$2466)*100000000+('Dvd Calendar'!$E$2470='Field Check'!$C$25)*10000000+(N('Dvd Calendar'!$E$2464)&gt;0)*1000000+24*1000+1))</f>
        <v/>
      </c>
      <c r="D180" s="41">
        <f>IF(N('Dvd Calendar'!$F$2465)=0,"",IF(('Dvd Calendar'!$F$2465&gt;=MIN(DATE(Summary!$C$12,1,1),Summary!$C$11))*('Dvd Calendar'!$F$2465&lt;=MAX(DATE(Summary!$C$12,12,31),Summary!$C$15))*('Dvd Calendar'!$F$2465&lt;=Summary!$C$11)=0,"",'Dvd Calendar'!$F$2465*1000000000+ISNUMBER('Dvd Calendar'!$F$2466)*100000000+('Dvd Calendar'!$F$2470='Field Check'!$C$25)*10000000+(N('Dvd Calendar'!$F$2464)&gt;0)*1000000+24*1000+2))</f>
        <v/>
      </c>
      <c r="E180" s="41">
        <f>IF(N('Dvd Calendar'!$G$2465)=0,"",IF(('Dvd Calendar'!$G$2465&gt;=MIN(DATE(Summary!$C$12,1,1),Summary!$C$11))*('Dvd Calendar'!$G$2465&lt;=MAX(DATE(Summary!$C$12,12,31),Summary!$C$15))*('Dvd Calendar'!$G$2465&lt;=Summary!$C$11)=0,"",'Dvd Calendar'!$G$2465*1000000000+ISNUMBER('Dvd Calendar'!$G$2466)*100000000+('Dvd Calendar'!$G$2470='Field Check'!$C$25)*10000000+(N('Dvd Calendar'!$G$2464)&gt;0)*1000000+24*1000+3))</f>
        <v/>
      </c>
      <c r="F180" s="41">
        <f>IF(N('Dvd Calendar'!$H$2465)=0,"",IF(('Dvd Calendar'!$H$2465&gt;=MIN(DATE(Summary!$C$12,1,1),Summary!$C$11))*('Dvd Calendar'!$H$2465&lt;=MAX(DATE(Summary!$C$12,12,31),Summary!$C$15))*('Dvd Calendar'!$H$2465&lt;=Summary!$C$11)=0,"",'Dvd Calendar'!$H$2465*1000000000+ISNUMBER('Dvd Calendar'!$H$2466)*100000000+('Dvd Calendar'!$H$2470='Field Check'!$C$25)*10000000+(N('Dvd Calendar'!$H$2464)&gt;0)*1000000+24*1000+4))</f>
        <v/>
      </c>
      <c r="G180" s="41">
        <f>IF(N('Dvd Calendar'!$I$2465)=0,"",IF(('Dvd Calendar'!$I$2465&gt;=MIN(DATE(Summary!$C$12,1,1),Summary!$C$11))*('Dvd Calendar'!$I$2465&lt;=MAX(DATE(Summary!$C$12,12,31),Summary!$C$15))*('Dvd Calendar'!$I$2465&lt;=Summary!$C$11)=0,"",'Dvd Calendar'!$I$2465*1000000000+ISNUMBER('Dvd Calendar'!$I$2466)*100000000+('Dvd Calendar'!$I$2470='Field Check'!$C$25)*10000000+(N('Dvd Calendar'!$I$2464)&gt;0)*1000000+24*1000+5))</f>
        <v/>
      </c>
      <c r="H180" s="41">
        <f>IF(N('Dvd Calendar'!$J$2465)=0,"",IF(('Dvd Calendar'!$J$2465&gt;=MIN(DATE(Summary!$C$12,1,1),Summary!$C$11))*('Dvd Calendar'!$J$2465&lt;=MAX(DATE(Summary!$C$12,12,31),Summary!$C$15))*('Dvd Calendar'!$J$2465&lt;=Summary!$C$11)=0,"",'Dvd Calendar'!$J$2465*1000000000+ISNUMBER('Dvd Calendar'!$J$2466)*100000000+('Dvd Calendar'!$J$2470='Field Check'!$C$25)*10000000+(N('Dvd Calendar'!$J$2464)&gt;0)*1000000+24*1000+6))</f>
        <v/>
      </c>
      <c r="I180" s="41">
        <f>IF(N('Dvd Calendar'!$K$2465)=0,"",IF(('Dvd Calendar'!$K$2465&gt;=MIN(DATE(Summary!$C$12,1,1),Summary!$C$11))*('Dvd Calendar'!$K$2465&lt;=MAX(DATE(Summary!$C$12,12,31),Summary!$C$15))*('Dvd Calendar'!$K$2465&lt;=Summary!$C$11)=0,"",'Dvd Calendar'!$K$2465*1000000000+ISNUMBER('Dvd Calendar'!$K$2466)*100000000+('Dvd Calendar'!$K$2470='Field Check'!$C$25)*10000000+(N('Dvd Calendar'!$K$2464)&gt;0)*1000000+24*1000+7))</f>
        <v/>
      </c>
      <c r="J180" s="41">
        <f>IF(N('Dvd Calendar'!$L$2465)=0,"",IF(('Dvd Calendar'!$L$2465&gt;=MIN(DATE(Summary!$C$12,1,1),Summary!$C$11))*('Dvd Calendar'!$L$2465&lt;=MAX(DATE(Summary!$C$12,12,31),Summary!$C$15))*('Dvd Calendar'!$L$2465&lt;=Summary!$C$11)=0,"",'Dvd Calendar'!$L$2465*1000000000+ISNUMBER('Dvd Calendar'!$L$2466)*100000000+('Dvd Calendar'!$L$2470='Field Check'!$C$25)*10000000+(N('Dvd Calendar'!$L$2464)&gt;0)*1000000+24*1000+8))</f>
        <v/>
      </c>
      <c r="K180" s="41">
        <f>IF(N('Dvd Calendar'!$M$2465)=0,"",IF(('Dvd Calendar'!$M$2465&gt;=MIN(DATE(Summary!$C$12,1,1),Summary!$C$11))*('Dvd Calendar'!$M$2465&lt;=MAX(DATE(Summary!$C$12,12,31),Summary!$C$15))*('Dvd Calendar'!$M$2465&lt;=Summary!$C$11)=0,"",'Dvd Calendar'!$M$2465*1000000000+ISNUMBER('Dvd Calendar'!$M$2466)*100000000+('Dvd Calendar'!$M$2470='Field Check'!$C$25)*10000000+(N('Dvd Calendar'!$M$2464)&gt;0)*1000000+24*1000+9))</f>
        <v/>
      </c>
      <c r="L180" s="41">
        <f>IF(N('Dvd Calendar'!$N$2465)=0,"",IF(('Dvd Calendar'!$N$2465&gt;=MIN(DATE(Summary!$C$12,1,1),Summary!$C$11))*('Dvd Calendar'!$N$2465&lt;=MAX(DATE(Summary!$C$12,12,31),Summary!$C$15))*('Dvd Calendar'!$N$2465&lt;=Summary!$C$11)=0,"",'Dvd Calendar'!$N$2465*1000000000+ISNUMBER('Dvd Calendar'!$N$2466)*100000000+('Dvd Calendar'!$N$2470='Field Check'!$C$25)*10000000+(N('Dvd Calendar'!$N$2464)&gt;0)*1000000+24*1000+10))</f>
        <v/>
      </c>
      <c r="M180" s="41">
        <f>IF(N('Dvd Calendar'!$O$2465)=0,"",IF(('Dvd Calendar'!$O$2465&gt;=MIN(DATE(Summary!$C$12,1,1),Summary!$C$11))*('Dvd Calendar'!$O$2465&lt;=MAX(DATE(Summary!$C$12,12,31),Summary!$C$15))*('Dvd Calendar'!$O$2465&lt;=Summary!$C$11)=0,"",'Dvd Calendar'!$O$2465*1000000000+ISNUMBER('Dvd Calendar'!$O$2466)*100000000+('Dvd Calendar'!$O$2470='Field Check'!$C$25)*10000000+(N('Dvd Calendar'!$O$2464)&gt;0)*1000000+24*1000+11))</f>
        <v/>
      </c>
      <c r="N180" s="41">
        <f>IF(N('Dvd Calendar'!$P$2465)=0,"",IF(('Dvd Calendar'!$P$2465&gt;=MIN(DATE(Summary!$C$12,1,1),Summary!$C$11))*('Dvd Calendar'!$P$2465&lt;=MAX(DATE(Summary!$C$12,12,31),Summary!$C$15))*('Dvd Calendar'!$P$2465&lt;=Summary!$C$11)=0,"",'Dvd Calendar'!$P$2465*1000000000+ISNUMBER('Dvd Calendar'!$P$2466)*100000000+('Dvd Calendar'!$P$2470='Field Check'!$C$25)*10000000+(N('Dvd Calendar'!$P$2464)&gt;0)*1000000+24*1000+12))</f>
        <v/>
      </c>
      <c r="O180" s="41">
        <f>IF(N('Dvd Calendar'!$Q$2465)=0,"",IF(('Dvd Calendar'!$Q$2465&gt;=MIN(DATE(Summary!$C$12,1,1),Summary!$C$11))*('Dvd Calendar'!$Q$2465&lt;=MAX(DATE(Summary!$C$12,12,31),Summary!$C$15))*('Dvd Calendar'!$Q$2465&lt;=Summary!$C$11)=0,"",'Dvd Calendar'!$Q$2465*1000000000+ISNUMBER('Dvd Calendar'!$Q$2466)*100000000+('Dvd Calendar'!$Q$2470='Field Check'!$C$25)*10000000+(N('Dvd Calendar'!$Q$2464)&gt;0)*1000000+24*1000+13))</f>
        <v/>
      </c>
      <c r="P180" s="41">
        <f>IF(N('Dvd Calendar'!$R$2465)=0,"",IF(('Dvd Calendar'!$R$2465&gt;=MIN(DATE(Summary!$C$12,1,1),Summary!$C$11))*('Dvd Calendar'!$R$2465&lt;=MAX(DATE(Summary!$C$12,12,31),Summary!$C$15))*('Dvd Calendar'!$R$2465&lt;=Summary!$C$11)=0,"",'Dvd Calendar'!$R$2465*1000000000+ISNUMBER('Dvd Calendar'!$R$2466)*100000000+('Dvd Calendar'!$R$2470='Field Check'!$C$25)*10000000+(N('Dvd Calendar'!$R$2464)&gt;0)*1000000+24*1000+14))</f>
        <v/>
      </c>
      <c r="Q180" s="41">
        <f>IF(N('Dvd Calendar'!$S$2465)=0,"",IF(('Dvd Calendar'!$S$2465&gt;=MIN(DATE(Summary!$C$12,1,1),Summary!$C$11))*('Dvd Calendar'!$S$2465&lt;=MAX(DATE(Summary!$C$12,12,31),Summary!$C$15))*('Dvd Calendar'!$S$2465&lt;=Summary!$C$11)=0,"",'Dvd Calendar'!$S$2465*1000000000+ISNUMBER('Dvd Calendar'!$S$2466)*100000000+('Dvd Calendar'!$S$2470='Field Check'!$C$25)*10000000+(N('Dvd Calendar'!$S$2464)&gt;0)*1000000+24*1000+15))</f>
        <v/>
      </c>
      <c r="R180" s="41">
        <f>IF(N('Dvd Calendar'!$T$2465)=0,"",IF(('Dvd Calendar'!$T$2465&gt;=MIN(DATE(Summary!$C$12,1,1),Summary!$C$11))*('Dvd Calendar'!$T$2465&lt;=MAX(DATE(Summary!$C$12,12,31),Summary!$C$15))*('Dvd Calendar'!$T$2465&lt;=Summary!$C$11)=0,"",'Dvd Calendar'!$T$2465*1000000000+ISNUMBER('Dvd Calendar'!$T$2466)*100000000+('Dvd Calendar'!$T$2470='Field Check'!$C$25)*10000000+(N('Dvd Calendar'!$T$2464)&gt;0)*1000000+24*1000+16))</f>
        <v/>
      </c>
      <c r="S180" s="41">
        <f>IF(N('Dvd Calendar'!$U$2465)=0,"",IF(('Dvd Calendar'!$U$2465&gt;=MIN(DATE(Summary!$C$12,1,1),Summary!$C$11))*('Dvd Calendar'!$U$2465&lt;=MAX(DATE(Summary!$C$12,12,31),Summary!$C$15))*('Dvd Calendar'!$U$2465&lt;=Summary!$C$11)=0,"",'Dvd Calendar'!$U$2465*1000000000+ISNUMBER('Dvd Calendar'!$U$2466)*100000000+('Dvd Calendar'!$U$2470='Field Check'!$C$25)*10000000+(N('Dvd Calendar'!$U$2464)&gt;0)*1000000+24*1000+17))</f>
        <v/>
      </c>
      <c r="T180" s="41">
        <f>IF(N('Dvd Calendar'!$V$2465)=0,"",IF(('Dvd Calendar'!$V$2465&gt;=MIN(DATE(Summary!$C$12,1,1),Summary!$C$11))*('Dvd Calendar'!$V$2465&lt;=MAX(DATE(Summary!$C$12,12,31),Summary!$C$15))*('Dvd Calendar'!$V$2465&lt;=Summary!$C$11)=0,"",'Dvd Calendar'!$V$2465*1000000000+ISNUMBER('Dvd Calendar'!$V$2466)*100000000+('Dvd Calendar'!$V$2470='Field Check'!$C$25)*10000000+(N('Dvd Calendar'!$V$2464)&gt;0)*1000000+24*1000+18))</f>
        <v/>
      </c>
      <c r="U180" s="41">
        <f>IF(N('Dvd Calendar'!$W$2465)=0,"",IF(('Dvd Calendar'!$W$2465&gt;=MIN(DATE(Summary!$C$12,1,1),Summary!$C$11))*('Dvd Calendar'!$W$2465&lt;=MAX(DATE(Summary!$C$12,12,31),Summary!$C$15))*('Dvd Calendar'!$W$2465&lt;=Summary!$C$11)=0,"",'Dvd Calendar'!$W$2465*1000000000+ISNUMBER('Dvd Calendar'!$W$2466)*100000000+('Dvd Calendar'!$W$2470='Field Check'!$C$25)*10000000+(N('Dvd Calendar'!$W$2464)&gt;0)*1000000+24*1000+19))</f>
        <v/>
      </c>
      <c r="V180" s="41">
        <f>IF(N('Dvd Calendar'!$X$2465)=0,"",IF(('Dvd Calendar'!$X$2465&gt;=MIN(DATE(Summary!$C$12,1,1),Summary!$C$11))*('Dvd Calendar'!$X$2465&lt;=MAX(DATE(Summary!$C$12,12,31),Summary!$C$15))*('Dvd Calendar'!$X$2465&lt;=Summary!$C$11)=0,"",'Dvd Calendar'!$X$2465*1000000000+ISNUMBER('Dvd Calendar'!$X$2466)*100000000+('Dvd Calendar'!$X$2470='Field Check'!$C$25)*10000000+(N('Dvd Calendar'!$X$2464)&gt;0)*1000000+24*1000+20))</f>
        <v/>
      </c>
      <c r="W180" s="41">
        <f>IF(N('Dvd Calendar'!$Y$2465)=0,"",IF(('Dvd Calendar'!$Y$2465&gt;=MIN(DATE(Summary!$C$12,1,1),Summary!$C$11))*('Dvd Calendar'!$Y$2465&lt;=MAX(DATE(Summary!$C$12,12,31),Summary!$C$15))*('Dvd Calendar'!$Y$2465&lt;=Summary!$C$11)=0,"",'Dvd Calendar'!$Y$2465*1000000000+ISNUMBER('Dvd Calendar'!$Y$2466)*100000000+('Dvd Calendar'!$Y$2470='Field Check'!$C$25)*10000000+(N('Dvd Calendar'!$Y$2464)&gt;0)*1000000+24*1000+21))</f>
        <v/>
      </c>
      <c r="X180" s="41">
        <f>IF(N('Dvd Calendar'!$Z$2465)=0,"",IF(('Dvd Calendar'!$Z$2465&gt;=MIN(DATE(Summary!$C$12,1,1),Summary!$C$11))*('Dvd Calendar'!$Z$2465&lt;=MAX(DATE(Summary!$C$12,12,31),Summary!$C$15))*('Dvd Calendar'!$Z$2465&lt;=Summary!$C$11)=0,"",'Dvd Calendar'!$Z$2465*1000000000+ISNUMBER('Dvd Calendar'!$Z$2466)*100000000+('Dvd Calendar'!$Z$2470='Field Check'!$C$25)*10000000+(N('Dvd Calendar'!$Z$2464)&gt;0)*1000000+24*1000+22))</f>
        <v/>
      </c>
      <c r="Y180" s="41">
        <f>IF(N('Dvd Calendar'!$AA$2465)=0,"",IF(('Dvd Calendar'!$AA$2465&gt;=MIN(DATE(Summary!$C$12,1,1),Summary!$C$11))*('Dvd Calendar'!$AA$2465&lt;=MAX(DATE(Summary!$C$12,12,31),Summary!$C$15))*('Dvd Calendar'!$AA$2465&lt;=Summary!$C$11)=0,"",'Dvd Calendar'!$AA$2465*1000000000+ISNUMBER('Dvd Calendar'!$AA$2466)*100000000+('Dvd Calendar'!$AA$2470='Field Check'!$C$25)*10000000+(N('Dvd Calendar'!$AA$2464)&gt;0)*1000000+24*1000+23))</f>
        <v/>
      </c>
      <c r="Z180" s="41">
        <f>IF(N('Dvd Calendar'!$AB$2465)=0,"",IF(('Dvd Calendar'!$AB$2465&gt;=MIN(DATE(Summary!$C$12,1,1),Summary!$C$11))*('Dvd Calendar'!$AB$2465&lt;=MAX(DATE(Summary!$C$12,12,31),Summary!$C$15))*('Dvd Calendar'!$AB$2465&lt;=Summary!$C$11)=0,"",'Dvd Calendar'!$AB$2465*1000000000+ISNUMBER('Dvd Calendar'!$AB$2466)*100000000+('Dvd Calendar'!$AB$2470='Field Check'!$C$25)*10000000+(N('Dvd Calendar'!$AB$2464)&gt;0)*1000000+24*1000+24))</f>
        <v/>
      </c>
      <c r="AA180" s="41">
        <f>IF(N('Dvd Calendar'!$AC$2465)=0,"",IF(('Dvd Calendar'!$AC$2465&gt;=MIN(DATE(Summary!$C$12,1,1),Summary!$C$11))*('Dvd Calendar'!$AC$2465&lt;=MAX(DATE(Summary!$C$12,12,31),Summary!$C$15))*('Dvd Calendar'!$AC$2465&lt;=Summary!$C$11)=0,"",'Dvd Calendar'!$AC$2465*1000000000+ISNUMBER('Dvd Calendar'!$AC$2466)*100000000+('Dvd Calendar'!$AC$2470='Field Check'!$C$25)*10000000+(N('Dvd Calendar'!$AC$2464)&gt;0)*1000000+24*1000+25))</f>
        <v/>
      </c>
      <c r="AB180" s="41">
        <f>IF(N('Dvd Calendar'!$AD$2465)=0,"",IF(('Dvd Calendar'!$AD$2465&gt;=MIN(DATE(Summary!$C$12,1,1),Summary!$C$11))*('Dvd Calendar'!$AD$2465&lt;=MAX(DATE(Summary!$C$12,12,31),Summary!$C$15))*('Dvd Calendar'!$AD$2465&lt;=Summary!$C$11)=0,"",'Dvd Calendar'!$AD$2465*1000000000+ISNUMBER('Dvd Calendar'!$AD$2466)*100000000+('Dvd Calendar'!$AD$2470='Field Check'!$C$25)*10000000+(N('Dvd Calendar'!$AD$2464)&gt;0)*1000000+24*1000+26))</f>
        <v/>
      </c>
      <c r="AC180" s="41">
        <f>IF(N('Dvd Calendar'!$AE$2465)=0,"",IF(('Dvd Calendar'!$AE$2465&gt;=MIN(DATE(Summary!$C$12,1,1),Summary!$C$11))*('Dvd Calendar'!$AE$2465&lt;=MAX(DATE(Summary!$C$12,12,31),Summary!$C$15))*('Dvd Calendar'!$AE$2465&lt;=Summary!$C$11)=0,"",'Dvd Calendar'!$AE$2465*1000000000+ISNUMBER('Dvd Calendar'!$AE$2466)*100000000+('Dvd Calendar'!$AE$2470='Field Check'!$C$25)*10000000+(N('Dvd Calendar'!$AE$2464)&gt;0)*1000000+24*1000+27))</f>
        <v/>
      </c>
      <c r="AD180" s="41">
        <f>IF(N('Dvd Calendar'!$AF$2465)=0,"",IF(('Dvd Calendar'!$AF$2465&gt;=MIN(DATE(Summary!$C$12,1,1),Summary!$C$11))*('Dvd Calendar'!$AF$2465&lt;=MAX(DATE(Summary!$C$12,12,31),Summary!$C$15))*('Dvd Calendar'!$AF$2465&lt;=Summary!$C$11)=0,"",'Dvd Calendar'!$AF$2465*1000000000+ISNUMBER('Dvd Calendar'!$AF$2466)*100000000+('Dvd Calendar'!$AF$2470='Field Check'!$C$25)*10000000+(N('Dvd Calendar'!$AF$2464)&gt;0)*1000000+24*1000+28))</f>
        <v/>
      </c>
      <c r="AE180" s="41">
        <f>IF(N('Dvd Calendar'!$AG$2465)=0,"",IF(('Dvd Calendar'!$AG$2465&gt;=MIN(DATE(Summary!$C$12,1,1),Summary!$C$11))*('Dvd Calendar'!$AG$2465&lt;=MAX(DATE(Summary!$C$12,12,31),Summary!$C$15))*('Dvd Calendar'!$AG$2465&lt;=Summary!$C$11)=0,"",'Dvd Calendar'!$AG$2465*1000000000+ISNUMBER('Dvd Calendar'!$AG$2466)*100000000+('Dvd Calendar'!$AG$2470='Field Check'!$C$25)*10000000+(N('Dvd Calendar'!$AG$2464)&gt;0)*1000000+24*1000+29))</f>
        <v/>
      </c>
      <c r="AF180" s="41">
        <f>IF(N('Dvd Calendar'!$AH$2465)=0,"",IF(('Dvd Calendar'!$AH$2465&gt;=MIN(DATE(Summary!$C$12,1,1),Summary!$C$11))*('Dvd Calendar'!$AH$2465&lt;=MAX(DATE(Summary!$C$12,12,31),Summary!$C$15))*('Dvd Calendar'!$AH$2465&lt;=Summary!$C$11)=0,"",'Dvd Calendar'!$AH$2465*1000000000+ISNUMBER('Dvd Calendar'!$AH$2466)*100000000+('Dvd Calendar'!$AH$2470='Field Check'!$C$25)*10000000+(N('Dvd Calendar'!$AH$2464)&gt;0)*1000000+24*1000+30))</f>
        <v/>
      </c>
      <c r="AG180" s="41">
        <f>IF(N('Dvd Calendar'!$AI$2465)=0,"",IF(('Dvd Calendar'!$AI$2465&gt;=MIN(DATE(Summary!$C$12,1,1),Summary!$C$11))*('Dvd Calendar'!$AI$2465&lt;=MAX(DATE(Summary!$C$12,12,31),Summary!$C$15))*('Dvd Calendar'!$AI$2465&lt;=Summary!$C$11)=0,"",'Dvd Calendar'!$AI$2465*1000000000+ISNUMBER('Dvd Calendar'!$AI$2466)*100000000+('Dvd Calendar'!$AI$2470='Field Check'!$C$25)*10000000+(N('Dvd Calendar'!$AI$2464)&gt;0)*1000000+24*1000+31))</f>
        <v/>
      </c>
      <c r="AH180" s="41">
        <f>IF(N('Dvd Calendar'!$AJ$2465)=0,"",IF(('Dvd Calendar'!$AJ$2465&gt;=MIN(DATE(Summary!$C$12,1,1),Summary!$C$11))*('Dvd Calendar'!$AJ$2465&lt;=MAX(DATE(Summary!$C$12,12,31),Summary!$C$15))*('Dvd Calendar'!$AJ$2465&lt;=Summary!$C$11)=0,"",'Dvd Calendar'!$AJ$2465*1000000000+ISNUMBER('Dvd Calendar'!$AJ$2466)*100000000+('Dvd Calendar'!$AJ$2470='Field Check'!$C$25)*10000000+(N('Dvd Calendar'!$AJ$2464)&gt;0)*1000000+24*1000+32))</f>
        <v/>
      </c>
      <c r="AI180" s="41">
        <f>IF(N('Dvd Calendar'!$AK$2465)=0,"",IF(('Dvd Calendar'!$AK$2465&gt;=MIN(DATE(Summary!$C$12,1,1),Summary!$C$11))*('Dvd Calendar'!$AK$2465&lt;=MAX(DATE(Summary!$C$12,12,31),Summary!$C$15))*('Dvd Calendar'!$AK$2465&lt;=Summary!$C$11)=0,"",'Dvd Calendar'!$AK$2465*1000000000+ISNUMBER('Dvd Calendar'!$AK$2466)*100000000+('Dvd Calendar'!$AK$2470='Field Check'!$C$25)*10000000+(N('Dvd Calendar'!$AK$2464)&gt;0)*1000000+24*1000+33))</f>
        <v/>
      </c>
      <c r="AJ180" s="41">
        <f>IF(N('Dvd Calendar'!$AL$2465)=0,"",IF(('Dvd Calendar'!$AL$2465&gt;=MIN(DATE(Summary!$C$12,1,1),Summary!$C$11))*('Dvd Calendar'!$AL$2465&lt;=MAX(DATE(Summary!$C$12,12,31),Summary!$C$15))*('Dvd Calendar'!$AL$2465&lt;=Summary!$C$11)=0,"",'Dvd Calendar'!$AL$2465*1000000000+ISNUMBER('Dvd Calendar'!$AL$2466)*100000000+('Dvd Calendar'!$AL$2470='Field Check'!$C$25)*10000000+(N('Dvd Calendar'!$AL$2464)&gt;0)*1000000+24*1000+34))</f>
        <v/>
      </c>
      <c r="AK180" s="41">
        <f>IF(N('Dvd Calendar'!$AM$2465)=0,"",IF(('Dvd Calendar'!$AM$2465&gt;=MIN(DATE(Summary!$C$12,1,1),Summary!$C$11))*('Dvd Calendar'!$AM$2465&lt;=MAX(DATE(Summary!$C$12,12,31),Summary!$C$15))*('Dvd Calendar'!$AM$2465&lt;=Summary!$C$11)=0,"",'Dvd Calendar'!$AM$2465*1000000000+ISNUMBER('Dvd Calendar'!$AM$2466)*100000000+('Dvd Calendar'!$AM$2470='Field Check'!$C$25)*10000000+(N('Dvd Calendar'!$AM$2464)&gt;0)*1000000+24*1000+35))</f>
        <v/>
      </c>
      <c r="AL180" s="41">
        <f>IF(N('Dvd Calendar'!$AN$2465)=0,"",IF(('Dvd Calendar'!$AN$2465&gt;=MIN(DATE(Summary!$C$12,1,1),Summary!$C$11))*('Dvd Calendar'!$AN$2465&lt;=MAX(DATE(Summary!$C$12,12,31),Summary!$C$15))*('Dvd Calendar'!$AN$2465&lt;=Summary!$C$11)=0,"",'Dvd Calendar'!$AN$2465*1000000000+ISNUMBER('Dvd Calendar'!$AN$2466)*100000000+('Dvd Calendar'!$AN$2470='Field Check'!$C$25)*10000000+(N('Dvd Calendar'!$AN$2464)&gt;0)*1000000+24*1000+36))</f>
        <v/>
      </c>
      <c r="AM180" s="41">
        <f>IF(N('Dvd Calendar'!$AO$2465)=0,"",IF(('Dvd Calendar'!$AO$2465&gt;=MIN(DATE(Summary!$C$12,1,1),Summary!$C$11))*('Dvd Calendar'!$AO$2465&lt;=MAX(DATE(Summary!$C$12,12,31),Summary!$C$15))*('Dvd Calendar'!$AO$2465&lt;=Summary!$C$11)=0,"",'Dvd Calendar'!$AO$2465*1000000000+ISNUMBER('Dvd Calendar'!$AO$2466)*100000000+('Dvd Calendar'!$AO$2470='Field Check'!$C$25)*10000000+(N('Dvd Calendar'!$AO$2464)&gt;0)*1000000+24*1000+37))</f>
        <v/>
      </c>
      <c r="AN180" s="41">
        <f>IF(N('Dvd Calendar'!$AP$2465)=0,"",IF(('Dvd Calendar'!$AP$2465&gt;=MIN(DATE(Summary!$C$12,1,1),Summary!$C$11))*('Dvd Calendar'!$AP$2465&lt;=MAX(DATE(Summary!$C$12,12,31),Summary!$C$15))*('Dvd Calendar'!$AP$2465&lt;=Summary!$C$11)=0,"",'Dvd Calendar'!$AP$2465*1000000000+ISNUMBER('Dvd Calendar'!$AP$2466)*100000000+('Dvd Calendar'!$AP$2470='Field Check'!$C$25)*10000000+(N('Dvd Calendar'!$AP$2464)&gt;0)*1000000+24*1000+38))</f>
        <v/>
      </c>
      <c r="AO180" s="41">
        <f>IF(N('Dvd Calendar'!$AQ$2465)=0,"",IF(('Dvd Calendar'!$AQ$2465&gt;=MIN(DATE(Summary!$C$12,1,1),Summary!$C$11))*('Dvd Calendar'!$AQ$2465&lt;=MAX(DATE(Summary!$C$12,12,31),Summary!$C$15))*('Dvd Calendar'!$AQ$2465&lt;=Summary!$C$11)=0,"",'Dvd Calendar'!$AQ$2465*1000000000+ISNUMBER('Dvd Calendar'!$AQ$2466)*100000000+('Dvd Calendar'!$AQ$2470='Field Check'!$C$25)*10000000+(N('Dvd Calendar'!$AQ$2464)&gt;0)*1000000+24*1000+39))</f>
        <v/>
      </c>
      <c r="AP180" s="41">
        <f>IF(N('Dvd Calendar'!$AR$2465)=0,"",IF(('Dvd Calendar'!$AR$2465&gt;=MIN(DATE(Summary!$C$12,1,1),Summary!$C$11))*('Dvd Calendar'!$AR$2465&lt;=MAX(DATE(Summary!$C$12,12,31),Summary!$C$15))*('Dvd Calendar'!$AR$2465&lt;=Summary!$C$11)=0,"",'Dvd Calendar'!$AR$2465*1000000000+ISNUMBER('Dvd Calendar'!$AR$2466)*100000000+('Dvd Calendar'!$AR$2470='Field Check'!$C$25)*10000000+(N('Dvd Calendar'!$AR$2464)&gt;0)*1000000+24*1000+40))</f>
        <v/>
      </c>
      <c r="AQ180" s="41">
        <f>IF(N('Dvd Calendar'!$E$2472)=0,"",IF(('Dvd Calendar'!$E$2472&gt;=MIN(DATE(Summary!$C$12,1,1),Summary!$C$11))*('Dvd Calendar'!$E$2472&lt;=MAX(DATE(Summary!$C$12,12,31),Summary!$C$15))*('Dvd Calendar'!$E$2472&gt;Summary!$C$11)=0,"",'Dvd Calendar'!$E$2472*1000000000+ISNUMBER('Dvd Calendar'!$E$2473)*100000000+('Dvd Calendar'!$E$2477='Field Check'!$C$25)*10000000+(N('Dvd Calendar'!$E$2471)&gt;0)*1000000+24*1000+41))</f>
        <v/>
      </c>
      <c r="AR180" s="41">
        <f>IF(N('Dvd Calendar'!$F$2472)=0,"",IF(('Dvd Calendar'!$F$2472&gt;=MIN(DATE(Summary!$C$12,1,1),Summary!$C$11))*('Dvd Calendar'!$F$2472&lt;=MAX(DATE(Summary!$C$12,12,31),Summary!$C$15))*('Dvd Calendar'!$F$2472&gt;Summary!$C$11)=0,"",'Dvd Calendar'!$F$2472*1000000000+ISNUMBER('Dvd Calendar'!$F$2473)*100000000+('Dvd Calendar'!$F$2477='Field Check'!$C$25)*10000000+(N('Dvd Calendar'!$F$2471)&gt;0)*1000000+24*1000+42))</f>
        <v/>
      </c>
      <c r="AS180" s="41">
        <f>IF(N('Dvd Calendar'!$G$2472)=0,"",IF(('Dvd Calendar'!$G$2472&gt;=MIN(DATE(Summary!$C$12,1,1),Summary!$C$11))*('Dvd Calendar'!$G$2472&lt;=MAX(DATE(Summary!$C$12,12,31),Summary!$C$15))*('Dvd Calendar'!$G$2472&gt;Summary!$C$11)=0,"",'Dvd Calendar'!$G$2472*1000000000+ISNUMBER('Dvd Calendar'!$G$2473)*100000000+('Dvd Calendar'!$G$2477='Field Check'!$C$25)*10000000+(N('Dvd Calendar'!$G$2471)&gt;0)*1000000+24*1000+43))</f>
        <v/>
      </c>
      <c r="AT180" s="41">
        <f>IF(N('Dvd Calendar'!$H$2472)=0,"",IF(('Dvd Calendar'!$H$2472&gt;=MIN(DATE(Summary!$C$12,1,1),Summary!$C$11))*('Dvd Calendar'!$H$2472&lt;=MAX(DATE(Summary!$C$12,12,31),Summary!$C$15))*('Dvd Calendar'!$H$2472&gt;Summary!$C$11)=0,"",'Dvd Calendar'!$H$2472*1000000000+ISNUMBER('Dvd Calendar'!$H$2473)*100000000+('Dvd Calendar'!$H$2477='Field Check'!$C$25)*10000000+(N('Dvd Calendar'!$H$2471)&gt;0)*1000000+24*1000+44))</f>
        <v/>
      </c>
      <c r="AU180" s="41">
        <f>IF(N('Dvd Calendar'!$I$2472)=0,"",IF(('Dvd Calendar'!$I$2472&gt;=MIN(DATE(Summary!$C$12,1,1),Summary!$C$11))*('Dvd Calendar'!$I$2472&lt;=MAX(DATE(Summary!$C$12,12,31),Summary!$C$15))*('Dvd Calendar'!$I$2472&gt;Summary!$C$11)=0,"",'Dvd Calendar'!$I$2472*1000000000+ISNUMBER('Dvd Calendar'!$I$2473)*100000000+('Dvd Calendar'!$I$2477='Field Check'!$C$25)*10000000+(N('Dvd Calendar'!$I$2471)&gt;0)*1000000+24*1000+45))</f>
        <v/>
      </c>
      <c r="AV180" s="41">
        <f>IF(N('Dvd Calendar'!$J$2472)=0,"",IF(('Dvd Calendar'!$J$2472&gt;=MIN(DATE(Summary!$C$12,1,1),Summary!$C$11))*('Dvd Calendar'!$J$2472&lt;=MAX(DATE(Summary!$C$12,12,31),Summary!$C$15))*('Dvd Calendar'!$J$2472&gt;Summary!$C$11)=0,"",'Dvd Calendar'!$J$2472*1000000000+ISNUMBER('Dvd Calendar'!$J$2473)*100000000+('Dvd Calendar'!$J$2477='Field Check'!$C$25)*10000000+(N('Dvd Calendar'!$J$2471)&gt;0)*1000000+24*1000+46))</f>
        <v/>
      </c>
      <c r="AW180" s="41">
        <f>IF(N('Dvd Calendar'!$K$2472)=0,"",IF(('Dvd Calendar'!$K$2472&gt;=MIN(DATE(Summary!$C$12,1,1),Summary!$C$11))*('Dvd Calendar'!$K$2472&lt;=MAX(DATE(Summary!$C$12,12,31),Summary!$C$15))*('Dvd Calendar'!$K$2472&gt;Summary!$C$11)=0,"",'Dvd Calendar'!$K$2472*1000000000+ISNUMBER('Dvd Calendar'!$K$2473)*100000000+('Dvd Calendar'!$K$2477='Field Check'!$C$25)*10000000+(N('Dvd Calendar'!$K$2471)&gt;0)*1000000+24*1000+47))</f>
        <v/>
      </c>
      <c r="AX180" s="41">
        <f>IF(N('Dvd Calendar'!$L$2472)=0,"",IF(('Dvd Calendar'!$L$2472&gt;=MIN(DATE(Summary!$C$12,1,1),Summary!$C$11))*('Dvd Calendar'!$L$2472&lt;=MAX(DATE(Summary!$C$12,12,31),Summary!$C$15))*('Dvd Calendar'!$L$2472&gt;Summary!$C$11)=0,"",'Dvd Calendar'!$L$2472*1000000000+ISNUMBER('Dvd Calendar'!$L$2473)*100000000+('Dvd Calendar'!$L$2477='Field Check'!$C$25)*10000000+(N('Dvd Calendar'!$L$2471)&gt;0)*1000000+24*1000+48))</f>
        <v/>
      </c>
      <c r="AY180" s="41">
        <f>IF(N('Dvd Calendar'!$M$2472)=0,"",IF(('Dvd Calendar'!$M$2472&gt;=MIN(DATE(Summary!$C$12,1,1),Summary!$C$11))*('Dvd Calendar'!$M$2472&lt;=MAX(DATE(Summary!$C$12,12,31),Summary!$C$15))*('Dvd Calendar'!$M$2472&gt;Summary!$C$11)=0,"",'Dvd Calendar'!$M$2472*1000000000+ISNUMBER('Dvd Calendar'!$M$2473)*100000000+('Dvd Calendar'!$M$2477='Field Check'!$C$25)*10000000+(N('Dvd Calendar'!$M$2471)&gt;0)*1000000+24*1000+49))</f>
        <v/>
      </c>
      <c r="AZ180" s="41">
        <f>IF(N('Dvd Calendar'!$N$2472)=0,"",IF(('Dvd Calendar'!$N$2472&gt;=MIN(DATE(Summary!$C$12,1,1),Summary!$C$11))*('Dvd Calendar'!$N$2472&lt;=MAX(DATE(Summary!$C$12,12,31),Summary!$C$15))*('Dvd Calendar'!$N$2472&gt;Summary!$C$11)=0,"",'Dvd Calendar'!$N$2472*1000000000+ISNUMBER('Dvd Calendar'!$N$2473)*100000000+('Dvd Calendar'!$N$2477='Field Check'!$C$25)*10000000+(N('Dvd Calendar'!$N$2471)&gt;0)*1000000+24*1000+50))</f>
        <v/>
      </c>
      <c r="BA180" s="41">
        <f>IF(N('Dvd Calendar'!$O$2472)=0,"",IF(('Dvd Calendar'!$O$2472&gt;=MIN(DATE(Summary!$C$12,1,1),Summary!$C$11))*('Dvd Calendar'!$O$2472&lt;=MAX(DATE(Summary!$C$12,12,31),Summary!$C$15))*('Dvd Calendar'!$O$2472&gt;Summary!$C$11)=0,"",'Dvd Calendar'!$O$2472*1000000000+ISNUMBER('Dvd Calendar'!$O$2473)*100000000+('Dvd Calendar'!$O$2477='Field Check'!$C$25)*10000000+(N('Dvd Calendar'!$O$2471)&gt;0)*1000000+24*1000+51))</f>
        <v/>
      </c>
      <c r="BB180" s="41">
        <f>IF(N('Dvd Calendar'!$P$2472)=0,"",IF(('Dvd Calendar'!$P$2472&gt;=MIN(DATE(Summary!$C$12,1,1),Summary!$C$11))*('Dvd Calendar'!$P$2472&lt;=MAX(DATE(Summary!$C$12,12,31),Summary!$C$15))*('Dvd Calendar'!$P$2472&gt;Summary!$C$11)=0,"",'Dvd Calendar'!$P$2472*1000000000+ISNUMBER('Dvd Calendar'!$P$2473)*100000000+('Dvd Calendar'!$P$2477='Field Check'!$C$25)*10000000+(N('Dvd Calendar'!$P$2471)&gt;0)*1000000+24*1000+52))</f>
        <v/>
      </c>
      <c r="BC180" s="41">
        <f>IF(N('Dvd Calendar'!$Q$2472)=0,"",IF(('Dvd Calendar'!$Q$2472&gt;=MIN(DATE(Summary!$C$12,1,1),Summary!$C$11))*('Dvd Calendar'!$Q$2472&lt;=MAX(DATE(Summary!$C$12,12,31),Summary!$C$15))*('Dvd Calendar'!$Q$2472&gt;Summary!$C$11)=0,"",'Dvd Calendar'!$Q$2472*1000000000+ISNUMBER('Dvd Calendar'!$Q$2473)*100000000+('Dvd Calendar'!$Q$2477='Field Check'!$C$25)*10000000+(N('Dvd Calendar'!$Q$2471)&gt;0)*1000000+24*1000+53))</f>
        <v/>
      </c>
      <c r="BD180" s="41">
        <f>IF(N('Dvd Calendar'!$R$2472)=0,"",IF(('Dvd Calendar'!$R$2472&gt;=MIN(DATE(Summary!$C$12,1,1),Summary!$C$11))*('Dvd Calendar'!$R$2472&lt;=MAX(DATE(Summary!$C$12,12,31),Summary!$C$15))*('Dvd Calendar'!$R$2472&gt;Summary!$C$11)=0,"",'Dvd Calendar'!$R$2472*1000000000+ISNUMBER('Dvd Calendar'!$R$2473)*100000000+('Dvd Calendar'!$R$2477='Field Check'!$C$25)*10000000+(N('Dvd Calendar'!$R$2471)&gt;0)*1000000+24*1000+54))</f>
        <v/>
      </c>
      <c r="BE180" s="41">
        <f>IF(N('Dvd Calendar'!$S$2472)=0,"",IF(('Dvd Calendar'!$S$2472&gt;=MIN(DATE(Summary!$C$12,1,1),Summary!$C$11))*('Dvd Calendar'!$S$2472&lt;=MAX(DATE(Summary!$C$12,12,31),Summary!$C$15))*('Dvd Calendar'!$S$2472&gt;Summary!$C$11)=0,"",'Dvd Calendar'!$S$2472*1000000000+ISNUMBER('Dvd Calendar'!$S$2473)*100000000+('Dvd Calendar'!$S$2477='Field Check'!$C$25)*10000000+(N('Dvd Calendar'!$S$2471)&gt;0)*1000000+24*1000+55))</f>
        <v/>
      </c>
      <c r="BF180" s="41">
        <f>IF(N('Dvd Calendar'!$T$2472)=0,"",IF(('Dvd Calendar'!$T$2472&gt;=MIN(DATE(Summary!$C$12,1,1),Summary!$C$11))*('Dvd Calendar'!$T$2472&lt;=MAX(DATE(Summary!$C$12,12,31),Summary!$C$15))*('Dvd Calendar'!$T$2472&gt;Summary!$C$11)=0,"",'Dvd Calendar'!$T$2472*1000000000+ISNUMBER('Dvd Calendar'!$T$2473)*100000000+('Dvd Calendar'!$T$2477='Field Check'!$C$25)*10000000+(N('Dvd Calendar'!$T$2471)&gt;0)*1000000+24*1000+56))</f>
        <v/>
      </c>
      <c r="BG180" s="41">
        <f>IF(N('Dvd Calendar'!$U$2472)=0,"",IF(('Dvd Calendar'!$U$2472&gt;=MIN(DATE(Summary!$C$12,1,1),Summary!$C$11))*('Dvd Calendar'!$U$2472&lt;=MAX(DATE(Summary!$C$12,12,31),Summary!$C$15))*('Dvd Calendar'!$U$2472&gt;Summary!$C$11)=0,"",'Dvd Calendar'!$U$2472*1000000000+ISNUMBER('Dvd Calendar'!$U$2473)*100000000+('Dvd Calendar'!$U$2477='Field Check'!$C$25)*10000000+(N('Dvd Calendar'!$U$2471)&gt;0)*1000000+24*1000+57))</f>
        <v/>
      </c>
      <c r="BH180" s="41">
        <f>IF(N('Dvd Calendar'!$V$2472)=0,"",IF(('Dvd Calendar'!$V$2472&gt;=MIN(DATE(Summary!$C$12,1,1),Summary!$C$11))*('Dvd Calendar'!$V$2472&lt;=MAX(DATE(Summary!$C$12,12,31),Summary!$C$15))*('Dvd Calendar'!$V$2472&gt;Summary!$C$11)=0,"",'Dvd Calendar'!$V$2472*1000000000+ISNUMBER('Dvd Calendar'!$V$2473)*100000000+('Dvd Calendar'!$V$2477='Field Check'!$C$25)*10000000+(N('Dvd Calendar'!$V$2471)&gt;0)*1000000+24*1000+58))</f>
        <v/>
      </c>
      <c r="BI180" s="41">
        <f>IF(N('Dvd Calendar'!$W$2472)=0,"",IF(('Dvd Calendar'!$W$2472&gt;=MIN(DATE(Summary!$C$12,1,1),Summary!$C$11))*('Dvd Calendar'!$W$2472&lt;=MAX(DATE(Summary!$C$12,12,31),Summary!$C$15))*('Dvd Calendar'!$W$2472&gt;Summary!$C$11)=0,"",'Dvd Calendar'!$W$2472*1000000000+ISNUMBER('Dvd Calendar'!$W$2473)*100000000+('Dvd Calendar'!$W$2477='Field Check'!$C$25)*10000000+(N('Dvd Calendar'!$W$2471)&gt;0)*1000000+24*1000+59))</f>
        <v/>
      </c>
      <c r="BJ180" s="41">
        <f>IF(N('Dvd Calendar'!$X$2472)=0,"",IF(('Dvd Calendar'!$X$2472&gt;=MIN(DATE(Summary!$C$12,1,1),Summary!$C$11))*('Dvd Calendar'!$X$2472&lt;=MAX(DATE(Summary!$C$12,12,31),Summary!$C$15))*('Dvd Calendar'!$X$2472&gt;Summary!$C$11)=0,"",'Dvd Calendar'!$X$2472*1000000000+ISNUMBER('Dvd Calendar'!$X$2473)*100000000+('Dvd Calendar'!$X$2477='Field Check'!$C$25)*10000000+(N('Dvd Calendar'!$X$2471)&gt;0)*1000000+24*1000+60))</f>
        <v/>
      </c>
      <c r="BK180" s="41">
        <f>IF(N('Dvd Calendar'!$Y$2472)=0,"",IF(('Dvd Calendar'!$Y$2472&gt;=MIN(DATE(Summary!$C$12,1,1),Summary!$C$11))*('Dvd Calendar'!$Y$2472&lt;=MAX(DATE(Summary!$C$12,12,31),Summary!$C$15))*('Dvd Calendar'!$Y$2472&gt;Summary!$C$11)=0,"",'Dvd Calendar'!$Y$2472*1000000000+ISNUMBER('Dvd Calendar'!$Y$2473)*100000000+('Dvd Calendar'!$Y$2477='Field Check'!$C$25)*10000000+(N('Dvd Calendar'!$Y$2471)&gt;0)*1000000+24*1000+61))</f>
        <v/>
      </c>
      <c r="BL180" s="41">
        <f>IF(N('Dvd Calendar'!$Z$2472)=0,"",IF(('Dvd Calendar'!$Z$2472&gt;=MIN(DATE(Summary!$C$12,1,1),Summary!$C$11))*('Dvd Calendar'!$Z$2472&lt;=MAX(DATE(Summary!$C$12,12,31),Summary!$C$15))*('Dvd Calendar'!$Z$2472&gt;Summary!$C$11)=0,"",'Dvd Calendar'!$Z$2472*1000000000+ISNUMBER('Dvd Calendar'!$Z$2473)*100000000+('Dvd Calendar'!$Z$2477='Field Check'!$C$25)*10000000+(N('Dvd Calendar'!$Z$2471)&gt;0)*1000000+24*1000+62))</f>
        <v/>
      </c>
      <c r="BM180" s="41">
        <f>IF(N('Dvd Calendar'!$AA$2472)=0,"",IF(('Dvd Calendar'!$AA$2472&gt;=MIN(DATE(Summary!$C$12,1,1),Summary!$C$11))*('Dvd Calendar'!$AA$2472&lt;=MAX(DATE(Summary!$C$12,12,31),Summary!$C$15))*('Dvd Calendar'!$AA$2472&gt;Summary!$C$11)=0,"",'Dvd Calendar'!$AA$2472*1000000000+ISNUMBER('Dvd Calendar'!$AA$2473)*100000000+('Dvd Calendar'!$AA$2477='Field Check'!$C$25)*10000000+(N('Dvd Calendar'!$AA$2471)&gt;0)*1000000+24*1000+63))</f>
        <v/>
      </c>
      <c r="BN180" s="41">
        <f>IF(N('Dvd Calendar'!$AB$2472)=0,"",IF(('Dvd Calendar'!$AB$2472&gt;=MIN(DATE(Summary!$C$12,1,1),Summary!$C$11))*('Dvd Calendar'!$AB$2472&lt;=MAX(DATE(Summary!$C$12,12,31),Summary!$C$15))*('Dvd Calendar'!$AB$2472&gt;Summary!$C$11)=0,"",'Dvd Calendar'!$AB$2472*1000000000+ISNUMBER('Dvd Calendar'!$AB$2473)*100000000+('Dvd Calendar'!$AB$2477='Field Check'!$C$25)*10000000+(N('Dvd Calendar'!$AB$2471)&gt;0)*1000000+24*1000+64))</f>
        <v/>
      </c>
      <c r="BO180" s="41">
        <f>IF(N('Dvd Calendar'!$AC$2472)=0,"",IF(('Dvd Calendar'!$AC$2472&gt;=MIN(DATE(Summary!$C$12,1,1),Summary!$C$11))*('Dvd Calendar'!$AC$2472&lt;=MAX(DATE(Summary!$C$12,12,31),Summary!$C$15))*('Dvd Calendar'!$AC$2472&gt;Summary!$C$11)=0,"",'Dvd Calendar'!$AC$2472*1000000000+ISNUMBER('Dvd Calendar'!$AC$2473)*100000000+('Dvd Calendar'!$AC$2477='Field Check'!$C$25)*10000000+(N('Dvd Calendar'!$AC$2471)&gt;0)*1000000+24*1000+65))</f>
        <v/>
      </c>
      <c r="BQ180" s="85">
        <f>IF(C180="","",IF(ISNUMBER('Dvd Calendar'!$E$2466)=FALSE,"",IF((Summary!$C$13="N")*('Dvd Calendar'!$E$2470='Field Check'!$C$25)&gt;0,"",'Dvd Calendar'!$E$2466)))</f>
        <v/>
      </c>
      <c r="BR180" s="85">
        <f>IF(D180="","",IF(ISNUMBER('Dvd Calendar'!$F$2466)=FALSE,"",IF((Summary!$C$13="N")*('Dvd Calendar'!$F$2470='Field Check'!$C$25)&gt;0,"",'Dvd Calendar'!$F$2466)))</f>
        <v/>
      </c>
      <c r="BS180" s="85">
        <f>IF(E180="","",IF(ISNUMBER('Dvd Calendar'!$G$2466)=FALSE,"",IF((Summary!$C$13="N")*('Dvd Calendar'!$G$2470='Field Check'!$C$25)&gt;0,"",'Dvd Calendar'!$G$2466)))</f>
        <v/>
      </c>
      <c r="BT180" s="85">
        <f>IF(F180="","",IF(ISNUMBER('Dvd Calendar'!$H$2466)=FALSE,"",IF((Summary!$C$13="N")*('Dvd Calendar'!$H$2470='Field Check'!$C$25)&gt;0,"",'Dvd Calendar'!$H$2466)))</f>
        <v/>
      </c>
      <c r="BU180" s="85">
        <f>IF(G180="","",IF(ISNUMBER('Dvd Calendar'!$I$2466)=FALSE,"",IF((Summary!$C$13="N")*('Dvd Calendar'!$I$2470='Field Check'!$C$25)&gt;0,"",'Dvd Calendar'!$I$2466)))</f>
        <v/>
      </c>
      <c r="BV180" s="85">
        <f>IF(H180="","",IF(ISNUMBER('Dvd Calendar'!$J$2466)=FALSE,"",IF((Summary!$C$13="N")*('Dvd Calendar'!$J$2470='Field Check'!$C$25)&gt;0,"",'Dvd Calendar'!$J$2466)))</f>
        <v/>
      </c>
      <c r="BW180" s="85">
        <f>IF(I180="","",IF(ISNUMBER('Dvd Calendar'!$K$2466)=FALSE,"",IF((Summary!$C$13="N")*('Dvd Calendar'!$K$2470='Field Check'!$C$25)&gt;0,"",'Dvd Calendar'!$K$2466)))</f>
        <v/>
      </c>
      <c r="BX180" s="85">
        <f>IF(J180="","",IF(ISNUMBER('Dvd Calendar'!$L$2466)=FALSE,"",IF((Summary!$C$13="N")*('Dvd Calendar'!$L$2470='Field Check'!$C$25)&gt;0,"",'Dvd Calendar'!$L$2466)))</f>
        <v/>
      </c>
      <c r="BY180" s="85">
        <f>IF(K180="","",IF(ISNUMBER('Dvd Calendar'!$M$2466)=FALSE,"",IF((Summary!$C$13="N")*('Dvd Calendar'!$M$2470='Field Check'!$C$25)&gt;0,"",'Dvd Calendar'!$M$2466)))</f>
        <v/>
      </c>
      <c r="BZ180" s="85">
        <f>IF(L180="","",IF(ISNUMBER('Dvd Calendar'!$N$2466)=FALSE,"",IF((Summary!$C$13="N")*('Dvd Calendar'!$N$2470='Field Check'!$C$25)&gt;0,"",'Dvd Calendar'!$N$2466)))</f>
        <v/>
      </c>
      <c r="CA180" s="85">
        <f>IF(M180="","",IF(ISNUMBER('Dvd Calendar'!$O$2466)=FALSE,"",IF((Summary!$C$13="N")*('Dvd Calendar'!$O$2470='Field Check'!$C$25)&gt;0,"",'Dvd Calendar'!$O$2466)))</f>
        <v/>
      </c>
      <c r="CB180" s="85">
        <f>IF(N180="","",IF(ISNUMBER('Dvd Calendar'!$P$2466)=FALSE,"",IF((Summary!$C$13="N")*('Dvd Calendar'!$P$2470='Field Check'!$C$25)&gt;0,"",'Dvd Calendar'!$P$2466)))</f>
        <v/>
      </c>
      <c r="CC180" s="85">
        <f>IF(O180="","",IF(ISNUMBER('Dvd Calendar'!$Q$2466)=FALSE,"",IF((Summary!$C$13="N")*('Dvd Calendar'!$Q$2470='Field Check'!$C$25)&gt;0,"",'Dvd Calendar'!$Q$2466)))</f>
        <v/>
      </c>
      <c r="CD180" s="85">
        <f>IF(P180="","",IF(ISNUMBER('Dvd Calendar'!$R$2466)=FALSE,"",IF((Summary!$C$13="N")*('Dvd Calendar'!$R$2470='Field Check'!$C$25)&gt;0,"",'Dvd Calendar'!$R$2466)))</f>
        <v/>
      </c>
      <c r="CE180" s="85">
        <f>IF(Q180="","",IF(ISNUMBER('Dvd Calendar'!$S$2466)=FALSE,"",IF((Summary!$C$13="N")*('Dvd Calendar'!$S$2470='Field Check'!$C$25)&gt;0,"",'Dvd Calendar'!$S$2466)))</f>
        <v/>
      </c>
      <c r="CF180" s="85">
        <f>IF(R180="","",IF(ISNUMBER('Dvd Calendar'!$T$2466)=FALSE,"",IF((Summary!$C$13="N")*('Dvd Calendar'!$T$2470='Field Check'!$C$25)&gt;0,"",'Dvd Calendar'!$T$2466)))</f>
        <v/>
      </c>
      <c r="CG180" s="85">
        <f>IF(S180="","",IF(ISNUMBER('Dvd Calendar'!$U$2466)=FALSE,"",IF((Summary!$C$13="N")*('Dvd Calendar'!$U$2470='Field Check'!$C$25)&gt;0,"",'Dvd Calendar'!$U$2466)))</f>
        <v/>
      </c>
      <c r="CH180" s="85">
        <f>IF(T180="","",IF(ISNUMBER('Dvd Calendar'!$V$2466)=FALSE,"",IF((Summary!$C$13="N")*('Dvd Calendar'!$V$2470='Field Check'!$C$25)&gt;0,"",'Dvd Calendar'!$V$2466)))</f>
        <v/>
      </c>
      <c r="CI180" s="85">
        <f>IF(U180="","",IF(ISNUMBER('Dvd Calendar'!$W$2466)=FALSE,"",IF((Summary!$C$13="N")*('Dvd Calendar'!$W$2470='Field Check'!$C$25)&gt;0,"",'Dvd Calendar'!$W$2466)))</f>
        <v/>
      </c>
      <c r="CJ180" s="85">
        <f>IF(V180="","",IF(ISNUMBER('Dvd Calendar'!$X$2466)=FALSE,"",IF((Summary!$C$13="N")*('Dvd Calendar'!$X$2470='Field Check'!$C$25)&gt;0,"",'Dvd Calendar'!$X$2466)))</f>
        <v/>
      </c>
      <c r="CK180" s="85">
        <f>IF(W180="","",IF(ISNUMBER('Dvd Calendar'!$Y$2466)=FALSE,"",IF((Summary!$C$13="N")*('Dvd Calendar'!$Y$2470='Field Check'!$C$25)&gt;0,"",'Dvd Calendar'!$Y$2466)))</f>
        <v/>
      </c>
      <c r="CL180" s="85">
        <f>IF(X180="","",IF(ISNUMBER('Dvd Calendar'!$Z$2466)=FALSE,"",IF((Summary!$C$13="N")*('Dvd Calendar'!$Z$2470='Field Check'!$C$25)&gt;0,"",'Dvd Calendar'!$Z$2466)))</f>
        <v/>
      </c>
      <c r="CM180" s="85">
        <f>IF(Y180="","",IF(ISNUMBER('Dvd Calendar'!$AA$2466)=FALSE,"",IF((Summary!$C$13="N")*('Dvd Calendar'!$AA$2470='Field Check'!$C$25)&gt;0,"",'Dvd Calendar'!$AA$2466)))</f>
        <v/>
      </c>
      <c r="CN180" s="85">
        <f>IF(Z180="","",IF(ISNUMBER('Dvd Calendar'!$AB$2466)=FALSE,"",IF((Summary!$C$13="N")*('Dvd Calendar'!$AB$2470='Field Check'!$C$25)&gt;0,"",'Dvd Calendar'!$AB$2466)))</f>
        <v/>
      </c>
      <c r="CO180" s="85">
        <f>IF(AA180="","",IF(ISNUMBER('Dvd Calendar'!$AC$2466)=FALSE,"",IF((Summary!$C$13="N")*('Dvd Calendar'!$AC$2470='Field Check'!$C$25)&gt;0,"",'Dvd Calendar'!$AC$2466)))</f>
        <v/>
      </c>
      <c r="CP180" s="85">
        <f>IF(AB180="","",IF(ISNUMBER('Dvd Calendar'!$AD$2466)=FALSE,"",IF((Summary!$C$13="N")*('Dvd Calendar'!$AD$2470='Field Check'!$C$25)&gt;0,"",'Dvd Calendar'!$AD$2466)))</f>
        <v/>
      </c>
      <c r="CQ180" s="85">
        <f>IF(AC180="","",IF(ISNUMBER('Dvd Calendar'!$AE$2466)=FALSE,"",IF((Summary!$C$13="N")*('Dvd Calendar'!$AE$2470='Field Check'!$C$25)&gt;0,"",'Dvd Calendar'!$AE$2466)))</f>
        <v/>
      </c>
      <c r="CR180" s="85">
        <f>IF(AD180="","",IF(ISNUMBER('Dvd Calendar'!$AF$2466)=FALSE,"",IF((Summary!$C$13="N")*('Dvd Calendar'!$AF$2470='Field Check'!$C$25)&gt;0,"",'Dvd Calendar'!$AF$2466)))</f>
        <v/>
      </c>
      <c r="CS180" s="85">
        <f>IF(AE180="","",IF(ISNUMBER('Dvd Calendar'!$AG$2466)=FALSE,"",IF((Summary!$C$13="N")*('Dvd Calendar'!$AG$2470='Field Check'!$C$25)&gt;0,"",'Dvd Calendar'!$AG$2466)))</f>
        <v/>
      </c>
      <c r="CT180" s="85">
        <f>IF(AF180="","",IF(ISNUMBER('Dvd Calendar'!$AH$2466)=FALSE,"",IF((Summary!$C$13="N")*('Dvd Calendar'!$AH$2470='Field Check'!$C$25)&gt;0,"",'Dvd Calendar'!$AH$2466)))</f>
        <v/>
      </c>
      <c r="CU180" s="85">
        <f>IF(AG180="","",IF(ISNUMBER('Dvd Calendar'!$AI$2466)=FALSE,"",IF((Summary!$C$13="N")*('Dvd Calendar'!$AI$2470='Field Check'!$C$25)&gt;0,"",'Dvd Calendar'!$AI$2466)))</f>
        <v/>
      </c>
      <c r="CV180" s="85">
        <f>IF(AH180="","",IF(ISNUMBER('Dvd Calendar'!$AJ$2466)=FALSE,"",IF((Summary!$C$13="N")*('Dvd Calendar'!$AJ$2470='Field Check'!$C$25)&gt;0,"",'Dvd Calendar'!$AJ$2466)))</f>
        <v/>
      </c>
      <c r="CW180" s="85">
        <f>IF(AI180="","",IF(ISNUMBER('Dvd Calendar'!$AK$2466)=FALSE,"",IF((Summary!$C$13="N")*('Dvd Calendar'!$AK$2470='Field Check'!$C$25)&gt;0,"",'Dvd Calendar'!$AK$2466)))</f>
        <v/>
      </c>
      <c r="CX180" s="85">
        <f>IF(AJ180="","",IF(ISNUMBER('Dvd Calendar'!$AL$2466)=FALSE,"",IF((Summary!$C$13="N")*('Dvd Calendar'!$AL$2470='Field Check'!$C$25)&gt;0,"",'Dvd Calendar'!$AL$2466)))</f>
        <v/>
      </c>
      <c r="CY180" s="85">
        <f>IF(AK180="","",IF(ISNUMBER('Dvd Calendar'!$AM$2466)=FALSE,"",IF((Summary!$C$13="N")*('Dvd Calendar'!$AM$2470='Field Check'!$C$25)&gt;0,"",'Dvd Calendar'!$AM$2466)))</f>
        <v/>
      </c>
      <c r="CZ180" s="85">
        <f>IF(AL180="","",IF(ISNUMBER('Dvd Calendar'!$AN$2466)=FALSE,"",IF((Summary!$C$13="N")*('Dvd Calendar'!$AN$2470='Field Check'!$C$25)&gt;0,"",'Dvd Calendar'!$AN$2466)))</f>
        <v/>
      </c>
      <c r="DA180" s="85">
        <f>IF(AM180="","",IF(ISNUMBER('Dvd Calendar'!$AO$2466)=FALSE,"",IF((Summary!$C$13="N")*('Dvd Calendar'!$AO$2470='Field Check'!$C$25)&gt;0,"",'Dvd Calendar'!$AO$2466)))</f>
        <v/>
      </c>
      <c r="DB180" s="85">
        <f>IF(AN180="","",IF(ISNUMBER('Dvd Calendar'!$AP$2466)=FALSE,"",IF((Summary!$C$13="N")*('Dvd Calendar'!$AP$2470='Field Check'!$C$25)&gt;0,"",'Dvd Calendar'!$AP$2466)))</f>
        <v/>
      </c>
      <c r="DC180" s="85">
        <f>IF(AO180="","",IF(ISNUMBER('Dvd Calendar'!$AQ$2466)=FALSE,"",IF((Summary!$C$13="N")*('Dvd Calendar'!$AQ$2470='Field Check'!$C$25)&gt;0,"",'Dvd Calendar'!$AQ$2466)))</f>
        <v/>
      </c>
      <c r="DD180" s="85">
        <f>IF(AP180="","",IF(ISNUMBER('Dvd Calendar'!$AR$2466)=FALSE,"",IF((Summary!$C$13="N")*('Dvd Calendar'!$AR$2470='Field Check'!$C$25)&gt;0,"",'Dvd Calendar'!$AR$2466)))</f>
        <v/>
      </c>
      <c r="DE180" s="85">
        <f>IF(AQ180="","",IF(ISNUMBER('Dvd Calendar'!$E$2473)=FALSE,"",IF((Summary!$C$13="N")*('Dvd Calendar'!$E$2477='Field Check'!$C$25)&gt;0,"",'Dvd Calendar'!$E$2473)))</f>
        <v/>
      </c>
      <c r="DF180" s="85">
        <f>IF(AR180="","",IF(ISNUMBER('Dvd Calendar'!$F$2473)=FALSE,"",IF((Summary!$C$13="N")*('Dvd Calendar'!$F$2477='Field Check'!$C$25)&gt;0,"",'Dvd Calendar'!$F$2473)))</f>
        <v/>
      </c>
      <c r="DG180" s="85">
        <f>IF(AS180="","",IF(ISNUMBER('Dvd Calendar'!$G$2473)=FALSE,"",IF((Summary!$C$13="N")*('Dvd Calendar'!$G$2477='Field Check'!$C$25)&gt;0,"",'Dvd Calendar'!$G$2473)))</f>
        <v/>
      </c>
      <c r="DH180" s="85">
        <f>IF(AT180="","",IF(ISNUMBER('Dvd Calendar'!$H$2473)=FALSE,"",IF((Summary!$C$13="N")*('Dvd Calendar'!$H$2477='Field Check'!$C$25)&gt;0,"",'Dvd Calendar'!$H$2473)))</f>
        <v/>
      </c>
      <c r="DI180" s="85">
        <f>IF(AU180="","",IF(ISNUMBER('Dvd Calendar'!$I$2473)=FALSE,"",IF((Summary!$C$13="N")*('Dvd Calendar'!$I$2477='Field Check'!$C$25)&gt;0,"",'Dvd Calendar'!$I$2473)))</f>
        <v/>
      </c>
      <c r="DJ180" s="85">
        <f>IF(AV180="","",IF(ISNUMBER('Dvd Calendar'!$J$2473)=FALSE,"",IF((Summary!$C$13="N")*('Dvd Calendar'!$J$2477='Field Check'!$C$25)&gt;0,"",'Dvd Calendar'!$J$2473)))</f>
        <v/>
      </c>
      <c r="DK180" s="85">
        <f>IF(AW180="","",IF(ISNUMBER('Dvd Calendar'!$K$2473)=FALSE,"",IF((Summary!$C$13="N")*('Dvd Calendar'!$K$2477='Field Check'!$C$25)&gt;0,"",'Dvd Calendar'!$K$2473)))</f>
        <v/>
      </c>
      <c r="DL180" s="85">
        <f>IF(AX180="","",IF(ISNUMBER('Dvd Calendar'!$L$2473)=FALSE,"",IF((Summary!$C$13="N")*('Dvd Calendar'!$L$2477='Field Check'!$C$25)&gt;0,"",'Dvd Calendar'!$L$2473)))</f>
        <v/>
      </c>
      <c r="DM180" s="85">
        <f>IF(AY180="","",IF(ISNUMBER('Dvd Calendar'!$M$2473)=FALSE,"",IF((Summary!$C$13="N")*('Dvd Calendar'!$M$2477='Field Check'!$C$25)&gt;0,"",'Dvd Calendar'!$M$2473)))</f>
        <v/>
      </c>
      <c r="DN180" s="85">
        <f>IF(AZ180="","",IF(ISNUMBER('Dvd Calendar'!$N$2473)=FALSE,"",IF((Summary!$C$13="N")*('Dvd Calendar'!$N$2477='Field Check'!$C$25)&gt;0,"",'Dvd Calendar'!$N$2473)))</f>
        <v/>
      </c>
      <c r="DO180" s="85">
        <f>IF(BA180="","",IF(ISNUMBER('Dvd Calendar'!$O$2473)=FALSE,"",IF((Summary!$C$13="N")*('Dvd Calendar'!$O$2477='Field Check'!$C$25)&gt;0,"",'Dvd Calendar'!$O$2473)))</f>
        <v/>
      </c>
      <c r="DP180" s="85">
        <f>IF(BB180="","",IF(ISNUMBER('Dvd Calendar'!$P$2473)=FALSE,"",IF((Summary!$C$13="N")*('Dvd Calendar'!$P$2477='Field Check'!$C$25)&gt;0,"",'Dvd Calendar'!$P$2473)))</f>
        <v/>
      </c>
      <c r="DQ180" s="85">
        <f>IF(BC180="","",IF(ISNUMBER('Dvd Calendar'!$Q$2473)=FALSE,"",IF((Summary!$C$13="N")*('Dvd Calendar'!$Q$2477='Field Check'!$C$25)&gt;0,"",'Dvd Calendar'!$Q$2473)))</f>
        <v/>
      </c>
      <c r="DR180" s="85">
        <f>IF(BD180="","",IF(ISNUMBER('Dvd Calendar'!$R$2473)=FALSE,"",IF((Summary!$C$13="N")*('Dvd Calendar'!$R$2477='Field Check'!$C$25)&gt;0,"",'Dvd Calendar'!$R$2473)))</f>
        <v/>
      </c>
      <c r="DS180" s="85">
        <f>IF(BE180="","",IF(ISNUMBER('Dvd Calendar'!$S$2473)=FALSE,"",IF((Summary!$C$13="N")*('Dvd Calendar'!$S$2477='Field Check'!$C$25)&gt;0,"",'Dvd Calendar'!$S$2473)))</f>
        <v/>
      </c>
      <c r="DT180" s="85">
        <f>IF(BF180="","",IF(ISNUMBER('Dvd Calendar'!$T$2473)=FALSE,"",IF((Summary!$C$13="N")*('Dvd Calendar'!$T$2477='Field Check'!$C$25)&gt;0,"",'Dvd Calendar'!$T$2473)))</f>
        <v/>
      </c>
      <c r="DU180" s="85">
        <f>IF(BG180="","",IF(ISNUMBER('Dvd Calendar'!$U$2473)=FALSE,"",IF((Summary!$C$13="N")*('Dvd Calendar'!$U$2477='Field Check'!$C$25)&gt;0,"",'Dvd Calendar'!$U$2473)))</f>
        <v/>
      </c>
      <c r="DV180" s="85">
        <f>IF(BH180="","",IF(ISNUMBER('Dvd Calendar'!$V$2473)=FALSE,"",IF((Summary!$C$13="N")*('Dvd Calendar'!$V$2477='Field Check'!$C$25)&gt;0,"",'Dvd Calendar'!$V$2473)))</f>
        <v/>
      </c>
      <c r="DW180" s="85">
        <f>IF(BI180="","",IF(ISNUMBER('Dvd Calendar'!$W$2473)=FALSE,"",IF((Summary!$C$13="N")*('Dvd Calendar'!$W$2477='Field Check'!$C$25)&gt;0,"",'Dvd Calendar'!$W$2473)))</f>
        <v/>
      </c>
      <c r="DX180" s="85">
        <f>IF(BJ180="","",IF(ISNUMBER('Dvd Calendar'!$X$2473)=FALSE,"",IF((Summary!$C$13="N")*('Dvd Calendar'!$X$2477='Field Check'!$C$25)&gt;0,"",'Dvd Calendar'!$X$2473)))</f>
        <v/>
      </c>
      <c r="DY180" s="85">
        <f>IF(BK180="","",IF(ISNUMBER('Dvd Calendar'!$Y$2473)=FALSE,"",IF((Summary!$C$13="N")*('Dvd Calendar'!$Y$2477='Field Check'!$C$25)&gt;0,"",'Dvd Calendar'!$Y$2473)))</f>
        <v/>
      </c>
      <c r="DZ180" s="85">
        <f>IF(BL180="","",IF(ISNUMBER('Dvd Calendar'!$Z$2473)=FALSE,"",IF((Summary!$C$13="N")*('Dvd Calendar'!$Z$2477='Field Check'!$C$25)&gt;0,"",'Dvd Calendar'!$Z$2473)))</f>
        <v/>
      </c>
      <c r="EA180" s="85">
        <f>IF(BM180="","",IF(ISNUMBER('Dvd Calendar'!$AA$2473)=FALSE,"",IF((Summary!$C$13="N")*('Dvd Calendar'!$AA$2477='Field Check'!$C$25)&gt;0,"",'Dvd Calendar'!$AA$2473)))</f>
        <v/>
      </c>
      <c r="EB180" s="85">
        <f>IF(BN180="","",IF(ISNUMBER('Dvd Calendar'!$AB$2473)=FALSE,"",IF((Summary!$C$13="N")*('Dvd Calendar'!$AB$2477='Field Check'!$C$25)&gt;0,"",'Dvd Calendar'!$AB$2473)))</f>
        <v/>
      </c>
      <c r="EC180" s="85">
        <f>IF(BO180="","",IF(ISNUMBER('Dvd Calendar'!$AC$2473)=FALSE,"",IF((Summary!$C$13="N")*('Dvd Calendar'!$AC$2477='Field Check'!$C$25)&gt;0,"",'Dvd Calendar'!$AC$2473)))</f>
        <v/>
      </c>
      <c r="EE180" s="85">
        <f>IF(BQ180="","",IFERROR(BQ180*HSCEI!$B$30*HSCEI!$G$30/HSCEI!$B$3,""))</f>
        <v/>
      </c>
      <c r="EF180" s="85">
        <f>IF(BR180="","",IFERROR(BR180*HSCEI!$B$30*HSCEI!$G$30/HSCEI!$B$3,""))</f>
        <v/>
      </c>
      <c r="EG180" s="85">
        <f>IF(BS180="","",IFERROR(BS180*HSCEI!$B$30*HSCEI!$G$30/HSCEI!$B$3,""))</f>
        <v/>
      </c>
      <c r="EH180" s="85">
        <f>IF(BT180="","",IFERROR(BT180*HSCEI!$B$30*HSCEI!$G$30/HSCEI!$B$3,""))</f>
        <v/>
      </c>
      <c r="EI180" s="85">
        <f>IF(BU180="","",IFERROR(BU180*HSCEI!$B$30*HSCEI!$G$30/HSCEI!$B$3,""))</f>
        <v/>
      </c>
      <c r="EJ180" s="85">
        <f>IF(BV180="","",IFERROR(BV180*HSCEI!$B$30*HSCEI!$G$30/HSCEI!$B$3,""))</f>
        <v/>
      </c>
      <c r="EK180" s="85">
        <f>IF(BW180="","",IFERROR(BW180*HSCEI!$B$30*HSCEI!$G$30/HSCEI!$B$3,""))</f>
        <v/>
      </c>
      <c r="EL180" s="85">
        <f>IF(BX180="","",IFERROR(BX180*HSCEI!$B$30*HSCEI!$G$30/HSCEI!$B$3,""))</f>
        <v/>
      </c>
      <c r="EM180" s="85">
        <f>IF(BY180="","",IFERROR(BY180*HSCEI!$B$30*HSCEI!$G$30/HSCEI!$B$3,""))</f>
        <v/>
      </c>
      <c r="EN180" s="85">
        <f>IF(BZ180="","",IFERROR(BZ180*HSCEI!$B$30*HSCEI!$G$30/HSCEI!$B$3,""))</f>
        <v/>
      </c>
      <c r="EO180" s="85">
        <f>IF(CA180="","",IFERROR(CA180*HSCEI!$B$30*HSCEI!$G$30/HSCEI!$B$3,""))</f>
        <v/>
      </c>
      <c r="EP180" s="85">
        <f>IF(CB180="","",IFERROR(CB180*HSCEI!$B$30*HSCEI!$G$30/HSCEI!$B$3,""))</f>
        <v/>
      </c>
      <c r="EQ180" s="85">
        <f>IF(CC180="","",IFERROR(CC180*HSCEI!$B$30*HSCEI!$G$30/HSCEI!$B$3,""))</f>
        <v/>
      </c>
      <c r="ER180" s="85">
        <f>IF(CD180="","",IFERROR(CD180*HSCEI!$B$30*HSCEI!$G$30/HSCEI!$B$3,""))</f>
        <v/>
      </c>
      <c r="ES180" s="85">
        <f>IF(CE180="","",IFERROR(CE180*HSCEI!$B$30*HSCEI!$G$30/HSCEI!$B$3,""))</f>
        <v/>
      </c>
      <c r="ET180" s="85">
        <f>IF(CF180="","",IFERROR(CF180*HSCEI!$B$30*HSCEI!$G$30/HSCEI!$B$3,""))</f>
        <v/>
      </c>
      <c r="EU180" s="85">
        <f>IF(CG180="","",IFERROR(CG180*HSCEI!$B$30*HSCEI!$G$30/HSCEI!$B$3,""))</f>
        <v/>
      </c>
      <c r="EV180" s="85">
        <f>IF(CH180="","",IFERROR(CH180*HSCEI!$B$30*HSCEI!$G$30/HSCEI!$B$3,""))</f>
        <v/>
      </c>
      <c r="EW180" s="85">
        <f>IF(CI180="","",IFERROR(CI180*HSCEI!$B$30*HSCEI!$G$30/HSCEI!$B$3,""))</f>
        <v/>
      </c>
      <c r="EX180" s="85">
        <f>IF(CJ180="","",IFERROR(CJ180*HSCEI!$B$30*HSCEI!$G$30/HSCEI!$B$3,""))</f>
        <v/>
      </c>
      <c r="EY180" s="85">
        <f>IF(CK180="","",IFERROR(CK180*HSCEI!$B$30*HSCEI!$G$30/HSCEI!$B$3,""))</f>
        <v/>
      </c>
      <c r="EZ180" s="85">
        <f>IF(CL180="","",IFERROR(CL180*HSCEI!$B$30*HSCEI!$G$30/HSCEI!$B$3,""))</f>
        <v/>
      </c>
      <c r="FA180" s="85">
        <f>IF(CM180="","",IFERROR(CM180*HSCEI!$B$30*HSCEI!$G$30/HSCEI!$B$3,""))</f>
        <v/>
      </c>
      <c r="FB180" s="85">
        <f>IF(CN180="","",IFERROR(CN180*HSCEI!$B$30*HSCEI!$G$30/HSCEI!$B$3,""))</f>
        <v/>
      </c>
      <c r="FC180" s="85">
        <f>IF(CO180="","",IFERROR(CO180*HSCEI!$B$30*HSCEI!$G$30/HSCEI!$B$3,""))</f>
        <v/>
      </c>
      <c r="FD180" s="85">
        <f>IF(CP180="","",IFERROR(CP180*HSCEI!$B$30*HSCEI!$G$30/HSCEI!$B$3,""))</f>
        <v/>
      </c>
      <c r="FE180" s="85">
        <f>IF(CQ180="","",IFERROR(CQ180*HSCEI!$B$30*HSCEI!$G$30/HSCEI!$B$3,""))</f>
        <v/>
      </c>
      <c r="FF180" s="85">
        <f>IF(CR180="","",IFERROR(CR180*HSCEI!$B$30*HSCEI!$G$30/HSCEI!$B$3,""))</f>
        <v/>
      </c>
      <c r="FG180" s="85">
        <f>IF(CS180="","",IFERROR(CS180*HSCEI!$B$30*HSCEI!$G$30/HSCEI!$B$3,""))</f>
        <v/>
      </c>
      <c r="FH180" s="85">
        <f>IF(CT180="","",IFERROR(CT180*HSCEI!$B$30*HSCEI!$G$30/HSCEI!$B$3,""))</f>
        <v/>
      </c>
      <c r="FI180" s="85">
        <f>IF(CU180="","",IFERROR(CU180*HSCEI!$B$30*HSCEI!$G$30/HSCEI!$B$3,""))</f>
        <v/>
      </c>
      <c r="FJ180" s="85">
        <f>IF(CV180="","",IFERROR(CV180*HSCEI!$B$30*HSCEI!$G$30/HSCEI!$B$3,""))</f>
        <v/>
      </c>
      <c r="FK180" s="85">
        <f>IF(CW180="","",IFERROR(CW180*HSCEI!$B$30*HSCEI!$G$30/HSCEI!$B$3,""))</f>
        <v/>
      </c>
      <c r="FL180" s="85">
        <f>IF(CX180="","",IFERROR(CX180*HSCEI!$B$30*HSCEI!$G$30/HSCEI!$B$3,""))</f>
        <v/>
      </c>
      <c r="FM180" s="85">
        <f>IF(CY180="","",IFERROR(CY180*HSCEI!$B$30*HSCEI!$G$30/HSCEI!$B$3,""))</f>
        <v/>
      </c>
      <c r="FN180" s="85">
        <f>IF(CZ180="","",IFERROR(CZ180*HSCEI!$B$30*HSCEI!$G$30/HSCEI!$B$3,""))</f>
        <v/>
      </c>
      <c r="FO180" s="85">
        <f>IF(DA180="","",IFERROR(DA180*HSCEI!$B$30*HSCEI!$G$30/HSCEI!$B$3,""))</f>
        <v/>
      </c>
      <c r="FP180" s="85">
        <f>IF(DB180="","",IFERROR(DB180*HSCEI!$B$30*HSCEI!$G$30/HSCEI!$B$3,""))</f>
        <v/>
      </c>
      <c r="FQ180" s="85">
        <f>IF(DC180="","",IFERROR(DC180*HSCEI!$B$30*HSCEI!$G$30/HSCEI!$B$3,""))</f>
        <v/>
      </c>
      <c r="FR180" s="85">
        <f>IF(DD180="","",IFERROR(DD180*HSCEI!$B$30*HSCEI!$G$30/HSCEI!$B$3,""))</f>
        <v/>
      </c>
      <c r="FS180" s="85">
        <f>IF(DE180="","",IFERROR(DE180*HSCEI!$B$30*HSCEI!$G$30/HSCEI!$B$3,""))</f>
        <v/>
      </c>
      <c r="FT180" s="85">
        <f>IF(DF180="","",IFERROR(DF180*HSCEI!$B$30*HSCEI!$G$30/HSCEI!$B$3,""))</f>
        <v/>
      </c>
      <c r="FU180" s="85">
        <f>IF(DG180="","",IFERROR(DG180*HSCEI!$B$30*HSCEI!$G$30/HSCEI!$B$3,""))</f>
        <v/>
      </c>
      <c r="FV180" s="85">
        <f>IF(DH180="","",IFERROR(DH180*HSCEI!$B$30*HSCEI!$G$30/HSCEI!$B$3,""))</f>
        <v/>
      </c>
      <c r="FW180" s="85">
        <f>IF(DI180="","",IFERROR(DI180*HSCEI!$B$30*HSCEI!$G$30/HSCEI!$B$3,""))</f>
        <v/>
      </c>
      <c r="FX180" s="85">
        <f>IF(DJ180="","",IFERROR(DJ180*HSCEI!$B$30*HSCEI!$G$30/HSCEI!$B$3,""))</f>
        <v/>
      </c>
      <c r="FY180" s="85">
        <f>IF(DK180="","",IFERROR(DK180*HSCEI!$B$30*HSCEI!$G$30/HSCEI!$B$3,""))</f>
        <v/>
      </c>
      <c r="FZ180" s="85">
        <f>IF(DL180="","",IFERROR(DL180*HSCEI!$B$30*HSCEI!$G$30/HSCEI!$B$3,""))</f>
        <v/>
      </c>
      <c r="GA180" s="85">
        <f>IF(DM180="","",IFERROR(DM180*HSCEI!$B$30*HSCEI!$G$30/HSCEI!$B$3,""))</f>
        <v/>
      </c>
      <c r="GB180" s="85">
        <f>IF(DN180="","",IFERROR(DN180*HSCEI!$B$30*HSCEI!$G$30/HSCEI!$B$3,""))</f>
        <v/>
      </c>
      <c r="GC180" s="85">
        <f>IF(DO180="","",IFERROR(DO180*HSCEI!$B$30*HSCEI!$G$30/HSCEI!$B$3,""))</f>
        <v/>
      </c>
      <c r="GD180" s="85">
        <f>IF(DP180="","",IFERROR(DP180*HSCEI!$B$30*HSCEI!$G$30/HSCEI!$B$3,""))</f>
        <v/>
      </c>
      <c r="GE180" s="85">
        <f>IF(DQ180="","",IFERROR(DQ180*HSCEI!$B$30*HSCEI!$G$30/HSCEI!$B$3,""))</f>
        <v/>
      </c>
      <c r="GF180" s="85">
        <f>IF(DR180="","",IFERROR(DR180*HSCEI!$B$30*HSCEI!$G$30/HSCEI!$B$3,""))</f>
        <v/>
      </c>
      <c r="GG180" s="85">
        <f>IF(DS180="","",IFERROR(DS180*HSCEI!$B$30*HSCEI!$G$30/HSCEI!$B$3,""))</f>
        <v/>
      </c>
      <c r="GH180" s="85">
        <f>IF(DT180="","",IFERROR(DT180*HSCEI!$B$30*HSCEI!$G$30/HSCEI!$B$3,""))</f>
        <v/>
      </c>
      <c r="GI180" s="85">
        <f>IF(DU180="","",IFERROR(DU180*HSCEI!$B$30*HSCEI!$G$30/HSCEI!$B$3,""))</f>
        <v/>
      </c>
      <c r="GJ180" s="85">
        <f>IF(DV180="","",IFERROR(DV180*HSCEI!$B$30*HSCEI!$G$30/HSCEI!$B$3,""))</f>
        <v/>
      </c>
      <c r="GK180" s="85">
        <f>IF(DW180="","",IFERROR(DW180*HSCEI!$B$30*HSCEI!$G$30/HSCEI!$B$3,""))</f>
        <v/>
      </c>
      <c r="GL180" s="85">
        <f>IF(DX180="","",IFERROR(DX180*HSCEI!$B$30*HSCEI!$G$30/HSCEI!$B$3,""))</f>
        <v/>
      </c>
      <c r="GM180" s="85">
        <f>IF(DY180="","",IFERROR(DY180*HSCEI!$B$30*HSCEI!$G$30/HSCEI!$B$3,""))</f>
        <v/>
      </c>
      <c r="GN180" s="85">
        <f>IF(DZ180="","",IFERROR(DZ180*HSCEI!$B$30*HSCEI!$G$30/HSCEI!$B$3,""))</f>
        <v/>
      </c>
      <c r="GO180" s="85">
        <f>IF(EA180="","",IFERROR(EA180*HSCEI!$B$30*HSCEI!$G$30/HSCEI!$B$3,""))</f>
        <v/>
      </c>
      <c r="GP180" s="85">
        <f>IF(EB180="","",IFERROR(EB180*HSCEI!$B$30*HSCEI!$G$30/HSCEI!$B$3,""))</f>
        <v/>
      </c>
      <c r="GQ180" s="85">
        <f>IF(EC180="","",IFERROR(EC180*HSCEI!$B$30*HSCEI!$G$30/HSCEI!$B$3,""))</f>
        <v/>
      </c>
    </row>
    <row r="181">
      <c r="B181" s="2">
        <f>IF(HSCEI!$C$31="","",HSCEI!$C$31)</f>
        <v/>
      </c>
      <c r="C181" s="41">
        <f>IF(N('Dvd Calendar'!$E$2480)=0,"",IF(('Dvd Calendar'!$E$2480&gt;=MIN(DATE(Summary!$C$12,1,1),Summary!$C$11))*('Dvd Calendar'!$E$2480&lt;=MAX(DATE(Summary!$C$12,12,31),Summary!$C$15))*('Dvd Calendar'!$E$2480&lt;=Summary!$C$11)=0,"",'Dvd Calendar'!$E$2480*1000000000+ISNUMBER('Dvd Calendar'!$E$2481)*100000000+('Dvd Calendar'!$E$2485='Field Check'!$C$25)*10000000+(N('Dvd Calendar'!$E$2479)&gt;0)*1000000+25*1000+1))</f>
        <v/>
      </c>
      <c r="D181" s="41">
        <f>IF(N('Dvd Calendar'!$F$2480)=0,"",IF(('Dvd Calendar'!$F$2480&gt;=MIN(DATE(Summary!$C$12,1,1),Summary!$C$11))*('Dvd Calendar'!$F$2480&lt;=MAX(DATE(Summary!$C$12,12,31),Summary!$C$15))*('Dvd Calendar'!$F$2480&lt;=Summary!$C$11)=0,"",'Dvd Calendar'!$F$2480*1000000000+ISNUMBER('Dvd Calendar'!$F$2481)*100000000+('Dvd Calendar'!$F$2485='Field Check'!$C$25)*10000000+(N('Dvd Calendar'!$F$2479)&gt;0)*1000000+25*1000+2))</f>
        <v/>
      </c>
      <c r="E181" s="41">
        <f>IF(N('Dvd Calendar'!$G$2480)=0,"",IF(('Dvd Calendar'!$G$2480&gt;=MIN(DATE(Summary!$C$12,1,1),Summary!$C$11))*('Dvd Calendar'!$G$2480&lt;=MAX(DATE(Summary!$C$12,12,31),Summary!$C$15))*('Dvd Calendar'!$G$2480&lt;=Summary!$C$11)=0,"",'Dvd Calendar'!$G$2480*1000000000+ISNUMBER('Dvd Calendar'!$G$2481)*100000000+('Dvd Calendar'!$G$2485='Field Check'!$C$25)*10000000+(N('Dvd Calendar'!$G$2479)&gt;0)*1000000+25*1000+3))</f>
        <v/>
      </c>
      <c r="F181" s="41">
        <f>IF(N('Dvd Calendar'!$H$2480)=0,"",IF(('Dvd Calendar'!$H$2480&gt;=MIN(DATE(Summary!$C$12,1,1),Summary!$C$11))*('Dvd Calendar'!$H$2480&lt;=MAX(DATE(Summary!$C$12,12,31),Summary!$C$15))*('Dvd Calendar'!$H$2480&lt;=Summary!$C$11)=0,"",'Dvd Calendar'!$H$2480*1000000000+ISNUMBER('Dvd Calendar'!$H$2481)*100000000+('Dvd Calendar'!$H$2485='Field Check'!$C$25)*10000000+(N('Dvd Calendar'!$H$2479)&gt;0)*1000000+25*1000+4))</f>
        <v/>
      </c>
      <c r="G181" s="41">
        <f>IF(N('Dvd Calendar'!$I$2480)=0,"",IF(('Dvd Calendar'!$I$2480&gt;=MIN(DATE(Summary!$C$12,1,1),Summary!$C$11))*('Dvd Calendar'!$I$2480&lt;=MAX(DATE(Summary!$C$12,12,31),Summary!$C$15))*('Dvd Calendar'!$I$2480&lt;=Summary!$C$11)=0,"",'Dvd Calendar'!$I$2480*1000000000+ISNUMBER('Dvd Calendar'!$I$2481)*100000000+('Dvd Calendar'!$I$2485='Field Check'!$C$25)*10000000+(N('Dvd Calendar'!$I$2479)&gt;0)*1000000+25*1000+5))</f>
        <v/>
      </c>
      <c r="H181" s="41">
        <f>IF(N('Dvd Calendar'!$J$2480)=0,"",IF(('Dvd Calendar'!$J$2480&gt;=MIN(DATE(Summary!$C$12,1,1),Summary!$C$11))*('Dvd Calendar'!$J$2480&lt;=MAX(DATE(Summary!$C$12,12,31),Summary!$C$15))*('Dvd Calendar'!$J$2480&lt;=Summary!$C$11)=0,"",'Dvd Calendar'!$J$2480*1000000000+ISNUMBER('Dvd Calendar'!$J$2481)*100000000+('Dvd Calendar'!$J$2485='Field Check'!$C$25)*10000000+(N('Dvd Calendar'!$J$2479)&gt;0)*1000000+25*1000+6))</f>
        <v/>
      </c>
      <c r="I181" s="41">
        <f>IF(N('Dvd Calendar'!$K$2480)=0,"",IF(('Dvd Calendar'!$K$2480&gt;=MIN(DATE(Summary!$C$12,1,1),Summary!$C$11))*('Dvd Calendar'!$K$2480&lt;=MAX(DATE(Summary!$C$12,12,31),Summary!$C$15))*('Dvd Calendar'!$K$2480&lt;=Summary!$C$11)=0,"",'Dvd Calendar'!$K$2480*1000000000+ISNUMBER('Dvd Calendar'!$K$2481)*100000000+('Dvd Calendar'!$K$2485='Field Check'!$C$25)*10000000+(N('Dvd Calendar'!$K$2479)&gt;0)*1000000+25*1000+7))</f>
        <v/>
      </c>
      <c r="J181" s="41">
        <f>IF(N('Dvd Calendar'!$L$2480)=0,"",IF(('Dvd Calendar'!$L$2480&gt;=MIN(DATE(Summary!$C$12,1,1),Summary!$C$11))*('Dvd Calendar'!$L$2480&lt;=MAX(DATE(Summary!$C$12,12,31),Summary!$C$15))*('Dvd Calendar'!$L$2480&lt;=Summary!$C$11)=0,"",'Dvd Calendar'!$L$2480*1000000000+ISNUMBER('Dvd Calendar'!$L$2481)*100000000+('Dvd Calendar'!$L$2485='Field Check'!$C$25)*10000000+(N('Dvd Calendar'!$L$2479)&gt;0)*1000000+25*1000+8))</f>
        <v/>
      </c>
      <c r="K181" s="41">
        <f>IF(N('Dvd Calendar'!$M$2480)=0,"",IF(('Dvd Calendar'!$M$2480&gt;=MIN(DATE(Summary!$C$12,1,1),Summary!$C$11))*('Dvd Calendar'!$M$2480&lt;=MAX(DATE(Summary!$C$12,12,31),Summary!$C$15))*('Dvd Calendar'!$M$2480&lt;=Summary!$C$11)=0,"",'Dvd Calendar'!$M$2480*1000000000+ISNUMBER('Dvd Calendar'!$M$2481)*100000000+('Dvd Calendar'!$M$2485='Field Check'!$C$25)*10000000+(N('Dvd Calendar'!$M$2479)&gt;0)*1000000+25*1000+9))</f>
        <v/>
      </c>
      <c r="L181" s="41">
        <f>IF(N('Dvd Calendar'!$N$2480)=0,"",IF(('Dvd Calendar'!$N$2480&gt;=MIN(DATE(Summary!$C$12,1,1),Summary!$C$11))*('Dvd Calendar'!$N$2480&lt;=MAX(DATE(Summary!$C$12,12,31),Summary!$C$15))*('Dvd Calendar'!$N$2480&lt;=Summary!$C$11)=0,"",'Dvd Calendar'!$N$2480*1000000000+ISNUMBER('Dvd Calendar'!$N$2481)*100000000+('Dvd Calendar'!$N$2485='Field Check'!$C$25)*10000000+(N('Dvd Calendar'!$N$2479)&gt;0)*1000000+25*1000+10))</f>
        <v/>
      </c>
      <c r="M181" s="41">
        <f>IF(N('Dvd Calendar'!$O$2480)=0,"",IF(('Dvd Calendar'!$O$2480&gt;=MIN(DATE(Summary!$C$12,1,1),Summary!$C$11))*('Dvd Calendar'!$O$2480&lt;=MAX(DATE(Summary!$C$12,12,31),Summary!$C$15))*('Dvd Calendar'!$O$2480&lt;=Summary!$C$11)=0,"",'Dvd Calendar'!$O$2480*1000000000+ISNUMBER('Dvd Calendar'!$O$2481)*100000000+('Dvd Calendar'!$O$2485='Field Check'!$C$25)*10000000+(N('Dvd Calendar'!$O$2479)&gt;0)*1000000+25*1000+11))</f>
        <v/>
      </c>
      <c r="N181" s="41">
        <f>IF(N('Dvd Calendar'!$P$2480)=0,"",IF(('Dvd Calendar'!$P$2480&gt;=MIN(DATE(Summary!$C$12,1,1),Summary!$C$11))*('Dvd Calendar'!$P$2480&lt;=MAX(DATE(Summary!$C$12,12,31),Summary!$C$15))*('Dvd Calendar'!$P$2480&lt;=Summary!$C$11)=0,"",'Dvd Calendar'!$P$2480*1000000000+ISNUMBER('Dvd Calendar'!$P$2481)*100000000+('Dvd Calendar'!$P$2485='Field Check'!$C$25)*10000000+(N('Dvd Calendar'!$P$2479)&gt;0)*1000000+25*1000+12))</f>
        <v/>
      </c>
      <c r="O181" s="41">
        <f>IF(N('Dvd Calendar'!$Q$2480)=0,"",IF(('Dvd Calendar'!$Q$2480&gt;=MIN(DATE(Summary!$C$12,1,1),Summary!$C$11))*('Dvd Calendar'!$Q$2480&lt;=MAX(DATE(Summary!$C$12,12,31),Summary!$C$15))*('Dvd Calendar'!$Q$2480&lt;=Summary!$C$11)=0,"",'Dvd Calendar'!$Q$2480*1000000000+ISNUMBER('Dvd Calendar'!$Q$2481)*100000000+('Dvd Calendar'!$Q$2485='Field Check'!$C$25)*10000000+(N('Dvd Calendar'!$Q$2479)&gt;0)*1000000+25*1000+13))</f>
        <v/>
      </c>
      <c r="P181" s="41">
        <f>IF(N('Dvd Calendar'!$R$2480)=0,"",IF(('Dvd Calendar'!$R$2480&gt;=MIN(DATE(Summary!$C$12,1,1),Summary!$C$11))*('Dvd Calendar'!$R$2480&lt;=MAX(DATE(Summary!$C$12,12,31),Summary!$C$15))*('Dvd Calendar'!$R$2480&lt;=Summary!$C$11)=0,"",'Dvd Calendar'!$R$2480*1000000000+ISNUMBER('Dvd Calendar'!$R$2481)*100000000+('Dvd Calendar'!$R$2485='Field Check'!$C$25)*10000000+(N('Dvd Calendar'!$R$2479)&gt;0)*1000000+25*1000+14))</f>
        <v/>
      </c>
      <c r="Q181" s="41">
        <f>IF(N('Dvd Calendar'!$S$2480)=0,"",IF(('Dvd Calendar'!$S$2480&gt;=MIN(DATE(Summary!$C$12,1,1),Summary!$C$11))*('Dvd Calendar'!$S$2480&lt;=MAX(DATE(Summary!$C$12,12,31),Summary!$C$15))*('Dvd Calendar'!$S$2480&lt;=Summary!$C$11)=0,"",'Dvd Calendar'!$S$2480*1000000000+ISNUMBER('Dvd Calendar'!$S$2481)*100000000+('Dvd Calendar'!$S$2485='Field Check'!$C$25)*10000000+(N('Dvd Calendar'!$S$2479)&gt;0)*1000000+25*1000+15))</f>
        <v/>
      </c>
      <c r="R181" s="41">
        <f>IF(N('Dvd Calendar'!$T$2480)=0,"",IF(('Dvd Calendar'!$T$2480&gt;=MIN(DATE(Summary!$C$12,1,1),Summary!$C$11))*('Dvd Calendar'!$T$2480&lt;=MAX(DATE(Summary!$C$12,12,31),Summary!$C$15))*('Dvd Calendar'!$T$2480&lt;=Summary!$C$11)=0,"",'Dvd Calendar'!$T$2480*1000000000+ISNUMBER('Dvd Calendar'!$T$2481)*100000000+('Dvd Calendar'!$T$2485='Field Check'!$C$25)*10000000+(N('Dvd Calendar'!$T$2479)&gt;0)*1000000+25*1000+16))</f>
        <v/>
      </c>
      <c r="S181" s="41">
        <f>IF(N('Dvd Calendar'!$U$2480)=0,"",IF(('Dvd Calendar'!$U$2480&gt;=MIN(DATE(Summary!$C$12,1,1),Summary!$C$11))*('Dvd Calendar'!$U$2480&lt;=MAX(DATE(Summary!$C$12,12,31),Summary!$C$15))*('Dvd Calendar'!$U$2480&lt;=Summary!$C$11)=0,"",'Dvd Calendar'!$U$2480*1000000000+ISNUMBER('Dvd Calendar'!$U$2481)*100000000+('Dvd Calendar'!$U$2485='Field Check'!$C$25)*10000000+(N('Dvd Calendar'!$U$2479)&gt;0)*1000000+25*1000+17))</f>
        <v/>
      </c>
      <c r="T181" s="41">
        <f>IF(N('Dvd Calendar'!$V$2480)=0,"",IF(('Dvd Calendar'!$V$2480&gt;=MIN(DATE(Summary!$C$12,1,1),Summary!$C$11))*('Dvd Calendar'!$V$2480&lt;=MAX(DATE(Summary!$C$12,12,31),Summary!$C$15))*('Dvd Calendar'!$V$2480&lt;=Summary!$C$11)=0,"",'Dvd Calendar'!$V$2480*1000000000+ISNUMBER('Dvd Calendar'!$V$2481)*100000000+('Dvd Calendar'!$V$2485='Field Check'!$C$25)*10000000+(N('Dvd Calendar'!$V$2479)&gt;0)*1000000+25*1000+18))</f>
        <v/>
      </c>
      <c r="U181" s="41">
        <f>IF(N('Dvd Calendar'!$W$2480)=0,"",IF(('Dvd Calendar'!$W$2480&gt;=MIN(DATE(Summary!$C$12,1,1),Summary!$C$11))*('Dvd Calendar'!$W$2480&lt;=MAX(DATE(Summary!$C$12,12,31),Summary!$C$15))*('Dvd Calendar'!$W$2480&lt;=Summary!$C$11)=0,"",'Dvd Calendar'!$W$2480*1000000000+ISNUMBER('Dvd Calendar'!$W$2481)*100000000+('Dvd Calendar'!$W$2485='Field Check'!$C$25)*10000000+(N('Dvd Calendar'!$W$2479)&gt;0)*1000000+25*1000+19))</f>
        <v/>
      </c>
      <c r="V181" s="41">
        <f>IF(N('Dvd Calendar'!$X$2480)=0,"",IF(('Dvd Calendar'!$X$2480&gt;=MIN(DATE(Summary!$C$12,1,1),Summary!$C$11))*('Dvd Calendar'!$X$2480&lt;=MAX(DATE(Summary!$C$12,12,31),Summary!$C$15))*('Dvd Calendar'!$X$2480&lt;=Summary!$C$11)=0,"",'Dvd Calendar'!$X$2480*1000000000+ISNUMBER('Dvd Calendar'!$X$2481)*100000000+('Dvd Calendar'!$X$2485='Field Check'!$C$25)*10000000+(N('Dvd Calendar'!$X$2479)&gt;0)*1000000+25*1000+20))</f>
        <v/>
      </c>
      <c r="W181" s="41">
        <f>IF(N('Dvd Calendar'!$Y$2480)=0,"",IF(('Dvd Calendar'!$Y$2480&gt;=MIN(DATE(Summary!$C$12,1,1),Summary!$C$11))*('Dvd Calendar'!$Y$2480&lt;=MAX(DATE(Summary!$C$12,12,31),Summary!$C$15))*('Dvd Calendar'!$Y$2480&lt;=Summary!$C$11)=0,"",'Dvd Calendar'!$Y$2480*1000000000+ISNUMBER('Dvd Calendar'!$Y$2481)*100000000+('Dvd Calendar'!$Y$2485='Field Check'!$C$25)*10000000+(N('Dvd Calendar'!$Y$2479)&gt;0)*1000000+25*1000+21))</f>
        <v/>
      </c>
      <c r="X181" s="41">
        <f>IF(N('Dvd Calendar'!$Z$2480)=0,"",IF(('Dvd Calendar'!$Z$2480&gt;=MIN(DATE(Summary!$C$12,1,1),Summary!$C$11))*('Dvd Calendar'!$Z$2480&lt;=MAX(DATE(Summary!$C$12,12,31),Summary!$C$15))*('Dvd Calendar'!$Z$2480&lt;=Summary!$C$11)=0,"",'Dvd Calendar'!$Z$2480*1000000000+ISNUMBER('Dvd Calendar'!$Z$2481)*100000000+('Dvd Calendar'!$Z$2485='Field Check'!$C$25)*10000000+(N('Dvd Calendar'!$Z$2479)&gt;0)*1000000+25*1000+22))</f>
        <v/>
      </c>
      <c r="Y181" s="41">
        <f>IF(N('Dvd Calendar'!$AA$2480)=0,"",IF(('Dvd Calendar'!$AA$2480&gt;=MIN(DATE(Summary!$C$12,1,1),Summary!$C$11))*('Dvd Calendar'!$AA$2480&lt;=MAX(DATE(Summary!$C$12,12,31),Summary!$C$15))*('Dvd Calendar'!$AA$2480&lt;=Summary!$C$11)=0,"",'Dvd Calendar'!$AA$2480*1000000000+ISNUMBER('Dvd Calendar'!$AA$2481)*100000000+('Dvd Calendar'!$AA$2485='Field Check'!$C$25)*10000000+(N('Dvd Calendar'!$AA$2479)&gt;0)*1000000+25*1000+23))</f>
        <v/>
      </c>
      <c r="Z181" s="41">
        <f>IF(N('Dvd Calendar'!$AB$2480)=0,"",IF(('Dvd Calendar'!$AB$2480&gt;=MIN(DATE(Summary!$C$12,1,1),Summary!$C$11))*('Dvd Calendar'!$AB$2480&lt;=MAX(DATE(Summary!$C$12,12,31),Summary!$C$15))*('Dvd Calendar'!$AB$2480&lt;=Summary!$C$11)=0,"",'Dvd Calendar'!$AB$2480*1000000000+ISNUMBER('Dvd Calendar'!$AB$2481)*100000000+('Dvd Calendar'!$AB$2485='Field Check'!$C$25)*10000000+(N('Dvd Calendar'!$AB$2479)&gt;0)*1000000+25*1000+24))</f>
        <v/>
      </c>
      <c r="AA181" s="41">
        <f>IF(N('Dvd Calendar'!$AC$2480)=0,"",IF(('Dvd Calendar'!$AC$2480&gt;=MIN(DATE(Summary!$C$12,1,1),Summary!$C$11))*('Dvd Calendar'!$AC$2480&lt;=MAX(DATE(Summary!$C$12,12,31),Summary!$C$15))*('Dvd Calendar'!$AC$2480&lt;=Summary!$C$11)=0,"",'Dvd Calendar'!$AC$2480*1000000000+ISNUMBER('Dvd Calendar'!$AC$2481)*100000000+('Dvd Calendar'!$AC$2485='Field Check'!$C$25)*10000000+(N('Dvd Calendar'!$AC$2479)&gt;0)*1000000+25*1000+25))</f>
        <v/>
      </c>
      <c r="AB181" s="41">
        <f>IF(N('Dvd Calendar'!$AD$2480)=0,"",IF(('Dvd Calendar'!$AD$2480&gt;=MIN(DATE(Summary!$C$12,1,1),Summary!$C$11))*('Dvd Calendar'!$AD$2480&lt;=MAX(DATE(Summary!$C$12,12,31),Summary!$C$15))*('Dvd Calendar'!$AD$2480&lt;=Summary!$C$11)=0,"",'Dvd Calendar'!$AD$2480*1000000000+ISNUMBER('Dvd Calendar'!$AD$2481)*100000000+('Dvd Calendar'!$AD$2485='Field Check'!$C$25)*10000000+(N('Dvd Calendar'!$AD$2479)&gt;0)*1000000+25*1000+26))</f>
        <v/>
      </c>
      <c r="AC181" s="41">
        <f>IF(N('Dvd Calendar'!$AE$2480)=0,"",IF(('Dvd Calendar'!$AE$2480&gt;=MIN(DATE(Summary!$C$12,1,1),Summary!$C$11))*('Dvd Calendar'!$AE$2480&lt;=MAX(DATE(Summary!$C$12,12,31),Summary!$C$15))*('Dvd Calendar'!$AE$2480&lt;=Summary!$C$11)=0,"",'Dvd Calendar'!$AE$2480*1000000000+ISNUMBER('Dvd Calendar'!$AE$2481)*100000000+('Dvd Calendar'!$AE$2485='Field Check'!$C$25)*10000000+(N('Dvd Calendar'!$AE$2479)&gt;0)*1000000+25*1000+27))</f>
        <v/>
      </c>
      <c r="AD181" s="41">
        <f>IF(N('Dvd Calendar'!$AF$2480)=0,"",IF(('Dvd Calendar'!$AF$2480&gt;=MIN(DATE(Summary!$C$12,1,1),Summary!$C$11))*('Dvd Calendar'!$AF$2480&lt;=MAX(DATE(Summary!$C$12,12,31),Summary!$C$15))*('Dvd Calendar'!$AF$2480&lt;=Summary!$C$11)=0,"",'Dvd Calendar'!$AF$2480*1000000000+ISNUMBER('Dvd Calendar'!$AF$2481)*100000000+('Dvd Calendar'!$AF$2485='Field Check'!$C$25)*10000000+(N('Dvd Calendar'!$AF$2479)&gt;0)*1000000+25*1000+28))</f>
        <v/>
      </c>
      <c r="AE181" s="41">
        <f>IF(N('Dvd Calendar'!$AG$2480)=0,"",IF(('Dvd Calendar'!$AG$2480&gt;=MIN(DATE(Summary!$C$12,1,1),Summary!$C$11))*('Dvd Calendar'!$AG$2480&lt;=MAX(DATE(Summary!$C$12,12,31),Summary!$C$15))*('Dvd Calendar'!$AG$2480&lt;=Summary!$C$11)=0,"",'Dvd Calendar'!$AG$2480*1000000000+ISNUMBER('Dvd Calendar'!$AG$2481)*100000000+('Dvd Calendar'!$AG$2485='Field Check'!$C$25)*10000000+(N('Dvd Calendar'!$AG$2479)&gt;0)*1000000+25*1000+29))</f>
        <v/>
      </c>
      <c r="AF181" s="41">
        <f>IF(N('Dvd Calendar'!$AH$2480)=0,"",IF(('Dvd Calendar'!$AH$2480&gt;=MIN(DATE(Summary!$C$12,1,1),Summary!$C$11))*('Dvd Calendar'!$AH$2480&lt;=MAX(DATE(Summary!$C$12,12,31),Summary!$C$15))*('Dvd Calendar'!$AH$2480&lt;=Summary!$C$11)=0,"",'Dvd Calendar'!$AH$2480*1000000000+ISNUMBER('Dvd Calendar'!$AH$2481)*100000000+('Dvd Calendar'!$AH$2485='Field Check'!$C$25)*10000000+(N('Dvd Calendar'!$AH$2479)&gt;0)*1000000+25*1000+30))</f>
        <v/>
      </c>
      <c r="AG181" s="41">
        <f>IF(N('Dvd Calendar'!$AI$2480)=0,"",IF(('Dvd Calendar'!$AI$2480&gt;=MIN(DATE(Summary!$C$12,1,1),Summary!$C$11))*('Dvd Calendar'!$AI$2480&lt;=MAX(DATE(Summary!$C$12,12,31),Summary!$C$15))*('Dvd Calendar'!$AI$2480&lt;=Summary!$C$11)=0,"",'Dvd Calendar'!$AI$2480*1000000000+ISNUMBER('Dvd Calendar'!$AI$2481)*100000000+('Dvd Calendar'!$AI$2485='Field Check'!$C$25)*10000000+(N('Dvd Calendar'!$AI$2479)&gt;0)*1000000+25*1000+31))</f>
        <v/>
      </c>
      <c r="AH181" s="41">
        <f>IF(N('Dvd Calendar'!$AJ$2480)=0,"",IF(('Dvd Calendar'!$AJ$2480&gt;=MIN(DATE(Summary!$C$12,1,1),Summary!$C$11))*('Dvd Calendar'!$AJ$2480&lt;=MAX(DATE(Summary!$C$12,12,31),Summary!$C$15))*('Dvd Calendar'!$AJ$2480&lt;=Summary!$C$11)=0,"",'Dvd Calendar'!$AJ$2480*1000000000+ISNUMBER('Dvd Calendar'!$AJ$2481)*100000000+('Dvd Calendar'!$AJ$2485='Field Check'!$C$25)*10000000+(N('Dvd Calendar'!$AJ$2479)&gt;0)*1000000+25*1000+32))</f>
        <v/>
      </c>
      <c r="AI181" s="41">
        <f>IF(N('Dvd Calendar'!$AK$2480)=0,"",IF(('Dvd Calendar'!$AK$2480&gt;=MIN(DATE(Summary!$C$12,1,1),Summary!$C$11))*('Dvd Calendar'!$AK$2480&lt;=MAX(DATE(Summary!$C$12,12,31),Summary!$C$15))*('Dvd Calendar'!$AK$2480&lt;=Summary!$C$11)=0,"",'Dvd Calendar'!$AK$2480*1000000000+ISNUMBER('Dvd Calendar'!$AK$2481)*100000000+('Dvd Calendar'!$AK$2485='Field Check'!$C$25)*10000000+(N('Dvd Calendar'!$AK$2479)&gt;0)*1000000+25*1000+33))</f>
        <v/>
      </c>
      <c r="AJ181" s="41">
        <f>IF(N('Dvd Calendar'!$AL$2480)=0,"",IF(('Dvd Calendar'!$AL$2480&gt;=MIN(DATE(Summary!$C$12,1,1),Summary!$C$11))*('Dvd Calendar'!$AL$2480&lt;=MAX(DATE(Summary!$C$12,12,31),Summary!$C$15))*('Dvd Calendar'!$AL$2480&lt;=Summary!$C$11)=0,"",'Dvd Calendar'!$AL$2480*1000000000+ISNUMBER('Dvd Calendar'!$AL$2481)*100000000+('Dvd Calendar'!$AL$2485='Field Check'!$C$25)*10000000+(N('Dvd Calendar'!$AL$2479)&gt;0)*1000000+25*1000+34))</f>
        <v/>
      </c>
      <c r="AK181" s="41">
        <f>IF(N('Dvd Calendar'!$AM$2480)=0,"",IF(('Dvd Calendar'!$AM$2480&gt;=MIN(DATE(Summary!$C$12,1,1),Summary!$C$11))*('Dvd Calendar'!$AM$2480&lt;=MAX(DATE(Summary!$C$12,12,31),Summary!$C$15))*('Dvd Calendar'!$AM$2480&lt;=Summary!$C$11)=0,"",'Dvd Calendar'!$AM$2480*1000000000+ISNUMBER('Dvd Calendar'!$AM$2481)*100000000+('Dvd Calendar'!$AM$2485='Field Check'!$C$25)*10000000+(N('Dvd Calendar'!$AM$2479)&gt;0)*1000000+25*1000+35))</f>
        <v/>
      </c>
      <c r="AL181" s="41">
        <f>IF(N('Dvd Calendar'!$AN$2480)=0,"",IF(('Dvd Calendar'!$AN$2480&gt;=MIN(DATE(Summary!$C$12,1,1),Summary!$C$11))*('Dvd Calendar'!$AN$2480&lt;=MAX(DATE(Summary!$C$12,12,31),Summary!$C$15))*('Dvd Calendar'!$AN$2480&lt;=Summary!$C$11)=0,"",'Dvd Calendar'!$AN$2480*1000000000+ISNUMBER('Dvd Calendar'!$AN$2481)*100000000+('Dvd Calendar'!$AN$2485='Field Check'!$C$25)*10000000+(N('Dvd Calendar'!$AN$2479)&gt;0)*1000000+25*1000+36))</f>
        <v/>
      </c>
      <c r="AM181" s="41">
        <f>IF(N('Dvd Calendar'!$AO$2480)=0,"",IF(('Dvd Calendar'!$AO$2480&gt;=MIN(DATE(Summary!$C$12,1,1),Summary!$C$11))*('Dvd Calendar'!$AO$2480&lt;=MAX(DATE(Summary!$C$12,12,31),Summary!$C$15))*('Dvd Calendar'!$AO$2480&lt;=Summary!$C$11)=0,"",'Dvd Calendar'!$AO$2480*1000000000+ISNUMBER('Dvd Calendar'!$AO$2481)*100000000+('Dvd Calendar'!$AO$2485='Field Check'!$C$25)*10000000+(N('Dvd Calendar'!$AO$2479)&gt;0)*1000000+25*1000+37))</f>
        <v/>
      </c>
      <c r="AN181" s="41">
        <f>IF(N('Dvd Calendar'!$AP$2480)=0,"",IF(('Dvd Calendar'!$AP$2480&gt;=MIN(DATE(Summary!$C$12,1,1),Summary!$C$11))*('Dvd Calendar'!$AP$2480&lt;=MAX(DATE(Summary!$C$12,12,31),Summary!$C$15))*('Dvd Calendar'!$AP$2480&lt;=Summary!$C$11)=0,"",'Dvd Calendar'!$AP$2480*1000000000+ISNUMBER('Dvd Calendar'!$AP$2481)*100000000+('Dvd Calendar'!$AP$2485='Field Check'!$C$25)*10000000+(N('Dvd Calendar'!$AP$2479)&gt;0)*1000000+25*1000+38))</f>
        <v/>
      </c>
      <c r="AO181" s="41">
        <f>IF(N('Dvd Calendar'!$AQ$2480)=0,"",IF(('Dvd Calendar'!$AQ$2480&gt;=MIN(DATE(Summary!$C$12,1,1),Summary!$C$11))*('Dvd Calendar'!$AQ$2480&lt;=MAX(DATE(Summary!$C$12,12,31),Summary!$C$15))*('Dvd Calendar'!$AQ$2480&lt;=Summary!$C$11)=0,"",'Dvd Calendar'!$AQ$2480*1000000000+ISNUMBER('Dvd Calendar'!$AQ$2481)*100000000+('Dvd Calendar'!$AQ$2485='Field Check'!$C$25)*10000000+(N('Dvd Calendar'!$AQ$2479)&gt;0)*1000000+25*1000+39))</f>
        <v/>
      </c>
      <c r="AP181" s="41">
        <f>IF(N('Dvd Calendar'!$AR$2480)=0,"",IF(('Dvd Calendar'!$AR$2480&gt;=MIN(DATE(Summary!$C$12,1,1),Summary!$C$11))*('Dvd Calendar'!$AR$2480&lt;=MAX(DATE(Summary!$C$12,12,31),Summary!$C$15))*('Dvd Calendar'!$AR$2480&lt;=Summary!$C$11)=0,"",'Dvd Calendar'!$AR$2480*1000000000+ISNUMBER('Dvd Calendar'!$AR$2481)*100000000+('Dvd Calendar'!$AR$2485='Field Check'!$C$25)*10000000+(N('Dvd Calendar'!$AR$2479)&gt;0)*1000000+25*1000+40))</f>
        <v/>
      </c>
      <c r="AQ181" s="41">
        <f>IF(N('Dvd Calendar'!$E$2487)=0,"",IF(('Dvd Calendar'!$E$2487&gt;=MIN(DATE(Summary!$C$12,1,1),Summary!$C$11))*('Dvd Calendar'!$E$2487&lt;=MAX(DATE(Summary!$C$12,12,31),Summary!$C$15))*('Dvd Calendar'!$E$2487&gt;Summary!$C$11)=0,"",'Dvd Calendar'!$E$2487*1000000000+ISNUMBER('Dvd Calendar'!$E$2488)*100000000+('Dvd Calendar'!$E$2492='Field Check'!$C$25)*10000000+(N('Dvd Calendar'!$E$2486)&gt;0)*1000000+25*1000+41))</f>
        <v/>
      </c>
      <c r="AR181" s="41">
        <f>IF(N('Dvd Calendar'!$F$2487)=0,"",IF(('Dvd Calendar'!$F$2487&gt;=MIN(DATE(Summary!$C$12,1,1),Summary!$C$11))*('Dvd Calendar'!$F$2487&lt;=MAX(DATE(Summary!$C$12,12,31),Summary!$C$15))*('Dvd Calendar'!$F$2487&gt;Summary!$C$11)=0,"",'Dvd Calendar'!$F$2487*1000000000+ISNUMBER('Dvd Calendar'!$F$2488)*100000000+('Dvd Calendar'!$F$2492='Field Check'!$C$25)*10000000+(N('Dvd Calendar'!$F$2486)&gt;0)*1000000+25*1000+42))</f>
        <v/>
      </c>
      <c r="AS181" s="41">
        <f>IF(N('Dvd Calendar'!$G$2487)=0,"",IF(('Dvd Calendar'!$G$2487&gt;=MIN(DATE(Summary!$C$12,1,1),Summary!$C$11))*('Dvd Calendar'!$G$2487&lt;=MAX(DATE(Summary!$C$12,12,31),Summary!$C$15))*('Dvd Calendar'!$G$2487&gt;Summary!$C$11)=0,"",'Dvd Calendar'!$G$2487*1000000000+ISNUMBER('Dvd Calendar'!$G$2488)*100000000+('Dvd Calendar'!$G$2492='Field Check'!$C$25)*10000000+(N('Dvd Calendar'!$G$2486)&gt;0)*1000000+25*1000+43))</f>
        <v/>
      </c>
      <c r="AT181" s="41">
        <f>IF(N('Dvd Calendar'!$H$2487)=0,"",IF(('Dvd Calendar'!$H$2487&gt;=MIN(DATE(Summary!$C$12,1,1),Summary!$C$11))*('Dvd Calendar'!$H$2487&lt;=MAX(DATE(Summary!$C$12,12,31),Summary!$C$15))*('Dvd Calendar'!$H$2487&gt;Summary!$C$11)=0,"",'Dvd Calendar'!$H$2487*1000000000+ISNUMBER('Dvd Calendar'!$H$2488)*100000000+('Dvd Calendar'!$H$2492='Field Check'!$C$25)*10000000+(N('Dvd Calendar'!$H$2486)&gt;0)*1000000+25*1000+44))</f>
        <v/>
      </c>
      <c r="AU181" s="41">
        <f>IF(N('Dvd Calendar'!$I$2487)=0,"",IF(('Dvd Calendar'!$I$2487&gt;=MIN(DATE(Summary!$C$12,1,1),Summary!$C$11))*('Dvd Calendar'!$I$2487&lt;=MAX(DATE(Summary!$C$12,12,31),Summary!$C$15))*('Dvd Calendar'!$I$2487&gt;Summary!$C$11)=0,"",'Dvd Calendar'!$I$2487*1000000000+ISNUMBER('Dvd Calendar'!$I$2488)*100000000+('Dvd Calendar'!$I$2492='Field Check'!$C$25)*10000000+(N('Dvd Calendar'!$I$2486)&gt;0)*1000000+25*1000+45))</f>
        <v/>
      </c>
      <c r="AV181" s="41">
        <f>IF(N('Dvd Calendar'!$J$2487)=0,"",IF(('Dvd Calendar'!$J$2487&gt;=MIN(DATE(Summary!$C$12,1,1),Summary!$C$11))*('Dvd Calendar'!$J$2487&lt;=MAX(DATE(Summary!$C$12,12,31),Summary!$C$15))*('Dvd Calendar'!$J$2487&gt;Summary!$C$11)=0,"",'Dvd Calendar'!$J$2487*1000000000+ISNUMBER('Dvd Calendar'!$J$2488)*100000000+('Dvd Calendar'!$J$2492='Field Check'!$C$25)*10000000+(N('Dvd Calendar'!$J$2486)&gt;0)*1000000+25*1000+46))</f>
        <v/>
      </c>
      <c r="AW181" s="41">
        <f>IF(N('Dvd Calendar'!$K$2487)=0,"",IF(('Dvd Calendar'!$K$2487&gt;=MIN(DATE(Summary!$C$12,1,1),Summary!$C$11))*('Dvd Calendar'!$K$2487&lt;=MAX(DATE(Summary!$C$12,12,31),Summary!$C$15))*('Dvd Calendar'!$K$2487&gt;Summary!$C$11)=0,"",'Dvd Calendar'!$K$2487*1000000000+ISNUMBER('Dvd Calendar'!$K$2488)*100000000+('Dvd Calendar'!$K$2492='Field Check'!$C$25)*10000000+(N('Dvd Calendar'!$K$2486)&gt;0)*1000000+25*1000+47))</f>
        <v/>
      </c>
      <c r="AX181" s="41">
        <f>IF(N('Dvd Calendar'!$L$2487)=0,"",IF(('Dvd Calendar'!$L$2487&gt;=MIN(DATE(Summary!$C$12,1,1),Summary!$C$11))*('Dvd Calendar'!$L$2487&lt;=MAX(DATE(Summary!$C$12,12,31),Summary!$C$15))*('Dvd Calendar'!$L$2487&gt;Summary!$C$11)=0,"",'Dvd Calendar'!$L$2487*1000000000+ISNUMBER('Dvd Calendar'!$L$2488)*100000000+('Dvd Calendar'!$L$2492='Field Check'!$C$25)*10000000+(N('Dvd Calendar'!$L$2486)&gt;0)*1000000+25*1000+48))</f>
        <v/>
      </c>
      <c r="AY181" s="41">
        <f>IF(N('Dvd Calendar'!$M$2487)=0,"",IF(('Dvd Calendar'!$M$2487&gt;=MIN(DATE(Summary!$C$12,1,1),Summary!$C$11))*('Dvd Calendar'!$M$2487&lt;=MAX(DATE(Summary!$C$12,12,31),Summary!$C$15))*('Dvd Calendar'!$M$2487&gt;Summary!$C$11)=0,"",'Dvd Calendar'!$M$2487*1000000000+ISNUMBER('Dvd Calendar'!$M$2488)*100000000+('Dvd Calendar'!$M$2492='Field Check'!$C$25)*10000000+(N('Dvd Calendar'!$M$2486)&gt;0)*1000000+25*1000+49))</f>
        <v/>
      </c>
      <c r="AZ181" s="41">
        <f>IF(N('Dvd Calendar'!$N$2487)=0,"",IF(('Dvd Calendar'!$N$2487&gt;=MIN(DATE(Summary!$C$12,1,1),Summary!$C$11))*('Dvd Calendar'!$N$2487&lt;=MAX(DATE(Summary!$C$12,12,31),Summary!$C$15))*('Dvd Calendar'!$N$2487&gt;Summary!$C$11)=0,"",'Dvd Calendar'!$N$2487*1000000000+ISNUMBER('Dvd Calendar'!$N$2488)*100000000+('Dvd Calendar'!$N$2492='Field Check'!$C$25)*10000000+(N('Dvd Calendar'!$N$2486)&gt;0)*1000000+25*1000+50))</f>
        <v/>
      </c>
      <c r="BA181" s="41">
        <f>IF(N('Dvd Calendar'!$O$2487)=0,"",IF(('Dvd Calendar'!$O$2487&gt;=MIN(DATE(Summary!$C$12,1,1),Summary!$C$11))*('Dvd Calendar'!$O$2487&lt;=MAX(DATE(Summary!$C$12,12,31),Summary!$C$15))*('Dvd Calendar'!$O$2487&gt;Summary!$C$11)=0,"",'Dvd Calendar'!$O$2487*1000000000+ISNUMBER('Dvd Calendar'!$O$2488)*100000000+('Dvd Calendar'!$O$2492='Field Check'!$C$25)*10000000+(N('Dvd Calendar'!$O$2486)&gt;0)*1000000+25*1000+51))</f>
        <v/>
      </c>
      <c r="BB181" s="41">
        <f>IF(N('Dvd Calendar'!$P$2487)=0,"",IF(('Dvd Calendar'!$P$2487&gt;=MIN(DATE(Summary!$C$12,1,1),Summary!$C$11))*('Dvd Calendar'!$P$2487&lt;=MAX(DATE(Summary!$C$12,12,31),Summary!$C$15))*('Dvd Calendar'!$P$2487&gt;Summary!$C$11)=0,"",'Dvd Calendar'!$P$2487*1000000000+ISNUMBER('Dvd Calendar'!$P$2488)*100000000+('Dvd Calendar'!$P$2492='Field Check'!$C$25)*10000000+(N('Dvd Calendar'!$P$2486)&gt;0)*1000000+25*1000+52))</f>
        <v/>
      </c>
      <c r="BC181" s="41">
        <f>IF(N('Dvd Calendar'!$Q$2487)=0,"",IF(('Dvd Calendar'!$Q$2487&gt;=MIN(DATE(Summary!$C$12,1,1),Summary!$C$11))*('Dvd Calendar'!$Q$2487&lt;=MAX(DATE(Summary!$C$12,12,31),Summary!$C$15))*('Dvd Calendar'!$Q$2487&gt;Summary!$C$11)=0,"",'Dvd Calendar'!$Q$2487*1000000000+ISNUMBER('Dvd Calendar'!$Q$2488)*100000000+('Dvd Calendar'!$Q$2492='Field Check'!$C$25)*10000000+(N('Dvd Calendar'!$Q$2486)&gt;0)*1000000+25*1000+53))</f>
        <v/>
      </c>
      <c r="BD181" s="41">
        <f>IF(N('Dvd Calendar'!$R$2487)=0,"",IF(('Dvd Calendar'!$R$2487&gt;=MIN(DATE(Summary!$C$12,1,1),Summary!$C$11))*('Dvd Calendar'!$R$2487&lt;=MAX(DATE(Summary!$C$12,12,31),Summary!$C$15))*('Dvd Calendar'!$R$2487&gt;Summary!$C$11)=0,"",'Dvd Calendar'!$R$2487*1000000000+ISNUMBER('Dvd Calendar'!$R$2488)*100000000+('Dvd Calendar'!$R$2492='Field Check'!$C$25)*10000000+(N('Dvd Calendar'!$R$2486)&gt;0)*1000000+25*1000+54))</f>
        <v/>
      </c>
      <c r="BE181" s="41">
        <f>IF(N('Dvd Calendar'!$S$2487)=0,"",IF(('Dvd Calendar'!$S$2487&gt;=MIN(DATE(Summary!$C$12,1,1),Summary!$C$11))*('Dvd Calendar'!$S$2487&lt;=MAX(DATE(Summary!$C$12,12,31),Summary!$C$15))*('Dvd Calendar'!$S$2487&gt;Summary!$C$11)=0,"",'Dvd Calendar'!$S$2487*1000000000+ISNUMBER('Dvd Calendar'!$S$2488)*100000000+('Dvd Calendar'!$S$2492='Field Check'!$C$25)*10000000+(N('Dvd Calendar'!$S$2486)&gt;0)*1000000+25*1000+55))</f>
        <v/>
      </c>
      <c r="BF181" s="41">
        <f>IF(N('Dvd Calendar'!$T$2487)=0,"",IF(('Dvd Calendar'!$T$2487&gt;=MIN(DATE(Summary!$C$12,1,1),Summary!$C$11))*('Dvd Calendar'!$T$2487&lt;=MAX(DATE(Summary!$C$12,12,31),Summary!$C$15))*('Dvd Calendar'!$T$2487&gt;Summary!$C$11)=0,"",'Dvd Calendar'!$T$2487*1000000000+ISNUMBER('Dvd Calendar'!$T$2488)*100000000+('Dvd Calendar'!$T$2492='Field Check'!$C$25)*10000000+(N('Dvd Calendar'!$T$2486)&gt;0)*1000000+25*1000+56))</f>
        <v/>
      </c>
      <c r="BG181" s="41">
        <f>IF(N('Dvd Calendar'!$U$2487)=0,"",IF(('Dvd Calendar'!$U$2487&gt;=MIN(DATE(Summary!$C$12,1,1),Summary!$C$11))*('Dvd Calendar'!$U$2487&lt;=MAX(DATE(Summary!$C$12,12,31),Summary!$C$15))*('Dvd Calendar'!$U$2487&gt;Summary!$C$11)=0,"",'Dvd Calendar'!$U$2487*1000000000+ISNUMBER('Dvd Calendar'!$U$2488)*100000000+('Dvd Calendar'!$U$2492='Field Check'!$C$25)*10000000+(N('Dvd Calendar'!$U$2486)&gt;0)*1000000+25*1000+57))</f>
        <v/>
      </c>
      <c r="BH181" s="41">
        <f>IF(N('Dvd Calendar'!$V$2487)=0,"",IF(('Dvd Calendar'!$V$2487&gt;=MIN(DATE(Summary!$C$12,1,1),Summary!$C$11))*('Dvd Calendar'!$V$2487&lt;=MAX(DATE(Summary!$C$12,12,31),Summary!$C$15))*('Dvd Calendar'!$V$2487&gt;Summary!$C$11)=0,"",'Dvd Calendar'!$V$2487*1000000000+ISNUMBER('Dvd Calendar'!$V$2488)*100000000+('Dvd Calendar'!$V$2492='Field Check'!$C$25)*10000000+(N('Dvd Calendar'!$V$2486)&gt;0)*1000000+25*1000+58))</f>
        <v/>
      </c>
      <c r="BI181" s="41">
        <f>IF(N('Dvd Calendar'!$W$2487)=0,"",IF(('Dvd Calendar'!$W$2487&gt;=MIN(DATE(Summary!$C$12,1,1),Summary!$C$11))*('Dvd Calendar'!$W$2487&lt;=MAX(DATE(Summary!$C$12,12,31),Summary!$C$15))*('Dvd Calendar'!$W$2487&gt;Summary!$C$11)=0,"",'Dvd Calendar'!$W$2487*1000000000+ISNUMBER('Dvd Calendar'!$W$2488)*100000000+('Dvd Calendar'!$W$2492='Field Check'!$C$25)*10000000+(N('Dvd Calendar'!$W$2486)&gt;0)*1000000+25*1000+59))</f>
        <v/>
      </c>
      <c r="BJ181" s="41">
        <f>IF(N('Dvd Calendar'!$X$2487)=0,"",IF(('Dvd Calendar'!$X$2487&gt;=MIN(DATE(Summary!$C$12,1,1),Summary!$C$11))*('Dvd Calendar'!$X$2487&lt;=MAX(DATE(Summary!$C$12,12,31),Summary!$C$15))*('Dvd Calendar'!$X$2487&gt;Summary!$C$11)=0,"",'Dvd Calendar'!$X$2487*1000000000+ISNUMBER('Dvd Calendar'!$X$2488)*100000000+('Dvd Calendar'!$X$2492='Field Check'!$C$25)*10000000+(N('Dvd Calendar'!$X$2486)&gt;0)*1000000+25*1000+60))</f>
        <v/>
      </c>
      <c r="BK181" s="41">
        <f>IF(N('Dvd Calendar'!$Y$2487)=0,"",IF(('Dvd Calendar'!$Y$2487&gt;=MIN(DATE(Summary!$C$12,1,1),Summary!$C$11))*('Dvd Calendar'!$Y$2487&lt;=MAX(DATE(Summary!$C$12,12,31),Summary!$C$15))*('Dvd Calendar'!$Y$2487&gt;Summary!$C$11)=0,"",'Dvd Calendar'!$Y$2487*1000000000+ISNUMBER('Dvd Calendar'!$Y$2488)*100000000+('Dvd Calendar'!$Y$2492='Field Check'!$C$25)*10000000+(N('Dvd Calendar'!$Y$2486)&gt;0)*1000000+25*1000+61))</f>
        <v/>
      </c>
      <c r="BL181" s="41">
        <f>IF(N('Dvd Calendar'!$Z$2487)=0,"",IF(('Dvd Calendar'!$Z$2487&gt;=MIN(DATE(Summary!$C$12,1,1),Summary!$C$11))*('Dvd Calendar'!$Z$2487&lt;=MAX(DATE(Summary!$C$12,12,31),Summary!$C$15))*('Dvd Calendar'!$Z$2487&gt;Summary!$C$11)=0,"",'Dvd Calendar'!$Z$2487*1000000000+ISNUMBER('Dvd Calendar'!$Z$2488)*100000000+('Dvd Calendar'!$Z$2492='Field Check'!$C$25)*10000000+(N('Dvd Calendar'!$Z$2486)&gt;0)*1000000+25*1000+62))</f>
        <v/>
      </c>
      <c r="BM181" s="41">
        <f>IF(N('Dvd Calendar'!$AA$2487)=0,"",IF(('Dvd Calendar'!$AA$2487&gt;=MIN(DATE(Summary!$C$12,1,1),Summary!$C$11))*('Dvd Calendar'!$AA$2487&lt;=MAX(DATE(Summary!$C$12,12,31),Summary!$C$15))*('Dvd Calendar'!$AA$2487&gt;Summary!$C$11)=0,"",'Dvd Calendar'!$AA$2487*1000000000+ISNUMBER('Dvd Calendar'!$AA$2488)*100000000+('Dvd Calendar'!$AA$2492='Field Check'!$C$25)*10000000+(N('Dvd Calendar'!$AA$2486)&gt;0)*1000000+25*1000+63))</f>
        <v/>
      </c>
      <c r="BN181" s="41">
        <f>IF(N('Dvd Calendar'!$AB$2487)=0,"",IF(('Dvd Calendar'!$AB$2487&gt;=MIN(DATE(Summary!$C$12,1,1),Summary!$C$11))*('Dvd Calendar'!$AB$2487&lt;=MAX(DATE(Summary!$C$12,12,31),Summary!$C$15))*('Dvd Calendar'!$AB$2487&gt;Summary!$C$11)=0,"",'Dvd Calendar'!$AB$2487*1000000000+ISNUMBER('Dvd Calendar'!$AB$2488)*100000000+('Dvd Calendar'!$AB$2492='Field Check'!$C$25)*10000000+(N('Dvd Calendar'!$AB$2486)&gt;0)*1000000+25*1000+64))</f>
        <v/>
      </c>
      <c r="BO181" s="41">
        <f>IF(N('Dvd Calendar'!$AC$2487)=0,"",IF(('Dvd Calendar'!$AC$2487&gt;=MIN(DATE(Summary!$C$12,1,1),Summary!$C$11))*('Dvd Calendar'!$AC$2487&lt;=MAX(DATE(Summary!$C$12,12,31),Summary!$C$15))*('Dvd Calendar'!$AC$2487&gt;Summary!$C$11)=0,"",'Dvd Calendar'!$AC$2487*1000000000+ISNUMBER('Dvd Calendar'!$AC$2488)*100000000+('Dvd Calendar'!$AC$2492='Field Check'!$C$25)*10000000+(N('Dvd Calendar'!$AC$2486)&gt;0)*1000000+25*1000+65))</f>
        <v/>
      </c>
      <c r="BQ181" s="85">
        <f>IF(C181="","",IF(ISNUMBER('Dvd Calendar'!$E$2481)=FALSE,"",IF((Summary!$C$13="N")*('Dvd Calendar'!$E$2485='Field Check'!$C$25)&gt;0,"",'Dvd Calendar'!$E$2481)))</f>
        <v/>
      </c>
      <c r="BR181" s="85">
        <f>IF(D181="","",IF(ISNUMBER('Dvd Calendar'!$F$2481)=FALSE,"",IF((Summary!$C$13="N")*('Dvd Calendar'!$F$2485='Field Check'!$C$25)&gt;0,"",'Dvd Calendar'!$F$2481)))</f>
        <v/>
      </c>
      <c r="BS181" s="85">
        <f>IF(E181="","",IF(ISNUMBER('Dvd Calendar'!$G$2481)=FALSE,"",IF((Summary!$C$13="N")*('Dvd Calendar'!$G$2485='Field Check'!$C$25)&gt;0,"",'Dvd Calendar'!$G$2481)))</f>
        <v/>
      </c>
      <c r="BT181" s="85">
        <f>IF(F181="","",IF(ISNUMBER('Dvd Calendar'!$H$2481)=FALSE,"",IF((Summary!$C$13="N")*('Dvd Calendar'!$H$2485='Field Check'!$C$25)&gt;0,"",'Dvd Calendar'!$H$2481)))</f>
        <v/>
      </c>
      <c r="BU181" s="85">
        <f>IF(G181="","",IF(ISNUMBER('Dvd Calendar'!$I$2481)=FALSE,"",IF((Summary!$C$13="N")*('Dvd Calendar'!$I$2485='Field Check'!$C$25)&gt;0,"",'Dvd Calendar'!$I$2481)))</f>
        <v/>
      </c>
      <c r="BV181" s="85">
        <f>IF(H181="","",IF(ISNUMBER('Dvd Calendar'!$J$2481)=FALSE,"",IF((Summary!$C$13="N")*('Dvd Calendar'!$J$2485='Field Check'!$C$25)&gt;0,"",'Dvd Calendar'!$J$2481)))</f>
        <v/>
      </c>
      <c r="BW181" s="85">
        <f>IF(I181="","",IF(ISNUMBER('Dvd Calendar'!$K$2481)=FALSE,"",IF((Summary!$C$13="N")*('Dvd Calendar'!$K$2485='Field Check'!$C$25)&gt;0,"",'Dvd Calendar'!$K$2481)))</f>
        <v/>
      </c>
      <c r="BX181" s="85">
        <f>IF(J181="","",IF(ISNUMBER('Dvd Calendar'!$L$2481)=FALSE,"",IF((Summary!$C$13="N")*('Dvd Calendar'!$L$2485='Field Check'!$C$25)&gt;0,"",'Dvd Calendar'!$L$2481)))</f>
        <v/>
      </c>
      <c r="BY181" s="85">
        <f>IF(K181="","",IF(ISNUMBER('Dvd Calendar'!$M$2481)=FALSE,"",IF((Summary!$C$13="N")*('Dvd Calendar'!$M$2485='Field Check'!$C$25)&gt;0,"",'Dvd Calendar'!$M$2481)))</f>
        <v/>
      </c>
      <c r="BZ181" s="85">
        <f>IF(L181="","",IF(ISNUMBER('Dvd Calendar'!$N$2481)=FALSE,"",IF((Summary!$C$13="N")*('Dvd Calendar'!$N$2485='Field Check'!$C$25)&gt;0,"",'Dvd Calendar'!$N$2481)))</f>
        <v/>
      </c>
      <c r="CA181" s="85">
        <f>IF(M181="","",IF(ISNUMBER('Dvd Calendar'!$O$2481)=FALSE,"",IF((Summary!$C$13="N")*('Dvd Calendar'!$O$2485='Field Check'!$C$25)&gt;0,"",'Dvd Calendar'!$O$2481)))</f>
        <v/>
      </c>
      <c r="CB181" s="85">
        <f>IF(N181="","",IF(ISNUMBER('Dvd Calendar'!$P$2481)=FALSE,"",IF((Summary!$C$13="N")*('Dvd Calendar'!$P$2485='Field Check'!$C$25)&gt;0,"",'Dvd Calendar'!$P$2481)))</f>
        <v/>
      </c>
      <c r="CC181" s="85">
        <f>IF(O181="","",IF(ISNUMBER('Dvd Calendar'!$Q$2481)=FALSE,"",IF((Summary!$C$13="N")*('Dvd Calendar'!$Q$2485='Field Check'!$C$25)&gt;0,"",'Dvd Calendar'!$Q$2481)))</f>
        <v/>
      </c>
      <c r="CD181" s="85">
        <f>IF(P181="","",IF(ISNUMBER('Dvd Calendar'!$R$2481)=FALSE,"",IF((Summary!$C$13="N")*('Dvd Calendar'!$R$2485='Field Check'!$C$25)&gt;0,"",'Dvd Calendar'!$R$2481)))</f>
        <v/>
      </c>
      <c r="CE181" s="85">
        <f>IF(Q181="","",IF(ISNUMBER('Dvd Calendar'!$S$2481)=FALSE,"",IF((Summary!$C$13="N")*('Dvd Calendar'!$S$2485='Field Check'!$C$25)&gt;0,"",'Dvd Calendar'!$S$2481)))</f>
        <v/>
      </c>
      <c r="CF181" s="85">
        <f>IF(R181="","",IF(ISNUMBER('Dvd Calendar'!$T$2481)=FALSE,"",IF((Summary!$C$13="N")*('Dvd Calendar'!$T$2485='Field Check'!$C$25)&gt;0,"",'Dvd Calendar'!$T$2481)))</f>
        <v/>
      </c>
      <c r="CG181" s="85">
        <f>IF(S181="","",IF(ISNUMBER('Dvd Calendar'!$U$2481)=FALSE,"",IF((Summary!$C$13="N")*('Dvd Calendar'!$U$2485='Field Check'!$C$25)&gt;0,"",'Dvd Calendar'!$U$2481)))</f>
        <v/>
      </c>
      <c r="CH181" s="85">
        <f>IF(T181="","",IF(ISNUMBER('Dvd Calendar'!$V$2481)=FALSE,"",IF((Summary!$C$13="N")*('Dvd Calendar'!$V$2485='Field Check'!$C$25)&gt;0,"",'Dvd Calendar'!$V$2481)))</f>
        <v/>
      </c>
      <c r="CI181" s="85">
        <f>IF(U181="","",IF(ISNUMBER('Dvd Calendar'!$W$2481)=FALSE,"",IF((Summary!$C$13="N")*('Dvd Calendar'!$W$2485='Field Check'!$C$25)&gt;0,"",'Dvd Calendar'!$W$2481)))</f>
        <v/>
      </c>
      <c r="CJ181" s="85">
        <f>IF(V181="","",IF(ISNUMBER('Dvd Calendar'!$X$2481)=FALSE,"",IF((Summary!$C$13="N")*('Dvd Calendar'!$X$2485='Field Check'!$C$25)&gt;0,"",'Dvd Calendar'!$X$2481)))</f>
        <v/>
      </c>
      <c r="CK181" s="85">
        <f>IF(W181="","",IF(ISNUMBER('Dvd Calendar'!$Y$2481)=FALSE,"",IF((Summary!$C$13="N")*('Dvd Calendar'!$Y$2485='Field Check'!$C$25)&gt;0,"",'Dvd Calendar'!$Y$2481)))</f>
        <v/>
      </c>
      <c r="CL181" s="85">
        <f>IF(X181="","",IF(ISNUMBER('Dvd Calendar'!$Z$2481)=FALSE,"",IF((Summary!$C$13="N")*('Dvd Calendar'!$Z$2485='Field Check'!$C$25)&gt;0,"",'Dvd Calendar'!$Z$2481)))</f>
        <v/>
      </c>
      <c r="CM181" s="85">
        <f>IF(Y181="","",IF(ISNUMBER('Dvd Calendar'!$AA$2481)=FALSE,"",IF((Summary!$C$13="N")*('Dvd Calendar'!$AA$2485='Field Check'!$C$25)&gt;0,"",'Dvd Calendar'!$AA$2481)))</f>
        <v/>
      </c>
      <c r="CN181" s="85">
        <f>IF(Z181="","",IF(ISNUMBER('Dvd Calendar'!$AB$2481)=FALSE,"",IF((Summary!$C$13="N")*('Dvd Calendar'!$AB$2485='Field Check'!$C$25)&gt;0,"",'Dvd Calendar'!$AB$2481)))</f>
        <v/>
      </c>
      <c r="CO181" s="85">
        <f>IF(AA181="","",IF(ISNUMBER('Dvd Calendar'!$AC$2481)=FALSE,"",IF((Summary!$C$13="N")*('Dvd Calendar'!$AC$2485='Field Check'!$C$25)&gt;0,"",'Dvd Calendar'!$AC$2481)))</f>
        <v/>
      </c>
      <c r="CP181" s="85">
        <f>IF(AB181="","",IF(ISNUMBER('Dvd Calendar'!$AD$2481)=FALSE,"",IF((Summary!$C$13="N")*('Dvd Calendar'!$AD$2485='Field Check'!$C$25)&gt;0,"",'Dvd Calendar'!$AD$2481)))</f>
        <v/>
      </c>
      <c r="CQ181" s="85">
        <f>IF(AC181="","",IF(ISNUMBER('Dvd Calendar'!$AE$2481)=FALSE,"",IF((Summary!$C$13="N")*('Dvd Calendar'!$AE$2485='Field Check'!$C$25)&gt;0,"",'Dvd Calendar'!$AE$2481)))</f>
        <v/>
      </c>
      <c r="CR181" s="85">
        <f>IF(AD181="","",IF(ISNUMBER('Dvd Calendar'!$AF$2481)=FALSE,"",IF((Summary!$C$13="N")*('Dvd Calendar'!$AF$2485='Field Check'!$C$25)&gt;0,"",'Dvd Calendar'!$AF$2481)))</f>
        <v/>
      </c>
      <c r="CS181" s="85">
        <f>IF(AE181="","",IF(ISNUMBER('Dvd Calendar'!$AG$2481)=FALSE,"",IF((Summary!$C$13="N")*('Dvd Calendar'!$AG$2485='Field Check'!$C$25)&gt;0,"",'Dvd Calendar'!$AG$2481)))</f>
        <v/>
      </c>
      <c r="CT181" s="85">
        <f>IF(AF181="","",IF(ISNUMBER('Dvd Calendar'!$AH$2481)=FALSE,"",IF((Summary!$C$13="N")*('Dvd Calendar'!$AH$2485='Field Check'!$C$25)&gt;0,"",'Dvd Calendar'!$AH$2481)))</f>
        <v/>
      </c>
      <c r="CU181" s="85">
        <f>IF(AG181="","",IF(ISNUMBER('Dvd Calendar'!$AI$2481)=FALSE,"",IF((Summary!$C$13="N")*('Dvd Calendar'!$AI$2485='Field Check'!$C$25)&gt;0,"",'Dvd Calendar'!$AI$2481)))</f>
        <v/>
      </c>
      <c r="CV181" s="85">
        <f>IF(AH181="","",IF(ISNUMBER('Dvd Calendar'!$AJ$2481)=FALSE,"",IF((Summary!$C$13="N")*('Dvd Calendar'!$AJ$2485='Field Check'!$C$25)&gt;0,"",'Dvd Calendar'!$AJ$2481)))</f>
        <v/>
      </c>
      <c r="CW181" s="85">
        <f>IF(AI181="","",IF(ISNUMBER('Dvd Calendar'!$AK$2481)=FALSE,"",IF((Summary!$C$13="N")*('Dvd Calendar'!$AK$2485='Field Check'!$C$25)&gt;0,"",'Dvd Calendar'!$AK$2481)))</f>
        <v/>
      </c>
      <c r="CX181" s="85">
        <f>IF(AJ181="","",IF(ISNUMBER('Dvd Calendar'!$AL$2481)=FALSE,"",IF((Summary!$C$13="N")*('Dvd Calendar'!$AL$2485='Field Check'!$C$25)&gt;0,"",'Dvd Calendar'!$AL$2481)))</f>
        <v/>
      </c>
      <c r="CY181" s="85">
        <f>IF(AK181="","",IF(ISNUMBER('Dvd Calendar'!$AM$2481)=FALSE,"",IF((Summary!$C$13="N")*('Dvd Calendar'!$AM$2485='Field Check'!$C$25)&gt;0,"",'Dvd Calendar'!$AM$2481)))</f>
        <v/>
      </c>
      <c r="CZ181" s="85">
        <f>IF(AL181="","",IF(ISNUMBER('Dvd Calendar'!$AN$2481)=FALSE,"",IF((Summary!$C$13="N")*('Dvd Calendar'!$AN$2485='Field Check'!$C$25)&gt;0,"",'Dvd Calendar'!$AN$2481)))</f>
        <v/>
      </c>
      <c r="DA181" s="85">
        <f>IF(AM181="","",IF(ISNUMBER('Dvd Calendar'!$AO$2481)=FALSE,"",IF((Summary!$C$13="N")*('Dvd Calendar'!$AO$2485='Field Check'!$C$25)&gt;0,"",'Dvd Calendar'!$AO$2481)))</f>
        <v/>
      </c>
      <c r="DB181" s="85">
        <f>IF(AN181="","",IF(ISNUMBER('Dvd Calendar'!$AP$2481)=FALSE,"",IF((Summary!$C$13="N")*('Dvd Calendar'!$AP$2485='Field Check'!$C$25)&gt;0,"",'Dvd Calendar'!$AP$2481)))</f>
        <v/>
      </c>
      <c r="DC181" s="85">
        <f>IF(AO181="","",IF(ISNUMBER('Dvd Calendar'!$AQ$2481)=FALSE,"",IF((Summary!$C$13="N")*('Dvd Calendar'!$AQ$2485='Field Check'!$C$25)&gt;0,"",'Dvd Calendar'!$AQ$2481)))</f>
        <v/>
      </c>
      <c r="DD181" s="85">
        <f>IF(AP181="","",IF(ISNUMBER('Dvd Calendar'!$AR$2481)=FALSE,"",IF((Summary!$C$13="N")*('Dvd Calendar'!$AR$2485='Field Check'!$C$25)&gt;0,"",'Dvd Calendar'!$AR$2481)))</f>
        <v/>
      </c>
      <c r="DE181" s="85">
        <f>IF(AQ181="","",IF(ISNUMBER('Dvd Calendar'!$E$2488)=FALSE,"",IF((Summary!$C$13="N")*('Dvd Calendar'!$E$2492='Field Check'!$C$25)&gt;0,"",'Dvd Calendar'!$E$2488)))</f>
        <v/>
      </c>
      <c r="DF181" s="85">
        <f>IF(AR181="","",IF(ISNUMBER('Dvd Calendar'!$F$2488)=FALSE,"",IF((Summary!$C$13="N")*('Dvd Calendar'!$F$2492='Field Check'!$C$25)&gt;0,"",'Dvd Calendar'!$F$2488)))</f>
        <v/>
      </c>
      <c r="DG181" s="85">
        <f>IF(AS181="","",IF(ISNUMBER('Dvd Calendar'!$G$2488)=FALSE,"",IF((Summary!$C$13="N")*('Dvd Calendar'!$G$2492='Field Check'!$C$25)&gt;0,"",'Dvd Calendar'!$G$2488)))</f>
        <v/>
      </c>
      <c r="DH181" s="85">
        <f>IF(AT181="","",IF(ISNUMBER('Dvd Calendar'!$H$2488)=FALSE,"",IF((Summary!$C$13="N")*('Dvd Calendar'!$H$2492='Field Check'!$C$25)&gt;0,"",'Dvd Calendar'!$H$2488)))</f>
        <v/>
      </c>
      <c r="DI181" s="85">
        <f>IF(AU181="","",IF(ISNUMBER('Dvd Calendar'!$I$2488)=FALSE,"",IF((Summary!$C$13="N")*('Dvd Calendar'!$I$2492='Field Check'!$C$25)&gt;0,"",'Dvd Calendar'!$I$2488)))</f>
        <v/>
      </c>
      <c r="DJ181" s="85">
        <f>IF(AV181="","",IF(ISNUMBER('Dvd Calendar'!$J$2488)=FALSE,"",IF((Summary!$C$13="N")*('Dvd Calendar'!$J$2492='Field Check'!$C$25)&gt;0,"",'Dvd Calendar'!$J$2488)))</f>
        <v/>
      </c>
      <c r="DK181" s="85">
        <f>IF(AW181="","",IF(ISNUMBER('Dvd Calendar'!$K$2488)=FALSE,"",IF((Summary!$C$13="N")*('Dvd Calendar'!$K$2492='Field Check'!$C$25)&gt;0,"",'Dvd Calendar'!$K$2488)))</f>
        <v/>
      </c>
      <c r="DL181" s="85">
        <f>IF(AX181="","",IF(ISNUMBER('Dvd Calendar'!$L$2488)=FALSE,"",IF((Summary!$C$13="N")*('Dvd Calendar'!$L$2492='Field Check'!$C$25)&gt;0,"",'Dvd Calendar'!$L$2488)))</f>
        <v/>
      </c>
      <c r="DM181" s="85">
        <f>IF(AY181="","",IF(ISNUMBER('Dvd Calendar'!$M$2488)=FALSE,"",IF((Summary!$C$13="N")*('Dvd Calendar'!$M$2492='Field Check'!$C$25)&gt;0,"",'Dvd Calendar'!$M$2488)))</f>
        <v/>
      </c>
      <c r="DN181" s="85">
        <f>IF(AZ181="","",IF(ISNUMBER('Dvd Calendar'!$N$2488)=FALSE,"",IF((Summary!$C$13="N")*('Dvd Calendar'!$N$2492='Field Check'!$C$25)&gt;0,"",'Dvd Calendar'!$N$2488)))</f>
        <v/>
      </c>
      <c r="DO181" s="85">
        <f>IF(BA181="","",IF(ISNUMBER('Dvd Calendar'!$O$2488)=FALSE,"",IF((Summary!$C$13="N")*('Dvd Calendar'!$O$2492='Field Check'!$C$25)&gt;0,"",'Dvd Calendar'!$O$2488)))</f>
        <v/>
      </c>
      <c r="DP181" s="85">
        <f>IF(BB181="","",IF(ISNUMBER('Dvd Calendar'!$P$2488)=FALSE,"",IF((Summary!$C$13="N")*('Dvd Calendar'!$P$2492='Field Check'!$C$25)&gt;0,"",'Dvd Calendar'!$P$2488)))</f>
        <v/>
      </c>
      <c r="DQ181" s="85">
        <f>IF(BC181="","",IF(ISNUMBER('Dvd Calendar'!$Q$2488)=FALSE,"",IF((Summary!$C$13="N")*('Dvd Calendar'!$Q$2492='Field Check'!$C$25)&gt;0,"",'Dvd Calendar'!$Q$2488)))</f>
        <v/>
      </c>
      <c r="DR181" s="85">
        <f>IF(BD181="","",IF(ISNUMBER('Dvd Calendar'!$R$2488)=FALSE,"",IF((Summary!$C$13="N")*('Dvd Calendar'!$R$2492='Field Check'!$C$25)&gt;0,"",'Dvd Calendar'!$R$2488)))</f>
        <v/>
      </c>
      <c r="DS181" s="85">
        <f>IF(BE181="","",IF(ISNUMBER('Dvd Calendar'!$S$2488)=FALSE,"",IF((Summary!$C$13="N")*('Dvd Calendar'!$S$2492='Field Check'!$C$25)&gt;0,"",'Dvd Calendar'!$S$2488)))</f>
        <v/>
      </c>
      <c r="DT181" s="85">
        <f>IF(BF181="","",IF(ISNUMBER('Dvd Calendar'!$T$2488)=FALSE,"",IF((Summary!$C$13="N")*('Dvd Calendar'!$T$2492='Field Check'!$C$25)&gt;0,"",'Dvd Calendar'!$T$2488)))</f>
        <v/>
      </c>
      <c r="DU181" s="85">
        <f>IF(BG181="","",IF(ISNUMBER('Dvd Calendar'!$U$2488)=FALSE,"",IF((Summary!$C$13="N")*('Dvd Calendar'!$U$2492='Field Check'!$C$25)&gt;0,"",'Dvd Calendar'!$U$2488)))</f>
        <v/>
      </c>
      <c r="DV181" s="85">
        <f>IF(BH181="","",IF(ISNUMBER('Dvd Calendar'!$V$2488)=FALSE,"",IF((Summary!$C$13="N")*('Dvd Calendar'!$V$2492='Field Check'!$C$25)&gt;0,"",'Dvd Calendar'!$V$2488)))</f>
        <v/>
      </c>
      <c r="DW181" s="85">
        <f>IF(BI181="","",IF(ISNUMBER('Dvd Calendar'!$W$2488)=FALSE,"",IF((Summary!$C$13="N")*('Dvd Calendar'!$W$2492='Field Check'!$C$25)&gt;0,"",'Dvd Calendar'!$W$2488)))</f>
        <v/>
      </c>
      <c r="DX181" s="85">
        <f>IF(BJ181="","",IF(ISNUMBER('Dvd Calendar'!$X$2488)=FALSE,"",IF((Summary!$C$13="N")*('Dvd Calendar'!$X$2492='Field Check'!$C$25)&gt;0,"",'Dvd Calendar'!$X$2488)))</f>
        <v/>
      </c>
      <c r="DY181" s="85">
        <f>IF(BK181="","",IF(ISNUMBER('Dvd Calendar'!$Y$2488)=FALSE,"",IF((Summary!$C$13="N")*('Dvd Calendar'!$Y$2492='Field Check'!$C$25)&gt;0,"",'Dvd Calendar'!$Y$2488)))</f>
        <v/>
      </c>
      <c r="DZ181" s="85">
        <f>IF(BL181="","",IF(ISNUMBER('Dvd Calendar'!$Z$2488)=FALSE,"",IF((Summary!$C$13="N")*('Dvd Calendar'!$Z$2492='Field Check'!$C$25)&gt;0,"",'Dvd Calendar'!$Z$2488)))</f>
        <v/>
      </c>
      <c r="EA181" s="85">
        <f>IF(BM181="","",IF(ISNUMBER('Dvd Calendar'!$AA$2488)=FALSE,"",IF((Summary!$C$13="N")*('Dvd Calendar'!$AA$2492='Field Check'!$C$25)&gt;0,"",'Dvd Calendar'!$AA$2488)))</f>
        <v/>
      </c>
      <c r="EB181" s="85">
        <f>IF(BN181="","",IF(ISNUMBER('Dvd Calendar'!$AB$2488)=FALSE,"",IF((Summary!$C$13="N")*('Dvd Calendar'!$AB$2492='Field Check'!$C$25)&gt;0,"",'Dvd Calendar'!$AB$2488)))</f>
        <v/>
      </c>
      <c r="EC181" s="85">
        <f>IF(BO181="","",IF(ISNUMBER('Dvd Calendar'!$AC$2488)=FALSE,"",IF((Summary!$C$13="N")*('Dvd Calendar'!$AC$2492='Field Check'!$C$25)&gt;0,"",'Dvd Calendar'!$AC$2488)))</f>
        <v/>
      </c>
      <c r="EE181" s="85">
        <f>IF(BQ181="","",IFERROR(BQ181*HSCEI!$B$31*HSCEI!$G$31/HSCEI!$B$3,""))</f>
        <v/>
      </c>
      <c r="EF181" s="85">
        <f>IF(BR181="","",IFERROR(BR181*HSCEI!$B$31*HSCEI!$G$31/HSCEI!$B$3,""))</f>
        <v/>
      </c>
      <c r="EG181" s="85">
        <f>IF(BS181="","",IFERROR(BS181*HSCEI!$B$31*HSCEI!$G$31/HSCEI!$B$3,""))</f>
        <v/>
      </c>
      <c r="EH181" s="85">
        <f>IF(BT181="","",IFERROR(BT181*HSCEI!$B$31*HSCEI!$G$31/HSCEI!$B$3,""))</f>
        <v/>
      </c>
      <c r="EI181" s="85">
        <f>IF(BU181="","",IFERROR(BU181*HSCEI!$B$31*HSCEI!$G$31/HSCEI!$B$3,""))</f>
        <v/>
      </c>
      <c r="EJ181" s="85">
        <f>IF(BV181="","",IFERROR(BV181*HSCEI!$B$31*HSCEI!$G$31/HSCEI!$B$3,""))</f>
        <v/>
      </c>
      <c r="EK181" s="85">
        <f>IF(BW181="","",IFERROR(BW181*HSCEI!$B$31*HSCEI!$G$31/HSCEI!$B$3,""))</f>
        <v/>
      </c>
      <c r="EL181" s="85">
        <f>IF(BX181="","",IFERROR(BX181*HSCEI!$B$31*HSCEI!$G$31/HSCEI!$B$3,""))</f>
        <v/>
      </c>
      <c r="EM181" s="85">
        <f>IF(BY181="","",IFERROR(BY181*HSCEI!$B$31*HSCEI!$G$31/HSCEI!$B$3,""))</f>
        <v/>
      </c>
      <c r="EN181" s="85">
        <f>IF(BZ181="","",IFERROR(BZ181*HSCEI!$B$31*HSCEI!$G$31/HSCEI!$B$3,""))</f>
        <v/>
      </c>
      <c r="EO181" s="85">
        <f>IF(CA181="","",IFERROR(CA181*HSCEI!$B$31*HSCEI!$G$31/HSCEI!$B$3,""))</f>
        <v/>
      </c>
      <c r="EP181" s="85">
        <f>IF(CB181="","",IFERROR(CB181*HSCEI!$B$31*HSCEI!$G$31/HSCEI!$B$3,""))</f>
        <v/>
      </c>
      <c r="EQ181" s="85">
        <f>IF(CC181="","",IFERROR(CC181*HSCEI!$B$31*HSCEI!$G$31/HSCEI!$B$3,""))</f>
        <v/>
      </c>
      <c r="ER181" s="85">
        <f>IF(CD181="","",IFERROR(CD181*HSCEI!$B$31*HSCEI!$G$31/HSCEI!$B$3,""))</f>
        <v/>
      </c>
      <c r="ES181" s="85">
        <f>IF(CE181="","",IFERROR(CE181*HSCEI!$B$31*HSCEI!$G$31/HSCEI!$B$3,""))</f>
        <v/>
      </c>
      <c r="ET181" s="85">
        <f>IF(CF181="","",IFERROR(CF181*HSCEI!$B$31*HSCEI!$G$31/HSCEI!$B$3,""))</f>
        <v/>
      </c>
      <c r="EU181" s="85">
        <f>IF(CG181="","",IFERROR(CG181*HSCEI!$B$31*HSCEI!$G$31/HSCEI!$B$3,""))</f>
        <v/>
      </c>
      <c r="EV181" s="85">
        <f>IF(CH181="","",IFERROR(CH181*HSCEI!$B$31*HSCEI!$G$31/HSCEI!$B$3,""))</f>
        <v/>
      </c>
      <c r="EW181" s="85">
        <f>IF(CI181="","",IFERROR(CI181*HSCEI!$B$31*HSCEI!$G$31/HSCEI!$B$3,""))</f>
        <v/>
      </c>
      <c r="EX181" s="85">
        <f>IF(CJ181="","",IFERROR(CJ181*HSCEI!$B$31*HSCEI!$G$31/HSCEI!$B$3,""))</f>
        <v/>
      </c>
      <c r="EY181" s="85">
        <f>IF(CK181="","",IFERROR(CK181*HSCEI!$B$31*HSCEI!$G$31/HSCEI!$B$3,""))</f>
        <v/>
      </c>
      <c r="EZ181" s="85">
        <f>IF(CL181="","",IFERROR(CL181*HSCEI!$B$31*HSCEI!$G$31/HSCEI!$B$3,""))</f>
        <v/>
      </c>
      <c r="FA181" s="85">
        <f>IF(CM181="","",IFERROR(CM181*HSCEI!$B$31*HSCEI!$G$31/HSCEI!$B$3,""))</f>
        <v/>
      </c>
      <c r="FB181" s="85">
        <f>IF(CN181="","",IFERROR(CN181*HSCEI!$B$31*HSCEI!$G$31/HSCEI!$B$3,""))</f>
        <v/>
      </c>
      <c r="FC181" s="85">
        <f>IF(CO181="","",IFERROR(CO181*HSCEI!$B$31*HSCEI!$G$31/HSCEI!$B$3,""))</f>
        <v/>
      </c>
      <c r="FD181" s="85">
        <f>IF(CP181="","",IFERROR(CP181*HSCEI!$B$31*HSCEI!$G$31/HSCEI!$B$3,""))</f>
        <v/>
      </c>
      <c r="FE181" s="85">
        <f>IF(CQ181="","",IFERROR(CQ181*HSCEI!$B$31*HSCEI!$G$31/HSCEI!$B$3,""))</f>
        <v/>
      </c>
      <c r="FF181" s="85">
        <f>IF(CR181="","",IFERROR(CR181*HSCEI!$B$31*HSCEI!$G$31/HSCEI!$B$3,""))</f>
        <v/>
      </c>
      <c r="FG181" s="85">
        <f>IF(CS181="","",IFERROR(CS181*HSCEI!$B$31*HSCEI!$G$31/HSCEI!$B$3,""))</f>
        <v/>
      </c>
      <c r="FH181" s="85">
        <f>IF(CT181="","",IFERROR(CT181*HSCEI!$B$31*HSCEI!$G$31/HSCEI!$B$3,""))</f>
        <v/>
      </c>
      <c r="FI181" s="85">
        <f>IF(CU181="","",IFERROR(CU181*HSCEI!$B$31*HSCEI!$G$31/HSCEI!$B$3,""))</f>
        <v/>
      </c>
      <c r="FJ181" s="85">
        <f>IF(CV181="","",IFERROR(CV181*HSCEI!$B$31*HSCEI!$G$31/HSCEI!$B$3,""))</f>
        <v/>
      </c>
      <c r="FK181" s="85">
        <f>IF(CW181="","",IFERROR(CW181*HSCEI!$B$31*HSCEI!$G$31/HSCEI!$B$3,""))</f>
        <v/>
      </c>
      <c r="FL181" s="85">
        <f>IF(CX181="","",IFERROR(CX181*HSCEI!$B$31*HSCEI!$G$31/HSCEI!$B$3,""))</f>
        <v/>
      </c>
      <c r="FM181" s="85">
        <f>IF(CY181="","",IFERROR(CY181*HSCEI!$B$31*HSCEI!$G$31/HSCEI!$B$3,""))</f>
        <v/>
      </c>
      <c r="FN181" s="85">
        <f>IF(CZ181="","",IFERROR(CZ181*HSCEI!$B$31*HSCEI!$G$31/HSCEI!$B$3,""))</f>
        <v/>
      </c>
      <c r="FO181" s="85">
        <f>IF(DA181="","",IFERROR(DA181*HSCEI!$B$31*HSCEI!$G$31/HSCEI!$B$3,""))</f>
        <v/>
      </c>
      <c r="FP181" s="85">
        <f>IF(DB181="","",IFERROR(DB181*HSCEI!$B$31*HSCEI!$G$31/HSCEI!$B$3,""))</f>
        <v/>
      </c>
      <c r="FQ181" s="85">
        <f>IF(DC181="","",IFERROR(DC181*HSCEI!$B$31*HSCEI!$G$31/HSCEI!$B$3,""))</f>
        <v/>
      </c>
      <c r="FR181" s="85">
        <f>IF(DD181="","",IFERROR(DD181*HSCEI!$B$31*HSCEI!$G$31/HSCEI!$B$3,""))</f>
        <v/>
      </c>
      <c r="FS181" s="85">
        <f>IF(DE181="","",IFERROR(DE181*HSCEI!$B$31*HSCEI!$G$31/HSCEI!$B$3,""))</f>
        <v/>
      </c>
      <c r="FT181" s="85">
        <f>IF(DF181="","",IFERROR(DF181*HSCEI!$B$31*HSCEI!$G$31/HSCEI!$B$3,""))</f>
        <v/>
      </c>
      <c r="FU181" s="85">
        <f>IF(DG181="","",IFERROR(DG181*HSCEI!$B$31*HSCEI!$G$31/HSCEI!$B$3,""))</f>
        <v/>
      </c>
      <c r="FV181" s="85">
        <f>IF(DH181="","",IFERROR(DH181*HSCEI!$B$31*HSCEI!$G$31/HSCEI!$B$3,""))</f>
        <v/>
      </c>
      <c r="FW181" s="85">
        <f>IF(DI181="","",IFERROR(DI181*HSCEI!$B$31*HSCEI!$G$31/HSCEI!$B$3,""))</f>
        <v/>
      </c>
      <c r="FX181" s="85">
        <f>IF(DJ181="","",IFERROR(DJ181*HSCEI!$B$31*HSCEI!$G$31/HSCEI!$B$3,""))</f>
        <v/>
      </c>
      <c r="FY181" s="85">
        <f>IF(DK181="","",IFERROR(DK181*HSCEI!$B$31*HSCEI!$G$31/HSCEI!$B$3,""))</f>
        <v/>
      </c>
      <c r="FZ181" s="85">
        <f>IF(DL181="","",IFERROR(DL181*HSCEI!$B$31*HSCEI!$G$31/HSCEI!$B$3,""))</f>
        <v/>
      </c>
      <c r="GA181" s="85">
        <f>IF(DM181="","",IFERROR(DM181*HSCEI!$B$31*HSCEI!$G$31/HSCEI!$B$3,""))</f>
        <v/>
      </c>
      <c r="GB181" s="85">
        <f>IF(DN181="","",IFERROR(DN181*HSCEI!$B$31*HSCEI!$G$31/HSCEI!$B$3,""))</f>
        <v/>
      </c>
      <c r="GC181" s="85">
        <f>IF(DO181="","",IFERROR(DO181*HSCEI!$B$31*HSCEI!$G$31/HSCEI!$B$3,""))</f>
        <v/>
      </c>
      <c r="GD181" s="85">
        <f>IF(DP181="","",IFERROR(DP181*HSCEI!$B$31*HSCEI!$G$31/HSCEI!$B$3,""))</f>
        <v/>
      </c>
      <c r="GE181" s="85">
        <f>IF(DQ181="","",IFERROR(DQ181*HSCEI!$B$31*HSCEI!$G$31/HSCEI!$B$3,""))</f>
        <v/>
      </c>
      <c r="GF181" s="85">
        <f>IF(DR181="","",IFERROR(DR181*HSCEI!$B$31*HSCEI!$G$31/HSCEI!$B$3,""))</f>
        <v/>
      </c>
      <c r="GG181" s="85">
        <f>IF(DS181="","",IFERROR(DS181*HSCEI!$B$31*HSCEI!$G$31/HSCEI!$B$3,""))</f>
        <v/>
      </c>
      <c r="GH181" s="85">
        <f>IF(DT181="","",IFERROR(DT181*HSCEI!$B$31*HSCEI!$G$31/HSCEI!$B$3,""))</f>
        <v/>
      </c>
      <c r="GI181" s="85">
        <f>IF(DU181="","",IFERROR(DU181*HSCEI!$B$31*HSCEI!$G$31/HSCEI!$B$3,""))</f>
        <v/>
      </c>
      <c r="GJ181" s="85">
        <f>IF(DV181="","",IFERROR(DV181*HSCEI!$B$31*HSCEI!$G$31/HSCEI!$B$3,""))</f>
        <v/>
      </c>
      <c r="GK181" s="85">
        <f>IF(DW181="","",IFERROR(DW181*HSCEI!$B$31*HSCEI!$G$31/HSCEI!$B$3,""))</f>
        <v/>
      </c>
      <c r="GL181" s="85">
        <f>IF(DX181="","",IFERROR(DX181*HSCEI!$B$31*HSCEI!$G$31/HSCEI!$B$3,""))</f>
        <v/>
      </c>
      <c r="GM181" s="85">
        <f>IF(DY181="","",IFERROR(DY181*HSCEI!$B$31*HSCEI!$G$31/HSCEI!$B$3,""))</f>
        <v/>
      </c>
      <c r="GN181" s="85">
        <f>IF(DZ181="","",IFERROR(DZ181*HSCEI!$B$31*HSCEI!$G$31/HSCEI!$B$3,""))</f>
        <v/>
      </c>
      <c r="GO181" s="85">
        <f>IF(EA181="","",IFERROR(EA181*HSCEI!$B$31*HSCEI!$G$31/HSCEI!$B$3,""))</f>
        <v/>
      </c>
      <c r="GP181" s="85">
        <f>IF(EB181="","",IFERROR(EB181*HSCEI!$B$31*HSCEI!$G$31/HSCEI!$B$3,""))</f>
        <v/>
      </c>
      <c r="GQ181" s="85">
        <f>IF(EC181="","",IFERROR(EC181*HSCEI!$B$31*HSCEI!$G$31/HSCEI!$B$3,""))</f>
        <v/>
      </c>
    </row>
    <row r="182">
      <c r="B182" s="2">
        <f>IF(HSCEI!$C$32="","",HSCEI!$C$32)</f>
        <v/>
      </c>
      <c r="C182" s="41">
        <f>IF(N('Dvd Calendar'!$E$2495)=0,"",IF(('Dvd Calendar'!$E$2495&gt;=MIN(DATE(Summary!$C$12,1,1),Summary!$C$11))*('Dvd Calendar'!$E$2495&lt;=MAX(DATE(Summary!$C$12,12,31),Summary!$C$15))*('Dvd Calendar'!$E$2495&lt;=Summary!$C$11)=0,"",'Dvd Calendar'!$E$2495*1000000000+ISNUMBER('Dvd Calendar'!$E$2496)*100000000+('Dvd Calendar'!$E$2500='Field Check'!$C$25)*10000000+(N('Dvd Calendar'!$E$2494)&gt;0)*1000000+26*1000+1))</f>
        <v/>
      </c>
      <c r="D182" s="41">
        <f>IF(N('Dvd Calendar'!$F$2495)=0,"",IF(('Dvd Calendar'!$F$2495&gt;=MIN(DATE(Summary!$C$12,1,1),Summary!$C$11))*('Dvd Calendar'!$F$2495&lt;=MAX(DATE(Summary!$C$12,12,31),Summary!$C$15))*('Dvd Calendar'!$F$2495&lt;=Summary!$C$11)=0,"",'Dvd Calendar'!$F$2495*1000000000+ISNUMBER('Dvd Calendar'!$F$2496)*100000000+('Dvd Calendar'!$F$2500='Field Check'!$C$25)*10000000+(N('Dvd Calendar'!$F$2494)&gt;0)*1000000+26*1000+2))</f>
        <v/>
      </c>
      <c r="E182" s="41">
        <f>IF(N('Dvd Calendar'!$G$2495)=0,"",IF(('Dvd Calendar'!$G$2495&gt;=MIN(DATE(Summary!$C$12,1,1),Summary!$C$11))*('Dvd Calendar'!$G$2495&lt;=MAX(DATE(Summary!$C$12,12,31),Summary!$C$15))*('Dvd Calendar'!$G$2495&lt;=Summary!$C$11)=0,"",'Dvd Calendar'!$G$2495*1000000000+ISNUMBER('Dvd Calendar'!$G$2496)*100000000+('Dvd Calendar'!$G$2500='Field Check'!$C$25)*10000000+(N('Dvd Calendar'!$G$2494)&gt;0)*1000000+26*1000+3))</f>
        <v/>
      </c>
      <c r="F182" s="41">
        <f>IF(N('Dvd Calendar'!$H$2495)=0,"",IF(('Dvd Calendar'!$H$2495&gt;=MIN(DATE(Summary!$C$12,1,1),Summary!$C$11))*('Dvd Calendar'!$H$2495&lt;=MAX(DATE(Summary!$C$12,12,31),Summary!$C$15))*('Dvd Calendar'!$H$2495&lt;=Summary!$C$11)=0,"",'Dvd Calendar'!$H$2495*1000000000+ISNUMBER('Dvd Calendar'!$H$2496)*100000000+('Dvd Calendar'!$H$2500='Field Check'!$C$25)*10000000+(N('Dvd Calendar'!$H$2494)&gt;0)*1000000+26*1000+4))</f>
        <v/>
      </c>
      <c r="G182" s="41">
        <f>IF(N('Dvd Calendar'!$I$2495)=0,"",IF(('Dvd Calendar'!$I$2495&gt;=MIN(DATE(Summary!$C$12,1,1),Summary!$C$11))*('Dvd Calendar'!$I$2495&lt;=MAX(DATE(Summary!$C$12,12,31),Summary!$C$15))*('Dvd Calendar'!$I$2495&lt;=Summary!$C$11)=0,"",'Dvd Calendar'!$I$2495*1000000000+ISNUMBER('Dvd Calendar'!$I$2496)*100000000+('Dvd Calendar'!$I$2500='Field Check'!$C$25)*10000000+(N('Dvd Calendar'!$I$2494)&gt;0)*1000000+26*1000+5))</f>
        <v/>
      </c>
      <c r="H182" s="41">
        <f>IF(N('Dvd Calendar'!$J$2495)=0,"",IF(('Dvd Calendar'!$J$2495&gt;=MIN(DATE(Summary!$C$12,1,1),Summary!$C$11))*('Dvd Calendar'!$J$2495&lt;=MAX(DATE(Summary!$C$12,12,31),Summary!$C$15))*('Dvd Calendar'!$J$2495&lt;=Summary!$C$11)=0,"",'Dvd Calendar'!$J$2495*1000000000+ISNUMBER('Dvd Calendar'!$J$2496)*100000000+('Dvd Calendar'!$J$2500='Field Check'!$C$25)*10000000+(N('Dvd Calendar'!$J$2494)&gt;0)*1000000+26*1000+6))</f>
        <v/>
      </c>
      <c r="I182" s="41">
        <f>IF(N('Dvd Calendar'!$K$2495)=0,"",IF(('Dvd Calendar'!$K$2495&gt;=MIN(DATE(Summary!$C$12,1,1),Summary!$C$11))*('Dvd Calendar'!$K$2495&lt;=MAX(DATE(Summary!$C$12,12,31),Summary!$C$15))*('Dvd Calendar'!$K$2495&lt;=Summary!$C$11)=0,"",'Dvd Calendar'!$K$2495*1000000000+ISNUMBER('Dvd Calendar'!$K$2496)*100000000+('Dvd Calendar'!$K$2500='Field Check'!$C$25)*10000000+(N('Dvd Calendar'!$K$2494)&gt;0)*1000000+26*1000+7))</f>
        <v/>
      </c>
      <c r="J182" s="41">
        <f>IF(N('Dvd Calendar'!$L$2495)=0,"",IF(('Dvd Calendar'!$L$2495&gt;=MIN(DATE(Summary!$C$12,1,1),Summary!$C$11))*('Dvd Calendar'!$L$2495&lt;=MAX(DATE(Summary!$C$12,12,31),Summary!$C$15))*('Dvd Calendar'!$L$2495&lt;=Summary!$C$11)=0,"",'Dvd Calendar'!$L$2495*1000000000+ISNUMBER('Dvd Calendar'!$L$2496)*100000000+('Dvd Calendar'!$L$2500='Field Check'!$C$25)*10000000+(N('Dvd Calendar'!$L$2494)&gt;0)*1000000+26*1000+8))</f>
        <v/>
      </c>
      <c r="K182" s="41">
        <f>IF(N('Dvd Calendar'!$M$2495)=0,"",IF(('Dvd Calendar'!$M$2495&gt;=MIN(DATE(Summary!$C$12,1,1),Summary!$C$11))*('Dvd Calendar'!$M$2495&lt;=MAX(DATE(Summary!$C$12,12,31),Summary!$C$15))*('Dvd Calendar'!$M$2495&lt;=Summary!$C$11)=0,"",'Dvd Calendar'!$M$2495*1000000000+ISNUMBER('Dvd Calendar'!$M$2496)*100000000+('Dvd Calendar'!$M$2500='Field Check'!$C$25)*10000000+(N('Dvd Calendar'!$M$2494)&gt;0)*1000000+26*1000+9))</f>
        <v/>
      </c>
      <c r="L182" s="41">
        <f>IF(N('Dvd Calendar'!$N$2495)=0,"",IF(('Dvd Calendar'!$N$2495&gt;=MIN(DATE(Summary!$C$12,1,1),Summary!$C$11))*('Dvd Calendar'!$N$2495&lt;=MAX(DATE(Summary!$C$12,12,31),Summary!$C$15))*('Dvd Calendar'!$N$2495&lt;=Summary!$C$11)=0,"",'Dvd Calendar'!$N$2495*1000000000+ISNUMBER('Dvd Calendar'!$N$2496)*100000000+('Dvd Calendar'!$N$2500='Field Check'!$C$25)*10000000+(N('Dvd Calendar'!$N$2494)&gt;0)*1000000+26*1000+10))</f>
        <v/>
      </c>
      <c r="M182" s="41">
        <f>IF(N('Dvd Calendar'!$O$2495)=0,"",IF(('Dvd Calendar'!$O$2495&gt;=MIN(DATE(Summary!$C$12,1,1),Summary!$C$11))*('Dvd Calendar'!$O$2495&lt;=MAX(DATE(Summary!$C$12,12,31),Summary!$C$15))*('Dvd Calendar'!$O$2495&lt;=Summary!$C$11)=0,"",'Dvd Calendar'!$O$2495*1000000000+ISNUMBER('Dvd Calendar'!$O$2496)*100000000+('Dvd Calendar'!$O$2500='Field Check'!$C$25)*10000000+(N('Dvd Calendar'!$O$2494)&gt;0)*1000000+26*1000+11))</f>
        <v/>
      </c>
      <c r="N182" s="41">
        <f>IF(N('Dvd Calendar'!$P$2495)=0,"",IF(('Dvd Calendar'!$P$2495&gt;=MIN(DATE(Summary!$C$12,1,1),Summary!$C$11))*('Dvd Calendar'!$P$2495&lt;=MAX(DATE(Summary!$C$12,12,31),Summary!$C$15))*('Dvd Calendar'!$P$2495&lt;=Summary!$C$11)=0,"",'Dvd Calendar'!$P$2495*1000000000+ISNUMBER('Dvd Calendar'!$P$2496)*100000000+('Dvd Calendar'!$P$2500='Field Check'!$C$25)*10000000+(N('Dvd Calendar'!$P$2494)&gt;0)*1000000+26*1000+12))</f>
        <v/>
      </c>
      <c r="O182" s="41">
        <f>IF(N('Dvd Calendar'!$Q$2495)=0,"",IF(('Dvd Calendar'!$Q$2495&gt;=MIN(DATE(Summary!$C$12,1,1),Summary!$C$11))*('Dvd Calendar'!$Q$2495&lt;=MAX(DATE(Summary!$C$12,12,31),Summary!$C$15))*('Dvd Calendar'!$Q$2495&lt;=Summary!$C$11)=0,"",'Dvd Calendar'!$Q$2495*1000000000+ISNUMBER('Dvd Calendar'!$Q$2496)*100000000+('Dvd Calendar'!$Q$2500='Field Check'!$C$25)*10000000+(N('Dvd Calendar'!$Q$2494)&gt;0)*1000000+26*1000+13))</f>
        <v/>
      </c>
      <c r="P182" s="41">
        <f>IF(N('Dvd Calendar'!$R$2495)=0,"",IF(('Dvd Calendar'!$R$2495&gt;=MIN(DATE(Summary!$C$12,1,1),Summary!$C$11))*('Dvd Calendar'!$R$2495&lt;=MAX(DATE(Summary!$C$12,12,31),Summary!$C$15))*('Dvd Calendar'!$R$2495&lt;=Summary!$C$11)=0,"",'Dvd Calendar'!$R$2495*1000000000+ISNUMBER('Dvd Calendar'!$R$2496)*100000000+('Dvd Calendar'!$R$2500='Field Check'!$C$25)*10000000+(N('Dvd Calendar'!$R$2494)&gt;0)*1000000+26*1000+14))</f>
        <v/>
      </c>
      <c r="Q182" s="41">
        <f>IF(N('Dvd Calendar'!$S$2495)=0,"",IF(('Dvd Calendar'!$S$2495&gt;=MIN(DATE(Summary!$C$12,1,1),Summary!$C$11))*('Dvd Calendar'!$S$2495&lt;=MAX(DATE(Summary!$C$12,12,31),Summary!$C$15))*('Dvd Calendar'!$S$2495&lt;=Summary!$C$11)=0,"",'Dvd Calendar'!$S$2495*1000000000+ISNUMBER('Dvd Calendar'!$S$2496)*100000000+('Dvd Calendar'!$S$2500='Field Check'!$C$25)*10000000+(N('Dvd Calendar'!$S$2494)&gt;0)*1000000+26*1000+15))</f>
        <v/>
      </c>
      <c r="R182" s="41">
        <f>IF(N('Dvd Calendar'!$T$2495)=0,"",IF(('Dvd Calendar'!$T$2495&gt;=MIN(DATE(Summary!$C$12,1,1),Summary!$C$11))*('Dvd Calendar'!$T$2495&lt;=MAX(DATE(Summary!$C$12,12,31),Summary!$C$15))*('Dvd Calendar'!$T$2495&lt;=Summary!$C$11)=0,"",'Dvd Calendar'!$T$2495*1000000000+ISNUMBER('Dvd Calendar'!$T$2496)*100000000+('Dvd Calendar'!$T$2500='Field Check'!$C$25)*10000000+(N('Dvd Calendar'!$T$2494)&gt;0)*1000000+26*1000+16))</f>
        <v/>
      </c>
      <c r="S182" s="41">
        <f>IF(N('Dvd Calendar'!$U$2495)=0,"",IF(('Dvd Calendar'!$U$2495&gt;=MIN(DATE(Summary!$C$12,1,1),Summary!$C$11))*('Dvd Calendar'!$U$2495&lt;=MAX(DATE(Summary!$C$12,12,31),Summary!$C$15))*('Dvd Calendar'!$U$2495&lt;=Summary!$C$11)=0,"",'Dvd Calendar'!$U$2495*1000000000+ISNUMBER('Dvd Calendar'!$U$2496)*100000000+('Dvd Calendar'!$U$2500='Field Check'!$C$25)*10000000+(N('Dvd Calendar'!$U$2494)&gt;0)*1000000+26*1000+17))</f>
        <v/>
      </c>
      <c r="T182" s="41">
        <f>IF(N('Dvd Calendar'!$V$2495)=0,"",IF(('Dvd Calendar'!$V$2495&gt;=MIN(DATE(Summary!$C$12,1,1),Summary!$C$11))*('Dvd Calendar'!$V$2495&lt;=MAX(DATE(Summary!$C$12,12,31),Summary!$C$15))*('Dvd Calendar'!$V$2495&lt;=Summary!$C$11)=0,"",'Dvd Calendar'!$V$2495*1000000000+ISNUMBER('Dvd Calendar'!$V$2496)*100000000+('Dvd Calendar'!$V$2500='Field Check'!$C$25)*10000000+(N('Dvd Calendar'!$V$2494)&gt;0)*1000000+26*1000+18))</f>
        <v/>
      </c>
      <c r="U182" s="41">
        <f>IF(N('Dvd Calendar'!$W$2495)=0,"",IF(('Dvd Calendar'!$W$2495&gt;=MIN(DATE(Summary!$C$12,1,1),Summary!$C$11))*('Dvd Calendar'!$W$2495&lt;=MAX(DATE(Summary!$C$12,12,31),Summary!$C$15))*('Dvd Calendar'!$W$2495&lt;=Summary!$C$11)=0,"",'Dvd Calendar'!$W$2495*1000000000+ISNUMBER('Dvd Calendar'!$W$2496)*100000000+('Dvd Calendar'!$W$2500='Field Check'!$C$25)*10000000+(N('Dvd Calendar'!$W$2494)&gt;0)*1000000+26*1000+19))</f>
        <v/>
      </c>
      <c r="V182" s="41">
        <f>IF(N('Dvd Calendar'!$X$2495)=0,"",IF(('Dvd Calendar'!$X$2495&gt;=MIN(DATE(Summary!$C$12,1,1),Summary!$C$11))*('Dvd Calendar'!$X$2495&lt;=MAX(DATE(Summary!$C$12,12,31),Summary!$C$15))*('Dvd Calendar'!$X$2495&lt;=Summary!$C$11)=0,"",'Dvd Calendar'!$X$2495*1000000000+ISNUMBER('Dvd Calendar'!$X$2496)*100000000+('Dvd Calendar'!$X$2500='Field Check'!$C$25)*10000000+(N('Dvd Calendar'!$X$2494)&gt;0)*1000000+26*1000+20))</f>
        <v/>
      </c>
      <c r="W182" s="41">
        <f>IF(N('Dvd Calendar'!$Y$2495)=0,"",IF(('Dvd Calendar'!$Y$2495&gt;=MIN(DATE(Summary!$C$12,1,1),Summary!$C$11))*('Dvd Calendar'!$Y$2495&lt;=MAX(DATE(Summary!$C$12,12,31),Summary!$C$15))*('Dvd Calendar'!$Y$2495&lt;=Summary!$C$11)=0,"",'Dvd Calendar'!$Y$2495*1000000000+ISNUMBER('Dvd Calendar'!$Y$2496)*100000000+('Dvd Calendar'!$Y$2500='Field Check'!$C$25)*10000000+(N('Dvd Calendar'!$Y$2494)&gt;0)*1000000+26*1000+21))</f>
        <v/>
      </c>
      <c r="X182" s="41">
        <f>IF(N('Dvd Calendar'!$Z$2495)=0,"",IF(('Dvd Calendar'!$Z$2495&gt;=MIN(DATE(Summary!$C$12,1,1),Summary!$C$11))*('Dvd Calendar'!$Z$2495&lt;=MAX(DATE(Summary!$C$12,12,31),Summary!$C$15))*('Dvd Calendar'!$Z$2495&lt;=Summary!$C$11)=0,"",'Dvd Calendar'!$Z$2495*1000000000+ISNUMBER('Dvd Calendar'!$Z$2496)*100000000+('Dvd Calendar'!$Z$2500='Field Check'!$C$25)*10000000+(N('Dvd Calendar'!$Z$2494)&gt;0)*1000000+26*1000+22))</f>
        <v/>
      </c>
      <c r="Y182" s="41">
        <f>IF(N('Dvd Calendar'!$AA$2495)=0,"",IF(('Dvd Calendar'!$AA$2495&gt;=MIN(DATE(Summary!$C$12,1,1),Summary!$C$11))*('Dvd Calendar'!$AA$2495&lt;=MAX(DATE(Summary!$C$12,12,31),Summary!$C$15))*('Dvd Calendar'!$AA$2495&lt;=Summary!$C$11)=0,"",'Dvd Calendar'!$AA$2495*1000000000+ISNUMBER('Dvd Calendar'!$AA$2496)*100000000+('Dvd Calendar'!$AA$2500='Field Check'!$C$25)*10000000+(N('Dvd Calendar'!$AA$2494)&gt;0)*1000000+26*1000+23))</f>
        <v/>
      </c>
      <c r="Z182" s="41">
        <f>IF(N('Dvd Calendar'!$AB$2495)=0,"",IF(('Dvd Calendar'!$AB$2495&gt;=MIN(DATE(Summary!$C$12,1,1),Summary!$C$11))*('Dvd Calendar'!$AB$2495&lt;=MAX(DATE(Summary!$C$12,12,31),Summary!$C$15))*('Dvd Calendar'!$AB$2495&lt;=Summary!$C$11)=0,"",'Dvd Calendar'!$AB$2495*1000000000+ISNUMBER('Dvd Calendar'!$AB$2496)*100000000+('Dvd Calendar'!$AB$2500='Field Check'!$C$25)*10000000+(N('Dvd Calendar'!$AB$2494)&gt;0)*1000000+26*1000+24))</f>
        <v/>
      </c>
      <c r="AA182" s="41">
        <f>IF(N('Dvd Calendar'!$AC$2495)=0,"",IF(('Dvd Calendar'!$AC$2495&gt;=MIN(DATE(Summary!$C$12,1,1),Summary!$C$11))*('Dvd Calendar'!$AC$2495&lt;=MAX(DATE(Summary!$C$12,12,31),Summary!$C$15))*('Dvd Calendar'!$AC$2495&lt;=Summary!$C$11)=0,"",'Dvd Calendar'!$AC$2495*1000000000+ISNUMBER('Dvd Calendar'!$AC$2496)*100000000+('Dvd Calendar'!$AC$2500='Field Check'!$C$25)*10000000+(N('Dvd Calendar'!$AC$2494)&gt;0)*1000000+26*1000+25))</f>
        <v/>
      </c>
      <c r="AB182" s="41">
        <f>IF(N('Dvd Calendar'!$AD$2495)=0,"",IF(('Dvd Calendar'!$AD$2495&gt;=MIN(DATE(Summary!$C$12,1,1),Summary!$C$11))*('Dvd Calendar'!$AD$2495&lt;=MAX(DATE(Summary!$C$12,12,31),Summary!$C$15))*('Dvd Calendar'!$AD$2495&lt;=Summary!$C$11)=0,"",'Dvd Calendar'!$AD$2495*1000000000+ISNUMBER('Dvd Calendar'!$AD$2496)*100000000+('Dvd Calendar'!$AD$2500='Field Check'!$C$25)*10000000+(N('Dvd Calendar'!$AD$2494)&gt;0)*1000000+26*1000+26))</f>
        <v/>
      </c>
      <c r="AC182" s="41">
        <f>IF(N('Dvd Calendar'!$AE$2495)=0,"",IF(('Dvd Calendar'!$AE$2495&gt;=MIN(DATE(Summary!$C$12,1,1),Summary!$C$11))*('Dvd Calendar'!$AE$2495&lt;=MAX(DATE(Summary!$C$12,12,31),Summary!$C$15))*('Dvd Calendar'!$AE$2495&lt;=Summary!$C$11)=0,"",'Dvd Calendar'!$AE$2495*1000000000+ISNUMBER('Dvd Calendar'!$AE$2496)*100000000+('Dvd Calendar'!$AE$2500='Field Check'!$C$25)*10000000+(N('Dvd Calendar'!$AE$2494)&gt;0)*1000000+26*1000+27))</f>
        <v/>
      </c>
      <c r="AD182" s="41">
        <f>IF(N('Dvd Calendar'!$AF$2495)=0,"",IF(('Dvd Calendar'!$AF$2495&gt;=MIN(DATE(Summary!$C$12,1,1),Summary!$C$11))*('Dvd Calendar'!$AF$2495&lt;=MAX(DATE(Summary!$C$12,12,31),Summary!$C$15))*('Dvd Calendar'!$AF$2495&lt;=Summary!$C$11)=0,"",'Dvd Calendar'!$AF$2495*1000000000+ISNUMBER('Dvd Calendar'!$AF$2496)*100000000+('Dvd Calendar'!$AF$2500='Field Check'!$C$25)*10000000+(N('Dvd Calendar'!$AF$2494)&gt;0)*1000000+26*1000+28))</f>
        <v/>
      </c>
      <c r="AE182" s="41">
        <f>IF(N('Dvd Calendar'!$AG$2495)=0,"",IF(('Dvd Calendar'!$AG$2495&gt;=MIN(DATE(Summary!$C$12,1,1),Summary!$C$11))*('Dvd Calendar'!$AG$2495&lt;=MAX(DATE(Summary!$C$12,12,31),Summary!$C$15))*('Dvd Calendar'!$AG$2495&lt;=Summary!$C$11)=0,"",'Dvd Calendar'!$AG$2495*1000000000+ISNUMBER('Dvd Calendar'!$AG$2496)*100000000+('Dvd Calendar'!$AG$2500='Field Check'!$C$25)*10000000+(N('Dvd Calendar'!$AG$2494)&gt;0)*1000000+26*1000+29))</f>
        <v/>
      </c>
      <c r="AF182" s="41">
        <f>IF(N('Dvd Calendar'!$AH$2495)=0,"",IF(('Dvd Calendar'!$AH$2495&gt;=MIN(DATE(Summary!$C$12,1,1),Summary!$C$11))*('Dvd Calendar'!$AH$2495&lt;=MAX(DATE(Summary!$C$12,12,31),Summary!$C$15))*('Dvd Calendar'!$AH$2495&lt;=Summary!$C$11)=0,"",'Dvd Calendar'!$AH$2495*1000000000+ISNUMBER('Dvd Calendar'!$AH$2496)*100000000+('Dvd Calendar'!$AH$2500='Field Check'!$C$25)*10000000+(N('Dvd Calendar'!$AH$2494)&gt;0)*1000000+26*1000+30))</f>
        <v/>
      </c>
      <c r="AG182" s="41">
        <f>IF(N('Dvd Calendar'!$AI$2495)=0,"",IF(('Dvd Calendar'!$AI$2495&gt;=MIN(DATE(Summary!$C$12,1,1),Summary!$C$11))*('Dvd Calendar'!$AI$2495&lt;=MAX(DATE(Summary!$C$12,12,31),Summary!$C$15))*('Dvd Calendar'!$AI$2495&lt;=Summary!$C$11)=0,"",'Dvd Calendar'!$AI$2495*1000000000+ISNUMBER('Dvd Calendar'!$AI$2496)*100000000+('Dvd Calendar'!$AI$2500='Field Check'!$C$25)*10000000+(N('Dvd Calendar'!$AI$2494)&gt;0)*1000000+26*1000+31))</f>
        <v/>
      </c>
      <c r="AH182" s="41">
        <f>IF(N('Dvd Calendar'!$AJ$2495)=0,"",IF(('Dvd Calendar'!$AJ$2495&gt;=MIN(DATE(Summary!$C$12,1,1),Summary!$C$11))*('Dvd Calendar'!$AJ$2495&lt;=MAX(DATE(Summary!$C$12,12,31),Summary!$C$15))*('Dvd Calendar'!$AJ$2495&lt;=Summary!$C$11)=0,"",'Dvd Calendar'!$AJ$2495*1000000000+ISNUMBER('Dvd Calendar'!$AJ$2496)*100000000+('Dvd Calendar'!$AJ$2500='Field Check'!$C$25)*10000000+(N('Dvd Calendar'!$AJ$2494)&gt;0)*1000000+26*1000+32))</f>
        <v/>
      </c>
      <c r="AI182" s="41">
        <f>IF(N('Dvd Calendar'!$AK$2495)=0,"",IF(('Dvd Calendar'!$AK$2495&gt;=MIN(DATE(Summary!$C$12,1,1),Summary!$C$11))*('Dvd Calendar'!$AK$2495&lt;=MAX(DATE(Summary!$C$12,12,31),Summary!$C$15))*('Dvd Calendar'!$AK$2495&lt;=Summary!$C$11)=0,"",'Dvd Calendar'!$AK$2495*1000000000+ISNUMBER('Dvd Calendar'!$AK$2496)*100000000+('Dvd Calendar'!$AK$2500='Field Check'!$C$25)*10000000+(N('Dvd Calendar'!$AK$2494)&gt;0)*1000000+26*1000+33))</f>
        <v/>
      </c>
      <c r="AJ182" s="41">
        <f>IF(N('Dvd Calendar'!$AL$2495)=0,"",IF(('Dvd Calendar'!$AL$2495&gt;=MIN(DATE(Summary!$C$12,1,1),Summary!$C$11))*('Dvd Calendar'!$AL$2495&lt;=MAX(DATE(Summary!$C$12,12,31),Summary!$C$15))*('Dvd Calendar'!$AL$2495&lt;=Summary!$C$11)=0,"",'Dvd Calendar'!$AL$2495*1000000000+ISNUMBER('Dvd Calendar'!$AL$2496)*100000000+('Dvd Calendar'!$AL$2500='Field Check'!$C$25)*10000000+(N('Dvd Calendar'!$AL$2494)&gt;0)*1000000+26*1000+34))</f>
        <v/>
      </c>
      <c r="AK182" s="41">
        <f>IF(N('Dvd Calendar'!$AM$2495)=0,"",IF(('Dvd Calendar'!$AM$2495&gt;=MIN(DATE(Summary!$C$12,1,1),Summary!$C$11))*('Dvd Calendar'!$AM$2495&lt;=MAX(DATE(Summary!$C$12,12,31),Summary!$C$15))*('Dvd Calendar'!$AM$2495&lt;=Summary!$C$11)=0,"",'Dvd Calendar'!$AM$2495*1000000000+ISNUMBER('Dvd Calendar'!$AM$2496)*100000000+('Dvd Calendar'!$AM$2500='Field Check'!$C$25)*10000000+(N('Dvd Calendar'!$AM$2494)&gt;0)*1000000+26*1000+35))</f>
        <v/>
      </c>
      <c r="AL182" s="41">
        <f>IF(N('Dvd Calendar'!$AN$2495)=0,"",IF(('Dvd Calendar'!$AN$2495&gt;=MIN(DATE(Summary!$C$12,1,1),Summary!$C$11))*('Dvd Calendar'!$AN$2495&lt;=MAX(DATE(Summary!$C$12,12,31),Summary!$C$15))*('Dvd Calendar'!$AN$2495&lt;=Summary!$C$11)=0,"",'Dvd Calendar'!$AN$2495*1000000000+ISNUMBER('Dvd Calendar'!$AN$2496)*100000000+('Dvd Calendar'!$AN$2500='Field Check'!$C$25)*10000000+(N('Dvd Calendar'!$AN$2494)&gt;0)*1000000+26*1000+36))</f>
        <v/>
      </c>
      <c r="AM182" s="41">
        <f>IF(N('Dvd Calendar'!$AO$2495)=0,"",IF(('Dvd Calendar'!$AO$2495&gt;=MIN(DATE(Summary!$C$12,1,1),Summary!$C$11))*('Dvd Calendar'!$AO$2495&lt;=MAX(DATE(Summary!$C$12,12,31),Summary!$C$15))*('Dvd Calendar'!$AO$2495&lt;=Summary!$C$11)=0,"",'Dvd Calendar'!$AO$2495*1000000000+ISNUMBER('Dvd Calendar'!$AO$2496)*100000000+('Dvd Calendar'!$AO$2500='Field Check'!$C$25)*10000000+(N('Dvd Calendar'!$AO$2494)&gt;0)*1000000+26*1000+37))</f>
        <v/>
      </c>
      <c r="AN182" s="41">
        <f>IF(N('Dvd Calendar'!$AP$2495)=0,"",IF(('Dvd Calendar'!$AP$2495&gt;=MIN(DATE(Summary!$C$12,1,1),Summary!$C$11))*('Dvd Calendar'!$AP$2495&lt;=MAX(DATE(Summary!$C$12,12,31),Summary!$C$15))*('Dvd Calendar'!$AP$2495&lt;=Summary!$C$11)=0,"",'Dvd Calendar'!$AP$2495*1000000000+ISNUMBER('Dvd Calendar'!$AP$2496)*100000000+('Dvd Calendar'!$AP$2500='Field Check'!$C$25)*10000000+(N('Dvd Calendar'!$AP$2494)&gt;0)*1000000+26*1000+38))</f>
        <v/>
      </c>
      <c r="AO182" s="41">
        <f>IF(N('Dvd Calendar'!$AQ$2495)=0,"",IF(('Dvd Calendar'!$AQ$2495&gt;=MIN(DATE(Summary!$C$12,1,1),Summary!$C$11))*('Dvd Calendar'!$AQ$2495&lt;=MAX(DATE(Summary!$C$12,12,31),Summary!$C$15))*('Dvd Calendar'!$AQ$2495&lt;=Summary!$C$11)=0,"",'Dvd Calendar'!$AQ$2495*1000000000+ISNUMBER('Dvd Calendar'!$AQ$2496)*100000000+('Dvd Calendar'!$AQ$2500='Field Check'!$C$25)*10000000+(N('Dvd Calendar'!$AQ$2494)&gt;0)*1000000+26*1000+39))</f>
        <v/>
      </c>
      <c r="AP182" s="41">
        <f>IF(N('Dvd Calendar'!$AR$2495)=0,"",IF(('Dvd Calendar'!$AR$2495&gt;=MIN(DATE(Summary!$C$12,1,1),Summary!$C$11))*('Dvd Calendar'!$AR$2495&lt;=MAX(DATE(Summary!$C$12,12,31),Summary!$C$15))*('Dvd Calendar'!$AR$2495&lt;=Summary!$C$11)=0,"",'Dvd Calendar'!$AR$2495*1000000000+ISNUMBER('Dvd Calendar'!$AR$2496)*100000000+('Dvd Calendar'!$AR$2500='Field Check'!$C$25)*10000000+(N('Dvd Calendar'!$AR$2494)&gt;0)*1000000+26*1000+40))</f>
        <v/>
      </c>
      <c r="AQ182" s="41">
        <f>IF(N('Dvd Calendar'!$E$2502)=0,"",IF(('Dvd Calendar'!$E$2502&gt;=MIN(DATE(Summary!$C$12,1,1),Summary!$C$11))*('Dvd Calendar'!$E$2502&lt;=MAX(DATE(Summary!$C$12,12,31),Summary!$C$15))*('Dvd Calendar'!$E$2502&gt;Summary!$C$11)=0,"",'Dvd Calendar'!$E$2502*1000000000+ISNUMBER('Dvd Calendar'!$E$2503)*100000000+('Dvd Calendar'!$E$2507='Field Check'!$C$25)*10000000+(N('Dvd Calendar'!$E$2501)&gt;0)*1000000+26*1000+41))</f>
        <v/>
      </c>
      <c r="AR182" s="41">
        <f>IF(N('Dvd Calendar'!$F$2502)=0,"",IF(('Dvd Calendar'!$F$2502&gt;=MIN(DATE(Summary!$C$12,1,1),Summary!$C$11))*('Dvd Calendar'!$F$2502&lt;=MAX(DATE(Summary!$C$12,12,31),Summary!$C$15))*('Dvd Calendar'!$F$2502&gt;Summary!$C$11)=0,"",'Dvd Calendar'!$F$2502*1000000000+ISNUMBER('Dvd Calendar'!$F$2503)*100000000+('Dvd Calendar'!$F$2507='Field Check'!$C$25)*10000000+(N('Dvd Calendar'!$F$2501)&gt;0)*1000000+26*1000+42))</f>
        <v/>
      </c>
      <c r="AS182" s="41">
        <f>IF(N('Dvd Calendar'!$G$2502)=0,"",IF(('Dvd Calendar'!$G$2502&gt;=MIN(DATE(Summary!$C$12,1,1),Summary!$C$11))*('Dvd Calendar'!$G$2502&lt;=MAX(DATE(Summary!$C$12,12,31),Summary!$C$15))*('Dvd Calendar'!$G$2502&gt;Summary!$C$11)=0,"",'Dvd Calendar'!$G$2502*1000000000+ISNUMBER('Dvd Calendar'!$G$2503)*100000000+('Dvd Calendar'!$G$2507='Field Check'!$C$25)*10000000+(N('Dvd Calendar'!$G$2501)&gt;0)*1000000+26*1000+43))</f>
        <v/>
      </c>
      <c r="AT182" s="41">
        <f>IF(N('Dvd Calendar'!$H$2502)=0,"",IF(('Dvd Calendar'!$H$2502&gt;=MIN(DATE(Summary!$C$12,1,1),Summary!$C$11))*('Dvd Calendar'!$H$2502&lt;=MAX(DATE(Summary!$C$12,12,31),Summary!$C$15))*('Dvd Calendar'!$H$2502&gt;Summary!$C$11)=0,"",'Dvd Calendar'!$H$2502*1000000000+ISNUMBER('Dvd Calendar'!$H$2503)*100000000+('Dvd Calendar'!$H$2507='Field Check'!$C$25)*10000000+(N('Dvd Calendar'!$H$2501)&gt;0)*1000000+26*1000+44))</f>
        <v/>
      </c>
      <c r="AU182" s="41">
        <f>IF(N('Dvd Calendar'!$I$2502)=0,"",IF(('Dvd Calendar'!$I$2502&gt;=MIN(DATE(Summary!$C$12,1,1),Summary!$C$11))*('Dvd Calendar'!$I$2502&lt;=MAX(DATE(Summary!$C$12,12,31),Summary!$C$15))*('Dvd Calendar'!$I$2502&gt;Summary!$C$11)=0,"",'Dvd Calendar'!$I$2502*1000000000+ISNUMBER('Dvd Calendar'!$I$2503)*100000000+('Dvd Calendar'!$I$2507='Field Check'!$C$25)*10000000+(N('Dvd Calendar'!$I$2501)&gt;0)*1000000+26*1000+45))</f>
        <v/>
      </c>
      <c r="AV182" s="41">
        <f>IF(N('Dvd Calendar'!$J$2502)=0,"",IF(('Dvd Calendar'!$J$2502&gt;=MIN(DATE(Summary!$C$12,1,1),Summary!$C$11))*('Dvd Calendar'!$J$2502&lt;=MAX(DATE(Summary!$C$12,12,31),Summary!$C$15))*('Dvd Calendar'!$J$2502&gt;Summary!$C$11)=0,"",'Dvd Calendar'!$J$2502*1000000000+ISNUMBER('Dvd Calendar'!$J$2503)*100000000+('Dvd Calendar'!$J$2507='Field Check'!$C$25)*10000000+(N('Dvd Calendar'!$J$2501)&gt;0)*1000000+26*1000+46))</f>
        <v/>
      </c>
      <c r="AW182" s="41">
        <f>IF(N('Dvd Calendar'!$K$2502)=0,"",IF(('Dvd Calendar'!$K$2502&gt;=MIN(DATE(Summary!$C$12,1,1),Summary!$C$11))*('Dvd Calendar'!$K$2502&lt;=MAX(DATE(Summary!$C$12,12,31),Summary!$C$15))*('Dvd Calendar'!$K$2502&gt;Summary!$C$11)=0,"",'Dvd Calendar'!$K$2502*1000000000+ISNUMBER('Dvd Calendar'!$K$2503)*100000000+('Dvd Calendar'!$K$2507='Field Check'!$C$25)*10000000+(N('Dvd Calendar'!$K$2501)&gt;0)*1000000+26*1000+47))</f>
        <v/>
      </c>
      <c r="AX182" s="41">
        <f>IF(N('Dvd Calendar'!$L$2502)=0,"",IF(('Dvd Calendar'!$L$2502&gt;=MIN(DATE(Summary!$C$12,1,1),Summary!$C$11))*('Dvd Calendar'!$L$2502&lt;=MAX(DATE(Summary!$C$12,12,31),Summary!$C$15))*('Dvd Calendar'!$L$2502&gt;Summary!$C$11)=0,"",'Dvd Calendar'!$L$2502*1000000000+ISNUMBER('Dvd Calendar'!$L$2503)*100000000+('Dvd Calendar'!$L$2507='Field Check'!$C$25)*10000000+(N('Dvd Calendar'!$L$2501)&gt;0)*1000000+26*1000+48))</f>
        <v/>
      </c>
      <c r="AY182" s="41">
        <f>IF(N('Dvd Calendar'!$M$2502)=0,"",IF(('Dvd Calendar'!$M$2502&gt;=MIN(DATE(Summary!$C$12,1,1),Summary!$C$11))*('Dvd Calendar'!$M$2502&lt;=MAX(DATE(Summary!$C$12,12,31),Summary!$C$15))*('Dvd Calendar'!$M$2502&gt;Summary!$C$11)=0,"",'Dvd Calendar'!$M$2502*1000000000+ISNUMBER('Dvd Calendar'!$M$2503)*100000000+('Dvd Calendar'!$M$2507='Field Check'!$C$25)*10000000+(N('Dvd Calendar'!$M$2501)&gt;0)*1000000+26*1000+49))</f>
        <v/>
      </c>
      <c r="AZ182" s="41">
        <f>IF(N('Dvd Calendar'!$N$2502)=0,"",IF(('Dvd Calendar'!$N$2502&gt;=MIN(DATE(Summary!$C$12,1,1),Summary!$C$11))*('Dvd Calendar'!$N$2502&lt;=MAX(DATE(Summary!$C$12,12,31),Summary!$C$15))*('Dvd Calendar'!$N$2502&gt;Summary!$C$11)=0,"",'Dvd Calendar'!$N$2502*1000000000+ISNUMBER('Dvd Calendar'!$N$2503)*100000000+('Dvd Calendar'!$N$2507='Field Check'!$C$25)*10000000+(N('Dvd Calendar'!$N$2501)&gt;0)*1000000+26*1000+50))</f>
        <v/>
      </c>
      <c r="BA182" s="41">
        <f>IF(N('Dvd Calendar'!$O$2502)=0,"",IF(('Dvd Calendar'!$O$2502&gt;=MIN(DATE(Summary!$C$12,1,1),Summary!$C$11))*('Dvd Calendar'!$O$2502&lt;=MAX(DATE(Summary!$C$12,12,31),Summary!$C$15))*('Dvd Calendar'!$O$2502&gt;Summary!$C$11)=0,"",'Dvd Calendar'!$O$2502*1000000000+ISNUMBER('Dvd Calendar'!$O$2503)*100000000+('Dvd Calendar'!$O$2507='Field Check'!$C$25)*10000000+(N('Dvd Calendar'!$O$2501)&gt;0)*1000000+26*1000+51))</f>
        <v/>
      </c>
      <c r="BB182" s="41">
        <f>IF(N('Dvd Calendar'!$P$2502)=0,"",IF(('Dvd Calendar'!$P$2502&gt;=MIN(DATE(Summary!$C$12,1,1),Summary!$C$11))*('Dvd Calendar'!$P$2502&lt;=MAX(DATE(Summary!$C$12,12,31),Summary!$C$15))*('Dvd Calendar'!$P$2502&gt;Summary!$C$11)=0,"",'Dvd Calendar'!$P$2502*1000000000+ISNUMBER('Dvd Calendar'!$P$2503)*100000000+('Dvd Calendar'!$P$2507='Field Check'!$C$25)*10000000+(N('Dvd Calendar'!$P$2501)&gt;0)*1000000+26*1000+52))</f>
        <v/>
      </c>
      <c r="BC182" s="41">
        <f>IF(N('Dvd Calendar'!$Q$2502)=0,"",IF(('Dvd Calendar'!$Q$2502&gt;=MIN(DATE(Summary!$C$12,1,1),Summary!$C$11))*('Dvd Calendar'!$Q$2502&lt;=MAX(DATE(Summary!$C$12,12,31),Summary!$C$15))*('Dvd Calendar'!$Q$2502&gt;Summary!$C$11)=0,"",'Dvd Calendar'!$Q$2502*1000000000+ISNUMBER('Dvd Calendar'!$Q$2503)*100000000+('Dvd Calendar'!$Q$2507='Field Check'!$C$25)*10000000+(N('Dvd Calendar'!$Q$2501)&gt;0)*1000000+26*1000+53))</f>
        <v/>
      </c>
      <c r="BD182" s="41">
        <f>IF(N('Dvd Calendar'!$R$2502)=0,"",IF(('Dvd Calendar'!$R$2502&gt;=MIN(DATE(Summary!$C$12,1,1),Summary!$C$11))*('Dvd Calendar'!$R$2502&lt;=MAX(DATE(Summary!$C$12,12,31),Summary!$C$15))*('Dvd Calendar'!$R$2502&gt;Summary!$C$11)=0,"",'Dvd Calendar'!$R$2502*1000000000+ISNUMBER('Dvd Calendar'!$R$2503)*100000000+('Dvd Calendar'!$R$2507='Field Check'!$C$25)*10000000+(N('Dvd Calendar'!$R$2501)&gt;0)*1000000+26*1000+54))</f>
        <v/>
      </c>
      <c r="BE182" s="41">
        <f>IF(N('Dvd Calendar'!$S$2502)=0,"",IF(('Dvd Calendar'!$S$2502&gt;=MIN(DATE(Summary!$C$12,1,1),Summary!$C$11))*('Dvd Calendar'!$S$2502&lt;=MAX(DATE(Summary!$C$12,12,31),Summary!$C$15))*('Dvd Calendar'!$S$2502&gt;Summary!$C$11)=0,"",'Dvd Calendar'!$S$2502*1000000000+ISNUMBER('Dvd Calendar'!$S$2503)*100000000+('Dvd Calendar'!$S$2507='Field Check'!$C$25)*10000000+(N('Dvd Calendar'!$S$2501)&gt;0)*1000000+26*1000+55))</f>
        <v/>
      </c>
      <c r="BF182" s="41">
        <f>IF(N('Dvd Calendar'!$T$2502)=0,"",IF(('Dvd Calendar'!$T$2502&gt;=MIN(DATE(Summary!$C$12,1,1),Summary!$C$11))*('Dvd Calendar'!$T$2502&lt;=MAX(DATE(Summary!$C$12,12,31),Summary!$C$15))*('Dvd Calendar'!$T$2502&gt;Summary!$C$11)=0,"",'Dvd Calendar'!$T$2502*1000000000+ISNUMBER('Dvd Calendar'!$T$2503)*100000000+('Dvd Calendar'!$T$2507='Field Check'!$C$25)*10000000+(N('Dvd Calendar'!$T$2501)&gt;0)*1000000+26*1000+56))</f>
        <v/>
      </c>
      <c r="BG182" s="41">
        <f>IF(N('Dvd Calendar'!$U$2502)=0,"",IF(('Dvd Calendar'!$U$2502&gt;=MIN(DATE(Summary!$C$12,1,1),Summary!$C$11))*('Dvd Calendar'!$U$2502&lt;=MAX(DATE(Summary!$C$12,12,31),Summary!$C$15))*('Dvd Calendar'!$U$2502&gt;Summary!$C$11)=0,"",'Dvd Calendar'!$U$2502*1000000000+ISNUMBER('Dvd Calendar'!$U$2503)*100000000+('Dvd Calendar'!$U$2507='Field Check'!$C$25)*10000000+(N('Dvd Calendar'!$U$2501)&gt;0)*1000000+26*1000+57))</f>
        <v/>
      </c>
      <c r="BH182" s="41">
        <f>IF(N('Dvd Calendar'!$V$2502)=0,"",IF(('Dvd Calendar'!$V$2502&gt;=MIN(DATE(Summary!$C$12,1,1),Summary!$C$11))*('Dvd Calendar'!$V$2502&lt;=MAX(DATE(Summary!$C$12,12,31),Summary!$C$15))*('Dvd Calendar'!$V$2502&gt;Summary!$C$11)=0,"",'Dvd Calendar'!$V$2502*1000000000+ISNUMBER('Dvd Calendar'!$V$2503)*100000000+('Dvd Calendar'!$V$2507='Field Check'!$C$25)*10000000+(N('Dvd Calendar'!$V$2501)&gt;0)*1000000+26*1000+58))</f>
        <v/>
      </c>
      <c r="BI182" s="41">
        <f>IF(N('Dvd Calendar'!$W$2502)=0,"",IF(('Dvd Calendar'!$W$2502&gt;=MIN(DATE(Summary!$C$12,1,1),Summary!$C$11))*('Dvd Calendar'!$W$2502&lt;=MAX(DATE(Summary!$C$12,12,31),Summary!$C$15))*('Dvd Calendar'!$W$2502&gt;Summary!$C$11)=0,"",'Dvd Calendar'!$W$2502*1000000000+ISNUMBER('Dvd Calendar'!$W$2503)*100000000+('Dvd Calendar'!$W$2507='Field Check'!$C$25)*10000000+(N('Dvd Calendar'!$W$2501)&gt;0)*1000000+26*1000+59))</f>
        <v/>
      </c>
      <c r="BJ182" s="41">
        <f>IF(N('Dvd Calendar'!$X$2502)=0,"",IF(('Dvd Calendar'!$X$2502&gt;=MIN(DATE(Summary!$C$12,1,1),Summary!$C$11))*('Dvd Calendar'!$X$2502&lt;=MAX(DATE(Summary!$C$12,12,31),Summary!$C$15))*('Dvd Calendar'!$X$2502&gt;Summary!$C$11)=0,"",'Dvd Calendar'!$X$2502*1000000000+ISNUMBER('Dvd Calendar'!$X$2503)*100000000+('Dvd Calendar'!$X$2507='Field Check'!$C$25)*10000000+(N('Dvd Calendar'!$X$2501)&gt;0)*1000000+26*1000+60))</f>
        <v/>
      </c>
      <c r="BK182" s="41">
        <f>IF(N('Dvd Calendar'!$Y$2502)=0,"",IF(('Dvd Calendar'!$Y$2502&gt;=MIN(DATE(Summary!$C$12,1,1),Summary!$C$11))*('Dvd Calendar'!$Y$2502&lt;=MAX(DATE(Summary!$C$12,12,31),Summary!$C$15))*('Dvd Calendar'!$Y$2502&gt;Summary!$C$11)=0,"",'Dvd Calendar'!$Y$2502*1000000000+ISNUMBER('Dvd Calendar'!$Y$2503)*100000000+('Dvd Calendar'!$Y$2507='Field Check'!$C$25)*10000000+(N('Dvd Calendar'!$Y$2501)&gt;0)*1000000+26*1000+61))</f>
        <v/>
      </c>
      <c r="BL182" s="41">
        <f>IF(N('Dvd Calendar'!$Z$2502)=0,"",IF(('Dvd Calendar'!$Z$2502&gt;=MIN(DATE(Summary!$C$12,1,1),Summary!$C$11))*('Dvd Calendar'!$Z$2502&lt;=MAX(DATE(Summary!$C$12,12,31),Summary!$C$15))*('Dvd Calendar'!$Z$2502&gt;Summary!$C$11)=0,"",'Dvd Calendar'!$Z$2502*1000000000+ISNUMBER('Dvd Calendar'!$Z$2503)*100000000+('Dvd Calendar'!$Z$2507='Field Check'!$C$25)*10000000+(N('Dvd Calendar'!$Z$2501)&gt;0)*1000000+26*1000+62))</f>
        <v/>
      </c>
      <c r="BM182" s="41">
        <f>IF(N('Dvd Calendar'!$AA$2502)=0,"",IF(('Dvd Calendar'!$AA$2502&gt;=MIN(DATE(Summary!$C$12,1,1),Summary!$C$11))*('Dvd Calendar'!$AA$2502&lt;=MAX(DATE(Summary!$C$12,12,31),Summary!$C$15))*('Dvd Calendar'!$AA$2502&gt;Summary!$C$11)=0,"",'Dvd Calendar'!$AA$2502*1000000000+ISNUMBER('Dvd Calendar'!$AA$2503)*100000000+('Dvd Calendar'!$AA$2507='Field Check'!$C$25)*10000000+(N('Dvd Calendar'!$AA$2501)&gt;0)*1000000+26*1000+63))</f>
        <v/>
      </c>
      <c r="BN182" s="41">
        <f>IF(N('Dvd Calendar'!$AB$2502)=0,"",IF(('Dvd Calendar'!$AB$2502&gt;=MIN(DATE(Summary!$C$12,1,1),Summary!$C$11))*('Dvd Calendar'!$AB$2502&lt;=MAX(DATE(Summary!$C$12,12,31),Summary!$C$15))*('Dvd Calendar'!$AB$2502&gt;Summary!$C$11)=0,"",'Dvd Calendar'!$AB$2502*1000000000+ISNUMBER('Dvd Calendar'!$AB$2503)*100000000+('Dvd Calendar'!$AB$2507='Field Check'!$C$25)*10000000+(N('Dvd Calendar'!$AB$2501)&gt;0)*1000000+26*1000+64))</f>
        <v/>
      </c>
      <c r="BO182" s="41">
        <f>IF(N('Dvd Calendar'!$AC$2502)=0,"",IF(('Dvd Calendar'!$AC$2502&gt;=MIN(DATE(Summary!$C$12,1,1),Summary!$C$11))*('Dvd Calendar'!$AC$2502&lt;=MAX(DATE(Summary!$C$12,12,31),Summary!$C$15))*('Dvd Calendar'!$AC$2502&gt;Summary!$C$11)=0,"",'Dvd Calendar'!$AC$2502*1000000000+ISNUMBER('Dvd Calendar'!$AC$2503)*100000000+('Dvd Calendar'!$AC$2507='Field Check'!$C$25)*10000000+(N('Dvd Calendar'!$AC$2501)&gt;0)*1000000+26*1000+65))</f>
        <v/>
      </c>
      <c r="BQ182" s="85">
        <f>IF(C182="","",IF(ISNUMBER('Dvd Calendar'!$E$2496)=FALSE,"",IF((Summary!$C$13="N")*('Dvd Calendar'!$E$2500='Field Check'!$C$25)&gt;0,"",'Dvd Calendar'!$E$2496)))</f>
        <v/>
      </c>
      <c r="BR182" s="85">
        <f>IF(D182="","",IF(ISNUMBER('Dvd Calendar'!$F$2496)=FALSE,"",IF((Summary!$C$13="N")*('Dvd Calendar'!$F$2500='Field Check'!$C$25)&gt;0,"",'Dvd Calendar'!$F$2496)))</f>
        <v/>
      </c>
      <c r="BS182" s="85">
        <f>IF(E182="","",IF(ISNUMBER('Dvd Calendar'!$G$2496)=FALSE,"",IF((Summary!$C$13="N")*('Dvd Calendar'!$G$2500='Field Check'!$C$25)&gt;0,"",'Dvd Calendar'!$G$2496)))</f>
        <v/>
      </c>
      <c r="BT182" s="85">
        <f>IF(F182="","",IF(ISNUMBER('Dvd Calendar'!$H$2496)=FALSE,"",IF((Summary!$C$13="N")*('Dvd Calendar'!$H$2500='Field Check'!$C$25)&gt;0,"",'Dvd Calendar'!$H$2496)))</f>
        <v/>
      </c>
      <c r="BU182" s="85">
        <f>IF(G182="","",IF(ISNUMBER('Dvd Calendar'!$I$2496)=FALSE,"",IF((Summary!$C$13="N")*('Dvd Calendar'!$I$2500='Field Check'!$C$25)&gt;0,"",'Dvd Calendar'!$I$2496)))</f>
        <v/>
      </c>
      <c r="BV182" s="85">
        <f>IF(H182="","",IF(ISNUMBER('Dvd Calendar'!$J$2496)=FALSE,"",IF((Summary!$C$13="N")*('Dvd Calendar'!$J$2500='Field Check'!$C$25)&gt;0,"",'Dvd Calendar'!$J$2496)))</f>
        <v/>
      </c>
      <c r="BW182" s="85">
        <f>IF(I182="","",IF(ISNUMBER('Dvd Calendar'!$K$2496)=FALSE,"",IF((Summary!$C$13="N")*('Dvd Calendar'!$K$2500='Field Check'!$C$25)&gt;0,"",'Dvd Calendar'!$K$2496)))</f>
        <v/>
      </c>
      <c r="BX182" s="85">
        <f>IF(J182="","",IF(ISNUMBER('Dvd Calendar'!$L$2496)=FALSE,"",IF((Summary!$C$13="N")*('Dvd Calendar'!$L$2500='Field Check'!$C$25)&gt;0,"",'Dvd Calendar'!$L$2496)))</f>
        <v/>
      </c>
      <c r="BY182" s="85">
        <f>IF(K182="","",IF(ISNUMBER('Dvd Calendar'!$M$2496)=FALSE,"",IF((Summary!$C$13="N")*('Dvd Calendar'!$M$2500='Field Check'!$C$25)&gt;0,"",'Dvd Calendar'!$M$2496)))</f>
        <v/>
      </c>
      <c r="BZ182" s="85">
        <f>IF(L182="","",IF(ISNUMBER('Dvd Calendar'!$N$2496)=FALSE,"",IF((Summary!$C$13="N")*('Dvd Calendar'!$N$2500='Field Check'!$C$25)&gt;0,"",'Dvd Calendar'!$N$2496)))</f>
        <v/>
      </c>
      <c r="CA182" s="85">
        <f>IF(M182="","",IF(ISNUMBER('Dvd Calendar'!$O$2496)=FALSE,"",IF((Summary!$C$13="N")*('Dvd Calendar'!$O$2500='Field Check'!$C$25)&gt;0,"",'Dvd Calendar'!$O$2496)))</f>
        <v/>
      </c>
      <c r="CB182" s="85">
        <f>IF(N182="","",IF(ISNUMBER('Dvd Calendar'!$P$2496)=FALSE,"",IF((Summary!$C$13="N")*('Dvd Calendar'!$P$2500='Field Check'!$C$25)&gt;0,"",'Dvd Calendar'!$P$2496)))</f>
        <v/>
      </c>
      <c r="CC182" s="85">
        <f>IF(O182="","",IF(ISNUMBER('Dvd Calendar'!$Q$2496)=FALSE,"",IF((Summary!$C$13="N")*('Dvd Calendar'!$Q$2500='Field Check'!$C$25)&gt;0,"",'Dvd Calendar'!$Q$2496)))</f>
        <v/>
      </c>
      <c r="CD182" s="85">
        <f>IF(P182="","",IF(ISNUMBER('Dvd Calendar'!$R$2496)=FALSE,"",IF((Summary!$C$13="N")*('Dvd Calendar'!$R$2500='Field Check'!$C$25)&gt;0,"",'Dvd Calendar'!$R$2496)))</f>
        <v/>
      </c>
      <c r="CE182" s="85">
        <f>IF(Q182="","",IF(ISNUMBER('Dvd Calendar'!$S$2496)=FALSE,"",IF((Summary!$C$13="N")*('Dvd Calendar'!$S$2500='Field Check'!$C$25)&gt;0,"",'Dvd Calendar'!$S$2496)))</f>
        <v/>
      </c>
      <c r="CF182" s="85">
        <f>IF(R182="","",IF(ISNUMBER('Dvd Calendar'!$T$2496)=FALSE,"",IF((Summary!$C$13="N")*('Dvd Calendar'!$T$2500='Field Check'!$C$25)&gt;0,"",'Dvd Calendar'!$T$2496)))</f>
        <v/>
      </c>
      <c r="CG182" s="85">
        <f>IF(S182="","",IF(ISNUMBER('Dvd Calendar'!$U$2496)=FALSE,"",IF((Summary!$C$13="N")*('Dvd Calendar'!$U$2500='Field Check'!$C$25)&gt;0,"",'Dvd Calendar'!$U$2496)))</f>
        <v/>
      </c>
      <c r="CH182" s="85">
        <f>IF(T182="","",IF(ISNUMBER('Dvd Calendar'!$V$2496)=FALSE,"",IF((Summary!$C$13="N")*('Dvd Calendar'!$V$2500='Field Check'!$C$25)&gt;0,"",'Dvd Calendar'!$V$2496)))</f>
        <v/>
      </c>
      <c r="CI182" s="85">
        <f>IF(U182="","",IF(ISNUMBER('Dvd Calendar'!$W$2496)=FALSE,"",IF((Summary!$C$13="N")*('Dvd Calendar'!$W$2500='Field Check'!$C$25)&gt;0,"",'Dvd Calendar'!$W$2496)))</f>
        <v/>
      </c>
      <c r="CJ182" s="85">
        <f>IF(V182="","",IF(ISNUMBER('Dvd Calendar'!$X$2496)=FALSE,"",IF((Summary!$C$13="N")*('Dvd Calendar'!$X$2500='Field Check'!$C$25)&gt;0,"",'Dvd Calendar'!$X$2496)))</f>
        <v/>
      </c>
      <c r="CK182" s="85">
        <f>IF(W182="","",IF(ISNUMBER('Dvd Calendar'!$Y$2496)=FALSE,"",IF((Summary!$C$13="N")*('Dvd Calendar'!$Y$2500='Field Check'!$C$25)&gt;0,"",'Dvd Calendar'!$Y$2496)))</f>
        <v/>
      </c>
      <c r="CL182" s="85">
        <f>IF(X182="","",IF(ISNUMBER('Dvd Calendar'!$Z$2496)=FALSE,"",IF((Summary!$C$13="N")*('Dvd Calendar'!$Z$2500='Field Check'!$C$25)&gt;0,"",'Dvd Calendar'!$Z$2496)))</f>
        <v/>
      </c>
      <c r="CM182" s="85">
        <f>IF(Y182="","",IF(ISNUMBER('Dvd Calendar'!$AA$2496)=FALSE,"",IF((Summary!$C$13="N")*('Dvd Calendar'!$AA$2500='Field Check'!$C$25)&gt;0,"",'Dvd Calendar'!$AA$2496)))</f>
        <v/>
      </c>
      <c r="CN182" s="85">
        <f>IF(Z182="","",IF(ISNUMBER('Dvd Calendar'!$AB$2496)=FALSE,"",IF((Summary!$C$13="N")*('Dvd Calendar'!$AB$2500='Field Check'!$C$25)&gt;0,"",'Dvd Calendar'!$AB$2496)))</f>
        <v/>
      </c>
      <c r="CO182" s="85">
        <f>IF(AA182="","",IF(ISNUMBER('Dvd Calendar'!$AC$2496)=FALSE,"",IF((Summary!$C$13="N")*('Dvd Calendar'!$AC$2500='Field Check'!$C$25)&gt;0,"",'Dvd Calendar'!$AC$2496)))</f>
        <v/>
      </c>
      <c r="CP182" s="85">
        <f>IF(AB182="","",IF(ISNUMBER('Dvd Calendar'!$AD$2496)=FALSE,"",IF((Summary!$C$13="N")*('Dvd Calendar'!$AD$2500='Field Check'!$C$25)&gt;0,"",'Dvd Calendar'!$AD$2496)))</f>
        <v/>
      </c>
      <c r="CQ182" s="85">
        <f>IF(AC182="","",IF(ISNUMBER('Dvd Calendar'!$AE$2496)=FALSE,"",IF((Summary!$C$13="N")*('Dvd Calendar'!$AE$2500='Field Check'!$C$25)&gt;0,"",'Dvd Calendar'!$AE$2496)))</f>
        <v/>
      </c>
      <c r="CR182" s="85">
        <f>IF(AD182="","",IF(ISNUMBER('Dvd Calendar'!$AF$2496)=FALSE,"",IF((Summary!$C$13="N")*('Dvd Calendar'!$AF$2500='Field Check'!$C$25)&gt;0,"",'Dvd Calendar'!$AF$2496)))</f>
        <v/>
      </c>
      <c r="CS182" s="85">
        <f>IF(AE182="","",IF(ISNUMBER('Dvd Calendar'!$AG$2496)=FALSE,"",IF((Summary!$C$13="N")*('Dvd Calendar'!$AG$2500='Field Check'!$C$25)&gt;0,"",'Dvd Calendar'!$AG$2496)))</f>
        <v/>
      </c>
      <c r="CT182" s="85">
        <f>IF(AF182="","",IF(ISNUMBER('Dvd Calendar'!$AH$2496)=FALSE,"",IF((Summary!$C$13="N")*('Dvd Calendar'!$AH$2500='Field Check'!$C$25)&gt;0,"",'Dvd Calendar'!$AH$2496)))</f>
        <v/>
      </c>
      <c r="CU182" s="85">
        <f>IF(AG182="","",IF(ISNUMBER('Dvd Calendar'!$AI$2496)=FALSE,"",IF((Summary!$C$13="N")*('Dvd Calendar'!$AI$2500='Field Check'!$C$25)&gt;0,"",'Dvd Calendar'!$AI$2496)))</f>
        <v/>
      </c>
      <c r="CV182" s="85">
        <f>IF(AH182="","",IF(ISNUMBER('Dvd Calendar'!$AJ$2496)=FALSE,"",IF((Summary!$C$13="N")*('Dvd Calendar'!$AJ$2500='Field Check'!$C$25)&gt;0,"",'Dvd Calendar'!$AJ$2496)))</f>
        <v/>
      </c>
      <c r="CW182" s="85">
        <f>IF(AI182="","",IF(ISNUMBER('Dvd Calendar'!$AK$2496)=FALSE,"",IF((Summary!$C$13="N")*('Dvd Calendar'!$AK$2500='Field Check'!$C$25)&gt;0,"",'Dvd Calendar'!$AK$2496)))</f>
        <v/>
      </c>
      <c r="CX182" s="85">
        <f>IF(AJ182="","",IF(ISNUMBER('Dvd Calendar'!$AL$2496)=FALSE,"",IF((Summary!$C$13="N")*('Dvd Calendar'!$AL$2500='Field Check'!$C$25)&gt;0,"",'Dvd Calendar'!$AL$2496)))</f>
        <v/>
      </c>
      <c r="CY182" s="85">
        <f>IF(AK182="","",IF(ISNUMBER('Dvd Calendar'!$AM$2496)=FALSE,"",IF((Summary!$C$13="N")*('Dvd Calendar'!$AM$2500='Field Check'!$C$25)&gt;0,"",'Dvd Calendar'!$AM$2496)))</f>
        <v/>
      </c>
      <c r="CZ182" s="85">
        <f>IF(AL182="","",IF(ISNUMBER('Dvd Calendar'!$AN$2496)=FALSE,"",IF((Summary!$C$13="N")*('Dvd Calendar'!$AN$2500='Field Check'!$C$25)&gt;0,"",'Dvd Calendar'!$AN$2496)))</f>
        <v/>
      </c>
      <c r="DA182" s="85">
        <f>IF(AM182="","",IF(ISNUMBER('Dvd Calendar'!$AO$2496)=FALSE,"",IF((Summary!$C$13="N")*('Dvd Calendar'!$AO$2500='Field Check'!$C$25)&gt;0,"",'Dvd Calendar'!$AO$2496)))</f>
        <v/>
      </c>
      <c r="DB182" s="85">
        <f>IF(AN182="","",IF(ISNUMBER('Dvd Calendar'!$AP$2496)=FALSE,"",IF((Summary!$C$13="N")*('Dvd Calendar'!$AP$2500='Field Check'!$C$25)&gt;0,"",'Dvd Calendar'!$AP$2496)))</f>
        <v/>
      </c>
      <c r="DC182" s="85">
        <f>IF(AO182="","",IF(ISNUMBER('Dvd Calendar'!$AQ$2496)=FALSE,"",IF((Summary!$C$13="N")*('Dvd Calendar'!$AQ$2500='Field Check'!$C$25)&gt;0,"",'Dvd Calendar'!$AQ$2496)))</f>
        <v/>
      </c>
      <c r="DD182" s="85">
        <f>IF(AP182="","",IF(ISNUMBER('Dvd Calendar'!$AR$2496)=FALSE,"",IF((Summary!$C$13="N")*('Dvd Calendar'!$AR$2500='Field Check'!$C$25)&gt;0,"",'Dvd Calendar'!$AR$2496)))</f>
        <v/>
      </c>
      <c r="DE182" s="85">
        <f>IF(AQ182="","",IF(ISNUMBER('Dvd Calendar'!$E$2503)=FALSE,"",IF((Summary!$C$13="N")*('Dvd Calendar'!$E$2507='Field Check'!$C$25)&gt;0,"",'Dvd Calendar'!$E$2503)))</f>
        <v/>
      </c>
      <c r="DF182" s="85">
        <f>IF(AR182="","",IF(ISNUMBER('Dvd Calendar'!$F$2503)=FALSE,"",IF((Summary!$C$13="N")*('Dvd Calendar'!$F$2507='Field Check'!$C$25)&gt;0,"",'Dvd Calendar'!$F$2503)))</f>
        <v/>
      </c>
      <c r="DG182" s="85">
        <f>IF(AS182="","",IF(ISNUMBER('Dvd Calendar'!$G$2503)=FALSE,"",IF((Summary!$C$13="N")*('Dvd Calendar'!$G$2507='Field Check'!$C$25)&gt;0,"",'Dvd Calendar'!$G$2503)))</f>
        <v/>
      </c>
      <c r="DH182" s="85">
        <f>IF(AT182="","",IF(ISNUMBER('Dvd Calendar'!$H$2503)=FALSE,"",IF((Summary!$C$13="N")*('Dvd Calendar'!$H$2507='Field Check'!$C$25)&gt;0,"",'Dvd Calendar'!$H$2503)))</f>
        <v/>
      </c>
      <c r="DI182" s="85">
        <f>IF(AU182="","",IF(ISNUMBER('Dvd Calendar'!$I$2503)=FALSE,"",IF((Summary!$C$13="N")*('Dvd Calendar'!$I$2507='Field Check'!$C$25)&gt;0,"",'Dvd Calendar'!$I$2503)))</f>
        <v/>
      </c>
      <c r="DJ182" s="85">
        <f>IF(AV182="","",IF(ISNUMBER('Dvd Calendar'!$J$2503)=FALSE,"",IF((Summary!$C$13="N")*('Dvd Calendar'!$J$2507='Field Check'!$C$25)&gt;0,"",'Dvd Calendar'!$J$2503)))</f>
        <v/>
      </c>
      <c r="DK182" s="85">
        <f>IF(AW182="","",IF(ISNUMBER('Dvd Calendar'!$K$2503)=FALSE,"",IF((Summary!$C$13="N")*('Dvd Calendar'!$K$2507='Field Check'!$C$25)&gt;0,"",'Dvd Calendar'!$K$2503)))</f>
        <v/>
      </c>
      <c r="DL182" s="85">
        <f>IF(AX182="","",IF(ISNUMBER('Dvd Calendar'!$L$2503)=FALSE,"",IF((Summary!$C$13="N")*('Dvd Calendar'!$L$2507='Field Check'!$C$25)&gt;0,"",'Dvd Calendar'!$L$2503)))</f>
        <v/>
      </c>
      <c r="DM182" s="85">
        <f>IF(AY182="","",IF(ISNUMBER('Dvd Calendar'!$M$2503)=FALSE,"",IF((Summary!$C$13="N")*('Dvd Calendar'!$M$2507='Field Check'!$C$25)&gt;0,"",'Dvd Calendar'!$M$2503)))</f>
        <v/>
      </c>
      <c r="DN182" s="85">
        <f>IF(AZ182="","",IF(ISNUMBER('Dvd Calendar'!$N$2503)=FALSE,"",IF((Summary!$C$13="N")*('Dvd Calendar'!$N$2507='Field Check'!$C$25)&gt;0,"",'Dvd Calendar'!$N$2503)))</f>
        <v/>
      </c>
      <c r="DO182" s="85">
        <f>IF(BA182="","",IF(ISNUMBER('Dvd Calendar'!$O$2503)=FALSE,"",IF((Summary!$C$13="N")*('Dvd Calendar'!$O$2507='Field Check'!$C$25)&gt;0,"",'Dvd Calendar'!$O$2503)))</f>
        <v/>
      </c>
      <c r="DP182" s="85">
        <f>IF(BB182="","",IF(ISNUMBER('Dvd Calendar'!$P$2503)=FALSE,"",IF((Summary!$C$13="N")*('Dvd Calendar'!$P$2507='Field Check'!$C$25)&gt;0,"",'Dvd Calendar'!$P$2503)))</f>
        <v/>
      </c>
      <c r="DQ182" s="85">
        <f>IF(BC182="","",IF(ISNUMBER('Dvd Calendar'!$Q$2503)=FALSE,"",IF((Summary!$C$13="N")*('Dvd Calendar'!$Q$2507='Field Check'!$C$25)&gt;0,"",'Dvd Calendar'!$Q$2503)))</f>
        <v/>
      </c>
      <c r="DR182" s="85">
        <f>IF(BD182="","",IF(ISNUMBER('Dvd Calendar'!$R$2503)=FALSE,"",IF((Summary!$C$13="N")*('Dvd Calendar'!$R$2507='Field Check'!$C$25)&gt;0,"",'Dvd Calendar'!$R$2503)))</f>
        <v/>
      </c>
      <c r="DS182" s="85">
        <f>IF(BE182="","",IF(ISNUMBER('Dvd Calendar'!$S$2503)=FALSE,"",IF((Summary!$C$13="N")*('Dvd Calendar'!$S$2507='Field Check'!$C$25)&gt;0,"",'Dvd Calendar'!$S$2503)))</f>
        <v/>
      </c>
      <c r="DT182" s="85">
        <f>IF(BF182="","",IF(ISNUMBER('Dvd Calendar'!$T$2503)=FALSE,"",IF((Summary!$C$13="N")*('Dvd Calendar'!$T$2507='Field Check'!$C$25)&gt;0,"",'Dvd Calendar'!$T$2503)))</f>
        <v/>
      </c>
      <c r="DU182" s="85">
        <f>IF(BG182="","",IF(ISNUMBER('Dvd Calendar'!$U$2503)=FALSE,"",IF((Summary!$C$13="N")*('Dvd Calendar'!$U$2507='Field Check'!$C$25)&gt;0,"",'Dvd Calendar'!$U$2503)))</f>
        <v/>
      </c>
      <c r="DV182" s="85">
        <f>IF(BH182="","",IF(ISNUMBER('Dvd Calendar'!$V$2503)=FALSE,"",IF((Summary!$C$13="N")*('Dvd Calendar'!$V$2507='Field Check'!$C$25)&gt;0,"",'Dvd Calendar'!$V$2503)))</f>
        <v/>
      </c>
      <c r="DW182" s="85">
        <f>IF(BI182="","",IF(ISNUMBER('Dvd Calendar'!$W$2503)=FALSE,"",IF((Summary!$C$13="N")*('Dvd Calendar'!$W$2507='Field Check'!$C$25)&gt;0,"",'Dvd Calendar'!$W$2503)))</f>
        <v/>
      </c>
      <c r="DX182" s="85">
        <f>IF(BJ182="","",IF(ISNUMBER('Dvd Calendar'!$X$2503)=FALSE,"",IF((Summary!$C$13="N")*('Dvd Calendar'!$X$2507='Field Check'!$C$25)&gt;0,"",'Dvd Calendar'!$X$2503)))</f>
        <v/>
      </c>
      <c r="DY182" s="85">
        <f>IF(BK182="","",IF(ISNUMBER('Dvd Calendar'!$Y$2503)=FALSE,"",IF((Summary!$C$13="N")*('Dvd Calendar'!$Y$2507='Field Check'!$C$25)&gt;0,"",'Dvd Calendar'!$Y$2503)))</f>
        <v/>
      </c>
      <c r="DZ182" s="85">
        <f>IF(BL182="","",IF(ISNUMBER('Dvd Calendar'!$Z$2503)=FALSE,"",IF((Summary!$C$13="N")*('Dvd Calendar'!$Z$2507='Field Check'!$C$25)&gt;0,"",'Dvd Calendar'!$Z$2503)))</f>
        <v/>
      </c>
      <c r="EA182" s="85">
        <f>IF(BM182="","",IF(ISNUMBER('Dvd Calendar'!$AA$2503)=FALSE,"",IF((Summary!$C$13="N")*('Dvd Calendar'!$AA$2507='Field Check'!$C$25)&gt;0,"",'Dvd Calendar'!$AA$2503)))</f>
        <v/>
      </c>
      <c r="EB182" s="85">
        <f>IF(BN182="","",IF(ISNUMBER('Dvd Calendar'!$AB$2503)=FALSE,"",IF((Summary!$C$13="N")*('Dvd Calendar'!$AB$2507='Field Check'!$C$25)&gt;0,"",'Dvd Calendar'!$AB$2503)))</f>
        <v/>
      </c>
      <c r="EC182" s="85">
        <f>IF(BO182="","",IF(ISNUMBER('Dvd Calendar'!$AC$2503)=FALSE,"",IF((Summary!$C$13="N")*('Dvd Calendar'!$AC$2507='Field Check'!$C$25)&gt;0,"",'Dvd Calendar'!$AC$2503)))</f>
        <v/>
      </c>
      <c r="EE182" s="85">
        <f>IF(BQ182="","",IFERROR(BQ182*HSCEI!$B$32*HSCEI!$G$32/HSCEI!$B$3,""))</f>
        <v/>
      </c>
      <c r="EF182" s="85">
        <f>IF(BR182="","",IFERROR(BR182*HSCEI!$B$32*HSCEI!$G$32/HSCEI!$B$3,""))</f>
        <v/>
      </c>
      <c r="EG182" s="85">
        <f>IF(BS182="","",IFERROR(BS182*HSCEI!$B$32*HSCEI!$G$32/HSCEI!$B$3,""))</f>
        <v/>
      </c>
      <c r="EH182" s="85">
        <f>IF(BT182="","",IFERROR(BT182*HSCEI!$B$32*HSCEI!$G$32/HSCEI!$B$3,""))</f>
        <v/>
      </c>
      <c r="EI182" s="85">
        <f>IF(BU182="","",IFERROR(BU182*HSCEI!$B$32*HSCEI!$G$32/HSCEI!$B$3,""))</f>
        <v/>
      </c>
      <c r="EJ182" s="85">
        <f>IF(BV182="","",IFERROR(BV182*HSCEI!$B$32*HSCEI!$G$32/HSCEI!$B$3,""))</f>
        <v/>
      </c>
      <c r="EK182" s="85">
        <f>IF(BW182="","",IFERROR(BW182*HSCEI!$B$32*HSCEI!$G$32/HSCEI!$B$3,""))</f>
        <v/>
      </c>
      <c r="EL182" s="85">
        <f>IF(BX182="","",IFERROR(BX182*HSCEI!$B$32*HSCEI!$G$32/HSCEI!$B$3,""))</f>
        <v/>
      </c>
      <c r="EM182" s="85">
        <f>IF(BY182="","",IFERROR(BY182*HSCEI!$B$32*HSCEI!$G$32/HSCEI!$B$3,""))</f>
        <v/>
      </c>
      <c r="EN182" s="85">
        <f>IF(BZ182="","",IFERROR(BZ182*HSCEI!$B$32*HSCEI!$G$32/HSCEI!$B$3,""))</f>
        <v/>
      </c>
      <c r="EO182" s="85">
        <f>IF(CA182="","",IFERROR(CA182*HSCEI!$B$32*HSCEI!$G$32/HSCEI!$B$3,""))</f>
        <v/>
      </c>
      <c r="EP182" s="85">
        <f>IF(CB182="","",IFERROR(CB182*HSCEI!$B$32*HSCEI!$G$32/HSCEI!$B$3,""))</f>
        <v/>
      </c>
      <c r="EQ182" s="85">
        <f>IF(CC182="","",IFERROR(CC182*HSCEI!$B$32*HSCEI!$G$32/HSCEI!$B$3,""))</f>
        <v/>
      </c>
      <c r="ER182" s="85">
        <f>IF(CD182="","",IFERROR(CD182*HSCEI!$B$32*HSCEI!$G$32/HSCEI!$B$3,""))</f>
        <v/>
      </c>
      <c r="ES182" s="85">
        <f>IF(CE182="","",IFERROR(CE182*HSCEI!$B$32*HSCEI!$G$32/HSCEI!$B$3,""))</f>
        <v/>
      </c>
      <c r="ET182" s="85">
        <f>IF(CF182="","",IFERROR(CF182*HSCEI!$B$32*HSCEI!$G$32/HSCEI!$B$3,""))</f>
        <v/>
      </c>
      <c r="EU182" s="85">
        <f>IF(CG182="","",IFERROR(CG182*HSCEI!$B$32*HSCEI!$G$32/HSCEI!$B$3,""))</f>
        <v/>
      </c>
      <c r="EV182" s="85">
        <f>IF(CH182="","",IFERROR(CH182*HSCEI!$B$32*HSCEI!$G$32/HSCEI!$B$3,""))</f>
        <v/>
      </c>
      <c r="EW182" s="85">
        <f>IF(CI182="","",IFERROR(CI182*HSCEI!$B$32*HSCEI!$G$32/HSCEI!$B$3,""))</f>
        <v/>
      </c>
      <c r="EX182" s="85">
        <f>IF(CJ182="","",IFERROR(CJ182*HSCEI!$B$32*HSCEI!$G$32/HSCEI!$B$3,""))</f>
        <v/>
      </c>
      <c r="EY182" s="85">
        <f>IF(CK182="","",IFERROR(CK182*HSCEI!$B$32*HSCEI!$G$32/HSCEI!$B$3,""))</f>
        <v/>
      </c>
      <c r="EZ182" s="85">
        <f>IF(CL182="","",IFERROR(CL182*HSCEI!$B$32*HSCEI!$G$32/HSCEI!$B$3,""))</f>
        <v/>
      </c>
      <c r="FA182" s="85">
        <f>IF(CM182="","",IFERROR(CM182*HSCEI!$B$32*HSCEI!$G$32/HSCEI!$B$3,""))</f>
        <v/>
      </c>
      <c r="FB182" s="85">
        <f>IF(CN182="","",IFERROR(CN182*HSCEI!$B$32*HSCEI!$G$32/HSCEI!$B$3,""))</f>
        <v/>
      </c>
      <c r="FC182" s="85">
        <f>IF(CO182="","",IFERROR(CO182*HSCEI!$B$32*HSCEI!$G$32/HSCEI!$B$3,""))</f>
        <v/>
      </c>
      <c r="FD182" s="85">
        <f>IF(CP182="","",IFERROR(CP182*HSCEI!$B$32*HSCEI!$G$32/HSCEI!$B$3,""))</f>
        <v/>
      </c>
      <c r="FE182" s="85">
        <f>IF(CQ182="","",IFERROR(CQ182*HSCEI!$B$32*HSCEI!$G$32/HSCEI!$B$3,""))</f>
        <v/>
      </c>
      <c r="FF182" s="85">
        <f>IF(CR182="","",IFERROR(CR182*HSCEI!$B$32*HSCEI!$G$32/HSCEI!$B$3,""))</f>
        <v/>
      </c>
      <c r="FG182" s="85">
        <f>IF(CS182="","",IFERROR(CS182*HSCEI!$B$32*HSCEI!$G$32/HSCEI!$B$3,""))</f>
        <v/>
      </c>
      <c r="FH182" s="85">
        <f>IF(CT182="","",IFERROR(CT182*HSCEI!$B$32*HSCEI!$G$32/HSCEI!$B$3,""))</f>
        <v/>
      </c>
      <c r="FI182" s="85">
        <f>IF(CU182="","",IFERROR(CU182*HSCEI!$B$32*HSCEI!$G$32/HSCEI!$B$3,""))</f>
        <v/>
      </c>
      <c r="FJ182" s="85">
        <f>IF(CV182="","",IFERROR(CV182*HSCEI!$B$32*HSCEI!$G$32/HSCEI!$B$3,""))</f>
        <v/>
      </c>
      <c r="FK182" s="85">
        <f>IF(CW182="","",IFERROR(CW182*HSCEI!$B$32*HSCEI!$G$32/HSCEI!$B$3,""))</f>
        <v/>
      </c>
      <c r="FL182" s="85">
        <f>IF(CX182="","",IFERROR(CX182*HSCEI!$B$32*HSCEI!$G$32/HSCEI!$B$3,""))</f>
        <v/>
      </c>
      <c r="FM182" s="85">
        <f>IF(CY182="","",IFERROR(CY182*HSCEI!$B$32*HSCEI!$G$32/HSCEI!$B$3,""))</f>
        <v/>
      </c>
      <c r="FN182" s="85">
        <f>IF(CZ182="","",IFERROR(CZ182*HSCEI!$B$32*HSCEI!$G$32/HSCEI!$B$3,""))</f>
        <v/>
      </c>
      <c r="FO182" s="85">
        <f>IF(DA182="","",IFERROR(DA182*HSCEI!$B$32*HSCEI!$G$32/HSCEI!$B$3,""))</f>
        <v/>
      </c>
      <c r="FP182" s="85">
        <f>IF(DB182="","",IFERROR(DB182*HSCEI!$B$32*HSCEI!$G$32/HSCEI!$B$3,""))</f>
        <v/>
      </c>
      <c r="FQ182" s="85">
        <f>IF(DC182="","",IFERROR(DC182*HSCEI!$B$32*HSCEI!$G$32/HSCEI!$B$3,""))</f>
        <v/>
      </c>
      <c r="FR182" s="85">
        <f>IF(DD182="","",IFERROR(DD182*HSCEI!$B$32*HSCEI!$G$32/HSCEI!$B$3,""))</f>
        <v/>
      </c>
      <c r="FS182" s="85">
        <f>IF(DE182="","",IFERROR(DE182*HSCEI!$B$32*HSCEI!$G$32/HSCEI!$B$3,""))</f>
        <v/>
      </c>
      <c r="FT182" s="85">
        <f>IF(DF182="","",IFERROR(DF182*HSCEI!$B$32*HSCEI!$G$32/HSCEI!$B$3,""))</f>
        <v/>
      </c>
      <c r="FU182" s="85">
        <f>IF(DG182="","",IFERROR(DG182*HSCEI!$B$32*HSCEI!$G$32/HSCEI!$B$3,""))</f>
        <v/>
      </c>
      <c r="FV182" s="85">
        <f>IF(DH182="","",IFERROR(DH182*HSCEI!$B$32*HSCEI!$G$32/HSCEI!$B$3,""))</f>
        <v/>
      </c>
      <c r="FW182" s="85">
        <f>IF(DI182="","",IFERROR(DI182*HSCEI!$B$32*HSCEI!$G$32/HSCEI!$B$3,""))</f>
        <v/>
      </c>
      <c r="FX182" s="85">
        <f>IF(DJ182="","",IFERROR(DJ182*HSCEI!$B$32*HSCEI!$G$32/HSCEI!$B$3,""))</f>
        <v/>
      </c>
      <c r="FY182" s="85">
        <f>IF(DK182="","",IFERROR(DK182*HSCEI!$B$32*HSCEI!$G$32/HSCEI!$B$3,""))</f>
        <v/>
      </c>
      <c r="FZ182" s="85">
        <f>IF(DL182="","",IFERROR(DL182*HSCEI!$B$32*HSCEI!$G$32/HSCEI!$B$3,""))</f>
        <v/>
      </c>
      <c r="GA182" s="85">
        <f>IF(DM182="","",IFERROR(DM182*HSCEI!$B$32*HSCEI!$G$32/HSCEI!$B$3,""))</f>
        <v/>
      </c>
      <c r="GB182" s="85">
        <f>IF(DN182="","",IFERROR(DN182*HSCEI!$B$32*HSCEI!$G$32/HSCEI!$B$3,""))</f>
        <v/>
      </c>
      <c r="GC182" s="85">
        <f>IF(DO182="","",IFERROR(DO182*HSCEI!$B$32*HSCEI!$G$32/HSCEI!$B$3,""))</f>
        <v/>
      </c>
      <c r="GD182" s="85">
        <f>IF(DP182="","",IFERROR(DP182*HSCEI!$B$32*HSCEI!$G$32/HSCEI!$B$3,""))</f>
        <v/>
      </c>
      <c r="GE182" s="85">
        <f>IF(DQ182="","",IFERROR(DQ182*HSCEI!$B$32*HSCEI!$G$32/HSCEI!$B$3,""))</f>
        <v/>
      </c>
      <c r="GF182" s="85">
        <f>IF(DR182="","",IFERROR(DR182*HSCEI!$B$32*HSCEI!$G$32/HSCEI!$B$3,""))</f>
        <v/>
      </c>
      <c r="GG182" s="85">
        <f>IF(DS182="","",IFERROR(DS182*HSCEI!$B$32*HSCEI!$G$32/HSCEI!$B$3,""))</f>
        <v/>
      </c>
      <c r="GH182" s="85">
        <f>IF(DT182="","",IFERROR(DT182*HSCEI!$B$32*HSCEI!$G$32/HSCEI!$B$3,""))</f>
        <v/>
      </c>
      <c r="GI182" s="85">
        <f>IF(DU182="","",IFERROR(DU182*HSCEI!$B$32*HSCEI!$G$32/HSCEI!$B$3,""))</f>
        <v/>
      </c>
      <c r="GJ182" s="85">
        <f>IF(DV182="","",IFERROR(DV182*HSCEI!$B$32*HSCEI!$G$32/HSCEI!$B$3,""))</f>
        <v/>
      </c>
      <c r="GK182" s="85">
        <f>IF(DW182="","",IFERROR(DW182*HSCEI!$B$32*HSCEI!$G$32/HSCEI!$B$3,""))</f>
        <v/>
      </c>
      <c r="GL182" s="85">
        <f>IF(DX182="","",IFERROR(DX182*HSCEI!$B$32*HSCEI!$G$32/HSCEI!$B$3,""))</f>
        <v/>
      </c>
      <c r="GM182" s="85">
        <f>IF(DY182="","",IFERROR(DY182*HSCEI!$B$32*HSCEI!$G$32/HSCEI!$B$3,""))</f>
        <v/>
      </c>
      <c r="GN182" s="85">
        <f>IF(DZ182="","",IFERROR(DZ182*HSCEI!$B$32*HSCEI!$G$32/HSCEI!$B$3,""))</f>
        <v/>
      </c>
      <c r="GO182" s="85">
        <f>IF(EA182="","",IFERROR(EA182*HSCEI!$B$32*HSCEI!$G$32/HSCEI!$B$3,""))</f>
        <v/>
      </c>
      <c r="GP182" s="85">
        <f>IF(EB182="","",IFERROR(EB182*HSCEI!$B$32*HSCEI!$G$32/HSCEI!$B$3,""))</f>
        <v/>
      </c>
      <c r="GQ182" s="85">
        <f>IF(EC182="","",IFERROR(EC182*HSCEI!$B$32*HSCEI!$G$32/HSCEI!$B$3,""))</f>
        <v/>
      </c>
    </row>
    <row r="183">
      <c r="B183" s="2">
        <f>IF(HSCEI!$C$33="","",HSCEI!$C$33)</f>
        <v/>
      </c>
      <c r="C183" s="41">
        <f>IF(N('Dvd Calendar'!$E$2510)=0,"",IF(('Dvd Calendar'!$E$2510&gt;=MIN(DATE(Summary!$C$12,1,1),Summary!$C$11))*('Dvd Calendar'!$E$2510&lt;=MAX(DATE(Summary!$C$12,12,31),Summary!$C$15))*('Dvd Calendar'!$E$2510&lt;=Summary!$C$11)=0,"",'Dvd Calendar'!$E$2510*1000000000+ISNUMBER('Dvd Calendar'!$E$2511)*100000000+('Dvd Calendar'!$E$2515='Field Check'!$C$25)*10000000+(N('Dvd Calendar'!$E$2509)&gt;0)*1000000+27*1000+1))</f>
        <v/>
      </c>
      <c r="D183" s="41">
        <f>IF(N('Dvd Calendar'!$F$2510)=0,"",IF(('Dvd Calendar'!$F$2510&gt;=MIN(DATE(Summary!$C$12,1,1),Summary!$C$11))*('Dvd Calendar'!$F$2510&lt;=MAX(DATE(Summary!$C$12,12,31),Summary!$C$15))*('Dvd Calendar'!$F$2510&lt;=Summary!$C$11)=0,"",'Dvd Calendar'!$F$2510*1000000000+ISNUMBER('Dvd Calendar'!$F$2511)*100000000+('Dvd Calendar'!$F$2515='Field Check'!$C$25)*10000000+(N('Dvd Calendar'!$F$2509)&gt;0)*1000000+27*1000+2))</f>
        <v/>
      </c>
      <c r="E183" s="41">
        <f>IF(N('Dvd Calendar'!$G$2510)=0,"",IF(('Dvd Calendar'!$G$2510&gt;=MIN(DATE(Summary!$C$12,1,1),Summary!$C$11))*('Dvd Calendar'!$G$2510&lt;=MAX(DATE(Summary!$C$12,12,31),Summary!$C$15))*('Dvd Calendar'!$G$2510&lt;=Summary!$C$11)=0,"",'Dvd Calendar'!$G$2510*1000000000+ISNUMBER('Dvd Calendar'!$G$2511)*100000000+('Dvd Calendar'!$G$2515='Field Check'!$C$25)*10000000+(N('Dvd Calendar'!$G$2509)&gt;0)*1000000+27*1000+3))</f>
        <v/>
      </c>
      <c r="F183" s="41">
        <f>IF(N('Dvd Calendar'!$H$2510)=0,"",IF(('Dvd Calendar'!$H$2510&gt;=MIN(DATE(Summary!$C$12,1,1),Summary!$C$11))*('Dvd Calendar'!$H$2510&lt;=MAX(DATE(Summary!$C$12,12,31),Summary!$C$15))*('Dvd Calendar'!$H$2510&lt;=Summary!$C$11)=0,"",'Dvd Calendar'!$H$2510*1000000000+ISNUMBER('Dvd Calendar'!$H$2511)*100000000+('Dvd Calendar'!$H$2515='Field Check'!$C$25)*10000000+(N('Dvd Calendar'!$H$2509)&gt;0)*1000000+27*1000+4))</f>
        <v/>
      </c>
      <c r="G183" s="41">
        <f>IF(N('Dvd Calendar'!$I$2510)=0,"",IF(('Dvd Calendar'!$I$2510&gt;=MIN(DATE(Summary!$C$12,1,1),Summary!$C$11))*('Dvd Calendar'!$I$2510&lt;=MAX(DATE(Summary!$C$12,12,31),Summary!$C$15))*('Dvd Calendar'!$I$2510&lt;=Summary!$C$11)=0,"",'Dvd Calendar'!$I$2510*1000000000+ISNUMBER('Dvd Calendar'!$I$2511)*100000000+('Dvd Calendar'!$I$2515='Field Check'!$C$25)*10000000+(N('Dvd Calendar'!$I$2509)&gt;0)*1000000+27*1000+5))</f>
        <v/>
      </c>
      <c r="H183" s="41">
        <f>IF(N('Dvd Calendar'!$J$2510)=0,"",IF(('Dvd Calendar'!$J$2510&gt;=MIN(DATE(Summary!$C$12,1,1),Summary!$C$11))*('Dvd Calendar'!$J$2510&lt;=MAX(DATE(Summary!$C$12,12,31),Summary!$C$15))*('Dvd Calendar'!$J$2510&lt;=Summary!$C$11)=0,"",'Dvd Calendar'!$J$2510*1000000000+ISNUMBER('Dvd Calendar'!$J$2511)*100000000+('Dvd Calendar'!$J$2515='Field Check'!$C$25)*10000000+(N('Dvd Calendar'!$J$2509)&gt;0)*1000000+27*1000+6))</f>
        <v/>
      </c>
      <c r="I183" s="41">
        <f>IF(N('Dvd Calendar'!$K$2510)=0,"",IF(('Dvd Calendar'!$K$2510&gt;=MIN(DATE(Summary!$C$12,1,1),Summary!$C$11))*('Dvd Calendar'!$K$2510&lt;=MAX(DATE(Summary!$C$12,12,31),Summary!$C$15))*('Dvd Calendar'!$K$2510&lt;=Summary!$C$11)=0,"",'Dvd Calendar'!$K$2510*1000000000+ISNUMBER('Dvd Calendar'!$K$2511)*100000000+('Dvd Calendar'!$K$2515='Field Check'!$C$25)*10000000+(N('Dvd Calendar'!$K$2509)&gt;0)*1000000+27*1000+7))</f>
        <v/>
      </c>
      <c r="J183" s="41">
        <f>IF(N('Dvd Calendar'!$L$2510)=0,"",IF(('Dvd Calendar'!$L$2510&gt;=MIN(DATE(Summary!$C$12,1,1),Summary!$C$11))*('Dvd Calendar'!$L$2510&lt;=MAX(DATE(Summary!$C$12,12,31),Summary!$C$15))*('Dvd Calendar'!$L$2510&lt;=Summary!$C$11)=0,"",'Dvd Calendar'!$L$2510*1000000000+ISNUMBER('Dvd Calendar'!$L$2511)*100000000+('Dvd Calendar'!$L$2515='Field Check'!$C$25)*10000000+(N('Dvd Calendar'!$L$2509)&gt;0)*1000000+27*1000+8))</f>
        <v/>
      </c>
      <c r="K183" s="41">
        <f>IF(N('Dvd Calendar'!$M$2510)=0,"",IF(('Dvd Calendar'!$M$2510&gt;=MIN(DATE(Summary!$C$12,1,1),Summary!$C$11))*('Dvd Calendar'!$M$2510&lt;=MAX(DATE(Summary!$C$12,12,31),Summary!$C$15))*('Dvd Calendar'!$M$2510&lt;=Summary!$C$11)=0,"",'Dvd Calendar'!$M$2510*1000000000+ISNUMBER('Dvd Calendar'!$M$2511)*100000000+('Dvd Calendar'!$M$2515='Field Check'!$C$25)*10000000+(N('Dvd Calendar'!$M$2509)&gt;0)*1000000+27*1000+9))</f>
        <v/>
      </c>
      <c r="L183" s="41">
        <f>IF(N('Dvd Calendar'!$N$2510)=0,"",IF(('Dvd Calendar'!$N$2510&gt;=MIN(DATE(Summary!$C$12,1,1),Summary!$C$11))*('Dvd Calendar'!$N$2510&lt;=MAX(DATE(Summary!$C$12,12,31),Summary!$C$15))*('Dvd Calendar'!$N$2510&lt;=Summary!$C$11)=0,"",'Dvd Calendar'!$N$2510*1000000000+ISNUMBER('Dvd Calendar'!$N$2511)*100000000+('Dvd Calendar'!$N$2515='Field Check'!$C$25)*10000000+(N('Dvd Calendar'!$N$2509)&gt;0)*1000000+27*1000+10))</f>
        <v/>
      </c>
      <c r="M183" s="41">
        <f>IF(N('Dvd Calendar'!$O$2510)=0,"",IF(('Dvd Calendar'!$O$2510&gt;=MIN(DATE(Summary!$C$12,1,1),Summary!$C$11))*('Dvd Calendar'!$O$2510&lt;=MAX(DATE(Summary!$C$12,12,31),Summary!$C$15))*('Dvd Calendar'!$O$2510&lt;=Summary!$C$11)=0,"",'Dvd Calendar'!$O$2510*1000000000+ISNUMBER('Dvd Calendar'!$O$2511)*100000000+('Dvd Calendar'!$O$2515='Field Check'!$C$25)*10000000+(N('Dvd Calendar'!$O$2509)&gt;0)*1000000+27*1000+11))</f>
        <v/>
      </c>
      <c r="N183" s="41">
        <f>IF(N('Dvd Calendar'!$P$2510)=0,"",IF(('Dvd Calendar'!$P$2510&gt;=MIN(DATE(Summary!$C$12,1,1),Summary!$C$11))*('Dvd Calendar'!$P$2510&lt;=MAX(DATE(Summary!$C$12,12,31),Summary!$C$15))*('Dvd Calendar'!$P$2510&lt;=Summary!$C$11)=0,"",'Dvd Calendar'!$P$2510*1000000000+ISNUMBER('Dvd Calendar'!$P$2511)*100000000+('Dvd Calendar'!$P$2515='Field Check'!$C$25)*10000000+(N('Dvd Calendar'!$P$2509)&gt;0)*1000000+27*1000+12))</f>
        <v/>
      </c>
      <c r="O183" s="41">
        <f>IF(N('Dvd Calendar'!$Q$2510)=0,"",IF(('Dvd Calendar'!$Q$2510&gt;=MIN(DATE(Summary!$C$12,1,1),Summary!$C$11))*('Dvd Calendar'!$Q$2510&lt;=MAX(DATE(Summary!$C$12,12,31),Summary!$C$15))*('Dvd Calendar'!$Q$2510&lt;=Summary!$C$11)=0,"",'Dvd Calendar'!$Q$2510*1000000000+ISNUMBER('Dvd Calendar'!$Q$2511)*100000000+('Dvd Calendar'!$Q$2515='Field Check'!$C$25)*10000000+(N('Dvd Calendar'!$Q$2509)&gt;0)*1000000+27*1000+13))</f>
        <v/>
      </c>
      <c r="P183" s="41">
        <f>IF(N('Dvd Calendar'!$R$2510)=0,"",IF(('Dvd Calendar'!$R$2510&gt;=MIN(DATE(Summary!$C$12,1,1),Summary!$C$11))*('Dvd Calendar'!$R$2510&lt;=MAX(DATE(Summary!$C$12,12,31),Summary!$C$15))*('Dvd Calendar'!$R$2510&lt;=Summary!$C$11)=0,"",'Dvd Calendar'!$R$2510*1000000000+ISNUMBER('Dvd Calendar'!$R$2511)*100000000+('Dvd Calendar'!$R$2515='Field Check'!$C$25)*10000000+(N('Dvd Calendar'!$R$2509)&gt;0)*1000000+27*1000+14))</f>
        <v/>
      </c>
      <c r="Q183" s="41">
        <f>IF(N('Dvd Calendar'!$S$2510)=0,"",IF(('Dvd Calendar'!$S$2510&gt;=MIN(DATE(Summary!$C$12,1,1),Summary!$C$11))*('Dvd Calendar'!$S$2510&lt;=MAX(DATE(Summary!$C$12,12,31),Summary!$C$15))*('Dvd Calendar'!$S$2510&lt;=Summary!$C$11)=0,"",'Dvd Calendar'!$S$2510*1000000000+ISNUMBER('Dvd Calendar'!$S$2511)*100000000+('Dvd Calendar'!$S$2515='Field Check'!$C$25)*10000000+(N('Dvd Calendar'!$S$2509)&gt;0)*1000000+27*1000+15))</f>
        <v/>
      </c>
      <c r="R183" s="41">
        <f>IF(N('Dvd Calendar'!$T$2510)=0,"",IF(('Dvd Calendar'!$T$2510&gt;=MIN(DATE(Summary!$C$12,1,1),Summary!$C$11))*('Dvd Calendar'!$T$2510&lt;=MAX(DATE(Summary!$C$12,12,31),Summary!$C$15))*('Dvd Calendar'!$T$2510&lt;=Summary!$C$11)=0,"",'Dvd Calendar'!$T$2510*1000000000+ISNUMBER('Dvd Calendar'!$T$2511)*100000000+('Dvd Calendar'!$T$2515='Field Check'!$C$25)*10000000+(N('Dvd Calendar'!$T$2509)&gt;0)*1000000+27*1000+16))</f>
        <v/>
      </c>
      <c r="S183" s="41">
        <f>IF(N('Dvd Calendar'!$U$2510)=0,"",IF(('Dvd Calendar'!$U$2510&gt;=MIN(DATE(Summary!$C$12,1,1),Summary!$C$11))*('Dvd Calendar'!$U$2510&lt;=MAX(DATE(Summary!$C$12,12,31),Summary!$C$15))*('Dvd Calendar'!$U$2510&lt;=Summary!$C$11)=0,"",'Dvd Calendar'!$U$2510*1000000000+ISNUMBER('Dvd Calendar'!$U$2511)*100000000+('Dvd Calendar'!$U$2515='Field Check'!$C$25)*10000000+(N('Dvd Calendar'!$U$2509)&gt;0)*1000000+27*1000+17))</f>
        <v/>
      </c>
      <c r="T183" s="41">
        <f>IF(N('Dvd Calendar'!$V$2510)=0,"",IF(('Dvd Calendar'!$V$2510&gt;=MIN(DATE(Summary!$C$12,1,1),Summary!$C$11))*('Dvd Calendar'!$V$2510&lt;=MAX(DATE(Summary!$C$12,12,31),Summary!$C$15))*('Dvd Calendar'!$V$2510&lt;=Summary!$C$11)=0,"",'Dvd Calendar'!$V$2510*1000000000+ISNUMBER('Dvd Calendar'!$V$2511)*100000000+('Dvd Calendar'!$V$2515='Field Check'!$C$25)*10000000+(N('Dvd Calendar'!$V$2509)&gt;0)*1000000+27*1000+18))</f>
        <v/>
      </c>
      <c r="U183" s="41">
        <f>IF(N('Dvd Calendar'!$W$2510)=0,"",IF(('Dvd Calendar'!$W$2510&gt;=MIN(DATE(Summary!$C$12,1,1),Summary!$C$11))*('Dvd Calendar'!$W$2510&lt;=MAX(DATE(Summary!$C$12,12,31),Summary!$C$15))*('Dvd Calendar'!$W$2510&lt;=Summary!$C$11)=0,"",'Dvd Calendar'!$W$2510*1000000000+ISNUMBER('Dvd Calendar'!$W$2511)*100000000+('Dvd Calendar'!$W$2515='Field Check'!$C$25)*10000000+(N('Dvd Calendar'!$W$2509)&gt;0)*1000000+27*1000+19))</f>
        <v/>
      </c>
      <c r="V183" s="41">
        <f>IF(N('Dvd Calendar'!$X$2510)=0,"",IF(('Dvd Calendar'!$X$2510&gt;=MIN(DATE(Summary!$C$12,1,1),Summary!$C$11))*('Dvd Calendar'!$X$2510&lt;=MAX(DATE(Summary!$C$12,12,31),Summary!$C$15))*('Dvd Calendar'!$X$2510&lt;=Summary!$C$11)=0,"",'Dvd Calendar'!$X$2510*1000000000+ISNUMBER('Dvd Calendar'!$X$2511)*100000000+('Dvd Calendar'!$X$2515='Field Check'!$C$25)*10000000+(N('Dvd Calendar'!$X$2509)&gt;0)*1000000+27*1000+20))</f>
        <v/>
      </c>
      <c r="W183" s="41">
        <f>IF(N('Dvd Calendar'!$Y$2510)=0,"",IF(('Dvd Calendar'!$Y$2510&gt;=MIN(DATE(Summary!$C$12,1,1),Summary!$C$11))*('Dvd Calendar'!$Y$2510&lt;=MAX(DATE(Summary!$C$12,12,31),Summary!$C$15))*('Dvd Calendar'!$Y$2510&lt;=Summary!$C$11)=0,"",'Dvd Calendar'!$Y$2510*1000000000+ISNUMBER('Dvd Calendar'!$Y$2511)*100000000+('Dvd Calendar'!$Y$2515='Field Check'!$C$25)*10000000+(N('Dvd Calendar'!$Y$2509)&gt;0)*1000000+27*1000+21))</f>
        <v/>
      </c>
      <c r="X183" s="41">
        <f>IF(N('Dvd Calendar'!$Z$2510)=0,"",IF(('Dvd Calendar'!$Z$2510&gt;=MIN(DATE(Summary!$C$12,1,1),Summary!$C$11))*('Dvd Calendar'!$Z$2510&lt;=MAX(DATE(Summary!$C$12,12,31),Summary!$C$15))*('Dvd Calendar'!$Z$2510&lt;=Summary!$C$11)=0,"",'Dvd Calendar'!$Z$2510*1000000000+ISNUMBER('Dvd Calendar'!$Z$2511)*100000000+('Dvd Calendar'!$Z$2515='Field Check'!$C$25)*10000000+(N('Dvd Calendar'!$Z$2509)&gt;0)*1000000+27*1000+22))</f>
        <v/>
      </c>
      <c r="Y183" s="41">
        <f>IF(N('Dvd Calendar'!$AA$2510)=0,"",IF(('Dvd Calendar'!$AA$2510&gt;=MIN(DATE(Summary!$C$12,1,1),Summary!$C$11))*('Dvd Calendar'!$AA$2510&lt;=MAX(DATE(Summary!$C$12,12,31),Summary!$C$15))*('Dvd Calendar'!$AA$2510&lt;=Summary!$C$11)=0,"",'Dvd Calendar'!$AA$2510*1000000000+ISNUMBER('Dvd Calendar'!$AA$2511)*100000000+('Dvd Calendar'!$AA$2515='Field Check'!$C$25)*10000000+(N('Dvd Calendar'!$AA$2509)&gt;0)*1000000+27*1000+23))</f>
        <v/>
      </c>
      <c r="Z183" s="41">
        <f>IF(N('Dvd Calendar'!$AB$2510)=0,"",IF(('Dvd Calendar'!$AB$2510&gt;=MIN(DATE(Summary!$C$12,1,1),Summary!$C$11))*('Dvd Calendar'!$AB$2510&lt;=MAX(DATE(Summary!$C$12,12,31),Summary!$C$15))*('Dvd Calendar'!$AB$2510&lt;=Summary!$C$11)=0,"",'Dvd Calendar'!$AB$2510*1000000000+ISNUMBER('Dvd Calendar'!$AB$2511)*100000000+('Dvd Calendar'!$AB$2515='Field Check'!$C$25)*10000000+(N('Dvd Calendar'!$AB$2509)&gt;0)*1000000+27*1000+24))</f>
        <v/>
      </c>
      <c r="AA183" s="41">
        <f>IF(N('Dvd Calendar'!$AC$2510)=0,"",IF(('Dvd Calendar'!$AC$2510&gt;=MIN(DATE(Summary!$C$12,1,1),Summary!$C$11))*('Dvd Calendar'!$AC$2510&lt;=MAX(DATE(Summary!$C$12,12,31),Summary!$C$15))*('Dvd Calendar'!$AC$2510&lt;=Summary!$C$11)=0,"",'Dvd Calendar'!$AC$2510*1000000000+ISNUMBER('Dvd Calendar'!$AC$2511)*100000000+('Dvd Calendar'!$AC$2515='Field Check'!$C$25)*10000000+(N('Dvd Calendar'!$AC$2509)&gt;0)*1000000+27*1000+25))</f>
        <v/>
      </c>
      <c r="AB183" s="41">
        <f>IF(N('Dvd Calendar'!$AD$2510)=0,"",IF(('Dvd Calendar'!$AD$2510&gt;=MIN(DATE(Summary!$C$12,1,1),Summary!$C$11))*('Dvd Calendar'!$AD$2510&lt;=MAX(DATE(Summary!$C$12,12,31),Summary!$C$15))*('Dvd Calendar'!$AD$2510&lt;=Summary!$C$11)=0,"",'Dvd Calendar'!$AD$2510*1000000000+ISNUMBER('Dvd Calendar'!$AD$2511)*100000000+('Dvd Calendar'!$AD$2515='Field Check'!$C$25)*10000000+(N('Dvd Calendar'!$AD$2509)&gt;0)*1000000+27*1000+26))</f>
        <v/>
      </c>
      <c r="AC183" s="41">
        <f>IF(N('Dvd Calendar'!$AE$2510)=0,"",IF(('Dvd Calendar'!$AE$2510&gt;=MIN(DATE(Summary!$C$12,1,1),Summary!$C$11))*('Dvd Calendar'!$AE$2510&lt;=MAX(DATE(Summary!$C$12,12,31),Summary!$C$15))*('Dvd Calendar'!$AE$2510&lt;=Summary!$C$11)=0,"",'Dvd Calendar'!$AE$2510*1000000000+ISNUMBER('Dvd Calendar'!$AE$2511)*100000000+('Dvd Calendar'!$AE$2515='Field Check'!$C$25)*10000000+(N('Dvd Calendar'!$AE$2509)&gt;0)*1000000+27*1000+27))</f>
        <v/>
      </c>
      <c r="AD183" s="41">
        <f>IF(N('Dvd Calendar'!$AF$2510)=0,"",IF(('Dvd Calendar'!$AF$2510&gt;=MIN(DATE(Summary!$C$12,1,1),Summary!$C$11))*('Dvd Calendar'!$AF$2510&lt;=MAX(DATE(Summary!$C$12,12,31),Summary!$C$15))*('Dvd Calendar'!$AF$2510&lt;=Summary!$C$11)=0,"",'Dvd Calendar'!$AF$2510*1000000000+ISNUMBER('Dvd Calendar'!$AF$2511)*100000000+('Dvd Calendar'!$AF$2515='Field Check'!$C$25)*10000000+(N('Dvd Calendar'!$AF$2509)&gt;0)*1000000+27*1000+28))</f>
        <v/>
      </c>
      <c r="AE183" s="41">
        <f>IF(N('Dvd Calendar'!$AG$2510)=0,"",IF(('Dvd Calendar'!$AG$2510&gt;=MIN(DATE(Summary!$C$12,1,1),Summary!$C$11))*('Dvd Calendar'!$AG$2510&lt;=MAX(DATE(Summary!$C$12,12,31),Summary!$C$15))*('Dvd Calendar'!$AG$2510&lt;=Summary!$C$11)=0,"",'Dvd Calendar'!$AG$2510*1000000000+ISNUMBER('Dvd Calendar'!$AG$2511)*100000000+('Dvd Calendar'!$AG$2515='Field Check'!$C$25)*10000000+(N('Dvd Calendar'!$AG$2509)&gt;0)*1000000+27*1000+29))</f>
        <v/>
      </c>
      <c r="AF183" s="41">
        <f>IF(N('Dvd Calendar'!$AH$2510)=0,"",IF(('Dvd Calendar'!$AH$2510&gt;=MIN(DATE(Summary!$C$12,1,1),Summary!$C$11))*('Dvd Calendar'!$AH$2510&lt;=MAX(DATE(Summary!$C$12,12,31),Summary!$C$15))*('Dvd Calendar'!$AH$2510&lt;=Summary!$C$11)=0,"",'Dvd Calendar'!$AH$2510*1000000000+ISNUMBER('Dvd Calendar'!$AH$2511)*100000000+('Dvd Calendar'!$AH$2515='Field Check'!$C$25)*10000000+(N('Dvd Calendar'!$AH$2509)&gt;0)*1000000+27*1000+30))</f>
        <v/>
      </c>
      <c r="AG183" s="41">
        <f>IF(N('Dvd Calendar'!$AI$2510)=0,"",IF(('Dvd Calendar'!$AI$2510&gt;=MIN(DATE(Summary!$C$12,1,1),Summary!$C$11))*('Dvd Calendar'!$AI$2510&lt;=MAX(DATE(Summary!$C$12,12,31),Summary!$C$15))*('Dvd Calendar'!$AI$2510&lt;=Summary!$C$11)=0,"",'Dvd Calendar'!$AI$2510*1000000000+ISNUMBER('Dvd Calendar'!$AI$2511)*100000000+('Dvd Calendar'!$AI$2515='Field Check'!$C$25)*10000000+(N('Dvd Calendar'!$AI$2509)&gt;0)*1000000+27*1000+31))</f>
        <v/>
      </c>
      <c r="AH183" s="41">
        <f>IF(N('Dvd Calendar'!$AJ$2510)=0,"",IF(('Dvd Calendar'!$AJ$2510&gt;=MIN(DATE(Summary!$C$12,1,1),Summary!$C$11))*('Dvd Calendar'!$AJ$2510&lt;=MAX(DATE(Summary!$C$12,12,31),Summary!$C$15))*('Dvd Calendar'!$AJ$2510&lt;=Summary!$C$11)=0,"",'Dvd Calendar'!$AJ$2510*1000000000+ISNUMBER('Dvd Calendar'!$AJ$2511)*100000000+('Dvd Calendar'!$AJ$2515='Field Check'!$C$25)*10000000+(N('Dvd Calendar'!$AJ$2509)&gt;0)*1000000+27*1000+32))</f>
        <v/>
      </c>
      <c r="AI183" s="41">
        <f>IF(N('Dvd Calendar'!$AK$2510)=0,"",IF(('Dvd Calendar'!$AK$2510&gt;=MIN(DATE(Summary!$C$12,1,1),Summary!$C$11))*('Dvd Calendar'!$AK$2510&lt;=MAX(DATE(Summary!$C$12,12,31),Summary!$C$15))*('Dvd Calendar'!$AK$2510&lt;=Summary!$C$11)=0,"",'Dvd Calendar'!$AK$2510*1000000000+ISNUMBER('Dvd Calendar'!$AK$2511)*100000000+('Dvd Calendar'!$AK$2515='Field Check'!$C$25)*10000000+(N('Dvd Calendar'!$AK$2509)&gt;0)*1000000+27*1000+33))</f>
        <v/>
      </c>
      <c r="AJ183" s="41">
        <f>IF(N('Dvd Calendar'!$AL$2510)=0,"",IF(('Dvd Calendar'!$AL$2510&gt;=MIN(DATE(Summary!$C$12,1,1),Summary!$C$11))*('Dvd Calendar'!$AL$2510&lt;=MAX(DATE(Summary!$C$12,12,31),Summary!$C$15))*('Dvd Calendar'!$AL$2510&lt;=Summary!$C$11)=0,"",'Dvd Calendar'!$AL$2510*1000000000+ISNUMBER('Dvd Calendar'!$AL$2511)*100000000+('Dvd Calendar'!$AL$2515='Field Check'!$C$25)*10000000+(N('Dvd Calendar'!$AL$2509)&gt;0)*1000000+27*1000+34))</f>
        <v/>
      </c>
      <c r="AK183" s="41">
        <f>IF(N('Dvd Calendar'!$AM$2510)=0,"",IF(('Dvd Calendar'!$AM$2510&gt;=MIN(DATE(Summary!$C$12,1,1),Summary!$C$11))*('Dvd Calendar'!$AM$2510&lt;=MAX(DATE(Summary!$C$12,12,31),Summary!$C$15))*('Dvd Calendar'!$AM$2510&lt;=Summary!$C$11)=0,"",'Dvd Calendar'!$AM$2510*1000000000+ISNUMBER('Dvd Calendar'!$AM$2511)*100000000+('Dvd Calendar'!$AM$2515='Field Check'!$C$25)*10000000+(N('Dvd Calendar'!$AM$2509)&gt;0)*1000000+27*1000+35))</f>
        <v/>
      </c>
      <c r="AL183" s="41">
        <f>IF(N('Dvd Calendar'!$AN$2510)=0,"",IF(('Dvd Calendar'!$AN$2510&gt;=MIN(DATE(Summary!$C$12,1,1),Summary!$C$11))*('Dvd Calendar'!$AN$2510&lt;=MAX(DATE(Summary!$C$12,12,31),Summary!$C$15))*('Dvd Calendar'!$AN$2510&lt;=Summary!$C$11)=0,"",'Dvd Calendar'!$AN$2510*1000000000+ISNUMBER('Dvd Calendar'!$AN$2511)*100000000+('Dvd Calendar'!$AN$2515='Field Check'!$C$25)*10000000+(N('Dvd Calendar'!$AN$2509)&gt;0)*1000000+27*1000+36))</f>
        <v/>
      </c>
      <c r="AM183" s="41">
        <f>IF(N('Dvd Calendar'!$AO$2510)=0,"",IF(('Dvd Calendar'!$AO$2510&gt;=MIN(DATE(Summary!$C$12,1,1),Summary!$C$11))*('Dvd Calendar'!$AO$2510&lt;=MAX(DATE(Summary!$C$12,12,31),Summary!$C$15))*('Dvd Calendar'!$AO$2510&lt;=Summary!$C$11)=0,"",'Dvd Calendar'!$AO$2510*1000000000+ISNUMBER('Dvd Calendar'!$AO$2511)*100000000+('Dvd Calendar'!$AO$2515='Field Check'!$C$25)*10000000+(N('Dvd Calendar'!$AO$2509)&gt;0)*1000000+27*1000+37))</f>
        <v/>
      </c>
      <c r="AN183" s="41">
        <f>IF(N('Dvd Calendar'!$AP$2510)=0,"",IF(('Dvd Calendar'!$AP$2510&gt;=MIN(DATE(Summary!$C$12,1,1),Summary!$C$11))*('Dvd Calendar'!$AP$2510&lt;=MAX(DATE(Summary!$C$12,12,31),Summary!$C$15))*('Dvd Calendar'!$AP$2510&lt;=Summary!$C$11)=0,"",'Dvd Calendar'!$AP$2510*1000000000+ISNUMBER('Dvd Calendar'!$AP$2511)*100000000+('Dvd Calendar'!$AP$2515='Field Check'!$C$25)*10000000+(N('Dvd Calendar'!$AP$2509)&gt;0)*1000000+27*1000+38))</f>
        <v/>
      </c>
      <c r="AO183" s="41">
        <f>IF(N('Dvd Calendar'!$AQ$2510)=0,"",IF(('Dvd Calendar'!$AQ$2510&gt;=MIN(DATE(Summary!$C$12,1,1),Summary!$C$11))*('Dvd Calendar'!$AQ$2510&lt;=MAX(DATE(Summary!$C$12,12,31),Summary!$C$15))*('Dvd Calendar'!$AQ$2510&lt;=Summary!$C$11)=0,"",'Dvd Calendar'!$AQ$2510*1000000000+ISNUMBER('Dvd Calendar'!$AQ$2511)*100000000+('Dvd Calendar'!$AQ$2515='Field Check'!$C$25)*10000000+(N('Dvd Calendar'!$AQ$2509)&gt;0)*1000000+27*1000+39))</f>
        <v/>
      </c>
      <c r="AP183" s="41">
        <f>IF(N('Dvd Calendar'!$AR$2510)=0,"",IF(('Dvd Calendar'!$AR$2510&gt;=MIN(DATE(Summary!$C$12,1,1),Summary!$C$11))*('Dvd Calendar'!$AR$2510&lt;=MAX(DATE(Summary!$C$12,12,31),Summary!$C$15))*('Dvd Calendar'!$AR$2510&lt;=Summary!$C$11)=0,"",'Dvd Calendar'!$AR$2510*1000000000+ISNUMBER('Dvd Calendar'!$AR$2511)*100000000+('Dvd Calendar'!$AR$2515='Field Check'!$C$25)*10000000+(N('Dvd Calendar'!$AR$2509)&gt;0)*1000000+27*1000+40))</f>
        <v/>
      </c>
      <c r="AQ183" s="41">
        <f>IF(N('Dvd Calendar'!$E$2517)=0,"",IF(('Dvd Calendar'!$E$2517&gt;=MIN(DATE(Summary!$C$12,1,1),Summary!$C$11))*('Dvd Calendar'!$E$2517&lt;=MAX(DATE(Summary!$C$12,12,31),Summary!$C$15))*('Dvd Calendar'!$E$2517&gt;Summary!$C$11)=0,"",'Dvd Calendar'!$E$2517*1000000000+ISNUMBER('Dvd Calendar'!$E$2518)*100000000+('Dvd Calendar'!$E$2522='Field Check'!$C$25)*10000000+(N('Dvd Calendar'!$E$2516)&gt;0)*1000000+27*1000+41))</f>
        <v/>
      </c>
      <c r="AR183" s="41">
        <f>IF(N('Dvd Calendar'!$F$2517)=0,"",IF(('Dvd Calendar'!$F$2517&gt;=MIN(DATE(Summary!$C$12,1,1),Summary!$C$11))*('Dvd Calendar'!$F$2517&lt;=MAX(DATE(Summary!$C$12,12,31),Summary!$C$15))*('Dvd Calendar'!$F$2517&gt;Summary!$C$11)=0,"",'Dvd Calendar'!$F$2517*1000000000+ISNUMBER('Dvd Calendar'!$F$2518)*100000000+('Dvd Calendar'!$F$2522='Field Check'!$C$25)*10000000+(N('Dvd Calendar'!$F$2516)&gt;0)*1000000+27*1000+42))</f>
        <v/>
      </c>
      <c r="AS183" s="41">
        <f>IF(N('Dvd Calendar'!$G$2517)=0,"",IF(('Dvd Calendar'!$G$2517&gt;=MIN(DATE(Summary!$C$12,1,1),Summary!$C$11))*('Dvd Calendar'!$G$2517&lt;=MAX(DATE(Summary!$C$12,12,31),Summary!$C$15))*('Dvd Calendar'!$G$2517&gt;Summary!$C$11)=0,"",'Dvd Calendar'!$G$2517*1000000000+ISNUMBER('Dvd Calendar'!$G$2518)*100000000+('Dvd Calendar'!$G$2522='Field Check'!$C$25)*10000000+(N('Dvd Calendar'!$G$2516)&gt;0)*1000000+27*1000+43))</f>
        <v/>
      </c>
      <c r="AT183" s="41">
        <f>IF(N('Dvd Calendar'!$H$2517)=0,"",IF(('Dvd Calendar'!$H$2517&gt;=MIN(DATE(Summary!$C$12,1,1),Summary!$C$11))*('Dvd Calendar'!$H$2517&lt;=MAX(DATE(Summary!$C$12,12,31),Summary!$C$15))*('Dvd Calendar'!$H$2517&gt;Summary!$C$11)=0,"",'Dvd Calendar'!$H$2517*1000000000+ISNUMBER('Dvd Calendar'!$H$2518)*100000000+('Dvd Calendar'!$H$2522='Field Check'!$C$25)*10000000+(N('Dvd Calendar'!$H$2516)&gt;0)*1000000+27*1000+44))</f>
        <v/>
      </c>
      <c r="AU183" s="41">
        <f>IF(N('Dvd Calendar'!$I$2517)=0,"",IF(('Dvd Calendar'!$I$2517&gt;=MIN(DATE(Summary!$C$12,1,1),Summary!$C$11))*('Dvd Calendar'!$I$2517&lt;=MAX(DATE(Summary!$C$12,12,31),Summary!$C$15))*('Dvd Calendar'!$I$2517&gt;Summary!$C$11)=0,"",'Dvd Calendar'!$I$2517*1000000000+ISNUMBER('Dvd Calendar'!$I$2518)*100000000+('Dvd Calendar'!$I$2522='Field Check'!$C$25)*10000000+(N('Dvd Calendar'!$I$2516)&gt;0)*1000000+27*1000+45))</f>
        <v/>
      </c>
      <c r="AV183" s="41">
        <f>IF(N('Dvd Calendar'!$J$2517)=0,"",IF(('Dvd Calendar'!$J$2517&gt;=MIN(DATE(Summary!$C$12,1,1),Summary!$C$11))*('Dvd Calendar'!$J$2517&lt;=MAX(DATE(Summary!$C$12,12,31),Summary!$C$15))*('Dvd Calendar'!$J$2517&gt;Summary!$C$11)=0,"",'Dvd Calendar'!$J$2517*1000000000+ISNUMBER('Dvd Calendar'!$J$2518)*100000000+('Dvd Calendar'!$J$2522='Field Check'!$C$25)*10000000+(N('Dvd Calendar'!$J$2516)&gt;0)*1000000+27*1000+46))</f>
        <v/>
      </c>
      <c r="AW183" s="41">
        <f>IF(N('Dvd Calendar'!$K$2517)=0,"",IF(('Dvd Calendar'!$K$2517&gt;=MIN(DATE(Summary!$C$12,1,1),Summary!$C$11))*('Dvd Calendar'!$K$2517&lt;=MAX(DATE(Summary!$C$12,12,31),Summary!$C$15))*('Dvd Calendar'!$K$2517&gt;Summary!$C$11)=0,"",'Dvd Calendar'!$K$2517*1000000000+ISNUMBER('Dvd Calendar'!$K$2518)*100000000+('Dvd Calendar'!$K$2522='Field Check'!$C$25)*10000000+(N('Dvd Calendar'!$K$2516)&gt;0)*1000000+27*1000+47))</f>
        <v/>
      </c>
      <c r="AX183" s="41">
        <f>IF(N('Dvd Calendar'!$L$2517)=0,"",IF(('Dvd Calendar'!$L$2517&gt;=MIN(DATE(Summary!$C$12,1,1),Summary!$C$11))*('Dvd Calendar'!$L$2517&lt;=MAX(DATE(Summary!$C$12,12,31),Summary!$C$15))*('Dvd Calendar'!$L$2517&gt;Summary!$C$11)=0,"",'Dvd Calendar'!$L$2517*1000000000+ISNUMBER('Dvd Calendar'!$L$2518)*100000000+('Dvd Calendar'!$L$2522='Field Check'!$C$25)*10000000+(N('Dvd Calendar'!$L$2516)&gt;0)*1000000+27*1000+48))</f>
        <v/>
      </c>
      <c r="AY183" s="41">
        <f>IF(N('Dvd Calendar'!$M$2517)=0,"",IF(('Dvd Calendar'!$M$2517&gt;=MIN(DATE(Summary!$C$12,1,1),Summary!$C$11))*('Dvd Calendar'!$M$2517&lt;=MAX(DATE(Summary!$C$12,12,31),Summary!$C$15))*('Dvd Calendar'!$M$2517&gt;Summary!$C$11)=0,"",'Dvd Calendar'!$M$2517*1000000000+ISNUMBER('Dvd Calendar'!$M$2518)*100000000+('Dvd Calendar'!$M$2522='Field Check'!$C$25)*10000000+(N('Dvd Calendar'!$M$2516)&gt;0)*1000000+27*1000+49))</f>
        <v/>
      </c>
      <c r="AZ183" s="41">
        <f>IF(N('Dvd Calendar'!$N$2517)=0,"",IF(('Dvd Calendar'!$N$2517&gt;=MIN(DATE(Summary!$C$12,1,1),Summary!$C$11))*('Dvd Calendar'!$N$2517&lt;=MAX(DATE(Summary!$C$12,12,31),Summary!$C$15))*('Dvd Calendar'!$N$2517&gt;Summary!$C$11)=0,"",'Dvd Calendar'!$N$2517*1000000000+ISNUMBER('Dvd Calendar'!$N$2518)*100000000+('Dvd Calendar'!$N$2522='Field Check'!$C$25)*10000000+(N('Dvd Calendar'!$N$2516)&gt;0)*1000000+27*1000+50))</f>
        <v/>
      </c>
      <c r="BA183" s="41">
        <f>IF(N('Dvd Calendar'!$O$2517)=0,"",IF(('Dvd Calendar'!$O$2517&gt;=MIN(DATE(Summary!$C$12,1,1),Summary!$C$11))*('Dvd Calendar'!$O$2517&lt;=MAX(DATE(Summary!$C$12,12,31),Summary!$C$15))*('Dvd Calendar'!$O$2517&gt;Summary!$C$11)=0,"",'Dvd Calendar'!$O$2517*1000000000+ISNUMBER('Dvd Calendar'!$O$2518)*100000000+('Dvd Calendar'!$O$2522='Field Check'!$C$25)*10000000+(N('Dvd Calendar'!$O$2516)&gt;0)*1000000+27*1000+51))</f>
        <v/>
      </c>
      <c r="BB183" s="41">
        <f>IF(N('Dvd Calendar'!$P$2517)=0,"",IF(('Dvd Calendar'!$P$2517&gt;=MIN(DATE(Summary!$C$12,1,1),Summary!$C$11))*('Dvd Calendar'!$P$2517&lt;=MAX(DATE(Summary!$C$12,12,31),Summary!$C$15))*('Dvd Calendar'!$P$2517&gt;Summary!$C$11)=0,"",'Dvd Calendar'!$P$2517*1000000000+ISNUMBER('Dvd Calendar'!$P$2518)*100000000+('Dvd Calendar'!$P$2522='Field Check'!$C$25)*10000000+(N('Dvd Calendar'!$P$2516)&gt;0)*1000000+27*1000+52))</f>
        <v/>
      </c>
      <c r="BC183" s="41">
        <f>IF(N('Dvd Calendar'!$Q$2517)=0,"",IF(('Dvd Calendar'!$Q$2517&gt;=MIN(DATE(Summary!$C$12,1,1),Summary!$C$11))*('Dvd Calendar'!$Q$2517&lt;=MAX(DATE(Summary!$C$12,12,31),Summary!$C$15))*('Dvd Calendar'!$Q$2517&gt;Summary!$C$11)=0,"",'Dvd Calendar'!$Q$2517*1000000000+ISNUMBER('Dvd Calendar'!$Q$2518)*100000000+('Dvd Calendar'!$Q$2522='Field Check'!$C$25)*10000000+(N('Dvd Calendar'!$Q$2516)&gt;0)*1000000+27*1000+53))</f>
        <v/>
      </c>
      <c r="BD183" s="41">
        <f>IF(N('Dvd Calendar'!$R$2517)=0,"",IF(('Dvd Calendar'!$R$2517&gt;=MIN(DATE(Summary!$C$12,1,1),Summary!$C$11))*('Dvd Calendar'!$R$2517&lt;=MAX(DATE(Summary!$C$12,12,31),Summary!$C$15))*('Dvd Calendar'!$R$2517&gt;Summary!$C$11)=0,"",'Dvd Calendar'!$R$2517*1000000000+ISNUMBER('Dvd Calendar'!$R$2518)*100000000+('Dvd Calendar'!$R$2522='Field Check'!$C$25)*10000000+(N('Dvd Calendar'!$R$2516)&gt;0)*1000000+27*1000+54))</f>
        <v/>
      </c>
      <c r="BE183" s="41">
        <f>IF(N('Dvd Calendar'!$S$2517)=0,"",IF(('Dvd Calendar'!$S$2517&gt;=MIN(DATE(Summary!$C$12,1,1),Summary!$C$11))*('Dvd Calendar'!$S$2517&lt;=MAX(DATE(Summary!$C$12,12,31),Summary!$C$15))*('Dvd Calendar'!$S$2517&gt;Summary!$C$11)=0,"",'Dvd Calendar'!$S$2517*1000000000+ISNUMBER('Dvd Calendar'!$S$2518)*100000000+('Dvd Calendar'!$S$2522='Field Check'!$C$25)*10000000+(N('Dvd Calendar'!$S$2516)&gt;0)*1000000+27*1000+55))</f>
        <v/>
      </c>
      <c r="BF183" s="41">
        <f>IF(N('Dvd Calendar'!$T$2517)=0,"",IF(('Dvd Calendar'!$T$2517&gt;=MIN(DATE(Summary!$C$12,1,1),Summary!$C$11))*('Dvd Calendar'!$T$2517&lt;=MAX(DATE(Summary!$C$12,12,31),Summary!$C$15))*('Dvd Calendar'!$T$2517&gt;Summary!$C$11)=0,"",'Dvd Calendar'!$T$2517*1000000000+ISNUMBER('Dvd Calendar'!$T$2518)*100000000+('Dvd Calendar'!$T$2522='Field Check'!$C$25)*10000000+(N('Dvd Calendar'!$T$2516)&gt;0)*1000000+27*1000+56))</f>
        <v/>
      </c>
      <c r="BG183" s="41">
        <f>IF(N('Dvd Calendar'!$U$2517)=0,"",IF(('Dvd Calendar'!$U$2517&gt;=MIN(DATE(Summary!$C$12,1,1),Summary!$C$11))*('Dvd Calendar'!$U$2517&lt;=MAX(DATE(Summary!$C$12,12,31),Summary!$C$15))*('Dvd Calendar'!$U$2517&gt;Summary!$C$11)=0,"",'Dvd Calendar'!$U$2517*1000000000+ISNUMBER('Dvd Calendar'!$U$2518)*100000000+('Dvd Calendar'!$U$2522='Field Check'!$C$25)*10000000+(N('Dvd Calendar'!$U$2516)&gt;0)*1000000+27*1000+57))</f>
        <v/>
      </c>
      <c r="BH183" s="41">
        <f>IF(N('Dvd Calendar'!$V$2517)=0,"",IF(('Dvd Calendar'!$V$2517&gt;=MIN(DATE(Summary!$C$12,1,1),Summary!$C$11))*('Dvd Calendar'!$V$2517&lt;=MAX(DATE(Summary!$C$12,12,31),Summary!$C$15))*('Dvd Calendar'!$V$2517&gt;Summary!$C$11)=0,"",'Dvd Calendar'!$V$2517*1000000000+ISNUMBER('Dvd Calendar'!$V$2518)*100000000+('Dvd Calendar'!$V$2522='Field Check'!$C$25)*10000000+(N('Dvd Calendar'!$V$2516)&gt;0)*1000000+27*1000+58))</f>
        <v/>
      </c>
      <c r="BI183" s="41">
        <f>IF(N('Dvd Calendar'!$W$2517)=0,"",IF(('Dvd Calendar'!$W$2517&gt;=MIN(DATE(Summary!$C$12,1,1),Summary!$C$11))*('Dvd Calendar'!$W$2517&lt;=MAX(DATE(Summary!$C$12,12,31),Summary!$C$15))*('Dvd Calendar'!$W$2517&gt;Summary!$C$11)=0,"",'Dvd Calendar'!$W$2517*1000000000+ISNUMBER('Dvd Calendar'!$W$2518)*100000000+('Dvd Calendar'!$W$2522='Field Check'!$C$25)*10000000+(N('Dvd Calendar'!$W$2516)&gt;0)*1000000+27*1000+59))</f>
        <v/>
      </c>
      <c r="BJ183" s="41">
        <f>IF(N('Dvd Calendar'!$X$2517)=0,"",IF(('Dvd Calendar'!$X$2517&gt;=MIN(DATE(Summary!$C$12,1,1),Summary!$C$11))*('Dvd Calendar'!$X$2517&lt;=MAX(DATE(Summary!$C$12,12,31),Summary!$C$15))*('Dvd Calendar'!$X$2517&gt;Summary!$C$11)=0,"",'Dvd Calendar'!$X$2517*1000000000+ISNUMBER('Dvd Calendar'!$X$2518)*100000000+('Dvd Calendar'!$X$2522='Field Check'!$C$25)*10000000+(N('Dvd Calendar'!$X$2516)&gt;0)*1000000+27*1000+60))</f>
        <v/>
      </c>
      <c r="BK183" s="41">
        <f>IF(N('Dvd Calendar'!$Y$2517)=0,"",IF(('Dvd Calendar'!$Y$2517&gt;=MIN(DATE(Summary!$C$12,1,1),Summary!$C$11))*('Dvd Calendar'!$Y$2517&lt;=MAX(DATE(Summary!$C$12,12,31),Summary!$C$15))*('Dvd Calendar'!$Y$2517&gt;Summary!$C$11)=0,"",'Dvd Calendar'!$Y$2517*1000000000+ISNUMBER('Dvd Calendar'!$Y$2518)*100000000+('Dvd Calendar'!$Y$2522='Field Check'!$C$25)*10000000+(N('Dvd Calendar'!$Y$2516)&gt;0)*1000000+27*1000+61))</f>
        <v/>
      </c>
      <c r="BL183" s="41">
        <f>IF(N('Dvd Calendar'!$Z$2517)=0,"",IF(('Dvd Calendar'!$Z$2517&gt;=MIN(DATE(Summary!$C$12,1,1),Summary!$C$11))*('Dvd Calendar'!$Z$2517&lt;=MAX(DATE(Summary!$C$12,12,31),Summary!$C$15))*('Dvd Calendar'!$Z$2517&gt;Summary!$C$11)=0,"",'Dvd Calendar'!$Z$2517*1000000000+ISNUMBER('Dvd Calendar'!$Z$2518)*100000000+('Dvd Calendar'!$Z$2522='Field Check'!$C$25)*10000000+(N('Dvd Calendar'!$Z$2516)&gt;0)*1000000+27*1000+62))</f>
        <v/>
      </c>
      <c r="BM183" s="41">
        <f>IF(N('Dvd Calendar'!$AA$2517)=0,"",IF(('Dvd Calendar'!$AA$2517&gt;=MIN(DATE(Summary!$C$12,1,1),Summary!$C$11))*('Dvd Calendar'!$AA$2517&lt;=MAX(DATE(Summary!$C$12,12,31),Summary!$C$15))*('Dvd Calendar'!$AA$2517&gt;Summary!$C$11)=0,"",'Dvd Calendar'!$AA$2517*1000000000+ISNUMBER('Dvd Calendar'!$AA$2518)*100000000+('Dvd Calendar'!$AA$2522='Field Check'!$C$25)*10000000+(N('Dvd Calendar'!$AA$2516)&gt;0)*1000000+27*1000+63))</f>
        <v/>
      </c>
      <c r="BN183" s="41">
        <f>IF(N('Dvd Calendar'!$AB$2517)=0,"",IF(('Dvd Calendar'!$AB$2517&gt;=MIN(DATE(Summary!$C$12,1,1),Summary!$C$11))*('Dvd Calendar'!$AB$2517&lt;=MAX(DATE(Summary!$C$12,12,31),Summary!$C$15))*('Dvd Calendar'!$AB$2517&gt;Summary!$C$11)=0,"",'Dvd Calendar'!$AB$2517*1000000000+ISNUMBER('Dvd Calendar'!$AB$2518)*100000000+('Dvd Calendar'!$AB$2522='Field Check'!$C$25)*10000000+(N('Dvd Calendar'!$AB$2516)&gt;0)*1000000+27*1000+64))</f>
        <v/>
      </c>
      <c r="BO183" s="41">
        <f>IF(N('Dvd Calendar'!$AC$2517)=0,"",IF(('Dvd Calendar'!$AC$2517&gt;=MIN(DATE(Summary!$C$12,1,1),Summary!$C$11))*('Dvd Calendar'!$AC$2517&lt;=MAX(DATE(Summary!$C$12,12,31),Summary!$C$15))*('Dvd Calendar'!$AC$2517&gt;Summary!$C$11)=0,"",'Dvd Calendar'!$AC$2517*1000000000+ISNUMBER('Dvd Calendar'!$AC$2518)*100000000+('Dvd Calendar'!$AC$2522='Field Check'!$C$25)*10000000+(N('Dvd Calendar'!$AC$2516)&gt;0)*1000000+27*1000+65))</f>
        <v/>
      </c>
      <c r="BQ183" s="85">
        <f>IF(C183="","",IF(ISNUMBER('Dvd Calendar'!$E$2511)=FALSE,"",IF((Summary!$C$13="N")*('Dvd Calendar'!$E$2515='Field Check'!$C$25)&gt;0,"",'Dvd Calendar'!$E$2511)))</f>
        <v/>
      </c>
      <c r="BR183" s="85">
        <f>IF(D183="","",IF(ISNUMBER('Dvd Calendar'!$F$2511)=FALSE,"",IF((Summary!$C$13="N")*('Dvd Calendar'!$F$2515='Field Check'!$C$25)&gt;0,"",'Dvd Calendar'!$F$2511)))</f>
        <v/>
      </c>
      <c r="BS183" s="85">
        <f>IF(E183="","",IF(ISNUMBER('Dvd Calendar'!$G$2511)=FALSE,"",IF((Summary!$C$13="N")*('Dvd Calendar'!$G$2515='Field Check'!$C$25)&gt;0,"",'Dvd Calendar'!$G$2511)))</f>
        <v/>
      </c>
      <c r="BT183" s="85">
        <f>IF(F183="","",IF(ISNUMBER('Dvd Calendar'!$H$2511)=FALSE,"",IF((Summary!$C$13="N")*('Dvd Calendar'!$H$2515='Field Check'!$C$25)&gt;0,"",'Dvd Calendar'!$H$2511)))</f>
        <v/>
      </c>
      <c r="BU183" s="85">
        <f>IF(G183="","",IF(ISNUMBER('Dvd Calendar'!$I$2511)=FALSE,"",IF((Summary!$C$13="N")*('Dvd Calendar'!$I$2515='Field Check'!$C$25)&gt;0,"",'Dvd Calendar'!$I$2511)))</f>
        <v/>
      </c>
      <c r="BV183" s="85">
        <f>IF(H183="","",IF(ISNUMBER('Dvd Calendar'!$J$2511)=FALSE,"",IF((Summary!$C$13="N")*('Dvd Calendar'!$J$2515='Field Check'!$C$25)&gt;0,"",'Dvd Calendar'!$J$2511)))</f>
        <v/>
      </c>
      <c r="BW183" s="85">
        <f>IF(I183="","",IF(ISNUMBER('Dvd Calendar'!$K$2511)=FALSE,"",IF((Summary!$C$13="N")*('Dvd Calendar'!$K$2515='Field Check'!$C$25)&gt;0,"",'Dvd Calendar'!$K$2511)))</f>
        <v/>
      </c>
      <c r="BX183" s="85">
        <f>IF(J183="","",IF(ISNUMBER('Dvd Calendar'!$L$2511)=FALSE,"",IF((Summary!$C$13="N")*('Dvd Calendar'!$L$2515='Field Check'!$C$25)&gt;0,"",'Dvd Calendar'!$L$2511)))</f>
        <v/>
      </c>
      <c r="BY183" s="85">
        <f>IF(K183="","",IF(ISNUMBER('Dvd Calendar'!$M$2511)=FALSE,"",IF((Summary!$C$13="N")*('Dvd Calendar'!$M$2515='Field Check'!$C$25)&gt;0,"",'Dvd Calendar'!$M$2511)))</f>
        <v/>
      </c>
      <c r="BZ183" s="85">
        <f>IF(L183="","",IF(ISNUMBER('Dvd Calendar'!$N$2511)=FALSE,"",IF((Summary!$C$13="N")*('Dvd Calendar'!$N$2515='Field Check'!$C$25)&gt;0,"",'Dvd Calendar'!$N$2511)))</f>
        <v/>
      </c>
      <c r="CA183" s="85">
        <f>IF(M183="","",IF(ISNUMBER('Dvd Calendar'!$O$2511)=FALSE,"",IF((Summary!$C$13="N")*('Dvd Calendar'!$O$2515='Field Check'!$C$25)&gt;0,"",'Dvd Calendar'!$O$2511)))</f>
        <v/>
      </c>
      <c r="CB183" s="85">
        <f>IF(N183="","",IF(ISNUMBER('Dvd Calendar'!$P$2511)=FALSE,"",IF((Summary!$C$13="N")*('Dvd Calendar'!$P$2515='Field Check'!$C$25)&gt;0,"",'Dvd Calendar'!$P$2511)))</f>
        <v/>
      </c>
      <c r="CC183" s="85">
        <f>IF(O183="","",IF(ISNUMBER('Dvd Calendar'!$Q$2511)=FALSE,"",IF((Summary!$C$13="N")*('Dvd Calendar'!$Q$2515='Field Check'!$C$25)&gt;0,"",'Dvd Calendar'!$Q$2511)))</f>
        <v/>
      </c>
      <c r="CD183" s="85">
        <f>IF(P183="","",IF(ISNUMBER('Dvd Calendar'!$R$2511)=FALSE,"",IF((Summary!$C$13="N")*('Dvd Calendar'!$R$2515='Field Check'!$C$25)&gt;0,"",'Dvd Calendar'!$R$2511)))</f>
        <v/>
      </c>
      <c r="CE183" s="85">
        <f>IF(Q183="","",IF(ISNUMBER('Dvd Calendar'!$S$2511)=FALSE,"",IF((Summary!$C$13="N")*('Dvd Calendar'!$S$2515='Field Check'!$C$25)&gt;0,"",'Dvd Calendar'!$S$2511)))</f>
        <v/>
      </c>
      <c r="CF183" s="85">
        <f>IF(R183="","",IF(ISNUMBER('Dvd Calendar'!$T$2511)=FALSE,"",IF((Summary!$C$13="N")*('Dvd Calendar'!$T$2515='Field Check'!$C$25)&gt;0,"",'Dvd Calendar'!$T$2511)))</f>
        <v/>
      </c>
      <c r="CG183" s="85">
        <f>IF(S183="","",IF(ISNUMBER('Dvd Calendar'!$U$2511)=FALSE,"",IF((Summary!$C$13="N")*('Dvd Calendar'!$U$2515='Field Check'!$C$25)&gt;0,"",'Dvd Calendar'!$U$2511)))</f>
        <v/>
      </c>
      <c r="CH183" s="85">
        <f>IF(T183="","",IF(ISNUMBER('Dvd Calendar'!$V$2511)=FALSE,"",IF((Summary!$C$13="N")*('Dvd Calendar'!$V$2515='Field Check'!$C$25)&gt;0,"",'Dvd Calendar'!$V$2511)))</f>
        <v/>
      </c>
      <c r="CI183" s="85">
        <f>IF(U183="","",IF(ISNUMBER('Dvd Calendar'!$W$2511)=FALSE,"",IF((Summary!$C$13="N")*('Dvd Calendar'!$W$2515='Field Check'!$C$25)&gt;0,"",'Dvd Calendar'!$W$2511)))</f>
        <v/>
      </c>
      <c r="CJ183" s="85">
        <f>IF(V183="","",IF(ISNUMBER('Dvd Calendar'!$X$2511)=FALSE,"",IF((Summary!$C$13="N")*('Dvd Calendar'!$X$2515='Field Check'!$C$25)&gt;0,"",'Dvd Calendar'!$X$2511)))</f>
        <v/>
      </c>
      <c r="CK183" s="85">
        <f>IF(W183="","",IF(ISNUMBER('Dvd Calendar'!$Y$2511)=FALSE,"",IF((Summary!$C$13="N")*('Dvd Calendar'!$Y$2515='Field Check'!$C$25)&gt;0,"",'Dvd Calendar'!$Y$2511)))</f>
        <v/>
      </c>
      <c r="CL183" s="85">
        <f>IF(X183="","",IF(ISNUMBER('Dvd Calendar'!$Z$2511)=FALSE,"",IF((Summary!$C$13="N")*('Dvd Calendar'!$Z$2515='Field Check'!$C$25)&gt;0,"",'Dvd Calendar'!$Z$2511)))</f>
        <v/>
      </c>
      <c r="CM183" s="85">
        <f>IF(Y183="","",IF(ISNUMBER('Dvd Calendar'!$AA$2511)=FALSE,"",IF((Summary!$C$13="N")*('Dvd Calendar'!$AA$2515='Field Check'!$C$25)&gt;0,"",'Dvd Calendar'!$AA$2511)))</f>
        <v/>
      </c>
      <c r="CN183" s="85">
        <f>IF(Z183="","",IF(ISNUMBER('Dvd Calendar'!$AB$2511)=FALSE,"",IF((Summary!$C$13="N")*('Dvd Calendar'!$AB$2515='Field Check'!$C$25)&gt;0,"",'Dvd Calendar'!$AB$2511)))</f>
        <v/>
      </c>
      <c r="CO183" s="85">
        <f>IF(AA183="","",IF(ISNUMBER('Dvd Calendar'!$AC$2511)=FALSE,"",IF((Summary!$C$13="N")*('Dvd Calendar'!$AC$2515='Field Check'!$C$25)&gt;0,"",'Dvd Calendar'!$AC$2511)))</f>
        <v/>
      </c>
      <c r="CP183" s="85">
        <f>IF(AB183="","",IF(ISNUMBER('Dvd Calendar'!$AD$2511)=FALSE,"",IF((Summary!$C$13="N")*('Dvd Calendar'!$AD$2515='Field Check'!$C$25)&gt;0,"",'Dvd Calendar'!$AD$2511)))</f>
        <v/>
      </c>
      <c r="CQ183" s="85">
        <f>IF(AC183="","",IF(ISNUMBER('Dvd Calendar'!$AE$2511)=FALSE,"",IF((Summary!$C$13="N")*('Dvd Calendar'!$AE$2515='Field Check'!$C$25)&gt;0,"",'Dvd Calendar'!$AE$2511)))</f>
        <v/>
      </c>
      <c r="CR183" s="85">
        <f>IF(AD183="","",IF(ISNUMBER('Dvd Calendar'!$AF$2511)=FALSE,"",IF((Summary!$C$13="N")*('Dvd Calendar'!$AF$2515='Field Check'!$C$25)&gt;0,"",'Dvd Calendar'!$AF$2511)))</f>
        <v/>
      </c>
      <c r="CS183" s="85">
        <f>IF(AE183="","",IF(ISNUMBER('Dvd Calendar'!$AG$2511)=FALSE,"",IF((Summary!$C$13="N")*('Dvd Calendar'!$AG$2515='Field Check'!$C$25)&gt;0,"",'Dvd Calendar'!$AG$2511)))</f>
        <v/>
      </c>
      <c r="CT183" s="85">
        <f>IF(AF183="","",IF(ISNUMBER('Dvd Calendar'!$AH$2511)=FALSE,"",IF((Summary!$C$13="N")*('Dvd Calendar'!$AH$2515='Field Check'!$C$25)&gt;0,"",'Dvd Calendar'!$AH$2511)))</f>
        <v/>
      </c>
      <c r="CU183" s="85">
        <f>IF(AG183="","",IF(ISNUMBER('Dvd Calendar'!$AI$2511)=FALSE,"",IF((Summary!$C$13="N")*('Dvd Calendar'!$AI$2515='Field Check'!$C$25)&gt;0,"",'Dvd Calendar'!$AI$2511)))</f>
        <v/>
      </c>
      <c r="CV183" s="85">
        <f>IF(AH183="","",IF(ISNUMBER('Dvd Calendar'!$AJ$2511)=FALSE,"",IF((Summary!$C$13="N")*('Dvd Calendar'!$AJ$2515='Field Check'!$C$25)&gt;0,"",'Dvd Calendar'!$AJ$2511)))</f>
        <v/>
      </c>
      <c r="CW183" s="85">
        <f>IF(AI183="","",IF(ISNUMBER('Dvd Calendar'!$AK$2511)=FALSE,"",IF((Summary!$C$13="N")*('Dvd Calendar'!$AK$2515='Field Check'!$C$25)&gt;0,"",'Dvd Calendar'!$AK$2511)))</f>
        <v/>
      </c>
      <c r="CX183" s="85">
        <f>IF(AJ183="","",IF(ISNUMBER('Dvd Calendar'!$AL$2511)=FALSE,"",IF((Summary!$C$13="N")*('Dvd Calendar'!$AL$2515='Field Check'!$C$25)&gt;0,"",'Dvd Calendar'!$AL$2511)))</f>
        <v/>
      </c>
      <c r="CY183" s="85">
        <f>IF(AK183="","",IF(ISNUMBER('Dvd Calendar'!$AM$2511)=FALSE,"",IF((Summary!$C$13="N")*('Dvd Calendar'!$AM$2515='Field Check'!$C$25)&gt;0,"",'Dvd Calendar'!$AM$2511)))</f>
        <v/>
      </c>
      <c r="CZ183" s="85">
        <f>IF(AL183="","",IF(ISNUMBER('Dvd Calendar'!$AN$2511)=FALSE,"",IF((Summary!$C$13="N")*('Dvd Calendar'!$AN$2515='Field Check'!$C$25)&gt;0,"",'Dvd Calendar'!$AN$2511)))</f>
        <v/>
      </c>
      <c r="DA183" s="85">
        <f>IF(AM183="","",IF(ISNUMBER('Dvd Calendar'!$AO$2511)=FALSE,"",IF((Summary!$C$13="N")*('Dvd Calendar'!$AO$2515='Field Check'!$C$25)&gt;0,"",'Dvd Calendar'!$AO$2511)))</f>
        <v/>
      </c>
      <c r="DB183" s="85">
        <f>IF(AN183="","",IF(ISNUMBER('Dvd Calendar'!$AP$2511)=FALSE,"",IF((Summary!$C$13="N")*('Dvd Calendar'!$AP$2515='Field Check'!$C$25)&gt;0,"",'Dvd Calendar'!$AP$2511)))</f>
        <v/>
      </c>
      <c r="DC183" s="85">
        <f>IF(AO183="","",IF(ISNUMBER('Dvd Calendar'!$AQ$2511)=FALSE,"",IF((Summary!$C$13="N")*('Dvd Calendar'!$AQ$2515='Field Check'!$C$25)&gt;0,"",'Dvd Calendar'!$AQ$2511)))</f>
        <v/>
      </c>
      <c r="DD183" s="85">
        <f>IF(AP183="","",IF(ISNUMBER('Dvd Calendar'!$AR$2511)=FALSE,"",IF((Summary!$C$13="N")*('Dvd Calendar'!$AR$2515='Field Check'!$C$25)&gt;0,"",'Dvd Calendar'!$AR$2511)))</f>
        <v/>
      </c>
      <c r="DE183" s="85">
        <f>IF(AQ183="","",IF(ISNUMBER('Dvd Calendar'!$E$2518)=FALSE,"",IF((Summary!$C$13="N")*('Dvd Calendar'!$E$2522='Field Check'!$C$25)&gt;0,"",'Dvd Calendar'!$E$2518)))</f>
        <v/>
      </c>
      <c r="DF183" s="85">
        <f>IF(AR183="","",IF(ISNUMBER('Dvd Calendar'!$F$2518)=FALSE,"",IF((Summary!$C$13="N")*('Dvd Calendar'!$F$2522='Field Check'!$C$25)&gt;0,"",'Dvd Calendar'!$F$2518)))</f>
        <v/>
      </c>
      <c r="DG183" s="85">
        <f>IF(AS183="","",IF(ISNUMBER('Dvd Calendar'!$G$2518)=FALSE,"",IF((Summary!$C$13="N")*('Dvd Calendar'!$G$2522='Field Check'!$C$25)&gt;0,"",'Dvd Calendar'!$G$2518)))</f>
        <v/>
      </c>
      <c r="DH183" s="85">
        <f>IF(AT183="","",IF(ISNUMBER('Dvd Calendar'!$H$2518)=FALSE,"",IF((Summary!$C$13="N")*('Dvd Calendar'!$H$2522='Field Check'!$C$25)&gt;0,"",'Dvd Calendar'!$H$2518)))</f>
        <v/>
      </c>
      <c r="DI183" s="85">
        <f>IF(AU183="","",IF(ISNUMBER('Dvd Calendar'!$I$2518)=FALSE,"",IF((Summary!$C$13="N")*('Dvd Calendar'!$I$2522='Field Check'!$C$25)&gt;0,"",'Dvd Calendar'!$I$2518)))</f>
        <v/>
      </c>
      <c r="DJ183" s="85">
        <f>IF(AV183="","",IF(ISNUMBER('Dvd Calendar'!$J$2518)=FALSE,"",IF((Summary!$C$13="N")*('Dvd Calendar'!$J$2522='Field Check'!$C$25)&gt;0,"",'Dvd Calendar'!$J$2518)))</f>
        <v/>
      </c>
      <c r="DK183" s="85">
        <f>IF(AW183="","",IF(ISNUMBER('Dvd Calendar'!$K$2518)=FALSE,"",IF((Summary!$C$13="N")*('Dvd Calendar'!$K$2522='Field Check'!$C$25)&gt;0,"",'Dvd Calendar'!$K$2518)))</f>
        <v/>
      </c>
      <c r="DL183" s="85">
        <f>IF(AX183="","",IF(ISNUMBER('Dvd Calendar'!$L$2518)=FALSE,"",IF((Summary!$C$13="N")*('Dvd Calendar'!$L$2522='Field Check'!$C$25)&gt;0,"",'Dvd Calendar'!$L$2518)))</f>
        <v/>
      </c>
      <c r="DM183" s="85">
        <f>IF(AY183="","",IF(ISNUMBER('Dvd Calendar'!$M$2518)=FALSE,"",IF((Summary!$C$13="N")*('Dvd Calendar'!$M$2522='Field Check'!$C$25)&gt;0,"",'Dvd Calendar'!$M$2518)))</f>
        <v/>
      </c>
      <c r="DN183" s="85">
        <f>IF(AZ183="","",IF(ISNUMBER('Dvd Calendar'!$N$2518)=FALSE,"",IF((Summary!$C$13="N")*('Dvd Calendar'!$N$2522='Field Check'!$C$25)&gt;0,"",'Dvd Calendar'!$N$2518)))</f>
        <v/>
      </c>
      <c r="DO183" s="85">
        <f>IF(BA183="","",IF(ISNUMBER('Dvd Calendar'!$O$2518)=FALSE,"",IF((Summary!$C$13="N")*('Dvd Calendar'!$O$2522='Field Check'!$C$25)&gt;0,"",'Dvd Calendar'!$O$2518)))</f>
        <v/>
      </c>
      <c r="DP183" s="85">
        <f>IF(BB183="","",IF(ISNUMBER('Dvd Calendar'!$P$2518)=FALSE,"",IF((Summary!$C$13="N")*('Dvd Calendar'!$P$2522='Field Check'!$C$25)&gt;0,"",'Dvd Calendar'!$P$2518)))</f>
        <v/>
      </c>
      <c r="DQ183" s="85">
        <f>IF(BC183="","",IF(ISNUMBER('Dvd Calendar'!$Q$2518)=FALSE,"",IF((Summary!$C$13="N")*('Dvd Calendar'!$Q$2522='Field Check'!$C$25)&gt;0,"",'Dvd Calendar'!$Q$2518)))</f>
        <v/>
      </c>
      <c r="DR183" s="85">
        <f>IF(BD183="","",IF(ISNUMBER('Dvd Calendar'!$R$2518)=FALSE,"",IF((Summary!$C$13="N")*('Dvd Calendar'!$R$2522='Field Check'!$C$25)&gt;0,"",'Dvd Calendar'!$R$2518)))</f>
        <v/>
      </c>
      <c r="DS183" s="85">
        <f>IF(BE183="","",IF(ISNUMBER('Dvd Calendar'!$S$2518)=FALSE,"",IF((Summary!$C$13="N")*('Dvd Calendar'!$S$2522='Field Check'!$C$25)&gt;0,"",'Dvd Calendar'!$S$2518)))</f>
        <v/>
      </c>
      <c r="DT183" s="85">
        <f>IF(BF183="","",IF(ISNUMBER('Dvd Calendar'!$T$2518)=FALSE,"",IF((Summary!$C$13="N")*('Dvd Calendar'!$T$2522='Field Check'!$C$25)&gt;0,"",'Dvd Calendar'!$T$2518)))</f>
        <v/>
      </c>
      <c r="DU183" s="85">
        <f>IF(BG183="","",IF(ISNUMBER('Dvd Calendar'!$U$2518)=FALSE,"",IF((Summary!$C$13="N")*('Dvd Calendar'!$U$2522='Field Check'!$C$25)&gt;0,"",'Dvd Calendar'!$U$2518)))</f>
        <v/>
      </c>
      <c r="DV183" s="85">
        <f>IF(BH183="","",IF(ISNUMBER('Dvd Calendar'!$V$2518)=FALSE,"",IF((Summary!$C$13="N")*('Dvd Calendar'!$V$2522='Field Check'!$C$25)&gt;0,"",'Dvd Calendar'!$V$2518)))</f>
        <v/>
      </c>
      <c r="DW183" s="85">
        <f>IF(BI183="","",IF(ISNUMBER('Dvd Calendar'!$W$2518)=FALSE,"",IF((Summary!$C$13="N")*('Dvd Calendar'!$W$2522='Field Check'!$C$25)&gt;0,"",'Dvd Calendar'!$W$2518)))</f>
        <v/>
      </c>
      <c r="DX183" s="85">
        <f>IF(BJ183="","",IF(ISNUMBER('Dvd Calendar'!$X$2518)=FALSE,"",IF((Summary!$C$13="N")*('Dvd Calendar'!$X$2522='Field Check'!$C$25)&gt;0,"",'Dvd Calendar'!$X$2518)))</f>
        <v/>
      </c>
      <c r="DY183" s="85">
        <f>IF(BK183="","",IF(ISNUMBER('Dvd Calendar'!$Y$2518)=FALSE,"",IF((Summary!$C$13="N")*('Dvd Calendar'!$Y$2522='Field Check'!$C$25)&gt;0,"",'Dvd Calendar'!$Y$2518)))</f>
        <v/>
      </c>
      <c r="DZ183" s="85">
        <f>IF(BL183="","",IF(ISNUMBER('Dvd Calendar'!$Z$2518)=FALSE,"",IF((Summary!$C$13="N")*('Dvd Calendar'!$Z$2522='Field Check'!$C$25)&gt;0,"",'Dvd Calendar'!$Z$2518)))</f>
        <v/>
      </c>
      <c r="EA183" s="85">
        <f>IF(BM183="","",IF(ISNUMBER('Dvd Calendar'!$AA$2518)=FALSE,"",IF((Summary!$C$13="N")*('Dvd Calendar'!$AA$2522='Field Check'!$C$25)&gt;0,"",'Dvd Calendar'!$AA$2518)))</f>
        <v/>
      </c>
      <c r="EB183" s="85">
        <f>IF(BN183="","",IF(ISNUMBER('Dvd Calendar'!$AB$2518)=FALSE,"",IF((Summary!$C$13="N")*('Dvd Calendar'!$AB$2522='Field Check'!$C$25)&gt;0,"",'Dvd Calendar'!$AB$2518)))</f>
        <v/>
      </c>
      <c r="EC183" s="85">
        <f>IF(BO183="","",IF(ISNUMBER('Dvd Calendar'!$AC$2518)=FALSE,"",IF((Summary!$C$13="N")*('Dvd Calendar'!$AC$2522='Field Check'!$C$25)&gt;0,"",'Dvd Calendar'!$AC$2518)))</f>
        <v/>
      </c>
      <c r="EE183" s="85">
        <f>IF(BQ183="","",IFERROR(BQ183*HSCEI!$B$33*HSCEI!$G$33/HSCEI!$B$3,""))</f>
        <v/>
      </c>
      <c r="EF183" s="85">
        <f>IF(BR183="","",IFERROR(BR183*HSCEI!$B$33*HSCEI!$G$33/HSCEI!$B$3,""))</f>
        <v/>
      </c>
      <c r="EG183" s="85">
        <f>IF(BS183="","",IFERROR(BS183*HSCEI!$B$33*HSCEI!$G$33/HSCEI!$B$3,""))</f>
        <v/>
      </c>
      <c r="EH183" s="85">
        <f>IF(BT183="","",IFERROR(BT183*HSCEI!$B$33*HSCEI!$G$33/HSCEI!$B$3,""))</f>
        <v/>
      </c>
      <c r="EI183" s="85">
        <f>IF(BU183="","",IFERROR(BU183*HSCEI!$B$33*HSCEI!$G$33/HSCEI!$B$3,""))</f>
        <v/>
      </c>
      <c r="EJ183" s="85">
        <f>IF(BV183="","",IFERROR(BV183*HSCEI!$B$33*HSCEI!$G$33/HSCEI!$B$3,""))</f>
        <v/>
      </c>
      <c r="EK183" s="85">
        <f>IF(BW183="","",IFERROR(BW183*HSCEI!$B$33*HSCEI!$G$33/HSCEI!$B$3,""))</f>
        <v/>
      </c>
      <c r="EL183" s="85">
        <f>IF(BX183="","",IFERROR(BX183*HSCEI!$B$33*HSCEI!$G$33/HSCEI!$B$3,""))</f>
        <v/>
      </c>
      <c r="EM183" s="85">
        <f>IF(BY183="","",IFERROR(BY183*HSCEI!$B$33*HSCEI!$G$33/HSCEI!$B$3,""))</f>
        <v/>
      </c>
      <c r="EN183" s="85">
        <f>IF(BZ183="","",IFERROR(BZ183*HSCEI!$B$33*HSCEI!$G$33/HSCEI!$B$3,""))</f>
        <v/>
      </c>
      <c r="EO183" s="85">
        <f>IF(CA183="","",IFERROR(CA183*HSCEI!$B$33*HSCEI!$G$33/HSCEI!$B$3,""))</f>
        <v/>
      </c>
      <c r="EP183" s="85">
        <f>IF(CB183="","",IFERROR(CB183*HSCEI!$B$33*HSCEI!$G$33/HSCEI!$B$3,""))</f>
        <v/>
      </c>
      <c r="EQ183" s="85">
        <f>IF(CC183="","",IFERROR(CC183*HSCEI!$B$33*HSCEI!$G$33/HSCEI!$B$3,""))</f>
        <v/>
      </c>
      <c r="ER183" s="85">
        <f>IF(CD183="","",IFERROR(CD183*HSCEI!$B$33*HSCEI!$G$33/HSCEI!$B$3,""))</f>
        <v/>
      </c>
      <c r="ES183" s="85">
        <f>IF(CE183="","",IFERROR(CE183*HSCEI!$B$33*HSCEI!$G$33/HSCEI!$B$3,""))</f>
        <v/>
      </c>
      <c r="ET183" s="85">
        <f>IF(CF183="","",IFERROR(CF183*HSCEI!$B$33*HSCEI!$G$33/HSCEI!$B$3,""))</f>
        <v/>
      </c>
      <c r="EU183" s="85">
        <f>IF(CG183="","",IFERROR(CG183*HSCEI!$B$33*HSCEI!$G$33/HSCEI!$B$3,""))</f>
        <v/>
      </c>
      <c r="EV183" s="85">
        <f>IF(CH183="","",IFERROR(CH183*HSCEI!$B$33*HSCEI!$G$33/HSCEI!$B$3,""))</f>
        <v/>
      </c>
      <c r="EW183" s="85">
        <f>IF(CI183="","",IFERROR(CI183*HSCEI!$B$33*HSCEI!$G$33/HSCEI!$B$3,""))</f>
        <v/>
      </c>
      <c r="EX183" s="85">
        <f>IF(CJ183="","",IFERROR(CJ183*HSCEI!$B$33*HSCEI!$G$33/HSCEI!$B$3,""))</f>
        <v/>
      </c>
      <c r="EY183" s="85">
        <f>IF(CK183="","",IFERROR(CK183*HSCEI!$B$33*HSCEI!$G$33/HSCEI!$B$3,""))</f>
        <v/>
      </c>
      <c r="EZ183" s="85">
        <f>IF(CL183="","",IFERROR(CL183*HSCEI!$B$33*HSCEI!$G$33/HSCEI!$B$3,""))</f>
        <v/>
      </c>
      <c r="FA183" s="85">
        <f>IF(CM183="","",IFERROR(CM183*HSCEI!$B$33*HSCEI!$G$33/HSCEI!$B$3,""))</f>
        <v/>
      </c>
      <c r="FB183" s="85">
        <f>IF(CN183="","",IFERROR(CN183*HSCEI!$B$33*HSCEI!$G$33/HSCEI!$B$3,""))</f>
        <v/>
      </c>
      <c r="FC183" s="85">
        <f>IF(CO183="","",IFERROR(CO183*HSCEI!$B$33*HSCEI!$G$33/HSCEI!$B$3,""))</f>
        <v/>
      </c>
      <c r="FD183" s="85">
        <f>IF(CP183="","",IFERROR(CP183*HSCEI!$B$33*HSCEI!$G$33/HSCEI!$B$3,""))</f>
        <v/>
      </c>
      <c r="FE183" s="85">
        <f>IF(CQ183="","",IFERROR(CQ183*HSCEI!$B$33*HSCEI!$G$33/HSCEI!$B$3,""))</f>
        <v/>
      </c>
      <c r="FF183" s="85">
        <f>IF(CR183="","",IFERROR(CR183*HSCEI!$B$33*HSCEI!$G$33/HSCEI!$B$3,""))</f>
        <v/>
      </c>
      <c r="FG183" s="85">
        <f>IF(CS183="","",IFERROR(CS183*HSCEI!$B$33*HSCEI!$G$33/HSCEI!$B$3,""))</f>
        <v/>
      </c>
      <c r="FH183" s="85">
        <f>IF(CT183="","",IFERROR(CT183*HSCEI!$B$33*HSCEI!$G$33/HSCEI!$B$3,""))</f>
        <v/>
      </c>
      <c r="FI183" s="85">
        <f>IF(CU183="","",IFERROR(CU183*HSCEI!$B$33*HSCEI!$G$33/HSCEI!$B$3,""))</f>
        <v/>
      </c>
      <c r="FJ183" s="85">
        <f>IF(CV183="","",IFERROR(CV183*HSCEI!$B$33*HSCEI!$G$33/HSCEI!$B$3,""))</f>
        <v/>
      </c>
      <c r="FK183" s="85">
        <f>IF(CW183="","",IFERROR(CW183*HSCEI!$B$33*HSCEI!$G$33/HSCEI!$B$3,""))</f>
        <v/>
      </c>
      <c r="FL183" s="85">
        <f>IF(CX183="","",IFERROR(CX183*HSCEI!$B$33*HSCEI!$G$33/HSCEI!$B$3,""))</f>
        <v/>
      </c>
      <c r="FM183" s="85">
        <f>IF(CY183="","",IFERROR(CY183*HSCEI!$B$33*HSCEI!$G$33/HSCEI!$B$3,""))</f>
        <v/>
      </c>
      <c r="FN183" s="85">
        <f>IF(CZ183="","",IFERROR(CZ183*HSCEI!$B$33*HSCEI!$G$33/HSCEI!$B$3,""))</f>
        <v/>
      </c>
      <c r="FO183" s="85">
        <f>IF(DA183="","",IFERROR(DA183*HSCEI!$B$33*HSCEI!$G$33/HSCEI!$B$3,""))</f>
        <v/>
      </c>
      <c r="FP183" s="85">
        <f>IF(DB183="","",IFERROR(DB183*HSCEI!$B$33*HSCEI!$G$33/HSCEI!$B$3,""))</f>
        <v/>
      </c>
      <c r="FQ183" s="85">
        <f>IF(DC183="","",IFERROR(DC183*HSCEI!$B$33*HSCEI!$G$33/HSCEI!$B$3,""))</f>
        <v/>
      </c>
      <c r="FR183" s="85">
        <f>IF(DD183="","",IFERROR(DD183*HSCEI!$B$33*HSCEI!$G$33/HSCEI!$B$3,""))</f>
        <v/>
      </c>
      <c r="FS183" s="85">
        <f>IF(DE183="","",IFERROR(DE183*HSCEI!$B$33*HSCEI!$G$33/HSCEI!$B$3,""))</f>
        <v/>
      </c>
      <c r="FT183" s="85">
        <f>IF(DF183="","",IFERROR(DF183*HSCEI!$B$33*HSCEI!$G$33/HSCEI!$B$3,""))</f>
        <v/>
      </c>
      <c r="FU183" s="85">
        <f>IF(DG183="","",IFERROR(DG183*HSCEI!$B$33*HSCEI!$G$33/HSCEI!$B$3,""))</f>
        <v/>
      </c>
      <c r="FV183" s="85">
        <f>IF(DH183="","",IFERROR(DH183*HSCEI!$B$33*HSCEI!$G$33/HSCEI!$B$3,""))</f>
        <v/>
      </c>
      <c r="FW183" s="85">
        <f>IF(DI183="","",IFERROR(DI183*HSCEI!$B$33*HSCEI!$G$33/HSCEI!$B$3,""))</f>
        <v/>
      </c>
      <c r="FX183" s="85">
        <f>IF(DJ183="","",IFERROR(DJ183*HSCEI!$B$33*HSCEI!$G$33/HSCEI!$B$3,""))</f>
        <v/>
      </c>
      <c r="FY183" s="85">
        <f>IF(DK183="","",IFERROR(DK183*HSCEI!$B$33*HSCEI!$G$33/HSCEI!$B$3,""))</f>
        <v/>
      </c>
      <c r="FZ183" s="85">
        <f>IF(DL183="","",IFERROR(DL183*HSCEI!$B$33*HSCEI!$G$33/HSCEI!$B$3,""))</f>
        <v/>
      </c>
      <c r="GA183" s="85">
        <f>IF(DM183="","",IFERROR(DM183*HSCEI!$B$33*HSCEI!$G$33/HSCEI!$B$3,""))</f>
        <v/>
      </c>
      <c r="GB183" s="85">
        <f>IF(DN183="","",IFERROR(DN183*HSCEI!$B$33*HSCEI!$G$33/HSCEI!$B$3,""))</f>
        <v/>
      </c>
      <c r="GC183" s="85">
        <f>IF(DO183="","",IFERROR(DO183*HSCEI!$B$33*HSCEI!$G$33/HSCEI!$B$3,""))</f>
        <v/>
      </c>
      <c r="GD183" s="85">
        <f>IF(DP183="","",IFERROR(DP183*HSCEI!$B$33*HSCEI!$G$33/HSCEI!$B$3,""))</f>
        <v/>
      </c>
      <c r="GE183" s="85">
        <f>IF(DQ183="","",IFERROR(DQ183*HSCEI!$B$33*HSCEI!$G$33/HSCEI!$B$3,""))</f>
        <v/>
      </c>
      <c r="GF183" s="85">
        <f>IF(DR183="","",IFERROR(DR183*HSCEI!$B$33*HSCEI!$G$33/HSCEI!$B$3,""))</f>
        <v/>
      </c>
      <c r="GG183" s="85">
        <f>IF(DS183="","",IFERROR(DS183*HSCEI!$B$33*HSCEI!$G$33/HSCEI!$B$3,""))</f>
        <v/>
      </c>
      <c r="GH183" s="85">
        <f>IF(DT183="","",IFERROR(DT183*HSCEI!$B$33*HSCEI!$G$33/HSCEI!$B$3,""))</f>
        <v/>
      </c>
      <c r="GI183" s="85">
        <f>IF(DU183="","",IFERROR(DU183*HSCEI!$B$33*HSCEI!$G$33/HSCEI!$B$3,""))</f>
        <v/>
      </c>
      <c r="GJ183" s="85">
        <f>IF(DV183="","",IFERROR(DV183*HSCEI!$B$33*HSCEI!$G$33/HSCEI!$B$3,""))</f>
        <v/>
      </c>
      <c r="GK183" s="85">
        <f>IF(DW183="","",IFERROR(DW183*HSCEI!$B$33*HSCEI!$G$33/HSCEI!$B$3,""))</f>
        <v/>
      </c>
      <c r="GL183" s="85">
        <f>IF(DX183="","",IFERROR(DX183*HSCEI!$B$33*HSCEI!$G$33/HSCEI!$B$3,""))</f>
        <v/>
      </c>
      <c r="GM183" s="85">
        <f>IF(DY183="","",IFERROR(DY183*HSCEI!$B$33*HSCEI!$G$33/HSCEI!$B$3,""))</f>
        <v/>
      </c>
      <c r="GN183" s="85">
        <f>IF(DZ183="","",IFERROR(DZ183*HSCEI!$B$33*HSCEI!$G$33/HSCEI!$B$3,""))</f>
        <v/>
      </c>
      <c r="GO183" s="85">
        <f>IF(EA183="","",IFERROR(EA183*HSCEI!$B$33*HSCEI!$G$33/HSCEI!$B$3,""))</f>
        <v/>
      </c>
      <c r="GP183" s="85">
        <f>IF(EB183="","",IFERROR(EB183*HSCEI!$B$33*HSCEI!$G$33/HSCEI!$B$3,""))</f>
        <v/>
      </c>
      <c r="GQ183" s="85">
        <f>IF(EC183="","",IFERROR(EC183*HSCEI!$B$33*HSCEI!$G$33/HSCEI!$B$3,""))</f>
        <v/>
      </c>
    </row>
    <row r="184">
      <c r="B184" s="2">
        <f>IF(HSCEI!$C$34="","",HSCEI!$C$34)</f>
        <v/>
      </c>
      <c r="C184" s="41">
        <f>IF(N('Dvd Calendar'!$E$2525)=0,"",IF(('Dvd Calendar'!$E$2525&gt;=MIN(DATE(Summary!$C$12,1,1),Summary!$C$11))*('Dvd Calendar'!$E$2525&lt;=MAX(DATE(Summary!$C$12,12,31),Summary!$C$15))*('Dvd Calendar'!$E$2525&lt;=Summary!$C$11)=0,"",'Dvd Calendar'!$E$2525*1000000000+ISNUMBER('Dvd Calendar'!$E$2526)*100000000+('Dvd Calendar'!$E$2530='Field Check'!$C$25)*10000000+(N('Dvd Calendar'!$E$2524)&gt;0)*1000000+28*1000+1))</f>
        <v/>
      </c>
      <c r="D184" s="41">
        <f>IF(N('Dvd Calendar'!$F$2525)=0,"",IF(('Dvd Calendar'!$F$2525&gt;=MIN(DATE(Summary!$C$12,1,1),Summary!$C$11))*('Dvd Calendar'!$F$2525&lt;=MAX(DATE(Summary!$C$12,12,31),Summary!$C$15))*('Dvd Calendar'!$F$2525&lt;=Summary!$C$11)=0,"",'Dvd Calendar'!$F$2525*1000000000+ISNUMBER('Dvd Calendar'!$F$2526)*100000000+('Dvd Calendar'!$F$2530='Field Check'!$C$25)*10000000+(N('Dvd Calendar'!$F$2524)&gt;0)*1000000+28*1000+2))</f>
        <v/>
      </c>
      <c r="E184" s="41">
        <f>IF(N('Dvd Calendar'!$G$2525)=0,"",IF(('Dvd Calendar'!$G$2525&gt;=MIN(DATE(Summary!$C$12,1,1),Summary!$C$11))*('Dvd Calendar'!$G$2525&lt;=MAX(DATE(Summary!$C$12,12,31),Summary!$C$15))*('Dvd Calendar'!$G$2525&lt;=Summary!$C$11)=0,"",'Dvd Calendar'!$G$2525*1000000000+ISNUMBER('Dvd Calendar'!$G$2526)*100000000+('Dvd Calendar'!$G$2530='Field Check'!$C$25)*10000000+(N('Dvd Calendar'!$G$2524)&gt;0)*1000000+28*1000+3))</f>
        <v/>
      </c>
      <c r="F184" s="41">
        <f>IF(N('Dvd Calendar'!$H$2525)=0,"",IF(('Dvd Calendar'!$H$2525&gt;=MIN(DATE(Summary!$C$12,1,1),Summary!$C$11))*('Dvd Calendar'!$H$2525&lt;=MAX(DATE(Summary!$C$12,12,31),Summary!$C$15))*('Dvd Calendar'!$H$2525&lt;=Summary!$C$11)=0,"",'Dvd Calendar'!$H$2525*1000000000+ISNUMBER('Dvd Calendar'!$H$2526)*100000000+('Dvd Calendar'!$H$2530='Field Check'!$C$25)*10000000+(N('Dvd Calendar'!$H$2524)&gt;0)*1000000+28*1000+4))</f>
        <v/>
      </c>
      <c r="G184" s="41">
        <f>IF(N('Dvd Calendar'!$I$2525)=0,"",IF(('Dvd Calendar'!$I$2525&gt;=MIN(DATE(Summary!$C$12,1,1),Summary!$C$11))*('Dvd Calendar'!$I$2525&lt;=MAX(DATE(Summary!$C$12,12,31),Summary!$C$15))*('Dvd Calendar'!$I$2525&lt;=Summary!$C$11)=0,"",'Dvd Calendar'!$I$2525*1000000000+ISNUMBER('Dvd Calendar'!$I$2526)*100000000+('Dvd Calendar'!$I$2530='Field Check'!$C$25)*10000000+(N('Dvd Calendar'!$I$2524)&gt;0)*1000000+28*1000+5))</f>
        <v/>
      </c>
      <c r="H184" s="41">
        <f>IF(N('Dvd Calendar'!$J$2525)=0,"",IF(('Dvd Calendar'!$J$2525&gt;=MIN(DATE(Summary!$C$12,1,1),Summary!$C$11))*('Dvd Calendar'!$J$2525&lt;=MAX(DATE(Summary!$C$12,12,31),Summary!$C$15))*('Dvd Calendar'!$J$2525&lt;=Summary!$C$11)=0,"",'Dvd Calendar'!$J$2525*1000000000+ISNUMBER('Dvd Calendar'!$J$2526)*100000000+('Dvd Calendar'!$J$2530='Field Check'!$C$25)*10000000+(N('Dvd Calendar'!$J$2524)&gt;0)*1000000+28*1000+6))</f>
        <v/>
      </c>
      <c r="I184" s="41">
        <f>IF(N('Dvd Calendar'!$K$2525)=0,"",IF(('Dvd Calendar'!$K$2525&gt;=MIN(DATE(Summary!$C$12,1,1),Summary!$C$11))*('Dvd Calendar'!$K$2525&lt;=MAX(DATE(Summary!$C$12,12,31),Summary!$C$15))*('Dvd Calendar'!$K$2525&lt;=Summary!$C$11)=0,"",'Dvd Calendar'!$K$2525*1000000000+ISNUMBER('Dvd Calendar'!$K$2526)*100000000+('Dvd Calendar'!$K$2530='Field Check'!$C$25)*10000000+(N('Dvd Calendar'!$K$2524)&gt;0)*1000000+28*1000+7))</f>
        <v/>
      </c>
      <c r="J184" s="41">
        <f>IF(N('Dvd Calendar'!$L$2525)=0,"",IF(('Dvd Calendar'!$L$2525&gt;=MIN(DATE(Summary!$C$12,1,1),Summary!$C$11))*('Dvd Calendar'!$L$2525&lt;=MAX(DATE(Summary!$C$12,12,31),Summary!$C$15))*('Dvd Calendar'!$L$2525&lt;=Summary!$C$11)=0,"",'Dvd Calendar'!$L$2525*1000000000+ISNUMBER('Dvd Calendar'!$L$2526)*100000000+('Dvd Calendar'!$L$2530='Field Check'!$C$25)*10000000+(N('Dvd Calendar'!$L$2524)&gt;0)*1000000+28*1000+8))</f>
        <v/>
      </c>
      <c r="K184" s="41">
        <f>IF(N('Dvd Calendar'!$M$2525)=0,"",IF(('Dvd Calendar'!$M$2525&gt;=MIN(DATE(Summary!$C$12,1,1),Summary!$C$11))*('Dvd Calendar'!$M$2525&lt;=MAX(DATE(Summary!$C$12,12,31),Summary!$C$15))*('Dvd Calendar'!$M$2525&lt;=Summary!$C$11)=0,"",'Dvd Calendar'!$M$2525*1000000000+ISNUMBER('Dvd Calendar'!$M$2526)*100000000+('Dvd Calendar'!$M$2530='Field Check'!$C$25)*10000000+(N('Dvd Calendar'!$M$2524)&gt;0)*1000000+28*1000+9))</f>
        <v/>
      </c>
      <c r="L184" s="41">
        <f>IF(N('Dvd Calendar'!$N$2525)=0,"",IF(('Dvd Calendar'!$N$2525&gt;=MIN(DATE(Summary!$C$12,1,1),Summary!$C$11))*('Dvd Calendar'!$N$2525&lt;=MAX(DATE(Summary!$C$12,12,31),Summary!$C$15))*('Dvd Calendar'!$N$2525&lt;=Summary!$C$11)=0,"",'Dvd Calendar'!$N$2525*1000000000+ISNUMBER('Dvd Calendar'!$N$2526)*100000000+('Dvd Calendar'!$N$2530='Field Check'!$C$25)*10000000+(N('Dvd Calendar'!$N$2524)&gt;0)*1000000+28*1000+10))</f>
        <v/>
      </c>
      <c r="M184" s="41">
        <f>IF(N('Dvd Calendar'!$O$2525)=0,"",IF(('Dvd Calendar'!$O$2525&gt;=MIN(DATE(Summary!$C$12,1,1),Summary!$C$11))*('Dvd Calendar'!$O$2525&lt;=MAX(DATE(Summary!$C$12,12,31),Summary!$C$15))*('Dvd Calendar'!$O$2525&lt;=Summary!$C$11)=0,"",'Dvd Calendar'!$O$2525*1000000000+ISNUMBER('Dvd Calendar'!$O$2526)*100000000+('Dvd Calendar'!$O$2530='Field Check'!$C$25)*10000000+(N('Dvd Calendar'!$O$2524)&gt;0)*1000000+28*1000+11))</f>
        <v/>
      </c>
      <c r="N184" s="41">
        <f>IF(N('Dvd Calendar'!$P$2525)=0,"",IF(('Dvd Calendar'!$P$2525&gt;=MIN(DATE(Summary!$C$12,1,1),Summary!$C$11))*('Dvd Calendar'!$P$2525&lt;=MAX(DATE(Summary!$C$12,12,31),Summary!$C$15))*('Dvd Calendar'!$P$2525&lt;=Summary!$C$11)=0,"",'Dvd Calendar'!$P$2525*1000000000+ISNUMBER('Dvd Calendar'!$P$2526)*100000000+('Dvd Calendar'!$P$2530='Field Check'!$C$25)*10000000+(N('Dvd Calendar'!$P$2524)&gt;0)*1000000+28*1000+12))</f>
        <v/>
      </c>
      <c r="O184" s="41">
        <f>IF(N('Dvd Calendar'!$Q$2525)=0,"",IF(('Dvd Calendar'!$Q$2525&gt;=MIN(DATE(Summary!$C$12,1,1),Summary!$C$11))*('Dvd Calendar'!$Q$2525&lt;=MAX(DATE(Summary!$C$12,12,31),Summary!$C$15))*('Dvd Calendar'!$Q$2525&lt;=Summary!$C$11)=0,"",'Dvd Calendar'!$Q$2525*1000000000+ISNUMBER('Dvd Calendar'!$Q$2526)*100000000+('Dvd Calendar'!$Q$2530='Field Check'!$C$25)*10000000+(N('Dvd Calendar'!$Q$2524)&gt;0)*1000000+28*1000+13))</f>
        <v/>
      </c>
      <c r="P184" s="41">
        <f>IF(N('Dvd Calendar'!$R$2525)=0,"",IF(('Dvd Calendar'!$R$2525&gt;=MIN(DATE(Summary!$C$12,1,1),Summary!$C$11))*('Dvd Calendar'!$R$2525&lt;=MAX(DATE(Summary!$C$12,12,31),Summary!$C$15))*('Dvd Calendar'!$R$2525&lt;=Summary!$C$11)=0,"",'Dvd Calendar'!$R$2525*1000000000+ISNUMBER('Dvd Calendar'!$R$2526)*100000000+('Dvd Calendar'!$R$2530='Field Check'!$C$25)*10000000+(N('Dvd Calendar'!$R$2524)&gt;0)*1000000+28*1000+14))</f>
        <v/>
      </c>
      <c r="Q184" s="41">
        <f>IF(N('Dvd Calendar'!$S$2525)=0,"",IF(('Dvd Calendar'!$S$2525&gt;=MIN(DATE(Summary!$C$12,1,1),Summary!$C$11))*('Dvd Calendar'!$S$2525&lt;=MAX(DATE(Summary!$C$12,12,31),Summary!$C$15))*('Dvd Calendar'!$S$2525&lt;=Summary!$C$11)=0,"",'Dvd Calendar'!$S$2525*1000000000+ISNUMBER('Dvd Calendar'!$S$2526)*100000000+('Dvd Calendar'!$S$2530='Field Check'!$C$25)*10000000+(N('Dvd Calendar'!$S$2524)&gt;0)*1000000+28*1000+15))</f>
        <v/>
      </c>
      <c r="R184" s="41">
        <f>IF(N('Dvd Calendar'!$T$2525)=0,"",IF(('Dvd Calendar'!$T$2525&gt;=MIN(DATE(Summary!$C$12,1,1),Summary!$C$11))*('Dvd Calendar'!$T$2525&lt;=MAX(DATE(Summary!$C$12,12,31),Summary!$C$15))*('Dvd Calendar'!$T$2525&lt;=Summary!$C$11)=0,"",'Dvd Calendar'!$T$2525*1000000000+ISNUMBER('Dvd Calendar'!$T$2526)*100000000+('Dvd Calendar'!$T$2530='Field Check'!$C$25)*10000000+(N('Dvd Calendar'!$T$2524)&gt;0)*1000000+28*1000+16))</f>
        <v/>
      </c>
      <c r="S184" s="41">
        <f>IF(N('Dvd Calendar'!$U$2525)=0,"",IF(('Dvd Calendar'!$U$2525&gt;=MIN(DATE(Summary!$C$12,1,1),Summary!$C$11))*('Dvd Calendar'!$U$2525&lt;=MAX(DATE(Summary!$C$12,12,31),Summary!$C$15))*('Dvd Calendar'!$U$2525&lt;=Summary!$C$11)=0,"",'Dvd Calendar'!$U$2525*1000000000+ISNUMBER('Dvd Calendar'!$U$2526)*100000000+('Dvd Calendar'!$U$2530='Field Check'!$C$25)*10000000+(N('Dvd Calendar'!$U$2524)&gt;0)*1000000+28*1000+17))</f>
        <v/>
      </c>
      <c r="T184" s="41">
        <f>IF(N('Dvd Calendar'!$V$2525)=0,"",IF(('Dvd Calendar'!$V$2525&gt;=MIN(DATE(Summary!$C$12,1,1),Summary!$C$11))*('Dvd Calendar'!$V$2525&lt;=MAX(DATE(Summary!$C$12,12,31),Summary!$C$15))*('Dvd Calendar'!$V$2525&lt;=Summary!$C$11)=0,"",'Dvd Calendar'!$V$2525*1000000000+ISNUMBER('Dvd Calendar'!$V$2526)*100000000+('Dvd Calendar'!$V$2530='Field Check'!$C$25)*10000000+(N('Dvd Calendar'!$V$2524)&gt;0)*1000000+28*1000+18))</f>
        <v/>
      </c>
      <c r="U184" s="41">
        <f>IF(N('Dvd Calendar'!$W$2525)=0,"",IF(('Dvd Calendar'!$W$2525&gt;=MIN(DATE(Summary!$C$12,1,1),Summary!$C$11))*('Dvd Calendar'!$W$2525&lt;=MAX(DATE(Summary!$C$12,12,31),Summary!$C$15))*('Dvd Calendar'!$W$2525&lt;=Summary!$C$11)=0,"",'Dvd Calendar'!$W$2525*1000000000+ISNUMBER('Dvd Calendar'!$W$2526)*100000000+('Dvd Calendar'!$W$2530='Field Check'!$C$25)*10000000+(N('Dvd Calendar'!$W$2524)&gt;0)*1000000+28*1000+19))</f>
        <v/>
      </c>
      <c r="V184" s="41">
        <f>IF(N('Dvd Calendar'!$X$2525)=0,"",IF(('Dvd Calendar'!$X$2525&gt;=MIN(DATE(Summary!$C$12,1,1),Summary!$C$11))*('Dvd Calendar'!$X$2525&lt;=MAX(DATE(Summary!$C$12,12,31),Summary!$C$15))*('Dvd Calendar'!$X$2525&lt;=Summary!$C$11)=0,"",'Dvd Calendar'!$X$2525*1000000000+ISNUMBER('Dvd Calendar'!$X$2526)*100000000+('Dvd Calendar'!$X$2530='Field Check'!$C$25)*10000000+(N('Dvd Calendar'!$X$2524)&gt;0)*1000000+28*1000+20))</f>
        <v/>
      </c>
      <c r="W184" s="41">
        <f>IF(N('Dvd Calendar'!$Y$2525)=0,"",IF(('Dvd Calendar'!$Y$2525&gt;=MIN(DATE(Summary!$C$12,1,1),Summary!$C$11))*('Dvd Calendar'!$Y$2525&lt;=MAX(DATE(Summary!$C$12,12,31),Summary!$C$15))*('Dvd Calendar'!$Y$2525&lt;=Summary!$C$11)=0,"",'Dvd Calendar'!$Y$2525*1000000000+ISNUMBER('Dvd Calendar'!$Y$2526)*100000000+('Dvd Calendar'!$Y$2530='Field Check'!$C$25)*10000000+(N('Dvd Calendar'!$Y$2524)&gt;0)*1000000+28*1000+21))</f>
        <v/>
      </c>
      <c r="X184" s="41">
        <f>IF(N('Dvd Calendar'!$Z$2525)=0,"",IF(('Dvd Calendar'!$Z$2525&gt;=MIN(DATE(Summary!$C$12,1,1),Summary!$C$11))*('Dvd Calendar'!$Z$2525&lt;=MAX(DATE(Summary!$C$12,12,31),Summary!$C$15))*('Dvd Calendar'!$Z$2525&lt;=Summary!$C$11)=0,"",'Dvd Calendar'!$Z$2525*1000000000+ISNUMBER('Dvd Calendar'!$Z$2526)*100000000+('Dvd Calendar'!$Z$2530='Field Check'!$C$25)*10000000+(N('Dvd Calendar'!$Z$2524)&gt;0)*1000000+28*1000+22))</f>
        <v/>
      </c>
      <c r="Y184" s="41">
        <f>IF(N('Dvd Calendar'!$AA$2525)=0,"",IF(('Dvd Calendar'!$AA$2525&gt;=MIN(DATE(Summary!$C$12,1,1),Summary!$C$11))*('Dvd Calendar'!$AA$2525&lt;=MAX(DATE(Summary!$C$12,12,31),Summary!$C$15))*('Dvd Calendar'!$AA$2525&lt;=Summary!$C$11)=0,"",'Dvd Calendar'!$AA$2525*1000000000+ISNUMBER('Dvd Calendar'!$AA$2526)*100000000+('Dvd Calendar'!$AA$2530='Field Check'!$C$25)*10000000+(N('Dvd Calendar'!$AA$2524)&gt;0)*1000000+28*1000+23))</f>
        <v/>
      </c>
      <c r="Z184" s="41">
        <f>IF(N('Dvd Calendar'!$AB$2525)=0,"",IF(('Dvd Calendar'!$AB$2525&gt;=MIN(DATE(Summary!$C$12,1,1),Summary!$C$11))*('Dvd Calendar'!$AB$2525&lt;=MAX(DATE(Summary!$C$12,12,31),Summary!$C$15))*('Dvd Calendar'!$AB$2525&lt;=Summary!$C$11)=0,"",'Dvd Calendar'!$AB$2525*1000000000+ISNUMBER('Dvd Calendar'!$AB$2526)*100000000+('Dvd Calendar'!$AB$2530='Field Check'!$C$25)*10000000+(N('Dvd Calendar'!$AB$2524)&gt;0)*1000000+28*1000+24))</f>
        <v/>
      </c>
      <c r="AA184" s="41">
        <f>IF(N('Dvd Calendar'!$AC$2525)=0,"",IF(('Dvd Calendar'!$AC$2525&gt;=MIN(DATE(Summary!$C$12,1,1),Summary!$C$11))*('Dvd Calendar'!$AC$2525&lt;=MAX(DATE(Summary!$C$12,12,31),Summary!$C$15))*('Dvd Calendar'!$AC$2525&lt;=Summary!$C$11)=0,"",'Dvd Calendar'!$AC$2525*1000000000+ISNUMBER('Dvd Calendar'!$AC$2526)*100000000+('Dvd Calendar'!$AC$2530='Field Check'!$C$25)*10000000+(N('Dvd Calendar'!$AC$2524)&gt;0)*1000000+28*1000+25))</f>
        <v/>
      </c>
      <c r="AB184" s="41">
        <f>IF(N('Dvd Calendar'!$AD$2525)=0,"",IF(('Dvd Calendar'!$AD$2525&gt;=MIN(DATE(Summary!$C$12,1,1),Summary!$C$11))*('Dvd Calendar'!$AD$2525&lt;=MAX(DATE(Summary!$C$12,12,31),Summary!$C$15))*('Dvd Calendar'!$AD$2525&lt;=Summary!$C$11)=0,"",'Dvd Calendar'!$AD$2525*1000000000+ISNUMBER('Dvd Calendar'!$AD$2526)*100000000+('Dvd Calendar'!$AD$2530='Field Check'!$C$25)*10000000+(N('Dvd Calendar'!$AD$2524)&gt;0)*1000000+28*1000+26))</f>
        <v/>
      </c>
      <c r="AC184" s="41">
        <f>IF(N('Dvd Calendar'!$AE$2525)=0,"",IF(('Dvd Calendar'!$AE$2525&gt;=MIN(DATE(Summary!$C$12,1,1),Summary!$C$11))*('Dvd Calendar'!$AE$2525&lt;=MAX(DATE(Summary!$C$12,12,31),Summary!$C$15))*('Dvd Calendar'!$AE$2525&lt;=Summary!$C$11)=0,"",'Dvd Calendar'!$AE$2525*1000000000+ISNUMBER('Dvd Calendar'!$AE$2526)*100000000+('Dvd Calendar'!$AE$2530='Field Check'!$C$25)*10000000+(N('Dvd Calendar'!$AE$2524)&gt;0)*1000000+28*1000+27))</f>
        <v/>
      </c>
      <c r="AD184" s="41">
        <f>IF(N('Dvd Calendar'!$AF$2525)=0,"",IF(('Dvd Calendar'!$AF$2525&gt;=MIN(DATE(Summary!$C$12,1,1),Summary!$C$11))*('Dvd Calendar'!$AF$2525&lt;=MAX(DATE(Summary!$C$12,12,31),Summary!$C$15))*('Dvd Calendar'!$AF$2525&lt;=Summary!$C$11)=0,"",'Dvd Calendar'!$AF$2525*1000000000+ISNUMBER('Dvd Calendar'!$AF$2526)*100000000+('Dvd Calendar'!$AF$2530='Field Check'!$C$25)*10000000+(N('Dvd Calendar'!$AF$2524)&gt;0)*1000000+28*1000+28))</f>
        <v/>
      </c>
      <c r="AE184" s="41">
        <f>IF(N('Dvd Calendar'!$AG$2525)=0,"",IF(('Dvd Calendar'!$AG$2525&gt;=MIN(DATE(Summary!$C$12,1,1),Summary!$C$11))*('Dvd Calendar'!$AG$2525&lt;=MAX(DATE(Summary!$C$12,12,31),Summary!$C$15))*('Dvd Calendar'!$AG$2525&lt;=Summary!$C$11)=0,"",'Dvd Calendar'!$AG$2525*1000000000+ISNUMBER('Dvd Calendar'!$AG$2526)*100000000+('Dvd Calendar'!$AG$2530='Field Check'!$C$25)*10000000+(N('Dvd Calendar'!$AG$2524)&gt;0)*1000000+28*1000+29))</f>
        <v/>
      </c>
      <c r="AF184" s="41">
        <f>IF(N('Dvd Calendar'!$AH$2525)=0,"",IF(('Dvd Calendar'!$AH$2525&gt;=MIN(DATE(Summary!$C$12,1,1),Summary!$C$11))*('Dvd Calendar'!$AH$2525&lt;=MAX(DATE(Summary!$C$12,12,31),Summary!$C$15))*('Dvd Calendar'!$AH$2525&lt;=Summary!$C$11)=0,"",'Dvd Calendar'!$AH$2525*1000000000+ISNUMBER('Dvd Calendar'!$AH$2526)*100000000+('Dvd Calendar'!$AH$2530='Field Check'!$C$25)*10000000+(N('Dvd Calendar'!$AH$2524)&gt;0)*1000000+28*1000+30))</f>
        <v/>
      </c>
      <c r="AG184" s="41">
        <f>IF(N('Dvd Calendar'!$AI$2525)=0,"",IF(('Dvd Calendar'!$AI$2525&gt;=MIN(DATE(Summary!$C$12,1,1),Summary!$C$11))*('Dvd Calendar'!$AI$2525&lt;=MAX(DATE(Summary!$C$12,12,31),Summary!$C$15))*('Dvd Calendar'!$AI$2525&lt;=Summary!$C$11)=0,"",'Dvd Calendar'!$AI$2525*1000000000+ISNUMBER('Dvd Calendar'!$AI$2526)*100000000+('Dvd Calendar'!$AI$2530='Field Check'!$C$25)*10000000+(N('Dvd Calendar'!$AI$2524)&gt;0)*1000000+28*1000+31))</f>
        <v/>
      </c>
      <c r="AH184" s="41">
        <f>IF(N('Dvd Calendar'!$AJ$2525)=0,"",IF(('Dvd Calendar'!$AJ$2525&gt;=MIN(DATE(Summary!$C$12,1,1),Summary!$C$11))*('Dvd Calendar'!$AJ$2525&lt;=MAX(DATE(Summary!$C$12,12,31),Summary!$C$15))*('Dvd Calendar'!$AJ$2525&lt;=Summary!$C$11)=0,"",'Dvd Calendar'!$AJ$2525*1000000000+ISNUMBER('Dvd Calendar'!$AJ$2526)*100000000+('Dvd Calendar'!$AJ$2530='Field Check'!$C$25)*10000000+(N('Dvd Calendar'!$AJ$2524)&gt;0)*1000000+28*1000+32))</f>
        <v/>
      </c>
      <c r="AI184" s="41">
        <f>IF(N('Dvd Calendar'!$AK$2525)=0,"",IF(('Dvd Calendar'!$AK$2525&gt;=MIN(DATE(Summary!$C$12,1,1),Summary!$C$11))*('Dvd Calendar'!$AK$2525&lt;=MAX(DATE(Summary!$C$12,12,31),Summary!$C$15))*('Dvd Calendar'!$AK$2525&lt;=Summary!$C$11)=0,"",'Dvd Calendar'!$AK$2525*1000000000+ISNUMBER('Dvd Calendar'!$AK$2526)*100000000+('Dvd Calendar'!$AK$2530='Field Check'!$C$25)*10000000+(N('Dvd Calendar'!$AK$2524)&gt;0)*1000000+28*1000+33))</f>
        <v/>
      </c>
      <c r="AJ184" s="41">
        <f>IF(N('Dvd Calendar'!$AL$2525)=0,"",IF(('Dvd Calendar'!$AL$2525&gt;=MIN(DATE(Summary!$C$12,1,1),Summary!$C$11))*('Dvd Calendar'!$AL$2525&lt;=MAX(DATE(Summary!$C$12,12,31),Summary!$C$15))*('Dvd Calendar'!$AL$2525&lt;=Summary!$C$11)=0,"",'Dvd Calendar'!$AL$2525*1000000000+ISNUMBER('Dvd Calendar'!$AL$2526)*100000000+('Dvd Calendar'!$AL$2530='Field Check'!$C$25)*10000000+(N('Dvd Calendar'!$AL$2524)&gt;0)*1000000+28*1000+34))</f>
        <v/>
      </c>
      <c r="AK184" s="41">
        <f>IF(N('Dvd Calendar'!$AM$2525)=0,"",IF(('Dvd Calendar'!$AM$2525&gt;=MIN(DATE(Summary!$C$12,1,1),Summary!$C$11))*('Dvd Calendar'!$AM$2525&lt;=MAX(DATE(Summary!$C$12,12,31),Summary!$C$15))*('Dvd Calendar'!$AM$2525&lt;=Summary!$C$11)=0,"",'Dvd Calendar'!$AM$2525*1000000000+ISNUMBER('Dvd Calendar'!$AM$2526)*100000000+('Dvd Calendar'!$AM$2530='Field Check'!$C$25)*10000000+(N('Dvd Calendar'!$AM$2524)&gt;0)*1000000+28*1000+35))</f>
        <v/>
      </c>
      <c r="AL184" s="41">
        <f>IF(N('Dvd Calendar'!$AN$2525)=0,"",IF(('Dvd Calendar'!$AN$2525&gt;=MIN(DATE(Summary!$C$12,1,1),Summary!$C$11))*('Dvd Calendar'!$AN$2525&lt;=MAX(DATE(Summary!$C$12,12,31),Summary!$C$15))*('Dvd Calendar'!$AN$2525&lt;=Summary!$C$11)=0,"",'Dvd Calendar'!$AN$2525*1000000000+ISNUMBER('Dvd Calendar'!$AN$2526)*100000000+('Dvd Calendar'!$AN$2530='Field Check'!$C$25)*10000000+(N('Dvd Calendar'!$AN$2524)&gt;0)*1000000+28*1000+36))</f>
        <v/>
      </c>
      <c r="AM184" s="41">
        <f>IF(N('Dvd Calendar'!$AO$2525)=0,"",IF(('Dvd Calendar'!$AO$2525&gt;=MIN(DATE(Summary!$C$12,1,1),Summary!$C$11))*('Dvd Calendar'!$AO$2525&lt;=MAX(DATE(Summary!$C$12,12,31),Summary!$C$15))*('Dvd Calendar'!$AO$2525&lt;=Summary!$C$11)=0,"",'Dvd Calendar'!$AO$2525*1000000000+ISNUMBER('Dvd Calendar'!$AO$2526)*100000000+('Dvd Calendar'!$AO$2530='Field Check'!$C$25)*10000000+(N('Dvd Calendar'!$AO$2524)&gt;0)*1000000+28*1000+37))</f>
        <v/>
      </c>
      <c r="AN184" s="41">
        <f>IF(N('Dvd Calendar'!$AP$2525)=0,"",IF(('Dvd Calendar'!$AP$2525&gt;=MIN(DATE(Summary!$C$12,1,1),Summary!$C$11))*('Dvd Calendar'!$AP$2525&lt;=MAX(DATE(Summary!$C$12,12,31),Summary!$C$15))*('Dvd Calendar'!$AP$2525&lt;=Summary!$C$11)=0,"",'Dvd Calendar'!$AP$2525*1000000000+ISNUMBER('Dvd Calendar'!$AP$2526)*100000000+('Dvd Calendar'!$AP$2530='Field Check'!$C$25)*10000000+(N('Dvd Calendar'!$AP$2524)&gt;0)*1000000+28*1000+38))</f>
        <v/>
      </c>
      <c r="AO184" s="41">
        <f>IF(N('Dvd Calendar'!$AQ$2525)=0,"",IF(('Dvd Calendar'!$AQ$2525&gt;=MIN(DATE(Summary!$C$12,1,1),Summary!$C$11))*('Dvd Calendar'!$AQ$2525&lt;=MAX(DATE(Summary!$C$12,12,31),Summary!$C$15))*('Dvd Calendar'!$AQ$2525&lt;=Summary!$C$11)=0,"",'Dvd Calendar'!$AQ$2525*1000000000+ISNUMBER('Dvd Calendar'!$AQ$2526)*100000000+('Dvd Calendar'!$AQ$2530='Field Check'!$C$25)*10000000+(N('Dvd Calendar'!$AQ$2524)&gt;0)*1000000+28*1000+39))</f>
        <v/>
      </c>
      <c r="AP184" s="41">
        <f>IF(N('Dvd Calendar'!$AR$2525)=0,"",IF(('Dvd Calendar'!$AR$2525&gt;=MIN(DATE(Summary!$C$12,1,1),Summary!$C$11))*('Dvd Calendar'!$AR$2525&lt;=MAX(DATE(Summary!$C$12,12,31),Summary!$C$15))*('Dvd Calendar'!$AR$2525&lt;=Summary!$C$11)=0,"",'Dvd Calendar'!$AR$2525*1000000000+ISNUMBER('Dvd Calendar'!$AR$2526)*100000000+('Dvd Calendar'!$AR$2530='Field Check'!$C$25)*10000000+(N('Dvd Calendar'!$AR$2524)&gt;0)*1000000+28*1000+40))</f>
        <v/>
      </c>
      <c r="AQ184" s="41">
        <f>IF(N('Dvd Calendar'!$E$2532)=0,"",IF(('Dvd Calendar'!$E$2532&gt;=MIN(DATE(Summary!$C$12,1,1),Summary!$C$11))*('Dvd Calendar'!$E$2532&lt;=MAX(DATE(Summary!$C$12,12,31),Summary!$C$15))*('Dvd Calendar'!$E$2532&gt;Summary!$C$11)=0,"",'Dvd Calendar'!$E$2532*1000000000+ISNUMBER('Dvd Calendar'!$E$2533)*100000000+('Dvd Calendar'!$E$2537='Field Check'!$C$25)*10000000+(N('Dvd Calendar'!$E$2531)&gt;0)*1000000+28*1000+41))</f>
        <v/>
      </c>
      <c r="AR184" s="41">
        <f>IF(N('Dvd Calendar'!$F$2532)=0,"",IF(('Dvd Calendar'!$F$2532&gt;=MIN(DATE(Summary!$C$12,1,1),Summary!$C$11))*('Dvd Calendar'!$F$2532&lt;=MAX(DATE(Summary!$C$12,12,31),Summary!$C$15))*('Dvd Calendar'!$F$2532&gt;Summary!$C$11)=0,"",'Dvd Calendar'!$F$2532*1000000000+ISNUMBER('Dvd Calendar'!$F$2533)*100000000+('Dvd Calendar'!$F$2537='Field Check'!$C$25)*10000000+(N('Dvd Calendar'!$F$2531)&gt;0)*1000000+28*1000+42))</f>
        <v/>
      </c>
      <c r="AS184" s="41">
        <f>IF(N('Dvd Calendar'!$G$2532)=0,"",IF(('Dvd Calendar'!$G$2532&gt;=MIN(DATE(Summary!$C$12,1,1),Summary!$C$11))*('Dvd Calendar'!$G$2532&lt;=MAX(DATE(Summary!$C$12,12,31),Summary!$C$15))*('Dvd Calendar'!$G$2532&gt;Summary!$C$11)=0,"",'Dvd Calendar'!$G$2532*1000000000+ISNUMBER('Dvd Calendar'!$G$2533)*100000000+('Dvd Calendar'!$G$2537='Field Check'!$C$25)*10000000+(N('Dvd Calendar'!$G$2531)&gt;0)*1000000+28*1000+43))</f>
        <v/>
      </c>
      <c r="AT184" s="41">
        <f>IF(N('Dvd Calendar'!$H$2532)=0,"",IF(('Dvd Calendar'!$H$2532&gt;=MIN(DATE(Summary!$C$12,1,1),Summary!$C$11))*('Dvd Calendar'!$H$2532&lt;=MAX(DATE(Summary!$C$12,12,31),Summary!$C$15))*('Dvd Calendar'!$H$2532&gt;Summary!$C$11)=0,"",'Dvd Calendar'!$H$2532*1000000000+ISNUMBER('Dvd Calendar'!$H$2533)*100000000+('Dvd Calendar'!$H$2537='Field Check'!$C$25)*10000000+(N('Dvd Calendar'!$H$2531)&gt;0)*1000000+28*1000+44))</f>
        <v/>
      </c>
      <c r="AU184" s="41">
        <f>IF(N('Dvd Calendar'!$I$2532)=0,"",IF(('Dvd Calendar'!$I$2532&gt;=MIN(DATE(Summary!$C$12,1,1),Summary!$C$11))*('Dvd Calendar'!$I$2532&lt;=MAX(DATE(Summary!$C$12,12,31),Summary!$C$15))*('Dvd Calendar'!$I$2532&gt;Summary!$C$11)=0,"",'Dvd Calendar'!$I$2532*1000000000+ISNUMBER('Dvd Calendar'!$I$2533)*100000000+('Dvd Calendar'!$I$2537='Field Check'!$C$25)*10000000+(N('Dvd Calendar'!$I$2531)&gt;0)*1000000+28*1000+45))</f>
        <v/>
      </c>
      <c r="AV184" s="41">
        <f>IF(N('Dvd Calendar'!$J$2532)=0,"",IF(('Dvd Calendar'!$J$2532&gt;=MIN(DATE(Summary!$C$12,1,1),Summary!$C$11))*('Dvd Calendar'!$J$2532&lt;=MAX(DATE(Summary!$C$12,12,31),Summary!$C$15))*('Dvd Calendar'!$J$2532&gt;Summary!$C$11)=0,"",'Dvd Calendar'!$J$2532*1000000000+ISNUMBER('Dvd Calendar'!$J$2533)*100000000+('Dvd Calendar'!$J$2537='Field Check'!$C$25)*10000000+(N('Dvd Calendar'!$J$2531)&gt;0)*1000000+28*1000+46))</f>
        <v/>
      </c>
      <c r="AW184" s="41">
        <f>IF(N('Dvd Calendar'!$K$2532)=0,"",IF(('Dvd Calendar'!$K$2532&gt;=MIN(DATE(Summary!$C$12,1,1),Summary!$C$11))*('Dvd Calendar'!$K$2532&lt;=MAX(DATE(Summary!$C$12,12,31),Summary!$C$15))*('Dvd Calendar'!$K$2532&gt;Summary!$C$11)=0,"",'Dvd Calendar'!$K$2532*1000000000+ISNUMBER('Dvd Calendar'!$K$2533)*100000000+('Dvd Calendar'!$K$2537='Field Check'!$C$25)*10000000+(N('Dvd Calendar'!$K$2531)&gt;0)*1000000+28*1000+47))</f>
        <v/>
      </c>
      <c r="AX184" s="41">
        <f>IF(N('Dvd Calendar'!$L$2532)=0,"",IF(('Dvd Calendar'!$L$2532&gt;=MIN(DATE(Summary!$C$12,1,1),Summary!$C$11))*('Dvd Calendar'!$L$2532&lt;=MAX(DATE(Summary!$C$12,12,31),Summary!$C$15))*('Dvd Calendar'!$L$2532&gt;Summary!$C$11)=0,"",'Dvd Calendar'!$L$2532*1000000000+ISNUMBER('Dvd Calendar'!$L$2533)*100000000+('Dvd Calendar'!$L$2537='Field Check'!$C$25)*10000000+(N('Dvd Calendar'!$L$2531)&gt;0)*1000000+28*1000+48))</f>
        <v/>
      </c>
      <c r="AY184" s="41">
        <f>IF(N('Dvd Calendar'!$M$2532)=0,"",IF(('Dvd Calendar'!$M$2532&gt;=MIN(DATE(Summary!$C$12,1,1),Summary!$C$11))*('Dvd Calendar'!$M$2532&lt;=MAX(DATE(Summary!$C$12,12,31),Summary!$C$15))*('Dvd Calendar'!$M$2532&gt;Summary!$C$11)=0,"",'Dvd Calendar'!$M$2532*1000000000+ISNUMBER('Dvd Calendar'!$M$2533)*100000000+('Dvd Calendar'!$M$2537='Field Check'!$C$25)*10000000+(N('Dvd Calendar'!$M$2531)&gt;0)*1000000+28*1000+49))</f>
        <v/>
      </c>
      <c r="AZ184" s="41">
        <f>IF(N('Dvd Calendar'!$N$2532)=0,"",IF(('Dvd Calendar'!$N$2532&gt;=MIN(DATE(Summary!$C$12,1,1),Summary!$C$11))*('Dvd Calendar'!$N$2532&lt;=MAX(DATE(Summary!$C$12,12,31),Summary!$C$15))*('Dvd Calendar'!$N$2532&gt;Summary!$C$11)=0,"",'Dvd Calendar'!$N$2532*1000000000+ISNUMBER('Dvd Calendar'!$N$2533)*100000000+('Dvd Calendar'!$N$2537='Field Check'!$C$25)*10000000+(N('Dvd Calendar'!$N$2531)&gt;0)*1000000+28*1000+50))</f>
        <v/>
      </c>
      <c r="BA184" s="41">
        <f>IF(N('Dvd Calendar'!$O$2532)=0,"",IF(('Dvd Calendar'!$O$2532&gt;=MIN(DATE(Summary!$C$12,1,1),Summary!$C$11))*('Dvd Calendar'!$O$2532&lt;=MAX(DATE(Summary!$C$12,12,31),Summary!$C$15))*('Dvd Calendar'!$O$2532&gt;Summary!$C$11)=0,"",'Dvd Calendar'!$O$2532*1000000000+ISNUMBER('Dvd Calendar'!$O$2533)*100000000+('Dvd Calendar'!$O$2537='Field Check'!$C$25)*10000000+(N('Dvd Calendar'!$O$2531)&gt;0)*1000000+28*1000+51))</f>
        <v/>
      </c>
      <c r="BB184" s="41">
        <f>IF(N('Dvd Calendar'!$P$2532)=0,"",IF(('Dvd Calendar'!$P$2532&gt;=MIN(DATE(Summary!$C$12,1,1),Summary!$C$11))*('Dvd Calendar'!$P$2532&lt;=MAX(DATE(Summary!$C$12,12,31),Summary!$C$15))*('Dvd Calendar'!$P$2532&gt;Summary!$C$11)=0,"",'Dvd Calendar'!$P$2532*1000000000+ISNUMBER('Dvd Calendar'!$P$2533)*100000000+('Dvd Calendar'!$P$2537='Field Check'!$C$25)*10000000+(N('Dvd Calendar'!$P$2531)&gt;0)*1000000+28*1000+52))</f>
        <v/>
      </c>
      <c r="BC184" s="41">
        <f>IF(N('Dvd Calendar'!$Q$2532)=0,"",IF(('Dvd Calendar'!$Q$2532&gt;=MIN(DATE(Summary!$C$12,1,1),Summary!$C$11))*('Dvd Calendar'!$Q$2532&lt;=MAX(DATE(Summary!$C$12,12,31),Summary!$C$15))*('Dvd Calendar'!$Q$2532&gt;Summary!$C$11)=0,"",'Dvd Calendar'!$Q$2532*1000000000+ISNUMBER('Dvd Calendar'!$Q$2533)*100000000+('Dvd Calendar'!$Q$2537='Field Check'!$C$25)*10000000+(N('Dvd Calendar'!$Q$2531)&gt;0)*1000000+28*1000+53))</f>
        <v/>
      </c>
      <c r="BD184" s="41">
        <f>IF(N('Dvd Calendar'!$R$2532)=0,"",IF(('Dvd Calendar'!$R$2532&gt;=MIN(DATE(Summary!$C$12,1,1),Summary!$C$11))*('Dvd Calendar'!$R$2532&lt;=MAX(DATE(Summary!$C$12,12,31),Summary!$C$15))*('Dvd Calendar'!$R$2532&gt;Summary!$C$11)=0,"",'Dvd Calendar'!$R$2532*1000000000+ISNUMBER('Dvd Calendar'!$R$2533)*100000000+('Dvd Calendar'!$R$2537='Field Check'!$C$25)*10000000+(N('Dvd Calendar'!$R$2531)&gt;0)*1000000+28*1000+54))</f>
        <v/>
      </c>
      <c r="BE184" s="41">
        <f>IF(N('Dvd Calendar'!$S$2532)=0,"",IF(('Dvd Calendar'!$S$2532&gt;=MIN(DATE(Summary!$C$12,1,1),Summary!$C$11))*('Dvd Calendar'!$S$2532&lt;=MAX(DATE(Summary!$C$12,12,31),Summary!$C$15))*('Dvd Calendar'!$S$2532&gt;Summary!$C$11)=0,"",'Dvd Calendar'!$S$2532*1000000000+ISNUMBER('Dvd Calendar'!$S$2533)*100000000+('Dvd Calendar'!$S$2537='Field Check'!$C$25)*10000000+(N('Dvd Calendar'!$S$2531)&gt;0)*1000000+28*1000+55))</f>
        <v/>
      </c>
      <c r="BF184" s="41">
        <f>IF(N('Dvd Calendar'!$T$2532)=0,"",IF(('Dvd Calendar'!$T$2532&gt;=MIN(DATE(Summary!$C$12,1,1),Summary!$C$11))*('Dvd Calendar'!$T$2532&lt;=MAX(DATE(Summary!$C$12,12,31),Summary!$C$15))*('Dvd Calendar'!$T$2532&gt;Summary!$C$11)=0,"",'Dvd Calendar'!$T$2532*1000000000+ISNUMBER('Dvd Calendar'!$T$2533)*100000000+('Dvd Calendar'!$T$2537='Field Check'!$C$25)*10000000+(N('Dvd Calendar'!$T$2531)&gt;0)*1000000+28*1000+56))</f>
        <v/>
      </c>
      <c r="BG184" s="41">
        <f>IF(N('Dvd Calendar'!$U$2532)=0,"",IF(('Dvd Calendar'!$U$2532&gt;=MIN(DATE(Summary!$C$12,1,1),Summary!$C$11))*('Dvd Calendar'!$U$2532&lt;=MAX(DATE(Summary!$C$12,12,31),Summary!$C$15))*('Dvd Calendar'!$U$2532&gt;Summary!$C$11)=0,"",'Dvd Calendar'!$U$2532*1000000000+ISNUMBER('Dvd Calendar'!$U$2533)*100000000+('Dvd Calendar'!$U$2537='Field Check'!$C$25)*10000000+(N('Dvd Calendar'!$U$2531)&gt;0)*1000000+28*1000+57))</f>
        <v/>
      </c>
      <c r="BH184" s="41">
        <f>IF(N('Dvd Calendar'!$V$2532)=0,"",IF(('Dvd Calendar'!$V$2532&gt;=MIN(DATE(Summary!$C$12,1,1),Summary!$C$11))*('Dvd Calendar'!$V$2532&lt;=MAX(DATE(Summary!$C$12,12,31),Summary!$C$15))*('Dvd Calendar'!$V$2532&gt;Summary!$C$11)=0,"",'Dvd Calendar'!$V$2532*1000000000+ISNUMBER('Dvd Calendar'!$V$2533)*100000000+('Dvd Calendar'!$V$2537='Field Check'!$C$25)*10000000+(N('Dvd Calendar'!$V$2531)&gt;0)*1000000+28*1000+58))</f>
        <v/>
      </c>
      <c r="BI184" s="41">
        <f>IF(N('Dvd Calendar'!$W$2532)=0,"",IF(('Dvd Calendar'!$W$2532&gt;=MIN(DATE(Summary!$C$12,1,1),Summary!$C$11))*('Dvd Calendar'!$W$2532&lt;=MAX(DATE(Summary!$C$12,12,31),Summary!$C$15))*('Dvd Calendar'!$W$2532&gt;Summary!$C$11)=0,"",'Dvd Calendar'!$W$2532*1000000000+ISNUMBER('Dvd Calendar'!$W$2533)*100000000+('Dvd Calendar'!$W$2537='Field Check'!$C$25)*10000000+(N('Dvd Calendar'!$W$2531)&gt;0)*1000000+28*1000+59))</f>
        <v/>
      </c>
      <c r="BJ184" s="41">
        <f>IF(N('Dvd Calendar'!$X$2532)=0,"",IF(('Dvd Calendar'!$X$2532&gt;=MIN(DATE(Summary!$C$12,1,1),Summary!$C$11))*('Dvd Calendar'!$X$2532&lt;=MAX(DATE(Summary!$C$12,12,31),Summary!$C$15))*('Dvd Calendar'!$X$2532&gt;Summary!$C$11)=0,"",'Dvd Calendar'!$X$2532*1000000000+ISNUMBER('Dvd Calendar'!$X$2533)*100000000+('Dvd Calendar'!$X$2537='Field Check'!$C$25)*10000000+(N('Dvd Calendar'!$X$2531)&gt;0)*1000000+28*1000+60))</f>
        <v/>
      </c>
      <c r="BK184" s="41">
        <f>IF(N('Dvd Calendar'!$Y$2532)=0,"",IF(('Dvd Calendar'!$Y$2532&gt;=MIN(DATE(Summary!$C$12,1,1),Summary!$C$11))*('Dvd Calendar'!$Y$2532&lt;=MAX(DATE(Summary!$C$12,12,31),Summary!$C$15))*('Dvd Calendar'!$Y$2532&gt;Summary!$C$11)=0,"",'Dvd Calendar'!$Y$2532*1000000000+ISNUMBER('Dvd Calendar'!$Y$2533)*100000000+('Dvd Calendar'!$Y$2537='Field Check'!$C$25)*10000000+(N('Dvd Calendar'!$Y$2531)&gt;0)*1000000+28*1000+61))</f>
        <v/>
      </c>
      <c r="BL184" s="41">
        <f>IF(N('Dvd Calendar'!$Z$2532)=0,"",IF(('Dvd Calendar'!$Z$2532&gt;=MIN(DATE(Summary!$C$12,1,1),Summary!$C$11))*('Dvd Calendar'!$Z$2532&lt;=MAX(DATE(Summary!$C$12,12,31),Summary!$C$15))*('Dvd Calendar'!$Z$2532&gt;Summary!$C$11)=0,"",'Dvd Calendar'!$Z$2532*1000000000+ISNUMBER('Dvd Calendar'!$Z$2533)*100000000+('Dvd Calendar'!$Z$2537='Field Check'!$C$25)*10000000+(N('Dvd Calendar'!$Z$2531)&gt;0)*1000000+28*1000+62))</f>
        <v/>
      </c>
      <c r="BM184" s="41">
        <f>IF(N('Dvd Calendar'!$AA$2532)=0,"",IF(('Dvd Calendar'!$AA$2532&gt;=MIN(DATE(Summary!$C$12,1,1),Summary!$C$11))*('Dvd Calendar'!$AA$2532&lt;=MAX(DATE(Summary!$C$12,12,31),Summary!$C$15))*('Dvd Calendar'!$AA$2532&gt;Summary!$C$11)=0,"",'Dvd Calendar'!$AA$2532*1000000000+ISNUMBER('Dvd Calendar'!$AA$2533)*100000000+('Dvd Calendar'!$AA$2537='Field Check'!$C$25)*10000000+(N('Dvd Calendar'!$AA$2531)&gt;0)*1000000+28*1000+63))</f>
        <v/>
      </c>
      <c r="BN184" s="41">
        <f>IF(N('Dvd Calendar'!$AB$2532)=0,"",IF(('Dvd Calendar'!$AB$2532&gt;=MIN(DATE(Summary!$C$12,1,1),Summary!$C$11))*('Dvd Calendar'!$AB$2532&lt;=MAX(DATE(Summary!$C$12,12,31),Summary!$C$15))*('Dvd Calendar'!$AB$2532&gt;Summary!$C$11)=0,"",'Dvd Calendar'!$AB$2532*1000000000+ISNUMBER('Dvd Calendar'!$AB$2533)*100000000+('Dvd Calendar'!$AB$2537='Field Check'!$C$25)*10000000+(N('Dvd Calendar'!$AB$2531)&gt;0)*1000000+28*1000+64))</f>
        <v/>
      </c>
      <c r="BO184" s="41">
        <f>IF(N('Dvd Calendar'!$AC$2532)=0,"",IF(('Dvd Calendar'!$AC$2532&gt;=MIN(DATE(Summary!$C$12,1,1),Summary!$C$11))*('Dvd Calendar'!$AC$2532&lt;=MAX(DATE(Summary!$C$12,12,31),Summary!$C$15))*('Dvd Calendar'!$AC$2532&gt;Summary!$C$11)=0,"",'Dvd Calendar'!$AC$2532*1000000000+ISNUMBER('Dvd Calendar'!$AC$2533)*100000000+('Dvd Calendar'!$AC$2537='Field Check'!$C$25)*10000000+(N('Dvd Calendar'!$AC$2531)&gt;0)*1000000+28*1000+65))</f>
        <v/>
      </c>
      <c r="BQ184" s="85">
        <f>IF(C184="","",IF(ISNUMBER('Dvd Calendar'!$E$2526)=FALSE,"",IF((Summary!$C$13="N")*('Dvd Calendar'!$E$2530='Field Check'!$C$25)&gt;0,"",'Dvd Calendar'!$E$2526)))</f>
        <v/>
      </c>
      <c r="BR184" s="85">
        <f>IF(D184="","",IF(ISNUMBER('Dvd Calendar'!$F$2526)=FALSE,"",IF((Summary!$C$13="N")*('Dvd Calendar'!$F$2530='Field Check'!$C$25)&gt;0,"",'Dvd Calendar'!$F$2526)))</f>
        <v/>
      </c>
      <c r="BS184" s="85">
        <f>IF(E184="","",IF(ISNUMBER('Dvd Calendar'!$G$2526)=FALSE,"",IF((Summary!$C$13="N")*('Dvd Calendar'!$G$2530='Field Check'!$C$25)&gt;0,"",'Dvd Calendar'!$G$2526)))</f>
        <v/>
      </c>
      <c r="BT184" s="85">
        <f>IF(F184="","",IF(ISNUMBER('Dvd Calendar'!$H$2526)=FALSE,"",IF((Summary!$C$13="N")*('Dvd Calendar'!$H$2530='Field Check'!$C$25)&gt;0,"",'Dvd Calendar'!$H$2526)))</f>
        <v/>
      </c>
      <c r="BU184" s="85">
        <f>IF(G184="","",IF(ISNUMBER('Dvd Calendar'!$I$2526)=FALSE,"",IF((Summary!$C$13="N")*('Dvd Calendar'!$I$2530='Field Check'!$C$25)&gt;0,"",'Dvd Calendar'!$I$2526)))</f>
        <v/>
      </c>
      <c r="BV184" s="85">
        <f>IF(H184="","",IF(ISNUMBER('Dvd Calendar'!$J$2526)=FALSE,"",IF((Summary!$C$13="N")*('Dvd Calendar'!$J$2530='Field Check'!$C$25)&gt;0,"",'Dvd Calendar'!$J$2526)))</f>
        <v/>
      </c>
      <c r="BW184" s="85">
        <f>IF(I184="","",IF(ISNUMBER('Dvd Calendar'!$K$2526)=FALSE,"",IF((Summary!$C$13="N")*('Dvd Calendar'!$K$2530='Field Check'!$C$25)&gt;0,"",'Dvd Calendar'!$K$2526)))</f>
        <v/>
      </c>
      <c r="BX184" s="85">
        <f>IF(J184="","",IF(ISNUMBER('Dvd Calendar'!$L$2526)=FALSE,"",IF((Summary!$C$13="N")*('Dvd Calendar'!$L$2530='Field Check'!$C$25)&gt;0,"",'Dvd Calendar'!$L$2526)))</f>
        <v/>
      </c>
      <c r="BY184" s="85">
        <f>IF(K184="","",IF(ISNUMBER('Dvd Calendar'!$M$2526)=FALSE,"",IF((Summary!$C$13="N")*('Dvd Calendar'!$M$2530='Field Check'!$C$25)&gt;0,"",'Dvd Calendar'!$M$2526)))</f>
        <v/>
      </c>
      <c r="BZ184" s="85">
        <f>IF(L184="","",IF(ISNUMBER('Dvd Calendar'!$N$2526)=FALSE,"",IF((Summary!$C$13="N")*('Dvd Calendar'!$N$2530='Field Check'!$C$25)&gt;0,"",'Dvd Calendar'!$N$2526)))</f>
        <v/>
      </c>
      <c r="CA184" s="85">
        <f>IF(M184="","",IF(ISNUMBER('Dvd Calendar'!$O$2526)=FALSE,"",IF((Summary!$C$13="N")*('Dvd Calendar'!$O$2530='Field Check'!$C$25)&gt;0,"",'Dvd Calendar'!$O$2526)))</f>
        <v/>
      </c>
      <c r="CB184" s="85">
        <f>IF(N184="","",IF(ISNUMBER('Dvd Calendar'!$P$2526)=FALSE,"",IF((Summary!$C$13="N")*('Dvd Calendar'!$P$2530='Field Check'!$C$25)&gt;0,"",'Dvd Calendar'!$P$2526)))</f>
        <v/>
      </c>
      <c r="CC184" s="85">
        <f>IF(O184="","",IF(ISNUMBER('Dvd Calendar'!$Q$2526)=FALSE,"",IF((Summary!$C$13="N")*('Dvd Calendar'!$Q$2530='Field Check'!$C$25)&gt;0,"",'Dvd Calendar'!$Q$2526)))</f>
        <v/>
      </c>
      <c r="CD184" s="85">
        <f>IF(P184="","",IF(ISNUMBER('Dvd Calendar'!$R$2526)=FALSE,"",IF((Summary!$C$13="N")*('Dvd Calendar'!$R$2530='Field Check'!$C$25)&gt;0,"",'Dvd Calendar'!$R$2526)))</f>
        <v/>
      </c>
      <c r="CE184" s="85">
        <f>IF(Q184="","",IF(ISNUMBER('Dvd Calendar'!$S$2526)=FALSE,"",IF((Summary!$C$13="N")*('Dvd Calendar'!$S$2530='Field Check'!$C$25)&gt;0,"",'Dvd Calendar'!$S$2526)))</f>
        <v/>
      </c>
      <c r="CF184" s="85">
        <f>IF(R184="","",IF(ISNUMBER('Dvd Calendar'!$T$2526)=FALSE,"",IF((Summary!$C$13="N")*('Dvd Calendar'!$T$2530='Field Check'!$C$25)&gt;0,"",'Dvd Calendar'!$T$2526)))</f>
        <v/>
      </c>
      <c r="CG184" s="85">
        <f>IF(S184="","",IF(ISNUMBER('Dvd Calendar'!$U$2526)=FALSE,"",IF((Summary!$C$13="N")*('Dvd Calendar'!$U$2530='Field Check'!$C$25)&gt;0,"",'Dvd Calendar'!$U$2526)))</f>
        <v/>
      </c>
      <c r="CH184" s="85">
        <f>IF(T184="","",IF(ISNUMBER('Dvd Calendar'!$V$2526)=FALSE,"",IF((Summary!$C$13="N")*('Dvd Calendar'!$V$2530='Field Check'!$C$25)&gt;0,"",'Dvd Calendar'!$V$2526)))</f>
        <v/>
      </c>
      <c r="CI184" s="85">
        <f>IF(U184="","",IF(ISNUMBER('Dvd Calendar'!$W$2526)=FALSE,"",IF((Summary!$C$13="N")*('Dvd Calendar'!$W$2530='Field Check'!$C$25)&gt;0,"",'Dvd Calendar'!$W$2526)))</f>
        <v/>
      </c>
      <c r="CJ184" s="85">
        <f>IF(V184="","",IF(ISNUMBER('Dvd Calendar'!$X$2526)=FALSE,"",IF((Summary!$C$13="N")*('Dvd Calendar'!$X$2530='Field Check'!$C$25)&gt;0,"",'Dvd Calendar'!$X$2526)))</f>
        <v/>
      </c>
      <c r="CK184" s="85">
        <f>IF(W184="","",IF(ISNUMBER('Dvd Calendar'!$Y$2526)=FALSE,"",IF((Summary!$C$13="N")*('Dvd Calendar'!$Y$2530='Field Check'!$C$25)&gt;0,"",'Dvd Calendar'!$Y$2526)))</f>
        <v/>
      </c>
      <c r="CL184" s="85">
        <f>IF(X184="","",IF(ISNUMBER('Dvd Calendar'!$Z$2526)=FALSE,"",IF((Summary!$C$13="N")*('Dvd Calendar'!$Z$2530='Field Check'!$C$25)&gt;0,"",'Dvd Calendar'!$Z$2526)))</f>
        <v/>
      </c>
      <c r="CM184" s="85">
        <f>IF(Y184="","",IF(ISNUMBER('Dvd Calendar'!$AA$2526)=FALSE,"",IF((Summary!$C$13="N")*('Dvd Calendar'!$AA$2530='Field Check'!$C$25)&gt;0,"",'Dvd Calendar'!$AA$2526)))</f>
        <v/>
      </c>
      <c r="CN184" s="85">
        <f>IF(Z184="","",IF(ISNUMBER('Dvd Calendar'!$AB$2526)=FALSE,"",IF((Summary!$C$13="N")*('Dvd Calendar'!$AB$2530='Field Check'!$C$25)&gt;0,"",'Dvd Calendar'!$AB$2526)))</f>
        <v/>
      </c>
      <c r="CO184" s="85">
        <f>IF(AA184="","",IF(ISNUMBER('Dvd Calendar'!$AC$2526)=FALSE,"",IF((Summary!$C$13="N")*('Dvd Calendar'!$AC$2530='Field Check'!$C$25)&gt;0,"",'Dvd Calendar'!$AC$2526)))</f>
        <v/>
      </c>
      <c r="CP184" s="85">
        <f>IF(AB184="","",IF(ISNUMBER('Dvd Calendar'!$AD$2526)=FALSE,"",IF((Summary!$C$13="N")*('Dvd Calendar'!$AD$2530='Field Check'!$C$25)&gt;0,"",'Dvd Calendar'!$AD$2526)))</f>
        <v/>
      </c>
      <c r="CQ184" s="85">
        <f>IF(AC184="","",IF(ISNUMBER('Dvd Calendar'!$AE$2526)=FALSE,"",IF((Summary!$C$13="N")*('Dvd Calendar'!$AE$2530='Field Check'!$C$25)&gt;0,"",'Dvd Calendar'!$AE$2526)))</f>
        <v/>
      </c>
      <c r="CR184" s="85">
        <f>IF(AD184="","",IF(ISNUMBER('Dvd Calendar'!$AF$2526)=FALSE,"",IF((Summary!$C$13="N")*('Dvd Calendar'!$AF$2530='Field Check'!$C$25)&gt;0,"",'Dvd Calendar'!$AF$2526)))</f>
        <v/>
      </c>
      <c r="CS184" s="85">
        <f>IF(AE184="","",IF(ISNUMBER('Dvd Calendar'!$AG$2526)=FALSE,"",IF((Summary!$C$13="N")*('Dvd Calendar'!$AG$2530='Field Check'!$C$25)&gt;0,"",'Dvd Calendar'!$AG$2526)))</f>
        <v/>
      </c>
      <c r="CT184" s="85">
        <f>IF(AF184="","",IF(ISNUMBER('Dvd Calendar'!$AH$2526)=FALSE,"",IF((Summary!$C$13="N")*('Dvd Calendar'!$AH$2530='Field Check'!$C$25)&gt;0,"",'Dvd Calendar'!$AH$2526)))</f>
        <v/>
      </c>
      <c r="CU184" s="85">
        <f>IF(AG184="","",IF(ISNUMBER('Dvd Calendar'!$AI$2526)=FALSE,"",IF((Summary!$C$13="N")*('Dvd Calendar'!$AI$2530='Field Check'!$C$25)&gt;0,"",'Dvd Calendar'!$AI$2526)))</f>
        <v/>
      </c>
      <c r="CV184" s="85">
        <f>IF(AH184="","",IF(ISNUMBER('Dvd Calendar'!$AJ$2526)=FALSE,"",IF((Summary!$C$13="N")*('Dvd Calendar'!$AJ$2530='Field Check'!$C$25)&gt;0,"",'Dvd Calendar'!$AJ$2526)))</f>
        <v/>
      </c>
      <c r="CW184" s="85">
        <f>IF(AI184="","",IF(ISNUMBER('Dvd Calendar'!$AK$2526)=FALSE,"",IF((Summary!$C$13="N")*('Dvd Calendar'!$AK$2530='Field Check'!$C$25)&gt;0,"",'Dvd Calendar'!$AK$2526)))</f>
        <v/>
      </c>
      <c r="CX184" s="85">
        <f>IF(AJ184="","",IF(ISNUMBER('Dvd Calendar'!$AL$2526)=FALSE,"",IF((Summary!$C$13="N")*('Dvd Calendar'!$AL$2530='Field Check'!$C$25)&gt;0,"",'Dvd Calendar'!$AL$2526)))</f>
        <v/>
      </c>
      <c r="CY184" s="85">
        <f>IF(AK184="","",IF(ISNUMBER('Dvd Calendar'!$AM$2526)=FALSE,"",IF((Summary!$C$13="N")*('Dvd Calendar'!$AM$2530='Field Check'!$C$25)&gt;0,"",'Dvd Calendar'!$AM$2526)))</f>
        <v/>
      </c>
      <c r="CZ184" s="85">
        <f>IF(AL184="","",IF(ISNUMBER('Dvd Calendar'!$AN$2526)=FALSE,"",IF((Summary!$C$13="N")*('Dvd Calendar'!$AN$2530='Field Check'!$C$25)&gt;0,"",'Dvd Calendar'!$AN$2526)))</f>
        <v/>
      </c>
      <c r="DA184" s="85">
        <f>IF(AM184="","",IF(ISNUMBER('Dvd Calendar'!$AO$2526)=FALSE,"",IF((Summary!$C$13="N")*('Dvd Calendar'!$AO$2530='Field Check'!$C$25)&gt;0,"",'Dvd Calendar'!$AO$2526)))</f>
        <v/>
      </c>
      <c r="DB184" s="85">
        <f>IF(AN184="","",IF(ISNUMBER('Dvd Calendar'!$AP$2526)=FALSE,"",IF((Summary!$C$13="N")*('Dvd Calendar'!$AP$2530='Field Check'!$C$25)&gt;0,"",'Dvd Calendar'!$AP$2526)))</f>
        <v/>
      </c>
      <c r="DC184" s="85">
        <f>IF(AO184="","",IF(ISNUMBER('Dvd Calendar'!$AQ$2526)=FALSE,"",IF((Summary!$C$13="N")*('Dvd Calendar'!$AQ$2530='Field Check'!$C$25)&gt;0,"",'Dvd Calendar'!$AQ$2526)))</f>
        <v/>
      </c>
      <c r="DD184" s="85">
        <f>IF(AP184="","",IF(ISNUMBER('Dvd Calendar'!$AR$2526)=FALSE,"",IF((Summary!$C$13="N")*('Dvd Calendar'!$AR$2530='Field Check'!$C$25)&gt;0,"",'Dvd Calendar'!$AR$2526)))</f>
        <v/>
      </c>
      <c r="DE184" s="85">
        <f>IF(AQ184="","",IF(ISNUMBER('Dvd Calendar'!$E$2533)=FALSE,"",IF((Summary!$C$13="N")*('Dvd Calendar'!$E$2537='Field Check'!$C$25)&gt;0,"",'Dvd Calendar'!$E$2533)))</f>
        <v/>
      </c>
      <c r="DF184" s="85">
        <f>IF(AR184="","",IF(ISNUMBER('Dvd Calendar'!$F$2533)=FALSE,"",IF((Summary!$C$13="N")*('Dvd Calendar'!$F$2537='Field Check'!$C$25)&gt;0,"",'Dvd Calendar'!$F$2533)))</f>
        <v/>
      </c>
      <c r="DG184" s="85">
        <f>IF(AS184="","",IF(ISNUMBER('Dvd Calendar'!$G$2533)=FALSE,"",IF((Summary!$C$13="N")*('Dvd Calendar'!$G$2537='Field Check'!$C$25)&gt;0,"",'Dvd Calendar'!$G$2533)))</f>
        <v/>
      </c>
      <c r="DH184" s="85">
        <f>IF(AT184="","",IF(ISNUMBER('Dvd Calendar'!$H$2533)=FALSE,"",IF((Summary!$C$13="N")*('Dvd Calendar'!$H$2537='Field Check'!$C$25)&gt;0,"",'Dvd Calendar'!$H$2533)))</f>
        <v/>
      </c>
      <c r="DI184" s="85">
        <f>IF(AU184="","",IF(ISNUMBER('Dvd Calendar'!$I$2533)=FALSE,"",IF((Summary!$C$13="N")*('Dvd Calendar'!$I$2537='Field Check'!$C$25)&gt;0,"",'Dvd Calendar'!$I$2533)))</f>
        <v/>
      </c>
      <c r="DJ184" s="85">
        <f>IF(AV184="","",IF(ISNUMBER('Dvd Calendar'!$J$2533)=FALSE,"",IF((Summary!$C$13="N")*('Dvd Calendar'!$J$2537='Field Check'!$C$25)&gt;0,"",'Dvd Calendar'!$J$2533)))</f>
        <v/>
      </c>
      <c r="DK184" s="85">
        <f>IF(AW184="","",IF(ISNUMBER('Dvd Calendar'!$K$2533)=FALSE,"",IF((Summary!$C$13="N")*('Dvd Calendar'!$K$2537='Field Check'!$C$25)&gt;0,"",'Dvd Calendar'!$K$2533)))</f>
        <v/>
      </c>
      <c r="DL184" s="85">
        <f>IF(AX184="","",IF(ISNUMBER('Dvd Calendar'!$L$2533)=FALSE,"",IF((Summary!$C$13="N")*('Dvd Calendar'!$L$2537='Field Check'!$C$25)&gt;0,"",'Dvd Calendar'!$L$2533)))</f>
        <v/>
      </c>
      <c r="DM184" s="85">
        <f>IF(AY184="","",IF(ISNUMBER('Dvd Calendar'!$M$2533)=FALSE,"",IF((Summary!$C$13="N")*('Dvd Calendar'!$M$2537='Field Check'!$C$25)&gt;0,"",'Dvd Calendar'!$M$2533)))</f>
        <v/>
      </c>
      <c r="DN184" s="85">
        <f>IF(AZ184="","",IF(ISNUMBER('Dvd Calendar'!$N$2533)=FALSE,"",IF((Summary!$C$13="N")*('Dvd Calendar'!$N$2537='Field Check'!$C$25)&gt;0,"",'Dvd Calendar'!$N$2533)))</f>
        <v/>
      </c>
      <c r="DO184" s="85">
        <f>IF(BA184="","",IF(ISNUMBER('Dvd Calendar'!$O$2533)=FALSE,"",IF((Summary!$C$13="N")*('Dvd Calendar'!$O$2537='Field Check'!$C$25)&gt;0,"",'Dvd Calendar'!$O$2533)))</f>
        <v/>
      </c>
      <c r="DP184" s="85">
        <f>IF(BB184="","",IF(ISNUMBER('Dvd Calendar'!$P$2533)=FALSE,"",IF((Summary!$C$13="N")*('Dvd Calendar'!$P$2537='Field Check'!$C$25)&gt;0,"",'Dvd Calendar'!$P$2533)))</f>
        <v/>
      </c>
      <c r="DQ184" s="85">
        <f>IF(BC184="","",IF(ISNUMBER('Dvd Calendar'!$Q$2533)=FALSE,"",IF((Summary!$C$13="N")*('Dvd Calendar'!$Q$2537='Field Check'!$C$25)&gt;0,"",'Dvd Calendar'!$Q$2533)))</f>
        <v/>
      </c>
      <c r="DR184" s="85">
        <f>IF(BD184="","",IF(ISNUMBER('Dvd Calendar'!$R$2533)=FALSE,"",IF((Summary!$C$13="N")*('Dvd Calendar'!$R$2537='Field Check'!$C$25)&gt;0,"",'Dvd Calendar'!$R$2533)))</f>
        <v/>
      </c>
      <c r="DS184" s="85">
        <f>IF(BE184="","",IF(ISNUMBER('Dvd Calendar'!$S$2533)=FALSE,"",IF((Summary!$C$13="N")*('Dvd Calendar'!$S$2537='Field Check'!$C$25)&gt;0,"",'Dvd Calendar'!$S$2533)))</f>
        <v/>
      </c>
      <c r="DT184" s="85">
        <f>IF(BF184="","",IF(ISNUMBER('Dvd Calendar'!$T$2533)=FALSE,"",IF((Summary!$C$13="N")*('Dvd Calendar'!$T$2537='Field Check'!$C$25)&gt;0,"",'Dvd Calendar'!$T$2533)))</f>
        <v/>
      </c>
      <c r="DU184" s="85">
        <f>IF(BG184="","",IF(ISNUMBER('Dvd Calendar'!$U$2533)=FALSE,"",IF((Summary!$C$13="N")*('Dvd Calendar'!$U$2537='Field Check'!$C$25)&gt;0,"",'Dvd Calendar'!$U$2533)))</f>
        <v/>
      </c>
      <c r="DV184" s="85">
        <f>IF(BH184="","",IF(ISNUMBER('Dvd Calendar'!$V$2533)=FALSE,"",IF((Summary!$C$13="N")*('Dvd Calendar'!$V$2537='Field Check'!$C$25)&gt;0,"",'Dvd Calendar'!$V$2533)))</f>
        <v/>
      </c>
      <c r="DW184" s="85">
        <f>IF(BI184="","",IF(ISNUMBER('Dvd Calendar'!$W$2533)=FALSE,"",IF((Summary!$C$13="N")*('Dvd Calendar'!$W$2537='Field Check'!$C$25)&gt;0,"",'Dvd Calendar'!$W$2533)))</f>
        <v/>
      </c>
      <c r="DX184" s="85">
        <f>IF(BJ184="","",IF(ISNUMBER('Dvd Calendar'!$X$2533)=FALSE,"",IF((Summary!$C$13="N")*('Dvd Calendar'!$X$2537='Field Check'!$C$25)&gt;0,"",'Dvd Calendar'!$X$2533)))</f>
        <v/>
      </c>
      <c r="DY184" s="85">
        <f>IF(BK184="","",IF(ISNUMBER('Dvd Calendar'!$Y$2533)=FALSE,"",IF((Summary!$C$13="N")*('Dvd Calendar'!$Y$2537='Field Check'!$C$25)&gt;0,"",'Dvd Calendar'!$Y$2533)))</f>
        <v/>
      </c>
      <c r="DZ184" s="85">
        <f>IF(BL184="","",IF(ISNUMBER('Dvd Calendar'!$Z$2533)=FALSE,"",IF((Summary!$C$13="N")*('Dvd Calendar'!$Z$2537='Field Check'!$C$25)&gt;0,"",'Dvd Calendar'!$Z$2533)))</f>
        <v/>
      </c>
      <c r="EA184" s="85">
        <f>IF(BM184="","",IF(ISNUMBER('Dvd Calendar'!$AA$2533)=FALSE,"",IF((Summary!$C$13="N")*('Dvd Calendar'!$AA$2537='Field Check'!$C$25)&gt;0,"",'Dvd Calendar'!$AA$2533)))</f>
        <v/>
      </c>
      <c r="EB184" s="85">
        <f>IF(BN184="","",IF(ISNUMBER('Dvd Calendar'!$AB$2533)=FALSE,"",IF((Summary!$C$13="N")*('Dvd Calendar'!$AB$2537='Field Check'!$C$25)&gt;0,"",'Dvd Calendar'!$AB$2533)))</f>
        <v/>
      </c>
      <c r="EC184" s="85">
        <f>IF(BO184="","",IF(ISNUMBER('Dvd Calendar'!$AC$2533)=FALSE,"",IF((Summary!$C$13="N")*('Dvd Calendar'!$AC$2537='Field Check'!$C$25)&gt;0,"",'Dvd Calendar'!$AC$2533)))</f>
        <v/>
      </c>
      <c r="EE184" s="85">
        <f>IF(BQ184="","",IFERROR(BQ184*HSCEI!$B$34*HSCEI!$G$34/HSCEI!$B$3,""))</f>
        <v/>
      </c>
      <c r="EF184" s="85">
        <f>IF(BR184="","",IFERROR(BR184*HSCEI!$B$34*HSCEI!$G$34/HSCEI!$B$3,""))</f>
        <v/>
      </c>
      <c r="EG184" s="85">
        <f>IF(BS184="","",IFERROR(BS184*HSCEI!$B$34*HSCEI!$G$34/HSCEI!$B$3,""))</f>
        <v/>
      </c>
      <c r="EH184" s="85">
        <f>IF(BT184="","",IFERROR(BT184*HSCEI!$B$34*HSCEI!$G$34/HSCEI!$B$3,""))</f>
        <v/>
      </c>
      <c r="EI184" s="85">
        <f>IF(BU184="","",IFERROR(BU184*HSCEI!$B$34*HSCEI!$G$34/HSCEI!$B$3,""))</f>
        <v/>
      </c>
      <c r="EJ184" s="85">
        <f>IF(BV184="","",IFERROR(BV184*HSCEI!$B$34*HSCEI!$G$34/HSCEI!$B$3,""))</f>
        <v/>
      </c>
      <c r="EK184" s="85">
        <f>IF(BW184="","",IFERROR(BW184*HSCEI!$B$34*HSCEI!$G$34/HSCEI!$B$3,""))</f>
        <v/>
      </c>
      <c r="EL184" s="85">
        <f>IF(BX184="","",IFERROR(BX184*HSCEI!$B$34*HSCEI!$G$34/HSCEI!$B$3,""))</f>
        <v/>
      </c>
      <c r="EM184" s="85">
        <f>IF(BY184="","",IFERROR(BY184*HSCEI!$B$34*HSCEI!$G$34/HSCEI!$B$3,""))</f>
        <v/>
      </c>
      <c r="EN184" s="85">
        <f>IF(BZ184="","",IFERROR(BZ184*HSCEI!$B$34*HSCEI!$G$34/HSCEI!$B$3,""))</f>
        <v/>
      </c>
      <c r="EO184" s="85">
        <f>IF(CA184="","",IFERROR(CA184*HSCEI!$B$34*HSCEI!$G$34/HSCEI!$B$3,""))</f>
        <v/>
      </c>
      <c r="EP184" s="85">
        <f>IF(CB184="","",IFERROR(CB184*HSCEI!$B$34*HSCEI!$G$34/HSCEI!$B$3,""))</f>
        <v/>
      </c>
      <c r="EQ184" s="85">
        <f>IF(CC184="","",IFERROR(CC184*HSCEI!$B$34*HSCEI!$G$34/HSCEI!$B$3,""))</f>
        <v/>
      </c>
      <c r="ER184" s="85">
        <f>IF(CD184="","",IFERROR(CD184*HSCEI!$B$34*HSCEI!$G$34/HSCEI!$B$3,""))</f>
        <v/>
      </c>
      <c r="ES184" s="85">
        <f>IF(CE184="","",IFERROR(CE184*HSCEI!$B$34*HSCEI!$G$34/HSCEI!$B$3,""))</f>
        <v/>
      </c>
      <c r="ET184" s="85">
        <f>IF(CF184="","",IFERROR(CF184*HSCEI!$B$34*HSCEI!$G$34/HSCEI!$B$3,""))</f>
        <v/>
      </c>
      <c r="EU184" s="85">
        <f>IF(CG184="","",IFERROR(CG184*HSCEI!$B$34*HSCEI!$G$34/HSCEI!$B$3,""))</f>
        <v/>
      </c>
      <c r="EV184" s="85">
        <f>IF(CH184="","",IFERROR(CH184*HSCEI!$B$34*HSCEI!$G$34/HSCEI!$B$3,""))</f>
        <v/>
      </c>
      <c r="EW184" s="85">
        <f>IF(CI184="","",IFERROR(CI184*HSCEI!$B$34*HSCEI!$G$34/HSCEI!$B$3,""))</f>
        <v/>
      </c>
      <c r="EX184" s="85">
        <f>IF(CJ184="","",IFERROR(CJ184*HSCEI!$B$34*HSCEI!$G$34/HSCEI!$B$3,""))</f>
        <v/>
      </c>
      <c r="EY184" s="85">
        <f>IF(CK184="","",IFERROR(CK184*HSCEI!$B$34*HSCEI!$G$34/HSCEI!$B$3,""))</f>
        <v/>
      </c>
      <c r="EZ184" s="85">
        <f>IF(CL184="","",IFERROR(CL184*HSCEI!$B$34*HSCEI!$G$34/HSCEI!$B$3,""))</f>
        <v/>
      </c>
      <c r="FA184" s="85">
        <f>IF(CM184="","",IFERROR(CM184*HSCEI!$B$34*HSCEI!$G$34/HSCEI!$B$3,""))</f>
        <v/>
      </c>
      <c r="FB184" s="85">
        <f>IF(CN184="","",IFERROR(CN184*HSCEI!$B$34*HSCEI!$G$34/HSCEI!$B$3,""))</f>
        <v/>
      </c>
      <c r="FC184" s="85">
        <f>IF(CO184="","",IFERROR(CO184*HSCEI!$B$34*HSCEI!$G$34/HSCEI!$B$3,""))</f>
        <v/>
      </c>
      <c r="FD184" s="85">
        <f>IF(CP184="","",IFERROR(CP184*HSCEI!$B$34*HSCEI!$G$34/HSCEI!$B$3,""))</f>
        <v/>
      </c>
      <c r="FE184" s="85">
        <f>IF(CQ184="","",IFERROR(CQ184*HSCEI!$B$34*HSCEI!$G$34/HSCEI!$B$3,""))</f>
        <v/>
      </c>
      <c r="FF184" s="85">
        <f>IF(CR184="","",IFERROR(CR184*HSCEI!$B$34*HSCEI!$G$34/HSCEI!$B$3,""))</f>
        <v/>
      </c>
      <c r="FG184" s="85">
        <f>IF(CS184="","",IFERROR(CS184*HSCEI!$B$34*HSCEI!$G$34/HSCEI!$B$3,""))</f>
        <v/>
      </c>
      <c r="FH184" s="85">
        <f>IF(CT184="","",IFERROR(CT184*HSCEI!$B$34*HSCEI!$G$34/HSCEI!$B$3,""))</f>
        <v/>
      </c>
      <c r="FI184" s="85">
        <f>IF(CU184="","",IFERROR(CU184*HSCEI!$B$34*HSCEI!$G$34/HSCEI!$B$3,""))</f>
        <v/>
      </c>
      <c r="FJ184" s="85">
        <f>IF(CV184="","",IFERROR(CV184*HSCEI!$B$34*HSCEI!$G$34/HSCEI!$B$3,""))</f>
        <v/>
      </c>
      <c r="FK184" s="85">
        <f>IF(CW184="","",IFERROR(CW184*HSCEI!$B$34*HSCEI!$G$34/HSCEI!$B$3,""))</f>
        <v/>
      </c>
      <c r="FL184" s="85">
        <f>IF(CX184="","",IFERROR(CX184*HSCEI!$B$34*HSCEI!$G$34/HSCEI!$B$3,""))</f>
        <v/>
      </c>
      <c r="FM184" s="85">
        <f>IF(CY184="","",IFERROR(CY184*HSCEI!$B$34*HSCEI!$G$34/HSCEI!$B$3,""))</f>
        <v/>
      </c>
      <c r="FN184" s="85">
        <f>IF(CZ184="","",IFERROR(CZ184*HSCEI!$B$34*HSCEI!$G$34/HSCEI!$B$3,""))</f>
        <v/>
      </c>
      <c r="FO184" s="85">
        <f>IF(DA184="","",IFERROR(DA184*HSCEI!$B$34*HSCEI!$G$34/HSCEI!$B$3,""))</f>
        <v/>
      </c>
      <c r="FP184" s="85">
        <f>IF(DB184="","",IFERROR(DB184*HSCEI!$B$34*HSCEI!$G$34/HSCEI!$B$3,""))</f>
        <v/>
      </c>
      <c r="FQ184" s="85">
        <f>IF(DC184="","",IFERROR(DC184*HSCEI!$B$34*HSCEI!$G$34/HSCEI!$B$3,""))</f>
        <v/>
      </c>
      <c r="FR184" s="85">
        <f>IF(DD184="","",IFERROR(DD184*HSCEI!$B$34*HSCEI!$G$34/HSCEI!$B$3,""))</f>
        <v/>
      </c>
      <c r="FS184" s="85">
        <f>IF(DE184="","",IFERROR(DE184*HSCEI!$B$34*HSCEI!$G$34/HSCEI!$B$3,""))</f>
        <v/>
      </c>
      <c r="FT184" s="85">
        <f>IF(DF184="","",IFERROR(DF184*HSCEI!$B$34*HSCEI!$G$34/HSCEI!$B$3,""))</f>
        <v/>
      </c>
      <c r="FU184" s="85">
        <f>IF(DG184="","",IFERROR(DG184*HSCEI!$B$34*HSCEI!$G$34/HSCEI!$B$3,""))</f>
        <v/>
      </c>
      <c r="FV184" s="85">
        <f>IF(DH184="","",IFERROR(DH184*HSCEI!$B$34*HSCEI!$G$34/HSCEI!$B$3,""))</f>
        <v/>
      </c>
      <c r="FW184" s="85">
        <f>IF(DI184="","",IFERROR(DI184*HSCEI!$B$34*HSCEI!$G$34/HSCEI!$B$3,""))</f>
        <v/>
      </c>
      <c r="FX184" s="85">
        <f>IF(DJ184="","",IFERROR(DJ184*HSCEI!$B$34*HSCEI!$G$34/HSCEI!$B$3,""))</f>
        <v/>
      </c>
      <c r="FY184" s="85">
        <f>IF(DK184="","",IFERROR(DK184*HSCEI!$B$34*HSCEI!$G$34/HSCEI!$B$3,""))</f>
        <v/>
      </c>
      <c r="FZ184" s="85">
        <f>IF(DL184="","",IFERROR(DL184*HSCEI!$B$34*HSCEI!$G$34/HSCEI!$B$3,""))</f>
        <v/>
      </c>
      <c r="GA184" s="85">
        <f>IF(DM184="","",IFERROR(DM184*HSCEI!$B$34*HSCEI!$G$34/HSCEI!$B$3,""))</f>
        <v/>
      </c>
      <c r="GB184" s="85">
        <f>IF(DN184="","",IFERROR(DN184*HSCEI!$B$34*HSCEI!$G$34/HSCEI!$B$3,""))</f>
        <v/>
      </c>
      <c r="GC184" s="85">
        <f>IF(DO184="","",IFERROR(DO184*HSCEI!$B$34*HSCEI!$G$34/HSCEI!$B$3,""))</f>
        <v/>
      </c>
      <c r="GD184" s="85">
        <f>IF(DP184="","",IFERROR(DP184*HSCEI!$B$34*HSCEI!$G$34/HSCEI!$B$3,""))</f>
        <v/>
      </c>
      <c r="GE184" s="85">
        <f>IF(DQ184="","",IFERROR(DQ184*HSCEI!$B$34*HSCEI!$G$34/HSCEI!$B$3,""))</f>
        <v/>
      </c>
      <c r="GF184" s="85">
        <f>IF(DR184="","",IFERROR(DR184*HSCEI!$B$34*HSCEI!$G$34/HSCEI!$B$3,""))</f>
        <v/>
      </c>
      <c r="GG184" s="85">
        <f>IF(DS184="","",IFERROR(DS184*HSCEI!$B$34*HSCEI!$G$34/HSCEI!$B$3,""))</f>
        <v/>
      </c>
      <c r="GH184" s="85">
        <f>IF(DT184="","",IFERROR(DT184*HSCEI!$B$34*HSCEI!$G$34/HSCEI!$B$3,""))</f>
        <v/>
      </c>
      <c r="GI184" s="85">
        <f>IF(DU184="","",IFERROR(DU184*HSCEI!$B$34*HSCEI!$G$34/HSCEI!$B$3,""))</f>
        <v/>
      </c>
      <c r="GJ184" s="85">
        <f>IF(DV184="","",IFERROR(DV184*HSCEI!$B$34*HSCEI!$G$34/HSCEI!$B$3,""))</f>
        <v/>
      </c>
      <c r="GK184" s="85">
        <f>IF(DW184="","",IFERROR(DW184*HSCEI!$B$34*HSCEI!$G$34/HSCEI!$B$3,""))</f>
        <v/>
      </c>
      <c r="GL184" s="85">
        <f>IF(DX184="","",IFERROR(DX184*HSCEI!$B$34*HSCEI!$G$34/HSCEI!$B$3,""))</f>
        <v/>
      </c>
      <c r="GM184" s="85">
        <f>IF(DY184="","",IFERROR(DY184*HSCEI!$B$34*HSCEI!$G$34/HSCEI!$B$3,""))</f>
        <v/>
      </c>
      <c r="GN184" s="85">
        <f>IF(DZ184="","",IFERROR(DZ184*HSCEI!$B$34*HSCEI!$G$34/HSCEI!$B$3,""))</f>
        <v/>
      </c>
      <c r="GO184" s="85">
        <f>IF(EA184="","",IFERROR(EA184*HSCEI!$B$34*HSCEI!$G$34/HSCEI!$B$3,""))</f>
        <v/>
      </c>
      <c r="GP184" s="85">
        <f>IF(EB184="","",IFERROR(EB184*HSCEI!$B$34*HSCEI!$G$34/HSCEI!$B$3,""))</f>
        <v/>
      </c>
      <c r="GQ184" s="85">
        <f>IF(EC184="","",IFERROR(EC184*HSCEI!$B$34*HSCEI!$G$34/HSCEI!$B$3,""))</f>
        <v/>
      </c>
    </row>
    <row r="185">
      <c r="B185" s="2">
        <f>IF(HSCEI!$C$35="","",HSCEI!$C$35)</f>
        <v/>
      </c>
      <c r="C185" s="41">
        <f>IF(N('Dvd Calendar'!$E$2540)=0,"",IF(('Dvd Calendar'!$E$2540&gt;=MIN(DATE(Summary!$C$12,1,1),Summary!$C$11))*('Dvd Calendar'!$E$2540&lt;=MAX(DATE(Summary!$C$12,12,31),Summary!$C$15))*('Dvd Calendar'!$E$2540&lt;=Summary!$C$11)=0,"",'Dvd Calendar'!$E$2540*1000000000+ISNUMBER('Dvd Calendar'!$E$2541)*100000000+('Dvd Calendar'!$E$2545='Field Check'!$C$25)*10000000+(N('Dvd Calendar'!$E$2539)&gt;0)*1000000+29*1000+1))</f>
        <v/>
      </c>
      <c r="D185" s="41">
        <f>IF(N('Dvd Calendar'!$F$2540)=0,"",IF(('Dvd Calendar'!$F$2540&gt;=MIN(DATE(Summary!$C$12,1,1),Summary!$C$11))*('Dvd Calendar'!$F$2540&lt;=MAX(DATE(Summary!$C$12,12,31),Summary!$C$15))*('Dvd Calendar'!$F$2540&lt;=Summary!$C$11)=0,"",'Dvd Calendar'!$F$2540*1000000000+ISNUMBER('Dvd Calendar'!$F$2541)*100000000+('Dvd Calendar'!$F$2545='Field Check'!$C$25)*10000000+(N('Dvd Calendar'!$F$2539)&gt;0)*1000000+29*1000+2))</f>
        <v/>
      </c>
      <c r="E185" s="41">
        <f>IF(N('Dvd Calendar'!$G$2540)=0,"",IF(('Dvd Calendar'!$G$2540&gt;=MIN(DATE(Summary!$C$12,1,1),Summary!$C$11))*('Dvd Calendar'!$G$2540&lt;=MAX(DATE(Summary!$C$12,12,31),Summary!$C$15))*('Dvd Calendar'!$G$2540&lt;=Summary!$C$11)=0,"",'Dvd Calendar'!$G$2540*1000000000+ISNUMBER('Dvd Calendar'!$G$2541)*100000000+('Dvd Calendar'!$G$2545='Field Check'!$C$25)*10000000+(N('Dvd Calendar'!$G$2539)&gt;0)*1000000+29*1000+3))</f>
        <v/>
      </c>
      <c r="F185" s="41">
        <f>IF(N('Dvd Calendar'!$H$2540)=0,"",IF(('Dvd Calendar'!$H$2540&gt;=MIN(DATE(Summary!$C$12,1,1),Summary!$C$11))*('Dvd Calendar'!$H$2540&lt;=MAX(DATE(Summary!$C$12,12,31),Summary!$C$15))*('Dvd Calendar'!$H$2540&lt;=Summary!$C$11)=0,"",'Dvd Calendar'!$H$2540*1000000000+ISNUMBER('Dvd Calendar'!$H$2541)*100000000+('Dvd Calendar'!$H$2545='Field Check'!$C$25)*10000000+(N('Dvd Calendar'!$H$2539)&gt;0)*1000000+29*1000+4))</f>
        <v/>
      </c>
      <c r="G185" s="41">
        <f>IF(N('Dvd Calendar'!$I$2540)=0,"",IF(('Dvd Calendar'!$I$2540&gt;=MIN(DATE(Summary!$C$12,1,1),Summary!$C$11))*('Dvd Calendar'!$I$2540&lt;=MAX(DATE(Summary!$C$12,12,31),Summary!$C$15))*('Dvd Calendar'!$I$2540&lt;=Summary!$C$11)=0,"",'Dvd Calendar'!$I$2540*1000000000+ISNUMBER('Dvd Calendar'!$I$2541)*100000000+('Dvd Calendar'!$I$2545='Field Check'!$C$25)*10000000+(N('Dvd Calendar'!$I$2539)&gt;0)*1000000+29*1000+5))</f>
        <v/>
      </c>
      <c r="H185" s="41">
        <f>IF(N('Dvd Calendar'!$J$2540)=0,"",IF(('Dvd Calendar'!$J$2540&gt;=MIN(DATE(Summary!$C$12,1,1),Summary!$C$11))*('Dvd Calendar'!$J$2540&lt;=MAX(DATE(Summary!$C$12,12,31),Summary!$C$15))*('Dvd Calendar'!$J$2540&lt;=Summary!$C$11)=0,"",'Dvd Calendar'!$J$2540*1000000000+ISNUMBER('Dvd Calendar'!$J$2541)*100000000+('Dvd Calendar'!$J$2545='Field Check'!$C$25)*10000000+(N('Dvd Calendar'!$J$2539)&gt;0)*1000000+29*1000+6))</f>
        <v/>
      </c>
      <c r="I185" s="41">
        <f>IF(N('Dvd Calendar'!$K$2540)=0,"",IF(('Dvd Calendar'!$K$2540&gt;=MIN(DATE(Summary!$C$12,1,1),Summary!$C$11))*('Dvd Calendar'!$K$2540&lt;=MAX(DATE(Summary!$C$12,12,31),Summary!$C$15))*('Dvd Calendar'!$K$2540&lt;=Summary!$C$11)=0,"",'Dvd Calendar'!$K$2540*1000000000+ISNUMBER('Dvd Calendar'!$K$2541)*100000000+('Dvd Calendar'!$K$2545='Field Check'!$C$25)*10000000+(N('Dvd Calendar'!$K$2539)&gt;0)*1000000+29*1000+7))</f>
        <v/>
      </c>
      <c r="J185" s="41">
        <f>IF(N('Dvd Calendar'!$L$2540)=0,"",IF(('Dvd Calendar'!$L$2540&gt;=MIN(DATE(Summary!$C$12,1,1),Summary!$C$11))*('Dvd Calendar'!$L$2540&lt;=MAX(DATE(Summary!$C$12,12,31),Summary!$C$15))*('Dvd Calendar'!$L$2540&lt;=Summary!$C$11)=0,"",'Dvd Calendar'!$L$2540*1000000000+ISNUMBER('Dvd Calendar'!$L$2541)*100000000+('Dvd Calendar'!$L$2545='Field Check'!$C$25)*10000000+(N('Dvd Calendar'!$L$2539)&gt;0)*1000000+29*1000+8))</f>
        <v/>
      </c>
      <c r="K185" s="41">
        <f>IF(N('Dvd Calendar'!$M$2540)=0,"",IF(('Dvd Calendar'!$M$2540&gt;=MIN(DATE(Summary!$C$12,1,1),Summary!$C$11))*('Dvd Calendar'!$M$2540&lt;=MAX(DATE(Summary!$C$12,12,31),Summary!$C$15))*('Dvd Calendar'!$M$2540&lt;=Summary!$C$11)=0,"",'Dvd Calendar'!$M$2540*1000000000+ISNUMBER('Dvd Calendar'!$M$2541)*100000000+('Dvd Calendar'!$M$2545='Field Check'!$C$25)*10000000+(N('Dvd Calendar'!$M$2539)&gt;0)*1000000+29*1000+9))</f>
        <v/>
      </c>
      <c r="L185" s="41">
        <f>IF(N('Dvd Calendar'!$N$2540)=0,"",IF(('Dvd Calendar'!$N$2540&gt;=MIN(DATE(Summary!$C$12,1,1),Summary!$C$11))*('Dvd Calendar'!$N$2540&lt;=MAX(DATE(Summary!$C$12,12,31),Summary!$C$15))*('Dvd Calendar'!$N$2540&lt;=Summary!$C$11)=0,"",'Dvd Calendar'!$N$2540*1000000000+ISNUMBER('Dvd Calendar'!$N$2541)*100000000+('Dvd Calendar'!$N$2545='Field Check'!$C$25)*10000000+(N('Dvd Calendar'!$N$2539)&gt;0)*1000000+29*1000+10))</f>
        <v/>
      </c>
      <c r="M185" s="41">
        <f>IF(N('Dvd Calendar'!$O$2540)=0,"",IF(('Dvd Calendar'!$O$2540&gt;=MIN(DATE(Summary!$C$12,1,1),Summary!$C$11))*('Dvd Calendar'!$O$2540&lt;=MAX(DATE(Summary!$C$12,12,31),Summary!$C$15))*('Dvd Calendar'!$O$2540&lt;=Summary!$C$11)=0,"",'Dvd Calendar'!$O$2540*1000000000+ISNUMBER('Dvd Calendar'!$O$2541)*100000000+('Dvd Calendar'!$O$2545='Field Check'!$C$25)*10000000+(N('Dvd Calendar'!$O$2539)&gt;0)*1000000+29*1000+11))</f>
        <v/>
      </c>
      <c r="N185" s="41">
        <f>IF(N('Dvd Calendar'!$P$2540)=0,"",IF(('Dvd Calendar'!$P$2540&gt;=MIN(DATE(Summary!$C$12,1,1),Summary!$C$11))*('Dvd Calendar'!$P$2540&lt;=MAX(DATE(Summary!$C$12,12,31),Summary!$C$15))*('Dvd Calendar'!$P$2540&lt;=Summary!$C$11)=0,"",'Dvd Calendar'!$P$2540*1000000000+ISNUMBER('Dvd Calendar'!$P$2541)*100000000+('Dvd Calendar'!$P$2545='Field Check'!$C$25)*10000000+(N('Dvd Calendar'!$P$2539)&gt;0)*1000000+29*1000+12))</f>
        <v/>
      </c>
      <c r="O185" s="41">
        <f>IF(N('Dvd Calendar'!$Q$2540)=0,"",IF(('Dvd Calendar'!$Q$2540&gt;=MIN(DATE(Summary!$C$12,1,1),Summary!$C$11))*('Dvd Calendar'!$Q$2540&lt;=MAX(DATE(Summary!$C$12,12,31),Summary!$C$15))*('Dvd Calendar'!$Q$2540&lt;=Summary!$C$11)=0,"",'Dvd Calendar'!$Q$2540*1000000000+ISNUMBER('Dvd Calendar'!$Q$2541)*100000000+('Dvd Calendar'!$Q$2545='Field Check'!$C$25)*10000000+(N('Dvd Calendar'!$Q$2539)&gt;0)*1000000+29*1000+13))</f>
        <v/>
      </c>
      <c r="P185" s="41">
        <f>IF(N('Dvd Calendar'!$R$2540)=0,"",IF(('Dvd Calendar'!$R$2540&gt;=MIN(DATE(Summary!$C$12,1,1),Summary!$C$11))*('Dvd Calendar'!$R$2540&lt;=MAX(DATE(Summary!$C$12,12,31),Summary!$C$15))*('Dvd Calendar'!$R$2540&lt;=Summary!$C$11)=0,"",'Dvd Calendar'!$R$2540*1000000000+ISNUMBER('Dvd Calendar'!$R$2541)*100000000+('Dvd Calendar'!$R$2545='Field Check'!$C$25)*10000000+(N('Dvd Calendar'!$R$2539)&gt;0)*1000000+29*1000+14))</f>
        <v/>
      </c>
      <c r="Q185" s="41">
        <f>IF(N('Dvd Calendar'!$S$2540)=0,"",IF(('Dvd Calendar'!$S$2540&gt;=MIN(DATE(Summary!$C$12,1,1),Summary!$C$11))*('Dvd Calendar'!$S$2540&lt;=MAX(DATE(Summary!$C$12,12,31),Summary!$C$15))*('Dvd Calendar'!$S$2540&lt;=Summary!$C$11)=0,"",'Dvd Calendar'!$S$2540*1000000000+ISNUMBER('Dvd Calendar'!$S$2541)*100000000+('Dvd Calendar'!$S$2545='Field Check'!$C$25)*10000000+(N('Dvd Calendar'!$S$2539)&gt;0)*1000000+29*1000+15))</f>
        <v/>
      </c>
      <c r="R185" s="41">
        <f>IF(N('Dvd Calendar'!$T$2540)=0,"",IF(('Dvd Calendar'!$T$2540&gt;=MIN(DATE(Summary!$C$12,1,1),Summary!$C$11))*('Dvd Calendar'!$T$2540&lt;=MAX(DATE(Summary!$C$12,12,31),Summary!$C$15))*('Dvd Calendar'!$T$2540&lt;=Summary!$C$11)=0,"",'Dvd Calendar'!$T$2540*1000000000+ISNUMBER('Dvd Calendar'!$T$2541)*100000000+('Dvd Calendar'!$T$2545='Field Check'!$C$25)*10000000+(N('Dvd Calendar'!$T$2539)&gt;0)*1000000+29*1000+16))</f>
        <v/>
      </c>
      <c r="S185" s="41">
        <f>IF(N('Dvd Calendar'!$U$2540)=0,"",IF(('Dvd Calendar'!$U$2540&gt;=MIN(DATE(Summary!$C$12,1,1),Summary!$C$11))*('Dvd Calendar'!$U$2540&lt;=MAX(DATE(Summary!$C$12,12,31),Summary!$C$15))*('Dvd Calendar'!$U$2540&lt;=Summary!$C$11)=0,"",'Dvd Calendar'!$U$2540*1000000000+ISNUMBER('Dvd Calendar'!$U$2541)*100000000+('Dvd Calendar'!$U$2545='Field Check'!$C$25)*10000000+(N('Dvd Calendar'!$U$2539)&gt;0)*1000000+29*1000+17))</f>
        <v/>
      </c>
      <c r="T185" s="41">
        <f>IF(N('Dvd Calendar'!$V$2540)=0,"",IF(('Dvd Calendar'!$V$2540&gt;=MIN(DATE(Summary!$C$12,1,1),Summary!$C$11))*('Dvd Calendar'!$V$2540&lt;=MAX(DATE(Summary!$C$12,12,31),Summary!$C$15))*('Dvd Calendar'!$V$2540&lt;=Summary!$C$11)=0,"",'Dvd Calendar'!$V$2540*1000000000+ISNUMBER('Dvd Calendar'!$V$2541)*100000000+('Dvd Calendar'!$V$2545='Field Check'!$C$25)*10000000+(N('Dvd Calendar'!$V$2539)&gt;0)*1000000+29*1000+18))</f>
        <v/>
      </c>
      <c r="U185" s="41">
        <f>IF(N('Dvd Calendar'!$W$2540)=0,"",IF(('Dvd Calendar'!$W$2540&gt;=MIN(DATE(Summary!$C$12,1,1),Summary!$C$11))*('Dvd Calendar'!$W$2540&lt;=MAX(DATE(Summary!$C$12,12,31),Summary!$C$15))*('Dvd Calendar'!$W$2540&lt;=Summary!$C$11)=0,"",'Dvd Calendar'!$W$2540*1000000000+ISNUMBER('Dvd Calendar'!$W$2541)*100000000+('Dvd Calendar'!$W$2545='Field Check'!$C$25)*10000000+(N('Dvd Calendar'!$W$2539)&gt;0)*1000000+29*1000+19))</f>
        <v/>
      </c>
      <c r="V185" s="41">
        <f>IF(N('Dvd Calendar'!$X$2540)=0,"",IF(('Dvd Calendar'!$X$2540&gt;=MIN(DATE(Summary!$C$12,1,1),Summary!$C$11))*('Dvd Calendar'!$X$2540&lt;=MAX(DATE(Summary!$C$12,12,31),Summary!$C$15))*('Dvd Calendar'!$X$2540&lt;=Summary!$C$11)=0,"",'Dvd Calendar'!$X$2540*1000000000+ISNUMBER('Dvd Calendar'!$X$2541)*100000000+('Dvd Calendar'!$X$2545='Field Check'!$C$25)*10000000+(N('Dvd Calendar'!$X$2539)&gt;0)*1000000+29*1000+20))</f>
        <v/>
      </c>
      <c r="W185" s="41">
        <f>IF(N('Dvd Calendar'!$Y$2540)=0,"",IF(('Dvd Calendar'!$Y$2540&gt;=MIN(DATE(Summary!$C$12,1,1),Summary!$C$11))*('Dvd Calendar'!$Y$2540&lt;=MAX(DATE(Summary!$C$12,12,31),Summary!$C$15))*('Dvd Calendar'!$Y$2540&lt;=Summary!$C$11)=0,"",'Dvd Calendar'!$Y$2540*1000000000+ISNUMBER('Dvd Calendar'!$Y$2541)*100000000+('Dvd Calendar'!$Y$2545='Field Check'!$C$25)*10000000+(N('Dvd Calendar'!$Y$2539)&gt;0)*1000000+29*1000+21))</f>
        <v/>
      </c>
      <c r="X185" s="41">
        <f>IF(N('Dvd Calendar'!$Z$2540)=0,"",IF(('Dvd Calendar'!$Z$2540&gt;=MIN(DATE(Summary!$C$12,1,1),Summary!$C$11))*('Dvd Calendar'!$Z$2540&lt;=MAX(DATE(Summary!$C$12,12,31),Summary!$C$15))*('Dvd Calendar'!$Z$2540&lt;=Summary!$C$11)=0,"",'Dvd Calendar'!$Z$2540*1000000000+ISNUMBER('Dvd Calendar'!$Z$2541)*100000000+('Dvd Calendar'!$Z$2545='Field Check'!$C$25)*10000000+(N('Dvd Calendar'!$Z$2539)&gt;0)*1000000+29*1000+22))</f>
        <v/>
      </c>
      <c r="Y185" s="41">
        <f>IF(N('Dvd Calendar'!$AA$2540)=0,"",IF(('Dvd Calendar'!$AA$2540&gt;=MIN(DATE(Summary!$C$12,1,1),Summary!$C$11))*('Dvd Calendar'!$AA$2540&lt;=MAX(DATE(Summary!$C$12,12,31),Summary!$C$15))*('Dvd Calendar'!$AA$2540&lt;=Summary!$C$11)=0,"",'Dvd Calendar'!$AA$2540*1000000000+ISNUMBER('Dvd Calendar'!$AA$2541)*100000000+('Dvd Calendar'!$AA$2545='Field Check'!$C$25)*10000000+(N('Dvd Calendar'!$AA$2539)&gt;0)*1000000+29*1000+23))</f>
        <v/>
      </c>
      <c r="Z185" s="41">
        <f>IF(N('Dvd Calendar'!$AB$2540)=0,"",IF(('Dvd Calendar'!$AB$2540&gt;=MIN(DATE(Summary!$C$12,1,1),Summary!$C$11))*('Dvd Calendar'!$AB$2540&lt;=MAX(DATE(Summary!$C$12,12,31),Summary!$C$15))*('Dvd Calendar'!$AB$2540&lt;=Summary!$C$11)=0,"",'Dvd Calendar'!$AB$2540*1000000000+ISNUMBER('Dvd Calendar'!$AB$2541)*100000000+('Dvd Calendar'!$AB$2545='Field Check'!$C$25)*10000000+(N('Dvd Calendar'!$AB$2539)&gt;0)*1000000+29*1000+24))</f>
        <v/>
      </c>
      <c r="AA185" s="41">
        <f>IF(N('Dvd Calendar'!$AC$2540)=0,"",IF(('Dvd Calendar'!$AC$2540&gt;=MIN(DATE(Summary!$C$12,1,1),Summary!$C$11))*('Dvd Calendar'!$AC$2540&lt;=MAX(DATE(Summary!$C$12,12,31),Summary!$C$15))*('Dvd Calendar'!$AC$2540&lt;=Summary!$C$11)=0,"",'Dvd Calendar'!$AC$2540*1000000000+ISNUMBER('Dvd Calendar'!$AC$2541)*100000000+('Dvd Calendar'!$AC$2545='Field Check'!$C$25)*10000000+(N('Dvd Calendar'!$AC$2539)&gt;0)*1000000+29*1000+25))</f>
        <v/>
      </c>
      <c r="AB185" s="41">
        <f>IF(N('Dvd Calendar'!$AD$2540)=0,"",IF(('Dvd Calendar'!$AD$2540&gt;=MIN(DATE(Summary!$C$12,1,1),Summary!$C$11))*('Dvd Calendar'!$AD$2540&lt;=MAX(DATE(Summary!$C$12,12,31),Summary!$C$15))*('Dvd Calendar'!$AD$2540&lt;=Summary!$C$11)=0,"",'Dvd Calendar'!$AD$2540*1000000000+ISNUMBER('Dvd Calendar'!$AD$2541)*100000000+('Dvd Calendar'!$AD$2545='Field Check'!$C$25)*10000000+(N('Dvd Calendar'!$AD$2539)&gt;0)*1000000+29*1000+26))</f>
        <v/>
      </c>
      <c r="AC185" s="41">
        <f>IF(N('Dvd Calendar'!$AE$2540)=0,"",IF(('Dvd Calendar'!$AE$2540&gt;=MIN(DATE(Summary!$C$12,1,1),Summary!$C$11))*('Dvd Calendar'!$AE$2540&lt;=MAX(DATE(Summary!$C$12,12,31),Summary!$C$15))*('Dvd Calendar'!$AE$2540&lt;=Summary!$C$11)=0,"",'Dvd Calendar'!$AE$2540*1000000000+ISNUMBER('Dvd Calendar'!$AE$2541)*100000000+('Dvd Calendar'!$AE$2545='Field Check'!$C$25)*10000000+(N('Dvd Calendar'!$AE$2539)&gt;0)*1000000+29*1000+27))</f>
        <v/>
      </c>
      <c r="AD185" s="41">
        <f>IF(N('Dvd Calendar'!$AF$2540)=0,"",IF(('Dvd Calendar'!$AF$2540&gt;=MIN(DATE(Summary!$C$12,1,1),Summary!$C$11))*('Dvd Calendar'!$AF$2540&lt;=MAX(DATE(Summary!$C$12,12,31),Summary!$C$15))*('Dvd Calendar'!$AF$2540&lt;=Summary!$C$11)=0,"",'Dvd Calendar'!$AF$2540*1000000000+ISNUMBER('Dvd Calendar'!$AF$2541)*100000000+('Dvd Calendar'!$AF$2545='Field Check'!$C$25)*10000000+(N('Dvd Calendar'!$AF$2539)&gt;0)*1000000+29*1000+28))</f>
        <v/>
      </c>
      <c r="AE185" s="41">
        <f>IF(N('Dvd Calendar'!$AG$2540)=0,"",IF(('Dvd Calendar'!$AG$2540&gt;=MIN(DATE(Summary!$C$12,1,1),Summary!$C$11))*('Dvd Calendar'!$AG$2540&lt;=MAX(DATE(Summary!$C$12,12,31),Summary!$C$15))*('Dvd Calendar'!$AG$2540&lt;=Summary!$C$11)=0,"",'Dvd Calendar'!$AG$2540*1000000000+ISNUMBER('Dvd Calendar'!$AG$2541)*100000000+('Dvd Calendar'!$AG$2545='Field Check'!$C$25)*10000000+(N('Dvd Calendar'!$AG$2539)&gt;0)*1000000+29*1000+29))</f>
        <v/>
      </c>
      <c r="AF185" s="41">
        <f>IF(N('Dvd Calendar'!$AH$2540)=0,"",IF(('Dvd Calendar'!$AH$2540&gt;=MIN(DATE(Summary!$C$12,1,1),Summary!$C$11))*('Dvd Calendar'!$AH$2540&lt;=MAX(DATE(Summary!$C$12,12,31),Summary!$C$15))*('Dvd Calendar'!$AH$2540&lt;=Summary!$C$11)=0,"",'Dvd Calendar'!$AH$2540*1000000000+ISNUMBER('Dvd Calendar'!$AH$2541)*100000000+('Dvd Calendar'!$AH$2545='Field Check'!$C$25)*10000000+(N('Dvd Calendar'!$AH$2539)&gt;0)*1000000+29*1000+30))</f>
        <v/>
      </c>
      <c r="AG185" s="41">
        <f>IF(N('Dvd Calendar'!$AI$2540)=0,"",IF(('Dvd Calendar'!$AI$2540&gt;=MIN(DATE(Summary!$C$12,1,1),Summary!$C$11))*('Dvd Calendar'!$AI$2540&lt;=MAX(DATE(Summary!$C$12,12,31),Summary!$C$15))*('Dvd Calendar'!$AI$2540&lt;=Summary!$C$11)=0,"",'Dvd Calendar'!$AI$2540*1000000000+ISNUMBER('Dvd Calendar'!$AI$2541)*100000000+('Dvd Calendar'!$AI$2545='Field Check'!$C$25)*10000000+(N('Dvd Calendar'!$AI$2539)&gt;0)*1000000+29*1000+31))</f>
        <v/>
      </c>
      <c r="AH185" s="41">
        <f>IF(N('Dvd Calendar'!$AJ$2540)=0,"",IF(('Dvd Calendar'!$AJ$2540&gt;=MIN(DATE(Summary!$C$12,1,1),Summary!$C$11))*('Dvd Calendar'!$AJ$2540&lt;=MAX(DATE(Summary!$C$12,12,31),Summary!$C$15))*('Dvd Calendar'!$AJ$2540&lt;=Summary!$C$11)=0,"",'Dvd Calendar'!$AJ$2540*1000000000+ISNUMBER('Dvd Calendar'!$AJ$2541)*100000000+('Dvd Calendar'!$AJ$2545='Field Check'!$C$25)*10000000+(N('Dvd Calendar'!$AJ$2539)&gt;0)*1000000+29*1000+32))</f>
        <v/>
      </c>
      <c r="AI185" s="41">
        <f>IF(N('Dvd Calendar'!$AK$2540)=0,"",IF(('Dvd Calendar'!$AK$2540&gt;=MIN(DATE(Summary!$C$12,1,1),Summary!$C$11))*('Dvd Calendar'!$AK$2540&lt;=MAX(DATE(Summary!$C$12,12,31),Summary!$C$15))*('Dvd Calendar'!$AK$2540&lt;=Summary!$C$11)=0,"",'Dvd Calendar'!$AK$2540*1000000000+ISNUMBER('Dvd Calendar'!$AK$2541)*100000000+('Dvd Calendar'!$AK$2545='Field Check'!$C$25)*10000000+(N('Dvd Calendar'!$AK$2539)&gt;0)*1000000+29*1000+33))</f>
        <v/>
      </c>
      <c r="AJ185" s="41">
        <f>IF(N('Dvd Calendar'!$AL$2540)=0,"",IF(('Dvd Calendar'!$AL$2540&gt;=MIN(DATE(Summary!$C$12,1,1),Summary!$C$11))*('Dvd Calendar'!$AL$2540&lt;=MAX(DATE(Summary!$C$12,12,31),Summary!$C$15))*('Dvd Calendar'!$AL$2540&lt;=Summary!$C$11)=0,"",'Dvd Calendar'!$AL$2540*1000000000+ISNUMBER('Dvd Calendar'!$AL$2541)*100000000+('Dvd Calendar'!$AL$2545='Field Check'!$C$25)*10000000+(N('Dvd Calendar'!$AL$2539)&gt;0)*1000000+29*1000+34))</f>
        <v/>
      </c>
      <c r="AK185" s="41">
        <f>IF(N('Dvd Calendar'!$AM$2540)=0,"",IF(('Dvd Calendar'!$AM$2540&gt;=MIN(DATE(Summary!$C$12,1,1),Summary!$C$11))*('Dvd Calendar'!$AM$2540&lt;=MAX(DATE(Summary!$C$12,12,31),Summary!$C$15))*('Dvd Calendar'!$AM$2540&lt;=Summary!$C$11)=0,"",'Dvd Calendar'!$AM$2540*1000000000+ISNUMBER('Dvd Calendar'!$AM$2541)*100000000+('Dvd Calendar'!$AM$2545='Field Check'!$C$25)*10000000+(N('Dvd Calendar'!$AM$2539)&gt;0)*1000000+29*1000+35))</f>
        <v/>
      </c>
      <c r="AL185" s="41">
        <f>IF(N('Dvd Calendar'!$AN$2540)=0,"",IF(('Dvd Calendar'!$AN$2540&gt;=MIN(DATE(Summary!$C$12,1,1),Summary!$C$11))*('Dvd Calendar'!$AN$2540&lt;=MAX(DATE(Summary!$C$12,12,31),Summary!$C$15))*('Dvd Calendar'!$AN$2540&lt;=Summary!$C$11)=0,"",'Dvd Calendar'!$AN$2540*1000000000+ISNUMBER('Dvd Calendar'!$AN$2541)*100000000+('Dvd Calendar'!$AN$2545='Field Check'!$C$25)*10000000+(N('Dvd Calendar'!$AN$2539)&gt;0)*1000000+29*1000+36))</f>
        <v/>
      </c>
      <c r="AM185" s="41">
        <f>IF(N('Dvd Calendar'!$AO$2540)=0,"",IF(('Dvd Calendar'!$AO$2540&gt;=MIN(DATE(Summary!$C$12,1,1),Summary!$C$11))*('Dvd Calendar'!$AO$2540&lt;=MAX(DATE(Summary!$C$12,12,31),Summary!$C$15))*('Dvd Calendar'!$AO$2540&lt;=Summary!$C$11)=0,"",'Dvd Calendar'!$AO$2540*1000000000+ISNUMBER('Dvd Calendar'!$AO$2541)*100000000+('Dvd Calendar'!$AO$2545='Field Check'!$C$25)*10000000+(N('Dvd Calendar'!$AO$2539)&gt;0)*1000000+29*1000+37))</f>
        <v/>
      </c>
      <c r="AN185" s="41">
        <f>IF(N('Dvd Calendar'!$AP$2540)=0,"",IF(('Dvd Calendar'!$AP$2540&gt;=MIN(DATE(Summary!$C$12,1,1),Summary!$C$11))*('Dvd Calendar'!$AP$2540&lt;=MAX(DATE(Summary!$C$12,12,31),Summary!$C$15))*('Dvd Calendar'!$AP$2540&lt;=Summary!$C$11)=0,"",'Dvd Calendar'!$AP$2540*1000000000+ISNUMBER('Dvd Calendar'!$AP$2541)*100000000+('Dvd Calendar'!$AP$2545='Field Check'!$C$25)*10000000+(N('Dvd Calendar'!$AP$2539)&gt;0)*1000000+29*1000+38))</f>
        <v/>
      </c>
      <c r="AO185" s="41">
        <f>IF(N('Dvd Calendar'!$AQ$2540)=0,"",IF(('Dvd Calendar'!$AQ$2540&gt;=MIN(DATE(Summary!$C$12,1,1),Summary!$C$11))*('Dvd Calendar'!$AQ$2540&lt;=MAX(DATE(Summary!$C$12,12,31),Summary!$C$15))*('Dvd Calendar'!$AQ$2540&lt;=Summary!$C$11)=0,"",'Dvd Calendar'!$AQ$2540*1000000000+ISNUMBER('Dvd Calendar'!$AQ$2541)*100000000+('Dvd Calendar'!$AQ$2545='Field Check'!$C$25)*10000000+(N('Dvd Calendar'!$AQ$2539)&gt;0)*1000000+29*1000+39))</f>
        <v/>
      </c>
      <c r="AP185" s="41">
        <f>IF(N('Dvd Calendar'!$AR$2540)=0,"",IF(('Dvd Calendar'!$AR$2540&gt;=MIN(DATE(Summary!$C$12,1,1),Summary!$C$11))*('Dvd Calendar'!$AR$2540&lt;=MAX(DATE(Summary!$C$12,12,31),Summary!$C$15))*('Dvd Calendar'!$AR$2540&lt;=Summary!$C$11)=0,"",'Dvd Calendar'!$AR$2540*1000000000+ISNUMBER('Dvd Calendar'!$AR$2541)*100000000+('Dvd Calendar'!$AR$2545='Field Check'!$C$25)*10000000+(N('Dvd Calendar'!$AR$2539)&gt;0)*1000000+29*1000+40))</f>
        <v/>
      </c>
      <c r="AQ185" s="41">
        <f>IF(N('Dvd Calendar'!$E$2547)=0,"",IF(('Dvd Calendar'!$E$2547&gt;=MIN(DATE(Summary!$C$12,1,1),Summary!$C$11))*('Dvd Calendar'!$E$2547&lt;=MAX(DATE(Summary!$C$12,12,31),Summary!$C$15))*('Dvd Calendar'!$E$2547&gt;Summary!$C$11)=0,"",'Dvd Calendar'!$E$2547*1000000000+ISNUMBER('Dvd Calendar'!$E$2548)*100000000+('Dvd Calendar'!$E$2552='Field Check'!$C$25)*10000000+(N('Dvd Calendar'!$E$2546)&gt;0)*1000000+29*1000+41))</f>
        <v/>
      </c>
      <c r="AR185" s="41">
        <f>IF(N('Dvd Calendar'!$F$2547)=0,"",IF(('Dvd Calendar'!$F$2547&gt;=MIN(DATE(Summary!$C$12,1,1),Summary!$C$11))*('Dvd Calendar'!$F$2547&lt;=MAX(DATE(Summary!$C$12,12,31),Summary!$C$15))*('Dvd Calendar'!$F$2547&gt;Summary!$C$11)=0,"",'Dvd Calendar'!$F$2547*1000000000+ISNUMBER('Dvd Calendar'!$F$2548)*100000000+('Dvd Calendar'!$F$2552='Field Check'!$C$25)*10000000+(N('Dvd Calendar'!$F$2546)&gt;0)*1000000+29*1000+42))</f>
        <v/>
      </c>
      <c r="AS185" s="41">
        <f>IF(N('Dvd Calendar'!$G$2547)=0,"",IF(('Dvd Calendar'!$G$2547&gt;=MIN(DATE(Summary!$C$12,1,1),Summary!$C$11))*('Dvd Calendar'!$G$2547&lt;=MAX(DATE(Summary!$C$12,12,31),Summary!$C$15))*('Dvd Calendar'!$G$2547&gt;Summary!$C$11)=0,"",'Dvd Calendar'!$G$2547*1000000000+ISNUMBER('Dvd Calendar'!$G$2548)*100000000+('Dvd Calendar'!$G$2552='Field Check'!$C$25)*10000000+(N('Dvd Calendar'!$G$2546)&gt;0)*1000000+29*1000+43))</f>
        <v/>
      </c>
      <c r="AT185" s="41">
        <f>IF(N('Dvd Calendar'!$H$2547)=0,"",IF(('Dvd Calendar'!$H$2547&gt;=MIN(DATE(Summary!$C$12,1,1),Summary!$C$11))*('Dvd Calendar'!$H$2547&lt;=MAX(DATE(Summary!$C$12,12,31),Summary!$C$15))*('Dvd Calendar'!$H$2547&gt;Summary!$C$11)=0,"",'Dvd Calendar'!$H$2547*1000000000+ISNUMBER('Dvd Calendar'!$H$2548)*100000000+('Dvd Calendar'!$H$2552='Field Check'!$C$25)*10000000+(N('Dvd Calendar'!$H$2546)&gt;0)*1000000+29*1000+44))</f>
        <v/>
      </c>
      <c r="AU185" s="41">
        <f>IF(N('Dvd Calendar'!$I$2547)=0,"",IF(('Dvd Calendar'!$I$2547&gt;=MIN(DATE(Summary!$C$12,1,1),Summary!$C$11))*('Dvd Calendar'!$I$2547&lt;=MAX(DATE(Summary!$C$12,12,31),Summary!$C$15))*('Dvd Calendar'!$I$2547&gt;Summary!$C$11)=0,"",'Dvd Calendar'!$I$2547*1000000000+ISNUMBER('Dvd Calendar'!$I$2548)*100000000+('Dvd Calendar'!$I$2552='Field Check'!$C$25)*10000000+(N('Dvd Calendar'!$I$2546)&gt;0)*1000000+29*1000+45))</f>
        <v/>
      </c>
      <c r="AV185" s="41">
        <f>IF(N('Dvd Calendar'!$J$2547)=0,"",IF(('Dvd Calendar'!$J$2547&gt;=MIN(DATE(Summary!$C$12,1,1),Summary!$C$11))*('Dvd Calendar'!$J$2547&lt;=MAX(DATE(Summary!$C$12,12,31),Summary!$C$15))*('Dvd Calendar'!$J$2547&gt;Summary!$C$11)=0,"",'Dvd Calendar'!$J$2547*1000000000+ISNUMBER('Dvd Calendar'!$J$2548)*100000000+('Dvd Calendar'!$J$2552='Field Check'!$C$25)*10000000+(N('Dvd Calendar'!$J$2546)&gt;0)*1000000+29*1000+46))</f>
        <v/>
      </c>
      <c r="AW185" s="41">
        <f>IF(N('Dvd Calendar'!$K$2547)=0,"",IF(('Dvd Calendar'!$K$2547&gt;=MIN(DATE(Summary!$C$12,1,1),Summary!$C$11))*('Dvd Calendar'!$K$2547&lt;=MAX(DATE(Summary!$C$12,12,31),Summary!$C$15))*('Dvd Calendar'!$K$2547&gt;Summary!$C$11)=0,"",'Dvd Calendar'!$K$2547*1000000000+ISNUMBER('Dvd Calendar'!$K$2548)*100000000+('Dvd Calendar'!$K$2552='Field Check'!$C$25)*10000000+(N('Dvd Calendar'!$K$2546)&gt;0)*1000000+29*1000+47))</f>
        <v/>
      </c>
      <c r="AX185" s="41">
        <f>IF(N('Dvd Calendar'!$L$2547)=0,"",IF(('Dvd Calendar'!$L$2547&gt;=MIN(DATE(Summary!$C$12,1,1),Summary!$C$11))*('Dvd Calendar'!$L$2547&lt;=MAX(DATE(Summary!$C$12,12,31),Summary!$C$15))*('Dvd Calendar'!$L$2547&gt;Summary!$C$11)=0,"",'Dvd Calendar'!$L$2547*1000000000+ISNUMBER('Dvd Calendar'!$L$2548)*100000000+('Dvd Calendar'!$L$2552='Field Check'!$C$25)*10000000+(N('Dvd Calendar'!$L$2546)&gt;0)*1000000+29*1000+48))</f>
        <v/>
      </c>
      <c r="AY185" s="41">
        <f>IF(N('Dvd Calendar'!$M$2547)=0,"",IF(('Dvd Calendar'!$M$2547&gt;=MIN(DATE(Summary!$C$12,1,1),Summary!$C$11))*('Dvd Calendar'!$M$2547&lt;=MAX(DATE(Summary!$C$12,12,31),Summary!$C$15))*('Dvd Calendar'!$M$2547&gt;Summary!$C$11)=0,"",'Dvd Calendar'!$M$2547*1000000000+ISNUMBER('Dvd Calendar'!$M$2548)*100000000+('Dvd Calendar'!$M$2552='Field Check'!$C$25)*10000000+(N('Dvd Calendar'!$M$2546)&gt;0)*1000000+29*1000+49))</f>
        <v/>
      </c>
      <c r="AZ185" s="41">
        <f>IF(N('Dvd Calendar'!$N$2547)=0,"",IF(('Dvd Calendar'!$N$2547&gt;=MIN(DATE(Summary!$C$12,1,1),Summary!$C$11))*('Dvd Calendar'!$N$2547&lt;=MAX(DATE(Summary!$C$12,12,31),Summary!$C$15))*('Dvd Calendar'!$N$2547&gt;Summary!$C$11)=0,"",'Dvd Calendar'!$N$2547*1000000000+ISNUMBER('Dvd Calendar'!$N$2548)*100000000+('Dvd Calendar'!$N$2552='Field Check'!$C$25)*10000000+(N('Dvd Calendar'!$N$2546)&gt;0)*1000000+29*1000+50))</f>
        <v/>
      </c>
      <c r="BA185" s="41">
        <f>IF(N('Dvd Calendar'!$O$2547)=0,"",IF(('Dvd Calendar'!$O$2547&gt;=MIN(DATE(Summary!$C$12,1,1),Summary!$C$11))*('Dvd Calendar'!$O$2547&lt;=MAX(DATE(Summary!$C$12,12,31),Summary!$C$15))*('Dvd Calendar'!$O$2547&gt;Summary!$C$11)=0,"",'Dvd Calendar'!$O$2547*1000000000+ISNUMBER('Dvd Calendar'!$O$2548)*100000000+('Dvd Calendar'!$O$2552='Field Check'!$C$25)*10000000+(N('Dvd Calendar'!$O$2546)&gt;0)*1000000+29*1000+51))</f>
        <v/>
      </c>
      <c r="BB185" s="41">
        <f>IF(N('Dvd Calendar'!$P$2547)=0,"",IF(('Dvd Calendar'!$P$2547&gt;=MIN(DATE(Summary!$C$12,1,1),Summary!$C$11))*('Dvd Calendar'!$P$2547&lt;=MAX(DATE(Summary!$C$12,12,31),Summary!$C$15))*('Dvd Calendar'!$P$2547&gt;Summary!$C$11)=0,"",'Dvd Calendar'!$P$2547*1000000000+ISNUMBER('Dvd Calendar'!$P$2548)*100000000+('Dvd Calendar'!$P$2552='Field Check'!$C$25)*10000000+(N('Dvd Calendar'!$P$2546)&gt;0)*1000000+29*1000+52))</f>
        <v/>
      </c>
      <c r="BC185" s="41">
        <f>IF(N('Dvd Calendar'!$Q$2547)=0,"",IF(('Dvd Calendar'!$Q$2547&gt;=MIN(DATE(Summary!$C$12,1,1),Summary!$C$11))*('Dvd Calendar'!$Q$2547&lt;=MAX(DATE(Summary!$C$12,12,31),Summary!$C$15))*('Dvd Calendar'!$Q$2547&gt;Summary!$C$11)=0,"",'Dvd Calendar'!$Q$2547*1000000000+ISNUMBER('Dvd Calendar'!$Q$2548)*100000000+('Dvd Calendar'!$Q$2552='Field Check'!$C$25)*10000000+(N('Dvd Calendar'!$Q$2546)&gt;0)*1000000+29*1000+53))</f>
        <v/>
      </c>
      <c r="BD185" s="41">
        <f>IF(N('Dvd Calendar'!$R$2547)=0,"",IF(('Dvd Calendar'!$R$2547&gt;=MIN(DATE(Summary!$C$12,1,1),Summary!$C$11))*('Dvd Calendar'!$R$2547&lt;=MAX(DATE(Summary!$C$12,12,31),Summary!$C$15))*('Dvd Calendar'!$R$2547&gt;Summary!$C$11)=0,"",'Dvd Calendar'!$R$2547*1000000000+ISNUMBER('Dvd Calendar'!$R$2548)*100000000+('Dvd Calendar'!$R$2552='Field Check'!$C$25)*10000000+(N('Dvd Calendar'!$R$2546)&gt;0)*1000000+29*1000+54))</f>
        <v/>
      </c>
      <c r="BE185" s="41">
        <f>IF(N('Dvd Calendar'!$S$2547)=0,"",IF(('Dvd Calendar'!$S$2547&gt;=MIN(DATE(Summary!$C$12,1,1),Summary!$C$11))*('Dvd Calendar'!$S$2547&lt;=MAX(DATE(Summary!$C$12,12,31),Summary!$C$15))*('Dvd Calendar'!$S$2547&gt;Summary!$C$11)=0,"",'Dvd Calendar'!$S$2547*1000000000+ISNUMBER('Dvd Calendar'!$S$2548)*100000000+('Dvd Calendar'!$S$2552='Field Check'!$C$25)*10000000+(N('Dvd Calendar'!$S$2546)&gt;0)*1000000+29*1000+55))</f>
        <v/>
      </c>
      <c r="BF185" s="41">
        <f>IF(N('Dvd Calendar'!$T$2547)=0,"",IF(('Dvd Calendar'!$T$2547&gt;=MIN(DATE(Summary!$C$12,1,1),Summary!$C$11))*('Dvd Calendar'!$T$2547&lt;=MAX(DATE(Summary!$C$12,12,31),Summary!$C$15))*('Dvd Calendar'!$T$2547&gt;Summary!$C$11)=0,"",'Dvd Calendar'!$T$2547*1000000000+ISNUMBER('Dvd Calendar'!$T$2548)*100000000+('Dvd Calendar'!$T$2552='Field Check'!$C$25)*10000000+(N('Dvd Calendar'!$T$2546)&gt;0)*1000000+29*1000+56))</f>
        <v/>
      </c>
      <c r="BG185" s="41">
        <f>IF(N('Dvd Calendar'!$U$2547)=0,"",IF(('Dvd Calendar'!$U$2547&gt;=MIN(DATE(Summary!$C$12,1,1),Summary!$C$11))*('Dvd Calendar'!$U$2547&lt;=MAX(DATE(Summary!$C$12,12,31),Summary!$C$15))*('Dvd Calendar'!$U$2547&gt;Summary!$C$11)=0,"",'Dvd Calendar'!$U$2547*1000000000+ISNUMBER('Dvd Calendar'!$U$2548)*100000000+('Dvd Calendar'!$U$2552='Field Check'!$C$25)*10000000+(N('Dvd Calendar'!$U$2546)&gt;0)*1000000+29*1000+57))</f>
        <v/>
      </c>
      <c r="BH185" s="41">
        <f>IF(N('Dvd Calendar'!$V$2547)=0,"",IF(('Dvd Calendar'!$V$2547&gt;=MIN(DATE(Summary!$C$12,1,1),Summary!$C$11))*('Dvd Calendar'!$V$2547&lt;=MAX(DATE(Summary!$C$12,12,31),Summary!$C$15))*('Dvd Calendar'!$V$2547&gt;Summary!$C$11)=0,"",'Dvd Calendar'!$V$2547*1000000000+ISNUMBER('Dvd Calendar'!$V$2548)*100000000+('Dvd Calendar'!$V$2552='Field Check'!$C$25)*10000000+(N('Dvd Calendar'!$V$2546)&gt;0)*1000000+29*1000+58))</f>
        <v/>
      </c>
      <c r="BI185" s="41">
        <f>IF(N('Dvd Calendar'!$W$2547)=0,"",IF(('Dvd Calendar'!$W$2547&gt;=MIN(DATE(Summary!$C$12,1,1),Summary!$C$11))*('Dvd Calendar'!$W$2547&lt;=MAX(DATE(Summary!$C$12,12,31),Summary!$C$15))*('Dvd Calendar'!$W$2547&gt;Summary!$C$11)=0,"",'Dvd Calendar'!$W$2547*1000000000+ISNUMBER('Dvd Calendar'!$W$2548)*100000000+('Dvd Calendar'!$W$2552='Field Check'!$C$25)*10000000+(N('Dvd Calendar'!$W$2546)&gt;0)*1000000+29*1000+59))</f>
        <v/>
      </c>
      <c r="BJ185" s="41">
        <f>IF(N('Dvd Calendar'!$X$2547)=0,"",IF(('Dvd Calendar'!$X$2547&gt;=MIN(DATE(Summary!$C$12,1,1),Summary!$C$11))*('Dvd Calendar'!$X$2547&lt;=MAX(DATE(Summary!$C$12,12,31),Summary!$C$15))*('Dvd Calendar'!$X$2547&gt;Summary!$C$11)=0,"",'Dvd Calendar'!$X$2547*1000000000+ISNUMBER('Dvd Calendar'!$X$2548)*100000000+('Dvd Calendar'!$X$2552='Field Check'!$C$25)*10000000+(N('Dvd Calendar'!$X$2546)&gt;0)*1000000+29*1000+60))</f>
        <v/>
      </c>
      <c r="BK185" s="41">
        <f>IF(N('Dvd Calendar'!$Y$2547)=0,"",IF(('Dvd Calendar'!$Y$2547&gt;=MIN(DATE(Summary!$C$12,1,1),Summary!$C$11))*('Dvd Calendar'!$Y$2547&lt;=MAX(DATE(Summary!$C$12,12,31),Summary!$C$15))*('Dvd Calendar'!$Y$2547&gt;Summary!$C$11)=0,"",'Dvd Calendar'!$Y$2547*1000000000+ISNUMBER('Dvd Calendar'!$Y$2548)*100000000+('Dvd Calendar'!$Y$2552='Field Check'!$C$25)*10000000+(N('Dvd Calendar'!$Y$2546)&gt;0)*1000000+29*1000+61))</f>
        <v/>
      </c>
      <c r="BL185" s="41">
        <f>IF(N('Dvd Calendar'!$Z$2547)=0,"",IF(('Dvd Calendar'!$Z$2547&gt;=MIN(DATE(Summary!$C$12,1,1),Summary!$C$11))*('Dvd Calendar'!$Z$2547&lt;=MAX(DATE(Summary!$C$12,12,31),Summary!$C$15))*('Dvd Calendar'!$Z$2547&gt;Summary!$C$11)=0,"",'Dvd Calendar'!$Z$2547*1000000000+ISNUMBER('Dvd Calendar'!$Z$2548)*100000000+('Dvd Calendar'!$Z$2552='Field Check'!$C$25)*10000000+(N('Dvd Calendar'!$Z$2546)&gt;0)*1000000+29*1000+62))</f>
        <v/>
      </c>
      <c r="BM185" s="41">
        <f>IF(N('Dvd Calendar'!$AA$2547)=0,"",IF(('Dvd Calendar'!$AA$2547&gt;=MIN(DATE(Summary!$C$12,1,1),Summary!$C$11))*('Dvd Calendar'!$AA$2547&lt;=MAX(DATE(Summary!$C$12,12,31),Summary!$C$15))*('Dvd Calendar'!$AA$2547&gt;Summary!$C$11)=0,"",'Dvd Calendar'!$AA$2547*1000000000+ISNUMBER('Dvd Calendar'!$AA$2548)*100000000+('Dvd Calendar'!$AA$2552='Field Check'!$C$25)*10000000+(N('Dvd Calendar'!$AA$2546)&gt;0)*1000000+29*1000+63))</f>
        <v/>
      </c>
      <c r="BN185" s="41">
        <f>IF(N('Dvd Calendar'!$AB$2547)=0,"",IF(('Dvd Calendar'!$AB$2547&gt;=MIN(DATE(Summary!$C$12,1,1),Summary!$C$11))*('Dvd Calendar'!$AB$2547&lt;=MAX(DATE(Summary!$C$12,12,31),Summary!$C$15))*('Dvd Calendar'!$AB$2547&gt;Summary!$C$11)=0,"",'Dvd Calendar'!$AB$2547*1000000000+ISNUMBER('Dvd Calendar'!$AB$2548)*100000000+('Dvd Calendar'!$AB$2552='Field Check'!$C$25)*10000000+(N('Dvd Calendar'!$AB$2546)&gt;0)*1000000+29*1000+64))</f>
        <v/>
      </c>
      <c r="BO185" s="41">
        <f>IF(N('Dvd Calendar'!$AC$2547)=0,"",IF(('Dvd Calendar'!$AC$2547&gt;=MIN(DATE(Summary!$C$12,1,1),Summary!$C$11))*('Dvd Calendar'!$AC$2547&lt;=MAX(DATE(Summary!$C$12,12,31),Summary!$C$15))*('Dvd Calendar'!$AC$2547&gt;Summary!$C$11)=0,"",'Dvd Calendar'!$AC$2547*1000000000+ISNUMBER('Dvd Calendar'!$AC$2548)*100000000+('Dvd Calendar'!$AC$2552='Field Check'!$C$25)*10000000+(N('Dvd Calendar'!$AC$2546)&gt;0)*1000000+29*1000+65))</f>
        <v/>
      </c>
      <c r="BQ185" s="85">
        <f>IF(C185="","",IF(ISNUMBER('Dvd Calendar'!$E$2541)=FALSE,"",IF((Summary!$C$13="N")*('Dvd Calendar'!$E$2545='Field Check'!$C$25)&gt;0,"",'Dvd Calendar'!$E$2541)))</f>
        <v/>
      </c>
      <c r="BR185" s="85">
        <f>IF(D185="","",IF(ISNUMBER('Dvd Calendar'!$F$2541)=FALSE,"",IF((Summary!$C$13="N")*('Dvd Calendar'!$F$2545='Field Check'!$C$25)&gt;0,"",'Dvd Calendar'!$F$2541)))</f>
        <v/>
      </c>
      <c r="BS185" s="85">
        <f>IF(E185="","",IF(ISNUMBER('Dvd Calendar'!$G$2541)=FALSE,"",IF((Summary!$C$13="N")*('Dvd Calendar'!$G$2545='Field Check'!$C$25)&gt;0,"",'Dvd Calendar'!$G$2541)))</f>
        <v/>
      </c>
      <c r="BT185" s="85">
        <f>IF(F185="","",IF(ISNUMBER('Dvd Calendar'!$H$2541)=FALSE,"",IF((Summary!$C$13="N")*('Dvd Calendar'!$H$2545='Field Check'!$C$25)&gt;0,"",'Dvd Calendar'!$H$2541)))</f>
        <v/>
      </c>
      <c r="BU185" s="85">
        <f>IF(G185="","",IF(ISNUMBER('Dvd Calendar'!$I$2541)=FALSE,"",IF((Summary!$C$13="N")*('Dvd Calendar'!$I$2545='Field Check'!$C$25)&gt;0,"",'Dvd Calendar'!$I$2541)))</f>
        <v/>
      </c>
      <c r="BV185" s="85">
        <f>IF(H185="","",IF(ISNUMBER('Dvd Calendar'!$J$2541)=FALSE,"",IF((Summary!$C$13="N")*('Dvd Calendar'!$J$2545='Field Check'!$C$25)&gt;0,"",'Dvd Calendar'!$J$2541)))</f>
        <v/>
      </c>
      <c r="BW185" s="85">
        <f>IF(I185="","",IF(ISNUMBER('Dvd Calendar'!$K$2541)=FALSE,"",IF((Summary!$C$13="N")*('Dvd Calendar'!$K$2545='Field Check'!$C$25)&gt;0,"",'Dvd Calendar'!$K$2541)))</f>
        <v/>
      </c>
      <c r="BX185" s="85">
        <f>IF(J185="","",IF(ISNUMBER('Dvd Calendar'!$L$2541)=FALSE,"",IF((Summary!$C$13="N")*('Dvd Calendar'!$L$2545='Field Check'!$C$25)&gt;0,"",'Dvd Calendar'!$L$2541)))</f>
        <v/>
      </c>
      <c r="BY185" s="85">
        <f>IF(K185="","",IF(ISNUMBER('Dvd Calendar'!$M$2541)=FALSE,"",IF((Summary!$C$13="N")*('Dvd Calendar'!$M$2545='Field Check'!$C$25)&gt;0,"",'Dvd Calendar'!$M$2541)))</f>
        <v/>
      </c>
      <c r="BZ185" s="85">
        <f>IF(L185="","",IF(ISNUMBER('Dvd Calendar'!$N$2541)=FALSE,"",IF((Summary!$C$13="N")*('Dvd Calendar'!$N$2545='Field Check'!$C$25)&gt;0,"",'Dvd Calendar'!$N$2541)))</f>
        <v/>
      </c>
      <c r="CA185" s="85">
        <f>IF(M185="","",IF(ISNUMBER('Dvd Calendar'!$O$2541)=FALSE,"",IF((Summary!$C$13="N")*('Dvd Calendar'!$O$2545='Field Check'!$C$25)&gt;0,"",'Dvd Calendar'!$O$2541)))</f>
        <v/>
      </c>
      <c r="CB185" s="85">
        <f>IF(N185="","",IF(ISNUMBER('Dvd Calendar'!$P$2541)=FALSE,"",IF((Summary!$C$13="N")*('Dvd Calendar'!$P$2545='Field Check'!$C$25)&gt;0,"",'Dvd Calendar'!$P$2541)))</f>
        <v/>
      </c>
      <c r="CC185" s="85">
        <f>IF(O185="","",IF(ISNUMBER('Dvd Calendar'!$Q$2541)=FALSE,"",IF((Summary!$C$13="N")*('Dvd Calendar'!$Q$2545='Field Check'!$C$25)&gt;0,"",'Dvd Calendar'!$Q$2541)))</f>
        <v/>
      </c>
      <c r="CD185" s="85">
        <f>IF(P185="","",IF(ISNUMBER('Dvd Calendar'!$R$2541)=FALSE,"",IF((Summary!$C$13="N")*('Dvd Calendar'!$R$2545='Field Check'!$C$25)&gt;0,"",'Dvd Calendar'!$R$2541)))</f>
        <v/>
      </c>
      <c r="CE185" s="85">
        <f>IF(Q185="","",IF(ISNUMBER('Dvd Calendar'!$S$2541)=FALSE,"",IF((Summary!$C$13="N")*('Dvd Calendar'!$S$2545='Field Check'!$C$25)&gt;0,"",'Dvd Calendar'!$S$2541)))</f>
        <v/>
      </c>
      <c r="CF185" s="85">
        <f>IF(R185="","",IF(ISNUMBER('Dvd Calendar'!$T$2541)=FALSE,"",IF((Summary!$C$13="N")*('Dvd Calendar'!$T$2545='Field Check'!$C$25)&gt;0,"",'Dvd Calendar'!$T$2541)))</f>
        <v/>
      </c>
      <c r="CG185" s="85">
        <f>IF(S185="","",IF(ISNUMBER('Dvd Calendar'!$U$2541)=FALSE,"",IF((Summary!$C$13="N")*('Dvd Calendar'!$U$2545='Field Check'!$C$25)&gt;0,"",'Dvd Calendar'!$U$2541)))</f>
        <v/>
      </c>
      <c r="CH185" s="85">
        <f>IF(T185="","",IF(ISNUMBER('Dvd Calendar'!$V$2541)=FALSE,"",IF((Summary!$C$13="N")*('Dvd Calendar'!$V$2545='Field Check'!$C$25)&gt;0,"",'Dvd Calendar'!$V$2541)))</f>
        <v/>
      </c>
      <c r="CI185" s="85">
        <f>IF(U185="","",IF(ISNUMBER('Dvd Calendar'!$W$2541)=FALSE,"",IF((Summary!$C$13="N")*('Dvd Calendar'!$W$2545='Field Check'!$C$25)&gt;0,"",'Dvd Calendar'!$W$2541)))</f>
        <v/>
      </c>
      <c r="CJ185" s="85">
        <f>IF(V185="","",IF(ISNUMBER('Dvd Calendar'!$X$2541)=FALSE,"",IF((Summary!$C$13="N")*('Dvd Calendar'!$X$2545='Field Check'!$C$25)&gt;0,"",'Dvd Calendar'!$X$2541)))</f>
        <v/>
      </c>
      <c r="CK185" s="85">
        <f>IF(W185="","",IF(ISNUMBER('Dvd Calendar'!$Y$2541)=FALSE,"",IF((Summary!$C$13="N")*('Dvd Calendar'!$Y$2545='Field Check'!$C$25)&gt;0,"",'Dvd Calendar'!$Y$2541)))</f>
        <v/>
      </c>
      <c r="CL185" s="85">
        <f>IF(X185="","",IF(ISNUMBER('Dvd Calendar'!$Z$2541)=FALSE,"",IF((Summary!$C$13="N")*('Dvd Calendar'!$Z$2545='Field Check'!$C$25)&gt;0,"",'Dvd Calendar'!$Z$2541)))</f>
        <v/>
      </c>
      <c r="CM185" s="85">
        <f>IF(Y185="","",IF(ISNUMBER('Dvd Calendar'!$AA$2541)=FALSE,"",IF((Summary!$C$13="N")*('Dvd Calendar'!$AA$2545='Field Check'!$C$25)&gt;0,"",'Dvd Calendar'!$AA$2541)))</f>
        <v/>
      </c>
      <c r="CN185" s="85">
        <f>IF(Z185="","",IF(ISNUMBER('Dvd Calendar'!$AB$2541)=FALSE,"",IF((Summary!$C$13="N")*('Dvd Calendar'!$AB$2545='Field Check'!$C$25)&gt;0,"",'Dvd Calendar'!$AB$2541)))</f>
        <v/>
      </c>
      <c r="CO185" s="85">
        <f>IF(AA185="","",IF(ISNUMBER('Dvd Calendar'!$AC$2541)=FALSE,"",IF((Summary!$C$13="N")*('Dvd Calendar'!$AC$2545='Field Check'!$C$25)&gt;0,"",'Dvd Calendar'!$AC$2541)))</f>
        <v/>
      </c>
      <c r="CP185" s="85">
        <f>IF(AB185="","",IF(ISNUMBER('Dvd Calendar'!$AD$2541)=FALSE,"",IF((Summary!$C$13="N")*('Dvd Calendar'!$AD$2545='Field Check'!$C$25)&gt;0,"",'Dvd Calendar'!$AD$2541)))</f>
        <v/>
      </c>
      <c r="CQ185" s="85">
        <f>IF(AC185="","",IF(ISNUMBER('Dvd Calendar'!$AE$2541)=FALSE,"",IF((Summary!$C$13="N")*('Dvd Calendar'!$AE$2545='Field Check'!$C$25)&gt;0,"",'Dvd Calendar'!$AE$2541)))</f>
        <v/>
      </c>
      <c r="CR185" s="85">
        <f>IF(AD185="","",IF(ISNUMBER('Dvd Calendar'!$AF$2541)=FALSE,"",IF((Summary!$C$13="N")*('Dvd Calendar'!$AF$2545='Field Check'!$C$25)&gt;0,"",'Dvd Calendar'!$AF$2541)))</f>
        <v/>
      </c>
      <c r="CS185" s="85">
        <f>IF(AE185="","",IF(ISNUMBER('Dvd Calendar'!$AG$2541)=FALSE,"",IF((Summary!$C$13="N")*('Dvd Calendar'!$AG$2545='Field Check'!$C$25)&gt;0,"",'Dvd Calendar'!$AG$2541)))</f>
        <v/>
      </c>
      <c r="CT185" s="85">
        <f>IF(AF185="","",IF(ISNUMBER('Dvd Calendar'!$AH$2541)=FALSE,"",IF((Summary!$C$13="N")*('Dvd Calendar'!$AH$2545='Field Check'!$C$25)&gt;0,"",'Dvd Calendar'!$AH$2541)))</f>
        <v/>
      </c>
      <c r="CU185" s="85">
        <f>IF(AG185="","",IF(ISNUMBER('Dvd Calendar'!$AI$2541)=FALSE,"",IF((Summary!$C$13="N")*('Dvd Calendar'!$AI$2545='Field Check'!$C$25)&gt;0,"",'Dvd Calendar'!$AI$2541)))</f>
        <v/>
      </c>
      <c r="CV185" s="85">
        <f>IF(AH185="","",IF(ISNUMBER('Dvd Calendar'!$AJ$2541)=FALSE,"",IF((Summary!$C$13="N")*('Dvd Calendar'!$AJ$2545='Field Check'!$C$25)&gt;0,"",'Dvd Calendar'!$AJ$2541)))</f>
        <v/>
      </c>
      <c r="CW185" s="85">
        <f>IF(AI185="","",IF(ISNUMBER('Dvd Calendar'!$AK$2541)=FALSE,"",IF((Summary!$C$13="N")*('Dvd Calendar'!$AK$2545='Field Check'!$C$25)&gt;0,"",'Dvd Calendar'!$AK$2541)))</f>
        <v/>
      </c>
      <c r="CX185" s="85">
        <f>IF(AJ185="","",IF(ISNUMBER('Dvd Calendar'!$AL$2541)=FALSE,"",IF((Summary!$C$13="N")*('Dvd Calendar'!$AL$2545='Field Check'!$C$25)&gt;0,"",'Dvd Calendar'!$AL$2541)))</f>
        <v/>
      </c>
      <c r="CY185" s="85">
        <f>IF(AK185="","",IF(ISNUMBER('Dvd Calendar'!$AM$2541)=FALSE,"",IF((Summary!$C$13="N")*('Dvd Calendar'!$AM$2545='Field Check'!$C$25)&gt;0,"",'Dvd Calendar'!$AM$2541)))</f>
        <v/>
      </c>
      <c r="CZ185" s="85">
        <f>IF(AL185="","",IF(ISNUMBER('Dvd Calendar'!$AN$2541)=FALSE,"",IF((Summary!$C$13="N")*('Dvd Calendar'!$AN$2545='Field Check'!$C$25)&gt;0,"",'Dvd Calendar'!$AN$2541)))</f>
        <v/>
      </c>
      <c r="DA185" s="85">
        <f>IF(AM185="","",IF(ISNUMBER('Dvd Calendar'!$AO$2541)=FALSE,"",IF((Summary!$C$13="N")*('Dvd Calendar'!$AO$2545='Field Check'!$C$25)&gt;0,"",'Dvd Calendar'!$AO$2541)))</f>
        <v/>
      </c>
      <c r="DB185" s="85">
        <f>IF(AN185="","",IF(ISNUMBER('Dvd Calendar'!$AP$2541)=FALSE,"",IF((Summary!$C$13="N")*('Dvd Calendar'!$AP$2545='Field Check'!$C$25)&gt;0,"",'Dvd Calendar'!$AP$2541)))</f>
        <v/>
      </c>
      <c r="DC185" s="85">
        <f>IF(AO185="","",IF(ISNUMBER('Dvd Calendar'!$AQ$2541)=FALSE,"",IF((Summary!$C$13="N")*('Dvd Calendar'!$AQ$2545='Field Check'!$C$25)&gt;0,"",'Dvd Calendar'!$AQ$2541)))</f>
        <v/>
      </c>
      <c r="DD185" s="85">
        <f>IF(AP185="","",IF(ISNUMBER('Dvd Calendar'!$AR$2541)=FALSE,"",IF((Summary!$C$13="N")*('Dvd Calendar'!$AR$2545='Field Check'!$C$25)&gt;0,"",'Dvd Calendar'!$AR$2541)))</f>
        <v/>
      </c>
      <c r="DE185" s="85">
        <f>IF(AQ185="","",IF(ISNUMBER('Dvd Calendar'!$E$2548)=FALSE,"",IF((Summary!$C$13="N")*('Dvd Calendar'!$E$2552='Field Check'!$C$25)&gt;0,"",'Dvd Calendar'!$E$2548)))</f>
        <v/>
      </c>
      <c r="DF185" s="85">
        <f>IF(AR185="","",IF(ISNUMBER('Dvd Calendar'!$F$2548)=FALSE,"",IF((Summary!$C$13="N")*('Dvd Calendar'!$F$2552='Field Check'!$C$25)&gt;0,"",'Dvd Calendar'!$F$2548)))</f>
        <v/>
      </c>
      <c r="DG185" s="85">
        <f>IF(AS185="","",IF(ISNUMBER('Dvd Calendar'!$G$2548)=FALSE,"",IF((Summary!$C$13="N")*('Dvd Calendar'!$G$2552='Field Check'!$C$25)&gt;0,"",'Dvd Calendar'!$G$2548)))</f>
        <v/>
      </c>
      <c r="DH185" s="85">
        <f>IF(AT185="","",IF(ISNUMBER('Dvd Calendar'!$H$2548)=FALSE,"",IF((Summary!$C$13="N")*('Dvd Calendar'!$H$2552='Field Check'!$C$25)&gt;0,"",'Dvd Calendar'!$H$2548)))</f>
        <v/>
      </c>
      <c r="DI185" s="85">
        <f>IF(AU185="","",IF(ISNUMBER('Dvd Calendar'!$I$2548)=FALSE,"",IF((Summary!$C$13="N")*('Dvd Calendar'!$I$2552='Field Check'!$C$25)&gt;0,"",'Dvd Calendar'!$I$2548)))</f>
        <v/>
      </c>
      <c r="DJ185" s="85">
        <f>IF(AV185="","",IF(ISNUMBER('Dvd Calendar'!$J$2548)=FALSE,"",IF((Summary!$C$13="N")*('Dvd Calendar'!$J$2552='Field Check'!$C$25)&gt;0,"",'Dvd Calendar'!$J$2548)))</f>
        <v/>
      </c>
      <c r="DK185" s="85">
        <f>IF(AW185="","",IF(ISNUMBER('Dvd Calendar'!$K$2548)=FALSE,"",IF((Summary!$C$13="N")*('Dvd Calendar'!$K$2552='Field Check'!$C$25)&gt;0,"",'Dvd Calendar'!$K$2548)))</f>
        <v/>
      </c>
      <c r="DL185" s="85">
        <f>IF(AX185="","",IF(ISNUMBER('Dvd Calendar'!$L$2548)=FALSE,"",IF((Summary!$C$13="N")*('Dvd Calendar'!$L$2552='Field Check'!$C$25)&gt;0,"",'Dvd Calendar'!$L$2548)))</f>
        <v/>
      </c>
      <c r="DM185" s="85">
        <f>IF(AY185="","",IF(ISNUMBER('Dvd Calendar'!$M$2548)=FALSE,"",IF((Summary!$C$13="N")*('Dvd Calendar'!$M$2552='Field Check'!$C$25)&gt;0,"",'Dvd Calendar'!$M$2548)))</f>
        <v/>
      </c>
      <c r="DN185" s="85">
        <f>IF(AZ185="","",IF(ISNUMBER('Dvd Calendar'!$N$2548)=FALSE,"",IF((Summary!$C$13="N")*('Dvd Calendar'!$N$2552='Field Check'!$C$25)&gt;0,"",'Dvd Calendar'!$N$2548)))</f>
        <v/>
      </c>
      <c r="DO185" s="85">
        <f>IF(BA185="","",IF(ISNUMBER('Dvd Calendar'!$O$2548)=FALSE,"",IF((Summary!$C$13="N")*('Dvd Calendar'!$O$2552='Field Check'!$C$25)&gt;0,"",'Dvd Calendar'!$O$2548)))</f>
        <v/>
      </c>
      <c r="DP185" s="85">
        <f>IF(BB185="","",IF(ISNUMBER('Dvd Calendar'!$P$2548)=FALSE,"",IF((Summary!$C$13="N")*('Dvd Calendar'!$P$2552='Field Check'!$C$25)&gt;0,"",'Dvd Calendar'!$P$2548)))</f>
        <v/>
      </c>
      <c r="DQ185" s="85">
        <f>IF(BC185="","",IF(ISNUMBER('Dvd Calendar'!$Q$2548)=FALSE,"",IF((Summary!$C$13="N")*('Dvd Calendar'!$Q$2552='Field Check'!$C$25)&gt;0,"",'Dvd Calendar'!$Q$2548)))</f>
        <v/>
      </c>
      <c r="DR185" s="85">
        <f>IF(BD185="","",IF(ISNUMBER('Dvd Calendar'!$R$2548)=FALSE,"",IF((Summary!$C$13="N")*('Dvd Calendar'!$R$2552='Field Check'!$C$25)&gt;0,"",'Dvd Calendar'!$R$2548)))</f>
        <v/>
      </c>
      <c r="DS185" s="85">
        <f>IF(BE185="","",IF(ISNUMBER('Dvd Calendar'!$S$2548)=FALSE,"",IF((Summary!$C$13="N")*('Dvd Calendar'!$S$2552='Field Check'!$C$25)&gt;0,"",'Dvd Calendar'!$S$2548)))</f>
        <v/>
      </c>
      <c r="DT185" s="85">
        <f>IF(BF185="","",IF(ISNUMBER('Dvd Calendar'!$T$2548)=FALSE,"",IF((Summary!$C$13="N")*('Dvd Calendar'!$T$2552='Field Check'!$C$25)&gt;0,"",'Dvd Calendar'!$T$2548)))</f>
        <v/>
      </c>
      <c r="DU185" s="85">
        <f>IF(BG185="","",IF(ISNUMBER('Dvd Calendar'!$U$2548)=FALSE,"",IF((Summary!$C$13="N")*('Dvd Calendar'!$U$2552='Field Check'!$C$25)&gt;0,"",'Dvd Calendar'!$U$2548)))</f>
        <v/>
      </c>
      <c r="DV185" s="85">
        <f>IF(BH185="","",IF(ISNUMBER('Dvd Calendar'!$V$2548)=FALSE,"",IF((Summary!$C$13="N")*('Dvd Calendar'!$V$2552='Field Check'!$C$25)&gt;0,"",'Dvd Calendar'!$V$2548)))</f>
        <v/>
      </c>
      <c r="DW185" s="85">
        <f>IF(BI185="","",IF(ISNUMBER('Dvd Calendar'!$W$2548)=FALSE,"",IF((Summary!$C$13="N")*('Dvd Calendar'!$W$2552='Field Check'!$C$25)&gt;0,"",'Dvd Calendar'!$W$2548)))</f>
        <v/>
      </c>
      <c r="DX185" s="85">
        <f>IF(BJ185="","",IF(ISNUMBER('Dvd Calendar'!$X$2548)=FALSE,"",IF((Summary!$C$13="N")*('Dvd Calendar'!$X$2552='Field Check'!$C$25)&gt;0,"",'Dvd Calendar'!$X$2548)))</f>
        <v/>
      </c>
      <c r="DY185" s="85">
        <f>IF(BK185="","",IF(ISNUMBER('Dvd Calendar'!$Y$2548)=FALSE,"",IF((Summary!$C$13="N")*('Dvd Calendar'!$Y$2552='Field Check'!$C$25)&gt;0,"",'Dvd Calendar'!$Y$2548)))</f>
        <v/>
      </c>
      <c r="DZ185" s="85">
        <f>IF(BL185="","",IF(ISNUMBER('Dvd Calendar'!$Z$2548)=FALSE,"",IF((Summary!$C$13="N")*('Dvd Calendar'!$Z$2552='Field Check'!$C$25)&gt;0,"",'Dvd Calendar'!$Z$2548)))</f>
        <v/>
      </c>
      <c r="EA185" s="85">
        <f>IF(BM185="","",IF(ISNUMBER('Dvd Calendar'!$AA$2548)=FALSE,"",IF((Summary!$C$13="N")*('Dvd Calendar'!$AA$2552='Field Check'!$C$25)&gt;0,"",'Dvd Calendar'!$AA$2548)))</f>
        <v/>
      </c>
      <c r="EB185" s="85">
        <f>IF(BN185="","",IF(ISNUMBER('Dvd Calendar'!$AB$2548)=FALSE,"",IF((Summary!$C$13="N")*('Dvd Calendar'!$AB$2552='Field Check'!$C$25)&gt;0,"",'Dvd Calendar'!$AB$2548)))</f>
        <v/>
      </c>
      <c r="EC185" s="85">
        <f>IF(BO185="","",IF(ISNUMBER('Dvd Calendar'!$AC$2548)=FALSE,"",IF((Summary!$C$13="N")*('Dvd Calendar'!$AC$2552='Field Check'!$C$25)&gt;0,"",'Dvd Calendar'!$AC$2548)))</f>
        <v/>
      </c>
      <c r="EE185" s="85">
        <f>IF(BQ185="","",IFERROR(BQ185*HSCEI!$B$35*HSCEI!$G$35/HSCEI!$B$3,""))</f>
        <v/>
      </c>
      <c r="EF185" s="85">
        <f>IF(BR185="","",IFERROR(BR185*HSCEI!$B$35*HSCEI!$G$35/HSCEI!$B$3,""))</f>
        <v/>
      </c>
      <c r="EG185" s="85">
        <f>IF(BS185="","",IFERROR(BS185*HSCEI!$B$35*HSCEI!$G$35/HSCEI!$B$3,""))</f>
        <v/>
      </c>
      <c r="EH185" s="85">
        <f>IF(BT185="","",IFERROR(BT185*HSCEI!$B$35*HSCEI!$G$35/HSCEI!$B$3,""))</f>
        <v/>
      </c>
      <c r="EI185" s="85">
        <f>IF(BU185="","",IFERROR(BU185*HSCEI!$B$35*HSCEI!$G$35/HSCEI!$B$3,""))</f>
        <v/>
      </c>
      <c r="EJ185" s="85">
        <f>IF(BV185="","",IFERROR(BV185*HSCEI!$B$35*HSCEI!$G$35/HSCEI!$B$3,""))</f>
        <v/>
      </c>
      <c r="EK185" s="85">
        <f>IF(BW185="","",IFERROR(BW185*HSCEI!$B$35*HSCEI!$G$35/HSCEI!$B$3,""))</f>
        <v/>
      </c>
      <c r="EL185" s="85">
        <f>IF(BX185="","",IFERROR(BX185*HSCEI!$B$35*HSCEI!$G$35/HSCEI!$B$3,""))</f>
        <v/>
      </c>
      <c r="EM185" s="85">
        <f>IF(BY185="","",IFERROR(BY185*HSCEI!$B$35*HSCEI!$G$35/HSCEI!$B$3,""))</f>
        <v/>
      </c>
      <c r="EN185" s="85">
        <f>IF(BZ185="","",IFERROR(BZ185*HSCEI!$B$35*HSCEI!$G$35/HSCEI!$B$3,""))</f>
        <v/>
      </c>
      <c r="EO185" s="85">
        <f>IF(CA185="","",IFERROR(CA185*HSCEI!$B$35*HSCEI!$G$35/HSCEI!$B$3,""))</f>
        <v/>
      </c>
      <c r="EP185" s="85">
        <f>IF(CB185="","",IFERROR(CB185*HSCEI!$B$35*HSCEI!$G$35/HSCEI!$B$3,""))</f>
        <v/>
      </c>
      <c r="EQ185" s="85">
        <f>IF(CC185="","",IFERROR(CC185*HSCEI!$B$35*HSCEI!$G$35/HSCEI!$B$3,""))</f>
        <v/>
      </c>
      <c r="ER185" s="85">
        <f>IF(CD185="","",IFERROR(CD185*HSCEI!$B$35*HSCEI!$G$35/HSCEI!$B$3,""))</f>
        <v/>
      </c>
      <c r="ES185" s="85">
        <f>IF(CE185="","",IFERROR(CE185*HSCEI!$B$35*HSCEI!$G$35/HSCEI!$B$3,""))</f>
        <v/>
      </c>
      <c r="ET185" s="85">
        <f>IF(CF185="","",IFERROR(CF185*HSCEI!$B$35*HSCEI!$G$35/HSCEI!$B$3,""))</f>
        <v/>
      </c>
      <c r="EU185" s="85">
        <f>IF(CG185="","",IFERROR(CG185*HSCEI!$B$35*HSCEI!$G$35/HSCEI!$B$3,""))</f>
        <v/>
      </c>
      <c r="EV185" s="85">
        <f>IF(CH185="","",IFERROR(CH185*HSCEI!$B$35*HSCEI!$G$35/HSCEI!$B$3,""))</f>
        <v/>
      </c>
      <c r="EW185" s="85">
        <f>IF(CI185="","",IFERROR(CI185*HSCEI!$B$35*HSCEI!$G$35/HSCEI!$B$3,""))</f>
        <v/>
      </c>
      <c r="EX185" s="85">
        <f>IF(CJ185="","",IFERROR(CJ185*HSCEI!$B$35*HSCEI!$G$35/HSCEI!$B$3,""))</f>
        <v/>
      </c>
      <c r="EY185" s="85">
        <f>IF(CK185="","",IFERROR(CK185*HSCEI!$B$35*HSCEI!$G$35/HSCEI!$B$3,""))</f>
        <v/>
      </c>
      <c r="EZ185" s="85">
        <f>IF(CL185="","",IFERROR(CL185*HSCEI!$B$35*HSCEI!$G$35/HSCEI!$B$3,""))</f>
        <v/>
      </c>
      <c r="FA185" s="85">
        <f>IF(CM185="","",IFERROR(CM185*HSCEI!$B$35*HSCEI!$G$35/HSCEI!$B$3,""))</f>
        <v/>
      </c>
      <c r="FB185" s="85">
        <f>IF(CN185="","",IFERROR(CN185*HSCEI!$B$35*HSCEI!$G$35/HSCEI!$B$3,""))</f>
        <v/>
      </c>
      <c r="FC185" s="85">
        <f>IF(CO185="","",IFERROR(CO185*HSCEI!$B$35*HSCEI!$G$35/HSCEI!$B$3,""))</f>
        <v/>
      </c>
      <c r="FD185" s="85">
        <f>IF(CP185="","",IFERROR(CP185*HSCEI!$B$35*HSCEI!$G$35/HSCEI!$B$3,""))</f>
        <v/>
      </c>
      <c r="FE185" s="85">
        <f>IF(CQ185="","",IFERROR(CQ185*HSCEI!$B$35*HSCEI!$G$35/HSCEI!$B$3,""))</f>
        <v/>
      </c>
      <c r="FF185" s="85">
        <f>IF(CR185="","",IFERROR(CR185*HSCEI!$B$35*HSCEI!$G$35/HSCEI!$B$3,""))</f>
        <v/>
      </c>
      <c r="FG185" s="85">
        <f>IF(CS185="","",IFERROR(CS185*HSCEI!$B$35*HSCEI!$G$35/HSCEI!$B$3,""))</f>
        <v/>
      </c>
      <c r="FH185" s="85">
        <f>IF(CT185="","",IFERROR(CT185*HSCEI!$B$35*HSCEI!$G$35/HSCEI!$B$3,""))</f>
        <v/>
      </c>
      <c r="FI185" s="85">
        <f>IF(CU185="","",IFERROR(CU185*HSCEI!$B$35*HSCEI!$G$35/HSCEI!$B$3,""))</f>
        <v/>
      </c>
      <c r="FJ185" s="85">
        <f>IF(CV185="","",IFERROR(CV185*HSCEI!$B$35*HSCEI!$G$35/HSCEI!$B$3,""))</f>
        <v/>
      </c>
      <c r="FK185" s="85">
        <f>IF(CW185="","",IFERROR(CW185*HSCEI!$B$35*HSCEI!$G$35/HSCEI!$B$3,""))</f>
        <v/>
      </c>
      <c r="FL185" s="85">
        <f>IF(CX185="","",IFERROR(CX185*HSCEI!$B$35*HSCEI!$G$35/HSCEI!$B$3,""))</f>
        <v/>
      </c>
      <c r="FM185" s="85">
        <f>IF(CY185="","",IFERROR(CY185*HSCEI!$B$35*HSCEI!$G$35/HSCEI!$B$3,""))</f>
        <v/>
      </c>
      <c r="FN185" s="85">
        <f>IF(CZ185="","",IFERROR(CZ185*HSCEI!$B$35*HSCEI!$G$35/HSCEI!$B$3,""))</f>
        <v/>
      </c>
      <c r="FO185" s="85">
        <f>IF(DA185="","",IFERROR(DA185*HSCEI!$B$35*HSCEI!$G$35/HSCEI!$B$3,""))</f>
        <v/>
      </c>
      <c r="FP185" s="85">
        <f>IF(DB185="","",IFERROR(DB185*HSCEI!$B$35*HSCEI!$G$35/HSCEI!$B$3,""))</f>
        <v/>
      </c>
      <c r="FQ185" s="85">
        <f>IF(DC185="","",IFERROR(DC185*HSCEI!$B$35*HSCEI!$G$35/HSCEI!$B$3,""))</f>
        <v/>
      </c>
      <c r="FR185" s="85">
        <f>IF(DD185="","",IFERROR(DD185*HSCEI!$B$35*HSCEI!$G$35/HSCEI!$B$3,""))</f>
        <v/>
      </c>
      <c r="FS185" s="85">
        <f>IF(DE185="","",IFERROR(DE185*HSCEI!$B$35*HSCEI!$G$35/HSCEI!$B$3,""))</f>
        <v/>
      </c>
      <c r="FT185" s="85">
        <f>IF(DF185="","",IFERROR(DF185*HSCEI!$B$35*HSCEI!$G$35/HSCEI!$B$3,""))</f>
        <v/>
      </c>
      <c r="FU185" s="85">
        <f>IF(DG185="","",IFERROR(DG185*HSCEI!$B$35*HSCEI!$G$35/HSCEI!$B$3,""))</f>
        <v/>
      </c>
      <c r="FV185" s="85">
        <f>IF(DH185="","",IFERROR(DH185*HSCEI!$B$35*HSCEI!$G$35/HSCEI!$B$3,""))</f>
        <v/>
      </c>
      <c r="FW185" s="85">
        <f>IF(DI185="","",IFERROR(DI185*HSCEI!$B$35*HSCEI!$G$35/HSCEI!$B$3,""))</f>
        <v/>
      </c>
      <c r="FX185" s="85">
        <f>IF(DJ185="","",IFERROR(DJ185*HSCEI!$B$35*HSCEI!$G$35/HSCEI!$B$3,""))</f>
        <v/>
      </c>
      <c r="FY185" s="85">
        <f>IF(DK185="","",IFERROR(DK185*HSCEI!$B$35*HSCEI!$G$35/HSCEI!$B$3,""))</f>
        <v/>
      </c>
      <c r="FZ185" s="85">
        <f>IF(DL185="","",IFERROR(DL185*HSCEI!$B$35*HSCEI!$G$35/HSCEI!$B$3,""))</f>
        <v/>
      </c>
      <c r="GA185" s="85">
        <f>IF(DM185="","",IFERROR(DM185*HSCEI!$B$35*HSCEI!$G$35/HSCEI!$B$3,""))</f>
        <v/>
      </c>
      <c r="GB185" s="85">
        <f>IF(DN185="","",IFERROR(DN185*HSCEI!$B$35*HSCEI!$G$35/HSCEI!$B$3,""))</f>
        <v/>
      </c>
      <c r="GC185" s="85">
        <f>IF(DO185="","",IFERROR(DO185*HSCEI!$B$35*HSCEI!$G$35/HSCEI!$B$3,""))</f>
        <v/>
      </c>
      <c r="GD185" s="85">
        <f>IF(DP185="","",IFERROR(DP185*HSCEI!$B$35*HSCEI!$G$35/HSCEI!$B$3,""))</f>
        <v/>
      </c>
      <c r="GE185" s="85">
        <f>IF(DQ185="","",IFERROR(DQ185*HSCEI!$B$35*HSCEI!$G$35/HSCEI!$B$3,""))</f>
        <v/>
      </c>
      <c r="GF185" s="85">
        <f>IF(DR185="","",IFERROR(DR185*HSCEI!$B$35*HSCEI!$G$35/HSCEI!$B$3,""))</f>
        <v/>
      </c>
      <c r="GG185" s="85">
        <f>IF(DS185="","",IFERROR(DS185*HSCEI!$B$35*HSCEI!$G$35/HSCEI!$B$3,""))</f>
        <v/>
      </c>
      <c r="GH185" s="85">
        <f>IF(DT185="","",IFERROR(DT185*HSCEI!$B$35*HSCEI!$G$35/HSCEI!$B$3,""))</f>
        <v/>
      </c>
      <c r="GI185" s="85">
        <f>IF(DU185="","",IFERROR(DU185*HSCEI!$B$35*HSCEI!$G$35/HSCEI!$B$3,""))</f>
        <v/>
      </c>
      <c r="GJ185" s="85">
        <f>IF(DV185="","",IFERROR(DV185*HSCEI!$B$35*HSCEI!$G$35/HSCEI!$B$3,""))</f>
        <v/>
      </c>
      <c r="GK185" s="85">
        <f>IF(DW185="","",IFERROR(DW185*HSCEI!$B$35*HSCEI!$G$35/HSCEI!$B$3,""))</f>
        <v/>
      </c>
      <c r="GL185" s="85">
        <f>IF(DX185="","",IFERROR(DX185*HSCEI!$B$35*HSCEI!$G$35/HSCEI!$B$3,""))</f>
        <v/>
      </c>
      <c r="GM185" s="85">
        <f>IF(DY185="","",IFERROR(DY185*HSCEI!$B$35*HSCEI!$G$35/HSCEI!$B$3,""))</f>
        <v/>
      </c>
      <c r="GN185" s="85">
        <f>IF(DZ185="","",IFERROR(DZ185*HSCEI!$B$35*HSCEI!$G$35/HSCEI!$B$3,""))</f>
        <v/>
      </c>
      <c r="GO185" s="85">
        <f>IF(EA185="","",IFERROR(EA185*HSCEI!$B$35*HSCEI!$G$35/HSCEI!$B$3,""))</f>
        <v/>
      </c>
      <c r="GP185" s="85">
        <f>IF(EB185="","",IFERROR(EB185*HSCEI!$B$35*HSCEI!$G$35/HSCEI!$B$3,""))</f>
        <v/>
      </c>
      <c r="GQ185" s="85">
        <f>IF(EC185="","",IFERROR(EC185*HSCEI!$B$35*HSCEI!$G$35/HSCEI!$B$3,""))</f>
        <v/>
      </c>
    </row>
    <row r="186">
      <c r="B186" s="2">
        <f>IF(HSCEI!$C$36="","",HSCEI!$C$36)</f>
        <v/>
      </c>
      <c r="C186" s="41">
        <f>IF(N('Dvd Calendar'!$E$2555)=0,"",IF(('Dvd Calendar'!$E$2555&gt;=MIN(DATE(Summary!$C$12,1,1),Summary!$C$11))*('Dvd Calendar'!$E$2555&lt;=MAX(DATE(Summary!$C$12,12,31),Summary!$C$15))*('Dvd Calendar'!$E$2555&lt;=Summary!$C$11)=0,"",'Dvd Calendar'!$E$2555*1000000000+ISNUMBER('Dvd Calendar'!$E$2556)*100000000+('Dvd Calendar'!$E$2560='Field Check'!$C$25)*10000000+(N('Dvd Calendar'!$E$2554)&gt;0)*1000000+30*1000+1))</f>
        <v/>
      </c>
      <c r="D186" s="41">
        <f>IF(N('Dvd Calendar'!$F$2555)=0,"",IF(('Dvd Calendar'!$F$2555&gt;=MIN(DATE(Summary!$C$12,1,1),Summary!$C$11))*('Dvd Calendar'!$F$2555&lt;=MAX(DATE(Summary!$C$12,12,31),Summary!$C$15))*('Dvd Calendar'!$F$2555&lt;=Summary!$C$11)=0,"",'Dvd Calendar'!$F$2555*1000000000+ISNUMBER('Dvd Calendar'!$F$2556)*100000000+('Dvd Calendar'!$F$2560='Field Check'!$C$25)*10000000+(N('Dvd Calendar'!$F$2554)&gt;0)*1000000+30*1000+2))</f>
        <v/>
      </c>
      <c r="E186" s="41">
        <f>IF(N('Dvd Calendar'!$G$2555)=0,"",IF(('Dvd Calendar'!$G$2555&gt;=MIN(DATE(Summary!$C$12,1,1),Summary!$C$11))*('Dvd Calendar'!$G$2555&lt;=MAX(DATE(Summary!$C$12,12,31),Summary!$C$15))*('Dvd Calendar'!$G$2555&lt;=Summary!$C$11)=0,"",'Dvd Calendar'!$G$2555*1000000000+ISNUMBER('Dvd Calendar'!$G$2556)*100000000+('Dvd Calendar'!$G$2560='Field Check'!$C$25)*10000000+(N('Dvd Calendar'!$G$2554)&gt;0)*1000000+30*1000+3))</f>
        <v/>
      </c>
      <c r="F186" s="41">
        <f>IF(N('Dvd Calendar'!$H$2555)=0,"",IF(('Dvd Calendar'!$H$2555&gt;=MIN(DATE(Summary!$C$12,1,1),Summary!$C$11))*('Dvd Calendar'!$H$2555&lt;=MAX(DATE(Summary!$C$12,12,31),Summary!$C$15))*('Dvd Calendar'!$H$2555&lt;=Summary!$C$11)=0,"",'Dvd Calendar'!$H$2555*1000000000+ISNUMBER('Dvd Calendar'!$H$2556)*100000000+('Dvd Calendar'!$H$2560='Field Check'!$C$25)*10000000+(N('Dvd Calendar'!$H$2554)&gt;0)*1000000+30*1000+4))</f>
        <v/>
      </c>
      <c r="G186" s="41">
        <f>IF(N('Dvd Calendar'!$I$2555)=0,"",IF(('Dvd Calendar'!$I$2555&gt;=MIN(DATE(Summary!$C$12,1,1),Summary!$C$11))*('Dvd Calendar'!$I$2555&lt;=MAX(DATE(Summary!$C$12,12,31),Summary!$C$15))*('Dvd Calendar'!$I$2555&lt;=Summary!$C$11)=0,"",'Dvd Calendar'!$I$2555*1000000000+ISNUMBER('Dvd Calendar'!$I$2556)*100000000+('Dvd Calendar'!$I$2560='Field Check'!$C$25)*10000000+(N('Dvd Calendar'!$I$2554)&gt;0)*1000000+30*1000+5))</f>
        <v/>
      </c>
      <c r="H186" s="41">
        <f>IF(N('Dvd Calendar'!$J$2555)=0,"",IF(('Dvd Calendar'!$J$2555&gt;=MIN(DATE(Summary!$C$12,1,1),Summary!$C$11))*('Dvd Calendar'!$J$2555&lt;=MAX(DATE(Summary!$C$12,12,31),Summary!$C$15))*('Dvd Calendar'!$J$2555&lt;=Summary!$C$11)=0,"",'Dvd Calendar'!$J$2555*1000000000+ISNUMBER('Dvd Calendar'!$J$2556)*100000000+('Dvd Calendar'!$J$2560='Field Check'!$C$25)*10000000+(N('Dvd Calendar'!$J$2554)&gt;0)*1000000+30*1000+6))</f>
        <v/>
      </c>
      <c r="I186" s="41">
        <f>IF(N('Dvd Calendar'!$K$2555)=0,"",IF(('Dvd Calendar'!$K$2555&gt;=MIN(DATE(Summary!$C$12,1,1),Summary!$C$11))*('Dvd Calendar'!$K$2555&lt;=MAX(DATE(Summary!$C$12,12,31),Summary!$C$15))*('Dvd Calendar'!$K$2555&lt;=Summary!$C$11)=0,"",'Dvd Calendar'!$K$2555*1000000000+ISNUMBER('Dvd Calendar'!$K$2556)*100000000+('Dvd Calendar'!$K$2560='Field Check'!$C$25)*10000000+(N('Dvd Calendar'!$K$2554)&gt;0)*1000000+30*1000+7))</f>
        <v/>
      </c>
      <c r="J186" s="41">
        <f>IF(N('Dvd Calendar'!$L$2555)=0,"",IF(('Dvd Calendar'!$L$2555&gt;=MIN(DATE(Summary!$C$12,1,1),Summary!$C$11))*('Dvd Calendar'!$L$2555&lt;=MAX(DATE(Summary!$C$12,12,31),Summary!$C$15))*('Dvd Calendar'!$L$2555&lt;=Summary!$C$11)=0,"",'Dvd Calendar'!$L$2555*1000000000+ISNUMBER('Dvd Calendar'!$L$2556)*100000000+('Dvd Calendar'!$L$2560='Field Check'!$C$25)*10000000+(N('Dvd Calendar'!$L$2554)&gt;0)*1000000+30*1000+8))</f>
        <v/>
      </c>
      <c r="K186" s="41">
        <f>IF(N('Dvd Calendar'!$M$2555)=0,"",IF(('Dvd Calendar'!$M$2555&gt;=MIN(DATE(Summary!$C$12,1,1),Summary!$C$11))*('Dvd Calendar'!$M$2555&lt;=MAX(DATE(Summary!$C$12,12,31),Summary!$C$15))*('Dvd Calendar'!$M$2555&lt;=Summary!$C$11)=0,"",'Dvd Calendar'!$M$2555*1000000000+ISNUMBER('Dvd Calendar'!$M$2556)*100000000+('Dvd Calendar'!$M$2560='Field Check'!$C$25)*10000000+(N('Dvd Calendar'!$M$2554)&gt;0)*1000000+30*1000+9))</f>
        <v/>
      </c>
      <c r="L186" s="41">
        <f>IF(N('Dvd Calendar'!$N$2555)=0,"",IF(('Dvd Calendar'!$N$2555&gt;=MIN(DATE(Summary!$C$12,1,1),Summary!$C$11))*('Dvd Calendar'!$N$2555&lt;=MAX(DATE(Summary!$C$12,12,31),Summary!$C$15))*('Dvd Calendar'!$N$2555&lt;=Summary!$C$11)=0,"",'Dvd Calendar'!$N$2555*1000000000+ISNUMBER('Dvd Calendar'!$N$2556)*100000000+('Dvd Calendar'!$N$2560='Field Check'!$C$25)*10000000+(N('Dvd Calendar'!$N$2554)&gt;0)*1000000+30*1000+10))</f>
        <v/>
      </c>
      <c r="M186" s="41">
        <f>IF(N('Dvd Calendar'!$O$2555)=0,"",IF(('Dvd Calendar'!$O$2555&gt;=MIN(DATE(Summary!$C$12,1,1),Summary!$C$11))*('Dvd Calendar'!$O$2555&lt;=MAX(DATE(Summary!$C$12,12,31),Summary!$C$15))*('Dvd Calendar'!$O$2555&lt;=Summary!$C$11)=0,"",'Dvd Calendar'!$O$2555*1000000000+ISNUMBER('Dvd Calendar'!$O$2556)*100000000+('Dvd Calendar'!$O$2560='Field Check'!$C$25)*10000000+(N('Dvd Calendar'!$O$2554)&gt;0)*1000000+30*1000+11))</f>
        <v/>
      </c>
      <c r="N186" s="41">
        <f>IF(N('Dvd Calendar'!$P$2555)=0,"",IF(('Dvd Calendar'!$P$2555&gt;=MIN(DATE(Summary!$C$12,1,1),Summary!$C$11))*('Dvd Calendar'!$P$2555&lt;=MAX(DATE(Summary!$C$12,12,31),Summary!$C$15))*('Dvd Calendar'!$P$2555&lt;=Summary!$C$11)=0,"",'Dvd Calendar'!$P$2555*1000000000+ISNUMBER('Dvd Calendar'!$P$2556)*100000000+('Dvd Calendar'!$P$2560='Field Check'!$C$25)*10000000+(N('Dvd Calendar'!$P$2554)&gt;0)*1000000+30*1000+12))</f>
        <v/>
      </c>
      <c r="O186" s="41">
        <f>IF(N('Dvd Calendar'!$Q$2555)=0,"",IF(('Dvd Calendar'!$Q$2555&gt;=MIN(DATE(Summary!$C$12,1,1),Summary!$C$11))*('Dvd Calendar'!$Q$2555&lt;=MAX(DATE(Summary!$C$12,12,31),Summary!$C$15))*('Dvd Calendar'!$Q$2555&lt;=Summary!$C$11)=0,"",'Dvd Calendar'!$Q$2555*1000000000+ISNUMBER('Dvd Calendar'!$Q$2556)*100000000+('Dvd Calendar'!$Q$2560='Field Check'!$C$25)*10000000+(N('Dvd Calendar'!$Q$2554)&gt;0)*1000000+30*1000+13))</f>
        <v/>
      </c>
      <c r="P186" s="41">
        <f>IF(N('Dvd Calendar'!$R$2555)=0,"",IF(('Dvd Calendar'!$R$2555&gt;=MIN(DATE(Summary!$C$12,1,1),Summary!$C$11))*('Dvd Calendar'!$R$2555&lt;=MAX(DATE(Summary!$C$12,12,31),Summary!$C$15))*('Dvd Calendar'!$R$2555&lt;=Summary!$C$11)=0,"",'Dvd Calendar'!$R$2555*1000000000+ISNUMBER('Dvd Calendar'!$R$2556)*100000000+('Dvd Calendar'!$R$2560='Field Check'!$C$25)*10000000+(N('Dvd Calendar'!$R$2554)&gt;0)*1000000+30*1000+14))</f>
        <v/>
      </c>
      <c r="Q186" s="41">
        <f>IF(N('Dvd Calendar'!$S$2555)=0,"",IF(('Dvd Calendar'!$S$2555&gt;=MIN(DATE(Summary!$C$12,1,1),Summary!$C$11))*('Dvd Calendar'!$S$2555&lt;=MAX(DATE(Summary!$C$12,12,31),Summary!$C$15))*('Dvd Calendar'!$S$2555&lt;=Summary!$C$11)=0,"",'Dvd Calendar'!$S$2555*1000000000+ISNUMBER('Dvd Calendar'!$S$2556)*100000000+('Dvd Calendar'!$S$2560='Field Check'!$C$25)*10000000+(N('Dvd Calendar'!$S$2554)&gt;0)*1000000+30*1000+15))</f>
        <v/>
      </c>
      <c r="R186" s="41">
        <f>IF(N('Dvd Calendar'!$T$2555)=0,"",IF(('Dvd Calendar'!$T$2555&gt;=MIN(DATE(Summary!$C$12,1,1),Summary!$C$11))*('Dvd Calendar'!$T$2555&lt;=MAX(DATE(Summary!$C$12,12,31),Summary!$C$15))*('Dvd Calendar'!$T$2555&lt;=Summary!$C$11)=0,"",'Dvd Calendar'!$T$2555*1000000000+ISNUMBER('Dvd Calendar'!$T$2556)*100000000+('Dvd Calendar'!$T$2560='Field Check'!$C$25)*10000000+(N('Dvd Calendar'!$T$2554)&gt;0)*1000000+30*1000+16))</f>
        <v/>
      </c>
      <c r="S186" s="41">
        <f>IF(N('Dvd Calendar'!$U$2555)=0,"",IF(('Dvd Calendar'!$U$2555&gt;=MIN(DATE(Summary!$C$12,1,1),Summary!$C$11))*('Dvd Calendar'!$U$2555&lt;=MAX(DATE(Summary!$C$12,12,31),Summary!$C$15))*('Dvd Calendar'!$U$2555&lt;=Summary!$C$11)=0,"",'Dvd Calendar'!$U$2555*1000000000+ISNUMBER('Dvd Calendar'!$U$2556)*100000000+('Dvd Calendar'!$U$2560='Field Check'!$C$25)*10000000+(N('Dvd Calendar'!$U$2554)&gt;0)*1000000+30*1000+17))</f>
        <v/>
      </c>
      <c r="T186" s="41">
        <f>IF(N('Dvd Calendar'!$V$2555)=0,"",IF(('Dvd Calendar'!$V$2555&gt;=MIN(DATE(Summary!$C$12,1,1),Summary!$C$11))*('Dvd Calendar'!$V$2555&lt;=MAX(DATE(Summary!$C$12,12,31),Summary!$C$15))*('Dvd Calendar'!$V$2555&lt;=Summary!$C$11)=0,"",'Dvd Calendar'!$V$2555*1000000000+ISNUMBER('Dvd Calendar'!$V$2556)*100000000+('Dvd Calendar'!$V$2560='Field Check'!$C$25)*10000000+(N('Dvd Calendar'!$V$2554)&gt;0)*1000000+30*1000+18))</f>
        <v/>
      </c>
      <c r="U186" s="41">
        <f>IF(N('Dvd Calendar'!$W$2555)=0,"",IF(('Dvd Calendar'!$W$2555&gt;=MIN(DATE(Summary!$C$12,1,1),Summary!$C$11))*('Dvd Calendar'!$W$2555&lt;=MAX(DATE(Summary!$C$12,12,31),Summary!$C$15))*('Dvd Calendar'!$W$2555&lt;=Summary!$C$11)=0,"",'Dvd Calendar'!$W$2555*1000000000+ISNUMBER('Dvd Calendar'!$W$2556)*100000000+('Dvd Calendar'!$W$2560='Field Check'!$C$25)*10000000+(N('Dvd Calendar'!$W$2554)&gt;0)*1000000+30*1000+19))</f>
        <v/>
      </c>
      <c r="V186" s="41">
        <f>IF(N('Dvd Calendar'!$X$2555)=0,"",IF(('Dvd Calendar'!$X$2555&gt;=MIN(DATE(Summary!$C$12,1,1),Summary!$C$11))*('Dvd Calendar'!$X$2555&lt;=MAX(DATE(Summary!$C$12,12,31),Summary!$C$15))*('Dvd Calendar'!$X$2555&lt;=Summary!$C$11)=0,"",'Dvd Calendar'!$X$2555*1000000000+ISNUMBER('Dvd Calendar'!$X$2556)*100000000+('Dvd Calendar'!$X$2560='Field Check'!$C$25)*10000000+(N('Dvd Calendar'!$X$2554)&gt;0)*1000000+30*1000+20))</f>
        <v/>
      </c>
      <c r="W186" s="41">
        <f>IF(N('Dvd Calendar'!$Y$2555)=0,"",IF(('Dvd Calendar'!$Y$2555&gt;=MIN(DATE(Summary!$C$12,1,1),Summary!$C$11))*('Dvd Calendar'!$Y$2555&lt;=MAX(DATE(Summary!$C$12,12,31),Summary!$C$15))*('Dvd Calendar'!$Y$2555&lt;=Summary!$C$11)=0,"",'Dvd Calendar'!$Y$2555*1000000000+ISNUMBER('Dvd Calendar'!$Y$2556)*100000000+('Dvd Calendar'!$Y$2560='Field Check'!$C$25)*10000000+(N('Dvd Calendar'!$Y$2554)&gt;0)*1000000+30*1000+21))</f>
        <v/>
      </c>
      <c r="X186" s="41">
        <f>IF(N('Dvd Calendar'!$Z$2555)=0,"",IF(('Dvd Calendar'!$Z$2555&gt;=MIN(DATE(Summary!$C$12,1,1),Summary!$C$11))*('Dvd Calendar'!$Z$2555&lt;=MAX(DATE(Summary!$C$12,12,31),Summary!$C$15))*('Dvd Calendar'!$Z$2555&lt;=Summary!$C$11)=0,"",'Dvd Calendar'!$Z$2555*1000000000+ISNUMBER('Dvd Calendar'!$Z$2556)*100000000+('Dvd Calendar'!$Z$2560='Field Check'!$C$25)*10000000+(N('Dvd Calendar'!$Z$2554)&gt;0)*1000000+30*1000+22))</f>
        <v/>
      </c>
      <c r="Y186" s="41">
        <f>IF(N('Dvd Calendar'!$AA$2555)=0,"",IF(('Dvd Calendar'!$AA$2555&gt;=MIN(DATE(Summary!$C$12,1,1),Summary!$C$11))*('Dvd Calendar'!$AA$2555&lt;=MAX(DATE(Summary!$C$12,12,31),Summary!$C$15))*('Dvd Calendar'!$AA$2555&lt;=Summary!$C$11)=0,"",'Dvd Calendar'!$AA$2555*1000000000+ISNUMBER('Dvd Calendar'!$AA$2556)*100000000+('Dvd Calendar'!$AA$2560='Field Check'!$C$25)*10000000+(N('Dvd Calendar'!$AA$2554)&gt;0)*1000000+30*1000+23))</f>
        <v/>
      </c>
      <c r="Z186" s="41">
        <f>IF(N('Dvd Calendar'!$AB$2555)=0,"",IF(('Dvd Calendar'!$AB$2555&gt;=MIN(DATE(Summary!$C$12,1,1),Summary!$C$11))*('Dvd Calendar'!$AB$2555&lt;=MAX(DATE(Summary!$C$12,12,31),Summary!$C$15))*('Dvd Calendar'!$AB$2555&lt;=Summary!$C$11)=0,"",'Dvd Calendar'!$AB$2555*1000000000+ISNUMBER('Dvd Calendar'!$AB$2556)*100000000+('Dvd Calendar'!$AB$2560='Field Check'!$C$25)*10000000+(N('Dvd Calendar'!$AB$2554)&gt;0)*1000000+30*1000+24))</f>
        <v/>
      </c>
      <c r="AA186" s="41">
        <f>IF(N('Dvd Calendar'!$AC$2555)=0,"",IF(('Dvd Calendar'!$AC$2555&gt;=MIN(DATE(Summary!$C$12,1,1),Summary!$C$11))*('Dvd Calendar'!$AC$2555&lt;=MAX(DATE(Summary!$C$12,12,31),Summary!$C$15))*('Dvd Calendar'!$AC$2555&lt;=Summary!$C$11)=0,"",'Dvd Calendar'!$AC$2555*1000000000+ISNUMBER('Dvd Calendar'!$AC$2556)*100000000+('Dvd Calendar'!$AC$2560='Field Check'!$C$25)*10000000+(N('Dvd Calendar'!$AC$2554)&gt;0)*1000000+30*1000+25))</f>
        <v/>
      </c>
      <c r="AB186" s="41">
        <f>IF(N('Dvd Calendar'!$AD$2555)=0,"",IF(('Dvd Calendar'!$AD$2555&gt;=MIN(DATE(Summary!$C$12,1,1),Summary!$C$11))*('Dvd Calendar'!$AD$2555&lt;=MAX(DATE(Summary!$C$12,12,31),Summary!$C$15))*('Dvd Calendar'!$AD$2555&lt;=Summary!$C$11)=0,"",'Dvd Calendar'!$AD$2555*1000000000+ISNUMBER('Dvd Calendar'!$AD$2556)*100000000+('Dvd Calendar'!$AD$2560='Field Check'!$C$25)*10000000+(N('Dvd Calendar'!$AD$2554)&gt;0)*1000000+30*1000+26))</f>
        <v/>
      </c>
      <c r="AC186" s="41">
        <f>IF(N('Dvd Calendar'!$AE$2555)=0,"",IF(('Dvd Calendar'!$AE$2555&gt;=MIN(DATE(Summary!$C$12,1,1),Summary!$C$11))*('Dvd Calendar'!$AE$2555&lt;=MAX(DATE(Summary!$C$12,12,31),Summary!$C$15))*('Dvd Calendar'!$AE$2555&lt;=Summary!$C$11)=0,"",'Dvd Calendar'!$AE$2555*1000000000+ISNUMBER('Dvd Calendar'!$AE$2556)*100000000+('Dvd Calendar'!$AE$2560='Field Check'!$C$25)*10000000+(N('Dvd Calendar'!$AE$2554)&gt;0)*1000000+30*1000+27))</f>
        <v/>
      </c>
      <c r="AD186" s="41">
        <f>IF(N('Dvd Calendar'!$AF$2555)=0,"",IF(('Dvd Calendar'!$AF$2555&gt;=MIN(DATE(Summary!$C$12,1,1),Summary!$C$11))*('Dvd Calendar'!$AF$2555&lt;=MAX(DATE(Summary!$C$12,12,31),Summary!$C$15))*('Dvd Calendar'!$AF$2555&lt;=Summary!$C$11)=0,"",'Dvd Calendar'!$AF$2555*1000000000+ISNUMBER('Dvd Calendar'!$AF$2556)*100000000+('Dvd Calendar'!$AF$2560='Field Check'!$C$25)*10000000+(N('Dvd Calendar'!$AF$2554)&gt;0)*1000000+30*1000+28))</f>
        <v/>
      </c>
      <c r="AE186" s="41">
        <f>IF(N('Dvd Calendar'!$AG$2555)=0,"",IF(('Dvd Calendar'!$AG$2555&gt;=MIN(DATE(Summary!$C$12,1,1),Summary!$C$11))*('Dvd Calendar'!$AG$2555&lt;=MAX(DATE(Summary!$C$12,12,31),Summary!$C$15))*('Dvd Calendar'!$AG$2555&lt;=Summary!$C$11)=0,"",'Dvd Calendar'!$AG$2555*1000000000+ISNUMBER('Dvd Calendar'!$AG$2556)*100000000+('Dvd Calendar'!$AG$2560='Field Check'!$C$25)*10000000+(N('Dvd Calendar'!$AG$2554)&gt;0)*1000000+30*1000+29))</f>
        <v/>
      </c>
      <c r="AF186" s="41">
        <f>IF(N('Dvd Calendar'!$AH$2555)=0,"",IF(('Dvd Calendar'!$AH$2555&gt;=MIN(DATE(Summary!$C$12,1,1),Summary!$C$11))*('Dvd Calendar'!$AH$2555&lt;=MAX(DATE(Summary!$C$12,12,31),Summary!$C$15))*('Dvd Calendar'!$AH$2555&lt;=Summary!$C$11)=0,"",'Dvd Calendar'!$AH$2555*1000000000+ISNUMBER('Dvd Calendar'!$AH$2556)*100000000+('Dvd Calendar'!$AH$2560='Field Check'!$C$25)*10000000+(N('Dvd Calendar'!$AH$2554)&gt;0)*1000000+30*1000+30))</f>
        <v/>
      </c>
      <c r="AG186" s="41">
        <f>IF(N('Dvd Calendar'!$AI$2555)=0,"",IF(('Dvd Calendar'!$AI$2555&gt;=MIN(DATE(Summary!$C$12,1,1),Summary!$C$11))*('Dvd Calendar'!$AI$2555&lt;=MAX(DATE(Summary!$C$12,12,31),Summary!$C$15))*('Dvd Calendar'!$AI$2555&lt;=Summary!$C$11)=0,"",'Dvd Calendar'!$AI$2555*1000000000+ISNUMBER('Dvd Calendar'!$AI$2556)*100000000+('Dvd Calendar'!$AI$2560='Field Check'!$C$25)*10000000+(N('Dvd Calendar'!$AI$2554)&gt;0)*1000000+30*1000+31))</f>
        <v/>
      </c>
      <c r="AH186" s="41">
        <f>IF(N('Dvd Calendar'!$AJ$2555)=0,"",IF(('Dvd Calendar'!$AJ$2555&gt;=MIN(DATE(Summary!$C$12,1,1),Summary!$C$11))*('Dvd Calendar'!$AJ$2555&lt;=MAX(DATE(Summary!$C$12,12,31),Summary!$C$15))*('Dvd Calendar'!$AJ$2555&lt;=Summary!$C$11)=0,"",'Dvd Calendar'!$AJ$2555*1000000000+ISNUMBER('Dvd Calendar'!$AJ$2556)*100000000+('Dvd Calendar'!$AJ$2560='Field Check'!$C$25)*10000000+(N('Dvd Calendar'!$AJ$2554)&gt;0)*1000000+30*1000+32))</f>
        <v/>
      </c>
      <c r="AI186" s="41">
        <f>IF(N('Dvd Calendar'!$AK$2555)=0,"",IF(('Dvd Calendar'!$AK$2555&gt;=MIN(DATE(Summary!$C$12,1,1),Summary!$C$11))*('Dvd Calendar'!$AK$2555&lt;=MAX(DATE(Summary!$C$12,12,31),Summary!$C$15))*('Dvd Calendar'!$AK$2555&lt;=Summary!$C$11)=0,"",'Dvd Calendar'!$AK$2555*1000000000+ISNUMBER('Dvd Calendar'!$AK$2556)*100000000+('Dvd Calendar'!$AK$2560='Field Check'!$C$25)*10000000+(N('Dvd Calendar'!$AK$2554)&gt;0)*1000000+30*1000+33))</f>
        <v/>
      </c>
      <c r="AJ186" s="41">
        <f>IF(N('Dvd Calendar'!$AL$2555)=0,"",IF(('Dvd Calendar'!$AL$2555&gt;=MIN(DATE(Summary!$C$12,1,1),Summary!$C$11))*('Dvd Calendar'!$AL$2555&lt;=MAX(DATE(Summary!$C$12,12,31),Summary!$C$15))*('Dvd Calendar'!$AL$2555&lt;=Summary!$C$11)=0,"",'Dvd Calendar'!$AL$2555*1000000000+ISNUMBER('Dvd Calendar'!$AL$2556)*100000000+('Dvd Calendar'!$AL$2560='Field Check'!$C$25)*10000000+(N('Dvd Calendar'!$AL$2554)&gt;0)*1000000+30*1000+34))</f>
        <v/>
      </c>
      <c r="AK186" s="41">
        <f>IF(N('Dvd Calendar'!$AM$2555)=0,"",IF(('Dvd Calendar'!$AM$2555&gt;=MIN(DATE(Summary!$C$12,1,1),Summary!$C$11))*('Dvd Calendar'!$AM$2555&lt;=MAX(DATE(Summary!$C$12,12,31),Summary!$C$15))*('Dvd Calendar'!$AM$2555&lt;=Summary!$C$11)=0,"",'Dvd Calendar'!$AM$2555*1000000000+ISNUMBER('Dvd Calendar'!$AM$2556)*100000000+('Dvd Calendar'!$AM$2560='Field Check'!$C$25)*10000000+(N('Dvd Calendar'!$AM$2554)&gt;0)*1000000+30*1000+35))</f>
        <v/>
      </c>
      <c r="AL186" s="41">
        <f>IF(N('Dvd Calendar'!$AN$2555)=0,"",IF(('Dvd Calendar'!$AN$2555&gt;=MIN(DATE(Summary!$C$12,1,1),Summary!$C$11))*('Dvd Calendar'!$AN$2555&lt;=MAX(DATE(Summary!$C$12,12,31),Summary!$C$15))*('Dvd Calendar'!$AN$2555&lt;=Summary!$C$11)=0,"",'Dvd Calendar'!$AN$2555*1000000000+ISNUMBER('Dvd Calendar'!$AN$2556)*100000000+('Dvd Calendar'!$AN$2560='Field Check'!$C$25)*10000000+(N('Dvd Calendar'!$AN$2554)&gt;0)*1000000+30*1000+36))</f>
        <v/>
      </c>
      <c r="AM186" s="41">
        <f>IF(N('Dvd Calendar'!$AO$2555)=0,"",IF(('Dvd Calendar'!$AO$2555&gt;=MIN(DATE(Summary!$C$12,1,1),Summary!$C$11))*('Dvd Calendar'!$AO$2555&lt;=MAX(DATE(Summary!$C$12,12,31),Summary!$C$15))*('Dvd Calendar'!$AO$2555&lt;=Summary!$C$11)=0,"",'Dvd Calendar'!$AO$2555*1000000000+ISNUMBER('Dvd Calendar'!$AO$2556)*100000000+('Dvd Calendar'!$AO$2560='Field Check'!$C$25)*10000000+(N('Dvd Calendar'!$AO$2554)&gt;0)*1000000+30*1000+37))</f>
        <v/>
      </c>
      <c r="AN186" s="41">
        <f>IF(N('Dvd Calendar'!$AP$2555)=0,"",IF(('Dvd Calendar'!$AP$2555&gt;=MIN(DATE(Summary!$C$12,1,1),Summary!$C$11))*('Dvd Calendar'!$AP$2555&lt;=MAX(DATE(Summary!$C$12,12,31),Summary!$C$15))*('Dvd Calendar'!$AP$2555&lt;=Summary!$C$11)=0,"",'Dvd Calendar'!$AP$2555*1000000000+ISNUMBER('Dvd Calendar'!$AP$2556)*100000000+('Dvd Calendar'!$AP$2560='Field Check'!$C$25)*10000000+(N('Dvd Calendar'!$AP$2554)&gt;0)*1000000+30*1000+38))</f>
        <v/>
      </c>
      <c r="AO186" s="41">
        <f>IF(N('Dvd Calendar'!$AQ$2555)=0,"",IF(('Dvd Calendar'!$AQ$2555&gt;=MIN(DATE(Summary!$C$12,1,1),Summary!$C$11))*('Dvd Calendar'!$AQ$2555&lt;=MAX(DATE(Summary!$C$12,12,31),Summary!$C$15))*('Dvd Calendar'!$AQ$2555&lt;=Summary!$C$11)=0,"",'Dvd Calendar'!$AQ$2555*1000000000+ISNUMBER('Dvd Calendar'!$AQ$2556)*100000000+('Dvd Calendar'!$AQ$2560='Field Check'!$C$25)*10000000+(N('Dvd Calendar'!$AQ$2554)&gt;0)*1000000+30*1000+39))</f>
        <v/>
      </c>
      <c r="AP186" s="41">
        <f>IF(N('Dvd Calendar'!$AR$2555)=0,"",IF(('Dvd Calendar'!$AR$2555&gt;=MIN(DATE(Summary!$C$12,1,1),Summary!$C$11))*('Dvd Calendar'!$AR$2555&lt;=MAX(DATE(Summary!$C$12,12,31),Summary!$C$15))*('Dvd Calendar'!$AR$2555&lt;=Summary!$C$11)=0,"",'Dvd Calendar'!$AR$2555*1000000000+ISNUMBER('Dvd Calendar'!$AR$2556)*100000000+('Dvd Calendar'!$AR$2560='Field Check'!$C$25)*10000000+(N('Dvd Calendar'!$AR$2554)&gt;0)*1000000+30*1000+40))</f>
        <v/>
      </c>
      <c r="AQ186" s="41">
        <f>IF(N('Dvd Calendar'!$E$2562)=0,"",IF(('Dvd Calendar'!$E$2562&gt;=MIN(DATE(Summary!$C$12,1,1),Summary!$C$11))*('Dvd Calendar'!$E$2562&lt;=MAX(DATE(Summary!$C$12,12,31),Summary!$C$15))*('Dvd Calendar'!$E$2562&gt;Summary!$C$11)=0,"",'Dvd Calendar'!$E$2562*1000000000+ISNUMBER('Dvd Calendar'!$E$2563)*100000000+('Dvd Calendar'!$E$2567='Field Check'!$C$25)*10000000+(N('Dvd Calendar'!$E$2561)&gt;0)*1000000+30*1000+41))</f>
        <v/>
      </c>
      <c r="AR186" s="41">
        <f>IF(N('Dvd Calendar'!$F$2562)=0,"",IF(('Dvd Calendar'!$F$2562&gt;=MIN(DATE(Summary!$C$12,1,1),Summary!$C$11))*('Dvd Calendar'!$F$2562&lt;=MAX(DATE(Summary!$C$12,12,31),Summary!$C$15))*('Dvd Calendar'!$F$2562&gt;Summary!$C$11)=0,"",'Dvd Calendar'!$F$2562*1000000000+ISNUMBER('Dvd Calendar'!$F$2563)*100000000+('Dvd Calendar'!$F$2567='Field Check'!$C$25)*10000000+(N('Dvd Calendar'!$F$2561)&gt;0)*1000000+30*1000+42))</f>
        <v/>
      </c>
      <c r="AS186" s="41">
        <f>IF(N('Dvd Calendar'!$G$2562)=0,"",IF(('Dvd Calendar'!$G$2562&gt;=MIN(DATE(Summary!$C$12,1,1),Summary!$C$11))*('Dvd Calendar'!$G$2562&lt;=MAX(DATE(Summary!$C$12,12,31),Summary!$C$15))*('Dvd Calendar'!$G$2562&gt;Summary!$C$11)=0,"",'Dvd Calendar'!$G$2562*1000000000+ISNUMBER('Dvd Calendar'!$G$2563)*100000000+('Dvd Calendar'!$G$2567='Field Check'!$C$25)*10000000+(N('Dvd Calendar'!$G$2561)&gt;0)*1000000+30*1000+43))</f>
        <v/>
      </c>
      <c r="AT186" s="41">
        <f>IF(N('Dvd Calendar'!$H$2562)=0,"",IF(('Dvd Calendar'!$H$2562&gt;=MIN(DATE(Summary!$C$12,1,1),Summary!$C$11))*('Dvd Calendar'!$H$2562&lt;=MAX(DATE(Summary!$C$12,12,31),Summary!$C$15))*('Dvd Calendar'!$H$2562&gt;Summary!$C$11)=0,"",'Dvd Calendar'!$H$2562*1000000000+ISNUMBER('Dvd Calendar'!$H$2563)*100000000+('Dvd Calendar'!$H$2567='Field Check'!$C$25)*10000000+(N('Dvd Calendar'!$H$2561)&gt;0)*1000000+30*1000+44))</f>
        <v/>
      </c>
      <c r="AU186" s="41">
        <f>IF(N('Dvd Calendar'!$I$2562)=0,"",IF(('Dvd Calendar'!$I$2562&gt;=MIN(DATE(Summary!$C$12,1,1),Summary!$C$11))*('Dvd Calendar'!$I$2562&lt;=MAX(DATE(Summary!$C$12,12,31),Summary!$C$15))*('Dvd Calendar'!$I$2562&gt;Summary!$C$11)=0,"",'Dvd Calendar'!$I$2562*1000000000+ISNUMBER('Dvd Calendar'!$I$2563)*100000000+('Dvd Calendar'!$I$2567='Field Check'!$C$25)*10000000+(N('Dvd Calendar'!$I$2561)&gt;0)*1000000+30*1000+45))</f>
        <v/>
      </c>
      <c r="AV186" s="41">
        <f>IF(N('Dvd Calendar'!$J$2562)=0,"",IF(('Dvd Calendar'!$J$2562&gt;=MIN(DATE(Summary!$C$12,1,1),Summary!$C$11))*('Dvd Calendar'!$J$2562&lt;=MAX(DATE(Summary!$C$12,12,31),Summary!$C$15))*('Dvd Calendar'!$J$2562&gt;Summary!$C$11)=0,"",'Dvd Calendar'!$J$2562*1000000000+ISNUMBER('Dvd Calendar'!$J$2563)*100000000+('Dvd Calendar'!$J$2567='Field Check'!$C$25)*10000000+(N('Dvd Calendar'!$J$2561)&gt;0)*1000000+30*1000+46))</f>
        <v/>
      </c>
      <c r="AW186" s="41">
        <f>IF(N('Dvd Calendar'!$K$2562)=0,"",IF(('Dvd Calendar'!$K$2562&gt;=MIN(DATE(Summary!$C$12,1,1),Summary!$C$11))*('Dvd Calendar'!$K$2562&lt;=MAX(DATE(Summary!$C$12,12,31),Summary!$C$15))*('Dvd Calendar'!$K$2562&gt;Summary!$C$11)=0,"",'Dvd Calendar'!$K$2562*1000000000+ISNUMBER('Dvd Calendar'!$K$2563)*100000000+('Dvd Calendar'!$K$2567='Field Check'!$C$25)*10000000+(N('Dvd Calendar'!$K$2561)&gt;0)*1000000+30*1000+47))</f>
        <v/>
      </c>
      <c r="AX186" s="41">
        <f>IF(N('Dvd Calendar'!$L$2562)=0,"",IF(('Dvd Calendar'!$L$2562&gt;=MIN(DATE(Summary!$C$12,1,1),Summary!$C$11))*('Dvd Calendar'!$L$2562&lt;=MAX(DATE(Summary!$C$12,12,31),Summary!$C$15))*('Dvd Calendar'!$L$2562&gt;Summary!$C$11)=0,"",'Dvd Calendar'!$L$2562*1000000000+ISNUMBER('Dvd Calendar'!$L$2563)*100000000+('Dvd Calendar'!$L$2567='Field Check'!$C$25)*10000000+(N('Dvd Calendar'!$L$2561)&gt;0)*1000000+30*1000+48))</f>
        <v/>
      </c>
      <c r="AY186" s="41">
        <f>IF(N('Dvd Calendar'!$M$2562)=0,"",IF(('Dvd Calendar'!$M$2562&gt;=MIN(DATE(Summary!$C$12,1,1),Summary!$C$11))*('Dvd Calendar'!$M$2562&lt;=MAX(DATE(Summary!$C$12,12,31),Summary!$C$15))*('Dvd Calendar'!$M$2562&gt;Summary!$C$11)=0,"",'Dvd Calendar'!$M$2562*1000000000+ISNUMBER('Dvd Calendar'!$M$2563)*100000000+('Dvd Calendar'!$M$2567='Field Check'!$C$25)*10000000+(N('Dvd Calendar'!$M$2561)&gt;0)*1000000+30*1000+49))</f>
        <v/>
      </c>
      <c r="AZ186" s="41">
        <f>IF(N('Dvd Calendar'!$N$2562)=0,"",IF(('Dvd Calendar'!$N$2562&gt;=MIN(DATE(Summary!$C$12,1,1),Summary!$C$11))*('Dvd Calendar'!$N$2562&lt;=MAX(DATE(Summary!$C$12,12,31),Summary!$C$15))*('Dvd Calendar'!$N$2562&gt;Summary!$C$11)=0,"",'Dvd Calendar'!$N$2562*1000000000+ISNUMBER('Dvd Calendar'!$N$2563)*100000000+('Dvd Calendar'!$N$2567='Field Check'!$C$25)*10000000+(N('Dvd Calendar'!$N$2561)&gt;0)*1000000+30*1000+50))</f>
        <v/>
      </c>
      <c r="BA186" s="41">
        <f>IF(N('Dvd Calendar'!$O$2562)=0,"",IF(('Dvd Calendar'!$O$2562&gt;=MIN(DATE(Summary!$C$12,1,1),Summary!$C$11))*('Dvd Calendar'!$O$2562&lt;=MAX(DATE(Summary!$C$12,12,31),Summary!$C$15))*('Dvd Calendar'!$O$2562&gt;Summary!$C$11)=0,"",'Dvd Calendar'!$O$2562*1000000000+ISNUMBER('Dvd Calendar'!$O$2563)*100000000+('Dvd Calendar'!$O$2567='Field Check'!$C$25)*10000000+(N('Dvd Calendar'!$O$2561)&gt;0)*1000000+30*1000+51))</f>
        <v/>
      </c>
      <c r="BB186" s="41">
        <f>IF(N('Dvd Calendar'!$P$2562)=0,"",IF(('Dvd Calendar'!$P$2562&gt;=MIN(DATE(Summary!$C$12,1,1),Summary!$C$11))*('Dvd Calendar'!$P$2562&lt;=MAX(DATE(Summary!$C$12,12,31),Summary!$C$15))*('Dvd Calendar'!$P$2562&gt;Summary!$C$11)=0,"",'Dvd Calendar'!$P$2562*1000000000+ISNUMBER('Dvd Calendar'!$P$2563)*100000000+('Dvd Calendar'!$P$2567='Field Check'!$C$25)*10000000+(N('Dvd Calendar'!$P$2561)&gt;0)*1000000+30*1000+52))</f>
        <v/>
      </c>
      <c r="BC186" s="41">
        <f>IF(N('Dvd Calendar'!$Q$2562)=0,"",IF(('Dvd Calendar'!$Q$2562&gt;=MIN(DATE(Summary!$C$12,1,1),Summary!$C$11))*('Dvd Calendar'!$Q$2562&lt;=MAX(DATE(Summary!$C$12,12,31),Summary!$C$15))*('Dvd Calendar'!$Q$2562&gt;Summary!$C$11)=0,"",'Dvd Calendar'!$Q$2562*1000000000+ISNUMBER('Dvd Calendar'!$Q$2563)*100000000+('Dvd Calendar'!$Q$2567='Field Check'!$C$25)*10000000+(N('Dvd Calendar'!$Q$2561)&gt;0)*1000000+30*1000+53))</f>
        <v/>
      </c>
      <c r="BD186" s="41">
        <f>IF(N('Dvd Calendar'!$R$2562)=0,"",IF(('Dvd Calendar'!$R$2562&gt;=MIN(DATE(Summary!$C$12,1,1),Summary!$C$11))*('Dvd Calendar'!$R$2562&lt;=MAX(DATE(Summary!$C$12,12,31),Summary!$C$15))*('Dvd Calendar'!$R$2562&gt;Summary!$C$11)=0,"",'Dvd Calendar'!$R$2562*1000000000+ISNUMBER('Dvd Calendar'!$R$2563)*100000000+('Dvd Calendar'!$R$2567='Field Check'!$C$25)*10000000+(N('Dvd Calendar'!$R$2561)&gt;0)*1000000+30*1000+54))</f>
        <v/>
      </c>
      <c r="BE186" s="41">
        <f>IF(N('Dvd Calendar'!$S$2562)=0,"",IF(('Dvd Calendar'!$S$2562&gt;=MIN(DATE(Summary!$C$12,1,1),Summary!$C$11))*('Dvd Calendar'!$S$2562&lt;=MAX(DATE(Summary!$C$12,12,31),Summary!$C$15))*('Dvd Calendar'!$S$2562&gt;Summary!$C$11)=0,"",'Dvd Calendar'!$S$2562*1000000000+ISNUMBER('Dvd Calendar'!$S$2563)*100000000+('Dvd Calendar'!$S$2567='Field Check'!$C$25)*10000000+(N('Dvd Calendar'!$S$2561)&gt;0)*1000000+30*1000+55))</f>
        <v/>
      </c>
      <c r="BF186" s="41">
        <f>IF(N('Dvd Calendar'!$T$2562)=0,"",IF(('Dvd Calendar'!$T$2562&gt;=MIN(DATE(Summary!$C$12,1,1),Summary!$C$11))*('Dvd Calendar'!$T$2562&lt;=MAX(DATE(Summary!$C$12,12,31),Summary!$C$15))*('Dvd Calendar'!$T$2562&gt;Summary!$C$11)=0,"",'Dvd Calendar'!$T$2562*1000000000+ISNUMBER('Dvd Calendar'!$T$2563)*100000000+('Dvd Calendar'!$T$2567='Field Check'!$C$25)*10000000+(N('Dvd Calendar'!$T$2561)&gt;0)*1000000+30*1000+56))</f>
        <v/>
      </c>
      <c r="BG186" s="41">
        <f>IF(N('Dvd Calendar'!$U$2562)=0,"",IF(('Dvd Calendar'!$U$2562&gt;=MIN(DATE(Summary!$C$12,1,1),Summary!$C$11))*('Dvd Calendar'!$U$2562&lt;=MAX(DATE(Summary!$C$12,12,31),Summary!$C$15))*('Dvd Calendar'!$U$2562&gt;Summary!$C$11)=0,"",'Dvd Calendar'!$U$2562*1000000000+ISNUMBER('Dvd Calendar'!$U$2563)*100000000+('Dvd Calendar'!$U$2567='Field Check'!$C$25)*10000000+(N('Dvd Calendar'!$U$2561)&gt;0)*1000000+30*1000+57))</f>
        <v/>
      </c>
      <c r="BH186" s="41">
        <f>IF(N('Dvd Calendar'!$V$2562)=0,"",IF(('Dvd Calendar'!$V$2562&gt;=MIN(DATE(Summary!$C$12,1,1),Summary!$C$11))*('Dvd Calendar'!$V$2562&lt;=MAX(DATE(Summary!$C$12,12,31),Summary!$C$15))*('Dvd Calendar'!$V$2562&gt;Summary!$C$11)=0,"",'Dvd Calendar'!$V$2562*1000000000+ISNUMBER('Dvd Calendar'!$V$2563)*100000000+('Dvd Calendar'!$V$2567='Field Check'!$C$25)*10000000+(N('Dvd Calendar'!$V$2561)&gt;0)*1000000+30*1000+58))</f>
        <v/>
      </c>
      <c r="BI186" s="41">
        <f>IF(N('Dvd Calendar'!$W$2562)=0,"",IF(('Dvd Calendar'!$W$2562&gt;=MIN(DATE(Summary!$C$12,1,1),Summary!$C$11))*('Dvd Calendar'!$W$2562&lt;=MAX(DATE(Summary!$C$12,12,31),Summary!$C$15))*('Dvd Calendar'!$W$2562&gt;Summary!$C$11)=0,"",'Dvd Calendar'!$W$2562*1000000000+ISNUMBER('Dvd Calendar'!$W$2563)*100000000+('Dvd Calendar'!$W$2567='Field Check'!$C$25)*10000000+(N('Dvd Calendar'!$W$2561)&gt;0)*1000000+30*1000+59))</f>
        <v/>
      </c>
      <c r="BJ186" s="41">
        <f>IF(N('Dvd Calendar'!$X$2562)=0,"",IF(('Dvd Calendar'!$X$2562&gt;=MIN(DATE(Summary!$C$12,1,1),Summary!$C$11))*('Dvd Calendar'!$X$2562&lt;=MAX(DATE(Summary!$C$12,12,31),Summary!$C$15))*('Dvd Calendar'!$X$2562&gt;Summary!$C$11)=0,"",'Dvd Calendar'!$X$2562*1000000000+ISNUMBER('Dvd Calendar'!$X$2563)*100000000+('Dvd Calendar'!$X$2567='Field Check'!$C$25)*10000000+(N('Dvd Calendar'!$X$2561)&gt;0)*1000000+30*1000+60))</f>
        <v/>
      </c>
      <c r="BK186" s="41">
        <f>IF(N('Dvd Calendar'!$Y$2562)=0,"",IF(('Dvd Calendar'!$Y$2562&gt;=MIN(DATE(Summary!$C$12,1,1),Summary!$C$11))*('Dvd Calendar'!$Y$2562&lt;=MAX(DATE(Summary!$C$12,12,31),Summary!$C$15))*('Dvd Calendar'!$Y$2562&gt;Summary!$C$11)=0,"",'Dvd Calendar'!$Y$2562*1000000000+ISNUMBER('Dvd Calendar'!$Y$2563)*100000000+('Dvd Calendar'!$Y$2567='Field Check'!$C$25)*10000000+(N('Dvd Calendar'!$Y$2561)&gt;0)*1000000+30*1000+61))</f>
        <v/>
      </c>
      <c r="BL186" s="41">
        <f>IF(N('Dvd Calendar'!$Z$2562)=0,"",IF(('Dvd Calendar'!$Z$2562&gt;=MIN(DATE(Summary!$C$12,1,1),Summary!$C$11))*('Dvd Calendar'!$Z$2562&lt;=MAX(DATE(Summary!$C$12,12,31),Summary!$C$15))*('Dvd Calendar'!$Z$2562&gt;Summary!$C$11)=0,"",'Dvd Calendar'!$Z$2562*1000000000+ISNUMBER('Dvd Calendar'!$Z$2563)*100000000+('Dvd Calendar'!$Z$2567='Field Check'!$C$25)*10000000+(N('Dvd Calendar'!$Z$2561)&gt;0)*1000000+30*1000+62))</f>
        <v/>
      </c>
      <c r="BM186" s="41">
        <f>IF(N('Dvd Calendar'!$AA$2562)=0,"",IF(('Dvd Calendar'!$AA$2562&gt;=MIN(DATE(Summary!$C$12,1,1),Summary!$C$11))*('Dvd Calendar'!$AA$2562&lt;=MAX(DATE(Summary!$C$12,12,31),Summary!$C$15))*('Dvd Calendar'!$AA$2562&gt;Summary!$C$11)=0,"",'Dvd Calendar'!$AA$2562*1000000000+ISNUMBER('Dvd Calendar'!$AA$2563)*100000000+('Dvd Calendar'!$AA$2567='Field Check'!$C$25)*10000000+(N('Dvd Calendar'!$AA$2561)&gt;0)*1000000+30*1000+63))</f>
        <v/>
      </c>
      <c r="BN186" s="41">
        <f>IF(N('Dvd Calendar'!$AB$2562)=0,"",IF(('Dvd Calendar'!$AB$2562&gt;=MIN(DATE(Summary!$C$12,1,1),Summary!$C$11))*('Dvd Calendar'!$AB$2562&lt;=MAX(DATE(Summary!$C$12,12,31),Summary!$C$15))*('Dvd Calendar'!$AB$2562&gt;Summary!$C$11)=0,"",'Dvd Calendar'!$AB$2562*1000000000+ISNUMBER('Dvd Calendar'!$AB$2563)*100000000+('Dvd Calendar'!$AB$2567='Field Check'!$C$25)*10000000+(N('Dvd Calendar'!$AB$2561)&gt;0)*1000000+30*1000+64))</f>
        <v/>
      </c>
      <c r="BO186" s="41">
        <f>IF(N('Dvd Calendar'!$AC$2562)=0,"",IF(('Dvd Calendar'!$AC$2562&gt;=MIN(DATE(Summary!$C$12,1,1),Summary!$C$11))*('Dvd Calendar'!$AC$2562&lt;=MAX(DATE(Summary!$C$12,12,31),Summary!$C$15))*('Dvd Calendar'!$AC$2562&gt;Summary!$C$11)=0,"",'Dvd Calendar'!$AC$2562*1000000000+ISNUMBER('Dvd Calendar'!$AC$2563)*100000000+('Dvd Calendar'!$AC$2567='Field Check'!$C$25)*10000000+(N('Dvd Calendar'!$AC$2561)&gt;0)*1000000+30*1000+65))</f>
        <v/>
      </c>
      <c r="BQ186" s="85">
        <f>IF(C186="","",IF(ISNUMBER('Dvd Calendar'!$E$2556)=FALSE,"",IF((Summary!$C$13="N")*('Dvd Calendar'!$E$2560='Field Check'!$C$25)&gt;0,"",'Dvd Calendar'!$E$2556)))</f>
        <v/>
      </c>
      <c r="BR186" s="85">
        <f>IF(D186="","",IF(ISNUMBER('Dvd Calendar'!$F$2556)=FALSE,"",IF((Summary!$C$13="N")*('Dvd Calendar'!$F$2560='Field Check'!$C$25)&gt;0,"",'Dvd Calendar'!$F$2556)))</f>
        <v/>
      </c>
      <c r="BS186" s="85">
        <f>IF(E186="","",IF(ISNUMBER('Dvd Calendar'!$G$2556)=FALSE,"",IF((Summary!$C$13="N")*('Dvd Calendar'!$G$2560='Field Check'!$C$25)&gt;0,"",'Dvd Calendar'!$G$2556)))</f>
        <v/>
      </c>
      <c r="BT186" s="85">
        <f>IF(F186="","",IF(ISNUMBER('Dvd Calendar'!$H$2556)=FALSE,"",IF((Summary!$C$13="N")*('Dvd Calendar'!$H$2560='Field Check'!$C$25)&gt;0,"",'Dvd Calendar'!$H$2556)))</f>
        <v/>
      </c>
      <c r="BU186" s="85">
        <f>IF(G186="","",IF(ISNUMBER('Dvd Calendar'!$I$2556)=FALSE,"",IF((Summary!$C$13="N")*('Dvd Calendar'!$I$2560='Field Check'!$C$25)&gt;0,"",'Dvd Calendar'!$I$2556)))</f>
        <v/>
      </c>
      <c r="BV186" s="85">
        <f>IF(H186="","",IF(ISNUMBER('Dvd Calendar'!$J$2556)=FALSE,"",IF((Summary!$C$13="N")*('Dvd Calendar'!$J$2560='Field Check'!$C$25)&gt;0,"",'Dvd Calendar'!$J$2556)))</f>
        <v/>
      </c>
      <c r="BW186" s="85">
        <f>IF(I186="","",IF(ISNUMBER('Dvd Calendar'!$K$2556)=FALSE,"",IF((Summary!$C$13="N")*('Dvd Calendar'!$K$2560='Field Check'!$C$25)&gt;0,"",'Dvd Calendar'!$K$2556)))</f>
        <v/>
      </c>
      <c r="BX186" s="85">
        <f>IF(J186="","",IF(ISNUMBER('Dvd Calendar'!$L$2556)=FALSE,"",IF((Summary!$C$13="N")*('Dvd Calendar'!$L$2560='Field Check'!$C$25)&gt;0,"",'Dvd Calendar'!$L$2556)))</f>
        <v/>
      </c>
      <c r="BY186" s="85">
        <f>IF(K186="","",IF(ISNUMBER('Dvd Calendar'!$M$2556)=FALSE,"",IF((Summary!$C$13="N")*('Dvd Calendar'!$M$2560='Field Check'!$C$25)&gt;0,"",'Dvd Calendar'!$M$2556)))</f>
        <v/>
      </c>
      <c r="BZ186" s="85">
        <f>IF(L186="","",IF(ISNUMBER('Dvd Calendar'!$N$2556)=FALSE,"",IF((Summary!$C$13="N")*('Dvd Calendar'!$N$2560='Field Check'!$C$25)&gt;0,"",'Dvd Calendar'!$N$2556)))</f>
        <v/>
      </c>
      <c r="CA186" s="85">
        <f>IF(M186="","",IF(ISNUMBER('Dvd Calendar'!$O$2556)=FALSE,"",IF((Summary!$C$13="N")*('Dvd Calendar'!$O$2560='Field Check'!$C$25)&gt;0,"",'Dvd Calendar'!$O$2556)))</f>
        <v/>
      </c>
      <c r="CB186" s="85">
        <f>IF(N186="","",IF(ISNUMBER('Dvd Calendar'!$P$2556)=FALSE,"",IF((Summary!$C$13="N")*('Dvd Calendar'!$P$2560='Field Check'!$C$25)&gt;0,"",'Dvd Calendar'!$P$2556)))</f>
        <v/>
      </c>
      <c r="CC186" s="85">
        <f>IF(O186="","",IF(ISNUMBER('Dvd Calendar'!$Q$2556)=FALSE,"",IF((Summary!$C$13="N")*('Dvd Calendar'!$Q$2560='Field Check'!$C$25)&gt;0,"",'Dvd Calendar'!$Q$2556)))</f>
        <v/>
      </c>
      <c r="CD186" s="85">
        <f>IF(P186="","",IF(ISNUMBER('Dvd Calendar'!$R$2556)=FALSE,"",IF((Summary!$C$13="N")*('Dvd Calendar'!$R$2560='Field Check'!$C$25)&gt;0,"",'Dvd Calendar'!$R$2556)))</f>
        <v/>
      </c>
      <c r="CE186" s="85">
        <f>IF(Q186="","",IF(ISNUMBER('Dvd Calendar'!$S$2556)=FALSE,"",IF((Summary!$C$13="N")*('Dvd Calendar'!$S$2560='Field Check'!$C$25)&gt;0,"",'Dvd Calendar'!$S$2556)))</f>
        <v/>
      </c>
      <c r="CF186" s="85">
        <f>IF(R186="","",IF(ISNUMBER('Dvd Calendar'!$T$2556)=FALSE,"",IF((Summary!$C$13="N")*('Dvd Calendar'!$T$2560='Field Check'!$C$25)&gt;0,"",'Dvd Calendar'!$T$2556)))</f>
        <v/>
      </c>
      <c r="CG186" s="85">
        <f>IF(S186="","",IF(ISNUMBER('Dvd Calendar'!$U$2556)=FALSE,"",IF((Summary!$C$13="N")*('Dvd Calendar'!$U$2560='Field Check'!$C$25)&gt;0,"",'Dvd Calendar'!$U$2556)))</f>
        <v/>
      </c>
      <c r="CH186" s="85">
        <f>IF(T186="","",IF(ISNUMBER('Dvd Calendar'!$V$2556)=FALSE,"",IF((Summary!$C$13="N")*('Dvd Calendar'!$V$2560='Field Check'!$C$25)&gt;0,"",'Dvd Calendar'!$V$2556)))</f>
        <v/>
      </c>
      <c r="CI186" s="85">
        <f>IF(U186="","",IF(ISNUMBER('Dvd Calendar'!$W$2556)=FALSE,"",IF((Summary!$C$13="N")*('Dvd Calendar'!$W$2560='Field Check'!$C$25)&gt;0,"",'Dvd Calendar'!$W$2556)))</f>
        <v/>
      </c>
      <c r="CJ186" s="85">
        <f>IF(V186="","",IF(ISNUMBER('Dvd Calendar'!$X$2556)=FALSE,"",IF((Summary!$C$13="N")*('Dvd Calendar'!$X$2560='Field Check'!$C$25)&gt;0,"",'Dvd Calendar'!$X$2556)))</f>
        <v/>
      </c>
      <c r="CK186" s="85">
        <f>IF(W186="","",IF(ISNUMBER('Dvd Calendar'!$Y$2556)=FALSE,"",IF((Summary!$C$13="N")*('Dvd Calendar'!$Y$2560='Field Check'!$C$25)&gt;0,"",'Dvd Calendar'!$Y$2556)))</f>
        <v/>
      </c>
      <c r="CL186" s="85">
        <f>IF(X186="","",IF(ISNUMBER('Dvd Calendar'!$Z$2556)=FALSE,"",IF((Summary!$C$13="N")*('Dvd Calendar'!$Z$2560='Field Check'!$C$25)&gt;0,"",'Dvd Calendar'!$Z$2556)))</f>
        <v/>
      </c>
      <c r="CM186" s="85">
        <f>IF(Y186="","",IF(ISNUMBER('Dvd Calendar'!$AA$2556)=FALSE,"",IF((Summary!$C$13="N")*('Dvd Calendar'!$AA$2560='Field Check'!$C$25)&gt;0,"",'Dvd Calendar'!$AA$2556)))</f>
        <v/>
      </c>
      <c r="CN186" s="85">
        <f>IF(Z186="","",IF(ISNUMBER('Dvd Calendar'!$AB$2556)=FALSE,"",IF((Summary!$C$13="N")*('Dvd Calendar'!$AB$2560='Field Check'!$C$25)&gt;0,"",'Dvd Calendar'!$AB$2556)))</f>
        <v/>
      </c>
      <c r="CO186" s="85">
        <f>IF(AA186="","",IF(ISNUMBER('Dvd Calendar'!$AC$2556)=FALSE,"",IF((Summary!$C$13="N")*('Dvd Calendar'!$AC$2560='Field Check'!$C$25)&gt;0,"",'Dvd Calendar'!$AC$2556)))</f>
        <v/>
      </c>
      <c r="CP186" s="85">
        <f>IF(AB186="","",IF(ISNUMBER('Dvd Calendar'!$AD$2556)=FALSE,"",IF((Summary!$C$13="N")*('Dvd Calendar'!$AD$2560='Field Check'!$C$25)&gt;0,"",'Dvd Calendar'!$AD$2556)))</f>
        <v/>
      </c>
      <c r="CQ186" s="85">
        <f>IF(AC186="","",IF(ISNUMBER('Dvd Calendar'!$AE$2556)=FALSE,"",IF((Summary!$C$13="N")*('Dvd Calendar'!$AE$2560='Field Check'!$C$25)&gt;0,"",'Dvd Calendar'!$AE$2556)))</f>
        <v/>
      </c>
      <c r="CR186" s="85">
        <f>IF(AD186="","",IF(ISNUMBER('Dvd Calendar'!$AF$2556)=FALSE,"",IF((Summary!$C$13="N")*('Dvd Calendar'!$AF$2560='Field Check'!$C$25)&gt;0,"",'Dvd Calendar'!$AF$2556)))</f>
        <v/>
      </c>
      <c r="CS186" s="85">
        <f>IF(AE186="","",IF(ISNUMBER('Dvd Calendar'!$AG$2556)=FALSE,"",IF((Summary!$C$13="N")*('Dvd Calendar'!$AG$2560='Field Check'!$C$25)&gt;0,"",'Dvd Calendar'!$AG$2556)))</f>
        <v/>
      </c>
      <c r="CT186" s="85">
        <f>IF(AF186="","",IF(ISNUMBER('Dvd Calendar'!$AH$2556)=FALSE,"",IF((Summary!$C$13="N")*('Dvd Calendar'!$AH$2560='Field Check'!$C$25)&gt;0,"",'Dvd Calendar'!$AH$2556)))</f>
        <v/>
      </c>
      <c r="CU186" s="85">
        <f>IF(AG186="","",IF(ISNUMBER('Dvd Calendar'!$AI$2556)=FALSE,"",IF((Summary!$C$13="N")*('Dvd Calendar'!$AI$2560='Field Check'!$C$25)&gt;0,"",'Dvd Calendar'!$AI$2556)))</f>
        <v/>
      </c>
      <c r="CV186" s="85">
        <f>IF(AH186="","",IF(ISNUMBER('Dvd Calendar'!$AJ$2556)=FALSE,"",IF((Summary!$C$13="N")*('Dvd Calendar'!$AJ$2560='Field Check'!$C$25)&gt;0,"",'Dvd Calendar'!$AJ$2556)))</f>
        <v/>
      </c>
      <c r="CW186" s="85">
        <f>IF(AI186="","",IF(ISNUMBER('Dvd Calendar'!$AK$2556)=FALSE,"",IF((Summary!$C$13="N")*('Dvd Calendar'!$AK$2560='Field Check'!$C$25)&gt;0,"",'Dvd Calendar'!$AK$2556)))</f>
        <v/>
      </c>
      <c r="CX186" s="85">
        <f>IF(AJ186="","",IF(ISNUMBER('Dvd Calendar'!$AL$2556)=FALSE,"",IF((Summary!$C$13="N")*('Dvd Calendar'!$AL$2560='Field Check'!$C$25)&gt;0,"",'Dvd Calendar'!$AL$2556)))</f>
        <v/>
      </c>
      <c r="CY186" s="85">
        <f>IF(AK186="","",IF(ISNUMBER('Dvd Calendar'!$AM$2556)=FALSE,"",IF((Summary!$C$13="N")*('Dvd Calendar'!$AM$2560='Field Check'!$C$25)&gt;0,"",'Dvd Calendar'!$AM$2556)))</f>
        <v/>
      </c>
      <c r="CZ186" s="85">
        <f>IF(AL186="","",IF(ISNUMBER('Dvd Calendar'!$AN$2556)=FALSE,"",IF((Summary!$C$13="N")*('Dvd Calendar'!$AN$2560='Field Check'!$C$25)&gt;0,"",'Dvd Calendar'!$AN$2556)))</f>
        <v/>
      </c>
      <c r="DA186" s="85">
        <f>IF(AM186="","",IF(ISNUMBER('Dvd Calendar'!$AO$2556)=FALSE,"",IF((Summary!$C$13="N")*('Dvd Calendar'!$AO$2560='Field Check'!$C$25)&gt;0,"",'Dvd Calendar'!$AO$2556)))</f>
        <v/>
      </c>
      <c r="DB186" s="85">
        <f>IF(AN186="","",IF(ISNUMBER('Dvd Calendar'!$AP$2556)=FALSE,"",IF((Summary!$C$13="N")*('Dvd Calendar'!$AP$2560='Field Check'!$C$25)&gt;0,"",'Dvd Calendar'!$AP$2556)))</f>
        <v/>
      </c>
      <c r="DC186" s="85">
        <f>IF(AO186="","",IF(ISNUMBER('Dvd Calendar'!$AQ$2556)=FALSE,"",IF((Summary!$C$13="N")*('Dvd Calendar'!$AQ$2560='Field Check'!$C$25)&gt;0,"",'Dvd Calendar'!$AQ$2556)))</f>
        <v/>
      </c>
      <c r="DD186" s="85">
        <f>IF(AP186="","",IF(ISNUMBER('Dvd Calendar'!$AR$2556)=FALSE,"",IF((Summary!$C$13="N")*('Dvd Calendar'!$AR$2560='Field Check'!$C$25)&gt;0,"",'Dvd Calendar'!$AR$2556)))</f>
        <v/>
      </c>
      <c r="DE186" s="85">
        <f>IF(AQ186="","",IF(ISNUMBER('Dvd Calendar'!$E$2563)=FALSE,"",IF((Summary!$C$13="N")*('Dvd Calendar'!$E$2567='Field Check'!$C$25)&gt;0,"",'Dvd Calendar'!$E$2563)))</f>
        <v/>
      </c>
      <c r="DF186" s="85">
        <f>IF(AR186="","",IF(ISNUMBER('Dvd Calendar'!$F$2563)=FALSE,"",IF((Summary!$C$13="N")*('Dvd Calendar'!$F$2567='Field Check'!$C$25)&gt;0,"",'Dvd Calendar'!$F$2563)))</f>
        <v/>
      </c>
      <c r="DG186" s="85">
        <f>IF(AS186="","",IF(ISNUMBER('Dvd Calendar'!$G$2563)=FALSE,"",IF((Summary!$C$13="N")*('Dvd Calendar'!$G$2567='Field Check'!$C$25)&gt;0,"",'Dvd Calendar'!$G$2563)))</f>
        <v/>
      </c>
      <c r="DH186" s="85">
        <f>IF(AT186="","",IF(ISNUMBER('Dvd Calendar'!$H$2563)=FALSE,"",IF((Summary!$C$13="N")*('Dvd Calendar'!$H$2567='Field Check'!$C$25)&gt;0,"",'Dvd Calendar'!$H$2563)))</f>
        <v/>
      </c>
      <c r="DI186" s="85">
        <f>IF(AU186="","",IF(ISNUMBER('Dvd Calendar'!$I$2563)=FALSE,"",IF((Summary!$C$13="N")*('Dvd Calendar'!$I$2567='Field Check'!$C$25)&gt;0,"",'Dvd Calendar'!$I$2563)))</f>
        <v/>
      </c>
      <c r="DJ186" s="85">
        <f>IF(AV186="","",IF(ISNUMBER('Dvd Calendar'!$J$2563)=FALSE,"",IF((Summary!$C$13="N")*('Dvd Calendar'!$J$2567='Field Check'!$C$25)&gt;0,"",'Dvd Calendar'!$J$2563)))</f>
        <v/>
      </c>
      <c r="DK186" s="85">
        <f>IF(AW186="","",IF(ISNUMBER('Dvd Calendar'!$K$2563)=FALSE,"",IF((Summary!$C$13="N")*('Dvd Calendar'!$K$2567='Field Check'!$C$25)&gt;0,"",'Dvd Calendar'!$K$2563)))</f>
        <v/>
      </c>
      <c r="DL186" s="85">
        <f>IF(AX186="","",IF(ISNUMBER('Dvd Calendar'!$L$2563)=FALSE,"",IF((Summary!$C$13="N")*('Dvd Calendar'!$L$2567='Field Check'!$C$25)&gt;0,"",'Dvd Calendar'!$L$2563)))</f>
        <v/>
      </c>
      <c r="DM186" s="85">
        <f>IF(AY186="","",IF(ISNUMBER('Dvd Calendar'!$M$2563)=FALSE,"",IF((Summary!$C$13="N")*('Dvd Calendar'!$M$2567='Field Check'!$C$25)&gt;0,"",'Dvd Calendar'!$M$2563)))</f>
        <v/>
      </c>
      <c r="DN186" s="85">
        <f>IF(AZ186="","",IF(ISNUMBER('Dvd Calendar'!$N$2563)=FALSE,"",IF((Summary!$C$13="N")*('Dvd Calendar'!$N$2567='Field Check'!$C$25)&gt;0,"",'Dvd Calendar'!$N$2563)))</f>
        <v/>
      </c>
      <c r="DO186" s="85">
        <f>IF(BA186="","",IF(ISNUMBER('Dvd Calendar'!$O$2563)=FALSE,"",IF((Summary!$C$13="N")*('Dvd Calendar'!$O$2567='Field Check'!$C$25)&gt;0,"",'Dvd Calendar'!$O$2563)))</f>
        <v/>
      </c>
      <c r="DP186" s="85">
        <f>IF(BB186="","",IF(ISNUMBER('Dvd Calendar'!$P$2563)=FALSE,"",IF((Summary!$C$13="N")*('Dvd Calendar'!$P$2567='Field Check'!$C$25)&gt;0,"",'Dvd Calendar'!$P$2563)))</f>
        <v/>
      </c>
      <c r="DQ186" s="85">
        <f>IF(BC186="","",IF(ISNUMBER('Dvd Calendar'!$Q$2563)=FALSE,"",IF((Summary!$C$13="N")*('Dvd Calendar'!$Q$2567='Field Check'!$C$25)&gt;0,"",'Dvd Calendar'!$Q$2563)))</f>
        <v/>
      </c>
      <c r="DR186" s="85">
        <f>IF(BD186="","",IF(ISNUMBER('Dvd Calendar'!$R$2563)=FALSE,"",IF((Summary!$C$13="N")*('Dvd Calendar'!$R$2567='Field Check'!$C$25)&gt;0,"",'Dvd Calendar'!$R$2563)))</f>
        <v/>
      </c>
      <c r="DS186" s="85">
        <f>IF(BE186="","",IF(ISNUMBER('Dvd Calendar'!$S$2563)=FALSE,"",IF((Summary!$C$13="N")*('Dvd Calendar'!$S$2567='Field Check'!$C$25)&gt;0,"",'Dvd Calendar'!$S$2563)))</f>
        <v/>
      </c>
      <c r="DT186" s="85">
        <f>IF(BF186="","",IF(ISNUMBER('Dvd Calendar'!$T$2563)=FALSE,"",IF((Summary!$C$13="N")*('Dvd Calendar'!$T$2567='Field Check'!$C$25)&gt;0,"",'Dvd Calendar'!$T$2563)))</f>
        <v/>
      </c>
      <c r="DU186" s="85">
        <f>IF(BG186="","",IF(ISNUMBER('Dvd Calendar'!$U$2563)=FALSE,"",IF((Summary!$C$13="N")*('Dvd Calendar'!$U$2567='Field Check'!$C$25)&gt;0,"",'Dvd Calendar'!$U$2563)))</f>
        <v/>
      </c>
      <c r="DV186" s="85">
        <f>IF(BH186="","",IF(ISNUMBER('Dvd Calendar'!$V$2563)=FALSE,"",IF((Summary!$C$13="N")*('Dvd Calendar'!$V$2567='Field Check'!$C$25)&gt;0,"",'Dvd Calendar'!$V$2563)))</f>
        <v/>
      </c>
      <c r="DW186" s="85">
        <f>IF(BI186="","",IF(ISNUMBER('Dvd Calendar'!$W$2563)=FALSE,"",IF((Summary!$C$13="N")*('Dvd Calendar'!$W$2567='Field Check'!$C$25)&gt;0,"",'Dvd Calendar'!$W$2563)))</f>
        <v/>
      </c>
      <c r="DX186" s="85">
        <f>IF(BJ186="","",IF(ISNUMBER('Dvd Calendar'!$X$2563)=FALSE,"",IF((Summary!$C$13="N")*('Dvd Calendar'!$X$2567='Field Check'!$C$25)&gt;0,"",'Dvd Calendar'!$X$2563)))</f>
        <v/>
      </c>
      <c r="DY186" s="85">
        <f>IF(BK186="","",IF(ISNUMBER('Dvd Calendar'!$Y$2563)=FALSE,"",IF((Summary!$C$13="N")*('Dvd Calendar'!$Y$2567='Field Check'!$C$25)&gt;0,"",'Dvd Calendar'!$Y$2563)))</f>
        <v/>
      </c>
      <c r="DZ186" s="85">
        <f>IF(BL186="","",IF(ISNUMBER('Dvd Calendar'!$Z$2563)=FALSE,"",IF((Summary!$C$13="N")*('Dvd Calendar'!$Z$2567='Field Check'!$C$25)&gt;0,"",'Dvd Calendar'!$Z$2563)))</f>
        <v/>
      </c>
      <c r="EA186" s="85">
        <f>IF(BM186="","",IF(ISNUMBER('Dvd Calendar'!$AA$2563)=FALSE,"",IF((Summary!$C$13="N")*('Dvd Calendar'!$AA$2567='Field Check'!$C$25)&gt;0,"",'Dvd Calendar'!$AA$2563)))</f>
        <v/>
      </c>
      <c r="EB186" s="85">
        <f>IF(BN186="","",IF(ISNUMBER('Dvd Calendar'!$AB$2563)=FALSE,"",IF((Summary!$C$13="N")*('Dvd Calendar'!$AB$2567='Field Check'!$C$25)&gt;0,"",'Dvd Calendar'!$AB$2563)))</f>
        <v/>
      </c>
      <c r="EC186" s="85">
        <f>IF(BO186="","",IF(ISNUMBER('Dvd Calendar'!$AC$2563)=FALSE,"",IF((Summary!$C$13="N")*('Dvd Calendar'!$AC$2567='Field Check'!$C$25)&gt;0,"",'Dvd Calendar'!$AC$2563)))</f>
        <v/>
      </c>
      <c r="EE186" s="85">
        <f>IF(BQ186="","",IFERROR(BQ186*HSCEI!$B$36*HSCEI!$G$36/HSCEI!$B$3,""))</f>
        <v/>
      </c>
      <c r="EF186" s="85">
        <f>IF(BR186="","",IFERROR(BR186*HSCEI!$B$36*HSCEI!$G$36/HSCEI!$B$3,""))</f>
        <v/>
      </c>
      <c r="EG186" s="85">
        <f>IF(BS186="","",IFERROR(BS186*HSCEI!$B$36*HSCEI!$G$36/HSCEI!$B$3,""))</f>
        <v/>
      </c>
      <c r="EH186" s="85">
        <f>IF(BT186="","",IFERROR(BT186*HSCEI!$B$36*HSCEI!$G$36/HSCEI!$B$3,""))</f>
        <v/>
      </c>
      <c r="EI186" s="85">
        <f>IF(BU186="","",IFERROR(BU186*HSCEI!$B$36*HSCEI!$G$36/HSCEI!$B$3,""))</f>
        <v/>
      </c>
      <c r="EJ186" s="85">
        <f>IF(BV186="","",IFERROR(BV186*HSCEI!$B$36*HSCEI!$G$36/HSCEI!$B$3,""))</f>
        <v/>
      </c>
      <c r="EK186" s="85">
        <f>IF(BW186="","",IFERROR(BW186*HSCEI!$B$36*HSCEI!$G$36/HSCEI!$B$3,""))</f>
        <v/>
      </c>
      <c r="EL186" s="85">
        <f>IF(BX186="","",IFERROR(BX186*HSCEI!$B$36*HSCEI!$G$36/HSCEI!$B$3,""))</f>
        <v/>
      </c>
      <c r="EM186" s="85">
        <f>IF(BY186="","",IFERROR(BY186*HSCEI!$B$36*HSCEI!$G$36/HSCEI!$B$3,""))</f>
        <v/>
      </c>
      <c r="EN186" s="85">
        <f>IF(BZ186="","",IFERROR(BZ186*HSCEI!$B$36*HSCEI!$G$36/HSCEI!$B$3,""))</f>
        <v/>
      </c>
      <c r="EO186" s="85">
        <f>IF(CA186="","",IFERROR(CA186*HSCEI!$B$36*HSCEI!$G$36/HSCEI!$B$3,""))</f>
        <v/>
      </c>
      <c r="EP186" s="85">
        <f>IF(CB186="","",IFERROR(CB186*HSCEI!$B$36*HSCEI!$G$36/HSCEI!$B$3,""))</f>
        <v/>
      </c>
      <c r="EQ186" s="85">
        <f>IF(CC186="","",IFERROR(CC186*HSCEI!$B$36*HSCEI!$G$36/HSCEI!$B$3,""))</f>
        <v/>
      </c>
      <c r="ER186" s="85">
        <f>IF(CD186="","",IFERROR(CD186*HSCEI!$B$36*HSCEI!$G$36/HSCEI!$B$3,""))</f>
        <v/>
      </c>
      <c r="ES186" s="85">
        <f>IF(CE186="","",IFERROR(CE186*HSCEI!$B$36*HSCEI!$G$36/HSCEI!$B$3,""))</f>
        <v/>
      </c>
      <c r="ET186" s="85">
        <f>IF(CF186="","",IFERROR(CF186*HSCEI!$B$36*HSCEI!$G$36/HSCEI!$B$3,""))</f>
        <v/>
      </c>
      <c r="EU186" s="85">
        <f>IF(CG186="","",IFERROR(CG186*HSCEI!$B$36*HSCEI!$G$36/HSCEI!$B$3,""))</f>
        <v/>
      </c>
      <c r="EV186" s="85">
        <f>IF(CH186="","",IFERROR(CH186*HSCEI!$B$36*HSCEI!$G$36/HSCEI!$B$3,""))</f>
        <v/>
      </c>
      <c r="EW186" s="85">
        <f>IF(CI186="","",IFERROR(CI186*HSCEI!$B$36*HSCEI!$G$36/HSCEI!$B$3,""))</f>
        <v/>
      </c>
      <c r="EX186" s="85">
        <f>IF(CJ186="","",IFERROR(CJ186*HSCEI!$B$36*HSCEI!$G$36/HSCEI!$B$3,""))</f>
        <v/>
      </c>
      <c r="EY186" s="85">
        <f>IF(CK186="","",IFERROR(CK186*HSCEI!$B$36*HSCEI!$G$36/HSCEI!$B$3,""))</f>
        <v/>
      </c>
      <c r="EZ186" s="85">
        <f>IF(CL186="","",IFERROR(CL186*HSCEI!$B$36*HSCEI!$G$36/HSCEI!$B$3,""))</f>
        <v/>
      </c>
      <c r="FA186" s="85">
        <f>IF(CM186="","",IFERROR(CM186*HSCEI!$B$36*HSCEI!$G$36/HSCEI!$B$3,""))</f>
        <v/>
      </c>
      <c r="FB186" s="85">
        <f>IF(CN186="","",IFERROR(CN186*HSCEI!$B$36*HSCEI!$G$36/HSCEI!$B$3,""))</f>
        <v/>
      </c>
      <c r="FC186" s="85">
        <f>IF(CO186="","",IFERROR(CO186*HSCEI!$B$36*HSCEI!$G$36/HSCEI!$B$3,""))</f>
        <v/>
      </c>
      <c r="FD186" s="85">
        <f>IF(CP186="","",IFERROR(CP186*HSCEI!$B$36*HSCEI!$G$36/HSCEI!$B$3,""))</f>
        <v/>
      </c>
      <c r="FE186" s="85">
        <f>IF(CQ186="","",IFERROR(CQ186*HSCEI!$B$36*HSCEI!$G$36/HSCEI!$B$3,""))</f>
        <v/>
      </c>
      <c r="FF186" s="85">
        <f>IF(CR186="","",IFERROR(CR186*HSCEI!$B$36*HSCEI!$G$36/HSCEI!$B$3,""))</f>
        <v/>
      </c>
      <c r="FG186" s="85">
        <f>IF(CS186="","",IFERROR(CS186*HSCEI!$B$36*HSCEI!$G$36/HSCEI!$B$3,""))</f>
        <v/>
      </c>
      <c r="FH186" s="85">
        <f>IF(CT186="","",IFERROR(CT186*HSCEI!$B$36*HSCEI!$G$36/HSCEI!$B$3,""))</f>
        <v/>
      </c>
      <c r="FI186" s="85">
        <f>IF(CU186="","",IFERROR(CU186*HSCEI!$B$36*HSCEI!$G$36/HSCEI!$B$3,""))</f>
        <v/>
      </c>
      <c r="FJ186" s="85">
        <f>IF(CV186="","",IFERROR(CV186*HSCEI!$B$36*HSCEI!$G$36/HSCEI!$B$3,""))</f>
        <v/>
      </c>
      <c r="FK186" s="85">
        <f>IF(CW186="","",IFERROR(CW186*HSCEI!$B$36*HSCEI!$G$36/HSCEI!$B$3,""))</f>
        <v/>
      </c>
      <c r="FL186" s="85">
        <f>IF(CX186="","",IFERROR(CX186*HSCEI!$B$36*HSCEI!$G$36/HSCEI!$B$3,""))</f>
        <v/>
      </c>
      <c r="FM186" s="85">
        <f>IF(CY186="","",IFERROR(CY186*HSCEI!$B$36*HSCEI!$G$36/HSCEI!$B$3,""))</f>
        <v/>
      </c>
      <c r="FN186" s="85">
        <f>IF(CZ186="","",IFERROR(CZ186*HSCEI!$B$36*HSCEI!$G$36/HSCEI!$B$3,""))</f>
        <v/>
      </c>
      <c r="FO186" s="85">
        <f>IF(DA186="","",IFERROR(DA186*HSCEI!$B$36*HSCEI!$G$36/HSCEI!$B$3,""))</f>
        <v/>
      </c>
      <c r="FP186" s="85">
        <f>IF(DB186="","",IFERROR(DB186*HSCEI!$B$36*HSCEI!$G$36/HSCEI!$B$3,""))</f>
        <v/>
      </c>
      <c r="FQ186" s="85">
        <f>IF(DC186="","",IFERROR(DC186*HSCEI!$B$36*HSCEI!$G$36/HSCEI!$B$3,""))</f>
        <v/>
      </c>
      <c r="FR186" s="85">
        <f>IF(DD186="","",IFERROR(DD186*HSCEI!$B$36*HSCEI!$G$36/HSCEI!$B$3,""))</f>
        <v/>
      </c>
      <c r="FS186" s="85">
        <f>IF(DE186="","",IFERROR(DE186*HSCEI!$B$36*HSCEI!$G$36/HSCEI!$B$3,""))</f>
        <v/>
      </c>
      <c r="FT186" s="85">
        <f>IF(DF186="","",IFERROR(DF186*HSCEI!$B$36*HSCEI!$G$36/HSCEI!$B$3,""))</f>
        <v/>
      </c>
      <c r="FU186" s="85">
        <f>IF(DG186="","",IFERROR(DG186*HSCEI!$B$36*HSCEI!$G$36/HSCEI!$B$3,""))</f>
        <v/>
      </c>
      <c r="FV186" s="85">
        <f>IF(DH186="","",IFERROR(DH186*HSCEI!$B$36*HSCEI!$G$36/HSCEI!$B$3,""))</f>
        <v/>
      </c>
      <c r="FW186" s="85">
        <f>IF(DI186="","",IFERROR(DI186*HSCEI!$B$36*HSCEI!$G$36/HSCEI!$B$3,""))</f>
        <v/>
      </c>
      <c r="FX186" s="85">
        <f>IF(DJ186="","",IFERROR(DJ186*HSCEI!$B$36*HSCEI!$G$36/HSCEI!$B$3,""))</f>
        <v/>
      </c>
      <c r="FY186" s="85">
        <f>IF(DK186="","",IFERROR(DK186*HSCEI!$B$36*HSCEI!$G$36/HSCEI!$B$3,""))</f>
        <v/>
      </c>
      <c r="FZ186" s="85">
        <f>IF(DL186="","",IFERROR(DL186*HSCEI!$B$36*HSCEI!$G$36/HSCEI!$B$3,""))</f>
        <v/>
      </c>
      <c r="GA186" s="85">
        <f>IF(DM186="","",IFERROR(DM186*HSCEI!$B$36*HSCEI!$G$36/HSCEI!$B$3,""))</f>
        <v/>
      </c>
      <c r="GB186" s="85">
        <f>IF(DN186="","",IFERROR(DN186*HSCEI!$B$36*HSCEI!$G$36/HSCEI!$B$3,""))</f>
        <v/>
      </c>
      <c r="GC186" s="85">
        <f>IF(DO186="","",IFERROR(DO186*HSCEI!$B$36*HSCEI!$G$36/HSCEI!$B$3,""))</f>
        <v/>
      </c>
      <c r="GD186" s="85">
        <f>IF(DP186="","",IFERROR(DP186*HSCEI!$B$36*HSCEI!$G$36/HSCEI!$B$3,""))</f>
        <v/>
      </c>
      <c r="GE186" s="85">
        <f>IF(DQ186="","",IFERROR(DQ186*HSCEI!$B$36*HSCEI!$G$36/HSCEI!$B$3,""))</f>
        <v/>
      </c>
      <c r="GF186" s="85">
        <f>IF(DR186="","",IFERROR(DR186*HSCEI!$B$36*HSCEI!$G$36/HSCEI!$B$3,""))</f>
        <v/>
      </c>
      <c r="GG186" s="85">
        <f>IF(DS186="","",IFERROR(DS186*HSCEI!$B$36*HSCEI!$G$36/HSCEI!$B$3,""))</f>
        <v/>
      </c>
      <c r="GH186" s="85">
        <f>IF(DT186="","",IFERROR(DT186*HSCEI!$B$36*HSCEI!$G$36/HSCEI!$B$3,""))</f>
        <v/>
      </c>
      <c r="GI186" s="85">
        <f>IF(DU186="","",IFERROR(DU186*HSCEI!$B$36*HSCEI!$G$36/HSCEI!$B$3,""))</f>
        <v/>
      </c>
      <c r="GJ186" s="85">
        <f>IF(DV186="","",IFERROR(DV186*HSCEI!$B$36*HSCEI!$G$36/HSCEI!$B$3,""))</f>
        <v/>
      </c>
      <c r="GK186" s="85">
        <f>IF(DW186="","",IFERROR(DW186*HSCEI!$B$36*HSCEI!$G$36/HSCEI!$B$3,""))</f>
        <v/>
      </c>
      <c r="GL186" s="85">
        <f>IF(DX186="","",IFERROR(DX186*HSCEI!$B$36*HSCEI!$G$36/HSCEI!$B$3,""))</f>
        <v/>
      </c>
      <c r="GM186" s="85">
        <f>IF(DY186="","",IFERROR(DY186*HSCEI!$B$36*HSCEI!$G$36/HSCEI!$B$3,""))</f>
        <v/>
      </c>
      <c r="GN186" s="85">
        <f>IF(DZ186="","",IFERROR(DZ186*HSCEI!$B$36*HSCEI!$G$36/HSCEI!$B$3,""))</f>
        <v/>
      </c>
      <c r="GO186" s="85">
        <f>IF(EA186="","",IFERROR(EA186*HSCEI!$B$36*HSCEI!$G$36/HSCEI!$B$3,""))</f>
        <v/>
      </c>
      <c r="GP186" s="85">
        <f>IF(EB186="","",IFERROR(EB186*HSCEI!$B$36*HSCEI!$G$36/HSCEI!$B$3,""))</f>
        <v/>
      </c>
      <c r="GQ186" s="85">
        <f>IF(EC186="","",IFERROR(EC186*HSCEI!$B$36*HSCEI!$G$36/HSCEI!$B$3,""))</f>
        <v/>
      </c>
    </row>
    <row r="187">
      <c r="B187" s="2">
        <f>IF(HSCEI!$C$37="","",HSCEI!$C$37)</f>
        <v/>
      </c>
      <c r="C187" s="41">
        <f>IF(N('Dvd Calendar'!$E$2570)=0,"",IF(('Dvd Calendar'!$E$2570&gt;=MIN(DATE(Summary!$C$12,1,1),Summary!$C$11))*('Dvd Calendar'!$E$2570&lt;=MAX(DATE(Summary!$C$12,12,31),Summary!$C$15))*('Dvd Calendar'!$E$2570&lt;=Summary!$C$11)=0,"",'Dvd Calendar'!$E$2570*1000000000+ISNUMBER('Dvd Calendar'!$E$2571)*100000000+('Dvd Calendar'!$E$2575='Field Check'!$C$25)*10000000+(N('Dvd Calendar'!$E$2569)&gt;0)*1000000+31*1000+1))</f>
        <v/>
      </c>
      <c r="D187" s="41">
        <f>IF(N('Dvd Calendar'!$F$2570)=0,"",IF(('Dvd Calendar'!$F$2570&gt;=MIN(DATE(Summary!$C$12,1,1),Summary!$C$11))*('Dvd Calendar'!$F$2570&lt;=MAX(DATE(Summary!$C$12,12,31),Summary!$C$15))*('Dvd Calendar'!$F$2570&lt;=Summary!$C$11)=0,"",'Dvd Calendar'!$F$2570*1000000000+ISNUMBER('Dvd Calendar'!$F$2571)*100000000+('Dvd Calendar'!$F$2575='Field Check'!$C$25)*10000000+(N('Dvd Calendar'!$F$2569)&gt;0)*1000000+31*1000+2))</f>
        <v/>
      </c>
      <c r="E187" s="41">
        <f>IF(N('Dvd Calendar'!$G$2570)=0,"",IF(('Dvd Calendar'!$G$2570&gt;=MIN(DATE(Summary!$C$12,1,1),Summary!$C$11))*('Dvd Calendar'!$G$2570&lt;=MAX(DATE(Summary!$C$12,12,31),Summary!$C$15))*('Dvd Calendar'!$G$2570&lt;=Summary!$C$11)=0,"",'Dvd Calendar'!$G$2570*1000000000+ISNUMBER('Dvd Calendar'!$G$2571)*100000000+('Dvd Calendar'!$G$2575='Field Check'!$C$25)*10000000+(N('Dvd Calendar'!$G$2569)&gt;0)*1000000+31*1000+3))</f>
        <v/>
      </c>
      <c r="F187" s="41">
        <f>IF(N('Dvd Calendar'!$H$2570)=0,"",IF(('Dvd Calendar'!$H$2570&gt;=MIN(DATE(Summary!$C$12,1,1),Summary!$C$11))*('Dvd Calendar'!$H$2570&lt;=MAX(DATE(Summary!$C$12,12,31),Summary!$C$15))*('Dvd Calendar'!$H$2570&lt;=Summary!$C$11)=0,"",'Dvd Calendar'!$H$2570*1000000000+ISNUMBER('Dvd Calendar'!$H$2571)*100000000+('Dvd Calendar'!$H$2575='Field Check'!$C$25)*10000000+(N('Dvd Calendar'!$H$2569)&gt;0)*1000000+31*1000+4))</f>
        <v/>
      </c>
      <c r="G187" s="41">
        <f>IF(N('Dvd Calendar'!$I$2570)=0,"",IF(('Dvd Calendar'!$I$2570&gt;=MIN(DATE(Summary!$C$12,1,1),Summary!$C$11))*('Dvd Calendar'!$I$2570&lt;=MAX(DATE(Summary!$C$12,12,31),Summary!$C$15))*('Dvd Calendar'!$I$2570&lt;=Summary!$C$11)=0,"",'Dvd Calendar'!$I$2570*1000000000+ISNUMBER('Dvd Calendar'!$I$2571)*100000000+('Dvd Calendar'!$I$2575='Field Check'!$C$25)*10000000+(N('Dvd Calendar'!$I$2569)&gt;0)*1000000+31*1000+5))</f>
        <v/>
      </c>
      <c r="H187" s="41">
        <f>IF(N('Dvd Calendar'!$J$2570)=0,"",IF(('Dvd Calendar'!$J$2570&gt;=MIN(DATE(Summary!$C$12,1,1),Summary!$C$11))*('Dvd Calendar'!$J$2570&lt;=MAX(DATE(Summary!$C$12,12,31),Summary!$C$15))*('Dvd Calendar'!$J$2570&lt;=Summary!$C$11)=0,"",'Dvd Calendar'!$J$2570*1000000000+ISNUMBER('Dvd Calendar'!$J$2571)*100000000+('Dvd Calendar'!$J$2575='Field Check'!$C$25)*10000000+(N('Dvd Calendar'!$J$2569)&gt;0)*1000000+31*1000+6))</f>
        <v/>
      </c>
      <c r="I187" s="41">
        <f>IF(N('Dvd Calendar'!$K$2570)=0,"",IF(('Dvd Calendar'!$K$2570&gt;=MIN(DATE(Summary!$C$12,1,1),Summary!$C$11))*('Dvd Calendar'!$K$2570&lt;=MAX(DATE(Summary!$C$12,12,31),Summary!$C$15))*('Dvd Calendar'!$K$2570&lt;=Summary!$C$11)=0,"",'Dvd Calendar'!$K$2570*1000000000+ISNUMBER('Dvd Calendar'!$K$2571)*100000000+('Dvd Calendar'!$K$2575='Field Check'!$C$25)*10000000+(N('Dvd Calendar'!$K$2569)&gt;0)*1000000+31*1000+7))</f>
        <v/>
      </c>
      <c r="J187" s="41">
        <f>IF(N('Dvd Calendar'!$L$2570)=0,"",IF(('Dvd Calendar'!$L$2570&gt;=MIN(DATE(Summary!$C$12,1,1),Summary!$C$11))*('Dvd Calendar'!$L$2570&lt;=MAX(DATE(Summary!$C$12,12,31),Summary!$C$15))*('Dvd Calendar'!$L$2570&lt;=Summary!$C$11)=0,"",'Dvd Calendar'!$L$2570*1000000000+ISNUMBER('Dvd Calendar'!$L$2571)*100000000+('Dvd Calendar'!$L$2575='Field Check'!$C$25)*10000000+(N('Dvd Calendar'!$L$2569)&gt;0)*1000000+31*1000+8))</f>
        <v/>
      </c>
      <c r="K187" s="41">
        <f>IF(N('Dvd Calendar'!$M$2570)=0,"",IF(('Dvd Calendar'!$M$2570&gt;=MIN(DATE(Summary!$C$12,1,1),Summary!$C$11))*('Dvd Calendar'!$M$2570&lt;=MAX(DATE(Summary!$C$12,12,31),Summary!$C$15))*('Dvd Calendar'!$M$2570&lt;=Summary!$C$11)=0,"",'Dvd Calendar'!$M$2570*1000000000+ISNUMBER('Dvd Calendar'!$M$2571)*100000000+('Dvd Calendar'!$M$2575='Field Check'!$C$25)*10000000+(N('Dvd Calendar'!$M$2569)&gt;0)*1000000+31*1000+9))</f>
        <v/>
      </c>
      <c r="L187" s="41">
        <f>IF(N('Dvd Calendar'!$N$2570)=0,"",IF(('Dvd Calendar'!$N$2570&gt;=MIN(DATE(Summary!$C$12,1,1),Summary!$C$11))*('Dvd Calendar'!$N$2570&lt;=MAX(DATE(Summary!$C$12,12,31),Summary!$C$15))*('Dvd Calendar'!$N$2570&lt;=Summary!$C$11)=0,"",'Dvd Calendar'!$N$2570*1000000000+ISNUMBER('Dvd Calendar'!$N$2571)*100000000+('Dvd Calendar'!$N$2575='Field Check'!$C$25)*10000000+(N('Dvd Calendar'!$N$2569)&gt;0)*1000000+31*1000+10))</f>
        <v/>
      </c>
      <c r="M187" s="41">
        <f>IF(N('Dvd Calendar'!$O$2570)=0,"",IF(('Dvd Calendar'!$O$2570&gt;=MIN(DATE(Summary!$C$12,1,1),Summary!$C$11))*('Dvd Calendar'!$O$2570&lt;=MAX(DATE(Summary!$C$12,12,31),Summary!$C$15))*('Dvd Calendar'!$O$2570&lt;=Summary!$C$11)=0,"",'Dvd Calendar'!$O$2570*1000000000+ISNUMBER('Dvd Calendar'!$O$2571)*100000000+('Dvd Calendar'!$O$2575='Field Check'!$C$25)*10000000+(N('Dvd Calendar'!$O$2569)&gt;0)*1000000+31*1000+11))</f>
        <v/>
      </c>
      <c r="N187" s="41">
        <f>IF(N('Dvd Calendar'!$P$2570)=0,"",IF(('Dvd Calendar'!$P$2570&gt;=MIN(DATE(Summary!$C$12,1,1),Summary!$C$11))*('Dvd Calendar'!$P$2570&lt;=MAX(DATE(Summary!$C$12,12,31),Summary!$C$15))*('Dvd Calendar'!$P$2570&lt;=Summary!$C$11)=0,"",'Dvd Calendar'!$P$2570*1000000000+ISNUMBER('Dvd Calendar'!$P$2571)*100000000+('Dvd Calendar'!$P$2575='Field Check'!$C$25)*10000000+(N('Dvd Calendar'!$P$2569)&gt;0)*1000000+31*1000+12))</f>
        <v/>
      </c>
      <c r="O187" s="41">
        <f>IF(N('Dvd Calendar'!$Q$2570)=0,"",IF(('Dvd Calendar'!$Q$2570&gt;=MIN(DATE(Summary!$C$12,1,1),Summary!$C$11))*('Dvd Calendar'!$Q$2570&lt;=MAX(DATE(Summary!$C$12,12,31),Summary!$C$15))*('Dvd Calendar'!$Q$2570&lt;=Summary!$C$11)=0,"",'Dvd Calendar'!$Q$2570*1000000000+ISNUMBER('Dvd Calendar'!$Q$2571)*100000000+('Dvd Calendar'!$Q$2575='Field Check'!$C$25)*10000000+(N('Dvd Calendar'!$Q$2569)&gt;0)*1000000+31*1000+13))</f>
        <v/>
      </c>
      <c r="P187" s="41">
        <f>IF(N('Dvd Calendar'!$R$2570)=0,"",IF(('Dvd Calendar'!$R$2570&gt;=MIN(DATE(Summary!$C$12,1,1),Summary!$C$11))*('Dvd Calendar'!$R$2570&lt;=MAX(DATE(Summary!$C$12,12,31),Summary!$C$15))*('Dvd Calendar'!$R$2570&lt;=Summary!$C$11)=0,"",'Dvd Calendar'!$R$2570*1000000000+ISNUMBER('Dvd Calendar'!$R$2571)*100000000+('Dvd Calendar'!$R$2575='Field Check'!$C$25)*10000000+(N('Dvd Calendar'!$R$2569)&gt;0)*1000000+31*1000+14))</f>
        <v/>
      </c>
      <c r="Q187" s="41">
        <f>IF(N('Dvd Calendar'!$S$2570)=0,"",IF(('Dvd Calendar'!$S$2570&gt;=MIN(DATE(Summary!$C$12,1,1),Summary!$C$11))*('Dvd Calendar'!$S$2570&lt;=MAX(DATE(Summary!$C$12,12,31),Summary!$C$15))*('Dvd Calendar'!$S$2570&lt;=Summary!$C$11)=0,"",'Dvd Calendar'!$S$2570*1000000000+ISNUMBER('Dvd Calendar'!$S$2571)*100000000+('Dvd Calendar'!$S$2575='Field Check'!$C$25)*10000000+(N('Dvd Calendar'!$S$2569)&gt;0)*1000000+31*1000+15))</f>
        <v/>
      </c>
      <c r="R187" s="41">
        <f>IF(N('Dvd Calendar'!$T$2570)=0,"",IF(('Dvd Calendar'!$T$2570&gt;=MIN(DATE(Summary!$C$12,1,1),Summary!$C$11))*('Dvd Calendar'!$T$2570&lt;=MAX(DATE(Summary!$C$12,12,31),Summary!$C$15))*('Dvd Calendar'!$T$2570&lt;=Summary!$C$11)=0,"",'Dvd Calendar'!$T$2570*1000000000+ISNUMBER('Dvd Calendar'!$T$2571)*100000000+('Dvd Calendar'!$T$2575='Field Check'!$C$25)*10000000+(N('Dvd Calendar'!$T$2569)&gt;0)*1000000+31*1000+16))</f>
        <v/>
      </c>
      <c r="S187" s="41">
        <f>IF(N('Dvd Calendar'!$U$2570)=0,"",IF(('Dvd Calendar'!$U$2570&gt;=MIN(DATE(Summary!$C$12,1,1),Summary!$C$11))*('Dvd Calendar'!$U$2570&lt;=MAX(DATE(Summary!$C$12,12,31),Summary!$C$15))*('Dvd Calendar'!$U$2570&lt;=Summary!$C$11)=0,"",'Dvd Calendar'!$U$2570*1000000000+ISNUMBER('Dvd Calendar'!$U$2571)*100000000+('Dvd Calendar'!$U$2575='Field Check'!$C$25)*10000000+(N('Dvd Calendar'!$U$2569)&gt;0)*1000000+31*1000+17))</f>
        <v/>
      </c>
      <c r="T187" s="41">
        <f>IF(N('Dvd Calendar'!$V$2570)=0,"",IF(('Dvd Calendar'!$V$2570&gt;=MIN(DATE(Summary!$C$12,1,1),Summary!$C$11))*('Dvd Calendar'!$V$2570&lt;=MAX(DATE(Summary!$C$12,12,31),Summary!$C$15))*('Dvd Calendar'!$V$2570&lt;=Summary!$C$11)=0,"",'Dvd Calendar'!$V$2570*1000000000+ISNUMBER('Dvd Calendar'!$V$2571)*100000000+('Dvd Calendar'!$V$2575='Field Check'!$C$25)*10000000+(N('Dvd Calendar'!$V$2569)&gt;0)*1000000+31*1000+18))</f>
        <v/>
      </c>
      <c r="U187" s="41">
        <f>IF(N('Dvd Calendar'!$W$2570)=0,"",IF(('Dvd Calendar'!$W$2570&gt;=MIN(DATE(Summary!$C$12,1,1),Summary!$C$11))*('Dvd Calendar'!$W$2570&lt;=MAX(DATE(Summary!$C$12,12,31),Summary!$C$15))*('Dvd Calendar'!$W$2570&lt;=Summary!$C$11)=0,"",'Dvd Calendar'!$W$2570*1000000000+ISNUMBER('Dvd Calendar'!$W$2571)*100000000+('Dvd Calendar'!$W$2575='Field Check'!$C$25)*10000000+(N('Dvd Calendar'!$W$2569)&gt;0)*1000000+31*1000+19))</f>
        <v/>
      </c>
      <c r="V187" s="41">
        <f>IF(N('Dvd Calendar'!$X$2570)=0,"",IF(('Dvd Calendar'!$X$2570&gt;=MIN(DATE(Summary!$C$12,1,1),Summary!$C$11))*('Dvd Calendar'!$X$2570&lt;=MAX(DATE(Summary!$C$12,12,31),Summary!$C$15))*('Dvd Calendar'!$X$2570&lt;=Summary!$C$11)=0,"",'Dvd Calendar'!$X$2570*1000000000+ISNUMBER('Dvd Calendar'!$X$2571)*100000000+('Dvd Calendar'!$X$2575='Field Check'!$C$25)*10000000+(N('Dvd Calendar'!$X$2569)&gt;0)*1000000+31*1000+20))</f>
        <v/>
      </c>
      <c r="W187" s="41">
        <f>IF(N('Dvd Calendar'!$Y$2570)=0,"",IF(('Dvd Calendar'!$Y$2570&gt;=MIN(DATE(Summary!$C$12,1,1),Summary!$C$11))*('Dvd Calendar'!$Y$2570&lt;=MAX(DATE(Summary!$C$12,12,31),Summary!$C$15))*('Dvd Calendar'!$Y$2570&lt;=Summary!$C$11)=0,"",'Dvd Calendar'!$Y$2570*1000000000+ISNUMBER('Dvd Calendar'!$Y$2571)*100000000+('Dvd Calendar'!$Y$2575='Field Check'!$C$25)*10000000+(N('Dvd Calendar'!$Y$2569)&gt;0)*1000000+31*1000+21))</f>
        <v/>
      </c>
      <c r="X187" s="41">
        <f>IF(N('Dvd Calendar'!$Z$2570)=0,"",IF(('Dvd Calendar'!$Z$2570&gt;=MIN(DATE(Summary!$C$12,1,1),Summary!$C$11))*('Dvd Calendar'!$Z$2570&lt;=MAX(DATE(Summary!$C$12,12,31),Summary!$C$15))*('Dvd Calendar'!$Z$2570&lt;=Summary!$C$11)=0,"",'Dvd Calendar'!$Z$2570*1000000000+ISNUMBER('Dvd Calendar'!$Z$2571)*100000000+('Dvd Calendar'!$Z$2575='Field Check'!$C$25)*10000000+(N('Dvd Calendar'!$Z$2569)&gt;0)*1000000+31*1000+22))</f>
        <v/>
      </c>
      <c r="Y187" s="41">
        <f>IF(N('Dvd Calendar'!$AA$2570)=0,"",IF(('Dvd Calendar'!$AA$2570&gt;=MIN(DATE(Summary!$C$12,1,1),Summary!$C$11))*('Dvd Calendar'!$AA$2570&lt;=MAX(DATE(Summary!$C$12,12,31),Summary!$C$15))*('Dvd Calendar'!$AA$2570&lt;=Summary!$C$11)=0,"",'Dvd Calendar'!$AA$2570*1000000000+ISNUMBER('Dvd Calendar'!$AA$2571)*100000000+('Dvd Calendar'!$AA$2575='Field Check'!$C$25)*10000000+(N('Dvd Calendar'!$AA$2569)&gt;0)*1000000+31*1000+23))</f>
        <v/>
      </c>
      <c r="Z187" s="41">
        <f>IF(N('Dvd Calendar'!$AB$2570)=0,"",IF(('Dvd Calendar'!$AB$2570&gt;=MIN(DATE(Summary!$C$12,1,1),Summary!$C$11))*('Dvd Calendar'!$AB$2570&lt;=MAX(DATE(Summary!$C$12,12,31),Summary!$C$15))*('Dvd Calendar'!$AB$2570&lt;=Summary!$C$11)=0,"",'Dvd Calendar'!$AB$2570*1000000000+ISNUMBER('Dvd Calendar'!$AB$2571)*100000000+('Dvd Calendar'!$AB$2575='Field Check'!$C$25)*10000000+(N('Dvd Calendar'!$AB$2569)&gt;0)*1000000+31*1000+24))</f>
        <v/>
      </c>
      <c r="AA187" s="41">
        <f>IF(N('Dvd Calendar'!$AC$2570)=0,"",IF(('Dvd Calendar'!$AC$2570&gt;=MIN(DATE(Summary!$C$12,1,1),Summary!$C$11))*('Dvd Calendar'!$AC$2570&lt;=MAX(DATE(Summary!$C$12,12,31),Summary!$C$15))*('Dvd Calendar'!$AC$2570&lt;=Summary!$C$11)=0,"",'Dvd Calendar'!$AC$2570*1000000000+ISNUMBER('Dvd Calendar'!$AC$2571)*100000000+('Dvd Calendar'!$AC$2575='Field Check'!$C$25)*10000000+(N('Dvd Calendar'!$AC$2569)&gt;0)*1000000+31*1000+25))</f>
        <v/>
      </c>
      <c r="AB187" s="41">
        <f>IF(N('Dvd Calendar'!$AD$2570)=0,"",IF(('Dvd Calendar'!$AD$2570&gt;=MIN(DATE(Summary!$C$12,1,1),Summary!$C$11))*('Dvd Calendar'!$AD$2570&lt;=MAX(DATE(Summary!$C$12,12,31),Summary!$C$15))*('Dvd Calendar'!$AD$2570&lt;=Summary!$C$11)=0,"",'Dvd Calendar'!$AD$2570*1000000000+ISNUMBER('Dvd Calendar'!$AD$2571)*100000000+('Dvd Calendar'!$AD$2575='Field Check'!$C$25)*10000000+(N('Dvd Calendar'!$AD$2569)&gt;0)*1000000+31*1000+26))</f>
        <v/>
      </c>
      <c r="AC187" s="41">
        <f>IF(N('Dvd Calendar'!$AE$2570)=0,"",IF(('Dvd Calendar'!$AE$2570&gt;=MIN(DATE(Summary!$C$12,1,1),Summary!$C$11))*('Dvd Calendar'!$AE$2570&lt;=MAX(DATE(Summary!$C$12,12,31),Summary!$C$15))*('Dvd Calendar'!$AE$2570&lt;=Summary!$C$11)=0,"",'Dvd Calendar'!$AE$2570*1000000000+ISNUMBER('Dvd Calendar'!$AE$2571)*100000000+('Dvd Calendar'!$AE$2575='Field Check'!$C$25)*10000000+(N('Dvd Calendar'!$AE$2569)&gt;0)*1000000+31*1000+27))</f>
        <v/>
      </c>
      <c r="AD187" s="41">
        <f>IF(N('Dvd Calendar'!$AF$2570)=0,"",IF(('Dvd Calendar'!$AF$2570&gt;=MIN(DATE(Summary!$C$12,1,1),Summary!$C$11))*('Dvd Calendar'!$AF$2570&lt;=MAX(DATE(Summary!$C$12,12,31),Summary!$C$15))*('Dvd Calendar'!$AF$2570&lt;=Summary!$C$11)=0,"",'Dvd Calendar'!$AF$2570*1000000000+ISNUMBER('Dvd Calendar'!$AF$2571)*100000000+('Dvd Calendar'!$AF$2575='Field Check'!$C$25)*10000000+(N('Dvd Calendar'!$AF$2569)&gt;0)*1000000+31*1000+28))</f>
        <v/>
      </c>
      <c r="AE187" s="41">
        <f>IF(N('Dvd Calendar'!$AG$2570)=0,"",IF(('Dvd Calendar'!$AG$2570&gt;=MIN(DATE(Summary!$C$12,1,1),Summary!$C$11))*('Dvd Calendar'!$AG$2570&lt;=MAX(DATE(Summary!$C$12,12,31),Summary!$C$15))*('Dvd Calendar'!$AG$2570&lt;=Summary!$C$11)=0,"",'Dvd Calendar'!$AG$2570*1000000000+ISNUMBER('Dvd Calendar'!$AG$2571)*100000000+('Dvd Calendar'!$AG$2575='Field Check'!$C$25)*10000000+(N('Dvd Calendar'!$AG$2569)&gt;0)*1000000+31*1000+29))</f>
        <v/>
      </c>
      <c r="AF187" s="41">
        <f>IF(N('Dvd Calendar'!$AH$2570)=0,"",IF(('Dvd Calendar'!$AH$2570&gt;=MIN(DATE(Summary!$C$12,1,1),Summary!$C$11))*('Dvd Calendar'!$AH$2570&lt;=MAX(DATE(Summary!$C$12,12,31),Summary!$C$15))*('Dvd Calendar'!$AH$2570&lt;=Summary!$C$11)=0,"",'Dvd Calendar'!$AH$2570*1000000000+ISNUMBER('Dvd Calendar'!$AH$2571)*100000000+('Dvd Calendar'!$AH$2575='Field Check'!$C$25)*10000000+(N('Dvd Calendar'!$AH$2569)&gt;0)*1000000+31*1000+30))</f>
        <v/>
      </c>
      <c r="AG187" s="41">
        <f>IF(N('Dvd Calendar'!$AI$2570)=0,"",IF(('Dvd Calendar'!$AI$2570&gt;=MIN(DATE(Summary!$C$12,1,1),Summary!$C$11))*('Dvd Calendar'!$AI$2570&lt;=MAX(DATE(Summary!$C$12,12,31),Summary!$C$15))*('Dvd Calendar'!$AI$2570&lt;=Summary!$C$11)=0,"",'Dvd Calendar'!$AI$2570*1000000000+ISNUMBER('Dvd Calendar'!$AI$2571)*100000000+('Dvd Calendar'!$AI$2575='Field Check'!$C$25)*10000000+(N('Dvd Calendar'!$AI$2569)&gt;0)*1000000+31*1000+31))</f>
        <v/>
      </c>
      <c r="AH187" s="41">
        <f>IF(N('Dvd Calendar'!$AJ$2570)=0,"",IF(('Dvd Calendar'!$AJ$2570&gt;=MIN(DATE(Summary!$C$12,1,1),Summary!$C$11))*('Dvd Calendar'!$AJ$2570&lt;=MAX(DATE(Summary!$C$12,12,31),Summary!$C$15))*('Dvd Calendar'!$AJ$2570&lt;=Summary!$C$11)=0,"",'Dvd Calendar'!$AJ$2570*1000000000+ISNUMBER('Dvd Calendar'!$AJ$2571)*100000000+('Dvd Calendar'!$AJ$2575='Field Check'!$C$25)*10000000+(N('Dvd Calendar'!$AJ$2569)&gt;0)*1000000+31*1000+32))</f>
        <v/>
      </c>
      <c r="AI187" s="41">
        <f>IF(N('Dvd Calendar'!$AK$2570)=0,"",IF(('Dvd Calendar'!$AK$2570&gt;=MIN(DATE(Summary!$C$12,1,1),Summary!$C$11))*('Dvd Calendar'!$AK$2570&lt;=MAX(DATE(Summary!$C$12,12,31),Summary!$C$15))*('Dvd Calendar'!$AK$2570&lt;=Summary!$C$11)=0,"",'Dvd Calendar'!$AK$2570*1000000000+ISNUMBER('Dvd Calendar'!$AK$2571)*100000000+('Dvd Calendar'!$AK$2575='Field Check'!$C$25)*10000000+(N('Dvd Calendar'!$AK$2569)&gt;0)*1000000+31*1000+33))</f>
        <v/>
      </c>
      <c r="AJ187" s="41">
        <f>IF(N('Dvd Calendar'!$AL$2570)=0,"",IF(('Dvd Calendar'!$AL$2570&gt;=MIN(DATE(Summary!$C$12,1,1),Summary!$C$11))*('Dvd Calendar'!$AL$2570&lt;=MAX(DATE(Summary!$C$12,12,31),Summary!$C$15))*('Dvd Calendar'!$AL$2570&lt;=Summary!$C$11)=0,"",'Dvd Calendar'!$AL$2570*1000000000+ISNUMBER('Dvd Calendar'!$AL$2571)*100000000+('Dvd Calendar'!$AL$2575='Field Check'!$C$25)*10000000+(N('Dvd Calendar'!$AL$2569)&gt;0)*1000000+31*1000+34))</f>
        <v/>
      </c>
      <c r="AK187" s="41">
        <f>IF(N('Dvd Calendar'!$AM$2570)=0,"",IF(('Dvd Calendar'!$AM$2570&gt;=MIN(DATE(Summary!$C$12,1,1),Summary!$C$11))*('Dvd Calendar'!$AM$2570&lt;=MAX(DATE(Summary!$C$12,12,31),Summary!$C$15))*('Dvd Calendar'!$AM$2570&lt;=Summary!$C$11)=0,"",'Dvd Calendar'!$AM$2570*1000000000+ISNUMBER('Dvd Calendar'!$AM$2571)*100000000+('Dvd Calendar'!$AM$2575='Field Check'!$C$25)*10000000+(N('Dvd Calendar'!$AM$2569)&gt;0)*1000000+31*1000+35))</f>
        <v/>
      </c>
      <c r="AL187" s="41">
        <f>IF(N('Dvd Calendar'!$AN$2570)=0,"",IF(('Dvd Calendar'!$AN$2570&gt;=MIN(DATE(Summary!$C$12,1,1),Summary!$C$11))*('Dvd Calendar'!$AN$2570&lt;=MAX(DATE(Summary!$C$12,12,31),Summary!$C$15))*('Dvd Calendar'!$AN$2570&lt;=Summary!$C$11)=0,"",'Dvd Calendar'!$AN$2570*1000000000+ISNUMBER('Dvd Calendar'!$AN$2571)*100000000+('Dvd Calendar'!$AN$2575='Field Check'!$C$25)*10000000+(N('Dvd Calendar'!$AN$2569)&gt;0)*1000000+31*1000+36))</f>
        <v/>
      </c>
      <c r="AM187" s="41">
        <f>IF(N('Dvd Calendar'!$AO$2570)=0,"",IF(('Dvd Calendar'!$AO$2570&gt;=MIN(DATE(Summary!$C$12,1,1),Summary!$C$11))*('Dvd Calendar'!$AO$2570&lt;=MAX(DATE(Summary!$C$12,12,31),Summary!$C$15))*('Dvd Calendar'!$AO$2570&lt;=Summary!$C$11)=0,"",'Dvd Calendar'!$AO$2570*1000000000+ISNUMBER('Dvd Calendar'!$AO$2571)*100000000+('Dvd Calendar'!$AO$2575='Field Check'!$C$25)*10000000+(N('Dvd Calendar'!$AO$2569)&gt;0)*1000000+31*1000+37))</f>
        <v/>
      </c>
      <c r="AN187" s="41">
        <f>IF(N('Dvd Calendar'!$AP$2570)=0,"",IF(('Dvd Calendar'!$AP$2570&gt;=MIN(DATE(Summary!$C$12,1,1),Summary!$C$11))*('Dvd Calendar'!$AP$2570&lt;=MAX(DATE(Summary!$C$12,12,31),Summary!$C$15))*('Dvd Calendar'!$AP$2570&lt;=Summary!$C$11)=0,"",'Dvd Calendar'!$AP$2570*1000000000+ISNUMBER('Dvd Calendar'!$AP$2571)*100000000+('Dvd Calendar'!$AP$2575='Field Check'!$C$25)*10000000+(N('Dvd Calendar'!$AP$2569)&gt;0)*1000000+31*1000+38))</f>
        <v/>
      </c>
      <c r="AO187" s="41">
        <f>IF(N('Dvd Calendar'!$AQ$2570)=0,"",IF(('Dvd Calendar'!$AQ$2570&gt;=MIN(DATE(Summary!$C$12,1,1),Summary!$C$11))*('Dvd Calendar'!$AQ$2570&lt;=MAX(DATE(Summary!$C$12,12,31),Summary!$C$15))*('Dvd Calendar'!$AQ$2570&lt;=Summary!$C$11)=0,"",'Dvd Calendar'!$AQ$2570*1000000000+ISNUMBER('Dvd Calendar'!$AQ$2571)*100000000+('Dvd Calendar'!$AQ$2575='Field Check'!$C$25)*10000000+(N('Dvd Calendar'!$AQ$2569)&gt;0)*1000000+31*1000+39))</f>
        <v/>
      </c>
      <c r="AP187" s="41">
        <f>IF(N('Dvd Calendar'!$AR$2570)=0,"",IF(('Dvd Calendar'!$AR$2570&gt;=MIN(DATE(Summary!$C$12,1,1),Summary!$C$11))*('Dvd Calendar'!$AR$2570&lt;=MAX(DATE(Summary!$C$12,12,31),Summary!$C$15))*('Dvd Calendar'!$AR$2570&lt;=Summary!$C$11)=0,"",'Dvd Calendar'!$AR$2570*1000000000+ISNUMBER('Dvd Calendar'!$AR$2571)*100000000+('Dvd Calendar'!$AR$2575='Field Check'!$C$25)*10000000+(N('Dvd Calendar'!$AR$2569)&gt;0)*1000000+31*1000+40))</f>
        <v/>
      </c>
      <c r="AQ187" s="41">
        <f>IF(N('Dvd Calendar'!$E$2577)=0,"",IF(('Dvd Calendar'!$E$2577&gt;=MIN(DATE(Summary!$C$12,1,1),Summary!$C$11))*('Dvd Calendar'!$E$2577&lt;=MAX(DATE(Summary!$C$12,12,31),Summary!$C$15))*('Dvd Calendar'!$E$2577&gt;Summary!$C$11)=0,"",'Dvd Calendar'!$E$2577*1000000000+ISNUMBER('Dvd Calendar'!$E$2578)*100000000+('Dvd Calendar'!$E$2582='Field Check'!$C$25)*10000000+(N('Dvd Calendar'!$E$2576)&gt;0)*1000000+31*1000+41))</f>
        <v/>
      </c>
      <c r="AR187" s="41">
        <f>IF(N('Dvd Calendar'!$F$2577)=0,"",IF(('Dvd Calendar'!$F$2577&gt;=MIN(DATE(Summary!$C$12,1,1),Summary!$C$11))*('Dvd Calendar'!$F$2577&lt;=MAX(DATE(Summary!$C$12,12,31),Summary!$C$15))*('Dvd Calendar'!$F$2577&gt;Summary!$C$11)=0,"",'Dvd Calendar'!$F$2577*1000000000+ISNUMBER('Dvd Calendar'!$F$2578)*100000000+('Dvd Calendar'!$F$2582='Field Check'!$C$25)*10000000+(N('Dvd Calendar'!$F$2576)&gt;0)*1000000+31*1000+42))</f>
        <v/>
      </c>
      <c r="AS187" s="41">
        <f>IF(N('Dvd Calendar'!$G$2577)=0,"",IF(('Dvd Calendar'!$G$2577&gt;=MIN(DATE(Summary!$C$12,1,1),Summary!$C$11))*('Dvd Calendar'!$G$2577&lt;=MAX(DATE(Summary!$C$12,12,31),Summary!$C$15))*('Dvd Calendar'!$G$2577&gt;Summary!$C$11)=0,"",'Dvd Calendar'!$G$2577*1000000000+ISNUMBER('Dvd Calendar'!$G$2578)*100000000+('Dvd Calendar'!$G$2582='Field Check'!$C$25)*10000000+(N('Dvd Calendar'!$G$2576)&gt;0)*1000000+31*1000+43))</f>
        <v/>
      </c>
      <c r="AT187" s="41">
        <f>IF(N('Dvd Calendar'!$H$2577)=0,"",IF(('Dvd Calendar'!$H$2577&gt;=MIN(DATE(Summary!$C$12,1,1),Summary!$C$11))*('Dvd Calendar'!$H$2577&lt;=MAX(DATE(Summary!$C$12,12,31),Summary!$C$15))*('Dvd Calendar'!$H$2577&gt;Summary!$C$11)=0,"",'Dvd Calendar'!$H$2577*1000000000+ISNUMBER('Dvd Calendar'!$H$2578)*100000000+('Dvd Calendar'!$H$2582='Field Check'!$C$25)*10000000+(N('Dvd Calendar'!$H$2576)&gt;0)*1000000+31*1000+44))</f>
        <v/>
      </c>
      <c r="AU187" s="41">
        <f>IF(N('Dvd Calendar'!$I$2577)=0,"",IF(('Dvd Calendar'!$I$2577&gt;=MIN(DATE(Summary!$C$12,1,1),Summary!$C$11))*('Dvd Calendar'!$I$2577&lt;=MAX(DATE(Summary!$C$12,12,31),Summary!$C$15))*('Dvd Calendar'!$I$2577&gt;Summary!$C$11)=0,"",'Dvd Calendar'!$I$2577*1000000000+ISNUMBER('Dvd Calendar'!$I$2578)*100000000+('Dvd Calendar'!$I$2582='Field Check'!$C$25)*10000000+(N('Dvd Calendar'!$I$2576)&gt;0)*1000000+31*1000+45))</f>
        <v/>
      </c>
      <c r="AV187" s="41">
        <f>IF(N('Dvd Calendar'!$J$2577)=0,"",IF(('Dvd Calendar'!$J$2577&gt;=MIN(DATE(Summary!$C$12,1,1),Summary!$C$11))*('Dvd Calendar'!$J$2577&lt;=MAX(DATE(Summary!$C$12,12,31),Summary!$C$15))*('Dvd Calendar'!$J$2577&gt;Summary!$C$11)=0,"",'Dvd Calendar'!$J$2577*1000000000+ISNUMBER('Dvd Calendar'!$J$2578)*100000000+('Dvd Calendar'!$J$2582='Field Check'!$C$25)*10000000+(N('Dvd Calendar'!$J$2576)&gt;0)*1000000+31*1000+46))</f>
        <v/>
      </c>
      <c r="AW187" s="41">
        <f>IF(N('Dvd Calendar'!$K$2577)=0,"",IF(('Dvd Calendar'!$K$2577&gt;=MIN(DATE(Summary!$C$12,1,1),Summary!$C$11))*('Dvd Calendar'!$K$2577&lt;=MAX(DATE(Summary!$C$12,12,31),Summary!$C$15))*('Dvd Calendar'!$K$2577&gt;Summary!$C$11)=0,"",'Dvd Calendar'!$K$2577*1000000000+ISNUMBER('Dvd Calendar'!$K$2578)*100000000+('Dvd Calendar'!$K$2582='Field Check'!$C$25)*10000000+(N('Dvd Calendar'!$K$2576)&gt;0)*1000000+31*1000+47))</f>
        <v/>
      </c>
      <c r="AX187" s="41">
        <f>IF(N('Dvd Calendar'!$L$2577)=0,"",IF(('Dvd Calendar'!$L$2577&gt;=MIN(DATE(Summary!$C$12,1,1),Summary!$C$11))*('Dvd Calendar'!$L$2577&lt;=MAX(DATE(Summary!$C$12,12,31),Summary!$C$15))*('Dvd Calendar'!$L$2577&gt;Summary!$C$11)=0,"",'Dvd Calendar'!$L$2577*1000000000+ISNUMBER('Dvd Calendar'!$L$2578)*100000000+('Dvd Calendar'!$L$2582='Field Check'!$C$25)*10000000+(N('Dvd Calendar'!$L$2576)&gt;0)*1000000+31*1000+48))</f>
        <v/>
      </c>
      <c r="AY187" s="41">
        <f>IF(N('Dvd Calendar'!$M$2577)=0,"",IF(('Dvd Calendar'!$M$2577&gt;=MIN(DATE(Summary!$C$12,1,1),Summary!$C$11))*('Dvd Calendar'!$M$2577&lt;=MAX(DATE(Summary!$C$12,12,31),Summary!$C$15))*('Dvd Calendar'!$M$2577&gt;Summary!$C$11)=0,"",'Dvd Calendar'!$M$2577*1000000000+ISNUMBER('Dvd Calendar'!$M$2578)*100000000+('Dvd Calendar'!$M$2582='Field Check'!$C$25)*10000000+(N('Dvd Calendar'!$M$2576)&gt;0)*1000000+31*1000+49))</f>
        <v/>
      </c>
      <c r="AZ187" s="41">
        <f>IF(N('Dvd Calendar'!$N$2577)=0,"",IF(('Dvd Calendar'!$N$2577&gt;=MIN(DATE(Summary!$C$12,1,1),Summary!$C$11))*('Dvd Calendar'!$N$2577&lt;=MAX(DATE(Summary!$C$12,12,31),Summary!$C$15))*('Dvd Calendar'!$N$2577&gt;Summary!$C$11)=0,"",'Dvd Calendar'!$N$2577*1000000000+ISNUMBER('Dvd Calendar'!$N$2578)*100000000+('Dvd Calendar'!$N$2582='Field Check'!$C$25)*10000000+(N('Dvd Calendar'!$N$2576)&gt;0)*1000000+31*1000+50))</f>
        <v/>
      </c>
      <c r="BA187" s="41">
        <f>IF(N('Dvd Calendar'!$O$2577)=0,"",IF(('Dvd Calendar'!$O$2577&gt;=MIN(DATE(Summary!$C$12,1,1),Summary!$C$11))*('Dvd Calendar'!$O$2577&lt;=MAX(DATE(Summary!$C$12,12,31),Summary!$C$15))*('Dvd Calendar'!$O$2577&gt;Summary!$C$11)=0,"",'Dvd Calendar'!$O$2577*1000000000+ISNUMBER('Dvd Calendar'!$O$2578)*100000000+('Dvd Calendar'!$O$2582='Field Check'!$C$25)*10000000+(N('Dvd Calendar'!$O$2576)&gt;0)*1000000+31*1000+51))</f>
        <v/>
      </c>
      <c r="BB187" s="41">
        <f>IF(N('Dvd Calendar'!$P$2577)=0,"",IF(('Dvd Calendar'!$P$2577&gt;=MIN(DATE(Summary!$C$12,1,1),Summary!$C$11))*('Dvd Calendar'!$P$2577&lt;=MAX(DATE(Summary!$C$12,12,31),Summary!$C$15))*('Dvd Calendar'!$P$2577&gt;Summary!$C$11)=0,"",'Dvd Calendar'!$P$2577*1000000000+ISNUMBER('Dvd Calendar'!$P$2578)*100000000+('Dvd Calendar'!$P$2582='Field Check'!$C$25)*10000000+(N('Dvd Calendar'!$P$2576)&gt;0)*1000000+31*1000+52))</f>
        <v/>
      </c>
      <c r="BC187" s="41">
        <f>IF(N('Dvd Calendar'!$Q$2577)=0,"",IF(('Dvd Calendar'!$Q$2577&gt;=MIN(DATE(Summary!$C$12,1,1),Summary!$C$11))*('Dvd Calendar'!$Q$2577&lt;=MAX(DATE(Summary!$C$12,12,31),Summary!$C$15))*('Dvd Calendar'!$Q$2577&gt;Summary!$C$11)=0,"",'Dvd Calendar'!$Q$2577*1000000000+ISNUMBER('Dvd Calendar'!$Q$2578)*100000000+('Dvd Calendar'!$Q$2582='Field Check'!$C$25)*10000000+(N('Dvd Calendar'!$Q$2576)&gt;0)*1000000+31*1000+53))</f>
        <v/>
      </c>
      <c r="BD187" s="41">
        <f>IF(N('Dvd Calendar'!$R$2577)=0,"",IF(('Dvd Calendar'!$R$2577&gt;=MIN(DATE(Summary!$C$12,1,1),Summary!$C$11))*('Dvd Calendar'!$R$2577&lt;=MAX(DATE(Summary!$C$12,12,31),Summary!$C$15))*('Dvd Calendar'!$R$2577&gt;Summary!$C$11)=0,"",'Dvd Calendar'!$R$2577*1000000000+ISNUMBER('Dvd Calendar'!$R$2578)*100000000+('Dvd Calendar'!$R$2582='Field Check'!$C$25)*10000000+(N('Dvd Calendar'!$R$2576)&gt;0)*1000000+31*1000+54))</f>
        <v/>
      </c>
      <c r="BE187" s="41">
        <f>IF(N('Dvd Calendar'!$S$2577)=0,"",IF(('Dvd Calendar'!$S$2577&gt;=MIN(DATE(Summary!$C$12,1,1),Summary!$C$11))*('Dvd Calendar'!$S$2577&lt;=MAX(DATE(Summary!$C$12,12,31),Summary!$C$15))*('Dvd Calendar'!$S$2577&gt;Summary!$C$11)=0,"",'Dvd Calendar'!$S$2577*1000000000+ISNUMBER('Dvd Calendar'!$S$2578)*100000000+('Dvd Calendar'!$S$2582='Field Check'!$C$25)*10000000+(N('Dvd Calendar'!$S$2576)&gt;0)*1000000+31*1000+55))</f>
        <v/>
      </c>
      <c r="BF187" s="41">
        <f>IF(N('Dvd Calendar'!$T$2577)=0,"",IF(('Dvd Calendar'!$T$2577&gt;=MIN(DATE(Summary!$C$12,1,1),Summary!$C$11))*('Dvd Calendar'!$T$2577&lt;=MAX(DATE(Summary!$C$12,12,31),Summary!$C$15))*('Dvd Calendar'!$T$2577&gt;Summary!$C$11)=0,"",'Dvd Calendar'!$T$2577*1000000000+ISNUMBER('Dvd Calendar'!$T$2578)*100000000+('Dvd Calendar'!$T$2582='Field Check'!$C$25)*10000000+(N('Dvd Calendar'!$T$2576)&gt;0)*1000000+31*1000+56))</f>
        <v/>
      </c>
      <c r="BG187" s="41">
        <f>IF(N('Dvd Calendar'!$U$2577)=0,"",IF(('Dvd Calendar'!$U$2577&gt;=MIN(DATE(Summary!$C$12,1,1),Summary!$C$11))*('Dvd Calendar'!$U$2577&lt;=MAX(DATE(Summary!$C$12,12,31),Summary!$C$15))*('Dvd Calendar'!$U$2577&gt;Summary!$C$11)=0,"",'Dvd Calendar'!$U$2577*1000000000+ISNUMBER('Dvd Calendar'!$U$2578)*100000000+('Dvd Calendar'!$U$2582='Field Check'!$C$25)*10000000+(N('Dvd Calendar'!$U$2576)&gt;0)*1000000+31*1000+57))</f>
        <v/>
      </c>
      <c r="BH187" s="41">
        <f>IF(N('Dvd Calendar'!$V$2577)=0,"",IF(('Dvd Calendar'!$V$2577&gt;=MIN(DATE(Summary!$C$12,1,1),Summary!$C$11))*('Dvd Calendar'!$V$2577&lt;=MAX(DATE(Summary!$C$12,12,31),Summary!$C$15))*('Dvd Calendar'!$V$2577&gt;Summary!$C$11)=0,"",'Dvd Calendar'!$V$2577*1000000000+ISNUMBER('Dvd Calendar'!$V$2578)*100000000+('Dvd Calendar'!$V$2582='Field Check'!$C$25)*10000000+(N('Dvd Calendar'!$V$2576)&gt;0)*1000000+31*1000+58))</f>
        <v/>
      </c>
      <c r="BI187" s="41">
        <f>IF(N('Dvd Calendar'!$W$2577)=0,"",IF(('Dvd Calendar'!$W$2577&gt;=MIN(DATE(Summary!$C$12,1,1),Summary!$C$11))*('Dvd Calendar'!$W$2577&lt;=MAX(DATE(Summary!$C$12,12,31),Summary!$C$15))*('Dvd Calendar'!$W$2577&gt;Summary!$C$11)=0,"",'Dvd Calendar'!$W$2577*1000000000+ISNUMBER('Dvd Calendar'!$W$2578)*100000000+('Dvd Calendar'!$W$2582='Field Check'!$C$25)*10000000+(N('Dvd Calendar'!$W$2576)&gt;0)*1000000+31*1000+59))</f>
        <v/>
      </c>
      <c r="BJ187" s="41">
        <f>IF(N('Dvd Calendar'!$X$2577)=0,"",IF(('Dvd Calendar'!$X$2577&gt;=MIN(DATE(Summary!$C$12,1,1),Summary!$C$11))*('Dvd Calendar'!$X$2577&lt;=MAX(DATE(Summary!$C$12,12,31),Summary!$C$15))*('Dvd Calendar'!$X$2577&gt;Summary!$C$11)=0,"",'Dvd Calendar'!$X$2577*1000000000+ISNUMBER('Dvd Calendar'!$X$2578)*100000000+('Dvd Calendar'!$X$2582='Field Check'!$C$25)*10000000+(N('Dvd Calendar'!$X$2576)&gt;0)*1000000+31*1000+60))</f>
        <v/>
      </c>
      <c r="BK187" s="41">
        <f>IF(N('Dvd Calendar'!$Y$2577)=0,"",IF(('Dvd Calendar'!$Y$2577&gt;=MIN(DATE(Summary!$C$12,1,1),Summary!$C$11))*('Dvd Calendar'!$Y$2577&lt;=MAX(DATE(Summary!$C$12,12,31),Summary!$C$15))*('Dvd Calendar'!$Y$2577&gt;Summary!$C$11)=0,"",'Dvd Calendar'!$Y$2577*1000000000+ISNUMBER('Dvd Calendar'!$Y$2578)*100000000+('Dvd Calendar'!$Y$2582='Field Check'!$C$25)*10000000+(N('Dvd Calendar'!$Y$2576)&gt;0)*1000000+31*1000+61))</f>
        <v/>
      </c>
      <c r="BL187" s="41">
        <f>IF(N('Dvd Calendar'!$Z$2577)=0,"",IF(('Dvd Calendar'!$Z$2577&gt;=MIN(DATE(Summary!$C$12,1,1),Summary!$C$11))*('Dvd Calendar'!$Z$2577&lt;=MAX(DATE(Summary!$C$12,12,31),Summary!$C$15))*('Dvd Calendar'!$Z$2577&gt;Summary!$C$11)=0,"",'Dvd Calendar'!$Z$2577*1000000000+ISNUMBER('Dvd Calendar'!$Z$2578)*100000000+('Dvd Calendar'!$Z$2582='Field Check'!$C$25)*10000000+(N('Dvd Calendar'!$Z$2576)&gt;0)*1000000+31*1000+62))</f>
        <v/>
      </c>
      <c r="BM187" s="41">
        <f>IF(N('Dvd Calendar'!$AA$2577)=0,"",IF(('Dvd Calendar'!$AA$2577&gt;=MIN(DATE(Summary!$C$12,1,1),Summary!$C$11))*('Dvd Calendar'!$AA$2577&lt;=MAX(DATE(Summary!$C$12,12,31),Summary!$C$15))*('Dvd Calendar'!$AA$2577&gt;Summary!$C$11)=0,"",'Dvd Calendar'!$AA$2577*1000000000+ISNUMBER('Dvd Calendar'!$AA$2578)*100000000+('Dvd Calendar'!$AA$2582='Field Check'!$C$25)*10000000+(N('Dvd Calendar'!$AA$2576)&gt;0)*1000000+31*1000+63))</f>
        <v/>
      </c>
      <c r="BN187" s="41">
        <f>IF(N('Dvd Calendar'!$AB$2577)=0,"",IF(('Dvd Calendar'!$AB$2577&gt;=MIN(DATE(Summary!$C$12,1,1),Summary!$C$11))*('Dvd Calendar'!$AB$2577&lt;=MAX(DATE(Summary!$C$12,12,31),Summary!$C$15))*('Dvd Calendar'!$AB$2577&gt;Summary!$C$11)=0,"",'Dvd Calendar'!$AB$2577*1000000000+ISNUMBER('Dvd Calendar'!$AB$2578)*100000000+('Dvd Calendar'!$AB$2582='Field Check'!$C$25)*10000000+(N('Dvd Calendar'!$AB$2576)&gt;0)*1000000+31*1000+64))</f>
        <v/>
      </c>
      <c r="BO187" s="41">
        <f>IF(N('Dvd Calendar'!$AC$2577)=0,"",IF(('Dvd Calendar'!$AC$2577&gt;=MIN(DATE(Summary!$C$12,1,1),Summary!$C$11))*('Dvd Calendar'!$AC$2577&lt;=MAX(DATE(Summary!$C$12,12,31),Summary!$C$15))*('Dvd Calendar'!$AC$2577&gt;Summary!$C$11)=0,"",'Dvd Calendar'!$AC$2577*1000000000+ISNUMBER('Dvd Calendar'!$AC$2578)*100000000+('Dvd Calendar'!$AC$2582='Field Check'!$C$25)*10000000+(N('Dvd Calendar'!$AC$2576)&gt;0)*1000000+31*1000+65))</f>
        <v/>
      </c>
      <c r="BQ187" s="85">
        <f>IF(C187="","",IF(ISNUMBER('Dvd Calendar'!$E$2571)=FALSE,"",IF((Summary!$C$13="N")*('Dvd Calendar'!$E$2575='Field Check'!$C$25)&gt;0,"",'Dvd Calendar'!$E$2571)))</f>
        <v/>
      </c>
      <c r="BR187" s="85">
        <f>IF(D187="","",IF(ISNUMBER('Dvd Calendar'!$F$2571)=FALSE,"",IF((Summary!$C$13="N")*('Dvd Calendar'!$F$2575='Field Check'!$C$25)&gt;0,"",'Dvd Calendar'!$F$2571)))</f>
        <v/>
      </c>
      <c r="BS187" s="85">
        <f>IF(E187="","",IF(ISNUMBER('Dvd Calendar'!$G$2571)=FALSE,"",IF((Summary!$C$13="N")*('Dvd Calendar'!$G$2575='Field Check'!$C$25)&gt;0,"",'Dvd Calendar'!$G$2571)))</f>
        <v/>
      </c>
      <c r="BT187" s="85">
        <f>IF(F187="","",IF(ISNUMBER('Dvd Calendar'!$H$2571)=FALSE,"",IF((Summary!$C$13="N")*('Dvd Calendar'!$H$2575='Field Check'!$C$25)&gt;0,"",'Dvd Calendar'!$H$2571)))</f>
        <v/>
      </c>
      <c r="BU187" s="85">
        <f>IF(G187="","",IF(ISNUMBER('Dvd Calendar'!$I$2571)=FALSE,"",IF((Summary!$C$13="N")*('Dvd Calendar'!$I$2575='Field Check'!$C$25)&gt;0,"",'Dvd Calendar'!$I$2571)))</f>
        <v/>
      </c>
      <c r="BV187" s="85">
        <f>IF(H187="","",IF(ISNUMBER('Dvd Calendar'!$J$2571)=FALSE,"",IF((Summary!$C$13="N")*('Dvd Calendar'!$J$2575='Field Check'!$C$25)&gt;0,"",'Dvd Calendar'!$J$2571)))</f>
        <v/>
      </c>
      <c r="BW187" s="85">
        <f>IF(I187="","",IF(ISNUMBER('Dvd Calendar'!$K$2571)=FALSE,"",IF((Summary!$C$13="N")*('Dvd Calendar'!$K$2575='Field Check'!$C$25)&gt;0,"",'Dvd Calendar'!$K$2571)))</f>
        <v/>
      </c>
      <c r="BX187" s="85">
        <f>IF(J187="","",IF(ISNUMBER('Dvd Calendar'!$L$2571)=FALSE,"",IF((Summary!$C$13="N")*('Dvd Calendar'!$L$2575='Field Check'!$C$25)&gt;0,"",'Dvd Calendar'!$L$2571)))</f>
        <v/>
      </c>
      <c r="BY187" s="85">
        <f>IF(K187="","",IF(ISNUMBER('Dvd Calendar'!$M$2571)=FALSE,"",IF((Summary!$C$13="N")*('Dvd Calendar'!$M$2575='Field Check'!$C$25)&gt;0,"",'Dvd Calendar'!$M$2571)))</f>
        <v/>
      </c>
      <c r="BZ187" s="85">
        <f>IF(L187="","",IF(ISNUMBER('Dvd Calendar'!$N$2571)=FALSE,"",IF((Summary!$C$13="N")*('Dvd Calendar'!$N$2575='Field Check'!$C$25)&gt;0,"",'Dvd Calendar'!$N$2571)))</f>
        <v/>
      </c>
      <c r="CA187" s="85">
        <f>IF(M187="","",IF(ISNUMBER('Dvd Calendar'!$O$2571)=FALSE,"",IF((Summary!$C$13="N")*('Dvd Calendar'!$O$2575='Field Check'!$C$25)&gt;0,"",'Dvd Calendar'!$O$2571)))</f>
        <v/>
      </c>
      <c r="CB187" s="85">
        <f>IF(N187="","",IF(ISNUMBER('Dvd Calendar'!$P$2571)=FALSE,"",IF((Summary!$C$13="N")*('Dvd Calendar'!$P$2575='Field Check'!$C$25)&gt;0,"",'Dvd Calendar'!$P$2571)))</f>
        <v/>
      </c>
      <c r="CC187" s="85">
        <f>IF(O187="","",IF(ISNUMBER('Dvd Calendar'!$Q$2571)=FALSE,"",IF((Summary!$C$13="N")*('Dvd Calendar'!$Q$2575='Field Check'!$C$25)&gt;0,"",'Dvd Calendar'!$Q$2571)))</f>
        <v/>
      </c>
      <c r="CD187" s="85">
        <f>IF(P187="","",IF(ISNUMBER('Dvd Calendar'!$R$2571)=FALSE,"",IF((Summary!$C$13="N")*('Dvd Calendar'!$R$2575='Field Check'!$C$25)&gt;0,"",'Dvd Calendar'!$R$2571)))</f>
        <v/>
      </c>
      <c r="CE187" s="85">
        <f>IF(Q187="","",IF(ISNUMBER('Dvd Calendar'!$S$2571)=FALSE,"",IF((Summary!$C$13="N")*('Dvd Calendar'!$S$2575='Field Check'!$C$25)&gt;0,"",'Dvd Calendar'!$S$2571)))</f>
        <v/>
      </c>
      <c r="CF187" s="85">
        <f>IF(R187="","",IF(ISNUMBER('Dvd Calendar'!$T$2571)=FALSE,"",IF((Summary!$C$13="N")*('Dvd Calendar'!$T$2575='Field Check'!$C$25)&gt;0,"",'Dvd Calendar'!$T$2571)))</f>
        <v/>
      </c>
      <c r="CG187" s="85">
        <f>IF(S187="","",IF(ISNUMBER('Dvd Calendar'!$U$2571)=FALSE,"",IF((Summary!$C$13="N")*('Dvd Calendar'!$U$2575='Field Check'!$C$25)&gt;0,"",'Dvd Calendar'!$U$2571)))</f>
        <v/>
      </c>
      <c r="CH187" s="85">
        <f>IF(T187="","",IF(ISNUMBER('Dvd Calendar'!$V$2571)=FALSE,"",IF((Summary!$C$13="N")*('Dvd Calendar'!$V$2575='Field Check'!$C$25)&gt;0,"",'Dvd Calendar'!$V$2571)))</f>
        <v/>
      </c>
      <c r="CI187" s="85">
        <f>IF(U187="","",IF(ISNUMBER('Dvd Calendar'!$W$2571)=FALSE,"",IF((Summary!$C$13="N")*('Dvd Calendar'!$W$2575='Field Check'!$C$25)&gt;0,"",'Dvd Calendar'!$W$2571)))</f>
        <v/>
      </c>
      <c r="CJ187" s="85">
        <f>IF(V187="","",IF(ISNUMBER('Dvd Calendar'!$X$2571)=FALSE,"",IF((Summary!$C$13="N")*('Dvd Calendar'!$X$2575='Field Check'!$C$25)&gt;0,"",'Dvd Calendar'!$X$2571)))</f>
        <v/>
      </c>
      <c r="CK187" s="85">
        <f>IF(W187="","",IF(ISNUMBER('Dvd Calendar'!$Y$2571)=FALSE,"",IF((Summary!$C$13="N")*('Dvd Calendar'!$Y$2575='Field Check'!$C$25)&gt;0,"",'Dvd Calendar'!$Y$2571)))</f>
        <v/>
      </c>
      <c r="CL187" s="85">
        <f>IF(X187="","",IF(ISNUMBER('Dvd Calendar'!$Z$2571)=FALSE,"",IF((Summary!$C$13="N")*('Dvd Calendar'!$Z$2575='Field Check'!$C$25)&gt;0,"",'Dvd Calendar'!$Z$2571)))</f>
        <v/>
      </c>
      <c r="CM187" s="85">
        <f>IF(Y187="","",IF(ISNUMBER('Dvd Calendar'!$AA$2571)=FALSE,"",IF((Summary!$C$13="N")*('Dvd Calendar'!$AA$2575='Field Check'!$C$25)&gt;0,"",'Dvd Calendar'!$AA$2571)))</f>
        <v/>
      </c>
      <c r="CN187" s="85">
        <f>IF(Z187="","",IF(ISNUMBER('Dvd Calendar'!$AB$2571)=FALSE,"",IF((Summary!$C$13="N")*('Dvd Calendar'!$AB$2575='Field Check'!$C$25)&gt;0,"",'Dvd Calendar'!$AB$2571)))</f>
        <v/>
      </c>
      <c r="CO187" s="85">
        <f>IF(AA187="","",IF(ISNUMBER('Dvd Calendar'!$AC$2571)=FALSE,"",IF((Summary!$C$13="N")*('Dvd Calendar'!$AC$2575='Field Check'!$C$25)&gt;0,"",'Dvd Calendar'!$AC$2571)))</f>
        <v/>
      </c>
      <c r="CP187" s="85">
        <f>IF(AB187="","",IF(ISNUMBER('Dvd Calendar'!$AD$2571)=FALSE,"",IF((Summary!$C$13="N")*('Dvd Calendar'!$AD$2575='Field Check'!$C$25)&gt;0,"",'Dvd Calendar'!$AD$2571)))</f>
        <v/>
      </c>
      <c r="CQ187" s="85">
        <f>IF(AC187="","",IF(ISNUMBER('Dvd Calendar'!$AE$2571)=FALSE,"",IF((Summary!$C$13="N")*('Dvd Calendar'!$AE$2575='Field Check'!$C$25)&gt;0,"",'Dvd Calendar'!$AE$2571)))</f>
        <v/>
      </c>
      <c r="CR187" s="85">
        <f>IF(AD187="","",IF(ISNUMBER('Dvd Calendar'!$AF$2571)=FALSE,"",IF((Summary!$C$13="N")*('Dvd Calendar'!$AF$2575='Field Check'!$C$25)&gt;0,"",'Dvd Calendar'!$AF$2571)))</f>
        <v/>
      </c>
      <c r="CS187" s="85">
        <f>IF(AE187="","",IF(ISNUMBER('Dvd Calendar'!$AG$2571)=FALSE,"",IF((Summary!$C$13="N")*('Dvd Calendar'!$AG$2575='Field Check'!$C$25)&gt;0,"",'Dvd Calendar'!$AG$2571)))</f>
        <v/>
      </c>
      <c r="CT187" s="85">
        <f>IF(AF187="","",IF(ISNUMBER('Dvd Calendar'!$AH$2571)=FALSE,"",IF((Summary!$C$13="N")*('Dvd Calendar'!$AH$2575='Field Check'!$C$25)&gt;0,"",'Dvd Calendar'!$AH$2571)))</f>
        <v/>
      </c>
      <c r="CU187" s="85">
        <f>IF(AG187="","",IF(ISNUMBER('Dvd Calendar'!$AI$2571)=FALSE,"",IF((Summary!$C$13="N")*('Dvd Calendar'!$AI$2575='Field Check'!$C$25)&gt;0,"",'Dvd Calendar'!$AI$2571)))</f>
        <v/>
      </c>
      <c r="CV187" s="85">
        <f>IF(AH187="","",IF(ISNUMBER('Dvd Calendar'!$AJ$2571)=FALSE,"",IF((Summary!$C$13="N")*('Dvd Calendar'!$AJ$2575='Field Check'!$C$25)&gt;0,"",'Dvd Calendar'!$AJ$2571)))</f>
        <v/>
      </c>
      <c r="CW187" s="85">
        <f>IF(AI187="","",IF(ISNUMBER('Dvd Calendar'!$AK$2571)=FALSE,"",IF((Summary!$C$13="N")*('Dvd Calendar'!$AK$2575='Field Check'!$C$25)&gt;0,"",'Dvd Calendar'!$AK$2571)))</f>
        <v/>
      </c>
      <c r="CX187" s="85">
        <f>IF(AJ187="","",IF(ISNUMBER('Dvd Calendar'!$AL$2571)=FALSE,"",IF((Summary!$C$13="N")*('Dvd Calendar'!$AL$2575='Field Check'!$C$25)&gt;0,"",'Dvd Calendar'!$AL$2571)))</f>
        <v/>
      </c>
      <c r="CY187" s="85">
        <f>IF(AK187="","",IF(ISNUMBER('Dvd Calendar'!$AM$2571)=FALSE,"",IF((Summary!$C$13="N")*('Dvd Calendar'!$AM$2575='Field Check'!$C$25)&gt;0,"",'Dvd Calendar'!$AM$2571)))</f>
        <v/>
      </c>
      <c r="CZ187" s="85">
        <f>IF(AL187="","",IF(ISNUMBER('Dvd Calendar'!$AN$2571)=FALSE,"",IF((Summary!$C$13="N")*('Dvd Calendar'!$AN$2575='Field Check'!$C$25)&gt;0,"",'Dvd Calendar'!$AN$2571)))</f>
        <v/>
      </c>
      <c r="DA187" s="85">
        <f>IF(AM187="","",IF(ISNUMBER('Dvd Calendar'!$AO$2571)=FALSE,"",IF((Summary!$C$13="N")*('Dvd Calendar'!$AO$2575='Field Check'!$C$25)&gt;0,"",'Dvd Calendar'!$AO$2571)))</f>
        <v/>
      </c>
      <c r="DB187" s="85">
        <f>IF(AN187="","",IF(ISNUMBER('Dvd Calendar'!$AP$2571)=FALSE,"",IF((Summary!$C$13="N")*('Dvd Calendar'!$AP$2575='Field Check'!$C$25)&gt;0,"",'Dvd Calendar'!$AP$2571)))</f>
        <v/>
      </c>
      <c r="DC187" s="85">
        <f>IF(AO187="","",IF(ISNUMBER('Dvd Calendar'!$AQ$2571)=FALSE,"",IF((Summary!$C$13="N")*('Dvd Calendar'!$AQ$2575='Field Check'!$C$25)&gt;0,"",'Dvd Calendar'!$AQ$2571)))</f>
        <v/>
      </c>
      <c r="DD187" s="85">
        <f>IF(AP187="","",IF(ISNUMBER('Dvd Calendar'!$AR$2571)=FALSE,"",IF((Summary!$C$13="N")*('Dvd Calendar'!$AR$2575='Field Check'!$C$25)&gt;0,"",'Dvd Calendar'!$AR$2571)))</f>
        <v/>
      </c>
      <c r="DE187" s="85">
        <f>IF(AQ187="","",IF(ISNUMBER('Dvd Calendar'!$E$2578)=FALSE,"",IF((Summary!$C$13="N")*('Dvd Calendar'!$E$2582='Field Check'!$C$25)&gt;0,"",'Dvd Calendar'!$E$2578)))</f>
        <v/>
      </c>
      <c r="DF187" s="85">
        <f>IF(AR187="","",IF(ISNUMBER('Dvd Calendar'!$F$2578)=FALSE,"",IF((Summary!$C$13="N")*('Dvd Calendar'!$F$2582='Field Check'!$C$25)&gt;0,"",'Dvd Calendar'!$F$2578)))</f>
        <v/>
      </c>
      <c r="DG187" s="85">
        <f>IF(AS187="","",IF(ISNUMBER('Dvd Calendar'!$G$2578)=FALSE,"",IF((Summary!$C$13="N")*('Dvd Calendar'!$G$2582='Field Check'!$C$25)&gt;0,"",'Dvd Calendar'!$G$2578)))</f>
        <v/>
      </c>
      <c r="DH187" s="85">
        <f>IF(AT187="","",IF(ISNUMBER('Dvd Calendar'!$H$2578)=FALSE,"",IF((Summary!$C$13="N")*('Dvd Calendar'!$H$2582='Field Check'!$C$25)&gt;0,"",'Dvd Calendar'!$H$2578)))</f>
        <v/>
      </c>
      <c r="DI187" s="85">
        <f>IF(AU187="","",IF(ISNUMBER('Dvd Calendar'!$I$2578)=FALSE,"",IF((Summary!$C$13="N")*('Dvd Calendar'!$I$2582='Field Check'!$C$25)&gt;0,"",'Dvd Calendar'!$I$2578)))</f>
        <v/>
      </c>
      <c r="DJ187" s="85">
        <f>IF(AV187="","",IF(ISNUMBER('Dvd Calendar'!$J$2578)=FALSE,"",IF((Summary!$C$13="N")*('Dvd Calendar'!$J$2582='Field Check'!$C$25)&gt;0,"",'Dvd Calendar'!$J$2578)))</f>
        <v/>
      </c>
      <c r="DK187" s="85">
        <f>IF(AW187="","",IF(ISNUMBER('Dvd Calendar'!$K$2578)=FALSE,"",IF((Summary!$C$13="N")*('Dvd Calendar'!$K$2582='Field Check'!$C$25)&gt;0,"",'Dvd Calendar'!$K$2578)))</f>
        <v/>
      </c>
      <c r="DL187" s="85">
        <f>IF(AX187="","",IF(ISNUMBER('Dvd Calendar'!$L$2578)=FALSE,"",IF((Summary!$C$13="N")*('Dvd Calendar'!$L$2582='Field Check'!$C$25)&gt;0,"",'Dvd Calendar'!$L$2578)))</f>
        <v/>
      </c>
      <c r="DM187" s="85">
        <f>IF(AY187="","",IF(ISNUMBER('Dvd Calendar'!$M$2578)=FALSE,"",IF((Summary!$C$13="N")*('Dvd Calendar'!$M$2582='Field Check'!$C$25)&gt;0,"",'Dvd Calendar'!$M$2578)))</f>
        <v/>
      </c>
      <c r="DN187" s="85">
        <f>IF(AZ187="","",IF(ISNUMBER('Dvd Calendar'!$N$2578)=FALSE,"",IF((Summary!$C$13="N")*('Dvd Calendar'!$N$2582='Field Check'!$C$25)&gt;0,"",'Dvd Calendar'!$N$2578)))</f>
        <v/>
      </c>
      <c r="DO187" s="85">
        <f>IF(BA187="","",IF(ISNUMBER('Dvd Calendar'!$O$2578)=FALSE,"",IF((Summary!$C$13="N")*('Dvd Calendar'!$O$2582='Field Check'!$C$25)&gt;0,"",'Dvd Calendar'!$O$2578)))</f>
        <v/>
      </c>
      <c r="DP187" s="85">
        <f>IF(BB187="","",IF(ISNUMBER('Dvd Calendar'!$P$2578)=FALSE,"",IF((Summary!$C$13="N")*('Dvd Calendar'!$P$2582='Field Check'!$C$25)&gt;0,"",'Dvd Calendar'!$P$2578)))</f>
        <v/>
      </c>
      <c r="DQ187" s="85">
        <f>IF(BC187="","",IF(ISNUMBER('Dvd Calendar'!$Q$2578)=FALSE,"",IF((Summary!$C$13="N")*('Dvd Calendar'!$Q$2582='Field Check'!$C$25)&gt;0,"",'Dvd Calendar'!$Q$2578)))</f>
        <v/>
      </c>
      <c r="DR187" s="85">
        <f>IF(BD187="","",IF(ISNUMBER('Dvd Calendar'!$R$2578)=FALSE,"",IF((Summary!$C$13="N")*('Dvd Calendar'!$R$2582='Field Check'!$C$25)&gt;0,"",'Dvd Calendar'!$R$2578)))</f>
        <v/>
      </c>
      <c r="DS187" s="85">
        <f>IF(BE187="","",IF(ISNUMBER('Dvd Calendar'!$S$2578)=FALSE,"",IF((Summary!$C$13="N")*('Dvd Calendar'!$S$2582='Field Check'!$C$25)&gt;0,"",'Dvd Calendar'!$S$2578)))</f>
        <v/>
      </c>
      <c r="DT187" s="85">
        <f>IF(BF187="","",IF(ISNUMBER('Dvd Calendar'!$T$2578)=FALSE,"",IF((Summary!$C$13="N")*('Dvd Calendar'!$T$2582='Field Check'!$C$25)&gt;0,"",'Dvd Calendar'!$T$2578)))</f>
        <v/>
      </c>
      <c r="DU187" s="85">
        <f>IF(BG187="","",IF(ISNUMBER('Dvd Calendar'!$U$2578)=FALSE,"",IF((Summary!$C$13="N")*('Dvd Calendar'!$U$2582='Field Check'!$C$25)&gt;0,"",'Dvd Calendar'!$U$2578)))</f>
        <v/>
      </c>
      <c r="DV187" s="85">
        <f>IF(BH187="","",IF(ISNUMBER('Dvd Calendar'!$V$2578)=FALSE,"",IF((Summary!$C$13="N")*('Dvd Calendar'!$V$2582='Field Check'!$C$25)&gt;0,"",'Dvd Calendar'!$V$2578)))</f>
        <v/>
      </c>
      <c r="DW187" s="85">
        <f>IF(BI187="","",IF(ISNUMBER('Dvd Calendar'!$W$2578)=FALSE,"",IF((Summary!$C$13="N")*('Dvd Calendar'!$W$2582='Field Check'!$C$25)&gt;0,"",'Dvd Calendar'!$W$2578)))</f>
        <v/>
      </c>
      <c r="DX187" s="85">
        <f>IF(BJ187="","",IF(ISNUMBER('Dvd Calendar'!$X$2578)=FALSE,"",IF((Summary!$C$13="N")*('Dvd Calendar'!$X$2582='Field Check'!$C$25)&gt;0,"",'Dvd Calendar'!$X$2578)))</f>
        <v/>
      </c>
      <c r="DY187" s="85">
        <f>IF(BK187="","",IF(ISNUMBER('Dvd Calendar'!$Y$2578)=FALSE,"",IF((Summary!$C$13="N")*('Dvd Calendar'!$Y$2582='Field Check'!$C$25)&gt;0,"",'Dvd Calendar'!$Y$2578)))</f>
        <v/>
      </c>
      <c r="DZ187" s="85">
        <f>IF(BL187="","",IF(ISNUMBER('Dvd Calendar'!$Z$2578)=FALSE,"",IF((Summary!$C$13="N")*('Dvd Calendar'!$Z$2582='Field Check'!$C$25)&gt;0,"",'Dvd Calendar'!$Z$2578)))</f>
        <v/>
      </c>
      <c r="EA187" s="85">
        <f>IF(BM187="","",IF(ISNUMBER('Dvd Calendar'!$AA$2578)=FALSE,"",IF((Summary!$C$13="N")*('Dvd Calendar'!$AA$2582='Field Check'!$C$25)&gt;0,"",'Dvd Calendar'!$AA$2578)))</f>
        <v/>
      </c>
      <c r="EB187" s="85">
        <f>IF(BN187="","",IF(ISNUMBER('Dvd Calendar'!$AB$2578)=FALSE,"",IF((Summary!$C$13="N")*('Dvd Calendar'!$AB$2582='Field Check'!$C$25)&gt;0,"",'Dvd Calendar'!$AB$2578)))</f>
        <v/>
      </c>
      <c r="EC187" s="85">
        <f>IF(BO187="","",IF(ISNUMBER('Dvd Calendar'!$AC$2578)=FALSE,"",IF((Summary!$C$13="N")*('Dvd Calendar'!$AC$2582='Field Check'!$C$25)&gt;0,"",'Dvd Calendar'!$AC$2578)))</f>
        <v/>
      </c>
      <c r="EE187" s="85">
        <f>IF(BQ187="","",IFERROR(BQ187*HSCEI!$B$37*HSCEI!$G$37/HSCEI!$B$3,""))</f>
        <v/>
      </c>
      <c r="EF187" s="85">
        <f>IF(BR187="","",IFERROR(BR187*HSCEI!$B$37*HSCEI!$G$37/HSCEI!$B$3,""))</f>
        <v/>
      </c>
      <c r="EG187" s="85">
        <f>IF(BS187="","",IFERROR(BS187*HSCEI!$B$37*HSCEI!$G$37/HSCEI!$B$3,""))</f>
        <v/>
      </c>
      <c r="EH187" s="85">
        <f>IF(BT187="","",IFERROR(BT187*HSCEI!$B$37*HSCEI!$G$37/HSCEI!$B$3,""))</f>
        <v/>
      </c>
      <c r="EI187" s="85">
        <f>IF(BU187="","",IFERROR(BU187*HSCEI!$B$37*HSCEI!$G$37/HSCEI!$B$3,""))</f>
        <v/>
      </c>
      <c r="EJ187" s="85">
        <f>IF(BV187="","",IFERROR(BV187*HSCEI!$B$37*HSCEI!$G$37/HSCEI!$B$3,""))</f>
        <v/>
      </c>
      <c r="EK187" s="85">
        <f>IF(BW187="","",IFERROR(BW187*HSCEI!$B$37*HSCEI!$G$37/HSCEI!$B$3,""))</f>
        <v/>
      </c>
      <c r="EL187" s="85">
        <f>IF(BX187="","",IFERROR(BX187*HSCEI!$B$37*HSCEI!$G$37/HSCEI!$B$3,""))</f>
        <v/>
      </c>
      <c r="EM187" s="85">
        <f>IF(BY187="","",IFERROR(BY187*HSCEI!$B$37*HSCEI!$G$37/HSCEI!$B$3,""))</f>
        <v/>
      </c>
      <c r="EN187" s="85">
        <f>IF(BZ187="","",IFERROR(BZ187*HSCEI!$B$37*HSCEI!$G$37/HSCEI!$B$3,""))</f>
        <v/>
      </c>
      <c r="EO187" s="85">
        <f>IF(CA187="","",IFERROR(CA187*HSCEI!$B$37*HSCEI!$G$37/HSCEI!$B$3,""))</f>
        <v/>
      </c>
      <c r="EP187" s="85">
        <f>IF(CB187="","",IFERROR(CB187*HSCEI!$B$37*HSCEI!$G$37/HSCEI!$B$3,""))</f>
        <v/>
      </c>
      <c r="EQ187" s="85">
        <f>IF(CC187="","",IFERROR(CC187*HSCEI!$B$37*HSCEI!$G$37/HSCEI!$B$3,""))</f>
        <v/>
      </c>
      <c r="ER187" s="85">
        <f>IF(CD187="","",IFERROR(CD187*HSCEI!$B$37*HSCEI!$G$37/HSCEI!$B$3,""))</f>
        <v/>
      </c>
      <c r="ES187" s="85">
        <f>IF(CE187="","",IFERROR(CE187*HSCEI!$B$37*HSCEI!$G$37/HSCEI!$B$3,""))</f>
        <v/>
      </c>
      <c r="ET187" s="85">
        <f>IF(CF187="","",IFERROR(CF187*HSCEI!$B$37*HSCEI!$G$37/HSCEI!$B$3,""))</f>
        <v/>
      </c>
      <c r="EU187" s="85">
        <f>IF(CG187="","",IFERROR(CG187*HSCEI!$B$37*HSCEI!$G$37/HSCEI!$B$3,""))</f>
        <v/>
      </c>
      <c r="EV187" s="85">
        <f>IF(CH187="","",IFERROR(CH187*HSCEI!$B$37*HSCEI!$G$37/HSCEI!$B$3,""))</f>
        <v/>
      </c>
      <c r="EW187" s="85">
        <f>IF(CI187="","",IFERROR(CI187*HSCEI!$B$37*HSCEI!$G$37/HSCEI!$B$3,""))</f>
        <v/>
      </c>
      <c r="EX187" s="85">
        <f>IF(CJ187="","",IFERROR(CJ187*HSCEI!$B$37*HSCEI!$G$37/HSCEI!$B$3,""))</f>
        <v/>
      </c>
      <c r="EY187" s="85">
        <f>IF(CK187="","",IFERROR(CK187*HSCEI!$B$37*HSCEI!$G$37/HSCEI!$B$3,""))</f>
        <v/>
      </c>
      <c r="EZ187" s="85">
        <f>IF(CL187="","",IFERROR(CL187*HSCEI!$B$37*HSCEI!$G$37/HSCEI!$B$3,""))</f>
        <v/>
      </c>
      <c r="FA187" s="85">
        <f>IF(CM187="","",IFERROR(CM187*HSCEI!$B$37*HSCEI!$G$37/HSCEI!$B$3,""))</f>
        <v/>
      </c>
      <c r="FB187" s="85">
        <f>IF(CN187="","",IFERROR(CN187*HSCEI!$B$37*HSCEI!$G$37/HSCEI!$B$3,""))</f>
        <v/>
      </c>
      <c r="FC187" s="85">
        <f>IF(CO187="","",IFERROR(CO187*HSCEI!$B$37*HSCEI!$G$37/HSCEI!$B$3,""))</f>
        <v/>
      </c>
      <c r="FD187" s="85">
        <f>IF(CP187="","",IFERROR(CP187*HSCEI!$B$37*HSCEI!$G$37/HSCEI!$B$3,""))</f>
        <v/>
      </c>
      <c r="FE187" s="85">
        <f>IF(CQ187="","",IFERROR(CQ187*HSCEI!$B$37*HSCEI!$G$37/HSCEI!$B$3,""))</f>
        <v/>
      </c>
      <c r="FF187" s="85">
        <f>IF(CR187="","",IFERROR(CR187*HSCEI!$B$37*HSCEI!$G$37/HSCEI!$B$3,""))</f>
        <v/>
      </c>
      <c r="FG187" s="85">
        <f>IF(CS187="","",IFERROR(CS187*HSCEI!$B$37*HSCEI!$G$37/HSCEI!$B$3,""))</f>
        <v/>
      </c>
      <c r="FH187" s="85">
        <f>IF(CT187="","",IFERROR(CT187*HSCEI!$B$37*HSCEI!$G$37/HSCEI!$B$3,""))</f>
        <v/>
      </c>
      <c r="FI187" s="85">
        <f>IF(CU187="","",IFERROR(CU187*HSCEI!$B$37*HSCEI!$G$37/HSCEI!$B$3,""))</f>
        <v/>
      </c>
      <c r="FJ187" s="85">
        <f>IF(CV187="","",IFERROR(CV187*HSCEI!$B$37*HSCEI!$G$37/HSCEI!$B$3,""))</f>
        <v/>
      </c>
      <c r="FK187" s="85">
        <f>IF(CW187="","",IFERROR(CW187*HSCEI!$B$37*HSCEI!$G$37/HSCEI!$B$3,""))</f>
        <v/>
      </c>
      <c r="FL187" s="85">
        <f>IF(CX187="","",IFERROR(CX187*HSCEI!$B$37*HSCEI!$G$37/HSCEI!$B$3,""))</f>
        <v/>
      </c>
      <c r="FM187" s="85">
        <f>IF(CY187="","",IFERROR(CY187*HSCEI!$B$37*HSCEI!$G$37/HSCEI!$B$3,""))</f>
        <v/>
      </c>
      <c r="FN187" s="85">
        <f>IF(CZ187="","",IFERROR(CZ187*HSCEI!$B$37*HSCEI!$G$37/HSCEI!$B$3,""))</f>
        <v/>
      </c>
      <c r="FO187" s="85">
        <f>IF(DA187="","",IFERROR(DA187*HSCEI!$B$37*HSCEI!$G$37/HSCEI!$B$3,""))</f>
        <v/>
      </c>
      <c r="FP187" s="85">
        <f>IF(DB187="","",IFERROR(DB187*HSCEI!$B$37*HSCEI!$G$37/HSCEI!$B$3,""))</f>
        <v/>
      </c>
      <c r="FQ187" s="85">
        <f>IF(DC187="","",IFERROR(DC187*HSCEI!$B$37*HSCEI!$G$37/HSCEI!$B$3,""))</f>
        <v/>
      </c>
      <c r="FR187" s="85">
        <f>IF(DD187="","",IFERROR(DD187*HSCEI!$B$37*HSCEI!$G$37/HSCEI!$B$3,""))</f>
        <v/>
      </c>
      <c r="FS187" s="85">
        <f>IF(DE187="","",IFERROR(DE187*HSCEI!$B$37*HSCEI!$G$37/HSCEI!$B$3,""))</f>
        <v/>
      </c>
      <c r="FT187" s="85">
        <f>IF(DF187="","",IFERROR(DF187*HSCEI!$B$37*HSCEI!$G$37/HSCEI!$B$3,""))</f>
        <v/>
      </c>
      <c r="FU187" s="85">
        <f>IF(DG187="","",IFERROR(DG187*HSCEI!$B$37*HSCEI!$G$37/HSCEI!$B$3,""))</f>
        <v/>
      </c>
      <c r="FV187" s="85">
        <f>IF(DH187="","",IFERROR(DH187*HSCEI!$B$37*HSCEI!$G$37/HSCEI!$B$3,""))</f>
        <v/>
      </c>
      <c r="FW187" s="85">
        <f>IF(DI187="","",IFERROR(DI187*HSCEI!$B$37*HSCEI!$G$37/HSCEI!$B$3,""))</f>
        <v/>
      </c>
      <c r="FX187" s="85">
        <f>IF(DJ187="","",IFERROR(DJ187*HSCEI!$B$37*HSCEI!$G$37/HSCEI!$B$3,""))</f>
        <v/>
      </c>
      <c r="FY187" s="85">
        <f>IF(DK187="","",IFERROR(DK187*HSCEI!$B$37*HSCEI!$G$37/HSCEI!$B$3,""))</f>
        <v/>
      </c>
      <c r="FZ187" s="85">
        <f>IF(DL187="","",IFERROR(DL187*HSCEI!$B$37*HSCEI!$G$37/HSCEI!$B$3,""))</f>
        <v/>
      </c>
      <c r="GA187" s="85">
        <f>IF(DM187="","",IFERROR(DM187*HSCEI!$B$37*HSCEI!$G$37/HSCEI!$B$3,""))</f>
        <v/>
      </c>
      <c r="GB187" s="85">
        <f>IF(DN187="","",IFERROR(DN187*HSCEI!$B$37*HSCEI!$G$37/HSCEI!$B$3,""))</f>
        <v/>
      </c>
      <c r="GC187" s="85">
        <f>IF(DO187="","",IFERROR(DO187*HSCEI!$B$37*HSCEI!$G$37/HSCEI!$B$3,""))</f>
        <v/>
      </c>
      <c r="GD187" s="85">
        <f>IF(DP187="","",IFERROR(DP187*HSCEI!$B$37*HSCEI!$G$37/HSCEI!$B$3,""))</f>
        <v/>
      </c>
      <c r="GE187" s="85">
        <f>IF(DQ187="","",IFERROR(DQ187*HSCEI!$B$37*HSCEI!$G$37/HSCEI!$B$3,""))</f>
        <v/>
      </c>
      <c r="GF187" s="85">
        <f>IF(DR187="","",IFERROR(DR187*HSCEI!$B$37*HSCEI!$G$37/HSCEI!$B$3,""))</f>
        <v/>
      </c>
      <c r="GG187" s="85">
        <f>IF(DS187="","",IFERROR(DS187*HSCEI!$B$37*HSCEI!$G$37/HSCEI!$B$3,""))</f>
        <v/>
      </c>
      <c r="GH187" s="85">
        <f>IF(DT187="","",IFERROR(DT187*HSCEI!$B$37*HSCEI!$G$37/HSCEI!$B$3,""))</f>
        <v/>
      </c>
      <c r="GI187" s="85">
        <f>IF(DU187="","",IFERROR(DU187*HSCEI!$B$37*HSCEI!$G$37/HSCEI!$B$3,""))</f>
        <v/>
      </c>
      <c r="GJ187" s="85">
        <f>IF(DV187="","",IFERROR(DV187*HSCEI!$B$37*HSCEI!$G$37/HSCEI!$B$3,""))</f>
        <v/>
      </c>
      <c r="GK187" s="85">
        <f>IF(DW187="","",IFERROR(DW187*HSCEI!$B$37*HSCEI!$G$37/HSCEI!$B$3,""))</f>
        <v/>
      </c>
      <c r="GL187" s="85">
        <f>IF(DX187="","",IFERROR(DX187*HSCEI!$B$37*HSCEI!$G$37/HSCEI!$B$3,""))</f>
        <v/>
      </c>
      <c r="GM187" s="85">
        <f>IF(DY187="","",IFERROR(DY187*HSCEI!$B$37*HSCEI!$G$37/HSCEI!$B$3,""))</f>
        <v/>
      </c>
      <c r="GN187" s="85">
        <f>IF(DZ187="","",IFERROR(DZ187*HSCEI!$B$37*HSCEI!$G$37/HSCEI!$B$3,""))</f>
        <v/>
      </c>
      <c r="GO187" s="85">
        <f>IF(EA187="","",IFERROR(EA187*HSCEI!$B$37*HSCEI!$G$37/HSCEI!$B$3,""))</f>
        <v/>
      </c>
      <c r="GP187" s="85">
        <f>IF(EB187="","",IFERROR(EB187*HSCEI!$B$37*HSCEI!$G$37/HSCEI!$B$3,""))</f>
        <v/>
      </c>
      <c r="GQ187" s="85">
        <f>IF(EC187="","",IFERROR(EC187*HSCEI!$B$37*HSCEI!$G$37/HSCEI!$B$3,""))</f>
        <v/>
      </c>
    </row>
    <row r="188">
      <c r="B188" s="2">
        <f>IF(HSCEI!$C$38="","",HSCEI!$C$38)</f>
        <v/>
      </c>
      <c r="C188" s="41">
        <f>IF(N('Dvd Calendar'!$E$2585)=0,"",IF(('Dvd Calendar'!$E$2585&gt;=MIN(DATE(Summary!$C$12,1,1),Summary!$C$11))*('Dvd Calendar'!$E$2585&lt;=MAX(DATE(Summary!$C$12,12,31),Summary!$C$15))*('Dvd Calendar'!$E$2585&lt;=Summary!$C$11)=0,"",'Dvd Calendar'!$E$2585*1000000000+ISNUMBER('Dvd Calendar'!$E$2586)*100000000+('Dvd Calendar'!$E$2590='Field Check'!$C$25)*10000000+(N('Dvd Calendar'!$E$2584)&gt;0)*1000000+32*1000+1))</f>
        <v/>
      </c>
      <c r="D188" s="41">
        <f>IF(N('Dvd Calendar'!$F$2585)=0,"",IF(('Dvd Calendar'!$F$2585&gt;=MIN(DATE(Summary!$C$12,1,1),Summary!$C$11))*('Dvd Calendar'!$F$2585&lt;=MAX(DATE(Summary!$C$12,12,31),Summary!$C$15))*('Dvd Calendar'!$F$2585&lt;=Summary!$C$11)=0,"",'Dvd Calendar'!$F$2585*1000000000+ISNUMBER('Dvd Calendar'!$F$2586)*100000000+('Dvd Calendar'!$F$2590='Field Check'!$C$25)*10000000+(N('Dvd Calendar'!$F$2584)&gt;0)*1000000+32*1000+2))</f>
        <v/>
      </c>
      <c r="E188" s="41">
        <f>IF(N('Dvd Calendar'!$G$2585)=0,"",IF(('Dvd Calendar'!$G$2585&gt;=MIN(DATE(Summary!$C$12,1,1),Summary!$C$11))*('Dvd Calendar'!$G$2585&lt;=MAX(DATE(Summary!$C$12,12,31),Summary!$C$15))*('Dvd Calendar'!$G$2585&lt;=Summary!$C$11)=0,"",'Dvd Calendar'!$G$2585*1000000000+ISNUMBER('Dvd Calendar'!$G$2586)*100000000+('Dvd Calendar'!$G$2590='Field Check'!$C$25)*10000000+(N('Dvd Calendar'!$G$2584)&gt;0)*1000000+32*1000+3))</f>
        <v/>
      </c>
      <c r="F188" s="41">
        <f>IF(N('Dvd Calendar'!$H$2585)=0,"",IF(('Dvd Calendar'!$H$2585&gt;=MIN(DATE(Summary!$C$12,1,1),Summary!$C$11))*('Dvd Calendar'!$H$2585&lt;=MAX(DATE(Summary!$C$12,12,31),Summary!$C$15))*('Dvd Calendar'!$H$2585&lt;=Summary!$C$11)=0,"",'Dvd Calendar'!$H$2585*1000000000+ISNUMBER('Dvd Calendar'!$H$2586)*100000000+('Dvd Calendar'!$H$2590='Field Check'!$C$25)*10000000+(N('Dvd Calendar'!$H$2584)&gt;0)*1000000+32*1000+4))</f>
        <v/>
      </c>
      <c r="G188" s="41">
        <f>IF(N('Dvd Calendar'!$I$2585)=0,"",IF(('Dvd Calendar'!$I$2585&gt;=MIN(DATE(Summary!$C$12,1,1),Summary!$C$11))*('Dvd Calendar'!$I$2585&lt;=MAX(DATE(Summary!$C$12,12,31),Summary!$C$15))*('Dvd Calendar'!$I$2585&lt;=Summary!$C$11)=0,"",'Dvd Calendar'!$I$2585*1000000000+ISNUMBER('Dvd Calendar'!$I$2586)*100000000+('Dvd Calendar'!$I$2590='Field Check'!$C$25)*10000000+(N('Dvd Calendar'!$I$2584)&gt;0)*1000000+32*1000+5))</f>
        <v/>
      </c>
      <c r="H188" s="41">
        <f>IF(N('Dvd Calendar'!$J$2585)=0,"",IF(('Dvd Calendar'!$J$2585&gt;=MIN(DATE(Summary!$C$12,1,1),Summary!$C$11))*('Dvd Calendar'!$J$2585&lt;=MAX(DATE(Summary!$C$12,12,31),Summary!$C$15))*('Dvd Calendar'!$J$2585&lt;=Summary!$C$11)=0,"",'Dvd Calendar'!$J$2585*1000000000+ISNUMBER('Dvd Calendar'!$J$2586)*100000000+('Dvd Calendar'!$J$2590='Field Check'!$C$25)*10000000+(N('Dvd Calendar'!$J$2584)&gt;0)*1000000+32*1000+6))</f>
        <v/>
      </c>
      <c r="I188" s="41">
        <f>IF(N('Dvd Calendar'!$K$2585)=0,"",IF(('Dvd Calendar'!$K$2585&gt;=MIN(DATE(Summary!$C$12,1,1),Summary!$C$11))*('Dvd Calendar'!$K$2585&lt;=MAX(DATE(Summary!$C$12,12,31),Summary!$C$15))*('Dvd Calendar'!$K$2585&lt;=Summary!$C$11)=0,"",'Dvd Calendar'!$K$2585*1000000000+ISNUMBER('Dvd Calendar'!$K$2586)*100000000+('Dvd Calendar'!$K$2590='Field Check'!$C$25)*10000000+(N('Dvd Calendar'!$K$2584)&gt;0)*1000000+32*1000+7))</f>
        <v/>
      </c>
      <c r="J188" s="41">
        <f>IF(N('Dvd Calendar'!$L$2585)=0,"",IF(('Dvd Calendar'!$L$2585&gt;=MIN(DATE(Summary!$C$12,1,1),Summary!$C$11))*('Dvd Calendar'!$L$2585&lt;=MAX(DATE(Summary!$C$12,12,31),Summary!$C$15))*('Dvd Calendar'!$L$2585&lt;=Summary!$C$11)=0,"",'Dvd Calendar'!$L$2585*1000000000+ISNUMBER('Dvd Calendar'!$L$2586)*100000000+('Dvd Calendar'!$L$2590='Field Check'!$C$25)*10000000+(N('Dvd Calendar'!$L$2584)&gt;0)*1000000+32*1000+8))</f>
        <v/>
      </c>
      <c r="K188" s="41">
        <f>IF(N('Dvd Calendar'!$M$2585)=0,"",IF(('Dvd Calendar'!$M$2585&gt;=MIN(DATE(Summary!$C$12,1,1),Summary!$C$11))*('Dvd Calendar'!$M$2585&lt;=MAX(DATE(Summary!$C$12,12,31),Summary!$C$15))*('Dvd Calendar'!$M$2585&lt;=Summary!$C$11)=0,"",'Dvd Calendar'!$M$2585*1000000000+ISNUMBER('Dvd Calendar'!$M$2586)*100000000+('Dvd Calendar'!$M$2590='Field Check'!$C$25)*10000000+(N('Dvd Calendar'!$M$2584)&gt;0)*1000000+32*1000+9))</f>
        <v/>
      </c>
      <c r="L188" s="41">
        <f>IF(N('Dvd Calendar'!$N$2585)=0,"",IF(('Dvd Calendar'!$N$2585&gt;=MIN(DATE(Summary!$C$12,1,1),Summary!$C$11))*('Dvd Calendar'!$N$2585&lt;=MAX(DATE(Summary!$C$12,12,31),Summary!$C$15))*('Dvd Calendar'!$N$2585&lt;=Summary!$C$11)=0,"",'Dvd Calendar'!$N$2585*1000000000+ISNUMBER('Dvd Calendar'!$N$2586)*100000000+('Dvd Calendar'!$N$2590='Field Check'!$C$25)*10000000+(N('Dvd Calendar'!$N$2584)&gt;0)*1000000+32*1000+10))</f>
        <v/>
      </c>
      <c r="M188" s="41">
        <f>IF(N('Dvd Calendar'!$O$2585)=0,"",IF(('Dvd Calendar'!$O$2585&gt;=MIN(DATE(Summary!$C$12,1,1),Summary!$C$11))*('Dvd Calendar'!$O$2585&lt;=MAX(DATE(Summary!$C$12,12,31),Summary!$C$15))*('Dvd Calendar'!$O$2585&lt;=Summary!$C$11)=0,"",'Dvd Calendar'!$O$2585*1000000000+ISNUMBER('Dvd Calendar'!$O$2586)*100000000+('Dvd Calendar'!$O$2590='Field Check'!$C$25)*10000000+(N('Dvd Calendar'!$O$2584)&gt;0)*1000000+32*1000+11))</f>
        <v/>
      </c>
      <c r="N188" s="41">
        <f>IF(N('Dvd Calendar'!$P$2585)=0,"",IF(('Dvd Calendar'!$P$2585&gt;=MIN(DATE(Summary!$C$12,1,1),Summary!$C$11))*('Dvd Calendar'!$P$2585&lt;=MAX(DATE(Summary!$C$12,12,31),Summary!$C$15))*('Dvd Calendar'!$P$2585&lt;=Summary!$C$11)=0,"",'Dvd Calendar'!$P$2585*1000000000+ISNUMBER('Dvd Calendar'!$P$2586)*100000000+('Dvd Calendar'!$P$2590='Field Check'!$C$25)*10000000+(N('Dvd Calendar'!$P$2584)&gt;0)*1000000+32*1000+12))</f>
        <v/>
      </c>
      <c r="O188" s="41">
        <f>IF(N('Dvd Calendar'!$Q$2585)=0,"",IF(('Dvd Calendar'!$Q$2585&gt;=MIN(DATE(Summary!$C$12,1,1),Summary!$C$11))*('Dvd Calendar'!$Q$2585&lt;=MAX(DATE(Summary!$C$12,12,31),Summary!$C$15))*('Dvd Calendar'!$Q$2585&lt;=Summary!$C$11)=0,"",'Dvd Calendar'!$Q$2585*1000000000+ISNUMBER('Dvd Calendar'!$Q$2586)*100000000+('Dvd Calendar'!$Q$2590='Field Check'!$C$25)*10000000+(N('Dvd Calendar'!$Q$2584)&gt;0)*1000000+32*1000+13))</f>
        <v/>
      </c>
      <c r="P188" s="41">
        <f>IF(N('Dvd Calendar'!$R$2585)=0,"",IF(('Dvd Calendar'!$R$2585&gt;=MIN(DATE(Summary!$C$12,1,1),Summary!$C$11))*('Dvd Calendar'!$R$2585&lt;=MAX(DATE(Summary!$C$12,12,31),Summary!$C$15))*('Dvd Calendar'!$R$2585&lt;=Summary!$C$11)=0,"",'Dvd Calendar'!$R$2585*1000000000+ISNUMBER('Dvd Calendar'!$R$2586)*100000000+('Dvd Calendar'!$R$2590='Field Check'!$C$25)*10000000+(N('Dvd Calendar'!$R$2584)&gt;0)*1000000+32*1000+14))</f>
        <v/>
      </c>
      <c r="Q188" s="41">
        <f>IF(N('Dvd Calendar'!$S$2585)=0,"",IF(('Dvd Calendar'!$S$2585&gt;=MIN(DATE(Summary!$C$12,1,1),Summary!$C$11))*('Dvd Calendar'!$S$2585&lt;=MAX(DATE(Summary!$C$12,12,31),Summary!$C$15))*('Dvd Calendar'!$S$2585&lt;=Summary!$C$11)=0,"",'Dvd Calendar'!$S$2585*1000000000+ISNUMBER('Dvd Calendar'!$S$2586)*100000000+('Dvd Calendar'!$S$2590='Field Check'!$C$25)*10000000+(N('Dvd Calendar'!$S$2584)&gt;0)*1000000+32*1000+15))</f>
        <v/>
      </c>
      <c r="R188" s="41">
        <f>IF(N('Dvd Calendar'!$T$2585)=0,"",IF(('Dvd Calendar'!$T$2585&gt;=MIN(DATE(Summary!$C$12,1,1),Summary!$C$11))*('Dvd Calendar'!$T$2585&lt;=MAX(DATE(Summary!$C$12,12,31),Summary!$C$15))*('Dvd Calendar'!$T$2585&lt;=Summary!$C$11)=0,"",'Dvd Calendar'!$T$2585*1000000000+ISNUMBER('Dvd Calendar'!$T$2586)*100000000+('Dvd Calendar'!$T$2590='Field Check'!$C$25)*10000000+(N('Dvd Calendar'!$T$2584)&gt;0)*1000000+32*1000+16))</f>
        <v/>
      </c>
      <c r="S188" s="41">
        <f>IF(N('Dvd Calendar'!$U$2585)=0,"",IF(('Dvd Calendar'!$U$2585&gt;=MIN(DATE(Summary!$C$12,1,1),Summary!$C$11))*('Dvd Calendar'!$U$2585&lt;=MAX(DATE(Summary!$C$12,12,31),Summary!$C$15))*('Dvd Calendar'!$U$2585&lt;=Summary!$C$11)=0,"",'Dvd Calendar'!$U$2585*1000000000+ISNUMBER('Dvd Calendar'!$U$2586)*100000000+('Dvd Calendar'!$U$2590='Field Check'!$C$25)*10000000+(N('Dvd Calendar'!$U$2584)&gt;0)*1000000+32*1000+17))</f>
        <v/>
      </c>
      <c r="T188" s="41">
        <f>IF(N('Dvd Calendar'!$V$2585)=0,"",IF(('Dvd Calendar'!$V$2585&gt;=MIN(DATE(Summary!$C$12,1,1),Summary!$C$11))*('Dvd Calendar'!$V$2585&lt;=MAX(DATE(Summary!$C$12,12,31),Summary!$C$15))*('Dvd Calendar'!$V$2585&lt;=Summary!$C$11)=0,"",'Dvd Calendar'!$V$2585*1000000000+ISNUMBER('Dvd Calendar'!$V$2586)*100000000+('Dvd Calendar'!$V$2590='Field Check'!$C$25)*10000000+(N('Dvd Calendar'!$V$2584)&gt;0)*1000000+32*1000+18))</f>
        <v/>
      </c>
      <c r="U188" s="41">
        <f>IF(N('Dvd Calendar'!$W$2585)=0,"",IF(('Dvd Calendar'!$W$2585&gt;=MIN(DATE(Summary!$C$12,1,1),Summary!$C$11))*('Dvd Calendar'!$W$2585&lt;=MAX(DATE(Summary!$C$12,12,31),Summary!$C$15))*('Dvd Calendar'!$W$2585&lt;=Summary!$C$11)=0,"",'Dvd Calendar'!$W$2585*1000000000+ISNUMBER('Dvd Calendar'!$W$2586)*100000000+('Dvd Calendar'!$W$2590='Field Check'!$C$25)*10000000+(N('Dvd Calendar'!$W$2584)&gt;0)*1000000+32*1000+19))</f>
        <v/>
      </c>
      <c r="V188" s="41">
        <f>IF(N('Dvd Calendar'!$X$2585)=0,"",IF(('Dvd Calendar'!$X$2585&gt;=MIN(DATE(Summary!$C$12,1,1),Summary!$C$11))*('Dvd Calendar'!$X$2585&lt;=MAX(DATE(Summary!$C$12,12,31),Summary!$C$15))*('Dvd Calendar'!$X$2585&lt;=Summary!$C$11)=0,"",'Dvd Calendar'!$X$2585*1000000000+ISNUMBER('Dvd Calendar'!$X$2586)*100000000+('Dvd Calendar'!$X$2590='Field Check'!$C$25)*10000000+(N('Dvd Calendar'!$X$2584)&gt;0)*1000000+32*1000+20))</f>
        <v/>
      </c>
      <c r="W188" s="41">
        <f>IF(N('Dvd Calendar'!$Y$2585)=0,"",IF(('Dvd Calendar'!$Y$2585&gt;=MIN(DATE(Summary!$C$12,1,1),Summary!$C$11))*('Dvd Calendar'!$Y$2585&lt;=MAX(DATE(Summary!$C$12,12,31),Summary!$C$15))*('Dvd Calendar'!$Y$2585&lt;=Summary!$C$11)=0,"",'Dvd Calendar'!$Y$2585*1000000000+ISNUMBER('Dvd Calendar'!$Y$2586)*100000000+('Dvd Calendar'!$Y$2590='Field Check'!$C$25)*10000000+(N('Dvd Calendar'!$Y$2584)&gt;0)*1000000+32*1000+21))</f>
        <v/>
      </c>
      <c r="X188" s="41">
        <f>IF(N('Dvd Calendar'!$Z$2585)=0,"",IF(('Dvd Calendar'!$Z$2585&gt;=MIN(DATE(Summary!$C$12,1,1),Summary!$C$11))*('Dvd Calendar'!$Z$2585&lt;=MAX(DATE(Summary!$C$12,12,31),Summary!$C$15))*('Dvd Calendar'!$Z$2585&lt;=Summary!$C$11)=0,"",'Dvd Calendar'!$Z$2585*1000000000+ISNUMBER('Dvd Calendar'!$Z$2586)*100000000+('Dvd Calendar'!$Z$2590='Field Check'!$C$25)*10000000+(N('Dvd Calendar'!$Z$2584)&gt;0)*1000000+32*1000+22))</f>
        <v/>
      </c>
      <c r="Y188" s="41">
        <f>IF(N('Dvd Calendar'!$AA$2585)=0,"",IF(('Dvd Calendar'!$AA$2585&gt;=MIN(DATE(Summary!$C$12,1,1),Summary!$C$11))*('Dvd Calendar'!$AA$2585&lt;=MAX(DATE(Summary!$C$12,12,31),Summary!$C$15))*('Dvd Calendar'!$AA$2585&lt;=Summary!$C$11)=0,"",'Dvd Calendar'!$AA$2585*1000000000+ISNUMBER('Dvd Calendar'!$AA$2586)*100000000+('Dvd Calendar'!$AA$2590='Field Check'!$C$25)*10000000+(N('Dvd Calendar'!$AA$2584)&gt;0)*1000000+32*1000+23))</f>
        <v/>
      </c>
      <c r="Z188" s="41">
        <f>IF(N('Dvd Calendar'!$AB$2585)=0,"",IF(('Dvd Calendar'!$AB$2585&gt;=MIN(DATE(Summary!$C$12,1,1),Summary!$C$11))*('Dvd Calendar'!$AB$2585&lt;=MAX(DATE(Summary!$C$12,12,31),Summary!$C$15))*('Dvd Calendar'!$AB$2585&lt;=Summary!$C$11)=0,"",'Dvd Calendar'!$AB$2585*1000000000+ISNUMBER('Dvd Calendar'!$AB$2586)*100000000+('Dvd Calendar'!$AB$2590='Field Check'!$C$25)*10000000+(N('Dvd Calendar'!$AB$2584)&gt;0)*1000000+32*1000+24))</f>
        <v/>
      </c>
      <c r="AA188" s="41">
        <f>IF(N('Dvd Calendar'!$AC$2585)=0,"",IF(('Dvd Calendar'!$AC$2585&gt;=MIN(DATE(Summary!$C$12,1,1),Summary!$C$11))*('Dvd Calendar'!$AC$2585&lt;=MAX(DATE(Summary!$C$12,12,31),Summary!$C$15))*('Dvd Calendar'!$AC$2585&lt;=Summary!$C$11)=0,"",'Dvd Calendar'!$AC$2585*1000000000+ISNUMBER('Dvd Calendar'!$AC$2586)*100000000+('Dvd Calendar'!$AC$2590='Field Check'!$C$25)*10000000+(N('Dvd Calendar'!$AC$2584)&gt;0)*1000000+32*1000+25))</f>
        <v/>
      </c>
      <c r="AB188" s="41">
        <f>IF(N('Dvd Calendar'!$AD$2585)=0,"",IF(('Dvd Calendar'!$AD$2585&gt;=MIN(DATE(Summary!$C$12,1,1),Summary!$C$11))*('Dvd Calendar'!$AD$2585&lt;=MAX(DATE(Summary!$C$12,12,31),Summary!$C$15))*('Dvd Calendar'!$AD$2585&lt;=Summary!$C$11)=0,"",'Dvd Calendar'!$AD$2585*1000000000+ISNUMBER('Dvd Calendar'!$AD$2586)*100000000+('Dvd Calendar'!$AD$2590='Field Check'!$C$25)*10000000+(N('Dvd Calendar'!$AD$2584)&gt;0)*1000000+32*1000+26))</f>
        <v/>
      </c>
      <c r="AC188" s="41">
        <f>IF(N('Dvd Calendar'!$AE$2585)=0,"",IF(('Dvd Calendar'!$AE$2585&gt;=MIN(DATE(Summary!$C$12,1,1),Summary!$C$11))*('Dvd Calendar'!$AE$2585&lt;=MAX(DATE(Summary!$C$12,12,31),Summary!$C$15))*('Dvd Calendar'!$AE$2585&lt;=Summary!$C$11)=0,"",'Dvd Calendar'!$AE$2585*1000000000+ISNUMBER('Dvd Calendar'!$AE$2586)*100000000+('Dvd Calendar'!$AE$2590='Field Check'!$C$25)*10000000+(N('Dvd Calendar'!$AE$2584)&gt;0)*1000000+32*1000+27))</f>
        <v/>
      </c>
      <c r="AD188" s="41">
        <f>IF(N('Dvd Calendar'!$AF$2585)=0,"",IF(('Dvd Calendar'!$AF$2585&gt;=MIN(DATE(Summary!$C$12,1,1),Summary!$C$11))*('Dvd Calendar'!$AF$2585&lt;=MAX(DATE(Summary!$C$12,12,31),Summary!$C$15))*('Dvd Calendar'!$AF$2585&lt;=Summary!$C$11)=0,"",'Dvd Calendar'!$AF$2585*1000000000+ISNUMBER('Dvd Calendar'!$AF$2586)*100000000+('Dvd Calendar'!$AF$2590='Field Check'!$C$25)*10000000+(N('Dvd Calendar'!$AF$2584)&gt;0)*1000000+32*1000+28))</f>
        <v/>
      </c>
      <c r="AE188" s="41">
        <f>IF(N('Dvd Calendar'!$AG$2585)=0,"",IF(('Dvd Calendar'!$AG$2585&gt;=MIN(DATE(Summary!$C$12,1,1),Summary!$C$11))*('Dvd Calendar'!$AG$2585&lt;=MAX(DATE(Summary!$C$12,12,31),Summary!$C$15))*('Dvd Calendar'!$AG$2585&lt;=Summary!$C$11)=0,"",'Dvd Calendar'!$AG$2585*1000000000+ISNUMBER('Dvd Calendar'!$AG$2586)*100000000+('Dvd Calendar'!$AG$2590='Field Check'!$C$25)*10000000+(N('Dvd Calendar'!$AG$2584)&gt;0)*1000000+32*1000+29))</f>
        <v/>
      </c>
      <c r="AF188" s="41">
        <f>IF(N('Dvd Calendar'!$AH$2585)=0,"",IF(('Dvd Calendar'!$AH$2585&gt;=MIN(DATE(Summary!$C$12,1,1),Summary!$C$11))*('Dvd Calendar'!$AH$2585&lt;=MAX(DATE(Summary!$C$12,12,31),Summary!$C$15))*('Dvd Calendar'!$AH$2585&lt;=Summary!$C$11)=0,"",'Dvd Calendar'!$AH$2585*1000000000+ISNUMBER('Dvd Calendar'!$AH$2586)*100000000+('Dvd Calendar'!$AH$2590='Field Check'!$C$25)*10000000+(N('Dvd Calendar'!$AH$2584)&gt;0)*1000000+32*1000+30))</f>
        <v/>
      </c>
      <c r="AG188" s="41">
        <f>IF(N('Dvd Calendar'!$AI$2585)=0,"",IF(('Dvd Calendar'!$AI$2585&gt;=MIN(DATE(Summary!$C$12,1,1),Summary!$C$11))*('Dvd Calendar'!$AI$2585&lt;=MAX(DATE(Summary!$C$12,12,31),Summary!$C$15))*('Dvd Calendar'!$AI$2585&lt;=Summary!$C$11)=0,"",'Dvd Calendar'!$AI$2585*1000000000+ISNUMBER('Dvd Calendar'!$AI$2586)*100000000+('Dvd Calendar'!$AI$2590='Field Check'!$C$25)*10000000+(N('Dvd Calendar'!$AI$2584)&gt;0)*1000000+32*1000+31))</f>
        <v/>
      </c>
      <c r="AH188" s="41">
        <f>IF(N('Dvd Calendar'!$AJ$2585)=0,"",IF(('Dvd Calendar'!$AJ$2585&gt;=MIN(DATE(Summary!$C$12,1,1),Summary!$C$11))*('Dvd Calendar'!$AJ$2585&lt;=MAX(DATE(Summary!$C$12,12,31),Summary!$C$15))*('Dvd Calendar'!$AJ$2585&lt;=Summary!$C$11)=0,"",'Dvd Calendar'!$AJ$2585*1000000000+ISNUMBER('Dvd Calendar'!$AJ$2586)*100000000+('Dvd Calendar'!$AJ$2590='Field Check'!$C$25)*10000000+(N('Dvd Calendar'!$AJ$2584)&gt;0)*1000000+32*1000+32))</f>
        <v/>
      </c>
      <c r="AI188" s="41">
        <f>IF(N('Dvd Calendar'!$AK$2585)=0,"",IF(('Dvd Calendar'!$AK$2585&gt;=MIN(DATE(Summary!$C$12,1,1),Summary!$C$11))*('Dvd Calendar'!$AK$2585&lt;=MAX(DATE(Summary!$C$12,12,31),Summary!$C$15))*('Dvd Calendar'!$AK$2585&lt;=Summary!$C$11)=0,"",'Dvd Calendar'!$AK$2585*1000000000+ISNUMBER('Dvd Calendar'!$AK$2586)*100000000+('Dvd Calendar'!$AK$2590='Field Check'!$C$25)*10000000+(N('Dvd Calendar'!$AK$2584)&gt;0)*1000000+32*1000+33))</f>
        <v/>
      </c>
      <c r="AJ188" s="41">
        <f>IF(N('Dvd Calendar'!$AL$2585)=0,"",IF(('Dvd Calendar'!$AL$2585&gt;=MIN(DATE(Summary!$C$12,1,1),Summary!$C$11))*('Dvd Calendar'!$AL$2585&lt;=MAX(DATE(Summary!$C$12,12,31),Summary!$C$15))*('Dvd Calendar'!$AL$2585&lt;=Summary!$C$11)=0,"",'Dvd Calendar'!$AL$2585*1000000000+ISNUMBER('Dvd Calendar'!$AL$2586)*100000000+('Dvd Calendar'!$AL$2590='Field Check'!$C$25)*10000000+(N('Dvd Calendar'!$AL$2584)&gt;0)*1000000+32*1000+34))</f>
        <v/>
      </c>
      <c r="AK188" s="41">
        <f>IF(N('Dvd Calendar'!$AM$2585)=0,"",IF(('Dvd Calendar'!$AM$2585&gt;=MIN(DATE(Summary!$C$12,1,1),Summary!$C$11))*('Dvd Calendar'!$AM$2585&lt;=MAX(DATE(Summary!$C$12,12,31),Summary!$C$15))*('Dvd Calendar'!$AM$2585&lt;=Summary!$C$11)=0,"",'Dvd Calendar'!$AM$2585*1000000000+ISNUMBER('Dvd Calendar'!$AM$2586)*100000000+('Dvd Calendar'!$AM$2590='Field Check'!$C$25)*10000000+(N('Dvd Calendar'!$AM$2584)&gt;0)*1000000+32*1000+35))</f>
        <v/>
      </c>
      <c r="AL188" s="41">
        <f>IF(N('Dvd Calendar'!$AN$2585)=0,"",IF(('Dvd Calendar'!$AN$2585&gt;=MIN(DATE(Summary!$C$12,1,1),Summary!$C$11))*('Dvd Calendar'!$AN$2585&lt;=MAX(DATE(Summary!$C$12,12,31),Summary!$C$15))*('Dvd Calendar'!$AN$2585&lt;=Summary!$C$11)=0,"",'Dvd Calendar'!$AN$2585*1000000000+ISNUMBER('Dvd Calendar'!$AN$2586)*100000000+('Dvd Calendar'!$AN$2590='Field Check'!$C$25)*10000000+(N('Dvd Calendar'!$AN$2584)&gt;0)*1000000+32*1000+36))</f>
        <v/>
      </c>
      <c r="AM188" s="41">
        <f>IF(N('Dvd Calendar'!$AO$2585)=0,"",IF(('Dvd Calendar'!$AO$2585&gt;=MIN(DATE(Summary!$C$12,1,1),Summary!$C$11))*('Dvd Calendar'!$AO$2585&lt;=MAX(DATE(Summary!$C$12,12,31),Summary!$C$15))*('Dvd Calendar'!$AO$2585&lt;=Summary!$C$11)=0,"",'Dvd Calendar'!$AO$2585*1000000000+ISNUMBER('Dvd Calendar'!$AO$2586)*100000000+('Dvd Calendar'!$AO$2590='Field Check'!$C$25)*10000000+(N('Dvd Calendar'!$AO$2584)&gt;0)*1000000+32*1000+37))</f>
        <v/>
      </c>
      <c r="AN188" s="41">
        <f>IF(N('Dvd Calendar'!$AP$2585)=0,"",IF(('Dvd Calendar'!$AP$2585&gt;=MIN(DATE(Summary!$C$12,1,1),Summary!$C$11))*('Dvd Calendar'!$AP$2585&lt;=MAX(DATE(Summary!$C$12,12,31),Summary!$C$15))*('Dvd Calendar'!$AP$2585&lt;=Summary!$C$11)=0,"",'Dvd Calendar'!$AP$2585*1000000000+ISNUMBER('Dvd Calendar'!$AP$2586)*100000000+('Dvd Calendar'!$AP$2590='Field Check'!$C$25)*10000000+(N('Dvd Calendar'!$AP$2584)&gt;0)*1000000+32*1000+38))</f>
        <v/>
      </c>
      <c r="AO188" s="41">
        <f>IF(N('Dvd Calendar'!$AQ$2585)=0,"",IF(('Dvd Calendar'!$AQ$2585&gt;=MIN(DATE(Summary!$C$12,1,1),Summary!$C$11))*('Dvd Calendar'!$AQ$2585&lt;=MAX(DATE(Summary!$C$12,12,31),Summary!$C$15))*('Dvd Calendar'!$AQ$2585&lt;=Summary!$C$11)=0,"",'Dvd Calendar'!$AQ$2585*1000000000+ISNUMBER('Dvd Calendar'!$AQ$2586)*100000000+('Dvd Calendar'!$AQ$2590='Field Check'!$C$25)*10000000+(N('Dvd Calendar'!$AQ$2584)&gt;0)*1000000+32*1000+39))</f>
        <v/>
      </c>
      <c r="AP188" s="41">
        <f>IF(N('Dvd Calendar'!$AR$2585)=0,"",IF(('Dvd Calendar'!$AR$2585&gt;=MIN(DATE(Summary!$C$12,1,1),Summary!$C$11))*('Dvd Calendar'!$AR$2585&lt;=MAX(DATE(Summary!$C$12,12,31),Summary!$C$15))*('Dvd Calendar'!$AR$2585&lt;=Summary!$C$11)=0,"",'Dvd Calendar'!$AR$2585*1000000000+ISNUMBER('Dvd Calendar'!$AR$2586)*100000000+('Dvd Calendar'!$AR$2590='Field Check'!$C$25)*10000000+(N('Dvd Calendar'!$AR$2584)&gt;0)*1000000+32*1000+40))</f>
        <v/>
      </c>
      <c r="AQ188" s="41">
        <f>IF(N('Dvd Calendar'!$E$2592)=0,"",IF(('Dvd Calendar'!$E$2592&gt;=MIN(DATE(Summary!$C$12,1,1),Summary!$C$11))*('Dvd Calendar'!$E$2592&lt;=MAX(DATE(Summary!$C$12,12,31),Summary!$C$15))*('Dvd Calendar'!$E$2592&gt;Summary!$C$11)=0,"",'Dvd Calendar'!$E$2592*1000000000+ISNUMBER('Dvd Calendar'!$E$2593)*100000000+('Dvd Calendar'!$E$2597='Field Check'!$C$25)*10000000+(N('Dvd Calendar'!$E$2591)&gt;0)*1000000+32*1000+41))</f>
        <v/>
      </c>
      <c r="AR188" s="41">
        <f>IF(N('Dvd Calendar'!$F$2592)=0,"",IF(('Dvd Calendar'!$F$2592&gt;=MIN(DATE(Summary!$C$12,1,1),Summary!$C$11))*('Dvd Calendar'!$F$2592&lt;=MAX(DATE(Summary!$C$12,12,31),Summary!$C$15))*('Dvd Calendar'!$F$2592&gt;Summary!$C$11)=0,"",'Dvd Calendar'!$F$2592*1000000000+ISNUMBER('Dvd Calendar'!$F$2593)*100000000+('Dvd Calendar'!$F$2597='Field Check'!$C$25)*10000000+(N('Dvd Calendar'!$F$2591)&gt;0)*1000000+32*1000+42))</f>
        <v/>
      </c>
      <c r="AS188" s="41">
        <f>IF(N('Dvd Calendar'!$G$2592)=0,"",IF(('Dvd Calendar'!$G$2592&gt;=MIN(DATE(Summary!$C$12,1,1),Summary!$C$11))*('Dvd Calendar'!$G$2592&lt;=MAX(DATE(Summary!$C$12,12,31),Summary!$C$15))*('Dvd Calendar'!$G$2592&gt;Summary!$C$11)=0,"",'Dvd Calendar'!$G$2592*1000000000+ISNUMBER('Dvd Calendar'!$G$2593)*100000000+('Dvd Calendar'!$G$2597='Field Check'!$C$25)*10000000+(N('Dvd Calendar'!$G$2591)&gt;0)*1000000+32*1000+43))</f>
        <v/>
      </c>
      <c r="AT188" s="41">
        <f>IF(N('Dvd Calendar'!$H$2592)=0,"",IF(('Dvd Calendar'!$H$2592&gt;=MIN(DATE(Summary!$C$12,1,1),Summary!$C$11))*('Dvd Calendar'!$H$2592&lt;=MAX(DATE(Summary!$C$12,12,31),Summary!$C$15))*('Dvd Calendar'!$H$2592&gt;Summary!$C$11)=0,"",'Dvd Calendar'!$H$2592*1000000000+ISNUMBER('Dvd Calendar'!$H$2593)*100000000+('Dvd Calendar'!$H$2597='Field Check'!$C$25)*10000000+(N('Dvd Calendar'!$H$2591)&gt;0)*1000000+32*1000+44))</f>
        <v/>
      </c>
      <c r="AU188" s="41">
        <f>IF(N('Dvd Calendar'!$I$2592)=0,"",IF(('Dvd Calendar'!$I$2592&gt;=MIN(DATE(Summary!$C$12,1,1),Summary!$C$11))*('Dvd Calendar'!$I$2592&lt;=MAX(DATE(Summary!$C$12,12,31),Summary!$C$15))*('Dvd Calendar'!$I$2592&gt;Summary!$C$11)=0,"",'Dvd Calendar'!$I$2592*1000000000+ISNUMBER('Dvd Calendar'!$I$2593)*100000000+('Dvd Calendar'!$I$2597='Field Check'!$C$25)*10000000+(N('Dvd Calendar'!$I$2591)&gt;0)*1000000+32*1000+45))</f>
        <v/>
      </c>
      <c r="AV188" s="41">
        <f>IF(N('Dvd Calendar'!$J$2592)=0,"",IF(('Dvd Calendar'!$J$2592&gt;=MIN(DATE(Summary!$C$12,1,1),Summary!$C$11))*('Dvd Calendar'!$J$2592&lt;=MAX(DATE(Summary!$C$12,12,31),Summary!$C$15))*('Dvd Calendar'!$J$2592&gt;Summary!$C$11)=0,"",'Dvd Calendar'!$J$2592*1000000000+ISNUMBER('Dvd Calendar'!$J$2593)*100000000+('Dvd Calendar'!$J$2597='Field Check'!$C$25)*10000000+(N('Dvd Calendar'!$J$2591)&gt;0)*1000000+32*1000+46))</f>
        <v/>
      </c>
      <c r="AW188" s="41">
        <f>IF(N('Dvd Calendar'!$K$2592)=0,"",IF(('Dvd Calendar'!$K$2592&gt;=MIN(DATE(Summary!$C$12,1,1),Summary!$C$11))*('Dvd Calendar'!$K$2592&lt;=MAX(DATE(Summary!$C$12,12,31),Summary!$C$15))*('Dvd Calendar'!$K$2592&gt;Summary!$C$11)=0,"",'Dvd Calendar'!$K$2592*1000000000+ISNUMBER('Dvd Calendar'!$K$2593)*100000000+('Dvd Calendar'!$K$2597='Field Check'!$C$25)*10000000+(N('Dvd Calendar'!$K$2591)&gt;0)*1000000+32*1000+47))</f>
        <v/>
      </c>
      <c r="AX188" s="41">
        <f>IF(N('Dvd Calendar'!$L$2592)=0,"",IF(('Dvd Calendar'!$L$2592&gt;=MIN(DATE(Summary!$C$12,1,1),Summary!$C$11))*('Dvd Calendar'!$L$2592&lt;=MAX(DATE(Summary!$C$12,12,31),Summary!$C$15))*('Dvd Calendar'!$L$2592&gt;Summary!$C$11)=0,"",'Dvd Calendar'!$L$2592*1000000000+ISNUMBER('Dvd Calendar'!$L$2593)*100000000+('Dvd Calendar'!$L$2597='Field Check'!$C$25)*10000000+(N('Dvd Calendar'!$L$2591)&gt;0)*1000000+32*1000+48))</f>
        <v/>
      </c>
      <c r="AY188" s="41">
        <f>IF(N('Dvd Calendar'!$M$2592)=0,"",IF(('Dvd Calendar'!$M$2592&gt;=MIN(DATE(Summary!$C$12,1,1),Summary!$C$11))*('Dvd Calendar'!$M$2592&lt;=MAX(DATE(Summary!$C$12,12,31),Summary!$C$15))*('Dvd Calendar'!$M$2592&gt;Summary!$C$11)=0,"",'Dvd Calendar'!$M$2592*1000000000+ISNUMBER('Dvd Calendar'!$M$2593)*100000000+('Dvd Calendar'!$M$2597='Field Check'!$C$25)*10000000+(N('Dvd Calendar'!$M$2591)&gt;0)*1000000+32*1000+49))</f>
        <v/>
      </c>
      <c r="AZ188" s="41">
        <f>IF(N('Dvd Calendar'!$N$2592)=0,"",IF(('Dvd Calendar'!$N$2592&gt;=MIN(DATE(Summary!$C$12,1,1),Summary!$C$11))*('Dvd Calendar'!$N$2592&lt;=MAX(DATE(Summary!$C$12,12,31),Summary!$C$15))*('Dvd Calendar'!$N$2592&gt;Summary!$C$11)=0,"",'Dvd Calendar'!$N$2592*1000000000+ISNUMBER('Dvd Calendar'!$N$2593)*100000000+('Dvd Calendar'!$N$2597='Field Check'!$C$25)*10000000+(N('Dvd Calendar'!$N$2591)&gt;0)*1000000+32*1000+50))</f>
        <v/>
      </c>
      <c r="BA188" s="41">
        <f>IF(N('Dvd Calendar'!$O$2592)=0,"",IF(('Dvd Calendar'!$O$2592&gt;=MIN(DATE(Summary!$C$12,1,1),Summary!$C$11))*('Dvd Calendar'!$O$2592&lt;=MAX(DATE(Summary!$C$12,12,31),Summary!$C$15))*('Dvd Calendar'!$O$2592&gt;Summary!$C$11)=0,"",'Dvd Calendar'!$O$2592*1000000000+ISNUMBER('Dvd Calendar'!$O$2593)*100000000+('Dvd Calendar'!$O$2597='Field Check'!$C$25)*10000000+(N('Dvd Calendar'!$O$2591)&gt;0)*1000000+32*1000+51))</f>
        <v/>
      </c>
      <c r="BB188" s="41">
        <f>IF(N('Dvd Calendar'!$P$2592)=0,"",IF(('Dvd Calendar'!$P$2592&gt;=MIN(DATE(Summary!$C$12,1,1),Summary!$C$11))*('Dvd Calendar'!$P$2592&lt;=MAX(DATE(Summary!$C$12,12,31),Summary!$C$15))*('Dvd Calendar'!$P$2592&gt;Summary!$C$11)=0,"",'Dvd Calendar'!$P$2592*1000000000+ISNUMBER('Dvd Calendar'!$P$2593)*100000000+('Dvd Calendar'!$P$2597='Field Check'!$C$25)*10000000+(N('Dvd Calendar'!$P$2591)&gt;0)*1000000+32*1000+52))</f>
        <v/>
      </c>
      <c r="BC188" s="41">
        <f>IF(N('Dvd Calendar'!$Q$2592)=0,"",IF(('Dvd Calendar'!$Q$2592&gt;=MIN(DATE(Summary!$C$12,1,1),Summary!$C$11))*('Dvd Calendar'!$Q$2592&lt;=MAX(DATE(Summary!$C$12,12,31),Summary!$C$15))*('Dvd Calendar'!$Q$2592&gt;Summary!$C$11)=0,"",'Dvd Calendar'!$Q$2592*1000000000+ISNUMBER('Dvd Calendar'!$Q$2593)*100000000+('Dvd Calendar'!$Q$2597='Field Check'!$C$25)*10000000+(N('Dvd Calendar'!$Q$2591)&gt;0)*1000000+32*1000+53))</f>
        <v/>
      </c>
      <c r="BD188" s="41">
        <f>IF(N('Dvd Calendar'!$R$2592)=0,"",IF(('Dvd Calendar'!$R$2592&gt;=MIN(DATE(Summary!$C$12,1,1),Summary!$C$11))*('Dvd Calendar'!$R$2592&lt;=MAX(DATE(Summary!$C$12,12,31),Summary!$C$15))*('Dvd Calendar'!$R$2592&gt;Summary!$C$11)=0,"",'Dvd Calendar'!$R$2592*1000000000+ISNUMBER('Dvd Calendar'!$R$2593)*100000000+('Dvd Calendar'!$R$2597='Field Check'!$C$25)*10000000+(N('Dvd Calendar'!$R$2591)&gt;0)*1000000+32*1000+54))</f>
        <v/>
      </c>
      <c r="BE188" s="41">
        <f>IF(N('Dvd Calendar'!$S$2592)=0,"",IF(('Dvd Calendar'!$S$2592&gt;=MIN(DATE(Summary!$C$12,1,1),Summary!$C$11))*('Dvd Calendar'!$S$2592&lt;=MAX(DATE(Summary!$C$12,12,31),Summary!$C$15))*('Dvd Calendar'!$S$2592&gt;Summary!$C$11)=0,"",'Dvd Calendar'!$S$2592*1000000000+ISNUMBER('Dvd Calendar'!$S$2593)*100000000+('Dvd Calendar'!$S$2597='Field Check'!$C$25)*10000000+(N('Dvd Calendar'!$S$2591)&gt;0)*1000000+32*1000+55))</f>
        <v/>
      </c>
      <c r="BF188" s="41">
        <f>IF(N('Dvd Calendar'!$T$2592)=0,"",IF(('Dvd Calendar'!$T$2592&gt;=MIN(DATE(Summary!$C$12,1,1),Summary!$C$11))*('Dvd Calendar'!$T$2592&lt;=MAX(DATE(Summary!$C$12,12,31),Summary!$C$15))*('Dvd Calendar'!$T$2592&gt;Summary!$C$11)=0,"",'Dvd Calendar'!$T$2592*1000000000+ISNUMBER('Dvd Calendar'!$T$2593)*100000000+('Dvd Calendar'!$T$2597='Field Check'!$C$25)*10000000+(N('Dvd Calendar'!$T$2591)&gt;0)*1000000+32*1000+56))</f>
        <v/>
      </c>
      <c r="BG188" s="41">
        <f>IF(N('Dvd Calendar'!$U$2592)=0,"",IF(('Dvd Calendar'!$U$2592&gt;=MIN(DATE(Summary!$C$12,1,1),Summary!$C$11))*('Dvd Calendar'!$U$2592&lt;=MAX(DATE(Summary!$C$12,12,31),Summary!$C$15))*('Dvd Calendar'!$U$2592&gt;Summary!$C$11)=0,"",'Dvd Calendar'!$U$2592*1000000000+ISNUMBER('Dvd Calendar'!$U$2593)*100000000+('Dvd Calendar'!$U$2597='Field Check'!$C$25)*10000000+(N('Dvd Calendar'!$U$2591)&gt;0)*1000000+32*1000+57))</f>
        <v/>
      </c>
      <c r="BH188" s="41">
        <f>IF(N('Dvd Calendar'!$V$2592)=0,"",IF(('Dvd Calendar'!$V$2592&gt;=MIN(DATE(Summary!$C$12,1,1),Summary!$C$11))*('Dvd Calendar'!$V$2592&lt;=MAX(DATE(Summary!$C$12,12,31),Summary!$C$15))*('Dvd Calendar'!$V$2592&gt;Summary!$C$11)=0,"",'Dvd Calendar'!$V$2592*1000000000+ISNUMBER('Dvd Calendar'!$V$2593)*100000000+('Dvd Calendar'!$V$2597='Field Check'!$C$25)*10000000+(N('Dvd Calendar'!$V$2591)&gt;0)*1000000+32*1000+58))</f>
        <v/>
      </c>
      <c r="BI188" s="41">
        <f>IF(N('Dvd Calendar'!$W$2592)=0,"",IF(('Dvd Calendar'!$W$2592&gt;=MIN(DATE(Summary!$C$12,1,1),Summary!$C$11))*('Dvd Calendar'!$W$2592&lt;=MAX(DATE(Summary!$C$12,12,31),Summary!$C$15))*('Dvd Calendar'!$W$2592&gt;Summary!$C$11)=0,"",'Dvd Calendar'!$W$2592*1000000000+ISNUMBER('Dvd Calendar'!$W$2593)*100000000+('Dvd Calendar'!$W$2597='Field Check'!$C$25)*10000000+(N('Dvd Calendar'!$W$2591)&gt;0)*1000000+32*1000+59))</f>
        <v/>
      </c>
      <c r="BJ188" s="41">
        <f>IF(N('Dvd Calendar'!$X$2592)=0,"",IF(('Dvd Calendar'!$X$2592&gt;=MIN(DATE(Summary!$C$12,1,1),Summary!$C$11))*('Dvd Calendar'!$X$2592&lt;=MAX(DATE(Summary!$C$12,12,31),Summary!$C$15))*('Dvd Calendar'!$X$2592&gt;Summary!$C$11)=0,"",'Dvd Calendar'!$X$2592*1000000000+ISNUMBER('Dvd Calendar'!$X$2593)*100000000+('Dvd Calendar'!$X$2597='Field Check'!$C$25)*10000000+(N('Dvd Calendar'!$X$2591)&gt;0)*1000000+32*1000+60))</f>
        <v/>
      </c>
      <c r="BK188" s="41">
        <f>IF(N('Dvd Calendar'!$Y$2592)=0,"",IF(('Dvd Calendar'!$Y$2592&gt;=MIN(DATE(Summary!$C$12,1,1),Summary!$C$11))*('Dvd Calendar'!$Y$2592&lt;=MAX(DATE(Summary!$C$12,12,31),Summary!$C$15))*('Dvd Calendar'!$Y$2592&gt;Summary!$C$11)=0,"",'Dvd Calendar'!$Y$2592*1000000000+ISNUMBER('Dvd Calendar'!$Y$2593)*100000000+('Dvd Calendar'!$Y$2597='Field Check'!$C$25)*10000000+(N('Dvd Calendar'!$Y$2591)&gt;0)*1000000+32*1000+61))</f>
        <v/>
      </c>
      <c r="BL188" s="41">
        <f>IF(N('Dvd Calendar'!$Z$2592)=0,"",IF(('Dvd Calendar'!$Z$2592&gt;=MIN(DATE(Summary!$C$12,1,1),Summary!$C$11))*('Dvd Calendar'!$Z$2592&lt;=MAX(DATE(Summary!$C$12,12,31),Summary!$C$15))*('Dvd Calendar'!$Z$2592&gt;Summary!$C$11)=0,"",'Dvd Calendar'!$Z$2592*1000000000+ISNUMBER('Dvd Calendar'!$Z$2593)*100000000+('Dvd Calendar'!$Z$2597='Field Check'!$C$25)*10000000+(N('Dvd Calendar'!$Z$2591)&gt;0)*1000000+32*1000+62))</f>
        <v/>
      </c>
      <c r="BM188" s="41">
        <f>IF(N('Dvd Calendar'!$AA$2592)=0,"",IF(('Dvd Calendar'!$AA$2592&gt;=MIN(DATE(Summary!$C$12,1,1),Summary!$C$11))*('Dvd Calendar'!$AA$2592&lt;=MAX(DATE(Summary!$C$12,12,31),Summary!$C$15))*('Dvd Calendar'!$AA$2592&gt;Summary!$C$11)=0,"",'Dvd Calendar'!$AA$2592*1000000000+ISNUMBER('Dvd Calendar'!$AA$2593)*100000000+('Dvd Calendar'!$AA$2597='Field Check'!$C$25)*10000000+(N('Dvd Calendar'!$AA$2591)&gt;0)*1000000+32*1000+63))</f>
        <v/>
      </c>
      <c r="BN188" s="41">
        <f>IF(N('Dvd Calendar'!$AB$2592)=0,"",IF(('Dvd Calendar'!$AB$2592&gt;=MIN(DATE(Summary!$C$12,1,1),Summary!$C$11))*('Dvd Calendar'!$AB$2592&lt;=MAX(DATE(Summary!$C$12,12,31),Summary!$C$15))*('Dvd Calendar'!$AB$2592&gt;Summary!$C$11)=0,"",'Dvd Calendar'!$AB$2592*1000000000+ISNUMBER('Dvd Calendar'!$AB$2593)*100000000+('Dvd Calendar'!$AB$2597='Field Check'!$C$25)*10000000+(N('Dvd Calendar'!$AB$2591)&gt;0)*1000000+32*1000+64))</f>
        <v/>
      </c>
      <c r="BO188" s="41">
        <f>IF(N('Dvd Calendar'!$AC$2592)=0,"",IF(('Dvd Calendar'!$AC$2592&gt;=MIN(DATE(Summary!$C$12,1,1),Summary!$C$11))*('Dvd Calendar'!$AC$2592&lt;=MAX(DATE(Summary!$C$12,12,31),Summary!$C$15))*('Dvd Calendar'!$AC$2592&gt;Summary!$C$11)=0,"",'Dvd Calendar'!$AC$2592*1000000000+ISNUMBER('Dvd Calendar'!$AC$2593)*100000000+('Dvd Calendar'!$AC$2597='Field Check'!$C$25)*10000000+(N('Dvd Calendar'!$AC$2591)&gt;0)*1000000+32*1000+65))</f>
        <v/>
      </c>
      <c r="BQ188" s="85">
        <f>IF(C188="","",IF(ISNUMBER('Dvd Calendar'!$E$2586)=FALSE,"",IF((Summary!$C$13="N")*('Dvd Calendar'!$E$2590='Field Check'!$C$25)&gt;0,"",'Dvd Calendar'!$E$2586)))</f>
        <v/>
      </c>
      <c r="BR188" s="85">
        <f>IF(D188="","",IF(ISNUMBER('Dvd Calendar'!$F$2586)=FALSE,"",IF((Summary!$C$13="N")*('Dvd Calendar'!$F$2590='Field Check'!$C$25)&gt;0,"",'Dvd Calendar'!$F$2586)))</f>
        <v/>
      </c>
      <c r="BS188" s="85">
        <f>IF(E188="","",IF(ISNUMBER('Dvd Calendar'!$G$2586)=FALSE,"",IF((Summary!$C$13="N")*('Dvd Calendar'!$G$2590='Field Check'!$C$25)&gt;0,"",'Dvd Calendar'!$G$2586)))</f>
        <v/>
      </c>
      <c r="BT188" s="85">
        <f>IF(F188="","",IF(ISNUMBER('Dvd Calendar'!$H$2586)=FALSE,"",IF((Summary!$C$13="N")*('Dvd Calendar'!$H$2590='Field Check'!$C$25)&gt;0,"",'Dvd Calendar'!$H$2586)))</f>
        <v/>
      </c>
      <c r="BU188" s="85">
        <f>IF(G188="","",IF(ISNUMBER('Dvd Calendar'!$I$2586)=FALSE,"",IF((Summary!$C$13="N")*('Dvd Calendar'!$I$2590='Field Check'!$C$25)&gt;0,"",'Dvd Calendar'!$I$2586)))</f>
        <v/>
      </c>
      <c r="BV188" s="85">
        <f>IF(H188="","",IF(ISNUMBER('Dvd Calendar'!$J$2586)=FALSE,"",IF((Summary!$C$13="N")*('Dvd Calendar'!$J$2590='Field Check'!$C$25)&gt;0,"",'Dvd Calendar'!$J$2586)))</f>
        <v/>
      </c>
      <c r="BW188" s="85">
        <f>IF(I188="","",IF(ISNUMBER('Dvd Calendar'!$K$2586)=FALSE,"",IF((Summary!$C$13="N")*('Dvd Calendar'!$K$2590='Field Check'!$C$25)&gt;0,"",'Dvd Calendar'!$K$2586)))</f>
        <v/>
      </c>
      <c r="BX188" s="85">
        <f>IF(J188="","",IF(ISNUMBER('Dvd Calendar'!$L$2586)=FALSE,"",IF((Summary!$C$13="N")*('Dvd Calendar'!$L$2590='Field Check'!$C$25)&gt;0,"",'Dvd Calendar'!$L$2586)))</f>
        <v/>
      </c>
      <c r="BY188" s="85">
        <f>IF(K188="","",IF(ISNUMBER('Dvd Calendar'!$M$2586)=FALSE,"",IF((Summary!$C$13="N")*('Dvd Calendar'!$M$2590='Field Check'!$C$25)&gt;0,"",'Dvd Calendar'!$M$2586)))</f>
        <v/>
      </c>
      <c r="BZ188" s="85">
        <f>IF(L188="","",IF(ISNUMBER('Dvd Calendar'!$N$2586)=FALSE,"",IF((Summary!$C$13="N")*('Dvd Calendar'!$N$2590='Field Check'!$C$25)&gt;0,"",'Dvd Calendar'!$N$2586)))</f>
        <v/>
      </c>
      <c r="CA188" s="85">
        <f>IF(M188="","",IF(ISNUMBER('Dvd Calendar'!$O$2586)=FALSE,"",IF((Summary!$C$13="N")*('Dvd Calendar'!$O$2590='Field Check'!$C$25)&gt;0,"",'Dvd Calendar'!$O$2586)))</f>
        <v/>
      </c>
      <c r="CB188" s="85">
        <f>IF(N188="","",IF(ISNUMBER('Dvd Calendar'!$P$2586)=FALSE,"",IF((Summary!$C$13="N")*('Dvd Calendar'!$P$2590='Field Check'!$C$25)&gt;0,"",'Dvd Calendar'!$P$2586)))</f>
        <v/>
      </c>
      <c r="CC188" s="85">
        <f>IF(O188="","",IF(ISNUMBER('Dvd Calendar'!$Q$2586)=FALSE,"",IF((Summary!$C$13="N")*('Dvd Calendar'!$Q$2590='Field Check'!$C$25)&gt;0,"",'Dvd Calendar'!$Q$2586)))</f>
        <v/>
      </c>
      <c r="CD188" s="85">
        <f>IF(P188="","",IF(ISNUMBER('Dvd Calendar'!$R$2586)=FALSE,"",IF((Summary!$C$13="N")*('Dvd Calendar'!$R$2590='Field Check'!$C$25)&gt;0,"",'Dvd Calendar'!$R$2586)))</f>
        <v/>
      </c>
      <c r="CE188" s="85">
        <f>IF(Q188="","",IF(ISNUMBER('Dvd Calendar'!$S$2586)=FALSE,"",IF((Summary!$C$13="N")*('Dvd Calendar'!$S$2590='Field Check'!$C$25)&gt;0,"",'Dvd Calendar'!$S$2586)))</f>
        <v/>
      </c>
      <c r="CF188" s="85">
        <f>IF(R188="","",IF(ISNUMBER('Dvd Calendar'!$T$2586)=FALSE,"",IF((Summary!$C$13="N")*('Dvd Calendar'!$T$2590='Field Check'!$C$25)&gt;0,"",'Dvd Calendar'!$T$2586)))</f>
        <v/>
      </c>
      <c r="CG188" s="85">
        <f>IF(S188="","",IF(ISNUMBER('Dvd Calendar'!$U$2586)=FALSE,"",IF((Summary!$C$13="N")*('Dvd Calendar'!$U$2590='Field Check'!$C$25)&gt;0,"",'Dvd Calendar'!$U$2586)))</f>
        <v/>
      </c>
      <c r="CH188" s="85">
        <f>IF(T188="","",IF(ISNUMBER('Dvd Calendar'!$V$2586)=FALSE,"",IF((Summary!$C$13="N")*('Dvd Calendar'!$V$2590='Field Check'!$C$25)&gt;0,"",'Dvd Calendar'!$V$2586)))</f>
        <v/>
      </c>
      <c r="CI188" s="85">
        <f>IF(U188="","",IF(ISNUMBER('Dvd Calendar'!$W$2586)=FALSE,"",IF((Summary!$C$13="N")*('Dvd Calendar'!$W$2590='Field Check'!$C$25)&gt;0,"",'Dvd Calendar'!$W$2586)))</f>
        <v/>
      </c>
      <c r="CJ188" s="85">
        <f>IF(V188="","",IF(ISNUMBER('Dvd Calendar'!$X$2586)=FALSE,"",IF((Summary!$C$13="N")*('Dvd Calendar'!$X$2590='Field Check'!$C$25)&gt;0,"",'Dvd Calendar'!$X$2586)))</f>
        <v/>
      </c>
      <c r="CK188" s="85">
        <f>IF(W188="","",IF(ISNUMBER('Dvd Calendar'!$Y$2586)=FALSE,"",IF((Summary!$C$13="N")*('Dvd Calendar'!$Y$2590='Field Check'!$C$25)&gt;0,"",'Dvd Calendar'!$Y$2586)))</f>
        <v/>
      </c>
      <c r="CL188" s="85">
        <f>IF(X188="","",IF(ISNUMBER('Dvd Calendar'!$Z$2586)=FALSE,"",IF((Summary!$C$13="N")*('Dvd Calendar'!$Z$2590='Field Check'!$C$25)&gt;0,"",'Dvd Calendar'!$Z$2586)))</f>
        <v/>
      </c>
      <c r="CM188" s="85">
        <f>IF(Y188="","",IF(ISNUMBER('Dvd Calendar'!$AA$2586)=FALSE,"",IF((Summary!$C$13="N")*('Dvd Calendar'!$AA$2590='Field Check'!$C$25)&gt;0,"",'Dvd Calendar'!$AA$2586)))</f>
        <v/>
      </c>
      <c r="CN188" s="85">
        <f>IF(Z188="","",IF(ISNUMBER('Dvd Calendar'!$AB$2586)=FALSE,"",IF((Summary!$C$13="N")*('Dvd Calendar'!$AB$2590='Field Check'!$C$25)&gt;0,"",'Dvd Calendar'!$AB$2586)))</f>
        <v/>
      </c>
      <c r="CO188" s="85">
        <f>IF(AA188="","",IF(ISNUMBER('Dvd Calendar'!$AC$2586)=FALSE,"",IF((Summary!$C$13="N")*('Dvd Calendar'!$AC$2590='Field Check'!$C$25)&gt;0,"",'Dvd Calendar'!$AC$2586)))</f>
        <v/>
      </c>
      <c r="CP188" s="85">
        <f>IF(AB188="","",IF(ISNUMBER('Dvd Calendar'!$AD$2586)=FALSE,"",IF((Summary!$C$13="N")*('Dvd Calendar'!$AD$2590='Field Check'!$C$25)&gt;0,"",'Dvd Calendar'!$AD$2586)))</f>
        <v/>
      </c>
      <c r="CQ188" s="85">
        <f>IF(AC188="","",IF(ISNUMBER('Dvd Calendar'!$AE$2586)=FALSE,"",IF((Summary!$C$13="N")*('Dvd Calendar'!$AE$2590='Field Check'!$C$25)&gt;0,"",'Dvd Calendar'!$AE$2586)))</f>
        <v/>
      </c>
      <c r="CR188" s="85">
        <f>IF(AD188="","",IF(ISNUMBER('Dvd Calendar'!$AF$2586)=FALSE,"",IF((Summary!$C$13="N")*('Dvd Calendar'!$AF$2590='Field Check'!$C$25)&gt;0,"",'Dvd Calendar'!$AF$2586)))</f>
        <v/>
      </c>
      <c r="CS188" s="85">
        <f>IF(AE188="","",IF(ISNUMBER('Dvd Calendar'!$AG$2586)=FALSE,"",IF((Summary!$C$13="N")*('Dvd Calendar'!$AG$2590='Field Check'!$C$25)&gt;0,"",'Dvd Calendar'!$AG$2586)))</f>
        <v/>
      </c>
      <c r="CT188" s="85">
        <f>IF(AF188="","",IF(ISNUMBER('Dvd Calendar'!$AH$2586)=FALSE,"",IF((Summary!$C$13="N")*('Dvd Calendar'!$AH$2590='Field Check'!$C$25)&gt;0,"",'Dvd Calendar'!$AH$2586)))</f>
        <v/>
      </c>
      <c r="CU188" s="85">
        <f>IF(AG188="","",IF(ISNUMBER('Dvd Calendar'!$AI$2586)=FALSE,"",IF((Summary!$C$13="N")*('Dvd Calendar'!$AI$2590='Field Check'!$C$25)&gt;0,"",'Dvd Calendar'!$AI$2586)))</f>
        <v/>
      </c>
      <c r="CV188" s="85">
        <f>IF(AH188="","",IF(ISNUMBER('Dvd Calendar'!$AJ$2586)=FALSE,"",IF((Summary!$C$13="N")*('Dvd Calendar'!$AJ$2590='Field Check'!$C$25)&gt;0,"",'Dvd Calendar'!$AJ$2586)))</f>
        <v/>
      </c>
      <c r="CW188" s="85">
        <f>IF(AI188="","",IF(ISNUMBER('Dvd Calendar'!$AK$2586)=FALSE,"",IF((Summary!$C$13="N")*('Dvd Calendar'!$AK$2590='Field Check'!$C$25)&gt;0,"",'Dvd Calendar'!$AK$2586)))</f>
        <v/>
      </c>
      <c r="CX188" s="85">
        <f>IF(AJ188="","",IF(ISNUMBER('Dvd Calendar'!$AL$2586)=FALSE,"",IF((Summary!$C$13="N")*('Dvd Calendar'!$AL$2590='Field Check'!$C$25)&gt;0,"",'Dvd Calendar'!$AL$2586)))</f>
        <v/>
      </c>
      <c r="CY188" s="85">
        <f>IF(AK188="","",IF(ISNUMBER('Dvd Calendar'!$AM$2586)=FALSE,"",IF((Summary!$C$13="N")*('Dvd Calendar'!$AM$2590='Field Check'!$C$25)&gt;0,"",'Dvd Calendar'!$AM$2586)))</f>
        <v/>
      </c>
      <c r="CZ188" s="85">
        <f>IF(AL188="","",IF(ISNUMBER('Dvd Calendar'!$AN$2586)=FALSE,"",IF((Summary!$C$13="N")*('Dvd Calendar'!$AN$2590='Field Check'!$C$25)&gt;0,"",'Dvd Calendar'!$AN$2586)))</f>
        <v/>
      </c>
      <c r="DA188" s="85">
        <f>IF(AM188="","",IF(ISNUMBER('Dvd Calendar'!$AO$2586)=FALSE,"",IF((Summary!$C$13="N")*('Dvd Calendar'!$AO$2590='Field Check'!$C$25)&gt;0,"",'Dvd Calendar'!$AO$2586)))</f>
        <v/>
      </c>
      <c r="DB188" s="85">
        <f>IF(AN188="","",IF(ISNUMBER('Dvd Calendar'!$AP$2586)=FALSE,"",IF((Summary!$C$13="N")*('Dvd Calendar'!$AP$2590='Field Check'!$C$25)&gt;0,"",'Dvd Calendar'!$AP$2586)))</f>
        <v/>
      </c>
      <c r="DC188" s="85">
        <f>IF(AO188="","",IF(ISNUMBER('Dvd Calendar'!$AQ$2586)=FALSE,"",IF((Summary!$C$13="N")*('Dvd Calendar'!$AQ$2590='Field Check'!$C$25)&gt;0,"",'Dvd Calendar'!$AQ$2586)))</f>
        <v/>
      </c>
      <c r="DD188" s="85">
        <f>IF(AP188="","",IF(ISNUMBER('Dvd Calendar'!$AR$2586)=FALSE,"",IF((Summary!$C$13="N")*('Dvd Calendar'!$AR$2590='Field Check'!$C$25)&gt;0,"",'Dvd Calendar'!$AR$2586)))</f>
        <v/>
      </c>
      <c r="DE188" s="85">
        <f>IF(AQ188="","",IF(ISNUMBER('Dvd Calendar'!$E$2593)=FALSE,"",IF((Summary!$C$13="N")*('Dvd Calendar'!$E$2597='Field Check'!$C$25)&gt;0,"",'Dvd Calendar'!$E$2593)))</f>
        <v/>
      </c>
      <c r="DF188" s="85">
        <f>IF(AR188="","",IF(ISNUMBER('Dvd Calendar'!$F$2593)=FALSE,"",IF((Summary!$C$13="N")*('Dvd Calendar'!$F$2597='Field Check'!$C$25)&gt;0,"",'Dvd Calendar'!$F$2593)))</f>
        <v/>
      </c>
      <c r="DG188" s="85">
        <f>IF(AS188="","",IF(ISNUMBER('Dvd Calendar'!$G$2593)=FALSE,"",IF((Summary!$C$13="N")*('Dvd Calendar'!$G$2597='Field Check'!$C$25)&gt;0,"",'Dvd Calendar'!$G$2593)))</f>
        <v/>
      </c>
      <c r="DH188" s="85">
        <f>IF(AT188="","",IF(ISNUMBER('Dvd Calendar'!$H$2593)=FALSE,"",IF((Summary!$C$13="N")*('Dvd Calendar'!$H$2597='Field Check'!$C$25)&gt;0,"",'Dvd Calendar'!$H$2593)))</f>
        <v/>
      </c>
      <c r="DI188" s="85">
        <f>IF(AU188="","",IF(ISNUMBER('Dvd Calendar'!$I$2593)=FALSE,"",IF((Summary!$C$13="N")*('Dvd Calendar'!$I$2597='Field Check'!$C$25)&gt;0,"",'Dvd Calendar'!$I$2593)))</f>
        <v/>
      </c>
      <c r="DJ188" s="85">
        <f>IF(AV188="","",IF(ISNUMBER('Dvd Calendar'!$J$2593)=FALSE,"",IF((Summary!$C$13="N")*('Dvd Calendar'!$J$2597='Field Check'!$C$25)&gt;0,"",'Dvd Calendar'!$J$2593)))</f>
        <v/>
      </c>
      <c r="DK188" s="85">
        <f>IF(AW188="","",IF(ISNUMBER('Dvd Calendar'!$K$2593)=FALSE,"",IF((Summary!$C$13="N")*('Dvd Calendar'!$K$2597='Field Check'!$C$25)&gt;0,"",'Dvd Calendar'!$K$2593)))</f>
        <v/>
      </c>
      <c r="DL188" s="85">
        <f>IF(AX188="","",IF(ISNUMBER('Dvd Calendar'!$L$2593)=FALSE,"",IF((Summary!$C$13="N")*('Dvd Calendar'!$L$2597='Field Check'!$C$25)&gt;0,"",'Dvd Calendar'!$L$2593)))</f>
        <v/>
      </c>
      <c r="DM188" s="85">
        <f>IF(AY188="","",IF(ISNUMBER('Dvd Calendar'!$M$2593)=FALSE,"",IF((Summary!$C$13="N")*('Dvd Calendar'!$M$2597='Field Check'!$C$25)&gt;0,"",'Dvd Calendar'!$M$2593)))</f>
        <v/>
      </c>
      <c r="DN188" s="85">
        <f>IF(AZ188="","",IF(ISNUMBER('Dvd Calendar'!$N$2593)=FALSE,"",IF((Summary!$C$13="N")*('Dvd Calendar'!$N$2597='Field Check'!$C$25)&gt;0,"",'Dvd Calendar'!$N$2593)))</f>
        <v/>
      </c>
      <c r="DO188" s="85">
        <f>IF(BA188="","",IF(ISNUMBER('Dvd Calendar'!$O$2593)=FALSE,"",IF((Summary!$C$13="N")*('Dvd Calendar'!$O$2597='Field Check'!$C$25)&gt;0,"",'Dvd Calendar'!$O$2593)))</f>
        <v/>
      </c>
      <c r="DP188" s="85">
        <f>IF(BB188="","",IF(ISNUMBER('Dvd Calendar'!$P$2593)=FALSE,"",IF((Summary!$C$13="N")*('Dvd Calendar'!$P$2597='Field Check'!$C$25)&gt;0,"",'Dvd Calendar'!$P$2593)))</f>
        <v/>
      </c>
      <c r="DQ188" s="85">
        <f>IF(BC188="","",IF(ISNUMBER('Dvd Calendar'!$Q$2593)=FALSE,"",IF((Summary!$C$13="N")*('Dvd Calendar'!$Q$2597='Field Check'!$C$25)&gt;0,"",'Dvd Calendar'!$Q$2593)))</f>
        <v/>
      </c>
      <c r="DR188" s="85">
        <f>IF(BD188="","",IF(ISNUMBER('Dvd Calendar'!$R$2593)=FALSE,"",IF((Summary!$C$13="N")*('Dvd Calendar'!$R$2597='Field Check'!$C$25)&gt;0,"",'Dvd Calendar'!$R$2593)))</f>
        <v/>
      </c>
      <c r="DS188" s="85">
        <f>IF(BE188="","",IF(ISNUMBER('Dvd Calendar'!$S$2593)=FALSE,"",IF((Summary!$C$13="N")*('Dvd Calendar'!$S$2597='Field Check'!$C$25)&gt;0,"",'Dvd Calendar'!$S$2593)))</f>
        <v/>
      </c>
      <c r="DT188" s="85">
        <f>IF(BF188="","",IF(ISNUMBER('Dvd Calendar'!$T$2593)=FALSE,"",IF((Summary!$C$13="N")*('Dvd Calendar'!$T$2597='Field Check'!$C$25)&gt;0,"",'Dvd Calendar'!$T$2593)))</f>
        <v/>
      </c>
      <c r="DU188" s="85">
        <f>IF(BG188="","",IF(ISNUMBER('Dvd Calendar'!$U$2593)=FALSE,"",IF((Summary!$C$13="N")*('Dvd Calendar'!$U$2597='Field Check'!$C$25)&gt;0,"",'Dvd Calendar'!$U$2593)))</f>
        <v/>
      </c>
      <c r="DV188" s="85">
        <f>IF(BH188="","",IF(ISNUMBER('Dvd Calendar'!$V$2593)=FALSE,"",IF((Summary!$C$13="N")*('Dvd Calendar'!$V$2597='Field Check'!$C$25)&gt;0,"",'Dvd Calendar'!$V$2593)))</f>
        <v/>
      </c>
      <c r="DW188" s="85">
        <f>IF(BI188="","",IF(ISNUMBER('Dvd Calendar'!$W$2593)=FALSE,"",IF((Summary!$C$13="N")*('Dvd Calendar'!$W$2597='Field Check'!$C$25)&gt;0,"",'Dvd Calendar'!$W$2593)))</f>
        <v/>
      </c>
      <c r="DX188" s="85">
        <f>IF(BJ188="","",IF(ISNUMBER('Dvd Calendar'!$X$2593)=FALSE,"",IF((Summary!$C$13="N")*('Dvd Calendar'!$X$2597='Field Check'!$C$25)&gt;0,"",'Dvd Calendar'!$X$2593)))</f>
        <v/>
      </c>
      <c r="DY188" s="85">
        <f>IF(BK188="","",IF(ISNUMBER('Dvd Calendar'!$Y$2593)=FALSE,"",IF((Summary!$C$13="N")*('Dvd Calendar'!$Y$2597='Field Check'!$C$25)&gt;0,"",'Dvd Calendar'!$Y$2593)))</f>
        <v/>
      </c>
      <c r="DZ188" s="85">
        <f>IF(BL188="","",IF(ISNUMBER('Dvd Calendar'!$Z$2593)=FALSE,"",IF((Summary!$C$13="N")*('Dvd Calendar'!$Z$2597='Field Check'!$C$25)&gt;0,"",'Dvd Calendar'!$Z$2593)))</f>
        <v/>
      </c>
      <c r="EA188" s="85">
        <f>IF(BM188="","",IF(ISNUMBER('Dvd Calendar'!$AA$2593)=FALSE,"",IF((Summary!$C$13="N")*('Dvd Calendar'!$AA$2597='Field Check'!$C$25)&gt;0,"",'Dvd Calendar'!$AA$2593)))</f>
        <v/>
      </c>
      <c r="EB188" s="85">
        <f>IF(BN188="","",IF(ISNUMBER('Dvd Calendar'!$AB$2593)=FALSE,"",IF((Summary!$C$13="N")*('Dvd Calendar'!$AB$2597='Field Check'!$C$25)&gt;0,"",'Dvd Calendar'!$AB$2593)))</f>
        <v/>
      </c>
      <c r="EC188" s="85">
        <f>IF(BO188="","",IF(ISNUMBER('Dvd Calendar'!$AC$2593)=FALSE,"",IF((Summary!$C$13="N")*('Dvd Calendar'!$AC$2597='Field Check'!$C$25)&gt;0,"",'Dvd Calendar'!$AC$2593)))</f>
        <v/>
      </c>
      <c r="EE188" s="85">
        <f>IF(BQ188="","",IFERROR(BQ188*HSCEI!$B$38*HSCEI!$G$38/HSCEI!$B$3,""))</f>
        <v/>
      </c>
      <c r="EF188" s="85">
        <f>IF(BR188="","",IFERROR(BR188*HSCEI!$B$38*HSCEI!$G$38/HSCEI!$B$3,""))</f>
        <v/>
      </c>
      <c r="EG188" s="85">
        <f>IF(BS188="","",IFERROR(BS188*HSCEI!$B$38*HSCEI!$G$38/HSCEI!$B$3,""))</f>
        <v/>
      </c>
      <c r="EH188" s="85">
        <f>IF(BT188="","",IFERROR(BT188*HSCEI!$B$38*HSCEI!$G$38/HSCEI!$B$3,""))</f>
        <v/>
      </c>
      <c r="EI188" s="85">
        <f>IF(BU188="","",IFERROR(BU188*HSCEI!$B$38*HSCEI!$G$38/HSCEI!$B$3,""))</f>
        <v/>
      </c>
      <c r="EJ188" s="85">
        <f>IF(BV188="","",IFERROR(BV188*HSCEI!$B$38*HSCEI!$G$38/HSCEI!$B$3,""))</f>
        <v/>
      </c>
      <c r="EK188" s="85">
        <f>IF(BW188="","",IFERROR(BW188*HSCEI!$B$38*HSCEI!$G$38/HSCEI!$B$3,""))</f>
        <v/>
      </c>
      <c r="EL188" s="85">
        <f>IF(BX188="","",IFERROR(BX188*HSCEI!$B$38*HSCEI!$G$38/HSCEI!$B$3,""))</f>
        <v/>
      </c>
      <c r="EM188" s="85">
        <f>IF(BY188="","",IFERROR(BY188*HSCEI!$B$38*HSCEI!$G$38/HSCEI!$B$3,""))</f>
        <v/>
      </c>
      <c r="EN188" s="85">
        <f>IF(BZ188="","",IFERROR(BZ188*HSCEI!$B$38*HSCEI!$G$38/HSCEI!$B$3,""))</f>
        <v/>
      </c>
      <c r="EO188" s="85">
        <f>IF(CA188="","",IFERROR(CA188*HSCEI!$B$38*HSCEI!$G$38/HSCEI!$B$3,""))</f>
        <v/>
      </c>
      <c r="EP188" s="85">
        <f>IF(CB188="","",IFERROR(CB188*HSCEI!$B$38*HSCEI!$G$38/HSCEI!$B$3,""))</f>
        <v/>
      </c>
      <c r="EQ188" s="85">
        <f>IF(CC188="","",IFERROR(CC188*HSCEI!$B$38*HSCEI!$G$38/HSCEI!$B$3,""))</f>
        <v/>
      </c>
      <c r="ER188" s="85">
        <f>IF(CD188="","",IFERROR(CD188*HSCEI!$B$38*HSCEI!$G$38/HSCEI!$B$3,""))</f>
        <v/>
      </c>
      <c r="ES188" s="85">
        <f>IF(CE188="","",IFERROR(CE188*HSCEI!$B$38*HSCEI!$G$38/HSCEI!$B$3,""))</f>
        <v/>
      </c>
      <c r="ET188" s="85">
        <f>IF(CF188="","",IFERROR(CF188*HSCEI!$B$38*HSCEI!$G$38/HSCEI!$B$3,""))</f>
        <v/>
      </c>
      <c r="EU188" s="85">
        <f>IF(CG188="","",IFERROR(CG188*HSCEI!$B$38*HSCEI!$G$38/HSCEI!$B$3,""))</f>
        <v/>
      </c>
      <c r="EV188" s="85">
        <f>IF(CH188="","",IFERROR(CH188*HSCEI!$B$38*HSCEI!$G$38/HSCEI!$B$3,""))</f>
        <v/>
      </c>
      <c r="EW188" s="85">
        <f>IF(CI188="","",IFERROR(CI188*HSCEI!$B$38*HSCEI!$G$38/HSCEI!$B$3,""))</f>
        <v/>
      </c>
      <c r="EX188" s="85">
        <f>IF(CJ188="","",IFERROR(CJ188*HSCEI!$B$38*HSCEI!$G$38/HSCEI!$B$3,""))</f>
        <v/>
      </c>
      <c r="EY188" s="85">
        <f>IF(CK188="","",IFERROR(CK188*HSCEI!$B$38*HSCEI!$G$38/HSCEI!$B$3,""))</f>
        <v/>
      </c>
      <c r="EZ188" s="85">
        <f>IF(CL188="","",IFERROR(CL188*HSCEI!$B$38*HSCEI!$G$38/HSCEI!$B$3,""))</f>
        <v/>
      </c>
      <c r="FA188" s="85">
        <f>IF(CM188="","",IFERROR(CM188*HSCEI!$B$38*HSCEI!$G$38/HSCEI!$B$3,""))</f>
        <v/>
      </c>
      <c r="FB188" s="85">
        <f>IF(CN188="","",IFERROR(CN188*HSCEI!$B$38*HSCEI!$G$38/HSCEI!$B$3,""))</f>
        <v/>
      </c>
      <c r="FC188" s="85">
        <f>IF(CO188="","",IFERROR(CO188*HSCEI!$B$38*HSCEI!$G$38/HSCEI!$B$3,""))</f>
        <v/>
      </c>
      <c r="FD188" s="85">
        <f>IF(CP188="","",IFERROR(CP188*HSCEI!$B$38*HSCEI!$G$38/HSCEI!$B$3,""))</f>
        <v/>
      </c>
      <c r="FE188" s="85">
        <f>IF(CQ188="","",IFERROR(CQ188*HSCEI!$B$38*HSCEI!$G$38/HSCEI!$B$3,""))</f>
        <v/>
      </c>
      <c r="FF188" s="85">
        <f>IF(CR188="","",IFERROR(CR188*HSCEI!$B$38*HSCEI!$G$38/HSCEI!$B$3,""))</f>
        <v/>
      </c>
      <c r="FG188" s="85">
        <f>IF(CS188="","",IFERROR(CS188*HSCEI!$B$38*HSCEI!$G$38/HSCEI!$B$3,""))</f>
        <v/>
      </c>
      <c r="FH188" s="85">
        <f>IF(CT188="","",IFERROR(CT188*HSCEI!$B$38*HSCEI!$G$38/HSCEI!$B$3,""))</f>
        <v/>
      </c>
      <c r="FI188" s="85">
        <f>IF(CU188="","",IFERROR(CU188*HSCEI!$B$38*HSCEI!$G$38/HSCEI!$B$3,""))</f>
        <v/>
      </c>
      <c r="FJ188" s="85">
        <f>IF(CV188="","",IFERROR(CV188*HSCEI!$B$38*HSCEI!$G$38/HSCEI!$B$3,""))</f>
        <v/>
      </c>
      <c r="FK188" s="85">
        <f>IF(CW188="","",IFERROR(CW188*HSCEI!$B$38*HSCEI!$G$38/HSCEI!$B$3,""))</f>
        <v/>
      </c>
      <c r="FL188" s="85">
        <f>IF(CX188="","",IFERROR(CX188*HSCEI!$B$38*HSCEI!$G$38/HSCEI!$B$3,""))</f>
        <v/>
      </c>
      <c r="FM188" s="85">
        <f>IF(CY188="","",IFERROR(CY188*HSCEI!$B$38*HSCEI!$G$38/HSCEI!$B$3,""))</f>
        <v/>
      </c>
      <c r="FN188" s="85">
        <f>IF(CZ188="","",IFERROR(CZ188*HSCEI!$B$38*HSCEI!$G$38/HSCEI!$B$3,""))</f>
        <v/>
      </c>
      <c r="FO188" s="85">
        <f>IF(DA188="","",IFERROR(DA188*HSCEI!$B$38*HSCEI!$G$38/HSCEI!$B$3,""))</f>
        <v/>
      </c>
      <c r="FP188" s="85">
        <f>IF(DB188="","",IFERROR(DB188*HSCEI!$B$38*HSCEI!$G$38/HSCEI!$B$3,""))</f>
        <v/>
      </c>
      <c r="FQ188" s="85">
        <f>IF(DC188="","",IFERROR(DC188*HSCEI!$B$38*HSCEI!$G$38/HSCEI!$B$3,""))</f>
        <v/>
      </c>
      <c r="FR188" s="85">
        <f>IF(DD188="","",IFERROR(DD188*HSCEI!$B$38*HSCEI!$G$38/HSCEI!$B$3,""))</f>
        <v/>
      </c>
      <c r="FS188" s="85">
        <f>IF(DE188="","",IFERROR(DE188*HSCEI!$B$38*HSCEI!$G$38/HSCEI!$B$3,""))</f>
        <v/>
      </c>
      <c r="FT188" s="85">
        <f>IF(DF188="","",IFERROR(DF188*HSCEI!$B$38*HSCEI!$G$38/HSCEI!$B$3,""))</f>
        <v/>
      </c>
      <c r="FU188" s="85">
        <f>IF(DG188="","",IFERROR(DG188*HSCEI!$B$38*HSCEI!$G$38/HSCEI!$B$3,""))</f>
        <v/>
      </c>
      <c r="FV188" s="85">
        <f>IF(DH188="","",IFERROR(DH188*HSCEI!$B$38*HSCEI!$G$38/HSCEI!$B$3,""))</f>
        <v/>
      </c>
      <c r="FW188" s="85">
        <f>IF(DI188="","",IFERROR(DI188*HSCEI!$B$38*HSCEI!$G$38/HSCEI!$B$3,""))</f>
        <v/>
      </c>
      <c r="FX188" s="85">
        <f>IF(DJ188="","",IFERROR(DJ188*HSCEI!$B$38*HSCEI!$G$38/HSCEI!$B$3,""))</f>
        <v/>
      </c>
      <c r="FY188" s="85">
        <f>IF(DK188="","",IFERROR(DK188*HSCEI!$B$38*HSCEI!$G$38/HSCEI!$B$3,""))</f>
        <v/>
      </c>
      <c r="FZ188" s="85">
        <f>IF(DL188="","",IFERROR(DL188*HSCEI!$B$38*HSCEI!$G$38/HSCEI!$B$3,""))</f>
        <v/>
      </c>
      <c r="GA188" s="85">
        <f>IF(DM188="","",IFERROR(DM188*HSCEI!$B$38*HSCEI!$G$38/HSCEI!$B$3,""))</f>
        <v/>
      </c>
      <c r="GB188" s="85">
        <f>IF(DN188="","",IFERROR(DN188*HSCEI!$B$38*HSCEI!$G$38/HSCEI!$B$3,""))</f>
        <v/>
      </c>
      <c r="GC188" s="85">
        <f>IF(DO188="","",IFERROR(DO188*HSCEI!$B$38*HSCEI!$G$38/HSCEI!$B$3,""))</f>
        <v/>
      </c>
      <c r="GD188" s="85">
        <f>IF(DP188="","",IFERROR(DP188*HSCEI!$B$38*HSCEI!$G$38/HSCEI!$B$3,""))</f>
        <v/>
      </c>
      <c r="GE188" s="85">
        <f>IF(DQ188="","",IFERROR(DQ188*HSCEI!$B$38*HSCEI!$G$38/HSCEI!$B$3,""))</f>
        <v/>
      </c>
      <c r="GF188" s="85">
        <f>IF(DR188="","",IFERROR(DR188*HSCEI!$B$38*HSCEI!$G$38/HSCEI!$B$3,""))</f>
        <v/>
      </c>
      <c r="GG188" s="85">
        <f>IF(DS188="","",IFERROR(DS188*HSCEI!$B$38*HSCEI!$G$38/HSCEI!$B$3,""))</f>
        <v/>
      </c>
      <c r="GH188" s="85">
        <f>IF(DT188="","",IFERROR(DT188*HSCEI!$B$38*HSCEI!$G$38/HSCEI!$B$3,""))</f>
        <v/>
      </c>
      <c r="GI188" s="85">
        <f>IF(DU188="","",IFERROR(DU188*HSCEI!$B$38*HSCEI!$G$38/HSCEI!$B$3,""))</f>
        <v/>
      </c>
      <c r="GJ188" s="85">
        <f>IF(DV188="","",IFERROR(DV188*HSCEI!$B$38*HSCEI!$G$38/HSCEI!$B$3,""))</f>
        <v/>
      </c>
      <c r="GK188" s="85">
        <f>IF(DW188="","",IFERROR(DW188*HSCEI!$B$38*HSCEI!$G$38/HSCEI!$B$3,""))</f>
        <v/>
      </c>
      <c r="GL188" s="85">
        <f>IF(DX188="","",IFERROR(DX188*HSCEI!$B$38*HSCEI!$G$38/HSCEI!$B$3,""))</f>
        <v/>
      </c>
      <c r="GM188" s="85">
        <f>IF(DY188="","",IFERROR(DY188*HSCEI!$B$38*HSCEI!$G$38/HSCEI!$B$3,""))</f>
        <v/>
      </c>
      <c r="GN188" s="85">
        <f>IF(DZ188="","",IFERROR(DZ188*HSCEI!$B$38*HSCEI!$G$38/HSCEI!$B$3,""))</f>
        <v/>
      </c>
      <c r="GO188" s="85">
        <f>IF(EA188="","",IFERROR(EA188*HSCEI!$B$38*HSCEI!$G$38/HSCEI!$B$3,""))</f>
        <v/>
      </c>
      <c r="GP188" s="85">
        <f>IF(EB188="","",IFERROR(EB188*HSCEI!$B$38*HSCEI!$G$38/HSCEI!$B$3,""))</f>
        <v/>
      </c>
      <c r="GQ188" s="85">
        <f>IF(EC188="","",IFERROR(EC188*HSCEI!$B$38*HSCEI!$G$38/HSCEI!$B$3,""))</f>
        <v/>
      </c>
    </row>
    <row r="189">
      <c r="B189" s="2">
        <f>IF(HSCEI!$C$39="","",HSCEI!$C$39)</f>
        <v/>
      </c>
      <c r="C189" s="41">
        <f>IF(N('Dvd Calendar'!$E$2600)=0,"",IF(('Dvd Calendar'!$E$2600&gt;=MIN(DATE(Summary!$C$12,1,1),Summary!$C$11))*('Dvd Calendar'!$E$2600&lt;=MAX(DATE(Summary!$C$12,12,31),Summary!$C$15))*('Dvd Calendar'!$E$2600&lt;=Summary!$C$11)=0,"",'Dvd Calendar'!$E$2600*1000000000+ISNUMBER('Dvd Calendar'!$E$2601)*100000000+('Dvd Calendar'!$E$2605='Field Check'!$C$25)*10000000+(N('Dvd Calendar'!$E$2599)&gt;0)*1000000+33*1000+1))</f>
        <v/>
      </c>
      <c r="D189" s="41">
        <f>IF(N('Dvd Calendar'!$F$2600)=0,"",IF(('Dvd Calendar'!$F$2600&gt;=MIN(DATE(Summary!$C$12,1,1),Summary!$C$11))*('Dvd Calendar'!$F$2600&lt;=MAX(DATE(Summary!$C$12,12,31),Summary!$C$15))*('Dvd Calendar'!$F$2600&lt;=Summary!$C$11)=0,"",'Dvd Calendar'!$F$2600*1000000000+ISNUMBER('Dvd Calendar'!$F$2601)*100000000+('Dvd Calendar'!$F$2605='Field Check'!$C$25)*10000000+(N('Dvd Calendar'!$F$2599)&gt;0)*1000000+33*1000+2))</f>
        <v/>
      </c>
      <c r="E189" s="41">
        <f>IF(N('Dvd Calendar'!$G$2600)=0,"",IF(('Dvd Calendar'!$G$2600&gt;=MIN(DATE(Summary!$C$12,1,1),Summary!$C$11))*('Dvd Calendar'!$G$2600&lt;=MAX(DATE(Summary!$C$12,12,31),Summary!$C$15))*('Dvd Calendar'!$G$2600&lt;=Summary!$C$11)=0,"",'Dvd Calendar'!$G$2600*1000000000+ISNUMBER('Dvd Calendar'!$G$2601)*100000000+('Dvd Calendar'!$G$2605='Field Check'!$C$25)*10000000+(N('Dvd Calendar'!$G$2599)&gt;0)*1000000+33*1000+3))</f>
        <v/>
      </c>
      <c r="F189" s="41">
        <f>IF(N('Dvd Calendar'!$H$2600)=0,"",IF(('Dvd Calendar'!$H$2600&gt;=MIN(DATE(Summary!$C$12,1,1),Summary!$C$11))*('Dvd Calendar'!$H$2600&lt;=MAX(DATE(Summary!$C$12,12,31),Summary!$C$15))*('Dvd Calendar'!$H$2600&lt;=Summary!$C$11)=0,"",'Dvd Calendar'!$H$2600*1000000000+ISNUMBER('Dvd Calendar'!$H$2601)*100000000+('Dvd Calendar'!$H$2605='Field Check'!$C$25)*10000000+(N('Dvd Calendar'!$H$2599)&gt;0)*1000000+33*1000+4))</f>
        <v/>
      </c>
      <c r="G189" s="41">
        <f>IF(N('Dvd Calendar'!$I$2600)=0,"",IF(('Dvd Calendar'!$I$2600&gt;=MIN(DATE(Summary!$C$12,1,1),Summary!$C$11))*('Dvd Calendar'!$I$2600&lt;=MAX(DATE(Summary!$C$12,12,31),Summary!$C$15))*('Dvd Calendar'!$I$2600&lt;=Summary!$C$11)=0,"",'Dvd Calendar'!$I$2600*1000000000+ISNUMBER('Dvd Calendar'!$I$2601)*100000000+('Dvd Calendar'!$I$2605='Field Check'!$C$25)*10000000+(N('Dvd Calendar'!$I$2599)&gt;0)*1000000+33*1000+5))</f>
        <v/>
      </c>
      <c r="H189" s="41">
        <f>IF(N('Dvd Calendar'!$J$2600)=0,"",IF(('Dvd Calendar'!$J$2600&gt;=MIN(DATE(Summary!$C$12,1,1),Summary!$C$11))*('Dvd Calendar'!$J$2600&lt;=MAX(DATE(Summary!$C$12,12,31),Summary!$C$15))*('Dvd Calendar'!$J$2600&lt;=Summary!$C$11)=0,"",'Dvd Calendar'!$J$2600*1000000000+ISNUMBER('Dvd Calendar'!$J$2601)*100000000+('Dvd Calendar'!$J$2605='Field Check'!$C$25)*10000000+(N('Dvd Calendar'!$J$2599)&gt;0)*1000000+33*1000+6))</f>
        <v/>
      </c>
      <c r="I189" s="41">
        <f>IF(N('Dvd Calendar'!$K$2600)=0,"",IF(('Dvd Calendar'!$K$2600&gt;=MIN(DATE(Summary!$C$12,1,1),Summary!$C$11))*('Dvd Calendar'!$K$2600&lt;=MAX(DATE(Summary!$C$12,12,31),Summary!$C$15))*('Dvd Calendar'!$K$2600&lt;=Summary!$C$11)=0,"",'Dvd Calendar'!$K$2600*1000000000+ISNUMBER('Dvd Calendar'!$K$2601)*100000000+('Dvd Calendar'!$K$2605='Field Check'!$C$25)*10000000+(N('Dvd Calendar'!$K$2599)&gt;0)*1000000+33*1000+7))</f>
        <v/>
      </c>
      <c r="J189" s="41">
        <f>IF(N('Dvd Calendar'!$L$2600)=0,"",IF(('Dvd Calendar'!$L$2600&gt;=MIN(DATE(Summary!$C$12,1,1),Summary!$C$11))*('Dvd Calendar'!$L$2600&lt;=MAX(DATE(Summary!$C$12,12,31),Summary!$C$15))*('Dvd Calendar'!$L$2600&lt;=Summary!$C$11)=0,"",'Dvd Calendar'!$L$2600*1000000000+ISNUMBER('Dvd Calendar'!$L$2601)*100000000+('Dvd Calendar'!$L$2605='Field Check'!$C$25)*10000000+(N('Dvd Calendar'!$L$2599)&gt;0)*1000000+33*1000+8))</f>
        <v/>
      </c>
      <c r="K189" s="41">
        <f>IF(N('Dvd Calendar'!$M$2600)=0,"",IF(('Dvd Calendar'!$M$2600&gt;=MIN(DATE(Summary!$C$12,1,1),Summary!$C$11))*('Dvd Calendar'!$M$2600&lt;=MAX(DATE(Summary!$C$12,12,31),Summary!$C$15))*('Dvd Calendar'!$M$2600&lt;=Summary!$C$11)=0,"",'Dvd Calendar'!$M$2600*1000000000+ISNUMBER('Dvd Calendar'!$M$2601)*100000000+('Dvd Calendar'!$M$2605='Field Check'!$C$25)*10000000+(N('Dvd Calendar'!$M$2599)&gt;0)*1000000+33*1000+9))</f>
        <v/>
      </c>
      <c r="L189" s="41">
        <f>IF(N('Dvd Calendar'!$N$2600)=0,"",IF(('Dvd Calendar'!$N$2600&gt;=MIN(DATE(Summary!$C$12,1,1),Summary!$C$11))*('Dvd Calendar'!$N$2600&lt;=MAX(DATE(Summary!$C$12,12,31),Summary!$C$15))*('Dvd Calendar'!$N$2600&lt;=Summary!$C$11)=0,"",'Dvd Calendar'!$N$2600*1000000000+ISNUMBER('Dvd Calendar'!$N$2601)*100000000+('Dvd Calendar'!$N$2605='Field Check'!$C$25)*10000000+(N('Dvd Calendar'!$N$2599)&gt;0)*1000000+33*1000+10))</f>
        <v/>
      </c>
      <c r="M189" s="41">
        <f>IF(N('Dvd Calendar'!$O$2600)=0,"",IF(('Dvd Calendar'!$O$2600&gt;=MIN(DATE(Summary!$C$12,1,1),Summary!$C$11))*('Dvd Calendar'!$O$2600&lt;=MAX(DATE(Summary!$C$12,12,31),Summary!$C$15))*('Dvd Calendar'!$O$2600&lt;=Summary!$C$11)=0,"",'Dvd Calendar'!$O$2600*1000000000+ISNUMBER('Dvd Calendar'!$O$2601)*100000000+('Dvd Calendar'!$O$2605='Field Check'!$C$25)*10000000+(N('Dvd Calendar'!$O$2599)&gt;0)*1000000+33*1000+11))</f>
        <v/>
      </c>
      <c r="N189" s="41">
        <f>IF(N('Dvd Calendar'!$P$2600)=0,"",IF(('Dvd Calendar'!$P$2600&gt;=MIN(DATE(Summary!$C$12,1,1),Summary!$C$11))*('Dvd Calendar'!$P$2600&lt;=MAX(DATE(Summary!$C$12,12,31),Summary!$C$15))*('Dvd Calendar'!$P$2600&lt;=Summary!$C$11)=0,"",'Dvd Calendar'!$P$2600*1000000000+ISNUMBER('Dvd Calendar'!$P$2601)*100000000+('Dvd Calendar'!$P$2605='Field Check'!$C$25)*10000000+(N('Dvd Calendar'!$P$2599)&gt;0)*1000000+33*1000+12))</f>
        <v/>
      </c>
      <c r="O189" s="41">
        <f>IF(N('Dvd Calendar'!$Q$2600)=0,"",IF(('Dvd Calendar'!$Q$2600&gt;=MIN(DATE(Summary!$C$12,1,1),Summary!$C$11))*('Dvd Calendar'!$Q$2600&lt;=MAX(DATE(Summary!$C$12,12,31),Summary!$C$15))*('Dvd Calendar'!$Q$2600&lt;=Summary!$C$11)=0,"",'Dvd Calendar'!$Q$2600*1000000000+ISNUMBER('Dvd Calendar'!$Q$2601)*100000000+('Dvd Calendar'!$Q$2605='Field Check'!$C$25)*10000000+(N('Dvd Calendar'!$Q$2599)&gt;0)*1000000+33*1000+13))</f>
        <v/>
      </c>
      <c r="P189" s="41">
        <f>IF(N('Dvd Calendar'!$R$2600)=0,"",IF(('Dvd Calendar'!$R$2600&gt;=MIN(DATE(Summary!$C$12,1,1),Summary!$C$11))*('Dvd Calendar'!$R$2600&lt;=MAX(DATE(Summary!$C$12,12,31),Summary!$C$15))*('Dvd Calendar'!$R$2600&lt;=Summary!$C$11)=0,"",'Dvd Calendar'!$R$2600*1000000000+ISNUMBER('Dvd Calendar'!$R$2601)*100000000+('Dvd Calendar'!$R$2605='Field Check'!$C$25)*10000000+(N('Dvd Calendar'!$R$2599)&gt;0)*1000000+33*1000+14))</f>
        <v/>
      </c>
      <c r="Q189" s="41">
        <f>IF(N('Dvd Calendar'!$S$2600)=0,"",IF(('Dvd Calendar'!$S$2600&gt;=MIN(DATE(Summary!$C$12,1,1),Summary!$C$11))*('Dvd Calendar'!$S$2600&lt;=MAX(DATE(Summary!$C$12,12,31),Summary!$C$15))*('Dvd Calendar'!$S$2600&lt;=Summary!$C$11)=0,"",'Dvd Calendar'!$S$2600*1000000000+ISNUMBER('Dvd Calendar'!$S$2601)*100000000+('Dvd Calendar'!$S$2605='Field Check'!$C$25)*10000000+(N('Dvd Calendar'!$S$2599)&gt;0)*1000000+33*1000+15))</f>
        <v/>
      </c>
      <c r="R189" s="41">
        <f>IF(N('Dvd Calendar'!$T$2600)=0,"",IF(('Dvd Calendar'!$T$2600&gt;=MIN(DATE(Summary!$C$12,1,1),Summary!$C$11))*('Dvd Calendar'!$T$2600&lt;=MAX(DATE(Summary!$C$12,12,31),Summary!$C$15))*('Dvd Calendar'!$T$2600&lt;=Summary!$C$11)=0,"",'Dvd Calendar'!$T$2600*1000000000+ISNUMBER('Dvd Calendar'!$T$2601)*100000000+('Dvd Calendar'!$T$2605='Field Check'!$C$25)*10000000+(N('Dvd Calendar'!$T$2599)&gt;0)*1000000+33*1000+16))</f>
        <v/>
      </c>
      <c r="S189" s="41">
        <f>IF(N('Dvd Calendar'!$U$2600)=0,"",IF(('Dvd Calendar'!$U$2600&gt;=MIN(DATE(Summary!$C$12,1,1),Summary!$C$11))*('Dvd Calendar'!$U$2600&lt;=MAX(DATE(Summary!$C$12,12,31),Summary!$C$15))*('Dvd Calendar'!$U$2600&lt;=Summary!$C$11)=0,"",'Dvd Calendar'!$U$2600*1000000000+ISNUMBER('Dvd Calendar'!$U$2601)*100000000+('Dvd Calendar'!$U$2605='Field Check'!$C$25)*10000000+(N('Dvd Calendar'!$U$2599)&gt;0)*1000000+33*1000+17))</f>
        <v/>
      </c>
      <c r="T189" s="41">
        <f>IF(N('Dvd Calendar'!$V$2600)=0,"",IF(('Dvd Calendar'!$V$2600&gt;=MIN(DATE(Summary!$C$12,1,1),Summary!$C$11))*('Dvd Calendar'!$V$2600&lt;=MAX(DATE(Summary!$C$12,12,31),Summary!$C$15))*('Dvd Calendar'!$V$2600&lt;=Summary!$C$11)=0,"",'Dvd Calendar'!$V$2600*1000000000+ISNUMBER('Dvd Calendar'!$V$2601)*100000000+('Dvd Calendar'!$V$2605='Field Check'!$C$25)*10000000+(N('Dvd Calendar'!$V$2599)&gt;0)*1000000+33*1000+18))</f>
        <v/>
      </c>
      <c r="U189" s="41">
        <f>IF(N('Dvd Calendar'!$W$2600)=0,"",IF(('Dvd Calendar'!$W$2600&gt;=MIN(DATE(Summary!$C$12,1,1),Summary!$C$11))*('Dvd Calendar'!$W$2600&lt;=MAX(DATE(Summary!$C$12,12,31),Summary!$C$15))*('Dvd Calendar'!$W$2600&lt;=Summary!$C$11)=0,"",'Dvd Calendar'!$W$2600*1000000000+ISNUMBER('Dvd Calendar'!$W$2601)*100000000+('Dvd Calendar'!$W$2605='Field Check'!$C$25)*10000000+(N('Dvd Calendar'!$W$2599)&gt;0)*1000000+33*1000+19))</f>
        <v/>
      </c>
      <c r="V189" s="41">
        <f>IF(N('Dvd Calendar'!$X$2600)=0,"",IF(('Dvd Calendar'!$X$2600&gt;=MIN(DATE(Summary!$C$12,1,1),Summary!$C$11))*('Dvd Calendar'!$X$2600&lt;=MAX(DATE(Summary!$C$12,12,31),Summary!$C$15))*('Dvd Calendar'!$X$2600&lt;=Summary!$C$11)=0,"",'Dvd Calendar'!$X$2600*1000000000+ISNUMBER('Dvd Calendar'!$X$2601)*100000000+('Dvd Calendar'!$X$2605='Field Check'!$C$25)*10000000+(N('Dvd Calendar'!$X$2599)&gt;0)*1000000+33*1000+20))</f>
        <v/>
      </c>
      <c r="W189" s="41">
        <f>IF(N('Dvd Calendar'!$Y$2600)=0,"",IF(('Dvd Calendar'!$Y$2600&gt;=MIN(DATE(Summary!$C$12,1,1),Summary!$C$11))*('Dvd Calendar'!$Y$2600&lt;=MAX(DATE(Summary!$C$12,12,31),Summary!$C$15))*('Dvd Calendar'!$Y$2600&lt;=Summary!$C$11)=0,"",'Dvd Calendar'!$Y$2600*1000000000+ISNUMBER('Dvd Calendar'!$Y$2601)*100000000+('Dvd Calendar'!$Y$2605='Field Check'!$C$25)*10000000+(N('Dvd Calendar'!$Y$2599)&gt;0)*1000000+33*1000+21))</f>
        <v/>
      </c>
      <c r="X189" s="41">
        <f>IF(N('Dvd Calendar'!$Z$2600)=0,"",IF(('Dvd Calendar'!$Z$2600&gt;=MIN(DATE(Summary!$C$12,1,1),Summary!$C$11))*('Dvd Calendar'!$Z$2600&lt;=MAX(DATE(Summary!$C$12,12,31),Summary!$C$15))*('Dvd Calendar'!$Z$2600&lt;=Summary!$C$11)=0,"",'Dvd Calendar'!$Z$2600*1000000000+ISNUMBER('Dvd Calendar'!$Z$2601)*100000000+('Dvd Calendar'!$Z$2605='Field Check'!$C$25)*10000000+(N('Dvd Calendar'!$Z$2599)&gt;0)*1000000+33*1000+22))</f>
        <v/>
      </c>
      <c r="Y189" s="41">
        <f>IF(N('Dvd Calendar'!$AA$2600)=0,"",IF(('Dvd Calendar'!$AA$2600&gt;=MIN(DATE(Summary!$C$12,1,1),Summary!$C$11))*('Dvd Calendar'!$AA$2600&lt;=MAX(DATE(Summary!$C$12,12,31),Summary!$C$15))*('Dvd Calendar'!$AA$2600&lt;=Summary!$C$11)=0,"",'Dvd Calendar'!$AA$2600*1000000000+ISNUMBER('Dvd Calendar'!$AA$2601)*100000000+('Dvd Calendar'!$AA$2605='Field Check'!$C$25)*10000000+(N('Dvd Calendar'!$AA$2599)&gt;0)*1000000+33*1000+23))</f>
        <v/>
      </c>
      <c r="Z189" s="41">
        <f>IF(N('Dvd Calendar'!$AB$2600)=0,"",IF(('Dvd Calendar'!$AB$2600&gt;=MIN(DATE(Summary!$C$12,1,1),Summary!$C$11))*('Dvd Calendar'!$AB$2600&lt;=MAX(DATE(Summary!$C$12,12,31),Summary!$C$15))*('Dvd Calendar'!$AB$2600&lt;=Summary!$C$11)=0,"",'Dvd Calendar'!$AB$2600*1000000000+ISNUMBER('Dvd Calendar'!$AB$2601)*100000000+('Dvd Calendar'!$AB$2605='Field Check'!$C$25)*10000000+(N('Dvd Calendar'!$AB$2599)&gt;0)*1000000+33*1000+24))</f>
        <v/>
      </c>
      <c r="AA189" s="41">
        <f>IF(N('Dvd Calendar'!$AC$2600)=0,"",IF(('Dvd Calendar'!$AC$2600&gt;=MIN(DATE(Summary!$C$12,1,1),Summary!$C$11))*('Dvd Calendar'!$AC$2600&lt;=MAX(DATE(Summary!$C$12,12,31),Summary!$C$15))*('Dvd Calendar'!$AC$2600&lt;=Summary!$C$11)=0,"",'Dvd Calendar'!$AC$2600*1000000000+ISNUMBER('Dvd Calendar'!$AC$2601)*100000000+('Dvd Calendar'!$AC$2605='Field Check'!$C$25)*10000000+(N('Dvd Calendar'!$AC$2599)&gt;0)*1000000+33*1000+25))</f>
        <v/>
      </c>
      <c r="AB189" s="41">
        <f>IF(N('Dvd Calendar'!$AD$2600)=0,"",IF(('Dvd Calendar'!$AD$2600&gt;=MIN(DATE(Summary!$C$12,1,1),Summary!$C$11))*('Dvd Calendar'!$AD$2600&lt;=MAX(DATE(Summary!$C$12,12,31),Summary!$C$15))*('Dvd Calendar'!$AD$2600&lt;=Summary!$C$11)=0,"",'Dvd Calendar'!$AD$2600*1000000000+ISNUMBER('Dvd Calendar'!$AD$2601)*100000000+('Dvd Calendar'!$AD$2605='Field Check'!$C$25)*10000000+(N('Dvd Calendar'!$AD$2599)&gt;0)*1000000+33*1000+26))</f>
        <v/>
      </c>
      <c r="AC189" s="41">
        <f>IF(N('Dvd Calendar'!$AE$2600)=0,"",IF(('Dvd Calendar'!$AE$2600&gt;=MIN(DATE(Summary!$C$12,1,1),Summary!$C$11))*('Dvd Calendar'!$AE$2600&lt;=MAX(DATE(Summary!$C$12,12,31),Summary!$C$15))*('Dvd Calendar'!$AE$2600&lt;=Summary!$C$11)=0,"",'Dvd Calendar'!$AE$2600*1000000000+ISNUMBER('Dvd Calendar'!$AE$2601)*100000000+('Dvd Calendar'!$AE$2605='Field Check'!$C$25)*10000000+(N('Dvd Calendar'!$AE$2599)&gt;0)*1000000+33*1000+27))</f>
        <v/>
      </c>
      <c r="AD189" s="41">
        <f>IF(N('Dvd Calendar'!$AF$2600)=0,"",IF(('Dvd Calendar'!$AF$2600&gt;=MIN(DATE(Summary!$C$12,1,1),Summary!$C$11))*('Dvd Calendar'!$AF$2600&lt;=MAX(DATE(Summary!$C$12,12,31),Summary!$C$15))*('Dvd Calendar'!$AF$2600&lt;=Summary!$C$11)=0,"",'Dvd Calendar'!$AF$2600*1000000000+ISNUMBER('Dvd Calendar'!$AF$2601)*100000000+('Dvd Calendar'!$AF$2605='Field Check'!$C$25)*10000000+(N('Dvd Calendar'!$AF$2599)&gt;0)*1000000+33*1000+28))</f>
        <v/>
      </c>
      <c r="AE189" s="41">
        <f>IF(N('Dvd Calendar'!$AG$2600)=0,"",IF(('Dvd Calendar'!$AG$2600&gt;=MIN(DATE(Summary!$C$12,1,1),Summary!$C$11))*('Dvd Calendar'!$AG$2600&lt;=MAX(DATE(Summary!$C$12,12,31),Summary!$C$15))*('Dvd Calendar'!$AG$2600&lt;=Summary!$C$11)=0,"",'Dvd Calendar'!$AG$2600*1000000000+ISNUMBER('Dvd Calendar'!$AG$2601)*100000000+('Dvd Calendar'!$AG$2605='Field Check'!$C$25)*10000000+(N('Dvd Calendar'!$AG$2599)&gt;0)*1000000+33*1000+29))</f>
        <v/>
      </c>
      <c r="AF189" s="41">
        <f>IF(N('Dvd Calendar'!$AH$2600)=0,"",IF(('Dvd Calendar'!$AH$2600&gt;=MIN(DATE(Summary!$C$12,1,1),Summary!$C$11))*('Dvd Calendar'!$AH$2600&lt;=MAX(DATE(Summary!$C$12,12,31),Summary!$C$15))*('Dvd Calendar'!$AH$2600&lt;=Summary!$C$11)=0,"",'Dvd Calendar'!$AH$2600*1000000000+ISNUMBER('Dvd Calendar'!$AH$2601)*100000000+('Dvd Calendar'!$AH$2605='Field Check'!$C$25)*10000000+(N('Dvd Calendar'!$AH$2599)&gt;0)*1000000+33*1000+30))</f>
        <v/>
      </c>
      <c r="AG189" s="41">
        <f>IF(N('Dvd Calendar'!$AI$2600)=0,"",IF(('Dvd Calendar'!$AI$2600&gt;=MIN(DATE(Summary!$C$12,1,1),Summary!$C$11))*('Dvd Calendar'!$AI$2600&lt;=MAX(DATE(Summary!$C$12,12,31),Summary!$C$15))*('Dvd Calendar'!$AI$2600&lt;=Summary!$C$11)=0,"",'Dvd Calendar'!$AI$2600*1000000000+ISNUMBER('Dvd Calendar'!$AI$2601)*100000000+('Dvd Calendar'!$AI$2605='Field Check'!$C$25)*10000000+(N('Dvd Calendar'!$AI$2599)&gt;0)*1000000+33*1000+31))</f>
        <v/>
      </c>
      <c r="AH189" s="41">
        <f>IF(N('Dvd Calendar'!$AJ$2600)=0,"",IF(('Dvd Calendar'!$AJ$2600&gt;=MIN(DATE(Summary!$C$12,1,1),Summary!$C$11))*('Dvd Calendar'!$AJ$2600&lt;=MAX(DATE(Summary!$C$12,12,31),Summary!$C$15))*('Dvd Calendar'!$AJ$2600&lt;=Summary!$C$11)=0,"",'Dvd Calendar'!$AJ$2600*1000000000+ISNUMBER('Dvd Calendar'!$AJ$2601)*100000000+('Dvd Calendar'!$AJ$2605='Field Check'!$C$25)*10000000+(N('Dvd Calendar'!$AJ$2599)&gt;0)*1000000+33*1000+32))</f>
        <v/>
      </c>
      <c r="AI189" s="41">
        <f>IF(N('Dvd Calendar'!$AK$2600)=0,"",IF(('Dvd Calendar'!$AK$2600&gt;=MIN(DATE(Summary!$C$12,1,1),Summary!$C$11))*('Dvd Calendar'!$AK$2600&lt;=MAX(DATE(Summary!$C$12,12,31),Summary!$C$15))*('Dvd Calendar'!$AK$2600&lt;=Summary!$C$11)=0,"",'Dvd Calendar'!$AK$2600*1000000000+ISNUMBER('Dvd Calendar'!$AK$2601)*100000000+('Dvd Calendar'!$AK$2605='Field Check'!$C$25)*10000000+(N('Dvd Calendar'!$AK$2599)&gt;0)*1000000+33*1000+33))</f>
        <v/>
      </c>
      <c r="AJ189" s="41">
        <f>IF(N('Dvd Calendar'!$AL$2600)=0,"",IF(('Dvd Calendar'!$AL$2600&gt;=MIN(DATE(Summary!$C$12,1,1),Summary!$C$11))*('Dvd Calendar'!$AL$2600&lt;=MAX(DATE(Summary!$C$12,12,31),Summary!$C$15))*('Dvd Calendar'!$AL$2600&lt;=Summary!$C$11)=0,"",'Dvd Calendar'!$AL$2600*1000000000+ISNUMBER('Dvd Calendar'!$AL$2601)*100000000+('Dvd Calendar'!$AL$2605='Field Check'!$C$25)*10000000+(N('Dvd Calendar'!$AL$2599)&gt;0)*1000000+33*1000+34))</f>
        <v/>
      </c>
      <c r="AK189" s="41">
        <f>IF(N('Dvd Calendar'!$AM$2600)=0,"",IF(('Dvd Calendar'!$AM$2600&gt;=MIN(DATE(Summary!$C$12,1,1),Summary!$C$11))*('Dvd Calendar'!$AM$2600&lt;=MAX(DATE(Summary!$C$12,12,31),Summary!$C$15))*('Dvd Calendar'!$AM$2600&lt;=Summary!$C$11)=0,"",'Dvd Calendar'!$AM$2600*1000000000+ISNUMBER('Dvd Calendar'!$AM$2601)*100000000+('Dvd Calendar'!$AM$2605='Field Check'!$C$25)*10000000+(N('Dvd Calendar'!$AM$2599)&gt;0)*1000000+33*1000+35))</f>
        <v/>
      </c>
      <c r="AL189" s="41">
        <f>IF(N('Dvd Calendar'!$AN$2600)=0,"",IF(('Dvd Calendar'!$AN$2600&gt;=MIN(DATE(Summary!$C$12,1,1),Summary!$C$11))*('Dvd Calendar'!$AN$2600&lt;=MAX(DATE(Summary!$C$12,12,31),Summary!$C$15))*('Dvd Calendar'!$AN$2600&lt;=Summary!$C$11)=0,"",'Dvd Calendar'!$AN$2600*1000000000+ISNUMBER('Dvd Calendar'!$AN$2601)*100000000+('Dvd Calendar'!$AN$2605='Field Check'!$C$25)*10000000+(N('Dvd Calendar'!$AN$2599)&gt;0)*1000000+33*1000+36))</f>
        <v/>
      </c>
      <c r="AM189" s="41">
        <f>IF(N('Dvd Calendar'!$AO$2600)=0,"",IF(('Dvd Calendar'!$AO$2600&gt;=MIN(DATE(Summary!$C$12,1,1),Summary!$C$11))*('Dvd Calendar'!$AO$2600&lt;=MAX(DATE(Summary!$C$12,12,31),Summary!$C$15))*('Dvd Calendar'!$AO$2600&lt;=Summary!$C$11)=0,"",'Dvd Calendar'!$AO$2600*1000000000+ISNUMBER('Dvd Calendar'!$AO$2601)*100000000+('Dvd Calendar'!$AO$2605='Field Check'!$C$25)*10000000+(N('Dvd Calendar'!$AO$2599)&gt;0)*1000000+33*1000+37))</f>
        <v/>
      </c>
      <c r="AN189" s="41">
        <f>IF(N('Dvd Calendar'!$AP$2600)=0,"",IF(('Dvd Calendar'!$AP$2600&gt;=MIN(DATE(Summary!$C$12,1,1),Summary!$C$11))*('Dvd Calendar'!$AP$2600&lt;=MAX(DATE(Summary!$C$12,12,31),Summary!$C$15))*('Dvd Calendar'!$AP$2600&lt;=Summary!$C$11)=0,"",'Dvd Calendar'!$AP$2600*1000000000+ISNUMBER('Dvd Calendar'!$AP$2601)*100000000+('Dvd Calendar'!$AP$2605='Field Check'!$C$25)*10000000+(N('Dvd Calendar'!$AP$2599)&gt;0)*1000000+33*1000+38))</f>
        <v/>
      </c>
      <c r="AO189" s="41">
        <f>IF(N('Dvd Calendar'!$AQ$2600)=0,"",IF(('Dvd Calendar'!$AQ$2600&gt;=MIN(DATE(Summary!$C$12,1,1),Summary!$C$11))*('Dvd Calendar'!$AQ$2600&lt;=MAX(DATE(Summary!$C$12,12,31),Summary!$C$15))*('Dvd Calendar'!$AQ$2600&lt;=Summary!$C$11)=0,"",'Dvd Calendar'!$AQ$2600*1000000000+ISNUMBER('Dvd Calendar'!$AQ$2601)*100000000+('Dvd Calendar'!$AQ$2605='Field Check'!$C$25)*10000000+(N('Dvd Calendar'!$AQ$2599)&gt;0)*1000000+33*1000+39))</f>
        <v/>
      </c>
      <c r="AP189" s="41">
        <f>IF(N('Dvd Calendar'!$AR$2600)=0,"",IF(('Dvd Calendar'!$AR$2600&gt;=MIN(DATE(Summary!$C$12,1,1),Summary!$C$11))*('Dvd Calendar'!$AR$2600&lt;=MAX(DATE(Summary!$C$12,12,31),Summary!$C$15))*('Dvd Calendar'!$AR$2600&lt;=Summary!$C$11)=0,"",'Dvd Calendar'!$AR$2600*1000000000+ISNUMBER('Dvd Calendar'!$AR$2601)*100000000+('Dvd Calendar'!$AR$2605='Field Check'!$C$25)*10000000+(N('Dvd Calendar'!$AR$2599)&gt;0)*1000000+33*1000+40))</f>
        <v/>
      </c>
      <c r="AQ189" s="41">
        <f>IF(N('Dvd Calendar'!$E$2607)=0,"",IF(('Dvd Calendar'!$E$2607&gt;=MIN(DATE(Summary!$C$12,1,1),Summary!$C$11))*('Dvd Calendar'!$E$2607&lt;=MAX(DATE(Summary!$C$12,12,31),Summary!$C$15))*('Dvd Calendar'!$E$2607&gt;Summary!$C$11)=0,"",'Dvd Calendar'!$E$2607*1000000000+ISNUMBER('Dvd Calendar'!$E$2608)*100000000+('Dvd Calendar'!$E$2612='Field Check'!$C$25)*10000000+(N('Dvd Calendar'!$E$2606)&gt;0)*1000000+33*1000+41))</f>
        <v/>
      </c>
      <c r="AR189" s="41">
        <f>IF(N('Dvd Calendar'!$F$2607)=0,"",IF(('Dvd Calendar'!$F$2607&gt;=MIN(DATE(Summary!$C$12,1,1),Summary!$C$11))*('Dvd Calendar'!$F$2607&lt;=MAX(DATE(Summary!$C$12,12,31),Summary!$C$15))*('Dvd Calendar'!$F$2607&gt;Summary!$C$11)=0,"",'Dvd Calendar'!$F$2607*1000000000+ISNUMBER('Dvd Calendar'!$F$2608)*100000000+('Dvd Calendar'!$F$2612='Field Check'!$C$25)*10000000+(N('Dvd Calendar'!$F$2606)&gt;0)*1000000+33*1000+42))</f>
        <v/>
      </c>
      <c r="AS189" s="41">
        <f>IF(N('Dvd Calendar'!$G$2607)=0,"",IF(('Dvd Calendar'!$G$2607&gt;=MIN(DATE(Summary!$C$12,1,1),Summary!$C$11))*('Dvd Calendar'!$G$2607&lt;=MAX(DATE(Summary!$C$12,12,31),Summary!$C$15))*('Dvd Calendar'!$G$2607&gt;Summary!$C$11)=0,"",'Dvd Calendar'!$G$2607*1000000000+ISNUMBER('Dvd Calendar'!$G$2608)*100000000+('Dvd Calendar'!$G$2612='Field Check'!$C$25)*10000000+(N('Dvd Calendar'!$G$2606)&gt;0)*1000000+33*1000+43))</f>
        <v/>
      </c>
      <c r="AT189" s="41">
        <f>IF(N('Dvd Calendar'!$H$2607)=0,"",IF(('Dvd Calendar'!$H$2607&gt;=MIN(DATE(Summary!$C$12,1,1),Summary!$C$11))*('Dvd Calendar'!$H$2607&lt;=MAX(DATE(Summary!$C$12,12,31),Summary!$C$15))*('Dvd Calendar'!$H$2607&gt;Summary!$C$11)=0,"",'Dvd Calendar'!$H$2607*1000000000+ISNUMBER('Dvd Calendar'!$H$2608)*100000000+('Dvd Calendar'!$H$2612='Field Check'!$C$25)*10000000+(N('Dvd Calendar'!$H$2606)&gt;0)*1000000+33*1000+44))</f>
        <v/>
      </c>
      <c r="AU189" s="41">
        <f>IF(N('Dvd Calendar'!$I$2607)=0,"",IF(('Dvd Calendar'!$I$2607&gt;=MIN(DATE(Summary!$C$12,1,1),Summary!$C$11))*('Dvd Calendar'!$I$2607&lt;=MAX(DATE(Summary!$C$12,12,31),Summary!$C$15))*('Dvd Calendar'!$I$2607&gt;Summary!$C$11)=0,"",'Dvd Calendar'!$I$2607*1000000000+ISNUMBER('Dvd Calendar'!$I$2608)*100000000+('Dvd Calendar'!$I$2612='Field Check'!$C$25)*10000000+(N('Dvd Calendar'!$I$2606)&gt;0)*1000000+33*1000+45))</f>
        <v/>
      </c>
      <c r="AV189" s="41">
        <f>IF(N('Dvd Calendar'!$J$2607)=0,"",IF(('Dvd Calendar'!$J$2607&gt;=MIN(DATE(Summary!$C$12,1,1),Summary!$C$11))*('Dvd Calendar'!$J$2607&lt;=MAX(DATE(Summary!$C$12,12,31),Summary!$C$15))*('Dvd Calendar'!$J$2607&gt;Summary!$C$11)=0,"",'Dvd Calendar'!$J$2607*1000000000+ISNUMBER('Dvd Calendar'!$J$2608)*100000000+('Dvd Calendar'!$J$2612='Field Check'!$C$25)*10000000+(N('Dvd Calendar'!$J$2606)&gt;0)*1000000+33*1000+46))</f>
        <v/>
      </c>
      <c r="AW189" s="41">
        <f>IF(N('Dvd Calendar'!$K$2607)=0,"",IF(('Dvd Calendar'!$K$2607&gt;=MIN(DATE(Summary!$C$12,1,1),Summary!$C$11))*('Dvd Calendar'!$K$2607&lt;=MAX(DATE(Summary!$C$12,12,31),Summary!$C$15))*('Dvd Calendar'!$K$2607&gt;Summary!$C$11)=0,"",'Dvd Calendar'!$K$2607*1000000000+ISNUMBER('Dvd Calendar'!$K$2608)*100000000+('Dvd Calendar'!$K$2612='Field Check'!$C$25)*10000000+(N('Dvd Calendar'!$K$2606)&gt;0)*1000000+33*1000+47))</f>
        <v/>
      </c>
      <c r="AX189" s="41">
        <f>IF(N('Dvd Calendar'!$L$2607)=0,"",IF(('Dvd Calendar'!$L$2607&gt;=MIN(DATE(Summary!$C$12,1,1),Summary!$C$11))*('Dvd Calendar'!$L$2607&lt;=MAX(DATE(Summary!$C$12,12,31),Summary!$C$15))*('Dvd Calendar'!$L$2607&gt;Summary!$C$11)=0,"",'Dvd Calendar'!$L$2607*1000000000+ISNUMBER('Dvd Calendar'!$L$2608)*100000000+('Dvd Calendar'!$L$2612='Field Check'!$C$25)*10000000+(N('Dvd Calendar'!$L$2606)&gt;0)*1000000+33*1000+48))</f>
        <v/>
      </c>
      <c r="AY189" s="41">
        <f>IF(N('Dvd Calendar'!$M$2607)=0,"",IF(('Dvd Calendar'!$M$2607&gt;=MIN(DATE(Summary!$C$12,1,1),Summary!$C$11))*('Dvd Calendar'!$M$2607&lt;=MAX(DATE(Summary!$C$12,12,31),Summary!$C$15))*('Dvd Calendar'!$M$2607&gt;Summary!$C$11)=0,"",'Dvd Calendar'!$M$2607*1000000000+ISNUMBER('Dvd Calendar'!$M$2608)*100000000+('Dvd Calendar'!$M$2612='Field Check'!$C$25)*10000000+(N('Dvd Calendar'!$M$2606)&gt;0)*1000000+33*1000+49))</f>
        <v/>
      </c>
      <c r="AZ189" s="41">
        <f>IF(N('Dvd Calendar'!$N$2607)=0,"",IF(('Dvd Calendar'!$N$2607&gt;=MIN(DATE(Summary!$C$12,1,1),Summary!$C$11))*('Dvd Calendar'!$N$2607&lt;=MAX(DATE(Summary!$C$12,12,31),Summary!$C$15))*('Dvd Calendar'!$N$2607&gt;Summary!$C$11)=0,"",'Dvd Calendar'!$N$2607*1000000000+ISNUMBER('Dvd Calendar'!$N$2608)*100000000+('Dvd Calendar'!$N$2612='Field Check'!$C$25)*10000000+(N('Dvd Calendar'!$N$2606)&gt;0)*1000000+33*1000+50))</f>
        <v/>
      </c>
      <c r="BA189" s="41">
        <f>IF(N('Dvd Calendar'!$O$2607)=0,"",IF(('Dvd Calendar'!$O$2607&gt;=MIN(DATE(Summary!$C$12,1,1),Summary!$C$11))*('Dvd Calendar'!$O$2607&lt;=MAX(DATE(Summary!$C$12,12,31),Summary!$C$15))*('Dvd Calendar'!$O$2607&gt;Summary!$C$11)=0,"",'Dvd Calendar'!$O$2607*1000000000+ISNUMBER('Dvd Calendar'!$O$2608)*100000000+('Dvd Calendar'!$O$2612='Field Check'!$C$25)*10000000+(N('Dvd Calendar'!$O$2606)&gt;0)*1000000+33*1000+51))</f>
        <v/>
      </c>
      <c r="BB189" s="41">
        <f>IF(N('Dvd Calendar'!$P$2607)=0,"",IF(('Dvd Calendar'!$P$2607&gt;=MIN(DATE(Summary!$C$12,1,1),Summary!$C$11))*('Dvd Calendar'!$P$2607&lt;=MAX(DATE(Summary!$C$12,12,31),Summary!$C$15))*('Dvd Calendar'!$P$2607&gt;Summary!$C$11)=0,"",'Dvd Calendar'!$P$2607*1000000000+ISNUMBER('Dvd Calendar'!$P$2608)*100000000+('Dvd Calendar'!$P$2612='Field Check'!$C$25)*10000000+(N('Dvd Calendar'!$P$2606)&gt;0)*1000000+33*1000+52))</f>
        <v/>
      </c>
      <c r="BC189" s="41">
        <f>IF(N('Dvd Calendar'!$Q$2607)=0,"",IF(('Dvd Calendar'!$Q$2607&gt;=MIN(DATE(Summary!$C$12,1,1),Summary!$C$11))*('Dvd Calendar'!$Q$2607&lt;=MAX(DATE(Summary!$C$12,12,31),Summary!$C$15))*('Dvd Calendar'!$Q$2607&gt;Summary!$C$11)=0,"",'Dvd Calendar'!$Q$2607*1000000000+ISNUMBER('Dvd Calendar'!$Q$2608)*100000000+('Dvd Calendar'!$Q$2612='Field Check'!$C$25)*10000000+(N('Dvd Calendar'!$Q$2606)&gt;0)*1000000+33*1000+53))</f>
        <v/>
      </c>
      <c r="BD189" s="41">
        <f>IF(N('Dvd Calendar'!$R$2607)=0,"",IF(('Dvd Calendar'!$R$2607&gt;=MIN(DATE(Summary!$C$12,1,1),Summary!$C$11))*('Dvd Calendar'!$R$2607&lt;=MAX(DATE(Summary!$C$12,12,31),Summary!$C$15))*('Dvd Calendar'!$R$2607&gt;Summary!$C$11)=0,"",'Dvd Calendar'!$R$2607*1000000000+ISNUMBER('Dvd Calendar'!$R$2608)*100000000+('Dvd Calendar'!$R$2612='Field Check'!$C$25)*10000000+(N('Dvd Calendar'!$R$2606)&gt;0)*1000000+33*1000+54))</f>
        <v/>
      </c>
      <c r="BE189" s="41">
        <f>IF(N('Dvd Calendar'!$S$2607)=0,"",IF(('Dvd Calendar'!$S$2607&gt;=MIN(DATE(Summary!$C$12,1,1),Summary!$C$11))*('Dvd Calendar'!$S$2607&lt;=MAX(DATE(Summary!$C$12,12,31),Summary!$C$15))*('Dvd Calendar'!$S$2607&gt;Summary!$C$11)=0,"",'Dvd Calendar'!$S$2607*1000000000+ISNUMBER('Dvd Calendar'!$S$2608)*100000000+('Dvd Calendar'!$S$2612='Field Check'!$C$25)*10000000+(N('Dvd Calendar'!$S$2606)&gt;0)*1000000+33*1000+55))</f>
        <v/>
      </c>
      <c r="BF189" s="41">
        <f>IF(N('Dvd Calendar'!$T$2607)=0,"",IF(('Dvd Calendar'!$T$2607&gt;=MIN(DATE(Summary!$C$12,1,1),Summary!$C$11))*('Dvd Calendar'!$T$2607&lt;=MAX(DATE(Summary!$C$12,12,31),Summary!$C$15))*('Dvd Calendar'!$T$2607&gt;Summary!$C$11)=0,"",'Dvd Calendar'!$T$2607*1000000000+ISNUMBER('Dvd Calendar'!$T$2608)*100000000+('Dvd Calendar'!$T$2612='Field Check'!$C$25)*10000000+(N('Dvd Calendar'!$T$2606)&gt;0)*1000000+33*1000+56))</f>
        <v/>
      </c>
      <c r="BG189" s="41">
        <f>IF(N('Dvd Calendar'!$U$2607)=0,"",IF(('Dvd Calendar'!$U$2607&gt;=MIN(DATE(Summary!$C$12,1,1),Summary!$C$11))*('Dvd Calendar'!$U$2607&lt;=MAX(DATE(Summary!$C$12,12,31),Summary!$C$15))*('Dvd Calendar'!$U$2607&gt;Summary!$C$11)=0,"",'Dvd Calendar'!$U$2607*1000000000+ISNUMBER('Dvd Calendar'!$U$2608)*100000000+('Dvd Calendar'!$U$2612='Field Check'!$C$25)*10000000+(N('Dvd Calendar'!$U$2606)&gt;0)*1000000+33*1000+57))</f>
        <v/>
      </c>
      <c r="BH189" s="41">
        <f>IF(N('Dvd Calendar'!$V$2607)=0,"",IF(('Dvd Calendar'!$V$2607&gt;=MIN(DATE(Summary!$C$12,1,1),Summary!$C$11))*('Dvd Calendar'!$V$2607&lt;=MAX(DATE(Summary!$C$12,12,31),Summary!$C$15))*('Dvd Calendar'!$V$2607&gt;Summary!$C$11)=0,"",'Dvd Calendar'!$V$2607*1000000000+ISNUMBER('Dvd Calendar'!$V$2608)*100000000+('Dvd Calendar'!$V$2612='Field Check'!$C$25)*10000000+(N('Dvd Calendar'!$V$2606)&gt;0)*1000000+33*1000+58))</f>
        <v/>
      </c>
      <c r="BI189" s="41">
        <f>IF(N('Dvd Calendar'!$W$2607)=0,"",IF(('Dvd Calendar'!$W$2607&gt;=MIN(DATE(Summary!$C$12,1,1),Summary!$C$11))*('Dvd Calendar'!$W$2607&lt;=MAX(DATE(Summary!$C$12,12,31),Summary!$C$15))*('Dvd Calendar'!$W$2607&gt;Summary!$C$11)=0,"",'Dvd Calendar'!$W$2607*1000000000+ISNUMBER('Dvd Calendar'!$W$2608)*100000000+('Dvd Calendar'!$W$2612='Field Check'!$C$25)*10000000+(N('Dvd Calendar'!$W$2606)&gt;0)*1000000+33*1000+59))</f>
        <v/>
      </c>
      <c r="BJ189" s="41">
        <f>IF(N('Dvd Calendar'!$X$2607)=0,"",IF(('Dvd Calendar'!$X$2607&gt;=MIN(DATE(Summary!$C$12,1,1),Summary!$C$11))*('Dvd Calendar'!$X$2607&lt;=MAX(DATE(Summary!$C$12,12,31),Summary!$C$15))*('Dvd Calendar'!$X$2607&gt;Summary!$C$11)=0,"",'Dvd Calendar'!$X$2607*1000000000+ISNUMBER('Dvd Calendar'!$X$2608)*100000000+('Dvd Calendar'!$X$2612='Field Check'!$C$25)*10000000+(N('Dvd Calendar'!$X$2606)&gt;0)*1000000+33*1000+60))</f>
        <v/>
      </c>
      <c r="BK189" s="41">
        <f>IF(N('Dvd Calendar'!$Y$2607)=0,"",IF(('Dvd Calendar'!$Y$2607&gt;=MIN(DATE(Summary!$C$12,1,1),Summary!$C$11))*('Dvd Calendar'!$Y$2607&lt;=MAX(DATE(Summary!$C$12,12,31),Summary!$C$15))*('Dvd Calendar'!$Y$2607&gt;Summary!$C$11)=0,"",'Dvd Calendar'!$Y$2607*1000000000+ISNUMBER('Dvd Calendar'!$Y$2608)*100000000+('Dvd Calendar'!$Y$2612='Field Check'!$C$25)*10000000+(N('Dvd Calendar'!$Y$2606)&gt;0)*1000000+33*1000+61))</f>
        <v/>
      </c>
      <c r="BL189" s="41">
        <f>IF(N('Dvd Calendar'!$Z$2607)=0,"",IF(('Dvd Calendar'!$Z$2607&gt;=MIN(DATE(Summary!$C$12,1,1),Summary!$C$11))*('Dvd Calendar'!$Z$2607&lt;=MAX(DATE(Summary!$C$12,12,31),Summary!$C$15))*('Dvd Calendar'!$Z$2607&gt;Summary!$C$11)=0,"",'Dvd Calendar'!$Z$2607*1000000000+ISNUMBER('Dvd Calendar'!$Z$2608)*100000000+('Dvd Calendar'!$Z$2612='Field Check'!$C$25)*10000000+(N('Dvd Calendar'!$Z$2606)&gt;0)*1000000+33*1000+62))</f>
        <v/>
      </c>
      <c r="BM189" s="41">
        <f>IF(N('Dvd Calendar'!$AA$2607)=0,"",IF(('Dvd Calendar'!$AA$2607&gt;=MIN(DATE(Summary!$C$12,1,1),Summary!$C$11))*('Dvd Calendar'!$AA$2607&lt;=MAX(DATE(Summary!$C$12,12,31),Summary!$C$15))*('Dvd Calendar'!$AA$2607&gt;Summary!$C$11)=0,"",'Dvd Calendar'!$AA$2607*1000000000+ISNUMBER('Dvd Calendar'!$AA$2608)*100000000+('Dvd Calendar'!$AA$2612='Field Check'!$C$25)*10000000+(N('Dvd Calendar'!$AA$2606)&gt;0)*1000000+33*1000+63))</f>
        <v/>
      </c>
      <c r="BN189" s="41">
        <f>IF(N('Dvd Calendar'!$AB$2607)=0,"",IF(('Dvd Calendar'!$AB$2607&gt;=MIN(DATE(Summary!$C$12,1,1),Summary!$C$11))*('Dvd Calendar'!$AB$2607&lt;=MAX(DATE(Summary!$C$12,12,31),Summary!$C$15))*('Dvd Calendar'!$AB$2607&gt;Summary!$C$11)=0,"",'Dvd Calendar'!$AB$2607*1000000000+ISNUMBER('Dvd Calendar'!$AB$2608)*100000000+('Dvd Calendar'!$AB$2612='Field Check'!$C$25)*10000000+(N('Dvd Calendar'!$AB$2606)&gt;0)*1000000+33*1000+64))</f>
        <v/>
      </c>
      <c r="BO189" s="41">
        <f>IF(N('Dvd Calendar'!$AC$2607)=0,"",IF(('Dvd Calendar'!$AC$2607&gt;=MIN(DATE(Summary!$C$12,1,1),Summary!$C$11))*('Dvd Calendar'!$AC$2607&lt;=MAX(DATE(Summary!$C$12,12,31),Summary!$C$15))*('Dvd Calendar'!$AC$2607&gt;Summary!$C$11)=0,"",'Dvd Calendar'!$AC$2607*1000000000+ISNUMBER('Dvd Calendar'!$AC$2608)*100000000+('Dvd Calendar'!$AC$2612='Field Check'!$C$25)*10000000+(N('Dvd Calendar'!$AC$2606)&gt;0)*1000000+33*1000+65))</f>
        <v/>
      </c>
      <c r="BQ189" s="85">
        <f>IF(C189="","",IF(ISNUMBER('Dvd Calendar'!$E$2601)=FALSE,"",IF((Summary!$C$13="N")*('Dvd Calendar'!$E$2605='Field Check'!$C$25)&gt;0,"",'Dvd Calendar'!$E$2601)))</f>
        <v/>
      </c>
      <c r="BR189" s="85">
        <f>IF(D189="","",IF(ISNUMBER('Dvd Calendar'!$F$2601)=FALSE,"",IF((Summary!$C$13="N")*('Dvd Calendar'!$F$2605='Field Check'!$C$25)&gt;0,"",'Dvd Calendar'!$F$2601)))</f>
        <v/>
      </c>
      <c r="BS189" s="85">
        <f>IF(E189="","",IF(ISNUMBER('Dvd Calendar'!$G$2601)=FALSE,"",IF((Summary!$C$13="N")*('Dvd Calendar'!$G$2605='Field Check'!$C$25)&gt;0,"",'Dvd Calendar'!$G$2601)))</f>
        <v/>
      </c>
      <c r="BT189" s="85">
        <f>IF(F189="","",IF(ISNUMBER('Dvd Calendar'!$H$2601)=FALSE,"",IF((Summary!$C$13="N")*('Dvd Calendar'!$H$2605='Field Check'!$C$25)&gt;0,"",'Dvd Calendar'!$H$2601)))</f>
        <v/>
      </c>
      <c r="BU189" s="85">
        <f>IF(G189="","",IF(ISNUMBER('Dvd Calendar'!$I$2601)=FALSE,"",IF((Summary!$C$13="N")*('Dvd Calendar'!$I$2605='Field Check'!$C$25)&gt;0,"",'Dvd Calendar'!$I$2601)))</f>
        <v/>
      </c>
      <c r="BV189" s="85">
        <f>IF(H189="","",IF(ISNUMBER('Dvd Calendar'!$J$2601)=FALSE,"",IF((Summary!$C$13="N")*('Dvd Calendar'!$J$2605='Field Check'!$C$25)&gt;0,"",'Dvd Calendar'!$J$2601)))</f>
        <v/>
      </c>
      <c r="BW189" s="85">
        <f>IF(I189="","",IF(ISNUMBER('Dvd Calendar'!$K$2601)=FALSE,"",IF((Summary!$C$13="N")*('Dvd Calendar'!$K$2605='Field Check'!$C$25)&gt;0,"",'Dvd Calendar'!$K$2601)))</f>
        <v/>
      </c>
      <c r="BX189" s="85">
        <f>IF(J189="","",IF(ISNUMBER('Dvd Calendar'!$L$2601)=FALSE,"",IF((Summary!$C$13="N")*('Dvd Calendar'!$L$2605='Field Check'!$C$25)&gt;0,"",'Dvd Calendar'!$L$2601)))</f>
        <v/>
      </c>
      <c r="BY189" s="85">
        <f>IF(K189="","",IF(ISNUMBER('Dvd Calendar'!$M$2601)=FALSE,"",IF((Summary!$C$13="N")*('Dvd Calendar'!$M$2605='Field Check'!$C$25)&gt;0,"",'Dvd Calendar'!$M$2601)))</f>
        <v/>
      </c>
      <c r="BZ189" s="85">
        <f>IF(L189="","",IF(ISNUMBER('Dvd Calendar'!$N$2601)=FALSE,"",IF((Summary!$C$13="N")*('Dvd Calendar'!$N$2605='Field Check'!$C$25)&gt;0,"",'Dvd Calendar'!$N$2601)))</f>
        <v/>
      </c>
      <c r="CA189" s="85">
        <f>IF(M189="","",IF(ISNUMBER('Dvd Calendar'!$O$2601)=FALSE,"",IF((Summary!$C$13="N")*('Dvd Calendar'!$O$2605='Field Check'!$C$25)&gt;0,"",'Dvd Calendar'!$O$2601)))</f>
        <v/>
      </c>
      <c r="CB189" s="85">
        <f>IF(N189="","",IF(ISNUMBER('Dvd Calendar'!$P$2601)=FALSE,"",IF((Summary!$C$13="N")*('Dvd Calendar'!$P$2605='Field Check'!$C$25)&gt;0,"",'Dvd Calendar'!$P$2601)))</f>
        <v/>
      </c>
      <c r="CC189" s="85">
        <f>IF(O189="","",IF(ISNUMBER('Dvd Calendar'!$Q$2601)=FALSE,"",IF((Summary!$C$13="N")*('Dvd Calendar'!$Q$2605='Field Check'!$C$25)&gt;0,"",'Dvd Calendar'!$Q$2601)))</f>
        <v/>
      </c>
      <c r="CD189" s="85">
        <f>IF(P189="","",IF(ISNUMBER('Dvd Calendar'!$R$2601)=FALSE,"",IF((Summary!$C$13="N")*('Dvd Calendar'!$R$2605='Field Check'!$C$25)&gt;0,"",'Dvd Calendar'!$R$2601)))</f>
        <v/>
      </c>
      <c r="CE189" s="85">
        <f>IF(Q189="","",IF(ISNUMBER('Dvd Calendar'!$S$2601)=FALSE,"",IF((Summary!$C$13="N")*('Dvd Calendar'!$S$2605='Field Check'!$C$25)&gt;0,"",'Dvd Calendar'!$S$2601)))</f>
        <v/>
      </c>
      <c r="CF189" s="85">
        <f>IF(R189="","",IF(ISNUMBER('Dvd Calendar'!$T$2601)=FALSE,"",IF((Summary!$C$13="N")*('Dvd Calendar'!$T$2605='Field Check'!$C$25)&gt;0,"",'Dvd Calendar'!$T$2601)))</f>
        <v/>
      </c>
      <c r="CG189" s="85">
        <f>IF(S189="","",IF(ISNUMBER('Dvd Calendar'!$U$2601)=FALSE,"",IF((Summary!$C$13="N")*('Dvd Calendar'!$U$2605='Field Check'!$C$25)&gt;0,"",'Dvd Calendar'!$U$2601)))</f>
        <v/>
      </c>
      <c r="CH189" s="85">
        <f>IF(T189="","",IF(ISNUMBER('Dvd Calendar'!$V$2601)=FALSE,"",IF((Summary!$C$13="N")*('Dvd Calendar'!$V$2605='Field Check'!$C$25)&gt;0,"",'Dvd Calendar'!$V$2601)))</f>
        <v/>
      </c>
      <c r="CI189" s="85">
        <f>IF(U189="","",IF(ISNUMBER('Dvd Calendar'!$W$2601)=FALSE,"",IF((Summary!$C$13="N")*('Dvd Calendar'!$W$2605='Field Check'!$C$25)&gt;0,"",'Dvd Calendar'!$W$2601)))</f>
        <v/>
      </c>
      <c r="CJ189" s="85">
        <f>IF(V189="","",IF(ISNUMBER('Dvd Calendar'!$X$2601)=FALSE,"",IF((Summary!$C$13="N")*('Dvd Calendar'!$X$2605='Field Check'!$C$25)&gt;0,"",'Dvd Calendar'!$X$2601)))</f>
        <v/>
      </c>
      <c r="CK189" s="85">
        <f>IF(W189="","",IF(ISNUMBER('Dvd Calendar'!$Y$2601)=FALSE,"",IF((Summary!$C$13="N")*('Dvd Calendar'!$Y$2605='Field Check'!$C$25)&gt;0,"",'Dvd Calendar'!$Y$2601)))</f>
        <v/>
      </c>
      <c r="CL189" s="85">
        <f>IF(X189="","",IF(ISNUMBER('Dvd Calendar'!$Z$2601)=FALSE,"",IF((Summary!$C$13="N")*('Dvd Calendar'!$Z$2605='Field Check'!$C$25)&gt;0,"",'Dvd Calendar'!$Z$2601)))</f>
        <v/>
      </c>
      <c r="CM189" s="85">
        <f>IF(Y189="","",IF(ISNUMBER('Dvd Calendar'!$AA$2601)=FALSE,"",IF((Summary!$C$13="N")*('Dvd Calendar'!$AA$2605='Field Check'!$C$25)&gt;0,"",'Dvd Calendar'!$AA$2601)))</f>
        <v/>
      </c>
      <c r="CN189" s="85">
        <f>IF(Z189="","",IF(ISNUMBER('Dvd Calendar'!$AB$2601)=FALSE,"",IF((Summary!$C$13="N")*('Dvd Calendar'!$AB$2605='Field Check'!$C$25)&gt;0,"",'Dvd Calendar'!$AB$2601)))</f>
        <v/>
      </c>
      <c r="CO189" s="85">
        <f>IF(AA189="","",IF(ISNUMBER('Dvd Calendar'!$AC$2601)=FALSE,"",IF((Summary!$C$13="N")*('Dvd Calendar'!$AC$2605='Field Check'!$C$25)&gt;0,"",'Dvd Calendar'!$AC$2601)))</f>
        <v/>
      </c>
      <c r="CP189" s="85">
        <f>IF(AB189="","",IF(ISNUMBER('Dvd Calendar'!$AD$2601)=FALSE,"",IF((Summary!$C$13="N")*('Dvd Calendar'!$AD$2605='Field Check'!$C$25)&gt;0,"",'Dvd Calendar'!$AD$2601)))</f>
        <v/>
      </c>
      <c r="CQ189" s="85">
        <f>IF(AC189="","",IF(ISNUMBER('Dvd Calendar'!$AE$2601)=FALSE,"",IF((Summary!$C$13="N")*('Dvd Calendar'!$AE$2605='Field Check'!$C$25)&gt;0,"",'Dvd Calendar'!$AE$2601)))</f>
        <v/>
      </c>
      <c r="CR189" s="85">
        <f>IF(AD189="","",IF(ISNUMBER('Dvd Calendar'!$AF$2601)=FALSE,"",IF((Summary!$C$13="N")*('Dvd Calendar'!$AF$2605='Field Check'!$C$25)&gt;0,"",'Dvd Calendar'!$AF$2601)))</f>
        <v/>
      </c>
      <c r="CS189" s="85">
        <f>IF(AE189="","",IF(ISNUMBER('Dvd Calendar'!$AG$2601)=FALSE,"",IF((Summary!$C$13="N")*('Dvd Calendar'!$AG$2605='Field Check'!$C$25)&gt;0,"",'Dvd Calendar'!$AG$2601)))</f>
        <v/>
      </c>
      <c r="CT189" s="85">
        <f>IF(AF189="","",IF(ISNUMBER('Dvd Calendar'!$AH$2601)=FALSE,"",IF((Summary!$C$13="N")*('Dvd Calendar'!$AH$2605='Field Check'!$C$25)&gt;0,"",'Dvd Calendar'!$AH$2601)))</f>
        <v/>
      </c>
      <c r="CU189" s="85">
        <f>IF(AG189="","",IF(ISNUMBER('Dvd Calendar'!$AI$2601)=FALSE,"",IF((Summary!$C$13="N")*('Dvd Calendar'!$AI$2605='Field Check'!$C$25)&gt;0,"",'Dvd Calendar'!$AI$2601)))</f>
        <v/>
      </c>
      <c r="CV189" s="85">
        <f>IF(AH189="","",IF(ISNUMBER('Dvd Calendar'!$AJ$2601)=FALSE,"",IF((Summary!$C$13="N")*('Dvd Calendar'!$AJ$2605='Field Check'!$C$25)&gt;0,"",'Dvd Calendar'!$AJ$2601)))</f>
        <v/>
      </c>
      <c r="CW189" s="85">
        <f>IF(AI189="","",IF(ISNUMBER('Dvd Calendar'!$AK$2601)=FALSE,"",IF((Summary!$C$13="N")*('Dvd Calendar'!$AK$2605='Field Check'!$C$25)&gt;0,"",'Dvd Calendar'!$AK$2601)))</f>
        <v/>
      </c>
      <c r="CX189" s="85">
        <f>IF(AJ189="","",IF(ISNUMBER('Dvd Calendar'!$AL$2601)=FALSE,"",IF((Summary!$C$13="N")*('Dvd Calendar'!$AL$2605='Field Check'!$C$25)&gt;0,"",'Dvd Calendar'!$AL$2601)))</f>
        <v/>
      </c>
      <c r="CY189" s="85">
        <f>IF(AK189="","",IF(ISNUMBER('Dvd Calendar'!$AM$2601)=FALSE,"",IF((Summary!$C$13="N")*('Dvd Calendar'!$AM$2605='Field Check'!$C$25)&gt;0,"",'Dvd Calendar'!$AM$2601)))</f>
        <v/>
      </c>
      <c r="CZ189" s="85">
        <f>IF(AL189="","",IF(ISNUMBER('Dvd Calendar'!$AN$2601)=FALSE,"",IF((Summary!$C$13="N")*('Dvd Calendar'!$AN$2605='Field Check'!$C$25)&gt;0,"",'Dvd Calendar'!$AN$2601)))</f>
        <v/>
      </c>
      <c r="DA189" s="85">
        <f>IF(AM189="","",IF(ISNUMBER('Dvd Calendar'!$AO$2601)=FALSE,"",IF((Summary!$C$13="N")*('Dvd Calendar'!$AO$2605='Field Check'!$C$25)&gt;0,"",'Dvd Calendar'!$AO$2601)))</f>
        <v/>
      </c>
      <c r="DB189" s="85">
        <f>IF(AN189="","",IF(ISNUMBER('Dvd Calendar'!$AP$2601)=FALSE,"",IF((Summary!$C$13="N")*('Dvd Calendar'!$AP$2605='Field Check'!$C$25)&gt;0,"",'Dvd Calendar'!$AP$2601)))</f>
        <v/>
      </c>
      <c r="DC189" s="85">
        <f>IF(AO189="","",IF(ISNUMBER('Dvd Calendar'!$AQ$2601)=FALSE,"",IF((Summary!$C$13="N")*('Dvd Calendar'!$AQ$2605='Field Check'!$C$25)&gt;0,"",'Dvd Calendar'!$AQ$2601)))</f>
        <v/>
      </c>
      <c r="DD189" s="85">
        <f>IF(AP189="","",IF(ISNUMBER('Dvd Calendar'!$AR$2601)=FALSE,"",IF((Summary!$C$13="N")*('Dvd Calendar'!$AR$2605='Field Check'!$C$25)&gt;0,"",'Dvd Calendar'!$AR$2601)))</f>
        <v/>
      </c>
      <c r="DE189" s="85">
        <f>IF(AQ189="","",IF(ISNUMBER('Dvd Calendar'!$E$2608)=FALSE,"",IF((Summary!$C$13="N")*('Dvd Calendar'!$E$2612='Field Check'!$C$25)&gt;0,"",'Dvd Calendar'!$E$2608)))</f>
        <v/>
      </c>
      <c r="DF189" s="85">
        <f>IF(AR189="","",IF(ISNUMBER('Dvd Calendar'!$F$2608)=FALSE,"",IF((Summary!$C$13="N")*('Dvd Calendar'!$F$2612='Field Check'!$C$25)&gt;0,"",'Dvd Calendar'!$F$2608)))</f>
        <v/>
      </c>
      <c r="DG189" s="85">
        <f>IF(AS189="","",IF(ISNUMBER('Dvd Calendar'!$G$2608)=FALSE,"",IF((Summary!$C$13="N")*('Dvd Calendar'!$G$2612='Field Check'!$C$25)&gt;0,"",'Dvd Calendar'!$G$2608)))</f>
        <v/>
      </c>
      <c r="DH189" s="85">
        <f>IF(AT189="","",IF(ISNUMBER('Dvd Calendar'!$H$2608)=FALSE,"",IF((Summary!$C$13="N")*('Dvd Calendar'!$H$2612='Field Check'!$C$25)&gt;0,"",'Dvd Calendar'!$H$2608)))</f>
        <v/>
      </c>
      <c r="DI189" s="85">
        <f>IF(AU189="","",IF(ISNUMBER('Dvd Calendar'!$I$2608)=FALSE,"",IF((Summary!$C$13="N")*('Dvd Calendar'!$I$2612='Field Check'!$C$25)&gt;0,"",'Dvd Calendar'!$I$2608)))</f>
        <v/>
      </c>
      <c r="DJ189" s="85">
        <f>IF(AV189="","",IF(ISNUMBER('Dvd Calendar'!$J$2608)=FALSE,"",IF((Summary!$C$13="N")*('Dvd Calendar'!$J$2612='Field Check'!$C$25)&gt;0,"",'Dvd Calendar'!$J$2608)))</f>
        <v/>
      </c>
      <c r="DK189" s="85">
        <f>IF(AW189="","",IF(ISNUMBER('Dvd Calendar'!$K$2608)=FALSE,"",IF((Summary!$C$13="N")*('Dvd Calendar'!$K$2612='Field Check'!$C$25)&gt;0,"",'Dvd Calendar'!$K$2608)))</f>
        <v/>
      </c>
      <c r="DL189" s="85">
        <f>IF(AX189="","",IF(ISNUMBER('Dvd Calendar'!$L$2608)=FALSE,"",IF((Summary!$C$13="N")*('Dvd Calendar'!$L$2612='Field Check'!$C$25)&gt;0,"",'Dvd Calendar'!$L$2608)))</f>
        <v/>
      </c>
      <c r="DM189" s="85">
        <f>IF(AY189="","",IF(ISNUMBER('Dvd Calendar'!$M$2608)=FALSE,"",IF((Summary!$C$13="N")*('Dvd Calendar'!$M$2612='Field Check'!$C$25)&gt;0,"",'Dvd Calendar'!$M$2608)))</f>
        <v/>
      </c>
      <c r="DN189" s="85">
        <f>IF(AZ189="","",IF(ISNUMBER('Dvd Calendar'!$N$2608)=FALSE,"",IF((Summary!$C$13="N")*('Dvd Calendar'!$N$2612='Field Check'!$C$25)&gt;0,"",'Dvd Calendar'!$N$2608)))</f>
        <v/>
      </c>
      <c r="DO189" s="85">
        <f>IF(BA189="","",IF(ISNUMBER('Dvd Calendar'!$O$2608)=FALSE,"",IF((Summary!$C$13="N")*('Dvd Calendar'!$O$2612='Field Check'!$C$25)&gt;0,"",'Dvd Calendar'!$O$2608)))</f>
        <v/>
      </c>
      <c r="DP189" s="85">
        <f>IF(BB189="","",IF(ISNUMBER('Dvd Calendar'!$P$2608)=FALSE,"",IF((Summary!$C$13="N")*('Dvd Calendar'!$P$2612='Field Check'!$C$25)&gt;0,"",'Dvd Calendar'!$P$2608)))</f>
        <v/>
      </c>
      <c r="DQ189" s="85">
        <f>IF(BC189="","",IF(ISNUMBER('Dvd Calendar'!$Q$2608)=FALSE,"",IF((Summary!$C$13="N")*('Dvd Calendar'!$Q$2612='Field Check'!$C$25)&gt;0,"",'Dvd Calendar'!$Q$2608)))</f>
        <v/>
      </c>
      <c r="DR189" s="85">
        <f>IF(BD189="","",IF(ISNUMBER('Dvd Calendar'!$R$2608)=FALSE,"",IF((Summary!$C$13="N")*('Dvd Calendar'!$R$2612='Field Check'!$C$25)&gt;0,"",'Dvd Calendar'!$R$2608)))</f>
        <v/>
      </c>
      <c r="DS189" s="85">
        <f>IF(BE189="","",IF(ISNUMBER('Dvd Calendar'!$S$2608)=FALSE,"",IF((Summary!$C$13="N")*('Dvd Calendar'!$S$2612='Field Check'!$C$25)&gt;0,"",'Dvd Calendar'!$S$2608)))</f>
        <v/>
      </c>
      <c r="DT189" s="85">
        <f>IF(BF189="","",IF(ISNUMBER('Dvd Calendar'!$T$2608)=FALSE,"",IF((Summary!$C$13="N")*('Dvd Calendar'!$T$2612='Field Check'!$C$25)&gt;0,"",'Dvd Calendar'!$T$2608)))</f>
        <v/>
      </c>
      <c r="DU189" s="85">
        <f>IF(BG189="","",IF(ISNUMBER('Dvd Calendar'!$U$2608)=FALSE,"",IF((Summary!$C$13="N")*('Dvd Calendar'!$U$2612='Field Check'!$C$25)&gt;0,"",'Dvd Calendar'!$U$2608)))</f>
        <v/>
      </c>
      <c r="DV189" s="85">
        <f>IF(BH189="","",IF(ISNUMBER('Dvd Calendar'!$V$2608)=FALSE,"",IF((Summary!$C$13="N")*('Dvd Calendar'!$V$2612='Field Check'!$C$25)&gt;0,"",'Dvd Calendar'!$V$2608)))</f>
        <v/>
      </c>
      <c r="DW189" s="85">
        <f>IF(BI189="","",IF(ISNUMBER('Dvd Calendar'!$W$2608)=FALSE,"",IF((Summary!$C$13="N")*('Dvd Calendar'!$W$2612='Field Check'!$C$25)&gt;0,"",'Dvd Calendar'!$W$2608)))</f>
        <v/>
      </c>
      <c r="DX189" s="85">
        <f>IF(BJ189="","",IF(ISNUMBER('Dvd Calendar'!$X$2608)=FALSE,"",IF((Summary!$C$13="N")*('Dvd Calendar'!$X$2612='Field Check'!$C$25)&gt;0,"",'Dvd Calendar'!$X$2608)))</f>
        <v/>
      </c>
      <c r="DY189" s="85">
        <f>IF(BK189="","",IF(ISNUMBER('Dvd Calendar'!$Y$2608)=FALSE,"",IF((Summary!$C$13="N")*('Dvd Calendar'!$Y$2612='Field Check'!$C$25)&gt;0,"",'Dvd Calendar'!$Y$2608)))</f>
        <v/>
      </c>
      <c r="DZ189" s="85">
        <f>IF(BL189="","",IF(ISNUMBER('Dvd Calendar'!$Z$2608)=FALSE,"",IF((Summary!$C$13="N")*('Dvd Calendar'!$Z$2612='Field Check'!$C$25)&gt;0,"",'Dvd Calendar'!$Z$2608)))</f>
        <v/>
      </c>
      <c r="EA189" s="85">
        <f>IF(BM189="","",IF(ISNUMBER('Dvd Calendar'!$AA$2608)=FALSE,"",IF((Summary!$C$13="N")*('Dvd Calendar'!$AA$2612='Field Check'!$C$25)&gt;0,"",'Dvd Calendar'!$AA$2608)))</f>
        <v/>
      </c>
      <c r="EB189" s="85">
        <f>IF(BN189="","",IF(ISNUMBER('Dvd Calendar'!$AB$2608)=FALSE,"",IF((Summary!$C$13="N")*('Dvd Calendar'!$AB$2612='Field Check'!$C$25)&gt;0,"",'Dvd Calendar'!$AB$2608)))</f>
        <v/>
      </c>
      <c r="EC189" s="85">
        <f>IF(BO189="","",IF(ISNUMBER('Dvd Calendar'!$AC$2608)=FALSE,"",IF((Summary!$C$13="N")*('Dvd Calendar'!$AC$2612='Field Check'!$C$25)&gt;0,"",'Dvd Calendar'!$AC$2608)))</f>
        <v/>
      </c>
      <c r="EE189" s="85">
        <f>IF(BQ189="","",IFERROR(BQ189*HSCEI!$B$39*HSCEI!$G$39/HSCEI!$B$3,""))</f>
        <v/>
      </c>
      <c r="EF189" s="85">
        <f>IF(BR189="","",IFERROR(BR189*HSCEI!$B$39*HSCEI!$G$39/HSCEI!$B$3,""))</f>
        <v/>
      </c>
      <c r="EG189" s="85">
        <f>IF(BS189="","",IFERROR(BS189*HSCEI!$B$39*HSCEI!$G$39/HSCEI!$B$3,""))</f>
        <v/>
      </c>
      <c r="EH189" s="85">
        <f>IF(BT189="","",IFERROR(BT189*HSCEI!$B$39*HSCEI!$G$39/HSCEI!$B$3,""))</f>
        <v/>
      </c>
      <c r="EI189" s="85">
        <f>IF(BU189="","",IFERROR(BU189*HSCEI!$B$39*HSCEI!$G$39/HSCEI!$B$3,""))</f>
        <v/>
      </c>
      <c r="EJ189" s="85">
        <f>IF(BV189="","",IFERROR(BV189*HSCEI!$B$39*HSCEI!$G$39/HSCEI!$B$3,""))</f>
        <v/>
      </c>
      <c r="EK189" s="85">
        <f>IF(BW189="","",IFERROR(BW189*HSCEI!$B$39*HSCEI!$G$39/HSCEI!$B$3,""))</f>
        <v/>
      </c>
      <c r="EL189" s="85">
        <f>IF(BX189="","",IFERROR(BX189*HSCEI!$B$39*HSCEI!$G$39/HSCEI!$B$3,""))</f>
        <v/>
      </c>
      <c r="EM189" s="85">
        <f>IF(BY189="","",IFERROR(BY189*HSCEI!$B$39*HSCEI!$G$39/HSCEI!$B$3,""))</f>
        <v/>
      </c>
      <c r="EN189" s="85">
        <f>IF(BZ189="","",IFERROR(BZ189*HSCEI!$B$39*HSCEI!$G$39/HSCEI!$B$3,""))</f>
        <v/>
      </c>
      <c r="EO189" s="85">
        <f>IF(CA189="","",IFERROR(CA189*HSCEI!$B$39*HSCEI!$G$39/HSCEI!$B$3,""))</f>
        <v/>
      </c>
      <c r="EP189" s="85">
        <f>IF(CB189="","",IFERROR(CB189*HSCEI!$B$39*HSCEI!$G$39/HSCEI!$B$3,""))</f>
        <v/>
      </c>
      <c r="EQ189" s="85">
        <f>IF(CC189="","",IFERROR(CC189*HSCEI!$B$39*HSCEI!$G$39/HSCEI!$B$3,""))</f>
        <v/>
      </c>
      <c r="ER189" s="85">
        <f>IF(CD189="","",IFERROR(CD189*HSCEI!$B$39*HSCEI!$G$39/HSCEI!$B$3,""))</f>
        <v/>
      </c>
      <c r="ES189" s="85">
        <f>IF(CE189="","",IFERROR(CE189*HSCEI!$B$39*HSCEI!$G$39/HSCEI!$B$3,""))</f>
        <v/>
      </c>
      <c r="ET189" s="85">
        <f>IF(CF189="","",IFERROR(CF189*HSCEI!$B$39*HSCEI!$G$39/HSCEI!$B$3,""))</f>
        <v/>
      </c>
      <c r="EU189" s="85">
        <f>IF(CG189="","",IFERROR(CG189*HSCEI!$B$39*HSCEI!$G$39/HSCEI!$B$3,""))</f>
        <v/>
      </c>
      <c r="EV189" s="85">
        <f>IF(CH189="","",IFERROR(CH189*HSCEI!$B$39*HSCEI!$G$39/HSCEI!$B$3,""))</f>
        <v/>
      </c>
      <c r="EW189" s="85">
        <f>IF(CI189="","",IFERROR(CI189*HSCEI!$B$39*HSCEI!$G$39/HSCEI!$B$3,""))</f>
        <v/>
      </c>
      <c r="EX189" s="85">
        <f>IF(CJ189="","",IFERROR(CJ189*HSCEI!$B$39*HSCEI!$G$39/HSCEI!$B$3,""))</f>
        <v/>
      </c>
      <c r="EY189" s="85">
        <f>IF(CK189="","",IFERROR(CK189*HSCEI!$B$39*HSCEI!$G$39/HSCEI!$B$3,""))</f>
        <v/>
      </c>
      <c r="EZ189" s="85">
        <f>IF(CL189="","",IFERROR(CL189*HSCEI!$B$39*HSCEI!$G$39/HSCEI!$B$3,""))</f>
        <v/>
      </c>
      <c r="FA189" s="85">
        <f>IF(CM189="","",IFERROR(CM189*HSCEI!$B$39*HSCEI!$G$39/HSCEI!$B$3,""))</f>
        <v/>
      </c>
      <c r="FB189" s="85">
        <f>IF(CN189="","",IFERROR(CN189*HSCEI!$B$39*HSCEI!$G$39/HSCEI!$B$3,""))</f>
        <v/>
      </c>
      <c r="FC189" s="85">
        <f>IF(CO189="","",IFERROR(CO189*HSCEI!$B$39*HSCEI!$G$39/HSCEI!$B$3,""))</f>
        <v/>
      </c>
      <c r="FD189" s="85">
        <f>IF(CP189="","",IFERROR(CP189*HSCEI!$B$39*HSCEI!$G$39/HSCEI!$B$3,""))</f>
        <v/>
      </c>
      <c r="FE189" s="85">
        <f>IF(CQ189="","",IFERROR(CQ189*HSCEI!$B$39*HSCEI!$G$39/HSCEI!$B$3,""))</f>
        <v/>
      </c>
      <c r="FF189" s="85">
        <f>IF(CR189="","",IFERROR(CR189*HSCEI!$B$39*HSCEI!$G$39/HSCEI!$B$3,""))</f>
        <v/>
      </c>
      <c r="FG189" s="85">
        <f>IF(CS189="","",IFERROR(CS189*HSCEI!$B$39*HSCEI!$G$39/HSCEI!$B$3,""))</f>
        <v/>
      </c>
      <c r="FH189" s="85">
        <f>IF(CT189="","",IFERROR(CT189*HSCEI!$B$39*HSCEI!$G$39/HSCEI!$B$3,""))</f>
        <v/>
      </c>
      <c r="FI189" s="85">
        <f>IF(CU189="","",IFERROR(CU189*HSCEI!$B$39*HSCEI!$G$39/HSCEI!$B$3,""))</f>
        <v/>
      </c>
      <c r="FJ189" s="85">
        <f>IF(CV189="","",IFERROR(CV189*HSCEI!$B$39*HSCEI!$G$39/HSCEI!$B$3,""))</f>
        <v/>
      </c>
      <c r="FK189" s="85">
        <f>IF(CW189="","",IFERROR(CW189*HSCEI!$B$39*HSCEI!$G$39/HSCEI!$B$3,""))</f>
        <v/>
      </c>
      <c r="FL189" s="85">
        <f>IF(CX189="","",IFERROR(CX189*HSCEI!$B$39*HSCEI!$G$39/HSCEI!$B$3,""))</f>
        <v/>
      </c>
      <c r="FM189" s="85">
        <f>IF(CY189="","",IFERROR(CY189*HSCEI!$B$39*HSCEI!$G$39/HSCEI!$B$3,""))</f>
        <v/>
      </c>
      <c r="FN189" s="85">
        <f>IF(CZ189="","",IFERROR(CZ189*HSCEI!$B$39*HSCEI!$G$39/HSCEI!$B$3,""))</f>
        <v/>
      </c>
      <c r="FO189" s="85">
        <f>IF(DA189="","",IFERROR(DA189*HSCEI!$B$39*HSCEI!$G$39/HSCEI!$B$3,""))</f>
        <v/>
      </c>
      <c r="FP189" s="85">
        <f>IF(DB189="","",IFERROR(DB189*HSCEI!$B$39*HSCEI!$G$39/HSCEI!$B$3,""))</f>
        <v/>
      </c>
      <c r="FQ189" s="85">
        <f>IF(DC189="","",IFERROR(DC189*HSCEI!$B$39*HSCEI!$G$39/HSCEI!$B$3,""))</f>
        <v/>
      </c>
      <c r="FR189" s="85">
        <f>IF(DD189="","",IFERROR(DD189*HSCEI!$B$39*HSCEI!$G$39/HSCEI!$B$3,""))</f>
        <v/>
      </c>
      <c r="FS189" s="85">
        <f>IF(DE189="","",IFERROR(DE189*HSCEI!$B$39*HSCEI!$G$39/HSCEI!$B$3,""))</f>
        <v/>
      </c>
      <c r="FT189" s="85">
        <f>IF(DF189="","",IFERROR(DF189*HSCEI!$B$39*HSCEI!$G$39/HSCEI!$B$3,""))</f>
        <v/>
      </c>
      <c r="FU189" s="85">
        <f>IF(DG189="","",IFERROR(DG189*HSCEI!$B$39*HSCEI!$G$39/HSCEI!$B$3,""))</f>
        <v/>
      </c>
      <c r="FV189" s="85">
        <f>IF(DH189="","",IFERROR(DH189*HSCEI!$B$39*HSCEI!$G$39/HSCEI!$B$3,""))</f>
        <v/>
      </c>
      <c r="FW189" s="85">
        <f>IF(DI189="","",IFERROR(DI189*HSCEI!$B$39*HSCEI!$G$39/HSCEI!$B$3,""))</f>
        <v/>
      </c>
      <c r="FX189" s="85">
        <f>IF(DJ189="","",IFERROR(DJ189*HSCEI!$B$39*HSCEI!$G$39/HSCEI!$B$3,""))</f>
        <v/>
      </c>
      <c r="FY189" s="85">
        <f>IF(DK189="","",IFERROR(DK189*HSCEI!$B$39*HSCEI!$G$39/HSCEI!$B$3,""))</f>
        <v/>
      </c>
      <c r="FZ189" s="85">
        <f>IF(DL189="","",IFERROR(DL189*HSCEI!$B$39*HSCEI!$G$39/HSCEI!$B$3,""))</f>
        <v/>
      </c>
      <c r="GA189" s="85">
        <f>IF(DM189="","",IFERROR(DM189*HSCEI!$B$39*HSCEI!$G$39/HSCEI!$B$3,""))</f>
        <v/>
      </c>
      <c r="GB189" s="85">
        <f>IF(DN189="","",IFERROR(DN189*HSCEI!$B$39*HSCEI!$G$39/HSCEI!$B$3,""))</f>
        <v/>
      </c>
      <c r="GC189" s="85">
        <f>IF(DO189="","",IFERROR(DO189*HSCEI!$B$39*HSCEI!$G$39/HSCEI!$B$3,""))</f>
        <v/>
      </c>
      <c r="GD189" s="85">
        <f>IF(DP189="","",IFERROR(DP189*HSCEI!$B$39*HSCEI!$G$39/HSCEI!$B$3,""))</f>
        <v/>
      </c>
      <c r="GE189" s="85">
        <f>IF(DQ189="","",IFERROR(DQ189*HSCEI!$B$39*HSCEI!$G$39/HSCEI!$B$3,""))</f>
        <v/>
      </c>
      <c r="GF189" s="85">
        <f>IF(DR189="","",IFERROR(DR189*HSCEI!$B$39*HSCEI!$G$39/HSCEI!$B$3,""))</f>
        <v/>
      </c>
      <c r="GG189" s="85">
        <f>IF(DS189="","",IFERROR(DS189*HSCEI!$B$39*HSCEI!$G$39/HSCEI!$B$3,""))</f>
        <v/>
      </c>
      <c r="GH189" s="85">
        <f>IF(DT189="","",IFERROR(DT189*HSCEI!$B$39*HSCEI!$G$39/HSCEI!$B$3,""))</f>
        <v/>
      </c>
      <c r="GI189" s="85">
        <f>IF(DU189="","",IFERROR(DU189*HSCEI!$B$39*HSCEI!$G$39/HSCEI!$B$3,""))</f>
        <v/>
      </c>
      <c r="GJ189" s="85">
        <f>IF(DV189="","",IFERROR(DV189*HSCEI!$B$39*HSCEI!$G$39/HSCEI!$B$3,""))</f>
        <v/>
      </c>
      <c r="GK189" s="85">
        <f>IF(DW189="","",IFERROR(DW189*HSCEI!$B$39*HSCEI!$G$39/HSCEI!$B$3,""))</f>
        <v/>
      </c>
      <c r="GL189" s="85">
        <f>IF(DX189="","",IFERROR(DX189*HSCEI!$B$39*HSCEI!$G$39/HSCEI!$B$3,""))</f>
        <v/>
      </c>
      <c r="GM189" s="85">
        <f>IF(DY189="","",IFERROR(DY189*HSCEI!$B$39*HSCEI!$G$39/HSCEI!$B$3,""))</f>
        <v/>
      </c>
      <c r="GN189" s="85">
        <f>IF(DZ189="","",IFERROR(DZ189*HSCEI!$B$39*HSCEI!$G$39/HSCEI!$B$3,""))</f>
        <v/>
      </c>
      <c r="GO189" s="85">
        <f>IF(EA189="","",IFERROR(EA189*HSCEI!$B$39*HSCEI!$G$39/HSCEI!$B$3,""))</f>
        <v/>
      </c>
      <c r="GP189" s="85">
        <f>IF(EB189="","",IFERROR(EB189*HSCEI!$B$39*HSCEI!$G$39/HSCEI!$B$3,""))</f>
        <v/>
      </c>
      <c r="GQ189" s="85">
        <f>IF(EC189="","",IFERROR(EC189*HSCEI!$B$39*HSCEI!$G$39/HSCEI!$B$3,""))</f>
        <v/>
      </c>
    </row>
    <row r="190">
      <c r="B190" s="2">
        <f>IF(HSCEI!$C$40="","",HSCEI!$C$40)</f>
        <v/>
      </c>
      <c r="C190" s="41">
        <f>IF(N('Dvd Calendar'!$E$2615)=0,"",IF(('Dvd Calendar'!$E$2615&gt;=MIN(DATE(Summary!$C$12,1,1),Summary!$C$11))*('Dvd Calendar'!$E$2615&lt;=MAX(DATE(Summary!$C$12,12,31),Summary!$C$15))*('Dvd Calendar'!$E$2615&lt;=Summary!$C$11)=0,"",'Dvd Calendar'!$E$2615*1000000000+ISNUMBER('Dvd Calendar'!$E$2616)*100000000+('Dvd Calendar'!$E$2620='Field Check'!$C$25)*10000000+(N('Dvd Calendar'!$E$2614)&gt;0)*1000000+34*1000+1))</f>
        <v/>
      </c>
      <c r="D190" s="41">
        <f>IF(N('Dvd Calendar'!$F$2615)=0,"",IF(('Dvd Calendar'!$F$2615&gt;=MIN(DATE(Summary!$C$12,1,1),Summary!$C$11))*('Dvd Calendar'!$F$2615&lt;=MAX(DATE(Summary!$C$12,12,31),Summary!$C$15))*('Dvd Calendar'!$F$2615&lt;=Summary!$C$11)=0,"",'Dvd Calendar'!$F$2615*1000000000+ISNUMBER('Dvd Calendar'!$F$2616)*100000000+('Dvd Calendar'!$F$2620='Field Check'!$C$25)*10000000+(N('Dvd Calendar'!$F$2614)&gt;0)*1000000+34*1000+2))</f>
        <v/>
      </c>
      <c r="E190" s="41">
        <f>IF(N('Dvd Calendar'!$G$2615)=0,"",IF(('Dvd Calendar'!$G$2615&gt;=MIN(DATE(Summary!$C$12,1,1),Summary!$C$11))*('Dvd Calendar'!$G$2615&lt;=MAX(DATE(Summary!$C$12,12,31),Summary!$C$15))*('Dvd Calendar'!$G$2615&lt;=Summary!$C$11)=0,"",'Dvd Calendar'!$G$2615*1000000000+ISNUMBER('Dvd Calendar'!$G$2616)*100000000+('Dvd Calendar'!$G$2620='Field Check'!$C$25)*10000000+(N('Dvd Calendar'!$G$2614)&gt;0)*1000000+34*1000+3))</f>
        <v/>
      </c>
      <c r="F190" s="41">
        <f>IF(N('Dvd Calendar'!$H$2615)=0,"",IF(('Dvd Calendar'!$H$2615&gt;=MIN(DATE(Summary!$C$12,1,1),Summary!$C$11))*('Dvd Calendar'!$H$2615&lt;=MAX(DATE(Summary!$C$12,12,31),Summary!$C$15))*('Dvd Calendar'!$H$2615&lt;=Summary!$C$11)=0,"",'Dvd Calendar'!$H$2615*1000000000+ISNUMBER('Dvd Calendar'!$H$2616)*100000000+('Dvd Calendar'!$H$2620='Field Check'!$C$25)*10000000+(N('Dvd Calendar'!$H$2614)&gt;0)*1000000+34*1000+4))</f>
        <v/>
      </c>
      <c r="G190" s="41">
        <f>IF(N('Dvd Calendar'!$I$2615)=0,"",IF(('Dvd Calendar'!$I$2615&gt;=MIN(DATE(Summary!$C$12,1,1),Summary!$C$11))*('Dvd Calendar'!$I$2615&lt;=MAX(DATE(Summary!$C$12,12,31),Summary!$C$15))*('Dvd Calendar'!$I$2615&lt;=Summary!$C$11)=0,"",'Dvd Calendar'!$I$2615*1000000000+ISNUMBER('Dvd Calendar'!$I$2616)*100000000+('Dvd Calendar'!$I$2620='Field Check'!$C$25)*10000000+(N('Dvd Calendar'!$I$2614)&gt;0)*1000000+34*1000+5))</f>
        <v/>
      </c>
      <c r="H190" s="41">
        <f>IF(N('Dvd Calendar'!$J$2615)=0,"",IF(('Dvd Calendar'!$J$2615&gt;=MIN(DATE(Summary!$C$12,1,1),Summary!$C$11))*('Dvd Calendar'!$J$2615&lt;=MAX(DATE(Summary!$C$12,12,31),Summary!$C$15))*('Dvd Calendar'!$J$2615&lt;=Summary!$C$11)=0,"",'Dvd Calendar'!$J$2615*1000000000+ISNUMBER('Dvd Calendar'!$J$2616)*100000000+('Dvd Calendar'!$J$2620='Field Check'!$C$25)*10000000+(N('Dvd Calendar'!$J$2614)&gt;0)*1000000+34*1000+6))</f>
        <v/>
      </c>
      <c r="I190" s="41">
        <f>IF(N('Dvd Calendar'!$K$2615)=0,"",IF(('Dvd Calendar'!$K$2615&gt;=MIN(DATE(Summary!$C$12,1,1),Summary!$C$11))*('Dvd Calendar'!$K$2615&lt;=MAX(DATE(Summary!$C$12,12,31),Summary!$C$15))*('Dvd Calendar'!$K$2615&lt;=Summary!$C$11)=0,"",'Dvd Calendar'!$K$2615*1000000000+ISNUMBER('Dvd Calendar'!$K$2616)*100000000+('Dvd Calendar'!$K$2620='Field Check'!$C$25)*10000000+(N('Dvd Calendar'!$K$2614)&gt;0)*1000000+34*1000+7))</f>
        <v/>
      </c>
      <c r="J190" s="41">
        <f>IF(N('Dvd Calendar'!$L$2615)=0,"",IF(('Dvd Calendar'!$L$2615&gt;=MIN(DATE(Summary!$C$12,1,1),Summary!$C$11))*('Dvd Calendar'!$L$2615&lt;=MAX(DATE(Summary!$C$12,12,31),Summary!$C$15))*('Dvd Calendar'!$L$2615&lt;=Summary!$C$11)=0,"",'Dvd Calendar'!$L$2615*1000000000+ISNUMBER('Dvd Calendar'!$L$2616)*100000000+('Dvd Calendar'!$L$2620='Field Check'!$C$25)*10000000+(N('Dvd Calendar'!$L$2614)&gt;0)*1000000+34*1000+8))</f>
        <v/>
      </c>
      <c r="K190" s="41">
        <f>IF(N('Dvd Calendar'!$M$2615)=0,"",IF(('Dvd Calendar'!$M$2615&gt;=MIN(DATE(Summary!$C$12,1,1),Summary!$C$11))*('Dvd Calendar'!$M$2615&lt;=MAX(DATE(Summary!$C$12,12,31),Summary!$C$15))*('Dvd Calendar'!$M$2615&lt;=Summary!$C$11)=0,"",'Dvd Calendar'!$M$2615*1000000000+ISNUMBER('Dvd Calendar'!$M$2616)*100000000+('Dvd Calendar'!$M$2620='Field Check'!$C$25)*10000000+(N('Dvd Calendar'!$M$2614)&gt;0)*1000000+34*1000+9))</f>
        <v/>
      </c>
      <c r="L190" s="41">
        <f>IF(N('Dvd Calendar'!$N$2615)=0,"",IF(('Dvd Calendar'!$N$2615&gt;=MIN(DATE(Summary!$C$12,1,1),Summary!$C$11))*('Dvd Calendar'!$N$2615&lt;=MAX(DATE(Summary!$C$12,12,31),Summary!$C$15))*('Dvd Calendar'!$N$2615&lt;=Summary!$C$11)=0,"",'Dvd Calendar'!$N$2615*1000000000+ISNUMBER('Dvd Calendar'!$N$2616)*100000000+('Dvd Calendar'!$N$2620='Field Check'!$C$25)*10000000+(N('Dvd Calendar'!$N$2614)&gt;0)*1000000+34*1000+10))</f>
        <v/>
      </c>
      <c r="M190" s="41">
        <f>IF(N('Dvd Calendar'!$O$2615)=0,"",IF(('Dvd Calendar'!$O$2615&gt;=MIN(DATE(Summary!$C$12,1,1),Summary!$C$11))*('Dvd Calendar'!$O$2615&lt;=MAX(DATE(Summary!$C$12,12,31),Summary!$C$15))*('Dvd Calendar'!$O$2615&lt;=Summary!$C$11)=0,"",'Dvd Calendar'!$O$2615*1000000000+ISNUMBER('Dvd Calendar'!$O$2616)*100000000+('Dvd Calendar'!$O$2620='Field Check'!$C$25)*10000000+(N('Dvd Calendar'!$O$2614)&gt;0)*1000000+34*1000+11))</f>
        <v/>
      </c>
      <c r="N190" s="41">
        <f>IF(N('Dvd Calendar'!$P$2615)=0,"",IF(('Dvd Calendar'!$P$2615&gt;=MIN(DATE(Summary!$C$12,1,1),Summary!$C$11))*('Dvd Calendar'!$P$2615&lt;=MAX(DATE(Summary!$C$12,12,31),Summary!$C$15))*('Dvd Calendar'!$P$2615&lt;=Summary!$C$11)=0,"",'Dvd Calendar'!$P$2615*1000000000+ISNUMBER('Dvd Calendar'!$P$2616)*100000000+('Dvd Calendar'!$P$2620='Field Check'!$C$25)*10000000+(N('Dvd Calendar'!$P$2614)&gt;0)*1000000+34*1000+12))</f>
        <v/>
      </c>
      <c r="O190" s="41">
        <f>IF(N('Dvd Calendar'!$Q$2615)=0,"",IF(('Dvd Calendar'!$Q$2615&gt;=MIN(DATE(Summary!$C$12,1,1),Summary!$C$11))*('Dvd Calendar'!$Q$2615&lt;=MAX(DATE(Summary!$C$12,12,31),Summary!$C$15))*('Dvd Calendar'!$Q$2615&lt;=Summary!$C$11)=0,"",'Dvd Calendar'!$Q$2615*1000000000+ISNUMBER('Dvd Calendar'!$Q$2616)*100000000+('Dvd Calendar'!$Q$2620='Field Check'!$C$25)*10000000+(N('Dvd Calendar'!$Q$2614)&gt;0)*1000000+34*1000+13))</f>
        <v/>
      </c>
      <c r="P190" s="41">
        <f>IF(N('Dvd Calendar'!$R$2615)=0,"",IF(('Dvd Calendar'!$R$2615&gt;=MIN(DATE(Summary!$C$12,1,1),Summary!$C$11))*('Dvd Calendar'!$R$2615&lt;=MAX(DATE(Summary!$C$12,12,31),Summary!$C$15))*('Dvd Calendar'!$R$2615&lt;=Summary!$C$11)=0,"",'Dvd Calendar'!$R$2615*1000000000+ISNUMBER('Dvd Calendar'!$R$2616)*100000000+('Dvd Calendar'!$R$2620='Field Check'!$C$25)*10000000+(N('Dvd Calendar'!$R$2614)&gt;0)*1000000+34*1000+14))</f>
        <v/>
      </c>
      <c r="Q190" s="41">
        <f>IF(N('Dvd Calendar'!$S$2615)=0,"",IF(('Dvd Calendar'!$S$2615&gt;=MIN(DATE(Summary!$C$12,1,1),Summary!$C$11))*('Dvd Calendar'!$S$2615&lt;=MAX(DATE(Summary!$C$12,12,31),Summary!$C$15))*('Dvd Calendar'!$S$2615&lt;=Summary!$C$11)=0,"",'Dvd Calendar'!$S$2615*1000000000+ISNUMBER('Dvd Calendar'!$S$2616)*100000000+('Dvd Calendar'!$S$2620='Field Check'!$C$25)*10000000+(N('Dvd Calendar'!$S$2614)&gt;0)*1000000+34*1000+15))</f>
        <v/>
      </c>
      <c r="R190" s="41">
        <f>IF(N('Dvd Calendar'!$T$2615)=0,"",IF(('Dvd Calendar'!$T$2615&gt;=MIN(DATE(Summary!$C$12,1,1),Summary!$C$11))*('Dvd Calendar'!$T$2615&lt;=MAX(DATE(Summary!$C$12,12,31),Summary!$C$15))*('Dvd Calendar'!$T$2615&lt;=Summary!$C$11)=0,"",'Dvd Calendar'!$T$2615*1000000000+ISNUMBER('Dvd Calendar'!$T$2616)*100000000+('Dvd Calendar'!$T$2620='Field Check'!$C$25)*10000000+(N('Dvd Calendar'!$T$2614)&gt;0)*1000000+34*1000+16))</f>
        <v/>
      </c>
      <c r="S190" s="41">
        <f>IF(N('Dvd Calendar'!$U$2615)=0,"",IF(('Dvd Calendar'!$U$2615&gt;=MIN(DATE(Summary!$C$12,1,1),Summary!$C$11))*('Dvd Calendar'!$U$2615&lt;=MAX(DATE(Summary!$C$12,12,31),Summary!$C$15))*('Dvd Calendar'!$U$2615&lt;=Summary!$C$11)=0,"",'Dvd Calendar'!$U$2615*1000000000+ISNUMBER('Dvd Calendar'!$U$2616)*100000000+('Dvd Calendar'!$U$2620='Field Check'!$C$25)*10000000+(N('Dvd Calendar'!$U$2614)&gt;0)*1000000+34*1000+17))</f>
        <v/>
      </c>
      <c r="T190" s="41">
        <f>IF(N('Dvd Calendar'!$V$2615)=0,"",IF(('Dvd Calendar'!$V$2615&gt;=MIN(DATE(Summary!$C$12,1,1),Summary!$C$11))*('Dvd Calendar'!$V$2615&lt;=MAX(DATE(Summary!$C$12,12,31),Summary!$C$15))*('Dvd Calendar'!$V$2615&lt;=Summary!$C$11)=0,"",'Dvd Calendar'!$V$2615*1000000000+ISNUMBER('Dvd Calendar'!$V$2616)*100000000+('Dvd Calendar'!$V$2620='Field Check'!$C$25)*10000000+(N('Dvd Calendar'!$V$2614)&gt;0)*1000000+34*1000+18))</f>
        <v/>
      </c>
      <c r="U190" s="41">
        <f>IF(N('Dvd Calendar'!$W$2615)=0,"",IF(('Dvd Calendar'!$W$2615&gt;=MIN(DATE(Summary!$C$12,1,1),Summary!$C$11))*('Dvd Calendar'!$W$2615&lt;=MAX(DATE(Summary!$C$12,12,31),Summary!$C$15))*('Dvd Calendar'!$W$2615&lt;=Summary!$C$11)=0,"",'Dvd Calendar'!$W$2615*1000000000+ISNUMBER('Dvd Calendar'!$W$2616)*100000000+('Dvd Calendar'!$W$2620='Field Check'!$C$25)*10000000+(N('Dvd Calendar'!$W$2614)&gt;0)*1000000+34*1000+19))</f>
        <v/>
      </c>
      <c r="V190" s="41">
        <f>IF(N('Dvd Calendar'!$X$2615)=0,"",IF(('Dvd Calendar'!$X$2615&gt;=MIN(DATE(Summary!$C$12,1,1),Summary!$C$11))*('Dvd Calendar'!$X$2615&lt;=MAX(DATE(Summary!$C$12,12,31),Summary!$C$15))*('Dvd Calendar'!$X$2615&lt;=Summary!$C$11)=0,"",'Dvd Calendar'!$X$2615*1000000000+ISNUMBER('Dvd Calendar'!$X$2616)*100000000+('Dvd Calendar'!$X$2620='Field Check'!$C$25)*10000000+(N('Dvd Calendar'!$X$2614)&gt;0)*1000000+34*1000+20))</f>
        <v/>
      </c>
      <c r="W190" s="41">
        <f>IF(N('Dvd Calendar'!$Y$2615)=0,"",IF(('Dvd Calendar'!$Y$2615&gt;=MIN(DATE(Summary!$C$12,1,1),Summary!$C$11))*('Dvd Calendar'!$Y$2615&lt;=MAX(DATE(Summary!$C$12,12,31),Summary!$C$15))*('Dvd Calendar'!$Y$2615&lt;=Summary!$C$11)=0,"",'Dvd Calendar'!$Y$2615*1000000000+ISNUMBER('Dvd Calendar'!$Y$2616)*100000000+('Dvd Calendar'!$Y$2620='Field Check'!$C$25)*10000000+(N('Dvd Calendar'!$Y$2614)&gt;0)*1000000+34*1000+21))</f>
        <v/>
      </c>
      <c r="X190" s="41">
        <f>IF(N('Dvd Calendar'!$Z$2615)=0,"",IF(('Dvd Calendar'!$Z$2615&gt;=MIN(DATE(Summary!$C$12,1,1),Summary!$C$11))*('Dvd Calendar'!$Z$2615&lt;=MAX(DATE(Summary!$C$12,12,31),Summary!$C$15))*('Dvd Calendar'!$Z$2615&lt;=Summary!$C$11)=0,"",'Dvd Calendar'!$Z$2615*1000000000+ISNUMBER('Dvd Calendar'!$Z$2616)*100000000+('Dvd Calendar'!$Z$2620='Field Check'!$C$25)*10000000+(N('Dvd Calendar'!$Z$2614)&gt;0)*1000000+34*1000+22))</f>
        <v/>
      </c>
      <c r="Y190" s="41">
        <f>IF(N('Dvd Calendar'!$AA$2615)=0,"",IF(('Dvd Calendar'!$AA$2615&gt;=MIN(DATE(Summary!$C$12,1,1),Summary!$C$11))*('Dvd Calendar'!$AA$2615&lt;=MAX(DATE(Summary!$C$12,12,31),Summary!$C$15))*('Dvd Calendar'!$AA$2615&lt;=Summary!$C$11)=0,"",'Dvd Calendar'!$AA$2615*1000000000+ISNUMBER('Dvd Calendar'!$AA$2616)*100000000+('Dvd Calendar'!$AA$2620='Field Check'!$C$25)*10000000+(N('Dvd Calendar'!$AA$2614)&gt;0)*1000000+34*1000+23))</f>
        <v/>
      </c>
      <c r="Z190" s="41">
        <f>IF(N('Dvd Calendar'!$AB$2615)=0,"",IF(('Dvd Calendar'!$AB$2615&gt;=MIN(DATE(Summary!$C$12,1,1),Summary!$C$11))*('Dvd Calendar'!$AB$2615&lt;=MAX(DATE(Summary!$C$12,12,31),Summary!$C$15))*('Dvd Calendar'!$AB$2615&lt;=Summary!$C$11)=0,"",'Dvd Calendar'!$AB$2615*1000000000+ISNUMBER('Dvd Calendar'!$AB$2616)*100000000+('Dvd Calendar'!$AB$2620='Field Check'!$C$25)*10000000+(N('Dvd Calendar'!$AB$2614)&gt;0)*1000000+34*1000+24))</f>
        <v/>
      </c>
      <c r="AA190" s="41">
        <f>IF(N('Dvd Calendar'!$AC$2615)=0,"",IF(('Dvd Calendar'!$AC$2615&gt;=MIN(DATE(Summary!$C$12,1,1),Summary!$C$11))*('Dvd Calendar'!$AC$2615&lt;=MAX(DATE(Summary!$C$12,12,31),Summary!$C$15))*('Dvd Calendar'!$AC$2615&lt;=Summary!$C$11)=0,"",'Dvd Calendar'!$AC$2615*1000000000+ISNUMBER('Dvd Calendar'!$AC$2616)*100000000+('Dvd Calendar'!$AC$2620='Field Check'!$C$25)*10000000+(N('Dvd Calendar'!$AC$2614)&gt;0)*1000000+34*1000+25))</f>
        <v/>
      </c>
      <c r="AB190" s="41">
        <f>IF(N('Dvd Calendar'!$AD$2615)=0,"",IF(('Dvd Calendar'!$AD$2615&gt;=MIN(DATE(Summary!$C$12,1,1),Summary!$C$11))*('Dvd Calendar'!$AD$2615&lt;=MAX(DATE(Summary!$C$12,12,31),Summary!$C$15))*('Dvd Calendar'!$AD$2615&lt;=Summary!$C$11)=0,"",'Dvd Calendar'!$AD$2615*1000000000+ISNUMBER('Dvd Calendar'!$AD$2616)*100000000+('Dvd Calendar'!$AD$2620='Field Check'!$C$25)*10000000+(N('Dvd Calendar'!$AD$2614)&gt;0)*1000000+34*1000+26))</f>
        <v/>
      </c>
      <c r="AC190" s="41">
        <f>IF(N('Dvd Calendar'!$AE$2615)=0,"",IF(('Dvd Calendar'!$AE$2615&gt;=MIN(DATE(Summary!$C$12,1,1),Summary!$C$11))*('Dvd Calendar'!$AE$2615&lt;=MAX(DATE(Summary!$C$12,12,31),Summary!$C$15))*('Dvd Calendar'!$AE$2615&lt;=Summary!$C$11)=0,"",'Dvd Calendar'!$AE$2615*1000000000+ISNUMBER('Dvd Calendar'!$AE$2616)*100000000+('Dvd Calendar'!$AE$2620='Field Check'!$C$25)*10000000+(N('Dvd Calendar'!$AE$2614)&gt;0)*1000000+34*1000+27))</f>
        <v/>
      </c>
      <c r="AD190" s="41">
        <f>IF(N('Dvd Calendar'!$AF$2615)=0,"",IF(('Dvd Calendar'!$AF$2615&gt;=MIN(DATE(Summary!$C$12,1,1),Summary!$C$11))*('Dvd Calendar'!$AF$2615&lt;=MAX(DATE(Summary!$C$12,12,31),Summary!$C$15))*('Dvd Calendar'!$AF$2615&lt;=Summary!$C$11)=0,"",'Dvd Calendar'!$AF$2615*1000000000+ISNUMBER('Dvd Calendar'!$AF$2616)*100000000+('Dvd Calendar'!$AF$2620='Field Check'!$C$25)*10000000+(N('Dvd Calendar'!$AF$2614)&gt;0)*1000000+34*1000+28))</f>
        <v/>
      </c>
      <c r="AE190" s="41">
        <f>IF(N('Dvd Calendar'!$AG$2615)=0,"",IF(('Dvd Calendar'!$AG$2615&gt;=MIN(DATE(Summary!$C$12,1,1),Summary!$C$11))*('Dvd Calendar'!$AG$2615&lt;=MAX(DATE(Summary!$C$12,12,31),Summary!$C$15))*('Dvd Calendar'!$AG$2615&lt;=Summary!$C$11)=0,"",'Dvd Calendar'!$AG$2615*1000000000+ISNUMBER('Dvd Calendar'!$AG$2616)*100000000+('Dvd Calendar'!$AG$2620='Field Check'!$C$25)*10000000+(N('Dvd Calendar'!$AG$2614)&gt;0)*1000000+34*1000+29))</f>
        <v/>
      </c>
      <c r="AF190" s="41">
        <f>IF(N('Dvd Calendar'!$AH$2615)=0,"",IF(('Dvd Calendar'!$AH$2615&gt;=MIN(DATE(Summary!$C$12,1,1),Summary!$C$11))*('Dvd Calendar'!$AH$2615&lt;=MAX(DATE(Summary!$C$12,12,31),Summary!$C$15))*('Dvd Calendar'!$AH$2615&lt;=Summary!$C$11)=0,"",'Dvd Calendar'!$AH$2615*1000000000+ISNUMBER('Dvd Calendar'!$AH$2616)*100000000+('Dvd Calendar'!$AH$2620='Field Check'!$C$25)*10000000+(N('Dvd Calendar'!$AH$2614)&gt;0)*1000000+34*1000+30))</f>
        <v/>
      </c>
      <c r="AG190" s="41">
        <f>IF(N('Dvd Calendar'!$AI$2615)=0,"",IF(('Dvd Calendar'!$AI$2615&gt;=MIN(DATE(Summary!$C$12,1,1),Summary!$C$11))*('Dvd Calendar'!$AI$2615&lt;=MAX(DATE(Summary!$C$12,12,31),Summary!$C$15))*('Dvd Calendar'!$AI$2615&lt;=Summary!$C$11)=0,"",'Dvd Calendar'!$AI$2615*1000000000+ISNUMBER('Dvd Calendar'!$AI$2616)*100000000+('Dvd Calendar'!$AI$2620='Field Check'!$C$25)*10000000+(N('Dvd Calendar'!$AI$2614)&gt;0)*1000000+34*1000+31))</f>
        <v/>
      </c>
      <c r="AH190" s="41">
        <f>IF(N('Dvd Calendar'!$AJ$2615)=0,"",IF(('Dvd Calendar'!$AJ$2615&gt;=MIN(DATE(Summary!$C$12,1,1),Summary!$C$11))*('Dvd Calendar'!$AJ$2615&lt;=MAX(DATE(Summary!$C$12,12,31),Summary!$C$15))*('Dvd Calendar'!$AJ$2615&lt;=Summary!$C$11)=0,"",'Dvd Calendar'!$AJ$2615*1000000000+ISNUMBER('Dvd Calendar'!$AJ$2616)*100000000+('Dvd Calendar'!$AJ$2620='Field Check'!$C$25)*10000000+(N('Dvd Calendar'!$AJ$2614)&gt;0)*1000000+34*1000+32))</f>
        <v/>
      </c>
      <c r="AI190" s="41">
        <f>IF(N('Dvd Calendar'!$AK$2615)=0,"",IF(('Dvd Calendar'!$AK$2615&gt;=MIN(DATE(Summary!$C$12,1,1),Summary!$C$11))*('Dvd Calendar'!$AK$2615&lt;=MAX(DATE(Summary!$C$12,12,31),Summary!$C$15))*('Dvd Calendar'!$AK$2615&lt;=Summary!$C$11)=0,"",'Dvd Calendar'!$AK$2615*1000000000+ISNUMBER('Dvd Calendar'!$AK$2616)*100000000+('Dvd Calendar'!$AK$2620='Field Check'!$C$25)*10000000+(N('Dvd Calendar'!$AK$2614)&gt;0)*1000000+34*1000+33))</f>
        <v/>
      </c>
      <c r="AJ190" s="41">
        <f>IF(N('Dvd Calendar'!$AL$2615)=0,"",IF(('Dvd Calendar'!$AL$2615&gt;=MIN(DATE(Summary!$C$12,1,1),Summary!$C$11))*('Dvd Calendar'!$AL$2615&lt;=MAX(DATE(Summary!$C$12,12,31),Summary!$C$15))*('Dvd Calendar'!$AL$2615&lt;=Summary!$C$11)=0,"",'Dvd Calendar'!$AL$2615*1000000000+ISNUMBER('Dvd Calendar'!$AL$2616)*100000000+('Dvd Calendar'!$AL$2620='Field Check'!$C$25)*10000000+(N('Dvd Calendar'!$AL$2614)&gt;0)*1000000+34*1000+34))</f>
        <v/>
      </c>
      <c r="AK190" s="41">
        <f>IF(N('Dvd Calendar'!$AM$2615)=0,"",IF(('Dvd Calendar'!$AM$2615&gt;=MIN(DATE(Summary!$C$12,1,1),Summary!$C$11))*('Dvd Calendar'!$AM$2615&lt;=MAX(DATE(Summary!$C$12,12,31),Summary!$C$15))*('Dvd Calendar'!$AM$2615&lt;=Summary!$C$11)=0,"",'Dvd Calendar'!$AM$2615*1000000000+ISNUMBER('Dvd Calendar'!$AM$2616)*100000000+('Dvd Calendar'!$AM$2620='Field Check'!$C$25)*10000000+(N('Dvd Calendar'!$AM$2614)&gt;0)*1000000+34*1000+35))</f>
        <v/>
      </c>
      <c r="AL190" s="41">
        <f>IF(N('Dvd Calendar'!$AN$2615)=0,"",IF(('Dvd Calendar'!$AN$2615&gt;=MIN(DATE(Summary!$C$12,1,1),Summary!$C$11))*('Dvd Calendar'!$AN$2615&lt;=MAX(DATE(Summary!$C$12,12,31),Summary!$C$15))*('Dvd Calendar'!$AN$2615&lt;=Summary!$C$11)=0,"",'Dvd Calendar'!$AN$2615*1000000000+ISNUMBER('Dvd Calendar'!$AN$2616)*100000000+('Dvd Calendar'!$AN$2620='Field Check'!$C$25)*10000000+(N('Dvd Calendar'!$AN$2614)&gt;0)*1000000+34*1000+36))</f>
        <v/>
      </c>
      <c r="AM190" s="41">
        <f>IF(N('Dvd Calendar'!$AO$2615)=0,"",IF(('Dvd Calendar'!$AO$2615&gt;=MIN(DATE(Summary!$C$12,1,1),Summary!$C$11))*('Dvd Calendar'!$AO$2615&lt;=MAX(DATE(Summary!$C$12,12,31),Summary!$C$15))*('Dvd Calendar'!$AO$2615&lt;=Summary!$C$11)=0,"",'Dvd Calendar'!$AO$2615*1000000000+ISNUMBER('Dvd Calendar'!$AO$2616)*100000000+('Dvd Calendar'!$AO$2620='Field Check'!$C$25)*10000000+(N('Dvd Calendar'!$AO$2614)&gt;0)*1000000+34*1000+37))</f>
        <v/>
      </c>
      <c r="AN190" s="41">
        <f>IF(N('Dvd Calendar'!$AP$2615)=0,"",IF(('Dvd Calendar'!$AP$2615&gt;=MIN(DATE(Summary!$C$12,1,1),Summary!$C$11))*('Dvd Calendar'!$AP$2615&lt;=MAX(DATE(Summary!$C$12,12,31),Summary!$C$15))*('Dvd Calendar'!$AP$2615&lt;=Summary!$C$11)=0,"",'Dvd Calendar'!$AP$2615*1000000000+ISNUMBER('Dvd Calendar'!$AP$2616)*100000000+('Dvd Calendar'!$AP$2620='Field Check'!$C$25)*10000000+(N('Dvd Calendar'!$AP$2614)&gt;0)*1000000+34*1000+38))</f>
        <v/>
      </c>
      <c r="AO190" s="41">
        <f>IF(N('Dvd Calendar'!$AQ$2615)=0,"",IF(('Dvd Calendar'!$AQ$2615&gt;=MIN(DATE(Summary!$C$12,1,1),Summary!$C$11))*('Dvd Calendar'!$AQ$2615&lt;=MAX(DATE(Summary!$C$12,12,31),Summary!$C$15))*('Dvd Calendar'!$AQ$2615&lt;=Summary!$C$11)=0,"",'Dvd Calendar'!$AQ$2615*1000000000+ISNUMBER('Dvd Calendar'!$AQ$2616)*100000000+('Dvd Calendar'!$AQ$2620='Field Check'!$C$25)*10000000+(N('Dvd Calendar'!$AQ$2614)&gt;0)*1000000+34*1000+39))</f>
        <v/>
      </c>
      <c r="AP190" s="41">
        <f>IF(N('Dvd Calendar'!$AR$2615)=0,"",IF(('Dvd Calendar'!$AR$2615&gt;=MIN(DATE(Summary!$C$12,1,1),Summary!$C$11))*('Dvd Calendar'!$AR$2615&lt;=MAX(DATE(Summary!$C$12,12,31),Summary!$C$15))*('Dvd Calendar'!$AR$2615&lt;=Summary!$C$11)=0,"",'Dvd Calendar'!$AR$2615*1000000000+ISNUMBER('Dvd Calendar'!$AR$2616)*100000000+('Dvd Calendar'!$AR$2620='Field Check'!$C$25)*10000000+(N('Dvd Calendar'!$AR$2614)&gt;0)*1000000+34*1000+40))</f>
        <v/>
      </c>
      <c r="AQ190" s="41">
        <f>IF(N('Dvd Calendar'!$E$2622)=0,"",IF(('Dvd Calendar'!$E$2622&gt;=MIN(DATE(Summary!$C$12,1,1),Summary!$C$11))*('Dvd Calendar'!$E$2622&lt;=MAX(DATE(Summary!$C$12,12,31),Summary!$C$15))*('Dvd Calendar'!$E$2622&gt;Summary!$C$11)=0,"",'Dvd Calendar'!$E$2622*1000000000+ISNUMBER('Dvd Calendar'!$E$2623)*100000000+('Dvd Calendar'!$E$2627='Field Check'!$C$25)*10000000+(N('Dvd Calendar'!$E$2621)&gt;0)*1000000+34*1000+41))</f>
        <v/>
      </c>
      <c r="AR190" s="41">
        <f>IF(N('Dvd Calendar'!$F$2622)=0,"",IF(('Dvd Calendar'!$F$2622&gt;=MIN(DATE(Summary!$C$12,1,1),Summary!$C$11))*('Dvd Calendar'!$F$2622&lt;=MAX(DATE(Summary!$C$12,12,31),Summary!$C$15))*('Dvd Calendar'!$F$2622&gt;Summary!$C$11)=0,"",'Dvd Calendar'!$F$2622*1000000000+ISNUMBER('Dvd Calendar'!$F$2623)*100000000+('Dvd Calendar'!$F$2627='Field Check'!$C$25)*10000000+(N('Dvd Calendar'!$F$2621)&gt;0)*1000000+34*1000+42))</f>
        <v/>
      </c>
      <c r="AS190" s="41">
        <f>IF(N('Dvd Calendar'!$G$2622)=0,"",IF(('Dvd Calendar'!$G$2622&gt;=MIN(DATE(Summary!$C$12,1,1),Summary!$C$11))*('Dvd Calendar'!$G$2622&lt;=MAX(DATE(Summary!$C$12,12,31),Summary!$C$15))*('Dvd Calendar'!$G$2622&gt;Summary!$C$11)=0,"",'Dvd Calendar'!$G$2622*1000000000+ISNUMBER('Dvd Calendar'!$G$2623)*100000000+('Dvd Calendar'!$G$2627='Field Check'!$C$25)*10000000+(N('Dvd Calendar'!$G$2621)&gt;0)*1000000+34*1000+43))</f>
        <v/>
      </c>
      <c r="AT190" s="41">
        <f>IF(N('Dvd Calendar'!$H$2622)=0,"",IF(('Dvd Calendar'!$H$2622&gt;=MIN(DATE(Summary!$C$12,1,1),Summary!$C$11))*('Dvd Calendar'!$H$2622&lt;=MAX(DATE(Summary!$C$12,12,31),Summary!$C$15))*('Dvd Calendar'!$H$2622&gt;Summary!$C$11)=0,"",'Dvd Calendar'!$H$2622*1000000000+ISNUMBER('Dvd Calendar'!$H$2623)*100000000+('Dvd Calendar'!$H$2627='Field Check'!$C$25)*10000000+(N('Dvd Calendar'!$H$2621)&gt;0)*1000000+34*1000+44))</f>
        <v/>
      </c>
      <c r="AU190" s="41">
        <f>IF(N('Dvd Calendar'!$I$2622)=0,"",IF(('Dvd Calendar'!$I$2622&gt;=MIN(DATE(Summary!$C$12,1,1),Summary!$C$11))*('Dvd Calendar'!$I$2622&lt;=MAX(DATE(Summary!$C$12,12,31),Summary!$C$15))*('Dvd Calendar'!$I$2622&gt;Summary!$C$11)=0,"",'Dvd Calendar'!$I$2622*1000000000+ISNUMBER('Dvd Calendar'!$I$2623)*100000000+('Dvd Calendar'!$I$2627='Field Check'!$C$25)*10000000+(N('Dvd Calendar'!$I$2621)&gt;0)*1000000+34*1000+45))</f>
        <v/>
      </c>
      <c r="AV190" s="41">
        <f>IF(N('Dvd Calendar'!$J$2622)=0,"",IF(('Dvd Calendar'!$J$2622&gt;=MIN(DATE(Summary!$C$12,1,1),Summary!$C$11))*('Dvd Calendar'!$J$2622&lt;=MAX(DATE(Summary!$C$12,12,31),Summary!$C$15))*('Dvd Calendar'!$J$2622&gt;Summary!$C$11)=0,"",'Dvd Calendar'!$J$2622*1000000000+ISNUMBER('Dvd Calendar'!$J$2623)*100000000+('Dvd Calendar'!$J$2627='Field Check'!$C$25)*10000000+(N('Dvd Calendar'!$J$2621)&gt;0)*1000000+34*1000+46))</f>
        <v/>
      </c>
      <c r="AW190" s="41">
        <f>IF(N('Dvd Calendar'!$K$2622)=0,"",IF(('Dvd Calendar'!$K$2622&gt;=MIN(DATE(Summary!$C$12,1,1),Summary!$C$11))*('Dvd Calendar'!$K$2622&lt;=MAX(DATE(Summary!$C$12,12,31),Summary!$C$15))*('Dvd Calendar'!$K$2622&gt;Summary!$C$11)=0,"",'Dvd Calendar'!$K$2622*1000000000+ISNUMBER('Dvd Calendar'!$K$2623)*100000000+('Dvd Calendar'!$K$2627='Field Check'!$C$25)*10000000+(N('Dvd Calendar'!$K$2621)&gt;0)*1000000+34*1000+47))</f>
        <v/>
      </c>
      <c r="AX190" s="41">
        <f>IF(N('Dvd Calendar'!$L$2622)=0,"",IF(('Dvd Calendar'!$L$2622&gt;=MIN(DATE(Summary!$C$12,1,1),Summary!$C$11))*('Dvd Calendar'!$L$2622&lt;=MAX(DATE(Summary!$C$12,12,31),Summary!$C$15))*('Dvd Calendar'!$L$2622&gt;Summary!$C$11)=0,"",'Dvd Calendar'!$L$2622*1000000000+ISNUMBER('Dvd Calendar'!$L$2623)*100000000+('Dvd Calendar'!$L$2627='Field Check'!$C$25)*10000000+(N('Dvd Calendar'!$L$2621)&gt;0)*1000000+34*1000+48))</f>
        <v/>
      </c>
      <c r="AY190" s="41">
        <f>IF(N('Dvd Calendar'!$M$2622)=0,"",IF(('Dvd Calendar'!$M$2622&gt;=MIN(DATE(Summary!$C$12,1,1),Summary!$C$11))*('Dvd Calendar'!$M$2622&lt;=MAX(DATE(Summary!$C$12,12,31),Summary!$C$15))*('Dvd Calendar'!$M$2622&gt;Summary!$C$11)=0,"",'Dvd Calendar'!$M$2622*1000000000+ISNUMBER('Dvd Calendar'!$M$2623)*100000000+('Dvd Calendar'!$M$2627='Field Check'!$C$25)*10000000+(N('Dvd Calendar'!$M$2621)&gt;0)*1000000+34*1000+49))</f>
        <v/>
      </c>
      <c r="AZ190" s="41">
        <f>IF(N('Dvd Calendar'!$N$2622)=0,"",IF(('Dvd Calendar'!$N$2622&gt;=MIN(DATE(Summary!$C$12,1,1),Summary!$C$11))*('Dvd Calendar'!$N$2622&lt;=MAX(DATE(Summary!$C$12,12,31),Summary!$C$15))*('Dvd Calendar'!$N$2622&gt;Summary!$C$11)=0,"",'Dvd Calendar'!$N$2622*1000000000+ISNUMBER('Dvd Calendar'!$N$2623)*100000000+('Dvd Calendar'!$N$2627='Field Check'!$C$25)*10000000+(N('Dvd Calendar'!$N$2621)&gt;0)*1000000+34*1000+50))</f>
        <v/>
      </c>
      <c r="BA190" s="41">
        <f>IF(N('Dvd Calendar'!$O$2622)=0,"",IF(('Dvd Calendar'!$O$2622&gt;=MIN(DATE(Summary!$C$12,1,1),Summary!$C$11))*('Dvd Calendar'!$O$2622&lt;=MAX(DATE(Summary!$C$12,12,31),Summary!$C$15))*('Dvd Calendar'!$O$2622&gt;Summary!$C$11)=0,"",'Dvd Calendar'!$O$2622*1000000000+ISNUMBER('Dvd Calendar'!$O$2623)*100000000+('Dvd Calendar'!$O$2627='Field Check'!$C$25)*10000000+(N('Dvd Calendar'!$O$2621)&gt;0)*1000000+34*1000+51))</f>
        <v/>
      </c>
      <c r="BB190" s="41">
        <f>IF(N('Dvd Calendar'!$P$2622)=0,"",IF(('Dvd Calendar'!$P$2622&gt;=MIN(DATE(Summary!$C$12,1,1),Summary!$C$11))*('Dvd Calendar'!$P$2622&lt;=MAX(DATE(Summary!$C$12,12,31),Summary!$C$15))*('Dvd Calendar'!$P$2622&gt;Summary!$C$11)=0,"",'Dvd Calendar'!$P$2622*1000000000+ISNUMBER('Dvd Calendar'!$P$2623)*100000000+('Dvd Calendar'!$P$2627='Field Check'!$C$25)*10000000+(N('Dvd Calendar'!$P$2621)&gt;0)*1000000+34*1000+52))</f>
        <v/>
      </c>
      <c r="BC190" s="41">
        <f>IF(N('Dvd Calendar'!$Q$2622)=0,"",IF(('Dvd Calendar'!$Q$2622&gt;=MIN(DATE(Summary!$C$12,1,1),Summary!$C$11))*('Dvd Calendar'!$Q$2622&lt;=MAX(DATE(Summary!$C$12,12,31),Summary!$C$15))*('Dvd Calendar'!$Q$2622&gt;Summary!$C$11)=0,"",'Dvd Calendar'!$Q$2622*1000000000+ISNUMBER('Dvd Calendar'!$Q$2623)*100000000+('Dvd Calendar'!$Q$2627='Field Check'!$C$25)*10000000+(N('Dvd Calendar'!$Q$2621)&gt;0)*1000000+34*1000+53))</f>
        <v/>
      </c>
      <c r="BD190" s="41">
        <f>IF(N('Dvd Calendar'!$R$2622)=0,"",IF(('Dvd Calendar'!$R$2622&gt;=MIN(DATE(Summary!$C$12,1,1),Summary!$C$11))*('Dvd Calendar'!$R$2622&lt;=MAX(DATE(Summary!$C$12,12,31),Summary!$C$15))*('Dvd Calendar'!$R$2622&gt;Summary!$C$11)=0,"",'Dvd Calendar'!$R$2622*1000000000+ISNUMBER('Dvd Calendar'!$R$2623)*100000000+('Dvd Calendar'!$R$2627='Field Check'!$C$25)*10000000+(N('Dvd Calendar'!$R$2621)&gt;0)*1000000+34*1000+54))</f>
        <v/>
      </c>
      <c r="BE190" s="41">
        <f>IF(N('Dvd Calendar'!$S$2622)=0,"",IF(('Dvd Calendar'!$S$2622&gt;=MIN(DATE(Summary!$C$12,1,1),Summary!$C$11))*('Dvd Calendar'!$S$2622&lt;=MAX(DATE(Summary!$C$12,12,31),Summary!$C$15))*('Dvd Calendar'!$S$2622&gt;Summary!$C$11)=0,"",'Dvd Calendar'!$S$2622*1000000000+ISNUMBER('Dvd Calendar'!$S$2623)*100000000+('Dvd Calendar'!$S$2627='Field Check'!$C$25)*10000000+(N('Dvd Calendar'!$S$2621)&gt;0)*1000000+34*1000+55))</f>
        <v/>
      </c>
      <c r="BF190" s="41">
        <f>IF(N('Dvd Calendar'!$T$2622)=0,"",IF(('Dvd Calendar'!$T$2622&gt;=MIN(DATE(Summary!$C$12,1,1),Summary!$C$11))*('Dvd Calendar'!$T$2622&lt;=MAX(DATE(Summary!$C$12,12,31),Summary!$C$15))*('Dvd Calendar'!$T$2622&gt;Summary!$C$11)=0,"",'Dvd Calendar'!$T$2622*1000000000+ISNUMBER('Dvd Calendar'!$T$2623)*100000000+('Dvd Calendar'!$T$2627='Field Check'!$C$25)*10000000+(N('Dvd Calendar'!$T$2621)&gt;0)*1000000+34*1000+56))</f>
        <v/>
      </c>
      <c r="BG190" s="41">
        <f>IF(N('Dvd Calendar'!$U$2622)=0,"",IF(('Dvd Calendar'!$U$2622&gt;=MIN(DATE(Summary!$C$12,1,1),Summary!$C$11))*('Dvd Calendar'!$U$2622&lt;=MAX(DATE(Summary!$C$12,12,31),Summary!$C$15))*('Dvd Calendar'!$U$2622&gt;Summary!$C$11)=0,"",'Dvd Calendar'!$U$2622*1000000000+ISNUMBER('Dvd Calendar'!$U$2623)*100000000+('Dvd Calendar'!$U$2627='Field Check'!$C$25)*10000000+(N('Dvd Calendar'!$U$2621)&gt;0)*1000000+34*1000+57))</f>
        <v/>
      </c>
      <c r="BH190" s="41">
        <f>IF(N('Dvd Calendar'!$V$2622)=0,"",IF(('Dvd Calendar'!$V$2622&gt;=MIN(DATE(Summary!$C$12,1,1),Summary!$C$11))*('Dvd Calendar'!$V$2622&lt;=MAX(DATE(Summary!$C$12,12,31),Summary!$C$15))*('Dvd Calendar'!$V$2622&gt;Summary!$C$11)=0,"",'Dvd Calendar'!$V$2622*1000000000+ISNUMBER('Dvd Calendar'!$V$2623)*100000000+('Dvd Calendar'!$V$2627='Field Check'!$C$25)*10000000+(N('Dvd Calendar'!$V$2621)&gt;0)*1000000+34*1000+58))</f>
        <v/>
      </c>
      <c r="BI190" s="41">
        <f>IF(N('Dvd Calendar'!$W$2622)=0,"",IF(('Dvd Calendar'!$W$2622&gt;=MIN(DATE(Summary!$C$12,1,1),Summary!$C$11))*('Dvd Calendar'!$W$2622&lt;=MAX(DATE(Summary!$C$12,12,31),Summary!$C$15))*('Dvd Calendar'!$W$2622&gt;Summary!$C$11)=0,"",'Dvd Calendar'!$W$2622*1000000000+ISNUMBER('Dvd Calendar'!$W$2623)*100000000+('Dvd Calendar'!$W$2627='Field Check'!$C$25)*10000000+(N('Dvd Calendar'!$W$2621)&gt;0)*1000000+34*1000+59))</f>
        <v/>
      </c>
      <c r="BJ190" s="41">
        <f>IF(N('Dvd Calendar'!$X$2622)=0,"",IF(('Dvd Calendar'!$X$2622&gt;=MIN(DATE(Summary!$C$12,1,1),Summary!$C$11))*('Dvd Calendar'!$X$2622&lt;=MAX(DATE(Summary!$C$12,12,31),Summary!$C$15))*('Dvd Calendar'!$X$2622&gt;Summary!$C$11)=0,"",'Dvd Calendar'!$X$2622*1000000000+ISNUMBER('Dvd Calendar'!$X$2623)*100000000+('Dvd Calendar'!$X$2627='Field Check'!$C$25)*10000000+(N('Dvd Calendar'!$X$2621)&gt;0)*1000000+34*1000+60))</f>
        <v/>
      </c>
      <c r="BK190" s="41">
        <f>IF(N('Dvd Calendar'!$Y$2622)=0,"",IF(('Dvd Calendar'!$Y$2622&gt;=MIN(DATE(Summary!$C$12,1,1),Summary!$C$11))*('Dvd Calendar'!$Y$2622&lt;=MAX(DATE(Summary!$C$12,12,31),Summary!$C$15))*('Dvd Calendar'!$Y$2622&gt;Summary!$C$11)=0,"",'Dvd Calendar'!$Y$2622*1000000000+ISNUMBER('Dvd Calendar'!$Y$2623)*100000000+('Dvd Calendar'!$Y$2627='Field Check'!$C$25)*10000000+(N('Dvd Calendar'!$Y$2621)&gt;0)*1000000+34*1000+61))</f>
        <v/>
      </c>
      <c r="BL190" s="41">
        <f>IF(N('Dvd Calendar'!$Z$2622)=0,"",IF(('Dvd Calendar'!$Z$2622&gt;=MIN(DATE(Summary!$C$12,1,1),Summary!$C$11))*('Dvd Calendar'!$Z$2622&lt;=MAX(DATE(Summary!$C$12,12,31),Summary!$C$15))*('Dvd Calendar'!$Z$2622&gt;Summary!$C$11)=0,"",'Dvd Calendar'!$Z$2622*1000000000+ISNUMBER('Dvd Calendar'!$Z$2623)*100000000+('Dvd Calendar'!$Z$2627='Field Check'!$C$25)*10000000+(N('Dvd Calendar'!$Z$2621)&gt;0)*1000000+34*1000+62))</f>
        <v/>
      </c>
      <c r="BM190" s="41">
        <f>IF(N('Dvd Calendar'!$AA$2622)=0,"",IF(('Dvd Calendar'!$AA$2622&gt;=MIN(DATE(Summary!$C$12,1,1),Summary!$C$11))*('Dvd Calendar'!$AA$2622&lt;=MAX(DATE(Summary!$C$12,12,31),Summary!$C$15))*('Dvd Calendar'!$AA$2622&gt;Summary!$C$11)=0,"",'Dvd Calendar'!$AA$2622*1000000000+ISNUMBER('Dvd Calendar'!$AA$2623)*100000000+('Dvd Calendar'!$AA$2627='Field Check'!$C$25)*10000000+(N('Dvd Calendar'!$AA$2621)&gt;0)*1000000+34*1000+63))</f>
        <v/>
      </c>
      <c r="BN190" s="41">
        <f>IF(N('Dvd Calendar'!$AB$2622)=0,"",IF(('Dvd Calendar'!$AB$2622&gt;=MIN(DATE(Summary!$C$12,1,1),Summary!$C$11))*('Dvd Calendar'!$AB$2622&lt;=MAX(DATE(Summary!$C$12,12,31),Summary!$C$15))*('Dvd Calendar'!$AB$2622&gt;Summary!$C$11)=0,"",'Dvd Calendar'!$AB$2622*1000000000+ISNUMBER('Dvd Calendar'!$AB$2623)*100000000+('Dvd Calendar'!$AB$2627='Field Check'!$C$25)*10000000+(N('Dvd Calendar'!$AB$2621)&gt;0)*1000000+34*1000+64))</f>
        <v/>
      </c>
      <c r="BO190" s="41">
        <f>IF(N('Dvd Calendar'!$AC$2622)=0,"",IF(('Dvd Calendar'!$AC$2622&gt;=MIN(DATE(Summary!$C$12,1,1),Summary!$C$11))*('Dvd Calendar'!$AC$2622&lt;=MAX(DATE(Summary!$C$12,12,31),Summary!$C$15))*('Dvd Calendar'!$AC$2622&gt;Summary!$C$11)=0,"",'Dvd Calendar'!$AC$2622*1000000000+ISNUMBER('Dvd Calendar'!$AC$2623)*100000000+('Dvd Calendar'!$AC$2627='Field Check'!$C$25)*10000000+(N('Dvd Calendar'!$AC$2621)&gt;0)*1000000+34*1000+65))</f>
        <v/>
      </c>
      <c r="BQ190" s="85">
        <f>IF(C190="","",IF(ISNUMBER('Dvd Calendar'!$E$2616)=FALSE,"",IF((Summary!$C$13="N")*('Dvd Calendar'!$E$2620='Field Check'!$C$25)&gt;0,"",'Dvd Calendar'!$E$2616)))</f>
        <v/>
      </c>
      <c r="BR190" s="85">
        <f>IF(D190="","",IF(ISNUMBER('Dvd Calendar'!$F$2616)=FALSE,"",IF((Summary!$C$13="N")*('Dvd Calendar'!$F$2620='Field Check'!$C$25)&gt;0,"",'Dvd Calendar'!$F$2616)))</f>
        <v/>
      </c>
      <c r="BS190" s="85">
        <f>IF(E190="","",IF(ISNUMBER('Dvd Calendar'!$G$2616)=FALSE,"",IF((Summary!$C$13="N")*('Dvd Calendar'!$G$2620='Field Check'!$C$25)&gt;0,"",'Dvd Calendar'!$G$2616)))</f>
        <v/>
      </c>
      <c r="BT190" s="85">
        <f>IF(F190="","",IF(ISNUMBER('Dvd Calendar'!$H$2616)=FALSE,"",IF((Summary!$C$13="N")*('Dvd Calendar'!$H$2620='Field Check'!$C$25)&gt;0,"",'Dvd Calendar'!$H$2616)))</f>
        <v/>
      </c>
      <c r="BU190" s="85">
        <f>IF(G190="","",IF(ISNUMBER('Dvd Calendar'!$I$2616)=FALSE,"",IF((Summary!$C$13="N")*('Dvd Calendar'!$I$2620='Field Check'!$C$25)&gt;0,"",'Dvd Calendar'!$I$2616)))</f>
        <v/>
      </c>
      <c r="BV190" s="85">
        <f>IF(H190="","",IF(ISNUMBER('Dvd Calendar'!$J$2616)=FALSE,"",IF((Summary!$C$13="N")*('Dvd Calendar'!$J$2620='Field Check'!$C$25)&gt;0,"",'Dvd Calendar'!$J$2616)))</f>
        <v/>
      </c>
      <c r="BW190" s="85">
        <f>IF(I190="","",IF(ISNUMBER('Dvd Calendar'!$K$2616)=FALSE,"",IF((Summary!$C$13="N")*('Dvd Calendar'!$K$2620='Field Check'!$C$25)&gt;0,"",'Dvd Calendar'!$K$2616)))</f>
        <v/>
      </c>
      <c r="BX190" s="85">
        <f>IF(J190="","",IF(ISNUMBER('Dvd Calendar'!$L$2616)=FALSE,"",IF((Summary!$C$13="N")*('Dvd Calendar'!$L$2620='Field Check'!$C$25)&gt;0,"",'Dvd Calendar'!$L$2616)))</f>
        <v/>
      </c>
      <c r="BY190" s="85">
        <f>IF(K190="","",IF(ISNUMBER('Dvd Calendar'!$M$2616)=FALSE,"",IF((Summary!$C$13="N")*('Dvd Calendar'!$M$2620='Field Check'!$C$25)&gt;0,"",'Dvd Calendar'!$M$2616)))</f>
        <v/>
      </c>
      <c r="BZ190" s="85">
        <f>IF(L190="","",IF(ISNUMBER('Dvd Calendar'!$N$2616)=FALSE,"",IF((Summary!$C$13="N")*('Dvd Calendar'!$N$2620='Field Check'!$C$25)&gt;0,"",'Dvd Calendar'!$N$2616)))</f>
        <v/>
      </c>
      <c r="CA190" s="85">
        <f>IF(M190="","",IF(ISNUMBER('Dvd Calendar'!$O$2616)=FALSE,"",IF((Summary!$C$13="N")*('Dvd Calendar'!$O$2620='Field Check'!$C$25)&gt;0,"",'Dvd Calendar'!$O$2616)))</f>
        <v/>
      </c>
      <c r="CB190" s="85">
        <f>IF(N190="","",IF(ISNUMBER('Dvd Calendar'!$P$2616)=FALSE,"",IF((Summary!$C$13="N")*('Dvd Calendar'!$P$2620='Field Check'!$C$25)&gt;0,"",'Dvd Calendar'!$P$2616)))</f>
        <v/>
      </c>
      <c r="CC190" s="85">
        <f>IF(O190="","",IF(ISNUMBER('Dvd Calendar'!$Q$2616)=FALSE,"",IF((Summary!$C$13="N")*('Dvd Calendar'!$Q$2620='Field Check'!$C$25)&gt;0,"",'Dvd Calendar'!$Q$2616)))</f>
        <v/>
      </c>
      <c r="CD190" s="85">
        <f>IF(P190="","",IF(ISNUMBER('Dvd Calendar'!$R$2616)=FALSE,"",IF((Summary!$C$13="N")*('Dvd Calendar'!$R$2620='Field Check'!$C$25)&gt;0,"",'Dvd Calendar'!$R$2616)))</f>
        <v/>
      </c>
      <c r="CE190" s="85">
        <f>IF(Q190="","",IF(ISNUMBER('Dvd Calendar'!$S$2616)=FALSE,"",IF((Summary!$C$13="N")*('Dvd Calendar'!$S$2620='Field Check'!$C$25)&gt;0,"",'Dvd Calendar'!$S$2616)))</f>
        <v/>
      </c>
      <c r="CF190" s="85">
        <f>IF(R190="","",IF(ISNUMBER('Dvd Calendar'!$T$2616)=FALSE,"",IF((Summary!$C$13="N")*('Dvd Calendar'!$T$2620='Field Check'!$C$25)&gt;0,"",'Dvd Calendar'!$T$2616)))</f>
        <v/>
      </c>
      <c r="CG190" s="85">
        <f>IF(S190="","",IF(ISNUMBER('Dvd Calendar'!$U$2616)=FALSE,"",IF((Summary!$C$13="N")*('Dvd Calendar'!$U$2620='Field Check'!$C$25)&gt;0,"",'Dvd Calendar'!$U$2616)))</f>
        <v/>
      </c>
      <c r="CH190" s="85">
        <f>IF(T190="","",IF(ISNUMBER('Dvd Calendar'!$V$2616)=FALSE,"",IF((Summary!$C$13="N")*('Dvd Calendar'!$V$2620='Field Check'!$C$25)&gt;0,"",'Dvd Calendar'!$V$2616)))</f>
        <v/>
      </c>
      <c r="CI190" s="85">
        <f>IF(U190="","",IF(ISNUMBER('Dvd Calendar'!$W$2616)=FALSE,"",IF((Summary!$C$13="N")*('Dvd Calendar'!$W$2620='Field Check'!$C$25)&gt;0,"",'Dvd Calendar'!$W$2616)))</f>
        <v/>
      </c>
      <c r="CJ190" s="85">
        <f>IF(V190="","",IF(ISNUMBER('Dvd Calendar'!$X$2616)=FALSE,"",IF((Summary!$C$13="N")*('Dvd Calendar'!$X$2620='Field Check'!$C$25)&gt;0,"",'Dvd Calendar'!$X$2616)))</f>
        <v/>
      </c>
      <c r="CK190" s="85">
        <f>IF(W190="","",IF(ISNUMBER('Dvd Calendar'!$Y$2616)=FALSE,"",IF((Summary!$C$13="N")*('Dvd Calendar'!$Y$2620='Field Check'!$C$25)&gt;0,"",'Dvd Calendar'!$Y$2616)))</f>
        <v/>
      </c>
      <c r="CL190" s="85">
        <f>IF(X190="","",IF(ISNUMBER('Dvd Calendar'!$Z$2616)=FALSE,"",IF((Summary!$C$13="N")*('Dvd Calendar'!$Z$2620='Field Check'!$C$25)&gt;0,"",'Dvd Calendar'!$Z$2616)))</f>
        <v/>
      </c>
      <c r="CM190" s="85">
        <f>IF(Y190="","",IF(ISNUMBER('Dvd Calendar'!$AA$2616)=FALSE,"",IF((Summary!$C$13="N")*('Dvd Calendar'!$AA$2620='Field Check'!$C$25)&gt;0,"",'Dvd Calendar'!$AA$2616)))</f>
        <v/>
      </c>
      <c r="CN190" s="85">
        <f>IF(Z190="","",IF(ISNUMBER('Dvd Calendar'!$AB$2616)=FALSE,"",IF((Summary!$C$13="N")*('Dvd Calendar'!$AB$2620='Field Check'!$C$25)&gt;0,"",'Dvd Calendar'!$AB$2616)))</f>
        <v/>
      </c>
      <c r="CO190" s="85">
        <f>IF(AA190="","",IF(ISNUMBER('Dvd Calendar'!$AC$2616)=FALSE,"",IF((Summary!$C$13="N")*('Dvd Calendar'!$AC$2620='Field Check'!$C$25)&gt;0,"",'Dvd Calendar'!$AC$2616)))</f>
        <v/>
      </c>
      <c r="CP190" s="85">
        <f>IF(AB190="","",IF(ISNUMBER('Dvd Calendar'!$AD$2616)=FALSE,"",IF((Summary!$C$13="N")*('Dvd Calendar'!$AD$2620='Field Check'!$C$25)&gt;0,"",'Dvd Calendar'!$AD$2616)))</f>
        <v/>
      </c>
      <c r="CQ190" s="85">
        <f>IF(AC190="","",IF(ISNUMBER('Dvd Calendar'!$AE$2616)=FALSE,"",IF((Summary!$C$13="N")*('Dvd Calendar'!$AE$2620='Field Check'!$C$25)&gt;0,"",'Dvd Calendar'!$AE$2616)))</f>
        <v/>
      </c>
      <c r="CR190" s="85">
        <f>IF(AD190="","",IF(ISNUMBER('Dvd Calendar'!$AF$2616)=FALSE,"",IF((Summary!$C$13="N")*('Dvd Calendar'!$AF$2620='Field Check'!$C$25)&gt;0,"",'Dvd Calendar'!$AF$2616)))</f>
        <v/>
      </c>
      <c r="CS190" s="85">
        <f>IF(AE190="","",IF(ISNUMBER('Dvd Calendar'!$AG$2616)=FALSE,"",IF((Summary!$C$13="N")*('Dvd Calendar'!$AG$2620='Field Check'!$C$25)&gt;0,"",'Dvd Calendar'!$AG$2616)))</f>
        <v/>
      </c>
      <c r="CT190" s="85">
        <f>IF(AF190="","",IF(ISNUMBER('Dvd Calendar'!$AH$2616)=FALSE,"",IF((Summary!$C$13="N")*('Dvd Calendar'!$AH$2620='Field Check'!$C$25)&gt;0,"",'Dvd Calendar'!$AH$2616)))</f>
        <v/>
      </c>
      <c r="CU190" s="85">
        <f>IF(AG190="","",IF(ISNUMBER('Dvd Calendar'!$AI$2616)=FALSE,"",IF((Summary!$C$13="N")*('Dvd Calendar'!$AI$2620='Field Check'!$C$25)&gt;0,"",'Dvd Calendar'!$AI$2616)))</f>
        <v/>
      </c>
      <c r="CV190" s="85">
        <f>IF(AH190="","",IF(ISNUMBER('Dvd Calendar'!$AJ$2616)=FALSE,"",IF((Summary!$C$13="N")*('Dvd Calendar'!$AJ$2620='Field Check'!$C$25)&gt;0,"",'Dvd Calendar'!$AJ$2616)))</f>
        <v/>
      </c>
      <c r="CW190" s="85">
        <f>IF(AI190="","",IF(ISNUMBER('Dvd Calendar'!$AK$2616)=FALSE,"",IF((Summary!$C$13="N")*('Dvd Calendar'!$AK$2620='Field Check'!$C$25)&gt;0,"",'Dvd Calendar'!$AK$2616)))</f>
        <v/>
      </c>
      <c r="CX190" s="85">
        <f>IF(AJ190="","",IF(ISNUMBER('Dvd Calendar'!$AL$2616)=FALSE,"",IF((Summary!$C$13="N")*('Dvd Calendar'!$AL$2620='Field Check'!$C$25)&gt;0,"",'Dvd Calendar'!$AL$2616)))</f>
        <v/>
      </c>
      <c r="CY190" s="85">
        <f>IF(AK190="","",IF(ISNUMBER('Dvd Calendar'!$AM$2616)=FALSE,"",IF((Summary!$C$13="N")*('Dvd Calendar'!$AM$2620='Field Check'!$C$25)&gt;0,"",'Dvd Calendar'!$AM$2616)))</f>
        <v/>
      </c>
      <c r="CZ190" s="85">
        <f>IF(AL190="","",IF(ISNUMBER('Dvd Calendar'!$AN$2616)=FALSE,"",IF((Summary!$C$13="N")*('Dvd Calendar'!$AN$2620='Field Check'!$C$25)&gt;0,"",'Dvd Calendar'!$AN$2616)))</f>
        <v/>
      </c>
      <c r="DA190" s="85">
        <f>IF(AM190="","",IF(ISNUMBER('Dvd Calendar'!$AO$2616)=FALSE,"",IF((Summary!$C$13="N")*('Dvd Calendar'!$AO$2620='Field Check'!$C$25)&gt;0,"",'Dvd Calendar'!$AO$2616)))</f>
        <v/>
      </c>
      <c r="DB190" s="85">
        <f>IF(AN190="","",IF(ISNUMBER('Dvd Calendar'!$AP$2616)=FALSE,"",IF((Summary!$C$13="N")*('Dvd Calendar'!$AP$2620='Field Check'!$C$25)&gt;0,"",'Dvd Calendar'!$AP$2616)))</f>
        <v/>
      </c>
      <c r="DC190" s="85">
        <f>IF(AO190="","",IF(ISNUMBER('Dvd Calendar'!$AQ$2616)=FALSE,"",IF((Summary!$C$13="N")*('Dvd Calendar'!$AQ$2620='Field Check'!$C$25)&gt;0,"",'Dvd Calendar'!$AQ$2616)))</f>
        <v/>
      </c>
      <c r="DD190" s="85">
        <f>IF(AP190="","",IF(ISNUMBER('Dvd Calendar'!$AR$2616)=FALSE,"",IF((Summary!$C$13="N")*('Dvd Calendar'!$AR$2620='Field Check'!$C$25)&gt;0,"",'Dvd Calendar'!$AR$2616)))</f>
        <v/>
      </c>
      <c r="DE190" s="85">
        <f>IF(AQ190="","",IF(ISNUMBER('Dvd Calendar'!$E$2623)=FALSE,"",IF((Summary!$C$13="N")*('Dvd Calendar'!$E$2627='Field Check'!$C$25)&gt;0,"",'Dvd Calendar'!$E$2623)))</f>
        <v/>
      </c>
      <c r="DF190" s="85">
        <f>IF(AR190="","",IF(ISNUMBER('Dvd Calendar'!$F$2623)=FALSE,"",IF((Summary!$C$13="N")*('Dvd Calendar'!$F$2627='Field Check'!$C$25)&gt;0,"",'Dvd Calendar'!$F$2623)))</f>
        <v/>
      </c>
      <c r="DG190" s="85">
        <f>IF(AS190="","",IF(ISNUMBER('Dvd Calendar'!$G$2623)=FALSE,"",IF((Summary!$C$13="N")*('Dvd Calendar'!$G$2627='Field Check'!$C$25)&gt;0,"",'Dvd Calendar'!$G$2623)))</f>
        <v/>
      </c>
      <c r="DH190" s="85">
        <f>IF(AT190="","",IF(ISNUMBER('Dvd Calendar'!$H$2623)=FALSE,"",IF((Summary!$C$13="N")*('Dvd Calendar'!$H$2627='Field Check'!$C$25)&gt;0,"",'Dvd Calendar'!$H$2623)))</f>
        <v/>
      </c>
      <c r="DI190" s="85">
        <f>IF(AU190="","",IF(ISNUMBER('Dvd Calendar'!$I$2623)=FALSE,"",IF((Summary!$C$13="N")*('Dvd Calendar'!$I$2627='Field Check'!$C$25)&gt;0,"",'Dvd Calendar'!$I$2623)))</f>
        <v/>
      </c>
      <c r="DJ190" s="85">
        <f>IF(AV190="","",IF(ISNUMBER('Dvd Calendar'!$J$2623)=FALSE,"",IF((Summary!$C$13="N")*('Dvd Calendar'!$J$2627='Field Check'!$C$25)&gt;0,"",'Dvd Calendar'!$J$2623)))</f>
        <v/>
      </c>
      <c r="DK190" s="85">
        <f>IF(AW190="","",IF(ISNUMBER('Dvd Calendar'!$K$2623)=FALSE,"",IF((Summary!$C$13="N")*('Dvd Calendar'!$K$2627='Field Check'!$C$25)&gt;0,"",'Dvd Calendar'!$K$2623)))</f>
        <v/>
      </c>
      <c r="DL190" s="85">
        <f>IF(AX190="","",IF(ISNUMBER('Dvd Calendar'!$L$2623)=FALSE,"",IF((Summary!$C$13="N")*('Dvd Calendar'!$L$2627='Field Check'!$C$25)&gt;0,"",'Dvd Calendar'!$L$2623)))</f>
        <v/>
      </c>
      <c r="DM190" s="85">
        <f>IF(AY190="","",IF(ISNUMBER('Dvd Calendar'!$M$2623)=FALSE,"",IF((Summary!$C$13="N")*('Dvd Calendar'!$M$2627='Field Check'!$C$25)&gt;0,"",'Dvd Calendar'!$M$2623)))</f>
        <v/>
      </c>
      <c r="DN190" s="85">
        <f>IF(AZ190="","",IF(ISNUMBER('Dvd Calendar'!$N$2623)=FALSE,"",IF((Summary!$C$13="N")*('Dvd Calendar'!$N$2627='Field Check'!$C$25)&gt;0,"",'Dvd Calendar'!$N$2623)))</f>
        <v/>
      </c>
      <c r="DO190" s="85">
        <f>IF(BA190="","",IF(ISNUMBER('Dvd Calendar'!$O$2623)=FALSE,"",IF((Summary!$C$13="N")*('Dvd Calendar'!$O$2627='Field Check'!$C$25)&gt;0,"",'Dvd Calendar'!$O$2623)))</f>
        <v/>
      </c>
      <c r="DP190" s="85">
        <f>IF(BB190="","",IF(ISNUMBER('Dvd Calendar'!$P$2623)=FALSE,"",IF((Summary!$C$13="N")*('Dvd Calendar'!$P$2627='Field Check'!$C$25)&gt;0,"",'Dvd Calendar'!$P$2623)))</f>
        <v/>
      </c>
      <c r="DQ190" s="85">
        <f>IF(BC190="","",IF(ISNUMBER('Dvd Calendar'!$Q$2623)=FALSE,"",IF((Summary!$C$13="N")*('Dvd Calendar'!$Q$2627='Field Check'!$C$25)&gt;0,"",'Dvd Calendar'!$Q$2623)))</f>
        <v/>
      </c>
      <c r="DR190" s="85">
        <f>IF(BD190="","",IF(ISNUMBER('Dvd Calendar'!$R$2623)=FALSE,"",IF((Summary!$C$13="N")*('Dvd Calendar'!$R$2627='Field Check'!$C$25)&gt;0,"",'Dvd Calendar'!$R$2623)))</f>
        <v/>
      </c>
      <c r="DS190" s="85">
        <f>IF(BE190="","",IF(ISNUMBER('Dvd Calendar'!$S$2623)=FALSE,"",IF((Summary!$C$13="N")*('Dvd Calendar'!$S$2627='Field Check'!$C$25)&gt;0,"",'Dvd Calendar'!$S$2623)))</f>
        <v/>
      </c>
      <c r="DT190" s="85">
        <f>IF(BF190="","",IF(ISNUMBER('Dvd Calendar'!$T$2623)=FALSE,"",IF((Summary!$C$13="N")*('Dvd Calendar'!$T$2627='Field Check'!$C$25)&gt;0,"",'Dvd Calendar'!$T$2623)))</f>
        <v/>
      </c>
      <c r="DU190" s="85">
        <f>IF(BG190="","",IF(ISNUMBER('Dvd Calendar'!$U$2623)=FALSE,"",IF((Summary!$C$13="N")*('Dvd Calendar'!$U$2627='Field Check'!$C$25)&gt;0,"",'Dvd Calendar'!$U$2623)))</f>
        <v/>
      </c>
      <c r="DV190" s="85">
        <f>IF(BH190="","",IF(ISNUMBER('Dvd Calendar'!$V$2623)=FALSE,"",IF((Summary!$C$13="N")*('Dvd Calendar'!$V$2627='Field Check'!$C$25)&gt;0,"",'Dvd Calendar'!$V$2623)))</f>
        <v/>
      </c>
      <c r="DW190" s="85">
        <f>IF(BI190="","",IF(ISNUMBER('Dvd Calendar'!$W$2623)=FALSE,"",IF((Summary!$C$13="N")*('Dvd Calendar'!$W$2627='Field Check'!$C$25)&gt;0,"",'Dvd Calendar'!$W$2623)))</f>
        <v/>
      </c>
      <c r="DX190" s="85">
        <f>IF(BJ190="","",IF(ISNUMBER('Dvd Calendar'!$X$2623)=FALSE,"",IF((Summary!$C$13="N")*('Dvd Calendar'!$X$2627='Field Check'!$C$25)&gt;0,"",'Dvd Calendar'!$X$2623)))</f>
        <v/>
      </c>
      <c r="DY190" s="85">
        <f>IF(BK190="","",IF(ISNUMBER('Dvd Calendar'!$Y$2623)=FALSE,"",IF((Summary!$C$13="N")*('Dvd Calendar'!$Y$2627='Field Check'!$C$25)&gt;0,"",'Dvd Calendar'!$Y$2623)))</f>
        <v/>
      </c>
      <c r="DZ190" s="85">
        <f>IF(BL190="","",IF(ISNUMBER('Dvd Calendar'!$Z$2623)=FALSE,"",IF((Summary!$C$13="N")*('Dvd Calendar'!$Z$2627='Field Check'!$C$25)&gt;0,"",'Dvd Calendar'!$Z$2623)))</f>
        <v/>
      </c>
      <c r="EA190" s="85">
        <f>IF(BM190="","",IF(ISNUMBER('Dvd Calendar'!$AA$2623)=FALSE,"",IF((Summary!$C$13="N")*('Dvd Calendar'!$AA$2627='Field Check'!$C$25)&gt;0,"",'Dvd Calendar'!$AA$2623)))</f>
        <v/>
      </c>
      <c r="EB190" s="85">
        <f>IF(BN190="","",IF(ISNUMBER('Dvd Calendar'!$AB$2623)=FALSE,"",IF((Summary!$C$13="N")*('Dvd Calendar'!$AB$2627='Field Check'!$C$25)&gt;0,"",'Dvd Calendar'!$AB$2623)))</f>
        <v/>
      </c>
      <c r="EC190" s="85">
        <f>IF(BO190="","",IF(ISNUMBER('Dvd Calendar'!$AC$2623)=FALSE,"",IF((Summary!$C$13="N")*('Dvd Calendar'!$AC$2627='Field Check'!$C$25)&gt;0,"",'Dvd Calendar'!$AC$2623)))</f>
        <v/>
      </c>
      <c r="EE190" s="85">
        <f>IF(BQ190="","",IFERROR(BQ190*HSCEI!$B$40*HSCEI!$G$40/HSCEI!$B$3,""))</f>
        <v/>
      </c>
      <c r="EF190" s="85">
        <f>IF(BR190="","",IFERROR(BR190*HSCEI!$B$40*HSCEI!$G$40/HSCEI!$B$3,""))</f>
        <v/>
      </c>
      <c r="EG190" s="85">
        <f>IF(BS190="","",IFERROR(BS190*HSCEI!$B$40*HSCEI!$G$40/HSCEI!$B$3,""))</f>
        <v/>
      </c>
      <c r="EH190" s="85">
        <f>IF(BT190="","",IFERROR(BT190*HSCEI!$B$40*HSCEI!$G$40/HSCEI!$B$3,""))</f>
        <v/>
      </c>
      <c r="EI190" s="85">
        <f>IF(BU190="","",IFERROR(BU190*HSCEI!$B$40*HSCEI!$G$40/HSCEI!$B$3,""))</f>
        <v/>
      </c>
      <c r="EJ190" s="85">
        <f>IF(BV190="","",IFERROR(BV190*HSCEI!$B$40*HSCEI!$G$40/HSCEI!$B$3,""))</f>
        <v/>
      </c>
      <c r="EK190" s="85">
        <f>IF(BW190="","",IFERROR(BW190*HSCEI!$B$40*HSCEI!$G$40/HSCEI!$B$3,""))</f>
        <v/>
      </c>
      <c r="EL190" s="85">
        <f>IF(BX190="","",IFERROR(BX190*HSCEI!$B$40*HSCEI!$G$40/HSCEI!$B$3,""))</f>
        <v/>
      </c>
      <c r="EM190" s="85">
        <f>IF(BY190="","",IFERROR(BY190*HSCEI!$B$40*HSCEI!$G$40/HSCEI!$B$3,""))</f>
        <v/>
      </c>
      <c r="EN190" s="85">
        <f>IF(BZ190="","",IFERROR(BZ190*HSCEI!$B$40*HSCEI!$G$40/HSCEI!$B$3,""))</f>
        <v/>
      </c>
      <c r="EO190" s="85">
        <f>IF(CA190="","",IFERROR(CA190*HSCEI!$B$40*HSCEI!$G$40/HSCEI!$B$3,""))</f>
        <v/>
      </c>
      <c r="EP190" s="85">
        <f>IF(CB190="","",IFERROR(CB190*HSCEI!$B$40*HSCEI!$G$40/HSCEI!$B$3,""))</f>
        <v/>
      </c>
      <c r="EQ190" s="85">
        <f>IF(CC190="","",IFERROR(CC190*HSCEI!$B$40*HSCEI!$G$40/HSCEI!$B$3,""))</f>
        <v/>
      </c>
      <c r="ER190" s="85">
        <f>IF(CD190="","",IFERROR(CD190*HSCEI!$B$40*HSCEI!$G$40/HSCEI!$B$3,""))</f>
        <v/>
      </c>
      <c r="ES190" s="85">
        <f>IF(CE190="","",IFERROR(CE190*HSCEI!$B$40*HSCEI!$G$40/HSCEI!$B$3,""))</f>
        <v/>
      </c>
      <c r="ET190" s="85">
        <f>IF(CF190="","",IFERROR(CF190*HSCEI!$B$40*HSCEI!$G$40/HSCEI!$B$3,""))</f>
        <v/>
      </c>
      <c r="EU190" s="85">
        <f>IF(CG190="","",IFERROR(CG190*HSCEI!$B$40*HSCEI!$G$40/HSCEI!$B$3,""))</f>
        <v/>
      </c>
      <c r="EV190" s="85">
        <f>IF(CH190="","",IFERROR(CH190*HSCEI!$B$40*HSCEI!$G$40/HSCEI!$B$3,""))</f>
        <v/>
      </c>
      <c r="EW190" s="85">
        <f>IF(CI190="","",IFERROR(CI190*HSCEI!$B$40*HSCEI!$G$40/HSCEI!$B$3,""))</f>
        <v/>
      </c>
      <c r="EX190" s="85">
        <f>IF(CJ190="","",IFERROR(CJ190*HSCEI!$B$40*HSCEI!$G$40/HSCEI!$B$3,""))</f>
        <v/>
      </c>
      <c r="EY190" s="85">
        <f>IF(CK190="","",IFERROR(CK190*HSCEI!$B$40*HSCEI!$G$40/HSCEI!$B$3,""))</f>
        <v/>
      </c>
      <c r="EZ190" s="85">
        <f>IF(CL190="","",IFERROR(CL190*HSCEI!$B$40*HSCEI!$G$40/HSCEI!$B$3,""))</f>
        <v/>
      </c>
      <c r="FA190" s="85">
        <f>IF(CM190="","",IFERROR(CM190*HSCEI!$B$40*HSCEI!$G$40/HSCEI!$B$3,""))</f>
        <v/>
      </c>
      <c r="FB190" s="85">
        <f>IF(CN190="","",IFERROR(CN190*HSCEI!$B$40*HSCEI!$G$40/HSCEI!$B$3,""))</f>
        <v/>
      </c>
      <c r="FC190" s="85">
        <f>IF(CO190="","",IFERROR(CO190*HSCEI!$B$40*HSCEI!$G$40/HSCEI!$B$3,""))</f>
        <v/>
      </c>
      <c r="FD190" s="85">
        <f>IF(CP190="","",IFERROR(CP190*HSCEI!$B$40*HSCEI!$G$40/HSCEI!$B$3,""))</f>
        <v/>
      </c>
      <c r="FE190" s="85">
        <f>IF(CQ190="","",IFERROR(CQ190*HSCEI!$B$40*HSCEI!$G$40/HSCEI!$B$3,""))</f>
        <v/>
      </c>
      <c r="FF190" s="85">
        <f>IF(CR190="","",IFERROR(CR190*HSCEI!$B$40*HSCEI!$G$40/HSCEI!$B$3,""))</f>
        <v/>
      </c>
      <c r="FG190" s="85">
        <f>IF(CS190="","",IFERROR(CS190*HSCEI!$B$40*HSCEI!$G$40/HSCEI!$B$3,""))</f>
        <v/>
      </c>
      <c r="FH190" s="85">
        <f>IF(CT190="","",IFERROR(CT190*HSCEI!$B$40*HSCEI!$G$40/HSCEI!$B$3,""))</f>
        <v/>
      </c>
      <c r="FI190" s="85">
        <f>IF(CU190="","",IFERROR(CU190*HSCEI!$B$40*HSCEI!$G$40/HSCEI!$B$3,""))</f>
        <v/>
      </c>
      <c r="FJ190" s="85">
        <f>IF(CV190="","",IFERROR(CV190*HSCEI!$B$40*HSCEI!$G$40/HSCEI!$B$3,""))</f>
        <v/>
      </c>
      <c r="FK190" s="85">
        <f>IF(CW190="","",IFERROR(CW190*HSCEI!$B$40*HSCEI!$G$40/HSCEI!$B$3,""))</f>
        <v/>
      </c>
      <c r="FL190" s="85">
        <f>IF(CX190="","",IFERROR(CX190*HSCEI!$B$40*HSCEI!$G$40/HSCEI!$B$3,""))</f>
        <v/>
      </c>
      <c r="FM190" s="85">
        <f>IF(CY190="","",IFERROR(CY190*HSCEI!$B$40*HSCEI!$G$40/HSCEI!$B$3,""))</f>
        <v/>
      </c>
      <c r="FN190" s="85">
        <f>IF(CZ190="","",IFERROR(CZ190*HSCEI!$B$40*HSCEI!$G$40/HSCEI!$B$3,""))</f>
        <v/>
      </c>
      <c r="FO190" s="85">
        <f>IF(DA190="","",IFERROR(DA190*HSCEI!$B$40*HSCEI!$G$40/HSCEI!$B$3,""))</f>
        <v/>
      </c>
      <c r="FP190" s="85">
        <f>IF(DB190="","",IFERROR(DB190*HSCEI!$B$40*HSCEI!$G$40/HSCEI!$B$3,""))</f>
        <v/>
      </c>
      <c r="FQ190" s="85">
        <f>IF(DC190="","",IFERROR(DC190*HSCEI!$B$40*HSCEI!$G$40/HSCEI!$B$3,""))</f>
        <v/>
      </c>
      <c r="FR190" s="85">
        <f>IF(DD190="","",IFERROR(DD190*HSCEI!$B$40*HSCEI!$G$40/HSCEI!$B$3,""))</f>
        <v/>
      </c>
      <c r="FS190" s="85">
        <f>IF(DE190="","",IFERROR(DE190*HSCEI!$B$40*HSCEI!$G$40/HSCEI!$B$3,""))</f>
        <v/>
      </c>
      <c r="FT190" s="85">
        <f>IF(DF190="","",IFERROR(DF190*HSCEI!$B$40*HSCEI!$G$40/HSCEI!$B$3,""))</f>
        <v/>
      </c>
      <c r="FU190" s="85">
        <f>IF(DG190="","",IFERROR(DG190*HSCEI!$B$40*HSCEI!$G$40/HSCEI!$B$3,""))</f>
        <v/>
      </c>
      <c r="FV190" s="85">
        <f>IF(DH190="","",IFERROR(DH190*HSCEI!$B$40*HSCEI!$G$40/HSCEI!$B$3,""))</f>
        <v/>
      </c>
      <c r="FW190" s="85">
        <f>IF(DI190="","",IFERROR(DI190*HSCEI!$B$40*HSCEI!$G$40/HSCEI!$B$3,""))</f>
        <v/>
      </c>
      <c r="FX190" s="85">
        <f>IF(DJ190="","",IFERROR(DJ190*HSCEI!$B$40*HSCEI!$G$40/HSCEI!$B$3,""))</f>
        <v/>
      </c>
      <c r="FY190" s="85">
        <f>IF(DK190="","",IFERROR(DK190*HSCEI!$B$40*HSCEI!$G$40/HSCEI!$B$3,""))</f>
        <v/>
      </c>
      <c r="FZ190" s="85">
        <f>IF(DL190="","",IFERROR(DL190*HSCEI!$B$40*HSCEI!$G$40/HSCEI!$B$3,""))</f>
        <v/>
      </c>
      <c r="GA190" s="85">
        <f>IF(DM190="","",IFERROR(DM190*HSCEI!$B$40*HSCEI!$G$40/HSCEI!$B$3,""))</f>
        <v/>
      </c>
      <c r="GB190" s="85">
        <f>IF(DN190="","",IFERROR(DN190*HSCEI!$B$40*HSCEI!$G$40/HSCEI!$B$3,""))</f>
        <v/>
      </c>
      <c r="GC190" s="85">
        <f>IF(DO190="","",IFERROR(DO190*HSCEI!$B$40*HSCEI!$G$40/HSCEI!$B$3,""))</f>
        <v/>
      </c>
      <c r="GD190" s="85">
        <f>IF(DP190="","",IFERROR(DP190*HSCEI!$B$40*HSCEI!$G$40/HSCEI!$B$3,""))</f>
        <v/>
      </c>
      <c r="GE190" s="85">
        <f>IF(DQ190="","",IFERROR(DQ190*HSCEI!$B$40*HSCEI!$G$40/HSCEI!$B$3,""))</f>
        <v/>
      </c>
      <c r="GF190" s="85">
        <f>IF(DR190="","",IFERROR(DR190*HSCEI!$B$40*HSCEI!$G$40/HSCEI!$B$3,""))</f>
        <v/>
      </c>
      <c r="GG190" s="85">
        <f>IF(DS190="","",IFERROR(DS190*HSCEI!$B$40*HSCEI!$G$40/HSCEI!$B$3,""))</f>
        <v/>
      </c>
      <c r="GH190" s="85">
        <f>IF(DT190="","",IFERROR(DT190*HSCEI!$B$40*HSCEI!$G$40/HSCEI!$B$3,""))</f>
        <v/>
      </c>
      <c r="GI190" s="85">
        <f>IF(DU190="","",IFERROR(DU190*HSCEI!$B$40*HSCEI!$G$40/HSCEI!$B$3,""))</f>
        <v/>
      </c>
      <c r="GJ190" s="85">
        <f>IF(DV190="","",IFERROR(DV190*HSCEI!$B$40*HSCEI!$G$40/HSCEI!$B$3,""))</f>
        <v/>
      </c>
      <c r="GK190" s="85">
        <f>IF(DW190="","",IFERROR(DW190*HSCEI!$B$40*HSCEI!$G$40/HSCEI!$B$3,""))</f>
        <v/>
      </c>
      <c r="GL190" s="85">
        <f>IF(DX190="","",IFERROR(DX190*HSCEI!$B$40*HSCEI!$G$40/HSCEI!$B$3,""))</f>
        <v/>
      </c>
      <c r="GM190" s="85">
        <f>IF(DY190="","",IFERROR(DY190*HSCEI!$B$40*HSCEI!$G$40/HSCEI!$B$3,""))</f>
        <v/>
      </c>
      <c r="GN190" s="85">
        <f>IF(DZ190="","",IFERROR(DZ190*HSCEI!$B$40*HSCEI!$G$40/HSCEI!$B$3,""))</f>
        <v/>
      </c>
      <c r="GO190" s="85">
        <f>IF(EA190="","",IFERROR(EA190*HSCEI!$B$40*HSCEI!$G$40/HSCEI!$B$3,""))</f>
        <v/>
      </c>
      <c r="GP190" s="85">
        <f>IF(EB190="","",IFERROR(EB190*HSCEI!$B$40*HSCEI!$G$40/HSCEI!$B$3,""))</f>
        <v/>
      </c>
      <c r="GQ190" s="85">
        <f>IF(EC190="","",IFERROR(EC190*HSCEI!$B$40*HSCEI!$G$40/HSCEI!$B$3,""))</f>
        <v/>
      </c>
    </row>
    <row r="191">
      <c r="B191" s="2">
        <f>IF(HSCEI!$C$41="","",HSCEI!$C$41)</f>
        <v/>
      </c>
      <c r="C191" s="41">
        <f>IF(N('Dvd Calendar'!$E$2630)=0,"",IF(('Dvd Calendar'!$E$2630&gt;=MIN(DATE(Summary!$C$12,1,1),Summary!$C$11))*('Dvd Calendar'!$E$2630&lt;=MAX(DATE(Summary!$C$12,12,31),Summary!$C$15))*('Dvd Calendar'!$E$2630&lt;=Summary!$C$11)=0,"",'Dvd Calendar'!$E$2630*1000000000+ISNUMBER('Dvd Calendar'!$E$2631)*100000000+('Dvd Calendar'!$E$2635='Field Check'!$C$25)*10000000+(N('Dvd Calendar'!$E$2629)&gt;0)*1000000+35*1000+1))</f>
        <v/>
      </c>
      <c r="D191" s="41">
        <f>IF(N('Dvd Calendar'!$F$2630)=0,"",IF(('Dvd Calendar'!$F$2630&gt;=MIN(DATE(Summary!$C$12,1,1),Summary!$C$11))*('Dvd Calendar'!$F$2630&lt;=MAX(DATE(Summary!$C$12,12,31),Summary!$C$15))*('Dvd Calendar'!$F$2630&lt;=Summary!$C$11)=0,"",'Dvd Calendar'!$F$2630*1000000000+ISNUMBER('Dvd Calendar'!$F$2631)*100000000+('Dvd Calendar'!$F$2635='Field Check'!$C$25)*10000000+(N('Dvd Calendar'!$F$2629)&gt;0)*1000000+35*1000+2))</f>
        <v/>
      </c>
      <c r="E191" s="41">
        <f>IF(N('Dvd Calendar'!$G$2630)=0,"",IF(('Dvd Calendar'!$G$2630&gt;=MIN(DATE(Summary!$C$12,1,1),Summary!$C$11))*('Dvd Calendar'!$G$2630&lt;=MAX(DATE(Summary!$C$12,12,31),Summary!$C$15))*('Dvd Calendar'!$G$2630&lt;=Summary!$C$11)=0,"",'Dvd Calendar'!$G$2630*1000000000+ISNUMBER('Dvd Calendar'!$G$2631)*100000000+('Dvd Calendar'!$G$2635='Field Check'!$C$25)*10000000+(N('Dvd Calendar'!$G$2629)&gt;0)*1000000+35*1000+3))</f>
        <v/>
      </c>
      <c r="F191" s="41">
        <f>IF(N('Dvd Calendar'!$H$2630)=0,"",IF(('Dvd Calendar'!$H$2630&gt;=MIN(DATE(Summary!$C$12,1,1),Summary!$C$11))*('Dvd Calendar'!$H$2630&lt;=MAX(DATE(Summary!$C$12,12,31),Summary!$C$15))*('Dvd Calendar'!$H$2630&lt;=Summary!$C$11)=0,"",'Dvd Calendar'!$H$2630*1000000000+ISNUMBER('Dvd Calendar'!$H$2631)*100000000+('Dvd Calendar'!$H$2635='Field Check'!$C$25)*10000000+(N('Dvd Calendar'!$H$2629)&gt;0)*1000000+35*1000+4))</f>
        <v/>
      </c>
      <c r="G191" s="41">
        <f>IF(N('Dvd Calendar'!$I$2630)=0,"",IF(('Dvd Calendar'!$I$2630&gt;=MIN(DATE(Summary!$C$12,1,1),Summary!$C$11))*('Dvd Calendar'!$I$2630&lt;=MAX(DATE(Summary!$C$12,12,31),Summary!$C$15))*('Dvd Calendar'!$I$2630&lt;=Summary!$C$11)=0,"",'Dvd Calendar'!$I$2630*1000000000+ISNUMBER('Dvd Calendar'!$I$2631)*100000000+('Dvd Calendar'!$I$2635='Field Check'!$C$25)*10000000+(N('Dvd Calendar'!$I$2629)&gt;0)*1000000+35*1000+5))</f>
        <v/>
      </c>
      <c r="H191" s="41">
        <f>IF(N('Dvd Calendar'!$J$2630)=0,"",IF(('Dvd Calendar'!$J$2630&gt;=MIN(DATE(Summary!$C$12,1,1),Summary!$C$11))*('Dvd Calendar'!$J$2630&lt;=MAX(DATE(Summary!$C$12,12,31),Summary!$C$15))*('Dvd Calendar'!$J$2630&lt;=Summary!$C$11)=0,"",'Dvd Calendar'!$J$2630*1000000000+ISNUMBER('Dvd Calendar'!$J$2631)*100000000+('Dvd Calendar'!$J$2635='Field Check'!$C$25)*10000000+(N('Dvd Calendar'!$J$2629)&gt;0)*1000000+35*1000+6))</f>
        <v/>
      </c>
      <c r="I191" s="41">
        <f>IF(N('Dvd Calendar'!$K$2630)=0,"",IF(('Dvd Calendar'!$K$2630&gt;=MIN(DATE(Summary!$C$12,1,1),Summary!$C$11))*('Dvd Calendar'!$K$2630&lt;=MAX(DATE(Summary!$C$12,12,31),Summary!$C$15))*('Dvd Calendar'!$K$2630&lt;=Summary!$C$11)=0,"",'Dvd Calendar'!$K$2630*1000000000+ISNUMBER('Dvd Calendar'!$K$2631)*100000000+('Dvd Calendar'!$K$2635='Field Check'!$C$25)*10000000+(N('Dvd Calendar'!$K$2629)&gt;0)*1000000+35*1000+7))</f>
        <v/>
      </c>
      <c r="J191" s="41">
        <f>IF(N('Dvd Calendar'!$L$2630)=0,"",IF(('Dvd Calendar'!$L$2630&gt;=MIN(DATE(Summary!$C$12,1,1),Summary!$C$11))*('Dvd Calendar'!$L$2630&lt;=MAX(DATE(Summary!$C$12,12,31),Summary!$C$15))*('Dvd Calendar'!$L$2630&lt;=Summary!$C$11)=0,"",'Dvd Calendar'!$L$2630*1000000000+ISNUMBER('Dvd Calendar'!$L$2631)*100000000+('Dvd Calendar'!$L$2635='Field Check'!$C$25)*10000000+(N('Dvd Calendar'!$L$2629)&gt;0)*1000000+35*1000+8))</f>
        <v/>
      </c>
      <c r="K191" s="41">
        <f>IF(N('Dvd Calendar'!$M$2630)=0,"",IF(('Dvd Calendar'!$M$2630&gt;=MIN(DATE(Summary!$C$12,1,1),Summary!$C$11))*('Dvd Calendar'!$M$2630&lt;=MAX(DATE(Summary!$C$12,12,31),Summary!$C$15))*('Dvd Calendar'!$M$2630&lt;=Summary!$C$11)=0,"",'Dvd Calendar'!$M$2630*1000000000+ISNUMBER('Dvd Calendar'!$M$2631)*100000000+('Dvd Calendar'!$M$2635='Field Check'!$C$25)*10000000+(N('Dvd Calendar'!$M$2629)&gt;0)*1000000+35*1000+9))</f>
        <v/>
      </c>
      <c r="L191" s="41">
        <f>IF(N('Dvd Calendar'!$N$2630)=0,"",IF(('Dvd Calendar'!$N$2630&gt;=MIN(DATE(Summary!$C$12,1,1),Summary!$C$11))*('Dvd Calendar'!$N$2630&lt;=MAX(DATE(Summary!$C$12,12,31),Summary!$C$15))*('Dvd Calendar'!$N$2630&lt;=Summary!$C$11)=0,"",'Dvd Calendar'!$N$2630*1000000000+ISNUMBER('Dvd Calendar'!$N$2631)*100000000+('Dvd Calendar'!$N$2635='Field Check'!$C$25)*10000000+(N('Dvd Calendar'!$N$2629)&gt;0)*1000000+35*1000+10))</f>
        <v/>
      </c>
      <c r="M191" s="41">
        <f>IF(N('Dvd Calendar'!$O$2630)=0,"",IF(('Dvd Calendar'!$O$2630&gt;=MIN(DATE(Summary!$C$12,1,1),Summary!$C$11))*('Dvd Calendar'!$O$2630&lt;=MAX(DATE(Summary!$C$12,12,31),Summary!$C$15))*('Dvd Calendar'!$O$2630&lt;=Summary!$C$11)=0,"",'Dvd Calendar'!$O$2630*1000000000+ISNUMBER('Dvd Calendar'!$O$2631)*100000000+('Dvd Calendar'!$O$2635='Field Check'!$C$25)*10000000+(N('Dvd Calendar'!$O$2629)&gt;0)*1000000+35*1000+11))</f>
        <v/>
      </c>
      <c r="N191" s="41">
        <f>IF(N('Dvd Calendar'!$P$2630)=0,"",IF(('Dvd Calendar'!$P$2630&gt;=MIN(DATE(Summary!$C$12,1,1),Summary!$C$11))*('Dvd Calendar'!$P$2630&lt;=MAX(DATE(Summary!$C$12,12,31),Summary!$C$15))*('Dvd Calendar'!$P$2630&lt;=Summary!$C$11)=0,"",'Dvd Calendar'!$P$2630*1000000000+ISNUMBER('Dvd Calendar'!$P$2631)*100000000+('Dvd Calendar'!$P$2635='Field Check'!$C$25)*10000000+(N('Dvd Calendar'!$P$2629)&gt;0)*1000000+35*1000+12))</f>
        <v/>
      </c>
      <c r="O191" s="41">
        <f>IF(N('Dvd Calendar'!$Q$2630)=0,"",IF(('Dvd Calendar'!$Q$2630&gt;=MIN(DATE(Summary!$C$12,1,1),Summary!$C$11))*('Dvd Calendar'!$Q$2630&lt;=MAX(DATE(Summary!$C$12,12,31),Summary!$C$15))*('Dvd Calendar'!$Q$2630&lt;=Summary!$C$11)=0,"",'Dvd Calendar'!$Q$2630*1000000000+ISNUMBER('Dvd Calendar'!$Q$2631)*100000000+('Dvd Calendar'!$Q$2635='Field Check'!$C$25)*10000000+(N('Dvd Calendar'!$Q$2629)&gt;0)*1000000+35*1000+13))</f>
        <v/>
      </c>
      <c r="P191" s="41">
        <f>IF(N('Dvd Calendar'!$R$2630)=0,"",IF(('Dvd Calendar'!$R$2630&gt;=MIN(DATE(Summary!$C$12,1,1),Summary!$C$11))*('Dvd Calendar'!$R$2630&lt;=MAX(DATE(Summary!$C$12,12,31),Summary!$C$15))*('Dvd Calendar'!$R$2630&lt;=Summary!$C$11)=0,"",'Dvd Calendar'!$R$2630*1000000000+ISNUMBER('Dvd Calendar'!$R$2631)*100000000+('Dvd Calendar'!$R$2635='Field Check'!$C$25)*10000000+(N('Dvd Calendar'!$R$2629)&gt;0)*1000000+35*1000+14))</f>
        <v/>
      </c>
      <c r="Q191" s="41">
        <f>IF(N('Dvd Calendar'!$S$2630)=0,"",IF(('Dvd Calendar'!$S$2630&gt;=MIN(DATE(Summary!$C$12,1,1),Summary!$C$11))*('Dvd Calendar'!$S$2630&lt;=MAX(DATE(Summary!$C$12,12,31),Summary!$C$15))*('Dvd Calendar'!$S$2630&lt;=Summary!$C$11)=0,"",'Dvd Calendar'!$S$2630*1000000000+ISNUMBER('Dvd Calendar'!$S$2631)*100000000+('Dvd Calendar'!$S$2635='Field Check'!$C$25)*10000000+(N('Dvd Calendar'!$S$2629)&gt;0)*1000000+35*1000+15))</f>
        <v/>
      </c>
      <c r="R191" s="41">
        <f>IF(N('Dvd Calendar'!$T$2630)=0,"",IF(('Dvd Calendar'!$T$2630&gt;=MIN(DATE(Summary!$C$12,1,1),Summary!$C$11))*('Dvd Calendar'!$T$2630&lt;=MAX(DATE(Summary!$C$12,12,31),Summary!$C$15))*('Dvd Calendar'!$T$2630&lt;=Summary!$C$11)=0,"",'Dvd Calendar'!$T$2630*1000000000+ISNUMBER('Dvd Calendar'!$T$2631)*100000000+('Dvd Calendar'!$T$2635='Field Check'!$C$25)*10000000+(N('Dvd Calendar'!$T$2629)&gt;0)*1000000+35*1000+16))</f>
        <v/>
      </c>
      <c r="S191" s="41">
        <f>IF(N('Dvd Calendar'!$U$2630)=0,"",IF(('Dvd Calendar'!$U$2630&gt;=MIN(DATE(Summary!$C$12,1,1),Summary!$C$11))*('Dvd Calendar'!$U$2630&lt;=MAX(DATE(Summary!$C$12,12,31),Summary!$C$15))*('Dvd Calendar'!$U$2630&lt;=Summary!$C$11)=0,"",'Dvd Calendar'!$U$2630*1000000000+ISNUMBER('Dvd Calendar'!$U$2631)*100000000+('Dvd Calendar'!$U$2635='Field Check'!$C$25)*10000000+(N('Dvd Calendar'!$U$2629)&gt;0)*1000000+35*1000+17))</f>
        <v/>
      </c>
      <c r="T191" s="41">
        <f>IF(N('Dvd Calendar'!$V$2630)=0,"",IF(('Dvd Calendar'!$V$2630&gt;=MIN(DATE(Summary!$C$12,1,1),Summary!$C$11))*('Dvd Calendar'!$V$2630&lt;=MAX(DATE(Summary!$C$12,12,31),Summary!$C$15))*('Dvd Calendar'!$V$2630&lt;=Summary!$C$11)=0,"",'Dvd Calendar'!$V$2630*1000000000+ISNUMBER('Dvd Calendar'!$V$2631)*100000000+('Dvd Calendar'!$V$2635='Field Check'!$C$25)*10000000+(N('Dvd Calendar'!$V$2629)&gt;0)*1000000+35*1000+18))</f>
        <v/>
      </c>
      <c r="U191" s="41">
        <f>IF(N('Dvd Calendar'!$W$2630)=0,"",IF(('Dvd Calendar'!$W$2630&gt;=MIN(DATE(Summary!$C$12,1,1),Summary!$C$11))*('Dvd Calendar'!$W$2630&lt;=MAX(DATE(Summary!$C$12,12,31),Summary!$C$15))*('Dvd Calendar'!$W$2630&lt;=Summary!$C$11)=0,"",'Dvd Calendar'!$W$2630*1000000000+ISNUMBER('Dvd Calendar'!$W$2631)*100000000+('Dvd Calendar'!$W$2635='Field Check'!$C$25)*10000000+(N('Dvd Calendar'!$W$2629)&gt;0)*1000000+35*1000+19))</f>
        <v/>
      </c>
      <c r="V191" s="41">
        <f>IF(N('Dvd Calendar'!$X$2630)=0,"",IF(('Dvd Calendar'!$X$2630&gt;=MIN(DATE(Summary!$C$12,1,1),Summary!$C$11))*('Dvd Calendar'!$X$2630&lt;=MAX(DATE(Summary!$C$12,12,31),Summary!$C$15))*('Dvd Calendar'!$X$2630&lt;=Summary!$C$11)=0,"",'Dvd Calendar'!$X$2630*1000000000+ISNUMBER('Dvd Calendar'!$X$2631)*100000000+('Dvd Calendar'!$X$2635='Field Check'!$C$25)*10000000+(N('Dvd Calendar'!$X$2629)&gt;0)*1000000+35*1000+20))</f>
        <v/>
      </c>
      <c r="W191" s="41">
        <f>IF(N('Dvd Calendar'!$Y$2630)=0,"",IF(('Dvd Calendar'!$Y$2630&gt;=MIN(DATE(Summary!$C$12,1,1),Summary!$C$11))*('Dvd Calendar'!$Y$2630&lt;=MAX(DATE(Summary!$C$12,12,31),Summary!$C$15))*('Dvd Calendar'!$Y$2630&lt;=Summary!$C$11)=0,"",'Dvd Calendar'!$Y$2630*1000000000+ISNUMBER('Dvd Calendar'!$Y$2631)*100000000+('Dvd Calendar'!$Y$2635='Field Check'!$C$25)*10000000+(N('Dvd Calendar'!$Y$2629)&gt;0)*1000000+35*1000+21))</f>
        <v/>
      </c>
      <c r="X191" s="41">
        <f>IF(N('Dvd Calendar'!$Z$2630)=0,"",IF(('Dvd Calendar'!$Z$2630&gt;=MIN(DATE(Summary!$C$12,1,1),Summary!$C$11))*('Dvd Calendar'!$Z$2630&lt;=MAX(DATE(Summary!$C$12,12,31),Summary!$C$15))*('Dvd Calendar'!$Z$2630&lt;=Summary!$C$11)=0,"",'Dvd Calendar'!$Z$2630*1000000000+ISNUMBER('Dvd Calendar'!$Z$2631)*100000000+('Dvd Calendar'!$Z$2635='Field Check'!$C$25)*10000000+(N('Dvd Calendar'!$Z$2629)&gt;0)*1000000+35*1000+22))</f>
        <v/>
      </c>
      <c r="Y191" s="41">
        <f>IF(N('Dvd Calendar'!$AA$2630)=0,"",IF(('Dvd Calendar'!$AA$2630&gt;=MIN(DATE(Summary!$C$12,1,1),Summary!$C$11))*('Dvd Calendar'!$AA$2630&lt;=MAX(DATE(Summary!$C$12,12,31),Summary!$C$15))*('Dvd Calendar'!$AA$2630&lt;=Summary!$C$11)=0,"",'Dvd Calendar'!$AA$2630*1000000000+ISNUMBER('Dvd Calendar'!$AA$2631)*100000000+('Dvd Calendar'!$AA$2635='Field Check'!$C$25)*10000000+(N('Dvd Calendar'!$AA$2629)&gt;0)*1000000+35*1000+23))</f>
        <v/>
      </c>
      <c r="Z191" s="41">
        <f>IF(N('Dvd Calendar'!$AB$2630)=0,"",IF(('Dvd Calendar'!$AB$2630&gt;=MIN(DATE(Summary!$C$12,1,1),Summary!$C$11))*('Dvd Calendar'!$AB$2630&lt;=MAX(DATE(Summary!$C$12,12,31),Summary!$C$15))*('Dvd Calendar'!$AB$2630&lt;=Summary!$C$11)=0,"",'Dvd Calendar'!$AB$2630*1000000000+ISNUMBER('Dvd Calendar'!$AB$2631)*100000000+('Dvd Calendar'!$AB$2635='Field Check'!$C$25)*10000000+(N('Dvd Calendar'!$AB$2629)&gt;0)*1000000+35*1000+24))</f>
        <v/>
      </c>
      <c r="AA191" s="41">
        <f>IF(N('Dvd Calendar'!$AC$2630)=0,"",IF(('Dvd Calendar'!$AC$2630&gt;=MIN(DATE(Summary!$C$12,1,1),Summary!$C$11))*('Dvd Calendar'!$AC$2630&lt;=MAX(DATE(Summary!$C$12,12,31),Summary!$C$15))*('Dvd Calendar'!$AC$2630&lt;=Summary!$C$11)=0,"",'Dvd Calendar'!$AC$2630*1000000000+ISNUMBER('Dvd Calendar'!$AC$2631)*100000000+('Dvd Calendar'!$AC$2635='Field Check'!$C$25)*10000000+(N('Dvd Calendar'!$AC$2629)&gt;0)*1000000+35*1000+25))</f>
        <v/>
      </c>
      <c r="AB191" s="41">
        <f>IF(N('Dvd Calendar'!$AD$2630)=0,"",IF(('Dvd Calendar'!$AD$2630&gt;=MIN(DATE(Summary!$C$12,1,1),Summary!$C$11))*('Dvd Calendar'!$AD$2630&lt;=MAX(DATE(Summary!$C$12,12,31),Summary!$C$15))*('Dvd Calendar'!$AD$2630&lt;=Summary!$C$11)=0,"",'Dvd Calendar'!$AD$2630*1000000000+ISNUMBER('Dvd Calendar'!$AD$2631)*100000000+('Dvd Calendar'!$AD$2635='Field Check'!$C$25)*10000000+(N('Dvd Calendar'!$AD$2629)&gt;0)*1000000+35*1000+26))</f>
        <v/>
      </c>
      <c r="AC191" s="41">
        <f>IF(N('Dvd Calendar'!$AE$2630)=0,"",IF(('Dvd Calendar'!$AE$2630&gt;=MIN(DATE(Summary!$C$12,1,1),Summary!$C$11))*('Dvd Calendar'!$AE$2630&lt;=MAX(DATE(Summary!$C$12,12,31),Summary!$C$15))*('Dvd Calendar'!$AE$2630&lt;=Summary!$C$11)=0,"",'Dvd Calendar'!$AE$2630*1000000000+ISNUMBER('Dvd Calendar'!$AE$2631)*100000000+('Dvd Calendar'!$AE$2635='Field Check'!$C$25)*10000000+(N('Dvd Calendar'!$AE$2629)&gt;0)*1000000+35*1000+27))</f>
        <v/>
      </c>
      <c r="AD191" s="41">
        <f>IF(N('Dvd Calendar'!$AF$2630)=0,"",IF(('Dvd Calendar'!$AF$2630&gt;=MIN(DATE(Summary!$C$12,1,1),Summary!$C$11))*('Dvd Calendar'!$AF$2630&lt;=MAX(DATE(Summary!$C$12,12,31),Summary!$C$15))*('Dvd Calendar'!$AF$2630&lt;=Summary!$C$11)=0,"",'Dvd Calendar'!$AF$2630*1000000000+ISNUMBER('Dvd Calendar'!$AF$2631)*100000000+('Dvd Calendar'!$AF$2635='Field Check'!$C$25)*10000000+(N('Dvd Calendar'!$AF$2629)&gt;0)*1000000+35*1000+28))</f>
        <v/>
      </c>
      <c r="AE191" s="41">
        <f>IF(N('Dvd Calendar'!$AG$2630)=0,"",IF(('Dvd Calendar'!$AG$2630&gt;=MIN(DATE(Summary!$C$12,1,1),Summary!$C$11))*('Dvd Calendar'!$AG$2630&lt;=MAX(DATE(Summary!$C$12,12,31),Summary!$C$15))*('Dvd Calendar'!$AG$2630&lt;=Summary!$C$11)=0,"",'Dvd Calendar'!$AG$2630*1000000000+ISNUMBER('Dvd Calendar'!$AG$2631)*100000000+('Dvd Calendar'!$AG$2635='Field Check'!$C$25)*10000000+(N('Dvd Calendar'!$AG$2629)&gt;0)*1000000+35*1000+29))</f>
        <v/>
      </c>
      <c r="AF191" s="41">
        <f>IF(N('Dvd Calendar'!$AH$2630)=0,"",IF(('Dvd Calendar'!$AH$2630&gt;=MIN(DATE(Summary!$C$12,1,1),Summary!$C$11))*('Dvd Calendar'!$AH$2630&lt;=MAX(DATE(Summary!$C$12,12,31),Summary!$C$15))*('Dvd Calendar'!$AH$2630&lt;=Summary!$C$11)=0,"",'Dvd Calendar'!$AH$2630*1000000000+ISNUMBER('Dvd Calendar'!$AH$2631)*100000000+('Dvd Calendar'!$AH$2635='Field Check'!$C$25)*10000000+(N('Dvd Calendar'!$AH$2629)&gt;0)*1000000+35*1000+30))</f>
        <v/>
      </c>
      <c r="AG191" s="41">
        <f>IF(N('Dvd Calendar'!$AI$2630)=0,"",IF(('Dvd Calendar'!$AI$2630&gt;=MIN(DATE(Summary!$C$12,1,1),Summary!$C$11))*('Dvd Calendar'!$AI$2630&lt;=MAX(DATE(Summary!$C$12,12,31),Summary!$C$15))*('Dvd Calendar'!$AI$2630&lt;=Summary!$C$11)=0,"",'Dvd Calendar'!$AI$2630*1000000000+ISNUMBER('Dvd Calendar'!$AI$2631)*100000000+('Dvd Calendar'!$AI$2635='Field Check'!$C$25)*10000000+(N('Dvd Calendar'!$AI$2629)&gt;0)*1000000+35*1000+31))</f>
        <v/>
      </c>
      <c r="AH191" s="41">
        <f>IF(N('Dvd Calendar'!$AJ$2630)=0,"",IF(('Dvd Calendar'!$AJ$2630&gt;=MIN(DATE(Summary!$C$12,1,1),Summary!$C$11))*('Dvd Calendar'!$AJ$2630&lt;=MAX(DATE(Summary!$C$12,12,31),Summary!$C$15))*('Dvd Calendar'!$AJ$2630&lt;=Summary!$C$11)=0,"",'Dvd Calendar'!$AJ$2630*1000000000+ISNUMBER('Dvd Calendar'!$AJ$2631)*100000000+('Dvd Calendar'!$AJ$2635='Field Check'!$C$25)*10000000+(N('Dvd Calendar'!$AJ$2629)&gt;0)*1000000+35*1000+32))</f>
        <v/>
      </c>
      <c r="AI191" s="41">
        <f>IF(N('Dvd Calendar'!$AK$2630)=0,"",IF(('Dvd Calendar'!$AK$2630&gt;=MIN(DATE(Summary!$C$12,1,1),Summary!$C$11))*('Dvd Calendar'!$AK$2630&lt;=MAX(DATE(Summary!$C$12,12,31),Summary!$C$15))*('Dvd Calendar'!$AK$2630&lt;=Summary!$C$11)=0,"",'Dvd Calendar'!$AK$2630*1000000000+ISNUMBER('Dvd Calendar'!$AK$2631)*100000000+('Dvd Calendar'!$AK$2635='Field Check'!$C$25)*10000000+(N('Dvd Calendar'!$AK$2629)&gt;0)*1000000+35*1000+33))</f>
        <v/>
      </c>
      <c r="AJ191" s="41">
        <f>IF(N('Dvd Calendar'!$AL$2630)=0,"",IF(('Dvd Calendar'!$AL$2630&gt;=MIN(DATE(Summary!$C$12,1,1),Summary!$C$11))*('Dvd Calendar'!$AL$2630&lt;=MAX(DATE(Summary!$C$12,12,31),Summary!$C$15))*('Dvd Calendar'!$AL$2630&lt;=Summary!$C$11)=0,"",'Dvd Calendar'!$AL$2630*1000000000+ISNUMBER('Dvd Calendar'!$AL$2631)*100000000+('Dvd Calendar'!$AL$2635='Field Check'!$C$25)*10000000+(N('Dvd Calendar'!$AL$2629)&gt;0)*1000000+35*1000+34))</f>
        <v/>
      </c>
      <c r="AK191" s="41">
        <f>IF(N('Dvd Calendar'!$AM$2630)=0,"",IF(('Dvd Calendar'!$AM$2630&gt;=MIN(DATE(Summary!$C$12,1,1),Summary!$C$11))*('Dvd Calendar'!$AM$2630&lt;=MAX(DATE(Summary!$C$12,12,31),Summary!$C$15))*('Dvd Calendar'!$AM$2630&lt;=Summary!$C$11)=0,"",'Dvd Calendar'!$AM$2630*1000000000+ISNUMBER('Dvd Calendar'!$AM$2631)*100000000+('Dvd Calendar'!$AM$2635='Field Check'!$C$25)*10000000+(N('Dvd Calendar'!$AM$2629)&gt;0)*1000000+35*1000+35))</f>
        <v/>
      </c>
      <c r="AL191" s="41">
        <f>IF(N('Dvd Calendar'!$AN$2630)=0,"",IF(('Dvd Calendar'!$AN$2630&gt;=MIN(DATE(Summary!$C$12,1,1),Summary!$C$11))*('Dvd Calendar'!$AN$2630&lt;=MAX(DATE(Summary!$C$12,12,31),Summary!$C$15))*('Dvd Calendar'!$AN$2630&lt;=Summary!$C$11)=0,"",'Dvd Calendar'!$AN$2630*1000000000+ISNUMBER('Dvd Calendar'!$AN$2631)*100000000+('Dvd Calendar'!$AN$2635='Field Check'!$C$25)*10000000+(N('Dvd Calendar'!$AN$2629)&gt;0)*1000000+35*1000+36))</f>
        <v/>
      </c>
      <c r="AM191" s="41">
        <f>IF(N('Dvd Calendar'!$AO$2630)=0,"",IF(('Dvd Calendar'!$AO$2630&gt;=MIN(DATE(Summary!$C$12,1,1),Summary!$C$11))*('Dvd Calendar'!$AO$2630&lt;=MAX(DATE(Summary!$C$12,12,31),Summary!$C$15))*('Dvd Calendar'!$AO$2630&lt;=Summary!$C$11)=0,"",'Dvd Calendar'!$AO$2630*1000000000+ISNUMBER('Dvd Calendar'!$AO$2631)*100000000+('Dvd Calendar'!$AO$2635='Field Check'!$C$25)*10000000+(N('Dvd Calendar'!$AO$2629)&gt;0)*1000000+35*1000+37))</f>
        <v/>
      </c>
      <c r="AN191" s="41">
        <f>IF(N('Dvd Calendar'!$AP$2630)=0,"",IF(('Dvd Calendar'!$AP$2630&gt;=MIN(DATE(Summary!$C$12,1,1),Summary!$C$11))*('Dvd Calendar'!$AP$2630&lt;=MAX(DATE(Summary!$C$12,12,31),Summary!$C$15))*('Dvd Calendar'!$AP$2630&lt;=Summary!$C$11)=0,"",'Dvd Calendar'!$AP$2630*1000000000+ISNUMBER('Dvd Calendar'!$AP$2631)*100000000+('Dvd Calendar'!$AP$2635='Field Check'!$C$25)*10000000+(N('Dvd Calendar'!$AP$2629)&gt;0)*1000000+35*1000+38))</f>
        <v/>
      </c>
      <c r="AO191" s="41">
        <f>IF(N('Dvd Calendar'!$AQ$2630)=0,"",IF(('Dvd Calendar'!$AQ$2630&gt;=MIN(DATE(Summary!$C$12,1,1),Summary!$C$11))*('Dvd Calendar'!$AQ$2630&lt;=MAX(DATE(Summary!$C$12,12,31),Summary!$C$15))*('Dvd Calendar'!$AQ$2630&lt;=Summary!$C$11)=0,"",'Dvd Calendar'!$AQ$2630*1000000000+ISNUMBER('Dvd Calendar'!$AQ$2631)*100000000+('Dvd Calendar'!$AQ$2635='Field Check'!$C$25)*10000000+(N('Dvd Calendar'!$AQ$2629)&gt;0)*1000000+35*1000+39))</f>
        <v/>
      </c>
      <c r="AP191" s="41">
        <f>IF(N('Dvd Calendar'!$AR$2630)=0,"",IF(('Dvd Calendar'!$AR$2630&gt;=MIN(DATE(Summary!$C$12,1,1),Summary!$C$11))*('Dvd Calendar'!$AR$2630&lt;=MAX(DATE(Summary!$C$12,12,31),Summary!$C$15))*('Dvd Calendar'!$AR$2630&lt;=Summary!$C$11)=0,"",'Dvd Calendar'!$AR$2630*1000000000+ISNUMBER('Dvd Calendar'!$AR$2631)*100000000+('Dvd Calendar'!$AR$2635='Field Check'!$C$25)*10000000+(N('Dvd Calendar'!$AR$2629)&gt;0)*1000000+35*1000+40))</f>
        <v/>
      </c>
      <c r="AQ191" s="41">
        <f>IF(N('Dvd Calendar'!$E$2637)=0,"",IF(('Dvd Calendar'!$E$2637&gt;=MIN(DATE(Summary!$C$12,1,1),Summary!$C$11))*('Dvd Calendar'!$E$2637&lt;=MAX(DATE(Summary!$C$12,12,31),Summary!$C$15))*('Dvd Calendar'!$E$2637&gt;Summary!$C$11)=0,"",'Dvd Calendar'!$E$2637*1000000000+ISNUMBER('Dvd Calendar'!$E$2638)*100000000+('Dvd Calendar'!$E$2642='Field Check'!$C$25)*10000000+(N('Dvd Calendar'!$E$2636)&gt;0)*1000000+35*1000+41))</f>
        <v/>
      </c>
      <c r="AR191" s="41">
        <f>IF(N('Dvd Calendar'!$F$2637)=0,"",IF(('Dvd Calendar'!$F$2637&gt;=MIN(DATE(Summary!$C$12,1,1),Summary!$C$11))*('Dvd Calendar'!$F$2637&lt;=MAX(DATE(Summary!$C$12,12,31),Summary!$C$15))*('Dvd Calendar'!$F$2637&gt;Summary!$C$11)=0,"",'Dvd Calendar'!$F$2637*1000000000+ISNUMBER('Dvd Calendar'!$F$2638)*100000000+('Dvd Calendar'!$F$2642='Field Check'!$C$25)*10000000+(N('Dvd Calendar'!$F$2636)&gt;0)*1000000+35*1000+42))</f>
        <v/>
      </c>
      <c r="AS191" s="41">
        <f>IF(N('Dvd Calendar'!$G$2637)=0,"",IF(('Dvd Calendar'!$G$2637&gt;=MIN(DATE(Summary!$C$12,1,1),Summary!$C$11))*('Dvd Calendar'!$G$2637&lt;=MAX(DATE(Summary!$C$12,12,31),Summary!$C$15))*('Dvd Calendar'!$G$2637&gt;Summary!$C$11)=0,"",'Dvd Calendar'!$G$2637*1000000000+ISNUMBER('Dvd Calendar'!$G$2638)*100000000+('Dvd Calendar'!$G$2642='Field Check'!$C$25)*10000000+(N('Dvd Calendar'!$G$2636)&gt;0)*1000000+35*1000+43))</f>
        <v/>
      </c>
      <c r="AT191" s="41">
        <f>IF(N('Dvd Calendar'!$H$2637)=0,"",IF(('Dvd Calendar'!$H$2637&gt;=MIN(DATE(Summary!$C$12,1,1),Summary!$C$11))*('Dvd Calendar'!$H$2637&lt;=MAX(DATE(Summary!$C$12,12,31),Summary!$C$15))*('Dvd Calendar'!$H$2637&gt;Summary!$C$11)=0,"",'Dvd Calendar'!$H$2637*1000000000+ISNUMBER('Dvd Calendar'!$H$2638)*100000000+('Dvd Calendar'!$H$2642='Field Check'!$C$25)*10000000+(N('Dvd Calendar'!$H$2636)&gt;0)*1000000+35*1000+44))</f>
        <v/>
      </c>
      <c r="AU191" s="41">
        <f>IF(N('Dvd Calendar'!$I$2637)=0,"",IF(('Dvd Calendar'!$I$2637&gt;=MIN(DATE(Summary!$C$12,1,1),Summary!$C$11))*('Dvd Calendar'!$I$2637&lt;=MAX(DATE(Summary!$C$12,12,31),Summary!$C$15))*('Dvd Calendar'!$I$2637&gt;Summary!$C$11)=0,"",'Dvd Calendar'!$I$2637*1000000000+ISNUMBER('Dvd Calendar'!$I$2638)*100000000+('Dvd Calendar'!$I$2642='Field Check'!$C$25)*10000000+(N('Dvd Calendar'!$I$2636)&gt;0)*1000000+35*1000+45))</f>
        <v/>
      </c>
      <c r="AV191" s="41">
        <f>IF(N('Dvd Calendar'!$J$2637)=0,"",IF(('Dvd Calendar'!$J$2637&gt;=MIN(DATE(Summary!$C$12,1,1),Summary!$C$11))*('Dvd Calendar'!$J$2637&lt;=MAX(DATE(Summary!$C$12,12,31),Summary!$C$15))*('Dvd Calendar'!$J$2637&gt;Summary!$C$11)=0,"",'Dvd Calendar'!$J$2637*1000000000+ISNUMBER('Dvd Calendar'!$J$2638)*100000000+('Dvd Calendar'!$J$2642='Field Check'!$C$25)*10000000+(N('Dvd Calendar'!$J$2636)&gt;0)*1000000+35*1000+46))</f>
        <v/>
      </c>
      <c r="AW191" s="41">
        <f>IF(N('Dvd Calendar'!$K$2637)=0,"",IF(('Dvd Calendar'!$K$2637&gt;=MIN(DATE(Summary!$C$12,1,1),Summary!$C$11))*('Dvd Calendar'!$K$2637&lt;=MAX(DATE(Summary!$C$12,12,31),Summary!$C$15))*('Dvd Calendar'!$K$2637&gt;Summary!$C$11)=0,"",'Dvd Calendar'!$K$2637*1000000000+ISNUMBER('Dvd Calendar'!$K$2638)*100000000+('Dvd Calendar'!$K$2642='Field Check'!$C$25)*10000000+(N('Dvd Calendar'!$K$2636)&gt;0)*1000000+35*1000+47))</f>
        <v/>
      </c>
      <c r="AX191" s="41">
        <f>IF(N('Dvd Calendar'!$L$2637)=0,"",IF(('Dvd Calendar'!$L$2637&gt;=MIN(DATE(Summary!$C$12,1,1),Summary!$C$11))*('Dvd Calendar'!$L$2637&lt;=MAX(DATE(Summary!$C$12,12,31),Summary!$C$15))*('Dvd Calendar'!$L$2637&gt;Summary!$C$11)=0,"",'Dvd Calendar'!$L$2637*1000000000+ISNUMBER('Dvd Calendar'!$L$2638)*100000000+('Dvd Calendar'!$L$2642='Field Check'!$C$25)*10000000+(N('Dvd Calendar'!$L$2636)&gt;0)*1000000+35*1000+48))</f>
        <v/>
      </c>
      <c r="AY191" s="41">
        <f>IF(N('Dvd Calendar'!$M$2637)=0,"",IF(('Dvd Calendar'!$M$2637&gt;=MIN(DATE(Summary!$C$12,1,1),Summary!$C$11))*('Dvd Calendar'!$M$2637&lt;=MAX(DATE(Summary!$C$12,12,31),Summary!$C$15))*('Dvd Calendar'!$M$2637&gt;Summary!$C$11)=0,"",'Dvd Calendar'!$M$2637*1000000000+ISNUMBER('Dvd Calendar'!$M$2638)*100000000+('Dvd Calendar'!$M$2642='Field Check'!$C$25)*10000000+(N('Dvd Calendar'!$M$2636)&gt;0)*1000000+35*1000+49))</f>
        <v/>
      </c>
      <c r="AZ191" s="41">
        <f>IF(N('Dvd Calendar'!$N$2637)=0,"",IF(('Dvd Calendar'!$N$2637&gt;=MIN(DATE(Summary!$C$12,1,1),Summary!$C$11))*('Dvd Calendar'!$N$2637&lt;=MAX(DATE(Summary!$C$12,12,31),Summary!$C$15))*('Dvd Calendar'!$N$2637&gt;Summary!$C$11)=0,"",'Dvd Calendar'!$N$2637*1000000000+ISNUMBER('Dvd Calendar'!$N$2638)*100000000+('Dvd Calendar'!$N$2642='Field Check'!$C$25)*10000000+(N('Dvd Calendar'!$N$2636)&gt;0)*1000000+35*1000+50))</f>
        <v/>
      </c>
      <c r="BA191" s="41">
        <f>IF(N('Dvd Calendar'!$O$2637)=0,"",IF(('Dvd Calendar'!$O$2637&gt;=MIN(DATE(Summary!$C$12,1,1),Summary!$C$11))*('Dvd Calendar'!$O$2637&lt;=MAX(DATE(Summary!$C$12,12,31),Summary!$C$15))*('Dvd Calendar'!$O$2637&gt;Summary!$C$11)=0,"",'Dvd Calendar'!$O$2637*1000000000+ISNUMBER('Dvd Calendar'!$O$2638)*100000000+('Dvd Calendar'!$O$2642='Field Check'!$C$25)*10000000+(N('Dvd Calendar'!$O$2636)&gt;0)*1000000+35*1000+51))</f>
        <v/>
      </c>
      <c r="BB191" s="41">
        <f>IF(N('Dvd Calendar'!$P$2637)=0,"",IF(('Dvd Calendar'!$P$2637&gt;=MIN(DATE(Summary!$C$12,1,1),Summary!$C$11))*('Dvd Calendar'!$P$2637&lt;=MAX(DATE(Summary!$C$12,12,31),Summary!$C$15))*('Dvd Calendar'!$P$2637&gt;Summary!$C$11)=0,"",'Dvd Calendar'!$P$2637*1000000000+ISNUMBER('Dvd Calendar'!$P$2638)*100000000+('Dvd Calendar'!$P$2642='Field Check'!$C$25)*10000000+(N('Dvd Calendar'!$P$2636)&gt;0)*1000000+35*1000+52))</f>
        <v/>
      </c>
      <c r="BC191" s="41">
        <f>IF(N('Dvd Calendar'!$Q$2637)=0,"",IF(('Dvd Calendar'!$Q$2637&gt;=MIN(DATE(Summary!$C$12,1,1),Summary!$C$11))*('Dvd Calendar'!$Q$2637&lt;=MAX(DATE(Summary!$C$12,12,31),Summary!$C$15))*('Dvd Calendar'!$Q$2637&gt;Summary!$C$11)=0,"",'Dvd Calendar'!$Q$2637*1000000000+ISNUMBER('Dvd Calendar'!$Q$2638)*100000000+('Dvd Calendar'!$Q$2642='Field Check'!$C$25)*10000000+(N('Dvd Calendar'!$Q$2636)&gt;0)*1000000+35*1000+53))</f>
        <v/>
      </c>
      <c r="BD191" s="41">
        <f>IF(N('Dvd Calendar'!$R$2637)=0,"",IF(('Dvd Calendar'!$R$2637&gt;=MIN(DATE(Summary!$C$12,1,1),Summary!$C$11))*('Dvd Calendar'!$R$2637&lt;=MAX(DATE(Summary!$C$12,12,31),Summary!$C$15))*('Dvd Calendar'!$R$2637&gt;Summary!$C$11)=0,"",'Dvd Calendar'!$R$2637*1000000000+ISNUMBER('Dvd Calendar'!$R$2638)*100000000+('Dvd Calendar'!$R$2642='Field Check'!$C$25)*10000000+(N('Dvd Calendar'!$R$2636)&gt;0)*1000000+35*1000+54))</f>
        <v/>
      </c>
      <c r="BE191" s="41">
        <f>IF(N('Dvd Calendar'!$S$2637)=0,"",IF(('Dvd Calendar'!$S$2637&gt;=MIN(DATE(Summary!$C$12,1,1),Summary!$C$11))*('Dvd Calendar'!$S$2637&lt;=MAX(DATE(Summary!$C$12,12,31),Summary!$C$15))*('Dvd Calendar'!$S$2637&gt;Summary!$C$11)=0,"",'Dvd Calendar'!$S$2637*1000000000+ISNUMBER('Dvd Calendar'!$S$2638)*100000000+('Dvd Calendar'!$S$2642='Field Check'!$C$25)*10000000+(N('Dvd Calendar'!$S$2636)&gt;0)*1000000+35*1000+55))</f>
        <v/>
      </c>
      <c r="BF191" s="41">
        <f>IF(N('Dvd Calendar'!$T$2637)=0,"",IF(('Dvd Calendar'!$T$2637&gt;=MIN(DATE(Summary!$C$12,1,1),Summary!$C$11))*('Dvd Calendar'!$T$2637&lt;=MAX(DATE(Summary!$C$12,12,31),Summary!$C$15))*('Dvd Calendar'!$T$2637&gt;Summary!$C$11)=0,"",'Dvd Calendar'!$T$2637*1000000000+ISNUMBER('Dvd Calendar'!$T$2638)*100000000+('Dvd Calendar'!$T$2642='Field Check'!$C$25)*10000000+(N('Dvd Calendar'!$T$2636)&gt;0)*1000000+35*1000+56))</f>
        <v/>
      </c>
      <c r="BG191" s="41">
        <f>IF(N('Dvd Calendar'!$U$2637)=0,"",IF(('Dvd Calendar'!$U$2637&gt;=MIN(DATE(Summary!$C$12,1,1),Summary!$C$11))*('Dvd Calendar'!$U$2637&lt;=MAX(DATE(Summary!$C$12,12,31),Summary!$C$15))*('Dvd Calendar'!$U$2637&gt;Summary!$C$11)=0,"",'Dvd Calendar'!$U$2637*1000000000+ISNUMBER('Dvd Calendar'!$U$2638)*100000000+('Dvd Calendar'!$U$2642='Field Check'!$C$25)*10000000+(N('Dvd Calendar'!$U$2636)&gt;0)*1000000+35*1000+57))</f>
        <v/>
      </c>
      <c r="BH191" s="41">
        <f>IF(N('Dvd Calendar'!$V$2637)=0,"",IF(('Dvd Calendar'!$V$2637&gt;=MIN(DATE(Summary!$C$12,1,1),Summary!$C$11))*('Dvd Calendar'!$V$2637&lt;=MAX(DATE(Summary!$C$12,12,31),Summary!$C$15))*('Dvd Calendar'!$V$2637&gt;Summary!$C$11)=0,"",'Dvd Calendar'!$V$2637*1000000000+ISNUMBER('Dvd Calendar'!$V$2638)*100000000+('Dvd Calendar'!$V$2642='Field Check'!$C$25)*10000000+(N('Dvd Calendar'!$V$2636)&gt;0)*1000000+35*1000+58))</f>
        <v/>
      </c>
      <c r="BI191" s="41">
        <f>IF(N('Dvd Calendar'!$W$2637)=0,"",IF(('Dvd Calendar'!$W$2637&gt;=MIN(DATE(Summary!$C$12,1,1),Summary!$C$11))*('Dvd Calendar'!$W$2637&lt;=MAX(DATE(Summary!$C$12,12,31),Summary!$C$15))*('Dvd Calendar'!$W$2637&gt;Summary!$C$11)=0,"",'Dvd Calendar'!$W$2637*1000000000+ISNUMBER('Dvd Calendar'!$W$2638)*100000000+('Dvd Calendar'!$W$2642='Field Check'!$C$25)*10000000+(N('Dvd Calendar'!$W$2636)&gt;0)*1000000+35*1000+59))</f>
        <v/>
      </c>
      <c r="BJ191" s="41">
        <f>IF(N('Dvd Calendar'!$X$2637)=0,"",IF(('Dvd Calendar'!$X$2637&gt;=MIN(DATE(Summary!$C$12,1,1),Summary!$C$11))*('Dvd Calendar'!$X$2637&lt;=MAX(DATE(Summary!$C$12,12,31),Summary!$C$15))*('Dvd Calendar'!$X$2637&gt;Summary!$C$11)=0,"",'Dvd Calendar'!$X$2637*1000000000+ISNUMBER('Dvd Calendar'!$X$2638)*100000000+('Dvd Calendar'!$X$2642='Field Check'!$C$25)*10000000+(N('Dvd Calendar'!$X$2636)&gt;0)*1000000+35*1000+60))</f>
        <v/>
      </c>
      <c r="BK191" s="41">
        <f>IF(N('Dvd Calendar'!$Y$2637)=0,"",IF(('Dvd Calendar'!$Y$2637&gt;=MIN(DATE(Summary!$C$12,1,1),Summary!$C$11))*('Dvd Calendar'!$Y$2637&lt;=MAX(DATE(Summary!$C$12,12,31),Summary!$C$15))*('Dvd Calendar'!$Y$2637&gt;Summary!$C$11)=0,"",'Dvd Calendar'!$Y$2637*1000000000+ISNUMBER('Dvd Calendar'!$Y$2638)*100000000+('Dvd Calendar'!$Y$2642='Field Check'!$C$25)*10000000+(N('Dvd Calendar'!$Y$2636)&gt;0)*1000000+35*1000+61))</f>
        <v/>
      </c>
      <c r="BL191" s="41">
        <f>IF(N('Dvd Calendar'!$Z$2637)=0,"",IF(('Dvd Calendar'!$Z$2637&gt;=MIN(DATE(Summary!$C$12,1,1),Summary!$C$11))*('Dvd Calendar'!$Z$2637&lt;=MAX(DATE(Summary!$C$12,12,31),Summary!$C$15))*('Dvd Calendar'!$Z$2637&gt;Summary!$C$11)=0,"",'Dvd Calendar'!$Z$2637*1000000000+ISNUMBER('Dvd Calendar'!$Z$2638)*100000000+('Dvd Calendar'!$Z$2642='Field Check'!$C$25)*10000000+(N('Dvd Calendar'!$Z$2636)&gt;0)*1000000+35*1000+62))</f>
        <v/>
      </c>
      <c r="BM191" s="41">
        <f>IF(N('Dvd Calendar'!$AA$2637)=0,"",IF(('Dvd Calendar'!$AA$2637&gt;=MIN(DATE(Summary!$C$12,1,1),Summary!$C$11))*('Dvd Calendar'!$AA$2637&lt;=MAX(DATE(Summary!$C$12,12,31),Summary!$C$15))*('Dvd Calendar'!$AA$2637&gt;Summary!$C$11)=0,"",'Dvd Calendar'!$AA$2637*1000000000+ISNUMBER('Dvd Calendar'!$AA$2638)*100000000+('Dvd Calendar'!$AA$2642='Field Check'!$C$25)*10000000+(N('Dvd Calendar'!$AA$2636)&gt;0)*1000000+35*1000+63))</f>
        <v/>
      </c>
      <c r="BN191" s="41">
        <f>IF(N('Dvd Calendar'!$AB$2637)=0,"",IF(('Dvd Calendar'!$AB$2637&gt;=MIN(DATE(Summary!$C$12,1,1),Summary!$C$11))*('Dvd Calendar'!$AB$2637&lt;=MAX(DATE(Summary!$C$12,12,31),Summary!$C$15))*('Dvd Calendar'!$AB$2637&gt;Summary!$C$11)=0,"",'Dvd Calendar'!$AB$2637*1000000000+ISNUMBER('Dvd Calendar'!$AB$2638)*100000000+('Dvd Calendar'!$AB$2642='Field Check'!$C$25)*10000000+(N('Dvd Calendar'!$AB$2636)&gt;0)*1000000+35*1000+64))</f>
        <v/>
      </c>
      <c r="BO191" s="41">
        <f>IF(N('Dvd Calendar'!$AC$2637)=0,"",IF(('Dvd Calendar'!$AC$2637&gt;=MIN(DATE(Summary!$C$12,1,1),Summary!$C$11))*('Dvd Calendar'!$AC$2637&lt;=MAX(DATE(Summary!$C$12,12,31),Summary!$C$15))*('Dvd Calendar'!$AC$2637&gt;Summary!$C$11)=0,"",'Dvd Calendar'!$AC$2637*1000000000+ISNUMBER('Dvd Calendar'!$AC$2638)*100000000+('Dvd Calendar'!$AC$2642='Field Check'!$C$25)*10000000+(N('Dvd Calendar'!$AC$2636)&gt;0)*1000000+35*1000+65))</f>
        <v/>
      </c>
      <c r="BQ191" s="85">
        <f>IF(C191="","",IF(ISNUMBER('Dvd Calendar'!$E$2631)=FALSE,"",IF((Summary!$C$13="N")*('Dvd Calendar'!$E$2635='Field Check'!$C$25)&gt;0,"",'Dvd Calendar'!$E$2631)))</f>
        <v/>
      </c>
      <c r="BR191" s="85">
        <f>IF(D191="","",IF(ISNUMBER('Dvd Calendar'!$F$2631)=FALSE,"",IF((Summary!$C$13="N")*('Dvd Calendar'!$F$2635='Field Check'!$C$25)&gt;0,"",'Dvd Calendar'!$F$2631)))</f>
        <v/>
      </c>
      <c r="BS191" s="85">
        <f>IF(E191="","",IF(ISNUMBER('Dvd Calendar'!$G$2631)=FALSE,"",IF((Summary!$C$13="N")*('Dvd Calendar'!$G$2635='Field Check'!$C$25)&gt;0,"",'Dvd Calendar'!$G$2631)))</f>
        <v/>
      </c>
      <c r="BT191" s="85">
        <f>IF(F191="","",IF(ISNUMBER('Dvd Calendar'!$H$2631)=FALSE,"",IF((Summary!$C$13="N")*('Dvd Calendar'!$H$2635='Field Check'!$C$25)&gt;0,"",'Dvd Calendar'!$H$2631)))</f>
        <v/>
      </c>
      <c r="BU191" s="85">
        <f>IF(G191="","",IF(ISNUMBER('Dvd Calendar'!$I$2631)=FALSE,"",IF((Summary!$C$13="N")*('Dvd Calendar'!$I$2635='Field Check'!$C$25)&gt;0,"",'Dvd Calendar'!$I$2631)))</f>
        <v/>
      </c>
      <c r="BV191" s="85">
        <f>IF(H191="","",IF(ISNUMBER('Dvd Calendar'!$J$2631)=FALSE,"",IF((Summary!$C$13="N")*('Dvd Calendar'!$J$2635='Field Check'!$C$25)&gt;0,"",'Dvd Calendar'!$J$2631)))</f>
        <v/>
      </c>
      <c r="BW191" s="85">
        <f>IF(I191="","",IF(ISNUMBER('Dvd Calendar'!$K$2631)=FALSE,"",IF((Summary!$C$13="N")*('Dvd Calendar'!$K$2635='Field Check'!$C$25)&gt;0,"",'Dvd Calendar'!$K$2631)))</f>
        <v/>
      </c>
      <c r="BX191" s="85">
        <f>IF(J191="","",IF(ISNUMBER('Dvd Calendar'!$L$2631)=FALSE,"",IF((Summary!$C$13="N")*('Dvd Calendar'!$L$2635='Field Check'!$C$25)&gt;0,"",'Dvd Calendar'!$L$2631)))</f>
        <v/>
      </c>
      <c r="BY191" s="85">
        <f>IF(K191="","",IF(ISNUMBER('Dvd Calendar'!$M$2631)=FALSE,"",IF((Summary!$C$13="N")*('Dvd Calendar'!$M$2635='Field Check'!$C$25)&gt;0,"",'Dvd Calendar'!$M$2631)))</f>
        <v/>
      </c>
      <c r="BZ191" s="85">
        <f>IF(L191="","",IF(ISNUMBER('Dvd Calendar'!$N$2631)=FALSE,"",IF((Summary!$C$13="N")*('Dvd Calendar'!$N$2635='Field Check'!$C$25)&gt;0,"",'Dvd Calendar'!$N$2631)))</f>
        <v/>
      </c>
      <c r="CA191" s="85">
        <f>IF(M191="","",IF(ISNUMBER('Dvd Calendar'!$O$2631)=FALSE,"",IF((Summary!$C$13="N")*('Dvd Calendar'!$O$2635='Field Check'!$C$25)&gt;0,"",'Dvd Calendar'!$O$2631)))</f>
        <v/>
      </c>
      <c r="CB191" s="85">
        <f>IF(N191="","",IF(ISNUMBER('Dvd Calendar'!$P$2631)=FALSE,"",IF((Summary!$C$13="N")*('Dvd Calendar'!$P$2635='Field Check'!$C$25)&gt;0,"",'Dvd Calendar'!$P$2631)))</f>
        <v/>
      </c>
      <c r="CC191" s="85">
        <f>IF(O191="","",IF(ISNUMBER('Dvd Calendar'!$Q$2631)=FALSE,"",IF((Summary!$C$13="N")*('Dvd Calendar'!$Q$2635='Field Check'!$C$25)&gt;0,"",'Dvd Calendar'!$Q$2631)))</f>
        <v/>
      </c>
      <c r="CD191" s="85">
        <f>IF(P191="","",IF(ISNUMBER('Dvd Calendar'!$R$2631)=FALSE,"",IF((Summary!$C$13="N")*('Dvd Calendar'!$R$2635='Field Check'!$C$25)&gt;0,"",'Dvd Calendar'!$R$2631)))</f>
        <v/>
      </c>
      <c r="CE191" s="85">
        <f>IF(Q191="","",IF(ISNUMBER('Dvd Calendar'!$S$2631)=FALSE,"",IF((Summary!$C$13="N")*('Dvd Calendar'!$S$2635='Field Check'!$C$25)&gt;0,"",'Dvd Calendar'!$S$2631)))</f>
        <v/>
      </c>
      <c r="CF191" s="85">
        <f>IF(R191="","",IF(ISNUMBER('Dvd Calendar'!$T$2631)=FALSE,"",IF((Summary!$C$13="N")*('Dvd Calendar'!$T$2635='Field Check'!$C$25)&gt;0,"",'Dvd Calendar'!$T$2631)))</f>
        <v/>
      </c>
      <c r="CG191" s="85">
        <f>IF(S191="","",IF(ISNUMBER('Dvd Calendar'!$U$2631)=FALSE,"",IF((Summary!$C$13="N")*('Dvd Calendar'!$U$2635='Field Check'!$C$25)&gt;0,"",'Dvd Calendar'!$U$2631)))</f>
        <v/>
      </c>
      <c r="CH191" s="85">
        <f>IF(T191="","",IF(ISNUMBER('Dvd Calendar'!$V$2631)=FALSE,"",IF((Summary!$C$13="N")*('Dvd Calendar'!$V$2635='Field Check'!$C$25)&gt;0,"",'Dvd Calendar'!$V$2631)))</f>
        <v/>
      </c>
      <c r="CI191" s="85">
        <f>IF(U191="","",IF(ISNUMBER('Dvd Calendar'!$W$2631)=FALSE,"",IF((Summary!$C$13="N")*('Dvd Calendar'!$W$2635='Field Check'!$C$25)&gt;0,"",'Dvd Calendar'!$W$2631)))</f>
        <v/>
      </c>
      <c r="CJ191" s="85">
        <f>IF(V191="","",IF(ISNUMBER('Dvd Calendar'!$X$2631)=FALSE,"",IF((Summary!$C$13="N")*('Dvd Calendar'!$X$2635='Field Check'!$C$25)&gt;0,"",'Dvd Calendar'!$X$2631)))</f>
        <v/>
      </c>
      <c r="CK191" s="85">
        <f>IF(W191="","",IF(ISNUMBER('Dvd Calendar'!$Y$2631)=FALSE,"",IF((Summary!$C$13="N")*('Dvd Calendar'!$Y$2635='Field Check'!$C$25)&gt;0,"",'Dvd Calendar'!$Y$2631)))</f>
        <v/>
      </c>
      <c r="CL191" s="85">
        <f>IF(X191="","",IF(ISNUMBER('Dvd Calendar'!$Z$2631)=FALSE,"",IF((Summary!$C$13="N")*('Dvd Calendar'!$Z$2635='Field Check'!$C$25)&gt;0,"",'Dvd Calendar'!$Z$2631)))</f>
        <v/>
      </c>
      <c r="CM191" s="85">
        <f>IF(Y191="","",IF(ISNUMBER('Dvd Calendar'!$AA$2631)=FALSE,"",IF((Summary!$C$13="N")*('Dvd Calendar'!$AA$2635='Field Check'!$C$25)&gt;0,"",'Dvd Calendar'!$AA$2631)))</f>
        <v/>
      </c>
      <c r="CN191" s="85">
        <f>IF(Z191="","",IF(ISNUMBER('Dvd Calendar'!$AB$2631)=FALSE,"",IF((Summary!$C$13="N")*('Dvd Calendar'!$AB$2635='Field Check'!$C$25)&gt;0,"",'Dvd Calendar'!$AB$2631)))</f>
        <v/>
      </c>
      <c r="CO191" s="85">
        <f>IF(AA191="","",IF(ISNUMBER('Dvd Calendar'!$AC$2631)=FALSE,"",IF((Summary!$C$13="N")*('Dvd Calendar'!$AC$2635='Field Check'!$C$25)&gt;0,"",'Dvd Calendar'!$AC$2631)))</f>
        <v/>
      </c>
      <c r="CP191" s="85">
        <f>IF(AB191="","",IF(ISNUMBER('Dvd Calendar'!$AD$2631)=FALSE,"",IF((Summary!$C$13="N")*('Dvd Calendar'!$AD$2635='Field Check'!$C$25)&gt;0,"",'Dvd Calendar'!$AD$2631)))</f>
        <v/>
      </c>
      <c r="CQ191" s="85">
        <f>IF(AC191="","",IF(ISNUMBER('Dvd Calendar'!$AE$2631)=FALSE,"",IF((Summary!$C$13="N")*('Dvd Calendar'!$AE$2635='Field Check'!$C$25)&gt;0,"",'Dvd Calendar'!$AE$2631)))</f>
        <v/>
      </c>
      <c r="CR191" s="85">
        <f>IF(AD191="","",IF(ISNUMBER('Dvd Calendar'!$AF$2631)=FALSE,"",IF((Summary!$C$13="N")*('Dvd Calendar'!$AF$2635='Field Check'!$C$25)&gt;0,"",'Dvd Calendar'!$AF$2631)))</f>
        <v/>
      </c>
      <c r="CS191" s="85">
        <f>IF(AE191="","",IF(ISNUMBER('Dvd Calendar'!$AG$2631)=FALSE,"",IF((Summary!$C$13="N")*('Dvd Calendar'!$AG$2635='Field Check'!$C$25)&gt;0,"",'Dvd Calendar'!$AG$2631)))</f>
        <v/>
      </c>
      <c r="CT191" s="85">
        <f>IF(AF191="","",IF(ISNUMBER('Dvd Calendar'!$AH$2631)=FALSE,"",IF((Summary!$C$13="N")*('Dvd Calendar'!$AH$2635='Field Check'!$C$25)&gt;0,"",'Dvd Calendar'!$AH$2631)))</f>
        <v/>
      </c>
      <c r="CU191" s="85">
        <f>IF(AG191="","",IF(ISNUMBER('Dvd Calendar'!$AI$2631)=FALSE,"",IF((Summary!$C$13="N")*('Dvd Calendar'!$AI$2635='Field Check'!$C$25)&gt;0,"",'Dvd Calendar'!$AI$2631)))</f>
        <v/>
      </c>
      <c r="CV191" s="85">
        <f>IF(AH191="","",IF(ISNUMBER('Dvd Calendar'!$AJ$2631)=FALSE,"",IF((Summary!$C$13="N")*('Dvd Calendar'!$AJ$2635='Field Check'!$C$25)&gt;0,"",'Dvd Calendar'!$AJ$2631)))</f>
        <v/>
      </c>
      <c r="CW191" s="85">
        <f>IF(AI191="","",IF(ISNUMBER('Dvd Calendar'!$AK$2631)=FALSE,"",IF((Summary!$C$13="N")*('Dvd Calendar'!$AK$2635='Field Check'!$C$25)&gt;0,"",'Dvd Calendar'!$AK$2631)))</f>
        <v/>
      </c>
      <c r="CX191" s="85">
        <f>IF(AJ191="","",IF(ISNUMBER('Dvd Calendar'!$AL$2631)=FALSE,"",IF((Summary!$C$13="N")*('Dvd Calendar'!$AL$2635='Field Check'!$C$25)&gt;0,"",'Dvd Calendar'!$AL$2631)))</f>
        <v/>
      </c>
      <c r="CY191" s="85">
        <f>IF(AK191="","",IF(ISNUMBER('Dvd Calendar'!$AM$2631)=FALSE,"",IF((Summary!$C$13="N")*('Dvd Calendar'!$AM$2635='Field Check'!$C$25)&gt;0,"",'Dvd Calendar'!$AM$2631)))</f>
        <v/>
      </c>
      <c r="CZ191" s="85">
        <f>IF(AL191="","",IF(ISNUMBER('Dvd Calendar'!$AN$2631)=FALSE,"",IF((Summary!$C$13="N")*('Dvd Calendar'!$AN$2635='Field Check'!$C$25)&gt;0,"",'Dvd Calendar'!$AN$2631)))</f>
        <v/>
      </c>
      <c r="DA191" s="85">
        <f>IF(AM191="","",IF(ISNUMBER('Dvd Calendar'!$AO$2631)=FALSE,"",IF((Summary!$C$13="N")*('Dvd Calendar'!$AO$2635='Field Check'!$C$25)&gt;0,"",'Dvd Calendar'!$AO$2631)))</f>
        <v/>
      </c>
      <c r="DB191" s="85">
        <f>IF(AN191="","",IF(ISNUMBER('Dvd Calendar'!$AP$2631)=FALSE,"",IF((Summary!$C$13="N")*('Dvd Calendar'!$AP$2635='Field Check'!$C$25)&gt;0,"",'Dvd Calendar'!$AP$2631)))</f>
        <v/>
      </c>
      <c r="DC191" s="85">
        <f>IF(AO191="","",IF(ISNUMBER('Dvd Calendar'!$AQ$2631)=FALSE,"",IF((Summary!$C$13="N")*('Dvd Calendar'!$AQ$2635='Field Check'!$C$25)&gt;0,"",'Dvd Calendar'!$AQ$2631)))</f>
        <v/>
      </c>
      <c r="DD191" s="85">
        <f>IF(AP191="","",IF(ISNUMBER('Dvd Calendar'!$AR$2631)=FALSE,"",IF((Summary!$C$13="N")*('Dvd Calendar'!$AR$2635='Field Check'!$C$25)&gt;0,"",'Dvd Calendar'!$AR$2631)))</f>
        <v/>
      </c>
      <c r="DE191" s="85">
        <f>IF(AQ191="","",IF(ISNUMBER('Dvd Calendar'!$E$2638)=FALSE,"",IF((Summary!$C$13="N")*('Dvd Calendar'!$E$2642='Field Check'!$C$25)&gt;0,"",'Dvd Calendar'!$E$2638)))</f>
        <v/>
      </c>
      <c r="DF191" s="85">
        <f>IF(AR191="","",IF(ISNUMBER('Dvd Calendar'!$F$2638)=FALSE,"",IF((Summary!$C$13="N")*('Dvd Calendar'!$F$2642='Field Check'!$C$25)&gt;0,"",'Dvd Calendar'!$F$2638)))</f>
        <v/>
      </c>
      <c r="DG191" s="85">
        <f>IF(AS191="","",IF(ISNUMBER('Dvd Calendar'!$G$2638)=FALSE,"",IF((Summary!$C$13="N")*('Dvd Calendar'!$G$2642='Field Check'!$C$25)&gt;0,"",'Dvd Calendar'!$G$2638)))</f>
        <v/>
      </c>
      <c r="DH191" s="85">
        <f>IF(AT191="","",IF(ISNUMBER('Dvd Calendar'!$H$2638)=FALSE,"",IF((Summary!$C$13="N")*('Dvd Calendar'!$H$2642='Field Check'!$C$25)&gt;0,"",'Dvd Calendar'!$H$2638)))</f>
        <v/>
      </c>
      <c r="DI191" s="85">
        <f>IF(AU191="","",IF(ISNUMBER('Dvd Calendar'!$I$2638)=FALSE,"",IF((Summary!$C$13="N")*('Dvd Calendar'!$I$2642='Field Check'!$C$25)&gt;0,"",'Dvd Calendar'!$I$2638)))</f>
        <v/>
      </c>
      <c r="DJ191" s="85">
        <f>IF(AV191="","",IF(ISNUMBER('Dvd Calendar'!$J$2638)=FALSE,"",IF((Summary!$C$13="N")*('Dvd Calendar'!$J$2642='Field Check'!$C$25)&gt;0,"",'Dvd Calendar'!$J$2638)))</f>
        <v/>
      </c>
      <c r="DK191" s="85">
        <f>IF(AW191="","",IF(ISNUMBER('Dvd Calendar'!$K$2638)=FALSE,"",IF((Summary!$C$13="N")*('Dvd Calendar'!$K$2642='Field Check'!$C$25)&gt;0,"",'Dvd Calendar'!$K$2638)))</f>
        <v/>
      </c>
      <c r="DL191" s="85">
        <f>IF(AX191="","",IF(ISNUMBER('Dvd Calendar'!$L$2638)=FALSE,"",IF((Summary!$C$13="N")*('Dvd Calendar'!$L$2642='Field Check'!$C$25)&gt;0,"",'Dvd Calendar'!$L$2638)))</f>
        <v/>
      </c>
      <c r="DM191" s="85">
        <f>IF(AY191="","",IF(ISNUMBER('Dvd Calendar'!$M$2638)=FALSE,"",IF((Summary!$C$13="N")*('Dvd Calendar'!$M$2642='Field Check'!$C$25)&gt;0,"",'Dvd Calendar'!$M$2638)))</f>
        <v/>
      </c>
      <c r="DN191" s="85">
        <f>IF(AZ191="","",IF(ISNUMBER('Dvd Calendar'!$N$2638)=FALSE,"",IF((Summary!$C$13="N")*('Dvd Calendar'!$N$2642='Field Check'!$C$25)&gt;0,"",'Dvd Calendar'!$N$2638)))</f>
        <v/>
      </c>
      <c r="DO191" s="85">
        <f>IF(BA191="","",IF(ISNUMBER('Dvd Calendar'!$O$2638)=FALSE,"",IF((Summary!$C$13="N")*('Dvd Calendar'!$O$2642='Field Check'!$C$25)&gt;0,"",'Dvd Calendar'!$O$2638)))</f>
        <v/>
      </c>
      <c r="DP191" s="85">
        <f>IF(BB191="","",IF(ISNUMBER('Dvd Calendar'!$P$2638)=FALSE,"",IF((Summary!$C$13="N")*('Dvd Calendar'!$P$2642='Field Check'!$C$25)&gt;0,"",'Dvd Calendar'!$P$2638)))</f>
        <v/>
      </c>
      <c r="DQ191" s="85">
        <f>IF(BC191="","",IF(ISNUMBER('Dvd Calendar'!$Q$2638)=FALSE,"",IF((Summary!$C$13="N")*('Dvd Calendar'!$Q$2642='Field Check'!$C$25)&gt;0,"",'Dvd Calendar'!$Q$2638)))</f>
        <v/>
      </c>
      <c r="DR191" s="85">
        <f>IF(BD191="","",IF(ISNUMBER('Dvd Calendar'!$R$2638)=FALSE,"",IF((Summary!$C$13="N")*('Dvd Calendar'!$R$2642='Field Check'!$C$25)&gt;0,"",'Dvd Calendar'!$R$2638)))</f>
        <v/>
      </c>
      <c r="DS191" s="85">
        <f>IF(BE191="","",IF(ISNUMBER('Dvd Calendar'!$S$2638)=FALSE,"",IF((Summary!$C$13="N")*('Dvd Calendar'!$S$2642='Field Check'!$C$25)&gt;0,"",'Dvd Calendar'!$S$2638)))</f>
        <v/>
      </c>
      <c r="DT191" s="85">
        <f>IF(BF191="","",IF(ISNUMBER('Dvd Calendar'!$T$2638)=FALSE,"",IF((Summary!$C$13="N")*('Dvd Calendar'!$T$2642='Field Check'!$C$25)&gt;0,"",'Dvd Calendar'!$T$2638)))</f>
        <v/>
      </c>
      <c r="DU191" s="85">
        <f>IF(BG191="","",IF(ISNUMBER('Dvd Calendar'!$U$2638)=FALSE,"",IF((Summary!$C$13="N")*('Dvd Calendar'!$U$2642='Field Check'!$C$25)&gt;0,"",'Dvd Calendar'!$U$2638)))</f>
        <v/>
      </c>
      <c r="DV191" s="85">
        <f>IF(BH191="","",IF(ISNUMBER('Dvd Calendar'!$V$2638)=FALSE,"",IF((Summary!$C$13="N")*('Dvd Calendar'!$V$2642='Field Check'!$C$25)&gt;0,"",'Dvd Calendar'!$V$2638)))</f>
        <v/>
      </c>
      <c r="DW191" s="85">
        <f>IF(BI191="","",IF(ISNUMBER('Dvd Calendar'!$W$2638)=FALSE,"",IF((Summary!$C$13="N")*('Dvd Calendar'!$W$2642='Field Check'!$C$25)&gt;0,"",'Dvd Calendar'!$W$2638)))</f>
        <v/>
      </c>
      <c r="DX191" s="85">
        <f>IF(BJ191="","",IF(ISNUMBER('Dvd Calendar'!$X$2638)=FALSE,"",IF((Summary!$C$13="N")*('Dvd Calendar'!$X$2642='Field Check'!$C$25)&gt;0,"",'Dvd Calendar'!$X$2638)))</f>
        <v/>
      </c>
      <c r="DY191" s="85">
        <f>IF(BK191="","",IF(ISNUMBER('Dvd Calendar'!$Y$2638)=FALSE,"",IF((Summary!$C$13="N")*('Dvd Calendar'!$Y$2642='Field Check'!$C$25)&gt;0,"",'Dvd Calendar'!$Y$2638)))</f>
        <v/>
      </c>
      <c r="DZ191" s="85">
        <f>IF(BL191="","",IF(ISNUMBER('Dvd Calendar'!$Z$2638)=FALSE,"",IF((Summary!$C$13="N")*('Dvd Calendar'!$Z$2642='Field Check'!$C$25)&gt;0,"",'Dvd Calendar'!$Z$2638)))</f>
        <v/>
      </c>
      <c r="EA191" s="85">
        <f>IF(BM191="","",IF(ISNUMBER('Dvd Calendar'!$AA$2638)=FALSE,"",IF((Summary!$C$13="N")*('Dvd Calendar'!$AA$2642='Field Check'!$C$25)&gt;0,"",'Dvd Calendar'!$AA$2638)))</f>
        <v/>
      </c>
      <c r="EB191" s="85">
        <f>IF(BN191="","",IF(ISNUMBER('Dvd Calendar'!$AB$2638)=FALSE,"",IF((Summary!$C$13="N")*('Dvd Calendar'!$AB$2642='Field Check'!$C$25)&gt;0,"",'Dvd Calendar'!$AB$2638)))</f>
        <v/>
      </c>
      <c r="EC191" s="85">
        <f>IF(BO191="","",IF(ISNUMBER('Dvd Calendar'!$AC$2638)=FALSE,"",IF((Summary!$C$13="N")*('Dvd Calendar'!$AC$2642='Field Check'!$C$25)&gt;0,"",'Dvd Calendar'!$AC$2638)))</f>
        <v/>
      </c>
      <c r="EE191" s="85">
        <f>IF(BQ191="","",IFERROR(BQ191*HSCEI!$B$41*HSCEI!$G$41/HSCEI!$B$3,""))</f>
        <v/>
      </c>
      <c r="EF191" s="85">
        <f>IF(BR191="","",IFERROR(BR191*HSCEI!$B$41*HSCEI!$G$41/HSCEI!$B$3,""))</f>
        <v/>
      </c>
      <c r="EG191" s="85">
        <f>IF(BS191="","",IFERROR(BS191*HSCEI!$B$41*HSCEI!$G$41/HSCEI!$B$3,""))</f>
        <v/>
      </c>
      <c r="EH191" s="85">
        <f>IF(BT191="","",IFERROR(BT191*HSCEI!$B$41*HSCEI!$G$41/HSCEI!$B$3,""))</f>
        <v/>
      </c>
      <c r="EI191" s="85">
        <f>IF(BU191="","",IFERROR(BU191*HSCEI!$B$41*HSCEI!$G$41/HSCEI!$B$3,""))</f>
        <v/>
      </c>
      <c r="EJ191" s="85">
        <f>IF(BV191="","",IFERROR(BV191*HSCEI!$B$41*HSCEI!$G$41/HSCEI!$B$3,""))</f>
        <v/>
      </c>
      <c r="EK191" s="85">
        <f>IF(BW191="","",IFERROR(BW191*HSCEI!$B$41*HSCEI!$G$41/HSCEI!$B$3,""))</f>
        <v/>
      </c>
      <c r="EL191" s="85">
        <f>IF(BX191="","",IFERROR(BX191*HSCEI!$B$41*HSCEI!$G$41/HSCEI!$B$3,""))</f>
        <v/>
      </c>
      <c r="EM191" s="85">
        <f>IF(BY191="","",IFERROR(BY191*HSCEI!$B$41*HSCEI!$G$41/HSCEI!$B$3,""))</f>
        <v/>
      </c>
      <c r="EN191" s="85">
        <f>IF(BZ191="","",IFERROR(BZ191*HSCEI!$B$41*HSCEI!$G$41/HSCEI!$B$3,""))</f>
        <v/>
      </c>
      <c r="EO191" s="85">
        <f>IF(CA191="","",IFERROR(CA191*HSCEI!$B$41*HSCEI!$G$41/HSCEI!$B$3,""))</f>
        <v/>
      </c>
      <c r="EP191" s="85">
        <f>IF(CB191="","",IFERROR(CB191*HSCEI!$B$41*HSCEI!$G$41/HSCEI!$B$3,""))</f>
        <v/>
      </c>
      <c r="EQ191" s="85">
        <f>IF(CC191="","",IFERROR(CC191*HSCEI!$B$41*HSCEI!$G$41/HSCEI!$B$3,""))</f>
        <v/>
      </c>
      <c r="ER191" s="85">
        <f>IF(CD191="","",IFERROR(CD191*HSCEI!$B$41*HSCEI!$G$41/HSCEI!$B$3,""))</f>
        <v/>
      </c>
      <c r="ES191" s="85">
        <f>IF(CE191="","",IFERROR(CE191*HSCEI!$B$41*HSCEI!$G$41/HSCEI!$B$3,""))</f>
        <v/>
      </c>
      <c r="ET191" s="85">
        <f>IF(CF191="","",IFERROR(CF191*HSCEI!$B$41*HSCEI!$G$41/HSCEI!$B$3,""))</f>
        <v/>
      </c>
      <c r="EU191" s="85">
        <f>IF(CG191="","",IFERROR(CG191*HSCEI!$B$41*HSCEI!$G$41/HSCEI!$B$3,""))</f>
        <v/>
      </c>
      <c r="EV191" s="85">
        <f>IF(CH191="","",IFERROR(CH191*HSCEI!$B$41*HSCEI!$G$41/HSCEI!$B$3,""))</f>
        <v/>
      </c>
      <c r="EW191" s="85">
        <f>IF(CI191="","",IFERROR(CI191*HSCEI!$B$41*HSCEI!$G$41/HSCEI!$B$3,""))</f>
        <v/>
      </c>
      <c r="EX191" s="85">
        <f>IF(CJ191="","",IFERROR(CJ191*HSCEI!$B$41*HSCEI!$G$41/HSCEI!$B$3,""))</f>
        <v/>
      </c>
      <c r="EY191" s="85">
        <f>IF(CK191="","",IFERROR(CK191*HSCEI!$B$41*HSCEI!$G$41/HSCEI!$B$3,""))</f>
        <v/>
      </c>
      <c r="EZ191" s="85">
        <f>IF(CL191="","",IFERROR(CL191*HSCEI!$B$41*HSCEI!$G$41/HSCEI!$B$3,""))</f>
        <v/>
      </c>
      <c r="FA191" s="85">
        <f>IF(CM191="","",IFERROR(CM191*HSCEI!$B$41*HSCEI!$G$41/HSCEI!$B$3,""))</f>
        <v/>
      </c>
      <c r="FB191" s="85">
        <f>IF(CN191="","",IFERROR(CN191*HSCEI!$B$41*HSCEI!$G$41/HSCEI!$B$3,""))</f>
        <v/>
      </c>
      <c r="FC191" s="85">
        <f>IF(CO191="","",IFERROR(CO191*HSCEI!$B$41*HSCEI!$G$41/HSCEI!$B$3,""))</f>
        <v/>
      </c>
      <c r="FD191" s="85">
        <f>IF(CP191="","",IFERROR(CP191*HSCEI!$B$41*HSCEI!$G$41/HSCEI!$B$3,""))</f>
        <v/>
      </c>
      <c r="FE191" s="85">
        <f>IF(CQ191="","",IFERROR(CQ191*HSCEI!$B$41*HSCEI!$G$41/HSCEI!$B$3,""))</f>
        <v/>
      </c>
      <c r="FF191" s="85">
        <f>IF(CR191="","",IFERROR(CR191*HSCEI!$B$41*HSCEI!$G$41/HSCEI!$B$3,""))</f>
        <v/>
      </c>
      <c r="FG191" s="85">
        <f>IF(CS191="","",IFERROR(CS191*HSCEI!$B$41*HSCEI!$G$41/HSCEI!$B$3,""))</f>
        <v/>
      </c>
      <c r="FH191" s="85">
        <f>IF(CT191="","",IFERROR(CT191*HSCEI!$B$41*HSCEI!$G$41/HSCEI!$B$3,""))</f>
        <v/>
      </c>
      <c r="FI191" s="85">
        <f>IF(CU191="","",IFERROR(CU191*HSCEI!$B$41*HSCEI!$G$41/HSCEI!$B$3,""))</f>
        <v/>
      </c>
      <c r="FJ191" s="85">
        <f>IF(CV191="","",IFERROR(CV191*HSCEI!$B$41*HSCEI!$G$41/HSCEI!$B$3,""))</f>
        <v/>
      </c>
      <c r="FK191" s="85">
        <f>IF(CW191="","",IFERROR(CW191*HSCEI!$B$41*HSCEI!$G$41/HSCEI!$B$3,""))</f>
        <v/>
      </c>
      <c r="FL191" s="85">
        <f>IF(CX191="","",IFERROR(CX191*HSCEI!$B$41*HSCEI!$G$41/HSCEI!$B$3,""))</f>
        <v/>
      </c>
      <c r="FM191" s="85">
        <f>IF(CY191="","",IFERROR(CY191*HSCEI!$B$41*HSCEI!$G$41/HSCEI!$B$3,""))</f>
        <v/>
      </c>
      <c r="FN191" s="85">
        <f>IF(CZ191="","",IFERROR(CZ191*HSCEI!$B$41*HSCEI!$G$41/HSCEI!$B$3,""))</f>
        <v/>
      </c>
      <c r="FO191" s="85">
        <f>IF(DA191="","",IFERROR(DA191*HSCEI!$B$41*HSCEI!$G$41/HSCEI!$B$3,""))</f>
        <v/>
      </c>
      <c r="FP191" s="85">
        <f>IF(DB191="","",IFERROR(DB191*HSCEI!$B$41*HSCEI!$G$41/HSCEI!$B$3,""))</f>
        <v/>
      </c>
      <c r="FQ191" s="85">
        <f>IF(DC191="","",IFERROR(DC191*HSCEI!$B$41*HSCEI!$G$41/HSCEI!$B$3,""))</f>
        <v/>
      </c>
      <c r="FR191" s="85">
        <f>IF(DD191="","",IFERROR(DD191*HSCEI!$B$41*HSCEI!$G$41/HSCEI!$B$3,""))</f>
        <v/>
      </c>
      <c r="FS191" s="85">
        <f>IF(DE191="","",IFERROR(DE191*HSCEI!$B$41*HSCEI!$G$41/HSCEI!$B$3,""))</f>
        <v/>
      </c>
      <c r="FT191" s="85">
        <f>IF(DF191="","",IFERROR(DF191*HSCEI!$B$41*HSCEI!$G$41/HSCEI!$B$3,""))</f>
        <v/>
      </c>
      <c r="FU191" s="85">
        <f>IF(DG191="","",IFERROR(DG191*HSCEI!$B$41*HSCEI!$G$41/HSCEI!$B$3,""))</f>
        <v/>
      </c>
      <c r="FV191" s="85">
        <f>IF(DH191="","",IFERROR(DH191*HSCEI!$B$41*HSCEI!$G$41/HSCEI!$B$3,""))</f>
        <v/>
      </c>
      <c r="FW191" s="85">
        <f>IF(DI191="","",IFERROR(DI191*HSCEI!$B$41*HSCEI!$G$41/HSCEI!$B$3,""))</f>
        <v/>
      </c>
      <c r="FX191" s="85">
        <f>IF(DJ191="","",IFERROR(DJ191*HSCEI!$B$41*HSCEI!$G$41/HSCEI!$B$3,""))</f>
        <v/>
      </c>
      <c r="FY191" s="85">
        <f>IF(DK191="","",IFERROR(DK191*HSCEI!$B$41*HSCEI!$G$41/HSCEI!$B$3,""))</f>
        <v/>
      </c>
      <c r="FZ191" s="85">
        <f>IF(DL191="","",IFERROR(DL191*HSCEI!$B$41*HSCEI!$G$41/HSCEI!$B$3,""))</f>
        <v/>
      </c>
      <c r="GA191" s="85">
        <f>IF(DM191="","",IFERROR(DM191*HSCEI!$B$41*HSCEI!$G$41/HSCEI!$B$3,""))</f>
        <v/>
      </c>
      <c r="GB191" s="85">
        <f>IF(DN191="","",IFERROR(DN191*HSCEI!$B$41*HSCEI!$G$41/HSCEI!$B$3,""))</f>
        <v/>
      </c>
      <c r="GC191" s="85">
        <f>IF(DO191="","",IFERROR(DO191*HSCEI!$B$41*HSCEI!$G$41/HSCEI!$B$3,""))</f>
        <v/>
      </c>
      <c r="GD191" s="85">
        <f>IF(DP191="","",IFERROR(DP191*HSCEI!$B$41*HSCEI!$G$41/HSCEI!$B$3,""))</f>
        <v/>
      </c>
      <c r="GE191" s="85">
        <f>IF(DQ191="","",IFERROR(DQ191*HSCEI!$B$41*HSCEI!$G$41/HSCEI!$B$3,""))</f>
        <v/>
      </c>
      <c r="GF191" s="85">
        <f>IF(DR191="","",IFERROR(DR191*HSCEI!$B$41*HSCEI!$G$41/HSCEI!$B$3,""))</f>
        <v/>
      </c>
      <c r="GG191" s="85">
        <f>IF(DS191="","",IFERROR(DS191*HSCEI!$B$41*HSCEI!$G$41/HSCEI!$B$3,""))</f>
        <v/>
      </c>
      <c r="GH191" s="85">
        <f>IF(DT191="","",IFERROR(DT191*HSCEI!$B$41*HSCEI!$G$41/HSCEI!$B$3,""))</f>
        <v/>
      </c>
      <c r="GI191" s="85">
        <f>IF(DU191="","",IFERROR(DU191*HSCEI!$B$41*HSCEI!$G$41/HSCEI!$B$3,""))</f>
        <v/>
      </c>
      <c r="GJ191" s="85">
        <f>IF(DV191="","",IFERROR(DV191*HSCEI!$B$41*HSCEI!$G$41/HSCEI!$B$3,""))</f>
        <v/>
      </c>
      <c r="GK191" s="85">
        <f>IF(DW191="","",IFERROR(DW191*HSCEI!$B$41*HSCEI!$G$41/HSCEI!$B$3,""))</f>
        <v/>
      </c>
      <c r="GL191" s="85">
        <f>IF(DX191="","",IFERROR(DX191*HSCEI!$B$41*HSCEI!$G$41/HSCEI!$B$3,""))</f>
        <v/>
      </c>
      <c r="GM191" s="85">
        <f>IF(DY191="","",IFERROR(DY191*HSCEI!$B$41*HSCEI!$G$41/HSCEI!$B$3,""))</f>
        <v/>
      </c>
      <c r="GN191" s="85">
        <f>IF(DZ191="","",IFERROR(DZ191*HSCEI!$B$41*HSCEI!$G$41/HSCEI!$B$3,""))</f>
        <v/>
      </c>
      <c r="GO191" s="85">
        <f>IF(EA191="","",IFERROR(EA191*HSCEI!$B$41*HSCEI!$G$41/HSCEI!$B$3,""))</f>
        <v/>
      </c>
      <c r="GP191" s="85">
        <f>IF(EB191="","",IFERROR(EB191*HSCEI!$B$41*HSCEI!$G$41/HSCEI!$B$3,""))</f>
        <v/>
      </c>
      <c r="GQ191" s="85">
        <f>IF(EC191="","",IFERROR(EC191*HSCEI!$B$41*HSCEI!$G$41/HSCEI!$B$3,""))</f>
        <v/>
      </c>
    </row>
    <row r="192">
      <c r="B192" s="2">
        <f>IF(HSCEI!$C$42="","",HSCEI!$C$42)</f>
        <v/>
      </c>
      <c r="C192" s="41">
        <f>IF(N('Dvd Calendar'!$E$2645)=0,"",IF(('Dvd Calendar'!$E$2645&gt;=MIN(DATE(Summary!$C$12,1,1),Summary!$C$11))*('Dvd Calendar'!$E$2645&lt;=MAX(DATE(Summary!$C$12,12,31),Summary!$C$15))*('Dvd Calendar'!$E$2645&lt;=Summary!$C$11)=0,"",'Dvd Calendar'!$E$2645*1000000000+ISNUMBER('Dvd Calendar'!$E$2646)*100000000+('Dvd Calendar'!$E$2650='Field Check'!$C$25)*10000000+(N('Dvd Calendar'!$E$2644)&gt;0)*1000000+36*1000+1))</f>
        <v/>
      </c>
      <c r="D192" s="41">
        <f>IF(N('Dvd Calendar'!$F$2645)=0,"",IF(('Dvd Calendar'!$F$2645&gt;=MIN(DATE(Summary!$C$12,1,1),Summary!$C$11))*('Dvd Calendar'!$F$2645&lt;=MAX(DATE(Summary!$C$12,12,31),Summary!$C$15))*('Dvd Calendar'!$F$2645&lt;=Summary!$C$11)=0,"",'Dvd Calendar'!$F$2645*1000000000+ISNUMBER('Dvd Calendar'!$F$2646)*100000000+('Dvd Calendar'!$F$2650='Field Check'!$C$25)*10000000+(N('Dvd Calendar'!$F$2644)&gt;0)*1000000+36*1000+2))</f>
        <v/>
      </c>
      <c r="E192" s="41">
        <f>IF(N('Dvd Calendar'!$G$2645)=0,"",IF(('Dvd Calendar'!$G$2645&gt;=MIN(DATE(Summary!$C$12,1,1),Summary!$C$11))*('Dvd Calendar'!$G$2645&lt;=MAX(DATE(Summary!$C$12,12,31),Summary!$C$15))*('Dvd Calendar'!$G$2645&lt;=Summary!$C$11)=0,"",'Dvd Calendar'!$G$2645*1000000000+ISNUMBER('Dvd Calendar'!$G$2646)*100000000+('Dvd Calendar'!$G$2650='Field Check'!$C$25)*10000000+(N('Dvd Calendar'!$G$2644)&gt;0)*1000000+36*1000+3))</f>
        <v/>
      </c>
      <c r="F192" s="41">
        <f>IF(N('Dvd Calendar'!$H$2645)=0,"",IF(('Dvd Calendar'!$H$2645&gt;=MIN(DATE(Summary!$C$12,1,1),Summary!$C$11))*('Dvd Calendar'!$H$2645&lt;=MAX(DATE(Summary!$C$12,12,31),Summary!$C$15))*('Dvd Calendar'!$H$2645&lt;=Summary!$C$11)=0,"",'Dvd Calendar'!$H$2645*1000000000+ISNUMBER('Dvd Calendar'!$H$2646)*100000000+('Dvd Calendar'!$H$2650='Field Check'!$C$25)*10000000+(N('Dvd Calendar'!$H$2644)&gt;0)*1000000+36*1000+4))</f>
        <v/>
      </c>
      <c r="G192" s="41">
        <f>IF(N('Dvd Calendar'!$I$2645)=0,"",IF(('Dvd Calendar'!$I$2645&gt;=MIN(DATE(Summary!$C$12,1,1),Summary!$C$11))*('Dvd Calendar'!$I$2645&lt;=MAX(DATE(Summary!$C$12,12,31),Summary!$C$15))*('Dvd Calendar'!$I$2645&lt;=Summary!$C$11)=0,"",'Dvd Calendar'!$I$2645*1000000000+ISNUMBER('Dvd Calendar'!$I$2646)*100000000+('Dvd Calendar'!$I$2650='Field Check'!$C$25)*10000000+(N('Dvd Calendar'!$I$2644)&gt;0)*1000000+36*1000+5))</f>
        <v/>
      </c>
      <c r="H192" s="41">
        <f>IF(N('Dvd Calendar'!$J$2645)=0,"",IF(('Dvd Calendar'!$J$2645&gt;=MIN(DATE(Summary!$C$12,1,1),Summary!$C$11))*('Dvd Calendar'!$J$2645&lt;=MAX(DATE(Summary!$C$12,12,31),Summary!$C$15))*('Dvd Calendar'!$J$2645&lt;=Summary!$C$11)=0,"",'Dvd Calendar'!$J$2645*1000000000+ISNUMBER('Dvd Calendar'!$J$2646)*100000000+('Dvd Calendar'!$J$2650='Field Check'!$C$25)*10000000+(N('Dvd Calendar'!$J$2644)&gt;0)*1000000+36*1000+6))</f>
        <v/>
      </c>
      <c r="I192" s="41">
        <f>IF(N('Dvd Calendar'!$K$2645)=0,"",IF(('Dvd Calendar'!$K$2645&gt;=MIN(DATE(Summary!$C$12,1,1),Summary!$C$11))*('Dvd Calendar'!$K$2645&lt;=MAX(DATE(Summary!$C$12,12,31),Summary!$C$15))*('Dvd Calendar'!$K$2645&lt;=Summary!$C$11)=0,"",'Dvd Calendar'!$K$2645*1000000000+ISNUMBER('Dvd Calendar'!$K$2646)*100000000+('Dvd Calendar'!$K$2650='Field Check'!$C$25)*10000000+(N('Dvd Calendar'!$K$2644)&gt;0)*1000000+36*1000+7))</f>
        <v/>
      </c>
      <c r="J192" s="41">
        <f>IF(N('Dvd Calendar'!$L$2645)=0,"",IF(('Dvd Calendar'!$L$2645&gt;=MIN(DATE(Summary!$C$12,1,1),Summary!$C$11))*('Dvd Calendar'!$L$2645&lt;=MAX(DATE(Summary!$C$12,12,31),Summary!$C$15))*('Dvd Calendar'!$L$2645&lt;=Summary!$C$11)=0,"",'Dvd Calendar'!$L$2645*1000000000+ISNUMBER('Dvd Calendar'!$L$2646)*100000000+('Dvd Calendar'!$L$2650='Field Check'!$C$25)*10000000+(N('Dvd Calendar'!$L$2644)&gt;0)*1000000+36*1000+8))</f>
        <v/>
      </c>
      <c r="K192" s="41">
        <f>IF(N('Dvd Calendar'!$M$2645)=0,"",IF(('Dvd Calendar'!$M$2645&gt;=MIN(DATE(Summary!$C$12,1,1),Summary!$C$11))*('Dvd Calendar'!$M$2645&lt;=MAX(DATE(Summary!$C$12,12,31),Summary!$C$15))*('Dvd Calendar'!$M$2645&lt;=Summary!$C$11)=0,"",'Dvd Calendar'!$M$2645*1000000000+ISNUMBER('Dvd Calendar'!$M$2646)*100000000+('Dvd Calendar'!$M$2650='Field Check'!$C$25)*10000000+(N('Dvd Calendar'!$M$2644)&gt;0)*1000000+36*1000+9))</f>
        <v/>
      </c>
      <c r="L192" s="41">
        <f>IF(N('Dvd Calendar'!$N$2645)=0,"",IF(('Dvd Calendar'!$N$2645&gt;=MIN(DATE(Summary!$C$12,1,1),Summary!$C$11))*('Dvd Calendar'!$N$2645&lt;=MAX(DATE(Summary!$C$12,12,31),Summary!$C$15))*('Dvd Calendar'!$N$2645&lt;=Summary!$C$11)=0,"",'Dvd Calendar'!$N$2645*1000000000+ISNUMBER('Dvd Calendar'!$N$2646)*100000000+('Dvd Calendar'!$N$2650='Field Check'!$C$25)*10000000+(N('Dvd Calendar'!$N$2644)&gt;0)*1000000+36*1000+10))</f>
        <v/>
      </c>
      <c r="M192" s="41">
        <f>IF(N('Dvd Calendar'!$O$2645)=0,"",IF(('Dvd Calendar'!$O$2645&gt;=MIN(DATE(Summary!$C$12,1,1),Summary!$C$11))*('Dvd Calendar'!$O$2645&lt;=MAX(DATE(Summary!$C$12,12,31),Summary!$C$15))*('Dvd Calendar'!$O$2645&lt;=Summary!$C$11)=0,"",'Dvd Calendar'!$O$2645*1000000000+ISNUMBER('Dvd Calendar'!$O$2646)*100000000+('Dvd Calendar'!$O$2650='Field Check'!$C$25)*10000000+(N('Dvd Calendar'!$O$2644)&gt;0)*1000000+36*1000+11))</f>
        <v/>
      </c>
      <c r="N192" s="41">
        <f>IF(N('Dvd Calendar'!$P$2645)=0,"",IF(('Dvd Calendar'!$P$2645&gt;=MIN(DATE(Summary!$C$12,1,1),Summary!$C$11))*('Dvd Calendar'!$P$2645&lt;=MAX(DATE(Summary!$C$12,12,31),Summary!$C$15))*('Dvd Calendar'!$P$2645&lt;=Summary!$C$11)=0,"",'Dvd Calendar'!$P$2645*1000000000+ISNUMBER('Dvd Calendar'!$P$2646)*100000000+('Dvd Calendar'!$P$2650='Field Check'!$C$25)*10000000+(N('Dvd Calendar'!$P$2644)&gt;0)*1000000+36*1000+12))</f>
        <v/>
      </c>
      <c r="O192" s="41">
        <f>IF(N('Dvd Calendar'!$Q$2645)=0,"",IF(('Dvd Calendar'!$Q$2645&gt;=MIN(DATE(Summary!$C$12,1,1),Summary!$C$11))*('Dvd Calendar'!$Q$2645&lt;=MAX(DATE(Summary!$C$12,12,31),Summary!$C$15))*('Dvd Calendar'!$Q$2645&lt;=Summary!$C$11)=0,"",'Dvd Calendar'!$Q$2645*1000000000+ISNUMBER('Dvd Calendar'!$Q$2646)*100000000+('Dvd Calendar'!$Q$2650='Field Check'!$C$25)*10000000+(N('Dvd Calendar'!$Q$2644)&gt;0)*1000000+36*1000+13))</f>
        <v/>
      </c>
      <c r="P192" s="41">
        <f>IF(N('Dvd Calendar'!$R$2645)=0,"",IF(('Dvd Calendar'!$R$2645&gt;=MIN(DATE(Summary!$C$12,1,1),Summary!$C$11))*('Dvd Calendar'!$R$2645&lt;=MAX(DATE(Summary!$C$12,12,31),Summary!$C$15))*('Dvd Calendar'!$R$2645&lt;=Summary!$C$11)=0,"",'Dvd Calendar'!$R$2645*1000000000+ISNUMBER('Dvd Calendar'!$R$2646)*100000000+('Dvd Calendar'!$R$2650='Field Check'!$C$25)*10000000+(N('Dvd Calendar'!$R$2644)&gt;0)*1000000+36*1000+14))</f>
        <v/>
      </c>
      <c r="Q192" s="41">
        <f>IF(N('Dvd Calendar'!$S$2645)=0,"",IF(('Dvd Calendar'!$S$2645&gt;=MIN(DATE(Summary!$C$12,1,1),Summary!$C$11))*('Dvd Calendar'!$S$2645&lt;=MAX(DATE(Summary!$C$12,12,31),Summary!$C$15))*('Dvd Calendar'!$S$2645&lt;=Summary!$C$11)=0,"",'Dvd Calendar'!$S$2645*1000000000+ISNUMBER('Dvd Calendar'!$S$2646)*100000000+('Dvd Calendar'!$S$2650='Field Check'!$C$25)*10000000+(N('Dvd Calendar'!$S$2644)&gt;0)*1000000+36*1000+15))</f>
        <v/>
      </c>
      <c r="R192" s="41">
        <f>IF(N('Dvd Calendar'!$T$2645)=0,"",IF(('Dvd Calendar'!$T$2645&gt;=MIN(DATE(Summary!$C$12,1,1),Summary!$C$11))*('Dvd Calendar'!$T$2645&lt;=MAX(DATE(Summary!$C$12,12,31),Summary!$C$15))*('Dvd Calendar'!$T$2645&lt;=Summary!$C$11)=0,"",'Dvd Calendar'!$T$2645*1000000000+ISNUMBER('Dvd Calendar'!$T$2646)*100000000+('Dvd Calendar'!$T$2650='Field Check'!$C$25)*10000000+(N('Dvd Calendar'!$T$2644)&gt;0)*1000000+36*1000+16))</f>
        <v/>
      </c>
      <c r="S192" s="41">
        <f>IF(N('Dvd Calendar'!$U$2645)=0,"",IF(('Dvd Calendar'!$U$2645&gt;=MIN(DATE(Summary!$C$12,1,1),Summary!$C$11))*('Dvd Calendar'!$U$2645&lt;=MAX(DATE(Summary!$C$12,12,31),Summary!$C$15))*('Dvd Calendar'!$U$2645&lt;=Summary!$C$11)=0,"",'Dvd Calendar'!$U$2645*1000000000+ISNUMBER('Dvd Calendar'!$U$2646)*100000000+('Dvd Calendar'!$U$2650='Field Check'!$C$25)*10000000+(N('Dvd Calendar'!$U$2644)&gt;0)*1000000+36*1000+17))</f>
        <v/>
      </c>
      <c r="T192" s="41">
        <f>IF(N('Dvd Calendar'!$V$2645)=0,"",IF(('Dvd Calendar'!$V$2645&gt;=MIN(DATE(Summary!$C$12,1,1),Summary!$C$11))*('Dvd Calendar'!$V$2645&lt;=MAX(DATE(Summary!$C$12,12,31),Summary!$C$15))*('Dvd Calendar'!$V$2645&lt;=Summary!$C$11)=0,"",'Dvd Calendar'!$V$2645*1000000000+ISNUMBER('Dvd Calendar'!$V$2646)*100000000+('Dvd Calendar'!$V$2650='Field Check'!$C$25)*10000000+(N('Dvd Calendar'!$V$2644)&gt;0)*1000000+36*1000+18))</f>
        <v/>
      </c>
      <c r="U192" s="41">
        <f>IF(N('Dvd Calendar'!$W$2645)=0,"",IF(('Dvd Calendar'!$W$2645&gt;=MIN(DATE(Summary!$C$12,1,1),Summary!$C$11))*('Dvd Calendar'!$W$2645&lt;=MAX(DATE(Summary!$C$12,12,31),Summary!$C$15))*('Dvd Calendar'!$W$2645&lt;=Summary!$C$11)=0,"",'Dvd Calendar'!$W$2645*1000000000+ISNUMBER('Dvd Calendar'!$W$2646)*100000000+('Dvd Calendar'!$W$2650='Field Check'!$C$25)*10000000+(N('Dvd Calendar'!$W$2644)&gt;0)*1000000+36*1000+19))</f>
        <v/>
      </c>
      <c r="V192" s="41">
        <f>IF(N('Dvd Calendar'!$X$2645)=0,"",IF(('Dvd Calendar'!$X$2645&gt;=MIN(DATE(Summary!$C$12,1,1),Summary!$C$11))*('Dvd Calendar'!$X$2645&lt;=MAX(DATE(Summary!$C$12,12,31),Summary!$C$15))*('Dvd Calendar'!$X$2645&lt;=Summary!$C$11)=0,"",'Dvd Calendar'!$X$2645*1000000000+ISNUMBER('Dvd Calendar'!$X$2646)*100000000+('Dvd Calendar'!$X$2650='Field Check'!$C$25)*10000000+(N('Dvd Calendar'!$X$2644)&gt;0)*1000000+36*1000+20))</f>
        <v/>
      </c>
      <c r="W192" s="41">
        <f>IF(N('Dvd Calendar'!$Y$2645)=0,"",IF(('Dvd Calendar'!$Y$2645&gt;=MIN(DATE(Summary!$C$12,1,1),Summary!$C$11))*('Dvd Calendar'!$Y$2645&lt;=MAX(DATE(Summary!$C$12,12,31),Summary!$C$15))*('Dvd Calendar'!$Y$2645&lt;=Summary!$C$11)=0,"",'Dvd Calendar'!$Y$2645*1000000000+ISNUMBER('Dvd Calendar'!$Y$2646)*100000000+('Dvd Calendar'!$Y$2650='Field Check'!$C$25)*10000000+(N('Dvd Calendar'!$Y$2644)&gt;0)*1000000+36*1000+21))</f>
        <v/>
      </c>
      <c r="X192" s="41">
        <f>IF(N('Dvd Calendar'!$Z$2645)=0,"",IF(('Dvd Calendar'!$Z$2645&gt;=MIN(DATE(Summary!$C$12,1,1),Summary!$C$11))*('Dvd Calendar'!$Z$2645&lt;=MAX(DATE(Summary!$C$12,12,31),Summary!$C$15))*('Dvd Calendar'!$Z$2645&lt;=Summary!$C$11)=0,"",'Dvd Calendar'!$Z$2645*1000000000+ISNUMBER('Dvd Calendar'!$Z$2646)*100000000+('Dvd Calendar'!$Z$2650='Field Check'!$C$25)*10000000+(N('Dvd Calendar'!$Z$2644)&gt;0)*1000000+36*1000+22))</f>
        <v/>
      </c>
      <c r="Y192" s="41">
        <f>IF(N('Dvd Calendar'!$AA$2645)=0,"",IF(('Dvd Calendar'!$AA$2645&gt;=MIN(DATE(Summary!$C$12,1,1),Summary!$C$11))*('Dvd Calendar'!$AA$2645&lt;=MAX(DATE(Summary!$C$12,12,31),Summary!$C$15))*('Dvd Calendar'!$AA$2645&lt;=Summary!$C$11)=0,"",'Dvd Calendar'!$AA$2645*1000000000+ISNUMBER('Dvd Calendar'!$AA$2646)*100000000+('Dvd Calendar'!$AA$2650='Field Check'!$C$25)*10000000+(N('Dvd Calendar'!$AA$2644)&gt;0)*1000000+36*1000+23))</f>
        <v/>
      </c>
      <c r="Z192" s="41">
        <f>IF(N('Dvd Calendar'!$AB$2645)=0,"",IF(('Dvd Calendar'!$AB$2645&gt;=MIN(DATE(Summary!$C$12,1,1),Summary!$C$11))*('Dvd Calendar'!$AB$2645&lt;=MAX(DATE(Summary!$C$12,12,31),Summary!$C$15))*('Dvd Calendar'!$AB$2645&lt;=Summary!$C$11)=0,"",'Dvd Calendar'!$AB$2645*1000000000+ISNUMBER('Dvd Calendar'!$AB$2646)*100000000+('Dvd Calendar'!$AB$2650='Field Check'!$C$25)*10000000+(N('Dvd Calendar'!$AB$2644)&gt;0)*1000000+36*1000+24))</f>
        <v/>
      </c>
      <c r="AA192" s="41">
        <f>IF(N('Dvd Calendar'!$AC$2645)=0,"",IF(('Dvd Calendar'!$AC$2645&gt;=MIN(DATE(Summary!$C$12,1,1),Summary!$C$11))*('Dvd Calendar'!$AC$2645&lt;=MAX(DATE(Summary!$C$12,12,31),Summary!$C$15))*('Dvd Calendar'!$AC$2645&lt;=Summary!$C$11)=0,"",'Dvd Calendar'!$AC$2645*1000000000+ISNUMBER('Dvd Calendar'!$AC$2646)*100000000+('Dvd Calendar'!$AC$2650='Field Check'!$C$25)*10000000+(N('Dvd Calendar'!$AC$2644)&gt;0)*1000000+36*1000+25))</f>
        <v/>
      </c>
      <c r="AB192" s="41">
        <f>IF(N('Dvd Calendar'!$AD$2645)=0,"",IF(('Dvd Calendar'!$AD$2645&gt;=MIN(DATE(Summary!$C$12,1,1),Summary!$C$11))*('Dvd Calendar'!$AD$2645&lt;=MAX(DATE(Summary!$C$12,12,31),Summary!$C$15))*('Dvd Calendar'!$AD$2645&lt;=Summary!$C$11)=0,"",'Dvd Calendar'!$AD$2645*1000000000+ISNUMBER('Dvd Calendar'!$AD$2646)*100000000+('Dvd Calendar'!$AD$2650='Field Check'!$C$25)*10000000+(N('Dvd Calendar'!$AD$2644)&gt;0)*1000000+36*1000+26))</f>
        <v/>
      </c>
      <c r="AC192" s="41">
        <f>IF(N('Dvd Calendar'!$AE$2645)=0,"",IF(('Dvd Calendar'!$AE$2645&gt;=MIN(DATE(Summary!$C$12,1,1),Summary!$C$11))*('Dvd Calendar'!$AE$2645&lt;=MAX(DATE(Summary!$C$12,12,31),Summary!$C$15))*('Dvd Calendar'!$AE$2645&lt;=Summary!$C$11)=0,"",'Dvd Calendar'!$AE$2645*1000000000+ISNUMBER('Dvd Calendar'!$AE$2646)*100000000+('Dvd Calendar'!$AE$2650='Field Check'!$C$25)*10000000+(N('Dvd Calendar'!$AE$2644)&gt;0)*1000000+36*1000+27))</f>
        <v/>
      </c>
      <c r="AD192" s="41">
        <f>IF(N('Dvd Calendar'!$AF$2645)=0,"",IF(('Dvd Calendar'!$AF$2645&gt;=MIN(DATE(Summary!$C$12,1,1),Summary!$C$11))*('Dvd Calendar'!$AF$2645&lt;=MAX(DATE(Summary!$C$12,12,31),Summary!$C$15))*('Dvd Calendar'!$AF$2645&lt;=Summary!$C$11)=0,"",'Dvd Calendar'!$AF$2645*1000000000+ISNUMBER('Dvd Calendar'!$AF$2646)*100000000+('Dvd Calendar'!$AF$2650='Field Check'!$C$25)*10000000+(N('Dvd Calendar'!$AF$2644)&gt;0)*1000000+36*1000+28))</f>
        <v/>
      </c>
      <c r="AE192" s="41">
        <f>IF(N('Dvd Calendar'!$AG$2645)=0,"",IF(('Dvd Calendar'!$AG$2645&gt;=MIN(DATE(Summary!$C$12,1,1),Summary!$C$11))*('Dvd Calendar'!$AG$2645&lt;=MAX(DATE(Summary!$C$12,12,31),Summary!$C$15))*('Dvd Calendar'!$AG$2645&lt;=Summary!$C$11)=0,"",'Dvd Calendar'!$AG$2645*1000000000+ISNUMBER('Dvd Calendar'!$AG$2646)*100000000+('Dvd Calendar'!$AG$2650='Field Check'!$C$25)*10000000+(N('Dvd Calendar'!$AG$2644)&gt;0)*1000000+36*1000+29))</f>
        <v/>
      </c>
      <c r="AF192" s="41">
        <f>IF(N('Dvd Calendar'!$AH$2645)=0,"",IF(('Dvd Calendar'!$AH$2645&gt;=MIN(DATE(Summary!$C$12,1,1),Summary!$C$11))*('Dvd Calendar'!$AH$2645&lt;=MAX(DATE(Summary!$C$12,12,31),Summary!$C$15))*('Dvd Calendar'!$AH$2645&lt;=Summary!$C$11)=0,"",'Dvd Calendar'!$AH$2645*1000000000+ISNUMBER('Dvd Calendar'!$AH$2646)*100000000+('Dvd Calendar'!$AH$2650='Field Check'!$C$25)*10000000+(N('Dvd Calendar'!$AH$2644)&gt;0)*1000000+36*1000+30))</f>
        <v/>
      </c>
      <c r="AG192" s="41">
        <f>IF(N('Dvd Calendar'!$AI$2645)=0,"",IF(('Dvd Calendar'!$AI$2645&gt;=MIN(DATE(Summary!$C$12,1,1),Summary!$C$11))*('Dvd Calendar'!$AI$2645&lt;=MAX(DATE(Summary!$C$12,12,31),Summary!$C$15))*('Dvd Calendar'!$AI$2645&lt;=Summary!$C$11)=0,"",'Dvd Calendar'!$AI$2645*1000000000+ISNUMBER('Dvd Calendar'!$AI$2646)*100000000+('Dvd Calendar'!$AI$2650='Field Check'!$C$25)*10000000+(N('Dvd Calendar'!$AI$2644)&gt;0)*1000000+36*1000+31))</f>
        <v/>
      </c>
      <c r="AH192" s="41">
        <f>IF(N('Dvd Calendar'!$AJ$2645)=0,"",IF(('Dvd Calendar'!$AJ$2645&gt;=MIN(DATE(Summary!$C$12,1,1),Summary!$C$11))*('Dvd Calendar'!$AJ$2645&lt;=MAX(DATE(Summary!$C$12,12,31),Summary!$C$15))*('Dvd Calendar'!$AJ$2645&lt;=Summary!$C$11)=0,"",'Dvd Calendar'!$AJ$2645*1000000000+ISNUMBER('Dvd Calendar'!$AJ$2646)*100000000+('Dvd Calendar'!$AJ$2650='Field Check'!$C$25)*10000000+(N('Dvd Calendar'!$AJ$2644)&gt;0)*1000000+36*1000+32))</f>
        <v/>
      </c>
      <c r="AI192" s="41">
        <f>IF(N('Dvd Calendar'!$AK$2645)=0,"",IF(('Dvd Calendar'!$AK$2645&gt;=MIN(DATE(Summary!$C$12,1,1),Summary!$C$11))*('Dvd Calendar'!$AK$2645&lt;=MAX(DATE(Summary!$C$12,12,31),Summary!$C$15))*('Dvd Calendar'!$AK$2645&lt;=Summary!$C$11)=0,"",'Dvd Calendar'!$AK$2645*1000000000+ISNUMBER('Dvd Calendar'!$AK$2646)*100000000+('Dvd Calendar'!$AK$2650='Field Check'!$C$25)*10000000+(N('Dvd Calendar'!$AK$2644)&gt;0)*1000000+36*1000+33))</f>
        <v/>
      </c>
      <c r="AJ192" s="41">
        <f>IF(N('Dvd Calendar'!$AL$2645)=0,"",IF(('Dvd Calendar'!$AL$2645&gt;=MIN(DATE(Summary!$C$12,1,1),Summary!$C$11))*('Dvd Calendar'!$AL$2645&lt;=MAX(DATE(Summary!$C$12,12,31),Summary!$C$15))*('Dvd Calendar'!$AL$2645&lt;=Summary!$C$11)=0,"",'Dvd Calendar'!$AL$2645*1000000000+ISNUMBER('Dvd Calendar'!$AL$2646)*100000000+('Dvd Calendar'!$AL$2650='Field Check'!$C$25)*10000000+(N('Dvd Calendar'!$AL$2644)&gt;0)*1000000+36*1000+34))</f>
        <v/>
      </c>
      <c r="AK192" s="41">
        <f>IF(N('Dvd Calendar'!$AM$2645)=0,"",IF(('Dvd Calendar'!$AM$2645&gt;=MIN(DATE(Summary!$C$12,1,1),Summary!$C$11))*('Dvd Calendar'!$AM$2645&lt;=MAX(DATE(Summary!$C$12,12,31),Summary!$C$15))*('Dvd Calendar'!$AM$2645&lt;=Summary!$C$11)=0,"",'Dvd Calendar'!$AM$2645*1000000000+ISNUMBER('Dvd Calendar'!$AM$2646)*100000000+('Dvd Calendar'!$AM$2650='Field Check'!$C$25)*10000000+(N('Dvd Calendar'!$AM$2644)&gt;0)*1000000+36*1000+35))</f>
        <v/>
      </c>
      <c r="AL192" s="41">
        <f>IF(N('Dvd Calendar'!$AN$2645)=0,"",IF(('Dvd Calendar'!$AN$2645&gt;=MIN(DATE(Summary!$C$12,1,1),Summary!$C$11))*('Dvd Calendar'!$AN$2645&lt;=MAX(DATE(Summary!$C$12,12,31),Summary!$C$15))*('Dvd Calendar'!$AN$2645&lt;=Summary!$C$11)=0,"",'Dvd Calendar'!$AN$2645*1000000000+ISNUMBER('Dvd Calendar'!$AN$2646)*100000000+('Dvd Calendar'!$AN$2650='Field Check'!$C$25)*10000000+(N('Dvd Calendar'!$AN$2644)&gt;0)*1000000+36*1000+36))</f>
        <v/>
      </c>
      <c r="AM192" s="41">
        <f>IF(N('Dvd Calendar'!$AO$2645)=0,"",IF(('Dvd Calendar'!$AO$2645&gt;=MIN(DATE(Summary!$C$12,1,1),Summary!$C$11))*('Dvd Calendar'!$AO$2645&lt;=MAX(DATE(Summary!$C$12,12,31),Summary!$C$15))*('Dvd Calendar'!$AO$2645&lt;=Summary!$C$11)=0,"",'Dvd Calendar'!$AO$2645*1000000000+ISNUMBER('Dvd Calendar'!$AO$2646)*100000000+('Dvd Calendar'!$AO$2650='Field Check'!$C$25)*10000000+(N('Dvd Calendar'!$AO$2644)&gt;0)*1000000+36*1000+37))</f>
        <v/>
      </c>
      <c r="AN192" s="41">
        <f>IF(N('Dvd Calendar'!$AP$2645)=0,"",IF(('Dvd Calendar'!$AP$2645&gt;=MIN(DATE(Summary!$C$12,1,1),Summary!$C$11))*('Dvd Calendar'!$AP$2645&lt;=MAX(DATE(Summary!$C$12,12,31),Summary!$C$15))*('Dvd Calendar'!$AP$2645&lt;=Summary!$C$11)=0,"",'Dvd Calendar'!$AP$2645*1000000000+ISNUMBER('Dvd Calendar'!$AP$2646)*100000000+('Dvd Calendar'!$AP$2650='Field Check'!$C$25)*10000000+(N('Dvd Calendar'!$AP$2644)&gt;0)*1000000+36*1000+38))</f>
        <v/>
      </c>
      <c r="AO192" s="41">
        <f>IF(N('Dvd Calendar'!$AQ$2645)=0,"",IF(('Dvd Calendar'!$AQ$2645&gt;=MIN(DATE(Summary!$C$12,1,1),Summary!$C$11))*('Dvd Calendar'!$AQ$2645&lt;=MAX(DATE(Summary!$C$12,12,31),Summary!$C$15))*('Dvd Calendar'!$AQ$2645&lt;=Summary!$C$11)=0,"",'Dvd Calendar'!$AQ$2645*1000000000+ISNUMBER('Dvd Calendar'!$AQ$2646)*100000000+('Dvd Calendar'!$AQ$2650='Field Check'!$C$25)*10000000+(N('Dvd Calendar'!$AQ$2644)&gt;0)*1000000+36*1000+39))</f>
        <v/>
      </c>
      <c r="AP192" s="41">
        <f>IF(N('Dvd Calendar'!$AR$2645)=0,"",IF(('Dvd Calendar'!$AR$2645&gt;=MIN(DATE(Summary!$C$12,1,1),Summary!$C$11))*('Dvd Calendar'!$AR$2645&lt;=MAX(DATE(Summary!$C$12,12,31),Summary!$C$15))*('Dvd Calendar'!$AR$2645&lt;=Summary!$C$11)=0,"",'Dvd Calendar'!$AR$2645*1000000000+ISNUMBER('Dvd Calendar'!$AR$2646)*100000000+('Dvd Calendar'!$AR$2650='Field Check'!$C$25)*10000000+(N('Dvd Calendar'!$AR$2644)&gt;0)*1000000+36*1000+40))</f>
        <v/>
      </c>
      <c r="AQ192" s="41">
        <f>IF(N('Dvd Calendar'!$E$2652)=0,"",IF(('Dvd Calendar'!$E$2652&gt;=MIN(DATE(Summary!$C$12,1,1),Summary!$C$11))*('Dvd Calendar'!$E$2652&lt;=MAX(DATE(Summary!$C$12,12,31),Summary!$C$15))*('Dvd Calendar'!$E$2652&gt;Summary!$C$11)=0,"",'Dvd Calendar'!$E$2652*1000000000+ISNUMBER('Dvd Calendar'!$E$2653)*100000000+('Dvd Calendar'!$E$2657='Field Check'!$C$25)*10000000+(N('Dvd Calendar'!$E$2651)&gt;0)*1000000+36*1000+41))</f>
        <v/>
      </c>
      <c r="AR192" s="41">
        <f>IF(N('Dvd Calendar'!$F$2652)=0,"",IF(('Dvd Calendar'!$F$2652&gt;=MIN(DATE(Summary!$C$12,1,1),Summary!$C$11))*('Dvd Calendar'!$F$2652&lt;=MAX(DATE(Summary!$C$12,12,31),Summary!$C$15))*('Dvd Calendar'!$F$2652&gt;Summary!$C$11)=0,"",'Dvd Calendar'!$F$2652*1000000000+ISNUMBER('Dvd Calendar'!$F$2653)*100000000+('Dvd Calendar'!$F$2657='Field Check'!$C$25)*10000000+(N('Dvd Calendar'!$F$2651)&gt;0)*1000000+36*1000+42))</f>
        <v/>
      </c>
      <c r="AS192" s="41">
        <f>IF(N('Dvd Calendar'!$G$2652)=0,"",IF(('Dvd Calendar'!$G$2652&gt;=MIN(DATE(Summary!$C$12,1,1),Summary!$C$11))*('Dvd Calendar'!$G$2652&lt;=MAX(DATE(Summary!$C$12,12,31),Summary!$C$15))*('Dvd Calendar'!$G$2652&gt;Summary!$C$11)=0,"",'Dvd Calendar'!$G$2652*1000000000+ISNUMBER('Dvd Calendar'!$G$2653)*100000000+('Dvd Calendar'!$G$2657='Field Check'!$C$25)*10000000+(N('Dvd Calendar'!$G$2651)&gt;0)*1000000+36*1000+43))</f>
        <v/>
      </c>
      <c r="AT192" s="41">
        <f>IF(N('Dvd Calendar'!$H$2652)=0,"",IF(('Dvd Calendar'!$H$2652&gt;=MIN(DATE(Summary!$C$12,1,1),Summary!$C$11))*('Dvd Calendar'!$H$2652&lt;=MAX(DATE(Summary!$C$12,12,31),Summary!$C$15))*('Dvd Calendar'!$H$2652&gt;Summary!$C$11)=0,"",'Dvd Calendar'!$H$2652*1000000000+ISNUMBER('Dvd Calendar'!$H$2653)*100000000+('Dvd Calendar'!$H$2657='Field Check'!$C$25)*10000000+(N('Dvd Calendar'!$H$2651)&gt;0)*1000000+36*1000+44))</f>
        <v/>
      </c>
      <c r="AU192" s="41">
        <f>IF(N('Dvd Calendar'!$I$2652)=0,"",IF(('Dvd Calendar'!$I$2652&gt;=MIN(DATE(Summary!$C$12,1,1),Summary!$C$11))*('Dvd Calendar'!$I$2652&lt;=MAX(DATE(Summary!$C$12,12,31),Summary!$C$15))*('Dvd Calendar'!$I$2652&gt;Summary!$C$11)=0,"",'Dvd Calendar'!$I$2652*1000000000+ISNUMBER('Dvd Calendar'!$I$2653)*100000000+('Dvd Calendar'!$I$2657='Field Check'!$C$25)*10000000+(N('Dvd Calendar'!$I$2651)&gt;0)*1000000+36*1000+45))</f>
        <v/>
      </c>
      <c r="AV192" s="41">
        <f>IF(N('Dvd Calendar'!$J$2652)=0,"",IF(('Dvd Calendar'!$J$2652&gt;=MIN(DATE(Summary!$C$12,1,1),Summary!$C$11))*('Dvd Calendar'!$J$2652&lt;=MAX(DATE(Summary!$C$12,12,31),Summary!$C$15))*('Dvd Calendar'!$J$2652&gt;Summary!$C$11)=0,"",'Dvd Calendar'!$J$2652*1000000000+ISNUMBER('Dvd Calendar'!$J$2653)*100000000+('Dvd Calendar'!$J$2657='Field Check'!$C$25)*10000000+(N('Dvd Calendar'!$J$2651)&gt;0)*1000000+36*1000+46))</f>
        <v/>
      </c>
      <c r="AW192" s="41">
        <f>IF(N('Dvd Calendar'!$K$2652)=0,"",IF(('Dvd Calendar'!$K$2652&gt;=MIN(DATE(Summary!$C$12,1,1),Summary!$C$11))*('Dvd Calendar'!$K$2652&lt;=MAX(DATE(Summary!$C$12,12,31),Summary!$C$15))*('Dvd Calendar'!$K$2652&gt;Summary!$C$11)=0,"",'Dvd Calendar'!$K$2652*1000000000+ISNUMBER('Dvd Calendar'!$K$2653)*100000000+('Dvd Calendar'!$K$2657='Field Check'!$C$25)*10000000+(N('Dvd Calendar'!$K$2651)&gt;0)*1000000+36*1000+47))</f>
        <v/>
      </c>
      <c r="AX192" s="41">
        <f>IF(N('Dvd Calendar'!$L$2652)=0,"",IF(('Dvd Calendar'!$L$2652&gt;=MIN(DATE(Summary!$C$12,1,1),Summary!$C$11))*('Dvd Calendar'!$L$2652&lt;=MAX(DATE(Summary!$C$12,12,31),Summary!$C$15))*('Dvd Calendar'!$L$2652&gt;Summary!$C$11)=0,"",'Dvd Calendar'!$L$2652*1000000000+ISNUMBER('Dvd Calendar'!$L$2653)*100000000+('Dvd Calendar'!$L$2657='Field Check'!$C$25)*10000000+(N('Dvd Calendar'!$L$2651)&gt;0)*1000000+36*1000+48))</f>
        <v/>
      </c>
      <c r="AY192" s="41">
        <f>IF(N('Dvd Calendar'!$M$2652)=0,"",IF(('Dvd Calendar'!$M$2652&gt;=MIN(DATE(Summary!$C$12,1,1),Summary!$C$11))*('Dvd Calendar'!$M$2652&lt;=MAX(DATE(Summary!$C$12,12,31),Summary!$C$15))*('Dvd Calendar'!$M$2652&gt;Summary!$C$11)=0,"",'Dvd Calendar'!$M$2652*1000000000+ISNUMBER('Dvd Calendar'!$M$2653)*100000000+('Dvd Calendar'!$M$2657='Field Check'!$C$25)*10000000+(N('Dvd Calendar'!$M$2651)&gt;0)*1000000+36*1000+49))</f>
        <v/>
      </c>
      <c r="AZ192" s="41">
        <f>IF(N('Dvd Calendar'!$N$2652)=0,"",IF(('Dvd Calendar'!$N$2652&gt;=MIN(DATE(Summary!$C$12,1,1),Summary!$C$11))*('Dvd Calendar'!$N$2652&lt;=MAX(DATE(Summary!$C$12,12,31),Summary!$C$15))*('Dvd Calendar'!$N$2652&gt;Summary!$C$11)=0,"",'Dvd Calendar'!$N$2652*1000000000+ISNUMBER('Dvd Calendar'!$N$2653)*100000000+('Dvd Calendar'!$N$2657='Field Check'!$C$25)*10000000+(N('Dvd Calendar'!$N$2651)&gt;0)*1000000+36*1000+50))</f>
        <v/>
      </c>
      <c r="BA192" s="41">
        <f>IF(N('Dvd Calendar'!$O$2652)=0,"",IF(('Dvd Calendar'!$O$2652&gt;=MIN(DATE(Summary!$C$12,1,1),Summary!$C$11))*('Dvd Calendar'!$O$2652&lt;=MAX(DATE(Summary!$C$12,12,31),Summary!$C$15))*('Dvd Calendar'!$O$2652&gt;Summary!$C$11)=0,"",'Dvd Calendar'!$O$2652*1000000000+ISNUMBER('Dvd Calendar'!$O$2653)*100000000+('Dvd Calendar'!$O$2657='Field Check'!$C$25)*10000000+(N('Dvd Calendar'!$O$2651)&gt;0)*1000000+36*1000+51))</f>
        <v/>
      </c>
      <c r="BB192" s="41">
        <f>IF(N('Dvd Calendar'!$P$2652)=0,"",IF(('Dvd Calendar'!$P$2652&gt;=MIN(DATE(Summary!$C$12,1,1),Summary!$C$11))*('Dvd Calendar'!$P$2652&lt;=MAX(DATE(Summary!$C$12,12,31),Summary!$C$15))*('Dvd Calendar'!$P$2652&gt;Summary!$C$11)=0,"",'Dvd Calendar'!$P$2652*1000000000+ISNUMBER('Dvd Calendar'!$P$2653)*100000000+('Dvd Calendar'!$P$2657='Field Check'!$C$25)*10000000+(N('Dvd Calendar'!$P$2651)&gt;0)*1000000+36*1000+52))</f>
        <v/>
      </c>
      <c r="BC192" s="41">
        <f>IF(N('Dvd Calendar'!$Q$2652)=0,"",IF(('Dvd Calendar'!$Q$2652&gt;=MIN(DATE(Summary!$C$12,1,1),Summary!$C$11))*('Dvd Calendar'!$Q$2652&lt;=MAX(DATE(Summary!$C$12,12,31),Summary!$C$15))*('Dvd Calendar'!$Q$2652&gt;Summary!$C$11)=0,"",'Dvd Calendar'!$Q$2652*1000000000+ISNUMBER('Dvd Calendar'!$Q$2653)*100000000+('Dvd Calendar'!$Q$2657='Field Check'!$C$25)*10000000+(N('Dvd Calendar'!$Q$2651)&gt;0)*1000000+36*1000+53))</f>
        <v/>
      </c>
      <c r="BD192" s="41">
        <f>IF(N('Dvd Calendar'!$R$2652)=0,"",IF(('Dvd Calendar'!$R$2652&gt;=MIN(DATE(Summary!$C$12,1,1),Summary!$C$11))*('Dvd Calendar'!$R$2652&lt;=MAX(DATE(Summary!$C$12,12,31),Summary!$C$15))*('Dvd Calendar'!$R$2652&gt;Summary!$C$11)=0,"",'Dvd Calendar'!$R$2652*1000000000+ISNUMBER('Dvd Calendar'!$R$2653)*100000000+('Dvd Calendar'!$R$2657='Field Check'!$C$25)*10000000+(N('Dvd Calendar'!$R$2651)&gt;0)*1000000+36*1000+54))</f>
        <v/>
      </c>
      <c r="BE192" s="41">
        <f>IF(N('Dvd Calendar'!$S$2652)=0,"",IF(('Dvd Calendar'!$S$2652&gt;=MIN(DATE(Summary!$C$12,1,1),Summary!$C$11))*('Dvd Calendar'!$S$2652&lt;=MAX(DATE(Summary!$C$12,12,31),Summary!$C$15))*('Dvd Calendar'!$S$2652&gt;Summary!$C$11)=0,"",'Dvd Calendar'!$S$2652*1000000000+ISNUMBER('Dvd Calendar'!$S$2653)*100000000+('Dvd Calendar'!$S$2657='Field Check'!$C$25)*10000000+(N('Dvd Calendar'!$S$2651)&gt;0)*1000000+36*1000+55))</f>
        <v/>
      </c>
      <c r="BF192" s="41">
        <f>IF(N('Dvd Calendar'!$T$2652)=0,"",IF(('Dvd Calendar'!$T$2652&gt;=MIN(DATE(Summary!$C$12,1,1),Summary!$C$11))*('Dvd Calendar'!$T$2652&lt;=MAX(DATE(Summary!$C$12,12,31),Summary!$C$15))*('Dvd Calendar'!$T$2652&gt;Summary!$C$11)=0,"",'Dvd Calendar'!$T$2652*1000000000+ISNUMBER('Dvd Calendar'!$T$2653)*100000000+('Dvd Calendar'!$T$2657='Field Check'!$C$25)*10000000+(N('Dvd Calendar'!$T$2651)&gt;0)*1000000+36*1000+56))</f>
        <v/>
      </c>
      <c r="BG192" s="41">
        <f>IF(N('Dvd Calendar'!$U$2652)=0,"",IF(('Dvd Calendar'!$U$2652&gt;=MIN(DATE(Summary!$C$12,1,1),Summary!$C$11))*('Dvd Calendar'!$U$2652&lt;=MAX(DATE(Summary!$C$12,12,31),Summary!$C$15))*('Dvd Calendar'!$U$2652&gt;Summary!$C$11)=0,"",'Dvd Calendar'!$U$2652*1000000000+ISNUMBER('Dvd Calendar'!$U$2653)*100000000+('Dvd Calendar'!$U$2657='Field Check'!$C$25)*10000000+(N('Dvd Calendar'!$U$2651)&gt;0)*1000000+36*1000+57))</f>
        <v/>
      </c>
      <c r="BH192" s="41">
        <f>IF(N('Dvd Calendar'!$V$2652)=0,"",IF(('Dvd Calendar'!$V$2652&gt;=MIN(DATE(Summary!$C$12,1,1),Summary!$C$11))*('Dvd Calendar'!$V$2652&lt;=MAX(DATE(Summary!$C$12,12,31),Summary!$C$15))*('Dvd Calendar'!$V$2652&gt;Summary!$C$11)=0,"",'Dvd Calendar'!$V$2652*1000000000+ISNUMBER('Dvd Calendar'!$V$2653)*100000000+('Dvd Calendar'!$V$2657='Field Check'!$C$25)*10000000+(N('Dvd Calendar'!$V$2651)&gt;0)*1000000+36*1000+58))</f>
        <v/>
      </c>
      <c r="BI192" s="41">
        <f>IF(N('Dvd Calendar'!$W$2652)=0,"",IF(('Dvd Calendar'!$W$2652&gt;=MIN(DATE(Summary!$C$12,1,1),Summary!$C$11))*('Dvd Calendar'!$W$2652&lt;=MAX(DATE(Summary!$C$12,12,31),Summary!$C$15))*('Dvd Calendar'!$W$2652&gt;Summary!$C$11)=0,"",'Dvd Calendar'!$W$2652*1000000000+ISNUMBER('Dvd Calendar'!$W$2653)*100000000+('Dvd Calendar'!$W$2657='Field Check'!$C$25)*10000000+(N('Dvd Calendar'!$W$2651)&gt;0)*1000000+36*1000+59))</f>
        <v/>
      </c>
      <c r="BJ192" s="41">
        <f>IF(N('Dvd Calendar'!$X$2652)=0,"",IF(('Dvd Calendar'!$X$2652&gt;=MIN(DATE(Summary!$C$12,1,1),Summary!$C$11))*('Dvd Calendar'!$X$2652&lt;=MAX(DATE(Summary!$C$12,12,31),Summary!$C$15))*('Dvd Calendar'!$X$2652&gt;Summary!$C$11)=0,"",'Dvd Calendar'!$X$2652*1000000000+ISNUMBER('Dvd Calendar'!$X$2653)*100000000+('Dvd Calendar'!$X$2657='Field Check'!$C$25)*10000000+(N('Dvd Calendar'!$X$2651)&gt;0)*1000000+36*1000+60))</f>
        <v/>
      </c>
      <c r="BK192" s="41">
        <f>IF(N('Dvd Calendar'!$Y$2652)=0,"",IF(('Dvd Calendar'!$Y$2652&gt;=MIN(DATE(Summary!$C$12,1,1),Summary!$C$11))*('Dvd Calendar'!$Y$2652&lt;=MAX(DATE(Summary!$C$12,12,31),Summary!$C$15))*('Dvd Calendar'!$Y$2652&gt;Summary!$C$11)=0,"",'Dvd Calendar'!$Y$2652*1000000000+ISNUMBER('Dvd Calendar'!$Y$2653)*100000000+('Dvd Calendar'!$Y$2657='Field Check'!$C$25)*10000000+(N('Dvd Calendar'!$Y$2651)&gt;0)*1000000+36*1000+61))</f>
        <v/>
      </c>
      <c r="BL192" s="41">
        <f>IF(N('Dvd Calendar'!$Z$2652)=0,"",IF(('Dvd Calendar'!$Z$2652&gt;=MIN(DATE(Summary!$C$12,1,1),Summary!$C$11))*('Dvd Calendar'!$Z$2652&lt;=MAX(DATE(Summary!$C$12,12,31),Summary!$C$15))*('Dvd Calendar'!$Z$2652&gt;Summary!$C$11)=0,"",'Dvd Calendar'!$Z$2652*1000000000+ISNUMBER('Dvd Calendar'!$Z$2653)*100000000+('Dvd Calendar'!$Z$2657='Field Check'!$C$25)*10000000+(N('Dvd Calendar'!$Z$2651)&gt;0)*1000000+36*1000+62))</f>
        <v/>
      </c>
      <c r="BM192" s="41">
        <f>IF(N('Dvd Calendar'!$AA$2652)=0,"",IF(('Dvd Calendar'!$AA$2652&gt;=MIN(DATE(Summary!$C$12,1,1),Summary!$C$11))*('Dvd Calendar'!$AA$2652&lt;=MAX(DATE(Summary!$C$12,12,31),Summary!$C$15))*('Dvd Calendar'!$AA$2652&gt;Summary!$C$11)=0,"",'Dvd Calendar'!$AA$2652*1000000000+ISNUMBER('Dvd Calendar'!$AA$2653)*100000000+('Dvd Calendar'!$AA$2657='Field Check'!$C$25)*10000000+(N('Dvd Calendar'!$AA$2651)&gt;0)*1000000+36*1000+63))</f>
        <v/>
      </c>
      <c r="BN192" s="41">
        <f>IF(N('Dvd Calendar'!$AB$2652)=0,"",IF(('Dvd Calendar'!$AB$2652&gt;=MIN(DATE(Summary!$C$12,1,1),Summary!$C$11))*('Dvd Calendar'!$AB$2652&lt;=MAX(DATE(Summary!$C$12,12,31),Summary!$C$15))*('Dvd Calendar'!$AB$2652&gt;Summary!$C$11)=0,"",'Dvd Calendar'!$AB$2652*1000000000+ISNUMBER('Dvd Calendar'!$AB$2653)*100000000+('Dvd Calendar'!$AB$2657='Field Check'!$C$25)*10000000+(N('Dvd Calendar'!$AB$2651)&gt;0)*1000000+36*1000+64))</f>
        <v/>
      </c>
      <c r="BO192" s="41">
        <f>IF(N('Dvd Calendar'!$AC$2652)=0,"",IF(('Dvd Calendar'!$AC$2652&gt;=MIN(DATE(Summary!$C$12,1,1),Summary!$C$11))*('Dvd Calendar'!$AC$2652&lt;=MAX(DATE(Summary!$C$12,12,31),Summary!$C$15))*('Dvd Calendar'!$AC$2652&gt;Summary!$C$11)=0,"",'Dvd Calendar'!$AC$2652*1000000000+ISNUMBER('Dvd Calendar'!$AC$2653)*100000000+('Dvd Calendar'!$AC$2657='Field Check'!$C$25)*10000000+(N('Dvd Calendar'!$AC$2651)&gt;0)*1000000+36*1000+65))</f>
        <v/>
      </c>
      <c r="BQ192" s="85">
        <f>IF(C192="","",IF(ISNUMBER('Dvd Calendar'!$E$2646)=FALSE,"",IF((Summary!$C$13="N")*('Dvd Calendar'!$E$2650='Field Check'!$C$25)&gt;0,"",'Dvd Calendar'!$E$2646)))</f>
        <v/>
      </c>
      <c r="BR192" s="85">
        <f>IF(D192="","",IF(ISNUMBER('Dvd Calendar'!$F$2646)=FALSE,"",IF((Summary!$C$13="N")*('Dvd Calendar'!$F$2650='Field Check'!$C$25)&gt;0,"",'Dvd Calendar'!$F$2646)))</f>
        <v/>
      </c>
      <c r="BS192" s="85">
        <f>IF(E192="","",IF(ISNUMBER('Dvd Calendar'!$G$2646)=FALSE,"",IF((Summary!$C$13="N")*('Dvd Calendar'!$G$2650='Field Check'!$C$25)&gt;0,"",'Dvd Calendar'!$G$2646)))</f>
        <v/>
      </c>
      <c r="BT192" s="85">
        <f>IF(F192="","",IF(ISNUMBER('Dvd Calendar'!$H$2646)=FALSE,"",IF((Summary!$C$13="N")*('Dvd Calendar'!$H$2650='Field Check'!$C$25)&gt;0,"",'Dvd Calendar'!$H$2646)))</f>
        <v/>
      </c>
      <c r="BU192" s="85">
        <f>IF(G192="","",IF(ISNUMBER('Dvd Calendar'!$I$2646)=FALSE,"",IF((Summary!$C$13="N")*('Dvd Calendar'!$I$2650='Field Check'!$C$25)&gt;0,"",'Dvd Calendar'!$I$2646)))</f>
        <v/>
      </c>
      <c r="BV192" s="85">
        <f>IF(H192="","",IF(ISNUMBER('Dvd Calendar'!$J$2646)=FALSE,"",IF((Summary!$C$13="N")*('Dvd Calendar'!$J$2650='Field Check'!$C$25)&gt;0,"",'Dvd Calendar'!$J$2646)))</f>
        <v/>
      </c>
      <c r="BW192" s="85">
        <f>IF(I192="","",IF(ISNUMBER('Dvd Calendar'!$K$2646)=FALSE,"",IF((Summary!$C$13="N")*('Dvd Calendar'!$K$2650='Field Check'!$C$25)&gt;0,"",'Dvd Calendar'!$K$2646)))</f>
        <v/>
      </c>
      <c r="BX192" s="85">
        <f>IF(J192="","",IF(ISNUMBER('Dvd Calendar'!$L$2646)=FALSE,"",IF((Summary!$C$13="N")*('Dvd Calendar'!$L$2650='Field Check'!$C$25)&gt;0,"",'Dvd Calendar'!$L$2646)))</f>
        <v/>
      </c>
      <c r="BY192" s="85">
        <f>IF(K192="","",IF(ISNUMBER('Dvd Calendar'!$M$2646)=FALSE,"",IF((Summary!$C$13="N")*('Dvd Calendar'!$M$2650='Field Check'!$C$25)&gt;0,"",'Dvd Calendar'!$M$2646)))</f>
        <v/>
      </c>
      <c r="BZ192" s="85">
        <f>IF(L192="","",IF(ISNUMBER('Dvd Calendar'!$N$2646)=FALSE,"",IF((Summary!$C$13="N")*('Dvd Calendar'!$N$2650='Field Check'!$C$25)&gt;0,"",'Dvd Calendar'!$N$2646)))</f>
        <v/>
      </c>
      <c r="CA192" s="85">
        <f>IF(M192="","",IF(ISNUMBER('Dvd Calendar'!$O$2646)=FALSE,"",IF((Summary!$C$13="N")*('Dvd Calendar'!$O$2650='Field Check'!$C$25)&gt;0,"",'Dvd Calendar'!$O$2646)))</f>
        <v/>
      </c>
      <c r="CB192" s="85">
        <f>IF(N192="","",IF(ISNUMBER('Dvd Calendar'!$P$2646)=FALSE,"",IF((Summary!$C$13="N")*('Dvd Calendar'!$P$2650='Field Check'!$C$25)&gt;0,"",'Dvd Calendar'!$P$2646)))</f>
        <v/>
      </c>
      <c r="CC192" s="85">
        <f>IF(O192="","",IF(ISNUMBER('Dvd Calendar'!$Q$2646)=FALSE,"",IF((Summary!$C$13="N")*('Dvd Calendar'!$Q$2650='Field Check'!$C$25)&gt;0,"",'Dvd Calendar'!$Q$2646)))</f>
        <v/>
      </c>
      <c r="CD192" s="85">
        <f>IF(P192="","",IF(ISNUMBER('Dvd Calendar'!$R$2646)=FALSE,"",IF((Summary!$C$13="N")*('Dvd Calendar'!$R$2650='Field Check'!$C$25)&gt;0,"",'Dvd Calendar'!$R$2646)))</f>
        <v/>
      </c>
      <c r="CE192" s="85">
        <f>IF(Q192="","",IF(ISNUMBER('Dvd Calendar'!$S$2646)=FALSE,"",IF((Summary!$C$13="N")*('Dvd Calendar'!$S$2650='Field Check'!$C$25)&gt;0,"",'Dvd Calendar'!$S$2646)))</f>
        <v/>
      </c>
      <c r="CF192" s="85">
        <f>IF(R192="","",IF(ISNUMBER('Dvd Calendar'!$T$2646)=FALSE,"",IF((Summary!$C$13="N")*('Dvd Calendar'!$T$2650='Field Check'!$C$25)&gt;0,"",'Dvd Calendar'!$T$2646)))</f>
        <v/>
      </c>
      <c r="CG192" s="85">
        <f>IF(S192="","",IF(ISNUMBER('Dvd Calendar'!$U$2646)=FALSE,"",IF((Summary!$C$13="N")*('Dvd Calendar'!$U$2650='Field Check'!$C$25)&gt;0,"",'Dvd Calendar'!$U$2646)))</f>
        <v/>
      </c>
      <c r="CH192" s="85">
        <f>IF(T192="","",IF(ISNUMBER('Dvd Calendar'!$V$2646)=FALSE,"",IF((Summary!$C$13="N")*('Dvd Calendar'!$V$2650='Field Check'!$C$25)&gt;0,"",'Dvd Calendar'!$V$2646)))</f>
        <v/>
      </c>
      <c r="CI192" s="85">
        <f>IF(U192="","",IF(ISNUMBER('Dvd Calendar'!$W$2646)=FALSE,"",IF((Summary!$C$13="N")*('Dvd Calendar'!$W$2650='Field Check'!$C$25)&gt;0,"",'Dvd Calendar'!$W$2646)))</f>
        <v/>
      </c>
      <c r="CJ192" s="85">
        <f>IF(V192="","",IF(ISNUMBER('Dvd Calendar'!$X$2646)=FALSE,"",IF((Summary!$C$13="N")*('Dvd Calendar'!$X$2650='Field Check'!$C$25)&gt;0,"",'Dvd Calendar'!$X$2646)))</f>
        <v/>
      </c>
      <c r="CK192" s="85">
        <f>IF(W192="","",IF(ISNUMBER('Dvd Calendar'!$Y$2646)=FALSE,"",IF((Summary!$C$13="N")*('Dvd Calendar'!$Y$2650='Field Check'!$C$25)&gt;0,"",'Dvd Calendar'!$Y$2646)))</f>
        <v/>
      </c>
      <c r="CL192" s="85">
        <f>IF(X192="","",IF(ISNUMBER('Dvd Calendar'!$Z$2646)=FALSE,"",IF((Summary!$C$13="N")*('Dvd Calendar'!$Z$2650='Field Check'!$C$25)&gt;0,"",'Dvd Calendar'!$Z$2646)))</f>
        <v/>
      </c>
      <c r="CM192" s="85">
        <f>IF(Y192="","",IF(ISNUMBER('Dvd Calendar'!$AA$2646)=FALSE,"",IF((Summary!$C$13="N")*('Dvd Calendar'!$AA$2650='Field Check'!$C$25)&gt;0,"",'Dvd Calendar'!$AA$2646)))</f>
        <v/>
      </c>
      <c r="CN192" s="85">
        <f>IF(Z192="","",IF(ISNUMBER('Dvd Calendar'!$AB$2646)=FALSE,"",IF((Summary!$C$13="N")*('Dvd Calendar'!$AB$2650='Field Check'!$C$25)&gt;0,"",'Dvd Calendar'!$AB$2646)))</f>
        <v/>
      </c>
      <c r="CO192" s="85">
        <f>IF(AA192="","",IF(ISNUMBER('Dvd Calendar'!$AC$2646)=FALSE,"",IF((Summary!$C$13="N")*('Dvd Calendar'!$AC$2650='Field Check'!$C$25)&gt;0,"",'Dvd Calendar'!$AC$2646)))</f>
        <v/>
      </c>
      <c r="CP192" s="85">
        <f>IF(AB192="","",IF(ISNUMBER('Dvd Calendar'!$AD$2646)=FALSE,"",IF((Summary!$C$13="N")*('Dvd Calendar'!$AD$2650='Field Check'!$C$25)&gt;0,"",'Dvd Calendar'!$AD$2646)))</f>
        <v/>
      </c>
      <c r="CQ192" s="85">
        <f>IF(AC192="","",IF(ISNUMBER('Dvd Calendar'!$AE$2646)=FALSE,"",IF((Summary!$C$13="N")*('Dvd Calendar'!$AE$2650='Field Check'!$C$25)&gt;0,"",'Dvd Calendar'!$AE$2646)))</f>
        <v/>
      </c>
      <c r="CR192" s="85">
        <f>IF(AD192="","",IF(ISNUMBER('Dvd Calendar'!$AF$2646)=FALSE,"",IF((Summary!$C$13="N")*('Dvd Calendar'!$AF$2650='Field Check'!$C$25)&gt;0,"",'Dvd Calendar'!$AF$2646)))</f>
        <v/>
      </c>
      <c r="CS192" s="85">
        <f>IF(AE192="","",IF(ISNUMBER('Dvd Calendar'!$AG$2646)=FALSE,"",IF((Summary!$C$13="N")*('Dvd Calendar'!$AG$2650='Field Check'!$C$25)&gt;0,"",'Dvd Calendar'!$AG$2646)))</f>
        <v/>
      </c>
      <c r="CT192" s="85">
        <f>IF(AF192="","",IF(ISNUMBER('Dvd Calendar'!$AH$2646)=FALSE,"",IF((Summary!$C$13="N")*('Dvd Calendar'!$AH$2650='Field Check'!$C$25)&gt;0,"",'Dvd Calendar'!$AH$2646)))</f>
        <v/>
      </c>
      <c r="CU192" s="85">
        <f>IF(AG192="","",IF(ISNUMBER('Dvd Calendar'!$AI$2646)=FALSE,"",IF((Summary!$C$13="N")*('Dvd Calendar'!$AI$2650='Field Check'!$C$25)&gt;0,"",'Dvd Calendar'!$AI$2646)))</f>
        <v/>
      </c>
      <c r="CV192" s="85">
        <f>IF(AH192="","",IF(ISNUMBER('Dvd Calendar'!$AJ$2646)=FALSE,"",IF((Summary!$C$13="N")*('Dvd Calendar'!$AJ$2650='Field Check'!$C$25)&gt;0,"",'Dvd Calendar'!$AJ$2646)))</f>
        <v/>
      </c>
      <c r="CW192" s="85">
        <f>IF(AI192="","",IF(ISNUMBER('Dvd Calendar'!$AK$2646)=FALSE,"",IF((Summary!$C$13="N")*('Dvd Calendar'!$AK$2650='Field Check'!$C$25)&gt;0,"",'Dvd Calendar'!$AK$2646)))</f>
        <v/>
      </c>
      <c r="CX192" s="85">
        <f>IF(AJ192="","",IF(ISNUMBER('Dvd Calendar'!$AL$2646)=FALSE,"",IF((Summary!$C$13="N")*('Dvd Calendar'!$AL$2650='Field Check'!$C$25)&gt;0,"",'Dvd Calendar'!$AL$2646)))</f>
        <v/>
      </c>
      <c r="CY192" s="85">
        <f>IF(AK192="","",IF(ISNUMBER('Dvd Calendar'!$AM$2646)=FALSE,"",IF((Summary!$C$13="N")*('Dvd Calendar'!$AM$2650='Field Check'!$C$25)&gt;0,"",'Dvd Calendar'!$AM$2646)))</f>
        <v/>
      </c>
      <c r="CZ192" s="85">
        <f>IF(AL192="","",IF(ISNUMBER('Dvd Calendar'!$AN$2646)=FALSE,"",IF((Summary!$C$13="N")*('Dvd Calendar'!$AN$2650='Field Check'!$C$25)&gt;0,"",'Dvd Calendar'!$AN$2646)))</f>
        <v/>
      </c>
      <c r="DA192" s="85">
        <f>IF(AM192="","",IF(ISNUMBER('Dvd Calendar'!$AO$2646)=FALSE,"",IF((Summary!$C$13="N")*('Dvd Calendar'!$AO$2650='Field Check'!$C$25)&gt;0,"",'Dvd Calendar'!$AO$2646)))</f>
        <v/>
      </c>
      <c r="DB192" s="85">
        <f>IF(AN192="","",IF(ISNUMBER('Dvd Calendar'!$AP$2646)=FALSE,"",IF((Summary!$C$13="N")*('Dvd Calendar'!$AP$2650='Field Check'!$C$25)&gt;0,"",'Dvd Calendar'!$AP$2646)))</f>
        <v/>
      </c>
      <c r="DC192" s="85">
        <f>IF(AO192="","",IF(ISNUMBER('Dvd Calendar'!$AQ$2646)=FALSE,"",IF((Summary!$C$13="N")*('Dvd Calendar'!$AQ$2650='Field Check'!$C$25)&gt;0,"",'Dvd Calendar'!$AQ$2646)))</f>
        <v/>
      </c>
      <c r="DD192" s="85">
        <f>IF(AP192="","",IF(ISNUMBER('Dvd Calendar'!$AR$2646)=FALSE,"",IF((Summary!$C$13="N")*('Dvd Calendar'!$AR$2650='Field Check'!$C$25)&gt;0,"",'Dvd Calendar'!$AR$2646)))</f>
        <v/>
      </c>
      <c r="DE192" s="85">
        <f>IF(AQ192="","",IF(ISNUMBER('Dvd Calendar'!$E$2653)=FALSE,"",IF((Summary!$C$13="N")*('Dvd Calendar'!$E$2657='Field Check'!$C$25)&gt;0,"",'Dvd Calendar'!$E$2653)))</f>
        <v/>
      </c>
      <c r="DF192" s="85">
        <f>IF(AR192="","",IF(ISNUMBER('Dvd Calendar'!$F$2653)=FALSE,"",IF((Summary!$C$13="N")*('Dvd Calendar'!$F$2657='Field Check'!$C$25)&gt;0,"",'Dvd Calendar'!$F$2653)))</f>
        <v/>
      </c>
      <c r="DG192" s="85">
        <f>IF(AS192="","",IF(ISNUMBER('Dvd Calendar'!$G$2653)=FALSE,"",IF((Summary!$C$13="N")*('Dvd Calendar'!$G$2657='Field Check'!$C$25)&gt;0,"",'Dvd Calendar'!$G$2653)))</f>
        <v/>
      </c>
      <c r="DH192" s="85">
        <f>IF(AT192="","",IF(ISNUMBER('Dvd Calendar'!$H$2653)=FALSE,"",IF((Summary!$C$13="N")*('Dvd Calendar'!$H$2657='Field Check'!$C$25)&gt;0,"",'Dvd Calendar'!$H$2653)))</f>
        <v/>
      </c>
      <c r="DI192" s="85">
        <f>IF(AU192="","",IF(ISNUMBER('Dvd Calendar'!$I$2653)=FALSE,"",IF((Summary!$C$13="N")*('Dvd Calendar'!$I$2657='Field Check'!$C$25)&gt;0,"",'Dvd Calendar'!$I$2653)))</f>
        <v/>
      </c>
      <c r="DJ192" s="85">
        <f>IF(AV192="","",IF(ISNUMBER('Dvd Calendar'!$J$2653)=FALSE,"",IF((Summary!$C$13="N")*('Dvd Calendar'!$J$2657='Field Check'!$C$25)&gt;0,"",'Dvd Calendar'!$J$2653)))</f>
        <v/>
      </c>
      <c r="DK192" s="85">
        <f>IF(AW192="","",IF(ISNUMBER('Dvd Calendar'!$K$2653)=FALSE,"",IF((Summary!$C$13="N")*('Dvd Calendar'!$K$2657='Field Check'!$C$25)&gt;0,"",'Dvd Calendar'!$K$2653)))</f>
        <v/>
      </c>
      <c r="DL192" s="85">
        <f>IF(AX192="","",IF(ISNUMBER('Dvd Calendar'!$L$2653)=FALSE,"",IF((Summary!$C$13="N")*('Dvd Calendar'!$L$2657='Field Check'!$C$25)&gt;0,"",'Dvd Calendar'!$L$2653)))</f>
        <v/>
      </c>
      <c r="DM192" s="85">
        <f>IF(AY192="","",IF(ISNUMBER('Dvd Calendar'!$M$2653)=FALSE,"",IF((Summary!$C$13="N")*('Dvd Calendar'!$M$2657='Field Check'!$C$25)&gt;0,"",'Dvd Calendar'!$M$2653)))</f>
        <v/>
      </c>
      <c r="DN192" s="85">
        <f>IF(AZ192="","",IF(ISNUMBER('Dvd Calendar'!$N$2653)=FALSE,"",IF((Summary!$C$13="N")*('Dvd Calendar'!$N$2657='Field Check'!$C$25)&gt;0,"",'Dvd Calendar'!$N$2653)))</f>
        <v/>
      </c>
      <c r="DO192" s="85">
        <f>IF(BA192="","",IF(ISNUMBER('Dvd Calendar'!$O$2653)=FALSE,"",IF((Summary!$C$13="N")*('Dvd Calendar'!$O$2657='Field Check'!$C$25)&gt;0,"",'Dvd Calendar'!$O$2653)))</f>
        <v/>
      </c>
      <c r="DP192" s="85">
        <f>IF(BB192="","",IF(ISNUMBER('Dvd Calendar'!$P$2653)=FALSE,"",IF((Summary!$C$13="N")*('Dvd Calendar'!$P$2657='Field Check'!$C$25)&gt;0,"",'Dvd Calendar'!$P$2653)))</f>
        <v/>
      </c>
      <c r="DQ192" s="85">
        <f>IF(BC192="","",IF(ISNUMBER('Dvd Calendar'!$Q$2653)=FALSE,"",IF((Summary!$C$13="N")*('Dvd Calendar'!$Q$2657='Field Check'!$C$25)&gt;0,"",'Dvd Calendar'!$Q$2653)))</f>
        <v/>
      </c>
      <c r="DR192" s="85">
        <f>IF(BD192="","",IF(ISNUMBER('Dvd Calendar'!$R$2653)=FALSE,"",IF((Summary!$C$13="N")*('Dvd Calendar'!$R$2657='Field Check'!$C$25)&gt;0,"",'Dvd Calendar'!$R$2653)))</f>
        <v/>
      </c>
      <c r="DS192" s="85">
        <f>IF(BE192="","",IF(ISNUMBER('Dvd Calendar'!$S$2653)=FALSE,"",IF((Summary!$C$13="N")*('Dvd Calendar'!$S$2657='Field Check'!$C$25)&gt;0,"",'Dvd Calendar'!$S$2653)))</f>
        <v/>
      </c>
      <c r="DT192" s="85">
        <f>IF(BF192="","",IF(ISNUMBER('Dvd Calendar'!$T$2653)=FALSE,"",IF((Summary!$C$13="N")*('Dvd Calendar'!$T$2657='Field Check'!$C$25)&gt;0,"",'Dvd Calendar'!$T$2653)))</f>
        <v/>
      </c>
      <c r="DU192" s="85">
        <f>IF(BG192="","",IF(ISNUMBER('Dvd Calendar'!$U$2653)=FALSE,"",IF((Summary!$C$13="N")*('Dvd Calendar'!$U$2657='Field Check'!$C$25)&gt;0,"",'Dvd Calendar'!$U$2653)))</f>
        <v/>
      </c>
      <c r="DV192" s="85">
        <f>IF(BH192="","",IF(ISNUMBER('Dvd Calendar'!$V$2653)=FALSE,"",IF((Summary!$C$13="N")*('Dvd Calendar'!$V$2657='Field Check'!$C$25)&gt;0,"",'Dvd Calendar'!$V$2653)))</f>
        <v/>
      </c>
      <c r="DW192" s="85">
        <f>IF(BI192="","",IF(ISNUMBER('Dvd Calendar'!$W$2653)=FALSE,"",IF((Summary!$C$13="N")*('Dvd Calendar'!$W$2657='Field Check'!$C$25)&gt;0,"",'Dvd Calendar'!$W$2653)))</f>
        <v/>
      </c>
      <c r="DX192" s="85">
        <f>IF(BJ192="","",IF(ISNUMBER('Dvd Calendar'!$X$2653)=FALSE,"",IF((Summary!$C$13="N")*('Dvd Calendar'!$X$2657='Field Check'!$C$25)&gt;0,"",'Dvd Calendar'!$X$2653)))</f>
        <v/>
      </c>
      <c r="DY192" s="85">
        <f>IF(BK192="","",IF(ISNUMBER('Dvd Calendar'!$Y$2653)=FALSE,"",IF((Summary!$C$13="N")*('Dvd Calendar'!$Y$2657='Field Check'!$C$25)&gt;0,"",'Dvd Calendar'!$Y$2653)))</f>
        <v/>
      </c>
      <c r="DZ192" s="85">
        <f>IF(BL192="","",IF(ISNUMBER('Dvd Calendar'!$Z$2653)=FALSE,"",IF((Summary!$C$13="N")*('Dvd Calendar'!$Z$2657='Field Check'!$C$25)&gt;0,"",'Dvd Calendar'!$Z$2653)))</f>
        <v/>
      </c>
      <c r="EA192" s="85">
        <f>IF(BM192="","",IF(ISNUMBER('Dvd Calendar'!$AA$2653)=FALSE,"",IF((Summary!$C$13="N")*('Dvd Calendar'!$AA$2657='Field Check'!$C$25)&gt;0,"",'Dvd Calendar'!$AA$2653)))</f>
        <v/>
      </c>
      <c r="EB192" s="85">
        <f>IF(BN192="","",IF(ISNUMBER('Dvd Calendar'!$AB$2653)=FALSE,"",IF((Summary!$C$13="N")*('Dvd Calendar'!$AB$2657='Field Check'!$C$25)&gt;0,"",'Dvd Calendar'!$AB$2653)))</f>
        <v/>
      </c>
      <c r="EC192" s="85">
        <f>IF(BO192="","",IF(ISNUMBER('Dvd Calendar'!$AC$2653)=FALSE,"",IF((Summary!$C$13="N")*('Dvd Calendar'!$AC$2657='Field Check'!$C$25)&gt;0,"",'Dvd Calendar'!$AC$2653)))</f>
        <v/>
      </c>
      <c r="EE192" s="85">
        <f>IF(BQ192="","",IFERROR(BQ192*HSCEI!$B$42*HSCEI!$G$42/HSCEI!$B$3,""))</f>
        <v/>
      </c>
      <c r="EF192" s="85">
        <f>IF(BR192="","",IFERROR(BR192*HSCEI!$B$42*HSCEI!$G$42/HSCEI!$B$3,""))</f>
        <v/>
      </c>
      <c r="EG192" s="85">
        <f>IF(BS192="","",IFERROR(BS192*HSCEI!$B$42*HSCEI!$G$42/HSCEI!$B$3,""))</f>
        <v/>
      </c>
      <c r="EH192" s="85">
        <f>IF(BT192="","",IFERROR(BT192*HSCEI!$B$42*HSCEI!$G$42/HSCEI!$B$3,""))</f>
        <v/>
      </c>
      <c r="EI192" s="85">
        <f>IF(BU192="","",IFERROR(BU192*HSCEI!$B$42*HSCEI!$G$42/HSCEI!$B$3,""))</f>
        <v/>
      </c>
      <c r="EJ192" s="85">
        <f>IF(BV192="","",IFERROR(BV192*HSCEI!$B$42*HSCEI!$G$42/HSCEI!$B$3,""))</f>
        <v/>
      </c>
      <c r="EK192" s="85">
        <f>IF(BW192="","",IFERROR(BW192*HSCEI!$B$42*HSCEI!$G$42/HSCEI!$B$3,""))</f>
        <v/>
      </c>
      <c r="EL192" s="85">
        <f>IF(BX192="","",IFERROR(BX192*HSCEI!$B$42*HSCEI!$G$42/HSCEI!$B$3,""))</f>
        <v/>
      </c>
      <c r="EM192" s="85">
        <f>IF(BY192="","",IFERROR(BY192*HSCEI!$B$42*HSCEI!$G$42/HSCEI!$B$3,""))</f>
        <v/>
      </c>
      <c r="EN192" s="85">
        <f>IF(BZ192="","",IFERROR(BZ192*HSCEI!$B$42*HSCEI!$G$42/HSCEI!$B$3,""))</f>
        <v/>
      </c>
      <c r="EO192" s="85">
        <f>IF(CA192="","",IFERROR(CA192*HSCEI!$B$42*HSCEI!$G$42/HSCEI!$B$3,""))</f>
        <v/>
      </c>
      <c r="EP192" s="85">
        <f>IF(CB192="","",IFERROR(CB192*HSCEI!$B$42*HSCEI!$G$42/HSCEI!$B$3,""))</f>
        <v/>
      </c>
      <c r="EQ192" s="85">
        <f>IF(CC192="","",IFERROR(CC192*HSCEI!$B$42*HSCEI!$G$42/HSCEI!$B$3,""))</f>
        <v/>
      </c>
      <c r="ER192" s="85">
        <f>IF(CD192="","",IFERROR(CD192*HSCEI!$B$42*HSCEI!$G$42/HSCEI!$B$3,""))</f>
        <v/>
      </c>
      <c r="ES192" s="85">
        <f>IF(CE192="","",IFERROR(CE192*HSCEI!$B$42*HSCEI!$G$42/HSCEI!$B$3,""))</f>
        <v/>
      </c>
      <c r="ET192" s="85">
        <f>IF(CF192="","",IFERROR(CF192*HSCEI!$B$42*HSCEI!$G$42/HSCEI!$B$3,""))</f>
        <v/>
      </c>
      <c r="EU192" s="85">
        <f>IF(CG192="","",IFERROR(CG192*HSCEI!$B$42*HSCEI!$G$42/HSCEI!$B$3,""))</f>
        <v/>
      </c>
      <c r="EV192" s="85">
        <f>IF(CH192="","",IFERROR(CH192*HSCEI!$B$42*HSCEI!$G$42/HSCEI!$B$3,""))</f>
        <v/>
      </c>
      <c r="EW192" s="85">
        <f>IF(CI192="","",IFERROR(CI192*HSCEI!$B$42*HSCEI!$G$42/HSCEI!$B$3,""))</f>
        <v/>
      </c>
      <c r="EX192" s="85">
        <f>IF(CJ192="","",IFERROR(CJ192*HSCEI!$B$42*HSCEI!$G$42/HSCEI!$B$3,""))</f>
        <v/>
      </c>
      <c r="EY192" s="85">
        <f>IF(CK192="","",IFERROR(CK192*HSCEI!$B$42*HSCEI!$G$42/HSCEI!$B$3,""))</f>
        <v/>
      </c>
      <c r="EZ192" s="85">
        <f>IF(CL192="","",IFERROR(CL192*HSCEI!$B$42*HSCEI!$G$42/HSCEI!$B$3,""))</f>
        <v/>
      </c>
      <c r="FA192" s="85">
        <f>IF(CM192="","",IFERROR(CM192*HSCEI!$B$42*HSCEI!$G$42/HSCEI!$B$3,""))</f>
        <v/>
      </c>
      <c r="FB192" s="85">
        <f>IF(CN192="","",IFERROR(CN192*HSCEI!$B$42*HSCEI!$G$42/HSCEI!$B$3,""))</f>
        <v/>
      </c>
      <c r="FC192" s="85">
        <f>IF(CO192="","",IFERROR(CO192*HSCEI!$B$42*HSCEI!$G$42/HSCEI!$B$3,""))</f>
        <v/>
      </c>
      <c r="FD192" s="85">
        <f>IF(CP192="","",IFERROR(CP192*HSCEI!$B$42*HSCEI!$G$42/HSCEI!$B$3,""))</f>
        <v/>
      </c>
      <c r="FE192" s="85">
        <f>IF(CQ192="","",IFERROR(CQ192*HSCEI!$B$42*HSCEI!$G$42/HSCEI!$B$3,""))</f>
        <v/>
      </c>
      <c r="FF192" s="85">
        <f>IF(CR192="","",IFERROR(CR192*HSCEI!$B$42*HSCEI!$G$42/HSCEI!$B$3,""))</f>
        <v/>
      </c>
      <c r="FG192" s="85">
        <f>IF(CS192="","",IFERROR(CS192*HSCEI!$B$42*HSCEI!$G$42/HSCEI!$B$3,""))</f>
        <v/>
      </c>
      <c r="FH192" s="85">
        <f>IF(CT192="","",IFERROR(CT192*HSCEI!$B$42*HSCEI!$G$42/HSCEI!$B$3,""))</f>
        <v/>
      </c>
      <c r="FI192" s="85">
        <f>IF(CU192="","",IFERROR(CU192*HSCEI!$B$42*HSCEI!$G$42/HSCEI!$B$3,""))</f>
        <v/>
      </c>
      <c r="FJ192" s="85">
        <f>IF(CV192="","",IFERROR(CV192*HSCEI!$B$42*HSCEI!$G$42/HSCEI!$B$3,""))</f>
        <v/>
      </c>
      <c r="FK192" s="85">
        <f>IF(CW192="","",IFERROR(CW192*HSCEI!$B$42*HSCEI!$G$42/HSCEI!$B$3,""))</f>
        <v/>
      </c>
      <c r="FL192" s="85">
        <f>IF(CX192="","",IFERROR(CX192*HSCEI!$B$42*HSCEI!$G$42/HSCEI!$B$3,""))</f>
        <v/>
      </c>
      <c r="FM192" s="85">
        <f>IF(CY192="","",IFERROR(CY192*HSCEI!$B$42*HSCEI!$G$42/HSCEI!$B$3,""))</f>
        <v/>
      </c>
      <c r="FN192" s="85">
        <f>IF(CZ192="","",IFERROR(CZ192*HSCEI!$B$42*HSCEI!$G$42/HSCEI!$B$3,""))</f>
        <v/>
      </c>
      <c r="FO192" s="85">
        <f>IF(DA192="","",IFERROR(DA192*HSCEI!$B$42*HSCEI!$G$42/HSCEI!$B$3,""))</f>
        <v/>
      </c>
      <c r="FP192" s="85">
        <f>IF(DB192="","",IFERROR(DB192*HSCEI!$B$42*HSCEI!$G$42/HSCEI!$B$3,""))</f>
        <v/>
      </c>
      <c r="FQ192" s="85">
        <f>IF(DC192="","",IFERROR(DC192*HSCEI!$B$42*HSCEI!$G$42/HSCEI!$B$3,""))</f>
        <v/>
      </c>
      <c r="FR192" s="85">
        <f>IF(DD192="","",IFERROR(DD192*HSCEI!$B$42*HSCEI!$G$42/HSCEI!$B$3,""))</f>
        <v/>
      </c>
      <c r="FS192" s="85">
        <f>IF(DE192="","",IFERROR(DE192*HSCEI!$B$42*HSCEI!$G$42/HSCEI!$B$3,""))</f>
        <v/>
      </c>
      <c r="FT192" s="85">
        <f>IF(DF192="","",IFERROR(DF192*HSCEI!$B$42*HSCEI!$G$42/HSCEI!$B$3,""))</f>
        <v/>
      </c>
      <c r="FU192" s="85">
        <f>IF(DG192="","",IFERROR(DG192*HSCEI!$B$42*HSCEI!$G$42/HSCEI!$B$3,""))</f>
        <v/>
      </c>
      <c r="FV192" s="85">
        <f>IF(DH192="","",IFERROR(DH192*HSCEI!$B$42*HSCEI!$G$42/HSCEI!$B$3,""))</f>
        <v/>
      </c>
      <c r="FW192" s="85">
        <f>IF(DI192="","",IFERROR(DI192*HSCEI!$B$42*HSCEI!$G$42/HSCEI!$B$3,""))</f>
        <v/>
      </c>
      <c r="FX192" s="85">
        <f>IF(DJ192="","",IFERROR(DJ192*HSCEI!$B$42*HSCEI!$G$42/HSCEI!$B$3,""))</f>
        <v/>
      </c>
      <c r="FY192" s="85">
        <f>IF(DK192="","",IFERROR(DK192*HSCEI!$B$42*HSCEI!$G$42/HSCEI!$B$3,""))</f>
        <v/>
      </c>
      <c r="FZ192" s="85">
        <f>IF(DL192="","",IFERROR(DL192*HSCEI!$B$42*HSCEI!$G$42/HSCEI!$B$3,""))</f>
        <v/>
      </c>
      <c r="GA192" s="85">
        <f>IF(DM192="","",IFERROR(DM192*HSCEI!$B$42*HSCEI!$G$42/HSCEI!$B$3,""))</f>
        <v/>
      </c>
      <c r="GB192" s="85">
        <f>IF(DN192="","",IFERROR(DN192*HSCEI!$B$42*HSCEI!$G$42/HSCEI!$B$3,""))</f>
        <v/>
      </c>
      <c r="GC192" s="85">
        <f>IF(DO192="","",IFERROR(DO192*HSCEI!$B$42*HSCEI!$G$42/HSCEI!$B$3,""))</f>
        <v/>
      </c>
      <c r="GD192" s="85">
        <f>IF(DP192="","",IFERROR(DP192*HSCEI!$B$42*HSCEI!$G$42/HSCEI!$B$3,""))</f>
        <v/>
      </c>
      <c r="GE192" s="85">
        <f>IF(DQ192="","",IFERROR(DQ192*HSCEI!$B$42*HSCEI!$G$42/HSCEI!$B$3,""))</f>
        <v/>
      </c>
      <c r="GF192" s="85">
        <f>IF(DR192="","",IFERROR(DR192*HSCEI!$B$42*HSCEI!$G$42/HSCEI!$B$3,""))</f>
        <v/>
      </c>
      <c r="GG192" s="85">
        <f>IF(DS192="","",IFERROR(DS192*HSCEI!$B$42*HSCEI!$G$42/HSCEI!$B$3,""))</f>
        <v/>
      </c>
      <c r="GH192" s="85">
        <f>IF(DT192="","",IFERROR(DT192*HSCEI!$B$42*HSCEI!$G$42/HSCEI!$B$3,""))</f>
        <v/>
      </c>
      <c r="GI192" s="85">
        <f>IF(DU192="","",IFERROR(DU192*HSCEI!$B$42*HSCEI!$G$42/HSCEI!$B$3,""))</f>
        <v/>
      </c>
      <c r="GJ192" s="85">
        <f>IF(DV192="","",IFERROR(DV192*HSCEI!$B$42*HSCEI!$G$42/HSCEI!$B$3,""))</f>
        <v/>
      </c>
      <c r="GK192" s="85">
        <f>IF(DW192="","",IFERROR(DW192*HSCEI!$B$42*HSCEI!$G$42/HSCEI!$B$3,""))</f>
        <v/>
      </c>
      <c r="GL192" s="85">
        <f>IF(DX192="","",IFERROR(DX192*HSCEI!$B$42*HSCEI!$G$42/HSCEI!$B$3,""))</f>
        <v/>
      </c>
      <c r="GM192" s="85">
        <f>IF(DY192="","",IFERROR(DY192*HSCEI!$B$42*HSCEI!$G$42/HSCEI!$B$3,""))</f>
        <v/>
      </c>
      <c r="GN192" s="85">
        <f>IF(DZ192="","",IFERROR(DZ192*HSCEI!$B$42*HSCEI!$G$42/HSCEI!$B$3,""))</f>
        <v/>
      </c>
      <c r="GO192" s="85">
        <f>IF(EA192="","",IFERROR(EA192*HSCEI!$B$42*HSCEI!$G$42/HSCEI!$B$3,""))</f>
        <v/>
      </c>
      <c r="GP192" s="85">
        <f>IF(EB192="","",IFERROR(EB192*HSCEI!$B$42*HSCEI!$G$42/HSCEI!$B$3,""))</f>
        <v/>
      </c>
      <c r="GQ192" s="85">
        <f>IF(EC192="","",IFERROR(EC192*HSCEI!$B$42*HSCEI!$G$42/HSCEI!$B$3,""))</f>
        <v/>
      </c>
    </row>
    <row r="193">
      <c r="B193" s="2">
        <f>IF(HSCEI!$C$43="","",HSCEI!$C$43)</f>
        <v/>
      </c>
      <c r="C193" s="41">
        <f>IF(N('Dvd Calendar'!$E$2660)=0,"",IF(('Dvd Calendar'!$E$2660&gt;=MIN(DATE(Summary!$C$12,1,1),Summary!$C$11))*('Dvd Calendar'!$E$2660&lt;=MAX(DATE(Summary!$C$12,12,31),Summary!$C$15))*('Dvd Calendar'!$E$2660&lt;=Summary!$C$11)=0,"",'Dvd Calendar'!$E$2660*1000000000+ISNUMBER('Dvd Calendar'!$E$2661)*100000000+('Dvd Calendar'!$E$2665='Field Check'!$C$25)*10000000+(N('Dvd Calendar'!$E$2659)&gt;0)*1000000+37*1000+1))</f>
        <v/>
      </c>
      <c r="D193" s="41">
        <f>IF(N('Dvd Calendar'!$F$2660)=0,"",IF(('Dvd Calendar'!$F$2660&gt;=MIN(DATE(Summary!$C$12,1,1),Summary!$C$11))*('Dvd Calendar'!$F$2660&lt;=MAX(DATE(Summary!$C$12,12,31),Summary!$C$15))*('Dvd Calendar'!$F$2660&lt;=Summary!$C$11)=0,"",'Dvd Calendar'!$F$2660*1000000000+ISNUMBER('Dvd Calendar'!$F$2661)*100000000+('Dvd Calendar'!$F$2665='Field Check'!$C$25)*10000000+(N('Dvd Calendar'!$F$2659)&gt;0)*1000000+37*1000+2))</f>
        <v/>
      </c>
      <c r="E193" s="41">
        <f>IF(N('Dvd Calendar'!$G$2660)=0,"",IF(('Dvd Calendar'!$G$2660&gt;=MIN(DATE(Summary!$C$12,1,1),Summary!$C$11))*('Dvd Calendar'!$G$2660&lt;=MAX(DATE(Summary!$C$12,12,31),Summary!$C$15))*('Dvd Calendar'!$G$2660&lt;=Summary!$C$11)=0,"",'Dvd Calendar'!$G$2660*1000000000+ISNUMBER('Dvd Calendar'!$G$2661)*100000000+('Dvd Calendar'!$G$2665='Field Check'!$C$25)*10000000+(N('Dvd Calendar'!$G$2659)&gt;0)*1000000+37*1000+3))</f>
        <v/>
      </c>
      <c r="F193" s="41">
        <f>IF(N('Dvd Calendar'!$H$2660)=0,"",IF(('Dvd Calendar'!$H$2660&gt;=MIN(DATE(Summary!$C$12,1,1),Summary!$C$11))*('Dvd Calendar'!$H$2660&lt;=MAX(DATE(Summary!$C$12,12,31),Summary!$C$15))*('Dvd Calendar'!$H$2660&lt;=Summary!$C$11)=0,"",'Dvd Calendar'!$H$2660*1000000000+ISNUMBER('Dvd Calendar'!$H$2661)*100000000+('Dvd Calendar'!$H$2665='Field Check'!$C$25)*10000000+(N('Dvd Calendar'!$H$2659)&gt;0)*1000000+37*1000+4))</f>
        <v/>
      </c>
      <c r="G193" s="41">
        <f>IF(N('Dvd Calendar'!$I$2660)=0,"",IF(('Dvd Calendar'!$I$2660&gt;=MIN(DATE(Summary!$C$12,1,1),Summary!$C$11))*('Dvd Calendar'!$I$2660&lt;=MAX(DATE(Summary!$C$12,12,31),Summary!$C$15))*('Dvd Calendar'!$I$2660&lt;=Summary!$C$11)=0,"",'Dvd Calendar'!$I$2660*1000000000+ISNUMBER('Dvd Calendar'!$I$2661)*100000000+('Dvd Calendar'!$I$2665='Field Check'!$C$25)*10000000+(N('Dvd Calendar'!$I$2659)&gt;0)*1000000+37*1000+5))</f>
        <v/>
      </c>
      <c r="H193" s="41">
        <f>IF(N('Dvd Calendar'!$J$2660)=0,"",IF(('Dvd Calendar'!$J$2660&gt;=MIN(DATE(Summary!$C$12,1,1),Summary!$C$11))*('Dvd Calendar'!$J$2660&lt;=MAX(DATE(Summary!$C$12,12,31),Summary!$C$15))*('Dvd Calendar'!$J$2660&lt;=Summary!$C$11)=0,"",'Dvd Calendar'!$J$2660*1000000000+ISNUMBER('Dvd Calendar'!$J$2661)*100000000+('Dvd Calendar'!$J$2665='Field Check'!$C$25)*10000000+(N('Dvd Calendar'!$J$2659)&gt;0)*1000000+37*1000+6))</f>
        <v/>
      </c>
      <c r="I193" s="41">
        <f>IF(N('Dvd Calendar'!$K$2660)=0,"",IF(('Dvd Calendar'!$K$2660&gt;=MIN(DATE(Summary!$C$12,1,1),Summary!$C$11))*('Dvd Calendar'!$K$2660&lt;=MAX(DATE(Summary!$C$12,12,31),Summary!$C$15))*('Dvd Calendar'!$K$2660&lt;=Summary!$C$11)=0,"",'Dvd Calendar'!$K$2660*1000000000+ISNUMBER('Dvd Calendar'!$K$2661)*100000000+('Dvd Calendar'!$K$2665='Field Check'!$C$25)*10000000+(N('Dvd Calendar'!$K$2659)&gt;0)*1000000+37*1000+7))</f>
        <v/>
      </c>
      <c r="J193" s="41">
        <f>IF(N('Dvd Calendar'!$L$2660)=0,"",IF(('Dvd Calendar'!$L$2660&gt;=MIN(DATE(Summary!$C$12,1,1),Summary!$C$11))*('Dvd Calendar'!$L$2660&lt;=MAX(DATE(Summary!$C$12,12,31),Summary!$C$15))*('Dvd Calendar'!$L$2660&lt;=Summary!$C$11)=0,"",'Dvd Calendar'!$L$2660*1000000000+ISNUMBER('Dvd Calendar'!$L$2661)*100000000+('Dvd Calendar'!$L$2665='Field Check'!$C$25)*10000000+(N('Dvd Calendar'!$L$2659)&gt;0)*1000000+37*1000+8))</f>
        <v/>
      </c>
      <c r="K193" s="41">
        <f>IF(N('Dvd Calendar'!$M$2660)=0,"",IF(('Dvd Calendar'!$M$2660&gt;=MIN(DATE(Summary!$C$12,1,1),Summary!$C$11))*('Dvd Calendar'!$M$2660&lt;=MAX(DATE(Summary!$C$12,12,31),Summary!$C$15))*('Dvd Calendar'!$M$2660&lt;=Summary!$C$11)=0,"",'Dvd Calendar'!$M$2660*1000000000+ISNUMBER('Dvd Calendar'!$M$2661)*100000000+('Dvd Calendar'!$M$2665='Field Check'!$C$25)*10000000+(N('Dvd Calendar'!$M$2659)&gt;0)*1000000+37*1000+9))</f>
        <v/>
      </c>
      <c r="L193" s="41">
        <f>IF(N('Dvd Calendar'!$N$2660)=0,"",IF(('Dvd Calendar'!$N$2660&gt;=MIN(DATE(Summary!$C$12,1,1),Summary!$C$11))*('Dvd Calendar'!$N$2660&lt;=MAX(DATE(Summary!$C$12,12,31),Summary!$C$15))*('Dvd Calendar'!$N$2660&lt;=Summary!$C$11)=0,"",'Dvd Calendar'!$N$2660*1000000000+ISNUMBER('Dvd Calendar'!$N$2661)*100000000+('Dvd Calendar'!$N$2665='Field Check'!$C$25)*10000000+(N('Dvd Calendar'!$N$2659)&gt;0)*1000000+37*1000+10))</f>
        <v/>
      </c>
      <c r="M193" s="41">
        <f>IF(N('Dvd Calendar'!$O$2660)=0,"",IF(('Dvd Calendar'!$O$2660&gt;=MIN(DATE(Summary!$C$12,1,1),Summary!$C$11))*('Dvd Calendar'!$O$2660&lt;=MAX(DATE(Summary!$C$12,12,31),Summary!$C$15))*('Dvd Calendar'!$O$2660&lt;=Summary!$C$11)=0,"",'Dvd Calendar'!$O$2660*1000000000+ISNUMBER('Dvd Calendar'!$O$2661)*100000000+('Dvd Calendar'!$O$2665='Field Check'!$C$25)*10000000+(N('Dvd Calendar'!$O$2659)&gt;0)*1000000+37*1000+11))</f>
        <v/>
      </c>
      <c r="N193" s="41">
        <f>IF(N('Dvd Calendar'!$P$2660)=0,"",IF(('Dvd Calendar'!$P$2660&gt;=MIN(DATE(Summary!$C$12,1,1),Summary!$C$11))*('Dvd Calendar'!$P$2660&lt;=MAX(DATE(Summary!$C$12,12,31),Summary!$C$15))*('Dvd Calendar'!$P$2660&lt;=Summary!$C$11)=0,"",'Dvd Calendar'!$P$2660*1000000000+ISNUMBER('Dvd Calendar'!$P$2661)*100000000+('Dvd Calendar'!$P$2665='Field Check'!$C$25)*10000000+(N('Dvd Calendar'!$P$2659)&gt;0)*1000000+37*1000+12))</f>
        <v/>
      </c>
      <c r="O193" s="41">
        <f>IF(N('Dvd Calendar'!$Q$2660)=0,"",IF(('Dvd Calendar'!$Q$2660&gt;=MIN(DATE(Summary!$C$12,1,1),Summary!$C$11))*('Dvd Calendar'!$Q$2660&lt;=MAX(DATE(Summary!$C$12,12,31),Summary!$C$15))*('Dvd Calendar'!$Q$2660&lt;=Summary!$C$11)=0,"",'Dvd Calendar'!$Q$2660*1000000000+ISNUMBER('Dvd Calendar'!$Q$2661)*100000000+('Dvd Calendar'!$Q$2665='Field Check'!$C$25)*10000000+(N('Dvd Calendar'!$Q$2659)&gt;0)*1000000+37*1000+13))</f>
        <v/>
      </c>
      <c r="P193" s="41">
        <f>IF(N('Dvd Calendar'!$R$2660)=0,"",IF(('Dvd Calendar'!$R$2660&gt;=MIN(DATE(Summary!$C$12,1,1),Summary!$C$11))*('Dvd Calendar'!$R$2660&lt;=MAX(DATE(Summary!$C$12,12,31),Summary!$C$15))*('Dvd Calendar'!$R$2660&lt;=Summary!$C$11)=0,"",'Dvd Calendar'!$R$2660*1000000000+ISNUMBER('Dvd Calendar'!$R$2661)*100000000+('Dvd Calendar'!$R$2665='Field Check'!$C$25)*10000000+(N('Dvd Calendar'!$R$2659)&gt;0)*1000000+37*1000+14))</f>
        <v/>
      </c>
      <c r="Q193" s="41">
        <f>IF(N('Dvd Calendar'!$S$2660)=0,"",IF(('Dvd Calendar'!$S$2660&gt;=MIN(DATE(Summary!$C$12,1,1),Summary!$C$11))*('Dvd Calendar'!$S$2660&lt;=MAX(DATE(Summary!$C$12,12,31),Summary!$C$15))*('Dvd Calendar'!$S$2660&lt;=Summary!$C$11)=0,"",'Dvd Calendar'!$S$2660*1000000000+ISNUMBER('Dvd Calendar'!$S$2661)*100000000+('Dvd Calendar'!$S$2665='Field Check'!$C$25)*10000000+(N('Dvd Calendar'!$S$2659)&gt;0)*1000000+37*1000+15))</f>
        <v/>
      </c>
      <c r="R193" s="41">
        <f>IF(N('Dvd Calendar'!$T$2660)=0,"",IF(('Dvd Calendar'!$T$2660&gt;=MIN(DATE(Summary!$C$12,1,1),Summary!$C$11))*('Dvd Calendar'!$T$2660&lt;=MAX(DATE(Summary!$C$12,12,31),Summary!$C$15))*('Dvd Calendar'!$T$2660&lt;=Summary!$C$11)=0,"",'Dvd Calendar'!$T$2660*1000000000+ISNUMBER('Dvd Calendar'!$T$2661)*100000000+('Dvd Calendar'!$T$2665='Field Check'!$C$25)*10000000+(N('Dvd Calendar'!$T$2659)&gt;0)*1000000+37*1000+16))</f>
        <v/>
      </c>
      <c r="S193" s="41">
        <f>IF(N('Dvd Calendar'!$U$2660)=0,"",IF(('Dvd Calendar'!$U$2660&gt;=MIN(DATE(Summary!$C$12,1,1),Summary!$C$11))*('Dvd Calendar'!$U$2660&lt;=MAX(DATE(Summary!$C$12,12,31),Summary!$C$15))*('Dvd Calendar'!$U$2660&lt;=Summary!$C$11)=0,"",'Dvd Calendar'!$U$2660*1000000000+ISNUMBER('Dvd Calendar'!$U$2661)*100000000+('Dvd Calendar'!$U$2665='Field Check'!$C$25)*10000000+(N('Dvd Calendar'!$U$2659)&gt;0)*1000000+37*1000+17))</f>
        <v/>
      </c>
      <c r="T193" s="41">
        <f>IF(N('Dvd Calendar'!$V$2660)=0,"",IF(('Dvd Calendar'!$V$2660&gt;=MIN(DATE(Summary!$C$12,1,1),Summary!$C$11))*('Dvd Calendar'!$V$2660&lt;=MAX(DATE(Summary!$C$12,12,31),Summary!$C$15))*('Dvd Calendar'!$V$2660&lt;=Summary!$C$11)=0,"",'Dvd Calendar'!$V$2660*1000000000+ISNUMBER('Dvd Calendar'!$V$2661)*100000000+('Dvd Calendar'!$V$2665='Field Check'!$C$25)*10000000+(N('Dvd Calendar'!$V$2659)&gt;0)*1000000+37*1000+18))</f>
        <v/>
      </c>
      <c r="U193" s="41">
        <f>IF(N('Dvd Calendar'!$W$2660)=0,"",IF(('Dvd Calendar'!$W$2660&gt;=MIN(DATE(Summary!$C$12,1,1),Summary!$C$11))*('Dvd Calendar'!$W$2660&lt;=MAX(DATE(Summary!$C$12,12,31),Summary!$C$15))*('Dvd Calendar'!$W$2660&lt;=Summary!$C$11)=0,"",'Dvd Calendar'!$W$2660*1000000000+ISNUMBER('Dvd Calendar'!$W$2661)*100000000+('Dvd Calendar'!$W$2665='Field Check'!$C$25)*10000000+(N('Dvd Calendar'!$W$2659)&gt;0)*1000000+37*1000+19))</f>
        <v/>
      </c>
      <c r="V193" s="41">
        <f>IF(N('Dvd Calendar'!$X$2660)=0,"",IF(('Dvd Calendar'!$X$2660&gt;=MIN(DATE(Summary!$C$12,1,1),Summary!$C$11))*('Dvd Calendar'!$X$2660&lt;=MAX(DATE(Summary!$C$12,12,31),Summary!$C$15))*('Dvd Calendar'!$X$2660&lt;=Summary!$C$11)=0,"",'Dvd Calendar'!$X$2660*1000000000+ISNUMBER('Dvd Calendar'!$X$2661)*100000000+('Dvd Calendar'!$X$2665='Field Check'!$C$25)*10000000+(N('Dvd Calendar'!$X$2659)&gt;0)*1000000+37*1000+20))</f>
        <v/>
      </c>
      <c r="W193" s="41">
        <f>IF(N('Dvd Calendar'!$Y$2660)=0,"",IF(('Dvd Calendar'!$Y$2660&gt;=MIN(DATE(Summary!$C$12,1,1),Summary!$C$11))*('Dvd Calendar'!$Y$2660&lt;=MAX(DATE(Summary!$C$12,12,31),Summary!$C$15))*('Dvd Calendar'!$Y$2660&lt;=Summary!$C$11)=0,"",'Dvd Calendar'!$Y$2660*1000000000+ISNUMBER('Dvd Calendar'!$Y$2661)*100000000+('Dvd Calendar'!$Y$2665='Field Check'!$C$25)*10000000+(N('Dvd Calendar'!$Y$2659)&gt;0)*1000000+37*1000+21))</f>
        <v/>
      </c>
      <c r="X193" s="41">
        <f>IF(N('Dvd Calendar'!$Z$2660)=0,"",IF(('Dvd Calendar'!$Z$2660&gt;=MIN(DATE(Summary!$C$12,1,1),Summary!$C$11))*('Dvd Calendar'!$Z$2660&lt;=MAX(DATE(Summary!$C$12,12,31),Summary!$C$15))*('Dvd Calendar'!$Z$2660&lt;=Summary!$C$11)=0,"",'Dvd Calendar'!$Z$2660*1000000000+ISNUMBER('Dvd Calendar'!$Z$2661)*100000000+('Dvd Calendar'!$Z$2665='Field Check'!$C$25)*10000000+(N('Dvd Calendar'!$Z$2659)&gt;0)*1000000+37*1000+22))</f>
        <v/>
      </c>
      <c r="Y193" s="41">
        <f>IF(N('Dvd Calendar'!$AA$2660)=0,"",IF(('Dvd Calendar'!$AA$2660&gt;=MIN(DATE(Summary!$C$12,1,1),Summary!$C$11))*('Dvd Calendar'!$AA$2660&lt;=MAX(DATE(Summary!$C$12,12,31),Summary!$C$15))*('Dvd Calendar'!$AA$2660&lt;=Summary!$C$11)=0,"",'Dvd Calendar'!$AA$2660*1000000000+ISNUMBER('Dvd Calendar'!$AA$2661)*100000000+('Dvd Calendar'!$AA$2665='Field Check'!$C$25)*10000000+(N('Dvd Calendar'!$AA$2659)&gt;0)*1000000+37*1000+23))</f>
        <v/>
      </c>
      <c r="Z193" s="41">
        <f>IF(N('Dvd Calendar'!$AB$2660)=0,"",IF(('Dvd Calendar'!$AB$2660&gt;=MIN(DATE(Summary!$C$12,1,1),Summary!$C$11))*('Dvd Calendar'!$AB$2660&lt;=MAX(DATE(Summary!$C$12,12,31),Summary!$C$15))*('Dvd Calendar'!$AB$2660&lt;=Summary!$C$11)=0,"",'Dvd Calendar'!$AB$2660*1000000000+ISNUMBER('Dvd Calendar'!$AB$2661)*100000000+('Dvd Calendar'!$AB$2665='Field Check'!$C$25)*10000000+(N('Dvd Calendar'!$AB$2659)&gt;0)*1000000+37*1000+24))</f>
        <v/>
      </c>
      <c r="AA193" s="41">
        <f>IF(N('Dvd Calendar'!$AC$2660)=0,"",IF(('Dvd Calendar'!$AC$2660&gt;=MIN(DATE(Summary!$C$12,1,1),Summary!$C$11))*('Dvd Calendar'!$AC$2660&lt;=MAX(DATE(Summary!$C$12,12,31),Summary!$C$15))*('Dvd Calendar'!$AC$2660&lt;=Summary!$C$11)=0,"",'Dvd Calendar'!$AC$2660*1000000000+ISNUMBER('Dvd Calendar'!$AC$2661)*100000000+('Dvd Calendar'!$AC$2665='Field Check'!$C$25)*10000000+(N('Dvd Calendar'!$AC$2659)&gt;0)*1000000+37*1000+25))</f>
        <v/>
      </c>
      <c r="AB193" s="41">
        <f>IF(N('Dvd Calendar'!$AD$2660)=0,"",IF(('Dvd Calendar'!$AD$2660&gt;=MIN(DATE(Summary!$C$12,1,1),Summary!$C$11))*('Dvd Calendar'!$AD$2660&lt;=MAX(DATE(Summary!$C$12,12,31),Summary!$C$15))*('Dvd Calendar'!$AD$2660&lt;=Summary!$C$11)=0,"",'Dvd Calendar'!$AD$2660*1000000000+ISNUMBER('Dvd Calendar'!$AD$2661)*100000000+('Dvd Calendar'!$AD$2665='Field Check'!$C$25)*10000000+(N('Dvd Calendar'!$AD$2659)&gt;0)*1000000+37*1000+26))</f>
        <v/>
      </c>
      <c r="AC193" s="41">
        <f>IF(N('Dvd Calendar'!$AE$2660)=0,"",IF(('Dvd Calendar'!$AE$2660&gt;=MIN(DATE(Summary!$C$12,1,1),Summary!$C$11))*('Dvd Calendar'!$AE$2660&lt;=MAX(DATE(Summary!$C$12,12,31),Summary!$C$15))*('Dvd Calendar'!$AE$2660&lt;=Summary!$C$11)=0,"",'Dvd Calendar'!$AE$2660*1000000000+ISNUMBER('Dvd Calendar'!$AE$2661)*100000000+('Dvd Calendar'!$AE$2665='Field Check'!$C$25)*10000000+(N('Dvd Calendar'!$AE$2659)&gt;0)*1000000+37*1000+27))</f>
        <v/>
      </c>
      <c r="AD193" s="41">
        <f>IF(N('Dvd Calendar'!$AF$2660)=0,"",IF(('Dvd Calendar'!$AF$2660&gt;=MIN(DATE(Summary!$C$12,1,1),Summary!$C$11))*('Dvd Calendar'!$AF$2660&lt;=MAX(DATE(Summary!$C$12,12,31),Summary!$C$15))*('Dvd Calendar'!$AF$2660&lt;=Summary!$C$11)=0,"",'Dvd Calendar'!$AF$2660*1000000000+ISNUMBER('Dvd Calendar'!$AF$2661)*100000000+('Dvd Calendar'!$AF$2665='Field Check'!$C$25)*10000000+(N('Dvd Calendar'!$AF$2659)&gt;0)*1000000+37*1000+28))</f>
        <v/>
      </c>
      <c r="AE193" s="41">
        <f>IF(N('Dvd Calendar'!$AG$2660)=0,"",IF(('Dvd Calendar'!$AG$2660&gt;=MIN(DATE(Summary!$C$12,1,1),Summary!$C$11))*('Dvd Calendar'!$AG$2660&lt;=MAX(DATE(Summary!$C$12,12,31),Summary!$C$15))*('Dvd Calendar'!$AG$2660&lt;=Summary!$C$11)=0,"",'Dvd Calendar'!$AG$2660*1000000000+ISNUMBER('Dvd Calendar'!$AG$2661)*100000000+('Dvd Calendar'!$AG$2665='Field Check'!$C$25)*10000000+(N('Dvd Calendar'!$AG$2659)&gt;0)*1000000+37*1000+29))</f>
        <v/>
      </c>
      <c r="AF193" s="41">
        <f>IF(N('Dvd Calendar'!$AH$2660)=0,"",IF(('Dvd Calendar'!$AH$2660&gt;=MIN(DATE(Summary!$C$12,1,1),Summary!$C$11))*('Dvd Calendar'!$AH$2660&lt;=MAX(DATE(Summary!$C$12,12,31),Summary!$C$15))*('Dvd Calendar'!$AH$2660&lt;=Summary!$C$11)=0,"",'Dvd Calendar'!$AH$2660*1000000000+ISNUMBER('Dvd Calendar'!$AH$2661)*100000000+('Dvd Calendar'!$AH$2665='Field Check'!$C$25)*10000000+(N('Dvd Calendar'!$AH$2659)&gt;0)*1000000+37*1000+30))</f>
        <v/>
      </c>
      <c r="AG193" s="41">
        <f>IF(N('Dvd Calendar'!$AI$2660)=0,"",IF(('Dvd Calendar'!$AI$2660&gt;=MIN(DATE(Summary!$C$12,1,1),Summary!$C$11))*('Dvd Calendar'!$AI$2660&lt;=MAX(DATE(Summary!$C$12,12,31),Summary!$C$15))*('Dvd Calendar'!$AI$2660&lt;=Summary!$C$11)=0,"",'Dvd Calendar'!$AI$2660*1000000000+ISNUMBER('Dvd Calendar'!$AI$2661)*100000000+('Dvd Calendar'!$AI$2665='Field Check'!$C$25)*10000000+(N('Dvd Calendar'!$AI$2659)&gt;0)*1000000+37*1000+31))</f>
        <v/>
      </c>
      <c r="AH193" s="41">
        <f>IF(N('Dvd Calendar'!$AJ$2660)=0,"",IF(('Dvd Calendar'!$AJ$2660&gt;=MIN(DATE(Summary!$C$12,1,1),Summary!$C$11))*('Dvd Calendar'!$AJ$2660&lt;=MAX(DATE(Summary!$C$12,12,31),Summary!$C$15))*('Dvd Calendar'!$AJ$2660&lt;=Summary!$C$11)=0,"",'Dvd Calendar'!$AJ$2660*1000000000+ISNUMBER('Dvd Calendar'!$AJ$2661)*100000000+('Dvd Calendar'!$AJ$2665='Field Check'!$C$25)*10000000+(N('Dvd Calendar'!$AJ$2659)&gt;0)*1000000+37*1000+32))</f>
        <v/>
      </c>
      <c r="AI193" s="41">
        <f>IF(N('Dvd Calendar'!$AK$2660)=0,"",IF(('Dvd Calendar'!$AK$2660&gt;=MIN(DATE(Summary!$C$12,1,1),Summary!$C$11))*('Dvd Calendar'!$AK$2660&lt;=MAX(DATE(Summary!$C$12,12,31),Summary!$C$15))*('Dvd Calendar'!$AK$2660&lt;=Summary!$C$11)=0,"",'Dvd Calendar'!$AK$2660*1000000000+ISNUMBER('Dvd Calendar'!$AK$2661)*100000000+('Dvd Calendar'!$AK$2665='Field Check'!$C$25)*10000000+(N('Dvd Calendar'!$AK$2659)&gt;0)*1000000+37*1000+33))</f>
        <v/>
      </c>
      <c r="AJ193" s="41">
        <f>IF(N('Dvd Calendar'!$AL$2660)=0,"",IF(('Dvd Calendar'!$AL$2660&gt;=MIN(DATE(Summary!$C$12,1,1),Summary!$C$11))*('Dvd Calendar'!$AL$2660&lt;=MAX(DATE(Summary!$C$12,12,31),Summary!$C$15))*('Dvd Calendar'!$AL$2660&lt;=Summary!$C$11)=0,"",'Dvd Calendar'!$AL$2660*1000000000+ISNUMBER('Dvd Calendar'!$AL$2661)*100000000+('Dvd Calendar'!$AL$2665='Field Check'!$C$25)*10000000+(N('Dvd Calendar'!$AL$2659)&gt;0)*1000000+37*1000+34))</f>
        <v/>
      </c>
      <c r="AK193" s="41">
        <f>IF(N('Dvd Calendar'!$AM$2660)=0,"",IF(('Dvd Calendar'!$AM$2660&gt;=MIN(DATE(Summary!$C$12,1,1),Summary!$C$11))*('Dvd Calendar'!$AM$2660&lt;=MAX(DATE(Summary!$C$12,12,31),Summary!$C$15))*('Dvd Calendar'!$AM$2660&lt;=Summary!$C$11)=0,"",'Dvd Calendar'!$AM$2660*1000000000+ISNUMBER('Dvd Calendar'!$AM$2661)*100000000+('Dvd Calendar'!$AM$2665='Field Check'!$C$25)*10000000+(N('Dvd Calendar'!$AM$2659)&gt;0)*1000000+37*1000+35))</f>
        <v/>
      </c>
      <c r="AL193" s="41">
        <f>IF(N('Dvd Calendar'!$AN$2660)=0,"",IF(('Dvd Calendar'!$AN$2660&gt;=MIN(DATE(Summary!$C$12,1,1),Summary!$C$11))*('Dvd Calendar'!$AN$2660&lt;=MAX(DATE(Summary!$C$12,12,31),Summary!$C$15))*('Dvd Calendar'!$AN$2660&lt;=Summary!$C$11)=0,"",'Dvd Calendar'!$AN$2660*1000000000+ISNUMBER('Dvd Calendar'!$AN$2661)*100000000+('Dvd Calendar'!$AN$2665='Field Check'!$C$25)*10000000+(N('Dvd Calendar'!$AN$2659)&gt;0)*1000000+37*1000+36))</f>
        <v/>
      </c>
      <c r="AM193" s="41">
        <f>IF(N('Dvd Calendar'!$AO$2660)=0,"",IF(('Dvd Calendar'!$AO$2660&gt;=MIN(DATE(Summary!$C$12,1,1),Summary!$C$11))*('Dvd Calendar'!$AO$2660&lt;=MAX(DATE(Summary!$C$12,12,31),Summary!$C$15))*('Dvd Calendar'!$AO$2660&lt;=Summary!$C$11)=0,"",'Dvd Calendar'!$AO$2660*1000000000+ISNUMBER('Dvd Calendar'!$AO$2661)*100000000+('Dvd Calendar'!$AO$2665='Field Check'!$C$25)*10000000+(N('Dvd Calendar'!$AO$2659)&gt;0)*1000000+37*1000+37))</f>
        <v/>
      </c>
      <c r="AN193" s="41">
        <f>IF(N('Dvd Calendar'!$AP$2660)=0,"",IF(('Dvd Calendar'!$AP$2660&gt;=MIN(DATE(Summary!$C$12,1,1),Summary!$C$11))*('Dvd Calendar'!$AP$2660&lt;=MAX(DATE(Summary!$C$12,12,31),Summary!$C$15))*('Dvd Calendar'!$AP$2660&lt;=Summary!$C$11)=0,"",'Dvd Calendar'!$AP$2660*1000000000+ISNUMBER('Dvd Calendar'!$AP$2661)*100000000+('Dvd Calendar'!$AP$2665='Field Check'!$C$25)*10000000+(N('Dvd Calendar'!$AP$2659)&gt;0)*1000000+37*1000+38))</f>
        <v/>
      </c>
      <c r="AO193" s="41">
        <f>IF(N('Dvd Calendar'!$AQ$2660)=0,"",IF(('Dvd Calendar'!$AQ$2660&gt;=MIN(DATE(Summary!$C$12,1,1),Summary!$C$11))*('Dvd Calendar'!$AQ$2660&lt;=MAX(DATE(Summary!$C$12,12,31),Summary!$C$15))*('Dvd Calendar'!$AQ$2660&lt;=Summary!$C$11)=0,"",'Dvd Calendar'!$AQ$2660*1000000000+ISNUMBER('Dvd Calendar'!$AQ$2661)*100000000+('Dvd Calendar'!$AQ$2665='Field Check'!$C$25)*10000000+(N('Dvd Calendar'!$AQ$2659)&gt;0)*1000000+37*1000+39))</f>
        <v/>
      </c>
      <c r="AP193" s="41">
        <f>IF(N('Dvd Calendar'!$AR$2660)=0,"",IF(('Dvd Calendar'!$AR$2660&gt;=MIN(DATE(Summary!$C$12,1,1),Summary!$C$11))*('Dvd Calendar'!$AR$2660&lt;=MAX(DATE(Summary!$C$12,12,31),Summary!$C$15))*('Dvd Calendar'!$AR$2660&lt;=Summary!$C$11)=0,"",'Dvd Calendar'!$AR$2660*1000000000+ISNUMBER('Dvd Calendar'!$AR$2661)*100000000+('Dvd Calendar'!$AR$2665='Field Check'!$C$25)*10000000+(N('Dvd Calendar'!$AR$2659)&gt;0)*1000000+37*1000+40))</f>
        <v/>
      </c>
      <c r="AQ193" s="41">
        <f>IF(N('Dvd Calendar'!$E$2667)=0,"",IF(('Dvd Calendar'!$E$2667&gt;=MIN(DATE(Summary!$C$12,1,1),Summary!$C$11))*('Dvd Calendar'!$E$2667&lt;=MAX(DATE(Summary!$C$12,12,31),Summary!$C$15))*('Dvd Calendar'!$E$2667&gt;Summary!$C$11)=0,"",'Dvd Calendar'!$E$2667*1000000000+ISNUMBER('Dvd Calendar'!$E$2668)*100000000+('Dvd Calendar'!$E$2672='Field Check'!$C$25)*10000000+(N('Dvd Calendar'!$E$2666)&gt;0)*1000000+37*1000+41))</f>
        <v/>
      </c>
      <c r="AR193" s="41">
        <f>IF(N('Dvd Calendar'!$F$2667)=0,"",IF(('Dvd Calendar'!$F$2667&gt;=MIN(DATE(Summary!$C$12,1,1),Summary!$C$11))*('Dvd Calendar'!$F$2667&lt;=MAX(DATE(Summary!$C$12,12,31),Summary!$C$15))*('Dvd Calendar'!$F$2667&gt;Summary!$C$11)=0,"",'Dvd Calendar'!$F$2667*1000000000+ISNUMBER('Dvd Calendar'!$F$2668)*100000000+('Dvd Calendar'!$F$2672='Field Check'!$C$25)*10000000+(N('Dvd Calendar'!$F$2666)&gt;0)*1000000+37*1000+42))</f>
        <v/>
      </c>
      <c r="AS193" s="41">
        <f>IF(N('Dvd Calendar'!$G$2667)=0,"",IF(('Dvd Calendar'!$G$2667&gt;=MIN(DATE(Summary!$C$12,1,1),Summary!$C$11))*('Dvd Calendar'!$G$2667&lt;=MAX(DATE(Summary!$C$12,12,31),Summary!$C$15))*('Dvd Calendar'!$G$2667&gt;Summary!$C$11)=0,"",'Dvd Calendar'!$G$2667*1000000000+ISNUMBER('Dvd Calendar'!$G$2668)*100000000+('Dvd Calendar'!$G$2672='Field Check'!$C$25)*10000000+(N('Dvd Calendar'!$G$2666)&gt;0)*1000000+37*1000+43))</f>
        <v/>
      </c>
      <c r="AT193" s="41">
        <f>IF(N('Dvd Calendar'!$H$2667)=0,"",IF(('Dvd Calendar'!$H$2667&gt;=MIN(DATE(Summary!$C$12,1,1),Summary!$C$11))*('Dvd Calendar'!$H$2667&lt;=MAX(DATE(Summary!$C$12,12,31),Summary!$C$15))*('Dvd Calendar'!$H$2667&gt;Summary!$C$11)=0,"",'Dvd Calendar'!$H$2667*1000000000+ISNUMBER('Dvd Calendar'!$H$2668)*100000000+('Dvd Calendar'!$H$2672='Field Check'!$C$25)*10000000+(N('Dvd Calendar'!$H$2666)&gt;0)*1000000+37*1000+44))</f>
        <v/>
      </c>
      <c r="AU193" s="41">
        <f>IF(N('Dvd Calendar'!$I$2667)=0,"",IF(('Dvd Calendar'!$I$2667&gt;=MIN(DATE(Summary!$C$12,1,1),Summary!$C$11))*('Dvd Calendar'!$I$2667&lt;=MAX(DATE(Summary!$C$12,12,31),Summary!$C$15))*('Dvd Calendar'!$I$2667&gt;Summary!$C$11)=0,"",'Dvd Calendar'!$I$2667*1000000000+ISNUMBER('Dvd Calendar'!$I$2668)*100000000+('Dvd Calendar'!$I$2672='Field Check'!$C$25)*10000000+(N('Dvd Calendar'!$I$2666)&gt;0)*1000000+37*1000+45))</f>
        <v/>
      </c>
      <c r="AV193" s="41">
        <f>IF(N('Dvd Calendar'!$J$2667)=0,"",IF(('Dvd Calendar'!$J$2667&gt;=MIN(DATE(Summary!$C$12,1,1),Summary!$C$11))*('Dvd Calendar'!$J$2667&lt;=MAX(DATE(Summary!$C$12,12,31),Summary!$C$15))*('Dvd Calendar'!$J$2667&gt;Summary!$C$11)=0,"",'Dvd Calendar'!$J$2667*1000000000+ISNUMBER('Dvd Calendar'!$J$2668)*100000000+('Dvd Calendar'!$J$2672='Field Check'!$C$25)*10000000+(N('Dvd Calendar'!$J$2666)&gt;0)*1000000+37*1000+46))</f>
        <v/>
      </c>
      <c r="AW193" s="41">
        <f>IF(N('Dvd Calendar'!$K$2667)=0,"",IF(('Dvd Calendar'!$K$2667&gt;=MIN(DATE(Summary!$C$12,1,1),Summary!$C$11))*('Dvd Calendar'!$K$2667&lt;=MAX(DATE(Summary!$C$12,12,31),Summary!$C$15))*('Dvd Calendar'!$K$2667&gt;Summary!$C$11)=0,"",'Dvd Calendar'!$K$2667*1000000000+ISNUMBER('Dvd Calendar'!$K$2668)*100000000+('Dvd Calendar'!$K$2672='Field Check'!$C$25)*10000000+(N('Dvd Calendar'!$K$2666)&gt;0)*1000000+37*1000+47))</f>
        <v/>
      </c>
      <c r="AX193" s="41">
        <f>IF(N('Dvd Calendar'!$L$2667)=0,"",IF(('Dvd Calendar'!$L$2667&gt;=MIN(DATE(Summary!$C$12,1,1),Summary!$C$11))*('Dvd Calendar'!$L$2667&lt;=MAX(DATE(Summary!$C$12,12,31),Summary!$C$15))*('Dvd Calendar'!$L$2667&gt;Summary!$C$11)=0,"",'Dvd Calendar'!$L$2667*1000000000+ISNUMBER('Dvd Calendar'!$L$2668)*100000000+('Dvd Calendar'!$L$2672='Field Check'!$C$25)*10000000+(N('Dvd Calendar'!$L$2666)&gt;0)*1000000+37*1000+48))</f>
        <v/>
      </c>
      <c r="AY193" s="41">
        <f>IF(N('Dvd Calendar'!$M$2667)=0,"",IF(('Dvd Calendar'!$M$2667&gt;=MIN(DATE(Summary!$C$12,1,1),Summary!$C$11))*('Dvd Calendar'!$M$2667&lt;=MAX(DATE(Summary!$C$12,12,31),Summary!$C$15))*('Dvd Calendar'!$M$2667&gt;Summary!$C$11)=0,"",'Dvd Calendar'!$M$2667*1000000000+ISNUMBER('Dvd Calendar'!$M$2668)*100000000+('Dvd Calendar'!$M$2672='Field Check'!$C$25)*10000000+(N('Dvd Calendar'!$M$2666)&gt;0)*1000000+37*1000+49))</f>
        <v/>
      </c>
      <c r="AZ193" s="41">
        <f>IF(N('Dvd Calendar'!$N$2667)=0,"",IF(('Dvd Calendar'!$N$2667&gt;=MIN(DATE(Summary!$C$12,1,1),Summary!$C$11))*('Dvd Calendar'!$N$2667&lt;=MAX(DATE(Summary!$C$12,12,31),Summary!$C$15))*('Dvd Calendar'!$N$2667&gt;Summary!$C$11)=0,"",'Dvd Calendar'!$N$2667*1000000000+ISNUMBER('Dvd Calendar'!$N$2668)*100000000+('Dvd Calendar'!$N$2672='Field Check'!$C$25)*10000000+(N('Dvd Calendar'!$N$2666)&gt;0)*1000000+37*1000+50))</f>
        <v/>
      </c>
      <c r="BA193" s="41">
        <f>IF(N('Dvd Calendar'!$O$2667)=0,"",IF(('Dvd Calendar'!$O$2667&gt;=MIN(DATE(Summary!$C$12,1,1),Summary!$C$11))*('Dvd Calendar'!$O$2667&lt;=MAX(DATE(Summary!$C$12,12,31),Summary!$C$15))*('Dvd Calendar'!$O$2667&gt;Summary!$C$11)=0,"",'Dvd Calendar'!$O$2667*1000000000+ISNUMBER('Dvd Calendar'!$O$2668)*100000000+('Dvd Calendar'!$O$2672='Field Check'!$C$25)*10000000+(N('Dvd Calendar'!$O$2666)&gt;0)*1000000+37*1000+51))</f>
        <v/>
      </c>
      <c r="BB193" s="41">
        <f>IF(N('Dvd Calendar'!$P$2667)=0,"",IF(('Dvd Calendar'!$P$2667&gt;=MIN(DATE(Summary!$C$12,1,1),Summary!$C$11))*('Dvd Calendar'!$P$2667&lt;=MAX(DATE(Summary!$C$12,12,31),Summary!$C$15))*('Dvd Calendar'!$P$2667&gt;Summary!$C$11)=0,"",'Dvd Calendar'!$P$2667*1000000000+ISNUMBER('Dvd Calendar'!$P$2668)*100000000+('Dvd Calendar'!$P$2672='Field Check'!$C$25)*10000000+(N('Dvd Calendar'!$P$2666)&gt;0)*1000000+37*1000+52))</f>
        <v/>
      </c>
      <c r="BC193" s="41">
        <f>IF(N('Dvd Calendar'!$Q$2667)=0,"",IF(('Dvd Calendar'!$Q$2667&gt;=MIN(DATE(Summary!$C$12,1,1),Summary!$C$11))*('Dvd Calendar'!$Q$2667&lt;=MAX(DATE(Summary!$C$12,12,31),Summary!$C$15))*('Dvd Calendar'!$Q$2667&gt;Summary!$C$11)=0,"",'Dvd Calendar'!$Q$2667*1000000000+ISNUMBER('Dvd Calendar'!$Q$2668)*100000000+('Dvd Calendar'!$Q$2672='Field Check'!$C$25)*10000000+(N('Dvd Calendar'!$Q$2666)&gt;0)*1000000+37*1000+53))</f>
        <v/>
      </c>
      <c r="BD193" s="41">
        <f>IF(N('Dvd Calendar'!$R$2667)=0,"",IF(('Dvd Calendar'!$R$2667&gt;=MIN(DATE(Summary!$C$12,1,1),Summary!$C$11))*('Dvd Calendar'!$R$2667&lt;=MAX(DATE(Summary!$C$12,12,31),Summary!$C$15))*('Dvd Calendar'!$R$2667&gt;Summary!$C$11)=0,"",'Dvd Calendar'!$R$2667*1000000000+ISNUMBER('Dvd Calendar'!$R$2668)*100000000+('Dvd Calendar'!$R$2672='Field Check'!$C$25)*10000000+(N('Dvd Calendar'!$R$2666)&gt;0)*1000000+37*1000+54))</f>
        <v/>
      </c>
      <c r="BE193" s="41">
        <f>IF(N('Dvd Calendar'!$S$2667)=0,"",IF(('Dvd Calendar'!$S$2667&gt;=MIN(DATE(Summary!$C$12,1,1),Summary!$C$11))*('Dvd Calendar'!$S$2667&lt;=MAX(DATE(Summary!$C$12,12,31),Summary!$C$15))*('Dvd Calendar'!$S$2667&gt;Summary!$C$11)=0,"",'Dvd Calendar'!$S$2667*1000000000+ISNUMBER('Dvd Calendar'!$S$2668)*100000000+('Dvd Calendar'!$S$2672='Field Check'!$C$25)*10000000+(N('Dvd Calendar'!$S$2666)&gt;0)*1000000+37*1000+55))</f>
        <v/>
      </c>
      <c r="BF193" s="41">
        <f>IF(N('Dvd Calendar'!$T$2667)=0,"",IF(('Dvd Calendar'!$T$2667&gt;=MIN(DATE(Summary!$C$12,1,1),Summary!$C$11))*('Dvd Calendar'!$T$2667&lt;=MAX(DATE(Summary!$C$12,12,31),Summary!$C$15))*('Dvd Calendar'!$T$2667&gt;Summary!$C$11)=0,"",'Dvd Calendar'!$T$2667*1000000000+ISNUMBER('Dvd Calendar'!$T$2668)*100000000+('Dvd Calendar'!$T$2672='Field Check'!$C$25)*10000000+(N('Dvd Calendar'!$T$2666)&gt;0)*1000000+37*1000+56))</f>
        <v/>
      </c>
      <c r="BG193" s="41">
        <f>IF(N('Dvd Calendar'!$U$2667)=0,"",IF(('Dvd Calendar'!$U$2667&gt;=MIN(DATE(Summary!$C$12,1,1),Summary!$C$11))*('Dvd Calendar'!$U$2667&lt;=MAX(DATE(Summary!$C$12,12,31),Summary!$C$15))*('Dvd Calendar'!$U$2667&gt;Summary!$C$11)=0,"",'Dvd Calendar'!$U$2667*1000000000+ISNUMBER('Dvd Calendar'!$U$2668)*100000000+('Dvd Calendar'!$U$2672='Field Check'!$C$25)*10000000+(N('Dvd Calendar'!$U$2666)&gt;0)*1000000+37*1000+57))</f>
        <v/>
      </c>
      <c r="BH193" s="41">
        <f>IF(N('Dvd Calendar'!$V$2667)=0,"",IF(('Dvd Calendar'!$V$2667&gt;=MIN(DATE(Summary!$C$12,1,1),Summary!$C$11))*('Dvd Calendar'!$V$2667&lt;=MAX(DATE(Summary!$C$12,12,31),Summary!$C$15))*('Dvd Calendar'!$V$2667&gt;Summary!$C$11)=0,"",'Dvd Calendar'!$V$2667*1000000000+ISNUMBER('Dvd Calendar'!$V$2668)*100000000+('Dvd Calendar'!$V$2672='Field Check'!$C$25)*10000000+(N('Dvd Calendar'!$V$2666)&gt;0)*1000000+37*1000+58))</f>
        <v/>
      </c>
      <c r="BI193" s="41">
        <f>IF(N('Dvd Calendar'!$W$2667)=0,"",IF(('Dvd Calendar'!$W$2667&gt;=MIN(DATE(Summary!$C$12,1,1),Summary!$C$11))*('Dvd Calendar'!$W$2667&lt;=MAX(DATE(Summary!$C$12,12,31),Summary!$C$15))*('Dvd Calendar'!$W$2667&gt;Summary!$C$11)=0,"",'Dvd Calendar'!$W$2667*1000000000+ISNUMBER('Dvd Calendar'!$W$2668)*100000000+('Dvd Calendar'!$W$2672='Field Check'!$C$25)*10000000+(N('Dvd Calendar'!$W$2666)&gt;0)*1000000+37*1000+59))</f>
        <v/>
      </c>
      <c r="BJ193" s="41">
        <f>IF(N('Dvd Calendar'!$X$2667)=0,"",IF(('Dvd Calendar'!$X$2667&gt;=MIN(DATE(Summary!$C$12,1,1),Summary!$C$11))*('Dvd Calendar'!$X$2667&lt;=MAX(DATE(Summary!$C$12,12,31),Summary!$C$15))*('Dvd Calendar'!$X$2667&gt;Summary!$C$11)=0,"",'Dvd Calendar'!$X$2667*1000000000+ISNUMBER('Dvd Calendar'!$X$2668)*100000000+('Dvd Calendar'!$X$2672='Field Check'!$C$25)*10000000+(N('Dvd Calendar'!$X$2666)&gt;0)*1000000+37*1000+60))</f>
        <v/>
      </c>
      <c r="BK193" s="41">
        <f>IF(N('Dvd Calendar'!$Y$2667)=0,"",IF(('Dvd Calendar'!$Y$2667&gt;=MIN(DATE(Summary!$C$12,1,1),Summary!$C$11))*('Dvd Calendar'!$Y$2667&lt;=MAX(DATE(Summary!$C$12,12,31),Summary!$C$15))*('Dvd Calendar'!$Y$2667&gt;Summary!$C$11)=0,"",'Dvd Calendar'!$Y$2667*1000000000+ISNUMBER('Dvd Calendar'!$Y$2668)*100000000+('Dvd Calendar'!$Y$2672='Field Check'!$C$25)*10000000+(N('Dvd Calendar'!$Y$2666)&gt;0)*1000000+37*1000+61))</f>
        <v/>
      </c>
      <c r="BL193" s="41">
        <f>IF(N('Dvd Calendar'!$Z$2667)=0,"",IF(('Dvd Calendar'!$Z$2667&gt;=MIN(DATE(Summary!$C$12,1,1),Summary!$C$11))*('Dvd Calendar'!$Z$2667&lt;=MAX(DATE(Summary!$C$12,12,31),Summary!$C$15))*('Dvd Calendar'!$Z$2667&gt;Summary!$C$11)=0,"",'Dvd Calendar'!$Z$2667*1000000000+ISNUMBER('Dvd Calendar'!$Z$2668)*100000000+('Dvd Calendar'!$Z$2672='Field Check'!$C$25)*10000000+(N('Dvd Calendar'!$Z$2666)&gt;0)*1000000+37*1000+62))</f>
        <v/>
      </c>
      <c r="BM193" s="41">
        <f>IF(N('Dvd Calendar'!$AA$2667)=0,"",IF(('Dvd Calendar'!$AA$2667&gt;=MIN(DATE(Summary!$C$12,1,1),Summary!$C$11))*('Dvd Calendar'!$AA$2667&lt;=MAX(DATE(Summary!$C$12,12,31),Summary!$C$15))*('Dvd Calendar'!$AA$2667&gt;Summary!$C$11)=0,"",'Dvd Calendar'!$AA$2667*1000000000+ISNUMBER('Dvd Calendar'!$AA$2668)*100000000+('Dvd Calendar'!$AA$2672='Field Check'!$C$25)*10000000+(N('Dvd Calendar'!$AA$2666)&gt;0)*1000000+37*1000+63))</f>
        <v/>
      </c>
      <c r="BN193" s="41">
        <f>IF(N('Dvd Calendar'!$AB$2667)=0,"",IF(('Dvd Calendar'!$AB$2667&gt;=MIN(DATE(Summary!$C$12,1,1),Summary!$C$11))*('Dvd Calendar'!$AB$2667&lt;=MAX(DATE(Summary!$C$12,12,31),Summary!$C$15))*('Dvd Calendar'!$AB$2667&gt;Summary!$C$11)=0,"",'Dvd Calendar'!$AB$2667*1000000000+ISNUMBER('Dvd Calendar'!$AB$2668)*100000000+('Dvd Calendar'!$AB$2672='Field Check'!$C$25)*10000000+(N('Dvd Calendar'!$AB$2666)&gt;0)*1000000+37*1000+64))</f>
        <v/>
      </c>
      <c r="BO193" s="41">
        <f>IF(N('Dvd Calendar'!$AC$2667)=0,"",IF(('Dvd Calendar'!$AC$2667&gt;=MIN(DATE(Summary!$C$12,1,1),Summary!$C$11))*('Dvd Calendar'!$AC$2667&lt;=MAX(DATE(Summary!$C$12,12,31),Summary!$C$15))*('Dvd Calendar'!$AC$2667&gt;Summary!$C$11)=0,"",'Dvd Calendar'!$AC$2667*1000000000+ISNUMBER('Dvd Calendar'!$AC$2668)*100000000+('Dvd Calendar'!$AC$2672='Field Check'!$C$25)*10000000+(N('Dvd Calendar'!$AC$2666)&gt;0)*1000000+37*1000+65))</f>
        <v/>
      </c>
      <c r="BQ193" s="85">
        <f>IF(C193="","",IF(ISNUMBER('Dvd Calendar'!$E$2661)=FALSE,"",IF((Summary!$C$13="N")*('Dvd Calendar'!$E$2665='Field Check'!$C$25)&gt;0,"",'Dvd Calendar'!$E$2661)))</f>
        <v/>
      </c>
      <c r="BR193" s="85">
        <f>IF(D193="","",IF(ISNUMBER('Dvd Calendar'!$F$2661)=FALSE,"",IF((Summary!$C$13="N")*('Dvd Calendar'!$F$2665='Field Check'!$C$25)&gt;0,"",'Dvd Calendar'!$F$2661)))</f>
        <v/>
      </c>
      <c r="BS193" s="85">
        <f>IF(E193="","",IF(ISNUMBER('Dvd Calendar'!$G$2661)=FALSE,"",IF((Summary!$C$13="N")*('Dvd Calendar'!$G$2665='Field Check'!$C$25)&gt;0,"",'Dvd Calendar'!$G$2661)))</f>
        <v/>
      </c>
      <c r="BT193" s="85">
        <f>IF(F193="","",IF(ISNUMBER('Dvd Calendar'!$H$2661)=FALSE,"",IF((Summary!$C$13="N")*('Dvd Calendar'!$H$2665='Field Check'!$C$25)&gt;0,"",'Dvd Calendar'!$H$2661)))</f>
        <v/>
      </c>
      <c r="BU193" s="85">
        <f>IF(G193="","",IF(ISNUMBER('Dvd Calendar'!$I$2661)=FALSE,"",IF((Summary!$C$13="N")*('Dvd Calendar'!$I$2665='Field Check'!$C$25)&gt;0,"",'Dvd Calendar'!$I$2661)))</f>
        <v/>
      </c>
      <c r="BV193" s="85">
        <f>IF(H193="","",IF(ISNUMBER('Dvd Calendar'!$J$2661)=FALSE,"",IF((Summary!$C$13="N")*('Dvd Calendar'!$J$2665='Field Check'!$C$25)&gt;0,"",'Dvd Calendar'!$J$2661)))</f>
        <v/>
      </c>
      <c r="BW193" s="85">
        <f>IF(I193="","",IF(ISNUMBER('Dvd Calendar'!$K$2661)=FALSE,"",IF((Summary!$C$13="N")*('Dvd Calendar'!$K$2665='Field Check'!$C$25)&gt;0,"",'Dvd Calendar'!$K$2661)))</f>
        <v/>
      </c>
      <c r="BX193" s="85">
        <f>IF(J193="","",IF(ISNUMBER('Dvd Calendar'!$L$2661)=FALSE,"",IF((Summary!$C$13="N")*('Dvd Calendar'!$L$2665='Field Check'!$C$25)&gt;0,"",'Dvd Calendar'!$L$2661)))</f>
        <v/>
      </c>
      <c r="BY193" s="85">
        <f>IF(K193="","",IF(ISNUMBER('Dvd Calendar'!$M$2661)=FALSE,"",IF((Summary!$C$13="N")*('Dvd Calendar'!$M$2665='Field Check'!$C$25)&gt;0,"",'Dvd Calendar'!$M$2661)))</f>
        <v/>
      </c>
      <c r="BZ193" s="85">
        <f>IF(L193="","",IF(ISNUMBER('Dvd Calendar'!$N$2661)=FALSE,"",IF((Summary!$C$13="N")*('Dvd Calendar'!$N$2665='Field Check'!$C$25)&gt;0,"",'Dvd Calendar'!$N$2661)))</f>
        <v/>
      </c>
      <c r="CA193" s="85">
        <f>IF(M193="","",IF(ISNUMBER('Dvd Calendar'!$O$2661)=FALSE,"",IF((Summary!$C$13="N")*('Dvd Calendar'!$O$2665='Field Check'!$C$25)&gt;0,"",'Dvd Calendar'!$O$2661)))</f>
        <v/>
      </c>
      <c r="CB193" s="85">
        <f>IF(N193="","",IF(ISNUMBER('Dvd Calendar'!$P$2661)=FALSE,"",IF((Summary!$C$13="N")*('Dvd Calendar'!$P$2665='Field Check'!$C$25)&gt;0,"",'Dvd Calendar'!$P$2661)))</f>
        <v/>
      </c>
      <c r="CC193" s="85">
        <f>IF(O193="","",IF(ISNUMBER('Dvd Calendar'!$Q$2661)=FALSE,"",IF((Summary!$C$13="N")*('Dvd Calendar'!$Q$2665='Field Check'!$C$25)&gt;0,"",'Dvd Calendar'!$Q$2661)))</f>
        <v/>
      </c>
      <c r="CD193" s="85">
        <f>IF(P193="","",IF(ISNUMBER('Dvd Calendar'!$R$2661)=FALSE,"",IF((Summary!$C$13="N")*('Dvd Calendar'!$R$2665='Field Check'!$C$25)&gt;0,"",'Dvd Calendar'!$R$2661)))</f>
        <v/>
      </c>
      <c r="CE193" s="85">
        <f>IF(Q193="","",IF(ISNUMBER('Dvd Calendar'!$S$2661)=FALSE,"",IF((Summary!$C$13="N")*('Dvd Calendar'!$S$2665='Field Check'!$C$25)&gt;0,"",'Dvd Calendar'!$S$2661)))</f>
        <v/>
      </c>
      <c r="CF193" s="85">
        <f>IF(R193="","",IF(ISNUMBER('Dvd Calendar'!$T$2661)=FALSE,"",IF((Summary!$C$13="N")*('Dvd Calendar'!$T$2665='Field Check'!$C$25)&gt;0,"",'Dvd Calendar'!$T$2661)))</f>
        <v/>
      </c>
      <c r="CG193" s="85">
        <f>IF(S193="","",IF(ISNUMBER('Dvd Calendar'!$U$2661)=FALSE,"",IF((Summary!$C$13="N")*('Dvd Calendar'!$U$2665='Field Check'!$C$25)&gt;0,"",'Dvd Calendar'!$U$2661)))</f>
        <v/>
      </c>
      <c r="CH193" s="85">
        <f>IF(T193="","",IF(ISNUMBER('Dvd Calendar'!$V$2661)=FALSE,"",IF((Summary!$C$13="N")*('Dvd Calendar'!$V$2665='Field Check'!$C$25)&gt;0,"",'Dvd Calendar'!$V$2661)))</f>
        <v/>
      </c>
      <c r="CI193" s="85">
        <f>IF(U193="","",IF(ISNUMBER('Dvd Calendar'!$W$2661)=FALSE,"",IF((Summary!$C$13="N")*('Dvd Calendar'!$W$2665='Field Check'!$C$25)&gt;0,"",'Dvd Calendar'!$W$2661)))</f>
        <v/>
      </c>
      <c r="CJ193" s="85">
        <f>IF(V193="","",IF(ISNUMBER('Dvd Calendar'!$X$2661)=FALSE,"",IF((Summary!$C$13="N")*('Dvd Calendar'!$X$2665='Field Check'!$C$25)&gt;0,"",'Dvd Calendar'!$X$2661)))</f>
        <v/>
      </c>
      <c r="CK193" s="85">
        <f>IF(W193="","",IF(ISNUMBER('Dvd Calendar'!$Y$2661)=FALSE,"",IF((Summary!$C$13="N")*('Dvd Calendar'!$Y$2665='Field Check'!$C$25)&gt;0,"",'Dvd Calendar'!$Y$2661)))</f>
        <v/>
      </c>
      <c r="CL193" s="85">
        <f>IF(X193="","",IF(ISNUMBER('Dvd Calendar'!$Z$2661)=FALSE,"",IF((Summary!$C$13="N")*('Dvd Calendar'!$Z$2665='Field Check'!$C$25)&gt;0,"",'Dvd Calendar'!$Z$2661)))</f>
        <v/>
      </c>
      <c r="CM193" s="85">
        <f>IF(Y193="","",IF(ISNUMBER('Dvd Calendar'!$AA$2661)=FALSE,"",IF((Summary!$C$13="N")*('Dvd Calendar'!$AA$2665='Field Check'!$C$25)&gt;0,"",'Dvd Calendar'!$AA$2661)))</f>
        <v/>
      </c>
      <c r="CN193" s="85">
        <f>IF(Z193="","",IF(ISNUMBER('Dvd Calendar'!$AB$2661)=FALSE,"",IF((Summary!$C$13="N")*('Dvd Calendar'!$AB$2665='Field Check'!$C$25)&gt;0,"",'Dvd Calendar'!$AB$2661)))</f>
        <v/>
      </c>
      <c r="CO193" s="85">
        <f>IF(AA193="","",IF(ISNUMBER('Dvd Calendar'!$AC$2661)=FALSE,"",IF((Summary!$C$13="N")*('Dvd Calendar'!$AC$2665='Field Check'!$C$25)&gt;0,"",'Dvd Calendar'!$AC$2661)))</f>
        <v/>
      </c>
      <c r="CP193" s="85">
        <f>IF(AB193="","",IF(ISNUMBER('Dvd Calendar'!$AD$2661)=FALSE,"",IF((Summary!$C$13="N")*('Dvd Calendar'!$AD$2665='Field Check'!$C$25)&gt;0,"",'Dvd Calendar'!$AD$2661)))</f>
        <v/>
      </c>
      <c r="CQ193" s="85">
        <f>IF(AC193="","",IF(ISNUMBER('Dvd Calendar'!$AE$2661)=FALSE,"",IF((Summary!$C$13="N")*('Dvd Calendar'!$AE$2665='Field Check'!$C$25)&gt;0,"",'Dvd Calendar'!$AE$2661)))</f>
        <v/>
      </c>
      <c r="CR193" s="85">
        <f>IF(AD193="","",IF(ISNUMBER('Dvd Calendar'!$AF$2661)=FALSE,"",IF((Summary!$C$13="N")*('Dvd Calendar'!$AF$2665='Field Check'!$C$25)&gt;0,"",'Dvd Calendar'!$AF$2661)))</f>
        <v/>
      </c>
      <c r="CS193" s="85">
        <f>IF(AE193="","",IF(ISNUMBER('Dvd Calendar'!$AG$2661)=FALSE,"",IF((Summary!$C$13="N")*('Dvd Calendar'!$AG$2665='Field Check'!$C$25)&gt;0,"",'Dvd Calendar'!$AG$2661)))</f>
        <v/>
      </c>
      <c r="CT193" s="85">
        <f>IF(AF193="","",IF(ISNUMBER('Dvd Calendar'!$AH$2661)=FALSE,"",IF((Summary!$C$13="N")*('Dvd Calendar'!$AH$2665='Field Check'!$C$25)&gt;0,"",'Dvd Calendar'!$AH$2661)))</f>
        <v/>
      </c>
      <c r="CU193" s="85">
        <f>IF(AG193="","",IF(ISNUMBER('Dvd Calendar'!$AI$2661)=FALSE,"",IF((Summary!$C$13="N")*('Dvd Calendar'!$AI$2665='Field Check'!$C$25)&gt;0,"",'Dvd Calendar'!$AI$2661)))</f>
        <v/>
      </c>
      <c r="CV193" s="85">
        <f>IF(AH193="","",IF(ISNUMBER('Dvd Calendar'!$AJ$2661)=FALSE,"",IF((Summary!$C$13="N")*('Dvd Calendar'!$AJ$2665='Field Check'!$C$25)&gt;0,"",'Dvd Calendar'!$AJ$2661)))</f>
        <v/>
      </c>
      <c r="CW193" s="85">
        <f>IF(AI193="","",IF(ISNUMBER('Dvd Calendar'!$AK$2661)=FALSE,"",IF((Summary!$C$13="N")*('Dvd Calendar'!$AK$2665='Field Check'!$C$25)&gt;0,"",'Dvd Calendar'!$AK$2661)))</f>
        <v/>
      </c>
      <c r="CX193" s="85">
        <f>IF(AJ193="","",IF(ISNUMBER('Dvd Calendar'!$AL$2661)=FALSE,"",IF((Summary!$C$13="N")*('Dvd Calendar'!$AL$2665='Field Check'!$C$25)&gt;0,"",'Dvd Calendar'!$AL$2661)))</f>
        <v/>
      </c>
      <c r="CY193" s="85">
        <f>IF(AK193="","",IF(ISNUMBER('Dvd Calendar'!$AM$2661)=FALSE,"",IF((Summary!$C$13="N")*('Dvd Calendar'!$AM$2665='Field Check'!$C$25)&gt;0,"",'Dvd Calendar'!$AM$2661)))</f>
        <v/>
      </c>
      <c r="CZ193" s="85">
        <f>IF(AL193="","",IF(ISNUMBER('Dvd Calendar'!$AN$2661)=FALSE,"",IF((Summary!$C$13="N")*('Dvd Calendar'!$AN$2665='Field Check'!$C$25)&gt;0,"",'Dvd Calendar'!$AN$2661)))</f>
        <v/>
      </c>
      <c r="DA193" s="85">
        <f>IF(AM193="","",IF(ISNUMBER('Dvd Calendar'!$AO$2661)=FALSE,"",IF((Summary!$C$13="N")*('Dvd Calendar'!$AO$2665='Field Check'!$C$25)&gt;0,"",'Dvd Calendar'!$AO$2661)))</f>
        <v/>
      </c>
      <c r="DB193" s="85">
        <f>IF(AN193="","",IF(ISNUMBER('Dvd Calendar'!$AP$2661)=FALSE,"",IF((Summary!$C$13="N")*('Dvd Calendar'!$AP$2665='Field Check'!$C$25)&gt;0,"",'Dvd Calendar'!$AP$2661)))</f>
        <v/>
      </c>
      <c r="DC193" s="85">
        <f>IF(AO193="","",IF(ISNUMBER('Dvd Calendar'!$AQ$2661)=FALSE,"",IF((Summary!$C$13="N")*('Dvd Calendar'!$AQ$2665='Field Check'!$C$25)&gt;0,"",'Dvd Calendar'!$AQ$2661)))</f>
        <v/>
      </c>
      <c r="DD193" s="85">
        <f>IF(AP193="","",IF(ISNUMBER('Dvd Calendar'!$AR$2661)=FALSE,"",IF((Summary!$C$13="N")*('Dvd Calendar'!$AR$2665='Field Check'!$C$25)&gt;0,"",'Dvd Calendar'!$AR$2661)))</f>
        <v/>
      </c>
      <c r="DE193" s="85">
        <f>IF(AQ193="","",IF(ISNUMBER('Dvd Calendar'!$E$2668)=FALSE,"",IF((Summary!$C$13="N")*('Dvd Calendar'!$E$2672='Field Check'!$C$25)&gt;0,"",'Dvd Calendar'!$E$2668)))</f>
        <v/>
      </c>
      <c r="DF193" s="85">
        <f>IF(AR193="","",IF(ISNUMBER('Dvd Calendar'!$F$2668)=FALSE,"",IF((Summary!$C$13="N")*('Dvd Calendar'!$F$2672='Field Check'!$C$25)&gt;0,"",'Dvd Calendar'!$F$2668)))</f>
        <v/>
      </c>
      <c r="DG193" s="85">
        <f>IF(AS193="","",IF(ISNUMBER('Dvd Calendar'!$G$2668)=FALSE,"",IF((Summary!$C$13="N")*('Dvd Calendar'!$G$2672='Field Check'!$C$25)&gt;0,"",'Dvd Calendar'!$G$2668)))</f>
        <v/>
      </c>
      <c r="DH193" s="85">
        <f>IF(AT193="","",IF(ISNUMBER('Dvd Calendar'!$H$2668)=FALSE,"",IF((Summary!$C$13="N")*('Dvd Calendar'!$H$2672='Field Check'!$C$25)&gt;0,"",'Dvd Calendar'!$H$2668)))</f>
        <v/>
      </c>
      <c r="DI193" s="85">
        <f>IF(AU193="","",IF(ISNUMBER('Dvd Calendar'!$I$2668)=FALSE,"",IF((Summary!$C$13="N")*('Dvd Calendar'!$I$2672='Field Check'!$C$25)&gt;0,"",'Dvd Calendar'!$I$2668)))</f>
        <v/>
      </c>
      <c r="DJ193" s="85">
        <f>IF(AV193="","",IF(ISNUMBER('Dvd Calendar'!$J$2668)=FALSE,"",IF((Summary!$C$13="N")*('Dvd Calendar'!$J$2672='Field Check'!$C$25)&gt;0,"",'Dvd Calendar'!$J$2668)))</f>
        <v/>
      </c>
      <c r="DK193" s="85">
        <f>IF(AW193="","",IF(ISNUMBER('Dvd Calendar'!$K$2668)=FALSE,"",IF((Summary!$C$13="N")*('Dvd Calendar'!$K$2672='Field Check'!$C$25)&gt;0,"",'Dvd Calendar'!$K$2668)))</f>
        <v/>
      </c>
      <c r="DL193" s="85">
        <f>IF(AX193="","",IF(ISNUMBER('Dvd Calendar'!$L$2668)=FALSE,"",IF((Summary!$C$13="N")*('Dvd Calendar'!$L$2672='Field Check'!$C$25)&gt;0,"",'Dvd Calendar'!$L$2668)))</f>
        <v/>
      </c>
      <c r="DM193" s="85">
        <f>IF(AY193="","",IF(ISNUMBER('Dvd Calendar'!$M$2668)=FALSE,"",IF((Summary!$C$13="N")*('Dvd Calendar'!$M$2672='Field Check'!$C$25)&gt;0,"",'Dvd Calendar'!$M$2668)))</f>
        <v/>
      </c>
      <c r="DN193" s="85">
        <f>IF(AZ193="","",IF(ISNUMBER('Dvd Calendar'!$N$2668)=FALSE,"",IF((Summary!$C$13="N")*('Dvd Calendar'!$N$2672='Field Check'!$C$25)&gt;0,"",'Dvd Calendar'!$N$2668)))</f>
        <v/>
      </c>
      <c r="DO193" s="85">
        <f>IF(BA193="","",IF(ISNUMBER('Dvd Calendar'!$O$2668)=FALSE,"",IF((Summary!$C$13="N")*('Dvd Calendar'!$O$2672='Field Check'!$C$25)&gt;0,"",'Dvd Calendar'!$O$2668)))</f>
        <v/>
      </c>
      <c r="DP193" s="85">
        <f>IF(BB193="","",IF(ISNUMBER('Dvd Calendar'!$P$2668)=FALSE,"",IF((Summary!$C$13="N")*('Dvd Calendar'!$P$2672='Field Check'!$C$25)&gt;0,"",'Dvd Calendar'!$P$2668)))</f>
        <v/>
      </c>
      <c r="DQ193" s="85">
        <f>IF(BC193="","",IF(ISNUMBER('Dvd Calendar'!$Q$2668)=FALSE,"",IF((Summary!$C$13="N")*('Dvd Calendar'!$Q$2672='Field Check'!$C$25)&gt;0,"",'Dvd Calendar'!$Q$2668)))</f>
        <v/>
      </c>
      <c r="DR193" s="85">
        <f>IF(BD193="","",IF(ISNUMBER('Dvd Calendar'!$R$2668)=FALSE,"",IF((Summary!$C$13="N")*('Dvd Calendar'!$R$2672='Field Check'!$C$25)&gt;0,"",'Dvd Calendar'!$R$2668)))</f>
        <v/>
      </c>
      <c r="DS193" s="85">
        <f>IF(BE193="","",IF(ISNUMBER('Dvd Calendar'!$S$2668)=FALSE,"",IF((Summary!$C$13="N")*('Dvd Calendar'!$S$2672='Field Check'!$C$25)&gt;0,"",'Dvd Calendar'!$S$2668)))</f>
        <v/>
      </c>
      <c r="DT193" s="85">
        <f>IF(BF193="","",IF(ISNUMBER('Dvd Calendar'!$T$2668)=FALSE,"",IF((Summary!$C$13="N")*('Dvd Calendar'!$T$2672='Field Check'!$C$25)&gt;0,"",'Dvd Calendar'!$T$2668)))</f>
        <v/>
      </c>
      <c r="DU193" s="85">
        <f>IF(BG193="","",IF(ISNUMBER('Dvd Calendar'!$U$2668)=FALSE,"",IF((Summary!$C$13="N")*('Dvd Calendar'!$U$2672='Field Check'!$C$25)&gt;0,"",'Dvd Calendar'!$U$2668)))</f>
        <v/>
      </c>
      <c r="DV193" s="85">
        <f>IF(BH193="","",IF(ISNUMBER('Dvd Calendar'!$V$2668)=FALSE,"",IF((Summary!$C$13="N")*('Dvd Calendar'!$V$2672='Field Check'!$C$25)&gt;0,"",'Dvd Calendar'!$V$2668)))</f>
        <v/>
      </c>
      <c r="DW193" s="85">
        <f>IF(BI193="","",IF(ISNUMBER('Dvd Calendar'!$W$2668)=FALSE,"",IF((Summary!$C$13="N")*('Dvd Calendar'!$W$2672='Field Check'!$C$25)&gt;0,"",'Dvd Calendar'!$W$2668)))</f>
        <v/>
      </c>
      <c r="DX193" s="85">
        <f>IF(BJ193="","",IF(ISNUMBER('Dvd Calendar'!$X$2668)=FALSE,"",IF((Summary!$C$13="N")*('Dvd Calendar'!$X$2672='Field Check'!$C$25)&gt;0,"",'Dvd Calendar'!$X$2668)))</f>
        <v/>
      </c>
      <c r="DY193" s="85">
        <f>IF(BK193="","",IF(ISNUMBER('Dvd Calendar'!$Y$2668)=FALSE,"",IF((Summary!$C$13="N")*('Dvd Calendar'!$Y$2672='Field Check'!$C$25)&gt;0,"",'Dvd Calendar'!$Y$2668)))</f>
        <v/>
      </c>
      <c r="DZ193" s="85">
        <f>IF(BL193="","",IF(ISNUMBER('Dvd Calendar'!$Z$2668)=FALSE,"",IF((Summary!$C$13="N")*('Dvd Calendar'!$Z$2672='Field Check'!$C$25)&gt;0,"",'Dvd Calendar'!$Z$2668)))</f>
        <v/>
      </c>
      <c r="EA193" s="85">
        <f>IF(BM193="","",IF(ISNUMBER('Dvd Calendar'!$AA$2668)=FALSE,"",IF((Summary!$C$13="N")*('Dvd Calendar'!$AA$2672='Field Check'!$C$25)&gt;0,"",'Dvd Calendar'!$AA$2668)))</f>
        <v/>
      </c>
      <c r="EB193" s="85">
        <f>IF(BN193="","",IF(ISNUMBER('Dvd Calendar'!$AB$2668)=FALSE,"",IF((Summary!$C$13="N")*('Dvd Calendar'!$AB$2672='Field Check'!$C$25)&gt;0,"",'Dvd Calendar'!$AB$2668)))</f>
        <v/>
      </c>
      <c r="EC193" s="85">
        <f>IF(BO193="","",IF(ISNUMBER('Dvd Calendar'!$AC$2668)=FALSE,"",IF((Summary!$C$13="N")*('Dvd Calendar'!$AC$2672='Field Check'!$C$25)&gt;0,"",'Dvd Calendar'!$AC$2668)))</f>
        <v/>
      </c>
      <c r="EE193" s="85">
        <f>IF(BQ193="","",IFERROR(BQ193*HSCEI!$B$43*HSCEI!$G$43/HSCEI!$B$3,""))</f>
        <v/>
      </c>
      <c r="EF193" s="85">
        <f>IF(BR193="","",IFERROR(BR193*HSCEI!$B$43*HSCEI!$G$43/HSCEI!$B$3,""))</f>
        <v/>
      </c>
      <c r="EG193" s="85">
        <f>IF(BS193="","",IFERROR(BS193*HSCEI!$B$43*HSCEI!$G$43/HSCEI!$B$3,""))</f>
        <v/>
      </c>
      <c r="EH193" s="85">
        <f>IF(BT193="","",IFERROR(BT193*HSCEI!$B$43*HSCEI!$G$43/HSCEI!$B$3,""))</f>
        <v/>
      </c>
      <c r="EI193" s="85">
        <f>IF(BU193="","",IFERROR(BU193*HSCEI!$B$43*HSCEI!$G$43/HSCEI!$B$3,""))</f>
        <v/>
      </c>
      <c r="EJ193" s="85">
        <f>IF(BV193="","",IFERROR(BV193*HSCEI!$B$43*HSCEI!$G$43/HSCEI!$B$3,""))</f>
        <v/>
      </c>
      <c r="EK193" s="85">
        <f>IF(BW193="","",IFERROR(BW193*HSCEI!$B$43*HSCEI!$G$43/HSCEI!$B$3,""))</f>
        <v/>
      </c>
      <c r="EL193" s="85">
        <f>IF(BX193="","",IFERROR(BX193*HSCEI!$B$43*HSCEI!$G$43/HSCEI!$B$3,""))</f>
        <v/>
      </c>
      <c r="EM193" s="85">
        <f>IF(BY193="","",IFERROR(BY193*HSCEI!$B$43*HSCEI!$G$43/HSCEI!$B$3,""))</f>
        <v/>
      </c>
      <c r="EN193" s="85">
        <f>IF(BZ193="","",IFERROR(BZ193*HSCEI!$B$43*HSCEI!$G$43/HSCEI!$B$3,""))</f>
        <v/>
      </c>
      <c r="EO193" s="85">
        <f>IF(CA193="","",IFERROR(CA193*HSCEI!$B$43*HSCEI!$G$43/HSCEI!$B$3,""))</f>
        <v/>
      </c>
      <c r="EP193" s="85">
        <f>IF(CB193="","",IFERROR(CB193*HSCEI!$B$43*HSCEI!$G$43/HSCEI!$B$3,""))</f>
        <v/>
      </c>
      <c r="EQ193" s="85">
        <f>IF(CC193="","",IFERROR(CC193*HSCEI!$B$43*HSCEI!$G$43/HSCEI!$B$3,""))</f>
        <v/>
      </c>
      <c r="ER193" s="85">
        <f>IF(CD193="","",IFERROR(CD193*HSCEI!$B$43*HSCEI!$G$43/HSCEI!$B$3,""))</f>
        <v/>
      </c>
      <c r="ES193" s="85">
        <f>IF(CE193="","",IFERROR(CE193*HSCEI!$B$43*HSCEI!$G$43/HSCEI!$B$3,""))</f>
        <v/>
      </c>
      <c r="ET193" s="85">
        <f>IF(CF193="","",IFERROR(CF193*HSCEI!$B$43*HSCEI!$G$43/HSCEI!$B$3,""))</f>
        <v/>
      </c>
      <c r="EU193" s="85">
        <f>IF(CG193="","",IFERROR(CG193*HSCEI!$B$43*HSCEI!$G$43/HSCEI!$B$3,""))</f>
        <v/>
      </c>
      <c r="EV193" s="85">
        <f>IF(CH193="","",IFERROR(CH193*HSCEI!$B$43*HSCEI!$G$43/HSCEI!$B$3,""))</f>
        <v/>
      </c>
      <c r="EW193" s="85">
        <f>IF(CI193="","",IFERROR(CI193*HSCEI!$B$43*HSCEI!$G$43/HSCEI!$B$3,""))</f>
        <v/>
      </c>
      <c r="EX193" s="85">
        <f>IF(CJ193="","",IFERROR(CJ193*HSCEI!$B$43*HSCEI!$G$43/HSCEI!$B$3,""))</f>
        <v/>
      </c>
      <c r="EY193" s="85">
        <f>IF(CK193="","",IFERROR(CK193*HSCEI!$B$43*HSCEI!$G$43/HSCEI!$B$3,""))</f>
        <v/>
      </c>
      <c r="EZ193" s="85">
        <f>IF(CL193="","",IFERROR(CL193*HSCEI!$B$43*HSCEI!$G$43/HSCEI!$B$3,""))</f>
        <v/>
      </c>
      <c r="FA193" s="85">
        <f>IF(CM193="","",IFERROR(CM193*HSCEI!$B$43*HSCEI!$G$43/HSCEI!$B$3,""))</f>
        <v/>
      </c>
      <c r="FB193" s="85">
        <f>IF(CN193="","",IFERROR(CN193*HSCEI!$B$43*HSCEI!$G$43/HSCEI!$B$3,""))</f>
        <v/>
      </c>
      <c r="FC193" s="85">
        <f>IF(CO193="","",IFERROR(CO193*HSCEI!$B$43*HSCEI!$G$43/HSCEI!$B$3,""))</f>
        <v/>
      </c>
      <c r="FD193" s="85">
        <f>IF(CP193="","",IFERROR(CP193*HSCEI!$B$43*HSCEI!$G$43/HSCEI!$B$3,""))</f>
        <v/>
      </c>
      <c r="FE193" s="85">
        <f>IF(CQ193="","",IFERROR(CQ193*HSCEI!$B$43*HSCEI!$G$43/HSCEI!$B$3,""))</f>
        <v/>
      </c>
      <c r="FF193" s="85">
        <f>IF(CR193="","",IFERROR(CR193*HSCEI!$B$43*HSCEI!$G$43/HSCEI!$B$3,""))</f>
        <v/>
      </c>
      <c r="FG193" s="85">
        <f>IF(CS193="","",IFERROR(CS193*HSCEI!$B$43*HSCEI!$G$43/HSCEI!$B$3,""))</f>
        <v/>
      </c>
      <c r="FH193" s="85">
        <f>IF(CT193="","",IFERROR(CT193*HSCEI!$B$43*HSCEI!$G$43/HSCEI!$B$3,""))</f>
        <v/>
      </c>
      <c r="FI193" s="85">
        <f>IF(CU193="","",IFERROR(CU193*HSCEI!$B$43*HSCEI!$G$43/HSCEI!$B$3,""))</f>
        <v/>
      </c>
      <c r="FJ193" s="85">
        <f>IF(CV193="","",IFERROR(CV193*HSCEI!$B$43*HSCEI!$G$43/HSCEI!$B$3,""))</f>
        <v/>
      </c>
      <c r="FK193" s="85">
        <f>IF(CW193="","",IFERROR(CW193*HSCEI!$B$43*HSCEI!$G$43/HSCEI!$B$3,""))</f>
        <v/>
      </c>
      <c r="FL193" s="85">
        <f>IF(CX193="","",IFERROR(CX193*HSCEI!$B$43*HSCEI!$G$43/HSCEI!$B$3,""))</f>
        <v/>
      </c>
      <c r="FM193" s="85">
        <f>IF(CY193="","",IFERROR(CY193*HSCEI!$B$43*HSCEI!$G$43/HSCEI!$B$3,""))</f>
        <v/>
      </c>
      <c r="FN193" s="85">
        <f>IF(CZ193="","",IFERROR(CZ193*HSCEI!$B$43*HSCEI!$G$43/HSCEI!$B$3,""))</f>
        <v/>
      </c>
      <c r="FO193" s="85">
        <f>IF(DA193="","",IFERROR(DA193*HSCEI!$B$43*HSCEI!$G$43/HSCEI!$B$3,""))</f>
        <v/>
      </c>
      <c r="FP193" s="85">
        <f>IF(DB193="","",IFERROR(DB193*HSCEI!$B$43*HSCEI!$G$43/HSCEI!$B$3,""))</f>
        <v/>
      </c>
      <c r="FQ193" s="85">
        <f>IF(DC193="","",IFERROR(DC193*HSCEI!$B$43*HSCEI!$G$43/HSCEI!$B$3,""))</f>
        <v/>
      </c>
      <c r="FR193" s="85">
        <f>IF(DD193="","",IFERROR(DD193*HSCEI!$B$43*HSCEI!$G$43/HSCEI!$B$3,""))</f>
        <v/>
      </c>
      <c r="FS193" s="85">
        <f>IF(DE193="","",IFERROR(DE193*HSCEI!$B$43*HSCEI!$G$43/HSCEI!$B$3,""))</f>
        <v/>
      </c>
      <c r="FT193" s="85">
        <f>IF(DF193="","",IFERROR(DF193*HSCEI!$B$43*HSCEI!$G$43/HSCEI!$B$3,""))</f>
        <v/>
      </c>
      <c r="FU193" s="85">
        <f>IF(DG193="","",IFERROR(DG193*HSCEI!$B$43*HSCEI!$G$43/HSCEI!$B$3,""))</f>
        <v/>
      </c>
      <c r="FV193" s="85">
        <f>IF(DH193="","",IFERROR(DH193*HSCEI!$B$43*HSCEI!$G$43/HSCEI!$B$3,""))</f>
        <v/>
      </c>
      <c r="FW193" s="85">
        <f>IF(DI193="","",IFERROR(DI193*HSCEI!$B$43*HSCEI!$G$43/HSCEI!$B$3,""))</f>
        <v/>
      </c>
      <c r="FX193" s="85">
        <f>IF(DJ193="","",IFERROR(DJ193*HSCEI!$B$43*HSCEI!$G$43/HSCEI!$B$3,""))</f>
        <v/>
      </c>
      <c r="FY193" s="85">
        <f>IF(DK193="","",IFERROR(DK193*HSCEI!$B$43*HSCEI!$G$43/HSCEI!$B$3,""))</f>
        <v/>
      </c>
      <c r="FZ193" s="85">
        <f>IF(DL193="","",IFERROR(DL193*HSCEI!$B$43*HSCEI!$G$43/HSCEI!$B$3,""))</f>
        <v/>
      </c>
      <c r="GA193" s="85">
        <f>IF(DM193="","",IFERROR(DM193*HSCEI!$B$43*HSCEI!$G$43/HSCEI!$B$3,""))</f>
        <v/>
      </c>
      <c r="GB193" s="85">
        <f>IF(DN193="","",IFERROR(DN193*HSCEI!$B$43*HSCEI!$G$43/HSCEI!$B$3,""))</f>
        <v/>
      </c>
      <c r="GC193" s="85">
        <f>IF(DO193="","",IFERROR(DO193*HSCEI!$B$43*HSCEI!$G$43/HSCEI!$B$3,""))</f>
        <v/>
      </c>
      <c r="GD193" s="85">
        <f>IF(DP193="","",IFERROR(DP193*HSCEI!$B$43*HSCEI!$G$43/HSCEI!$B$3,""))</f>
        <v/>
      </c>
      <c r="GE193" s="85">
        <f>IF(DQ193="","",IFERROR(DQ193*HSCEI!$B$43*HSCEI!$G$43/HSCEI!$B$3,""))</f>
        <v/>
      </c>
      <c r="GF193" s="85">
        <f>IF(DR193="","",IFERROR(DR193*HSCEI!$B$43*HSCEI!$G$43/HSCEI!$B$3,""))</f>
        <v/>
      </c>
      <c r="GG193" s="85">
        <f>IF(DS193="","",IFERROR(DS193*HSCEI!$B$43*HSCEI!$G$43/HSCEI!$B$3,""))</f>
        <v/>
      </c>
      <c r="GH193" s="85">
        <f>IF(DT193="","",IFERROR(DT193*HSCEI!$B$43*HSCEI!$G$43/HSCEI!$B$3,""))</f>
        <v/>
      </c>
      <c r="GI193" s="85">
        <f>IF(DU193="","",IFERROR(DU193*HSCEI!$B$43*HSCEI!$G$43/HSCEI!$B$3,""))</f>
        <v/>
      </c>
      <c r="GJ193" s="85">
        <f>IF(DV193="","",IFERROR(DV193*HSCEI!$B$43*HSCEI!$G$43/HSCEI!$B$3,""))</f>
        <v/>
      </c>
      <c r="GK193" s="85">
        <f>IF(DW193="","",IFERROR(DW193*HSCEI!$B$43*HSCEI!$G$43/HSCEI!$B$3,""))</f>
        <v/>
      </c>
      <c r="GL193" s="85">
        <f>IF(DX193="","",IFERROR(DX193*HSCEI!$B$43*HSCEI!$G$43/HSCEI!$B$3,""))</f>
        <v/>
      </c>
      <c r="GM193" s="85">
        <f>IF(DY193="","",IFERROR(DY193*HSCEI!$B$43*HSCEI!$G$43/HSCEI!$B$3,""))</f>
        <v/>
      </c>
      <c r="GN193" s="85">
        <f>IF(DZ193="","",IFERROR(DZ193*HSCEI!$B$43*HSCEI!$G$43/HSCEI!$B$3,""))</f>
        <v/>
      </c>
      <c r="GO193" s="85">
        <f>IF(EA193="","",IFERROR(EA193*HSCEI!$B$43*HSCEI!$G$43/HSCEI!$B$3,""))</f>
        <v/>
      </c>
      <c r="GP193" s="85">
        <f>IF(EB193="","",IFERROR(EB193*HSCEI!$B$43*HSCEI!$G$43/HSCEI!$B$3,""))</f>
        <v/>
      </c>
      <c r="GQ193" s="85">
        <f>IF(EC193="","",IFERROR(EC193*HSCEI!$B$43*HSCEI!$G$43/HSCEI!$B$3,""))</f>
        <v/>
      </c>
    </row>
    <row r="194">
      <c r="B194" s="2">
        <f>IF(HSCEI!$C$44="","",HSCEI!$C$44)</f>
        <v/>
      </c>
      <c r="C194" s="41">
        <f>IF(N('Dvd Calendar'!$E$2675)=0,"",IF(('Dvd Calendar'!$E$2675&gt;=MIN(DATE(Summary!$C$12,1,1),Summary!$C$11))*('Dvd Calendar'!$E$2675&lt;=MAX(DATE(Summary!$C$12,12,31),Summary!$C$15))*('Dvd Calendar'!$E$2675&lt;=Summary!$C$11)=0,"",'Dvd Calendar'!$E$2675*1000000000+ISNUMBER('Dvd Calendar'!$E$2676)*100000000+('Dvd Calendar'!$E$2680='Field Check'!$C$25)*10000000+(N('Dvd Calendar'!$E$2674)&gt;0)*1000000+38*1000+1))</f>
        <v/>
      </c>
      <c r="D194" s="41">
        <f>IF(N('Dvd Calendar'!$F$2675)=0,"",IF(('Dvd Calendar'!$F$2675&gt;=MIN(DATE(Summary!$C$12,1,1),Summary!$C$11))*('Dvd Calendar'!$F$2675&lt;=MAX(DATE(Summary!$C$12,12,31),Summary!$C$15))*('Dvd Calendar'!$F$2675&lt;=Summary!$C$11)=0,"",'Dvd Calendar'!$F$2675*1000000000+ISNUMBER('Dvd Calendar'!$F$2676)*100000000+('Dvd Calendar'!$F$2680='Field Check'!$C$25)*10000000+(N('Dvd Calendar'!$F$2674)&gt;0)*1000000+38*1000+2))</f>
        <v/>
      </c>
      <c r="E194" s="41">
        <f>IF(N('Dvd Calendar'!$G$2675)=0,"",IF(('Dvd Calendar'!$G$2675&gt;=MIN(DATE(Summary!$C$12,1,1),Summary!$C$11))*('Dvd Calendar'!$G$2675&lt;=MAX(DATE(Summary!$C$12,12,31),Summary!$C$15))*('Dvd Calendar'!$G$2675&lt;=Summary!$C$11)=0,"",'Dvd Calendar'!$G$2675*1000000000+ISNUMBER('Dvd Calendar'!$G$2676)*100000000+('Dvd Calendar'!$G$2680='Field Check'!$C$25)*10000000+(N('Dvd Calendar'!$G$2674)&gt;0)*1000000+38*1000+3))</f>
        <v/>
      </c>
      <c r="F194" s="41">
        <f>IF(N('Dvd Calendar'!$H$2675)=0,"",IF(('Dvd Calendar'!$H$2675&gt;=MIN(DATE(Summary!$C$12,1,1),Summary!$C$11))*('Dvd Calendar'!$H$2675&lt;=MAX(DATE(Summary!$C$12,12,31),Summary!$C$15))*('Dvd Calendar'!$H$2675&lt;=Summary!$C$11)=0,"",'Dvd Calendar'!$H$2675*1000000000+ISNUMBER('Dvd Calendar'!$H$2676)*100000000+('Dvd Calendar'!$H$2680='Field Check'!$C$25)*10000000+(N('Dvd Calendar'!$H$2674)&gt;0)*1000000+38*1000+4))</f>
        <v/>
      </c>
      <c r="G194" s="41">
        <f>IF(N('Dvd Calendar'!$I$2675)=0,"",IF(('Dvd Calendar'!$I$2675&gt;=MIN(DATE(Summary!$C$12,1,1),Summary!$C$11))*('Dvd Calendar'!$I$2675&lt;=MAX(DATE(Summary!$C$12,12,31),Summary!$C$15))*('Dvd Calendar'!$I$2675&lt;=Summary!$C$11)=0,"",'Dvd Calendar'!$I$2675*1000000000+ISNUMBER('Dvd Calendar'!$I$2676)*100000000+('Dvd Calendar'!$I$2680='Field Check'!$C$25)*10000000+(N('Dvd Calendar'!$I$2674)&gt;0)*1000000+38*1000+5))</f>
        <v/>
      </c>
      <c r="H194" s="41">
        <f>IF(N('Dvd Calendar'!$J$2675)=0,"",IF(('Dvd Calendar'!$J$2675&gt;=MIN(DATE(Summary!$C$12,1,1),Summary!$C$11))*('Dvd Calendar'!$J$2675&lt;=MAX(DATE(Summary!$C$12,12,31),Summary!$C$15))*('Dvd Calendar'!$J$2675&lt;=Summary!$C$11)=0,"",'Dvd Calendar'!$J$2675*1000000000+ISNUMBER('Dvd Calendar'!$J$2676)*100000000+('Dvd Calendar'!$J$2680='Field Check'!$C$25)*10000000+(N('Dvd Calendar'!$J$2674)&gt;0)*1000000+38*1000+6))</f>
        <v/>
      </c>
      <c r="I194" s="41">
        <f>IF(N('Dvd Calendar'!$K$2675)=0,"",IF(('Dvd Calendar'!$K$2675&gt;=MIN(DATE(Summary!$C$12,1,1),Summary!$C$11))*('Dvd Calendar'!$K$2675&lt;=MAX(DATE(Summary!$C$12,12,31),Summary!$C$15))*('Dvd Calendar'!$K$2675&lt;=Summary!$C$11)=0,"",'Dvd Calendar'!$K$2675*1000000000+ISNUMBER('Dvd Calendar'!$K$2676)*100000000+('Dvd Calendar'!$K$2680='Field Check'!$C$25)*10000000+(N('Dvd Calendar'!$K$2674)&gt;0)*1000000+38*1000+7))</f>
        <v/>
      </c>
      <c r="J194" s="41">
        <f>IF(N('Dvd Calendar'!$L$2675)=0,"",IF(('Dvd Calendar'!$L$2675&gt;=MIN(DATE(Summary!$C$12,1,1),Summary!$C$11))*('Dvd Calendar'!$L$2675&lt;=MAX(DATE(Summary!$C$12,12,31),Summary!$C$15))*('Dvd Calendar'!$L$2675&lt;=Summary!$C$11)=0,"",'Dvd Calendar'!$L$2675*1000000000+ISNUMBER('Dvd Calendar'!$L$2676)*100000000+('Dvd Calendar'!$L$2680='Field Check'!$C$25)*10000000+(N('Dvd Calendar'!$L$2674)&gt;0)*1000000+38*1000+8))</f>
        <v/>
      </c>
      <c r="K194" s="41">
        <f>IF(N('Dvd Calendar'!$M$2675)=0,"",IF(('Dvd Calendar'!$M$2675&gt;=MIN(DATE(Summary!$C$12,1,1),Summary!$C$11))*('Dvd Calendar'!$M$2675&lt;=MAX(DATE(Summary!$C$12,12,31),Summary!$C$15))*('Dvd Calendar'!$M$2675&lt;=Summary!$C$11)=0,"",'Dvd Calendar'!$M$2675*1000000000+ISNUMBER('Dvd Calendar'!$M$2676)*100000000+('Dvd Calendar'!$M$2680='Field Check'!$C$25)*10000000+(N('Dvd Calendar'!$M$2674)&gt;0)*1000000+38*1000+9))</f>
        <v/>
      </c>
      <c r="L194" s="41">
        <f>IF(N('Dvd Calendar'!$N$2675)=0,"",IF(('Dvd Calendar'!$N$2675&gt;=MIN(DATE(Summary!$C$12,1,1),Summary!$C$11))*('Dvd Calendar'!$N$2675&lt;=MAX(DATE(Summary!$C$12,12,31),Summary!$C$15))*('Dvd Calendar'!$N$2675&lt;=Summary!$C$11)=0,"",'Dvd Calendar'!$N$2675*1000000000+ISNUMBER('Dvd Calendar'!$N$2676)*100000000+('Dvd Calendar'!$N$2680='Field Check'!$C$25)*10000000+(N('Dvd Calendar'!$N$2674)&gt;0)*1000000+38*1000+10))</f>
        <v/>
      </c>
      <c r="M194" s="41">
        <f>IF(N('Dvd Calendar'!$O$2675)=0,"",IF(('Dvd Calendar'!$O$2675&gt;=MIN(DATE(Summary!$C$12,1,1),Summary!$C$11))*('Dvd Calendar'!$O$2675&lt;=MAX(DATE(Summary!$C$12,12,31),Summary!$C$15))*('Dvd Calendar'!$O$2675&lt;=Summary!$C$11)=0,"",'Dvd Calendar'!$O$2675*1000000000+ISNUMBER('Dvd Calendar'!$O$2676)*100000000+('Dvd Calendar'!$O$2680='Field Check'!$C$25)*10000000+(N('Dvd Calendar'!$O$2674)&gt;0)*1000000+38*1000+11))</f>
        <v/>
      </c>
      <c r="N194" s="41">
        <f>IF(N('Dvd Calendar'!$P$2675)=0,"",IF(('Dvd Calendar'!$P$2675&gt;=MIN(DATE(Summary!$C$12,1,1),Summary!$C$11))*('Dvd Calendar'!$P$2675&lt;=MAX(DATE(Summary!$C$12,12,31),Summary!$C$15))*('Dvd Calendar'!$P$2675&lt;=Summary!$C$11)=0,"",'Dvd Calendar'!$P$2675*1000000000+ISNUMBER('Dvd Calendar'!$P$2676)*100000000+('Dvd Calendar'!$P$2680='Field Check'!$C$25)*10000000+(N('Dvd Calendar'!$P$2674)&gt;0)*1000000+38*1000+12))</f>
        <v/>
      </c>
      <c r="O194" s="41">
        <f>IF(N('Dvd Calendar'!$Q$2675)=0,"",IF(('Dvd Calendar'!$Q$2675&gt;=MIN(DATE(Summary!$C$12,1,1),Summary!$C$11))*('Dvd Calendar'!$Q$2675&lt;=MAX(DATE(Summary!$C$12,12,31),Summary!$C$15))*('Dvd Calendar'!$Q$2675&lt;=Summary!$C$11)=0,"",'Dvd Calendar'!$Q$2675*1000000000+ISNUMBER('Dvd Calendar'!$Q$2676)*100000000+('Dvd Calendar'!$Q$2680='Field Check'!$C$25)*10000000+(N('Dvd Calendar'!$Q$2674)&gt;0)*1000000+38*1000+13))</f>
        <v/>
      </c>
      <c r="P194" s="41">
        <f>IF(N('Dvd Calendar'!$R$2675)=0,"",IF(('Dvd Calendar'!$R$2675&gt;=MIN(DATE(Summary!$C$12,1,1),Summary!$C$11))*('Dvd Calendar'!$R$2675&lt;=MAX(DATE(Summary!$C$12,12,31),Summary!$C$15))*('Dvd Calendar'!$R$2675&lt;=Summary!$C$11)=0,"",'Dvd Calendar'!$R$2675*1000000000+ISNUMBER('Dvd Calendar'!$R$2676)*100000000+('Dvd Calendar'!$R$2680='Field Check'!$C$25)*10000000+(N('Dvd Calendar'!$R$2674)&gt;0)*1000000+38*1000+14))</f>
        <v/>
      </c>
      <c r="Q194" s="41">
        <f>IF(N('Dvd Calendar'!$S$2675)=0,"",IF(('Dvd Calendar'!$S$2675&gt;=MIN(DATE(Summary!$C$12,1,1),Summary!$C$11))*('Dvd Calendar'!$S$2675&lt;=MAX(DATE(Summary!$C$12,12,31),Summary!$C$15))*('Dvd Calendar'!$S$2675&lt;=Summary!$C$11)=0,"",'Dvd Calendar'!$S$2675*1000000000+ISNUMBER('Dvd Calendar'!$S$2676)*100000000+('Dvd Calendar'!$S$2680='Field Check'!$C$25)*10000000+(N('Dvd Calendar'!$S$2674)&gt;0)*1000000+38*1000+15))</f>
        <v/>
      </c>
      <c r="R194" s="41">
        <f>IF(N('Dvd Calendar'!$T$2675)=0,"",IF(('Dvd Calendar'!$T$2675&gt;=MIN(DATE(Summary!$C$12,1,1),Summary!$C$11))*('Dvd Calendar'!$T$2675&lt;=MAX(DATE(Summary!$C$12,12,31),Summary!$C$15))*('Dvd Calendar'!$T$2675&lt;=Summary!$C$11)=0,"",'Dvd Calendar'!$T$2675*1000000000+ISNUMBER('Dvd Calendar'!$T$2676)*100000000+('Dvd Calendar'!$T$2680='Field Check'!$C$25)*10000000+(N('Dvd Calendar'!$T$2674)&gt;0)*1000000+38*1000+16))</f>
        <v/>
      </c>
      <c r="S194" s="41">
        <f>IF(N('Dvd Calendar'!$U$2675)=0,"",IF(('Dvd Calendar'!$U$2675&gt;=MIN(DATE(Summary!$C$12,1,1),Summary!$C$11))*('Dvd Calendar'!$U$2675&lt;=MAX(DATE(Summary!$C$12,12,31),Summary!$C$15))*('Dvd Calendar'!$U$2675&lt;=Summary!$C$11)=0,"",'Dvd Calendar'!$U$2675*1000000000+ISNUMBER('Dvd Calendar'!$U$2676)*100000000+('Dvd Calendar'!$U$2680='Field Check'!$C$25)*10000000+(N('Dvd Calendar'!$U$2674)&gt;0)*1000000+38*1000+17))</f>
        <v/>
      </c>
      <c r="T194" s="41">
        <f>IF(N('Dvd Calendar'!$V$2675)=0,"",IF(('Dvd Calendar'!$V$2675&gt;=MIN(DATE(Summary!$C$12,1,1),Summary!$C$11))*('Dvd Calendar'!$V$2675&lt;=MAX(DATE(Summary!$C$12,12,31),Summary!$C$15))*('Dvd Calendar'!$V$2675&lt;=Summary!$C$11)=0,"",'Dvd Calendar'!$V$2675*1000000000+ISNUMBER('Dvd Calendar'!$V$2676)*100000000+('Dvd Calendar'!$V$2680='Field Check'!$C$25)*10000000+(N('Dvd Calendar'!$V$2674)&gt;0)*1000000+38*1000+18))</f>
        <v/>
      </c>
      <c r="U194" s="41">
        <f>IF(N('Dvd Calendar'!$W$2675)=0,"",IF(('Dvd Calendar'!$W$2675&gt;=MIN(DATE(Summary!$C$12,1,1),Summary!$C$11))*('Dvd Calendar'!$W$2675&lt;=MAX(DATE(Summary!$C$12,12,31),Summary!$C$15))*('Dvd Calendar'!$W$2675&lt;=Summary!$C$11)=0,"",'Dvd Calendar'!$W$2675*1000000000+ISNUMBER('Dvd Calendar'!$W$2676)*100000000+('Dvd Calendar'!$W$2680='Field Check'!$C$25)*10000000+(N('Dvd Calendar'!$W$2674)&gt;0)*1000000+38*1000+19))</f>
        <v/>
      </c>
      <c r="V194" s="41">
        <f>IF(N('Dvd Calendar'!$X$2675)=0,"",IF(('Dvd Calendar'!$X$2675&gt;=MIN(DATE(Summary!$C$12,1,1),Summary!$C$11))*('Dvd Calendar'!$X$2675&lt;=MAX(DATE(Summary!$C$12,12,31),Summary!$C$15))*('Dvd Calendar'!$X$2675&lt;=Summary!$C$11)=0,"",'Dvd Calendar'!$X$2675*1000000000+ISNUMBER('Dvd Calendar'!$X$2676)*100000000+('Dvd Calendar'!$X$2680='Field Check'!$C$25)*10000000+(N('Dvd Calendar'!$X$2674)&gt;0)*1000000+38*1000+20))</f>
        <v/>
      </c>
      <c r="W194" s="41">
        <f>IF(N('Dvd Calendar'!$Y$2675)=0,"",IF(('Dvd Calendar'!$Y$2675&gt;=MIN(DATE(Summary!$C$12,1,1),Summary!$C$11))*('Dvd Calendar'!$Y$2675&lt;=MAX(DATE(Summary!$C$12,12,31),Summary!$C$15))*('Dvd Calendar'!$Y$2675&lt;=Summary!$C$11)=0,"",'Dvd Calendar'!$Y$2675*1000000000+ISNUMBER('Dvd Calendar'!$Y$2676)*100000000+('Dvd Calendar'!$Y$2680='Field Check'!$C$25)*10000000+(N('Dvd Calendar'!$Y$2674)&gt;0)*1000000+38*1000+21))</f>
        <v/>
      </c>
      <c r="X194" s="41">
        <f>IF(N('Dvd Calendar'!$Z$2675)=0,"",IF(('Dvd Calendar'!$Z$2675&gt;=MIN(DATE(Summary!$C$12,1,1),Summary!$C$11))*('Dvd Calendar'!$Z$2675&lt;=MAX(DATE(Summary!$C$12,12,31),Summary!$C$15))*('Dvd Calendar'!$Z$2675&lt;=Summary!$C$11)=0,"",'Dvd Calendar'!$Z$2675*1000000000+ISNUMBER('Dvd Calendar'!$Z$2676)*100000000+('Dvd Calendar'!$Z$2680='Field Check'!$C$25)*10000000+(N('Dvd Calendar'!$Z$2674)&gt;0)*1000000+38*1000+22))</f>
        <v/>
      </c>
      <c r="Y194" s="41">
        <f>IF(N('Dvd Calendar'!$AA$2675)=0,"",IF(('Dvd Calendar'!$AA$2675&gt;=MIN(DATE(Summary!$C$12,1,1),Summary!$C$11))*('Dvd Calendar'!$AA$2675&lt;=MAX(DATE(Summary!$C$12,12,31),Summary!$C$15))*('Dvd Calendar'!$AA$2675&lt;=Summary!$C$11)=0,"",'Dvd Calendar'!$AA$2675*1000000000+ISNUMBER('Dvd Calendar'!$AA$2676)*100000000+('Dvd Calendar'!$AA$2680='Field Check'!$C$25)*10000000+(N('Dvd Calendar'!$AA$2674)&gt;0)*1000000+38*1000+23))</f>
        <v/>
      </c>
      <c r="Z194" s="41">
        <f>IF(N('Dvd Calendar'!$AB$2675)=0,"",IF(('Dvd Calendar'!$AB$2675&gt;=MIN(DATE(Summary!$C$12,1,1),Summary!$C$11))*('Dvd Calendar'!$AB$2675&lt;=MAX(DATE(Summary!$C$12,12,31),Summary!$C$15))*('Dvd Calendar'!$AB$2675&lt;=Summary!$C$11)=0,"",'Dvd Calendar'!$AB$2675*1000000000+ISNUMBER('Dvd Calendar'!$AB$2676)*100000000+('Dvd Calendar'!$AB$2680='Field Check'!$C$25)*10000000+(N('Dvd Calendar'!$AB$2674)&gt;0)*1000000+38*1000+24))</f>
        <v/>
      </c>
      <c r="AA194" s="41">
        <f>IF(N('Dvd Calendar'!$AC$2675)=0,"",IF(('Dvd Calendar'!$AC$2675&gt;=MIN(DATE(Summary!$C$12,1,1),Summary!$C$11))*('Dvd Calendar'!$AC$2675&lt;=MAX(DATE(Summary!$C$12,12,31),Summary!$C$15))*('Dvd Calendar'!$AC$2675&lt;=Summary!$C$11)=0,"",'Dvd Calendar'!$AC$2675*1000000000+ISNUMBER('Dvd Calendar'!$AC$2676)*100000000+('Dvd Calendar'!$AC$2680='Field Check'!$C$25)*10000000+(N('Dvd Calendar'!$AC$2674)&gt;0)*1000000+38*1000+25))</f>
        <v/>
      </c>
      <c r="AB194" s="41">
        <f>IF(N('Dvd Calendar'!$AD$2675)=0,"",IF(('Dvd Calendar'!$AD$2675&gt;=MIN(DATE(Summary!$C$12,1,1),Summary!$C$11))*('Dvd Calendar'!$AD$2675&lt;=MAX(DATE(Summary!$C$12,12,31),Summary!$C$15))*('Dvd Calendar'!$AD$2675&lt;=Summary!$C$11)=0,"",'Dvd Calendar'!$AD$2675*1000000000+ISNUMBER('Dvd Calendar'!$AD$2676)*100000000+('Dvd Calendar'!$AD$2680='Field Check'!$C$25)*10000000+(N('Dvd Calendar'!$AD$2674)&gt;0)*1000000+38*1000+26))</f>
        <v/>
      </c>
      <c r="AC194" s="41">
        <f>IF(N('Dvd Calendar'!$AE$2675)=0,"",IF(('Dvd Calendar'!$AE$2675&gt;=MIN(DATE(Summary!$C$12,1,1),Summary!$C$11))*('Dvd Calendar'!$AE$2675&lt;=MAX(DATE(Summary!$C$12,12,31),Summary!$C$15))*('Dvd Calendar'!$AE$2675&lt;=Summary!$C$11)=0,"",'Dvd Calendar'!$AE$2675*1000000000+ISNUMBER('Dvd Calendar'!$AE$2676)*100000000+('Dvd Calendar'!$AE$2680='Field Check'!$C$25)*10000000+(N('Dvd Calendar'!$AE$2674)&gt;0)*1000000+38*1000+27))</f>
        <v/>
      </c>
      <c r="AD194" s="41">
        <f>IF(N('Dvd Calendar'!$AF$2675)=0,"",IF(('Dvd Calendar'!$AF$2675&gt;=MIN(DATE(Summary!$C$12,1,1),Summary!$C$11))*('Dvd Calendar'!$AF$2675&lt;=MAX(DATE(Summary!$C$12,12,31),Summary!$C$15))*('Dvd Calendar'!$AF$2675&lt;=Summary!$C$11)=0,"",'Dvd Calendar'!$AF$2675*1000000000+ISNUMBER('Dvd Calendar'!$AF$2676)*100000000+('Dvd Calendar'!$AF$2680='Field Check'!$C$25)*10000000+(N('Dvd Calendar'!$AF$2674)&gt;0)*1000000+38*1000+28))</f>
        <v/>
      </c>
      <c r="AE194" s="41">
        <f>IF(N('Dvd Calendar'!$AG$2675)=0,"",IF(('Dvd Calendar'!$AG$2675&gt;=MIN(DATE(Summary!$C$12,1,1),Summary!$C$11))*('Dvd Calendar'!$AG$2675&lt;=MAX(DATE(Summary!$C$12,12,31),Summary!$C$15))*('Dvd Calendar'!$AG$2675&lt;=Summary!$C$11)=0,"",'Dvd Calendar'!$AG$2675*1000000000+ISNUMBER('Dvd Calendar'!$AG$2676)*100000000+('Dvd Calendar'!$AG$2680='Field Check'!$C$25)*10000000+(N('Dvd Calendar'!$AG$2674)&gt;0)*1000000+38*1000+29))</f>
        <v/>
      </c>
      <c r="AF194" s="41">
        <f>IF(N('Dvd Calendar'!$AH$2675)=0,"",IF(('Dvd Calendar'!$AH$2675&gt;=MIN(DATE(Summary!$C$12,1,1),Summary!$C$11))*('Dvd Calendar'!$AH$2675&lt;=MAX(DATE(Summary!$C$12,12,31),Summary!$C$15))*('Dvd Calendar'!$AH$2675&lt;=Summary!$C$11)=0,"",'Dvd Calendar'!$AH$2675*1000000000+ISNUMBER('Dvd Calendar'!$AH$2676)*100000000+('Dvd Calendar'!$AH$2680='Field Check'!$C$25)*10000000+(N('Dvd Calendar'!$AH$2674)&gt;0)*1000000+38*1000+30))</f>
        <v/>
      </c>
      <c r="AG194" s="41">
        <f>IF(N('Dvd Calendar'!$AI$2675)=0,"",IF(('Dvd Calendar'!$AI$2675&gt;=MIN(DATE(Summary!$C$12,1,1),Summary!$C$11))*('Dvd Calendar'!$AI$2675&lt;=MAX(DATE(Summary!$C$12,12,31),Summary!$C$15))*('Dvd Calendar'!$AI$2675&lt;=Summary!$C$11)=0,"",'Dvd Calendar'!$AI$2675*1000000000+ISNUMBER('Dvd Calendar'!$AI$2676)*100000000+('Dvd Calendar'!$AI$2680='Field Check'!$C$25)*10000000+(N('Dvd Calendar'!$AI$2674)&gt;0)*1000000+38*1000+31))</f>
        <v/>
      </c>
      <c r="AH194" s="41">
        <f>IF(N('Dvd Calendar'!$AJ$2675)=0,"",IF(('Dvd Calendar'!$AJ$2675&gt;=MIN(DATE(Summary!$C$12,1,1),Summary!$C$11))*('Dvd Calendar'!$AJ$2675&lt;=MAX(DATE(Summary!$C$12,12,31),Summary!$C$15))*('Dvd Calendar'!$AJ$2675&lt;=Summary!$C$11)=0,"",'Dvd Calendar'!$AJ$2675*1000000000+ISNUMBER('Dvd Calendar'!$AJ$2676)*100000000+('Dvd Calendar'!$AJ$2680='Field Check'!$C$25)*10000000+(N('Dvd Calendar'!$AJ$2674)&gt;0)*1000000+38*1000+32))</f>
        <v/>
      </c>
      <c r="AI194" s="41">
        <f>IF(N('Dvd Calendar'!$AK$2675)=0,"",IF(('Dvd Calendar'!$AK$2675&gt;=MIN(DATE(Summary!$C$12,1,1),Summary!$C$11))*('Dvd Calendar'!$AK$2675&lt;=MAX(DATE(Summary!$C$12,12,31),Summary!$C$15))*('Dvd Calendar'!$AK$2675&lt;=Summary!$C$11)=0,"",'Dvd Calendar'!$AK$2675*1000000000+ISNUMBER('Dvd Calendar'!$AK$2676)*100000000+('Dvd Calendar'!$AK$2680='Field Check'!$C$25)*10000000+(N('Dvd Calendar'!$AK$2674)&gt;0)*1000000+38*1000+33))</f>
        <v/>
      </c>
      <c r="AJ194" s="41">
        <f>IF(N('Dvd Calendar'!$AL$2675)=0,"",IF(('Dvd Calendar'!$AL$2675&gt;=MIN(DATE(Summary!$C$12,1,1),Summary!$C$11))*('Dvd Calendar'!$AL$2675&lt;=MAX(DATE(Summary!$C$12,12,31),Summary!$C$15))*('Dvd Calendar'!$AL$2675&lt;=Summary!$C$11)=0,"",'Dvd Calendar'!$AL$2675*1000000000+ISNUMBER('Dvd Calendar'!$AL$2676)*100000000+('Dvd Calendar'!$AL$2680='Field Check'!$C$25)*10000000+(N('Dvd Calendar'!$AL$2674)&gt;0)*1000000+38*1000+34))</f>
        <v/>
      </c>
      <c r="AK194" s="41">
        <f>IF(N('Dvd Calendar'!$AM$2675)=0,"",IF(('Dvd Calendar'!$AM$2675&gt;=MIN(DATE(Summary!$C$12,1,1),Summary!$C$11))*('Dvd Calendar'!$AM$2675&lt;=MAX(DATE(Summary!$C$12,12,31),Summary!$C$15))*('Dvd Calendar'!$AM$2675&lt;=Summary!$C$11)=0,"",'Dvd Calendar'!$AM$2675*1000000000+ISNUMBER('Dvd Calendar'!$AM$2676)*100000000+('Dvd Calendar'!$AM$2680='Field Check'!$C$25)*10000000+(N('Dvd Calendar'!$AM$2674)&gt;0)*1000000+38*1000+35))</f>
        <v/>
      </c>
      <c r="AL194" s="41">
        <f>IF(N('Dvd Calendar'!$AN$2675)=0,"",IF(('Dvd Calendar'!$AN$2675&gt;=MIN(DATE(Summary!$C$12,1,1),Summary!$C$11))*('Dvd Calendar'!$AN$2675&lt;=MAX(DATE(Summary!$C$12,12,31),Summary!$C$15))*('Dvd Calendar'!$AN$2675&lt;=Summary!$C$11)=0,"",'Dvd Calendar'!$AN$2675*1000000000+ISNUMBER('Dvd Calendar'!$AN$2676)*100000000+('Dvd Calendar'!$AN$2680='Field Check'!$C$25)*10000000+(N('Dvd Calendar'!$AN$2674)&gt;0)*1000000+38*1000+36))</f>
        <v/>
      </c>
      <c r="AM194" s="41">
        <f>IF(N('Dvd Calendar'!$AO$2675)=0,"",IF(('Dvd Calendar'!$AO$2675&gt;=MIN(DATE(Summary!$C$12,1,1),Summary!$C$11))*('Dvd Calendar'!$AO$2675&lt;=MAX(DATE(Summary!$C$12,12,31),Summary!$C$15))*('Dvd Calendar'!$AO$2675&lt;=Summary!$C$11)=0,"",'Dvd Calendar'!$AO$2675*1000000000+ISNUMBER('Dvd Calendar'!$AO$2676)*100000000+('Dvd Calendar'!$AO$2680='Field Check'!$C$25)*10000000+(N('Dvd Calendar'!$AO$2674)&gt;0)*1000000+38*1000+37))</f>
        <v/>
      </c>
      <c r="AN194" s="41">
        <f>IF(N('Dvd Calendar'!$AP$2675)=0,"",IF(('Dvd Calendar'!$AP$2675&gt;=MIN(DATE(Summary!$C$12,1,1),Summary!$C$11))*('Dvd Calendar'!$AP$2675&lt;=MAX(DATE(Summary!$C$12,12,31),Summary!$C$15))*('Dvd Calendar'!$AP$2675&lt;=Summary!$C$11)=0,"",'Dvd Calendar'!$AP$2675*1000000000+ISNUMBER('Dvd Calendar'!$AP$2676)*100000000+('Dvd Calendar'!$AP$2680='Field Check'!$C$25)*10000000+(N('Dvd Calendar'!$AP$2674)&gt;0)*1000000+38*1000+38))</f>
        <v/>
      </c>
      <c r="AO194" s="41">
        <f>IF(N('Dvd Calendar'!$AQ$2675)=0,"",IF(('Dvd Calendar'!$AQ$2675&gt;=MIN(DATE(Summary!$C$12,1,1),Summary!$C$11))*('Dvd Calendar'!$AQ$2675&lt;=MAX(DATE(Summary!$C$12,12,31),Summary!$C$15))*('Dvd Calendar'!$AQ$2675&lt;=Summary!$C$11)=0,"",'Dvd Calendar'!$AQ$2675*1000000000+ISNUMBER('Dvd Calendar'!$AQ$2676)*100000000+('Dvd Calendar'!$AQ$2680='Field Check'!$C$25)*10000000+(N('Dvd Calendar'!$AQ$2674)&gt;0)*1000000+38*1000+39))</f>
        <v/>
      </c>
      <c r="AP194" s="41">
        <f>IF(N('Dvd Calendar'!$AR$2675)=0,"",IF(('Dvd Calendar'!$AR$2675&gt;=MIN(DATE(Summary!$C$12,1,1),Summary!$C$11))*('Dvd Calendar'!$AR$2675&lt;=MAX(DATE(Summary!$C$12,12,31),Summary!$C$15))*('Dvd Calendar'!$AR$2675&lt;=Summary!$C$11)=0,"",'Dvd Calendar'!$AR$2675*1000000000+ISNUMBER('Dvd Calendar'!$AR$2676)*100000000+('Dvd Calendar'!$AR$2680='Field Check'!$C$25)*10000000+(N('Dvd Calendar'!$AR$2674)&gt;0)*1000000+38*1000+40))</f>
        <v/>
      </c>
      <c r="AQ194" s="41">
        <f>IF(N('Dvd Calendar'!$E$2682)=0,"",IF(('Dvd Calendar'!$E$2682&gt;=MIN(DATE(Summary!$C$12,1,1),Summary!$C$11))*('Dvd Calendar'!$E$2682&lt;=MAX(DATE(Summary!$C$12,12,31),Summary!$C$15))*('Dvd Calendar'!$E$2682&gt;Summary!$C$11)=0,"",'Dvd Calendar'!$E$2682*1000000000+ISNUMBER('Dvd Calendar'!$E$2683)*100000000+('Dvd Calendar'!$E$2687='Field Check'!$C$25)*10000000+(N('Dvd Calendar'!$E$2681)&gt;0)*1000000+38*1000+41))</f>
        <v/>
      </c>
      <c r="AR194" s="41">
        <f>IF(N('Dvd Calendar'!$F$2682)=0,"",IF(('Dvd Calendar'!$F$2682&gt;=MIN(DATE(Summary!$C$12,1,1),Summary!$C$11))*('Dvd Calendar'!$F$2682&lt;=MAX(DATE(Summary!$C$12,12,31),Summary!$C$15))*('Dvd Calendar'!$F$2682&gt;Summary!$C$11)=0,"",'Dvd Calendar'!$F$2682*1000000000+ISNUMBER('Dvd Calendar'!$F$2683)*100000000+('Dvd Calendar'!$F$2687='Field Check'!$C$25)*10000000+(N('Dvd Calendar'!$F$2681)&gt;0)*1000000+38*1000+42))</f>
        <v/>
      </c>
      <c r="AS194" s="41">
        <f>IF(N('Dvd Calendar'!$G$2682)=0,"",IF(('Dvd Calendar'!$G$2682&gt;=MIN(DATE(Summary!$C$12,1,1),Summary!$C$11))*('Dvd Calendar'!$G$2682&lt;=MAX(DATE(Summary!$C$12,12,31),Summary!$C$15))*('Dvd Calendar'!$G$2682&gt;Summary!$C$11)=0,"",'Dvd Calendar'!$G$2682*1000000000+ISNUMBER('Dvd Calendar'!$G$2683)*100000000+('Dvd Calendar'!$G$2687='Field Check'!$C$25)*10000000+(N('Dvd Calendar'!$G$2681)&gt;0)*1000000+38*1000+43))</f>
        <v/>
      </c>
      <c r="AT194" s="41">
        <f>IF(N('Dvd Calendar'!$H$2682)=0,"",IF(('Dvd Calendar'!$H$2682&gt;=MIN(DATE(Summary!$C$12,1,1),Summary!$C$11))*('Dvd Calendar'!$H$2682&lt;=MAX(DATE(Summary!$C$12,12,31),Summary!$C$15))*('Dvd Calendar'!$H$2682&gt;Summary!$C$11)=0,"",'Dvd Calendar'!$H$2682*1000000000+ISNUMBER('Dvd Calendar'!$H$2683)*100000000+('Dvd Calendar'!$H$2687='Field Check'!$C$25)*10000000+(N('Dvd Calendar'!$H$2681)&gt;0)*1000000+38*1000+44))</f>
        <v/>
      </c>
      <c r="AU194" s="41">
        <f>IF(N('Dvd Calendar'!$I$2682)=0,"",IF(('Dvd Calendar'!$I$2682&gt;=MIN(DATE(Summary!$C$12,1,1),Summary!$C$11))*('Dvd Calendar'!$I$2682&lt;=MAX(DATE(Summary!$C$12,12,31),Summary!$C$15))*('Dvd Calendar'!$I$2682&gt;Summary!$C$11)=0,"",'Dvd Calendar'!$I$2682*1000000000+ISNUMBER('Dvd Calendar'!$I$2683)*100000000+('Dvd Calendar'!$I$2687='Field Check'!$C$25)*10000000+(N('Dvd Calendar'!$I$2681)&gt;0)*1000000+38*1000+45))</f>
        <v/>
      </c>
      <c r="AV194" s="41">
        <f>IF(N('Dvd Calendar'!$J$2682)=0,"",IF(('Dvd Calendar'!$J$2682&gt;=MIN(DATE(Summary!$C$12,1,1),Summary!$C$11))*('Dvd Calendar'!$J$2682&lt;=MAX(DATE(Summary!$C$12,12,31),Summary!$C$15))*('Dvd Calendar'!$J$2682&gt;Summary!$C$11)=0,"",'Dvd Calendar'!$J$2682*1000000000+ISNUMBER('Dvd Calendar'!$J$2683)*100000000+('Dvd Calendar'!$J$2687='Field Check'!$C$25)*10000000+(N('Dvd Calendar'!$J$2681)&gt;0)*1000000+38*1000+46))</f>
        <v/>
      </c>
      <c r="AW194" s="41">
        <f>IF(N('Dvd Calendar'!$K$2682)=0,"",IF(('Dvd Calendar'!$K$2682&gt;=MIN(DATE(Summary!$C$12,1,1),Summary!$C$11))*('Dvd Calendar'!$K$2682&lt;=MAX(DATE(Summary!$C$12,12,31),Summary!$C$15))*('Dvd Calendar'!$K$2682&gt;Summary!$C$11)=0,"",'Dvd Calendar'!$K$2682*1000000000+ISNUMBER('Dvd Calendar'!$K$2683)*100000000+('Dvd Calendar'!$K$2687='Field Check'!$C$25)*10000000+(N('Dvd Calendar'!$K$2681)&gt;0)*1000000+38*1000+47))</f>
        <v/>
      </c>
      <c r="AX194" s="41">
        <f>IF(N('Dvd Calendar'!$L$2682)=0,"",IF(('Dvd Calendar'!$L$2682&gt;=MIN(DATE(Summary!$C$12,1,1),Summary!$C$11))*('Dvd Calendar'!$L$2682&lt;=MAX(DATE(Summary!$C$12,12,31),Summary!$C$15))*('Dvd Calendar'!$L$2682&gt;Summary!$C$11)=0,"",'Dvd Calendar'!$L$2682*1000000000+ISNUMBER('Dvd Calendar'!$L$2683)*100000000+('Dvd Calendar'!$L$2687='Field Check'!$C$25)*10000000+(N('Dvd Calendar'!$L$2681)&gt;0)*1000000+38*1000+48))</f>
        <v/>
      </c>
      <c r="AY194" s="41">
        <f>IF(N('Dvd Calendar'!$M$2682)=0,"",IF(('Dvd Calendar'!$M$2682&gt;=MIN(DATE(Summary!$C$12,1,1),Summary!$C$11))*('Dvd Calendar'!$M$2682&lt;=MAX(DATE(Summary!$C$12,12,31),Summary!$C$15))*('Dvd Calendar'!$M$2682&gt;Summary!$C$11)=0,"",'Dvd Calendar'!$M$2682*1000000000+ISNUMBER('Dvd Calendar'!$M$2683)*100000000+('Dvd Calendar'!$M$2687='Field Check'!$C$25)*10000000+(N('Dvd Calendar'!$M$2681)&gt;0)*1000000+38*1000+49))</f>
        <v/>
      </c>
      <c r="AZ194" s="41">
        <f>IF(N('Dvd Calendar'!$N$2682)=0,"",IF(('Dvd Calendar'!$N$2682&gt;=MIN(DATE(Summary!$C$12,1,1),Summary!$C$11))*('Dvd Calendar'!$N$2682&lt;=MAX(DATE(Summary!$C$12,12,31),Summary!$C$15))*('Dvd Calendar'!$N$2682&gt;Summary!$C$11)=0,"",'Dvd Calendar'!$N$2682*1000000000+ISNUMBER('Dvd Calendar'!$N$2683)*100000000+('Dvd Calendar'!$N$2687='Field Check'!$C$25)*10000000+(N('Dvd Calendar'!$N$2681)&gt;0)*1000000+38*1000+50))</f>
        <v/>
      </c>
      <c r="BA194" s="41">
        <f>IF(N('Dvd Calendar'!$O$2682)=0,"",IF(('Dvd Calendar'!$O$2682&gt;=MIN(DATE(Summary!$C$12,1,1),Summary!$C$11))*('Dvd Calendar'!$O$2682&lt;=MAX(DATE(Summary!$C$12,12,31),Summary!$C$15))*('Dvd Calendar'!$O$2682&gt;Summary!$C$11)=0,"",'Dvd Calendar'!$O$2682*1000000000+ISNUMBER('Dvd Calendar'!$O$2683)*100000000+('Dvd Calendar'!$O$2687='Field Check'!$C$25)*10000000+(N('Dvd Calendar'!$O$2681)&gt;0)*1000000+38*1000+51))</f>
        <v/>
      </c>
      <c r="BB194" s="41">
        <f>IF(N('Dvd Calendar'!$P$2682)=0,"",IF(('Dvd Calendar'!$P$2682&gt;=MIN(DATE(Summary!$C$12,1,1),Summary!$C$11))*('Dvd Calendar'!$P$2682&lt;=MAX(DATE(Summary!$C$12,12,31),Summary!$C$15))*('Dvd Calendar'!$P$2682&gt;Summary!$C$11)=0,"",'Dvd Calendar'!$P$2682*1000000000+ISNUMBER('Dvd Calendar'!$P$2683)*100000000+('Dvd Calendar'!$P$2687='Field Check'!$C$25)*10000000+(N('Dvd Calendar'!$P$2681)&gt;0)*1000000+38*1000+52))</f>
        <v/>
      </c>
      <c r="BC194" s="41">
        <f>IF(N('Dvd Calendar'!$Q$2682)=0,"",IF(('Dvd Calendar'!$Q$2682&gt;=MIN(DATE(Summary!$C$12,1,1),Summary!$C$11))*('Dvd Calendar'!$Q$2682&lt;=MAX(DATE(Summary!$C$12,12,31),Summary!$C$15))*('Dvd Calendar'!$Q$2682&gt;Summary!$C$11)=0,"",'Dvd Calendar'!$Q$2682*1000000000+ISNUMBER('Dvd Calendar'!$Q$2683)*100000000+('Dvd Calendar'!$Q$2687='Field Check'!$C$25)*10000000+(N('Dvd Calendar'!$Q$2681)&gt;0)*1000000+38*1000+53))</f>
        <v/>
      </c>
      <c r="BD194" s="41">
        <f>IF(N('Dvd Calendar'!$R$2682)=0,"",IF(('Dvd Calendar'!$R$2682&gt;=MIN(DATE(Summary!$C$12,1,1),Summary!$C$11))*('Dvd Calendar'!$R$2682&lt;=MAX(DATE(Summary!$C$12,12,31),Summary!$C$15))*('Dvd Calendar'!$R$2682&gt;Summary!$C$11)=0,"",'Dvd Calendar'!$R$2682*1000000000+ISNUMBER('Dvd Calendar'!$R$2683)*100000000+('Dvd Calendar'!$R$2687='Field Check'!$C$25)*10000000+(N('Dvd Calendar'!$R$2681)&gt;0)*1000000+38*1000+54))</f>
        <v/>
      </c>
      <c r="BE194" s="41">
        <f>IF(N('Dvd Calendar'!$S$2682)=0,"",IF(('Dvd Calendar'!$S$2682&gt;=MIN(DATE(Summary!$C$12,1,1),Summary!$C$11))*('Dvd Calendar'!$S$2682&lt;=MAX(DATE(Summary!$C$12,12,31),Summary!$C$15))*('Dvd Calendar'!$S$2682&gt;Summary!$C$11)=0,"",'Dvd Calendar'!$S$2682*1000000000+ISNUMBER('Dvd Calendar'!$S$2683)*100000000+('Dvd Calendar'!$S$2687='Field Check'!$C$25)*10000000+(N('Dvd Calendar'!$S$2681)&gt;0)*1000000+38*1000+55))</f>
        <v/>
      </c>
      <c r="BF194" s="41">
        <f>IF(N('Dvd Calendar'!$T$2682)=0,"",IF(('Dvd Calendar'!$T$2682&gt;=MIN(DATE(Summary!$C$12,1,1),Summary!$C$11))*('Dvd Calendar'!$T$2682&lt;=MAX(DATE(Summary!$C$12,12,31),Summary!$C$15))*('Dvd Calendar'!$T$2682&gt;Summary!$C$11)=0,"",'Dvd Calendar'!$T$2682*1000000000+ISNUMBER('Dvd Calendar'!$T$2683)*100000000+('Dvd Calendar'!$T$2687='Field Check'!$C$25)*10000000+(N('Dvd Calendar'!$T$2681)&gt;0)*1000000+38*1000+56))</f>
        <v/>
      </c>
      <c r="BG194" s="41">
        <f>IF(N('Dvd Calendar'!$U$2682)=0,"",IF(('Dvd Calendar'!$U$2682&gt;=MIN(DATE(Summary!$C$12,1,1),Summary!$C$11))*('Dvd Calendar'!$U$2682&lt;=MAX(DATE(Summary!$C$12,12,31),Summary!$C$15))*('Dvd Calendar'!$U$2682&gt;Summary!$C$11)=0,"",'Dvd Calendar'!$U$2682*1000000000+ISNUMBER('Dvd Calendar'!$U$2683)*100000000+('Dvd Calendar'!$U$2687='Field Check'!$C$25)*10000000+(N('Dvd Calendar'!$U$2681)&gt;0)*1000000+38*1000+57))</f>
        <v/>
      </c>
      <c r="BH194" s="41">
        <f>IF(N('Dvd Calendar'!$V$2682)=0,"",IF(('Dvd Calendar'!$V$2682&gt;=MIN(DATE(Summary!$C$12,1,1),Summary!$C$11))*('Dvd Calendar'!$V$2682&lt;=MAX(DATE(Summary!$C$12,12,31),Summary!$C$15))*('Dvd Calendar'!$V$2682&gt;Summary!$C$11)=0,"",'Dvd Calendar'!$V$2682*1000000000+ISNUMBER('Dvd Calendar'!$V$2683)*100000000+('Dvd Calendar'!$V$2687='Field Check'!$C$25)*10000000+(N('Dvd Calendar'!$V$2681)&gt;0)*1000000+38*1000+58))</f>
        <v/>
      </c>
      <c r="BI194" s="41">
        <f>IF(N('Dvd Calendar'!$W$2682)=0,"",IF(('Dvd Calendar'!$W$2682&gt;=MIN(DATE(Summary!$C$12,1,1),Summary!$C$11))*('Dvd Calendar'!$W$2682&lt;=MAX(DATE(Summary!$C$12,12,31),Summary!$C$15))*('Dvd Calendar'!$W$2682&gt;Summary!$C$11)=0,"",'Dvd Calendar'!$W$2682*1000000000+ISNUMBER('Dvd Calendar'!$W$2683)*100000000+('Dvd Calendar'!$W$2687='Field Check'!$C$25)*10000000+(N('Dvd Calendar'!$W$2681)&gt;0)*1000000+38*1000+59))</f>
        <v/>
      </c>
      <c r="BJ194" s="41">
        <f>IF(N('Dvd Calendar'!$X$2682)=0,"",IF(('Dvd Calendar'!$X$2682&gt;=MIN(DATE(Summary!$C$12,1,1),Summary!$C$11))*('Dvd Calendar'!$X$2682&lt;=MAX(DATE(Summary!$C$12,12,31),Summary!$C$15))*('Dvd Calendar'!$X$2682&gt;Summary!$C$11)=0,"",'Dvd Calendar'!$X$2682*1000000000+ISNUMBER('Dvd Calendar'!$X$2683)*100000000+('Dvd Calendar'!$X$2687='Field Check'!$C$25)*10000000+(N('Dvd Calendar'!$X$2681)&gt;0)*1000000+38*1000+60))</f>
        <v/>
      </c>
      <c r="BK194" s="41">
        <f>IF(N('Dvd Calendar'!$Y$2682)=0,"",IF(('Dvd Calendar'!$Y$2682&gt;=MIN(DATE(Summary!$C$12,1,1),Summary!$C$11))*('Dvd Calendar'!$Y$2682&lt;=MAX(DATE(Summary!$C$12,12,31),Summary!$C$15))*('Dvd Calendar'!$Y$2682&gt;Summary!$C$11)=0,"",'Dvd Calendar'!$Y$2682*1000000000+ISNUMBER('Dvd Calendar'!$Y$2683)*100000000+('Dvd Calendar'!$Y$2687='Field Check'!$C$25)*10000000+(N('Dvd Calendar'!$Y$2681)&gt;0)*1000000+38*1000+61))</f>
        <v/>
      </c>
      <c r="BL194" s="41">
        <f>IF(N('Dvd Calendar'!$Z$2682)=0,"",IF(('Dvd Calendar'!$Z$2682&gt;=MIN(DATE(Summary!$C$12,1,1),Summary!$C$11))*('Dvd Calendar'!$Z$2682&lt;=MAX(DATE(Summary!$C$12,12,31),Summary!$C$15))*('Dvd Calendar'!$Z$2682&gt;Summary!$C$11)=0,"",'Dvd Calendar'!$Z$2682*1000000000+ISNUMBER('Dvd Calendar'!$Z$2683)*100000000+('Dvd Calendar'!$Z$2687='Field Check'!$C$25)*10000000+(N('Dvd Calendar'!$Z$2681)&gt;0)*1000000+38*1000+62))</f>
        <v/>
      </c>
      <c r="BM194" s="41">
        <f>IF(N('Dvd Calendar'!$AA$2682)=0,"",IF(('Dvd Calendar'!$AA$2682&gt;=MIN(DATE(Summary!$C$12,1,1),Summary!$C$11))*('Dvd Calendar'!$AA$2682&lt;=MAX(DATE(Summary!$C$12,12,31),Summary!$C$15))*('Dvd Calendar'!$AA$2682&gt;Summary!$C$11)=0,"",'Dvd Calendar'!$AA$2682*1000000000+ISNUMBER('Dvd Calendar'!$AA$2683)*100000000+('Dvd Calendar'!$AA$2687='Field Check'!$C$25)*10000000+(N('Dvd Calendar'!$AA$2681)&gt;0)*1000000+38*1000+63))</f>
        <v/>
      </c>
      <c r="BN194" s="41">
        <f>IF(N('Dvd Calendar'!$AB$2682)=0,"",IF(('Dvd Calendar'!$AB$2682&gt;=MIN(DATE(Summary!$C$12,1,1),Summary!$C$11))*('Dvd Calendar'!$AB$2682&lt;=MAX(DATE(Summary!$C$12,12,31),Summary!$C$15))*('Dvd Calendar'!$AB$2682&gt;Summary!$C$11)=0,"",'Dvd Calendar'!$AB$2682*1000000000+ISNUMBER('Dvd Calendar'!$AB$2683)*100000000+('Dvd Calendar'!$AB$2687='Field Check'!$C$25)*10000000+(N('Dvd Calendar'!$AB$2681)&gt;0)*1000000+38*1000+64))</f>
        <v/>
      </c>
      <c r="BO194" s="41">
        <f>IF(N('Dvd Calendar'!$AC$2682)=0,"",IF(('Dvd Calendar'!$AC$2682&gt;=MIN(DATE(Summary!$C$12,1,1),Summary!$C$11))*('Dvd Calendar'!$AC$2682&lt;=MAX(DATE(Summary!$C$12,12,31),Summary!$C$15))*('Dvd Calendar'!$AC$2682&gt;Summary!$C$11)=0,"",'Dvd Calendar'!$AC$2682*1000000000+ISNUMBER('Dvd Calendar'!$AC$2683)*100000000+('Dvd Calendar'!$AC$2687='Field Check'!$C$25)*10000000+(N('Dvd Calendar'!$AC$2681)&gt;0)*1000000+38*1000+65))</f>
        <v/>
      </c>
      <c r="BQ194" s="85">
        <f>IF(C194="","",IF(ISNUMBER('Dvd Calendar'!$E$2676)=FALSE,"",IF((Summary!$C$13="N")*('Dvd Calendar'!$E$2680='Field Check'!$C$25)&gt;0,"",'Dvd Calendar'!$E$2676)))</f>
        <v/>
      </c>
      <c r="BR194" s="85">
        <f>IF(D194="","",IF(ISNUMBER('Dvd Calendar'!$F$2676)=FALSE,"",IF((Summary!$C$13="N")*('Dvd Calendar'!$F$2680='Field Check'!$C$25)&gt;0,"",'Dvd Calendar'!$F$2676)))</f>
        <v/>
      </c>
      <c r="BS194" s="85">
        <f>IF(E194="","",IF(ISNUMBER('Dvd Calendar'!$G$2676)=FALSE,"",IF((Summary!$C$13="N")*('Dvd Calendar'!$G$2680='Field Check'!$C$25)&gt;0,"",'Dvd Calendar'!$G$2676)))</f>
        <v/>
      </c>
      <c r="BT194" s="85">
        <f>IF(F194="","",IF(ISNUMBER('Dvd Calendar'!$H$2676)=FALSE,"",IF((Summary!$C$13="N")*('Dvd Calendar'!$H$2680='Field Check'!$C$25)&gt;0,"",'Dvd Calendar'!$H$2676)))</f>
        <v/>
      </c>
      <c r="BU194" s="85">
        <f>IF(G194="","",IF(ISNUMBER('Dvd Calendar'!$I$2676)=FALSE,"",IF((Summary!$C$13="N")*('Dvd Calendar'!$I$2680='Field Check'!$C$25)&gt;0,"",'Dvd Calendar'!$I$2676)))</f>
        <v/>
      </c>
      <c r="BV194" s="85">
        <f>IF(H194="","",IF(ISNUMBER('Dvd Calendar'!$J$2676)=FALSE,"",IF((Summary!$C$13="N")*('Dvd Calendar'!$J$2680='Field Check'!$C$25)&gt;0,"",'Dvd Calendar'!$J$2676)))</f>
        <v/>
      </c>
      <c r="BW194" s="85">
        <f>IF(I194="","",IF(ISNUMBER('Dvd Calendar'!$K$2676)=FALSE,"",IF((Summary!$C$13="N")*('Dvd Calendar'!$K$2680='Field Check'!$C$25)&gt;0,"",'Dvd Calendar'!$K$2676)))</f>
        <v/>
      </c>
      <c r="BX194" s="85">
        <f>IF(J194="","",IF(ISNUMBER('Dvd Calendar'!$L$2676)=FALSE,"",IF((Summary!$C$13="N")*('Dvd Calendar'!$L$2680='Field Check'!$C$25)&gt;0,"",'Dvd Calendar'!$L$2676)))</f>
        <v/>
      </c>
      <c r="BY194" s="85">
        <f>IF(K194="","",IF(ISNUMBER('Dvd Calendar'!$M$2676)=FALSE,"",IF((Summary!$C$13="N")*('Dvd Calendar'!$M$2680='Field Check'!$C$25)&gt;0,"",'Dvd Calendar'!$M$2676)))</f>
        <v/>
      </c>
      <c r="BZ194" s="85">
        <f>IF(L194="","",IF(ISNUMBER('Dvd Calendar'!$N$2676)=FALSE,"",IF((Summary!$C$13="N")*('Dvd Calendar'!$N$2680='Field Check'!$C$25)&gt;0,"",'Dvd Calendar'!$N$2676)))</f>
        <v/>
      </c>
      <c r="CA194" s="85">
        <f>IF(M194="","",IF(ISNUMBER('Dvd Calendar'!$O$2676)=FALSE,"",IF((Summary!$C$13="N")*('Dvd Calendar'!$O$2680='Field Check'!$C$25)&gt;0,"",'Dvd Calendar'!$O$2676)))</f>
        <v/>
      </c>
      <c r="CB194" s="85">
        <f>IF(N194="","",IF(ISNUMBER('Dvd Calendar'!$P$2676)=FALSE,"",IF((Summary!$C$13="N")*('Dvd Calendar'!$P$2680='Field Check'!$C$25)&gt;0,"",'Dvd Calendar'!$P$2676)))</f>
        <v/>
      </c>
      <c r="CC194" s="85">
        <f>IF(O194="","",IF(ISNUMBER('Dvd Calendar'!$Q$2676)=FALSE,"",IF((Summary!$C$13="N")*('Dvd Calendar'!$Q$2680='Field Check'!$C$25)&gt;0,"",'Dvd Calendar'!$Q$2676)))</f>
        <v/>
      </c>
      <c r="CD194" s="85">
        <f>IF(P194="","",IF(ISNUMBER('Dvd Calendar'!$R$2676)=FALSE,"",IF((Summary!$C$13="N")*('Dvd Calendar'!$R$2680='Field Check'!$C$25)&gt;0,"",'Dvd Calendar'!$R$2676)))</f>
        <v/>
      </c>
      <c r="CE194" s="85">
        <f>IF(Q194="","",IF(ISNUMBER('Dvd Calendar'!$S$2676)=FALSE,"",IF((Summary!$C$13="N")*('Dvd Calendar'!$S$2680='Field Check'!$C$25)&gt;0,"",'Dvd Calendar'!$S$2676)))</f>
        <v/>
      </c>
      <c r="CF194" s="85">
        <f>IF(R194="","",IF(ISNUMBER('Dvd Calendar'!$T$2676)=FALSE,"",IF((Summary!$C$13="N")*('Dvd Calendar'!$T$2680='Field Check'!$C$25)&gt;0,"",'Dvd Calendar'!$T$2676)))</f>
        <v/>
      </c>
      <c r="CG194" s="85">
        <f>IF(S194="","",IF(ISNUMBER('Dvd Calendar'!$U$2676)=FALSE,"",IF((Summary!$C$13="N")*('Dvd Calendar'!$U$2680='Field Check'!$C$25)&gt;0,"",'Dvd Calendar'!$U$2676)))</f>
        <v/>
      </c>
      <c r="CH194" s="85">
        <f>IF(T194="","",IF(ISNUMBER('Dvd Calendar'!$V$2676)=FALSE,"",IF((Summary!$C$13="N")*('Dvd Calendar'!$V$2680='Field Check'!$C$25)&gt;0,"",'Dvd Calendar'!$V$2676)))</f>
        <v/>
      </c>
      <c r="CI194" s="85">
        <f>IF(U194="","",IF(ISNUMBER('Dvd Calendar'!$W$2676)=FALSE,"",IF((Summary!$C$13="N")*('Dvd Calendar'!$W$2680='Field Check'!$C$25)&gt;0,"",'Dvd Calendar'!$W$2676)))</f>
        <v/>
      </c>
      <c r="CJ194" s="85">
        <f>IF(V194="","",IF(ISNUMBER('Dvd Calendar'!$X$2676)=FALSE,"",IF((Summary!$C$13="N")*('Dvd Calendar'!$X$2680='Field Check'!$C$25)&gt;0,"",'Dvd Calendar'!$X$2676)))</f>
        <v/>
      </c>
      <c r="CK194" s="85">
        <f>IF(W194="","",IF(ISNUMBER('Dvd Calendar'!$Y$2676)=FALSE,"",IF((Summary!$C$13="N")*('Dvd Calendar'!$Y$2680='Field Check'!$C$25)&gt;0,"",'Dvd Calendar'!$Y$2676)))</f>
        <v/>
      </c>
      <c r="CL194" s="85">
        <f>IF(X194="","",IF(ISNUMBER('Dvd Calendar'!$Z$2676)=FALSE,"",IF((Summary!$C$13="N")*('Dvd Calendar'!$Z$2680='Field Check'!$C$25)&gt;0,"",'Dvd Calendar'!$Z$2676)))</f>
        <v/>
      </c>
      <c r="CM194" s="85">
        <f>IF(Y194="","",IF(ISNUMBER('Dvd Calendar'!$AA$2676)=FALSE,"",IF((Summary!$C$13="N")*('Dvd Calendar'!$AA$2680='Field Check'!$C$25)&gt;0,"",'Dvd Calendar'!$AA$2676)))</f>
        <v/>
      </c>
      <c r="CN194" s="85">
        <f>IF(Z194="","",IF(ISNUMBER('Dvd Calendar'!$AB$2676)=FALSE,"",IF((Summary!$C$13="N")*('Dvd Calendar'!$AB$2680='Field Check'!$C$25)&gt;0,"",'Dvd Calendar'!$AB$2676)))</f>
        <v/>
      </c>
      <c r="CO194" s="85">
        <f>IF(AA194="","",IF(ISNUMBER('Dvd Calendar'!$AC$2676)=FALSE,"",IF((Summary!$C$13="N")*('Dvd Calendar'!$AC$2680='Field Check'!$C$25)&gt;0,"",'Dvd Calendar'!$AC$2676)))</f>
        <v/>
      </c>
      <c r="CP194" s="85">
        <f>IF(AB194="","",IF(ISNUMBER('Dvd Calendar'!$AD$2676)=FALSE,"",IF((Summary!$C$13="N")*('Dvd Calendar'!$AD$2680='Field Check'!$C$25)&gt;0,"",'Dvd Calendar'!$AD$2676)))</f>
        <v/>
      </c>
      <c r="CQ194" s="85">
        <f>IF(AC194="","",IF(ISNUMBER('Dvd Calendar'!$AE$2676)=FALSE,"",IF((Summary!$C$13="N")*('Dvd Calendar'!$AE$2680='Field Check'!$C$25)&gt;0,"",'Dvd Calendar'!$AE$2676)))</f>
        <v/>
      </c>
      <c r="CR194" s="85">
        <f>IF(AD194="","",IF(ISNUMBER('Dvd Calendar'!$AF$2676)=FALSE,"",IF((Summary!$C$13="N")*('Dvd Calendar'!$AF$2680='Field Check'!$C$25)&gt;0,"",'Dvd Calendar'!$AF$2676)))</f>
        <v/>
      </c>
      <c r="CS194" s="85">
        <f>IF(AE194="","",IF(ISNUMBER('Dvd Calendar'!$AG$2676)=FALSE,"",IF((Summary!$C$13="N")*('Dvd Calendar'!$AG$2680='Field Check'!$C$25)&gt;0,"",'Dvd Calendar'!$AG$2676)))</f>
        <v/>
      </c>
      <c r="CT194" s="85">
        <f>IF(AF194="","",IF(ISNUMBER('Dvd Calendar'!$AH$2676)=FALSE,"",IF((Summary!$C$13="N")*('Dvd Calendar'!$AH$2680='Field Check'!$C$25)&gt;0,"",'Dvd Calendar'!$AH$2676)))</f>
        <v/>
      </c>
      <c r="CU194" s="85">
        <f>IF(AG194="","",IF(ISNUMBER('Dvd Calendar'!$AI$2676)=FALSE,"",IF((Summary!$C$13="N")*('Dvd Calendar'!$AI$2680='Field Check'!$C$25)&gt;0,"",'Dvd Calendar'!$AI$2676)))</f>
        <v/>
      </c>
      <c r="CV194" s="85">
        <f>IF(AH194="","",IF(ISNUMBER('Dvd Calendar'!$AJ$2676)=FALSE,"",IF((Summary!$C$13="N")*('Dvd Calendar'!$AJ$2680='Field Check'!$C$25)&gt;0,"",'Dvd Calendar'!$AJ$2676)))</f>
        <v/>
      </c>
      <c r="CW194" s="85">
        <f>IF(AI194="","",IF(ISNUMBER('Dvd Calendar'!$AK$2676)=FALSE,"",IF((Summary!$C$13="N")*('Dvd Calendar'!$AK$2680='Field Check'!$C$25)&gt;0,"",'Dvd Calendar'!$AK$2676)))</f>
        <v/>
      </c>
      <c r="CX194" s="85">
        <f>IF(AJ194="","",IF(ISNUMBER('Dvd Calendar'!$AL$2676)=FALSE,"",IF((Summary!$C$13="N")*('Dvd Calendar'!$AL$2680='Field Check'!$C$25)&gt;0,"",'Dvd Calendar'!$AL$2676)))</f>
        <v/>
      </c>
      <c r="CY194" s="85">
        <f>IF(AK194="","",IF(ISNUMBER('Dvd Calendar'!$AM$2676)=FALSE,"",IF((Summary!$C$13="N")*('Dvd Calendar'!$AM$2680='Field Check'!$C$25)&gt;0,"",'Dvd Calendar'!$AM$2676)))</f>
        <v/>
      </c>
      <c r="CZ194" s="85">
        <f>IF(AL194="","",IF(ISNUMBER('Dvd Calendar'!$AN$2676)=FALSE,"",IF((Summary!$C$13="N")*('Dvd Calendar'!$AN$2680='Field Check'!$C$25)&gt;0,"",'Dvd Calendar'!$AN$2676)))</f>
        <v/>
      </c>
      <c r="DA194" s="85">
        <f>IF(AM194="","",IF(ISNUMBER('Dvd Calendar'!$AO$2676)=FALSE,"",IF((Summary!$C$13="N")*('Dvd Calendar'!$AO$2680='Field Check'!$C$25)&gt;0,"",'Dvd Calendar'!$AO$2676)))</f>
        <v/>
      </c>
      <c r="DB194" s="85">
        <f>IF(AN194="","",IF(ISNUMBER('Dvd Calendar'!$AP$2676)=FALSE,"",IF((Summary!$C$13="N")*('Dvd Calendar'!$AP$2680='Field Check'!$C$25)&gt;0,"",'Dvd Calendar'!$AP$2676)))</f>
        <v/>
      </c>
      <c r="DC194" s="85">
        <f>IF(AO194="","",IF(ISNUMBER('Dvd Calendar'!$AQ$2676)=FALSE,"",IF((Summary!$C$13="N")*('Dvd Calendar'!$AQ$2680='Field Check'!$C$25)&gt;0,"",'Dvd Calendar'!$AQ$2676)))</f>
        <v/>
      </c>
      <c r="DD194" s="85">
        <f>IF(AP194="","",IF(ISNUMBER('Dvd Calendar'!$AR$2676)=FALSE,"",IF((Summary!$C$13="N")*('Dvd Calendar'!$AR$2680='Field Check'!$C$25)&gt;0,"",'Dvd Calendar'!$AR$2676)))</f>
        <v/>
      </c>
      <c r="DE194" s="85">
        <f>IF(AQ194="","",IF(ISNUMBER('Dvd Calendar'!$E$2683)=FALSE,"",IF((Summary!$C$13="N")*('Dvd Calendar'!$E$2687='Field Check'!$C$25)&gt;0,"",'Dvd Calendar'!$E$2683)))</f>
        <v/>
      </c>
      <c r="DF194" s="85">
        <f>IF(AR194="","",IF(ISNUMBER('Dvd Calendar'!$F$2683)=FALSE,"",IF((Summary!$C$13="N")*('Dvd Calendar'!$F$2687='Field Check'!$C$25)&gt;0,"",'Dvd Calendar'!$F$2683)))</f>
        <v/>
      </c>
      <c r="DG194" s="85">
        <f>IF(AS194="","",IF(ISNUMBER('Dvd Calendar'!$G$2683)=FALSE,"",IF((Summary!$C$13="N")*('Dvd Calendar'!$G$2687='Field Check'!$C$25)&gt;0,"",'Dvd Calendar'!$G$2683)))</f>
        <v/>
      </c>
      <c r="DH194" s="85">
        <f>IF(AT194="","",IF(ISNUMBER('Dvd Calendar'!$H$2683)=FALSE,"",IF((Summary!$C$13="N")*('Dvd Calendar'!$H$2687='Field Check'!$C$25)&gt;0,"",'Dvd Calendar'!$H$2683)))</f>
        <v/>
      </c>
      <c r="DI194" s="85">
        <f>IF(AU194="","",IF(ISNUMBER('Dvd Calendar'!$I$2683)=FALSE,"",IF((Summary!$C$13="N")*('Dvd Calendar'!$I$2687='Field Check'!$C$25)&gt;0,"",'Dvd Calendar'!$I$2683)))</f>
        <v/>
      </c>
      <c r="DJ194" s="85">
        <f>IF(AV194="","",IF(ISNUMBER('Dvd Calendar'!$J$2683)=FALSE,"",IF((Summary!$C$13="N")*('Dvd Calendar'!$J$2687='Field Check'!$C$25)&gt;0,"",'Dvd Calendar'!$J$2683)))</f>
        <v/>
      </c>
      <c r="DK194" s="85">
        <f>IF(AW194="","",IF(ISNUMBER('Dvd Calendar'!$K$2683)=FALSE,"",IF((Summary!$C$13="N")*('Dvd Calendar'!$K$2687='Field Check'!$C$25)&gt;0,"",'Dvd Calendar'!$K$2683)))</f>
        <v/>
      </c>
      <c r="DL194" s="85">
        <f>IF(AX194="","",IF(ISNUMBER('Dvd Calendar'!$L$2683)=FALSE,"",IF((Summary!$C$13="N")*('Dvd Calendar'!$L$2687='Field Check'!$C$25)&gt;0,"",'Dvd Calendar'!$L$2683)))</f>
        <v/>
      </c>
      <c r="DM194" s="85">
        <f>IF(AY194="","",IF(ISNUMBER('Dvd Calendar'!$M$2683)=FALSE,"",IF((Summary!$C$13="N")*('Dvd Calendar'!$M$2687='Field Check'!$C$25)&gt;0,"",'Dvd Calendar'!$M$2683)))</f>
        <v/>
      </c>
      <c r="DN194" s="85">
        <f>IF(AZ194="","",IF(ISNUMBER('Dvd Calendar'!$N$2683)=FALSE,"",IF((Summary!$C$13="N")*('Dvd Calendar'!$N$2687='Field Check'!$C$25)&gt;0,"",'Dvd Calendar'!$N$2683)))</f>
        <v/>
      </c>
      <c r="DO194" s="85">
        <f>IF(BA194="","",IF(ISNUMBER('Dvd Calendar'!$O$2683)=FALSE,"",IF((Summary!$C$13="N")*('Dvd Calendar'!$O$2687='Field Check'!$C$25)&gt;0,"",'Dvd Calendar'!$O$2683)))</f>
        <v/>
      </c>
      <c r="DP194" s="85">
        <f>IF(BB194="","",IF(ISNUMBER('Dvd Calendar'!$P$2683)=FALSE,"",IF((Summary!$C$13="N")*('Dvd Calendar'!$P$2687='Field Check'!$C$25)&gt;0,"",'Dvd Calendar'!$P$2683)))</f>
        <v/>
      </c>
      <c r="DQ194" s="85">
        <f>IF(BC194="","",IF(ISNUMBER('Dvd Calendar'!$Q$2683)=FALSE,"",IF((Summary!$C$13="N")*('Dvd Calendar'!$Q$2687='Field Check'!$C$25)&gt;0,"",'Dvd Calendar'!$Q$2683)))</f>
        <v/>
      </c>
      <c r="DR194" s="85">
        <f>IF(BD194="","",IF(ISNUMBER('Dvd Calendar'!$R$2683)=FALSE,"",IF((Summary!$C$13="N")*('Dvd Calendar'!$R$2687='Field Check'!$C$25)&gt;0,"",'Dvd Calendar'!$R$2683)))</f>
        <v/>
      </c>
      <c r="DS194" s="85">
        <f>IF(BE194="","",IF(ISNUMBER('Dvd Calendar'!$S$2683)=FALSE,"",IF((Summary!$C$13="N")*('Dvd Calendar'!$S$2687='Field Check'!$C$25)&gt;0,"",'Dvd Calendar'!$S$2683)))</f>
        <v/>
      </c>
      <c r="DT194" s="85">
        <f>IF(BF194="","",IF(ISNUMBER('Dvd Calendar'!$T$2683)=FALSE,"",IF((Summary!$C$13="N")*('Dvd Calendar'!$T$2687='Field Check'!$C$25)&gt;0,"",'Dvd Calendar'!$T$2683)))</f>
        <v/>
      </c>
      <c r="DU194" s="85">
        <f>IF(BG194="","",IF(ISNUMBER('Dvd Calendar'!$U$2683)=FALSE,"",IF((Summary!$C$13="N")*('Dvd Calendar'!$U$2687='Field Check'!$C$25)&gt;0,"",'Dvd Calendar'!$U$2683)))</f>
        <v/>
      </c>
      <c r="DV194" s="85">
        <f>IF(BH194="","",IF(ISNUMBER('Dvd Calendar'!$V$2683)=FALSE,"",IF((Summary!$C$13="N")*('Dvd Calendar'!$V$2687='Field Check'!$C$25)&gt;0,"",'Dvd Calendar'!$V$2683)))</f>
        <v/>
      </c>
      <c r="DW194" s="85">
        <f>IF(BI194="","",IF(ISNUMBER('Dvd Calendar'!$W$2683)=FALSE,"",IF((Summary!$C$13="N")*('Dvd Calendar'!$W$2687='Field Check'!$C$25)&gt;0,"",'Dvd Calendar'!$W$2683)))</f>
        <v/>
      </c>
      <c r="DX194" s="85">
        <f>IF(BJ194="","",IF(ISNUMBER('Dvd Calendar'!$X$2683)=FALSE,"",IF((Summary!$C$13="N")*('Dvd Calendar'!$X$2687='Field Check'!$C$25)&gt;0,"",'Dvd Calendar'!$X$2683)))</f>
        <v/>
      </c>
      <c r="DY194" s="85">
        <f>IF(BK194="","",IF(ISNUMBER('Dvd Calendar'!$Y$2683)=FALSE,"",IF((Summary!$C$13="N")*('Dvd Calendar'!$Y$2687='Field Check'!$C$25)&gt;0,"",'Dvd Calendar'!$Y$2683)))</f>
        <v/>
      </c>
      <c r="DZ194" s="85">
        <f>IF(BL194="","",IF(ISNUMBER('Dvd Calendar'!$Z$2683)=FALSE,"",IF((Summary!$C$13="N")*('Dvd Calendar'!$Z$2687='Field Check'!$C$25)&gt;0,"",'Dvd Calendar'!$Z$2683)))</f>
        <v/>
      </c>
      <c r="EA194" s="85">
        <f>IF(BM194="","",IF(ISNUMBER('Dvd Calendar'!$AA$2683)=FALSE,"",IF((Summary!$C$13="N")*('Dvd Calendar'!$AA$2687='Field Check'!$C$25)&gt;0,"",'Dvd Calendar'!$AA$2683)))</f>
        <v/>
      </c>
      <c r="EB194" s="85">
        <f>IF(BN194="","",IF(ISNUMBER('Dvd Calendar'!$AB$2683)=FALSE,"",IF((Summary!$C$13="N")*('Dvd Calendar'!$AB$2687='Field Check'!$C$25)&gt;0,"",'Dvd Calendar'!$AB$2683)))</f>
        <v/>
      </c>
      <c r="EC194" s="85">
        <f>IF(BO194="","",IF(ISNUMBER('Dvd Calendar'!$AC$2683)=FALSE,"",IF((Summary!$C$13="N")*('Dvd Calendar'!$AC$2687='Field Check'!$C$25)&gt;0,"",'Dvd Calendar'!$AC$2683)))</f>
        <v/>
      </c>
      <c r="EE194" s="85">
        <f>IF(BQ194="","",IFERROR(BQ194*HSCEI!$B$44*HSCEI!$G$44/HSCEI!$B$3,""))</f>
        <v/>
      </c>
      <c r="EF194" s="85">
        <f>IF(BR194="","",IFERROR(BR194*HSCEI!$B$44*HSCEI!$G$44/HSCEI!$B$3,""))</f>
        <v/>
      </c>
      <c r="EG194" s="85">
        <f>IF(BS194="","",IFERROR(BS194*HSCEI!$B$44*HSCEI!$G$44/HSCEI!$B$3,""))</f>
        <v/>
      </c>
      <c r="EH194" s="85">
        <f>IF(BT194="","",IFERROR(BT194*HSCEI!$B$44*HSCEI!$G$44/HSCEI!$B$3,""))</f>
        <v/>
      </c>
      <c r="EI194" s="85">
        <f>IF(BU194="","",IFERROR(BU194*HSCEI!$B$44*HSCEI!$G$44/HSCEI!$B$3,""))</f>
        <v/>
      </c>
      <c r="EJ194" s="85">
        <f>IF(BV194="","",IFERROR(BV194*HSCEI!$B$44*HSCEI!$G$44/HSCEI!$B$3,""))</f>
        <v/>
      </c>
      <c r="EK194" s="85">
        <f>IF(BW194="","",IFERROR(BW194*HSCEI!$B$44*HSCEI!$G$44/HSCEI!$B$3,""))</f>
        <v/>
      </c>
      <c r="EL194" s="85">
        <f>IF(BX194="","",IFERROR(BX194*HSCEI!$B$44*HSCEI!$G$44/HSCEI!$B$3,""))</f>
        <v/>
      </c>
      <c r="EM194" s="85">
        <f>IF(BY194="","",IFERROR(BY194*HSCEI!$B$44*HSCEI!$G$44/HSCEI!$B$3,""))</f>
        <v/>
      </c>
      <c r="EN194" s="85">
        <f>IF(BZ194="","",IFERROR(BZ194*HSCEI!$B$44*HSCEI!$G$44/HSCEI!$B$3,""))</f>
        <v/>
      </c>
      <c r="EO194" s="85">
        <f>IF(CA194="","",IFERROR(CA194*HSCEI!$B$44*HSCEI!$G$44/HSCEI!$B$3,""))</f>
        <v/>
      </c>
      <c r="EP194" s="85">
        <f>IF(CB194="","",IFERROR(CB194*HSCEI!$B$44*HSCEI!$G$44/HSCEI!$B$3,""))</f>
        <v/>
      </c>
      <c r="EQ194" s="85">
        <f>IF(CC194="","",IFERROR(CC194*HSCEI!$B$44*HSCEI!$G$44/HSCEI!$B$3,""))</f>
        <v/>
      </c>
      <c r="ER194" s="85">
        <f>IF(CD194="","",IFERROR(CD194*HSCEI!$B$44*HSCEI!$G$44/HSCEI!$B$3,""))</f>
        <v/>
      </c>
      <c r="ES194" s="85">
        <f>IF(CE194="","",IFERROR(CE194*HSCEI!$B$44*HSCEI!$G$44/HSCEI!$B$3,""))</f>
        <v/>
      </c>
      <c r="ET194" s="85">
        <f>IF(CF194="","",IFERROR(CF194*HSCEI!$B$44*HSCEI!$G$44/HSCEI!$B$3,""))</f>
        <v/>
      </c>
      <c r="EU194" s="85">
        <f>IF(CG194="","",IFERROR(CG194*HSCEI!$B$44*HSCEI!$G$44/HSCEI!$B$3,""))</f>
        <v/>
      </c>
      <c r="EV194" s="85">
        <f>IF(CH194="","",IFERROR(CH194*HSCEI!$B$44*HSCEI!$G$44/HSCEI!$B$3,""))</f>
        <v/>
      </c>
      <c r="EW194" s="85">
        <f>IF(CI194="","",IFERROR(CI194*HSCEI!$B$44*HSCEI!$G$44/HSCEI!$B$3,""))</f>
        <v/>
      </c>
      <c r="EX194" s="85">
        <f>IF(CJ194="","",IFERROR(CJ194*HSCEI!$B$44*HSCEI!$G$44/HSCEI!$B$3,""))</f>
        <v/>
      </c>
      <c r="EY194" s="85">
        <f>IF(CK194="","",IFERROR(CK194*HSCEI!$B$44*HSCEI!$G$44/HSCEI!$B$3,""))</f>
        <v/>
      </c>
      <c r="EZ194" s="85">
        <f>IF(CL194="","",IFERROR(CL194*HSCEI!$B$44*HSCEI!$G$44/HSCEI!$B$3,""))</f>
        <v/>
      </c>
      <c r="FA194" s="85">
        <f>IF(CM194="","",IFERROR(CM194*HSCEI!$B$44*HSCEI!$G$44/HSCEI!$B$3,""))</f>
        <v/>
      </c>
      <c r="FB194" s="85">
        <f>IF(CN194="","",IFERROR(CN194*HSCEI!$B$44*HSCEI!$G$44/HSCEI!$B$3,""))</f>
        <v/>
      </c>
      <c r="FC194" s="85">
        <f>IF(CO194="","",IFERROR(CO194*HSCEI!$B$44*HSCEI!$G$44/HSCEI!$B$3,""))</f>
        <v/>
      </c>
      <c r="FD194" s="85">
        <f>IF(CP194="","",IFERROR(CP194*HSCEI!$B$44*HSCEI!$G$44/HSCEI!$B$3,""))</f>
        <v/>
      </c>
      <c r="FE194" s="85">
        <f>IF(CQ194="","",IFERROR(CQ194*HSCEI!$B$44*HSCEI!$G$44/HSCEI!$B$3,""))</f>
        <v/>
      </c>
      <c r="FF194" s="85">
        <f>IF(CR194="","",IFERROR(CR194*HSCEI!$B$44*HSCEI!$G$44/HSCEI!$B$3,""))</f>
        <v/>
      </c>
      <c r="FG194" s="85">
        <f>IF(CS194="","",IFERROR(CS194*HSCEI!$B$44*HSCEI!$G$44/HSCEI!$B$3,""))</f>
        <v/>
      </c>
      <c r="FH194" s="85">
        <f>IF(CT194="","",IFERROR(CT194*HSCEI!$B$44*HSCEI!$G$44/HSCEI!$B$3,""))</f>
        <v/>
      </c>
      <c r="FI194" s="85">
        <f>IF(CU194="","",IFERROR(CU194*HSCEI!$B$44*HSCEI!$G$44/HSCEI!$B$3,""))</f>
        <v/>
      </c>
      <c r="FJ194" s="85">
        <f>IF(CV194="","",IFERROR(CV194*HSCEI!$B$44*HSCEI!$G$44/HSCEI!$B$3,""))</f>
        <v/>
      </c>
      <c r="FK194" s="85">
        <f>IF(CW194="","",IFERROR(CW194*HSCEI!$B$44*HSCEI!$G$44/HSCEI!$B$3,""))</f>
        <v/>
      </c>
      <c r="FL194" s="85">
        <f>IF(CX194="","",IFERROR(CX194*HSCEI!$B$44*HSCEI!$G$44/HSCEI!$B$3,""))</f>
        <v/>
      </c>
      <c r="FM194" s="85">
        <f>IF(CY194="","",IFERROR(CY194*HSCEI!$B$44*HSCEI!$G$44/HSCEI!$B$3,""))</f>
        <v/>
      </c>
      <c r="FN194" s="85">
        <f>IF(CZ194="","",IFERROR(CZ194*HSCEI!$B$44*HSCEI!$G$44/HSCEI!$B$3,""))</f>
        <v/>
      </c>
      <c r="FO194" s="85">
        <f>IF(DA194="","",IFERROR(DA194*HSCEI!$B$44*HSCEI!$G$44/HSCEI!$B$3,""))</f>
        <v/>
      </c>
      <c r="FP194" s="85">
        <f>IF(DB194="","",IFERROR(DB194*HSCEI!$B$44*HSCEI!$G$44/HSCEI!$B$3,""))</f>
        <v/>
      </c>
      <c r="FQ194" s="85">
        <f>IF(DC194="","",IFERROR(DC194*HSCEI!$B$44*HSCEI!$G$44/HSCEI!$B$3,""))</f>
        <v/>
      </c>
      <c r="FR194" s="85">
        <f>IF(DD194="","",IFERROR(DD194*HSCEI!$B$44*HSCEI!$G$44/HSCEI!$B$3,""))</f>
        <v/>
      </c>
      <c r="FS194" s="85">
        <f>IF(DE194="","",IFERROR(DE194*HSCEI!$B$44*HSCEI!$G$44/HSCEI!$B$3,""))</f>
        <v/>
      </c>
      <c r="FT194" s="85">
        <f>IF(DF194="","",IFERROR(DF194*HSCEI!$B$44*HSCEI!$G$44/HSCEI!$B$3,""))</f>
        <v/>
      </c>
      <c r="FU194" s="85">
        <f>IF(DG194="","",IFERROR(DG194*HSCEI!$B$44*HSCEI!$G$44/HSCEI!$B$3,""))</f>
        <v/>
      </c>
      <c r="FV194" s="85">
        <f>IF(DH194="","",IFERROR(DH194*HSCEI!$B$44*HSCEI!$G$44/HSCEI!$B$3,""))</f>
        <v/>
      </c>
      <c r="FW194" s="85">
        <f>IF(DI194="","",IFERROR(DI194*HSCEI!$B$44*HSCEI!$G$44/HSCEI!$B$3,""))</f>
        <v/>
      </c>
      <c r="FX194" s="85">
        <f>IF(DJ194="","",IFERROR(DJ194*HSCEI!$B$44*HSCEI!$G$44/HSCEI!$B$3,""))</f>
        <v/>
      </c>
      <c r="FY194" s="85">
        <f>IF(DK194="","",IFERROR(DK194*HSCEI!$B$44*HSCEI!$G$44/HSCEI!$B$3,""))</f>
        <v/>
      </c>
      <c r="FZ194" s="85">
        <f>IF(DL194="","",IFERROR(DL194*HSCEI!$B$44*HSCEI!$G$44/HSCEI!$B$3,""))</f>
        <v/>
      </c>
      <c r="GA194" s="85">
        <f>IF(DM194="","",IFERROR(DM194*HSCEI!$B$44*HSCEI!$G$44/HSCEI!$B$3,""))</f>
        <v/>
      </c>
      <c r="GB194" s="85">
        <f>IF(DN194="","",IFERROR(DN194*HSCEI!$B$44*HSCEI!$G$44/HSCEI!$B$3,""))</f>
        <v/>
      </c>
      <c r="GC194" s="85">
        <f>IF(DO194="","",IFERROR(DO194*HSCEI!$B$44*HSCEI!$G$44/HSCEI!$B$3,""))</f>
        <v/>
      </c>
      <c r="GD194" s="85">
        <f>IF(DP194="","",IFERROR(DP194*HSCEI!$B$44*HSCEI!$G$44/HSCEI!$B$3,""))</f>
        <v/>
      </c>
      <c r="GE194" s="85">
        <f>IF(DQ194="","",IFERROR(DQ194*HSCEI!$B$44*HSCEI!$G$44/HSCEI!$B$3,""))</f>
        <v/>
      </c>
      <c r="GF194" s="85">
        <f>IF(DR194="","",IFERROR(DR194*HSCEI!$B$44*HSCEI!$G$44/HSCEI!$B$3,""))</f>
        <v/>
      </c>
      <c r="GG194" s="85">
        <f>IF(DS194="","",IFERROR(DS194*HSCEI!$B$44*HSCEI!$G$44/HSCEI!$B$3,""))</f>
        <v/>
      </c>
      <c r="GH194" s="85">
        <f>IF(DT194="","",IFERROR(DT194*HSCEI!$B$44*HSCEI!$G$44/HSCEI!$B$3,""))</f>
        <v/>
      </c>
      <c r="GI194" s="85">
        <f>IF(DU194="","",IFERROR(DU194*HSCEI!$B$44*HSCEI!$G$44/HSCEI!$B$3,""))</f>
        <v/>
      </c>
      <c r="GJ194" s="85">
        <f>IF(DV194="","",IFERROR(DV194*HSCEI!$B$44*HSCEI!$G$44/HSCEI!$B$3,""))</f>
        <v/>
      </c>
      <c r="GK194" s="85">
        <f>IF(DW194="","",IFERROR(DW194*HSCEI!$B$44*HSCEI!$G$44/HSCEI!$B$3,""))</f>
        <v/>
      </c>
      <c r="GL194" s="85">
        <f>IF(DX194="","",IFERROR(DX194*HSCEI!$B$44*HSCEI!$G$44/HSCEI!$B$3,""))</f>
        <v/>
      </c>
      <c r="GM194" s="85">
        <f>IF(DY194="","",IFERROR(DY194*HSCEI!$B$44*HSCEI!$G$44/HSCEI!$B$3,""))</f>
        <v/>
      </c>
      <c r="GN194" s="85">
        <f>IF(DZ194="","",IFERROR(DZ194*HSCEI!$B$44*HSCEI!$G$44/HSCEI!$B$3,""))</f>
        <v/>
      </c>
      <c r="GO194" s="85">
        <f>IF(EA194="","",IFERROR(EA194*HSCEI!$B$44*HSCEI!$G$44/HSCEI!$B$3,""))</f>
        <v/>
      </c>
      <c r="GP194" s="85">
        <f>IF(EB194="","",IFERROR(EB194*HSCEI!$B$44*HSCEI!$G$44/HSCEI!$B$3,""))</f>
        <v/>
      </c>
      <c r="GQ194" s="85">
        <f>IF(EC194="","",IFERROR(EC194*HSCEI!$B$44*HSCEI!$G$44/HSCEI!$B$3,""))</f>
        <v/>
      </c>
    </row>
    <row r="195">
      <c r="B195" s="2">
        <f>IF(HSCEI!$C$45="","",HSCEI!$C$45)</f>
        <v/>
      </c>
      <c r="C195" s="41">
        <f>IF(N('Dvd Calendar'!$E$2690)=0,"",IF(('Dvd Calendar'!$E$2690&gt;=MIN(DATE(Summary!$C$12,1,1),Summary!$C$11))*('Dvd Calendar'!$E$2690&lt;=MAX(DATE(Summary!$C$12,12,31),Summary!$C$15))*('Dvd Calendar'!$E$2690&lt;=Summary!$C$11)=0,"",'Dvd Calendar'!$E$2690*1000000000+ISNUMBER('Dvd Calendar'!$E$2691)*100000000+('Dvd Calendar'!$E$2695='Field Check'!$C$25)*10000000+(N('Dvd Calendar'!$E$2689)&gt;0)*1000000+39*1000+1))</f>
        <v/>
      </c>
      <c r="D195" s="41">
        <f>IF(N('Dvd Calendar'!$F$2690)=0,"",IF(('Dvd Calendar'!$F$2690&gt;=MIN(DATE(Summary!$C$12,1,1),Summary!$C$11))*('Dvd Calendar'!$F$2690&lt;=MAX(DATE(Summary!$C$12,12,31),Summary!$C$15))*('Dvd Calendar'!$F$2690&lt;=Summary!$C$11)=0,"",'Dvd Calendar'!$F$2690*1000000000+ISNUMBER('Dvd Calendar'!$F$2691)*100000000+('Dvd Calendar'!$F$2695='Field Check'!$C$25)*10000000+(N('Dvd Calendar'!$F$2689)&gt;0)*1000000+39*1000+2))</f>
        <v/>
      </c>
      <c r="E195" s="41">
        <f>IF(N('Dvd Calendar'!$G$2690)=0,"",IF(('Dvd Calendar'!$G$2690&gt;=MIN(DATE(Summary!$C$12,1,1),Summary!$C$11))*('Dvd Calendar'!$G$2690&lt;=MAX(DATE(Summary!$C$12,12,31),Summary!$C$15))*('Dvd Calendar'!$G$2690&lt;=Summary!$C$11)=0,"",'Dvd Calendar'!$G$2690*1000000000+ISNUMBER('Dvd Calendar'!$G$2691)*100000000+('Dvd Calendar'!$G$2695='Field Check'!$C$25)*10000000+(N('Dvd Calendar'!$G$2689)&gt;0)*1000000+39*1000+3))</f>
        <v/>
      </c>
      <c r="F195" s="41">
        <f>IF(N('Dvd Calendar'!$H$2690)=0,"",IF(('Dvd Calendar'!$H$2690&gt;=MIN(DATE(Summary!$C$12,1,1),Summary!$C$11))*('Dvd Calendar'!$H$2690&lt;=MAX(DATE(Summary!$C$12,12,31),Summary!$C$15))*('Dvd Calendar'!$H$2690&lt;=Summary!$C$11)=0,"",'Dvd Calendar'!$H$2690*1000000000+ISNUMBER('Dvd Calendar'!$H$2691)*100000000+('Dvd Calendar'!$H$2695='Field Check'!$C$25)*10000000+(N('Dvd Calendar'!$H$2689)&gt;0)*1000000+39*1000+4))</f>
        <v/>
      </c>
      <c r="G195" s="41">
        <f>IF(N('Dvd Calendar'!$I$2690)=0,"",IF(('Dvd Calendar'!$I$2690&gt;=MIN(DATE(Summary!$C$12,1,1),Summary!$C$11))*('Dvd Calendar'!$I$2690&lt;=MAX(DATE(Summary!$C$12,12,31),Summary!$C$15))*('Dvd Calendar'!$I$2690&lt;=Summary!$C$11)=0,"",'Dvd Calendar'!$I$2690*1000000000+ISNUMBER('Dvd Calendar'!$I$2691)*100000000+('Dvd Calendar'!$I$2695='Field Check'!$C$25)*10000000+(N('Dvd Calendar'!$I$2689)&gt;0)*1000000+39*1000+5))</f>
        <v/>
      </c>
      <c r="H195" s="41">
        <f>IF(N('Dvd Calendar'!$J$2690)=0,"",IF(('Dvd Calendar'!$J$2690&gt;=MIN(DATE(Summary!$C$12,1,1),Summary!$C$11))*('Dvd Calendar'!$J$2690&lt;=MAX(DATE(Summary!$C$12,12,31),Summary!$C$15))*('Dvd Calendar'!$J$2690&lt;=Summary!$C$11)=0,"",'Dvd Calendar'!$J$2690*1000000000+ISNUMBER('Dvd Calendar'!$J$2691)*100000000+('Dvd Calendar'!$J$2695='Field Check'!$C$25)*10000000+(N('Dvd Calendar'!$J$2689)&gt;0)*1000000+39*1000+6))</f>
        <v/>
      </c>
      <c r="I195" s="41">
        <f>IF(N('Dvd Calendar'!$K$2690)=0,"",IF(('Dvd Calendar'!$K$2690&gt;=MIN(DATE(Summary!$C$12,1,1),Summary!$C$11))*('Dvd Calendar'!$K$2690&lt;=MAX(DATE(Summary!$C$12,12,31),Summary!$C$15))*('Dvd Calendar'!$K$2690&lt;=Summary!$C$11)=0,"",'Dvd Calendar'!$K$2690*1000000000+ISNUMBER('Dvd Calendar'!$K$2691)*100000000+('Dvd Calendar'!$K$2695='Field Check'!$C$25)*10000000+(N('Dvd Calendar'!$K$2689)&gt;0)*1000000+39*1000+7))</f>
        <v/>
      </c>
      <c r="J195" s="41">
        <f>IF(N('Dvd Calendar'!$L$2690)=0,"",IF(('Dvd Calendar'!$L$2690&gt;=MIN(DATE(Summary!$C$12,1,1),Summary!$C$11))*('Dvd Calendar'!$L$2690&lt;=MAX(DATE(Summary!$C$12,12,31),Summary!$C$15))*('Dvd Calendar'!$L$2690&lt;=Summary!$C$11)=0,"",'Dvd Calendar'!$L$2690*1000000000+ISNUMBER('Dvd Calendar'!$L$2691)*100000000+('Dvd Calendar'!$L$2695='Field Check'!$C$25)*10000000+(N('Dvd Calendar'!$L$2689)&gt;0)*1000000+39*1000+8))</f>
        <v/>
      </c>
      <c r="K195" s="41">
        <f>IF(N('Dvd Calendar'!$M$2690)=0,"",IF(('Dvd Calendar'!$M$2690&gt;=MIN(DATE(Summary!$C$12,1,1),Summary!$C$11))*('Dvd Calendar'!$M$2690&lt;=MAX(DATE(Summary!$C$12,12,31),Summary!$C$15))*('Dvd Calendar'!$M$2690&lt;=Summary!$C$11)=0,"",'Dvd Calendar'!$M$2690*1000000000+ISNUMBER('Dvd Calendar'!$M$2691)*100000000+('Dvd Calendar'!$M$2695='Field Check'!$C$25)*10000000+(N('Dvd Calendar'!$M$2689)&gt;0)*1000000+39*1000+9))</f>
        <v/>
      </c>
      <c r="L195" s="41">
        <f>IF(N('Dvd Calendar'!$N$2690)=0,"",IF(('Dvd Calendar'!$N$2690&gt;=MIN(DATE(Summary!$C$12,1,1),Summary!$C$11))*('Dvd Calendar'!$N$2690&lt;=MAX(DATE(Summary!$C$12,12,31),Summary!$C$15))*('Dvd Calendar'!$N$2690&lt;=Summary!$C$11)=0,"",'Dvd Calendar'!$N$2690*1000000000+ISNUMBER('Dvd Calendar'!$N$2691)*100000000+('Dvd Calendar'!$N$2695='Field Check'!$C$25)*10000000+(N('Dvd Calendar'!$N$2689)&gt;0)*1000000+39*1000+10))</f>
        <v/>
      </c>
      <c r="M195" s="41">
        <f>IF(N('Dvd Calendar'!$O$2690)=0,"",IF(('Dvd Calendar'!$O$2690&gt;=MIN(DATE(Summary!$C$12,1,1),Summary!$C$11))*('Dvd Calendar'!$O$2690&lt;=MAX(DATE(Summary!$C$12,12,31),Summary!$C$15))*('Dvd Calendar'!$O$2690&lt;=Summary!$C$11)=0,"",'Dvd Calendar'!$O$2690*1000000000+ISNUMBER('Dvd Calendar'!$O$2691)*100000000+('Dvd Calendar'!$O$2695='Field Check'!$C$25)*10000000+(N('Dvd Calendar'!$O$2689)&gt;0)*1000000+39*1000+11))</f>
        <v/>
      </c>
      <c r="N195" s="41">
        <f>IF(N('Dvd Calendar'!$P$2690)=0,"",IF(('Dvd Calendar'!$P$2690&gt;=MIN(DATE(Summary!$C$12,1,1),Summary!$C$11))*('Dvd Calendar'!$P$2690&lt;=MAX(DATE(Summary!$C$12,12,31),Summary!$C$15))*('Dvd Calendar'!$P$2690&lt;=Summary!$C$11)=0,"",'Dvd Calendar'!$P$2690*1000000000+ISNUMBER('Dvd Calendar'!$P$2691)*100000000+('Dvd Calendar'!$P$2695='Field Check'!$C$25)*10000000+(N('Dvd Calendar'!$P$2689)&gt;0)*1000000+39*1000+12))</f>
        <v/>
      </c>
      <c r="O195" s="41">
        <f>IF(N('Dvd Calendar'!$Q$2690)=0,"",IF(('Dvd Calendar'!$Q$2690&gt;=MIN(DATE(Summary!$C$12,1,1),Summary!$C$11))*('Dvd Calendar'!$Q$2690&lt;=MAX(DATE(Summary!$C$12,12,31),Summary!$C$15))*('Dvd Calendar'!$Q$2690&lt;=Summary!$C$11)=0,"",'Dvd Calendar'!$Q$2690*1000000000+ISNUMBER('Dvd Calendar'!$Q$2691)*100000000+('Dvd Calendar'!$Q$2695='Field Check'!$C$25)*10000000+(N('Dvd Calendar'!$Q$2689)&gt;0)*1000000+39*1000+13))</f>
        <v/>
      </c>
      <c r="P195" s="41">
        <f>IF(N('Dvd Calendar'!$R$2690)=0,"",IF(('Dvd Calendar'!$R$2690&gt;=MIN(DATE(Summary!$C$12,1,1),Summary!$C$11))*('Dvd Calendar'!$R$2690&lt;=MAX(DATE(Summary!$C$12,12,31),Summary!$C$15))*('Dvd Calendar'!$R$2690&lt;=Summary!$C$11)=0,"",'Dvd Calendar'!$R$2690*1000000000+ISNUMBER('Dvd Calendar'!$R$2691)*100000000+('Dvd Calendar'!$R$2695='Field Check'!$C$25)*10000000+(N('Dvd Calendar'!$R$2689)&gt;0)*1000000+39*1000+14))</f>
        <v/>
      </c>
      <c r="Q195" s="41">
        <f>IF(N('Dvd Calendar'!$S$2690)=0,"",IF(('Dvd Calendar'!$S$2690&gt;=MIN(DATE(Summary!$C$12,1,1),Summary!$C$11))*('Dvd Calendar'!$S$2690&lt;=MAX(DATE(Summary!$C$12,12,31),Summary!$C$15))*('Dvd Calendar'!$S$2690&lt;=Summary!$C$11)=0,"",'Dvd Calendar'!$S$2690*1000000000+ISNUMBER('Dvd Calendar'!$S$2691)*100000000+('Dvd Calendar'!$S$2695='Field Check'!$C$25)*10000000+(N('Dvd Calendar'!$S$2689)&gt;0)*1000000+39*1000+15))</f>
        <v/>
      </c>
      <c r="R195" s="41">
        <f>IF(N('Dvd Calendar'!$T$2690)=0,"",IF(('Dvd Calendar'!$T$2690&gt;=MIN(DATE(Summary!$C$12,1,1),Summary!$C$11))*('Dvd Calendar'!$T$2690&lt;=MAX(DATE(Summary!$C$12,12,31),Summary!$C$15))*('Dvd Calendar'!$T$2690&lt;=Summary!$C$11)=0,"",'Dvd Calendar'!$T$2690*1000000000+ISNUMBER('Dvd Calendar'!$T$2691)*100000000+('Dvd Calendar'!$T$2695='Field Check'!$C$25)*10000000+(N('Dvd Calendar'!$T$2689)&gt;0)*1000000+39*1000+16))</f>
        <v/>
      </c>
      <c r="S195" s="41">
        <f>IF(N('Dvd Calendar'!$U$2690)=0,"",IF(('Dvd Calendar'!$U$2690&gt;=MIN(DATE(Summary!$C$12,1,1),Summary!$C$11))*('Dvd Calendar'!$U$2690&lt;=MAX(DATE(Summary!$C$12,12,31),Summary!$C$15))*('Dvd Calendar'!$U$2690&lt;=Summary!$C$11)=0,"",'Dvd Calendar'!$U$2690*1000000000+ISNUMBER('Dvd Calendar'!$U$2691)*100000000+('Dvd Calendar'!$U$2695='Field Check'!$C$25)*10000000+(N('Dvd Calendar'!$U$2689)&gt;0)*1000000+39*1000+17))</f>
        <v/>
      </c>
      <c r="T195" s="41">
        <f>IF(N('Dvd Calendar'!$V$2690)=0,"",IF(('Dvd Calendar'!$V$2690&gt;=MIN(DATE(Summary!$C$12,1,1),Summary!$C$11))*('Dvd Calendar'!$V$2690&lt;=MAX(DATE(Summary!$C$12,12,31),Summary!$C$15))*('Dvd Calendar'!$V$2690&lt;=Summary!$C$11)=0,"",'Dvd Calendar'!$V$2690*1000000000+ISNUMBER('Dvd Calendar'!$V$2691)*100000000+('Dvd Calendar'!$V$2695='Field Check'!$C$25)*10000000+(N('Dvd Calendar'!$V$2689)&gt;0)*1000000+39*1000+18))</f>
        <v/>
      </c>
      <c r="U195" s="41">
        <f>IF(N('Dvd Calendar'!$W$2690)=0,"",IF(('Dvd Calendar'!$W$2690&gt;=MIN(DATE(Summary!$C$12,1,1),Summary!$C$11))*('Dvd Calendar'!$W$2690&lt;=MAX(DATE(Summary!$C$12,12,31),Summary!$C$15))*('Dvd Calendar'!$W$2690&lt;=Summary!$C$11)=0,"",'Dvd Calendar'!$W$2690*1000000000+ISNUMBER('Dvd Calendar'!$W$2691)*100000000+('Dvd Calendar'!$W$2695='Field Check'!$C$25)*10000000+(N('Dvd Calendar'!$W$2689)&gt;0)*1000000+39*1000+19))</f>
        <v/>
      </c>
      <c r="V195" s="41">
        <f>IF(N('Dvd Calendar'!$X$2690)=0,"",IF(('Dvd Calendar'!$X$2690&gt;=MIN(DATE(Summary!$C$12,1,1),Summary!$C$11))*('Dvd Calendar'!$X$2690&lt;=MAX(DATE(Summary!$C$12,12,31),Summary!$C$15))*('Dvd Calendar'!$X$2690&lt;=Summary!$C$11)=0,"",'Dvd Calendar'!$X$2690*1000000000+ISNUMBER('Dvd Calendar'!$X$2691)*100000000+('Dvd Calendar'!$X$2695='Field Check'!$C$25)*10000000+(N('Dvd Calendar'!$X$2689)&gt;0)*1000000+39*1000+20))</f>
        <v/>
      </c>
      <c r="W195" s="41">
        <f>IF(N('Dvd Calendar'!$Y$2690)=0,"",IF(('Dvd Calendar'!$Y$2690&gt;=MIN(DATE(Summary!$C$12,1,1),Summary!$C$11))*('Dvd Calendar'!$Y$2690&lt;=MAX(DATE(Summary!$C$12,12,31),Summary!$C$15))*('Dvd Calendar'!$Y$2690&lt;=Summary!$C$11)=0,"",'Dvd Calendar'!$Y$2690*1000000000+ISNUMBER('Dvd Calendar'!$Y$2691)*100000000+('Dvd Calendar'!$Y$2695='Field Check'!$C$25)*10000000+(N('Dvd Calendar'!$Y$2689)&gt;0)*1000000+39*1000+21))</f>
        <v/>
      </c>
      <c r="X195" s="41">
        <f>IF(N('Dvd Calendar'!$Z$2690)=0,"",IF(('Dvd Calendar'!$Z$2690&gt;=MIN(DATE(Summary!$C$12,1,1),Summary!$C$11))*('Dvd Calendar'!$Z$2690&lt;=MAX(DATE(Summary!$C$12,12,31),Summary!$C$15))*('Dvd Calendar'!$Z$2690&lt;=Summary!$C$11)=0,"",'Dvd Calendar'!$Z$2690*1000000000+ISNUMBER('Dvd Calendar'!$Z$2691)*100000000+('Dvd Calendar'!$Z$2695='Field Check'!$C$25)*10000000+(N('Dvd Calendar'!$Z$2689)&gt;0)*1000000+39*1000+22))</f>
        <v/>
      </c>
      <c r="Y195" s="41">
        <f>IF(N('Dvd Calendar'!$AA$2690)=0,"",IF(('Dvd Calendar'!$AA$2690&gt;=MIN(DATE(Summary!$C$12,1,1),Summary!$C$11))*('Dvd Calendar'!$AA$2690&lt;=MAX(DATE(Summary!$C$12,12,31),Summary!$C$15))*('Dvd Calendar'!$AA$2690&lt;=Summary!$C$11)=0,"",'Dvd Calendar'!$AA$2690*1000000000+ISNUMBER('Dvd Calendar'!$AA$2691)*100000000+('Dvd Calendar'!$AA$2695='Field Check'!$C$25)*10000000+(N('Dvd Calendar'!$AA$2689)&gt;0)*1000000+39*1000+23))</f>
        <v/>
      </c>
      <c r="Z195" s="41">
        <f>IF(N('Dvd Calendar'!$AB$2690)=0,"",IF(('Dvd Calendar'!$AB$2690&gt;=MIN(DATE(Summary!$C$12,1,1),Summary!$C$11))*('Dvd Calendar'!$AB$2690&lt;=MAX(DATE(Summary!$C$12,12,31),Summary!$C$15))*('Dvd Calendar'!$AB$2690&lt;=Summary!$C$11)=0,"",'Dvd Calendar'!$AB$2690*1000000000+ISNUMBER('Dvd Calendar'!$AB$2691)*100000000+('Dvd Calendar'!$AB$2695='Field Check'!$C$25)*10000000+(N('Dvd Calendar'!$AB$2689)&gt;0)*1000000+39*1000+24))</f>
        <v/>
      </c>
      <c r="AA195" s="41">
        <f>IF(N('Dvd Calendar'!$AC$2690)=0,"",IF(('Dvd Calendar'!$AC$2690&gt;=MIN(DATE(Summary!$C$12,1,1),Summary!$C$11))*('Dvd Calendar'!$AC$2690&lt;=MAX(DATE(Summary!$C$12,12,31),Summary!$C$15))*('Dvd Calendar'!$AC$2690&lt;=Summary!$C$11)=0,"",'Dvd Calendar'!$AC$2690*1000000000+ISNUMBER('Dvd Calendar'!$AC$2691)*100000000+('Dvd Calendar'!$AC$2695='Field Check'!$C$25)*10000000+(N('Dvd Calendar'!$AC$2689)&gt;0)*1000000+39*1000+25))</f>
        <v/>
      </c>
      <c r="AB195" s="41">
        <f>IF(N('Dvd Calendar'!$AD$2690)=0,"",IF(('Dvd Calendar'!$AD$2690&gt;=MIN(DATE(Summary!$C$12,1,1),Summary!$C$11))*('Dvd Calendar'!$AD$2690&lt;=MAX(DATE(Summary!$C$12,12,31),Summary!$C$15))*('Dvd Calendar'!$AD$2690&lt;=Summary!$C$11)=0,"",'Dvd Calendar'!$AD$2690*1000000000+ISNUMBER('Dvd Calendar'!$AD$2691)*100000000+('Dvd Calendar'!$AD$2695='Field Check'!$C$25)*10000000+(N('Dvd Calendar'!$AD$2689)&gt;0)*1000000+39*1000+26))</f>
        <v/>
      </c>
      <c r="AC195" s="41">
        <f>IF(N('Dvd Calendar'!$AE$2690)=0,"",IF(('Dvd Calendar'!$AE$2690&gt;=MIN(DATE(Summary!$C$12,1,1),Summary!$C$11))*('Dvd Calendar'!$AE$2690&lt;=MAX(DATE(Summary!$C$12,12,31),Summary!$C$15))*('Dvd Calendar'!$AE$2690&lt;=Summary!$C$11)=0,"",'Dvd Calendar'!$AE$2690*1000000000+ISNUMBER('Dvd Calendar'!$AE$2691)*100000000+('Dvd Calendar'!$AE$2695='Field Check'!$C$25)*10000000+(N('Dvd Calendar'!$AE$2689)&gt;0)*1000000+39*1000+27))</f>
        <v/>
      </c>
      <c r="AD195" s="41">
        <f>IF(N('Dvd Calendar'!$AF$2690)=0,"",IF(('Dvd Calendar'!$AF$2690&gt;=MIN(DATE(Summary!$C$12,1,1),Summary!$C$11))*('Dvd Calendar'!$AF$2690&lt;=MAX(DATE(Summary!$C$12,12,31),Summary!$C$15))*('Dvd Calendar'!$AF$2690&lt;=Summary!$C$11)=0,"",'Dvd Calendar'!$AF$2690*1000000000+ISNUMBER('Dvd Calendar'!$AF$2691)*100000000+('Dvd Calendar'!$AF$2695='Field Check'!$C$25)*10000000+(N('Dvd Calendar'!$AF$2689)&gt;0)*1000000+39*1000+28))</f>
        <v/>
      </c>
      <c r="AE195" s="41">
        <f>IF(N('Dvd Calendar'!$AG$2690)=0,"",IF(('Dvd Calendar'!$AG$2690&gt;=MIN(DATE(Summary!$C$12,1,1),Summary!$C$11))*('Dvd Calendar'!$AG$2690&lt;=MAX(DATE(Summary!$C$12,12,31),Summary!$C$15))*('Dvd Calendar'!$AG$2690&lt;=Summary!$C$11)=0,"",'Dvd Calendar'!$AG$2690*1000000000+ISNUMBER('Dvd Calendar'!$AG$2691)*100000000+('Dvd Calendar'!$AG$2695='Field Check'!$C$25)*10000000+(N('Dvd Calendar'!$AG$2689)&gt;0)*1000000+39*1000+29))</f>
        <v/>
      </c>
      <c r="AF195" s="41">
        <f>IF(N('Dvd Calendar'!$AH$2690)=0,"",IF(('Dvd Calendar'!$AH$2690&gt;=MIN(DATE(Summary!$C$12,1,1),Summary!$C$11))*('Dvd Calendar'!$AH$2690&lt;=MAX(DATE(Summary!$C$12,12,31),Summary!$C$15))*('Dvd Calendar'!$AH$2690&lt;=Summary!$C$11)=0,"",'Dvd Calendar'!$AH$2690*1000000000+ISNUMBER('Dvd Calendar'!$AH$2691)*100000000+('Dvd Calendar'!$AH$2695='Field Check'!$C$25)*10000000+(N('Dvd Calendar'!$AH$2689)&gt;0)*1000000+39*1000+30))</f>
        <v/>
      </c>
      <c r="AG195" s="41">
        <f>IF(N('Dvd Calendar'!$AI$2690)=0,"",IF(('Dvd Calendar'!$AI$2690&gt;=MIN(DATE(Summary!$C$12,1,1),Summary!$C$11))*('Dvd Calendar'!$AI$2690&lt;=MAX(DATE(Summary!$C$12,12,31),Summary!$C$15))*('Dvd Calendar'!$AI$2690&lt;=Summary!$C$11)=0,"",'Dvd Calendar'!$AI$2690*1000000000+ISNUMBER('Dvd Calendar'!$AI$2691)*100000000+('Dvd Calendar'!$AI$2695='Field Check'!$C$25)*10000000+(N('Dvd Calendar'!$AI$2689)&gt;0)*1000000+39*1000+31))</f>
        <v/>
      </c>
      <c r="AH195" s="41">
        <f>IF(N('Dvd Calendar'!$AJ$2690)=0,"",IF(('Dvd Calendar'!$AJ$2690&gt;=MIN(DATE(Summary!$C$12,1,1),Summary!$C$11))*('Dvd Calendar'!$AJ$2690&lt;=MAX(DATE(Summary!$C$12,12,31),Summary!$C$15))*('Dvd Calendar'!$AJ$2690&lt;=Summary!$C$11)=0,"",'Dvd Calendar'!$AJ$2690*1000000000+ISNUMBER('Dvd Calendar'!$AJ$2691)*100000000+('Dvd Calendar'!$AJ$2695='Field Check'!$C$25)*10000000+(N('Dvd Calendar'!$AJ$2689)&gt;0)*1000000+39*1000+32))</f>
        <v/>
      </c>
      <c r="AI195" s="41">
        <f>IF(N('Dvd Calendar'!$AK$2690)=0,"",IF(('Dvd Calendar'!$AK$2690&gt;=MIN(DATE(Summary!$C$12,1,1),Summary!$C$11))*('Dvd Calendar'!$AK$2690&lt;=MAX(DATE(Summary!$C$12,12,31),Summary!$C$15))*('Dvd Calendar'!$AK$2690&lt;=Summary!$C$11)=0,"",'Dvd Calendar'!$AK$2690*1000000000+ISNUMBER('Dvd Calendar'!$AK$2691)*100000000+('Dvd Calendar'!$AK$2695='Field Check'!$C$25)*10000000+(N('Dvd Calendar'!$AK$2689)&gt;0)*1000000+39*1000+33))</f>
        <v/>
      </c>
      <c r="AJ195" s="41">
        <f>IF(N('Dvd Calendar'!$AL$2690)=0,"",IF(('Dvd Calendar'!$AL$2690&gt;=MIN(DATE(Summary!$C$12,1,1),Summary!$C$11))*('Dvd Calendar'!$AL$2690&lt;=MAX(DATE(Summary!$C$12,12,31),Summary!$C$15))*('Dvd Calendar'!$AL$2690&lt;=Summary!$C$11)=0,"",'Dvd Calendar'!$AL$2690*1000000000+ISNUMBER('Dvd Calendar'!$AL$2691)*100000000+('Dvd Calendar'!$AL$2695='Field Check'!$C$25)*10000000+(N('Dvd Calendar'!$AL$2689)&gt;0)*1000000+39*1000+34))</f>
        <v/>
      </c>
      <c r="AK195" s="41">
        <f>IF(N('Dvd Calendar'!$AM$2690)=0,"",IF(('Dvd Calendar'!$AM$2690&gt;=MIN(DATE(Summary!$C$12,1,1),Summary!$C$11))*('Dvd Calendar'!$AM$2690&lt;=MAX(DATE(Summary!$C$12,12,31),Summary!$C$15))*('Dvd Calendar'!$AM$2690&lt;=Summary!$C$11)=0,"",'Dvd Calendar'!$AM$2690*1000000000+ISNUMBER('Dvd Calendar'!$AM$2691)*100000000+('Dvd Calendar'!$AM$2695='Field Check'!$C$25)*10000000+(N('Dvd Calendar'!$AM$2689)&gt;0)*1000000+39*1000+35))</f>
        <v/>
      </c>
      <c r="AL195" s="41">
        <f>IF(N('Dvd Calendar'!$AN$2690)=0,"",IF(('Dvd Calendar'!$AN$2690&gt;=MIN(DATE(Summary!$C$12,1,1),Summary!$C$11))*('Dvd Calendar'!$AN$2690&lt;=MAX(DATE(Summary!$C$12,12,31),Summary!$C$15))*('Dvd Calendar'!$AN$2690&lt;=Summary!$C$11)=0,"",'Dvd Calendar'!$AN$2690*1000000000+ISNUMBER('Dvd Calendar'!$AN$2691)*100000000+('Dvd Calendar'!$AN$2695='Field Check'!$C$25)*10000000+(N('Dvd Calendar'!$AN$2689)&gt;0)*1000000+39*1000+36))</f>
        <v/>
      </c>
      <c r="AM195" s="41">
        <f>IF(N('Dvd Calendar'!$AO$2690)=0,"",IF(('Dvd Calendar'!$AO$2690&gt;=MIN(DATE(Summary!$C$12,1,1),Summary!$C$11))*('Dvd Calendar'!$AO$2690&lt;=MAX(DATE(Summary!$C$12,12,31),Summary!$C$15))*('Dvd Calendar'!$AO$2690&lt;=Summary!$C$11)=0,"",'Dvd Calendar'!$AO$2690*1000000000+ISNUMBER('Dvd Calendar'!$AO$2691)*100000000+('Dvd Calendar'!$AO$2695='Field Check'!$C$25)*10000000+(N('Dvd Calendar'!$AO$2689)&gt;0)*1000000+39*1000+37))</f>
        <v/>
      </c>
      <c r="AN195" s="41">
        <f>IF(N('Dvd Calendar'!$AP$2690)=0,"",IF(('Dvd Calendar'!$AP$2690&gt;=MIN(DATE(Summary!$C$12,1,1),Summary!$C$11))*('Dvd Calendar'!$AP$2690&lt;=MAX(DATE(Summary!$C$12,12,31),Summary!$C$15))*('Dvd Calendar'!$AP$2690&lt;=Summary!$C$11)=0,"",'Dvd Calendar'!$AP$2690*1000000000+ISNUMBER('Dvd Calendar'!$AP$2691)*100000000+('Dvd Calendar'!$AP$2695='Field Check'!$C$25)*10000000+(N('Dvd Calendar'!$AP$2689)&gt;0)*1000000+39*1000+38))</f>
        <v/>
      </c>
      <c r="AO195" s="41">
        <f>IF(N('Dvd Calendar'!$AQ$2690)=0,"",IF(('Dvd Calendar'!$AQ$2690&gt;=MIN(DATE(Summary!$C$12,1,1),Summary!$C$11))*('Dvd Calendar'!$AQ$2690&lt;=MAX(DATE(Summary!$C$12,12,31),Summary!$C$15))*('Dvd Calendar'!$AQ$2690&lt;=Summary!$C$11)=0,"",'Dvd Calendar'!$AQ$2690*1000000000+ISNUMBER('Dvd Calendar'!$AQ$2691)*100000000+('Dvd Calendar'!$AQ$2695='Field Check'!$C$25)*10000000+(N('Dvd Calendar'!$AQ$2689)&gt;0)*1000000+39*1000+39))</f>
        <v/>
      </c>
      <c r="AP195" s="41">
        <f>IF(N('Dvd Calendar'!$AR$2690)=0,"",IF(('Dvd Calendar'!$AR$2690&gt;=MIN(DATE(Summary!$C$12,1,1),Summary!$C$11))*('Dvd Calendar'!$AR$2690&lt;=MAX(DATE(Summary!$C$12,12,31),Summary!$C$15))*('Dvd Calendar'!$AR$2690&lt;=Summary!$C$11)=0,"",'Dvd Calendar'!$AR$2690*1000000000+ISNUMBER('Dvd Calendar'!$AR$2691)*100000000+('Dvd Calendar'!$AR$2695='Field Check'!$C$25)*10000000+(N('Dvd Calendar'!$AR$2689)&gt;0)*1000000+39*1000+40))</f>
        <v/>
      </c>
      <c r="AQ195" s="41">
        <f>IF(N('Dvd Calendar'!$E$2697)=0,"",IF(('Dvd Calendar'!$E$2697&gt;=MIN(DATE(Summary!$C$12,1,1),Summary!$C$11))*('Dvd Calendar'!$E$2697&lt;=MAX(DATE(Summary!$C$12,12,31),Summary!$C$15))*('Dvd Calendar'!$E$2697&gt;Summary!$C$11)=0,"",'Dvd Calendar'!$E$2697*1000000000+ISNUMBER('Dvd Calendar'!$E$2698)*100000000+('Dvd Calendar'!$E$2702='Field Check'!$C$25)*10000000+(N('Dvd Calendar'!$E$2696)&gt;0)*1000000+39*1000+41))</f>
        <v/>
      </c>
      <c r="AR195" s="41">
        <f>IF(N('Dvd Calendar'!$F$2697)=0,"",IF(('Dvd Calendar'!$F$2697&gt;=MIN(DATE(Summary!$C$12,1,1),Summary!$C$11))*('Dvd Calendar'!$F$2697&lt;=MAX(DATE(Summary!$C$12,12,31),Summary!$C$15))*('Dvd Calendar'!$F$2697&gt;Summary!$C$11)=0,"",'Dvd Calendar'!$F$2697*1000000000+ISNUMBER('Dvd Calendar'!$F$2698)*100000000+('Dvd Calendar'!$F$2702='Field Check'!$C$25)*10000000+(N('Dvd Calendar'!$F$2696)&gt;0)*1000000+39*1000+42))</f>
        <v/>
      </c>
      <c r="AS195" s="41">
        <f>IF(N('Dvd Calendar'!$G$2697)=0,"",IF(('Dvd Calendar'!$G$2697&gt;=MIN(DATE(Summary!$C$12,1,1),Summary!$C$11))*('Dvd Calendar'!$G$2697&lt;=MAX(DATE(Summary!$C$12,12,31),Summary!$C$15))*('Dvd Calendar'!$G$2697&gt;Summary!$C$11)=0,"",'Dvd Calendar'!$G$2697*1000000000+ISNUMBER('Dvd Calendar'!$G$2698)*100000000+('Dvd Calendar'!$G$2702='Field Check'!$C$25)*10000000+(N('Dvd Calendar'!$G$2696)&gt;0)*1000000+39*1000+43))</f>
        <v/>
      </c>
      <c r="AT195" s="41">
        <f>IF(N('Dvd Calendar'!$H$2697)=0,"",IF(('Dvd Calendar'!$H$2697&gt;=MIN(DATE(Summary!$C$12,1,1),Summary!$C$11))*('Dvd Calendar'!$H$2697&lt;=MAX(DATE(Summary!$C$12,12,31),Summary!$C$15))*('Dvd Calendar'!$H$2697&gt;Summary!$C$11)=0,"",'Dvd Calendar'!$H$2697*1000000000+ISNUMBER('Dvd Calendar'!$H$2698)*100000000+('Dvd Calendar'!$H$2702='Field Check'!$C$25)*10000000+(N('Dvd Calendar'!$H$2696)&gt;0)*1000000+39*1000+44))</f>
        <v/>
      </c>
      <c r="AU195" s="41">
        <f>IF(N('Dvd Calendar'!$I$2697)=0,"",IF(('Dvd Calendar'!$I$2697&gt;=MIN(DATE(Summary!$C$12,1,1),Summary!$C$11))*('Dvd Calendar'!$I$2697&lt;=MAX(DATE(Summary!$C$12,12,31),Summary!$C$15))*('Dvd Calendar'!$I$2697&gt;Summary!$C$11)=0,"",'Dvd Calendar'!$I$2697*1000000000+ISNUMBER('Dvd Calendar'!$I$2698)*100000000+('Dvd Calendar'!$I$2702='Field Check'!$C$25)*10000000+(N('Dvd Calendar'!$I$2696)&gt;0)*1000000+39*1000+45))</f>
        <v/>
      </c>
      <c r="AV195" s="41">
        <f>IF(N('Dvd Calendar'!$J$2697)=0,"",IF(('Dvd Calendar'!$J$2697&gt;=MIN(DATE(Summary!$C$12,1,1),Summary!$C$11))*('Dvd Calendar'!$J$2697&lt;=MAX(DATE(Summary!$C$12,12,31),Summary!$C$15))*('Dvd Calendar'!$J$2697&gt;Summary!$C$11)=0,"",'Dvd Calendar'!$J$2697*1000000000+ISNUMBER('Dvd Calendar'!$J$2698)*100000000+('Dvd Calendar'!$J$2702='Field Check'!$C$25)*10000000+(N('Dvd Calendar'!$J$2696)&gt;0)*1000000+39*1000+46))</f>
        <v/>
      </c>
      <c r="AW195" s="41">
        <f>IF(N('Dvd Calendar'!$K$2697)=0,"",IF(('Dvd Calendar'!$K$2697&gt;=MIN(DATE(Summary!$C$12,1,1),Summary!$C$11))*('Dvd Calendar'!$K$2697&lt;=MAX(DATE(Summary!$C$12,12,31),Summary!$C$15))*('Dvd Calendar'!$K$2697&gt;Summary!$C$11)=0,"",'Dvd Calendar'!$K$2697*1000000000+ISNUMBER('Dvd Calendar'!$K$2698)*100000000+('Dvd Calendar'!$K$2702='Field Check'!$C$25)*10000000+(N('Dvd Calendar'!$K$2696)&gt;0)*1000000+39*1000+47))</f>
        <v/>
      </c>
      <c r="AX195" s="41">
        <f>IF(N('Dvd Calendar'!$L$2697)=0,"",IF(('Dvd Calendar'!$L$2697&gt;=MIN(DATE(Summary!$C$12,1,1),Summary!$C$11))*('Dvd Calendar'!$L$2697&lt;=MAX(DATE(Summary!$C$12,12,31),Summary!$C$15))*('Dvd Calendar'!$L$2697&gt;Summary!$C$11)=0,"",'Dvd Calendar'!$L$2697*1000000000+ISNUMBER('Dvd Calendar'!$L$2698)*100000000+('Dvd Calendar'!$L$2702='Field Check'!$C$25)*10000000+(N('Dvd Calendar'!$L$2696)&gt;0)*1000000+39*1000+48))</f>
        <v/>
      </c>
      <c r="AY195" s="41">
        <f>IF(N('Dvd Calendar'!$M$2697)=0,"",IF(('Dvd Calendar'!$M$2697&gt;=MIN(DATE(Summary!$C$12,1,1),Summary!$C$11))*('Dvd Calendar'!$M$2697&lt;=MAX(DATE(Summary!$C$12,12,31),Summary!$C$15))*('Dvd Calendar'!$M$2697&gt;Summary!$C$11)=0,"",'Dvd Calendar'!$M$2697*1000000000+ISNUMBER('Dvd Calendar'!$M$2698)*100000000+('Dvd Calendar'!$M$2702='Field Check'!$C$25)*10000000+(N('Dvd Calendar'!$M$2696)&gt;0)*1000000+39*1000+49))</f>
        <v/>
      </c>
      <c r="AZ195" s="41">
        <f>IF(N('Dvd Calendar'!$N$2697)=0,"",IF(('Dvd Calendar'!$N$2697&gt;=MIN(DATE(Summary!$C$12,1,1),Summary!$C$11))*('Dvd Calendar'!$N$2697&lt;=MAX(DATE(Summary!$C$12,12,31),Summary!$C$15))*('Dvd Calendar'!$N$2697&gt;Summary!$C$11)=0,"",'Dvd Calendar'!$N$2697*1000000000+ISNUMBER('Dvd Calendar'!$N$2698)*100000000+('Dvd Calendar'!$N$2702='Field Check'!$C$25)*10000000+(N('Dvd Calendar'!$N$2696)&gt;0)*1000000+39*1000+50))</f>
        <v/>
      </c>
      <c r="BA195" s="41">
        <f>IF(N('Dvd Calendar'!$O$2697)=0,"",IF(('Dvd Calendar'!$O$2697&gt;=MIN(DATE(Summary!$C$12,1,1),Summary!$C$11))*('Dvd Calendar'!$O$2697&lt;=MAX(DATE(Summary!$C$12,12,31),Summary!$C$15))*('Dvd Calendar'!$O$2697&gt;Summary!$C$11)=0,"",'Dvd Calendar'!$O$2697*1000000000+ISNUMBER('Dvd Calendar'!$O$2698)*100000000+('Dvd Calendar'!$O$2702='Field Check'!$C$25)*10000000+(N('Dvd Calendar'!$O$2696)&gt;0)*1000000+39*1000+51))</f>
        <v/>
      </c>
      <c r="BB195" s="41">
        <f>IF(N('Dvd Calendar'!$P$2697)=0,"",IF(('Dvd Calendar'!$P$2697&gt;=MIN(DATE(Summary!$C$12,1,1),Summary!$C$11))*('Dvd Calendar'!$P$2697&lt;=MAX(DATE(Summary!$C$12,12,31),Summary!$C$15))*('Dvd Calendar'!$P$2697&gt;Summary!$C$11)=0,"",'Dvd Calendar'!$P$2697*1000000000+ISNUMBER('Dvd Calendar'!$P$2698)*100000000+('Dvd Calendar'!$P$2702='Field Check'!$C$25)*10000000+(N('Dvd Calendar'!$P$2696)&gt;0)*1000000+39*1000+52))</f>
        <v/>
      </c>
      <c r="BC195" s="41">
        <f>IF(N('Dvd Calendar'!$Q$2697)=0,"",IF(('Dvd Calendar'!$Q$2697&gt;=MIN(DATE(Summary!$C$12,1,1),Summary!$C$11))*('Dvd Calendar'!$Q$2697&lt;=MAX(DATE(Summary!$C$12,12,31),Summary!$C$15))*('Dvd Calendar'!$Q$2697&gt;Summary!$C$11)=0,"",'Dvd Calendar'!$Q$2697*1000000000+ISNUMBER('Dvd Calendar'!$Q$2698)*100000000+('Dvd Calendar'!$Q$2702='Field Check'!$C$25)*10000000+(N('Dvd Calendar'!$Q$2696)&gt;0)*1000000+39*1000+53))</f>
        <v/>
      </c>
      <c r="BD195" s="41">
        <f>IF(N('Dvd Calendar'!$R$2697)=0,"",IF(('Dvd Calendar'!$R$2697&gt;=MIN(DATE(Summary!$C$12,1,1),Summary!$C$11))*('Dvd Calendar'!$R$2697&lt;=MAX(DATE(Summary!$C$12,12,31),Summary!$C$15))*('Dvd Calendar'!$R$2697&gt;Summary!$C$11)=0,"",'Dvd Calendar'!$R$2697*1000000000+ISNUMBER('Dvd Calendar'!$R$2698)*100000000+('Dvd Calendar'!$R$2702='Field Check'!$C$25)*10000000+(N('Dvd Calendar'!$R$2696)&gt;0)*1000000+39*1000+54))</f>
        <v/>
      </c>
      <c r="BE195" s="41">
        <f>IF(N('Dvd Calendar'!$S$2697)=0,"",IF(('Dvd Calendar'!$S$2697&gt;=MIN(DATE(Summary!$C$12,1,1),Summary!$C$11))*('Dvd Calendar'!$S$2697&lt;=MAX(DATE(Summary!$C$12,12,31),Summary!$C$15))*('Dvd Calendar'!$S$2697&gt;Summary!$C$11)=0,"",'Dvd Calendar'!$S$2697*1000000000+ISNUMBER('Dvd Calendar'!$S$2698)*100000000+('Dvd Calendar'!$S$2702='Field Check'!$C$25)*10000000+(N('Dvd Calendar'!$S$2696)&gt;0)*1000000+39*1000+55))</f>
        <v/>
      </c>
      <c r="BF195" s="41">
        <f>IF(N('Dvd Calendar'!$T$2697)=0,"",IF(('Dvd Calendar'!$T$2697&gt;=MIN(DATE(Summary!$C$12,1,1),Summary!$C$11))*('Dvd Calendar'!$T$2697&lt;=MAX(DATE(Summary!$C$12,12,31),Summary!$C$15))*('Dvd Calendar'!$T$2697&gt;Summary!$C$11)=0,"",'Dvd Calendar'!$T$2697*1000000000+ISNUMBER('Dvd Calendar'!$T$2698)*100000000+('Dvd Calendar'!$T$2702='Field Check'!$C$25)*10000000+(N('Dvd Calendar'!$T$2696)&gt;0)*1000000+39*1000+56))</f>
        <v/>
      </c>
      <c r="BG195" s="41">
        <f>IF(N('Dvd Calendar'!$U$2697)=0,"",IF(('Dvd Calendar'!$U$2697&gt;=MIN(DATE(Summary!$C$12,1,1),Summary!$C$11))*('Dvd Calendar'!$U$2697&lt;=MAX(DATE(Summary!$C$12,12,31),Summary!$C$15))*('Dvd Calendar'!$U$2697&gt;Summary!$C$11)=0,"",'Dvd Calendar'!$U$2697*1000000000+ISNUMBER('Dvd Calendar'!$U$2698)*100000000+('Dvd Calendar'!$U$2702='Field Check'!$C$25)*10000000+(N('Dvd Calendar'!$U$2696)&gt;0)*1000000+39*1000+57))</f>
        <v/>
      </c>
      <c r="BH195" s="41">
        <f>IF(N('Dvd Calendar'!$V$2697)=0,"",IF(('Dvd Calendar'!$V$2697&gt;=MIN(DATE(Summary!$C$12,1,1),Summary!$C$11))*('Dvd Calendar'!$V$2697&lt;=MAX(DATE(Summary!$C$12,12,31),Summary!$C$15))*('Dvd Calendar'!$V$2697&gt;Summary!$C$11)=0,"",'Dvd Calendar'!$V$2697*1000000000+ISNUMBER('Dvd Calendar'!$V$2698)*100000000+('Dvd Calendar'!$V$2702='Field Check'!$C$25)*10000000+(N('Dvd Calendar'!$V$2696)&gt;0)*1000000+39*1000+58))</f>
        <v/>
      </c>
      <c r="BI195" s="41">
        <f>IF(N('Dvd Calendar'!$W$2697)=0,"",IF(('Dvd Calendar'!$W$2697&gt;=MIN(DATE(Summary!$C$12,1,1),Summary!$C$11))*('Dvd Calendar'!$W$2697&lt;=MAX(DATE(Summary!$C$12,12,31),Summary!$C$15))*('Dvd Calendar'!$W$2697&gt;Summary!$C$11)=0,"",'Dvd Calendar'!$W$2697*1000000000+ISNUMBER('Dvd Calendar'!$W$2698)*100000000+('Dvd Calendar'!$W$2702='Field Check'!$C$25)*10000000+(N('Dvd Calendar'!$W$2696)&gt;0)*1000000+39*1000+59))</f>
        <v/>
      </c>
      <c r="BJ195" s="41">
        <f>IF(N('Dvd Calendar'!$X$2697)=0,"",IF(('Dvd Calendar'!$X$2697&gt;=MIN(DATE(Summary!$C$12,1,1),Summary!$C$11))*('Dvd Calendar'!$X$2697&lt;=MAX(DATE(Summary!$C$12,12,31),Summary!$C$15))*('Dvd Calendar'!$X$2697&gt;Summary!$C$11)=0,"",'Dvd Calendar'!$X$2697*1000000000+ISNUMBER('Dvd Calendar'!$X$2698)*100000000+('Dvd Calendar'!$X$2702='Field Check'!$C$25)*10000000+(N('Dvd Calendar'!$X$2696)&gt;0)*1000000+39*1000+60))</f>
        <v/>
      </c>
      <c r="BK195" s="41">
        <f>IF(N('Dvd Calendar'!$Y$2697)=0,"",IF(('Dvd Calendar'!$Y$2697&gt;=MIN(DATE(Summary!$C$12,1,1),Summary!$C$11))*('Dvd Calendar'!$Y$2697&lt;=MAX(DATE(Summary!$C$12,12,31),Summary!$C$15))*('Dvd Calendar'!$Y$2697&gt;Summary!$C$11)=0,"",'Dvd Calendar'!$Y$2697*1000000000+ISNUMBER('Dvd Calendar'!$Y$2698)*100000000+('Dvd Calendar'!$Y$2702='Field Check'!$C$25)*10000000+(N('Dvd Calendar'!$Y$2696)&gt;0)*1000000+39*1000+61))</f>
        <v/>
      </c>
      <c r="BL195" s="41">
        <f>IF(N('Dvd Calendar'!$Z$2697)=0,"",IF(('Dvd Calendar'!$Z$2697&gt;=MIN(DATE(Summary!$C$12,1,1),Summary!$C$11))*('Dvd Calendar'!$Z$2697&lt;=MAX(DATE(Summary!$C$12,12,31),Summary!$C$15))*('Dvd Calendar'!$Z$2697&gt;Summary!$C$11)=0,"",'Dvd Calendar'!$Z$2697*1000000000+ISNUMBER('Dvd Calendar'!$Z$2698)*100000000+('Dvd Calendar'!$Z$2702='Field Check'!$C$25)*10000000+(N('Dvd Calendar'!$Z$2696)&gt;0)*1000000+39*1000+62))</f>
        <v/>
      </c>
      <c r="BM195" s="41">
        <f>IF(N('Dvd Calendar'!$AA$2697)=0,"",IF(('Dvd Calendar'!$AA$2697&gt;=MIN(DATE(Summary!$C$12,1,1),Summary!$C$11))*('Dvd Calendar'!$AA$2697&lt;=MAX(DATE(Summary!$C$12,12,31),Summary!$C$15))*('Dvd Calendar'!$AA$2697&gt;Summary!$C$11)=0,"",'Dvd Calendar'!$AA$2697*1000000000+ISNUMBER('Dvd Calendar'!$AA$2698)*100000000+('Dvd Calendar'!$AA$2702='Field Check'!$C$25)*10000000+(N('Dvd Calendar'!$AA$2696)&gt;0)*1000000+39*1000+63))</f>
        <v/>
      </c>
      <c r="BN195" s="41">
        <f>IF(N('Dvd Calendar'!$AB$2697)=0,"",IF(('Dvd Calendar'!$AB$2697&gt;=MIN(DATE(Summary!$C$12,1,1),Summary!$C$11))*('Dvd Calendar'!$AB$2697&lt;=MAX(DATE(Summary!$C$12,12,31),Summary!$C$15))*('Dvd Calendar'!$AB$2697&gt;Summary!$C$11)=0,"",'Dvd Calendar'!$AB$2697*1000000000+ISNUMBER('Dvd Calendar'!$AB$2698)*100000000+('Dvd Calendar'!$AB$2702='Field Check'!$C$25)*10000000+(N('Dvd Calendar'!$AB$2696)&gt;0)*1000000+39*1000+64))</f>
        <v/>
      </c>
      <c r="BO195" s="41">
        <f>IF(N('Dvd Calendar'!$AC$2697)=0,"",IF(('Dvd Calendar'!$AC$2697&gt;=MIN(DATE(Summary!$C$12,1,1),Summary!$C$11))*('Dvd Calendar'!$AC$2697&lt;=MAX(DATE(Summary!$C$12,12,31),Summary!$C$15))*('Dvd Calendar'!$AC$2697&gt;Summary!$C$11)=0,"",'Dvd Calendar'!$AC$2697*1000000000+ISNUMBER('Dvd Calendar'!$AC$2698)*100000000+('Dvd Calendar'!$AC$2702='Field Check'!$C$25)*10000000+(N('Dvd Calendar'!$AC$2696)&gt;0)*1000000+39*1000+65))</f>
        <v/>
      </c>
      <c r="BQ195" s="85">
        <f>IF(C195="","",IF(ISNUMBER('Dvd Calendar'!$E$2691)=FALSE,"",IF((Summary!$C$13="N")*('Dvd Calendar'!$E$2695='Field Check'!$C$25)&gt;0,"",'Dvd Calendar'!$E$2691)))</f>
        <v/>
      </c>
      <c r="BR195" s="85">
        <f>IF(D195="","",IF(ISNUMBER('Dvd Calendar'!$F$2691)=FALSE,"",IF((Summary!$C$13="N")*('Dvd Calendar'!$F$2695='Field Check'!$C$25)&gt;0,"",'Dvd Calendar'!$F$2691)))</f>
        <v/>
      </c>
      <c r="BS195" s="85">
        <f>IF(E195="","",IF(ISNUMBER('Dvd Calendar'!$G$2691)=FALSE,"",IF((Summary!$C$13="N")*('Dvd Calendar'!$G$2695='Field Check'!$C$25)&gt;0,"",'Dvd Calendar'!$G$2691)))</f>
        <v/>
      </c>
      <c r="BT195" s="85">
        <f>IF(F195="","",IF(ISNUMBER('Dvd Calendar'!$H$2691)=FALSE,"",IF((Summary!$C$13="N")*('Dvd Calendar'!$H$2695='Field Check'!$C$25)&gt;0,"",'Dvd Calendar'!$H$2691)))</f>
        <v/>
      </c>
      <c r="BU195" s="85">
        <f>IF(G195="","",IF(ISNUMBER('Dvd Calendar'!$I$2691)=FALSE,"",IF((Summary!$C$13="N")*('Dvd Calendar'!$I$2695='Field Check'!$C$25)&gt;0,"",'Dvd Calendar'!$I$2691)))</f>
        <v/>
      </c>
      <c r="BV195" s="85">
        <f>IF(H195="","",IF(ISNUMBER('Dvd Calendar'!$J$2691)=FALSE,"",IF((Summary!$C$13="N")*('Dvd Calendar'!$J$2695='Field Check'!$C$25)&gt;0,"",'Dvd Calendar'!$J$2691)))</f>
        <v/>
      </c>
      <c r="BW195" s="85">
        <f>IF(I195="","",IF(ISNUMBER('Dvd Calendar'!$K$2691)=FALSE,"",IF((Summary!$C$13="N")*('Dvd Calendar'!$K$2695='Field Check'!$C$25)&gt;0,"",'Dvd Calendar'!$K$2691)))</f>
        <v/>
      </c>
      <c r="BX195" s="85">
        <f>IF(J195="","",IF(ISNUMBER('Dvd Calendar'!$L$2691)=FALSE,"",IF((Summary!$C$13="N")*('Dvd Calendar'!$L$2695='Field Check'!$C$25)&gt;0,"",'Dvd Calendar'!$L$2691)))</f>
        <v/>
      </c>
      <c r="BY195" s="85">
        <f>IF(K195="","",IF(ISNUMBER('Dvd Calendar'!$M$2691)=FALSE,"",IF((Summary!$C$13="N")*('Dvd Calendar'!$M$2695='Field Check'!$C$25)&gt;0,"",'Dvd Calendar'!$M$2691)))</f>
        <v/>
      </c>
      <c r="BZ195" s="85">
        <f>IF(L195="","",IF(ISNUMBER('Dvd Calendar'!$N$2691)=FALSE,"",IF((Summary!$C$13="N")*('Dvd Calendar'!$N$2695='Field Check'!$C$25)&gt;0,"",'Dvd Calendar'!$N$2691)))</f>
        <v/>
      </c>
      <c r="CA195" s="85">
        <f>IF(M195="","",IF(ISNUMBER('Dvd Calendar'!$O$2691)=FALSE,"",IF((Summary!$C$13="N")*('Dvd Calendar'!$O$2695='Field Check'!$C$25)&gt;0,"",'Dvd Calendar'!$O$2691)))</f>
        <v/>
      </c>
      <c r="CB195" s="85">
        <f>IF(N195="","",IF(ISNUMBER('Dvd Calendar'!$P$2691)=FALSE,"",IF((Summary!$C$13="N")*('Dvd Calendar'!$P$2695='Field Check'!$C$25)&gt;0,"",'Dvd Calendar'!$P$2691)))</f>
        <v/>
      </c>
      <c r="CC195" s="85">
        <f>IF(O195="","",IF(ISNUMBER('Dvd Calendar'!$Q$2691)=FALSE,"",IF((Summary!$C$13="N")*('Dvd Calendar'!$Q$2695='Field Check'!$C$25)&gt;0,"",'Dvd Calendar'!$Q$2691)))</f>
        <v/>
      </c>
      <c r="CD195" s="85">
        <f>IF(P195="","",IF(ISNUMBER('Dvd Calendar'!$R$2691)=FALSE,"",IF((Summary!$C$13="N")*('Dvd Calendar'!$R$2695='Field Check'!$C$25)&gt;0,"",'Dvd Calendar'!$R$2691)))</f>
        <v/>
      </c>
      <c r="CE195" s="85">
        <f>IF(Q195="","",IF(ISNUMBER('Dvd Calendar'!$S$2691)=FALSE,"",IF((Summary!$C$13="N")*('Dvd Calendar'!$S$2695='Field Check'!$C$25)&gt;0,"",'Dvd Calendar'!$S$2691)))</f>
        <v/>
      </c>
      <c r="CF195" s="85">
        <f>IF(R195="","",IF(ISNUMBER('Dvd Calendar'!$T$2691)=FALSE,"",IF((Summary!$C$13="N")*('Dvd Calendar'!$T$2695='Field Check'!$C$25)&gt;0,"",'Dvd Calendar'!$T$2691)))</f>
        <v/>
      </c>
      <c r="CG195" s="85">
        <f>IF(S195="","",IF(ISNUMBER('Dvd Calendar'!$U$2691)=FALSE,"",IF((Summary!$C$13="N")*('Dvd Calendar'!$U$2695='Field Check'!$C$25)&gt;0,"",'Dvd Calendar'!$U$2691)))</f>
        <v/>
      </c>
      <c r="CH195" s="85">
        <f>IF(T195="","",IF(ISNUMBER('Dvd Calendar'!$V$2691)=FALSE,"",IF((Summary!$C$13="N")*('Dvd Calendar'!$V$2695='Field Check'!$C$25)&gt;0,"",'Dvd Calendar'!$V$2691)))</f>
        <v/>
      </c>
      <c r="CI195" s="85">
        <f>IF(U195="","",IF(ISNUMBER('Dvd Calendar'!$W$2691)=FALSE,"",IF((Summary!$C$13="N")*('Dvd Calendar'!$W$2695='Field Check'!$C$25)&gt;0,"",'Dvd Calendar'!$W$2691)))</f>
        <v/>
      </c>
      <c r="CJ195" s="85">
        <f>IF(V195="","",IF(ISNUMBER('Dvd Calendar'!$X$2691)=FALSE,"",IF((Summary!$C$13="N")*('Dvd Calendar'!$X$2695='Field Check'!$C$25)&gt;0,"",'Dvd Calendar'!$X$2691)))</f>
        <v/>
      </c>
      <c r="CK195" s="85">
        <f>IF(W195="","",IF(ISNUMBER('Dvd Calendar'!$Y$2691)=FALSE,"",IF((Summary!$C$13="N")*('Dvd Calendar'!$Y$2695='Field Check'!$C$25)&gt;0,"",'Dvd Calendar'!$Y$2691)))</f>
        <v/>
      </c>
      <c r="CL195" s="85">
        <f>IF(X195="","",IF(ISNUMBER('Dvd Calendar'!$Z$2691)=FALSE,"",IF((Summary!$C$13="N")*('Dvd Calendar'!$Z$2695='Field Check'!$C$25)&gt;0,"",'Dvd Calendar'!$Z$2691)))</f>
        <v/>
      </c>
      <c r="CM195" s="85">
        <f>IF(Y195="","",IF(ISNUMBER('Dvd Calendar'!$AA$2691)=FALSE,"",IF((Summary!$C$13="N")*('Dvd Calendar'!$AA$2695='Field Check'!$C$25)&gt;0,"",'Dvd Calendar'!$AA$2691)))</f>
        <v/>
      </c>
      <c r="CN195" s="85">
        <f>IF(Z195="","",IF(ISNUMBER('Dvd Calendar'!$AB$2691)=FALSE,"",IF((Summary!$C$13="N")*('Dvd Calendar'!$AB$2695='Field Check'!$C$25)&gt;0,"",'Dvd Calendar'!$AB$2691)))</f>
        <v/>
      </c>
      <c r="CO195" s="85">
        <f>IF(AA195="","",IF(ISNUMBER('Dvd Calendar'!$AC$2691)=FALSE,"",IF((Summary!$C$13="N")*('Dvd Calendar'!$AC$2695='Field Check'!$C$25)&gt;0,"",'Dvd Calendar'!$AC$2691)))</f>
        <v/>
      </c>
      <c r="CP195" s="85">
        <f>IF(AB195="","",IF(ISNUMBER('Dvd Calendar'!$AD$2691)=FALSE,"",IF((Summary!$C$13="N")*('Dvd Calendar'!$AD$2695='Field Check'!$C$25)&gt;0,"",'Dvd Calendar'!$AD$2691)))</f>
        <v/>
      </c>
      <c r="CQ195" s="85">
        <f>IF(AC195="","",IF(ISNUMBER('Dvd Calendar'!$AE$2691)=FALSE,"",IF((Summary!$C$13="N")*('Dvd Calendar'!$AE$2695='Field Check'!$C$25)&gt;0,"",'Dvd Calendar'!$AE$2691)))</f>
        <v/>
      </c>
      <c r="CR195" s="85">
        <f>IF(AD195="","",IF(ISNUMBER('Dvd Calendar'!$AF$2691)=FALSE,"",IF((Summary!$C$13="N")*('Dvd Calendar'!$AF$2695='Field Check'!$C$25)&gt;0,"",'Dvd Calendar'!$AF$2691)))</f>
        <v/>
      </c>
      <c r="CS195" s="85">
        <f>IF(AE195="","",IF(ISNUMBER('Dvd Calendar'!$AG$2691)=FALSE,"",IF((Summary!$C$13="N")*('Dvd Calendar'!$AG$2695='Field Check'!$C$25)&gt;0,"",'Dvd Calendar'!$AG$2691)))</f>
        <v/>
      </c>
      <c r="CT195" s="85">
        <f>IF(AF195="","",IF(ISNUMBER('Dvd Calendar'!$AH$2691)=FALSE,"",IF((Summary!$C$13="N")*('Dvd Calendar'!$AH$2695='Field Check'!$C$25)&gt;0,"",'Dvd Calendar'!$AH$2691)))</f>
        <v/>
      </c>
      <c r="CU195" s="85">
        <f>IF(AG195="","",IF(ISNUMBER('Dvd Calendar'!$AI$2691)=FALSE,"",IF((Summary!$C$13="N")*('Dvd Calendar'!$AI$2695='Field Check'!$C$25)&gt;0,"",'Dvd Calendar'!$AI$2691)))</f>
        <v/>
      </c>
      <c r="CV195" s="85">
        <f>IF(AH195="","",IF(ISNUMBER('Dvd Calendar'!$AJ$2691)=FALSE,"",IF((Summary!$C$13="N")*('Dvd Calendar'!$AJ$2695='Field Check'!$C$25)&gt;0,"",'Dvd Calendar'!$AJ$2691)))</f>
        <v/>
      </c>
      <c r="CW195" s="85">
        <f>IF(AI195="","",IF(ISNUMBER('Dvd Calendar'!$AK$2691)=FALSE,"",IF((Summary!$C$13="N")*('Dvd Calendar'!$AK$2695='Field Check'!$C$25)&gt;0,"",'Dvd Calendar'!$AK$2691)))</f>
        <v/>
      </c>
      <c r="CX195" s="85">
        <f>IF(AJ195="","",IF(ISNUMBER('Dvd Calendar'!$AL$2691)=FALSE,"",IF((Summary!$C$13="N")*('Dvd Calendar'!$AL$2695='Field Check'!$C$25)&gt;0,"",'Dvd Calendar'!$AL$2691)))</f>
        <v/>
      </c>
      <c r="CY195" s="85">
        <f>IF(AK195="","",IF(ISNUMBER('Dvd Calendar'!$AM$2691)=FALSE,"",IF((Summary!$C$13="N")*('Dvd Calendar'!$AM$2695='Field Check'!$C$25)&gt;0,"",'Dvd Calendar'!$AM$2691)))</f>
        <v/>
      </c>
      <c r="CZ195" s="85">
        <f>IF(AL195="","",IF(ISNUMBER('Dvd Calendar'!$AN$2691)=FALSE,"",IF((Summary!$C$13="N")*('Dvd Calendar'!$AN$2695='Field Check'!$C$25)&gt;0,"",'Dvd Calendar'!$AN$2691)))</f>
        <v/>
      </c>
      <c r="DA195" s="85">
        <f>IF(AM195="","",IF(ISNUMBER('Dvd Calendar'!$AO$2691)=FALSE,"",IF((Summary!$C$13="N")*('Dvd Calendar'!$AO$2695='Field Check'!$C$25)&gt;0,"",'Dvd Calendar'!$AO$2691)))</f>
        <v/>
      </c>
      <c r="DB195" s="85">
        <f>IF(AN195="","",IF(ISNUMBER('Dvd Calendar'!$AP$2691)=FALSE,"",IF((Summary!$C$13="N")*('Dvd Calendar'!$AP$2695='Field Check'!$C$25)&gt;0,"",'Dvd Calendar'!$AP$2691)))</f>
        <v/>
      </c>
      <c r="DC195" s="85">
        <f>IF(AO195="","",IF(ISNUMBER('Dvd Calendar'!$AQ$2691)=FALSE,"",IF((Summary!$C$13="N")*('Dvd Calendar'!$AQ$2695='Field Check'!$C$25)&gt;0,"",'Dvd Calendar'!$AQ$2691)))</f>
        <v/>
      </c>
      <c r="DD195" s="85">
        <f>IF(AP195="","",IF(ISNUMBER('Dvd Calendar'!$AR$2691)=FALSE,"",IF((Summary!$C$13="N")*('Dvd Calendar'!$AR$2695='Field Check'!$C$25)&gt;0,"",'Dvd Calendar'!$AR$2691)))</f>
        <v/>
      </c>
      <c r="DE195" s="85">
        <f>IF(AQ195="","",IF(ISNUMBER('Dvd Calendar'!$E$2698)=FALSE,"",IF((Summary!$C$13="N")*('Dvd Calendar'!$E$2702='Field Check'!$C$25)&gt;0,"",'Dvd Calendar'!$E$2698)))</f>
        <v/>
      </c>
      <c r="DF195" s="85">
        <f>IF(AR195="","",IF(ISNUMBER('Dvd Calendar'!$F$2698)=FALSE,"",IF((Summary!$C$13="N")*('Dvd Calendar'!$F$2702='Field Check'!$C$25)&gt;0,"",'Dvd Calendar'!$F$2698)))</f>
        <v/>
      </c>
      <c r="DG195" s="85">
        <f>IF(AS195="","",IF(ISNUMBER('Dvd Calendar'!$G$2698)=FALSE,"",IF((Summary!$C$13="N")*('Dvd Calendar'!$G$2702='Field Check'!$C$25)&gt;0,"",'Dvd Calendar'!$G$2698)))</f>
        <v/>
      </c>
      <c r="DH195" s="85">
        <f>IF(AT195="","",IF(ISNUMBER('Dvd Calendar'!$H$2698)=FALSE,"",IF((Summary!$C$13="N")*('Dvd Calendar'!$H$2702='Field Check'!$C$25)&gt;0,"",'Dvd Calendar'!$H$2698)))</f>
        <v/>
      </c>
      <c r="DI195" s="85">
        <f>IF(AU195="","",IF(ISNUMBER('Dvd Calendar'!$I$2698)=FALSE,"",IF((Summary!$C$13="N")*('Dvd Calendar'!$I$2702='Field Check'!$C$25)&gt;0,"",'Dvd Calendar'!$I$2698)))</f>
        <v/>
      </c>
      <c r="DJ195" s="85">
        <f>IF(AV195="","",IF(ISNUMBER('Dvd Calendar'!$J$2698)=FALSE,"",IF((Summary!$C$13="N")*('Dvd Calendar'!$J$2702='Field Check'!$C$25)&gt;0,"",'Dvd Calendar'!$J$2698)))</f>
        <v/>
      </c>
      <c r="DK195" s="85">
        <f>IF(AW195="","",IF(ISNUMBER('Dvd Calendar'!$K$2698)=FALSE,"",IF((Summary!$C$13="N")*('Dvd Calendar'!$K$2702='Field Check'!$C$25)&gt;0,"",'Dvd Calendar'!$K$2698)))</f>
        <v/>
      </c>
      <c r="DL195" s="85">
        <f>IF(AX195="","",IF(ISNUMBER('Dvd Calendar'!$L$2698)=FALSE,"",IF((Summary!$C$13="N")*('Dvd Calendar'!$L$2702='Field Check'!$C$25)&gt;0,"",'Dvd Calendar'!$L$2698)))</f>
        <v/>
      </c>
      <c r="DM195" s="85">
        <f>IF(AY195="","",IF(ISNUMBER('Dvd Calendar'!$M$2698)=FALSE,"",IF((Summary!$C$13="N")*('Dvd Calendar'!$M$2702='Field Check'!$C$25)&gt;0,"",'Dvd Calendar'!$M$2698)))</f>
        <v/>
      </c>
      <c r="DN195" s="85">
        <f>IF(AZ195="","",IF(ISNUMBER('Dvd Calendar'!$N$2698)=FALSE,"",IF((Summary!$C$13="N")*('Dvd Calendar'!$N$2702='Field Check'!$C$25)&gt;0,"",'Dvd Calendar'!$N$2698)))</f>
        <v/>
      </c>
      <c r="DO195" s="85">
        <f>IF(BA195="","",IF(ISNUMBER('Dvd Calendar'!$O$2698)=FALSE,"",IF((Summary!$C$13="N")*('Dvd Calendar'!$O$2702='Field Check'!$C$25)&gt;0,"",'Dvd Calendar'!$O$2698)))</f>
        <v/>
      </c>
      <c r="DP195" s="85">
        <f>IF(BB195="","",IF(ISNUMBER('Dvd Calendar'!$P$2698)=FALSE,"",IF((Summary!$C$13="N")*('Dvd Calendar'!$P$2702='Field Check'!$C$25)&gt;0,"",'Dvd Calendar'!$P$2698)))</f>
        <v/>
      </c>
      <c r="DQ195" s="85">
        <f>IF(BC195="","",IF(ISNUMBER('Dvd Calendar'!$Q$2698)=FALSE,"",IF((Summary!$C$13="N")*('Dvd Calendar'!$Q$2702='Field Check'!$C$25)&gt;0,"",'Dvd Calendar'!$Q$2698)))</f>
        <v/>
      </c>
      <c r="DR195" s="85">
        <f>IF(BD195="","",IF(ISNUMBER('Dvd Calendar'!$R$2698)=FALSE,"",IF((Summary!$C$13="N")*('Dvd Calendar'!$R$2702='Field Check'!$C$25)&gt;0,"",'Dvd Calendar'!$R$2698)))</f>
        <v/>
      </c>
      <c r="DS195" s="85">
        <f>IF(BE195="","",IF(ISNUMBER('Dvd Calendar'!$S$2698)=FALSE,"",IF((Summary!$C$13="N")*('Dvd Calendar'!$S$2702='Field Check'!$C$25)&gt;0,"",'Dvd Calendar'!$S$2698)))</f>
        <v/>
      </c>
      <c r="DT195" s="85">
        <f>IF(BF195="","",IF(ISNUMBER('Dvd Calendar'!$T$2698)=FALSE,"",IF((Summary!$C$13="N")*('Dvd Calendar'!$T$2702='Field Check'!$C$25)&gt;0,"",'Dvd Calendar'!$T$2698)))</f>
        <v/>
      </c>
      <c r="DU195" s="85">
        <f>IF(BG195="","",IF(ISNUMBER('Dvd Calendar'!$U$2698)=FALSE,"",IF((Summary!$C$13="N")*('Dvd Calendar'!$U$2702='Field Check'!$C$25)&gt;0,"",'Dvd Calendar'!$U$2698)))</f>
        <v/>
      </c>
      <c r="DV195" s="85">
        <f>IF(BH195="","",IF(ISNUMBER('Dvd Calendar'!$V$2698)=FALSE,"",IF((Summary!$C$13="N")*('Dvd Calendar'!$V$2702='Field Check'!$C$25)&gt;0,"",'Dvd Calendar'!$V$2698)))</f>
        <v/>
      </c>
      <c r="DW195" s="85">
        <f>IF(BI195="","",IF(ISNUMBER('Dvd Calendar'!$W$2698)=FALSE,"",IF((Summary!$C$13="N")*('Dvd Calendar'!$W$2702='Field Check'!$C$25)&gt;0,"",'Dvd Calendar'!$W$2698)))</f>
        <v/>
      </c>
      <c r="DX195" s="85">
        <f>IF(BJ195="","",IF(ISNUMBER('Dvd Calendar'!$X$2698)=FALSE,"",IF((Summary!$C$13="N")*('Dvd Calendar'!$X$2702='Field Check'!$C$25)&gt;0,"",'Dvd Calendar'!$X$2698)))</f>
        <v/>
      </c>
      <c r="DY195" s="85">
        <f>IF(BK195="","",IF(ISNUMBER('Dvd Calendar'!$Y$2698)=FALSE,"",IF((Summary!$C$13="N")*('Dvd Calendar'!$Y$2702='Field Check'!$C$25)&gt;0,"",'Dvd Calendar'!$Y$2698)))</f>
        <v/>
      </c>
      <c r="DZ195" s="85">
        <f>IF(BL195="","",IF(ISNUMBER('Dvd Calendar'!$Z$2698)=FALSE,"",IF((Summary!$C$13="N")*('Dvd Calendar'!$Z$2702='Field Check'!$C$25)&gt;0,"",'Dvd Calendar'!$Z$2698)))</f>
        <v/>
      </c>
      <c r="EA195" s="85">
        <f>IF(BM195="","",IF(ISNUMBER('Dvd Calendar'!$AA$2698)=FALSE,"",IF((Summary!$C$13="N")*('Dvd Calendar'!$AA$2702='Field Check'!$C$25)&gt;0,"",'Dvd Calendar'!$AA$2698)))</f>
        <v/>
      </c>
      <c r="EB195" s="85">
        <f>IF(BN195="","",IF(ISNUMBER('Dvd Calendar'!$AB$2698)=FALSE,"",IF((Summary!$C$13="N")*('Dvd Calendar'!$AB$2702='Field Check'!$C$25)&gt;0,"",'Dvd Calendar'!$AB$2698)))</f>
        <v/>
      </c>
      <c r="EC195" s="85">
        <f>IF(BO195="","",IF(ISNUMBER('Dvd Calendar'!$AC$2698)=FALSE,"",IF((Summary!$C$13="N")*('Dvd Calendar'!$AC$2702='Field Check'!$C$25)&gt;0,"",'Dvd Calendar'!$AC$2698)))</f>
        <v/>
      </c>
      <c r="EE195" s="85">
        <f>IF(BQ195="","",IFERROR(BQ195*HSCEI!$B$45*HSCEI!$G$45/HSCEI!$B$3,""))</f>
        <v/>
      </c>
      <c r="EF195" s="85">
        <f>IF(BR195="","",IFERROR(BR195*HSCEI!$B$45*HSCEI!$G$45/HSCEI!$B$3,""))</f>
        <v/>
      </c>
      <c r="EG195" s="85">
        <f>IF(BS195="","",IFERROR(BS195*HSCEI!$B$45*HSCEI!$G$45/HSCEI!$B$3,""))</f>
        <v/>
      </c>
      <c r="EH195" s="85">
        <f>IF(BT195="","",IFERROR(BT195*HSCEI!$B$45*HSCEI!$G$45/HSCEI!$B$3,""))</f>
        <v/>
      </c>
      <c r="EI195" s="85">
        <f>IF(BU195="","",IFERROR(BU195*HSCEI!$B$45*HSCEI!$G$45/HSCEI!$B$3,""))</f>
        <v/>
      </c>
      <c r="EJ195" s="85">
        <f>IF(BV195="","",IFERROR(BV195*HSCEI!$B$45*HSCEI!$G$45/HSCEI!$B$3,""))</f>
        <v/>
      </c>
      <c r="EK195" s="85">
        <f>IF(BW195="","",IFERROR(BW195*HSCEI!$B$45*HSCEI!$G$45/HSCEI!$B$3,""))</f>
        <v/>
      </c>
      <c r="EL195" s="85">
        <f>IF(BX195="","",IFERROR(BX195*HSCEI!$B$45*HSCEI!$G$45/HSCEI!$B$3,""))</f>
        <v/>
      </c>
      <c r="EM195" s="85">
        <f>IF(BY195="","",IFERROR(BY195*HSCEI!$B$45*HSCEI!$G$45/HSCEI!$B$3,""))</f>
        <v/>
      </c>
      <c r="EN195" s="85">
        <f>IF(BZ195="","",IFERROR(BZ195*HSCEI!$B$45*HSCEI!$G$45/HSCEI!$B$3,""))</f>
        <v/>
      </c>
      <c r="EO195" s="85">
        <f>IF(CA195="","",IFERROR(CA195*HSCEI!$B$45*HSCEI!$G$45/HSCEI!$B$3,""))</f>
        <v/>
      </c>
      <c r="EP195" s="85">
        <f>IF(CB195="","",IFERROR(CB195*HSCEI!$B$45*HSCEI!$G$45/HSCEI!$B$3,""))</f>
        <v/>
      </c>
      <c r="EQ195" s="85">
        <f>IF(CC195="","",IFERROR(CC195*HSCEI!$B$45*HSCEI!$G$45/HSCEI!$B$3,""))</f>
        <v/>
      </c>
      <c r="ER195" s="85">
        <f>IF(CD195="","",IFERROR(CD195*HSCEI!$B$45*HSCEI!$G$45/HSCEI!$B$3,""))</f>
        <v/>
      </c>
      <c r="ES195" s="85">
        <f>IF(CE195="","",IFERROR(CE195*HSCEI!$B$45*HSCEI!$G$45/HSCEI!$B$3,""))</f>
        <v/>
      </c>
      <c r="ET195" s="85">
        <f>IF(CF195="","",IFERROR(CF195*HSCEI!$B$45*HSCEI!$G$45/HSCEI!$B$3,""))</f>
        <v/>
      </c>
      <c r="EU195" s="85">
        <f>IF(CG195="","",IFERROR(CG195*HSCEI!$B$45*HSCEI!$G$45/HSCEI!$B$3,""))</f>
        <v/>
      </c>
      <c r="EV195" s="85">
        <f>IF(CH195="","",IFERROR(CH195*HSCEI!$B$45*HSCEI!$G$45/HSCEI!$B$3,""))</f>
        <v/>
      </c>
      <c r="EW195" s="85">
        <f>IF(CI195="","",IFERROR(CI195*HSCEI!$B$45*HSCEI!$G$45/HSCEI!$B$3,""))</f>
        <v/>
      </c>
      <c r="EX195" s="85">
        <f>IF(CJ195="","",IFERROR(CJ195*HSCEI!$B$45*HSCEI!$G$45/HSCEI!$B$3,""))</f>
        <v/>
      </c>
      <c r="EY195" s="85">
        <f>IF(CK195="","",IFERROR(CK195*HSCEI!$B$45*HSCEI!$G$45/HSCEI!$B$3,""))</f>
        <v/>
      </c>
      <c r="EZ195" s="85">
        <f>IF(CL195="","",IFERROR(CL195*HSCEI!$B$45*HSCEI!$G$45/HSCEI!$B$3,""))</f>
        <v/>
      </c>
      <c r="FA195" s="85">
        <f>IF(CM195="","",IFERROR(CM195*HSCEI!$B$45*HSCEI!$G$45/HSCEI!$B$3,""))</f>
        <v/>
      </c>
      <c r="FB195" s="85">
        <f>IF(CN195="","",IFERROR(CN195*HSCEI!$B$45*HSCEI!$G$45/HSCEI!$B$3,""))</f>
        <v/>
      </c>
      <c r="FC195" s="85">
        <f>IF(CO195="","",IFERROR(CO195*HSCEI!$B$45*HSCEI!$G$45/HSCEI!$B$3,""))</f>
        <v/>
      </c>
      <c r="FD195" s="85">
        <f>IF(CP195="","",IFERROR(CP195*HSCEI!$B$45*HSCEI!$G$45/HSCEI!$B$3,""))</f>
        <v/>
      </c>
      <c r="FE195" s="85">
        <f>IF(CQ195="","",IFERROR(CQ195*HSCEI!$B$45*HSCEI!$G$45/HSCEI!$B$3,""))</f>
        <v/>
      </c>
      <c r="FF195" s="85">
        <f>IF(CR195="","",IFERROR(CR195*HSCEI!$B$45*HSCEI!$G$45/HSCEI!$B$3,""))</f>
        <v/>
      </c>
      <c r="FG195" s="85">
        <f>IF(CS195="","",IFERROR(CS195*HSCEI!$B$45*HSCEI!$G$45/HSCEI!$B$3,""))</f>
        <v/>
      </c>
      <c r="FH195" s="85">
        <f>IF(CT195="","",IFERROR(CT195*HSCEI!$B$45*HSCEI!$G$45/HSCEI!$B$3,""))</f>
        <v/>
      </c>
      <c r="FI195" s="85">
        <f>IF(CU195="","",IFERROR(CU195*HSCEI!$B$45*HSCEI!$G$45/HSCEI!$B$3,""))</f>
        <v/>
      </c>
      <c r="FJ195" s="85">
        <f>IF(CV195="","",IFERROR(CV195*HSCEI!$B$45*HSCEI!$G$45/HSCEI!$B$3,""))</f>
        <v/>
      </c>
      <c r="FK195" s="85">
        <f>IF(CW195="","",IFERROR(CW195*HSCEI!$B$45*HSCEI!$G$45/HSCEI!$B$3,""))</f>
        <v/>
      </c>
      <c r="FL195" s="85">
        <f>IF(CX195="","",IFERROR(CX195*HSCEI!$B$45*HSCEI!$G$45/HSCEI!$B$3,""))</f>
        <v/>
      </c>
      <c r="FM195" s="85">
        <f>IF(CY195="","",IFERROR(CY195*HSCEI!$B$45*HSCEI!$G$45/HSCEI!$B$3,""))</f>
        <v/>
      </c>
      <c r="FN195" s="85">
        <f>IF(CZ195="","",IFERROR(CZ195*HSCEI!$B$45*HSCEI!$G$45/HSCEI!$B$3,""))</f>
        <v/>
      </c>
      <c r="FO195" s="85">
        <f>IF(DA195="","",IFERROR(DA195*HSCEI!$B$45*HSCEI!$G$45/HSCEI!$B$3,""))</f>
        <v/>
      </c>
      <c r="FP195" s="85">
        <f>IF(DB195="","",IFERROR(DB195*HSCEI!$B$45*HSCEI!$G$45/HSCEI!$B$3,""))</f>
        <v/>
      </c>
      <c r="FQ195" s="85">
        <f>IF(DC195="","",IFERROR(DC195*HSCEI!$B$45*HSCEI!$G$45/HSCEI!$B$3,""))</f>
        <v/>
      </c>
      <c r="FR195" s="85">
        <f>IF(DD195="","",IFERROR(DD195*HSCEI!$B$45*HSCEI!$G$45/HSCEI!$B$3,""))</f>
        <v/>
      </c>
      <c r="FS195" s="85">
        <f>IF(DE195="","",IFERROR(DE195*HSCEI!$B$45*HSCEI!$G$45/HSCEI!$B$3,""))</f>
        <v/>
      </c>
      <c r="FT195" s="85">
        <f>IF(DF195="","",IFERROR(DF195*HSCEI!$B$45*HSCEI!$G$45/HSCEI!$B$3,""))</f>
        <v/>
      </c>
      <c r="FU195" s="85">
        <f>IF(DG195="","",IFERROR(DG195*HSCEI!$B$45*HSCEI!$G$45/HSCEI!$B$3,""))</f>
        <v/>
      </c>
      <c r="FV195" s="85">
        <f>IF(DH195="","",IFERROR(DH195*HSCEI!$B$45*HSCEI!$G$45/HSCEI!$B$3,""))</f>
        <v/>
      </c>
      <c r="FW195" s="85">
        <f>IF(DI195="","",IFERROR(DI195*HSCEI!$B$45*HSCEI!$G$45/HSCEI!$B$3,""))</f>
        <v/>
      </c>
      <c r="FX195" s="85">
        <f>IF(DJ195="","",IFERROR(DJ195*HSCEI!$B$45*HSCEI!$G$45/HSCEI!$B$3,""))</f>
        <v/>
      </c>
      <c r="FY195" s="85">
        <f>IF(DK195="","",IFERROR(DK195*HSCEI!$B$45*HSCEI!$G$45/HSCEI!$B$3,""))</f>
        <v/>
      </c>
      <c r="FZ195" s="85">
        <f>IF(DL195="","",IFERROR(DL195*HSCEI!$B$45*HSCEI!$G$45/HSCEI!$B$3,""))</f>
        <v/>
      </c>
      <c r="GA195" s="85">
        <f>IF(DM195="","",IFERROR(DM195*HSCEI!$B$45*HSCEI!$G$45/HSCEI!$B$3,""))</f>
        <v/>
      </c>
      <c r="GB195" s="85">
        <f>IF(DN195="","",IFERROR(DN195*HSCEI!$B$45*HSCEI!$G$45/HSCEI!$B$3,""))</f>
        <v/>
      </c>
      <c r="GC195" s="85">
        <f>IF(DO195="","",IFERROR(DO195*HSCEI!$B$45*HSCEI!$G$45/HSCEI!$B$3,""))</f>
        <v/>
      </c>
      <c r="GD195" s="85">
        <f>IF(DP195="","",IFERROR(DP195*HSCEI!$B$45*HSCEI!$G$45/HSCEI!$B$3,""))</f>
        <v/>
      </c>
      <c r="GE195" s="85">
        <f>IF(DQ195="","",IFERROR(DQ195*HSCEI!$B$45*HSCEI!$G$45/HSCEI!$B$3,""))</f>
        <v/>
      </c>
      <c r="GF195" s="85">
        <f>IF(DR195="","",IFERROR(DR195*HSCEI!$B$45*HSCEI!$G$45/HSCEI!$B$3,""))</f>
        <v/>
      </c>
      <c r="GG195" s="85">
        <f>IF(DS195="","",IFERROR(DS195*HSCEI!$B$45*HSCEI!$G$45/HSCEI!$B$3,""))</f>
        <v/>
      </c>
      <c r="GH195" s="85">
        <f>IF(DT195="","",IFERROR(DT195*HSCEI!$B$45*HSCEI!$G$45/HSCEI!$B$3,""))</f>
        <v/>
      </c>
      <c r="GI195" s="85">
        <f>IF(DU195="","",IFERROR(DU195*HSCEI!$B$45*HSCEI!$G$45/HSCEI!$B$3,""))</f>
        <v/>
      </c>
      <c r="GJ195" s="85">
        <f>IF(DV195="","",IFERROR(DV195*HSCEI!$B$45*HSCEI!$G$45/HSCEI!$B$3,""))</f>
        <v/>
      </c>
      <c r="GK195" s="85">
        <f>IF(DW195="","",IFERROR(DW195*HSCEI!$B$45*HSCEI!$G$45/HSCEI!$B$3,""))</f>
        <v/>
      </c>
      <c r="GL195" s="85">
        <f>IF(DX195="","",IFERROR(DX195*HSCEI!$B$45*HSCEI!$G$45/HSCEI!$B$3,""))</f>
        <v/>
      </c>
      <c r="GM195" s="85">
        <f>IF(DY195="","",IFERROR(DY195*HSCEI!$B$45*HSCEI!$G$45/HSCEI!$B$3,""))</f>
        <v/>
      </c>
      <c r="GN195" s="85">
        <f>IF(DZ195="","",IFERROR(DZ195*HSCEI!$B$45*HSCEI!$G$45/HSCEI!$B$3,""))</f>
        <v/>
      </c>
      <c r="GO195" s="85">
        <f>IF(EA195="","",IFERROR(EA195*HSCEI!$B$45*HSCEI!$G$45/HSCEI!$B$3,""))</f>
        <v/>
      </c>
      <c r="GP195" s="85">
        <f>IF(EB195="","",IFERROR(EB195*HSCEI!$B$45*HSCEI!$G$45/HSCEI!$B$3,""))</f>
        <v/>
      </c>
      <c r="GQ195" s="85">
        <f>IF(EC195="","",IFERROR(EC195*HSCEI!$B$45*HSCEI!$G$45/HSCEI!$B$3,""))</f>
        <v/>
      </c>
    </row>
    <row r="196">
      <c r="B196" s="2">
        <f>IF(HSCEI!$C$46="","",HSCEI!$C$46)</f>
        <v/>
      </c>
      <c r="C196" s="41">
        <f>IF(N('Dvd Calendar'!$E$2705)=0,"",IF(('Dvd Calendar'!$E$2705&gt;=MIN(DATE(Summary!$C$12,1,1),Summary!$C$11))*('Dvd Calendar'!$E$2705&lt;=MAX(DATE(Summary!$C$12,12,31),Summary!$C$15))*('Dvd Calendar'!$E$2705&lt;=Summary!$C$11)=0,"",'Dvd Calendar'!$E$2705*1000000000+ISNUMBER('Dvd Calendar'!$E$2706)*100000000+('Dvd Calendar'!$E$2710='Field Check'!$C$25)*10000000+(N('Dvd Calendar'!$E$2704)&gt;0)*1000000+40*1000+1))</f>
        <v/>
      </c>
      <c r="D196" s="41">
        <f>IF(N('Dvd Calendar'!$F$2705)=0,"",IF(('Dvd Calendar'!$F$2705&gt;=MIN(DATE(Summary!$C$12,1,1),Summary!$C$11))*('Dvd Calendar'!$F$2705&lt;=MAX(DATE(Summary!$C$12,12,31),Summary!$C$15))*('Dvd Calendar'!$F$2705&lt;=Summary!$C$11)=0,"",'Dvd Calendar'!$F$2705*1000000000+ISNUMBER('Dvd Calendar'!$F$2706)*100000000+('Dvd Calendar'!$F$2710='Field Check'!$C$25)*10000000+(N('Dvd Calendar'!$F$2704)&gt;0)*1000000+40*1000+2))</f>
        <v/>
      </c>
      <c r="E196" s="41">
        <f>IF(N('Dvd Calendar'!$G$2705)=0,"",IF(('Dvd Calendar'!$G$2705&gt;=MIN(DATE(Summary!$C$12,1,1),Summary!$C$11))*('Dvd Calendar'!$G$2705&lt;=MAX(DATE(Summary!$C$12,12,31),Summary!$C$15))*('Dvd Calendar'!$G$2705&lt;=Summary!$C$11)=0,"",'Dvd Calendar'!$G$2705*1000000000+ISNUMBER('Dvd Calendar'!$G$2706)*100000000+('Dvd Calendar'!$G$2710='Field Check'!$C$25)*10000000+(N('Dvd Calendar'!$G$2704)&gt;0)*1000000+40*1000+3))</f>
        <v/>
      </c>
      <c r="F196" s="41">
        <f>IF(N('Dvd Calendar'!$H$2705)=0,"",IF(('Dvd Calendar'!$H$2705&gt;=MIN(DATE(Summary!$C$12,1,1),Summary!$C$11))*('Dvd Calendar'!$H$2705&lt;=MAX(DATE(Summary!$C$12,12,31),Summary!$C$15))*('Dvd Calendar'!$H$2705&lt;=Summary!$C$11)=0,"",'Dvd Calendar'!$H$2705*1000000000+ISNUMBER('Dvd Calendar'!$H$2706)*100000000+('Dvd Calendar'!$H$2710='Field Check'!$C$25)*10000000+(N('Dvd Calendar'!$H$2704)&gt;0)*1000000+40*1000+4))</f>
        <v/>
      </c>
      <c r="G196" s="41">
        <f>IF(N('Dvd Calendar'!$I$2705)=0,"",IF(('Dvd Calendar'!$I$2705&gt;=MIN(DATE(Summary!$C$12,1,1),Summary!$C$11))*('Dvd Calendar'!$I$2705&lt;=MAX(DATE(Summary!$C$12,12,31),Summary!$C$15))*('Dvd Calendar'!$I$2705&lt;=Summary!$C$11)=0,"",'Dvd Calendar'!$I$2705*1000000000+ISNUMBER('Dvd Calendar'!$I$2706)*100000000+('Dvd Calendar'!$I$2710='Field Check'!$C$25)*10000000+(N('Dvd Calendar'!$I$2704)&gt;0)*1000000+40*1000+5))</f>
        <v/>
      </c>
      <c r="H196" s="41">
        <f>IF(N('Dvd Calendar'!$J$2705)=0,"",IF(('Dvd Calendar'!$J$2705&gt;=MIN(DATE(Summary!$C$12,1,1),Summary!$C$11))*('Dvd Calendar'!$J$2705&lt;=MAX(DATE(Summary!$C$12,12,31),Summary!$C$15))*('Dvd Calendar'!$J$2705&lt;=Summary!$C$11)=0,"",'Dvd Calendar'!$J$2705*1000000000+ISNUMBER('Dvd Calendar'!$J$2706)*100000000+('Dvd Calendar'!$J$2710='Field Check'!$C$25)*10000000+(N('Dvd Calendar'!$J$2704)&gt;0)*1000000+40*1000+6))</f>
        <v/>
      </c>
      <c r="I196" s="41">
        <f>IF(N('Dvd Calendar'!$K$2705)=0,"",IF(('Dvd Calendar'!$K$2705&gt;=MIN(DATE(Summary!$C$12,1,1),Summary!$C$11))*('Dvd Calendar'!$K$2705&lt;=MAX(DATE(Summary!$C$12,12,31),Summary!$C$15))*('Dvd Calendar'!$K$2705&lt;=Summary!$C$11)=0,"",'Dvd Calendar'!$K$2705*1000000000+ISNUMBER('Dvd Calendar'!$K$2706)*100000000+('Dvd Calendar'!$K$2710='Field Check'!$C$25)*10000000+(N('Dvd Calendar'!$K$2704)&gt;0)*1000000+40*1000+7))</f>
        <v/>
      </c>
      <c r="J196" s="41">
        <f>IF(N('Dvd Calendar'!$L$2705)=0,"",IF(('Dvd Calendar'!$L$2705&gt;=MIN(DATE(Summary!$C$12,1,1),Summary!$C$11))*('Dvd Calendar'!$L$2705&lt;=MAX(DATE(Summary!$C$12,12,31),Summary!$C$15))*('Dvd Calendar'!$L$2705&lt;=Summary!$C$11)=0,"",'Dvd Calendar'!$L$2705*1000000000+ISNUMBER('Dvd Calendar'!$L$2706)*100000000+('Dvd Calendar'!$L$2710='Field Check'!$C$25)*10000000+(N('Dvd Calendar'!$L$2704)&gt;0)*1000000+40*1000+8))</f>
        <v/>
      </c>
      <c r="K196" s="41">
        <f>IF(N('Dvd Calendar'!$M$2705)=0,"",IF(('Dvd Calendar'!$M$2705&gt;=MIN(DATE(Summary!$C$12,1,1),Summary!$C$11))*('Dvd Calendar'!$M$2705&lt;=MAX(DATE(Summary!$C$12,12,31),Summary!$C$15))*('Dvd Calendar'!$M$2705&lt;=Summary!$C$11)=0,"",'Dvd Calendar'!$M$2705*1000000000+ISNUMBER('Dvd Calendar'!$M$2706)*100000000+('Dvd Calendar'!$M$2710='Field Check'!$C$25)*10000000+(N('Dvd Calendar'!$M$2704)&gt;0)*1000000+40*1000+9))</f>
        <v/>
      </c>
      <c r="L196" s="41">
        <f>IF(N('Dvd Calendar'!$N$2705)=0,"",IF(('Dvd Calendar'!$N$2705&gt;=MIN(DATE(Summary!$C$12,1,1),Summary!$C$11))*('Dvd Calendar'!$N$2705&lt;=MAX(DATE(Summary!$C$12,12,31),Summary!$C$15))*('Dvd Calendar'!$N$2705&lt;=Summary!$C$11)=0,"",'Dvd Calendar'!$N$2705*1000000000+ISNUMBER('Dvd Calendar'!$N$2706)*100000000+('Dvd Calendar'!$N$2710='Field Check'!$C$25)*10000000+(N('Dvd Calendar'!$N$2704)&gt;0)*1000000+40*1000+10))</f>
        <v/>
      </c>
      <c r="M196" s="41">
        <f>IF(N('Dvd Calendar'!$O$2705)=0,"",IF(('Dvd Calendar'!$O$2705&gt;=MIN(DATE(Summary!$C$12,1,1),Summary!$C$11))*('Dvd Calendar'!$O$2705&lt;=MAX(DATE(Summary!$C$12,12,31),Summary!$C$15))*('Dvd Calendar'!$O$2705&lt;=Summary!$C$11)=0,"",'Dvd Calendar'!$O$2705*1000000000+ISNUMBER('Dvd Calendar'!$O$2706)*100000000+('Dvd Calendar'!$O$2710='Field Check'!$C$25)*10000000+(N('Dvd Calendar'!$O$2704)&gt;0)*1000000+40*1000+11))</f>
        <v/>
      </c>
      <c r="N196" s="41">
        <f>IF(N('Dvd Calendar'!$P$2705)=0,"",IF(('Dvd Calendar'!$P$2705&gt;=MIN(DATE(Summary!$C$12,1,1),Summary!$C$11))*('Dvd Calendar'!$P$2705&lt;=MAX(DATE(Summary!$C$12,12,31),Summary!$C$15))*('Dvd Calendar'!$P$2705&lt;=Summary!$C$11)=0,"",'Dvd Calendar'!$P$2705*1000000000+ISNUMBER('Dvd Calendar'!$P$2706)*100000000+('Dvd Calendar'!$P$2710='Field Check'!$C$25)*10000000+(N('Dvd Calendar'!$P$2704)&gt;0)*1000000+40*1000+12))</f>
        <v/>
      </c>
      <c r="O196" s="41">
        <f>IF(N('Dvd Calendar'!$Q$2705)=0,"",IF(('Dvd Calendar'!$Q$2705&gt;=MIN(DATE(Summary!$C$12,1,1),Summary!$C$11))*('Dvd Calendar'!$Q$2705&lt;=MAX(DATE(Summary!$C$12,12,31),Summary!$C$15))*('Dvd Calendar'!$Q$2705&lt;=Summary!$C$11)=0,"",'Dvd Calendar'!$Q$2705*1000000000+ISNUMBER('Dvd Calendar'!$Q$2706)*100000000+('Dvd Calendar'!$Q$2710='Field Check'!$C$25)*10000000+(N('Dvd Calendar'!$Q$2704)&gt;0)*1000000+40*1000+13))</f>
        <v/>
      </c>
      <c r="P196" s="41">
        <f>IF(N('Dvd Calendar'!$R$2705)=0,"",IF(('Dvd Calendar'!$R$2705&gt;=MIN(DATE(Summary!$C$12,1,1),Summary!$C$11))*('Dvd Calendar'!$R$2705&lt;=MAX(DATE(Summary!$C$12,12,31),Summary!$C$15))*('Dvd Calendar'!$R$2705&lt;=Summary!$C$11)=0,"",'Dvd Calendar'!$R$2705*1000000000+ISNUMBER('Dvd Calendar'!$R$2706)*100000000+('Dvd Calendar'!$R$2710='Field Check'!$C$25)*10000000+(N('Dvd Calendar'!$R$2704)&gt;0)*1000000+40*1000+14))</f>
        <v/>
      </c>
      <c r="Q196" s="41">
        <f>IF(N('Dvd Calendar'!$S$2705)=0,"",IF(('Dvd Calendar'!$S$2705&gt;=MIN(DATE(Summary!$C$12,1,1),Summary!$C$11))*('Dvd Calendar'!$S$2705&lt;=MAX(DATE(Summary!$C$12,12,31),Summary!$C$15))*('Dvd Calendar'!$S$2705&lt;=Summary!$C$11)=0,"",'Dvd Calendar'!$S$2705*1000000000+ISNUMBER('Dvd Calendar'!$S$2706)*100000000+('Dvd Calendar'!$S$2710='Field Check'!$C$25)*10000000+(N('Dvd Calendar'!$S$2704)&gt;0)*1000000+40*1000+15))</f>
        <v/>
      </c>
      <c r="R196" s="41">
        <f>IF(N('Dvd Calendar'!$T$2705)=0,"",IF(('Dvd Calendar'!$T$2705&gt;=MIN(DATE(Summary!$C$12,1,1),Summary!$C$11))*('Dvd Calendar'!$T$2705&lt;=MAX(DATE(Summary!$C$12,12,31),Summary!$C$15))*('Dvd Calendar'!$T$2705&lt;=Summary!$C$11)=0,"",'Dvd Calendar'!$T$2705*1000000000+ISNUMBER('Dvd Calendar'!$T$2706)*100000000+('Dvd Calendar'!$T$2710='Field Check'!$C$25)*10000000+(N('Dvd Calendar'!$T$2704)&gt;0)*1000000+40*1000+16))</f>
        <v/>
      </c>
      <c r="S196" s="41">
        <f>IF(N('Dvd Calendar'!$U$2705)=0,"",IF(('Dvd Calendar'!$U$2705&gt;=MIN(DATE(Summary!$C$12,1,1),Summary!$C$11))*('Dvd Calendar'!$U$2705&lt;=MAX(DATE(Summary!$C$12,12,31),Summary!$C$15))*('Dvd Calendar'!$U$2705&lt;=Summary!$C$11)=0,"",'Dvd Calendar'!$U$2705*1000000000+ISNUMBER('Dvd Calendar'!$U$2706)*100000000+('Dvd Calendar'!$U$2710='Field Check'!$C$25)*10000000+(N('Dvd Calendar'!$U$2704)&gt;0)*1000000+40*1000+17))</f>
        <v/>
      </c>
      <c r="T196" s="41">
        <f>IF(N('Dvd Calendar'!$V$2705)=0,"",IF(('Dvd Calendar'!$V$2705&gt;=MIN(DATE(Summary!$C$12,1,1),Summary!$C$11))*('Dvd Calendar'!$V$2705&lt;=MAX(DATE(Summary!$C$12,12,31),Summary!$C$15))*('Dvd Calendar'!$V$2705&lt;=Summary!$C$11)=0,"",'Dvd Calendar'!$V$2705*1000000000+ISNUMBER('Dvd Calendar'!$V$2706)*100000000+('Dvd Calendar'!$V$2710='Field Check'!$C$25)*10000000+(N('Dvd Calendar'!$V$2704)&gt;0)*1000000+40*1000+18))</f>
        <v/>
      </c>
      <c r="U196" s="41">
        <f>IF(N('Dvd Calendar'!$W$2705)=0,"",IF(('Dvd Calendar'!$W$2705&gt;=MIN(DATE(Summary!$C$12,1,1),Summary!$C$11))*('Dvd Calendar'!$W$2705&lt;=MAX(DATE(Summary!$C$12,12,31),Summary!$C$15))*('Dvd Calendar'!$W$2705&lt;=Summary!$C$11)=0,"",'Dvd Calendar'!$W$2705*1000000000+ISNUMBER('Dvd Calendar'!$W$2706)*100000000+('Dvd Calendar'!$W$2710='Field Check'!$C$25)*10000000+(N('Dvd Calendar'!$W$2704)&gt;0)*1000000+40*1000+19))</f>
        <v/>
      </c>
      <c r="V196" s="41">
        <f>IF(N('Dvd Calendar'!$X$2705)=0,"",IF(('Dvd Calendar'!$X$2705&gt;=MIN(DATE(Summary!$C$12,1,1),Summary!$C$11))*('Dvd Calendar'!$X$2705&lt;=MAX(DATE(Summary!$C$12,12,31),Summary!$C$15))*('Dvd Calendar'!$X$2705&lt;=Summary!$C$11)=0,"",'Dvd Calendar'!$X$2705*1000000000+ISNUMBER('Dvd Calendar'!$X$2706)*100000000+('Dvd Calendar'!$X$2710='Field Check'!$C$25)*10000000+(N('Dvd Calendar'!$X$2704)&gt;0)*1000000+40*1000+20))</f>
        <v/>
      </c>
      <c r="W196" s="41">
        <f>IF(N('Dvd Calendar'!$Y$2705)=0,"",IF(('Dvd Calendar'!$Y$2705&gt;=MIN(DATE(Summary!$C$12,1,1),Summary!$C$11))*('Dvd Calendar'!$Y$2705&lt;=MAX(DATE(Summary!$C$12,12,31),Summary!$C$15))*('Dvd Calendar'!$Y$2705&lt;=Summary!$C$11)=0,"",'Dvd Calendar'!$Y$2705*1000000000+ISNUMBER('Dvd Calendar'!$Y$2706)*100000000+('Dvd Calendar'!$Y$2710='Field Check'!$C$25)*10000000+(N('Dvd Calendar'!$Y$2704)&gt;0)*1000000+40*1000+21))</f>
        <v/>
      </c>
      <c r="X196" s="41">
        <f>IF(N('Dvd Calendar'!$Z$2705)=0,"",IF(('Dvd Calendar'!$Z$2705&gt;=MIN(DATE(Summary!$C$12,1,1),Summary!$C$11))*('Dvd Calendar'!$Z$2705&lt;=MAX(DATE(Summary!$C$12,12,31),Summary!$C$15))*('Dvd Calendar'!$Z$2705&lt;=Summary!$C$11)=0,"",'Dvd Calendar'!$Z$2705*1000000000+ISNUMBER('Dvd Calendar'!$Z$2706)*100000000+('Dvd Calendar'!$Z$2710='Field Check'!$C$25)*10000000+(N('Dvd Calendar'!$Z$2704)&gt;0)*1000000+40*1000+22))</f>
        <v/>
      </c>
      <c r="Y196" s="41">
        <f>IF(N('Dvd Calendar'!$AA$2705)=0,"",IF(('Dvd Calendar'!$AA$2705&gt;=MIN(DATE(Summary!$C$12,1,1),Summary!$C$11))*('Dvd Calendar'!$AA$2705&lt;=MAX(DATE(Summary!$C$12,12,31),Summary!$C$15))*('Dvd Calendar'!$AA$2705&lt;=Summary!$C$11)=0,"",'Dvd Calendar'!$AA$2705*1000000000+ISNUMBER('Dvd Calendar'!$AA$2706)*100000000+('Dvd Calendar'!$AA$2710='Field Check'!$C$25)*10000000+(N('Dvd Calendar'!$AA$2704)&gt;0)*1000000+40*1000+23))</f>
        <v/>
      </c>
      <c r="Z196" s="41">
        <f>IF(N('Dvd Calendar'!$AB$2705)=0,"",IF(('Dvd Calendar'!$AB$2705&gt;=MIN(DATE(Summary!$C$12,1,1),Summary!$C$11))*('Dvd Calendar'!$AB$2705&lt;=MAX(DATE(Summary!$C$12,12,31),Summary!$C$15))*('Dvd Calendar'!$AB$2705&lt;=Summary!$C$11)=0,"",'Dvd Calendar'!$AB$2705*1000000000+ISNUMBER('Dvd Calendar'!$AB$2706)*100000000+('Dvd Calendar'!$AB$2710='Field Check'!$C$25)*10000000+(N('Dvd Calendar'!$AB$2704)&gt;0)*1000000+40*1000+24))</f>
        <v/>
      </c>
      <c r="AA196" s="41">
        <f>IF(N('Dvd Calendar'!$AC$2705)=0,"",IF(('Dvd Calendar'!$AC$2705&gt;=MIN(DATE(Summary!$C$12,1,1),Summary!$C$11))*('Dvd Calendar'!$AC$2705&lt;=MAX(DATE(Summary!$C$12,12,31),Summary!$C$15))*('Dvd Calendar'!$AC$2705&lt;=Summary!$C$11)=0,"",'Dvd Calendar'!$AC$2705*1000000000+ISNUMBER('Dvd Calendar'!$AC$2706)*100000000+('Dvd Calendar'!$AC$2710='Field Check'!$C$25)*10000000+(N('Dvd Calendar'!$AC$2704)&gt;0)*1000000+40*1000+25))</f>
        <v/>
      </c>
      <c r="AB196" s="41">
        <f>IF(N('Dvd Calendar'!$AD$2705)=0,"",IF(('Dvd Calendar'!$AD$2705&gt;=MIN(DATE(Summary!$C$12,1,1),Summary!$C$11))*('Dvd Calendar'!$AD$2705&lt;=MAX(DATE(Summary!$C$12,12,31),Summary!$C$15))*('Dvd Calendar'!$AD$2705&lt;=Summary!$C$11)=0,"",'Dvd Calendar'!$AD$2705*1000000000+ISNUMBER('Dvd Calendar'!$AD$2706)*100000000+('Dvd Calendar'!$AD$2710='Field Check'!$C$25)*10000000+(N('Dvd Calendar'!$AD$2704)&gt;0)*1000000+40*1000+26))</f>
        <v/>
      </c>
      <c r="AC196" s="41">
        <f>IF(N('Dvd Calendar'!$AE$2705)=0,"",IF(('Dvd Calendar'!$AE$2705&gt;=MIN(DATE(Summary!$C$12,1,1),Summary!$C$11))*('Dvd Calendar'!$AE$2705&lt;=MAX(DATE(Summary!$C$12,12,31),Summary!$C$15))*('Dvd Calendar'!$AE$2705&lt;=Summary!$C$11)=0,"",'Dvd Calendar'!$AE$2705*1000000000+ISNUMBER('Dvd Calendar'!$AE$2706)*100000000+('Dvd Calendar'!$AE$2710='Field Check'!$C$25)*10000000+(N('Dvd Calendar'!$AE$2704)&gt;0)*1000000+40*1000+27))</f>
        <v/>
      </c>
      <c r="AD196" s="41">
        <f>IF(N('Dvd Calendar'!$AF$2705)=0,"",IF(('Dvd Calendar'!$AF$2705&gt;=MIN(DATE(Summary!$C$12,1,1),Summary!$C$11))*('Dvd Calendar'!$AF$2705&lt;=MAX(DATE(Summary!$C$12,12,31),Summary!$C$15))*('Dvd Calendar'!$AF$2705&lt;=Summary!$C$11)=0,"",'Dvd Calendar'!$AF$2705*1000000000+ISNUMBER('Dvd Calendar'!$AF$2706)*100000000+('Dvd Calendar'!$AF$2710='Field Check'!$C$25)*10000000+(N('Dvd Calendar'!$AF$2704)&gt;0)*1000000+40*1000+28))</f>
        <v/>
      </c>
      <c r="AE196" s="41">
        <f>IF(N('Dvd Calendar'!$AG$2705)=0,"",IF(('Dvd Calendar'!$AG$2705&gt;=MIN(DATE(Summary!$C$12,1,1),Summary!$C$11))*('Dvd Calendar'!$AG$2705&lt;=MAX(DATE(Summary!$C$12,12,31),Summary!$C$15))*('Dvd Calendar'!$AG$2705&lt;=Summary!$C$11)=0,"",'Dvd Calendar'!$AG$2705*1000000000+ISNUMBER('Dvd Calendar'!$AG$2706)*100000000+('Dvd Calendar'!$AG$2710='Field Check'!$C$25)*10000000+(N('Dvd Calendar'!$AG$2704)&gt;0)*1000000+40*1000+29))</f>
        <v/>
      </c>
      <c r="AF196" s="41">
        <f>IF(N('Dvd Calendar'!$AH$2705)=0,"",IF(('Dvd Calendar'!$AH$2705&gt;=MIN(DATE(Summary!$C$12,1,1),Summary!$C$11))*('Dvd Calendar'!$AH$2705&lt;=MAX(DATE(Summary!$C$12,12,31),Summary!$C$15))*('Dvd Calendar'!$AH$2705&lt;=Summary!$C$11)=0,"",'Dvd Calendar'!$AH$2705*1000000000+ISNUMBER('Dvd Calendar'!$AH$2706)*100000000+('Dvd Calendar'!$AH$2710='Field Check'!$C$25)*10000000+(N('Dvd Calendar'!$AH$2704)&gt;0)*1000000+40*1000+30))</f>
        <v/>
      </c>
      <c r="AG196" s="41">
        <f>IF(N('Dvd Calendar'!$AI$2705)=0,"",IF(('Dvd Calendar'!$AI$2705&gt;=MIN(DATE(Summary!$C$12,1,1),Summary!$C$11))*('Dvd Calendar'!$AI$2705&lt;=MAX(DATE(Summary!$C$12,12,31),Summary!$C$15))*('Dvd Calendar'!$AI$2705&lt;=Summary!$C$11)=0,"",'Dvd Calendar'!$AI$2705*1000000000+ISNUMBER('Dvd Calendar'!$AI$2706)*100000000+('Dvd Calendar'!$AI$2710='Field Check'!$C$25)*10000000+(N('Dvd Calendar'!$AI$2704)&gt;0)*1000000+40*1000+31))</f>
        <v/>
      </c>
      <c r="AH196" s="41">
        <f>IF(N('Dvd Calendar'!$AJ$2705)=0,"",IF(('Dvd Calendar'!$AJ$2705&gt;=MIN(DATE(Summary!$C$12,1,1),Summary!$C$11))*('Dvd Calendar'!$AJ$2705&lt;=MAX(DATE(Summary!$C$12,12,31),Summary!$C$15))*('Dvd Calendar'!$AJ$2705&lt;=Summary!$C$11)=0,"",'Dvd Calendar'!$AJ$2705*1000000000+ISNUMBER('Dvd Calendar'!$AJ$2706)*100000000+('Dvd Calendar'!$AJ$2710='Field Check'!$C$25)*10000000+(N('Dvd Calendar'!$AJ$2704)&gt;0)*1000000+40*1000+32))</f>
        <v/>
      </c>
      <c r="AI196" s="41">
        <f>IF(N('Dvd Calendar'!$AK$2705)=0,"",IF(('Dvd Calendar'!$AK$2705&gt;=MIN(DATE(Summary!$C$12,1,1),Summary!$C$11))*('Dvd Calendar'!$AK$2705&lt;=MAX(DATE(Summary!$C$12,12,31),Summary!$C$15))*('Dvd Calendar'!$AK$2705&lt;=Summary!$C$11)=0,"",'Dvd Calendar'!$AK$2705*1000000000+ISNUMBER('Dvd Calendar'!$AK$2706)*100000000+('Dvd Calendar'!$AK$2710='Field Check'!$C$25)*10000000+(N('Dvd Calendar'!$AK$2704)&gt;0)*1000000+40*1000+33))</f>
        <v/>
      </c>
      <c r="AJ196" s="41">
        <f>IF(N('Dvd Calendar'!$AL$2705)=0,"",IF(('Dvd Calendar'!$AL$2705&gt;=MIN(DATE(Summary!$C$12,1,1),Summary!$C$11))*('Dvd Calendar'!$AL$2705&lt;=MAX(DATE(Summary!$C$12,12,31),Summary!$C$15))*('Dvd Calendar'!$AL$2705&lt;=Summary!$C$11)=0,"",'Dvd Calendar'!$AL$2705*1000000000+ISNUMBER('Dvd Calendar'!$AL$2706)*100000000+('Dvd Calendar'!$AL$2710='Field Check'!$C$25)*10000000+(N('Dvd Calendar'!$AL$2704)&gt;0)*1000000+40*1000+34))</f>
        <v/>
      </c>
      <c r="AK196" s="41">
        <f>IF(N('Dvd Calendar'!$AM$2705)=0,"",IF(('Dvd Calendar'!$AM$2705&gt;=MIN(DATE(Summary!$C$12,1,1),Summary!$C$11))*('Dvd Calendar'!$AM$2705&lt;=MAX(DATE(Summary!$C$12,12,31),Summary!$C$15))*('Dvd Calendar'!$AM$2705&lt;=Summary!$C$11)=0,"",'Dvd Calendar'!$AM$2705*1000000000+ISNUMBER('Dvd Calendar'!$AM$2706)*100000000+('Dvd Calendar'!$AM$2710='Field Check'!$C$25)*10000000+(N('Dvd Calendar'!$AM$2704)&gt;0)*1000000+40*1000+35))</f>
        <v/>
      </c>
      <c r="AL196" s="41">
        <f>IF(N('Dvd Calendar'!$AN$2705)=0,"",IF(('Dvd Calendar'!$AN$2705&gt;=MIN(DATE(Summary!$C$12,1,1),Summary!$C$11))*('Dvd Calendar'!$AN$2705&lt;=MAX(DATE(Summary!$C$12,12,31),Summary!$C$15))*('Dvd Calendar'!$AN$2705&lt;=Summary!$C$11)=0,"",'Dvd Calendar'!$AN$2705*1000000000+ISNUMBER('Dvd Calendar'!$AN$2706)*100000000+('Dvd Calendar'!$AN$2710='Field Check'!$C$25)*10000000+(N('Dvd Calendar'!$AN$2704)&gt;0)*1000000+40*1000+36))</f>
        <v/>
      </c>
      <c r="AM196" s="41">
        <f>IF(N('Dvd Calendar'!$AO$2705)=0,"",IF(('Dvd Calendar'!$AO$2705&gt;=MIN(DATE(Summary!$C$12,1,1),Summary!$C$11))*('Dvd Calendar'!$AO$2705&lt;=MAX(DATE(Summary!$C$12,12,31),Summary!$C$15))*('Dvd Calendar'!$AO$2705&lt;=Summary!$C$11)=0,"",'Dvd Calendar'!$AO$2705*1000000000+ISNUMBER('Dvd Calendar'!$AO$2706)*100000000+('Dvd Calendar'!$AO$2710='Field Check'!$C$25)*10000000+(N('Dvd Calendar'!$AO$2704)&gt;0)*1000000+40*1000+37))</f>
        <v/>
      </c>
      <c r="AN196" s="41">
        <f>IF(N('Dvd Calendar'!$AP$2705)=0,"",IF(('Dvd Calendar'!$AP$2705&gt;=MIN(DATE(Summary!$C$12,1,1),Summary!$C$11))*('Dvd Calendar'!$AP$2705&lt;=MAX(DATE(Summary!$C$12,12,31),Summary!$C$15))*('Dvd Calendar'!$AP$2705&lt;=Summary!$C$11)=0,"",'Dvd Calendar'!$AP$2705*1000000000+ISNUMBER('Dvd Calendar'!$AP$2706)*100000000+('Dvd Calendar'!$AP$2710='Field Check'!$C$25)*10000000+(N('Dvd Calendar'!$AP$2704)&gt;0)*1000000+40*1000+38))</f>
        <v/>
      </c>
      <c r="AO196" s="41">
        <f>IF(N('Dvd Calendar'!$AQ$2705)=0,"",IF(('Dvd Calendar'!$AQ$2705&gt;=MIN(DATE(Summary!$C$12,1,1),Summary!$C$11))*('Dvd Calendar'!$AQ$2705&lt;=MAX(DATE(Summary!$C$12,12,31),Summary!$C$15))*('Dvd Calendar'!$AQ$2705&lt;=Summary!$C$11)=0,"",'Dvd Calendar'!$AQ$2705*1000000000+ISNUMBER('Dvd Calendar'!$AQ$2706)*100000000+('Dvd Calendar'!$AQ$2710='Field Check'!$C$25)*10000000+(N('Dvd Calendar'!$AQ$2704)&gt;0)*1000000+40*1000+39))</f>
        <v/>
      </c>
      <c r="AP196" s="41">
        <f>IF(N('Dvd Calendar'!$AR$2705)=0,"",IF(('Dvd Calendar'!$AR$2705&gt;=MIN(DATE(Summary!$C$12,1,1),Summary!$C$11))*('Dvd Calendar'!$AR$2705&lt;=MAX(DATE(Summary!$C$12,12,31),Summary!$C$15))*('Dvd Calendar'!$AR$2705&lt;=Summary!$C$11)=0,"",'Dvd Calendar'!$AR$2705*1000000000+ISNUMBER('Dvd Calendar'!$AR$2706)*100000000+('Dvd Calendar'!$AR$2710='Field Check'!$C$25)*10000000+(N('Dvd Calendar'!$AR$2704)&gt;0)*1000000+40*1000+40))</f>
        <v/>
      </c>
      <c r="AQ196" s="41">
        <f>IF(N('Dvd Calendar'!$E$2712)=0,"",IF(('Dvd Calendar'!$E$2712&gt;=MIN(DATE(Summary!$C$12,1,1),Summary!$C$11))*('Dvd Calendar'!$E$2712&lt;=MAX(DATE(Summary!$C$12,12,31),Summary!$C$15))*('Dvd Calendar'!$E$2712&gt;Summary!$C$11)=0,"",'Dvd Calendar'!$E$2712*1000000000+ISNUMBER('Dvd Calendar'!$E$2713)*100000000+('Dvd Calendar'!$E$2717='Field Check'!$C$25)*10000000+(N('Dvd Calendar'!$E$2711)&gt;0)*1000000+40*1000+41))</f>
        <v/>
      </c>
      <c r="AR196" s="41">
        <f>IF(N('Dvd Calendar'!$F$2712)=0,"",IF(('Dvd Calendar'!$F$2712&gt;=MIN(DATE(Summary!$C$12,1,1),Summary!$C$11))*('Dvd Calendar'!$F$2712&lt;=MAX(DATE(Summary!$C$12,12,31),Summary!$C$15))*('Dvd Calendar'!$F$2712&gt;Summary!$C$11)=0,"",'Dvd Calendar'!$F$2712*1000000000+ISNUMBER('Dvd Calendar'!$F$2713)*100000000+('Dvd Calendar'!$F$2717='Field Check'!$C$25)*10000000+(N('Dvd Calendar'!$F$2711)&gt;0)*1000000+40*1000+42))</f>
        <v/>
      </c>
      <c r="AS196" s="41">
        <f>IF(N('Dvd Calendar'!$G$2712)=0,"",IF(('Dvd Calendar'!$G$2712&gt;=MIN(DATE(Summary!$C$12,1,1),Summary!$C$11))*('Dvd Calendar'!$G$2712&lt;=MAX(DATE(Summary!$C$12,12,31),Summary!$C$15))*('Dvd Calendar'!$G$2712&gt;Summary!$C$11)=0,"",'Dvd Calendar'!$G$2712*1000000000+ISNUMBER('Dvd Calendar'!$G$2713)*100000000+('Dvd Calendar'!$G$2717='Field Check'!$C$25)*10000000+(N('Dvd Calendar'!$G$2711)&gt;0)*1000000+40*1000+43))</f>
        <v/>
      </c>
      <c r="AT196" s="41">
        <f>IF(N('Dvd Calendar'!$H$2712)=0,"",IF(('Dvd Calendar'!$H$2712&gt;=MIN(DATE(Summary!$C$12,1,1),Summary!$C$11))*('Dvd Calendar'!$H$2712&lt;=MAX(DATE(Summary!$C$12,12,31),Summary!$C$15))*('Dvd Calendar'!$H$2712&gt;Summary!$C$11)=0,"",'Dvd Calendar'!$H$2712*1000000000+ISNUMBER('Dvd Calendar'!$H$2713)*100000000+('Dvd Calendar'!$H$2717='Field Check'!$C$25)*10000000+(N('Dvd Calendar'!$H$2711)&gt;0)*1000000+40*1000+44))</f>
        <v/>
      </c>
      <c r="AU196" s="41">
        <f>IF(N('Dvd Calendar'!$I$2712)=0,"",IF(('Dvd Calendar'!$I$2712&gt;=MIN(DATE(Summary!$C$12,1,1),Summary!$C$11))*('Dvd Calendar'!$I$2712&lt;=MAX(DATE(Summary!$C$12,12,31),Summary!$C$15))*('Dvd Calendar'!$I$2712&gt;Summary!$C$11)=0,"",'Dvd Calendar'!$I$2712*1000000000+ISNUMBER('Dvd Calendar'!$I$2713)*100000000+('Dvd Calendar'!$I$2717='Field Check'!$C$25)*10000000+(N('Dvd Calendar'!$I$2711)&gt;0)*1000000+40*1000+45))</f>
        <v/>
      </c>
      <c r="AV196" s="41">
        <f>IF(N('Dvd Calendar'!$J$2712)=0,"",IF(('Dvd Calendar'!$J$2712&gt;=MIN(DATE(Summary!$C$12,1,1),Summary!$C$11))*('Dvd Calendar'!$J$2712&lt;=MAX(DATE(Summary!$C$12,12,31),Summary!$C$15))*('Dvd Calendar'!$J$2712&gt;Summary!$C$11)=0,"",'Dvd Calendar'!$J$2712*1000000000+ISNUMBER('Dvd Calendar'!$J$2713)*100000000+('Dvd Calendar'!$J$2717='Field Check'!$C$25)*10000000+(N('Dvd Calendar'!$J$2711)&gt;0)*1000000+40*1000+46))</f>
        <v/>
      </c>
      <c r="AW196" s="41">
        <f>IF(N('Dvd Calendar'!$K$2712)=0,"",IF(('Dvd Calendar'!$K$2712&gt;=MIN(DATE(Summary!$C$12,1,1),Summary!$C$11))*('Dvd Calendar'!$K$2712&lt;=MAX(DATE(Summary!$C$12,12,31),Summary!$C$15))*('Dvd Calendar'!$K$2712&gt;Summary!$C$11)=0,"",'Dvd Calendar'!$K$2712*1000000000+ISNUMBER('Dvd Calendar'!$K$2713)*100000000+('Dvd Calendar'!$K$2717='Field Check'!$C$25)*10000000+(N('Dvd Calendar'!$K$2711)&gt;0)*1000000+40*1000+47))</f>
        <v/>
      </c>
      <c r="AX196" s="41">
        <f>IF(N('Dvd Calendar'!$L$2712)=0,"",IF(('Dvd Calendar'!$L$2712&gt;=MIN(DATE(Summary!$C$12,1,1),Summary!$C$11))*('Dvd Calendar'!$L$2712&lt;=MAX(DATE(Summary!$C$12,12,31),Summary!$C$15))*('Dvd Calendar'!$L$2712&gt;Summary!$C$11)=0,"",'Dvd Calendar'!$L$2712*1000000000+ISNUMBER('Dvd Calendar'!$L$2713)*100000000+('Dvd Calendar'!$L$2717='Field Check'!$C$25)*10000000+(N('Dvd Calendar'!$L$2711)&gt;0)*1000000+40*1000+48))</f>
        <v/>
      </c>
      <c r="AY196" s="41">
        <f>IF(N('Dvd Calendar'!$M$2712)=0,"",IF(('Dvd Calendar'!$M$2712&gt;=MIN(DATE(Summary!$C$12,1,1),Summary!$C$11))*('Dvd Calendar'!$M$2712&lt;=MAX(DATE(Summary!$C$12,12,31),Summary!$C$15))*('Dvd Calendar'!$M$2712&gt;Summary!$C$11)=0,"",'Dvd Calendar'!$M$2712*1000000000+ISNUMBER('Dvd Calendar'!$M$2713)*100000000+('Dvd Calendar'!$M$2717='Field Check'!$C$25)*10000000+(N('Dvd Calendar'!$M$2711)&gt;0)*1000000+40*1000+49))</f>
        <v/>
      </c>
      <c r="AZ196" s="41">
        <f>IF(N('Dvd Calendar'!$N$2712)=0,"",IF(('Dvd Calendar'!$N$2712&gt;=MIN(DATE(Summary!$C$12,1,1),Summary!$C$11))*('Dvd Calendar'!$N$2712&lt;=MAX(DATE(Summary!$C$12,12,31),Summary!$C$15))*('Dvd Calendar'!$N$2712&gt;Summary!$C$11)=0,"",'Dvd Calendar'!$N$2712*1000000000+ISNUMBER('Dvd Calendar'!$N$2713)*100000000+('Dvd Calendar'!$N$2717='Field Check'!$C$25)*10000000+(N('Dvd Calendar'!$N$2711)&gt;0)*1000000+40*1000+50))</f>
        <v/>
      </c>
      <c r="BA196" s="41">
        <f>IF(N('Dvd Calendar'!$O$2712)=0,"",IF(('Dvd Calendar'!$O$2712&gt;=MIN(DATE(Summary!$C$12,1,1),Summary!$C$11))*('Dvd Calendar'!$O$2712&lt;=MAX(DATE(Summary!$C$12,12,31),Summary!$C$15))*('Dvd Calendar'!$O$2712&gt;Summary!$C$11)=0,"",'Dvd Calendar'!$O$2712*1000000000+ISNUMBER('Dvd Calendar'!$O$2713)*100000000+('Dvd Calendar'!$O$2717='Field Check'!$C$25)*10000000+(N('Dvd Calendar'!$O$2711)&gt;0)*1000000+40*1000+51))</f>
        <v/>
      </c>
      <c r="BB196" s="41">
        <f>IF(N('Dvd Calendar'!$P$2712)=0,"",IF(('Dvd Calendar'!$P$2712&gt;=MIN(DATE(Summary!$C$12,1,1),Summary!$C$11))*('Dvd Calendar'!$P$2712&lt;=MAX(DATE(Summary!$C$12,12,31),Summary!$C$15))*('Dvd Calendar'!$P$2712&gt;Summary!$C$11)=0,"",'Dvd Calendar'!$P$2712*1000000000+ISNUMBER('Dvd Calendar'!$P$2713)*100000000+('Dvd Calendar'!$P$2717='Field Check'!$C$25)*10000000+(N('Dvd Calendar'!$P$2711)&gt;0)*1000000+40*1000+52))</f>
        <v/>
      </c>
      <c r="BC196" s="41">
        <f>IF(N('Dvd Calendar'!$Q$2712)=0,"",IF(('Dvd Calendar'!$Q$2712&gt;=MIN(DATE(Summary!$C$12,1,1),Summary!$C$11))*('Dvd Calendar'!$Q$2712&lt;=MAX(DATE(Summary!$C$12,12,31),Summary!$C$15))*('Dvd Calendar'!$Q$2712&gt;Summary!$C$11)=0,"",'Dvd Calendar'!$Q$2712*1000000000+ISNUMBER('Dvd Calendar'!$Q$2713)*100000000+('Dvd Calendar'!$Q$2717='Field Check'!$C$25)*10000000+(N('Dvd Calendar'!$Q$2711)&gt;0)*1000000+40*1000+53))</f>
        <v/>
      </c>
      <c r="BD196" s="41">
        <f>IF(N('Dvd Calendar'!$R$2712)=0,"",IF(('Dvd Calendar'!$R$2712&gt;=MIN(DATE(Summary!$C$12,1,1),Summary!$C$11))*('Dvd Calendar'!$R$2712&lt;=MAX(DATE(Summary!$C$12,12,31),Summary!$C$15))*('Dvd Calendar'!$R$2712&gt;Summary!$C$11)=0,"",'Dvd Calendar'!$R$2712*1000000000+ISNUMBER('Dvd Calendar'!$R$2713)*100000000+('Dvd Calendar'!$R$2717='Field Check'!$C$25)*10000000+(N('Dvd Calendar'!$R$2711)&gt;0)*1000000+40*1000+54))</f>
        <v/>
      </c>
      <c r="BE196" s="41">
        <f>IF(N('Dvd Calendar'!$S$2712)=0,"",IF(('Dvd Calendar'!$S$2712&gt;=MIN(DATE(Summary!$C$12,1,1),Summary!$C$11))*('Dvd Calendar'!$S$2712&lt;=MAX(DATE(Summary!$C$12,12,31),Summary!$C$15))*('Dvd Calendar'!$S$2712&gt;Summary!$C$11)=0,"",'Dvd Calendar'!$S$2712*1000000000+ISNUMBER('Dvd Calendar'!$S$2713)*100000000+('Dvd Calendar'!$S$2717='Field Check'!$C$25)*10000000+(N('Dvd Calendar'!$S$2711)&gt;0)*1000000+40*1000+55))</f>
        <v/>
      </c>
      <c r="BF196" s="41">
        <f>IF(N('Dvd Calendar'!$T$2712)=0,"",IF(('Dvd Calendar'!$T$2712&gt;=MIN(DATE(Summary!$C$12,1,1),Summary!$C$11))*('Dvd Calendar'!$T$2712&lt;=MAX(DATE(Summary!$C$12,12,31),Summary!$C$15))*('Dvd Calendar'!$T$2712&gt;Summary!$C$11)=0,"",'Dvd Calendar'!$T$2712*1000000000+ISNUMBER('Dvd Calendar'!$T$2713)*100000000+('Dvd Calendar'!$T$2717='Field Check'!$C$25)*10000000+(N('Dvd Calendar'!$T$2711)&gt;0)*1000000+40*1000+56))</f>
        <v/>
      </c>
      <c r="BG196" s="41">
        <f>IF(N('Dvd Calendar'!$U$2712)=0,"",IF(('Dvd Calendar'!$U$2712&gt;=MIN(DATE(Summary!$C$12,1,1),Summary!$C$11))*('Dvd Calendar'!$U$2712&lt;=MAX(DATE(Summary!$C$12,12,31),Summary!$C$15))*('Dvd Calendar'!$U$2712&gt;Summary!$C$11)=0,"",'Dvd Calendar'!$U$2712*1000000000+ISNUMBER('Dvd Calendar'!$U$2713)*100000000+('Dvd Calendar'!$U$2717='Field Check'!$C$25)*10000000+(N('Dvd Calendar'!$U$2711)&gt;0)*1000000+40*1000+57))</f>
        <v/>
      </c>
      <c r="BH196" s="41">
        <f>IF(N('Dvd Calendar'!$V$2712)=0,"",IF(('Dvd Calendar'!$V$2712&gt;=MIN(DATE(Summary!$C$12,1,1),Summary!$C$11))*('Dvd Calendar'!$V$2712&lt;=MAX(DATE(Summary!$C$12,12,31),Summary!$C$15))*('Dvd Calendar'!$V$2712&gt;Summary!$C$11)=0,"",'Dvd Calendar'!$V$2712*1000000000+ISNUMBER('Dvd Calendar'!$V$2713)*100000000+('Dvd Calendar'!$V$2717='Field Check'!$C$25)*10000000+(N('Dvd Calendar'!$V$2711)&gt;0)*1000000+40*1000+58))</f>
        <v/>
      </c>
      <c r="BI196" s="41">
        <f>IF(N('Dvd Calendar'!$W$2712)=0,"",IF(('Dvd Calendar'!$W$2712&gt;=MIN(DATE(Summary!$C$12,1,1),Summary!$C$11))*('Dvd Calendar'!$W$2712&lt;=MAX(DATE(Summary!$C$12,12,31),Summary!$C$15))*('Dvd Calendar'!$W$2712&gt;Summary!$C$11)=0,"",'Dvd Calendar'!$W$2712*1000000000+ISNUMBER('Dvd Calendar'!$W$2713)*100000000+('Dvd Calendar'!$W$2717='Field Check'!$C$25)*10000000+(N('Dvd Calendar'!$W$2711)&gt;0)*1000000+40*1000+59))</f>
        <v/>
      </c>
      <c r="BJ196" s="41">
        <f>IF(N('Dvd Calendar'!$X$2712)=0,"",IF(('Dvd Calendar'!$X$2712&gt;=MIN(DATE(Summary!$C$12,1,1),Summary!$C$11))*('Dvd Calendar'!$X$2712&lt;=MAX(DATE(Summary!$C$12,12,31),Summary!$C$15))*('Dvd Calendar'!$X$2712&gt;Summary!$C$11)=0,"",'Dvd Calendar'!$X$2712*1000000000+ISNUMBER('Dvd Calendar'!$X$2713)*100000000+('Dvd Calendar'!$X$2717='Field Check'!$C$25)*10000000+(N('Dvd Calendar'!$X$2711)&gt;0)*1000000+40*1000+60))</f>
        <v/>
      </c>
      <c r="BK196" s="41">
        <f>IF(N('Dvd Calendar'!$Y$2712)=0,"",IF(('Dvd Calendar'!$Y$2712&gt;=MIN(DATE(Summary!$C$12,1,1),Summary!$C$11))*('Dvd Calendar'!$Y$2712&lt;=MAX(DATE(Summary!$C$12,12,31),Summary!$C$15))*('Dvd Calendar'!$Y$2712&gt;Summary!$C$11)=0,"",'Dvd Calendar'!$Y$2712*1000000000+ISNUMBER('Dvd Calendar'!$Y$2713)*100000000+('Dvd Calendar'!$Y$2717='Field Check'!$C$25)*10000000+(N('Dvd Calendar'!$Y$2711)&gt;0)*1000000+40*1000+61))</f>
        <v/>
      </c>
      <c r="BL196" s="41">
        <f>IF(N('Dvd Calendar'!$Z$2712)=0,"",IF(('Dvd Calendar'!$Z$2712&gt;=MIN(DATE(Summary!$C$12,1,1),Summary!$C$11))*('Dvd Calendar'!$Z$2712&lt;=MAX(DATE(Summary!$C$12,12,31),Summary!$C$15))*('Dvd Calendar'!$Z$2712&gt;Summary!$C$11)=0,"",'Dvd Calendar'!$Z$2712*1000000000+ISNUMBER('Dvd Calendar'!$Z$2713)*100000000+('Dvd Calendar'!$Z$2717='Field Check'!$C$25)*10000000+(N('Dvd Calendar'!$Z$2711)&gt;0)*1000000+40*1000+62))</f>
        <v/>
      </c>
      <c r="BM196" s="41">
        <f>IF(N('Dvd Calendar'!$AA$2712)=0,"",IF(('Dvd Calendar'!$AA$2712&gt;=MIN(DATE(Summary!$C$12,1,1),Summary!$C$11))*('Dvd Calendar'!$AA$2712&lt;=MAX(DATE(Summary!$C$12,12,31),Summary!$C$15))*('Dvd Calendar'!$AA$2712&gt;Summary!$C$11)=0,"",'Dvd Calendar'!$AA$2712*1000000000+ISNUMBER('Dvd Calendar'!$AA$2713)*100000000+('Dvd Calendar'!$AA$2717='Field Check'!$C$25)*10000000+(N('Dvd Calendar'!$AA$2711)&gt;0)*1000000+40*1000+63))</f>
        <v/>
      </c>
      <c r="BN196" s="41">
        <f>IF(N('Dvd Calendar'!$AB$2712)=0,"",IF(('Dvd Calendar'!$AB$2712&gt;=MIN(DATE(Summary!$C$12,1,1),Summary!$C$11))*('Dvd Calendar'!$AB$2712&lt;=MAX(DATE(Summary!$C$12,12,31),Summary!$C$15))*('Dvd Calendar'!$AB$2712&gt;Summary!$C$11)=0,"",'Dvd Calendar'!$AB$2712*1000000000+ISNUMBER('Dvd Calendar'!$AB$2713)*100000000+('Dvd Calendar'!$AB$2717='Field Check'!$C$25)*10000000+(N('Dvd Calendar'!$AB$2711)&gt;0)*1000000+40*1000+64))</f>
        <v/>
      </c>
      <c r="BO196" s="41">
        <f>IF(N('Dvd Calendar'!$AC$2712)=0,"",IF(('Dvd Calendar'!$AC$2712&gt;=MIN(DATE(Summary!$C$12,1,1),Summary!$C$11))*('Dvd Calendar'!$AC$2712&lt;=MAX(DATE(Summary!$C$12,12,31),Summary!$C$15))*('Dvd Calendar'!$AC$2712&gt;Summary!$C$11)=0,"",'Dvd Calendar'!$AC$2712*1000000000+ISNUMBER('Dvd Calendar'!$AC$2713)*100000000+('Dvd Calendar'!$AC$2717='Field Check'!$C$25)*10000000+(N('Dvd Calendar'!$AC$2711)&gt;0)*1000000+40*1000+65))</f>
        <v/>
      </c>
      <c r="BQ196" s="85">
        <f>IF(C196="","",IF(ISNUMBER('Dvd Calendar'!$E$2706)=FALSE,"",IF((Summary!$C$13="N")*('Dvd Calendar'!$E$2710='Field Check'!$C$25)&gt;0,"",'Dvd Calendar'!$E$2706)))</f>
        <v/>
      </c>
      <c r="BR196" s="85">
        <f>IF(D196="","",IF(ISNUMBER('Dvd Calendar'!$F$2706)=FALSE,"",IF((Summary!$C$13="N")*('Dvd Calendar'!$F$2710='Field Check'!$C$25)&gt;0,"",'Dvd Calendar'!$F$2706)))</f>
        <v/>
      </c>
      <c r="BS196" s="85">
        <f>IF(E196="","",IF(ISNUMBER('Dvd Calendar'!$G$2706)=FALSE,"",IF((Summary!$C$13="N")*('Dvd Calendar'!$G$2710='Field Check'!$C$25)&gt;0,"",'Dvd Calendar'!$G$2706)))</f>
        <v/>
      </c>
      <c r="BT196" s="85">
        <f>IF(F196="","",IF(ISNUMBER('Dvd Calendar'!$H$2706)=FALSE,"",IF((Summary!$C$13="N")*('Dvd Calendar'!$H$2710='Field Check'!$C$25)&gt;0,"",'Dvd Calendar'!$H$2706)))</f>
        <v/>
      </c>
      <c r="BU196" s="85">
        <f>IF(G196="","",IF(ISNUMBER('Dvd Calendar'!$I$2706)=FALSE,"",IF((Summary!$C$13="N")*('Dvd Calendar'!$I$2710='Field Check'!$C$25)&gt;0,"",'Dvd Calendar'!$I$2706)))</f>
        <v/>
      </c>
      <c r="BV196" s="85">
        <f>IF(H196="","",IF(ISNUMBER('Dvd Calendar'!$J$2706)=FALSE,"",IF((Summary!$C$13="N")*('Dvd Calendar'!$J$2710='Field Check'!$C$25)&gt;0,"",'Dvd Calendar'!$J$2706)))</f>
        <v/>
      </c>
      <c r="BW196" s="85">
        <f>IF(I196="","",IF(ISNUMBER('Dvd Calendar'!$K$2706)=FALSE,"",IF((Summary!$C$13="N")*('Dvd Calendar'!$K$2710='Field Check'!$C$25)&gt;0,"",'Dvd Calendar'!$K$2706)))</f>
        <v/>
      </c>
      <c r="BX196" s="85">
        <f>IF(J196="","",IF(ISNUMBER('Dvd Calendar'!$L$2706)=FALSE,"",IF((Summary!$C$13="N")*('Dvd Calendar'!$L$2710='Field Check'!$C$25)&gt;0,"",'Dvd Calendar'!$L$2706)))</f>
        <v/>
      </c>
      <c r="BY196" s="85">
        <f>IF(K196="","",IF(ISNUMBER('Dvd Calendar'!$M$2706)=FALSE,"",IF((Summary!$C$13="N")*('Dvd Calendar'!$M$2710='Field Check'!$C$25)&gt;0,"",'Dvd Calendar'!$M$2706)))</f>
        <v/>
      </c>
      <c r="BZ196" s="85">
        <f>IF(L196="","",IF(ISNUMBER('Dvd Calendar'!$N$2706)=FALSE,"",IF((Summary!$C$13="N")*('Dvd Calendar'!$N$2710='Field Check'!$C$25)&gt;0,"",'Dvd Calendar'!$N$2706)))</f>
        <v/>
      </c>
      <c r="CA196" s="85">
        <f>IF(M196="","",IF(ISNUMBER('Dvd Calendar'!$O$2706)=FALSE,"",IF((Summary!$C$13="N")*('Dvd Calendar'!$O$2710='Field Check'!$C$25)&gt;0,"",'Dvd Calendar'!$O$2706)))</f>
        <v/>
      </c>
      <c r="CB196" s="85">
        <f>IF(N196="","",IF(ISNUMBER('Dvd Calendar'!$P$2706)=FALSE,"",IF((Summary!$C$13="N")*('Dvd Calendar'!$P$2710='Field Check'!$C$25)&gt;0,"",'Dvd Calendar'!$P$2706)))</f>
        <v/>
      </c>
      <c r="CC196" s="85">
        <f>IF(O196="","",IF(ISNUMBER('Dvd Calendar'!$Q$2706)=FALSE,"",IF((Summary!$C$13="N")*('Dvd Calendar'!$Q$2710='Field Check'!$C$25)&gt;0,"",'Dvd Calendar'!$Q$2706)))</f>
        <v/>
      </c>
      <c r="CD196" s="85">
        <f>IF(P196="","",IF(ISNUMBER('Dvd Calendar'!$R$2706)=FALSE,"",IF((Summary!$C$13="N")*('Dvd Calendar'!$R$2710='Field Check'!$C$25)&gt;0,"",'Dvd Calendar'!$R$2706)))</f>
        <v/>
      </c>
      <c r="CE196" s="85">
        <f>IF(Q196="","",IF(ISNUMBER('Dvd Calendar'!$S$2706)=FALSE,"",IF((Summary!$C$13="N")*('Dvd Calendar'!$S$2710='Field Check'!$C$25)&gt;0,"",'Dvd Calendar'!$S$2706)))</f>
        <v/>
      </c>
      <c r="CF196" s="85">
        <f>IF(R196="","",IF(ISNUMBER('Dvd Calendar'!$T$2706)=FALSE,"",IF((Summary!$C$13="N")*('Dvd Calendar'!$T$2710='Field Check'!$C$25)&gt;0,"",'Dvd Calendar'!$T$2706)))</f>
        <v/>
      </c>
      <c r="CG196" s="85">
        <f>IF(S196="","",IF(ISNUMBER('Dvd Calendar'!$U$2706)=FALSE,"",IF((Summary!$C$13="N")*('Dvd Calendar'!$U$2710='Field Check'!$C$25)&gt;0,"",'Dvd Calendar'!$U$2706)))</f>
        <v/>
      </c>
      <c r="CH196" s="85">
        <f>IF(T196="","",IF(ISNUMBER('Dvd Calendar'!$V$2706)=FALSE,"",IF((Summary!$C$13="N")*('Dvd Calendar'!$V$2710='Field Check'!$C$25)&gt;0,"",'Dvd Calendar'!$V$2706)))</f>
        <v/>
      </c>
      <c r="CI196" s="85">
        <f>IF(U196="","",IF(ISNUMBER('Dvd Calendar'!$W$2706)=FALSE,"",IF((Summary!$C$13="N")*('Dvd Calendar'!$W$2710='Field Check'!$C$25)&gt;0,"",'Dvd Calendar'!$W$2706)))</f>
        <v/>
      </c>
      <c r="CJ196" s="85">
        <f>IF(V196="","",IF(ISNUMBER('Dvd Calendar'!$X$2706)=FALSE,"",IF((Summary!$C$13="N")*('Dvd Calendar'!$X$2710='Field Check'!$C$25)&gt;0,"",'Dvd Calendar'!$X$2706)))</f>
        <v/>
      </c>
      <c r="CK196" s="85">
        <f>IF(W196="","",IF(ISNUMBER('Dvd Calendar'!$Y$2706)=FALSE,"",IF((Summary!$C$13="N")*('Dvd Calendar'!$Y$2710='Field Check'!$C$25)&gt;0,"",'Dvd Calendar'!$Y$2706)))</f>
        <v/>
      </c>
      <c r="CL196" s="85">
        <f>IF(X196="","",IF(ISNUMBER('Dvd Calendar'!$Z$2706)=FALSE,"",IF((Summary!$C$13="N")*('Dvd Calendar'!$Z$2710='Field Check'!$C$25)&gt;0,"",'Dvd Calendar'!$Z$2706)))</f>
        <v/>
      </c>
      <c r="CM196" s="85">
        <f>IF(Y196="","",IF(ISNUMBER('Dvd Calendar'!$AA$2706)=FALSE,"",IF((Summary!$C$13="N")*('Dvd Calendar'!$AA$2710='Field Check'!$C$25)&gt;0,"",'Dvd Calendar'!$AA$2706)))</f>
        <v/>
      </c>
      <c r="CN196" s="85">
        <f>IF(Z196="","",IF(ISNUMBER('Dvd Calendar'!$AB$2706)=FALSE,"",IF((Summary!$C$13="N")*('Dvd Calendar'!$AB$2710='Field Check'!$C$25)&gt;0,"",'Dvd Calendar'!$AB$2706)))</f>
        <v/>
      </c>
      <c r="CO196" s="85">
        <f>IF(AA196="","",IF(ISNUMBER('Dvd Calendar'!$AC$2706)=FALSE,"",IF((Summary!$C$13="N")*('Dvd Calendar'!$AC$2710='Field Check'!$C$25)&gt;0,"",'Dvd Calendar'!$AC$2706)))</f>
        <v/>
      </c>
      <c r="CP196" s="85">
        <f>IF(AB196="","",IF(ISNUMBER('Dvd Calendar'!$AD$2706)=FALSE,"",IF((Summary!$C$13="N")*('Dvd Calendar'!$AD$2710='Field Check'!$C$25)&gt;0,"",'Dvd Calendar'!$AD$2706)))</f>
        <v/>
      </c>
      <c r="CQ196" s="85">
        <f>IF(AC196="","",IF(ISNUMBER('Dvd Calendar'!$AE$2706)=FALSE,"",IF((Summary!$C$13="N")*('Dvd Calendar'!$AE$2710='Field Check'!$C$25)&gt;0,"",'Dvd Calendar'!$AE$2706)))</f>
        <v/>
      </c>
      <c r="CR196" s="85">
        <f>IF(AD196="","",IF(ISNUMBER('Dvd Calendar'!$AF$2706)=FALSE,"",IF((Summary!$C$13="N")*('Dvd Calendar'!$AF$2710='Field Check'!$C$25)&gt;0,"",'Dvd Calendar'!$AF$2706)))</f>
        <v/>
      </c>
      <c r="CS196" s="85">
        <f>IF(AE196="","",IF(ISNUMBER('Dvd Calendar'!$AG$2706)=FALSE,"",IF((Summary!$C$13="N")*('Dvd Calendar'!$AG$2710='Field Check'!$C$25)&gt;0,"",'Dvd Calendar'!$AG$2706)))</f>
        <v/>
      </c>
      <c r="CT196" s="85">
        <f>IF(AF196="","",IF(ISNUMBER('Dvd Calendar'!$AH$2706)=FALSE,"",IF((Summary!$C$13="N")*('Dvd Calendar'!$AH$2710='Field Check'!$C$25)&gt;0,"",'Dvd Calendar'!$AH$2706)))</f>
        <v/>
      </c>
      <c r="CU196" s="85">
        <f>IF(AG196="","",IF(ISNUMBER('Dvd Calendar'!$AI$2706)=FALSE,"",IF((Summary!$C$13="N")*('Dvd Calendar'!$AI$2710='Field Check'!$C$25)&gt;0,"",'Dvd Calendar'!$AI$2706)))</f>
        <v/>
      </c>
      <c r="CV196" s="85">
        <f>IF(AH196="","",IF(ISNUMBER('Dvd Calendar'!$AJ$2706)=FALSE,"",IF((Summary!$C$13="N")*('Dvd Calendar'!$AJ$2710='Field Check'!$C$25)&gt;0,"",'Dvd Calendar'!$AJ$2706)))</f>
        <v/>
      </c>
      <c r="CW196" s="85">
        <f>IF(AI196="","",IF(ISNUMBER('Dvd Calendar'!$AK$2706)=FALSE,"",IF((Summary!$C$13="N")*('Dvd Calendar'!$AK$2710='Field Check'!$C$25)&gt;0,"",'Dvd Calendar'!$AK$2706)))</f>
        <v/>
      </c>
      <c r="CX196" s="85">
        <f>IF(AJ196="","",IF(ISNUMBER('Dvd Calendar'!$AL$2706)=FALSE,"",IF((Summary!$C$13="N")*('Dvd Calendar'!$AL$2710='Field Check'!$C$25)&gt;0,"",'Dvd Calendar'!$AL$2706)))</f>
        <v/>
      </c>
      <c r="CY196" s="85">
        <f>IF(AK196="","",IF(ISNUMBER('Dvd Calendar'!$AM$2706)=FALSE,"",IF((Summary!$C$13="N")*('Dvd Calendar'!$AM$2710='Field Check'!$C$25)&gt;0,"",'Dvd Calendar'!$AM$2706)))</f>
        <v/>
      </c>
      <c r="CZ196" s="85">
        <f>IF(AL196="","",IF(ISNUMBER('Dvd Calendar'!$AN$2706)=FALSE,"",IF((Summary!$C$13="N")*('Dvd Calendar'!$AN$2710='Field Check'!$C$25)&gt;0,"",'Dvd Calendar'!$AN$2706)))</f>
        <v/>
      </c>
      <c r="DA196" s="85">
        <f>IF(AM196="","",IF(ISNUMBER('Dvd Calendar'!$AO$2706)=FALSE,"",IF((Summary!$C$13="N")*('Dvd Calendar'!$AO$2710='Field Check'!$C$25)&gt;0,"",'Dvd Calendar'!$AO$2706)))</f>
        <v/>
      </c>
      <c r="DB196" s="85">
        <f>IF(AN196="","",IF(ISNUMBER('Dvd Calendar'!$AP$2706)=FALSE,"",IF((Summary!$C$13="N")*('Dvd Calendar'!$AP$2710='Field Check'!$C$25)&gt;0,"",'Dvd Calendar'!$AP$2706)))</f>
        <v/>
      </c>
      <c r="DC196" s="85">
        <f>IF(AO196="","",IF(ISNUMBER('Dvd Calendar'!$AQ$2706)=FALSE,"",IF((Summary!$C$13="N")*('Dvd Calendar'!$AQ$2710='Field Check'!$C$25)&gt;0,"",'Dvd Calendar'!$AQ$2706)))</f>
        <v/>
      </c>
      <c r="DD196" s="85">
        <f>IF(AP196="","",IF(ISNUMBER('Dvd Calendar'!$AR$2706)=FALSE,"",IF((Summary!$C$13="N")*('Dvd Calendar'!$AR$2710='Field Check'!$C$25)&gt;0,"",'Dvd Calendar'!$AR$2706)))</f>
        <v/>
      </c>
      <c r="DE196" s="85">
        <f>IF(AQ196="","",IF(ISNUMBER('Dvd Calendar'!$E$2713)=FALSE,"",IF((Summary!$C$13="N")*('Dvd Calendar'!$E$2717='Field Check'!$C$25)&gt;0,"",'Dvd Calendar'!$E$2713)))</f>
        <v/>
      </c>
      <c r="DF196" s="85">
        <f>IF(AR196="","",IF(ISNUMBER('Dvd Calendar'!$F$2713)=FALSE,"",IF((Summary!$C$13="N")*('Dvd Calendar'!$F$2717='Field Check'!$C$25)&gt;0,"",'Dvd Calendar'!$F$2713)))</f>
        <v/>
      </c>
      <c r="DG196" s="85">
        <f>IF(AS196="","",IF(ISNUMBER('Dvd Calendar'!$G$2713)=FALSE,"",IF((Summary!$C$13="N")*('Dvd Calendar'!$G$2717='Field Check'!$C$25)&gt;0,"",'Dvd Calendar'!$G$2713)))</f>
        <v/>
      </c>
      <c r="DH196" s="85">
        <f>IF(AT196="","",IF(ISNUMBER('Dvd Calendar'!$H$2713)=FALSE,"",IF((Summary!$C$13="N")*('Dvd Calendar'!$H$2717='Field Check'!$C$25)&gt;0,"",'Dvd Calendar'!$H$2713)))</f>
        <v/>
      </c>
      <c r="DI196" s="85">
        <f>IF(AU196="","",IF(ISNUMBER('Dvd Calendar'!$I$2713)=FALSE,"",IF((Summary!$C$13="N")*('Dvd Calendar'!$I$2717='Field Check'!$C$25)&gt;0,"",'Dvd Calendar'!$I$2713)))</f>
        <v/>
      </c>
      <c r="DJ196" s="85">
        <f>IF(AV196="","",IF(ISNUMBER('Dvd Calendar'!$J$2713)=FALSE,"",IF((Summary!$C$13="N")*('Dvd Calendar'!$J$2717='Field Check'!$C$25)&gt;0,"",'Dvd Calendar'!$J$2713)))</f>
        <v/>
      </c>
      <c r="DK196" s="85">
        <f>IF(AW196="","",IF(ISNUMBER('Dvd Calendar'!$K$2713)=FALSE,"",IF((Summary!$C$13="N")*('Dvd Calendar'!$K$2717='Field Check'!$C$25)&gt;0,"",'Dvd Calendar'!$K$2713)))</f>
        <v/>
      </c>
      <c r="DL196" s="85">
        <f>IF(AX196="","",IF(ISNUMBER('Dvd Calendar'!$L$2713)=FALSE,"",IF((Summary!$C$13="N")*('Dvd Calendar'!$L$2717='Field Check'!$C$25)&gt;0,"",'Dvd Calendar'!$L$2713)))</f>
        <v/>
      </c>
      <c r="DM196" s="85">
        <f>IF(AY196="","",IF(ISNUMBER('Dvd Calendar'!$M$2713)=FALSE,"",IF((Summary!$C$13="N")*('Dvd Calendar'!$M$2717='Field Check'!$C$25)&gt;0,"",'Dvd Calendar'!$M$2713)))</f>
        <v/>
      </c>
      <c r="DN196" s="85">
        <f>IF(AZ196="","",IF(ISNUMBER('Dvd Calendar'!$N$2713)=FALSE,"",IF((Summary!$C$13="N")*('Dvd Calendar'!$N$2717='Field Check'!$C$25)&gt;0,"",'Dvd Calendar'!$N$2713)))</f>
        <v/>
      </c>
      <c r="DO196" s="85">
        <f>IF(BA196="","",IF(ISNUMBER('Dvd Calendar'!$O$2713)=FALSE,"",IF((Summary!$C$13="N")*('Dvd Calendar'!$O$2717='Field Check'!$C$25)&gt;0,"",'Dvd Calendar'!$O$2713)))</f>
        <v/>
      </c>
      <c r="DP196" s="85">
        <f>IF(BB196="","",IF(ISNUMBER('Dvd Calendar'!$P$2713)=FALSE,"",IF((Summary!$C$13="N")*('Dvd Calendar'!$P$2717='Field Check'!$C$25)&gt;0,"",'Dvd Calendar'!$P$2713)))</f>
        <v/>
      </c>
      <c r="DQ196" s="85">
        <f>IF(BC196="","",IF(ISNUMBER('Dvd Calendar'!$Q$2713)=FALSE,"",IF((Summary!$C$13="N")*('Dvd Calendar'!$Q$2717='Field Check'!$C$25)&gt;0,"",'Dvd Calendar'!$Q$2713)))</f>
        <v/>
      </c>
      <c r="DR196" s="85">
        <f>IF(BD196="","",IF(ISNUMBER('Dvd Calendar'!$R$2713)=FALSE,"",IF((Summary!$C$13="N")*('Dvd Calendar'!$R$2717='Field Check'!$C$25)&gt;0,"",'Dvd Calendar'!$R$2713)))</f>
        <v/>
      </c>
      <c r="DS196" s="85">
        <f>IF(BE196="","",IF(ISNUMBER('Dvd Calendar'!$S$2713)=FALSE,"",IF((Summary!$C$13="N")*('Dvd Calendar'!$S$2717='Field Check'!$C$25)&gt;0,"",'Dvd Calendar'!$S$2713)))</f>
        <v/>
      </c>
      <c r="DT196" s="85">
        <f>IF(BF196="","",IF(ISNUMBER('Dvd Calendar'!$T$2713)=FALSE,"",IF((Summary!$C$13="N")*('Dvd Calendar'!$T$2717='Field Check'!$C$25)&gt;0,"",'Dvd Calendar'!$T$2713)))</f>
        <v/>
      </c>
      <c r="DU196" s="85">
        <f>IF(BG196="","",IF(ISNUMBER('Dvd Calendar'!$U$2713)=FALSE,"",IF((Summary!$C$13="N")*('Dvd Calendar'!$U$2717='Field Check'!$C$25)&gt;0,"",'Dvd Calendar'!$U$2713)))</f>
        <v/>
      </c>
      <c r="DV196" s="85">
        <f>IF(BH196="","",IF(ISNUMBER('Dvd Calendar'!$V$2713)=FALSE,"",IF((Summary!$C$13="N")*('Dvd Calendar'!$V$2717='Field Check'!$C$25)&gt;0,"",'Dvd Calendar'!$V$2713)))</f>
        <v/>
      </c>
      <c r="DW196" s="85">
        <f>IF(BI196="","",IF(ISNUMBER('Dvd Calendar'!$W$2713)=FALSE,"",IF((Summary!$C$13="N")*('Dvd Calendar'!$W$2717='Field Check'!$C$25)&gt;0,"",'Dvd Calendar'!$W$2713)))</f>
        <v/>
      </c>
      <c r="DX196" s="85">
        <f>IF(BJ196="","",IF(ISNUMBER('Dvd Calendar'!$X$2713)=FALSE,"",IF((Summary!$C$13="N")*('Dvd Calendar'!$X$2717='Field Check'!$C$25)&gt;0,"",'Dvd Calendar'!$X$2713)))</f>
        <v/>
      </c>
      <c r="DY196" s="85">
        <f>IF(BK196="","",IF(ISNUMBER('Dvd Calendar'!$Y$2713)=FALSE,"",IF((Summary!$C$13="N")*('Dvd Calendar'!$Y$2717='Field Check'!$C$25)&gt;0,"",'Dvd Calendar'!$Y$2713)))</f>
        <v/>
      </c>
      <c r="DZ196" s="85">
        <f>IF(BL196="","",IF(ISNUMBER('Dvd Calendar'!$Z$2713)=FALSE,"",IF((Summary!$C$13="N")*('Dvd Calendar'!$Z$2717='Field Check'!$C$25)&gt;0,"",'Dvd Calendar'!$Z$2713)))</f>
        <v/>
      </c>
      <c r="EA196" s="85">
        <f>IF(BM196="","",IF(ISNUMBER('Dvd Calendar'!$AA$2713)=FALSE,"",IF((Summary!$C$13="N")*('Dvd Calendar'!$AA$2717='Field Check'!$C$25)&gt;0,"",'Dvd Calendar'!$AA$2713)))</f>
        <v/>
      </c>
      <c r="EB196" s="85">
        <f>IF(BN196="","",IF(ISNUMBER('Dvd Calendar'!$AB$2713)=FALSE,"",IF((Summary!$C$13="N")*('Dvd Calendar'!$AB$2717='Field Check'!$C$25)&gt;0,"",'Dvd Calendar'!$AB$2713)))</f>
        <v/>
      </c>
      <c r="EC196" s="85">
        <f>IF(BO196="","",IF(ISNUMBER('Dvd Calendar'!$AC$2713)=FALSE,"",IF((Summary!$C$13="N")*('Dvd Calendar'!$AC$2717='Field Check'!$C$25)&gt;0,"",'Dvd Calendar'!$AC$2713)))</f>
        <v/>
      </c>
      <c r="EE196" s="85">
        <f>IF(BQ196="","",IFERROR(BQ196*HSCEI!$B$46*HSCEI!$G$46/HSCEI!$B$3,""))</f>
        <v/>
      </c>
      <c r="EF196" s="85">
        <f>IF(BR196="","",IFERROR(BR196*HSCEI!$B$46*HSCEI!$G$46/HSCEI!$B$3,""))</f>
        <v/>
      </c>
      <c r="EG196" s="85">
        <f>IF(BS196="","",IFERROR(BS196*HSCEI!$B$46*HSCEI!$G$46/HSCEI!$B$3,""))</f>
        <v/>
      </c>
      <c r="EH196" s="85">
        <f>IF(BT196="","",IFERROR(BT196*HSCEI!$B$46*HSCEI!$G$46/HSCEI!$B$3,""))</f>
        <v/>
      </c>
      <c r="EI196" s="85">
        <f>IF(BU196="","",IFERROR(BU196*HSCEI!$B$46*HSCEI!$G$46/HSCEI!$B$3,""))</f>
        <v/>
      </c>
      <c r="EJ196" s="85">
        <f>IF(BV196="","",IFERROR(BV196*HSCEI!$B$46*HSCEI!$G$46/HSCEI!$B$3,""))</f>
        <v/>
      </c>
      <c r="EK196" s="85">
        <f>IF(BW196="","",IFERROR(BW196*HSCEI!$B$46*HSCEI!$G$46/HSCEI!$B$3,""))</f>
        <v/>
      </c>
      <c r="EL196" s="85">
        <f>IF(BX196="","",IFERROR(BX196*HSCEI!$B$46*HSCEI!$G$46/HSCEI!$B$3,""))</f>
        <v/>
      </c>
      <c r="EM196" s="85">
        <f>IF(BY196="","",IFERROR(BY196*HSCEI!$B$46*HSCEI!$G$46/HSCEI!$B$3,""))</f>
        <v/>
      </c>
      <c r="EN196" s="85">
        <f>IF(BZ196="","",IFERROR(BZ196*HSCEI!$B$46*HSCEI!$G$46/HSCEI!$B$3,""))</f>
        <v/>
      </c>
      <c r="EO196" s="85">
        <f>IF(CA196="","",IFERROR(CA196*HSCEI!$B$46*HSCEI!$G$46/HSCEI!$B$3,""))</f>
        <v/>
      </c>
      <c r="EP196" s="85">
        <f>IF(CB196="","",IFERROR(CB196*HSCEI!$B$46*HSCEI!$G$46/HSCEI!$B$3,""))</f>
        <v/>
      </c>
      <c r="EQ196" s="85">
        <f>IF(CC196="","",IFERROR(CC196*HSCEI!$B$46*HSCEI!$G$46/HSCEI!$B$3,""))</f>
        <v/>
      </c>
      <c r="ER196" s="85">
        <f>IF(CD196="","",IFERROR(CD196*HSCEI!$B$46*HSCEI!$G$46/HSCEI!$B$3,""))</f>
        <v/>
      </c>
      <c r="ES196" s="85">
        <f>IF(CE196="","",IFERROR(CE196*HSCEI!$B$46*HSCEI!$G$46/HSCEI!$B$3,""))</f>
        <v/>
      </c>
      <c r="ET196" s="85">
        <f>IF(CF196="","",IFERROR(CF196*HSCEI!$B$46*HSCEI!$G$46/HSCEI!$B$3,""))</f>
        <v/>
      </c>
      <c r="EU196" s="85">
        <f>IF(CG196="","",IFERROR(CG196*HSCEI!$B$46*HSCEI!$G$46/HSCEI!$B$3,""))</f>
        <v/>
      </c>
      <c r="EV196" s="85">
        <f>IF(CH196="","",IFERROR(CH196*HSCEI!$B$46*HSCEI!$G$46/HSCEI!$B$3,""))</f>
        <v/>
      </c>
      <c r="EW196" s="85">
        <f>IF(CI196="","",IFERROR(CI196*HSCEI!$B$46*HSCEI!$G$46/HSCEI!$B$3,""))</f>
        <v/>
      </c>
      <c r="EX196" s="85">
        <f>IF(CJ196="","",IFERROR(CJ196*HSCEI!$B$46*HSCEI!$G$46/HSCEI!$B$3,""))</f>
        <v/>
      </c>
      <c r="EY196" s="85">
        <f>IF(CK196="","",IFERROR(CK196*HSCEI!$B$46*HSCEI!$G$46/HSCEI!$B$3,""))</f>
        <v/>
      </c>
      <c r="EZ196" s="85">
        <f>IF(CL196="","",IFERROR(CL196*HSCEI!$B$46*HSCEI!$G$46/HSCEI!$B$3,""))</f>
        <v/>
      </c>
      <c r="FA196" s="85">
        <f>IF(CM196="","",IFERROR(CM196*HSCEI!$B$46*HSCEI!$G$46/HSCEI!$B$3,""))</f>
        <v/>
      </c>
      <c r="FB196" s="85">
        <f>IF(CN196="","",IFERROR(CN196*HSCEI!$B$46*HSCEI!$G$46/HSCEI!$B$3,""))</f>
        <v/>
      </c>
      <c r="FC196" s="85">
        <f>IF(CO196="","",IFERROR(CO196*HSCEI!$B$46*HSCEI!$G$46/HSCEI!$B$3,""))</f>
        <v/>
      </c>
      <c r="FD196" s="85">
        <f>IF(CP196="","",IFERROR(CP196*HSCEI!$B$46*HSCEI!$G$46/HSCEI!$B$3,""))</f>
        <v/>
      </c>
      <c r="FE196" s="85">
        <f>IF(CQ196="","",IFERROR(CQ196*HSCEI!$B$46*HSCEI!$G$46/HSCEI!$B$3,""))</f>
        <v/>
      </c>
      <c r="FF196" s="85">
        <f>IF(CR196="","",IFERROR(CR196*HSCEI!$B$46*HSCEI!$G$46/HSCEI!$B$3,""))</f>
        <v/>
      </c>
      <c r="FG196" s="85">
        <f>IF(CS196="","",IFERROR(CS196*HSCEI!$B$46*HSCEI!$G$46/HSCEI!$B$3,""))</f>
        <v/>
      </c>
      <c r="FH196" s="85">
        <f>IF(CT196="","",IFERROR(CT196*HSCEI!$B$46*HSCEI!$G$46/HSCEI!$B$3,""))</f>
        <v/>
      </c>
      <c r="FI196" s="85">
        <f>IF(CU196="","",IFERROR(CU196*HSCEI!$B$46*HSCEI!$G$46/HSCEI!$B$3,""))</f>
        <v/>
      </c>
      <c r="FJ196" s="85">
        <f>IF(CV196="","",IFERROR(CV196*HSCEI!$B$46*HSCEI!$G$46/HSCEI!$B$3,""))</f>
        <v/>
      </c>
      <c r="FK196" s="85">
        <f>IF(CW196="","",IFERROR(CW196*HSCEI!$B$46*HSCEI!$G$46/HSCEI!$B$3,""))</f>
        <v/>
      </c>
      <c r="FL196" s="85">
        <f>IF(CX196="","",IFERROR(CX196*HSCEI!$B$46*HSCEI!$G$46/HSCEI!$B$3,""))</f>
        <v/>
      </c>
      <c r="FM196" s="85">
        <f>IF(CY196="","",IFERROR(CY196*HSCEI!$B$46*HSCEI!$G$46/HSCEI!$B$3,""))</f>
        <v/>
      </c>
      <c r="FN196" s="85">
        <f>IF(CZ196="","",IFERROR(CZ196*HSCEI!$B$46*HSCEI!$G$46/HSCEI!$B$3,""))</f>
        <v/>
      </c>
      <c r="FO196" s="85">
        <f>IF(DA196="","",IFERROR(DA196*HSCEI!$B$46*HSCEI!$G$46/HSCEI!$B$3,""))</f>
        <v/>
      </c>
      <c r="FP196" s="85">
        <f>IF(DB196="","",IFERROR(DB196*HSCEI!$B$46*HSCEI!$G$46/HSCEI!$B$3,""))</f>
        <v/>
      </c>
      <c r="FQ196" s="85">
        <f>IF(DC196="","",IFERROR(DC196*HSCEI!$B$46*HSCEI!$G$46/HSCEI!$B$3,""))</f>
        <v/>
      </c>
      <c r="FR196" s="85">
        <f>IF(DD196="","",IFERROR(DD196*HSCEI!$B$46*HSCEI!$G$46/HSCEI!$B$3,""))</f>
        <v/>
      </c>
      <c r="FS196" s="85">
        <f>IF(DE196="","",IFERROR(DE196*HSCEI!$B$46*HSCEI!$G$46/HSCEI!$B$3,""))</f>
        <v/>
      </c>
      <c r="FT196" s="85">
        <f>IF(DF196="","",IFERROR(DF196*HSCEI!$B$46*HSCEI!$G$46/HSCEI!$B$3,""))</f>
        <v/>
      </c>
      <c r="FU196" s="85">
        <f>IF(DG196="","",IFERROR(DG196*HSCEI!$B$46*HSCEI!$G$46/HSCEI!$B$3,""))</f>
        <v/>
      </c>
      <c r="FV196" s="85">
        <f>IF(DH196="","",IFERROR(DH196*HSCEI!$B$46*HSCEI!$G$46/HSCEI!$B$3,""))</f>
        <v/>
      </c>
      <c r="FW196" s="85">
        <f>IF(DI196="","",IFERROR(DI196*HSCEI!$B$46*HSCEI!$G$46/HSCEI!$B$3,""))</f>
        <v/>
      </c>
      <c r="FX196" s="85">
        <f>IF(DJ196="","",IFERROR(DJ196*HSCEI!$B$46*HSCEI!$G$46/HSCEI!$B$3,""))</f>
        <v/>
      </c>
      <c r="FY196" s="85">
        <f>IF(DK196="","",IFERROR(DK196*HSCEI!$B$46*HSCEI!$G$46/HSCEI!$B$3,""))</f>
        <v/>
      </c>
      <c r="FZ196" s="85">
        <f>IF(DL196="","",IFERROR(DL196*HSCEI!$B$46*HSCEI!$G$46/HSCEI!$B$3,""))</f>
        <v/>
      </c>
      <c r="GA196" s="85">
        <f>IF(DM196="","",IFERROR(DM196*HSCEI!$B$46*HSCEI!$G$46/HSCEI!$B$3,""))</f>
        <v/>
      </c>
      <c r="GB196" s="85">
        <f>IF(DN196="","",IFERROR(DN196*HSCEI!$B$46*HSCEI!$G$46/HSCEI!$B$3,""))</f>
        <v/>
      </c>
      <c r="GC196" s="85">
        <f>IF(DO196="","",IFERROR(DO196*HSCEI!$B$46*HSCEI!$G$46/HSCEI!$B$3,""))</f>
        <v/>
      </c>
      <c r="GD196" s="85">
        <f>IF(DP196="","",IFERROR(DP196*HSCEI!$B$46*HSCEI!$G$46/HSCEI!$B$3,""))</f>
        <v/>
      </c>
      <c r="GE196" s="85">
        <f>IF(DQ196="","",IFERROR(DQ196*HSCEI!$B$46*HSCEI!$G$46/HSCEI!$B$3,""))</f>
        <v/>
      </c>
      <c r="GF196" s="85">
        <f>IF(DR196="","",IFERROR(DR196*HSCEI!$B$46*HSCEI!$G$46/HSCEI!$B$3,""))</f>
        <v/>
      </c>
      <c r="GG196" s="85">
        <f>IF(DS196="","",IFERROR(DS196*HSCEI!$B$46*HSCEI!$G$46/HSCEI!$B$3,""))</f>
        <v/>
      </c>
      <c r="GH196" s="85">
        <f>IF(DT196="","",IFERROR(DT196*HSCEI!$B$46*HSCEI!$G$46/HSCEI!$B$3,""))</f>
        <v/>
      </c>
      <c r="GI196" s="85">
        <f>IF(DU196="","",IFERROR(DU196*HSCEI!$B$46*HSCEI!$G$46/HSCEI!$B$3,""))</f>
        <v/>
      </c>
      <c r="GJ196" s="85">
        <f>IF(DV196="","",IFERROR(DV196*HSCEI!$B$46*HSCEI!$G$46/HSCEI!$B$3,""))</f>
        <v/>
      </c>
      <c r="GK196" s="85">
        <f>IF(DW196="","",IFERROR(DW196*HSCEI!$B$46*HSCEI!$G$46/HSCEI!$B$3,""))</f>
        <v/>
      </c>
      <c r="GL196" s="85">
        <f>IF(DX196="","",IFERROR(DX196*HSCEI!$B$46*HSCEI!$G$46/HSCEI!$B$3,""))</f>
        <v/>
      </c>
      <c r="GM196" s="85">
        <f>IF(DY196="","",IFERROR(DY196*HSCEI!$B$46*HSCEI!$G$46/HSCEI!$B$3,""))</f>
        <v/>
      </c>
      <c r="GN196" s="85">
        <f>IF(DZ196="","",IFERROR(DZ196*HSCEI!$B$46*HSCEI!$G$46/HSCEI!$B$3,""))</f>
        <v/>
      </c>
      <c r="GO196" s="85">
        <f>IF(EA196="","",IFERROR(EA196*HSCEI!$B$46*HSCEI!$G$46/HSCEI!$B$3,""))</f>
        <v/>
      </c>
      <c r="GP196" s="85">
        <f>IF(EB196="","",IFERROR(EB196*HSCEI!$B$46*HSCEI!$G$46/HSCEI!$B$3,""))</f>
        <v/>
      </c>
      <c r="GQ196" s="85">
        <f>IF(EC196="","",IFERROR(EC196*HSCEI!$B$46*HSCEI!$G$46/HSCEI!$B$3,""))</f>
        <v/>
      </c>
    </row>
    <row r="197">
      <c r="B197" s="2">
        <f>IF(HSCEI!$C$47="","",HSCEI!$C$47)</f>
        <v/>
      </c>
      <c r="C197" s="41">
        <f>IF(N('Dvd Calendar'!$E$2720)=0,"",IF(('Dvd Calendar'!$E$2720&gt;=MIN(DATE(Summary!$C$12,1,1),Summary!$C$11))*('Dvd Calendar'!$E$2720&lt;=MAX(DATE(Summary!$C$12,12,31),Summary!$C$15))*('Dvd Calendar'!$E$2720&lt;=Summary!$C$11)=0,"",'Dvd Calendar'!$E$2720*1000000000+ISNUMBER('Dvd Calendar'!$E$2721)*100000000+('Dvd Calendar'!$E$2725='Field Check'!$C$25)*10000000+(N('Dvd Calendar'!$E$2719)&gt;0)*1000000+41*1000+1))</f>
        <v/>
      </c>
      <c r="D197" s="41">
        <f>IF(N('Dvd Calendar'!$F$2720)=0,"",IF(('Dvd Calendar'!$F$2720&gt;=MIN(DATE(Summary!$C$12,1,1),Summary!$C$11))*('Dvd Calendar'!$F$2720&lt;=MAX(DATE(Summary!$C$12,12,31),Summary!$C$15))*('Dvd Calendar'!$F$2720&lt;=Summary!$C$11)=0,"",'Dvd Calendar'!$F$2720*1000000000+ISNUMBER('Dvd Calendar'!$F$2721)*100000000+('Dvd Calendar'!$F$2725='Field Check'!$C$25)*10000000+(N('Dvd Calendar'!$F$2719)&gt;0)*1000000+41*1000+2))</f>
        <v/>
      </c>
      <c r="E197" s="41">
        <f>IF(N('Dvd Calendar'!$G$2720)=0,"",IF(('Dvd Calendar'!$G$2720&gt;=MIN(DATE(Summary!$C$12,1,1),Summary!$C$11))*('Dvd Calendar'!$G$2720&lt;=MAX(DATE(Summary!$C$12,12,31),Summary!$C$15))*('Dvd Calendar'!$G$2720&lt;=Summary!$C$11)=0,"",'Dvd Calendar'!$G$2720*1000000000+ISNUMBER('Dvd Calendar'!$G$2721)*100000000+('Dvd Calendar'!$G$2725='Field Check'!$C$25)*10000000+(N('Dvd Calendar'!$G$2719)&gt;0)*1000000+41*1000+3))</f>
        <v/>
      </c>
      <c r="F197" s="41">
        <f>IF(N('Dvd Calendar'!$H$2720)=0,"",IF(('Dvd Calendar'!$H$2720&gt;=MIN(DATE(Summary!$C$12,1,1),Summary!$C$11))*('Dvd Calendar'!$H$2720&lt;=MAX(DATE(Summary!$C$12,12,31),Summary!$C$15))*('Dvd Calendar'!$H$2720&lt;=Summary!$C$11)=0,"",'Dvd Calendar'!$H$2720*1000000000+ISNUMBER('Dvd Calendar'!$H$2721)*100000000+('Dvd Calendar'!$H$2725='Field Check'!$C$25)*10000000+(N('Dvd Calendar'!$H$2719)&gt;0)*1000000+41*1000+4))</f>
        <v/>
      </c>
      <c r="G197" s="41">
        <f>IF(N('Dvd Calendar'!$I$2720)=0,"",IF(('Dvd Calendar'!$I$2720&gt;=MIN(DATE(Summary!$C$12,1,1),Summary!$C$11))*('Dvd Calendar'!$I$2720&lt;=MAX(DATE(Summary!$C$12,12,31),Summary!$C$15))*('Dvd Calendar'!$I$2720&lt;=Summary!$C$11)=0,"",'Dvd Calendar'!$I$2720*1000000000+ISNUMBER('Dvd Calendar'!$I$2721)*100000000+('Dvd Calendar'!$I$2725='Field Check'!$C$25)*10000000+(N('Dvd Calendar'!$I$2719)&gt;0)*1000000+41*1000+5))</f>
        <v/>
      </c>
      <c r="H197" s="41">
        <f>IF(N('Dvd Calendar'!$J$2720)=0,"",IF(('Dvd Calendar'!$J$2720&gt;=MIN(DATE(Summary!$C$12,1,1),Summary!$C$11))*('Dvd Calendar'!$J$2720&lt;=MAX(DATE(Summary!$C$12,12,31),Summary!$C$15))*('Dvd Calendar'!$J$2720&lt;=Summary!$C$11)=0,"",'Dvd Calendar'!$J$2720*1000000000+ISNUMBER('Dvd Calendar'!$J$2721)*100000000+('Dvd Calendar'!$J$2725='Field Check'!$C$25)*10000000+(N('Dvd Calendar'!$J$2719)&gt;0)*1000000+41*1000+6))</f>
        <v/>
      </c>
      <c r="I197" s="41">
        <f>IF(N('Dvd Calendar'!$K$2720)=0,"",IF(('Dvd Calendar'!$K$2720&gt;=MIN(DATE(Summary!$C$12,1,1),Summary!$C$11))*('Dvd Calendar'!$K$2720&lt;=MAX(DATE(Summary!$C$12,12,31),Summary!$C$15))*('Dvd Calendar'!$K$2720&lt;=Summary!$C$11)=0,"",'Dvd Calendar'!$K$2720*1000000000+ISNUMBER('Dvd Calendar'!$K$2721)*100000000+('Dvd Calendar'!$K$2725='Field Check'!$C$25)*10000000+(N('Dvd Calendar'!$K$2719)&gt;0)*1000000+41*1000+7))</f>
        <v/>
      </c>
      <c r="J197" s="41">
        <f>IF(N('Dvd Calendar'!$L$2720)=0,"",IF(('Dvd Calendar'!$L$2720&gt;=MIN(DATE(Summary!$C$12,1,1),Summary!$C$11))*('Dvd Calendar'!$L$2720&lt;=MAX(DATE(Summary!$C$12,12,31),Summary!$C$15))*('Dvd Calendar'!$L$2720&lt;=Summary!$C$11)=0,"",'Dvd Calendar'!$L$2720*1000000000+ISNUMBER('Dvd Calendar'!$L$2721)*100000000+('Dvd Calendar'!$L$2725='Field Check'!$C$25)*10000000+(N('Dvd Calendar'!$L$2719)&gt;0)*1000000+41*1000+8))</f>
        <v/>
      </c>
      <c r="K197" s="41">
        <f>IF(N('Dvd Calendar'!$M$2720)=0,"",IF(('Dvd Calendar'!$M$2720&gt;=MIN(DATE(Summary!$C$12,1,1),Summary!$C$11))*('Dvd Calendar'!$M$2720&lt;=MAX(DATE(Summary!$C$12,12,31),Summary!$C$15))*('Dvd Calendar'!$M$2720&lt;=Summary!$C$11)=0,"",'Dvd Calendar'!$M$2720*1000000000+ISNUMBER('Dvd Calendar'!$M$2721)*100000000+('Dvd Calendar'!$M$2725='Field Check'!$C$25)*10000000+(N('Dvd Calendar'!$M$2719)&gt;0)*1000000+41*1000+9))</f>
        <v/>
      </c>
      <c r="L197" s="41">
        <f>IF(N('Dvd Calendar'!$N$2720)=0,"",IF(('Dvd Calendar'!$N$2720&gt;=MIN(DATE(Summary!$C$12,1,1),Summary!$C$11))*('Dvd Calendar'!$N$2720&lt;=MAX(DATE(Summary!$C$12,12,31),Summary!$C$15))*('Dvd Calendar'!$N$2720&lt;=Summary!$C$11)=0,"",'Dvd Calendar'!$N$2720*1000000000+ISNUMBER('Dvd Calendar'!$N$2721)*100000000+('Dvd Calendar'!$N$2725='Field Check'!$C$25)*10000000+(N('Dvd Calendar'!$N$2719)&gt;0)*1000000+41*1000+10))</f>
        <v/>
      </c>
      <c r="M197" s="41">
        <f>IF(N('Dvd Calendar'!$O$2720)=0,"",IF(('Dvd Calendar'!$O$2720&gt;=MIN(DATE(Summary!$C$12,1,1),Summary!$C$11))*('Dvd Calendar'!$O$2720&lt;=MAX(DATE(Summary!$C$12,12,31),Summary!$C$15))*('Dvd Calendar'!$O$2720&lt;=Summary!$C$11)=0,"",'Dvd Calendar'!$O$2720*1000000000+ISNUMBER('Dvd Calendar'!$O$2721)*100000000+('Dvd Calendar'!$O$2725='Field Check'!$C$25)*10000000+(N('Dvd Calendar'!$O$2719)&gt;0)*1000000+41*1000+11))</f>
        <v/>
      </c>
      <c r="N197" s="41">
        <f>IF(N('Dvd Calendar'!$P$2720)=0,"",IF(('Dvd Calendar'!$P$2720&gt;=MIN(DATE(Summary!$C$12,1,1),Summary!$C$11))*('Dvd Calendar'!$P$2720&lt;=MAX(DATE(Summary!$C$12,12,31),Summary!$C$15))*('Dvd Calendar'!$P$2720&lt;=Summary!$C$11)=0,"",'Dvd Calendar'!$P$2720*1000000000+ISNUMBER('Dvd Calendar'!$P$2721)*100000000+('Dvd Calendar'!$P$2725='Field Check'!$C$25)*10000000+(N('Dvd Calendar'!$P$2719)&gt;0)*1000000+41*1000+12))</f>
        <v/>
      </c>
      <c r="O197" s="41">
        <f>IF(N('Dvd Calendar'!$Q$2720)=0,"",IF(('Dvd Calendar'!$Q$2720&gt;=MIN(DATE(Summary!$C$12,1,1),Summary!$C$11))*('Dvd Calendar'!$Q$2720&lt;=MAX(DATE(Summary!$C$12,12,31),Summary!$C$15))*('Dvd Calendar'!$Q$2720&lt;=Summary!$C$11)=0,"",'Dvd Calendar'!$Q$2720*1000000000+ISNUMBER('Dvd Calendar'!$Q$2721)*100000000+('Dvd Calendar'!$Q$2725='Field Check'!$C$25)*10000000+(N('Dvd Calendar'!$Q$2719)&gt;0)*1000000+41*1000+13))</f>
        <v/>
      </c>
      <c r="P197" s="41">
        <f>IF(N('Dvd Calendar'!$R$2720)=0,"",IF(('Dvd Calendar'!$R$2720&gt;=MIN(DATE(Summary!$C$12,1,1),Summary!$C$11))*('Dvd Calendar'!$R$2720&lt;=MAX(DATE(Summary!$C$12,12,31),Summary!$C$15))*('Dvd Calendar'!$R$2720&lt;=Summary!$C$11)=0,"",'Dvd Calendar'!$R$2720*1000000000+ISNUMBER('Dvd Calendar'!$R$2721)*100000000+('Dvd Calendar'!$R$2725='Field Check'!$C$25)*10000000+(N('Dvd Calendar'!$R$2719)&gt;0)*1000000+41*1000+14))</f>
        <v/>
      </c>
      <c r="Q197" s="41">
        <f>IF(N('Dvd Calendar'!$S$2720)=0,"",IF(('Dvd Calendar'!$S$2720&gt;=MIN(DATE(Summary!$C$12,1,1),Summary!$C$11))*('Dvd Calendar'!$S$2720&lt;=MAX(DATE(Summary!$C$12,12,31),Summary!$C$15))*('Dvd Calendar'!$S$2720&lt;=Summary!$C$11)=0,"",'Dvd Calendar'!$S$2720*1000000000+ISNUMBER('Dvd Calendar'!$S$2721)*100000000+('Dvd Calendar'!$S$2725='Field Check'!$C$25)*10000000+(N('Dvd Calendar'!$S$2719)&gt;0)*1000000+41*1000+15))</f>
        <v/>
      </c>
      <c r="R197" s="41">
        <f>IF(N('Dvd Calendar'!$T$2720)=0,"",IF(('Dvd Calendar'!$T$2720&gt;=MIN(DATE(Summary!$C$12,1,1),Summary!$C$11))*('Dvd Calendar'!$T$2720&lt;=MAX(DATE(Summary!$C$12,12,31),Summary!$C$15))*('Dvd Calendar'!$T$2720&lt;=Summary!$C$11)=0,"",'Dvd Calendar'!$T$2720*1000000000+ISNUMBER('Dvd Calendar'!$T$2721)*100000000+('Dvd Calendar'!$T$2725='Field Check'!$C$25)*10000000+(N('Dvd Calendar'!$T$2719)&gt;0)*1000000+41*1000+16))</f>
        <v/>
      </c>
      <c r="S197" s="41">
        <f>IF(N('Dvd Calendar'!$U$2720)=0,"",IF(('Dvd Calendar'!$U$2720&gt;=MIN(DATE(Summary!$C$12,1,1),Summary!$C$11))*('Dvd Calendar'!$U$2720&lt;=MAX(DATE(Summary!$C$12,12,31),Summary!$C$15))*('Dvd Calendar'!$U$2720&lt;=Summary!$C$11)=0,"",'Dvd Calendar'!$U$2720*1000000000+ISNUMBER('Dvd Calendar'!$U$2721)*100000000+('Dvd Calendar'!$U$2725='Field Check'!$C$25)*10000000+(N('Dvd Calendar'!$U$2719)&gt;0)*1000000+41*1000+17))</f>
        <v/>
      </c>
      <c r="T197" s="41">
        <f>IF(N('Dvd Calendar'!$V$2720)=0,"",IF(('Dvd Calendar'!$V$2720&gt;=MIN(DATE(Summary!$C$12,1,1),Summary!$C$11))*('Dvd Calendar'!$V$2720&lt;=MAX(DATE(Summary!$C$12,12,31),Summary!$C$15))*('Dvd Calendar'!$V$2720&lt;=Summary!$C$11)=0,"",'Dvd Calendar'!$V$2720*1000000000+ISNUMBER('Dvd Calendar'!$V$2721)*100000000+('Dvd Calendar'!$V$2725='Field Check'!$C$25)*10000000+(N('Dvd Calendar'!$V$2719)&gt;0)*1000000+41*1000+18))</f>
        <v/>
      </c>
      <c r="U197" s="41">
        <f>IF(N('Dvd Calendar'!$W$2720)=0,"",IF(('Dvd Calendar'!$W$2720&gt;=MIN(DATE(Summary!$C$12,1,1),Summary!$C$11))*('Dvd Calendar'!$W$2720&lt;=MAX(DATE(Summary!$C$12,12,31),Summary!$C$15))*('Dvd Calendar'!$W$2720&lt;=Summary!$C$11)=0,"",'Dvd Calendar'!$W$2720*1000000000+ISNUMBER('Dvd Calendar'!$W$2721)*100000000+('Dvd Calendar'!$W$2725='Field Check'!$C$25)*10000000+(N('Dvd Calendar'!$W$2719)&gt;0)*1000000+41*1000+19))</f>
        <v/>
      </c>
      <c r="V197" s="41">
        <f>IF(N('Dvd Calendar'!$X$2720)=0,"",IF(('Dvd Calendar'!$X$2720&gt;=MIN(DATE(Summary!$C$12,1,1),Summary!$C$11))*('Dvd Calendar'!$X$2720&lt;=MAX(DATE(Summary!$C$12,12,31),Summary!$C$15))*('Dvd Calendar'!$X$2720&lt;=Summary!$C$11)=0,"",'Dvd Calendar'!$X$2720*1000000000+ISNUMBER('Dvd Calendar'!$X$2721)*100000000+('Dvd Calendar'!$X$2725='Field Check'!$C$25)*10000000+(N('Dvd Calendar'!$X$2719)&gt;0)*1000000+41*1000+20))</f>
        <v/>
      </c>
      <c r="W197" s="41">
        <f>IF(N('Dvd Calendar'!$Y$2720)=0,"",IF(('Dvd Calendar'!$Y$2720&gt;=MIN(DATE(Summary!$C$12,1,1),Summary!$C$11))*('Dvd Calendar'!$Y$2720&lt;=MAX(DATE(Summary!$C$12,12,31),Summary!$C$15))*('Dvd Calendar'!$Y$2720&lt;=Summary!$C$11)=0,"",'Dvd Calendar'!$Y$2720*1000000000+ISNUMBER('Dvd Calendar'!$Y$2721)*100000000+('Dvd Calendar'!$Y$2725='Field Check'!$C$25)*10000000+(N('Dvd Calendar'!$Y$2719)&gt;0)*1000000+41*1000+21))</f>
        <v/>
      </c>
      <c r="X197" s="41">
        <f>IF(N('Dvd Calendar'!$Z$2720)=0,"",IF(('Dvd Calendar'!$Z$2720&gt;=MIN(DATE(Summary!$C$12,1,1),Summary!$C$11))*('Dvd Calendar'!$Z$2720&lt;=MAX(DATE(Summary!$C$12,12,31),Summary!$C$15))*('Dvd Calendar'!$Z$2720&lt;=Summary!$C$11)=0,"",'Dvd Calendar'!$Z$2720*1000000000+ISNUMBER('Dvd Calendar'!$Z$2721)*100000000+('Dvd Calendar'!$Z$2725='Field Check'!$C$25)*10000000+(N('Dvd Calendar'!$Z$2719)&gt;0)*1000000+41*1000+22))</f>
        <v/>
      </c>
      <c r="Y197" s="41">
        <f>IF(N('Dvd Calendar'!$AA$2720)=0,"",IF(('Dvd Calendar'!$AA$2720&gt;=MIN(DATE(Summary!$C$12,1,1),Summary!$C$11))*('Dvd Calendar'!$AA$2720&lt;=MAX(DATE(Summary!$C$12,12,31),Summary!$C$15))*('Dvd Calendar'!$AA$2720&lt;=Summary!$C$11)=0,"",'Dvd Calendar'!$AA$2720*1000000000+ISNUMBER('Dvd Calendar'!$AA$2721)*100000000+('Dvd Calendar'!$AA$2725='Field Check'!$C$25)*10000000+(N('Dvd Calendar'!$AA$2719)&gt;0)*1000000+41*1000+23))</f>
        <v/>
      </c>
      <c r="Z197" s="41">
        <f>IF(N('Dvd Calendar'!$AB$2720)=0,"",IF(('Dvd Calendar'!$AB$2720&gt;=MIN(DATE(Summary!$C$12,1,1),Summary!$C$11))*('Dvd Calendar'!$AB$2720&lt;=MAX(DATE(Summary!$C$12,12,31),Summary!$C$15))*('Dvd Calendar'!$AB$2720&lt;=Summary!$C$11)=0,"",'Dvd Calendar'!$AB$2720*1000000000+ISNUMBER('Dvd Calendar'!$AB$2721)*100000000+('Dvd Calendar'!$AB$2725='Field Check'!$C$25)*10000000+(N('Dvd Calendar'!$AB$2719)&gt;0)*1000000+41*1000+24))</f>
        <v/>
      </c>
      <c r="AA197" s="41">
        <f>IF(N('Dvd Calendar'!$AC$2720)=0,"",IF(('Dvd Calendar'!$AC$2720&gt;=MIN(DATE(Summary!$C$12,1,1),Summary!$C$11))*('Dvd Calendar'!$AC$2720&lt;=MAX(DATE(Summary!$C$12,12,31),Summary!$C$15))*('Dvd Calendar'!$AC$2720&lt;=Summary!$C$11)=0,"",'Dvd Calendar'!$AC$2720*1000000000+ISNUMBER('Dvd Calendar'!$AC$2721)*100000000+('Dvd Calendar'!$AC$2725='Field Check'!$C$25)*10000000+(N('Dvd Calendar'!$AC$2719)&gt;0)*1000000+41*1000+25))</f>
        <v/>
      </c>
      <c r="AB197" s="41">
        <f>IF(N('Dvd Calendar'!$AD$2720)=0,"",IF(('Dvd Calendar'!$AD$2720&gt;=MIN(DATE(Summary!$C$12,1,1),Summary!$C$11))*('Dvd Calendar'!$AD$2720&lt;=MAX(DATE(Summary!$C$12,12,31),Summary!$C$15))*('Dvd Calendar'!$AD$2720&lt;=Summary!$C$11)=0,"",'Dvd Calendar'!$AD$2720*1000000000+ISNUMBER('Dvd Calendar'!$AD$2721)*100000000+('Dvd Calendar'!$AD$2725='Field Check'!$C$25)*10000000+(N('Dvd Calendar'!$AD$2719)&gt;0)*1000000+41*1000+26))</f>
        <v/>
      </c>
      <c r="AC197" s="41">
        <f>IF(N('Dvd Calendar'!$AE$2720)=0,"",IF(('Dvd Calendar'!$AE$2720&gt;=MIN(DATE(Summary!$C$12,1,1),Summary!$C$11))*('Dvd Calendar'!$AE$2720&lt;=MAX(DATE(Summary!$C$12,12,31),Summary!$C$15))*('Dvd Calendar'!$AE$2720&lt;=Summary!$C$11)=0,"",'Dvd Calendar'!$AE$2720*1000000000+ISNUMBER('Dvd Calendar'!$AE$2721)*100000000+('Dvd Calendar'!$AE$2725='Field Check'!$C$25)*10000000+(N('Dvd Calendar'!$AE$2719)&gt;0)*1000000+41*1000+27))</f>
        <v/>
      </c>
      <c r="AD197" s="41">
        <f>IF(N('Dvd Calendar'!$AF$2720)=0,"",IF(('Dvd Calendar'!$AF$2720&gt;=MIN(DATE(Summary!$C$12,1,1),Summary!$C$11))*('Dvd Calendar'!$AF$2720&lt;=MAX(DATE(Summary!$C$12,12,31),Summary!$C$15))*('Dvd Calendar'!$AF$2720&lt;=Summary!$C$11)=0,"",'Dvd Calendar'!$AF$2720*1000000000+ISNUMBER('Dvd Calendar'!$AF$2721)*100000000+('Dvd Calendar'!$AF$2725='Field Check'!$C$25)*10000000+(N('Dvd Calendar'!$AF$2719)&gt;0)*1000000+41*1000+28))</f>
        <v/>
      </c>
      <c r="AE197" s="41">
        <f>IF(N('Dvd Calendar'!$AG$2720)=0,"",IF(('Dvd Calendar'!$AG$2720&gt;=MIN(DATE(Summary!$C$12,1,1),Summary!$C$11))*('Dvd Calendar'!$AG$2720&lt;=MAX(DATE(Summary!$C$12,12,31),Summary!$C$15))*('Dvd Calendar'!$AG$2720&lt;=Summary!$C$11)=0,"",'Dvd Calendar'!$AG$2720*1000000000+ISNUMBER('Dvd Calendar'!$AG$2721)*100000000+('Dvd Calendar'!$AG$2725='Field Check'!$C$25)*10000000+(N('Dvd Calendar'!$AG$2719)&gt;0)*1000000+41*1000+29))</f>
        <v/>
      </c>
      <c r="AF197" s="41">
        <f>IF(N('Dvd Calendar'!$AH$2720)=0,"",IF(('Dvd Calendar'!$AH$2720&gt;=MIN(DATE(Summary!$C$12,1,1),Summary!$C$11))*('Dvd Calendar'!$AH$2720&lt;=MAX(DATE(Summary!$C$12,12,31),Summary!$C$15))*('Dvd Calendar'!$AH$2720&lt;=Summary!$C$11)=0,"",'Dvd Calendar'!$AH$2720*1000000000+ISNUMBER('Dvd Calendar'!$AH$2721)*100000000+('Dvd Calendar'!$AH$2725='Field Check'!$C$25)*10000000+(N('Dvd Calendar'!$AH$2719)&gt;0)*1000000+41*1000+30))</f>
        <v/>
      </c>
      <c r="AG197" s="41">
        <f>IF(N('Dvd Calendar'!$AI$2720)=0,"",IF(('Dvd Calendar'!$AI$2720&gt;=MIN(DATE(Summary!$C$12,1,1),Summary!$C$11))*('Dvd Calendar'!$AI$2720&lt;=MAX(DATE(Summary!$C$12,12,31),Summary!$C$15))*('Dvd Calendar'!$AI$2720&lt;=Summary!$C$11)=0,"",'Dvd Calendar'!$AI$2720*1000000000+ISNUMBER('Dvd Calendar'!$AI$2721)*100000000+('Dvd Calendar'!$AI$2725='Field Check'!$C$25)*10000000+(N('Dvd Calendar'!$AI$2719)&gt;0)*1000000+41*1000+31))</f>
        <v/>
      </c>
      <c r="AH197" s="41">
        <f>IF(N('Dvd Calendar'!$AJ$2720)=0,"",IF(('Dvd Calendar'!$AJ$2720&gt;=MIN(DATE(Summary!$C$12,1,1),Summary!$C$11))*('Dvd Calendar'!$AJ$2720&lt;=MAX(DATE(Summary!$C$12,12,31),Summary!$C$15))*('Dvd Calendar'!$AJ$2720&lt;=Summary!$C$11)=0,"",'Dvd Calendar'!$AJ$2720*1000000000+ISNUMBER('Dvd Calendar'!$AJ$2721)*100000000+('Dvd Calendar'!$AJ$2725='Field Check'!$C$25)*10000000+(N('Dvd Calendar'!$AJ$2719)&gt;0)*1000000+41*1000+32))</f>
        <v/>
      </c>
      <c r="AI197" s="41">
        <f>IF(N('Dvd Calendar'!$AK$2720)=0,"",IF(('Dvd Calendar'!$AK$2720&gt;=MIN(DATE(Summary!$C$12,1,1),Summary!$C$11))*('Dvd Calendar'!$AK$2720&lt;=MAX(DATE(Summary!$C$12,12,31),Summary!$C$15))*('Dvd Calendar'!$AK$2720&lt;=Summary!$C$11)=0,"",'Dvd Calendar'!$AK$2720*1000000000+ISNUMBER('Dvd Calendar'!$AK$2721)*100000000+('Dvd Calendar'!$AK$2725='Field Check'!$C$25)*10000000+(N('Dvd Calendar'!$AK$2719)&gt;0)*1000000+41*1000+33))</f>
        <v/>
      </c>
      <c r="AJ197" s="41">
        <f>IF(N('Dvd Calendar'!$AL$2720)=0,"",IF(('Dvd Calendar'!$AL$2720&gt;=MIN(DATE(Summary!$C$12,1,1),Summary!$C$11))*('Dvd Calendar'!$AL$2720&lt;=MAX(DATE(Summary!$C$12,12,31),Summary!$C$15))*('Dvd Calendar'!$AL$2720&lt;=Summary!$C$11)=0,"",'Dvd Calendar'!$AL$2720*1000000000+ISNUMBER('Dvd Calendar'!$AL$2721)*100000000+('Dvd Calendar'!$AL$2725='Field Check'!$C$25)*10000000+(N('Dvd Calendar'!$AL$2719)&gt;0)*1000000+41*1000+34))</f>
        <v/>
      </c>
      <c r="AK197" s="41">
        <f>IF(N('Dvd Calendar'!$AM$2720)=0,"",IF(('Dvd Calendar'!$AM$2720&gt;=MIN(DATE(Summary!$C$12,1,1),Summary!$C$11))*('Dvd Calendar'!$AM$2720&lt;=MAX(DATE(Summary!$C$12,12,31),Summary!$C$15))*('Dvd Calendar'!$AM$2720&lt;=Summary!$C$11)=0,"",'Dvd Calendar'!$AM$2720*1000000000+ISNUMBER('Dvd Calendar'!$AM$2721)*100000000+('Dvd Calendar'!$AM$2725='Field Check'!$C$25)*10000000+(N('Dvd Calendar'!$AM$2719)&gt;0)*1000000+41*1000+35))</f>
        <v/>
      </c>
      <c r="AL197" s="41">
        <f>IF(N('Dvd Calendar'!$AN$2720)=0,"",IF(('Dvd Calendar'!$AN$2720&gt;=MIN(DATE(Summary!$C$12,1,1),Summary!$C$11))*('Dvd Calendar'!$AN$2720&lt;=MAX(DATE(Summary!$C$12,12,31),Summary!$C$15))*('Dvd Calendar'!$AN$2720&lt;=Summary!$C$11)=0,"",'Dvd Calendar'!$AN$2720*1000000000+ISNUMBER('Dvd Calendar'!$AN$2721)*100000000+('Dvd Calendar'!$AN$2725='Field Check'!$C$25)*10000000+(N('Dvd Calendar'!$AN$2719)&gt;0)*1000000+41*1000+36))</f>
        <v/>
      </c>
      <c r="AM197" s="41">
        <f>IF(N('Dvd Calendar'!$AO$2720)=0,"",IF(('Dvd Calendar'!$AO$2720&gt;=MIN(DATE(Summary!$C$12,1,1),Summary!$C$11))*('Dvd Calendar'!$AO$2720&lt;=MAX(DATE(Summary!$C$12,12,31),Summary!$C$15))*('Dvd Calendar'!$AO$2720&lt;=Summary!$C$11)=0,"",'Dvd Calendar'!$AO$2720*1000000000+ISNUMBER('Dvd Calendar'!$AO$2721)*100000000+('Dvd Calendar'!$AO$2725='Field Check'!$C$25)*10000000+(N('Dvd Calendar'!$AO$2719)&gt;0)*1000000+41*1000+37))</f>
        <v/>
      </c>
      <c r="AN197" s="41">
        <f>IF(N('Dvd Calendar'!$AP$2720)=0,"",IF(('Dvd Calendar'!$AP$2720&gt;=MIN(DATE(Summary!$C$12,1,1),Summary!$C$11))*('Dvd Calendar'!$AP$2720&lt;=MAX(DATE(Summary!$C$12,12,31),Summary!$C$15))*('Dvd Calendar'!$AP$2720&lt;=Summary!$C$11)=0,"",'Dvd Calendar'!$AP$2720*1000000000+ISNUMBER('Dvd Calendar'!$AP$2721)*100000000+('Dvd Calendar'!$AP$2725='Field Check'!$C$25)*10000000+(N('Dvd Calendar'!$AP$2719)&gt;0)*1000000+41*1000+38))</f>
        <v/>
      </c>
      <c r="AO197" s="41">
        <f>IF(N('Dvd Calendar'!$AQ$2720)=0,"",IF(('Dvd Calendar'!$AQ$2720&gt;=MIN(DATE(Summary!$C$12,1,1),Summary!$C$11))*('Dvd Calendar'!$AQ$2720&lt;=MAX(DATE(Summary!$C$12,12,31),Summary!$C$15))*('Dvd Calendar'!$AQ$2720&lt;=Summary!$C$11)=0,"",'Dvd Calendar'!$AQ$2720*1000000000+ISNUMBER('Dvd Calendar'!$AQ$2721)*100000000+('Dvd Calendar'!$AQ$2725='Field Check'!$C$25)*10000000+(N('Dvd Calendar'!$AQ$2719)&gt;0)*1000000+41*1000+39))</f>
        <v/>
      </c>
      <c r="AP197" s="41">
        <f>IF(N('Dvd Calendar'!$AR$2720)=0,"",IF(('Dvd Calendar'!$AR$2720&gt;=MIN(DATE(Summary!$C$12,1,1),Summary!$C$11))*('Dvd Calendar'!$AR$2720&lt;=MAX(DATE(Summary!$C$12,12,31),Summary!$C$15))*('Dvd Calendar'!$AR$2720&lt;=Summary!$C$11)=0,"",'Dvd Calendar'!$AR$2720*1000000000+ISNUMBER('Dvd Calendar'!$AR$2721)*100000000+('Dvd Calendar'!$AR$2725='Field Check'!$C$25)*10000000+(N('Dvd Calendar'!$AR$2719)&gt;0)*1000000+41*1000+40))</f>
        <v/>
      </c>
      <c r="AQ197" s="41">
        <f>IF(N('Dvd Calendar'!$E$2727)=0,"",IF(('Dvd Calendar'!$E$2727&gt;=MIN(DATE(Summary!$C$12,1,1),Summary!$C$11))*('Dvd Calendar'!$E$2727&lt;=MAX(DATE(Summary!$C$12,12,31),Summary!$C$15))*('Dvd Calendar'!$E$2727&gt;Summary!$C$11)=0,"",'Dvd Calendar'!$E$2727*1000000000+ISNUMBER('Dvd Calendar'!$E$2728)*100000000+('Dvd Calendar'!$E$2732='Field Check'!$C$25)*10000000+(N('Dvd Calendar'!$E$2726)&gt;0)*1000000+41*1000+41))</f>
        <v/>
      </c>
      <c r="AR197" s="41">
        <f>IF(N('Dvd Calendar'!$F$2727)=0,"",IF(('Dvd Calendar'!$F$2727&gt;=MIN(DATE(Summary!$C$12,1,1),Summary!$C$11))*('Dvd Calendar'!$F$2727&lt;=MAX(DATE(Summary!$C$12,12,31),Summary!$C$15))*('Dvd Calendar'!$F$2727&gt;Summary!$C$11)=0,"",'Dvd Calendar'!$F$2727*1000000000+ISNUMBER('Dvd Calendar'!$F$2728)*100000000+('Dvd Calendar'!$F$2732='Field Check'!$C$25)*10000000+(N('Dvd Calendar'!$F$2726)&gt;0)*1000000+41*1000+42))</f>
        <v/>
      </c>
      <c r="AS197" s="41">
        <f>IF(N('Dvd Calendar'!$G$2727)=0,"",IF(('Dvd Calendar'!$G$2727&gt;=MIN(DATE(Summary!$C$12,1,1),Summary!$C$11))*('Dvd Calendar'!$G$2727&lt;=MAX(DATE(Summary!$C$12,12,31),Summary!$C$15))*('Dvd Calendar'!$G$2727&gt;Summary!$C$11)=0,"",'Dvd Calendar'!$G$2727*1000000000+ISNUMBER('Dvd Calendar'!$G$2728)*100000000+('Dvd Calendar'!$G$2732='Field Check'!$C$25)*10000000+(N('Dvd Calendar'!$G$2726)&gt;0)*1000000+41*1000+43))</f>
        <v/>
      </c>
      <c r="AT197" s="41">
        <f>IF(N('Dvd Calendar'!$H$2727)=0,"",IF(('Dvd Calendar'!$H$2727&gt;=MIN(DATE(Summary!$C$12,1,1),Summary!$C$11))*('Dvd Calendar'!$H$2727&lt;=MAX(DATE(Summary!$C$12,12,31),Summary!$C$15))*('Dvd Calendar'!$H$2727&gt;Summary!$C$11)=0,"",'Dvd Calendar'!$H$2727*1000000000+ISNUMBER('Dvd Calendar'!$H$2728)*100000000+('Dvd Calendar'!$H$2732='Field Check'!$C$25)*10000000+(N('Dvd Calendar'!$H$2726)&gt;0)*1000000+41*1000+44))</f>
        <v/>
      </c>
      <c r="AU197" s="41">
        <f>IF(N('Dvd Calendar'!$I$2727)=0,"",IF(('Dvd Calendar'!$I$2727&gt;=MIN(DATE(Summary!$C$12,1,1),Summary!$C$11))*('Dvd Calendar'!$I$2727&lt;=MAX(DATE(Summary!$C$12,12,31),Summary!$C$15))*('Dvd Calendar'!$I$2727&gt;Summary!$C$11)=0,"",'Dvd Calendar'!$I$2727*1000000000+ISNUMBER('Dvd Calendar'!$I$2728)*100000000+('Dvd Calendar'!$I$2732='Field Check'!$C$25)*10000000+(N('Dvd Calendar'!$I$2726)&gt;0)*1000000+41*1000+45))</f>
        <v/>
      </c>
      <c r="AV197" s="41">
        <f>IF(N('Dvd Calendar'!$J$2727)=0,"",IF(('Dvd Calendar'!$J$2727&gt;=MIN(DATE(Summary!$C$12,1,1),Summary!$C$11))*('Dvd Calendar'!$J$2727&lt;=MAX(DATE(Summary!$C$12,12,31),Summary!$C$15))*('Dvd Calendar'!$J$2727&gt;Summary!$C$11)=0,"",'Dvd Calendar'!$J$2727*1000000000+ISNUMBER('Dvd Calendar'!$J$2728)*100000000+('Dvd Calendar'!$J$2732='Field Check'!$C$25)*10000000+(N('Dvd Calendar'!$J$2726)&gt;0)*1000000+41*1000+46))</f>
        <v/>
      </c>
      <c r="AW197" s="41">
        <f>IF(N('Dvd Calendar'!$K$2727)=0,"",IF(('Dvd Calendar'!$K$2727&gt;=MIN(DATE(Summary!$C$12,1,1),Summary!$C$11))*('Dvd Calendar'!$K$2727&lt;=MAX(DATE(Summary!$C$12,12,31),Summary!$C$15))*('Dvd Calendar'!$K$2727&gt;Summary!$C$11)=0,"",'Dvd Calendar'!$K$2727*1000000000+ISNUMBER('Dvd Calendar'!$K$2728)*100000000+('Dvd Calendar'!$K$2732='Field Check'!$C$25)*10000000+(N('Dvd Calendar'!$K$2726)&gt;0)*1000000+41*1000+47))</f>
        <v/>
      </c>
      <c r="AX197" s="41">
        <f>IF(N('Dvd Calendar'!$L$2727)=0,"",IF(('Dvd Calendar'!$L$2727&gt;=MIN(DATE(Summary!$C$12,1,1),Summary!$C$11))*('Dvd Calendar'!$L$2727&lt;=MAX(DATE(Summary!$C$12,12,31),Summary!$C$15))*('Dvd Calendar'!$L$2727&gt;Summary!$C$11)=0,"",'Dvd Calendar'!$L$2727*1000000000+ISNUMBER('Dvd Calendar'!$L$2728)*100000000+('Dvd Calendar'!$L$2732='Field Check'!$C$25)*10000000+(N('Dvd Calendar'!$L$2726)&gt;0)*1000000+41*1000+48))</f>
        <v/>
      </c>
      <c r="AY197" s="41">
        <f>IF(N('Dvd Calendar'!$M$2727)=0,"",IF(('Dvd Calendar'!$M$2727&gt;=MIN(DATE(Summary!$C$12,1,1),Summary!$C$11))*('Dvd Calendar'!$M$2727&lt;=MAX(DATE(Summary!$C$12,12,31),Summary!$C$15))*('Dvd Calendar'!$M$2727&gt;Summary!$C$11)=0,"",'Dvd Calendar'!$M$2727*1000000000+ISNUMBER('Dvd Calendar'!$M$2728)*100000000+('Dvd Calendar'!$M$2732='Field Check'!$C$25)*10000000+(N('Dvd Calendar'!$M$2726)&gt;0)*1000000+41*1000+49))</f>
        <v/>
      </c>
      <c r="AZ197" s="41">
        <f>IF(N('Dvd Calendar'!$N$2727)=0,"",IF(('Dvd Calendar'!$N$2727&gt;=MIN(DATE(Summary!$C$12,1,1),Summary!$C$11))*('Dvd Calendar'!$N$2727&lt;=MAX(DATE(Summary!$C$12,12,31),Summary!$C$15))*('Dvd Calendar'!$N$2727&gt;Summary!$C$11)=0,"",'Dvd Calendar'!$N$2727*1000000000+ISNUMBER('Dvd Calendar'!$N$2728)*100000000+('Dvd Calendar'!$N$2732='Field Check'!$C$25)*10000000+(N('Dvd Calendar'!$N$2726)&gt;0)*1000000+41*1000+50))</f>
        <v/>
      </c>
      <c r="BA197" s="41">
        <f>IF(N('Dvd Calendar'!$O$2727)=0,"",IF(('Dvd Calendar'!$O$2727&gt;=MIN(DATE(Summary!$C$12,1,1),Summary!$C$11))*('Dvd Calendar'!$O$2727&lt;=MAX(DATE(Summary!$C$12,12,31),Summary!$C$15))*('Dvd Calendar'!$O$2727&gt;Summary!$C$11)=0,"",'Dvd Calendar'!$O$2727*1000000000+ISNUMBER('Dvd Calendar'!$O$2728)*100000000+('Dvd Calendar'!$O$2732='Field Check'!$C$25)*10000000+(N('Dvd Calendar'!$O$2726)&gt;0)*1000000+41*1000+51))</f>
        <v/>
      </c>
      <c r="BB197" s="41">
        <f>IF(N('Dvd Calendar'!$P$2727)=0,"",IF(('Dvd Calendar'!$P$2727&gt;=MIN(DATE(Summary!$C$12,1,1),Summary!$C$11))*('Dvd Calendar'!$P$2727&lt;=MAX(DATE(Summary!$C$12,12,31),Summary!$C$15))*('Dvd Calendar'!$P$2727&gt;Summary!$C$11)=0,"",'Dvd Calendar'!$P$2727*1000000000+ISNUMBER('Dvd Calendar'!$P$2728)*100000000+('Dvd Calendar'!$P$2732='Field Check'!$C$25)*10000000+(N('Dvd Calendar'!$P$2726)&gt;0)*1000000+41*1000+52))</f>
        <v/>
      </c>
      <c r="BC197" s="41">
        <f>IF(N('Dvd Calendar'!$Q$2727)=0,"",IF(('Dvd Calendar'!$Q$2727&gt;=MIN(DATE(Summary!$C$12,1,1),Summary!$C$11))*('Dvd Calendar'!$Q$2727&lt;=MAX(DATE(Summary!$C$12,12,31),Summary!$C$15))*('Dvd Calendar'!$Q$2727&gt;Summary!$C$11)=0,"",'Dvd Calendar'!$Q$2727*1000000000+ISNUMBER('Dvd Calendar'!$Q$2728)*100000000+('Dvd Calendar'!$Q$2732='Field Check'!$C$25)*10000000+(N('Dvd Calendar'!$Q$2726)&gt;0)*1000000+41*1000+53))</f>
        <v/>
      </c>
      <c r="BD197" s="41">
        <f>IF(N('Dvd Calendar'!$R$2727)=0,"",IF(('Dvd Calendar'!$R$2727&gt;=MIN(DATE(Summary!$C$12,1,1),Summary!$C$11))*('Dvd Calendar'!$R$2727&lt;=MAX(DATE(Summary!$C$12,12,31),Summary!$C$15))*('Dvd Calendar'!$R$2727&gt;Summary!$C$11)=0,"",'Dvd Calendar'!$R$2727*1000000000+ISNUMBER('Dvd Calendar'!$R$2728)*100000000+('Dvd Calendar'!$R$2732='Field Check'!$C$25)*10000000+(N('Dvd Calendar'!$R$2726)&gt;0)*1000000+41*1000+54))</f>
        <v/>
      </c>
      <c r="BE197" s="41">
        <f>IF(N('Dvd Calendar'!$S$2727)=0,"",IF(('Dvd Calendar'!$S$2727&gt;=MIN(DATE(Summary!$C$12,1,1),Summary!$C$11))*('Dvd Calendar'!$S$2727&lt;=MAX(DATE(Summary!$C$12,12,31),Summary!$C$15))*('Dvd Calendar'!$S$2727&gt;Summary!$C$11)=0,"",'Dvd Calendar'!$S$2727*1000000000+ISNUMBER('Dvd Calendar'!$S$2728)*100000000+('Dvd Calendar'!$S$2732='Field Check'!$C$25)*10000000+(N('Dvd Calendar'!$S$2726)&gt;0)*1000000+41*1000+55))</f>
        <v/>
      </c>
      <c r="BF197" s="41">
        <f>IF(N('Dvd Calendar'!$T$2727)=0,"",IF(('Dvd Calendar'!$T$2727&gt;=MIN(DATE(Summary!$C$12,1,1),Summary!$C$11))*('Dvd Calendar'!$T$2727&lt;=MAX(DATE(Summary!$C$12,12,31),Summary!$C$15))*('Dvd Calendar'!$T$2727&gt;Summary!$C$11)=0,"",'Dvd Calendar'!$T$2727*1000000000+ISNUMBER('Dvd Calendar'!$T$2728)*100000000+('Dvd Calendar'!$T$2732='Field Check'!$C$25)*10000000+(N('Dvd Calendar'!$T$2726)&gt;0)*1000000+41*1000+56))</f>
        <v/>
      </c>
      <c r="BG197" s="41">
        <f>IF(N('Dvd Calendar'!$U$2727)=0,"",IF(('Dvd Calendar'!$U$2727&gt;=MIN(DATE(Summary!$C$12,1,1),Summary!$C$11))*('Dvd Calendar'!$U$2727&lt;=MAX(DATE(Summary!$C$12,12,31),Summary!$C$15))*('Dvd Calendar'!$U$2727&gt;Summary!$C$11)=0,"",'Dvd Calendar'!$U$2727*1000000000+ISNUMBER('Dvd Calendar'!$U$2728)*100000000+('Dvd Calendar'!$U$2732='Field Check'!$C$25)*10000000+(N('Dvd Calendar'!$U$2726)&gt;0)*1000000+41*1000+57))</f>
        <v/>
      </c>
      <c r="BH197" s="41">
        <f>IF(N('Dvd Calendar'!$V$2727)=0,"",IF(('Dvd Calendar'!$V$2727&gt;=MIN(DATE(Summary!$C$12,1,1),Summary!$C$11))*('Dvd Calendar'!$V$2727&lt;=MAX(DATE(Summary!$C$12,12,31),Summary!$C$15))*('Dvd Calendar'!$V$2727&gt;Summary!$C$11)=0,"",'Dvd Calendar'!$V$2727*1000000000+ISNUMBER('Dvd Calendar'!$V$2728)*100000000+('Dvd Calendar'!$V$2732='Field Check'!$C$25)*10000000+(N('Dvd Calendar'!$V$2726)&gt;0)*1000000+41*1000+58))</f>
        <v/>
      </c>
      <c r="BI197" s="41">
        <f>IF(N('Dvd Calendar'!$W$2727)=0,"",IF(('Dvd Calendar'!$W$2727&gt;=MIN(DATE(Summary!$C$12,1,1),Summary!$C$11))*('Dvd Calendar'!$W$2727&lt;=MAX(DATE(Summary!$C$12,12,31),Summary!$C$15))*('Dvd Calendar'!$W$2727&gt;Summary!$C$11)=0,"",'Dvd Calendar'!$W$2727*1000000000+ISNUMBER('Dvd Calendar'!$W$2728)*100000000+('Dvd Calendar'!$W$2732='Field Check'!$C$25)*10000000+(N('Dvd Calendar'!$W$2726)&gt;0)*1000000+41*1000+59))</f>
        <v/>
      </c>
      <c r="BJ197" s="41">
        <f>IF(N('Dvd Calendar'!$X$2727)=0,"",IF(('Dvd Calendar'!$X$2727&gt;=MIN(DATE(Summary!$C$12,1,1),Summary!$C$11))*('Dvd Calendar'!$X$2727&lt;=MAX(DATE(Summary!$C$12,12,31),Summary!$C$15))*('Dvd Calendar'!$X$2727&gt;Summary!$C$11)=0,"",'Dvd Calendar'!$X$2727*1000000000+ISNUMBER('Dvd Calendar'!$X$2728)*100000000+('Dvd Calendar'!$X$2732='Field Check'!$C$25)*10000000+(N('Dvd Calendar'!$X$2726)&gt;0)*1000000+41*1000+60))</f>
        <v/>
      </c>
      <c r="BK197" s="41">
        <f>IF(N('Dvd Calendar'!$Y$2727)=0,"",IF(('Dvd Calendar'!$Y$2727&gt;=MIN(DATE(Summary!$C$12,1,1),Summary!$C$11))*('Dvd Calendar'!$Y$2727&lt;=MAX(DATE(Summary!$C$12,12,31),Summary!$C$15))*('Dvd Calendar'!$Y$2727&gt;Summary!$C$11)=0,"",'Dvd Calendar'!$Y$2727*1000000000+ISNUMBER('Dvd Calendar'!$Y$2728)*100000000+('Dvd Calendar'!$Y$2732='Field Check'!$C$25)*10000000+(N('Dvd Calendar'!$Y$2726)&gt;0)*1000000+41*1000+61))</f>
        <v/>
      </c>
      <c r="BL197" s="41">
        <f>IF(N('Dvd Calendar'!$Z$2727)=0,"",IF(('Dvd Calendar'!$Z$2727&gt;=MIN(DATE(Summary!$C$12,1,1),Summary!$C$11))*('Dvd Calendar'!$Z$2727&lt;=MAX(DATE(Summary!$C$12,12,31),Summary!$C$15))*('Dvd Calendar'!$Z$2727&gt;Summary!$C$11)=0,"",'Dvd Calendar'!$Z$2727*1000000000+ISNUMBER('Dvd Calendar'!$Z$2728)*100000000+('Dvd Calendar'!$Z$2732='Field Check'!$C$25)*10000000+(N('Dvd Calendar'!$Z$2726)&gt;0)*1000000+41*1000+62))</f>
        <v/>
      </c>
      <c r="BM197" s="41">
        <f>IF(N('Dvd Calendar'!$AA$2727)=0,"",IF(('Dvd Calendar'!$AA$2727&gt;=MIN(DATE(Summary!$C$12,1,1),Summary!$C$11))*('Dvd Calendar'!$AA$2727&lt;=MAX(DATE(Summary!$C$12,12,31),Summary!$C$15))*('Dvd Calendar'!$AA$2727&gt;Summary!$C$11)=0,"",'Dvd Calendar'!$AA$2727*1000000000+ISNUMBER('Dvd Calendar'!$AA$2728)*100000000+('Dvd Calendar'!$AA$2732='Field Check'!$C$25)*10000000+(N('Dvd Calendar'!$AA$2726)&gt;0)*1000000+41*1000+63))</f>
        <v/>
      </c>
      <c r="BN197" s="41">
        <f>IF(N('Dvd Calendar'!$AB$2727)=0,"",IF(('Dvd Calendar'!$AB$2727&gt;=MIN(DATE(Summary!$C$12,1,1),Summary!$C$11))*('Dvd Calendar'!$AB$2727&lt;=MAX(DATE(Summary!$C$12,12,31),Summary!$C$15))*('Dvd Calendar'!$AB$2727&gt;Summary!$C$11)=0,"",'Dvd Calendar'!$AB$2727*1000000000+ISNUMBER('Dvd Calendar'!$AB$2728)*100000000+('Dvd Calendar'!$AB$2732='Field Check'!$C$25)*10000000+(N('Dvd Calendar'!$AB$2726)&gt;0)*1000000+41*1000+64))</f>
        <v/>
      </c>
      <c r="BO197" s="41">
        <f>IF(N('Dvd Calendar'!$AC$2727)=0,"",IF(('Dvd Calendar'!$AC$2727&gt;=MIN(DATE(Summary!$C$12,1,1),Summary!$C$11))*('Dvd Calendar'!$AC$2727&lt;=MAX(DATE(Summary!$C$12,12,31),Summary!$C$15))*('Dvd Calendar'!$AC$2727&gt;Summary!$C$11)=0,"",'Dvd Calendar'!$AC$2727*1000000000+ISNUMBER('Dvd Calendar'!$AC$2728)*100000000+('Dvd Calendar'!$AC$2732='Field Check'!$C$25)*10000000+(N('Dvd Calendar'!$AC$2726)&gt;0)*1000000+41*1000+65))</f>
        <v/>
      </c>
      <c r="BQ197" s="85">
        <f>IF(C197="","",IF(ISNUMBER('Dvd Calendar'!$E$2721)=FALSE,"",IF((Summary!$C$13="N")*('Dvd Calendar'!$E$2725='Field Check'!$C$25)&gt;0,"",'Dvd Calendar'!$E$2721)))</f>
        <v/>
      </c>
      <c r="BR197" s="85">
        <f>IF(D197="","",IF(ISNUMBER('Dvd Calendar'!$F$2721)=FALSE,"",IF((Summary!$C$13="N")*('Dvd Calendar'!$F$2725='Field Check'!$C$25)&gt;0,"",'Dvd Calendar'!$F$2721)))</f>
        <v/>
      </c>
      <c r="BS197" s="85">
        <f>IF(E197="","",IF(ISNUMBER('Dvd Calendar'!$G$2721)=FALSE,"",IF((Summary!$C$13="N")*('Dvd Calendar'!$G$2725='Field Check'!$C$25)&gt;0,"",'Dvd Calendar'!$G$2721)))</f>
        <v/>
      </c>
      <c r="BT197" s="85">
        <f>IF(F197="","",IF(ISNUMBER('Dvd Calendar'!$H$2721)=FALSE,"",IF((Summary!$C$13="N")*('Dvd Calendar'!$H$2725='Field Check'!$C$25)&gt;0,"",'Dvd Calendar'!$H$2721)))</f>
        <v/>
      </c>
      <c r="BU197" s="85">
        <f>IF(G197="","",IF(ISNUMBER('Dvd Calendar'!$I$2721)=FALSE,"",IF((Summary!$C$13="N")*('Dvd Calendar'!$I$2725='Field Check'!$C$25)&gt;0,"",'Dvd Calendar'!$I$2721)))</f>
        <v/>
      </c>
      <c r="BV197" s="85">
        <f>IF(H197="","",IF(ISNUMBER('Dvd Calendar'!$J$2721)=FALSE,"",IF((Summary!$C$13="N")*('Dvd Calendar'!$J$2725='Field Check'!$C$25)&gt;0,"",'Dvd Calendar'!$J$2721)))</f>
        <v/>
      </c>
      <c r="BW197" s="85">
        <f>IF(I197="","",IF(ISNUMBER('Dvd Calendar'!$K$2721)=FALSE,"",IF((Summary!$C$13="N")*('Dvd Calendar'!$K$2725='Field Check'!$C$25)&gt;0,"",'Dvd Calendar'!$K$2721)))</f>
        <v/>
      </c>
      <c r="BX197" s="85">
        <f>IF(J197="","",IF(ISNUMBER('Dvd Calendar'!$L$2721)=FALSE,"",IF((Summary!$C$13="N")*('Dvd Calendar'!$L$2725='Field Check'!$C$25)&gt;0,"",'Dvd Calendar'!$L$2721)))</f>
        <v/>
      </c>
      <c r="BY197" s="85">
        <f>IF(K197="","",IF(ISNUMBER('Dvd Calendar'!$M$2721)=FALSE,"",IF((Summary!$C$13="N")*('Dvd Calendar'!$M$2725='Field Check'!$C$25)&gt;0,"",'Dvd Calendar'!$M$2721)))</f>
        <v/>
      </c>
      <c r="BZ197" s="85">
        <f>IF(L197="","",IF(ISNUMBER('Dvd Calendar'!$N$2721)=FALSE,"",IF((Summary!$C$13="N")*('Dvd Calendar'!$N$2725='Field Check'!$C$25)&gt;0,"",'Dvd Calendar'!$N$2721)))</f>
        <v/>
      </c>
      <c r="CA197" s="85">
        <f>IF(M197="","",IF(ISNUMBER('Dvd Calendar'!$O$2721)=FALSE,"",IF((Summary!$C$13="N")*('Dvd Calendar'!$O$2725='Field Check'!$C$25)&gt;0,"",'Dvd Calendar'!$O$2721)))</f>
        <v/>
      </c>
      <c r="CB197" s="85">
        <f>IF(N197="","",IF(ISNUMBER('Dvd Calendar'!$P$2721)=FALSE,"",IF((Summary!$C$13="N")*('Dvd Calendar'!$P$2725='Field Check'!$C$25)&gt;0,"",'Dvd Calendar'!$P$2721)))</f>
        <v/>
      </c>
      <c r="CC197" s="85">
        <f>IF(O197="","",IF(ISNUMBER('Dvd Calendar'!$Q$2721)=FALSE,"",IF((Summary!$C$13="N")*('Dvd Calendar'!$Q$2725='Field Check'!$C$25)&gt;0,"",'Dvd Calendar'!$Q$2721)))</f>
        <v/>
      </c>
      <c r="CD197" s="85">
        <f>IF(P197="","",IF(ISNUMBER('Dvd Calendar'!$R$2721)=FALSE,"",IF((Summary!$C$13="N")*('Dvd Calendar'!$R$2725='Field Check'!$C$25)&gt;0,"",'Dvd Calendar'!$R$2721)))</f>
        <v/>
      </c>
      <c r="CE197" s="85">
        <f>IF(Q197="","",IF(ISNUMBER('Dvd Calendar'!$S$2721)=FALSE,"",IF((Summary!$C$13="N")*('Dvd Calendar'!$S$2725='Field Check'!$C$25)&gt;0,"",'Dvd Calendar'!$S$2721)))</f>
        <v/>
      </c>
      <c r="CF197" s="85">
        <f>IF(R197="","",IF(ISNUMBER('Dvd Calendar'!$T$2721)=FALSE,"",IF((Summary!$C$13="N")*('Dvd Calendar'!$T$2725='Field Check'!$C$25)&gt;0,"",'Dvd Calendar'!$T$2721)))</f>
        <v/>
      </c>
      <c r="CG197" s="85">
        <f>IF(S197="","",IF(ISNUMBER('Dvd Calendar'!$U$2721)=FALSE,"",IF((Summary!$C$13="N")*('Dvd Calendar'!$U$2725='Field Check'!$C$25)&gt;0,"",'Dvd Calendar'!$U$2721)))</f>
        <v/>
      </c>
      <c r="CH197" s="85">
        <f>IF(T197="","",IF(ISNUMBER('Dvd Calendar'!$V$2721)=FALSE,"",IF((Summary!$C$13="N")*('Dvd Calendar'!$V$2725='Field Check'!$C$25)&gt;0,"",'Dvd Calendar'!$V$2721)))</f>
        <v/>
      </c>
      <c r="CI197" s="85">
        <f>IF(U197="","",IF(ISNUMBER('Dvd Calendar'!$W$2721)=FALSE,"",IF((Summary!$C$13="N")*('Dvd Calendar'!$W$2725='Field Check'!$C$25)&gt;0,"",'Dvd Calendar'!$W$2721)))</f>
        <v/>
      </c>
      <c r="CJ197" s="85">
        <f>IF(V197="","",IF(ISNUMBER('Dvd Calendar'!$X$2721)=FALSE,"",IF((Summary!$C$13="N")*('Dvd Calendar'!$X$2725='Field Check'!$C$25)&gt;0,"",'Dvd Calendar'!$X$2721)))</f>
        <v/>
      </c>
      <c r="CK197" s="85">
        <f>IF(W197="","",IF(ISNUMBER('Dvd Calendar'!$Y$2721)=FALSE,"",IF((Summary!$C$13="N")*('Dvd Calendar'!$Y$2725='Field Check'!$C$25)&gt;0,"",'Dvd Calendar'!$Y$2721)))</f>
        <v/>
      </c>
      <c r="CL197" s="85">
        <f>IF(X197="","",IF(ISNUMBER('Dvd Calendar'!$Z$2721)=FALSE,"",IF((Summary!$C$13="N")*('Dvd Calendar'!$Z$2725='Field Check'!$C$25)&gt;0,"",'Dvd Calendar'!$Z$2721)))</f>
        <v/>
      </c>
      <c r="CM197" s="85">
        <f>IF(Y197="","",IF(ISNUMBER('Dvd Calendar'!$AA$2721)=FALSE,"",IF((Summary!$C$13="N")*('Dvd Calendar'!$AA$2725='Field Check'!$C$25)&gt;0,"",'Dvd Calendar'!$AA$2721)))</f>
        <v/>
      </c>
      <c r="CN197" s="85">
        <f>IF(Z197="","",IF(ISNUMBER('Dvd Calendar'!$AB$2721)=FALSE,"",IF((Summary!$C$13="N")*('Dvd Calendar'!$AB$2725='Field Check'!$C$25)&gt;0,"",'Dvd Calendar'!$AB$2721)))</f>
        <v/>
      </c>
      <c r="CO197" s="85">
        <f>IF(AA197="","",IF(ISNUMBER('Dvd Calendar'!$AC$2721)=FALSE,"",IF((Summary!$C$13="N")*('Dvd Calendar'!$AC$2725='Field Check'!$C$25)&gt;0,"",'Dvd Calendar'!$AC$2721)))</f>
        <v/>
      </c>
      <c r="CP197" s="85">
        <f>IF(AB197="","",IF(ISNUMBER('Dvd Calendar'!$AD$2721)=FALSE,"",IF((Summary!$C$13="N")*('Dvd Calendar'!$AD$2725='Field Check'!$C$25)&gt;0,"",'Dvd Calendar'!$AD$2721)))</f>
        <v/>
      </c>
      <c r="CQ197" s="85">
        <f>IF(AC197="","",IF(ISNUMBER('Dvd Calendar'!$AE$2721)=FALSE,"",IF((Summary!$C$13="N")*('Dvd Calendar'!$AE$2725='Field Check'!$C$25)&gt;0,"",'Dvd Calendar'!$AE$2721)))</f>
        <v/>
      </c>
      <c r="CR197" s="85">
        <f>IF(AD197="","",IF(ISNUMBER('Dvd Calendar'!$AF$2721)=FALSE,"",IF((Summary!$C$13="N")*('Dvd Calendar'!$AF$2725='Field Check'!$C$25)&gt;0,"",'Dvd Calendar'!$AF$2721)))</f>
        <v/>
      </c>
      <c r="CS197" s="85">
        <f>IF(AE197="","",IF(ISNUMBER('Dvd Calendar'!$AG$2721)=FALSE,"",IF((Summary!$C$13="N")*('Dvd Calendar'!$AG$2725='Field Check'!$C$25)&gt;0,"",'Dvd Calendar'!$AG$2721)))</f>
        <v/>
      </c>
      <c r="CT197" s="85">
        <f>IF(AF197="","",IF(ISNUMBER('Dvd Calendar'!$AH$2721)=FALSE,"",IF((Summary!$C$13="N")*('Dvd Calendar'!$AH$2725='Field Check'!$C$25)&gt;0,"",'Dvd Calendar'!$AH$2721)))</f>
        <v/>
      </c>
      <c r="CU197" s="85">
        <f>IF(AG197="","",IF(ISNUMBER('Dvd Calendar'!$AI$2721)=FALSE,"",IF((Summary!$C$13="N")*('Dvd Calendar'!$AI$2725='Field Check'!$C$25)&gt;0,"",'Dvd Calendar'!$AI$2721)))</f>
        <v/>
      </c>
      <c r="CV197" s="85">
        <f>IF(AH197="","",IF(ISNUMBER('Dvd Calendar'!$AJ$2721)=FALSE,"",IF((Summary!$C$13="N")*('Dvd Calendar'!$AJ$2725='Field Check'!$C$25)&gt;0,"",'Dvd Calendar'!$AJ$2721)))</f>
        <v/>
      </c>
      <c r="CW197" s="85">
        <f>IF(AI197="","",IF(ISNUMBER('Dvd Calendar'!$AK$2721)=FALSE,"",IF((Summary!$C$13="N")*('Dvd Calendar'!$AK$2725='Field Check'!$C$25)&gt;0,"",'Dvd Calendar'!$AK$2721)))</f>
        <v/>
      </c>
      <c r="CX197" s="85">
        <f>IF(AJ197="","",IF(ISNUMBER('Dvd Calendar'!$AL$2721)=FALSE,"",IF((Summary!$C$13="N")*('Dvd Calendar'!$AL$2725='Field Check'!$C$25)&gt;0,"",'Dvd Calendar'!$AL$2721)))</f>
        <v/>
      </c>
      <c r="CY197" s="85">
        <f>IF(AK197="","",IF(ISNUMBER('Dvd Calendar'!$AM$2721)=FALSE,"",IF((Summary!$C$13="N")*('Dvd Calendar'!$AM$2725='Field Check'!$C$25)&gt;0,"",'Dvd Calendar'!$AM$2721)))</f>
        <v/>
      </c>
      <c r="CZ197" s="85">
        <f>IF(AL197="","",IF(ISNUMBER('Dvd Calendar'!$AN$2721)=FALSE,"",IF((Summary!$C$13="N")*('Dvd Calendar'!$AN$2725='Field Check'!$C$25)&gt;0,"",'Dvd Calendar'!$AN$2721)))</f>
        <v/>
      </c>
      <c r="DA197" s="85">
        <f>IF(AM197="","",IF(ISNUMBER('Dvd Calendar'!$AO$2721)=FALSE,"",IF((Summary!$C$13="N")*('Dvd Calendar'!$AO$2725='Field Check'!$C$25)&gt;0,"",'Dvd Calendar'!$AO$2721)))</f>
        <v/>
      </c>
      <c r="DB197" s="85">
        <f>IF(AN197="","",IF(ISNUMBER('Dvd Calendar'!$AP$2721)=FALSE,"",IF((Summary!$C$13="N")*('Dvd Calendar'!$AP$2725='Field Check'!$C$25)&gt;0,"",'Dvd Calendar'!$AP$2721)))</f>
        <v/>
      </c>
      <c r="DC197" s="85">
        <f>IF(AO197="","",IF(ISNUMBER('Dvd Calendar'!$AQ$2721)=FALSE,"",IF((Summary!$C$13="N")*('Dvd Calendar'!$AQ$2725='Field Check'!$C$25)&gt;0,"",'Dvd Calendar'!$AQ$2721)))</f>
        <v/>
      </c>
      <c r="DD197" s="85">
        <f>IF(AP197="","",IF(ISNUMBER('Dvd Calendar'!$AR$2721)=FALSE,"",IF((Summary!$C$13="N")*('Dvd Calendar'!$AR$2725='Field Check'!$C$25)&gt;0,"",'Dvd Calendar'!$AR$2721)))</f>
        <v/>
      </c>
      <c r="DE197" s="85">
        <f>IF(AQ197="","",IF(ISNUMBER('Dvd Calendar'!$E$2728)=FALSE,"",IF((Summary!$C$13="N")*('Dvd Calendar'!$E$2732='Field Check'!$C$25)&gt;0,"",'Dvd Calendar'!$E$2728)))</f>
        <v/>
      </c>
      <c r="DF197" s="85">
        <f>IF(AR197="","",IF(ISNUMBER('Dvd Calendar'!$F$2728)=FALSE,"",IF((Summary!$C$13="N")*('Dvd Calendar'!$F$2732='Field Check'!$C$25)&gt;0,"",'Dvd Calendar'!$F$2728)))</f>
        <v/>
      </c>
      <c r="DG197" s="85">
        <f>IF(AS197="","",IF(ISNUMBER('Dvd Calendar'!$G$2728)=FALSE,"",IF((Summary!$C$13="N")*('Dvd Calendar'!$G$2732='Field Check'!$C$25)&gt;0,"",'Dvd Calendar'!$G$2728)))</f>
        <v/>
      </c>
      <c r="DH197" s="85">
        <f>IF(AT197="","",IF(ISNUMBER('Dvd Calendar'!$H$2728)=FALSE,"",IF((Summary!$C$13="N")*('Dvd Calendar'!$H$2732='Field Check'!$C$25)&gt;0,"",'Dvd Calendar'!$H$2728)))</f>
        <v/>
      </c>
      <c r="DI197" s="85">
        <f>IF(AU197="","",IF(ISNUMBER('Dvd Calendar'!$I$2728)=FALSE,"",IF((Summary!$C$13="N")*('Dvd Calendar'!$I$2732='Field Check'!$C$25)&gt;0,"",'Dvd Calendar'!$I$2728)))</f>
        <v/>
      </c>
      <c r="DJ197" s="85">
        <f>IF(AV197="","",IF(ISNUMBER('Dvd Calendar'!$J$2728)=FALSE,"",IF((Summary!$C$13="N")*('Dvd Calendar'!$J$2732='Field Check'!$C$25)&gt;0,"",'Dvd Calendar'!$J$2728)))</f>
        <v/>
      </c>
      <c r="DK197" s="85">
        <f>IF(AW197="","",IF(ISNUMBER('Dvd Calendar'!$K$2728)=FALSE,"",IF((Summary!$C$13="N")*('Dvd Calendar'!$K$2732='Field Check'!$C$25)&gt;0,"",'Dvd Calendar'!$K$2728)))</f>
        <v/>
      </c>
      <c r="DL197" s="85">
        <f>IF(AX197="","",IF(ISNUMBER('Dvd Calendar'!$L$2728)=FALSE,"",IF((Summary!$C$13="N")*('Dvd Calendar'!$L$2732='Field Check'!$C$25)&gt;0,"",'Dvd Calendar'!$L$2728)))</f>
        <v/>
      </c>
      <c r="DM197" s="85">
        <f>IF(AY197="","",IF(ISNUMBER('Dvd Calendar'!$M$2728)=FALSE,"",IF((Summary!$C$13="N")*('Dvd Calendar'!$M$2732='Field Check'!$C$25)&gt;0,"",'Dvd Calendar'!$M$2728)))</f>
        <v/>
      </c>
      <c r="DN197" s="85">
        <f>IF(AZ197="","",IF(ISNUMBER('Dvd Calendar'!$N$2728)=FALSE,"",IF((Summary!$C$13="N")*('Dvd Calendar'!$N$2732='Field Check'!$C$25)&gt;0,"",'Dvd Calendar'!$N$2728)))</f>
        <v/>
      </c>
      <c r="DO197" s="85">
        <f>IF(BA197="","",IF(ISNUMBER('Dvd Calendar'!$O$2728)=FALSE,"",IF((Summary!$C$13="N")*('Dvd Calendar'!$O$2732='Field Check'!$C$25)&gt;0,"",'Dvd Calendar'!$O$2728)))</f>
        <v/>
      </c>
      <c r="DP197" s="85">
        <f>IF(BB197="","",IF(ISNUMBER('Dvd Calendar'!$P$2728)=FALSE,"",IF((Summary!$C$13="N")*('Dvd Calendar'!$P$2732='Field Check'!$C$25)&gt;0,"",'Dvd Calendar'!$P$2728)))</f>
        <v/>
      </c>
      <c r="DQ197" s="85">
        <f>IF(BC197="","",IF(ISNUMBER('Dvd Calendar'!$Q$2728)=FALSE,"",IF((Summary!$C$13="N")*('Dvd Calendar'!$Q$2732='Field Check'!$C$25)&gt;0,"",'Dvd Calendar'!$Q$2728)))</f>
        <v/>
      </c>
      <c r="DR197" s="85">
        <f>IF(BD197="","",IF(ISNUMBER('Dvd Calendar'!$R$2728)=FALSE,"",IF((Summary!$C$13="N")*('Dvd Calendar'!$R$2732='Field Check'!$C$25)&gt;0,"",'Dvd Calendar'!$R$2728)))</f>
        <v/>
      </c>
      <c r="DS197" s="85">
        <f>IF(BE197="","",IF(ISNUMBER('Dvd Calendar'!$S$2728)=FALSE,"",IF((Summary!$C$13="N")*('Dvd Calendar'!$S$2732='Field Check'!$C$25)&gt;0,"",'Dvd Calendar'!$S$2728)))</f>
        <v/>
      </c>
      <c r="DT197" s="85">
        <f>IF(BF197="","",IF(ISNUMBER('Dvd Calendar'!$T$2728)=FALSE,"",IF((Summary!$C$13="N")*('Dvd Calendar'!$T$2732='Field Check'!$C$25)&gt;0,"",'Dvd Calendar'!$T$2728)))</f>
        <v/>
      </c>
      <c r="DU197" s="85">
        <f>IF(BG197="","",IF(ISNUMBER('Dvd Calendar'!$U$2728)=FALSE,"",IF((Summary!$C$13="N")*('Dvd Calendar'!$U$2732='Field Check'!$C$25)&gt;0,"",'Dvd Calendar'!$U$2728)))</f>
        <v/>
      </c>
      <c r="DV197" s="85">
        <f>IF(BH197="","",IF(ISNUMBER('Dvd Calendar'!$V$2728)=FALSE,"",IF((Summary!$C$13="N")*('Dvd Calendar'!$V$2732='Field Check'!$C$25)&gt;0,"",'Dvd Calendar'!$V$2728)))</f>
        <v/>
      </c>
      <c r="DW197" s="85">
        <f>IF(BI197="","",IF(ISNUMBER('Dvd Calendar'!$W$2728)=FALSE,"",IF((Summary!$C$13="N")*('Dvd Calendar'!$W$2732='Field Check'!$C$25)&gt;0,"",'Dvd Calendar'!$W$2728)))</f>
        <v/>
      </c>
      <c r="DX197" s="85">
        <f>IF(BJ197="","",IF(ISNUMBER('Dvd Calendar'!$X$2728)=FALSE,"",IF((Summary!$C$13="N")*('Dvd Calendar'!$X$2732='Field Check'!$C$25)&gt;0,"",'Dvd Calendar'!$X$2728)))</f>
        <v/>
      </c>
      <c r="DY197" s="85">
        <f>IF(BK197="","",IF(ISNUMBER('Dvd Calendar'!$Y$2728)=FALSE,"",IF((Summary!$C$13="N")*('Dvd Calendar'!$Y$2732='Field Check'!$C$25)&gt;0,"",'Dvd Calendar'!$Y$2728)))</f>
        <v/>
      </c>
      <c r="DZ197" s="85">
        <f>IF(BL197="","",IF(ISNUMBER('Dvd Calendar'!$Z$2728)=FALSE,"",IF((Summary!$C$13="N")*('Dvd Calendar'!$Z$2732='Field Check'!$C$25)&gt;0,"",'Dvd Calendar'!$Z$2728)))</f>
        <v/>
      </c>
      <c r="EA197" s="85">
        <f>IF(BM197="","",IF(ISNUMBER('Dvd Calendar'!$AA$2728)=FALSE,"",IF((Summary!$C$13="N")*('Dvd Calendar'!$AA$2732='Field Check'!$C$25)&gt;0,"",'Dvd Calendar'!$AA$2728)))</f>
        <v/>
      </c>
      <c r="EB197" s="85">
        <f>IF(BN197="","",IF(ISNUMBER('Dvd Calendar'!$AB$2728)=FALSE,"",IF((Summary!$C$13="N")*('Dvd Calendar'!$AB$2732='Field Check'!$C$25)&gt;0,"",'Dvd Calendar'!$AB$2728)))</f>
        <v/>
      </c>
      <c r="EC197" s="85">
        <f>IF(BO197="","",IF(ISNUMBER('Dvd Calendar'!$AC$2728)=FALSE,"",IF((Summary!$C$13="N")*('Dvd Calendar'!$AC$2732='Field Check'!$C$25)&gt;0,"",'Dvd Calendar'!$AC$2728)))</f>
        <v/>
      </c>
      <c r="EE197" s="85">
        <f>IF(BQ197="","",IFERROR(BQ197*HSCEI!$B$47*HSCEI!$G$47/HSCEI!$B$3,""))</f>
        <v/>
      </c>
      <c r="EF197" s="85">
        <f>IF(BR197="","",IFERROR(BR197*HSCEI!$B$47*HSCEI!$G$47/HSCEI!$B$3,""))</f>
        <v/>
      </c>
      <c r="EG197" s="85">
        <f>IF(BS197="","",IFERROR(BS197*HSCEI!$B$47*HSCEI!$G$47/HSCEI!$B$3,""))</f>
        <v/>
      </c>
      <c r="EH197" s="85">
        <f>IF(BT197="","",IFERROR(BT197*HSCEI!$B$47*HSCEI!$G$47/HSCEI!$B$3,""))</f>
        <v/>
      </c>
      <c r="EI197" s="85">
        <f>IF(BU197="","",IFERROR(BU197*HSCEI!$B$47*HSCEI!$G$47/HSCEI!$B$3,""))</f>
        <v/>
      </c>
      <c r="EJ197" s="85">
        <f>IF(BV197="","",IFERROR(BV197*HSCEI!$B$47*HSCEI!$G$47/HSCEI!$B$3,""))</f>
        <v/>
      </c>
      <c r="EK197" s="85">
        <f>IF(BW197="","",IFERROR(BW197*HSCEI!$B$47*HSCEI!$G$47/HSCEI!$B$3,""))</f>
        <v/>
      </c>
      <c r="EL197" s="85">
        <f>IF(BX197="","",IFERROR(BX197*HSCEI!$B$47*HSCEI!$G$47/HSCEI!$B$3,""))</f>
        <v/>
      </c>
      <c r="EM197" s="85">
        <f>IF(BY197="","",IFERROR(BY197*HSCEI!$B$47*HSCEI!$G$47/HSCEI!$B$3,""))</f>
        <v/>
      </c>
      <c r="EN197" s="85">
        <f>IF(BZ197="","",IFERROR(BZ197*HSCEI!$B$47*HSCEI!$G$47/HSCEI!$B$3,""))</f>
        <v/>
      </c>
      <c r="EO197" s="85">
        <f>IF(CA197="","",IFERROR(CA197*HSCEI!$B$47*HSCEI!$G$47/HSCEI!$B$3,""))</f>
        <v/>
      </c>
      <c r="EP197" s="85">
        <f>IF(CB197="","",IFERROR(CB197*HSCEI!$B$47*HSCEI!$G$47/HSCEI!$B$3,""))</f>
        <v/>
      </c>
      <c r="EQ197" s="85">
        <f>IF(CC197="","",IFERROR(CC197*HSCEI!$B$47*HSCEI!$G$47/HSCEI!$B$3,""))</f>
        <v/>
      </c>
      <c r="ER197" s="85">
        <f>IF(CD197="","",IFERROR(CD197*HSCEI!$B$47*HSCEI!$G$47/HSCEI!$B$3,""))</f>
        <v/>
      </c>
      <c r="ES197" s="85">
        <f>IF(CE197="","",IFERROR(CE197*HSCEI!$B$47*HSCEI!$G$47/HSCEI!$B$3,""))</f>
        <v/>
      </c>
      <c r="ET197" s="85">
        <f>IF(CF197="","",IFERROR(CF197*HSCEI!$B$47*HSCEI!$G$47/HSCEI!$B$3,""))</f>
        <v/>
      </c>
      <c r="EU197" s="85">
        <f>IF(CG197="","",IFERROR(CG197*HSCEI!$B$47*HSCEI!$G$47/HSCEI!$B$3,""))</f>
        <v/>
      </c>
      <c r="EV197" s="85">
        <f>IF(CH197="","",IFERROR(CH197*HSCEI!$B$47*HSCEI!$G$47/HSCEI!$B$3,""))</f>
        <v/>
      </c>
      <c r="EW197" s="85">
        <f>IF(CI197="","",IFERROR(CI197*HSCEI!$B$47*HSCEI!$G$47/HSCEI!$B$3,""))</f>
        <v/>
      </c>
      <c r="EX197" s="85">
        <f>IF(CJ197="","",IFERROR(CJ197*HSCEI!$B$47*HSCEI!$G$47/HSCEI!$B$3,""))</f>
        <v/>
      </c>
      <c r="EY197" s="85">
        <f>IF(CK197="","",IFERROR(CK197*HSCEI!$B$47*HSCEI!$G$47/HSCEI!$B$3,""))</f>
        <v/>
      </c>
      <c r="EZ197" s="85">
        <f>IF(CL197="","",IFERROR(CL197*HSCEI!$B$47*HSCEI!$G$47/HSCEI!$B$3,""))</f>
        <v/>
      </c>
      <c r="FA197" s="85">
        <f>IF(CM197="","",IFERROR(CM197*HSCEI!$B$47*HSCEI!$G$47/HSCEI!$B$3,""))</f>
        <v/>
      </c>
      <c r="FB197" s="85">
        <f>IF(CN197="","",IFERROR(CN197*HSCEI!$B$47*HSCEI!$G$47/HSCEI!$B$3,""))</f>
        <v/>
      </c>
      <c r="FC197" s="85">
        <f>IF(CO197="","",IFERROR(CO197*HSCEI!$B$47*HSCEI!$G$47/HSCEI!$B$3,""))</f>
        <v/>
      </c>
      <c r="FD197" s="85">
        <f>IF(CP197="","",IFERROR(CP197*HSCEI!$B$47*HSCEI!$G$47/HSCEI!$B$3,""))</f>
        <v/>
      </c>
      <c r="FE197" s="85">
        <f>IF(CQ197="","",IFERROR(CQ197*HSCEI!$B$47*HSCEI!$G$47/HSCEI!$B$3,""))</f>
        <v/>
      </c>
      <c r="FF197" s="85">
        <f>IF(CR197="","",IFERROR(CR197*HSCEI!$B$47*HSCEI!$G$47/HSCEI!$B$3,""))</f>
        <v/>
      </c>
      <c r="FG197" s="85">
        <f>IF(CS197="","",IFERROR(CS197*HSCEI!$B$47*HSCEI!$G$47/HSCEI!$B$3,""))</f>
        <v/>
      </c>
      <c r="FH197" s="85">
        <f>IF(CT197="","",IFERROR(CT197*HSCEI!$B$47*HSCEI!$G$47/HSCEI!$B$3,""))</f>
        <v/>
      </c>
      <c r="FI197" s="85">
        <f>IF(CU197="","",IFERROR(CU197*HSCEI!$B$47*HSCEI!$G$47/HSCEI!$B$3,""))</f>
        <v/>
      </c>
      <c r="FJ197" s="85">
        <f>IF(CV197="","",IFERROR(CV197*HSCEI!$B$47*HSCEI!$G$47/HSCEI!$B$3,""))</f>
        <v/>
      </c>
      <c r="FK197" s="85">
        <f>IF(CW197="","",IFERROR(CW197*HSCEI!$B$47*HSCEI!$G$47/HSCEI!$B$3,""))</f>
        <v/>
      </c>
      <c r="FL197" s="85">
        <f>IF(CX197="","",IFERROR(CX197*HSCEI!$B$47*HSCEI!$G$47/HSCEI!$B$3,""))</f>
        <v/>
      </c>
      <c r="FM197" s="85">
        <f>IF(CY197="","",IFERROR(CY197*HSCEI!$B$47*HSCEI!$G$47/HSCEI!$B$3,""))</f>
        <v/>
      </c>
      <c r="FN197" s="85">
        <f>IF(CZ197="","",IFERROR(CZ197*HSCEI!$B$47*HSCEI!$G$47/HSCEI!$B$3,""))</f>
        <v/>
      </c>
      <c r="FO197" s="85">
        <f>IF(DA197="","",IFERROR(DA197*HSCEI!$B$47*HSCEI!$G$47/HSCEI!$B$3,""))</f>
        <v/>
      </c>
      <c r="FP197" s="85">
        <f>IF(DB197="","",IFERROR(DB197*HSCEI!$B$47*HSCEI!$G$47/HSCEI!$B$3,""))</f>
        <v/>
      </c>
      <c r="FQ197" s="85">
        <f>IF(DC197="","",IFERROR(DC197*HSCEI!$B$47*HSCEI!$G$47/HSCEI!$B$3,""))</f>
        <v/>
      </c>
      <c r="FR197" s="85">
        <f>IF(DD197="","",IFERROR(DD197*HSCEI!$B$47*HSCEI!$G$47/HSCEI!$B$3,""))</f>
        <v/>
      </c>
      <c r="FS197" s="85">
        <f>IF(DE197="","",IFERROR(DE197*HSCEI!$B$47*HSCEI!$G$47/HSCEI!$B$3,""))</f>
        <v/>
      </c>
      <c r="FT197" s="85">
        <f>IF(DF197="","",IFERROR(DF197*HSCEI!$B$47*HSCEI!$G$47/HSCEI!$B$3,""))</f>
        <v/>
      </c>
      <c r="FU197" s="85">
        <f>IF(DG197="","",IFERROR(DG197*HSCEI!$B$47*HSCEI!$G$47/HSCEI!$B$3,""))</f>
        <v/>
      </c>
      <c r="FV197" s="85">
        <f>IF(DH197="","",IFERROR(DH197*HSCEI!$B$47*HSCEI!$G$47/HSCEI!$B$3,""))</f>
        <v/>
      </c>
      <c r="FW197" s="85">
        <f>IF(DI197="","",IFERROR(DI197*HSCEI!$B$47*HSCEI!$G$47/HSCEI!$B$3,""))</f>
        <v/>
      </c>
      <c r="FX197" s="85">
        <f>IF(DJ197="","",IFERROR(DJ197*HSCEI!$B$47*HSCEI!$G$47/HSCEI!$B$3,""))</f>
        <v/>
      </c>
      <c r="FY197" s="85">
        <f>IF(DK197="","",IFERROR(DK197*HSCEI!$B$47*HSCEI!$G$47/HSCEI!$B$3,""))</f>
        <v/>
      </c>
      <c r="FZ197" s="85">
        <f>IF(DL197="","",IFERROR(DL197*HSCEI!$B$47*HSCEI!$G$47/HSCEI!$B$3,""))</f>
        <v/>
      </c>
      <c r="GA197" s="85">
        <f>IF(DM197="","",IFERROR(DM197*HSCEI!$B$47*HSCEI!$G$47/HSCEI!$B$3,""))</f>
        <v/>
      </c>
      <c r="GB197" s="85">
        <f>IF(DN197="","",IFERROR(DN197*HSCEI!$B$47*HSCEI!$G$47/HSCEI!$B$3,""))</f>
        <v/>
      </c>
      <c r="GC197" s="85">
        <f>IF(DO197="","",IFERROR(DO197*HSCEI!$B$47*HSCEI!$G$47/HSCEI!$B$3,""))</f>
        <v/>
      </c>
      <c r="GD197" s="85">
        <f>IF(DP197="","",IFERROR(DP197*HSCEI!$B$47*HSCEI!$G$47/HSCEI!$B$3,""))</f>
        <v/>
      </c>
      <c r="GE197" s="85">
        <f>IF(DQ197="","",IFERROR(DQ197*HSCEI!$B$47*HSCEI!$G$47/HSCEI!$B$3,""))</f>
        <v/>
      </c>
      <c r="GF197" s="85">
        <f>IF(DR197="","",IFERROR(DR197*HSCEI!$B$47*HSCEI!$G$47/HSCEI!$B$3,""))</f>
        <v/>
      </c>
      <c r="GG197" s="85">
        <f>IF(DS197="","",IFERROR(DS197*HSCEI!$B$47*HSCEI!$G$47/HSCEI!$B$3,""))</f>
        <v/>
      </c>
      <c r="GH197" s="85">
        <f>IF(DT197="","",IFERROR(DT197*HSCEI!$B$47*HSCEI!$G$47/HSCEI!$B$3,""))</f>
        <v/>
      </c>
      <c r="GI197" s="85">
        <f>IF(DU197="","",IFERROR(DU197*HSCEI!$B$47*HSCEI!$G$47/HSCEI!$B$3,""))</f>
        <v/>
      </c>
      <c r="GJ197" s="85">
        <f>IF(DV197="","",IFERROR(DV197*HSCEI!$B$47*HSCEI!$G$47/HSCEI!$B$3,""))</f>
        <v/>
      </c>
      <c r="GK197" s="85">
        <f>IF(DW197="","",IFERROR(DW197*HSCEI!$B$47*HSCEI!$G$47/HSCEI!$B$3,""))</f>
        <v/>
      </c>
      <c r="GL197" s="85">
        <f>IF(DX197="","",IFERROR(DX197*HSCEI!$B$47*HSCEI!$G$47/HSCEI!$B$3,""))</f>
        <v/>
      </c>
      <c r="GM197" s="85">
        <f>IF(DY197="","",IFERROR(DY197*HSCEI!$B$47*HSCEI!$G$47/HSCEI!$B$3,""))</f>
        <v/>
      </c>
      <c r="GN197" s="85">
        <f>IF(DZ197="","",IFERROR(DZ197*HSCEI!$B$47*HSCEI!$G$47/HSCEI!$B$3,""))</f>
        <v/>
      </c>
      <c r="GO197" s="85">
        <f>IF(EA197="","",IFERROR(EA197*HSCEI!$B$47*HSCEI!$G$47/HSCEI!$B$3,""))</f>
        <v/>
      </c>
      <c r="GP197" s="85">
        <f>IF(EB197="","",IFERROR(EB197*HSCEI!$B$47*HSCEI!$G$47/HSCEI!$B$3,""))</f>
        <v/>
      </c>
      <c r="GQ197" s="85">
        <f>IF(EC197="","",IFERROR(EC197*HSCEI!$B$47*HSCEI!$G$47/HSCEI!$B$3,""))</f>
        <v/>
      </c>
    </row>
    <row r="198">
      <c r="B198" s="2">
        <f>IF(HSCEI!$C$48="","",HSCEI!$C$48)</f>
        <v/>
      </c>
      <c r="C198" s="41">
        <f>IF(N('Dvd Calendar'!$E$2735)=0,"",IF(('Dvd Calendar'!$E$2735&gt;=MIN(DATE(Summary!$C$12,1,1),Summary!$C$11))*('Dvd Calendar'!$E$2735&lt;=MAX(DATE(Summary!$C$12,12,31),Summary!$C$15))*('Dvd Calendar'!$E$2735&lt;=Summary!$C$11)=0,"",'Dvd Calendar'!$E$2735*1000000000+ISNUMBER('Dvd Calendar'!$E$2736)*100000000+('Dvd Calendar'!$E$2740='Field Check'!$C$25)*10000000+(N('Dvd Calendar'!$E$2734)&gt;0)*1000000+42*1000+1))</f>
        <v/>
      </c>
      <c r="D198" s="41">
        <f>IF(N('Dvd Calendar'!$F$2735)=0,"",IF(('Dvd Calendar'!$F$2735&gt;=MIN(DATE(Summary!$C$12,1,1),Summary!$C$11))*('Dvd Calendar'!$F$2735&lt;=MAX(DATE(Summary!$C$12,12,31),Summary!$C$15))*('Dvd Calendar'!$F$2735&lt;=Summary!$C$11)=0,"",'Dvd Calendar'!$F$2735*1000000000+ISNUMBER('Dvd Calendar'!$F$2736)*100000000+('Dvd Calendar'!$F$2740='Field Check'!$C$25)*10000000+(N('Dvd Calendar'!$F$2734)&gt;0)*1000000+42*1000+2))</f>
        <v/>
      </c>
      <c r="E198" s="41">
        <f>IF(N('Dvd Calendar'!$G$2735)=0,"",IF(('Dvd Calendar'!$G$2735&gt;=MIN(DATE(Summary!$C$12,1,1),Summary!$C$11))*('Dvd Calendar'!$G$2735&lt;=MAX(DATE(Summary!$C$12,12,31),Summary!$C$15))*('Dvd Calendar'!$G$2735&lt;=Summary!$C$11)=0,"",'Dvd Calendar'!$G$2735*1000000000+ISNUMBER('Dvd Calendar'!$G$2736)*100000000+('Dvd Calendar'!$G$2740='Field Check'!$C$25)*10000000+(N('Dvd Calendar'!$G$2734)&gt;0)*1000000+42*1000+3))</f>
        <v/>
      </c>
      <c r="F198" s="41">
        <f>IF(N('Dvd Calendar'!$H$2735)=0,"",IF(('Dvd Calendar'!$H$2735&gt;=MIN(DATE(Summary!$C$12,1,1),Summary!$C$11))*('Dvd Calendar'!$H$2735&lt;=MAX(DATE(Summary!$C$12,12,31),Summary!$C$15))*('Dvd Calendar'!$H$2735&lt;=Summary!$C$11)=0,"",'Dvd Calendar'!$H$2735*1000000000+ISNUMBER('Dvd Calendar'!$H$2736)*100000000+('Dvd Calendar'!$H$2740='Field Check'!$C$25)*10000000+(N('Dvd Calendar'!$H$2734)&gt;0)*1000000+42*1000+4))</f>
        <v/>
      </c>
      <c r="G198" s="41">
        <f>IF(N('Dvd Calendar'!$I$2735)=0,"",IF(('Dvd Calendar'!$I$2735&gt;=MIN(DATE(Summary!$C$12,1,1),Summary!$C$11))*('Dvd Calendar'!$I$2735&lt;=MAX(DATE(Summary!$C$12,12,31),Summary!$C$15))*('Dvd Calendar'!$I$2735&lt;=Summary!$C$11)=0,"",'Dvd Calendar'!$I$2735*1000000000+ISNUMBER('Dvd Calendar'!$I$2736)*100000000+('Dvd Calendar'!$I$2740='Field Check'!$C$25)*10000000+(N('Dvd Calendar'!$I$2734)&gt;0)*1000000+42*1000+5))</f>
        <v/>
      </c>
      <c r="H198" s="41">
        <f>IF(N('Dvd Calendar'!$J$2735)=0,"",IF(('Dvd Calendar'!$J$2735&gt;=MIN(DATE(Summary!$C$12,1,1),Summary!$C$11))*('Dvd Calendar'!$J$2735&lt;=MAX(DATE(Summary!$C$12,12,31),Summary!$C$15))*('Dvd Calendar'!$J$2735&lt;=Summary!$C$11)=0,"",'Dvd Calendar'!$J$2735*1000000000+ISNUMBER('Dvd Calendar'!$J$2736)*100000000+('Dvd Calendar'!$J$2740='Field Check'!$C$25)*10000000+(N('Dvd Calendar'!$J$2734)&gt;0)*1000000+42*1000+6))</f>
        <v/>
      </c>
      <c r="I198" s="41">
        <f>IF(N('Dvd Calendar'!$K$2735)=0,"",IF(('Dvd Calendar'!$K$2735&gt;=MIN(DATE(Summary!$C$12,1,1),Summary!$C$11))*('Dvd Calendar'!$K$2735&lt;=MAX(DATE(Summary!$C$12,12,31),Summary!$C$15))*('Dvd Calendar'!$K$2735&lt;=Summary!$C$11)=0,"",'Dvd Calendar'!$K$2735*1000000000+ISNUMBER('Dvd Calendar'!$K$2736)*100000000+('Dvd Calendar'!$K$2740='Field Check'!$C$25)*10000000+(N('Dvd Calendar'!$K$2734)&gt;0)*1000000+42*1000+7))</f>
        <v/>
      </c>
      <c r="J198" s="41">
        <f>IF(N('Dvd Calendar'!$L$2735)=0,"",IF(('Dvd Calendar'!$L$2735&gt;=MIN(DATE(Summary!$C$12,1,1),Summary!$C$11))*('Dvd Calendar'!$L$2735&lt;=MAX(DATE(Summary!$C$12,12,31),Summary!$C$15))*('Dvd Calendar'!$L$2735&lt;=Summary!$C$11)=0,"",'Dvd Calendar'!$L$2735*1000000000+ISNUMBER('Dvd Calendar'!$L$2736)*100000000+('Dvd Calendar'!$L$2740='Field Check'!$C$25)*10000000+(N('Dvd Calendar'!$L$2734)&gt;0)*1000000+42*1000+8))</f>
        <v/>
      </c>
      <c r="K198" s="41">
        <f>IF(N('Dvd Calendar'!$M$2735)=0,"",IF(('Dvd Calendar'!$M$2735&gt;=MIN(DATE(Summary!$C$12,1,1),Summary!$C$11))*('Dvd Calendar'!$M$2735&lt;=MAX(DATE(Summary!$C$12,12,31),Summary!$C$15))*('Dvd Calendar'!$M$2735&lt;=Summary!$C$11)=0,"",'Dvd Calendar'!$M$2735*1000000000+ISNUMBER('Dvd Calendar'!$M$2736)*100000000+('Dvd Calendar'!$M$2740='Field Check'!$C$25)*10000000+(N('Dvd Calendar'!$M$2734)&gt;0)*1000000+42*1000+9))</f>
        <v/>
      </c>
      <c r="L198" s="41">
        <f>IF(N('Dvd Calendar'!$N$2735)=0,"",IF(('Dvd Calendar'!$N$2735&gt;=MIN(DATE(Summary!$C$12,1,1),Summary!$C$11))*('Dvd Calendar'!$N$2735&lt;=MAX(DATE(Summary!$C$12,12,31),Summary!$C$15))*('Dvd Calendar'!$N$2735&lt;=Summary!$C$11)=0,"",'Dvd Calendar'!$N$2735*1000000000+ISNUMBER('Dvd Calendar'!$N$2736)*100000000+('Dvd Calendar'!$N$2740='Field Check'!$C$25)*10000000+(N('Dvd Calendar'!$N$2734)&gt;0)*1000000+42*1000+10))</f>
        <v/>
      </c>
      <c r="M198" s="41">
        <f>IF(N('Dvd Calendar'!$O$2735)=0,"",IF(('Dvd Calendar'!$O$2735&gt;=MIN(DATE(Summary!$C$12,1,1),Summary!$C$11))*('Dvd Calendar'!$O$2735&lt;=MAX(DATE(Summary!$C$12,12,31),Summary!$C$15))*('Dvd Calendar'!$O$2735&lt;=Summary!$C$11)=0,"",'Dvd Calendar'!$O$2735*1000000000+ISNUMBER('Dvd Calendar'!$O$2736)*100000000+('Dvd Calendar'!$O$2740='Field Check'!$C$25)*10000000+(N('Dvd Calendar'!$O$2734)&gt;0)*1000000+42*1000+11))</f>
        <v/>
      </c>
      <c r="N198" s="41">
        <f>IF(N('Dvd Calendar'!$P$2735)=0,"",IF(('Dvd Calendar'!$P$2735&gt;=MIN(DATE(Summary!$C$12,1,1),Summary!$C$11))*('Dvd Calendar'!$P$2735&lt;=MAX(DATE(Summary!$C$12,12,31),Summary!$C$15))*('Dvd Calendar'!$P$2735&lt;=Summary!$C$11)=0,"",'Dvd Calendar'!$P$2735*1000000000+ISNUMBER('Dvd Calendar'!$P$2736)*100000000+('Dvd Calendar'!$P$2740='Field Check'!$C$25)*10000000+(N('Dvd Calendar'!$P$2734)&gt;0)*1000000+42*1000+12))</f>
        <v/>
      </c>
      <c r="O198" s="41">
        <f>IF(N('Dvd Calendar'!$Q$2735)=0,"",IF(('Dvd Calendar'!$Q$2735&gt;=MIN(DATE(Summary!$C$12,1,1),Summary!$C$11))*('Dvd Calendar'!$Q$2735&lt;=MAX(DATE(Summary!$C$12,12,31),Summary!$C$15))*('Dvd Calendar'!$Q$2735&lt;=Summary!$C$11)=0,"",'Dvd Calendar'!$Q$2735*1000000000+ISNUMBER('Dvd Calendar'!$Q$2736)*100000000+('Dvd Calendar'!$Q$2740='Field Check'!$C$25)*10000000+(N('Dvd Calendar'!$Q$2734)&gt;0)*1000000+42*1000+13))</f>
        <v/>
      </c>
      <c r="P198" s="41">
        <f>IF(N('Dvd Calendar'!$R$2735)=0,"",IF(('Dvd Calendar'!$R$2735&gt;=MIN(DATE(Summary!$C$12,1,1),Summary!$C$11))*('Dvd Calendar'!$R$2735&lt;=MAX(DATE(Summary!$C$12,12,31),Summary!$C$15))*('Dvd Calendar'!$R$2735&lt;=Summary!$C$11)=0,"",'Dvd Calendar'!$R$2735*1000000000+ISNUMBER('Dvd Calendar'!$R$2736)*100000000+('Dvd Calendar'!$R$2740='Field Check'!$C$25)*10000000+(N('Dvd Calendar'!$R$2734)&gt;0)*1000000+42*1000+14))</f>
        <v/>
      </c>
      <c r="Q198" s="41">
        <f>IF(N('Dvd Calendar'!$S$2735)=0,"",IF(('Dvd Calendar'!$S$2735&gt;=MIN(DATE(Summary!$C$12,1,1),Summary!$C$11))*('Dvd Calendar'!$S$2735&lt;=MAX(DATE(Summary!$C$12,12,31),Summary!$C$15))*('Dvd Calendar'!$S$2735&lt;=Summary!$C$11)=0,"",'Dvd Calendar'!$S$2735*1000000000+ISNUMBER('Dvd Calendar'!$S$2736)*100000000+('Dvd Calendar'!$S$2740='Field Check'!$C$25)*10000000+(N('Dvd Calendar'!$S$2734)&gt;0)*1000000+42*1000+15))</f>
        <v/>
      </c>
      <c r="R198" s="41">
        <f>IF(N('Dvd Calendar'!$T$2735)=0,"",IF(('Dvd Calendar'!$T$2735&gt;=MIN(DATE(Summary!$C$12,1,1),Summary!$C$11))*('Dvd Calendar'!$T$2735&lt;=MAX(DATE(Summary!$C$12,12,31),Summary!$C$15))*('Dvd Calendar'!$T$2735&lt;=Summary!$C$11)=0,"",'Dvd Calendar'!$T$2735*1000000000+ISNUMBER('Dvd Calendar'!$T$2736)*100000000+('Dvd Calendar'!$T$2740='Field Check'!$C$25)*10000000+(N('Dvd Calendar'!$T$2734)&gt;0)*1000000+42*1000+16))</f>
        <v/>
      </c>
      <c r="S198" s="41">
        <f>IF(N('Dvd Calendar'!$U$2735)=0,"",IF(('Dvd Calendar'!$U$2735&gt;=MIN(DATE(Summary!$C$12,1,1),Summary!$C$11))*('Dvd Calendar'!$U$2735&lt;=MAX(DATE(Summary!$C$12,12,31),Summary!$C$15))*('Dvd Calendar'!$U$2735&lt;=Summary!$C$11)=0,"",'Dvd Calendar'!$U$2735*1000000000+ISNUMBER('Dvd Calendar'!$U$2736)*100000000+('Dvd Calendar'!$U$2740='Field Check'!$C$25)*10000000+(N('Dvd Calendar'!$U$2734)&gt;0)*1000000+42*1000+17))</f>
        <v/>
      </c>
      <c r="T198" s="41">
        <f>IF(N('Dvd Calendar'!$V$2735)=0,"",IF(('Dvd Calendar'!$V$2735&gt;=MIN(DATE(Summary!$C$12,1,1),Summary!$C$11))*('Dvd Calendar'!$V$2735&lt;=MAX(DATE(Summary!$C$12,12,31),Summary!$C$15))*('Dvd Calendar'!$V$2735&lt;=Summary!$C$11)=0,"",'Dvd Calendar'!$V$2735*1000000000+ISNUMBER('Dvd Calendar'!$V$2736)*100000000+('Dvd Calendar'!$V$2740='Field Check'!$C$25)*10000000+(N('Dvd Calendar'!$V$2734)&gt;0)*1000000+42*1000+18))</f>
        <v/>
      </c>
      <c r="U198" s="41">
        <f>IF(N('Dvd Calendar'!$W$2735)=0,"",IF(('Dvd Calendar'!$W$2735&gt;=MIN(DATE(Summary!$C$12,1,1),Summary!$C$11))*('Dvd Calendar'!$W$2735&lt;=MAX(DATE(Summary!$C$12,12,31),Summary!$C$15))*('Dvd Calendar'!$W$2735&lt;=Summary!$C$11)=0,"",'Dvd Calendar'!$W$2735*1000000000+ISNUMBER('Dvd Calendar'!$W$2736)*100000000+('Dvd Calendar'!$W$2740='Field Check'!$C$25)*10000000+(N('Dvd Calendar'!$W$2734)&gt;0)*1000000+42*1000+19))</f>
        <v/>
      </c>
      <c r="V198" s="41">
        <f>IF(N('Dvd Calendar'!$X$2735)=0,"",IF(('Dvd Calendar'!$X$2735&gt;=MIN(DATE(Summary!$C$12,1,1),Summary!$C$11))*('Dvd Calendar'!$X$2735&lt;=MAX(DATE(Summary!$C$12,12,31),Summary!$C$15))*('Dvd Calendar'!$X$2735&lt;=Summary!$C$11)=0,"",'Dvd Calendar'!$X$2735*1000000000+ISNUMBER('Dvd Calendar'!$X$2736)*100000000+('Dvd Calendar'!$X$2740='Field Check'!$C$25)*10000000+(N('Dvd Calendar'!$X$2734)&gt;0)*1000000+42*1000+20))</f>
        <v/>
      </c>
      <c r="W198" s="41">
        <f>IF(N('Dvd Calendar'!$Y$2735)=0,"",IF(('Dvd Calendar'!$Y$2735&gt;=MIN(DATE(Summary!$C$12,1,1),Summary!$C$11))*('Dvd Calendar'!$Y$2735&lt;=MAX(DATE(Summary!$C$12,12,31),Summary!$C$15))*('Dvd Calendar'!$Y$2735&lt;=Summary!$C$11)=0,"",'Dvd Calendar'!$Y$2735*1000000000+ISNUMBER('Dvd Calendar'!$Y$2736)*100000000+('Dvd Calendar'!$Y$2740='Field Check'!$C$25)*10000000+(N('Dvd Calendar'!$Y$2734)&gt;0)*1000000+42*1000+21))</f>
        <v/>
      </c>
      <c r="X198" s="41">
        <f>IF(N('Dvd Calendar'!$Z$2735)=0,"",IF(('Dvd Calendar'!$Z$2735&gt;=MIN(DATE(Summary!$C$12,1,1),Summary!$C$11))*('Dvd Calendar'!$Z$2735&lt;=MAX(DATE(Summary!$C$12,12,31),Summary!$C$15))*('Dvd Calendar'!$Z$2735&lt;=Summary!$C$11)=0,"",'Dvd Calendar'!$Z$2735*1000000000+ISNUMBER('Dvd Calendar'!$Z$2736)*100000000+('Dvd Calendar'!$Z$2740='Field Check'!$C$25)*10000000+(N('Dvd Calendar'!$Z$2734)&gt;0)*1000000+42*1000+22))</f>
        <v/>
      </c>
      <c r="Y198" s="41">
        <f>IF(N('Dvd Calendar'!$AA$2735)=0,"",IF(('Dvd Calendar'!$AA$2735&gt;=MIN(DATE(Summary!$C$12,1,1),Summary!$C$11))*('Dvd Calendar'!$AA$2735&lt;=MAX(DATE(Summary!$C$12,12,31),Summary!$C$15))*('Dvd Calendar'!$AA$2735&lt;=Summary!$C$11)=0,"",'Dvd Calendar'!$AA$2735*1000000000+ISNUMBER('Dvd Calendar'!$AA$2736)*100000000+('Dvd Calendar'!$AA$2740='Field Check'!$C$25)*10000000+(N('Dvd Calendar'!$AA$2734)&gt;0)*1000000+42*1000+23))</f>
        <v/>
      </c>
      <c r="Z198" s="41">
        <f>IF(N('Dvd Calendar'!$AB$2735)=0,"",IF(('Dvd Calendar'!$AB$2735&gt;=MIN(DATE(Summary!$C$12,1,1),Summary!$C$11))*('Dvd Calendar'!$AB$2735&lt;=MAX(DATE(Summary!$C$12,12,31),Summary!$C$15))*('Dvd Calendar'!$AB$2735&lt;=Summary!$C$11)=0,"",'Dvd Calendar'!$AB$2735*1000000000+ISNUMBER('Dvd Calendar'!$AB$2736)*100000000+('Dvd Calendar'!$AB$2740='Field Check'!$C$25)*10000000+(N('Dvd Calendar'!$AB$2734)&gt;0)*1000000+42*1000+24))</f>
        <v/>
      </c>
      <c r="AA198" s="41">
        <f>IF(N('Dvd Calendar'!$AC$2735)=0,"",IF(('Dvd Calendar'!$AC$2735&gt;=MIN(DATE(Summary!$C$12,1,1),Summary!$C$11))*('Dvd Calendar'!$AC$2735&lt;=MAX(DATE(Summary!$C$12,12,31),Summary!$C$15))*('Dvd Calendar'!$AC$2735&lt;=Summary!$C$11)=0,"",'Dvd Calendar'!$AC$2735*1000000000+ISNUMBER('Dvd Calendar'!$AC$2736)*100000000+('Dvd Calendar'!$AC$2740='Field Check'!$C$25)*10000000+(N('Dvd Calendar'!$AC$2734)&gt;0)*1000000+42*1000+25))</f>
        <v/>
      </c>
      <c r="AB198" s="41">
        <f>IF(N('Dvd Calendar'!$AD$2735)=0,"",IF(('Dvd Calendar'!$AD$2735&gt;=MIN(DATE(Summary!$C$12,1,1),Summary!$C$11))*('Dvd Calendar'!$AD$2735&lt;=MAX(DATE(Summary!$C$12,12,31),Summary!$C$15))*('Dvd Calendar'!$AD$2735&lt;=Summary!$C$11)=0,"",'Dvd Calendar'!$AD$2735*1000000000+ISNUMBER('Dvd Calendar'!$AD$2736)*100000000+('Dvd Calendar'!$AD$2740='Field Check'!$C$25)*10000000+(N('Dvd Calendar'!$AD$2734)&gt;0)*1000000+42*1000+26))</f>
        <v/>
      </c>
      <c r="AC198" s="41">
        <f>IF(N('Dvd Calendar'!$AE$2735)=0,"",IF(('Dvd Calendar'!$AE$2735&gt;=MIN(DATE(Summary!$C$12,1,1),Summary!$C$11))*('Dvd Calendar'!$AE$2735&lt;=MAX(DATE(Summary!$C$12,12,31),Summary!$C$15))*('Dvd Calendar'!$AE$2735&lt;=Summary!$C$11)=0,"",'Dvd Calendar'!$AE$2735*1000000000+ISNUMBER('Dvd Calendar'!$AE$2736)*100000000+('Dvd Calendar'!$AE$2740='Field Check'!$C$25)*10000000+(N('Dvd Calendar'!$AE$2734)&gt;0)*1000000+42*1000+27))</f>
        <v/>
      </c>
      <c r="AD198" s="41">
        <f>IF(N('Dvd Calendar'!$AF$2735)=0,"",IF(('Dvd Calendar'!$AF$2735&gt;=MIN(DATE(Summary!$C$12,1,1),Summary!$C$11))*('Dvd Calendar'!$AF$2735&lt;=MAX(DATE(Summary!$C$12,12,31),Summary!$C$15))*('Dvd Calendar'!$AF$2735&lt;=Summary!$C$11)=0,"",'Dvd Calendar'!$AF$2735*1000000000+ISNUMBER('Dvd Calendar'!$AF$2736)*100000000+('Dvd Calendar'!$AF$2740='Field Check'!$C$25)*10000000+(N('Dvd Calendar'!$AF$2734)&gt;0)*1000000+42*1000+28))</f>
        <v/>
      </c>
      <c r="AE198" s="41">
        <f>IF(N('Dvd Calendar'!$AG$2735)=0,"",IF(('Dvd Calendar'!$AG$2735&gt;=MIN(DATE(Summary!$C$12,1,1),Summary!$C$11))*('Dvd Calendar'!$AG$2735&lt;=MAX(DATE(Summary!$C$12,12,31),Summary!$C$15))*('Dvd Calendar'!$AG$2735&lt;=Summary!$C$11)=0,"",'Dvd Calendar'!$AG$2735*1000000000+ISNUMBER('Dvd Calendar'!$AG$2736)*100000000+('Dvd Calendar'!$AG$2740='Field Check'!$C$25)*10000000+(N('Dvd Calendar'!$AG$2734)&gt;0)*1000000+42*1000+29))</f>
        <v/>
      </c>
      <c r="AF198" s="41">
        <f>IF(N('Dvd Calendar'!$AH$2735)=0,"",IF(('Dvd Calendar'!$AH$2735&gt;=MIN(DATE(Summary!$C$12,1,1),Summary!$C$11))*('Dvd Calendar'!$AH$2735&lt;=MAX(DATE(Summary!$C$12,12,31),Summary!$C$15))*('Dvd Calendar'!$AH$2735&lt;=Summary!$C$11)=0,"",'Dvd Calendar'!$AH$2735*1000000000+ISNUMBER('Dvd Calendar'!$AH$2736)*100000000+('Dvd Calendar'!$AH$2740='Field Check'!$C$25)*10000000+(N('Dvd Calendar'!$AH$2734)&gt;0)*1000000+42*1000+30))</f>
        <v/>
      </c>
      <c r="AG198" s="41">
        <f>IF(N('Dvd Calendar'!$AI$2735)=0,"",IF(('Dvd Calendar'!$AI$2735&gt;=MIN(DATE(Summary!$C$12,1,1),Summary!$C$11))*('Dvd Calendar'!$AI$2735&lt;=MAX(DATE(Summary!$C$12,12,31),Summary!$C$15))*('Dvd Calendar'!$AI$2735&lt;=Summary!$C$11)=0,"",'Dvd Calendar'!$AI$2735*1000000000+ISNUMBER('Dvd Calendar'!$AI$2736)*100000000+('Dvd Calendar'!$AI$2740='Field Check'!$C$25)*10000000+(N('Dvd Calendar'!$AI$2734)&gt;0)*1000000+42*1000+31))</f>
        <v/>
      </c>
      <c r="AH198" s="41">
        <f>IF(N('Dvd Calendar'!$AJ$2735)=0,"",IF(('Dvd Calendar'!$AJ$2735&gt;=MIN(DATE(Summary!$C$12,1,1),Summary!$C$11))*('Dvd Calendar'!$AJ$2735&lt;=MAX(DATE(Summary!$C$12,12,31),Summary!$C$15))*('Dvd Calendar'!$AJ$2735&lt;=Summary!$C$11)=0,"",'Dvd Calendar'!$AJ$2735*1000000000+ISNUMBER('Dvd Calendar'!$AJ$2736)*100000000+('Dvd Calendar'!$AJ$2740='Field Check'!$C$25)*10000000+(N('Dvd Calendar'!$AJ$2734)&gt;0)*1000000+42*1000+32))</f>
        <v/>
      </c>
      <c r="AI198" s="41">
        <f>IF(N('Dvd Calendar'!$AK$2735)=0,"",IF(('Dvd Calendar'!$AK$2735&gt;=MIN(DATE(Summary!$C$12,1,1),Summary!$C$11))*('Dvd Calendar'!$AK$2735&lt;=MAX(DATE(Summary!$C$12,12,31),Summary!$C$15))*('Dvd Calendar'!$AK$2735&lt;=Summary!$C$11)=0,"",'Dvd Calendar'!$AK$2735*1000000000+ISNUMBER('Dvd Calendar'!$AK$2736)*100000000+('Dvd Calendar'!$AK$2740='Field Check'!$C$25)*10000000+(N('Dvd Calendar'!$AK$2734)&gt;0)*1000000+42*1000+33))</f>
        <v/>
      </c>
      <c r="AJ198" s="41">
        <f>IF(N('Dvd Calendar'!$AL$2735)=0,"",IF(('Dvd Calendar'!$AL$2735&gt;=MIN(DATE(Summary!$C$12,1,1),Summary!$C$11))*('Dvd Calendar'!$AL$2735&lt;=MAX(DATE(Summary!$C$12,12,31),Summary!$C$15))*('Dvd Calendar'!$AL$2735&lt;=Summary!$C$11)=0,"",'Dvd Calendar'!$AL$2735*1000000000+ISNUMBER('Dvd Calendar'!$AL$2736)*100000000+('Dvd Calendar'!$AL$2740='Field Check'!$C$25)*10000000+(N('Dvd Calendar'!$AL$2734)&gt;0)*1000000+42*1000+34))</f>
        <v/>
      </c>
      <c r="AK198" s="41">
        <f>IF(N('Dvd Calendar'!$AM$2735)=0,"",IF(('Dvd Calendar'!$AM$2735&gt;=MIN(DATE(Summary!$C$12,1,1),Summary!$C$11))*('Dvd Calendar'!$AM$2735&lt;=MAX(DATE(Summary!$C$12,12,31),Summary!$C$15))*('Dvd Calendar'!$AM$2735&lt;=Summary!$C$11)=0,"",'Dvd Calendar'!$AM$2735*1000000000+ISNUMBER('Dvd Calendar'!$AM$2736)*100000000+('Dvd Calendar'!$AM$2740='Field Check'!$C$25)*10000000+(N('Dvd Calendar'!$AM$2734)&gt;0)*1000000+42*1000+35))</f>
        <v/>
      </c>
      <c r="AL198" s="41">
        <f>IF(N('Dvd Calendar'!$AN$2735)=0,"",IF(('Dvd Calendar'!$AN$2735&gt;=MIN(DATE(Summary!$C$12,1,1),Summary!$C$11))*('Dvd Calendar'!$AN$2735&lt;=MAX(DATE(Summary!$C$12,12,31),Summary!$C$15))*('Dvd Calendar'!$AN$2735&lt;=Summary!$C$11)=0,"",'Dvd Calendar'!$AN$2735*1000000000+ISNUMBER('Dvd Calendar'!$AN$2736)*100000000+('Dvd Calendar'!$AN$2740='Field Check'!$C$25)*10000000+(N('Dvd Calendar'!$AN$2734)&gt;0)*1000000+42*1000+36))</f>
        <v/>
      </c>
      <c r="AM198" s="41">
        <f>IF(N('Dvd Calendar'!$AO$2735)=0,"",IF(('Dvd Calendar'!$AO$2735&gt;=MIN(DATE(Summary!$C$12,1,1),Summary!$C$11))*('Dvd Calendar'!$AO$2735&lt;=MAX(DATE(Summary!$C$12,12,31),Summary!$C$15))*('Dvd Calendar'!$AO$2735&lt;=Summary!$C$11)=0,"",'Dvd Calendar'!$AO$2735*1000000000+ISNUMBER('Dvd Calendar'!$AO$2736)*100000000+('Dvd Calendar'!$AO$2740='Field Check'!$C$25)*10000000+(N('Dvd Calendar'!$AO$2734)&gt;0)*1000000+42*1000+37))</f>
        <v/>
      </c>
      <c r="AN198" s="41">
        <f>IF(N('Dvd Calendar'!$AP$2735)=0,"",IF(('Dvd Calendar'!$AP$2735&gt;=MIN(DATE(Summary!$C$12,1,1),Summary!$C$11))*('Dvd Calendar'!$AP$2735&lt;=MAX(DATE(Summary!$C$12,12,31),Summary!$C$15))*('Dvd Calendar'!$AP$2735&lt;=Summary!$C$11)=0,"",'Dvd Calendar'!$AP$2735*1000000000+ISNUMBER('Dvd Calendar'!$AP$2736)*100000000+('Dvd Calendar'!$AP$2740='Field Check'!$C$25)*10000000+(N('Dvd Calendar'!$AP$2734)&gt;0)*1000000+42*1000+38))</f>
        <v/>
      </c>
      <c r="AO198" s="41">
        <f>IF(N('Dvd Calendar'!$AQ$2735)=0,"",IF(('Dvd Calendar'!$AQ$2735&gt;=MIN(DATE(Summary!$C$12,1,1),Summary!$C$11))*('Dvd Calendar'!$AQ$2735&lt;=MAX(DATE(Summary!$C$12,12,31),Summary!$C$15))*('Dvd Calendar'!$AQ$2735&lt;=Summary!$C$11)=0,"",'Dvd Calendar'!$AQ$2735*1000000000+ISNUMBER('Dvd Calendar'!$AQ$2736)*100000000+('Dvd Calendar'!$AQ$2740='Field Check'!$C$25)*10000000+(N('Dvd Calendar'!$AQ$2734)&gt;0)*1000000+42*1000+39))</f>
        <v/>
      </c>
      <c r="AP198" s="41">
        <f>IF(N('Dvd Calendar'!$AR$2735)=0,"",IF(('Dvd Calendar'!$AR$2735&gt;=MIN(DATE(Summary!$C$12,1,1),Summary!$C$11))*('Dvd Calendar'!$AR$2735&lt;=MAX(DATE(Summary!$C$12,12,31),Summary!$C$15))*('Dvd Calendar'!$AR$2735&lt;=Summary!$C$11)=0,"",'Dvd Calendar'!$AR$2735*1000000000+ISNUMBER('Dvd Calendar'!$AR$2736)*100000000+('Dvd Calendar'!$AR$2740='Field Check'!$C$25)*10000000+(N('Dvd Calendar'!$AR$2734)&gt;0)*1000000+42*1000+40))</f>
        <v/>
      </c>
      <c r="AQ198" s="41">
        <f>IF(N('Dvd Calendar'!$E$2742)=0,"",IF(('Dvd Calendar'!$E$2742&gt;=MIN(DATE(Summary!$C$12,1,1),Summary!$C$11))*('Dvd Calendar'!$E$2742&lt;=MAX(DATE(Summary!$C$12,12,31),Summary!$C$15))*('Dvd Calendar'!$E$2742&gt;Summary!$C$11)=0,"",'Dvd Calendar'!$E$2742*1000000000+ISNUMBER('Dvd Calendar'!$E$2743)*100000000+('Dvd Calendar'!$E$2747='Field Check'!$C$25)*10000000+(N('Dvd Calendar'!$E$2741)&gt;0)*1000000+42*1000+41))</f>
        <v/>
      </c>
      <c r="AR198" s="41">
        <f>IF(N('Dvd Calendar'!$F$2742)=0,"",IF(('Dvd Calendar'!$F$2742&gt;=MIN(DATE(Summary!$C$12,1,1),Summary!$C$11))*('Dvd Calendar'!$F$2742&lt;=MAX(DATE(Summary!$C$12,12,31),Summary!$C$15))*('Dvd Calendar'!$F$2742&gt;Summary!$C$11)=0,"",'Dvd Calendar'!$F$2742*1000000000+ISNUMBER('Dvd Calendar'!$F$2743)*100000000+('Dvd Calendar'!$F$2747='Field Check'!$C$25)*10000000+(N('Dvd Calendar'!$F$2741)&gt;0)*1000000+42*1000+42))</f>
        <v/>
      </c>
      <c r="AS198" s="41">
        <f>IF(N('Dvd Calendar'!$G$2742)=0,"",IF(('Dvd Calendar'!$G$2742&gt;=MIN(DATE(Summary!$C$12,1,1),Summary!$C$11))*('Dvd Calendar'!$G$2742&lt;=MAX(DATE(Summary!$C$12,12,31),Summary!$C$15))*('Dvd Calendar'!$G$2742&gt;Summary!$C$11)=0,"",'Dvd Calendar'!$G$2742*1000000000+ISNUMBER('Dvd Calendar'!$G$2743)*100000000+('Dvd Calendar'!$G$2747='Field Check'!$C$25)*10000000+(N('Dvd Calendar'!$G$2741)&gt;0)*1000000+42*1000+43))</f>
        <v/>
      </c>
      <c r="AT198" s="41">
        <f>IF(N('Dvd Calendar'!$H$2742)=0,"",IF(('Dvd Calendar'!$H$2742&gt;=MIN(DATE(Summary!$C$12,1,1),Summary!$C$11))*('Dvd Calendar'!$H$2742&lt;=MAX(DATE(Summary!$C$12,12,31),Summary!$C$15))*('Dvd Calendar'!$H$2742&gt;Summary!$C$11)=0,"",'Dvd Calendar'!$H$2742*1000000000+ISNUMBER('Dvd Calendar'!$H$2743)*100000000+('Dvd Calendar'!$H$2747='Field Check'!$C$25)*10000000+(N('Dvd Calendar'!$H$2741)&gt;0)*1000000+42*1000+44))</f>
        <v/>
      </c>
      <c r="AU198" s="41">
        <f>IF(N('Dvd Calendar'!$I$2742)=0,"",IF(('Dvd Calendar'!$I$2742&gt;=MIN(DATE(Summary!$C$12,1,1),Summary!$C$11))*('Dvd Calendar'!$I$2742&lt;=MAX(DATE(Summary!$C$12,12,31),Summary!$C$15))*('Dvd Calendar'!$I$2742&gt;Summary!$C$11)=0,"",'Dvd Calendar'!$I$2742*1000000000+ISNUMBER('Dvd Calendar'!$I$2743)*100000000+('Dvd Calendar'!$I$2747='Field Check'!$C$25)*10000000+(N('Dvd Calendar'!$I$2741)&gt;0)*1000000+42*1000+45))</f>
        <v/>
      </c>
      <c r="AV198" s="41">
        <f>IF(N('Dvd Calendar'!$J$2742)=0,"",IF(('Dvd Calendar'!$J$2742&gt;=MIN(DATE(Summary!$C$12,1,1),Summary!$C$11))*('Dvd Calendar'!$J$2742&lt;=MAX(DATE(Summary!$C$12,12,31),Summary!$C$15))*('Dvd Calendar'!$J$2742&gt;Summary!$C$11)=0,"",'Dvd Calendar'!$J$2742*1000000000+ISNUMBER('Dvd Calendar'!$J$2743)*100000000+('Dvd Calendar'!$J$2747='Field Check'!$C$25)*10000000+(N('Dvd Calendar'!$J$2741)&gt;0)*1000000+42*1000+46))</f>
        <v/>
      </c>
      <c r="AW198" s="41">
        <f>IF(N('Dvd Calendar'!$K$2742)=0,"",IF(('Dvd Calendar'!$K$2742&gt;=MIN(DATE(Summary!$C$12,1,1),Summary!$C$11))*('Dvd Calendar'!$K$2742&lt;=MAX(DATE(Summary!$C$12,12,31),Summary!$C$15))*('Dvd Calendar'!$K$2742&gt;Summary!$C$11)=0,"",'Dvd Calendar'!$K$2742*1000000000+ISNUMBER('Dvd Calendar'!$K$2743)*100000000+('Dvd Calendar'!$K$2747='Field Check'!$C$25)*10000000+(N('Dvd Calendar'!$K$2741)&gt;0)*1000000+42*1000+47))</f>
        <v/>
      </c>
      <c r="AX198" s="41">
        <f>IF(N('Dvd Calendar'!$L$2742)=0,"",IF(('Dvd Calendar'!$L$2742&gt;=MIN(DATE(Summary!$C$12,1,1),Summary!$C$11))*('Dvd Calendar'!$L$2742&lt;=MAX(DATE(Summary!$C$12,12,31),Summary!$C$15))*('Dvd Calendar'!$L$2742&gt;Summary!$C$11)=0,"",'Dvd Calendar'!$L$2742*1000000000+ISNUMBER('Dvd Calendar'!$L$2743)*100000000+('Dvd Calendar'!$L$2747='Field Check'!$C$25)*10000000+(N('Dvd Calendar'!$L$2741)&gt;0)*1000000+42*1000+48))</f>
        <v/>
      </c>
      <c r="AY198" s="41">
        <f>IF(N('Dvd Calendar'!$M$2742)=0,"",IF(('Dvd Calendar'!$M$2742&gt;=MIN(DATE(Summary!$C$12,1,1),Summary!$C$11))*('Dvd Calendar'!$M$2742&lt;=MAX(DATE(Summary!$C$12,12,31),Summary!$C$15))*('Dvd Calendar'!$M$2742&gt;Summary!$C$11)=0,"",'Dvd Calendar'!$M$2742*1000000000+ISNUMBER('Dvd Calendar'!$M$2743)*100000000+('Dvd Calendar'!$M$2747='Field Check'!$C$25)*10000000+(N('Dvd Calendar'!$M$2741)&gt;0)*1000000+42*1000+49))</f>
        <v/>
      </c>
      <c r="AZ198" s="41">
        <f>IF(N('Dvd Calendar'!$N$2742)=0,"",IF(('Dvd Calendar'!$N$2742&gt;=MIN(DATE(Summary!$C$12,1,1),Summary!$C$11))*('Dvd Calendar'!$N$2742&lt;=MAX(DATE(Summary!$C$12,12,31),Summary!$C$15))*('Dvd Calendar'!$N$2742&gt;Summary!$C$11)=0,"",'Dvd Calendar'!$N$2742*1000000000+ISNUMBER('Dvd Calendar'!$N$2743)*100000000+('Dvd Calendar'!$N$2747='Field Check'!$C$25)*10000000+(N('Dvd Calendar'!$N$2741)&gt;0)*1000000+42*1000+50))</f>
        <v/>
      </c>
      <c r="BA198" s="41">
        <f>IF(N('Dvd Calendar'!$O$2742)=0,"",IF(('Dvd Calendar'!$O$2742&gt;=MIN(DATE(Summary!$C$12,1,1),Summary!$C$11))*('Dvd Calendar'!$O$2742&lt;=MAX(DATE(Summary!$C$12,12,31),Summary!$C$15))*('Dvd Calendar'!$O$2742&gt;Summary!$C$11)=0,"",'Dvd Calendar'!$O$2742*1000000000+ISNUMBER('Dvd Calendar'!$O$2743)*100000000+('Dvd Calendar'!$O$2747='Field Check'!$C$25)*10000000+(N('Dvd Calendar'!$O$2741)&gt;0)*1000000+42*1000+51))</f>
        <v/>
      </c>
      <c r="BB198" s="41">
        <f>IF(N('Dvd Calendar'!$P$2742)=0,"",IF(('Dvd Calendar'!$P$2742&gt;=MIN(DATE(Summary!$C$12,1,1),Summary!$C$11))*('Dvd Calendar'!$P$2742&lt;=MAX(DATE(Summary!$C$12,12,31),Summary!$C$15))*('Dvd Calendar'!$P$2742&gt;Summary!$C$11)=0,"",'Dvd Calendar'!$P$2742*1000000000+ISNUMBER('Dvd Calendar'!$P$2743)*100000000+('Dvd Calendar'!$P$2747='Field Check'!$C$25)*10000000+(N('Dvd Calendar'!$P$2741)&gt;0)*1000000+42*1000+52))</f>
        <v/>
      </c>
      <c r="BC198" s="41">
        <f>IF(N('Dvd Calendar'!$Q$2742)=0,"",IF(('Dvd Calendar'!$Q$2742&gt;=MIN(DATE(Summary!$C$12,1,1),Summary!$C$11))*('Dvd Calendar'!$Q$2742&lt;=MAX(DATE(Summary!$C$12,12,31),Summary!$C$15))*('Dvd Calendar'!$Q$2742&gt;Summary!$C$11)=0,"",'Dvd Calendar'!$Q$2742*1000000000+ISNUMBER('Dvd Calendar'!$Q$2743)*100000000+('Dvd Calendar'!$Q$2747='Field Check'!$C$25)*10000000+(N('Dvd Calendar'!$Q$2741)&gt;0)*1000000+42*1000+53))</f>
        <v/>
      </c>
      <c r="BD198" s="41">
        <f>IF(N('Dvd Calendar'!$R$2742)=0,"",IF(('Dvd Calendar'!$R$2742&gt;=MIN(DATE(Summary!$C$12,1,1),Summary!$C$11))*('Dvd Calendar'!$R$2742&lt;=MAX(DATE(Summary!$C$12,12,31),Summary!$C$15))*('Dvd Calendar'!$R$2742&gt;Summary!$C$11)=0,"",'Dvd Calendar'!$R$2742*1000000000+ISNUMBER('Dvd Calendar'!$R$2743)*100000000+('Dvd Calendar'!$R$2747='Field Check'!$C$25)*10000000+(N('Dvd Calendar'!$R$2741)&gt;0)*1000000+42*1000+54))</f>
        <v/>
      </c>
      <c r="BE198" s="41">
        <f>IF(N('Dvd Calendar'!$S$2742)=0,"",IF(('Dvd Calendar'!$S$2742&gt;=MIN(DATE(Summary!$C$12,1,1),Summary!$C$11))*('Dvd Calendar'!$S$2742&lt;=MAX(DATE(Summary!$C$12,12,31),Summary!$C$15))*('Dvd Calendar'!$S$2742&gt;Summary!$C$11)=0,"",'Dvd Calendar'!$S$2742*1000000000+ISNUMBER('Dvd Calendar'!$S$2743)*100000000+('Dvd Calendar'!$S$2747='Field Check'!$C$25)*10000000+(N('Dvd Calendar'!$S$2741)&gt;0)*1000000+42*1000+55))</f>
        <v/>
      </c>
      <c r="BF198" s="41">
        <f>IF(N('Dvd Calendar'!$T$2742)=0,"",IF(('Dvd Calendar'!$T$2742&gt;=MIN(DATE(Summary!$C$12,1,1),Summary!$C$11))*('Dvd Calendar'!$T$2742&lt;=MAX(DATE(Summary!$C$12,12,31),Summary!$C$15))*('Dvd Calendar'!$T$2742&gt;Summary!$C$11)=0,"",'Dvd Calendar'!$T$2742*1000000000+ISNUMBER('Dvd Calendar'!$T$2743)*100000000+('Dvd Calendar'!$T$2747='Field Check'!$C$25)*10000000+(N('Dvd Calendar'!$T$2741)&gt;0)*1000000+42*1000+56))</f>
        <v/>
      </c>
      <c r="BG198" s="41">
        <f>IF(N('Dvd Calendar'!$U$2742)=0,"",IF(('Dvd Calendar'!$U$2742&gt;=MIN(DATE(Summary!$C$12,1,1),Summary!$C$11))*('Dvd Calendar'!$U$2742&lt;=MAX(DATE(Summary!$C$12,12,31),Summary!$C$15))*('Dvd Calendar'!$U$2742&gt;Summary!$C$11)=0,"",'Dvd Calendar'!$U$2742*1000000000+ISNUMBER('Dvd Calendar'!$U$2743)*100000000+('Dvd Calendar'!$U$2747='Field Check'!$C$25)*10000000+(N('Dvd Calendar'!$U$2741)&gt;0)*1000000+42*1000+57))</f>
        <v/>
      </c>
      <c r="BH198" s="41">
        <f>IF(N('Dvd Calendar'!$V$2742)=0,"",IF(('Dvd Calendar'!$V$2742&gt;=MIN(DATE(Summary!$C$12,1,1),Summary!$C$11))*('Dvd Calendar'!$V$2742&lt;=MAX(DATE(Summary!$C$12,12,31),Summary!$C$15))*('Dvd Calendar'!$V$2742&gt;Summary!$C$11)=0,"",'Dvd Calendar'!$V$2742*1000000000+ISNUMBER('Dvd Calendar'!$V$2743)*100000000+('Dvd Calendar'!$V$2747='Field Check'!$C$25)*10000000+(N('Dvd Calendar'!$V$2741)&gt;0)*1000000+42*1000+58))</f>
        <v/>
      </c>
      <c r="BI198" s="41">
        <f>IF(N('Dvd Calendar'!$W$2742)=0,"",IF(('Dvd Calendar'!$W$2742&gt;=MIN(DATE(Summary!$C$12,1,1),Summary!$C$11))*('Dvd Calendar'!$W$2742&lt;=MAX(DATE(Summary!$C$12,12,31),Summary!$C$15))*('Dvd Calendar'!$W$2742&gt;Summary!$C$11)=0,"",'Dvd Calendar'!$W$2742*1000000000+ISNUMBER('Dvd Calendar'!$W$2743)*100000000+('Dvd Calendar'!$W$2747='Field Check'!$C$25)*10000000+(N('Dvd Calendar'!$W$2741)&gt;0)*1000000+42*1000+59))</f>
        <v/>
      </c>
      <c r="BJ198" s="41">
        <f>IF(N('Dvd Calendar'!$X$2742)=0,"",IF(('Dvd Calendar'!$X$2742&gt;=MIN(DATE(Summary!$C$12,1,1),Summary!$C$11))*('Dvd Calendar'!$X$2742&lt;=MAX(DATE(Summary!$C$12,12,31),Summary!$C$15))*('Dvd Calendar'!$X$2742&gt;Summary!$C$11)=0,"",'Dvd Calendar'!$X$2742*1000000000+ISNUMBER('Dvd Calendar'!$X$2743)*100000000+('Dvd Calendar'!$X$2747='Field Check'!$C$25)*10000000+(N('Dvd Calendar'!$X$2741)&gt;0)*1000000+42*1000+60))</f>
        <v/>
      </c>
      <c r="BK198" s="41">
        <f>IF(N('Dvd Calendar'!$Y$2742)=0,"",IF(('Dvd Calendar'!$Y$2742&gt;=MIN(DATE(Summary!$C$12,1,1),Summary!$C$11))*('Dvd Calendar'!$Y$2742&lt;=MAX(DATE(Summary!$C$12,12,31),Summary!$C$15))*('Dvd Calendar'!$Y$2742&gt;Summary!$C$11)=0,"",'Dvd Calendar'!$Y$2742*1000000000+ISNUMBER('Dvd Calendar'!$Y$2743)*100000000+('Dvd Calendar'!$Y$2747='Field Check'!$C$25)*10000000+(N('Dvd Calendar'!$Y$2741)&gt;0)*1000000+42*1000+61))</f>
        <v/>
      </c>
      <c r="BL198" s="41">
        <f>IF(N('Dvd Calendar'!$Z$2742)=0,"",IF(('Dvd Calendar'!$Z$2742&gt;=MIN(DATE(Summary!$C$12,1,1),Summary!$C$11))*('Dvd Calendar'!$Z$2742&lt;=MAX(DATE(Summary!$C$12,12,31),Summary!$C$15))*('Dvd Calendar'!$Z$2742&gt;Summary!$C$11)=0,"",'Dvd Calendar'!$Z$2742*1000000000+ISNUMBER('Dvd Calendar'!$Z$2743)*100000000+('Dvd Calendar'!$Z$2747='Field Check'!$C$25)*10000000+(N('Dvd Calendar'!$Z$2741)&gt;0)*1000000+42*1000+62))</f>
        <v/>
      </c>
      <c r="BM198" s="41">
        <f>IF(N('Dvd Calendar'!$AA$2742)=0,"",IF(('Dvd Calendar'!$AA$2742&gt;=MIN(DATE(Summary!$C$12,1,1),Summary!$C$11))*('Dvd Calendar'!$AA$2742&lt;=MAX(DATE(Summary!$C$12,12,31),Summary!$C$15))*('Dvd Calendar'!$AA$2742&gt;Summary!$C$11)=0,"",'Dvd Calendar'!$AA$2742*1000000000+ISNUMBER('Dvd Calendar'!$AA$2743)*100000000+('Dvd Calendar'!$AA$2747='Field Check'!$C$25)*10000000+(N('Dvd Calendar'!$AA$2741)&gt;0)*1000000+42*1000+63))</f>
        <v/>
      </c>
      <c r="BN198" s="41">
        <f>IF(N('Dvd Calendar'!$AB$2742)=0,"",IF(('Dvd Calendar'!$AB$2742&gt;=MIN(DATE(Summary!$C$12,1,1),Summary!$C$11))*('Dvd Calendar'!$AB$2742&lt;=MAX(DATE(Summary!$C$12,12,31),Summary!$C$15))*('Dvd Calendar'!$AB$2742&gt;Summary!$C$11)=0,"",'Dvd Calendar'!$AB$2742*1000000000+ISNUMBER('Dvd Calendar'!$AB$2743)*100000000+('Dvd Calendar'!$AB$2747='Field Check'!$C$25)*10000000+(N('Dvd Calendar'!$AB$2741)&gt;0)*1000000+42*1000+64))</f>
        <v/>
      </c>
      <c r="BO198" s="41">
        <f>IF(N('Dvd Calendar'!$AC$2742)=0,"",IF(('Dvd Calendar'!$AC$2742&gt;=MIN(DATE(Summary!$C$12,1,1),Summary!$C$11))*('Dvd Calendar'!$AC$2742&lt;=MAX(DATE(Summary!$C$12,12,31),Summary!$C$15))*('Dvd Calendar'!$AC$2742&gt;Summary!$C$11)=0,"",'Dvd Calendar'!$AC$2742*1000000000+ISNUMBER('Dvd Calendar'!$AC$2743)*100000000+('Dvd Calendar'!$AC$2747='Field Check'!$C$25)*10000000+(N('Dvd Calendar'!$AC$2741)&gt;0)*1000000+42*1000+65))</f>
        <v/>
      </c>
      <c r="BQ198" s="85">
        <f>IF(C198="","",IF(ISNUMBER('Dvd Calendar'!$E$2736)=FALSE,"",IF((Summary!$C$13="N")*('Dvd Calendar'!$E$2740='Field Check'!$C$25)&gt;0,"",'Dvd Calendar'!$E$2736)))</f>
        <v/>
      </c>
      <c r="BR198" s="85">
        <f>IF(D198="","",IF(ISNUMBER('Dvd Calendar'!$F$2736)=FALSE,"",IF((Summary!$C$13="N")*('Dvd Calendar'!$F$2740='Field Check'!$C$25)&gt;0,"",'Dvd Calendar'!$F$2736)))</f>
        <v/>
      </c>
      <c r="BS198" s="85">
        <f>IF(E198="","",IF(ISNUMBER('Dvd Calendar'!$G$2736)=FALSE,"",IF((Summary!$C$13="N")*('Dvd Calendar'!$G$2740='Field Check'!$C$25)&gt;0,"",'Dvd Calendar'!$G$2736)))</f>
        <v/>
      </c>
      <c r="BT198" s="85">
        <f>IF(F198="","",IF(ISNUMBER('Dvd Calendar'!$H$2736)=FALSE,"",IF((Summary!$C$13="N")*('Dvd Calendar'!$H$2740='Field Check'!$C$25)&gt;0,"",'Dvd Calendar'!$H$2736)))</f>
        <v/>
      </c>
      <c r="BU198" s="85">
        <f>IF(G198="","",IF(ISNUMBER('Dvd Calendar'!$I$2736)=FALSE,"",IF((Summary!$C$13="N")*('Dvd Calendar'!$I$2740='Field Check'!$C$25)&gt;0,"",'Dvd Calendar'!$I$2736)))</f>
        <v/>
      </c>
      <c r="BV198" s="85">
        <f>IF(H198="","",IF(ISNUMBER('Dvd Calendar'!$J$2736)=FALSE,"",IF((Summary!$C$13="N")*('Dvd Calendar'!$J$2740='Field Check'!$C$25)&gt;0,"",'Dvd Calendar'!$J$2736)))</f>
        <v/>
      </c>
      <c r="BW198" s="85">
        <f>IF(I198="","",IF(ISNUMBER('Dvd Calendar'!$K$2736)=FALSE,"",IF((Summary!$C$13="N")*('Dvd Calendar'!$K$2740='Field Check'!$C$25)&gt;0,"",'Dvd Calendar'!$K$2736)))</f>
        <v/>
      </c>
      <c r="BX198" s="85">
        <f>IF(J198="","",IF(ISNUMBER('Dvd Calendar'!$L$2736)=FALSE,"",IF((Summary!$C$13="N")*('Dvd Calendar'!$L$2740='Field Check'!$C$25)&gt;0,"",'Dvd Calendar'!$L$2736)))</f>
        <v/>
      </c>
      <c r="BY198" s="85">
        <f>IF(K198="","",IF(ISNUMBER('Dvd Calendar'!$M$2736)=FALSE,"",IF((Summary!$C$13="N")*('Dvd Calendar'!$M$2740='Field Check'!$C$25)&gt;0,"",'Dvd Calendar'!$M$2736)))</f>
        <v/>
      </c>
      <c r="BZ198" s="85">
        <f>IF(L198="","",IF(ISNUMBER('Dvd Calendar'!$N$2736)=FALSE,"",IF((Summary!$C$13="N")*('Dvd Calendar'!$N$2740='Field Check'!$C$25)&gt;0,"",'Dvd Calendar'!$N$2736)))</f>
        <v/>
      </c>
      <c r="CA198" s="85">
        <f>IF(M198="","",IF(ISNUMBER('Dvd Calendar'!$O$2736)=FALSE,"",IF((Summary!$C$13="N")*('Dvd Calendar'!$O$2740='Field Check'!$C$25)&gt;0,"",'Dvd Calendar'!$O$2736)))</f>
        <v/>
      </c>
      <c r="CB198" s="85">
        <f>IF(N198="","",IF(ISNUMBER('Dvd Calendar'!$P$2736)=FALSE,"",IF((Summary!$C$13="N")*('Dvd Calendar'!$P$2740='Field Check'!$C$25)&gt;0,"",'Dvd Calendar'!$P$2736)))</f>
        <v/>
      </c>
      <c r="CC198" s="85">
        <f>IF(O198="","",IF(ISNUMBER('Dvd Calendar'!$Q$2736)=FALSE,"",IF((Summary!$C$13="N")*('Dvd Calendar'!$Q$2740='Field Check'!$C$25)&gt;0,"",'Dvd Calendar'!$Q$2736)))</f>
        <v/>
      </c>
      <c r="CD198" s="85">
        <f>IF(P198="","",IF(ISNUMBER('Dvd Calendar'!$R$2736)=FALSE,"",IF((Summary!$C$13="N")*('Dvd Calendar'!$R$2740='Field Check'!$C$25)&gt;0,"",'Dvd Calendar'!$R$2736)))</f>
        <v/>
      </c>
      <c r="CE198" s="85">
        <f>IF(Q198="","",IF(ISNUMBER('Dvd Calendar'!$S$2736)=FALSE,"",IF((Summary!$C$13="N")*('Dvd Calendar'!$S$2740='Field Check'!$C$25)&gt;0,"",'Dvd Calendar'!$S$2736)))</f>
        <v/>
      </c>
      <c r="CF198" s="85">
        <f>IF(R198="","",IF(ISNUMBER('Dvd Calendar'!$T$2736)=FALSE,"",IF((Summary!$C$13="N")*('Dvd Calendar'!$T$2740='Field Check'!$C$25)&gt;0,"",'Dvd Calendar'!$T$2736)))</f>
        <v/>
      </c>
      <c r="CG198" s="85">
        <f>IF(S198="","",IF(ISNUMBER('Dvd Calendar'!$U$2736)=FALSE,"",IF((Summary!$C$13="N")*('Dvd Calendar'!$U$2740='Field Check'!$C$25)&gt;0,"",'Dvd Calendar'!$U$2736)))</f>
        <v/>
      </c>
      <c r="CH198" s="85">
        <f>IF(T198="","",IF(ISNUMBER('Dvd Calendar'!$V$2736)=FALSE,"",IF((Summary!$C$13="N")*('Dvd Calendar'!$V$2740='Field Check'!$C$25)&gt;0,"",'Dvd Calendar'!$V$2736)))</f>
        <v/>
      </c>
      <c r="CI198" s="85">
        <f>IF(U198="","",IF(ISNUMBER('Dvd Calendar'!$W$2736)=FALSE,"",IF((Summary!$C$13="N")*('Dvd Calendar'!$W$2740='Field Check'!$C$25)&gt;0,"",'Dvd Calendar'!$W$2736)))</f>
        <v/>
      </c>
      <c r="CJ198" s="85">
        <f>IF(V198="","",IF(ISNUMBER('Dvd Calendar'!$X$2736)=FALSE,"",IF((Summary!$C$13="N")*('Dvd Calendar'!$X$2740='Field Check'!$C$25)&gt;0,"",'Dvd Calendar'!$X$2736)))</f>
        <v/>
      </c>
      <c r="CK198" s="85">
        <f>IF(W198="","",IF(ISNUMBER('Dvd Calendar'!$Y$2736)=FALSE,"",IF((Summary!$C$13="N")*('Dvd Calendar'!$Y$2740='Field Check'!$C$25)&gt;0,"",'Dvd Calendar'!$Y$2736)))</f>
        <v/>
      </c>
      <c r="CL198" s="85">
        <f>IF(X198="","",IF(ISNUMBER('Dvd Calendar'!$Z$2736)=FALSE,"",IF((Summary!$C$13="N")*('Dvd Calendar'!$Z$2740='Field Check'!$C$25)&gt;0,"",'Dvd Calendar'!$Z$2736)))</f>
        <v/>
      </c>
      <c r="CM198" s="85">
        <f>IF(Y198="","",IF(ISNUMBER('Dvd Calendar'!$AA$2736)=FALSE,"",IF((Summary!$C$13="N")*('Dvd Calendar'!$AA$2740='Field Check'!$C$25)&gt;0,"",'Dvd Calendar'!$AA$2736)))</f>
        <v/>
      </c>
      <c r="CN198" s="85">
        <f>IF(Z198="","",IF(ISNUMBER('Dvd Calendar'!$AB$2736)=FALSE,"",IF((Summary!$C$13="N")*('Dvd Calendar'!$AB$2740='Field Check'!$C$25)&gt;0,"",'Dvd Calendar'!$AB$2736)))</f>
        <v/>
      </c>
      <c r="CO198" s="85">
        <f>IF(AA198="","",IF(ISNUMBER('Dvd Calendar'!$AC$2736)=FALSE,"",IF((Summary!$C$13="N")*('Dvd Calendar'!$AC$2740='Field Check'!$C$25)&gt;0,"",'Dvd Calendar'!$AC$2736)))</f>
        <v/>
      </c>
      <c r="CP198" s="85">
        <f>IF(AB198="","",IF(ISNUMBER('Dvd Calendar'!$AD$2736)=FALSE,"",IF((Summary!$C$13="N")*('Dvd Calendar'!$AD$2740='Field Check'!$C$25)&gt;0,"",'Dvd Calendar'!$AD$2736)))</f>
        <v/>
      </c>
      <c r="CQ198" s="85">
        <f>IF(AC198="","",IF(ISNUMBER('Dvd Calendar'!$AE$2736)=FALSE,"",IF((Summary!$C$13="N")*('Dvd Calendar'!$AE$2740='Field Check'!$C$25)&gt;0,"",'Dvd Calendar'!$AE$2736)))</f>
        <v/>
      </c>
      <c r="CR198" s="85">
        <f>IF(AD198="","",IF(ISNUMBER('Dvd Calendar'!$AF$2736)=FALSE,"",IF((Summary!$C$13="N")*('Dvd Calendar'!$AF$2740='Field Check'!$C$25)&gt;0,"",'Dvd Calendar'!$AF$2736)))</f>
        <v/>
      </c>
      <c r="CS198" s="85">
        <f>IF(AE198="","",IF(ISNUMBER('Dvd Calendar'!$AG$2736)=FALSE,"",IF((Summary!$C$13="N")*('Dvd Calendar'!$AG$2740='Field Check'!$C$25)&gt;0,"",'Dvd Calendar'!$AG$2736)))</f>
        <v/>
      </c>
      <c r="CT198" s="85">
        <f>IF(AF198="","",IF(ISNUMBER('Dvd Calendar'!$AH$2736)=FALSE,"",IF((Summary!$C$13="N")*('Dvd Calendar'!$AH$2740='Field Check'!$C$25)&gt;0,"",'Dvd Calendar'!$AH$2736)))</f>
        <v/>
      </c>
      <c r="CU198" s="85">
        <f>IF(AG198="","",IF(ISNUMBER('Dvd Calendar'!$AI$2736)=FALSE,"",IF((Summary!$C$13="N")*('Dvd Calendar'!$AI$2740='Field Check'!$C$25)&gt;0,"",'Dvd Calendar'!$AI$2736)))</f>
        <v/>
      </c>
      <c r="CV198" s="85">
        <f>IF(AH198="","",IF(ISNUMBER('Dvd Calendar'!$AJ$2736)=FALSE,"",IF((Summary!$C$13="N")*('Dvd Calendar'!$AJ$2740='Field Check'!$C$25)&gt;0,"",'Dvd Calendar'!$AJ$2736)))</f>
        <v/>
      </c>
      <c r="CW198" s="85">
        <f>IF(AI198="","",IF(ISNUMBER('Dvd Calendar'!$AK$2736)=FALSE,"",IF((Summary!$C$13="N")*('Dvd Calendar'!$AK$2740='Field Check'!$C$25)&gt;0,"",'Dvd Calendar'!$AK$2736)))</f>
        <v/>
      </c>
      <c r="CX198" s="85">
        <f>IF(AJ198="","",IF(ISNUMBER('Dvd Calendar'!$AL$2736)=FALSE,"",IF((Summary!$C$13="N")*('Dvd Calendar'!$AL$2740='Field Check'!$C$25)&gt;0,"",'Dvd Calendar'!$AL$2736)))</f>
        <v/>
      </c>
      <c r="CY198" s="85">
        <f>IF(AK198="","",IF(ISNUMBER('Dvd Calendar'!$AM$2736)=FALSE,"",IF((Summary!$C$13="N")*('Dvd Calendar'!$AM$2740='Field Check'!$C$25)&gt;0,"",'Dvd Calendar'!$AM$2736)))</f>
        <v/>
      </c>
      <c r="CZ198" s="85">
        <f>IF(AL198="","",IF(ISNUMBER('Dvd Calendar'!$AN$2736)=FALSE,"",IF((Summary!$C$13="N")*('Dvd Calendar'!$AN$2740='Field Check'!$C$25)&gt;0,"",'Dvd Calendar'!$AN$2736)))</f>
        <v/>
      </c>
      <c r="DA198" s="85">
        <f>IF(AM198="","",IF(ISNUMBER('Dvd Calendar'!$AO$2736)=FALSE,"",IF((Summary!$C$13="N")*('Dvd Calendar'!$AO$2740='Field Check'!$C$25)&gt;0,"",'Dvd Calendar'!$AO$2736)))</f>
        <v/>
      </c>
      <c r="DB198" s="85">
        <f>IF(AN198="","",IF(ISNUMBER('Dvd Calendar'!$AP$2736)=FALSE,"",IF((Summary!$C$13="N")*('Dvd Calendar'!$AP$2740='Field Check'!$C$25)&gt;0,"",'Dvd Calendar'!$AP$2736)))</f>
        <v/>
      </c>
      <c r="DC198" s="85">
        <f>IF(AO198="","",IF(ISNUMBER('Dvd Calendar'!$AQ$2736)=FALSE,"",IF((Summary!$C$13="N")*('Dvd Calendar'!$AQ$2740='Field Check'!$C$25)&gt;0,"",'Dvd Calendar'!$AQ$2736)))</f>
        <v/>
      </c>
      <c r="DD198" s="85">
        <f>IF(AP198="","",IF(ISNUMBER('Dvd Calendar'!$AR$2736)=FALSE,"",IF((Summary!$C$13="N")*('Dvd Calendar'!$AR$2740='Field Check'!$C$25)&gt;0,"",'Dvd Calendar'!$AR$2736)))</f>
        <v/>
      </c>
      <c r="DE198" s="85">
        <f>IF(AQ198="","",IF(ISNUMBER('Dvd Calendar'!$E$2743)=FALSE,"",IF((Summary!$C$13="N")*('Dvd Calendar'!$E$2747='Field Check'!$C$25)&gt;0,"",'Dvd Calendar'!$E$2743)))</f>
        <v/>
      </c>
      <c r="DF198" s="85">
        <f>IF(AR198="","",IF(ISNUMBER('Dvd Calendar'!$F$2743)=FALSE,"",IF((Summary!$C$13="N")*('Dvd Calendar'!$F$2747='Field Check'!$C$25)&gt;0,"",'Dvd Calendar'!$F$2743)))</f>
        <v/>
      </c>
      <c r="DG198" s="85">
        <f>IF(AS198="","",IF(ISNUMBER('Dvd Calendar'!$G$2743)=FALSE,"",IF((Summary!$C$13="N")*('Dvd Calendar'!$G$2747='Field Check'!$C$25)&gt;0,"",'Dvd Calendar'!$G$2743)))</f>
        <v/>
      </c>
      <c r="DH198" s="85">
        <f>IF(AT198="","",IF(ISNUMBER('Dvd Calendar'!$H$2743)=FALSE,"",IF((Summary!$C$13="N")*('Dvd Calendar'!$H$2747='Field Check'!$C$25)&gt;0,"",'Dvd Calendar'!$H$2743)))</f>
        <v/>
      </c>
      <c r="DI198" s="85">
        <f>IF(AU198="","",IF(ISNUMBER('Dvd Calendar'!$I$2743)=FALSE,"",IF((Summary!$C$13="N")*('Dvd Calendar'!$I$2747='Field Check'!$C$25)&gt;0,"",'Dvd Calendar'!$I$2743)))</f>
        <v/>
      </c>
      <c r="DJ198" s="85">
        <f>IF(AV198="","",IF(ISNUMBER('Dvd Calendar'!$J$2743)=FALSE,"",IF((Summary!$C$13="N")*('Dvd Calendar'!$J$2747='Field Check'!$C$25)&gt;0,"",'Dvd Calendar'!$J$2743)))</f>
        <v/>
      </c>
      <c r="DK198" s="85">
        <f>IF(AW198="","",IF(ISNUMBER('Dvd Calendar'!$K$2743)=FALSE,"",IF((Summary!$C$13="N")*('Dvd Calendar'!$K$2747='Field Check'!$C$25)&gt;0,"",'Dvd Calendar'!$K$2743)))</f>
        <v/>
      </c>
      <c r="DL198" s="85">
        <f>IF(AX198="","",IF(ISNUMBER('Dvd Calendar'!$L$2743)=FALSE,"",IF((Summary!$C$13="N")*('Dvd Calendar'!$L$2747='Field Check'!$C$25)&gt;0,"",'Dvd Calendar'!$L$2743)))</f>
        <v/>
      </c>
      <c r="DM198" s="85">
        <f>IF(AY198="","",IF(ISNUMBER('Dvd Calendar'!$M$2743)=FALSE,"",IF((Summary!$C$13="N")*('Dvd Calendar'!$M$2747='Field Check'!$C$25)&gt;0,"",'Dvd Calendar'!$M$2743)))</f>
        <v/>
      </c>
      <c r="DN198" s="85">
        <f>IF(AZ198="","",IF(ISNUMBER('Dvd Calendar'!$N$2743)=FALSE,"",IF((Summary!$C$13="N")*('Dvd Calendar'!$N$2747='Field Check'!$C$25)&gt;0,"",'Dvd Calendar'!$N$2743)))</f>
        <v/>
      </c>
      <c r="DO198" s="85">
        <f>IF(BA198="","",IF(ISNUMBER('Dvd Calendar'!$O$2743)=FALSE,"",IF((Summary!$C$13="N")*('Dvd Calendar'!$O$2747='Field Check'!$C$25)&gt;0,"",'Dvd Calendar'!$O$2743)))</f>
        <v/>
      </c>
      <c r="DP198" s="85">
        <f>IF(BB198="","",IF(ISNUMBER('Dvd Calendar'!$P$2743)=FALSE,"",IF((Summary!$C$13="N")*('Dvd Calendar'!$P$2747='Field Check'!$C$25)&gt;0,"",'Dvd Calendar'!$P$2743)))</f>
        <v/>
      </c>
      <c r="DQ198" s="85">
        <f>IF(BC198="","",IF(ISNUMBER('Dvd Calendar'!$Q$2743)=FALSE,"",IF((Summary!$C$13="N")*('Dvd Calendar'!$Q$2747='Field Check'!$C$25)&gt;0,"",'Dvd Calendar'!$Q$2743)))</f>
        <v/>
      </c>
      <c r="DR198" s="85">
        <f>IF(BD198="","",IF(ISNUMBER('Dvd Calendar'!$R$2743)=FALSE,"",IF((Summary!$C$13="N")*('Dvd Calendar'!$R$2747='Field Check'!$C$25)&gt;0,"",'Dvd Calendar'!$R$2743)))</f>
        <v/>
      </c>
      <c r="DS198" s="85">
        <f>IF(BE198="","",IF(ISNUMBER('Dvd Calendar'!$S$2743)=FALSE,"",IF((Summary!$C$13="N")*('Dvd Calendar'!$S$2747='Field Check'!$C$25)&gt;0,"",'Dvd Calendar'!$S$2743)))</f>
        <v/>
      </c>
      <c r="DT198" s="85">
        <f>IF(BF198="","",IF(ISNUMBER('Dvd Calendar'!$T$2743)=FALSE,"",IF((Summary!$C$13="N")*('Dvd Calendar'!$T$2747='Field Check'!$C$25)&gt;0,"",'Dvd Calendar'!$T$2743)))</f>
        <v/>
      </c>
      <c r="DU198" s="85">
        <f>IF(BG198="","",IF(ISNUMBER('Dvd Calendar'!$U$2743)=FALSE,"",IF((Summary!$C$13="N")*('Dvd Calendar'!$U$2747='Field Check'!$C$25)&gt;0,"",'Dvd Calendar'!$U$2743)))</f>
        <v/>
      </c>
      <c r="DV198" s="85">
        <f>IF(BH198="","",IF(ISNUMBER('Dvd Calendar'!$V$2743)=FALSE,"",IF((Summary!$C$13="N")*('Dvd Calendar'!$V$2747='Field Check'!$C$25)&gt;0,"",'Dvd Calendar'!$V$2743)))</f>
        <v/>
      </c>
      <c r="DW198" s="85">
        <f>IF(BI198="","",IF(ISNUMBER('Dvd Calendar'!$W$2743)=FALSE,"",IF((Summary!$C$13="N")*('Dvd Calendar'!$W$2747='Field Check'!$C$25)&gt;0,"",'Dvd Calendar'!$W$2743)))</f>
        <v/>
      </c>
      <c r="DX198" s="85">
        <f>IF(BJ198="","",IF(ISNUMBER('Dvd Calendar'!$X$2743)=FALSE,"",IF((Summary!$C$13="N")*('Dvd Calendar'!$X$2747='Field Check'!$C$25)&gt;0,"",'Dvd Calendar'!$X$2743)))</f>
        <v/>
      </c>
      <c r="DY198" s="85">
        <f>IF(BK198="","",IF(ISNUMBER('Dvd Calendar'!$Y$2743)=FALSE,"",IF((Summary!$C$13="N")*('Dvd Calendar'!$Y$2747='Field Check'!$C$25)&gt;0,"",'Dvd Calendar'!$Y$2743)))</f>
        <v/>
      </c>
      <c r="DZ198" s="85">
        <f>IF(BL198="","",IF(ISNUMBER('Dvd Calendar'!$Z$2743)=FALSE,"",IF((Summary!$C$13="N")*('Dvd Calendar'!$Z$2747='Field Check'!$C$25)&gt;0,"",'Dvd Calendar'!$Z$2743)))</f>
        <v/>
      </c>
      <c r="EA198" s="85">
        <f>IF(BM198="","",IF(ISNUMBER('Dvd Calendar'!$AA$2743)=FALSE,"",IF((Summary!$C$13="N")*('Dvd Calendar'!$AA$2747='Field Check'!$C$25)&gt;0,"",'Dvd Calendar'!$AA$2743)))</f>
        <v/>
      </c>
      <c r="EB198" s="85">
        <f>IF(BN198="","",IF(ISNUMBER('Dvd Calendar'!$AB$2743)=FALSE,"",IF((Summary!$C$13="N")*('Dvd Calendar'!$AB$2747='Field Check'!$C$25)&gt;0,"",'Dvd Calendar'!$AB$2743)))</f>
        <v/>
      </c>
      <c r="EC198" s="85">
        <f>IF(BO198="","",IF(ISNUMBER('Dvd Calendar'!$AC$2743)=FALSE,"",IF((Summary!$C$13="N")*('Dvd Calendar'!$AC$2747='Field Check'!$C$25)&gt;0,"",'Dvd Calendar'!$AC$2743)))</f>
        <v/>
      </c>
      <c r="EE198" s="85">
        <f>IF(BQ198="","",IFERROR(BQ198*HSCEI!$B$48*HSCEI!$G$48/HSCEI!$B$3,""))</f>
        <v/>
      </c>
      <c r="EF198" s="85">
        <f>IF(BR198="","",IFERROR(BR198*HSCEI!$B$48*HSCEI!$G$48/HSCEI!$B$3,""))</f>
        <v/>
      </c>
      <c r="EG198" s="85">
        <f>IF(BS198="","",IFERROR(BS198*HSCEI!$B$48*HSCEI!$G$48/HSCEI!$B$3,""))</f>
        <v/>
      </c>
      <c r="EH198" s="85">
        <f>IF(BT198="","",IFERROR(BT198*HSCEI!$B$48*HSCEI!$G$48/HSCEI!$B$3,""))</f>
        <v/>
      </c>
      <c r="EI198" s="85">
        <f>IF(BU198="","",IFERROR(BU198*HSCEI!$B$48*HSCEI!$G$48/HSCEI!$B$3,""))</f>
        <v/>
      </c>
      <c r="EJ198" s="85">
        <f>IF(BV198="","",IFERROR(BV198*HSCEI!$B$48*HSCEI!$G$48/HSCEI!$B$3,""))</f>
        <v/>
      </c>
      <c r="EK198" s="85">
        <f>IF(BW198="","",IFERROR(BW198*HSCEI!$B$48*HSCEI!$G$48/HSCEI!$B$3,""))</f>
        <v/>
      </c>
      <c r="EL198" s="85">
        <f>IF(BX198="","",IFERROR(BX198*HSCEI!$B$48*HSCEI!$G$48/HSCEI!$B$3,""))</f>
        <v/>
      </c>
      <c r="EM198" s="85">
        <f>IF(BY198="","",IFERROR(BY198*HSCEI!$B$48*HSCEI!$G$48/HSCEI!$B$3,""))</f>
        <v/>
      </c>
      <c r="EN198" s="85">
        <f>IF(BZ198="","",IFERROR(BZ198*HSCEI!$B$48*HSCEI!$G$48/HSCEI!$B$3,""))</f>
        <v/>
      </c>
      <c r="EO198" s="85">
        <f>IF(CA198="","",IFERROR(CA198*HSCEI!$B$48*HSCEI!$G$48/HSCEI!$B$3,""))</f>
        <v/>
      </c>
      <c r="EP198" s="85">
        <f>IF(CB198="","",IFERROR(CB198*HSCEI!$B$48*HSCEI!$G$48/HSCEI!$B$3,""))</f>
        <v/>
      </c>
      <c r="EQ198" s="85">
        <f>IF(CC198="","",IFERROR(CC198*HSCEI!$B$48*HSCEI!$G$48/HSCEI!$B$3,""))</f>
        <v/>
      </c>
      <c r="ER198" s="85">
        <f>IF(CD198="","",IFERROR(CD198*HSCEI!$B$48*HSCEI!$G$48/HSCEI!$B$3,""))</f>
        <v/>
      </c>
      <c r="ES198" s="85">
        <f>IF(CE198="","",IFERROR(CE198*HSCEI!$B$48*HSCEI!$G$48/HSCEI!$B$3,""))</f>
        <v/>
      </c>
      <c r="ET198" s="85">
        <f>IF(CF198="","",IFERROR(CF198*HSCEI!$B$48*HSCEI!$G$48/HSCEI!$B$3,""))</f>
        <v/>
      </c>
      <c r="EU198" s="85">
        <f>IF(CG198="","",IFERROR(CG198*HSCEI!$B$48*HSCEI!$G$48/HSCEI!$B$3,""))</f>
        <v/>
      </c>
      <c r="EV198" s="85">
        <f>IF(CH198="","",IFERROR(CH198*HSCEI!$B$48*HSCEI!$G$48/HSCEI!$B$3,""))</f>
        <v/>
      </c>
      <c r="EW198" s="85">
        <f>IF(CI198="","",IFERROR(CI198*HSCEI!$B$48*HSCEI!$G$48/HSCEI!$B$3,""))</f>
        <v/>
      </c>
      <c r="EX198" s="85">
        <f>IF(CJ198="","",IFERROR(CJ198*HSCEI!$B$48*HSCEI!$G$48/HSCEI!$B$3,""))</f>
        <v/>
      </c>
      <c r="EY198" s="85">
        <f>IF(CK198="","",IFERROR(CK198*HSCEI!$B$48*HSCEI!$G$48/HSCEI!$B$3,""))</f>
        <v/>
      </c>
      <c r="EZ198" s="85">
        <f>IF(CL198="","",IFERROR(CL198*HSCEI!$B$48*HSCEI!$G$48/HSCEI!$B$3,""))</f>
        <v/>
      </c>
      <c r="FA198" s="85">
        <f>IF(CM198="","",IFERROR(CM198*HSCEI!$B$48*HSCEI!$G$48/HSCEI!$B$3,""))</f>
        <v/>
      </c>
      <c r="FB198" s="85">
        <f>IF(CN198="","",IFERROR(CN198*HSCEI!$B$48*HSCEI!$G$48/HSCEI!$B$3,""))</f>
        <v/>
      </c>
      <c r="FC198" s="85">
        <f>IF(CO198="","",IFERROR(CO198*HSCEI!$B$48*HSCEI!$G$48/HSCEI!$B$3,""))</f>
        <v/>
      </c>
      <c r="FD198" s="85">
        <f>IF(CP198="","",IFERROR(CP198*HSCEI!$B$48*HSCEI!$G$48/HSCEI!$B$3,""))</f>
        <v/>
      </c>
      <c r="FE198" s="85">
        <f>IF(CQ198="","",IFERROR(CQ198*HSCEI!$B$48*HSCEI!$G$48/HSCEI!$B$3,""))</f>
        <v/>
      </c>
      <c r="FF198" s="85">
        <f>IF(CR198="","",IFERROR(CR198*HSCEI!$B$48*HSCEI!$G$48/HSCEI!$B$3,""))</f>
        <v/>
      </c>
      <c r="FG198" s="85">
        <f>IF(CS198="","",IFERROR(CS198*HSCEI!$B$48*HSCEI!$G$48/HSCEI!$B$3,""))</f>
        <v/>
      </c>
      <c r="FH198" s="85">
        <f>IF(CT198="","",IFERROR(CT198*HSCEI!$B$48*HSCEI!$G$48/HSCEI!$B$3,""))</f>
        <v/>
      </c>
      <c r="FI198" s="85">
        <f>IF(CU198="","",IFERROR(CU198*HSCEI!$B$48*HSCEI!$G$48/HSCEI!$B$3,""))</f>
        <v/>
      </c>
      <c r="FJ198" s="85">
        <f>IF(CV198="","",IFERROR(CV198*HSCEI!$B$48*HSCEI!$G$48/HSCEI!$B$3,""))</f>
        <v/>
      </c>
      <c r="FK198" s="85">
        <f>IF(CW198="","",IFERROR(CW198*HSCEI!$B$48*HSCEI!$G$48/HSCEI!$B$3,""))</f>
        <v/>
      </c>
      <c r="FL198" s="85">
        <f>IF(CX198="","",IFERROR(CX198*HSCEI!$B$48*HSCEI!$G$48/HSCEI!$B$3,""))</f>
        <v/>
      </c>
      <c r="FM198" s="85">
        <f>IF(CY198="","",IFERROR(CY198*HSCEI!$B$48*HSCEI!$G$48/HSCEI!$B$3,""))</f>
        <v/>
      </c>
      <c r="FN198" s="85">
        <f>IF(CZ198="","",IFERROR(CZ198*HSCEI!$B$48*HSCEI!$G$48/HSCEI!$B$3,""))</f>
        <v/>
      </c>
      <c r="FO198" s="85">
        <f>IF(DA198="","",IFERROR(DA198*HSCEI!$B$48*HSCEI!$G$48/HSCEI!$B$3,""))</f>
        <v/>
      </c>
      <c r="FP198" s="85">
        <f>IF(DB198="","",IFERROR(DB198*HSCEI!$B$48*HSCEI!$G$48/HSCEI!$B$3,""))</f>
        <v/>
      </c>
      <c r="FQ198" s="85">
        <f>IF(DC198="","",IFERROR(DC198*HSCEI!$B$48*HSCEI!$G$48/HSCEI!$B$3,""))</f>
        <v/>
      </c>
      <c r="FR198" s="85">
        <f>IF(DD198="","",IFERROR(DD198*HSCEI!$B$48*HSCEI!$G$48/HSCEI!$B$3,""))</f>
        <v/>
      </c>
      <c r="FS198" s="85">
        <f>IF(DE198="","",IFERROR(DE198*HSCEI!$B$48*HSCEI!$G$48/HSCEI!$B$3,""))</f>
        <v/>
      </c>
      <c r="FT198" s="85">
        <f>IF(DF198="","",IFERROR(DF198*HSCEI!$B$48*HSCEI!$G$48/HSCEI!$B$3,""))</f>
        <v/>
      </c>
      <c r="FU198" s="85">
        <f>IF(DG198="","",IFERROR(DG198*HSCEI!$B$48*HSCEI!$G$48/HSCEI!$B$3,""))</f>
        <v/>
      </c>
      <c r="FV198" s="85">
        <f>IF(DH198="","",IFERROR(DH198*HSCEI!$B$48*HSCEI!$G$48/HSCEI!$B$3,""))</f>
        <v/>
      </c>
      <c r="FW198" s="85">
        <f>IF(DI198="","",IFERROR(DI198*HSCEI!$B$48*HSCEI!$G$48/HSCEI!$B$3,""))</f>
        <v/>
      </c>
      <c r="FX198" s="85">
        <f>IF(DJ198="","",IFERROR(DJ198*HSCEI!$B$48*HSCEI!$G$48/HSCEI!$B$3,""))</f>
        <v/>
      </c>
      <c r="FY198" s="85">
        <f>IF(DK198="","",IFERROR(DK198*HSCEI!$B$48*HSCEI!$G$48/HSCEI!$B$3,""))</f>
        <v/>
      </c>
      <c r="FZ198" s="85">
        <f>IF(DL198="","",IFERROR(DL198*HSCEI!$B$48*HSCEI!$G$48/HSCEI!$B$3,""))</f>
        <v/>
      </c>
      <c r="GA198" s="85">
        <f>IF(DM198="","",IFERROR(DM198*HSCEI!$B$48*HSCEI!$G$48/HSCEI!$B$3,""))</f>
        <v/>
      </c>
      <c r="GB198" s="85">
        <f>IF(DN198="","",IFERROR(DN198*HSCEI!$B$48*HSCEI!$G$48/HSCEI!$B$3,""))</f>
        <v/>
      </c>
      <c r="GC198" s="85">
        <f>IF(DO198="","",IFERROR(DO198*HSCEI!$B$48*HSCEI!$G$48/HSCEI!$B$3,""))</f>
        <v/>
      </c>
      <c r="GD198" s="85">
        <f>IF(DP198="","",IFERROR(DP198*HSCEI!$B$48*HSCEI!$G$48/HSCEI!$B$3,""))</f>
        <v/>
      </c>
      <c r="GE198" s="85">
        <f>IF(DQ198="","",IFERROR(DQ198*HSCEI!$B$48*HSCEI!$G$48/HSCEI!$B$3,""))</f>
        <v/>
      </c>
      <c r="GF198" s="85">
        <f>IF(DR198="","",IFERROR(DR198*HSCEI!$B$48*HSCEI!$G$48/HSCEI!$B$3,""))</f>
        <v/>
      </c>
      <c r="GG198" s="85">
        <f>IF(DS198="","",IFERROR(DS198*HSCEI!$B$48*HSCEI!$G$48/HSCEI!$B$3,""))</f>
        <v/>
      </c>
      <c r="GH198" s="85">
        <f>IF(DT198="","",IFERROR(DT198*HSCEI!$B$48*HSCEI!$G$48/HSCEI!$B$3,""))</f>
        <v/>
      </c>
      <c r="GI198" s="85">
        <f>IF(DU198="","",IFERROR(DU198*HSCEI!$B$48*HSCEI!$G$48/HSCEI!$B$3,""))</f>
        <v/>
      </c>
      <c r="GJ198" s="85">
        <f>IF(DV198="","",IFERROR(DV198*HSCEI!$B$48*HSCEI!$G$48/HSCEI!$B$3,""))</f>
        <v/>
      </c>
      <c r="GK198" s="85">
        <f>IF(DW198="","",IFERROR(DW198*HSCEI!$B$48*HSCEI!$G$48/HSCEI!$B$3,""))</f>
        <v/>
      </c>
      <c r="GL198" s="85">
        <f>IF(DX198="","",IFERROR(DX198*HSCEI!$B$48*HSCEI!$G$48/HSCEI!$B$3,""))</f>
        <v/>
      </c>
      <c r="GM198" s="85">
        <f>IF(DY198="","",IFERROR(DY198*HSCEI!$B$48*HSCEI!$G$48/HSCEI!$B$3,""))</f>
        <v/>
      </c>
      <c r="GN198" s="85">
        <f>IF(DZ198="","",IFERROR(DZ198*HSCEI!$B$48*HSCEI!$G$48/HSCEI!$B$3,""))</f>
        <v/>
      </c>
      <c r="GO198" s="85">
        <f>IF(EA198="","",IFERROR(EA198*HSCEI!$B$48*HSCEI!$G$48/HSCEI!$B$3,""))</f>
        <v/>
      </c>
      <c r="GP198" s="85">
        <f>IF(EB198="","",IFERROR(EB198*HSCEI!$B$48*HSCEI!$G$48/HSCEI!$B$3,""))</f>
        <v/>
      </c>
      <c r="GQ198" s="85">
        <f>IF(EC198="","",IFERROR(EC198*HSCEI!$B$48*HSCEI!$G$48/HSCEI!$B$3,""))</f>
        <v/>
      </c>
    </row>
    <row r="199">
      <c r="B199" s="2">
        <f>IF(HSCEI!$C$49="","",HSCEI!$C$49)</f>
        <v/>
      </c>
      <c r="C199" s="41">
        <f>IF(N('Dvd Calendar'!$E$2750)=0,"",IF(('Dvd Calendar'!$E$2750&gt;=MIN(DATE(Summary!$C$12,1,1),Summary!$C$11))*('Dvd Calendar'!$E$2750&lt;=MAX(DATE(Summary!$C$12,12,31),Summary!$C$15))*('Dvd Calendar'!$E$2750&lt;=Summary!$C$11)=0,"",'Dvd Calendar'!$E$2750*1000000000+ISNUMBER('Dvd Calendar'!$E$2751)*100000000+('Dvd Calendar'!$E$2755='Field Check'!$C$25)*10000000+(N('Dvd Calendar'!$E$2749)&gt;0)*1000000+43*1000+1))</f>
        <v/>
      </c>
      <c r="D199" s="41">
        <f>IF(N('Dvd Calendar'!$F$2750)=0,"",IF(('Dvd Calendar'!$F$2750&gt;=MIN(DATE(Summary!$C$12,1,1),Summary!$C$11))*('Dvd Calendar'!$F$2750&lt;=MAX(DATE(Summary!$C$12,12,31),Summary!$C$15))*('Dvd Calendar'!$F$2750&lt;=Summary!$C$11)=0,"",'Dvd Calendar'!$F$2750*1000000000+ISNUMBER('Dvd Calendar'!$F$2751)*100000000+('Dvd Calendar'!$F$2755='Field Check'!$C$25)*10000000+(N('Dvd Calendar'!$F$2749)&gt;0)*1000000+43*1000+2))</f>
        <v/>
      </c>
      <c r="E199" s="41">
        <f>IF(N('Dvd Calendar'!$G$2750)=0,"",IF(('Dvd Calendar'!$G$2750&gt;=MIN(DATE(Summary!$C$12,1,1),Summary!$C$11))*('Dvd Calendar'!$G$2750&lt;=MAX(DATE(Summary!$C$12,12,31),Summary!$C$15))*('Dvd Calendar'!$G$2750&lt;=Summary!$C$11)=0,"",'Dvd Calendar'!$G$2750*1000000000+ISNUMBER('Dvd Calendar'!$G$2751)*100000000+('Dvd Calendar'!$G$2755='Field Check'!$C$25)*10000000+(N('Dvd Calendar'!$G$2749)&gt;0)*1000000+43*1000+3))</f>
        <v/>
      </c>
      <c r="F199" s="41">
        <f>IF(N('Dvd Calendar'!$H$2750)=0,"",IF(('Dvd Calendar'!$H$2750&gt;=MIN(DATE(Summary!$C$12,1,1),Summary!$C$11))*('Dvd Calendar'!$H$2750&lt;=MAX(DATE(Summary!$C$12,12,31),Summary!$C$15))*('Dvd Calendar'!$H$2750&lt;=Summary!$C$11)=0,"",'Dvd Calendar'!$H$2750*1000000000+ISNUMBER('Dvd Calendar'!$H$2751)*100000000+('Dvd Calendar'!$H$2755='Field Check'!$C$25)*10000000+(N('Dvd Calendar'!$H$2749)&gt;0)*1000000+43*1000+4))</f>
        <v/>
      </c>
      <c r="G199" s="41">
        <f>IF(N('Dvd Calendar'!$I$2750)=0,"",IF(('Dvd Calendar'!$I$2750&gt;=MIN(DATE(Summary!$C$12,1,1),Summary!$C$11))*('Dvd Calendar'!$I$2750&lt;=MAX(DATE(Summary!$C$12,12,31),Summary!$C$15))*('Dvd Calendar'!$I$2750&lt;=Summary!$C$11)=0,"",'Dvd Calendar'!$I$2750*1000000000+ISNUMBER('Dvd Calendar'!$I$2751)*100000000+('Dvd Calendar'!$I$2755='Field Check'!$C$25)*10000000+(N('Dvd Calendar'!$I$2749)&gt;0)*1000000+43*1000+5))</f>
        <v/>
      </c>
      <c r="H199" s="41">
        <f>IF(N('Dvd Calendar'!$J$2750)=0,"",IF(('Dvd Calendar'!$J$2750&gt;=MIN(DATE(Summary!$C$12,1,1),Summary!$C$11))*('Dvd Calendar'!$J$2750&lt;=MAX(DATE(Summary!$C$12,12,31),Summary!$C$15))*('Dvd Calendar'!$J$2750&lt;=Summary!$C$11)=0,"",'Dvd Calendar'!$J$2750*1000000000+ISNUMBER('Dvd Calendar'!$J$2751)*100000000+('Dvd Calendar'!$J$2755='Field Check'!$C$25)*10000000+(N('Dvd Calendar'!$J$2749)&gt;0)*1000000+43*1000+6))</f>
        <v/>
      </c>
      <c r="I199" s="41">
        <f>IF(N('Dvd Calendar'!$K$2750)=0,"",IF(('Dvd Calendar'!$K$2750&gt;=MIN(DATE(Summary!$C$12,1,1),Summary!$C$11))*('Dvd Calendar'!$K$2750&lt;=MAX(DATE(Summary!$C$12,12,31),Summary!$C$15))*('Dvd Calendar'!$K$2750&lt;=Summary!$C$11)=0,"",'Dvd Calendar'!$K$2750*1000000000+ISNUMBER('Dvd Calendar'!$K$2751)*100000000+('Dvd Calendar'!$K$2755='Field Check'!$C$25)*10000000+(N('Dvd Calendar'!$K$2749)&gt;0)*1000000+43*1000+7))</f>
        <v/>
      </c>
      <c r="J199" s="41">
        <f>IF(N('Dvd Calendar'!$L$2750)=0,"",IF(('Dvd Calendar'!$L$2750&gt;=MIN(DATE(Summary!$C$12,1,1),Summary!$C$11))*('Dvd Calendar'!$L$2750&lt;=MAX(DATE(Summary!$C$12,12,31),Summary!$C$15))*('Dvd Calendar'!$L$2750&lt;=Summary!$C$11)=0,"",'Dvd Calendar'!$L$2750*1000000000+ISNUMBER('Dvd Calendar'!$L$2751)*100000000+('Dvd Calendar'!$L$2755='Field Check'!$C$25)*10000000+(N('Dvd Calendar'!$L$2749)&gt;0)*1000000+43*1000+8))</f>
        <v/>
      </c>
      <c r="K199" s="41">
        <f>IF(N('Dvd Calendar'!$M$2750)=0,"",IF(('Dvd Calendar'!$M$2750&gt;=MIN(DATE(Summary!$C$12,1,1),Summary!$C$11))*('Dvd Calendar'!$M$2750&lt;=MAX(DATE(Summary!$C$12,12,31),Summary!$C$15))*('Dvd Calendar'!$M$2750&lt;=Summary!$C$11)=0,"",'Dvd Calendar'!$M$2750*1000000000+ISNUMBER('Dvd Calendar'!$M$2751)*100000000+('Dvd Calendar'!$M$2755='Field Check'!$C$25)*10000000+(N('Dvd Calendar'!$M$2749)&gt;0)*1000000+43*1000+9))</f>
        <v/>
      </c>
      <c r="L199" s="41">
        <f>IF(N('Dvd Calendar'!$N$2750)=0,"",IF(('Dvd Calendar'!$N$2750&gt;=MIN(DATE(Summary!$C$12,1,1),Summary!$C$11))*('Dvd Calendar'!$N$2750&lt;=MAX(DATE(Summary!$C$12,12,31),Summary!$C$15))*('Dvd Calendar'!$N$2750&lt;=Summary!$C$11)=0,"",'Dvd Calendar'!$N$2750*1000000000+ISNUMBER('Dvd Calendar'!$N$2751)*100000000+('Dvd Calendar'!$N$2755='Field Check'!$C$25)*10000000+(N('Dvd Calendar'!$N$2749)&gt;0)*1000000+43*1000+10))</f>
        <v/>
      </c>
      <c r="M199" s="41">
        <f>IF(N('Dvd Calendar'!$O$2750)=0,"",IF(('Dvd Calendar'!$O$2750&gt;=MIN(DATE(Summary!$C$12,1,1),Summary!$C$11))*('Dvd Calendar'!$O$2750&lt;=MAX(DATE(Summary!$C$12,12,31),Summary!$C$15))*('Dvd Calendar'!$O$2750&lt;=Summary!$C$11)=0,"",'Dvd Calendar'!$O$2750*1000000000+ISNUMBER('Dvd Calendar'!$O$2751)*100000000+('Dvd Calendar'!$O$2755='Field Check'!$C$25)*10000000+(N('Dvd Calendar'!$O$2749)&gt;0)*1000000+43*1000+11))</f>
        <v/>
      </c>
      <c r="N199" s="41">
        <f>IF(N('Dvd Calendar'!$P$2750)=0,"",IF(('Dvd Calendar'!$P$2750&gt;=MIN(DATE(Summary!$C$12,1,1),Summary!$C$11))*('Dvd Calendar'!$P$2750&lt;=MAX(DATE(Summary!$C$12,12,31),Summary!$C$15))*('Dvd Calendar'!$P$2750&lt;=Summary!$C$11)=0,"",'Dvd Calendar'!$P$2750*1000000000+ISNUMBER('Dvd Calendar'!$P$2751)*100000000+('Dvd Calendar'!$P$2755='Field Check'!$C$25)*10000000+(N('Dvd Calendar'!$P$2749)&gt;0)*1000000+43*1000+12))</f>
        <v/>
      </c>
      <c r="O199" s="41">
        <f>IF(N('Dvd Calendar'!$Q$2750)=0,"",IF(('Dvd Calendar'!$Q$2750&gt;=MIN(DATE(Summary!$C$12,1,1),Summary!$C$11))*('Dvd Calendar'!$Q$2750&lt;=MAX(DATE(Summary!$C$12,12,31),Summary!$C$15))*('Dvd Calendar'!$Q$2750&lt;=Summary!$C$11)=0,"",'Dvd Calendar'!$Q$2750*1000000000+ISNUMBER('Dvd Calendar'!$Q$2751)*100000000+('Dvd Calendar'!$Q$2755='Field Check'!$C$25)*10000000+(N('Dvd Calendar'!$Q$2749)&gt;0)*1000000+43*1000+13))</f>
        <v/>
      </c>
      <c r="P199" s="41">
        <f>IF(N('Dvd Calendar'!$R$2750)=0,"",IF(('Dvd Calendar'!$R$2750&gt;=MIN(DATE(Summary!$C$12,1,1),Summary!$C$11))*('Dvd Calendar'!$R$2750&lt;=MAX(DATE(Summary!$C$12,12,31),Summary!$C$15))*('Dvd Calendar'!$R$2750&lt;=Summary!$C$11)=0,"",'Dvd Calendar'!$R$2750*1000000000+ISNUMBER('Dvd Calendar'!$R$2751)*100000000+('Dvd Calendar'!$R$2755='Field Check'!$C$25)*10000000+(N('Dvd Calendar'!$R$2749)&gt;0)*1000000+43*1000+14))</f>
        <v/>
      </c>
      <c r="Q199" s="41">
        <f>IF(N('Dvd Calendar'!$S$2750)=0,"",IF(('Dvd Calendar'!$S$2750&gt;=MIN(DATE(Summary!$C$12,1,1),Summary!$C$11))*('Dvd Calendar'!$S$2750&lt;=MAX(DATE(Summary!$C$12,12,31),Summary!$C$15))*('Dvd Calendar'!$S$2750&lt;=Summary!$C$11)=0,"",'Dvd Calendar'!$S$2750*1000000000+ISNUMBER('Dvd Calendar'!$S$2751)*100000000+('Dvd Calendar'!$S$2755='Field Check'!$C$25)*10000000+(N('Dvd Calendar'!$S$2749)&gt;0)*1000000+43*1000+15))</f>
        <v/>
      </c>
      <c r="R199" s="41">
        <f>IF(N('Dvd Calendar'!$T$2750)=0,"",IF(('Dvd Calendar'!$T$2750&gt;=MIN(DATE(Summary!$C$12,1,1),Summary!$C$11))*('Dvd Calendar'!$T$2750&lt;=MAX(DATE(Summary!$C$12,12,31),Summary!$C$15))*('Dvd Calendar'!$T$2750&lt;=Summary!$C$11)=0,"",'Dvd Calendar'!$T$2750*1000000000+ISNUMBER('Dvd Calendar'!$T$2751)*100000000+('Dvd Calendar'!$T$2755='Field Check'!$C$25)*10000000+(N('Dvd Calendar'!$T$2749)&gt;0)*1000000+43*1000+16))</f>
        <v/>
      </c>
      <c r="S199" s="41">
        <f>IF(N('Dvd Calendar'!$U$2750)=0,"",IF(('Dvd Calendar'!$U$2750&gt;=MIN(DATE(Summary!$C$12,1,1),Summary!$C$11))*('Dvd Calendar'!$U$2750&lt;=MAX(DATE(Summary!$C$12,12,31),Summary!$C$15))*('Dvd Calendar'!$U$2750&lt;=Summary!$C$11)=0,"",'Dvd Calendar'!$U$2750*1000000000+ISNUMBER('Dvd Calendar'!$U$2751)*100000000+('Dvd Calendar'!$U$2755='Field Check'!$C$25)*10000000+(N('Dvd Calendar'!$U$2749)&gt;0)*1000000+43*1000+17))</f>
        <v/>
      </c>
      <c r="T199" s="41">
        <f>IF(N('Dvd Calendar'!$V$2750)=0,"",IF(('Dvd Calendar'!$V$2750&gt;=MIN(DATE(Summary!$C$12,1,1),Summary!$C$11))*('Dvd Calendar'!$V$2750&lt;=MAX(DATE(Summary!$C$12,12,31),Summary!$C$15))*('Dvd Calendar'!$V$2750&lt;=Summary!$C$11)=0,"",'Dvd Calendar'!$V$2750*1000000000+ISNUMBER('Dvd Calendar'!$V$2751)*100000000+('Dvd Calendar'!$V$2755='Field Check'!$C$25)*10000000+(N('Dvd Calendar'!$V$2749)&gt;0)*1000000+43*1000+18))</f>
        <v/>
      </c>
      <c r="U199" s="41">
        <f>IF(N('Dvd Calendar'!$W$2750)=0,"",IF(('Dvd Calendar'!$W$2750&gt;=MIN(DATE(Summary!$C$12,1,1),Summary!$C$11))*('Dvd Calendar'!$W$2750&lt;=MAX(DATE(Summary!$C$12,12,31),Summary!$C$15))*('Dvd Calendar'!$W$2750&lt;=Summary!$C$11)=0,"",'Dvd Calendar'!$W$2750*1000000000+ISNUMBER('Dvd Calendar'!$W$2751)*100000000+('Dvd Calendar'!$W$2755='Field Check'!$C$25)*10000000+(N('Dvd Calendar'!$W$2749)&gt;0)*1000000+43*1000+19))</f>
        <v/>
      </c>
      <c r="V199" s="41">
        <f>IF(N('Dvd Calendar'!$X$2750)=0,"",IF(('Dvd Calendar'!$X$2750&gt;=MIN(DATE(Summary!$C$12,1,1),Summary!$C$11))*('Dvd Calendar'!$X$2750&lt;=MAX(DATE(Summary!$C$12,12,31),Summary!$C$15))*('Dvd Calendar'!$X$2750&lt;=Summary!$C$11)=0,"",'Dvd Calendar'!$X$2750*1000000000+ISNUMBER('Dvd Calendar'!$X$2751)*100000000+('Dvd Calendar'!$X$2755='Field Check'!$C$25)*10000000+(N('Dvd Calendar'!$X$2749)&gt;0)*1000000+43*1000+20))</f>
        <v/>
      </c>
      <c r="W199" s="41">
        <f>IF(N('Dvd Calendar'!$Y$2750)=0,"",IF(('Dvd Calendar'!$Y$2750&gt;=MIN(DATE(Summary!$C$12,1,1),Summary!$C$11))*('Dvd Calendar'!$Y$2750&lt;=MAX(DATE(Summary!$C$12,12,31),Summary!$C$15))*('Dvd Calendar'!$Y$2750&lt;=Summary!$C$11)=0,"",'Dvd Calendar'!$Y$2750*1000000000+ISNUMBER('Dvd Calendar'!$Y$2751)*100000000+('Dvd Calendar'!$Y$2755='Field Check'!$C$25)*10000000+(N('Dvd Calendar'!$Y$2749)&gt;0)*1000000+43*1000+21))</f>
        <v/>
      </c>
      <c r="X199" s="41">
        <f>IF(N('Dvd Calendar'!$Z$2750)=0,"",IF(('Dvd Calendar'!$Z$2750&gt;=MIN(DATE(Summary!$C$12,1,1),Summary!$C$11))*('Dvd Calendar'!$Z$2750&lt;=MAX(DATE(Summary!$C$12,12,31),Summary!$C$15))*('Dvd Calendar'!$Z$2750&lt;=Summary!$C$11)=0,"",'Dvd Calendar'!$Z$2750*1000000000+ISNUMBER('Dvd Calendar'!$Z$2751)*100000000+('Dvd Calendar'!$Z$2755='Field Check'!$C$25)*10000000+(N('Dvd Calendar'!$Z$2749)&gt;0)*1000000+43*1000+22))</f>
        <v/>
      </c>
      <c r="Y199" s="41">
        <f>IF(N('Dvd Calendar'!$AA$2750)=0,"",IF(('Dvd Calendar'!$AA$2750&gt;=MIN(DATE(Summary!$C$12,1,1),Summary!$C$11))*('Dvd Calendar'!$AA$2750&lt;=MAX(DATE(Summary!$C$12,12,31),Summary!$C$15))*('Dvd Calendar'!$AA$2750&lt;=Summary!$C$11)=0,"",'Dvd Calendar'!$AA$2750*1000000000+ISNUMBER('Dvd Calendar'!$AA$2751)*100000000+('Dvd Calendar'!$AA$2755='Field Check'!$C$25)*10000000+(N('Dvd Calendar'!$AA$2749)&gt;0)*1000000+43*1000+23))</f>
        <v/>
      </c>
      <c r="Z199" s="41">
        <f>IF(N('Dvd Calendar'!$AB$2750)=0,"",IF(('Dvd Calendar'!$AB$2750&gt;=MIN(DATE(Summary!$C$12,1,1),Summary!$C$11))*('Dvd Calendar'!$AB$2750&lt;=MAX(DATE(Summary!$C$12,12,31),Summary!$C$15))*('Dvd Calendar'!$AB$2750&lt;=Summary!$C$11)=0,"",'Dvd Calendar'!$AB$2750*1000000000+ISNUMBER('Dvd Calendar'!$AB$2751)*100000000+('Dvd Calendar'!$AB$2755='Field Check'!$C$25)*10000000+(N('Dvd Calendar'!$AB$2749)&gt;0)*1000000+43*1000+24))</f>
        <v/>
      </c>
      <c r="AA199" s="41">
        <f>IF(N('Dvd Calendar'!$AC$2750)=0,"",IF(('Dvd Calendar'!$AC$2750&gt;=MIN(DATE(Summary!$C$12,1,1),Summary!$C$11))*('Dvd Calendar'!$AC$2750&lt;=MAX(DATE(Summary!$C$12,12,31),Summary!$C$15))*('Dvd Calendar'!$AC$2750&lt;=Summary!$C$11)=0,"",'Dvd Calendar'!$AC$2750*1000000000+ISNUMBER('Dvd Calendar'!$AC$2751)*100000000+('Dvd Calendar'!$AC$2755='Field Check'!$C$25)*10000000+(N('Dvd Calendar'!$AC$2749)&gt;0)*1000000+43*1000+25))</f>
        <v/>
      </c>
      <c r="AB199" s="41">
        <f>IF(N('Dvd Calendar'!$AD$2750)=0,"",IF(('Dvd Calendar'!$AD$2750&gt;=MIN(DATE(Summary!$C$12,1,1),Summary!$C$11))*('Dvd Calendar'!$AD$2750&lt;=MAX(DATE(Summary!$C$12,12,31),Summary!$C$15))*('Dvd Calendar'!$AD$2750&lt;=Summary!$C$11)=0,"",'Dvd Calendar'!$AD$2750*1000000000+ISNUMBER('Dvd Calendar'!$AD$2751)*100000000+('Dvd Calendar'!$AD$2755='Field Check'!$C$25)*10000000+(N('Dvd Calendar'!$AD$2749)&gt;0)*1000000+43*1000+26))</f>
        <v/>
      </c>
      <c r="AC199" s="41">
        <f>IF(N('Dvd Calendar'!$AE$2750)=0,"",IF(('Dvd Calendar'!$AE$2750&gt;=MIN(DATE(Summary!$C$12,1,1),Summary!$C$11))*('Dvd Calendar'!$AE$2750&lt;=MAX(DATE(Summary!$C$12,12,31),Summary!$C$15))*('Dvd Calendar'!$AE$2750&lt;=Summary!$C$11)=0,"",'Dvd Calendar'!$AE$2750*1000000000+ISNUMBER('Dvd Calendar'!$AE$2751)*100000000+('Dvd Calendar'!$AE$2755='Field Check'!$C$25)*10000000+(N('Dvd Calendar'!$AE$2749)&gt;0)*1000000+43*1000+27))</f>
        <v/>
      </c>
      <c r="AD199" s="41">
        <f>IF(N('Dvd Calendar'!$AF$2750)=0,"",IF(('Dvd Calendar'!$AF$2750&gt;=MIN(DATE(Summary!$C$12,1,1),Summary!$C$11))*('Dvd Calendar'!$AF$2750&lt;=MAX(DATE(Summary!$C$12,12,31),Summary!$C$15))*('Dvd Calendar'!$AF$2750&lt;=Summary!$C$11)=0,"",'Dvd Calendar'!$AF$2750*1000000000+ISNUMBER('Dvd Calendar'!$AF$2751)*100000000+('Dvd Calendar'!$AF$2755='Field Check'!$C$25)*10000000+(N('Dvd Calendar'!$AF$2749)&gt;0)*1000000+43*1000+28))</f>
        <v/>
      </c>
      <c r="AE199" s="41">
        <f>IF(N('Dvd Calendar'!$AG$2750)=0,"",IF(('Dvd Calendar'!$AG$2750&gt;=MIN(DATE(Summary!$C$12,1,1),Summary!$C$11))*('Dvd Calendar'!$AG$2750&lt;=MAX(DATE(Summary!$C$12,12,31),Summary!$C$15))*('Dvd Calendar'!$AG$2750&lt;=Summary!$C$11)=0,"",'Dvd Calendar'!$AG$2750*1000000000+ISNUMBER('Dvd Calendar'!$AG$2751)*100000000+('Dvd Calendar'!$AG$2755='Field Check'!$C$25)*10000000+(N('Dvd Calendar'!$AG$2749)&gt;0)*1000000+43*1000+29))</f>
        <v/>
      </c>
      <c r="AF199" s="41">
        <f>IF(N('Dvd Calendar'!$AH$2750)=0,"",IF(('Dvd Calendar'!$AH$2750&gt;=MIN(DATE(Summary!$C$12,1,1),Summary!$C$11))*('Dvd Calendar'!$AH$2750&lt;=MAX(DATE(Summary!$C$12,12,31),Summary!$C$15))*('Dvd Calendar'!$AH$2750&lt;=Summary!$C$11)=0,"",'Dvd Calendar'!$AH$2750*1000000000+ISNUMBER('Dvd Calendar'!$AH$2751)*100000000+('Dvd Calendar'!$AH$2755='Field Check'!$C$25)*10000000+(N('Dvd Calendar'!$AH$2749)&gt;0)*1000000+43*1000+30))</f>
        <v/>
      </c>
      <c r="AG199" s="41">
        <f>IF(N('Dvd Calendar'!$AI$2750)=0,"",IF(('Dvd Calendar'!$AI$2750&gt;=MIN(DATE(Summary!$C$12,1,1),Summary!$C$11))*('Dvd Calendar'!$AI$2750&lt;=MAX(DATE(Summary!$C$12,12,31),Summary!$C$15))*('Dvd Calendar'!$AI$2750&lt;=Summary!$C$11)=0,"",'Dvd Calendar'!$AI$2750*1000000000+ISNUMBER('Dvd Calendar'!$AI$2751)*100000000+('Dvd Calendar'!$AI$2755='Field Check'!$C$25)*10000000+(N('Dvd Calendar'!$AI$2749)&gt;0)*1000000+43*1000+31))</f>
        <v/>
      </c>
      <c r="AH199" s="41">
        <f>IF(N('Dvd Calendar'!$AJ$2750)=0,"",IF(('Dvd Calendar'!$AJ$2750&gt;=MIN(DATE(Summary!$C$12,1,1),Summary!$C$11))*('Dvd Calendar'!$AJ$2750&lt;=MAX(DATE(Summary!$C$12,12,31),Summary!$C$15))*('Dvd Calendar'!$AJ$2750&lt;=Summary!$C$11)=0,"",'Dvd Calendar'!$AJ$2750*1000000000+ISNUMBER('Dvd Calendar'!$AJ$2751)*100000000+('Dvd Calendar'!$AJ$2755='Field Check'!$C$25)*10000000+(N('Dvd Calendar'!$AJ$2749)&gt;0)*1000000+43*1000+32))</f>
        <v/>
      </c>
      <c r="AI199" s="41">
        <f>IF(N('Dvd Calendar'!$AK$2750)=0,"",IF(('Dvd Calendar'!$AK$2750&gt;=MIN(DATE(Summary!$C$12,1,1),Summary!$C$11))*('Dvd Calendar'!$AK$2750&lt;=MAX(DATE(Summary!$C$12,12,31),Summary!$C$15))*('Dvd Calendar'!$AK$2750&lt;=Summary!$C$11)=0,"",'Dvd Calendar'!$AK$2750*1000000000+ISNUMBER('Dvd Calendar'!$AK$2751)*100000000+('Dvd Calendar'!$AK$2755='Field Check'!$C$25)*10000000+(N('Dvd Calendar'!$AK$2749)&gt;0)*1000000+43*1000+33))</f>
        <v/>
      </c>
      <c r="AJ199" s="41">
        <f>IF(N('Dvd Calendar'!$AL$2750)=0,"",IF(('Dvd Calendar'!$AL$2750&gt;=MIN(DATE(Summary!$C$12,1,1),Summary!$C$11))*('Dvd Calendar'!$AL$2750&lt;=MAX(DATE(Summary!$C$12,12,31),Summary!$C$15))*('Dvd Calendar'!$AL$2750&lt;=Summary!$C$11)=0,"",'Dvd Calendar'!$AL$2750*1000000000+ISNUMBER('Dvd Calendar'!$AL$2751)*100000000+('Dvd Calendar'!$AL$2755='Field Check'!$C$25)*10000000+(N('Dvd Calendar'!$AL$2749)&gt;0)*1000000+43*1000+34))</f>
        <v/>
      </c>
      <c r="AK199" s="41">
        <f>IF(N('Dvd Calendar'!$AM$2750)=0,"",IF(('Dvd Calendar'!$AM$2750&gt;=MIN(DATE(Summary!$C$12,1,1),Summary!$C$11))*('Dvd Calendar'!$AM$2750&lt;=MAX(DATE(Summary!$C$12,12,31),Summary!$C$15))*('Dvd Calendar'!$AM$2750&lt;=Summary!$C$11)=0,"",'Dvd Calendar'!$AM$2750*1000000000+ISNUMBER('Dvd Calendar'!$AM$2751)*100000000+('Dvd Calendar'!$AM$2755='Field Check'!$C$25)*10000000+(N('Dvd Calendar'!$AM$2749)&gt;0)*1000000+43*1000+35))</f>
        <v/>
      </c>
      <c r="AL199" s="41">
        <f>IF(N('Dvd Calendar'!$AN$2750)=0,"",IF(('Dvd Calendar'!$AN$2750&gt;=MIN(DATE(Summary!$C$12,1,1),Summary!$C$11))*('Dvd Calendar'!$AN$2750&lt;=MAX(DATE(Summary!$C$12,12,31),Summary!$C$15))*('Dvd Calendar'!$AN$2750&lt;=Summary!$C$11)=0,"",'Dvd Calendar'!$AN$2750*1000000000+ISNUMBER('Dvd Calendar'!$AN$2751)*100000000+('Dvd Calendar'!$AN$2755='Field Check'!$C$25)*10000000+(N('Dvd Calendar'!$AN$2749)&gt;0)*1000000+43*1000+36))</f>
        <v/>
      </c>
      <c r="AM199" s="41">
        <f>IF(N('Dvd Calendar'!$AO$2750)=0,"",IF(('Dvd Calendar'!$AO$2750&gt;=MIN(DATE(Summary!$C$12,1,1),Summary!$C$11))*('Dvd Calendar'!$AO$2750&lt;=MAX(DATE(Summary!$C$12,12,31),Summary!$C$15))*('Dvd Calendar'!$AO$2750&lt;=Summary!$C$11)=0,"",'Dvd Calendar'!$AO$2750*1000000000+ISNUMBER('Dvd Calendar'!$AO$2751)*100000000+('Dvd Calendar'!$AO$2755='Field Check'!$C$25)*10000000+(N('Dvd Calendar'!$AO$2749)&gt;0)*1000000+43*1000+37))</f>
        <v/>
      </c>
      <c r="AN199" s="41">
        <f>IF(N('Dvd Calendar'!$AP$2750)=0,"",IF(('Dvd Calendar'!$AP$2750&gt;=MIN(DATE(Summary!$C$12,1,1),Summary!$C$11))*('Dvd Calendar'!$AP$2750&lt;=MAX(DATE(Summary!$C$12,12,31),Summary!$C$15))*('Dvd Calendar'!$AP$2750&lt;=Summary!$C$11)=0,"",'Dvd Calendar'!$AP$2750*1000000000+ISNUMBER('Dvd Calendar'!$AP$2751)*100000000+('Dvd Calendar'!$AP$2755='Field Check'!$C$25)*10000000+(N('Dvd Calendar'!$AP$2749)&gt;0)*1000000+43*1000+38))</f>
        <v/>
      </c>
      <c r="AO199" s="41">
        <f>IF(N('Dvd Calendar'!$AQ$2750)=0,"",IF(('Dvd Calendar'!$AQ$2750&gt;=MIN(DATE(Summary!$C$12,1,1),Summary!$C$11))*('Dvd Calendar'!$AQ$2750&lt;=MAX(DATE(Summary!$C$12,12,31),Summary!$C$15))*('Dvd Calendar'!$AQ$2750&lt;=Summary!$C$11)=0,"",'Dvd Calendar'!$AQ$2750*1000000000+ISNUMBER('Dvd Calendar'!$AQ$2751)*100000000+('Dvd Calendar'!$AQ$2755='Field Check'!$C$25)*10000000+(N('Dvd Calendar'!$AQ$2749)&gt;0)*1000000+43*1000+39))</f>
        <v/>
      </c>
      <c r="AP199" s="41">
        <f>IF(N('Dvd Calendar'!$AR$2750)=0,"",IF(('Dvd Calendar'!$AR$2750&gt;=MIN(DATE(Summary!$C$12,1,1),Summary!$C$11))*('Dvd Calendar'!$AR$2750&lt;=MAX(DATE(Summary!$C$12,12,31),Summary!$C$15))*('Dvd Calendar'!$AR$2750&lt;=Summary!$C$11)=0,"",'Dvd Calendar'!$AR$2750*1000000000+ISNUMBER('Dvd Calendar'!$AR$2751)*100000000+('Dvd Calendar'!$AR$2755='Field Check'!$C$25)*10000000+(N('Dvd Calendar'!$AR$2749)&gt;0)*1000000+43*1000+40))</f>
        <v/>
      </c>
      <c r="AQ199" s="41">
        <f>IF(N('Dvd Calendar'!$E$2757)=0,"",IF(('Dvd Calendar'!$E$2757&gt;=MIN(DATE(Summary!$C$12,1,1),Summary!$C$11))*('Dvd Calendar'!$E$2757&lt;=MAX(DATE(Summary!$C$12,12,31),Summary!$C$15))*('Dvd Calendar'!$E$2757&gt;Summary!$C$11)=0,"",'Dvd Calendar'!$E$2757*1000000000+ISNUMBER('Dvd Calendar'!$E$2758)*100000000+('Dvd Calendar'!$E$2762='Field Check'!$C$25)*10000000+(N('Dvd Calendar'!$E$2756)&gt;0)*1000000+43*1000+41))</f>
        <v/>
      </c>
      <c r="AR199" s="41">
        <f>IF(N('Dvd Calendar'!$F$2757)=0,"",IF(('Dvd Calendar'!$F$2757&gt;=MIN(DATE(Summary!$C$12,1,1),Summary!$C$11))*('Dvd Calendar'!$F$2757&lt;=MAX(DATE(Summary!$C$12,12,31),Summary!$C$15))*('Dvd Calendar'!$F$2757&gt;Summary!$C$11)=0,"",'Dvd Calendar'!$F$2757*1000000000+ISNUMBER('Dvd Calendar'!$F$2758)*100000000+('Dvd Calendar'!$F$2762='Field Check'!$C$25)*10000000+(N('Dvd Calendar'!$F$2756)&gt;0)*1000000+43*1000+42))</f>
        <v/>
      </c>
      <c r="AS199" s="41">
        <f>IF(N('Dvd Calendar'!$G$2757)=0,"",IF(('Dvd Calendar'!$G$2757&gt;=MIN(DATE(Summary!$C$12,1,1),Summary!$C$11))*('Dvd Calendar'!$G$2757&lt;=MAX(DATE(Summary!$C$12,12,31),Summary!$C$15))*('Dvd Calendar'!$G$2757&gt;Summary!$C$11)=0,"",'Dvd Calendar'!$G$2757*1000000000+ISNUMBER('Dvd Calendar'!$G$2758)*100000000+('Dvd Calendar'!$G$2762='Field Check'!$C$25)*10000000+(N('Dvd Calendar'!$G$2756)&gt;0)*1000000+43*1000+43))</f>
        <v/>
      </c>
      <c r="AT199" s="41">
        <f>IF(N('Dvd Calendar'!$H$2757)=0,"",IF(('Dvd Calendar'!$H$2757&gt;=MIN(DATE(Summary!$C$12,1,1),Summary!$C$11))*('Dvd Calendar'!$H$2757&lt;=MAX(DATE(Summary!$C$12,12,31),Summary!$C$15))*('Dvd Calendar'!$H$2757&gt;Summary!$C$11)=0,"",'Dvd Calendar'!$H$2757*1000000000+ISNUMBER('Dvd Calendar'!$H$2758)*100000000+('Dvd Calendar'!$H$2762='Field Check'!$C$25)*10000000+(N('Dvd Calendar'!$H$2756)&gt;0)*1000000+43*1000+44))</f>
        <v/>
      </c>
      <c r="AU199" s="41">
        <f>IF(N('Dvd Calendar'!$I$2757)=0,"",IF(('Dvd Calendar'!$I$2757&gt;=MIN(DATE(Summary!$C$12,1,1),Summary!$C$11))*('Dvd Calendar'!$I$2757&lt;=MAX(DATE(Summary!$C$12,12,31),Summary!$C$15))*('Dvd Calendar'!$I$2757&gt;Summary!$C$11)=0,"",'Dvd Calendar'!$I$2757*1000000000+ISNUMBER('Dvd Calendar'!$I$2758)*100000000+('Dvd Calendar'!$I$2762='Field Check'!$C$25)*10000000+(N('Dvd Calendar'!$I$2756)&gt;0)*1000000+43*1000+45))</f>
        <v/>
      </c>
      <c r="AV199" s="41">
        <f>IF(N('Dvd Calendar'!$J$2757)=0,"",IF(('Dvd Calendar'!$J$2757&gt;=MIN(DATE(Summary!$C$12,1,1),Summary!$C$11))*('Dvd Calendar'!$J$2757&lt;=MAX(DATE(Summary!$C$12,12,31),Summary!$C$15))*('Dvd Calendar'!$J$2757&gt;Summary!$C$11)=0,"",'Dvd Calendar'!$J$2757*1000000000+ISNUMBER('Dvd Calendar'!$J$2758)*100000000+('Dvd Calendar'!$J$2762='Field Check'!$C$25)*10000000+(N('Dvd Calendar'!$J$2756)&gt;0)*1000000+43*1000+46))</f>
        <v/>
      </c>
      <c r="AW199" s="41">
        <f>IF(N('Dvd Calendar'!$K$2757)=0,"",IF(('Dvd Calendar'!$K$2757&gt;=MIN(DATE(Summary!$C$12,1,1),Summary!$C$11))*('Dvd Calendar'!$K$2757&lt;=MAX(DATE(Summary!$C$12,12,31),Summary!$C$15))*('Dvd Calendar'!$K$2757&gt;Summary!$C$11)=0,"",'Dvd Calendar'!$K$2757*1000000000+ISNUMBER('Dvd Calendar'!$K$2758)*100000000+('Dvd Calendar'!$K$2762='Field Check'!$C$25)*10000000+(N('Dvd Calendar'!$K$2756)&gt;0)*1000000+43*1000+47))</f>
        <v/>
      </c>
      <c r="AX199" s="41">
        <f>IF(N('Dvd Calendar'!$L$2757)=0,"",IF(('Dvd Calendar'!$L$2757&gt;=MIN(DATE(Summary!$C$12,1,1),Summary!$C$11))*('Dvd Calendar'!$L$2757&lt;=MAX(DATE(Summary!$C$12,12,31),Summary!$C$15))*('Dvd Calendar'!$L$2757&gt;Summary!$C$11)=0,"",'Dvd Calendar'!$L$2757*1000000000+ISNUMBER('Dvd Calendar'!$L$2758)*100000000+('Dvd Calendar'!$L$2762='Field Check'!$C$25)*10000000+(N('Dvd Calendar'!$L$2756)&gt;0)*1000000+43*1000+48))</f>
        <v/>
      </c>
      <c r="AY199" s="41">
        <f>IF(N('Dvd Calendar'!$M$2757)=0,"",IF(('Dvd Calendar'!$M$2757&gt;=MIN(DATE(Summary!$C$12,1,1),Summary!$C$11))*('Dvd Calendar'!$M$2757&lt;=MAX(DATE(Summary!$C$12,12,31),Summary!$C$15))*('Dvd Calendar'!$M$2757&gt;Summary!$C$11)=0,"",'Dvd Calendar'!$M$2757*1000000000+ISNUMBER('Dvd Calendar'!$M$2758)*100000000+('Dvd Calendar'!$M$2762='Field Check'!$C$25)*10000000+(N('Dvd Calendar'!$M$2756)&gt;0)*1000000+43*1000+49))</f>
        <v/>
      </c>
      <c r="AZ199" s="41">
        <f>IF(N('Dvd Calendar'!$N$2757)=0,"",IF(('Dvd Calendar'!$N$2757&gt;=MIN(DATE(Summary!$C$12,1,1),Summary!$C$11))*('Dvd Calendar'!$N$2757&lt;=MAX(DATE(Summary!$C$12,12,31),Summary!$C$15))*('Dvd Calendar'!$N$2757&gt;Summary!$C$11)=0,"",'Dvd Calendar'!$N$2757*1000000000+ISNUMBER('Dvd Calendar'!$N$2758)*100000000+('Dvd Calendar'!$N$2762='Field Check'!$C$25)*10000000+(N('Dvd Calendar'!$N$2756)&gt;0)*1000000+43*1000+50))</f>
        <v/>
      </c>
      <c r="BA199" s="41">
        <f>IF(N('Dvd Calendar'!$O$2757)=0,"",IF(('Dvd Calendar'!$O$2757&gt;=MIN(DATE(Summary!$C$12,1,1),Summary!$C$11))*('Dvd Calendar'!$O$2757&lt;=MAX(DATE(Summary!$C$12,12,31),Summary!$C$15))*('Dvd Calendar'!$O$2757&gt;Summary!$C$11)=0,"",'Dvd Calendar'!$O$2757*1000000000+ISNUMBER('Dvd Calendar'!$O$2758)*100000000+('Dvd Calendar'!$O$2762='Field Check'!$C$25)*10000000+(N('Dvd Calendar'!$O$2756)&gt;0)*1000000+43*1000+51))</f>
        <v/>
      </c>
      <c r="BB199" s="41">
        <f>IF(N('Dvd Calendar'!$P$2757)=0,"",IF(('Dvd Calendar'!$P$2757&gt;=MIN(DATE(Summary!$C$12,1,1),Summary!$C$11))*('Dvd Calendar'!$P$2757&lt;=MAX(DATE(Summary!$C$12,12,31),Summary!$C$15))*('Dvd Calendar'!$P$2757&gt;Summary!$C$11)=0,"",'Dvd Calendar'!$P$2757*1000000000+ISNUMBER('Dvd Calendar'!$P$2758)*100000000+('Dvd Calendar'!$P$2762='Field Check'!$C$25)*10000000+(N('Dvd Calendar'!$P$2756)&gt;0)*1000000+43*1000+52))</f>
        <v/>
      </c>
      <c r="BC199" s="41">
        <f>IF(N('Dvd Calendar'!$Q$2757)=0,"",IF(('Dvd Calendar'!$Q$2757&gt;=MIN(DATE(Summary!$C$12,1,1),Summary!$C$11))*('Dvd Calendar'!$Q$2757&lt;=MAX(DATE(Summary!$C$12,12,31),Summary!$C$15))*('Dvd Calendar'!$Q$2757&gt;Summary!$C$11)=0,"",'Dvd Calendar'!$Q$2757*1000000000+ISNUMBER('Dvd Calendar'!$Q$2758)*100000000+('Dvd Calendar'!$Q$2762='Field Check'!$C$25)*10000000+(N('Dvd Calendar'!$Q$2756)&gt;0)*1000000+43*1000+53))</f>
        <v/>
      </c>
      <c r="BD199" s="41">
        <f>IF(N('Dvd Calendar'!$R$2757)=0,"",IF(('Dvd Calendar'!$R$2757&gt;=MIN(DATE(Summary!$C$12,1,1),Summary!$C$11))*('Dvd Calendar'!$R$2757&lt;=MAX(DATE(Summary!$C$12,12,31),Summary!$C$15))*('Dvd Calendar'!$R$2757&gt;Summary!$C$11)=0,"",'Dvd Calendar'!$R$2757*1000000000+ISNUMBER('Dvd Calendar'!$R$2758)*100000000+('Dvd Calendar'!$R$2762='Field Check'!$C$25)*10000000+(N('Dvd Calendar'!$R$2756)&gt;0)*1000000+43*1000+54))</f>
        <v/>
      </c>
      <c r="BE199" s="41">
        <f>IF(N('Dvd Calendar'!$S$2757)=0,"",IF(('Dvd Calendar'!$S$2757&gt;=MIN(DATE(Summary!$C$12,1,1),Summary!$C$11))*('Dvd Calendar'!$S$2757&lt;=MAX(DATE(Summary!$C$12,12,31),Summary!$C$15))*('Dvd Calendar'!$S$2757&gt;Summary!$C$11)=0,"",'Dvd Calendar'!$S$2757*1000000000+ISNUMBER('Dvd Calendar'!$S$2758)*100000000+('Dvd Calendar'!$S$2762='Field Check'!$C$25)*10000000+(N('Dvd Calendar'!$S$2756)&gt;0)*1000000+43*1000+55))</f>
        <v/>
      </c>
      <c r="BF199" s="41">
        <f>IF(N('Dvd Calendar'!$T$2757)=0,"",IF(('Dvd Calendar'!$T$2757&gt;=MIN(DATE(Summary!$C$12,1,1),Summary!$C$11))*('Dvd Calendar'!$T$2757&lt;=MAX(DATE(Summary!$C$12,12,31),Summary!$C$15))*('Dvd Calendar'!$T$2757&gt;Summary!$C$11)=0,"",'Dvd Calendar'!$T$2757*1000000000+ISNUMBER('Dvd Calendar'!$T$2758)*100000000+('Dvd Calendar'!$T$2762='Field Check'!$C$25)*10000000+(N('Dvd Calendar'!$T$2756)&gt;0)*1000000+43*1000+56))</f>
        <v/>
      </c>
      <c r="BG199" s="41">
        <f>IF(N('Dvd Calendar'!$U$2757)=0,"",IF(('Dvd Calendar'!$U$2757&gt;=MIN(DATE(Summary!$C$12,1,1),Summary!$C$11))*('Dvd Calendar'!$U$2757&lt;=MAX(DATE(Summary!$C$12,12,31),Summary!$C$15))*('Dvd Calendar'!$U$2757&gt;Summary!$C$11)=0,"",'Dvd Calendar'!$U$2757*1000000000+ISNUMBER('Dvd Calendar'!$U$2758)*100000000+('Dvd Calendar'!$U$2762='Field Check'!$C$25)*10000000+(N('Dvd Calendar'!$U$2756)&gt;0)*1000000+43*1000+57))</f>
        <v/>
      </c>
      <c r="BH199" s="41">
        <f>IF(N('Dvd Calendar'!$V$2757)=0,"",IF(('Dvd Calendar'!$V$2757&gt;=MIN(DATE(Summary!$C$12,1,1),Summary!$C$11))*('Dvd Calendar'!$V$2757&lt;=MAX(DATE(Summary!$C$12,12,31),Summary!$C$15))*('Dvd Calendar'!$V$2757&gt;Summary!$C$11)=0,"",'Dvd Calendar'!$V$2757*1000000000+ISNUMBER('Dvd Calendar'!$V$2758)*100000000+('Dvd Calendar'!$V$2762='Field Check'!$C$25)*10000000+(N('Dvd Calendar'!$V$2756)&gt;0)*1000000+43*1000+58))</f>
        <v/>
      </c>
      <c r="BI199" s="41">
        <f>IF(N('Dvd Calendar'!$W$2757)=0,"",IF(('Dvd Calendar'!$W$2757&gt;=MIN(DATE(Summary!$C$12,1,1),Summary!$C$11))*('Dvd Calendar'!$W$2757&lt;=MAX(DATE(Summary!$C$12,12,31),Summary!$C$15))*('Dvd Calendar'!$W$2757&gt;Summary!$C$11)=0,"",'Dvd Calendar'!$W$2757*1000000000+ISNUMBER('Dvd Calendar'!$W$2758)*100000000+('Dvd Calendar'!$W$2762='Field Check'!$C$25)*10000000+(N('Dvd Calendar'!$W$2756)&gt;0)*1000000+43*1000+59))</f>
        <v/>
      </c>
      <c r="BJ199" s="41">
        <f>IF(N('Dvd Calendar'!$X$2757)=0,"",IF(('Dvd Calendar'!$X$2757&gt;=MIN(DATE(Summary!$C$12,1,1),Summary!$C$11))*('Dvd Calendar'!$X$2757&lt;=MAX(DATE(Summary!$C$12,12,31),Summary!$C$15))*('Dvd Calendar'!$X$2757&gt;Summary!$C$11)=0,"",'Dvd Calendar'!$X$2757*1000000000+ISNUMBER('Dvd Calendar'!$X$2758)*100000000+('Dvd Calendar'!$X$2762='Field Check'!$C$25)*10000000+(N('Dvd Calendar'!$X$2756)&gt;0)*1000000+43*1000+60))</f>
        <v/>
      </c>
      <c r="BK199" s="41">
        <f>IF(N('Dvd Calendar'!$Y$2757)=0,"",IF(('Dvd Calendar'!$Y$2757&gt;=MIN(DATE(Summary!$C$12,1,1),Summary!$C$11))*('Dvd Calendar'!$Y$2757&lt;=MAX(DATE(Summary!$C$12,12,31),Summary!$C$15))*('Dvd Calendar'!$Y$2757&gt;Summary!$C$11)=0,"",'Dvd Calendar'!$Y$2757*1000000000+ISNUMBER('Dvd Calendar'!$Y$2758)*100000000+('Dvd Calendar'!$Y$2762='Field Check'!$C$25)*10000000+(N('Dvd Calendar'!$Y$2756)&gt;0)*1000000+43*1000+61))</f>
        <v/>
      </c>
      <c r="BL199" s="41">
        <f>IF(N('Dvd Calendar'!$Z$2757)=0,"",IF(('Dvd Calendar'!$Z$2757&gt;=MIN(DATE(Summary!$C$12,1,1),Summary!$C$11))*('Dvd Calendar'!$Z$2757&lt;=MAX(DATE(Summary!$C$12,12,31),Summary!$C$15))*('Dvd Calendar'!$Z$2757&gt;Summary!$C$11)=0,"",'Dvd Calendar'!$Z$2757*1000000000+ISNUMBER('Dvd Calendar'!$Z$2758)*100000000+('Dvd Calendar'!$Z$2762='Field Check'!$C$25)*10000000+(N('Dvd Calendar'!$Z$2756)&gt;0)*1000000+43*1000+62))</f>
        <v/>
      </c>
      <c r="BM199" s="41">
        <f>IF(N('Dvd Calendar'!$AA$2757)=0,"",IF(('Dvd Calendar'!$AA$2757&gt;=MIN(DATE(Summary!$C$12,1,1),Summary!$C$11))*('Dvd Calendar'!$AA$2757&lt;=MAX(DATE(Summary!$C$12,12,31),Summary!$C$15))*('Dvd Calendar'!$AA$2757&gt;Summary!$C$11)=0,"",'Dvd Calendar'!$AA$2757*1000000000+ISNUMBER('Dvd Calendar'!$AA$2758)*100000000+('Dvd Calendar'!$AA$2762='Field Check'!$C$25)*10000000+(N('Dvd Calendar'!$AA$2756)&gt;0)*1000000+43*1000+63))</f>
        <v/>
      </c>
      <c r="BN199" s="41">
        <f>IF(N('Dvd Calendar'!$AB$2757)=0,"",IF(('Dvd Calendar'!$AB$2757&gt;=MIN(DATE(Summary!$C$12,1,1),Summary!$C$11))*('Dvd Calendar'!$AB$2757&lt;=MAX(DATE(Summary!$C$12,12,31),Summary!$C$15))*('Dvd Calendar'!$AB$2757&gt;Summary!$C$11)=0,"",'Dvd Calendar'!$AB$2757*1000000000+ISNUMBER('Dvd Calendar'!$AB$2758)*100000000+('Dvd Calendar'!$AB$2762='Field Check'!$C$25)*10000000+(N('Dvd Calendar'!$AB$2756)&gt;0)*1000000+43*1000+64))</f>
        <v/>
      </c>
      <c r="BO199" s="41">
        <f>IF(N('Dvd Calendar'!$AC$2757)=0,"",IF(('Dvd Calendar'!$AC$2757&gt;=MIN(DATE(Summary!$C$12,1,1),Summary!$C$11))*('Dvd Calendar'!$AC$2757&lt;=MAX(DATE(Summary!$C$12,12,31),Summary!$C$15))*('Dvd Calendar'!$AC$2757&gt;Summary!$C$11)=0,"",'Dvd Calendar'!$AC$2757*1000000000+ISNUMBER('Dvd Calendar'!$AC$2758)*100000000+('Dvd Calendar'!$AC$2762='Field Check'!$C$25)*10000000+(N('Dvd Calendar'!$AC$2756)&gt;0)*1000000+43*1000+65))</f>
        <v/>
      </c>
      <c r="BQ199" s="85">
        <f>IF(C199="","",IF(ISNUMBER('Dvd Calendar'!$E$2751)=FALSE,"",IF((Summary!$C$13="N")*('Dvd Calendar'!$E$2755='Field Check'!$C$25)&gt;0,"",'Dvd Calendar'!$E$2751)))</f>
        <v/>
      </c>
      <c r="BR199" s="85">
        <f>IF(D199="","",IF(ISNUMBER('Dvd Calendar'!$F$2751)=FALSE,"",IF((Summary!$C$13="N")*('Dvd Calendar'!$F$2755='Field Check'!$C$25)&gt;0,"",'Dvd Calendar'!$F$2751)))</f>
        <v/>
      </c>
      <c r="BS199" s="85">
        <f>IF(E199="","",IF(ISNUMBER('Dvd Calendar'!$G$2751)=FALSE,"",IF((Summary!$C$13="N")*('Dvd Calendar'!$G$2755='Field Check'!$C$25)&gt;0,"",'Dvd Calendar'!$G$2751)))</f>
        <v/>
      </c>
      <c r="BT199" s="85">
        <f>IF(F199="","",IF(ISNUMBER('Dvd Calendar'!$H$2751)=FALSE,"",IF((Summary!$C$13="N")*('Dvd Calendar'!$H$2755='Field Check'!$C$25)&gt;0,"",'Dvd Calendar'!$H$2751)))</f>
        <v/>
      </c>
      <c r="BU199" s="85">
        <f>IF(G199="","",IF(ISNUMBER('Dvd Calendar'!$I$2751)=FALSE,"",IF((Summary!$C$13="N")*('Dvd Calendar'!$I$2755='Field Check'!$C$25)&gt;0,"",'Dvd Calendar'!$I$2751)))</f>
        <v/>
      </c>
      <c r="BV199" s="85">
        <f>IF(H199="","",IF(ISNUMBER('Dvd Calendar'!$J$2751)=FALSE,"",IF((Summary!$C$13="N")*('Dvd Calendar'!$J$2755='Field Check'!$C$25)&gt;0,"",'Dvd Calendar'!$J$2751)))</f>
        <v/>
      </c>
      <c r="BW199" s="85">
        <f>IF(I199="","",IF(ISNUMBER('Dvd Calendar'!$K$2751)=FALSE,"",IF((Summary!$C$13="N")*('Dvd Calendar'!$K$2755='Field Check'!$C$25)&gt;0,"",'Dvd Calendar'!$K$2751)))</f>
        <v/>
      </c>
      <c r="BX199" s="85">
        <f>IF(J199="","",IF(ISNUMBER('Dvd Calendar'!$L$2751)=FALSE,"",IF((Summary!$C$13="N")*('Dvd Calendar'!$L$2755='Field Check'!$C$25)&gt;0,"",'Dvd Calendar'!$L$2751)))</f>
        <v/>
      </c>
      <c r="BY199" s="85">
        <f>IF(K199="","",IF(ISNUMBER('Dvd Calendar'!$M$2751)=FALSE,"",IF((Summary!$C$13="N")*('Dvd Calendar'!$M$2755='Field Check'!$C$25)&gt;0,"",'Dvd Calendar'!$M$2751)))</f>
        <v/>
      </c>
      <c r="BZ199" s="85">
        <f>IF(L199="","",IF(ISNUMBER('Dvd Calendar'!$N$2751)=FALSE,"",IF((Summary!$C$13="N")*('Dvd Calendar'!$N$2755='Field Check'!$C$25)&gt;0,"",'Dvd Calendar'!$N$2751)))</f>
        <v/>
      </c>
      <c r="CA199" s="85">
        <f>IF(M199="","",IF(ISNUMBER('Dvd Calendar'!$O$2751)=FALSE,"",IF((Summary!$C$13="N")*('Dvd Calendar'!$O$2755='Field Check'!$C$25)&gt;0,"",'Dvd Calendar'!$O$2751)))</f>
        <v/>
      </c>
      <c r="CB199" s="85">
        <f>IF(N199="","",IF(ISNUMBER('Dvd Calendar'!$P$2751)=FALSE,"",IF((Summary!$C$13="N")*('Dvd Calendar'!$P$2755='Field Check'!$C$25)&gt;0,"",'Dvd Calendar'!$P$2751)))</f>
        <v/>
      </c>
      <c r="CC199" s="85">
        <f>IF(O199="","",IF(ISNUMBER('Dvd Calendar'!$Q$2751)=FALSE,"",IF((Summary!$C$13="N")*('Dvd Calendar'!$Q$2755='Field Check'!$C$25)&gt;0,"",'Dvd Calendar'!$Q$2751)))</f>
        <v/>
      </c>
      <c r="CD199" s="85">
        <f>IF(P199="","",IF(ISNUMBER('Dvd Calendar'!$R$2751)=FALSE,"",IF((Summary!$C$13="N")*('Dvd Calendar'!$R$2755='Field Check'!$C$25)&gt;0,"",'Dvd Calendar'!$R$2751)))</f>
        <v/>
      </c>
      <c r="CE199" s="85">
        <f>IF(Q199="","",IF(ISNUMBER('Dvd Calendar'!$S$2751)=FALSE,"",IF((Summary!$C$13="N")*('Dvd Calendar'!$S$2755='Field Check'!$C$25)&gt;0,"",'Dvd Calendar'!$S$2751)))</f>
        <v/>
      </c>
      <c r="CF199" s="85">
        <f>IF(R199="","",IF(ISNUMBER('Dvd Calendar'!$T$2751)=FALSE,"",IF((Summary!$C$13="N")*('Dvd Calendar'!$T$2755='Field Check'!$C$25)&gt;0,"",'Dvd Calendar'!$T$2751)))</f>
        <v/>
      </c>
      <c r="CG199" s="85">
        <f>IF(S199="","",IF(ISNUMBER('Dvd Calendar'!$U$2751)=FALSE,"",IF((Summary!$C$13="N")*('Dvd Calendar'!$U$2755='Field Check'!$C$25)&gt;0,"",'Dvd Calendar'!$U$2751)))</f>
        <v/>
      </c>
      <c r="CH199" s="85">
        <f>IF(T199="","",IF(ISNUMBER('Dvd Calendar'!$V$2751)=FALSE,"",IF((Summary!$C$13="N")*('Dvd Calendar'!$V$2755='Field Check'!$C$25)&gt;0,"",'Dvd Calendar'!$V$2751)))</f>
        <v/>
      </c>
      <c r="CI199" s="85">
        <f>IF(U199="","",IF(ISNUMBER('Dvd Calendar'!$W$2751)=FALSE,"",IF((Summary!$C$13="N")*('Dvd Calendar'!$W$2755='Field Check'!$C$25)&gt;0,"",'Dvd Calendar'!$W$2751)))</f>
        <v/>
      </c>
      <c r="CJ199" s="85">
        <f>IF(V199="","",IF(ISNUMBER('Dvd Calendar'!$X$2751)=FALSE,"",IF((Summary!$C$13="N")*('Dvd Calendar'!$X$2755='Field Check'!$C$25)&gt;0,"",'Dvd Calendar'!$X$2751)))</f>
        <v/>
      </c>
      <c r="CK199" s="85">
        <f>IF(W199="","",IF(ISNUMBER('Dvd Calendar'!$Y$2751)=FALSE,"",IF((Summary!$C$13="N")*('Dvd Calendar'!$Y$2755='Field Check'!$C$25)&gt;0,"",'Dvd Calendar'!$Y$2751)))</f>
        <v/>
      </c>
      <c r="CL199" s="85">
        <f>IF(X199="","",IF(ISNUMBER('Dvd Calendar'!$Z$2751)=FALSE,"",IF((Summary!$C$13="N")*('Dvd Calendar'!$Z$2755='Field Check'!$C$25)&gt;0,"",'Dvd Calendar'!$Z$2751)))</f>
        <v/>
      </c>
      <c r="CM199" s="85">
        <f>IF(Y199="","",IF(ISNUMBER('Dvd Calendar'!$AA$2751)=FALSE,"",IF((Summary!$C$13="N")*('Dvd Calendar'!$AA$2755='Field Check'!$C$25)&gt;0,"",'Dvd Calendar'!$AA$2751)))</f>
        <v/>
      </c>
      <c r="CN199" s="85">
        <f>IF(Z199="","",IF(ISNUMBER('Dvd Calendar'!$AB$2751)=FALSE,"",IF((Summary!$C$13="N")*('Dvd Calendar'!$AB$2755='Field Check'!$C$25)&gt;0,"",'Dvd Calendar'!$AB$2751)))</f>
        <v/>
      </c>
      <c r="CO199" s="85">
        <f>IF(AA199="","",IF(ISNUMBER('Dvd Calendar'!$AC$2751)=FALSE,"",IF((Summary!$C$13="N")*('Dvd Calendar'!$AC$2755='Field Check'!$C$25)&gt;0,"",'Dvd Calendar'!$AC$2751)))</f>
        <v/>
      </c>
      <c r="CP199" s="85">
        <f>IF(AB199="","",IF(ISNUMBER('Dvd Calendar'!$AD$2751)=FALSE,"",IF((Summary!$C$13="N")*('Dvd Calendar'!$AD$2755='Field Check'!$C$25)&gt;0,"",'Dvd Calendar'!$AD$2751)))</f>
        <v/>
      </c>
      <c r="CQ199" s="85">
        <f>IF(AC199="","",IF(ISNUMBER('Dvd Calendar'!$AE$2751)=FALSE,"",IF((Summary!$C$13="N")*('Dvd Calendar'!$AE$2755='Field Check'!$C$25)&gt;0,"",'Dvd Calendar'!$AE$2751)))</f>
        <v/>
      </c>
      <c r="CR199" s="85">
        <f>IF(AD199="","",IF(ISNUMBER('Dvd Calendar'!$AF$2751)=FALSE,"",IF((Summary!$C$13="N")*('Dvd Calendar'!$AF$2755='Field Check'!$C$25)&gt;0,"",'Dvd Calendar'!$AF$2751)))</f>
        <v/>
      </c>
      <c r="CS199" s="85">
        <f>IF(AE199="","",IF(ISNUMBER('Dvd Calendar'!$AG$2751)=FALSE,"",IF((Summary!$C$13="N")*('Dvd Calendar'!$AG$2755='Field Check'!$C$25)&gt;0,"",'Dvd Calendar'!$AG$2751)))</f>
        <v/>
      </c>
      <c r="CT199" s="85">
        <f>IF(AF199="","",IF(ISNUMBER('Dvd Calendar'!$AH$2751)=FALSE,"",IF((Summary!$C$13="N")*('Dvd Calendar'!$AH$2755='Field Check'!$C$25)&gt;0,"",'Dvd Calendar'!$AH$2751)))</f>
        <v/>
      </c>
      <c r="CU199" s="85">
        <f>IF(AG199="","",IF(ISNUMBER('Dvd Calendar'!$AI$2751)=FALSE,"",IF((Summary!$C$13="N")*('Dvd Calendar'!$AI$2755='Field Check'!$C$25)&gt;0,"",'Dvd Calendar'!$AI$2751)))</f>
        <v/>
      </c>
      <c r="CV199" s="85">
        <f>IF(AH199="","",IF(ISNUMBER('Dvd Calendar'!$AJ$2751)=FALSE,"",IF((Summary!$C$13="N")*('Dvd Calendar'!$AJ$2755='Field Check'!$C$25)&gt;0,"",'Dvd Calendar'!$AJ$2751)))</f>
        <v/>
      </c>
      <c r="CW199" s="85">
        <f>IF(AI199="","",IF(ISNUMBER('Dvd Calendar'!$AK$2751)=FALSE,"",IF((Summary!$C$13="N")*('Dvd Calendar'!$AK$2755='Field Check'!$C$25)&gt;0,"",'Dvd Calendar'!$AK$2751)))</f>
        <v/>
      </c>
      <c r="CX199" s="85">
        <f>IF(AJ199="","",IF(ISNUMBER('Dvd Calendar'!$AL$2751)=FALSE,"",IF((Summary!$C$13="N")*('Dvd Calendar'!$AL$2755='Field Check'!$C$25)&gt;0,"",'Dvd Calendar'!$AL$2751)))</f>
        <v/>
      </c>
      <c r="CY199" s="85">
        <f>IF(AK199="","",IF(ISNUMBER('Dvd Calendar'!$AM$2751)=FALSE,"",IF((Summary!$C$13="N")*('Dvd Calendar'!$AM$2755='Field Check'!$C$25)&gt;0,"",'Dvd Calendar'!$AM$2751)))</f>
        <v/>
      </c>
      <c r="CZ199" s="85">
        <f>IF(AL199="","",IF(ISNUMBER('Dvd Calendar'!$AN$2751)=FALSE,"",IF((Summary!$C$13="N")*('Dvd Calendar'!$AN$2755='Field Check'!$C$25)&gt;0,"",'Dvd Calendar'!$AN$2751)))</f>
        <v/>
      </c>
      <c r="DA199" s="85">
        <f>IF(AM199="","",IF(ISNUMBER('Dvd Calendar'!$AO$2751)=FALSE,"",IF((Summary!$C$13="N")*('Dvd Calendar'!$AO$2755='Field Check'!$C$25)&gt;0,"",'Dvd Calendar'!$AO$2751)))</f>
        <v/>
      </c>
      <c r="DB199" s="85">
        <f>IF(AN199="","",IF(ISNUMBER('Dvd Calendar'!$AP$2751)=FALSE,"",IF((Summary!$C$13="N")*('Dvd Calendar'!$AP$2755='Field Check'!$C$25)&gt;0,"",'Dvd Calendar'!$AP$2751)))</f>
        <v/>
      </c>
      <c r="DC199" s="85">
        <f>IF(AO199="","",IF(ISNUMBER('Dvd Calendar'!$AQ$2751)=FALSE,"",IF((Summary!$C$13="N")*('Dvd Calendar'!$AQ$2755='Field Check'!$C$25)&gt;0,"",'Dvd Calendar'!$AQ$2751)))</f>
        <v/>
      </c>
      <c r="DD199" s="85">
        <f>IF(AP199="","",IF(ISNUMBER('Dvd Calendar'!$AR$2751)=FALSE,"",IF((Summary!$C$13="N")*('Dvd Calendar'!$AR$2755='Field Check'!$C$25)&gt;0,"",'Dvd Calendar'!$AR$2751)))</f>
        <v/>
      </c>
      <c r="DE199" s="85">
        <f>IF(AQ199="","",IF(ISNUMBER('Dvd Calendar'!$E$2758)=FALSE,"",IF((Summary!$C$13="N")*('Dvd Calendar'!$E$2762='Field Check'!$C$25)&gt;0,"",'Dvd Calendar'!$E$2758)))</f>
        <v/>
      </c>
      <c r="DF199" s="85">
        <f>IF(AR199="","",IF(ISNUMBER('Dvd Calendar'!$F$2758)=FALSE,"",IF((Summary!$C$13="N")*('Dvd Calendar'!$F$2762='Field Check'!$C$25)&gt;0,"",'Dvd Calendar'!$F$2758)))</f>
        <v/>
      </c>
      <c r="DG199" s="85">
        <f>IF(AS199="","",IF(ISNUMBER('Dvd Calendar'!$G$2758)=FALSE,"",IF((Summary!$C$13="N")*('Dvd Calendar'!$G$2762='Field Check'!$C$25)&gt;0,"",'Dvd Calendar'!$G$2758)))</f>
        <v/>
      </c>
      <c r="DH199" s="85">
        <f>IF(AT199="","",IF(ISNUMBER('Dvd Calendar'!$H$2758)=FALSE,"",IF((Summary!$C$13="N")*('Dvd Calendar'!$H$2762='Field Check'!$C$25)&gt;0,"",'Dvd Calendar'!$H$2758)))</f>
        <v/>
      </c>
      <c r="DI199" s="85">
        <f>IF(AU199="","",IF(ISNUMBER('Dvd Calendar'!$I$2758)=FALSE,"",IF((Summary!$C$13="N")*('Dvd Calendar'!$I$2762='Field Check'!$C$25)&gt;0,"",'Dvd Calendar'!$I$2758)))</f>
        <v/>
      </c>
      <c r="DJ199" s="85">
        <f>IF(AV199="","",IF(ISNUMBER('Dvd Calendar'!$J$2758)=FALSE,"",IF((Summary!$C$13="N")*('Dvd Calendar'!$J$2762='Field Check'!$C$25)&gt;0,"",'Dvd Calendar'!$J$2758)))</f>
        <v/>
      </c>
      <c r="DK199" s="85">
        <f>IF(AW199="","",IF(ISNUMBER('Dvd Calendar'!$K$2758)=FALSE,"",IF((Summary!$C$13="N")*('Dvd Calendar'!$K$2762='Field Check'!$C$25)&gt;0,"",'Dvd Calendar'!$K$2758)))</f>
        <v/>
      </c>
      <c r="DL199" s="85">
        <f>IF(AX199="","",IF(ISNUMBER('Dvd Calendar'!$L$2758)=FALSE,"",IF((Summary!$C$13="N")*('Dvd Calendar'!$L$2762='Field Check'!$C$25)&gt;0,"",'Dvd Calendar'!$L$2758)))</f>
        <v/>
      </c>
      <c r="DM199" s="85">
        <f>IF(AY199="","",IF(ISNUMBER('Dvd Calendar'!$M$2758)=FALSE,"",IF((Summary!$C$13="N")*('Dvd Calendar'!$M$2762='Field Check'!$C$25)&gt;0,"",'Dvd Calendar'!$M$2758)))</f>
        <v/>
      </c>
      <c r="DN199" s="85">
        <f>IF(AZ199="","",IF(ISNUMBER('Dvd Calendar'!$N$2758)=FALSE,"",IF((Summary!$C$13="N")*('Dvd Calendar'!$N$2762='Field Check'!$C$25)&gt;0,"",'Dvd Calendar'!$N$2758)))</f>
        <v/>
      </c>
      <c r="DO199" s="85">
        <f>IF(BA199="","",IF(ISNUMBER('Dvd Calendar'!$O$2758)=FALSE,"",IF((Summary!$C$13="N")*('Dvd Calendar'!$O$2762='Field Check'!$C$25)&gt;0,"",'Dvd Calendar'!$O$2758)))</f>
        <v/>
      </c>
      <c r="DP199" s="85">
        <f>IF(BB199="","",IF(ISNUMBER('Dvd Calendar'!$P$2758)=FALSE,"",IF((Summary!$C$13="N")*('Dvd Calendar'!$P$2762='Field Check'!$C$25)&gt;0,"",'Dvd Calendar'!$P$2758)))</f>
        <v/>
      </c>
      <c r="DQ199" s="85">
        <f>IF(BC199="","",IF(ISNUMBER('Dvd Calendar'!$Q$2758)=FALSE,"",IF((Summary!$C$13="N")*('Dvd Calendar'!$Q$2762='Field Check'!$C$25)&gt;0,"",'Dvd Calendar'!$Q$2758)))</f>
        <v/>
      </c>
      <c r="DR199" s="85">
        <f>IF(BD199="","",IF(ISNUMBER('Dvd Calendar'!$R$2758)=FALSE,"",IF((Summary!$C$13="N")*('Dvd Calendar'!$R$2762='Field Check'!$C$25)&gt;0,"",'Dvd Calendar'!$R$2758)))</f>
        <v/>
      </c>
      <c r="DS199" s="85">
        <f>IF(BE199="","",IF(ISNUMBER('Dvd Calendar'!$S$2758)=FALSE,"",IF((Summary!$C$13="N")*('Dvd Calendar'!$S$2762='Field Check'!$C$25)&gt;0,"",'Dvd Calendar'!$S$2758)))</f>
        <v/>
      </c>
      <c r="DT199" s="85">
        <f>IF(BF199="","",IF(ISNUMBER('Dvd Calendar'!$T$2758)=FALSE,"",IF((Summary!$C$13="N")*('Dvd Calendar'!$T$2762='Field Check'!$C$25)&gt;0,"",'Dvd Calendar'!$T$2758)))</f>
        <v/>
      </c>
      <c r="DU199" s="85">
        <f>IF(BG199="","",IF(ISNUMBER('Dvd Calendar'!$U$2758)=FALSE,"",IF((Summary!$C$13="N")*('Dvd Calendar'!$U$2762='Field Check'!$C$25)&gt;0,"",'Dvd Calendar'!$U$2758)))</f>
        <v/>
      </c>
      <c r="DV199" s="85">
        <f>IF(BH199="","",IF(ISNUMBER('Dvd Calendar'!$V$2758)=FALSE,"",IF((Summary!$C$13="N")*('Dvd Calendar'!$V$2762='Field Check'!$C$25)&gt;0,"",'Dvd Calendar'!$V$2758)))</f>
        <v/>
      </c>
      <c r="DW199" s="85">
        <f>IF(BI199="","",IF(ISNUMBER('Dvd Calendar'!$W$2758)=FALSE,"",IF((Summary!$C$13="N")*('Dvd Calendar'!$W$2762='Field Check'!$C$25)&gt;0,"",'Dvd Calendar'!$W$2758)))</f>
        <v/>
      </c>
      <c r="DX199" s="85">
        <f>IF(BJ199="","",IF(ISNUMBER('Dvd Calendar'!$X$2758)=FALSE,"",IF((Summary!$C$13="N")*('Dvd Calendar'!$X$2762='Field Check'!$C$25)&gt;0,"",'Dvd Calendar'!$X$2758)))</f>
        <v/>
      </c>
      <c r="DY199" s="85">
        <f>IF(BK199="","",IF(ISNUMBER('Dvd Calendar'!$Y$2758)=FALSE,"",IF((Summary!$C$13="N")*('Dvd Calendar'!$Y$2762='Field Check'!$C$25)&gt;0,"",'Dvd Calendar'!$Y$2758)))</f>
        <v/>
      </c>
      <c r="DZ199" s="85">
        <f>IF(BL199="","",IF(ISNUMBER('Dvd Calendar'!$Z$2758)=FALSE,"",IF((Summary!$C$13="N")*('Dvd Calendar'!$Z$2762='Field Check'!$C$25)&gt;0,"",'Dvd Calendar'!$Z$2758)))</f>
        <v/>
      </c>
      <c r="EA199" s="85">
        <f>IF(BM199="","",IF(ISNUMBER('Dvd Calendar'!$AA$2758)=FALSE,"",IF((Summary!$C$13="N")*('Dvd Calendar'!$AA$2762='Field Check'!$C$25)&gt;0,"",'Dvd Calendar'!$AA$2758)))</f>
        <v/>
      </c>
      <c r="EB199" s="85">
        <f>IF(BN199="","",IF(ISNUMBER('Dvd Calendar'!$AB$2758)=FALSE,"",IF((Summary!$C$13="N")*('Dvd Calendar'!$AB$2762='Field Check'!$C$25)&gt;0,"",'Dvd Calendar'!$AB$2758)))</f>
        <v/>
      </c>
      <c r="EC199" s="85">
        <f>IF(BO199="","",IF(ISNUMBER('Dvd Calendar'!$AC$2758)=FALSE,"",IF((Summary!$C$13="N")*('Dvd Calendar'!$AC$2762='Field Check'!$C$25)&gt;0,"",'Dvd Calendar'!$AC$2758)))</f>
        <v/>
      </c>
      <c r="EE199" s="85">
        <f>IF(BQ199="","",IFERROR(BQ199*HSCEI!$B$49*HSCEI!$G$49/HSCEI!$B$3,""))</f>
        <v/>
      </c>
      <c r="EF199" s="85">
        <f>IF(BR199="","",IFERROR(BR199*HSCEI!$B$49*HSCEI!$G$49/HSCEI!$B$3,""))</f>
        <v/>
      </c>
      <c r="EG199" s="85">
        <f>IF(BS199="","",IFERROR(BS199*HSCEI!$B$49*HSCEI!$G$49/HSCEI!$B$3,""))</f>
        <v/>
      </c>
      <c r="EH199" s="85">
        <f>IF(BT199="","",IFERROR(BT199*HSCEI!$B$49*HSCEI!$G$49/HSCEI!$B$3,""))</f>
        <v/>
      </c>
      <c r="EI199" s="85">
        <f>IF(BU199="","",IFERROR(BU199*HSCEI!$B$49*HSCEI!$G$49/HSCEI!$B$3,""))</f>
        <v/>
      </c>
      <c r="EJ199" s="85">
        <f>IF(BV199="","",IFERROR(BV199*HSCEI!$B$49*HSCEI!$G$49/HSCEI!$B$3,""))</f>
        <v/>
      </c>
      <c r="EK199" s="85">
        <f>IF(BW199="","",IFERROR(BW199*HSCEI!$B$49*HSCEI!$G$49/HSCEI!$B$3,""))</f>
        <v/>
      </c>
      <c r="EL199" s="85">
        <f>IF(BX199="","",IFERROR(BX199*HSCEI!$B$49*HSCEI!$G$49/HSCEI!$B$3,""))</f>
        <v/>
      </c>
      <c r="EM199" s="85">
        <f>IF(BY199="","",IFERROR(BY199*HSCEI!$B$49*HSCEI!$G$49/HSCEI!$B$3,""))</f>
        <v/>
      </c>
      <c r="EN199" s="85">
        <f>IF(BZ199="","",IFERROR(BZ199*HSCEI!$B$49*HSCEI!$G$49/HSCEI!$B$3,""))</f>
        <v/>
      </c>
      <c r="EO199" s="85">
        <f>IF(CA199="","",IFERROR(CA199*HSCEI!$B$49*HSCEI!$G$49/HSCEI!$B$3,""))</f>
        <v/>
      </c>
      <c r="EP199" s="85">
        <f>IF(CB199="","",IFERROR(CB199*HSCEI!$B$49*HSCEI!$G$49/HSCEI!$B$3,""))</f>
        <v/>
      </c>
      <c r="EQ199" s="85">
        <f>IF(CC199="","",IFERROR(CC199*HSCEI!$B$49*HSCEI!$G$49/HSCEI!$B$3,""))</f>
        <v/>
      </c>
      <c r="ER199" s="85">
        <f>IF(CD199="","",IFERROR(CD199*HSCEI!$B$49*HSCEI!$G$49/HSCEI!$B$3,""))</f>
        <v/>
      </c>
      <c r="ES199" s="85">
        <f>IF(CE199="","",IFERROR(CE199*HSCEI!$B$49*HSCEI!$G$49/HSCEI!$B$3,""))</f>
        <v/>
      </c>
      <c r="ET199" s="85">
        <f>IF(CF199="","",IFERROR(CF199*HSCEI!$B$49*HSCEI!$G$49/HSCEI!$B$3,""))</f>
        <v/>
      </c>
      <c r="EU199" s="85">
        <f>IF(CG199="","",IFERROR(CG199*HSCEI!$B$49*HSCEI!$G$49/HSCEI!$B$3,""))</f>
        <v/>
      </c>
      <c r="EV199" s="85">
        <f>IF(CH199="","",IFERROR(CH199*HSCEI!$B$49*HSCEI!$G$49/HSCEI!$B$3,""))</f>
        <v/>
      </c>
      <c r="EW199" s="85">
        <f>IF(CI199="","",IFERROR(CI199*HSCEI!$B$49*HSCEI!$G$49/HSCEI!$B$3,""))</f>
        <v/>
      </c>
      <c r="EX199" s="85">
        <f>IF(CJ199="","",IFERROR(CJ199*HSCEI!$B$49*HSCEI!$G$49/HSCEI!$B$3,""))</f>
        <v/>
      </c>
      <c r="EY199" s="85">
        <f>IF(CK199="","",IFERROR(CK199*HSCEI!$B$49*HSCEI!$G$49/HSCEI!$B$3,""))</f>
        <v/>
      </c>
      <c r="EZ199" s="85">
        <f>IF(CL199="","",IFERROR(CL199*HSCEI!$B$49*HSCEI!$G$49/HSCEI!$B$3,""))</f>
        <v/>
      </c>
      <c r="FA199" s="85">
        <f>IF(CM199="","",IFERROR(CM199*HSCEI!$B$49*HSCEI!$G$49/HSCEI!$B$3,""))</f>
        <v/>
      </c>
      <c r="FB199" s="85">
        <f>IF(CN199="","",IFERROR(CN199*HSCEI!$B$49*HSCEI!$G$49/HSCEI!$B$3,""))</f>
        <v/>
      </c>
      <c r="FC199" s="85">
        <f>IF(CO199="","",IFERROR(CO199*HSCEI!$B$49*HSCEI!$G$49/HSCEI!$B$3,""))</f>
        <v/>
      </c>
      <c r="FD199" s="85">
        <f>IF(CP199="","",IFERROR(CP199*HSCEI!$B$49*HSCEI!$G$49/HSCEI!$B$3,""))</f>
        <v/>
      </c>
      <c r="FE199" s="85">
        <f>IF(CQ199="","",IFERROR(CQ199*HSCEI!$B$49*HSCEI!$G$49/HSCEI!$B$3,""))</f>
        <v/>
      </c>
      <c r="FF199" s="85">
        <f>IF(CR199="","",IFERROR(CR199*HSCEI!$B$49*HSCEI!$G$49/HSCEI!$B$3,""))</f>
        <v/>
      </c>
      <c r="FG199" s="85">
        <f>IF(CS199="","",IFERROR(CS199*HSCEI!$B$49*HSCEI!$G$49/HSCEI!$B$3,""))</f>
        <v/>
      </c>
      <c r="FH199" s="85">
        <f>IF(CT199="","",IFERROR(CT199*HSCEI!$B$49*HSCEI!$G$49/HSCEI!$B$3,""))</f>
        <v/>
      </c>
      <c r="FI199" s="85">
        <f>IF(CU199="","",IFERROR(CU199*HSCEI!$B$49*HSCEI!$G$49/HSCEI!$B$3,""))</f>
        <v/>
      </c>
      <c r="FJ199" s="85">
        <f>IF(CV199="","",IFERROR(CV199*HSCEI!$B$49*HSCEI!$G$49/HSCEI!$B$3,""))</f>
        <v/>
      </c>
      <c r="FK199" s="85">
        <f>IF(CW199="","",IFERROR(CW199*HSCEI!$B$49*HSCEI!$G$49/HSCEI!$B$3,""))</f>
        <v/>
      </c>
      <c r="FL199" s="85">
        <f>IF(CX199="","",IFERROR(CX199*HSCEI!$B$49*HSCEI!$G$49/HSCEI!$B$3,""))</f>
        <v/>
      </c>
      <c r="FM199" s="85">
        <f>IF(CY199="","",IFERROR(CY199*HSCEI!$B$49*HSCEI!$G$49/HSCEI!$B$3,""))</f>
        <v/>
      </c>
      <c r="FN199" s="85">
        <f>IF(CZ199="","",IFERROR(CZ199*HSCEI!$B$49*HSCEI!$G$49/HSCEI!$B$3,""))</f>
        <v/>
      </c>
      <c r="FO199" s="85">
        <f>IF(DA199="","",IFERROR(DA199*HSCEI!$B$49*HSCEI!$G$49/HSCEI!$B$3,""))</f>
        <v/>
      </c>
      <c r="FP199" s="85">
        <f>IF(DB199="","",IFERROR(DB199*HSCEI!$B$49*HSCEI!$G$49/HSCEI!$B$3,""))</f>
        <v/>
      </c>
      <c r="FQ199" s="85">
        <f>IF(DC199="","",IFERROR(DC199*HSCEI!$B$49*HSCEI!$G$49/HSCEI!$B$3,""))</f>
        <v/>
      </c>
      <c r="FR199" s="85">
        <f>IF(DD199="","",IFERROR(DD199*HSCEI!$B$49*HSCEI!$G$49/HSCEI!$B$3,""))</f>
        <v/>
      </c>
      <c r="FS199" s="85">
        <f>IF(DE199="","",IFERROR(DE199*HSCEI!$B$49*HSCEI!$G$49/HSCEI!$B$3,""))</f>
        <v/>
      </c>
      <c r="FT199" s="85">
        <f>IF(DF199="","",IFERROR(DF199*HSCEI!$B$49*HSCEI!$G$49/HSCEI!$B$3,""))</f>
        <v/>
      </c>
      <c r="FU199" s="85">
        <f>IF(DG199="","",IFERROR(DG199*HSCEI!$B$49*HSCEI!$G$49/HSCEI!$B$3,""))</f>
        <v/>
      </c>
      <c r="FV199" s="85">
        <f>IF(DH199="","",IFERROR(DH199*HSCEI!$B$49*HSCEI!$G$49/HSCEI!$B$3,""))</f>
        <v/>
      </c>
      <c r="FW199" s="85">
        <f>IF(DI199="","",IFERROR(DI199*HSCEI!$B$49*HSCEI!$G$49/HSCEI!$B$3,""))</f>
        <v/>
      </c>
      <c r="FX199" s="85">
        <f>IF(DJ199="","",IFERROR(DJ199*HSCEI!$B$49*HSCEI!$G$49/HSCEI!$B$3,""))</f>
        <v/>
      </c>
      <c r="FY199" s="85">
        <f>IF(DK199="","",IFERROR(DK199*HSCEI!$B$49*HSCEI!$G$49/HSCEI!$B$3,""))</f>
        <v/>
      </c>
      <c r="FZ199" s="85">
        <f>IF(DL199="","",IFERROR(DL199*HSCEI!$B$49*HSCEI!$G$49/HSCEI!$B$3,""))</f>
        <v/>
      </c>
      <c r="GA199" s="85">
        <f>IF(DM199="","",IFERROR(DM199*HSCEI!$B$49*HSCEI!$G$49/HSCEI!$B$3,""))</f>
        <v/>
      </c>
      <c r="GB199" s="85">
        <f>IF(DN199="","",IFERROR(DN199*HSCEI!$B$49*HSCEI!$G$49/HSCEI!$B$3,""))</f>
        <v/>
      </c>
      <c r="GC199" s="85">
        <f>IF(DO199="","",IFERROR(DO199*HSCEI!$B$49*HSCEI!$G$49/HSCEI!$B$3,""))</f>
        <v/>
      </c>
      <c r="GD199" s="85">
        <f>IF(DP199="","",IFERROR(DP199*HSCEI!$B$49*HSCEI!$G$49/HSCEI!$B$3,""))</f>
        <v/>
      </c>
      <c r="GE199" s="85">
        <f>IF(DQ199="","",IFERROR(DQ199*HSCEI!$B$49*HSCEI!$G$49/HSCEI!$B$3,""))</f>
        <v/>
      </c>
      <c r="GF199" s="85">
        <f>IF(DR199="","",IFERROR(DR199*HSCEI!$B$49*HSCEI!$G$49/HSCEI!$B$3,""))</f>
        <v/>
      </c>
      <c r="GG199" s="85">
        <f>IF(DS199="","",IFERROR(DS199*HSCEI!$B$49*HSCEI!$G$49/HSCEI!$B$3,""))</f>
        <v/>
      </c>
      <c r="GH199" s="85">
        <f>IF(DT199="","",IFERROR(DT199*HSCEI!$B$49*HSCEI!$G$49/HSCEI!$B$3,""))</f>
        <v/>
      </c>
      <c r="GI199" s="85">
        <f>IF(DU199="","",IFERROR(DU199*HSCEI!$B$49*HSCEI!$G$49/HSCEI!$B$3,""))</f>
        <v/>
      </c>
      <c r="GJ199" s="85">
        <f>IF(DV199="","",IFERROR(DV199*HSCEI!$B$49*HSCEI!$G$49/HSCEI!$B$3,""))</f>
        <v/>
      </c>
      <c r="GK199" s="85">
        <f>IF(DW199="","",IFERROR(DW199*HSCEI!$B$49*HSCEI!$G$49/HSCEI!$B$3,""))</f>
        <v/>
      </c>
      <c r="GL199" s="85">
        <f>IF(DX199="","",IFERROR(DX199*HSCEI!$B$49*HSCEI!$G$49/HSCEI!$B$3,""))</f>
        <v/>
      </c>
      <c r="GM199" s="85">
        <f>IF(DY199="","",IFERROR(DY199*HSCEI!$B$49*HSCEI!$G$49/HSCEI!$B$3,""))</f>
        <v/>
      </c>
      <c r="GN199" s="85">
        <f>IF(DZ199="","",IFERROR(DZ199*HSCEI!$B$49*HSCEI!$G$49/HSCEI!$B$3,""))</f>
        <v/>
      </c>
      <c r="GO199" s="85">
        <f>IF(EA199="","",IFERROR(EA199*HSCEI!$B$49*HSCEI!$G$49/HSCEI!$B$3,""))</f>
        <v/>
      </c>
      <c r="GP199" s="85">
        <f>IF(EB199="","",IFERROR(EB199*HSCEI!$B$49*HSCEI!$G$49/HSCEI!$B$3,""))</f>
        <v/>
      </c>
      <c r="GQ199" s="85">
        <f>IF(EC199="","",IFERROR(EC199*HSCEI!$B$49*HSCEI!$G$49/HSCEI!$B$3,""))</f>
        <v/>
      </c>
    </row>
    <row r="200">
      <c r="B200" s="2">
        <f>IF(HSCEI!$C$50="","",HSCEI!$C$50)</f>
        <v/>
      </c>
      <c r="C200" s="41">
        <f>IF(N('Dvd Calendar'!$E$2765)=0,"",IF(('Dvd Calendar'!$E$2765&gt;=MIN(DATE(Summary!$C$12,1,1),Summary!$C$11))*('Dvd Calendar'!$E$2765&lt;=MAX(DATE(Summary!$C$12,12,31),Summary!$C$15))*('Dvd Calendar'!$E$2765&lt;=Summary!$C$11)=0,"",'Dvd Calendar'!$E$2765*1000000000+ISNUMBER('Dvd Calendar'!$E$2766)*100000000+('Dvd Calendar'!$E$2770='Field Check'!$C$25)*10000000+(N('Dvd Calendar'!$E$2764)&gt;0)*1000000+44*1000+1))</f>
        <v/>
      </c>
      <c r="D200" s="41">
        <f>IF(N('Dvd Calendar'!$F$2765)=0,"",IF(('Dvd Calendar'!$F$2765&gt;=MIN(DATE(Summary!$C$12,1,1),Summary!$C$11))*('Dvd Calendar'!$F$2765&lt;=MAX(DATE(Summary!$C$12,12,31),Summary!$C$15))*('Dvd Calendar'!$F$2765&lt;=Summary!$C$11)=0,"",'Dvd Calendar'!$F$2765*1000000000+ISNUMBER('Dvd Calendar'!$F$2766)*100000000+('Dvd Calendar'!$F$2770='Field Check'!$C$25)*10000000+(N('Dvd Calendar'!$F$2764)&gt;0)*1000000+44*1000+2))</f>
        <v/>
      </c>
      <c r="E200" s="41">
        <f>IF(N('Dvd Calendar'!$G$2765)=0,"",IF(('Dvd Calendar'!$G$2765&gt;=MIN(DATE(Summary!$C$12,1,1),Summary!$C$11))*('Dvd Calendar'!$G$2765&lt;=MAX(DATE(Summary!$C$12,12,31),Summary!$C$15))*('Dvd Calendar'!$G$2765&lt;=Summary!$C$11)=0,"",'Dvd Calendar'!$G$2765*1000000000+ISNUMBER('Dvd Calendar'!$G$2766)*100000000+('Dvd Calendar'!$G$2770='Field Check'!$C$25)*10000000+(N('Dvd Calendar'!$G$2764)&gt;0)*1000000+44*1000+3))</f>
        <v/>
      </c>
      <c r="F200" s="41">
        <f>IF(N('Dvd Calendar'!$H$2765)=0,"",IF(('Dvd Calendar'!$H$2765&gt;=MIN(DATE(Summary!$C$12,1,1),Summary!$C$11))*('Dvd Calendar'!$H$2765&lt;=MAX(DATE(Summary!$C$12,12,31),Summary!$C$15))*('Dvd Calendar'!$H$2765&lt;=Summary!$C$11)=0,"",'Dvd Calendar'!$H$2765*1000000000+ISNUMBER('Dvd Calendar'!$H$2766)*100000000+('Dvd Calendar'!$H$2770='Field Check'!$C$25)*10000000+(N('Dvd Calendar'!$H$2764)&gt;0)*1000000+44*1000+4))</f>
        <v/>
      </c>
      <c r="G200" s="41">
        <f>IF(N('Dvd Calendar'!$I$2765)=0,"",IF(('Dvd Calendar'!$I$2765&gt;=MIN(DATE(Summary!$C$12,1,1),Summary!$C$11))*('Dvd Calendar'!$I$2765&lt;=MAX(DATE(Summary!$C$12,12,31),Summary!$C$15))*('Dvd Calendar'!$I$2765&lt;=Summary!$C$11)=0,"",'Dvd Calendar'!$I$2765*1000000000+ISNUMBER('Dvd Calendar'!$I$2766)*100000000+('Dvd Calendar'!$I$2770='Field Check'!$C$25)*10000000+(N('Dvd Calendar'!$I$2764)&gt;0)*1000000+44*1000+5))</f>
        <v/>
      </c>
      <c r="H200" s="41">
        <f>IF(N('Dvd Calendar'!$J$2765)=0,"",IF(('Dvd Calendar'!$J$2765&gt;=MIN(DATE(Summary!$C$12,1,1),Summary!$C$11))*('Dvd Calendar'!$J$2765&lt;=MAX(DATE(Summary!$C$12,12,31),Summary!$C$15))*('Dvd Calendar'!$J$2765&lt;=Summary!$C$11)=0,"",'Dvd Calendar'!$J$2765*1000000000+ISNUMBER('Dvd Calendar'!$J$2766)*100000000+('Dvd Calendar'!$J$2770='Field Check'!$C$25)*10000000+(N('Dvd Calendar'!$J$2764)&gt;0)*1000000+44*1000+6))</f>
        <v/>
      </c>
      <c r="I200" s="41">
        <f>IF(N('Dvd Calendar'!$K$2765)=0,"",IF(('Dvd Calendar'!$K$2765&gt;=MIN(DATE(Summary!$C$12,1,1),Summary!$C$11))*('Dvd Calendar'!$K$2765&lt;=MAX(DATE(Summary!$C$12,12,31),Summary!$C$15))*('Dvd Calendar'!$K$2765&lt;=Summary!$C$11)=0,"",'Dvd Calendar'!$K$2765*1000000000+ISNUMBER('Dvd Calendar'!$K$2766)*100000000+('Dvd Calendar'!$K$2770='Field Check'!$C$25)*10000000+(N('Dvd Calendar'!$K$2764)&gt;0)*1000000+44*1000+7))</f>
        <v/>
      </c>
      <c r="J200" s="41">
        <f>IF(N('Dvd Calendar'!$L$2765)=0,"",IF(('Dvd Calendar'!$L$2765&gt;=MIN(DATE(Summary!$C$12,1,1),Summary!$C$11))*('Dvd Calendar'!$L$2765&lt;=MAX(DATE(Summary!$C$12,12,31),Summary!$C$15))*('Dvd Calendar'!$L$2765&lt;=Summary!$C$11)=0,"",'Dvd Calendar'!$L$2765*1000000000+ISNUMBER('Dvd Calendar'!$L$2766)*100000000+('Dvd Calendar'!$L$2770='Field Check'!$C$25)*10000000+(N('Dvd Calendar'!$L$2764)&gt;0)*1000000+44*1000+8))</f>
        <v/>
      </c>
      <c r="K200" s="41">
        <f>IF(N('Dvd Calendar'!$M$2765)=0,"",IF(('Dvd Calendar'!$M$2765&gt;=MIN(DATE(Summary!$C$12,1,1),Summary!$C$11))*('Dvd Calendar'!$M$2765&lt;=MAX(DATE(Summary!$C$12,12,31),Summary!$C$15))*('Dvd Calendar'!$M$2765&lt;=Summary!$C$11)=0,"",'Dvd Calendar'!$M$2765*1000000000+ISNUMBER('Dvd Calendar'!$M$2766)*100000000+('Dvd Calendar'!$M$2770='Field Check'!$C$25)*10000000+(N('Dvd Calendar'!$M$2764)&gt;0)*1000000+44*1000+9))</f>
        <v/>
      </c>
      <c r="L200" s="41">
        <f>IF(N('Dvd Calendar'!$N$2765)=0,"",IF(('Dvd Calendar'!$N$2765&gt;=MIN(DATE(Summary!$C$12,1,1),Summary!$C$11))*('Dvd Calendar'!$N$2765&lt;=MAX(DATE(Summary!$C$12,12,31),Summary!$C$15))*('Dvd Calendar'!$N$2765&lt;=Summary!$C$11)=0,"",'Dvd Calendar'!$N$2765*1000000000+ISNUMBER('Dvd Calendar'!$N$2766)*100000000+('Dvd Calendar'!$N$2770='Field Check'!$C$25)*10000000+(N('Dvd Calendar'!$N$2764)&gt;0)*1000000+44*1000+10))</f>
        <v/>
      </c>
      <c r="M200" s="41">
        <f>IF(N('Dvd Calendar'!$O$2765)=0,"",IF(('Dvd Calendar'!$O$2765&gt;=MIN(DATE(Summary!$C$12,1,1),Summary!$C$11))*('Dvd Calendar'!$O$2765&lt;=MAX(DATE(Summary!$C$12,12,31),Summary!$C$15))*('Dvd Calendar'!$O$2765&lt;=Summary!$C$11)=0,"",'Dvd Calendar'!$O$2765*1000000000+ISNUMBER('Dvd Calendar'!$O$2766)*100000000+('Dvd Calendar'!$O$2770='Field Check'!$C$25)*10000000+(N('Dvd Calendar'!$O$2764)&gt;0)*1000000+44*1000+11))</f>
        <v/>
      </c>
      <c r="N200" s="41">
        <f>IF(N('Dvd Calendar'!$P$2765)=0,"",IF(('Dvd Calendar'!$P$2765&gt;=MIN(DATE(Summary!$C$12,1,1),Summary!$C$11))*('Dvd Calendar'!$P$2765&lt;=MAX(DATE(Summary!$C$12,12,31),Summary!$C$15))*('Dvd Calendar'!$P$2765&lt;=Summary!$C$11)=0,"",'Dvd Calendar'!$P$2765*1000000000+ISNUMBER('Dvd Calendar'!$P$2766)*100000000+('Dvd Calendar'!$P$2770='Field Check'!$C$25)*10000000+(N('Dvd Calendar'!$P$2764)&gt;0)*1000000+44*1000+12))</f>
        <v/>
      </c>
      <c r="O200" s="41">
        <f>IF(N('Dvd Calendar'!$Q$2765)=0,"",IF(('Dvd Calendar'!$Q$2765&gt;=MIN(DATE(Summary!$C$12,1,1),Summary!$C$11))*('Dvd Calendar'!$Q$2765&lt;=MAX(DATE(Summary!$C$12,12,31),Summary!$C$15))*('Dvd Calendar'!$Q$2765&lt;=Summary!$C$11)=0,"",'Dvd Calendar'!$Q$2765*1000000000+ISNUMBER('Dvd Calendar'!$Q$2766)*100000000+('Dvd Calendar'!$Q$2770='Field Check'!$C$25)*10000000+(N('Dvd Calendar'!$Q$2764)&gt;0)*1000000+44*1000+13))</f>
        <v/>
      </c>
      <c r="P200" s="41">
        <f>IF(N('Dvd Calendar'!$R$2765)=0,"",IF(('Dvd Calendar'!$R$2765&gt;=MIN(DATE(Summary!$C$12,1,1),Summary!$C$11))*('Dvd Calendar'!$R$2765&lt;=MAX(DATE(Summary!$C$12,12,31),Summary!$C$15))*('Dvd Calendar'!$R$2765&lt;=Summary!$C$11)=0,"",'Dvd Calendar'!$R$2765*1000000000+ISNUMBER('Dvd Calendar'!$R$2766)*100000000+('Dvd Calendar'!$R$2770='Field Check'!$C$25)*10000000+(N('Dvd Calendar'!$R$2764)&gt;0)*1000000+44*1000+14))</f>
        <v/>
      </c>
      <c r="Q200" s="41">
        <f>IF(N('Dvd Calendar'!$S$2765)=0,"",IF(('Dvd Calendar'!$S$2765&gt;=MIN(DATE(Summary!$C$12,1,1),Summary!$C$11))*('Dvd Calendar'!$S$2765&lt;=MAX(DATE(Summary!$C$12,12,31),Summary!$C$15))*('Dvd Calendar'!$S$2765&lt;=Summary!$C$11)=0,"",'Dvd Calendar'!$S$2765*1000000000+ISNUMBER('Dvd Calendar'!$S$2766)*100000000+('Dvd Calendar'!$S$2770='Field Check'!$C$25)*10000000+(N('Dvd Calendar'!$S$2764)&gt;0)*1000000+44*1000+15))</f>
        <v/>
      </c>
      <c r="R200" s="41">
        <f>IF(N('Dvd Calendar'!$T$2765)=0,"",IF(('Dvd Calendar'!$T$2765&gt;=MIN(DATE(Summary!$C$12,1,1),Summary!$C$11))*('Dvd Calendar'!$T$2765&lt;=MAX(DATE(Summary!$C$12,12,31),Summary!$C$15))*('Dvd Calendar'!$T$2765&lt;=Summary!$C$11)=0,"",'Dvd Calendar'!$T$2765*1000000000+ISNUMBER('Dvd Calendar'!$T$2766)*100000000+('Dvd Calendar'!$T$2770='Field Check'!$C$25)*10000000+(N('Dvd Calendar'!$T$2764)&gt;0)*1000000+44*1000+16))</f>
        <v/>
      </c>
      <c r="S200" s="41">
        <f>IF(N('Dvd Calendar'!$U$2765)=0,"",IF(('Dvd Calendar'!$U$2765&gt;=MIN(DATE(Summary!$C$12,1,1),Summary!$C$11))*('Dvd Calendar'!$U$2765&lt;=MAX(DATE(Summary!$C$12,12,31),Summary!$C$15))*('Dvd Calendar'!$U$2765&lt;=Summary!$C$11)=0,"",'Dvd Calendar'!$U$2765*1000000000+ISNUMBER('Dvd Calendar'!$U$2766)*100000000+('Dvd Calendar'!$U$2770='Field Check'!$C$25)*10000000+(N('Dvd Calendar'!$U$2764)&gt;0)*1000000+44*1000+17))</f>
        <v/>
      </c>
      <c r="T200" s="41">
        <f>IF(N('Dvd Calendar'!$V$2765)=0,"",IF(('Dvd Calendar'!$V$2765&gt;=MIN(DATE(Summary!$C$12,1,1),Summary!$C$11))*('Dvd Calendar'!$V$2765&lt;=MAX(DATE(Summary!$C$12,12,31),Summary!$C$15))*('Dvd Calendar'!$V$2765&lt;=Summary!$C$11)=0,"",'Dvd Calendar'!$V$2765*1000000000+ISNUMBER('Dvd Calendar'!$V$2766)*100000000+('Dvd Calendar'!$V$2770='Field Check'!$C$25)*10000000+(N('Dvd Calendar'!$V$2764)&gt;0)*1000000+44*1000+18))</f>
        <v/>
      </c>
      <c r="U200" s="41">
        <f>IF(N('Dvd Calendar'!$W$2765)=0,"",IF(('Dvd Calendar'!$W$2765&gt;=MIN(DATE(Summary!$C$12,1,1),Summary!$C$11))*('Dvd Calendar'!$W$2765&lt;=MAX(DATE(Summary!$C$12,12,31),Summary!$C$15))*('Dvd Calendar'!$W$2765&lt;=Summary!$C$11)=0,"",'Dvd Calendar'!$W$2765*1000000000+ISNUMBER('Dvd Calendar'!$W$2766)*100000000+('Dvd Calendar'!$W$2770='Field Check'!$C$25)*10000000+(N('Dvd Calendar'!$W$2764)&gt;0)*1000000+44*1000+19))</f>
        <v/>
      </c>
      <c r="V200" s="41">
        <f>IF(N('Dvd Calendar'!$X$2765)=0,"",IF(('Dvd Calendar'!$X$2765&gt;=MIN(DATE(Summary!$C$12,1,1),Summary!$C$11))*('Dvd Calendar'!$X$2765&lt;=MAX(DATE(Summary!$C$12,12,31),Summary!$C$15))*('Dvd Calendar'!$X$2765&lt;=Summary!$C$11)=0,"",'Dvd Calendar'!$X$2765*1000000000+ISNUMBER('Dvd Calendar'!$X$2766)*100000000+('Dvd Calendar'!$X$2770='Field Check'!$C$25)*10000000+(N('Dvd Calendar'!$X$2764)&gt;0)*1000000+44*1000+20))</f>
        <v/>
      </c>
      <c r="W200" s="41">
        <f>IF(N('Dvd Calendar'!$Y$2765)=0,"",IF(('Dvd Calendar'!$Y$2765&gt;=MIN(DATE(Summary!$C$12,1,1),Summary!$C$11))*('Dvd Calendar'!$Y$2765&lt;=MAX(DATE(Summary!$C$12,12,31),Summary!$C$15))*('Dvd Calendar'!$Y$2765&lt;=Summary!$C$11)=0,"",'Dvd Calendar'!$Y$2765*1000000000+ISNUMBER('Dvd Calendar'!$Y$2766)*100000000+('Dvd Calendar'!$Y$2770='Field Check'!$C$25)*10000000+(N('Dvd Calendar'!$Y$2764)&gt;0)*1000000+44*1000+21))</f>
        <v/>
      </c>
      <c r="X200" s="41">
        <f>IF(N('Dvd Calendar'!$Z$2765)=0,"",IF(('Dvd Calendar'!$Z$2765&gt;=MIN(DATE(Summary!$C$12,1,1),Summary!$C$11))*('Dvd Calendar'!$Z$2765&lt;=MAX(DATE(Summary!$C$12,12,31),Summary!$C$15))*('Dvd Calendar'!$Z$2765&lt;=Summary!$C$11)=0,"",'Dvd Calendar'!$Z$2765*1000000000+ISNUMBER('Dvd Calendar'!$Z$2766)*100000000+('Dvd Calendar'!$Z$2770='Field Check'!$C$25)*10000000+(N('Dvd Calendar'!$Z$2764)&gt;0)*1000000+44*1000+22))</f>
        <v/>
      </c>
      <c r="Y200" s="41">
        <f>IF(N('Dvd Calendar'!$AA$2765)=0,"",IF(('Dvd Calendar'!$AA$2765&gt;=MIN(DATE(Summary!$C$12,1,1),Summary!$C$11))*('Dvd Calendar'!$AA$2765&lt;=MAX(DATE(Summary!$C$12,12,31),Summary!$C$15))*('Dvd Calendar'!$AA$2765&lt;=Summary!$C$11)=0,"",'Dvd Calendar'!$AA$2765*1000000000+ISNUMBER('Dvd Calendar'!$AA$2766)*100000000+('Dvd Calendar'!$AA$2770='Field Check'!$C$25)*10000000+(N('Dvd Calendar'!$AA$2764)&gt;0)*1000000+44*1000+23))</f>
        <v/>
      </c>
      <c r="Z200" s="41">
        <f>IF(N('Dvd Calendar'!$AB$2765)=0,"",IF(('Dvd Calendar'!$AB$2765&gt;=MIN(DATE(Summary!$C$12,1,1),Summary!$C$11))*('Dvd Calendar'!$AB$2765&lt;=MAX(DATE(Summary!$C$12,12,31),Summary!$C$15))*('Dvd Calendar'!$AB$2765&lt;=Summary!$C$11)=0,"",'Dvd Calendar'!$AB$2765*1000000000+ISNUMBER('Dvd Calendar'!$AB$2766)*100000000+('Dvd Calendar'!$AB$2770='Field Check'!$C$25)*10000000+(N('Dvd Calendar'!$AB$2764)&gt;0)*1000000+44*1000+24))</f>
        <v/>
      </c>
      <c r="AA200" s="41">
        <f>IF(N('Dvd Calendar'!$AC$2765)=0,"",IF(('Dvd Calendar'!$AC$2765&gt;=MIN(DATE(Summary!$C$12,1,1),Summary!$C$11))*('Dvd Calendar'!$AC$2765&lt;=MAX(DATE(Summary!$C$12,12,31),Summary!$C$15))*('Dvd Calendar'!$AC$2765&lt;=Summary!$C$11)=0,"",'Dvd Calendar'!$AC$2765*1000000000+ISNUMBER('Dvd Calendar'!$AC$2766)*100000000+('Dvd Calendar'!$AC$2770='Field Check'!$C$25)*10000000+(N('Dvd Calendar'!$AC$2764)&gt;0)*1000000+44*1000+25))</f>
        <v/>
      </c>
      <c r="AB200" s="41">
        <f>IF(N('Dvd Calendar'!$AD$2765)=0,"",IF(('Dvd Calendar'!$AD$2765&gt;=MIN(DATE(Summary!$C$12,1,1),Summary!$C$11))*('Dvd Calendar'!$AD$2765&lt;=MAX(DATE(Summary!$C$12,12,31),Summary!$C$15))*('Dvd Calendar'!$AD$2765&lt;=Summary!$C$11)=0,"",'Dvd Calendar'!$AD$2765*1000000000+ISNUMBER('Dvd Calendar'!$AD$2766)*100000000+('Dvd Calendar'!$AD$2770='Field Check'!$C$25)*10000000+(N('Dvd Calendar'!$AD$2764)&gt;0)*1000000+44*1000+26))</f>
        <v/>
      </c>
      <c r="AC200" s="41">
        <f>IF(N('Dvd Calendar'!$AE$2765)=0,"",IF(('Dvd Calendar'!$AE$2765&gt;=MIN(DATE(Summary!$C$12,1,1),Summary!$C$11))*('Dvd Calendar'!$AE$2765&lt;=MAX(DATE(Summary!$C$12,12,31),Summary!$C$15))*('Dvd Calendar'!$AE$2765&lt;=Summary!$C$11)=0,"",'Dvd Calendar'!$AE$2765*1000000000+ISNUMBER('Dvd Calendar'!$AE$2766)*100000000+('Dvd Calendar'!$AE$2770='Field Check'!$C$25)*10000000+(N('Dvd Calendar'!$AE$2764)&gt;0)*1000000+44*1000+27))</f>
        <v/>
      </c>
      <c r="AD200" s="41">
        <f>IF(N('Dvd Calendar'!$AF$2765)=0,"",IF(('Dvd Calendar'!$AF$2765&gt;=MIN(DATE(Summary!$C$12,1,1),Summary!$C$11))*('Dvd Calendar'!$AF$2765&lt;=MAX(DATE(Summary!$C$12,12,31),Summary!$C$15))*('Dvd Calendar'!$AF$2765&lt;=Summary!$C$11)=0,"",'Dvd Calendar'!$AF$2765*1000000000+ISNUMBER('Dvd Calendar'!$AF$2766)*100000000+('Dvd Calendar'!$AF$2770='Field Check'!$C$25)*10000000+(N('Dvd Calendar'!$AF$2764)&gt;0)*1000000+44*1000+28))</f>
        <v/>
      </c>
      <c r="AE200" s="41">
        <f>IF(N('Dvd Calendar'!$AG$2765)=0,"",IF(('Dvd Calendar'!$AG$2765&gt;=MIN(DATE(Summary!$C$12,1,1),Summary!$C$11))*('Dvd Calendar'!$AG$2765&lt;=MAX(DATE(Summary!$C$12,12,31),Summary!$C$15))*('Dvd Calendar'!$AG$2765&lt;=Summary!$C$11)=0,"",'Dvd Calendar'!$AG$2765*1000000000+ISNUMBER('Dvd Calendar'!$AG$2766)*100000000+('Dvd Calendar'!$AG$2770='Field Check'!$C$25)*10000000+(N('Dvd Calendar'!$AG$2764)&gt;0)*1000000+44*1000+29))</f>
        <v/>
      </c>
      <c r="AF200" s="41">
        <f>IF(N('Dvd Calendar'!$AH$2765)=0,"",IF(('Dvd Calendar'!$AH$2765&gt;=MIN(DATE(Summary!$C$12,1,1),Summary!$C$11))*('Dvd Calendar'!$AH$2765&lt;=MAX(DATE(Summary!$C$12,12,31),Summary!$C$15))*('Dvd Calendar'!$AH$2765&lt;=Summary!$C$11)=0,"",'Dvd Calendar'!$AH$2765*1000000000+ISNUMBER('Dvd Calendar'!$AH$2766)*100000000+('Dvd Calendar'!$AH$2770='Field Check'!$C$25)*10000000+(N('Dvd Calendar'!$AH$2764)&gt;0)*1000000+44*1000+30))</f>
        <v/>
      </c>
      <c r="AG200" s="41">
        <f>IF(N('Dvd Calendar'!$AI$2765)=0,"",IF(('Dvd Calendar'!$AI$2765&gt;=MIN(DATE(Summary!$C$12,1,1),Summary!$C$11))*('Dvd Calendar'!$AI$2765&lt;=MAX(DATE(Summary!$C$12,12,31),Summary!$C$15))*('Dvd Calendar'!$AI$2765&lt;=Summary!$C$11)=0,"",'Dvd Calendar'!$AI$2765*1000000000+ISNUMBER('Dvd Calendar'!$AI$2766)*100000000+('Dvd Calendar'!$AI$2770='Field Check'!$C$25)*10000000+(N('Dvd Calendar'!$AI$2764)&gt;0)*1000000+44*1000+31))</f>
        <v/>
      </c>
      <c r="AH200" s="41">
        <f>IF(N('Dvd Calendar'!$AJ$2765)=0,"",IF(('Dvd Calendar'!$AJ$2765&gt;=MIN(DATE(Summary!$C$12,1,1),Summary!$C$11))*('Dvd Calendar'!$AJ$2765&lt;=MAX(DATE(Summary!$C$12,12,31),Summary!$C$15))*('Dvd Calendar'!$AJ$2765&lt;=Summary!$C$11)=0,"",'Dvd Calendar'!$AJ$2765*1000000000+ISNUMBER('Dvd Calendar'!$AJ$2766)*100000000+('Dvd Calendar'!$AJ$2770='Field Check'!$C$25)*10000000+(N('Dvd Calendar'!$AJ$2764)&gt;0)*1000000+44*1000+32))</f>
        <v/>
      </c>
      <c r="AI200" s="41">
        <f>IF(N('Dvd Calendar'!$AK$2765)=0,"",IF(('Dvd Calendar'!$AK$2765&gt;=MIN(DATE(Summary!$C$12,1,1),Summary!$C$11))*('Dvd Calendar'!$AK$2765&lt;=MAX(DATE(Summary!$C$12,12,31),Summary!$C$15))*('Dvd Calendar'!$AK$2765&lt;=Summary!$C$11)=0,"",'Dvd Calendar'!$AK$2765*1000000000+ISNUMBER('Dvd Calendar'!$AK$2766)*100000000+('Dvd Calendar'!$AK$2770='Field Check'!$C$25)*10000000+(N('Dvd Calendar'!$AK$2764)&gt;0)*1000000+44*1000+33))</f>
        <v/>
      </c>
      <c r="AJ200" s="41">
        <f>IF(N('Dvd Calendar'!$AL$2765)=0,"",IF(('Dvd Calendar'!$AL$2765&gt;=MIN(DATE(Summary!$C$12,1,1),Summary!$C$11))*('Dvd Calendar'!$AL$2765&lt;=MAX(DATE(Summary!$C$12,12,31),Summary!$C$15))*('Dvd Calendar'!$AL$2765&lt;=Summary!$C$11)=0,"",'Dvd Calendar'!$AL$2765*1000000000+ISNUMBER('Dvd Calendar'!$AL$2766)*100000000+('Dvd Calendar'!$AL$2770='Field Check'!$C$25)*10000000+(N('Dvd Calendar'!$AL$2764)&gt;0)*1000000+44*1000+34))</f>
        <v/>
      </c>
      <c r="AK200" s="41">
        <f>IF(N('Dvd Calendar'!$AM$2765)=0,"",IF(('Dvd Calendar'!$AM$2765&gt;=MIN(DATE(Summary!$C$12,1,1),Summary!$C$11))*('Dvd Calendar'!$AM$2765&lt;=MAX(DATE(Summary!$C$12,12,31),Summary!$C$15))*('Dvd Calendar'!$AM$2765&lt;=Summary!$C$11)=0,"",'Dvd Calendar'!$AM$2765*1000000000+ISNUMBER('Dvd Calendar'!$AM$2766)*100000000+('Dvd Calendar'!$AM$2770='Field Check'!$C$25)*10000000+(N('Dvd Calendar'!$AM$2764)&gt;0)*1000000+44*1000+35))</f>
        <v/>
      </c>
      <c r="AL200" s="41">
        <f>IF(N('Dvd Calendar'!$AN$2765)=0,"",IF(('Dvd Calendar'!$AN$2765&gt;=MIN(DATE(Summary!$C$12,1,1),Summary!$C$11))*('Dvd Calendar'!$AN$2765&lt;=MAX(DATE(Summary!$C$12,12,31),Summary!$C$15))*('Dvd Calendar'!$AN$2765&lt;=Summary!$C$11)=0,"",'Dvd Calendar'!$AN$2765*1000000000+ISNUMBER('Dvd Calendar'!$AN$2766)*100000000+('Dvd Calendar'!$AN$2770='Field Check'!$C$25)*10000000+(N('Dvd Calendar'!$AN$2764)&gt;0)*1000000+44*1000+36))</f>
        <v/>
      </c>
      <c r="AM200" s="41">
        <f>IF(N('Dvd Calendar'!$AO$2765)=0,"",IF(('Dvd Calendar'!$AO$2765&gt;=MIN(DATE(Summary!$C$12,1,1),Summary!$C$11))*('Dvd Calendar'!$AO$2765&lt;=MAX(DATE(Summary!$C$12,12,31),Summary!$C$15))*('Dvd Calendar'!$AO$2765&lt;=Summary!$C$11)=0,"",'Dvd Calendar'!$AO$2765*1000000000+ISNUMBER('Dvd Calendar'!$AO$2766)*100000000+('Dvd Calendar'!$AO$2770='Field Check'!$C$25)*10000000+(N('Dvd Calendar'!$AO$2764)&gt;0)*1000000+44*1000+37))</f>
        <v/>
      </c>
      <c r="AN200" s="41">
        <f>IF(N('Dvd Calendar'!$AP$2765)=0,"",IF(('Dvd Calendar'!$AP$2765&gt;=MIN(DATE(Summary!$C$12,1,1),Summary!$C$11))*('Dvd Calendar'!$AP$2765&lt;=MAX(DATE(Summary!$C$12,12,31),Summary!$C$15))*('Dvd Calendar'!$AP$2765&lt;=Summary!$C$11)=0,"",'Dvd Calendar'!$AP$2765*1000000000+ISNUMBER('Dvd Calendar'!$AP$2766)*100000000+('Dvd Calendar'!$AP$2770='Field Check'!$C$25)*10000000+(N('Dvd Calendar'!$AP$2764)&gt;0)*1000000+44*1000+38))</f>
        <v/>
      </c>
      <c r="AO200" s="41">
        <f>IF(N('Dvd Calendar'!$AQ$2765)=0,"",IF(('Dvd Calendar'!$AQ$2765&gt;=MIN(DATE(Summary!$C$12,1,1),Summary!$C$11))*('Dvd Calendar'!$AQ$2765&lt;=MAX(DATE(Summary!$C$12,12,31),Summary!$C$15))*('Dvd Calendar'!$AQ$2765&lt;=Summary!$C$11)=0,"",'Dvd Calendar'!$AQ$2765*1000000000+ISNUMBER('Dvd Calendar'!$AQ$2766)*100000000+('Dvd Calendar'!$AQ$2770='Field Check'!$C$25)*10000000+(N('Dvd Calendar'!$AQ$2764)&gt;0)*1000000+44*1000+39))</f>
        <v/>
      </c>
      <c r="AP200" s="41">
        <f>IF(N('Dvd Calendar'!$AR$2765)=0,"",IF(('Dvd Calendar'!$AR$2765&gt;=MIN(DATE(Summary!$C$12,1,1),Summary!$C$11))*('Dvd Calendar'!$AR$2765&lt;=MAX(DATE(Summary!$C$12,12,31),Summary!$C$15))*('Dvd Calendar'!$AR$2765&lt;=Summary!$C$11)=0,"",'Dvd Calendar'!$AR$2765*1000000000+ISNUMBER('Dvd Calendar'!$AR$2766)*100000000+('Dvd Calendar'!$AR$2770='Field Check'!$C$25)*10000000+(N('Dvd Calendar'!$AR$2764)&gt;0)*1000000+44*1000+40))</f>
        <v/>
      </c>
      <c r="AQ200" s="41">
        <f>IF(N('Dvd Calendar'!$E$2772)=0,"",IF(('Dvd Calendar'!$E$2772&gt;=MIN(DATE(Summary!$C$12,1,1),Summary!$C$11))*('Dvd Calendar'!$E$2772&lt;=MAX(DATE(Summary!$C$12,12,31),Summary!$C$15))*('Dvd Calendar'!$E$2772&gt;Summary!$C$11)=0,"",'Dvd Calendar'!$E$2772*1000000000+ISNUMBER('Dvd Calendar'!$E$2773)*100000000+('Dvd Calendar'!$E$2777='Field Check'!$C$25)*10000000+(N('Dvd Calendar'!$E$2771)&gt;0)*1000000+44*1000+41))</f>
        <v/>
      </c>
      <c r="AR200" s="41">
        <f>IF(N('Dvd Calendar'!$F$2772)=0,"",IF(('Dvd Calendar'!$F$2772&gt;=MIN(DATE(Summary!$C$12,1,1),Summary!$C$11))*('Dvd Calendar'!$F$2772&lt;=MAX(DATE(Summary!$C$12,12,31),Summary!$C$15))*('Dvd Calendar'!$F$2772&gt;Summary!$C$11)=0,"",'Dvd Calendar'!$F$2772*1000000000+ISNUMBER('Dvd Calendar'!$F$2773)*100000000+('Dvd Calendar'!$F$2777='Field Check'!$C$25)*10000000+(N('Dvd Calendar'!$F$2771)&gt;0)*1000000+44*1000+42))</f>
        <v/>
      </c>
      <c r="AS200" s="41">
        <f>IF(N('Dvd Calendar'!$G$2772)=0,"",IF(('Dvd Calendar'!$G$2772&gt;=MIN(DATE(Summary!$C$12,1,1),Summary!$C$11))*('Dvd Calendar'!$G$2772&lt;=MAX(DATE(Summary!$C$12,12,31),Summary!$C$15))*('Dvd Calendar'!$G$2772&gt;Summary!$C$11)=0,"",'Dvd Calendar'!$G$2772*1000000000+ISNUMBER('Dvd Calendar'!$G$2773)*100000000+('Dvd Calendar'!$G$2777='Field Check'!$C$25)*10000000+(N('Dvd Calendar'!$G$2771)&gt;0)*1000000+44*1000+43))</f>
        <v/>
      </c>
      <c r="AT200" s="41">
        <f>IF(N('Dvd Calendar'!$H$2772)=0,"",IF(('Dvd Calendar'!$H$2772&gt;=MIN(DATE(Summary!$C$12,1,1),Summary!$C$11))*('Dvd Calendar'!$H$2772&lt;=MAX(DATE(Summary!$C$12,12,31),Summary!$C$15))*('Dvd Calendar'!$H$2772&gt;Summary!$C$11)=0,"",'Dvd Calendar'!$H$2772*1000000000+ISNUMBER('Dvd Calendar'!$H$2773)*100000000+('Dvd Calendar'!$H$2777='Field Check'!$C$25)*10000000+(N('Dvd Calendar'!$H$2771)&gt;0)*1000000+44*1000+44))</f>
        <v/>
      </c>
      <c r="AU200" s="41">
        <f>IF(N('Dvd Calendar'!$I$2772)=0,"",IF(('Dvd Calendar'!$I$2772&gt;=MIN(DATE(Summary!$C$12,1,1),Summary!$C$11))*('Dvd Calendar'!$I$2772&lt;=MAX(DATE(Summary!$C$12,12,31),Summary!$C$15))*('Dvd Calendar'!$I$2772&gt;Summary!$C$11)=0,"",'Dvd Calendar'!$I$2772*1000000000+ISNUMBER('Dvd Calendar'!$I$2773)*100000000+('Dvd Calendar'!$I$2777='Field Check'!$C$25)*10000000+(N('Dvd Calendar'!$I$2771)&gt;0)*1000000+44*1000+45))</f>
        <v/>
      </c>
      <c r="AV200" s="41">
        <f>IF(N('Dvd Calendar'!$J$2772)=0,"",IF(('Dvd Calendar'!$J$2772&gt;=MIN(DATE(Summary!$C$12,1,1),Summary!$C$11))*('Dvd Calendar'!$J$2772&lt;=MAX(DATE(Summary!$C$12,12,31),Summary!$C$15))*('Dvd Calendar'!$J$2772&gt;Summary!$C$11)=0,"",'Dvd Calendar'!$J$2772*1000000000+ISNUMBER('Dvd Calendar'!$J$2773)*100000000+('Dvd Calendar'!$J$2777='Field Check'!$C$25)*10000000+(N('Dvd Calendar'!$J$2771)&gt;0)*1000000+44*1000+46))</f>
        <v/>
      </c>
      <c r="AW200" s="41">
        <f>IF(N('Dvd Calendar'!$K$2772)=0,"",IF(('Dvd Calendar'!$K$2772&gt;=MIN(DATE(Summary!$C$12,1,1),Summary!$C$11))*('Dvd Calendar'!$K$2772&lt;=MAX(DATE(Summary!$C$12,12,31),Summary!$C$15))*('Dvd Calendar'!$K$2772&gt;Summary!$C$11)=0,"",'Dvd Calendar'!$K$2772*1000000000+ISNUMBER('Dvd Calendar'!$K$2773)*100000000+('Dvd Calendar'!$K$2777='Field Check'!$C$25)*10000000+(N('Dvd Calendar'!$K$2771)&gt;0)*1000000+44*1000+47))</f>
        <v/>
      </c>
      <c r="AX200" s="41">
        <f>IF(N('Dvd Calendar'!$L$2772)=0,"",IF(('Dvd Calendar'!$L$2772&gt;=MIN(DATE(Summary!$C$12,1,1),Summary!$C$11))*('Dvd Calendar'!$L$2772&lt;=MAX(DATE(Summary!$C$12,12,31),Summary!$C$15))*('Dvd Calendar'!$L$2772&gt;Summary!$C$11)=0,"",'Dvd Calendar'!$L$2772*1000000000+ISNUMBER('Dvd Calendar'!$L$2773)*100000000+('Dvd Calendar'!$L$2777='Field Check'!$C$25)*10000000+(N('Dvd Calendar'!$L$2771)&gt;0)*1000000+44*1000+48))</f>
        <v/>
      </c>
      <c r="AY200" s="41">
        <f>IF(N('Dvd Calendar'!$M$2772)=0,"",IF(('Dvd Calendar'!$M$2772&gt;=MIN(DATE(Summary!$C$12,1,1),Summary!$C$11))*('Dvd Calendar'!$M$2772&lt;=MAX(DATE(Summary!$C$12,12,31),Summary!$C$15))*('Dvd Calendar'!$M$2772&gt;Summary!$C$11)=0,"",'Dvd Calendar'!$M$2772*1000000000+ISNUMBER('Dvd Calendar'!$M$2773)*100000000+('Dvd Calendar'!$M$2777='Field Check'!$C$25)*10000000+(N('Dvd Calendar'!$M$2771)&gt;0)*1000000+44*1000+49))</f>
        <v/>
      </c>
      <c r="AZ200" s="41">
        <f>IF(N('Dvd Calendar'!$N$2772)=0,"",IF(('Dvd Calendar'!$N$2772&gt;=MIN(DATE(Summary!$C$12,1,1),Summary!$C$11))*('Dvd Calendar'!$N$2772&lt;=MAX(DATE(Summary!$C$12,12,31),Summary!$C$15))*('Dvd Calendar'!$N$2772&gt;Summary!$C$11)=0,"",'Dvd Calendar'!$N$2772*1000000000+ISNUMBER('Dvd Calendar'!$N$2773)*100000000+('Dvd Calendar'!$N$2777='Field Check'!$C$25)*10000000+(N('Dvd Calendar'!$N$2771)&gt;0)*1000000+44*1000+50))</f>
        <v/>
      </c>
      <c r="BA200" s="41">
        <f>IF(N('Dvd Calendar'!$O$2772)=0,"",IF(('Dvd Calendar'!$O$2772&gt;=MIN(DATE(Summary!$C$12,1,1),Summary!$C$11))*('Dvd Calendar'!$O$2772&lt;=MAX(DATE(Summary!$C$12,12,31),Summary!$C$15))*('Dvd Calendar'!$O$2772&gt;Summary!$C$11)=0,"",'Dvd Calendar'!$O$2772*1000000000+ISNUMBER('Dvd Calendar'!$O$2773)*100000000+('Dvd Calendar'!$O$2777='Field Check'!$C$25)*10000000+(N('Dvd Calendar'!$O$2771)&gt;0)*1000000+44*1000+51))</f>
        <v/>
      </c>
      <c r="BB200" s="41">
        <f>IF(N('Dvd Calendar'!$P$2772)=0,"",IF(('Dvd Calendar'!$P$2772&gt;=MIN(DATE(Summary!$C$12,1,1),Summary!$C$11))*('Dvd Calendar'!$P$2772&lt;=MAX(DATE(Summary!$C$12,12,31),Summary!$C$15))*('Dvd Calendar'!$P$2772&gt;Summary!$C$11)=0,"",'Dvd Calendar'!$P$2772*1000000000+ISNUMBER('Dvd Calendar'!$P$2773)*100000000+('Dvd Calendar'!$P$2777='Field Check'!$C$25)*10000000+(N('Dvd Calendar'!$P$2771)&gt;0)*1000000+44*1000+52))</f>
        <v/>
      </c>
      <c r="BC200" s="41">
        <f>IF(N('Dvd Calendar'!$Q$2772)=0,"",IF(('Dvd Calendar'!$Q$2772&gt;=MIN(DATE(Summary!$C$12,1,1),Summary!$C$11))*('Dvd Calendar'!$Q$2772&lt;=MAX(DATE(Summary!$C$12,12,31),Summary!$C$15))*('Dvd Calendar'!$Q$2772&gt;Summary!$C$11)=0,"",'Dvd Calendar'!$Q$2772*1000000000+ISNUMBER('Dvd Calendar'!$Q$2773)*100000000+('Dvd Calendar'!$Q$2777='Field Check'!$C$25)*10000000+(N('Dvd Calendar'!$Q$2771)&gt;0)*1000000+44*1000+53))</f>
        <v/>
      </c>
      <c r="BD200" s="41">
        <f>IF(N('Dvd Calendar'!$R$2772)=0,"",IF(('Dvd Calendar'!$R$2772&gt;=MIN(DATE(Summary!$C$12,1,1),Summary!$C$11))*('Dvd Calendar'!$R$2772&lt;=MAX(DATE(Summary!$C$12,12,31),Summary!$C$15))*('Dvd Calendar'!$R$2772&gt;Summary!$C$11)=0,"",'Dvd Calendar'!$R$2772*1000000000+ISNUMBER('Dvd Calendar'!$R$2773)*100000000+('Dvd Calendar'!$R$2777='Field Check'!$C$25)*10000000+(N('Dvd Calendar'!$R$2771)&gt;0)*1000000+44*1000+54))</f>
        <v/>
      </c>
      <c r="BE200" s="41">
        <f>IF(N('Dvd Calendar'!$S$2772)=0,"",IF(('Dvd Calendar'!$S$2772&gt;=MIN(DATE(Summary!$C$12,1,1),Summary!$C$11))*('Dvd Calendar'!$S$2772&lt;=MAX(DATE(Summary!$C$12,12,31),Summary!$C$15))*('Dvd Calendar'!$S$2772&gt;Summary!$C$11)=0,"",'Dvd Calendar'!$S$2772*1000000000+ISNUMBER('Dvd Calendar'!$S$2773)*100000000+('Dvd Calendar'!$S$2777='Field Check'!$C$25)*10000000+(N('Dvd Calendar'!$S$2771)&gt;0)*1000000+44*1000+55))</f>
        <v/>
      </c>
      <c r="BF200" s="41">
        <f>IF(N('Dvd Calendar'!$T$2772)=0,"",IF(('Dvd Calendar'!$T$2772&gt;=MIN(DATE(Summary!$C$12,1,1),Summary!$C$11))*('Dvd Calendar'!$T$2772&lt;=MAX(DATE(Summary!$C$12,12,31),Summary!$C$15))*('Dvd Calendar'!$T$2772&gt;Summary!$C$11)=0,"",'Dvd Calendar'!$T$2772*1000000000+ISNUMBER('Dvd Calendar'!$T$2773)*100000000+('Dvd Calendar'!$T$2777='Field Check'!$C$25)*10000000+(N('Dvd Calendar'!$T$2771)&gt;0)*1000000+44*1000+56))</f>
        <v/>
      </c>
      <c r="BG200" s="41">
        <f>IF(N('Dvd Calendar'!$U$2772)=0,"",IF(('Dvd Calendar'!$U$2772&gt;=MIN(DATE(Summary!$C$12,1,1),Summary!$C$11))*('Dvd Calendar'!$U$2772&lt;=MAX(DATE(Summary!$C$12,12,31),Summary!$C$15))*('Dvd Calendar'!$U$2772&gt;Summary!$C$11)=0,"",'Dvd Calendar'!$U$2772*1000000000+ISNUMBER('Dvd Calendar'!$U$2773)*100000000+('Dvd Calendar'!$U$2777='Field Check'!$C$25)*10000000+(N('Dvd Calendar'!$U$2771)&gt;0)*1000000+44*1000+57))</f>
        <v/>
      </c>
      <c r="BH200" s="41">
        <f>IF(N('Dvd Calendar'!$V$2772)=0,"",IF(('Dvd Calendar'!$V$2772&gt;=MIN(DATE(Summary!$C$12,1,1),Summary!$C$11))*('Dvd Calendar'!$V$2772&lt;=MAX(DATE(Summary!$C$12,12,31),Summary!$C$15))*('Dvd Calendar'!$V$2772&gt;Summary!$C$11)=0,"",'Dvd Calendar'!$V$2772*1000000000+ISNUMBER('Dvd Calendar'!$V$2773)*100000000+('Dvd Calendar'!$V$2777='Field Check'!$C$25)*10000000+(N('Dvd Calendar'!$V$2771)&gt;0)*1000000+44*1000+58))</f>
        <v/>
      </c>
      <c r="BI200" s="41">
        <f>IF(N('Dvd Calendar'!$W$2772)=0,"",IF(('Dvd Calendar'!$W$2772&gt;=MIN(DATE(Summary!$C$12,1,1),Summary!$C$11))*('Dvd Calendar'!$W$2772&lt;=MAX(DATE(Summary!$C$12,12,31),Summary!$C$15))*('Dvd Calendar'!$W$2772&gt;Summary!$C$11)=0,"",'Dvd Calendar'!$W$2772*1000000000+ISNUMBER('Dvd Calendar'!$W$2773)*100000000+('Dvd Calendar'!$W$2777='Field Check'!$C$25)*10000000+(N('Dvd Calendar'!$W$2771)&gt;0)*1000000+44*1000+59))</f>
        <v/>
      </c>
      <c r="BJ200" s="41">
        <f>IF(N('Dvd Calendar'!$X$2772)=0,"",IF(('Dvd Calendar'!$X$2772&gt;=MIN(DATE(Summary!$C$12,1,1),Summary!$C$11))*('Dvd Calendar'!$X$2772&lt;=MAX(DATE(Summary!$C$12,12,31),Summary!$C$15))*('Dvd Calendar'!$X$2772&gt;Summary!$C$11)=0,"",'Dvd Calendar'!$X$2772*1000000000+ISNUMBER('Dvd Calendar'!$X$2773)*100000000+('Dvd Calendar'!$X$2777='Field Check'!$C$25)*10000000+(N('Dvd Calendar'!$X$2771)&gt;0)*1000000+44*1000+60))</f>
        <v/>
      </c>
      <c r="BK200" s="41">
        <f>IF(N('Dvd Calendar'!$Y$2772)=0,"",IF(('Dvd Calendar'!$Y$2772&gt;=MIN(DATE(Summary!$C$12,1,1),Summary!$C$11))*('Dvd Calendar'!$Y$2772&lt;=MAX(DATE(Summary!$C$12,12,31),Summary!$C$15))*('Dvd Calendar'!$Y$2772&gt;Summary!$C$11)=0,"",'Dvd Calendar'!$Y$2772*1000000000+ISNUMBER('Dvd Calendar'!$Y$2773)*100000000+('Dvd Calendar'!$Y$2777='Field Check'!$C$25)*10000000+(N('Dvd Calendar'!$Y$2771)&gt;0)*1000000+44*1000+61))</f>
        <v/>
      </c>
      <c r="BL200" s="41">
        <f>IF(N('Dvd Calendar'!$Z$2772)=0,"",IF(('Dvd Calendar'!$Z$2772&gt;=MIN(DATE(Summary!$C$12,1,1),Summary!$C$11))*('Dvd Calendar'!$Z$2772&lt;=MAX(DATE(Summary!$C$12,12,31),Summary!$C$15))*('Dvd Calendar'!$Z$2772&gt;Summary!$C$11)=0,"",'Dvd Calendar'!$Z$2772*1000000000+ISNUMBER('Dvd Calendar'!$Z$2773)*100000000+('Dvd Calendar'!$Z$2777='Field Check'!$C$25)*10000000+(N('Dvd Calendar'!$Z$2771)&gt;0)*1000000+44*1000+62))</f>
        <v/>
      </c>
      <c r="BM200" s="41">
        <f>IF(N('Dvd Calendar'!$AA$2772)=0,"",IF(('Dvd Calendar'!$AA$2772&gt;=MIN(DATE(Summary!$C$12,1,1),Summary!$C$11))*('Dvd Calendar'!$AA$2772&lt;=MAX(DATE(Summary!$C$12,12,31),Summary!$C$15))*('Dvd Calendar'!$AA$2772&gt;Summary!$C$11)=0,"",'Dvd Calendar'!$AA$2772*1000000000+ISNUMBER('Dvd Calendar'!$AA$2773)*100000000+('Dvd Calendar'!$AA$2777='Field Check'!$C$25)*10000000+(N('Dvd Calendar'!$AA$2771)&gt;0)*1000000+44*1000+63))</f>
        <v/>
      </c>
      <c r="BN200" s="41">
        <f>IF(N('Dvd Calendar'!$AB$2772)=0,"",IF(('Dvd Calendar'!$AB$2772&gt;=MIN(DATE(Summary!$C$12,1,1),Summary!$C$11))*('Dvd Calendar'!$AB$2772&lt;=MAX(DATE(Summary!$C$12,12,31),Summary!$C$15))*('Dvd Calendar'!$AB$2772&gt;Summary!$C$11)=0,"",'Dvd Calendar'!$AB$2772*1000000000+ISNUMBER('Dvd Calendar'!$AB$2773)*100000000+('Dvd Calendar'!$AB$2777='Field Check'!$C$25)*10000000+(N('Dvd Calendar'!$AB$2771)&gt;0)*1000000+44*1000+64))</f>
        <v/>
      </c>
      <c r="BO200" s="41">
        <f>IF(N('Dvd Calendar'!$AC$2772)=0,"",IF(('Dvd Calendar'!$AC$2772&gt;=MIN(DATE(Summary!$C$12,1,1),Summary!$C$11))*('Dvd Calendar'!$AC$2772&lt;=MAX(DATE(Summary!$C$12,12,31),Summary!$C$15))*('Dvd Calendar'!$AC$2772&gt;Summary!$C$11)=0,"",'Dvd Calendar'!$AC$2772*1000000000+ISNUMBER('Dvd Calendar'!$AC$2773)*100000000+('Dvd Calendar'!$AC$2777='Field Check'!$C$25)*10000000+(N('Dvd Calendar'!$AC$2771)&gt;0)*1000000+44*1000+65))</f>
        <v/>
      </c>
      <c r="BQ200" s="85">
        <f>IF(C200="","",IF(ISNUMBER('Dvd Calendar'!$E$2766)=FALSE,"",IF((Summary!$C$13="N")*('Dvd Calendar'!$E$2770='Field Check'!$C$25)&gt;0,"",'Dvd Calendar'!$E$2766)))</f>
        <v/>
      </c>
      <c r="BR200" s="85">
        <f>IF(D200="","",IF(ISNUMBER('Dvd Calendar'!$F$2766)=FALSE,"",IF((Summary!$C$13="N")*('Dvd Calendar'!$F$2770='Field Check'!$C$25)&gt;0,"",'Dvd Calendar'!$F$2766)))</f>
        <v/>
      </c>
      <c r="BS200" s="85">
        <f>IF(E200="","",IF(ISNUMBER('Dvd Calendar'!$G$2766)=FALSE,"",IF((Summary!$C$13="N")*('Dvd Calendar'!$G$2770='Field Check'!$C$25)&gt;0,"",'Dvd Calendar'!$G$2766)))</f>
        <v/>
      </c>
      <c r="BT200" s="85">
        <f>IF(F200="","",IF(ISNUMBER('Dvd Calendar'!$H$2766)=FALSE,"",IF((Summary!$C$13="N")*('Dvd Calendar'!$H$2770='Field Check'!$C$25)&gt;0,"",'Dvd Calendar'!$H$2766)))</f>
        <v/>
      </c>
      <c r="BU200" s="85">
        <f>IF(G200="","",IF(ISNUMBER('Dvd Calendar'!$I$2766)=FALSE,"",IF((Summary!$C$13="N")*('Dvd Calendar'!$I$2770='Field Check'!$C$25)&gt;0,"",'Dvd Calendar'!$I$2766)))</f>
        <v/>
      </c>
      <c r="BV200" s="85">
        <f>IF(H200="","",IF(ISNUMBER('Dvd Calendar'!$J$2766)=FALSE,"",IF((Summary!$C$13="N")*('Dvd Calendar'!$J$2770='Field Check'!$C$25)&gt;0,"",'Dvd Calendar'!$J$2766)))</f>
        <v/>
      </c>
      <c r="BW200" s="85">
        <f>IF(I200="","",IF(ISNUMBER('Dvd Calendar'!$K$2766)=FALSE,"",IF((Summary!$C$13="N")*('Dvd Calendar'!$K$2770='Field Check'!$C$25)&gt;0,"",'Dvd Calendar'!$K$2766)))</f>
        <v/>
      </c>
      <c r="BX200" s="85">
        <f>IF(J200="","",IF(ISNUMBER('Dvd Calendar'!$L$2766)=FALSE,"",IF((Summary!$C$13="N")*('Dvd Calendar'!$L$2770='Field Check'!$C$25)&gt;0,"",'Dvd Calendar'!$L$2766)))</f>
        <v/>
      </c>
      <c r="BY200" s="85">
        <f>IF(K200="","",IF(ISNUMBER('Dvd Calendar'!$M$2766)=FALSE,"",IF((Summary!$C$13="N")*('Dvd Calendar'!$M$2770='Field Check'!$C$25)&gt;0,"",'Dvd Calendar'!$M$2766)))</f>
        <v/>
      </c>
      <c r="BZ200" s="85">
        <f>IF(L200="","",IF(ISNUMBER('Dvd Calendar'!$N$2766)=FALSE,"",IF((Summary!$C$13="N")*('Dvd Calendar'!$N$2770='Field Check'!$C$25)&gt;0,"",'Dvd Calendar'!$N$2766)))</f>
        <v/>
      </c>
      <c r="CA200" s="85">
        <f>IF(M200="","",IF(ISNUMBER('Dvd Calendar'!$O$2766)=FALSE,"",IF((Summary!$C$13="N")*('Dvd Calendar'!$O$2770='Field Check'!$C$25)&gt;0,"",'Dvd Calendar'!$O$2766)))</f>
        <v/>
      </c>
      <c r="CB200" s="85">
        <f>IF(N200="","",IF(ISNUMBER('Dvd Calendar'!$P$2766)=FALSE,"",IF((Summary!$C$13="N")*('Dvd Calendar'!$P$2770='Field Check'!$C$25)&gt;0,"",'Dvd Calendar'!$P$2766)))</f>
        <v/>
      </c>
      <c r="CC200" s="85">
        <f>IF(O200="","",IF(ISNUMBER('Dvd Calendar'!$Q$2766)=FALSE,"",IF((Summary!$C$13="N")*('Dvd Calendar'!$Q$2770='Field Check'!$C$25)&gt;0,"",'Dvd Calendar'!$Q$2766)))</f>
        <v/>
      </c>
      <c r="CD200" s="85">
        <f>IF(P200="","",IF(ISNUMBER('Dvd Calendar'!$R$2766)=FALSE,"",IF((Summary!$C$13="N")*('Dvd Calendar'!$R$2770='Field Check'!$C$25)&gt;0,"",'Dvd Calendar'!$R$2766)))</f>
        <v/>
      </c>
      <c r="CE200" s="85">
        <f>IF(Q200="","",IF(ISNUMBER('Dvd Calendar'!$S$2766)=FALSE,"",IF((Summary!$C$13="N")*('Dvd Calendar'!$S$2770='Field Check'!$C$25)&gt;0,"",'Dvd Calendar'!$S$2766)))</f>
        <v/>
      </c>
      <c r="CF200" s="85">
        <f>IF(R200="","",IF(ISNUMBER('Dvd Calendar'!$T$2766)=FALSE,"",IF((Summary!$C$13="N")*('Dvd Calendar'!$T$2770='Field Check'!$C$25)&gt;0,"",'Dvd Calendar'!$T$2766)))</f>
        <v/>
      </c>
      <c r="CG200" s="85">
        <f>IF(S200="","",IF(ISNUMBER('Dvd Calendar'!$U$2766)=FALSE,"",IF((Summary!$C$13="N")*('Dvd Calendar'!$U$2770='Field Check'!$C$25)&gt;0,"",'Dvd Calendar'!$U$2766)))</f>
        <v/>
      </c>
      <c r="CH200" s="85">
        <f>IF(T200="","",IF(ISNUMBER('Dvd Calendar'!$V$2766)=FALSE,"",IF((Summary!$C$13="N")*('Dvd Calendar'!$V$2770='Field Check'!$C$25)&gt;0,"",'Dvd Calendar'!$V$2766)))</f>
        <v/>
      </c>
      <c r="CI200" s="85">
        <f>IF(U200="","",IF(ISNUMBER('Dvd Calendar'!$W$2766)=FALSE,"",IF((Summary!$C$13="N")*('Dvd Calendar'!$W$2770='Field Check'!$C$25)&gt;0,"",'Dvd Calendar'!$W$2766)))</f>
        <v/>
      </c>
      <c r="CJ200" s="85">
        <f>IF(V200="","",IF(ISNUMBER('Dvd Calendar'!$X$2766)=FALSE,"",IF((Summary!$C$13="N")*('Dvd Calendar'!$X$2770='Field Check'!$C$25)&gt;0,"",'Dvd Calendar'!$X$2766)))</f>
        <v/>
      </c>
      <c r="CK200" s="85">
        <f>IF(W200="","",IF(ISNUMBER('Dvd Calendar'!$Y$2766)=FALSE,"",IF((Summary!$C$13="N")*('Dvd Calendar'!$Y$2770='Field Check'!$C$25)&gt;0,"",'Dvd Calendar'!$Y$2766)))</f>
        <v/>
      </c>
      <c r="CL200" s="85">
        <f>IF(X200="","",IF(ISNUMBER('Dvd Calendar'!$Z$2766)=FALSE,"",IF((Summary!$C$13="N")*('Dvd Calendar'!$Z$2770='Field Check'!$C$25)&gt;0,"",'Dvd Calendar'!$Z$2766)))</f>
        <v/>
      </c>
      <c r="CM200" s="85">
        <f>IF(Y200="","",IF(ISNUMBER('Dvd Calendar'!$AA$2766)=FALSE,"",IF((Summary!$C$13="N")*('Dvd Calendar'!$AA$2770='Field Check'!$C$25)&gt;0,"",'Dvd Calendar'!$AA$2766)))</f>
        <v/>
      </c>
      <c r="CN200" s="85">
        <f>IF(Z200="","",IF(ISNUMBER('Dvd Calendar'!$AB$2766)=FALSE,"",IF((Summary!$C$13="N")*('Dvd Calendar'!$AB$2770='Field Check'!$C$25)&gt;0,"",'Dvd Calendar'!$AB$2766)))</f>
        <v/>
      </c>
      <c r="CO200" s="85">
        <f>IF(AA200="","",IF(ISNUMBER('Dvd Calendar'!$AC$2766)=FALSE,"",IF((Summary!$C$13="N")*('Dvd Calendar'!$AC$2770='Field Check'!$C$25)&gt;0,"",'Dvd Calendar'!$AC$2766)))</f>
        <v/>
      </c>
      <c r="CP200" s="85">
        <f>IF(AB200="","",IF(ISNUMBER('Dvd Calendar'!$AD$2766)=FALSE,"",IF((Summary!$C$13="N")*('Dvd Calendar'!$AD$2770='Field Check'!$C$25)&gt;0,"",'Dvd Calendar'!$AD$2766)))</f>
        <v/>
      </c>
      <c r="CQ200" s="85">
        <f>IF(AC200="","",IF(ISNUMBER('Dvd Calendar'!$AE$2766)=FALSE,"",IF((Summary!$C$13="N")*('Dvd Calendar'!$AE$2770='Field Check'!$C$25)&gt;0,"",'Dvd Calendar'!$AE$2766)))</f>
        <v/>
      </c>
      <c r="CR200" s="85">
        <f>IF(AD200="","",IF(ISNUMBER('Dvd Calendar'!$AF$2766)=FALSE,"",IF((Summary!$C$13="N")*('Dvd Calendar'!$AF$2770='Field Check'!$C$25)&gt;0,"",'Dvd Calendar'!$AF$2766)))</f>
        <v/>
      </c>
      <c r="CS200" s="85">
        <f>IF(AE200="","",IF(ISNUMBER('Dvd Calendar'!$AG$2766)=FALSE,"",IF((Summary!$C$13="N")*('Dvd Calendar'!$AG$2770='Field Check'!$C$25)&gt;0,"",'Dvd Calendar'!$AG$2766)))</f>
        <v/>
      </c>
      <c r="CT200" s="85">
        <f>IF(AF200="","",IF(ISNUMBER('Dvd Calendar'!$AH$2766)=FALSE,"",IF((Summary!$C$13="N")*('Dvd Calendar'!$AH$2770='Field Check'!$C$25)&gt;0,"",'Dvd Calendar'!$AH$2766)))</f>
        <v/>
      </c>
      <c r="CU200" s="85">
        <f>IF(AG200="","",IF(ISNUMBER('Dvd Calendar'!$AI$2766)=FALSE,"",IF((Summary!$C$13="N")*('Dvd Calendar'!$AI$2770='Field Check'!$C$25)&gt;0,"",'Dvd Calendar'!$AI$2766)))</f>
        <v/>
      </c>
      <c r="CV200" s="85">
        <f>IF(AH200="","",IF(ISNUMBER('Dvd Calendar'!$AJ$2766)=FALSE,"",IF((Summary!$C$13="N")*('Dvd Calendar'!$AJ$2770='Field Check'!$C$25)&gt;0,"",'Dvd Calendar'!$AJ$2766)))</f>
        <v/>
      </c>
      <c r="CW200" s="85">
        <f>IF(AI200="","",IF(ISNUMBER('Dvd Calendar'!$AK$2766)=FALSE,"",IF((Summary!$C$13="N")*('Dvd Calendar'!$AK$2770='Field Check'!$C$25)&gt;0,"",'Dvd Calendar'!$AK$2766)))</f>
        <v/>
      </c>
      <c r="CX200" s="85">
        <f>IF(AJ200="","",IF(ISNUMBER('Dvd Calendar'!$AL$2766)=FALSE,"",IF((Summary!$C$13="N")*('Dvd Calendar'!$AL$2770='Field Check'!$C$25)&gt;0,"",'Dvd Calendar'!$AL$2766)))</f>
        <v/>
      </c>
      <c r="CY200" s="85">
        <f>IF(AK200="","",IF(ISNUMBER('Dvd Calendar'!$AM$2766)=FALSE,"",IF((Summary!$C$13="N")*('Dvd Calendar'!$AM$2770='Field Check'!$C$25)&gt;0,"",'Dvd Calendar'!$AM$2766)))</f>
        <v/>
      </c>
      <c r="CZ200" s="85">
        <f>IF(AL200="","",IF(ISNUMBER('Dvd Calendar'!$AN$2766)=FALSE,"",IF((Summary!$C$13="N")*('Dvd Calendar'!$AN$2770='Field Check'!$C$25)&gt;0,"",'Dvd Calendar'!$AN$2766)))</f>
        <v/>
      </c>
      <c r="DA200" s="85">
        <f>IF(AM200="","",IF(ISNUMBER('Dvd Calendar'!$AO$2766)=FALSE,"",IF((Summary!$C$13="N")*('Dvd Calendar'!$AO$2770='Field Check'!$C$25)&gt;0,"",'Dvd Calendar'!$AO$2766)))</f>
        <v/>
      </c>
      <c r="DB200" s="85">
        <f>IF(AN200="","",IF(ISNUMBER('Dvd Calendar'!$AP$2766)=FALSE,"",IF((Summary!$C$13="N")*('Dvd Calendar'!$AP$2770='Field Check'!$C$25)&gt;0,"",'Dvd Calendar'!$AP$2766)))</f>
        <v/>
      </c>
      <c r="DC200" s="85">
        <f>IF(AO200="","",IF(ISNUMBER('Dvd Calendar'!$AQ$2766)=FALSE,"",IF((Summary!$C$13="N")*('Dvd Calendar'!$AQ$2770='Field Check'!$C$25)&gt;0,"",'Dvd Calendar'!$AQ$2766)))</f>
        <v/>
      </c>
      <c r="DD200" s="85">
        <f>IF(AP200="","",IF(ISNUMBER('Dvd Calendar'!$AR$2766)=FALSE,"",IF((Summary!$C$13="N")*('Dvd Calendar'!$AR$2770='Field Check'!$C$25)&gt;0,"",'Dvd Calendar'!$AR$2766)))</f>
        <v/>
      </c>
      <c r="DE200" s="85">
        <f>IF(AQ200="","",IF(ISNUMBER('Dvd Calendar'!$E$2773)=FALSE,"",IF((Summary!$C$13="N")*('Dvd Calendar'!$E$2777='Field Check'!$C$25)&gt;0,"",'Dvd Calendar'!$E$2773)))</f>
        <v/>
      </c>
      <c r="DF200" s="85">
        <f>IF(AR200="","",IF(ISNUMBER('Dvd Calendar'!$F$2773)=FALSE,"",IF((Summary!$C$13="N")*('Dvd Calendar'!$F$2777='Field Check'!$C$25)&gt;0,"",'Dvd Calendar'!$F$2773)))</f>
        <v/>
      </c>
      <c r="DG200" s="85">
        <f>IF(AS200="","",IF(ISNUMBER('Dvd Calendar'!$G$2773)=FALSE,"",IF((Summary!$C$13="N")*('Dvd Calendar'!$G$2777='Field Check'!$C$25)&gt;0,"",'Dvd Calendar'!$G$2773)))</f>
        <v/>
      </c>
      <c r="DH200" s="85">
        <f>IF(AT200="","",IF(ISNUMBER('Dvd Calendar'!$H$2773)=FALSE,"",IF((Summary!$C$13="N")*('Dvd Calendar'!$H$2777='Field Check'!$C$25)&gt;0,"",'Dvd Calendar'!$H$2773)))</f>
        <v/>
      </c>
      <c r="DI200" s="85">
        <f>IF(AU200="","",IF(ISNUMBER('Dvd Calendar'!$I$2773)=FALSE,"",IF((Summary!$C$13="N")*('Dvd Calendar'!$I$2777='Field Check'!$C$25)&gt;0,"",'Dvd Calendar'!$I$2773)))</f>
        <v/>
      </c>
      <c r="DJ200" s="85">
        <f>IF(AV200="","",IF(ISNUMBER('Dvd Calendar'!$J$2773)=FALSE,"",IF((Summary!$C$13="N")*('Dvd Calendar'!$J$2777='Field Check'!$C$25)&gt;0,"",'Dvd Calendar'!$J$2773)))</f>
        <v/>
      </c>
      <c r="DK200" s="85">
        <f>IF(AW200="","",IF(ISNUMBER('Dvd Calendar'!$K$2773)=FALSE,"",IF((Summary!$C$13="N")*('Dvd Calendar'!$K$2777='Field Check'!$C$25)&gt;0,"",'Dvd Calendar'!$K$2773)))</f>
        <v/>
      </c>
      <c r="DL200" s="85">
        <f>IF(AX200="","",IF(ISNUMBER('Dvd Calendar'!$L$2773)=FALSE,"",IF((Summary!$C$13="N")*('Dvd Calendar'!$L$2777='Field Check'!$C$25)&gt;0,"",'Dvd Calendar'!$L$2773)))</f>
        <v/>
      </c>
      <c r="DM200" s="85">
        <f>IF(AY200="","",IF(ISNUMBER('Dvd Calendar'!$M$2773)=FALSE,"",IF((Summary!$C$13="N")*('Dvd Calendar'!$M$2777='Field Check'!$C$25)&gt;0,"",'Dvd Calendar'!$M$2773)))</f>
        <v/>
      </c>
      <c r="DN200" s="85">
        <f>IF(AZ200="","",IF(ISNUMBER('Dvd Calendar'!$N$2773)=FALSE,"",IF((Summary!$C$13="N")*('Dvd Calendar'!$N$2777='Field Check'!$C$25)&gt;0,"",'Dvd Calendar'!$N$2773)))</f>
        <v/>
      </c>
      <c r="DO200" s="85">
        <f>IF(BA200="","",IF(ISNUMBER('Dvd Calendar'!$O$2773)=FALSE,"",IF((Summary!$C$13="N")*('Dvd Calendar'!$O$2777='Field Check'!$C$25)&gt;0,"",'Dvd Calendar'!$O$2773)))</f>
        <v/>
      </c>
      <c r="DP200" s="85">
        <f>IF(BB200="","",IF(ISNUMBER('Dvd Calendar'!$P$2773)=FALSE,"",IF((Summary!$C$13="N")*('Dvd Calendar'!$P$2777='Field Check'!$C$25)&gt;0,"",'Dvd Calendar'!$P$2773)))</f>
        <v/>
      </c>
      <c r="DQ200" s="85">
        <f>IF(BC200="","",IF(ISNUMBER('Dvd Calendar'!$Q$2773)=FALSE,"",IF((Summary!$C$13="N")*('Dvd Calendar'!$Q$2777='Field Check'!$C$25)&gt;0,"",'Dvd Calendar'!$Q$2773)))</f>
        <v/>
      </c>
      <c r="DR200" s="85">
        <f>IF(BD200="","",IF(ISNUMBER('Dvd Calendar'!$R$2773)=FALSE,"",IF((Summary!$C$13="N")*('Dvd Calendar'!$R$2777='Field Check'!$C$25)&gt;0,"",'Dvd Calendar'!$R$2773)))</f>
        <v/>
      </c>
      <c r="DS200" s="85">
        <f>IF(BE200="","",IF(ISNUMBER('Dvd Calendar'!$S$2773)=FALSE,"",IF((Summary!$C$13="N")*('Dvd Calendar'!$S$2777='Field Check'!$C$25)&gt;0,"",'Dvd Calendar'!$S$2773)))</f>
        <v/>
      </c>
      <c r="DT200" s="85">
        <f>IF(BF200="","",IF(ISNUMBER('Dvd Calendar'!$T$2773)=FALSE,"",IF((Summary!$C$13="N")*('Dvd Calendar'!$T$2777='Field Check'!$C$25)&gt;0,"",'Dvd Calendar'!$T$2773)))</f>
        <v/>
      </c>
      <c r="DU200" s="85">
        <f>IF(BG200="","",IF(ISNUMBER('Dvd Calendar'!$U$2773)=FALSE,"",IF((Summary!$C$13="N")*('Dvd Calendar'!$U$2777='Field Check'!$C$25)&gt;0,"",'Dvd Calendar'!$U$2773)))</f>
        <v/>
      </c>
      <c r="DV200" s="85">
        <f>IF(BH200="","",IF(ISNUMBER('Dvd Calendar'!$V$2773)=FALSE,"",IF((Summary!$C$13="N")*('Dvd Calendar'!$V$2777='Field Check'!$C$25)&gt;0,"",'Dvd Calendar'!$V$2773)))</f>
        <v/>
      </c>
      <c r="DW200" s="85">
        <f>IF(BI200="","",IF(ISNUMBER('Dvd Calendar'!$W$2773)=FALSE,"",IF((Summary!$C$13="N")*('Dvd Calendar'!$W$2777='Field Check'!$C$25)&gt;0,"",'Dvd Calendar'!$W$2773)))</f>
        <v/>
      </c>
      <c r="DX200" s="85">
        <f>IF(BJ200="","",IF(ISNUMBER('Dvd Calendar'!$X$2773)=FALSE,"",IF((Summary!$C$13="N")*('Dvd Calendar'!$X$2777='Field Check'!$C$25)&gt;0,"",'Dvd Calendar'!$X$2773)))</f>
        <v/>
      </c>
      <c r="DY200" s="85">
        <f>IF(BK200="","",IF(ISNUMBER('Dvd Calendar'!$Y$2773)=FALSE,"",IF((Summary!$C$13="N")*('Dvd Calendar'!$Y$2777='Field Check'!$C$25)&gt;0,"",'Dvd Calendar'!$Y$2773)))</f>
        <v/>
      </c>
      <c r="DZ200" s="85">
        <f>IF(BL200="","",IF(ISNUMBER('Dvd Calendar'!$Z$2773)=FALSE,"",IF((Summary!$C$13="N")*('Dvd Calendar'!$Z$2777='Field Check'!$C$25)&gt;0,"",'Dvd Calendar'!$Z$2773)))</f>
        <v/>
      </c>
      <c r="EA200" s="85">
        <f>IF(BM200="","",IF(ISNUMBER('Dvd Calendar'!$AA$2773)=FALSE,"",IF((Summary!$C$13="N")*('Dvd Calendar'!$AA$2777='Field Check'!$C$25)&gt;0,"",'Dvd Calendar'!$AA$2773)))</f>
        <v/>
      </c>
      <c r="EB200" s="85">
        <f>IF(BN200="","",IF(ISNUMBER('Dvd Calendar'!$AB$2773)=FALSE,"",IF((Summary!$C$13="N")*('Dvd Calendar'!$AB$2777='Field Check'!$C$25)&gt;0,"",'Dvd Calendar'!$AB$2773)))</f>
        <v/>
      </c>
      <c r="EC200" s="85">
        <f>IF(BO200="","",IF(ISNUMBER('Dvd Calendar'!$AC$2773)=FALSE,"",IF((Summary!$C$13="N")*('Dvd Calendar'!$AC$2777='Field Check'!$C$25)&gt;0,"",'Dvd Calendar'!$AC$2773)))</f>
        <v/>
      </c>
      <c r="EE200" s="85">
        <f>IF(BQ200="","",IFERROR(BQ200*HSCEI!$B$50*HSCEI!$G$50/HSCEI!$B$3,""))</f>
        <v/>
      </c>
      <c r="EF200" s="85">
        <f>IF(BR200="","",IFERROR(BR200*HSCEI!$B$50*HSCEI!$G$50/HSCEI!$B$3,""))</f>
        <v/>
      </c>
      <c r="EG200" s="85">
        <f>IF(BS200="","",IFERROR(BS200*HSCEI!$B$50*HSCEI!$G$50/HSCEI!$B$3,""))</f>
        <v/>
      </c>
      <c r="EH200" s="85">
        <f>IF(BT200="","",IFERROR(BT200*HSCEI!$B$50*HSCEI!$G$50/HSCEI!$B$3,""))</f>
        <v/>
      </c>
      <c r="EI200" s="85">
        <f>IF(BU200="","",IFERROR(BU200*HSCEI!$B$50*HSCEI!$G$50/HSCEI!$B$3,""))</f>
        <v/>
      </c>
      <c r="EJ200" s="85">
        <f>IF(BV200="","",IFERROR(BV200*HSCEI!$B$50*HSCEI!$G$50/HSCEI!$B$3,""))</f>
        <v/>
      </c>
      <c r="EK200" s="85">
        <f>IF(BW200="","",IFERROR(BW200*HSCEI!$B$50*HSCEI!$G$50/HSCEI!$B$3,""))</f>
        <v/>
      </c>
      <c r="EL200" s="85">
        <f>IF(BX200="","",IFERROR(BX200*HSCEI!$B$50*HSCEI!$G$50/HSCEI!$B$3,""))</f>
        <v/>
      </c>
      <c r="EM200" s="85">
        <f>IF(BY200="","",IFERROR(BY200*HSCEI!$B$50*HSCEI!$G$50/HSCEI!$B$3,""))</f>
        <v/>
      </c>
      <c r="EN200" s="85">
        <f>IF(BZ200="","",IFERROR(BZ200*HSCEI!$B$50*HSCEI!$G$50/HSCEI!$B$3,""))</f>
        <v/>
      </c>
      <c r="EO200" s="85">
        <f>IF(CA200="","",IFERROR(CA200*HSCEI!$B$50*HSCEI!$G$50/HSCEI!$B$3,""))</f>
        <v/>
      </c>
      <c r="EP200" s="85">
        <f>IF(CB200="","",IFERROR(CB200*HSCEI!$B$50*HSCEI!$G$50/HSCEI!$B$3,""))</f>
        <v/>
      </c>
      <c r="EQ200" s="85">
        <f>IF(CC200="","",IFERROR(CC200*HSCEI!$B$50*HSCEI!$G$50/HSCEI!$B$3,""))</f>
        <v/>
      </c>
      <c r="ER200" s="85">
        <f>IF(CD200="","",IFERROR(CD200*HSCEI!$B$50*HSCEI!$G$50/HSCEI!$B$3,""))</f>
        <v/>
      </c>
      <c r="ES200" s="85">
        <f>IF(CE200="","",IFERROR(CE200*HSCEI!$B$50*HSCEI!$G$50/HSCEI!$B$3,""))</f>
        <v/>
      </c>
      <c r="ET200" s="85">
        <f>IF(CF200="","",IFERROR(CF200*HSCEI!$B$50*HSCEI!$G$50/HSCEI!$B$3,""))</f>
        <v/>
      </c>
      <c r="EU200" s="85">
        <f>IF(CG200="","",IFERROR(CG200*HSCEI!$B$50*HSCEI!$G$50/HSCEI!$B$3,""))</f>
        <v/>
      </c>
      <c r="EV200" s="85">
        <f>IF(CH200="","",IFERROR(CH200*HSCEI!$B$50*HSCEI!$G$50/HSCEI!$B$3,""))</f>
        <v/>
      </c>
      <c r="EW200" s="85">
        <f>IF(CI200="","",IFERROR(CI200*HSCEI!$B$50*HSCEI!$G$50/HSCEI!$B$3,""))</f>
        <v/>
      </c>
      <c r="EX200" s="85">
        <f>IF(CJ200="","",IFERROR(CJ200*HSCEI!$B$50*HSCEI!$G$50/HSCEI!$B$3,""))</f>
        <v/>
      </c>
      <c r="EY200" s="85">
        <f>IF(CK200="","",IFERROR(CK200*HSCEI!$B$50*HSCEI!$G$50/HSCEI!$B$3,""))</f>
        <v/>
      </c>
      <c r="EZ200" s="85">
        <f>IF(CL200="","",IFERROR(CL200*HSCEI!$B$50*HSCEI!$G$50/HSCEI!$B$3,""))</f>
        <v/>
      </c>
      <c r="FA200" s="85">
        <f>IF(CM200="","",IFERROR(CM200*HSCEI!$B$50*HSCEI!$G$50/HSCEI!$B$3,""))</f>
        <v/>
      </c>
      <c r="FB200" s="85">
        <f>IF(CN200="","",IFERROR(CN200*HSCEI!$B$50*HSCEI!$G$50/HSCEI!$B$3,""))</f>
        <v/>
      </c>
      <c r="FC200" s="85">
        <f>IF(CO200="","",IFERROR(CO200*HSCEI!$B$50*HSCEI!$G$50/HSCEI!$B$3,""))</f>
        <v/>
      </c>
      <c r="FD200" s="85">
        <f>IF(CP200="","",IFERROR(CP200*HSCEI!$B$50*HSCEI!$G$50/HSCEI!$B$3,""))</f>
        <v/>
      </c>
      <c r="FE200" s="85">
        <f>IF(CQ200="","",IFERROR(CQ200*HSCEI!$B$50*HSCEI!$G$50/HSCEI!$B$3,""))</f>
        <v/>
      </c>
      <c r="FF200" s="85">
        <f>IF(CR200="","",IFERROR(CR200*HSCEI!$B$50*HSCEI!$G$50/HSCEI!$B$3,""))</f>
        <v/>
      </c>
      <c r="FG200" s="85">
        <f>IF(CS200="","",IFERROR(CS200*HSCEI!$B$50*HSCEI!$G$50/HSCEI!$B$3,""))</f>
        <v/>
      </c>
      <c r="FH200" s="85">
        <f>IF(CT200="","",IFERROR(CT200*HSCEI!$B$50*HSCEI!$G$50/HSCEI!$B$3,""))</f>
        <v/>
      </c>
      <c r="FI200" s="85">
        <f>IF(CU200="","",IFERROR(CU200*HSCEI!$B$50*HSCEI!$G$50/HSCEI!$B$3,""))</f>
        <v/>
      </c>
      <c r="FJ200" s="85">
        <f>IF(CV200="","",IFERROR(CV200*HSCEI!$B$50*HSCEI!$G$50/HSCEI!$B$3,""))</f>
        <v/>
      </c>
      <c r="FK200" s="85">
        <f>IF(CW200="","",IFERROR(CW200*HSCEI!$B$50*HSCEI!$G$50/HSCEI!$B$3,""))</f>
        <v/>
      </c>
      <c r="FL200" s="85">
        <f>IF(CX200="","",IFERROR(CX200*HSCEI!$B$50*HSCEI!$G$50/HSCEI!$B$3,""))</f>
        <v/>
      </c>
      <c r="FM200" s="85">
        <f>IF(CY200="","",IFERROR(CY200*HSCEI!$B$50*HSCEI!$G$50/HSCEI!$B$3,""))</f>
        <v/>
      </c>
      <c r="FN200" s="85">
        <f>IF(CZ200="","",IFERROR(CZ200*HSCEI!$B$50*HSCEI!$G$50/HSCEI!$B$3,""))</f>
        <v/>
      </c>
      <c r="FO200" s="85">
        <f>IF(DA200="","",IFERROR(DA200*HSCEI!$B$50*HSCEI!$G$50/HSCEI!$B$3,""))</f>
        <v/>
      </c>
      <c r="FP200" s="85">
        <f>IF(DB200="","",IFERROR(DB200*HSCEI!$B$50*HSCEI!$G$50/HSCEI!$B$3,""))</f>
        <v/>
      </c>
      <c r="FQ200" s="85">
        <f>IF(DC200="","",IFERROR(DC200*HSCEI!$B$50*HSCEI!$G$50/HSCEI!$B$3,""))</f>
        <v/>
      </c>
      <c r="FR200" s="85">
        <f>IF(DD200="","",IFERROR(DD200*HSCEI!$B$50*HSCEI!$G$50/HSCEI!$B$3,""))</f>
        <v/>
      </c>
      <c r="FS200" s="85">
        <f>IF(DE200="","",IFERROR(DE200*HSCEI!$B$50*HSCEI!$G$50/HSCEI!$B$3,""))</f>
        <v/>
      </c>
      <c r="FT200" s="85">
        <f>IF(DF200="","",IFERROR(DF200*HSCEI!$B$50*HSCEI!$G$50/HSCEI!$B$3,""))</f>
        <v/>
      </c>
      <c r="FU200" s="85">
        <f>IF(DG200="","",IFERROR(DG200*HSCEI!$B$50*HSCEI!$G$50/HSCEI!$B$3,""))</f>
        <v/>
      </c>
      <c r="FV200" s="85">
        <f>IF(DH200="","",IFERROR(DH200*HSCEI!$B$50*HSCEI!$G$50/HSCEI!$B$3,""))</f>
        <v/>
      </c>
      <c r="FW200" s="85">
        <f>IF(DI200="","",IFERROR(DI200*HSCEI!$B$50*HSCEI!$G$50/HSCEI!$B$3,""))</f>
        <v/>
      </c>
      <c r="FX200" s="85">
        <f>IF(DJ200="","",IFERROR(DJ200*HSCEI!$B$50*HSCEI!$G$50/HSCEI!$B$3,""))</f>
        <v/>
      </c>
      <c r="FY200" s="85">
        <f>IF(DK200="","",IFERROR(DK200*HSCEI!$B$50*HSCEI!$G$50/HSCEI!$B$3,""))</f>
        <v/>
      </c>
      <c r="FZ200" s="85">
        <f>IF(DL200="","",IFERROR(DL200*HSCEI!$B$50*HSCEI!$G$50/HSCEI!$B$3,""))</f>
        <v/>
      </c>
      <c r="GA200" s="85">
        <f>IF(DM200="","",IFERROR(DM200*HSCEI!$B$50*HSCEI!$G$50/HSCEI!$B$3,""))</f>
        <v/>
      </c>
      <c r="GB200" s="85">
        <f>IF(DN200="","",IFERROR(DN200*HSCEI!$B$50*HSCEI!$G$50/HSCEI!$B$3,""))</f>
        <v/>
      </c>
      <c r="GC200" s="85">
        <f>IF(DO200="","",IFERROR(DO200*HSCEI!$B$50*HSCEI!$G$50/HSCEI!$B$3,""))</f>
        <v/>
      </c>
      <c r="GD200" s="85">
        <f>IF(DP200="","",IFERROR(DP200*HSCEI!$B$50*HSCEI!$G$50/HSCEI!$B$3,""))</f>
        <v/>
      </c>
      <c r="GE200" s="85">
        <f>IF(DQ200="","",IFERROR(DQ200*HSCEI!$B$50*HSCEI!$G$50/HSCEI!$B$3,""))</f>
        <v/>
      </c>
      <c r="GF200" s="85">
        <f>IF(DR200="","",IFERROR(DR200*HSCEI!$B$50*HSCEI!$G$50/HSCEI!$B$3,""))</f>
        <v/>
      </c>
      <c r="GG200" s="85">
        <f>IF(DS200="","",IFERROR(DS200*HSCEI!$B$50*HSCEI!$G$50/HSCEI!$B$3,""))</f>
        <v/>
      </c>
      <c r="GH200" s="85">
        <f>IF(DT200="","",IFERROR(DT200*HSCEI!$B$50*HSCEI!$G$50/HSCEI!$B$3,""))</f>
        <v/>
      </c>
      <c r="GI200" s="85">
        <f>IF(DU200="","",IFERROR(DU200*HSCEI!$B$50*HSCEI!$G$50/HSCEI!$B$3,""))</f>
        <v/>
      </c>
      <c r="GJ200" s="85">
        <f>IF(DV200="","",IFERROR(DV200*HSCEI!$B$50*HSCEI!$G$50/HSCEI!$B$3,""))</f>
        <v/>
      </c>
      <c r="GK200" s="85">
        <f>IF(DW200="","",IFERROR(DW200*HSCEI!$B$50*HSCEI!$G$50/HSCEI!$B$3,""))</f>
        <v/>
      </c>
      <c r="GL200" s="85">
        <f>IF(DX200="","",IFERROR(DX200*HSCEI!$B$50*HSCEI!$G$50/HSCEI!$B$3,""))</f>
        <v/>
      </c>
      <c r="GM200" s="85">
        <f>IF(DY200="","",IFERROR(DY200*HSCEI!$B$50*HSCEI!$G$50/HSCEI!$B$3,""))</f>
        <v/>
      </c>
      <c r="GN200" s="85">
        <f>IF(DZ200="","",IFERROR(DZ200*HSCEI!$B$50*HSCEI!$G$50/HSCEI!$B$3,""))</f>
        <v/>
      </c>
      <c r="GO200" s="85">
        <f>IF(EA200="","",IFERROR(EA200*HSCEI!$B$50*HSCEI!$G$50/HSCEI!$B$3,""))</f>
        <v/>
      </c>
      <c r="GP200" s="85">
        <f>IF(EB200="","",IFERROR(EB200*HSCEI!$B$50*HSCEI!$G$50/HSCEI!$B$3,""))</f>
        <v/>
      </c>
      <c r="GQ200" s="85">
        <f>IF(EC200="","",IFERROR(EC200*HSCEI!$B$50*HSCEI!$G$50/HSCEI!$B$3,""))</f>
        <v/>
      </c>
    </row>
    <row r="201">
      <c r="B201" s="2">
        <f>IF(HSCEI!$C$51="","",HSCEI!$C$51)</f>
        <v/>
      </c>
      <c r="C201" s="41">
        <f>IF(N('Dvd Calendar'!$E$2780)=0,"",IF(('Dvd Calendar'!$E$2780&gt;=MIN(DATE(Summary!$C$12,1,1),Summary!$C$11))*('Dvd Calendar'!$E$2780&lt;=MAX(DATE(Summary!$C$12,12,31),Summary!$C$15))*('Dvd Calendar'!$E$2780&lt;=Summary!$C$11)=0,"",'Dvd Calendar'!$E$2780*1000000000+ISNUMBER('Dvd Calendar'!$E$2781)*100000000+('Dvd Calendar'!$E$2785='Field Check'!$C$25)*10000000+(N('Dvd Calendar'!$E$2779)&gt;0)*1000000+45*1000+1))</f>
        <v/>
      </c>
      <c r="D201" s="41">
        <f>IF(N('Dvd Calendar'!$F$2780)=0,"",IF(('Dvd Calendar'!$F$2780&gt;=MIN(DATE(Summary!$C$12,1,1),Summary!$C$11))*('Dvd Calendar'!$F$2780&lt;=MAX(DATE(Summary!$C$12,12,31),Summary!$C$15))*('Dvd Calendar'!$F$2780&lt;=Summary!$C$11)=0,"",'Dvd Calendar'!$F$2780*1000000000+ISNUMBER('Dvd Calendar'!$F$2781)*100000000+('Dvd Calendar'!$F$2785='Field Check'!$C$25)*10000000+(N('Dvd Calendar'!$F$2779)&gt;0)*1000000+45*1000+2))</f>
        <v/>
      </c>
      <c r="E201" s="41">
        <f>IF(N('Dvd Calendar'!$G$2780)=0,"",IF(('Dvd Calendar'!$G$2780&gt;=MIN(DATE(Summary!$C$12,1,1),Summary!$C$11))*('Dvd Calendar'!$G$2780&lt;=MAX(DATE(Summary!$C$12,12,31),Summary!$C$15))*('Dvd Calendar'!$G$2780&lt;=Summary!$C$11)=0,"",'Dvd Calendar'!$G$2780*1000000000+ISNUMBER('Dvd Calendar'!$G$2781)*100000000+('Dvd Calendar'!$G$2785='Field Check'!$C$25)*10000000+(N('Dvd Calendar'!$G$2779)&gt;0)*1000000+45*1000+3))</f>
        <v/>
      </c>
      <c r="F201" s="41">
        <f>IF(N('Dvd Calendar'!$H$2780)=0,"",IF(('Dvd Calendar'!$H$2780&gt;=MIN(DATE(Summary!$C$12,1,1),Summary!$C$11))*('Dvd Calendar'!$H$2780&lt;=MAX(DATE(Summary!$C$12,12,31),Summary!$C$15))*('Dvd Calendar'!$H$2780&lt;=Summary!$C$11)=0,"",'Dvd Calendar'!$H$2780*1000000000+ISNUMBER('Dvd Calendar'!$H$2781)*100000000+('Dvd Calendar'!$H$2785='Field Check'!$C$25)*10000000+(N('Dvd Calendar'!$H$2779)&gt;0)*1000000+45*1000+4))</f>
        <v/>
      </c>
      <c r="G201" s="41">
        <f>IF(N('Dvd Calendar'!$I$2780)=0,"",IF(('Dvd Calendar'!$I$2780&gt;=MIN(DATE(Summary!$C$12,1,1),Summary!$C$11))*('Dvd Calendar'!$I$2780&lt;=MAX(DATE(Summary!$C$12,12,31),Summary!$C$15))*('Dvd Calendar'!$I$2780&lt;=Summary!$C$11)=0,"",'Dvd Calendar'!$I$2780*1000000000+ISNUMBER('Dvd Calendar'!$I$2781)*100000000+('Dvd Calendar'!$I$2785='Field Check'!$C$25)*10000000+(N('Dvd Calendar'!$I$2779)&gt;0)*1000000+45*1000+5))</f>
        <v/>
      </c>
      <c r="H201" s="41">
        <f>IF(N('Dvd Calendar'!$J$2780)=0,"",IF(('Dvd Calendar'!$J$2780&gt;=MIN(DATE(Summary!$C$12,1,1),Summary!$C$11))*('Dvd Calendar'!$J$2780&lt;=MAX(DATE(Summary!$C$12,12,31),Summary!$C$15))*('Dvd Calendar'!$J$2780&lt;=Summary!$C$11)=0,"",'Dvd Calendar'!$J$2780*1000000000+ISNUMBER('Dvd Calendar'!$J$2781)*100000000+('Dvd Calendar'!$J$2785='Field Check'!$C$25)*10000000+(N('Dvd Calendar'!$J$2779)&gt;0)*1000000+45*1000+6))</f>
        <v/>
      </c>
      <c r="I201" s="41">
        <f>IF(N('Dvd Calendar'!$K$2780)=0,"",IF(('Dvd Calendar'!$K$2780&gt;=MIN(DATE(Summary!$C$12,1,1),Summary!$C$11))*('Dvd Calendar'!$K$2780&lt;=MAX(DATE(Summary!$C$12,12,31),Summary!$C$15))*('Dvd Calendar'!$K$2780&lt;=Summary!$C$11)=0,"",'Dvd Calendar'!$K$2780*1000000000+ISNUMBER('Dvd Calendar'!$K$2781)*100000000+('Dvd Calendar'!$K$2785='Field Check'!$C$25)*10000000+(N('Dvd Calendar'!$K$2779)&gt;0)*1000000+45*1000+7))</f>
        <v/>
      </c>
      <c r="J201" s="41">
        <f>IF(N('Dvd Calendar'!$L$2780)=0,"",IF(('Dvd Calendar'!$L$2780&gt;=MIN(DATE(Summary!$C$12,1,1),Summary!$C$11))*('Dvd Calendar'!$L$2780&lt;=MAX(DATE(Summary!$C$12,12,31),Summary!$C$15))*('Dvd Calendar'!$L$2780&lt;=Summary!$C$11)=0,"",'Dvd Calendar'!$L$2780*1000000000+ISNUMBER('Dvd Calendar'!$L$2781)*100000000+('Dvd Calendar'!$L$2785='Field Check'!$C$25)*10000000+(N('Dvd Calendar'!$L$2779)&gt;0)*1000000+45*1000+8))</f>
        <v/>
      </c>
      <c r="K201" s="41">
        <f>IF(N('Dvd Calendar'!$M$2780)=0,"",IF(('Dvd Calendar'!$M$2780&gt;=MIN(DATE(Summary!$C$12,1,1),Summary!$C$11))*('Dvd Calendar'!$M$2780&lt;=MAX(DATE(Summary!$C$12,12,31),Summary!$C$15))*('Dvd Calendar'!$M$2780&lt;=Summary!$C$11)=0,"",'Dvd Calendar'!$M$2780*1000000000+ISNUMBER('Dvd Calendar'!$M$2781)*100000000+('Dvd Calendar'!$M$2785='Field Check'!$C$25)*10000000+(N('Dvd Calendar'!$M$2779)&gt;0)*1000000+45*1000+9))</f>
        <v/>
      </c>
      <c r="L201" s="41">
        <f>IF(N('Dvd Calendar'!$N$2780)=0,"",IF(('Dvd Calendar'!$N$2780&gt;=MIN(DATE(Summary!$C$12,1,1),Summary!$C$11))*('Dvd Calendar'!$N$2780&lt;=MAX(DATE(Summary!$C$12,12,31),Summary!$C$15))*('Dvd Calendar'!$N$2780&lt;=Summary!$C$11)=0,"",'Dvd Calendar'!$N$2780*1000000000+ISNUMBER('Dvd Calendar'!$N$2781)*100000000+('Dvd Calendar'!$N$2785='Field Check'!$C$25)*10000000+(N('Dvd Calendar'!$N$2779)&gt;0)*1000000+45*1000+10))</f>
        <v/>
      </c>
      <c r="M201" s="41">
        <f>IF(N('Dvd Calendar'!$O$2780)=0,"",IF(('Dvd Calendar'!$O$2780&gt;=MIN(DATE(Summary!$C$12,1,1),Summary!$C$11))*('Dvd Calendar'!$O$2780&lt;=MAX(DATE(Summary!$C$12,12,31),Summary!$C$15))*('Dvd Calendar'!$O$2780&lt;=Summary!$C$11)=0,"",'Dvd Calendar'!$O$2780*1000000000+ISNUMBER('Dvd Calendar'!$O$2781)*100000000+('Dvd Calendar'!$O$2785='Field Check'!$C$25)*10000000+(N('Dvd Calendar'!$O$2779)&gt;0)*1000000+45*1000+11))</f>
        <v/>
      </c>
      <c r="N201" s="41">
        <f>IF(N('Dvd Calendar'!$P$2780)=0,"",IF(('Dvd Calendar'!$P$2780&gt;=MIN(DATE(Summary!$C$12,1,1),Summary!$C$11))*('Dvd Calendar'!$P$2780&lt;=MAX(DATE(Summary!$C$12,12,31),Summary!$C$15))*('Dvd Calendar'!$P$2780&lt;=Summary!$C$11)=0,"",'Dvd Calendar'!$P$2780*1000000000+ISNUMBER('Dvd Calendar'!$P$2781)*100000000+('Dvd Calendar'!$P$2785='Field Check'!$C$25)*10000000+(N('Dvd Calendar'!$P$2779)&gt;0)*1000000+45*1000+12))</f>
        <v/>
      </c>
      <c r="O201" s="41">
        <f>IF(N('Dvd Calendar'!$Q$2780)=0,"",IF(('Dvd Calendar'!$Q$2780&gt;=MIN(DATE(Summary!$C$12,1,1),Summary!$C$11))*('Dvd Calendar'!$Q$2780&lt;=MAX(DATE(Summary!$C$12,12,31),Summary!$C$15))*('Dvd Calendar'!$Q$2780&lt;=Summary!$C$11)=0,"",'Dvd Calendar'!$Q$2780*1000000000+ISNUMBER('Dvd Calendar'!$Q$2781)*100000000+('Dvd Calendar'!$Q$2785='Field Check'!$C$25)*10000000+(N('Dvd Calendar'!$Q$2779)&gt;0)*1000000+45*1000+13))</f>
        <v/>
      </c>
      <c r="P201" s="41">
        <f>IF(N('Dvd Calendar'!$R$2780)=0,"",IF(('Dvd Calendar'!$R$2780&gt;=MIN(DATE(Summary!$C$12,1,1),Summary!$C$11))*('Dvd Calendar'!$R$2780&lt;=MAX(DATE(Summary!$C$12,12,31),Summary!$C$15))*('Dvd Calendar'!$R$2780&lt;=Summary!$C$11)=0,"",'Dvd Calendar'!$R$2780*1000000000+ISNUMBER('Dvd Calendar'!$R$2781)*100000000+('Dvd Calendar'!$R$2785='Field Check'!$C$25)*10000000+(N('Dvd Calendar'!$R$2779)&gt;0)*1000000+45*1000+14))</f>
        <v/>
      </c>
      <c r="Q201" s="41">
        <f>IF(N('Dvd Calendar'!$S$2780)=0,"",IF(('Dvd Calendar'!$S$2780&gt;=MIN(DATE(Summary!$C$12,1,1),Summary!$C$11))*('Dvd Calendar'!$S$2780&lt;=MAX(DATE(Summary!$C$12,12,31),Summary!$C$15))*('Dvd Calendar'!$S$2780&lt;=Summary!$C$11)=0,"",'Dvd Calendar'!$S$2780*1000000000+ISNUMBER('Dvd Calendar'!$S$2781)*100000000+('Dvd Calendar'!$S$2785='Field Check'!$C$25)*10000000+(N('Dvd Calendar'!$S$2779)&gt;0)*1000000+45*1000+15))</f>
        <v/>
      </c>
      <c r="R201" s="41">
        <f>IF(N('Dvd Calendar'!$T$2780)=0,"",IF(('Dvd Calendar'!$T$2780&gt;=MIN(DATE(Summary!$C$12,1,1),Summary!$C$11))*('Dvd Calendar'!$T$2780&lt;=MAX(DATE(Summary!$C$12,12,31),Summary!$C$15))*('Dvd Calendar'!$T$2780&lt;=Summary!$C$11)=0,"",'Dvd Calendar'!$T$2780*1000000000+ISNUMBER('Dvd Calendar'!$T$2781)*100000000+('Dvd Calendar'!$T$2785='Field Check'!$C$25)*10000000+(N('Dvd Calendar'!$T$2779)&gt;0)*1000000+45*1000+16))</f>
        <v/>
      </c>
      <c r="S201" s="41">
        <f>IF(N('Dvd Calendar'!$U$2780)=0,"",IF(('Dvd Calendar'!$U$2780&gt;=MIN(DATE(Summary!$C$12,1,1),Summary!$C$11))*('Dvd Calendar'!$U$2780&lt;=MAX(DATE(Summary!$C$12,12,31),Summary!$C$15))*('Dvd Calendar'!$U$2780&lt;=Summary!$C$11)=0,"",'Dvd Calendar'!$U$2780*1000000000+ISNUMBER('Dvd Calendar'!$U$2781)*100000000+('Dvd Calendar'!$U$2785='Field Check'!$C$25)*10000000+(N('Dvd Calendar'!$U$2779)&gt;0)*1000000+45*1000+17))</f>
        <v/>
      </c>
      <c r="T201" s="41">
        <f>IF(N('Dvd Calendar'!$V$2780)=0,"",IF(('Dvd Calendar'!$V$2780&gt;=MIN(DATE(Summary!$C$12,1,1),Summary!$C$11))*('Dvd Calendar'!$V$2780&lt;=MAX(DATE(Summary!$C$12,12,31),Summary!$C$15))*('Dvd Calendar'!$V$2780&lt;=Summary!$C$11)=0,"",'Dvd Calendar'!$V$2780*1000000000+ISNUMBER('Dvd Calendar'!$V$2781)*100000000+('Dvd Calendar'!$V$2785='Field Check'!$C$25)*10000000+(N('Dvd Calendar'!$V$2779)&gt;0)*1000000+45*1000+18))</f>
        <v/>
      </c>
      <c r="U201" s="41">
        <f>IF(N('Dvd Calendar'!$W$2780)=0,"",IF(('Dvd Calendar'!$W$2780&gt;=MIN(DATE(Summary!$C$12,1,1),Summary!$C$11))*('Dvd Calendar'!$W$2780&lt;=MAX(DATE(Summary!$C$12,12,31),Summary!$C$15))*('Dvd Calendar'!$W$2780&lt;=Summary!$C$11)=0,"",'Dvd Calendar'!$W$2780*1000000000+ISNUMBER('Dvd Calendar'!$W$2781)*100000000+('Dvd Calendar'!$W$2785='Field Check'!$C$25)*10000000+(N('Dvd Calendar'!$W$2779)&gt;0)*1000000+45*1000+19))</f>
        <v/>
      </c>
      <c r="V201" s="41">
        <f>IF(N('Dvd Calendar'!$X$2780)=0,"",IF(('Dvd Calendar'!$X$2780&gt;=MIN(DATE(Summary!$C$12,1,1),Summary!$C$11))*('Dvd Calendar'!$X$2780&lt;=MAX(DATE(Summary!$C$12,12,31),Summary!$C$15))*('Dvd Calendar'!$X$2780&lt;=Summary!$C$11)=0,"",'Dvd Calendar'!$X$2780*1000000000+ISNUMBER('Dvd Calendar'!$X$2781)*100000000+('Dvd Calendar'!$X$2785='Field Check'!$C$25)*10000000+(N('Dvd Calendar'!$X$2779)&gt;0)*1000000+45*1000+20))</f>
        <v/>
      </c>
      <c r="W201" s="41">
        <f>IF(N('Dvd Calendar'!$Y$2780)=0,"",IF(('Dvd Calendar'!$Y$2780&gt;=MIN(DATE(Summary!$C$12,1,1),Summary!$C$11))*('Dvd Calendar'!$Y$2780&lt;=MAX(DATE(Summary!$C$12,12,31),Summary!$C$15))*('Dvd Calendar'!$Y$2780&lt;=Summary!$C$11)=0,"",'Dvd Calendar'!$Y$2780*1000000000+ISNUMBER('Dvd Calendar'!$Y$2781)*100000000+('Dvd Calendar'!$Y$2785='Field Check'!$C$25)*10000000+(N('Dvd Calendar'!$Y$2779)&gt;0)*1000000+45*1000+21))</f>
        <v/>
      </c>
      <c r="X201" s="41">
        <f>IF(N('Dvd Calendar'!$Z$2780)=0,"",IF(('Dvd Calendar'!$Z$2780&gt;=MIN(DATE(Summary!$C$12,1,1),Summary!$C$11))*('Dvd Calendar'!$Z$2780&lt;=MAX(DATE(Summary!$C$12,12,31),Summary!$C$15))*('Dvd Calendar'!$Z$2780&lt;=Summary!$C$11)=0,"",'Dvd Calendar'!$Z$2780*1000000000+ISNUMBER('Dvd Calendar'!$Z$2781)*100000000+('Dvd Calendar'!$Z$2785='Field Check'!$C$25)*10000000+(N('Dvd Calendar'!$Z$2779)&gt;0)*1000000+45*1000+22))</f>
        <v/>
      </c>
      <c r="Y201" s="41">
        <f>IF(N('Dvd Calendar'!$AA$2780)=0,"",IF(('Dvd Calendar'!$AA$2780&gt;=MIN(DATE(Summary!$C$12,1,1),Summary!$C$11))*('Dvd Calendar'!$AA$2780&lt;=MAX(DATE(Summary!$C$12,12,31),Summary!$C$15))*('Dvd Calendar'!$AA$2780&lt;=Summary!$C$11)=0,"",'Dvd Calendar'!$AA$2780*1000000000+ISNUMBER('Dvd Calendar'!$AA$2781)*100000000+('Dvd Calendar'!$AA$2785='Field Check'!$C$25)*10000000+(N('Dvd Calendar'!$AA$2779)&gt;0)*1000000+45*1000+23))</f>
        <v/>
      </c>
      <c r="Z201" s="41">
        <f>IF(N('Dvd Calendar'!$AB$2780)=0,"",IF(('Dvd Calendar'!$AB$2780&gt;=MIN(DATE(Summary!$C$12,1,1),Summary!$C$11))*('Dvd Calendar'!$AB$2780&lt;=MAX(DATE(Summary!$C$12,12,31),Summary!$C$15))*('Dvd Calendar'!$AB$2780&lt;=Summary!$C$11)=0,"",'Dvd Calendar'!$AB$2780*1000000000+ISNUMBER('Dvd Calendar'!$AB$2781)*100000000+('Dvd Calendar'!$AB$2785='Field Check'!$C$25)*10000000+(N('Dvd Calendar'!$AB$2779)&gt;0)*1000000+45*1000+24))</f>
        <v/>
      </c>
      <c r="AA201" s="41">
        <f>IF(N('Dvd Calendar'!$AC$2780)=0,"",IF(('Dvd Calendar'!$AC$2780&gt;=MIN(DATE(Summary!$C$12,1,1),Summary!$C$11))*('Dvd Calendar'!$AC$2780&lt;=MAX(DATE(Summary!$C$12,12,31),Summary!$C$15))*('Dvd Calendar'!$AC$2780&lt;=Summary!$C$11)=0,"",'Dvd Calendar'!$AC$2780*1000000000+ISNUMBER('Dvd Calendar'!$AC$2781)*100000000+('Dvd Calendar'!$AC$2785='Field Check'!$C$25)*10000000+(N('Dvd Calendar'!$AC$2779)&gt;0)*1000000+45*1000+25))</f>
        <v/>
      </c>
      <c r="AB201" s="41">
        <f>IF(N('Dvd Calendar'!$AD$2780)=0,"",IF(('Dvd Calendar'!$AD$2780&gt;=MIN(DATE(Summary!$C$12,1,1),Summary!$C$11))*('Dvd Calendar'!$AD$2780&lt;=MAX(DATE(Summary!$C$12,12,31),Summary!$C$15))*('Dvd Calendar'!$AD$2780&lt;=Summary!$C$11)=0,"",'Dvd Calendar'!$AD$2780*1000000000+ISNUMBER('Dvd Calendar'!$AD$2781)*100000000+('Dvd Calendar'!$AD$2785='Field Check'!$C$25)*10000000+(N('Dvd Calendar'!$AD$2779)&gt;0)*1000000+45*1000+26))</f>
        <v/>
      </c>
      <c r="AC201" s="41">
        <f>IF(N('Dvd Calendar'!$AE$2780)=0,"",IF(('Dvd Calendar'!$AE$2780&gt;=MIN(DATE(Summary!$C$12,1,1),Summary!$C$11))*('Dvd Calendar'!$AE$2780&lt;=MAX(DATE(Summary!$C$12,12,31),Summary!$C$15))*('Dvd Calendar'!$AE$2780&lt;=Summary!$C$11)=0,"",'Dvd Calendar'!$AE$2780*1000000000+ISNUMBER('Dvd Calendar'!$AE$2781)*100000000+('Dvd Calendar'!$AE$2785='Field Check'!$C$25)*10000000+(N('Dvd Calendar'!$AE$2779)&gt;0)*1000000+45*1000+27))</f>
        <v/>
      </c>
      <c r="AD201" s="41">
        <f>IF(N('Dvd Calendar'!$AF$2780)=0,"",IF(('Dvd Calendar'!$AF$2780&gt;=MIN(DATE(Summary!$C$12,1,1),Summary!$C$11))*('Dvd Calendar'!$AF$2780&lt;=MAX(DATE(Summary!$C$12,12,31),Summary!$C$15))*('Dvd Calendar'!$AF$2780&lt;=Summary!$C$11)=0,"",'Dvd Calendar'!$AF$2780*1000000000+ISNUMBER('Dvd Calendar'!$AF$2781)*100000000+('Dvd Calendar'!$AF$2785='Field Check'!$C$25)*10000000+(N('Dvd Calendar'!$AF$2779)&gt;0)*1000000+45*1000+28))</f>
        <v/>
      </c>
      <c r="AE201" s="41">
        <f>IF(N('Dvd Calendar'!$AG$2780)=0,"",IF(('Dvd Calendar'!$AG$2780&gt;=MIN(DATE(Summary!$C$12,1,1),Summary!$C$11))*('Dvd Calendar'!$AG$2780&lt;=MAX(DATE(Summary!$C$12,12,31),Summary!$C$15))*('Dvd Calendar'!$AG$2780&lt;=Summary!$C$11)=0,"",'Dvd Calendar'!$AG$2780*1000000000+ISNUMBER('Dvd Calendar'!$AG$2781)*100000000+('Dvd Calendar'!$AG$2785='Field Check'!$C$25)*10000000+(N('Dvd Calendar'!$AG$2779)&gt;0)*1000000+45*1000+29))</f>
        <v/>
      </c>
      <c r="AF201" s="41">
        <f>IF(N('Dvd Calendar'!$AH$2780)=0,"",IF(('Dvd Calendar'!$AH$2780&gt;=MIN(DATE(Summary!$C$12,1,1),Summary!$C$11))*('Dvd Calendar'!$AH$2780&lt;=MAX(DATE(Summary!$C$12,12,31),Summary!$C$15))*('Dvd Calendar'!$AH$2780&lt;=Summary!$C$11)=0,"",'Dvd Calendar'!$AH$2780*1000000000+ISNUMBER('Dvd Calendar'!$AH$2781)*100000000+('Dvd Calendar'!$AH$2785='Field Check'!$C$25)*10000000+(N('Dvd Calendar'!$AH$2779)&gt;0)*1000000+45*1000+30))</f>
        <v/>
      </c>
      <c r="AG201" s="41">
        <f>IF(N('Dvd Calendar'!$AI$2780)=0,"",IF(('Dvd Calendar'!$AI$2780&gt;=MIN(DATE(Summary!$C$12,1,1),Summary!$C$11))*('Dvd Calendar'!$AI$2780&lt;=MAX(DATE(Summary!$C$12,12,31),Summary!$C$15))*('Dvd Calendar'!$AI$2780&lt;=Summary!$C$11)=0,"",'Dvd Calendar'!$AI$2780*1000000000+ISNUMBER('Dvd Calendar'!$AI$2781)*100000000+('Dvd Calendar'!$AI$2785='Field Check'!$C$25)*10000000+(N('Dvd Calendar'!$AI$2779)&gt;0)*1000000+45*1000+31))</f>
        <v/>
      </c>
      <c r="AH201" s="41">
        <f>IF(N('Dvd Calendar'!$AJ$2780)=0,"",IF(('Dvd Calendar'!$AJ$2780&gt;=MIN(DATE(Summary!$C$12,1,1),Summary!$C$11))*('Dvd Calendar'!$AJ$2780&lt;=MAX(DATE(Summary!$C$12,12,31),Summary!$C$15))*('Dvd Calendar'!$AJ$2780&lt;=Summary!$C$11)=0,"",'Dvd Calendar'!$AJ$2780*1000000000+ISNUMBER('Dvd Calendar'!$AJ$2781)*100000000+('Dvd Calendar'!$AJ$2785='Field Check'!$C$25)*10000000+(N('Dvd Calendar'!$AJ$2779)&gt;0)*1000000+45*1000+32))</f>
        <v/>
      </c>
      <c r="AI201" s="41">
        <f>IF(N('Dvd Calendar'!$AK$2780)=0,"",IF(('Dvd Calendar'!$AK$2780&gt;=MIN(DATE(Summary!$C$12,1,1),Summary!$C$11))*('Dvd Calendar'!$AK$2780&lt;=MAX(DATE(Summary!$C$12,12,31),Summary!$C$15))*('Dvd Calendar'!$AK$2780&lt;=Summary!$C$11)=0,"",'Dvd Calendar'!$AK$2780*1000000000+ISNUMBER('Dvd Calendar'!$AK$2781)*100000000+('Dvd Calendar'!$AK$2785='Field Check'!$C$25)*10000000+(N('Dvd Calendar'!$AK$2779)&gt;0)*1000000+45*1000+33))</f>
        <v/>
      </c>
      <c r="AJ201" s="41">
        <f>IF(N('Dvd Calendar'!$AL$2780)=0,"",IF(('Dvd Calendar'!$AL$2780&gt;=MIN(DATE(Summary!$C$12,1,1),Summary!$C$11))*('Dvd Calendar'!$AL$2780&lt;=MAX(DATE(Summary!$C$12,12,31),Summary!$C$15))*('Dvd Calendar'!$AL$2780&lt;=Summary!$C$11)=0,"",'Dvd Calendar'!$AL$2780*1000000000+ISNUMBER('Dvd Calendar'!$AL$2781)*100000000+('Dvd Calendar'!$AL$2785='Field Check'!$C$25)*10000000+(N('Dvd Calendar'!$AL$2779)&gt;0)*1000000+45*1000+34))</f>
        <v/>
      </c>
      <c r="AK201" s="41">
        <f>IF(N('Dvd Calendar'!$AM$2780)=0,"",IF(('Dvd Calendar'!$AM$2780&gt;=MIN(DATE(Summary!$C$12,1,1),Summary!$C$11))*('Dvd Calendar'!$AM$2780&lt;=MAX(DATE(Summary!$C$12,12,31),Summary!$C$15))*('Dvd Calendar'!$AM$2780&lt;=Summary!$C$11)=0,"",'Dvd Calendar'!$AM$2780*1000000000+ISNUMBER('Dvd Calendar'!$AM$2781)*100000000+('Dvd Calendar'!$AM$2785='Field Check'!$C$25)*10000000+(N('Dvd Calendar'!$AM$2779)&gt;0)*1000000+45*1000+35))</f>
        <v/>
      </c>
      <c r="AL201" s="41">
        <f>IF(N('Dvd Calendar'!$AN$2780)=0,"",IF(('Dvd Calendar'!$AN$2780&gt;=MIN(DATE(Summary!$C$12,1,1),Summary!$C$11))*('Dvd Calendar'!$AN$2780&lt;=MAX(DATE(Summary!$C$12,12,31),Summary!$C$15))*('Dvd Calendar'!$AN$2780&lt;=Summary!$C$11)=0,"",'Dvd Calendar'!$AN$2780*1000000000+ISNUMBER('Dvd Calendar'!$AN$2781)*100000000+('Dvd Calendar'!$AN$2785='Field Check'!$C$25)*10000000+(N('Dvd Calendar'!$AN$2779)&gt;0)*1000000+45*1000+36))</f>
        <v/>
      </c>
      <c r="AM201" s="41">
        <f>IF(N('Dvd Calendar'!$AO$2780)=0,"",IF(('Dvd Calendar'!$AO$2780&gt;=MIN(DATE(Summary!$C$12,1,1),Summary!$C$11))*('Dvd Calendar'!$AO$2780&lt;=MAX(DATE(Summary!$C$12,12,31),Summary!$C$15))*('Dvd Calendar'!$AO$2780&lt;=Summary!$C$11)=0,"",'Dvd Calendar'!$AO$2780*1000000000+ISNUMBER('Dvd Calendar'!$AO$2781)*100000000+('Dvd Calendar'!$AO$2785='Field Check'!$C$25)*10000000+(N('Dvd Calendar'!$AO$2779)&gt;0)*1000000+45*1000+37))</f>
        <v/>
      </c>
      <c r="AN201" s="41">
        <f>IF(N('Dvd Calendar'!$AP$2780)=0,"",IF(('Dvd Calendar'!$AP$2780&gt;=MIN(DATE(Summary!$C$12,1,1),Summary!$C$11))*('Dvd Calendar'!$AP$2780&lt;=MAX(DATE(Summary!$C$12,12,31),Summary!$C$15))*('Dvd Calendar'!$AP$2780&lt;=Summary!$C$11)=0,"",'Dvd Calendar'!$AP$2780*1000000000+ISNUMBER('Dvd Calendar'!$AP$2781)*100000000+('Dvd Calendar'!$AP$2785='Field Check'!$C$25)*10000000+(N('Dvd Calendar'!$AP$2779)&gt;0)*1000000+45*1000+38))</f>
        <v/>
      </c>
      <c r="AO201" s="41">
        <f>IF(N('Dvd Calendar'!$AQ$2780)=0,"",IF(('Dvd Calendar'!$AQ$2780&gt;=MIN(DATE(Summary!$C$12,1,1),Summary!$C$11))*('Dvd Calendar'!$AQ$2780&lt;=MAX(DATE(Summary!$C$12,12,31),Summary!$C$15))*('Dvd Calendar'!$AQ$2780&lt;=Summary!$C$11)=0,"",'Dvd Calendar'!$AQ$2780*1000000000+ISNUMBER('Dvd Calendar'!$AQ$2781)*100000000+('Dvd Calendar'!$AQ$2785='Field Check'!$C$25)*10000000+(N('Dvd Calendar'!$AQ$2779)&gt;0)*1000000+45*1000+39))</f>
        <v/>
      </c>
      <c r="AP201" s="41">
        <f>IF(N('Dvd Calendar'!$AR$2780)=0,"",IF(('Dvd Calendar'!$AR$2780&gt;=MIN(DATE(Summary!$C$12,1,1),Summary!$C$11))*('Dvd Calendar'!$AR$2780&lt;=MAX(DATE(Summary!$C$12,12,31),Summary!$C$15))*('Dvd Calendar'!$AR$2780&lt;=Summary!$C$11)=0,"",'Dvd Calendar'!$AR$2780*1000000000+ISNUMBER('Dvd Calendar'!$AR$2781)*100000000+('Dvd Calendar'!$AR$2785='Field Check'!$C$25)*10000000+(N('Dvd Calendar'!$AR$2779)&gt;0)*1000000+45*1000+40))</f>
        <v/>
      </c>
      <c r="AQ201" s="41">
        <f>IF(N('Dvd Calendar'!$E$2787)=0,"",IF(('Dvd Calendar'!$E$2787&gt;=MIN(DATE(Summary!$C$12,1,1),Summary!$C$11))*('Dvd Calendar'!$E$2787&lt;=MAX(DATE(Summary!$C$12,12,31),Summary!$C$15))*('Dvd Calendar'!$E$2787&gt;Summary!$C$11)=0,"",'Dvd Calendar'!$E$2787*1000000000+ISNUMBER('Dvd Calendar'!$E$2788)*100000000+('Dvd Calendar'!$E$2792='Field Check'!$C$25)*10000000+(N('Dvd Calendar'!$E$2786)&gt;0)*1000000+45*1000+41))</f>
        <v/>
      </c>
      <c r="AR201" s="41">
        <f>IF(N('Dvd Calendar'!$F$2787)=0,"",IF(('Dvd Calendar'!$F$2787&gt;=MIN(DATE(Summary!$C$12,1,1),Summary!$C$11))*('Dvd Calendar'!$F$2787&lt;=MAX(DATE(Summary!$C$12,12,31),Summary!$C$15))*('Dvd Calendar'!$F$2787&gt;Summary!$C$11)=0,"",'Dvd Calendar'!$F$2787*1000000000+ISNUMBER('Dvd Calendar'!$F$2788)*100000000+('Dvd Calendar'!$F$2792='Field Check'!$C$25)*10000000+(N('Dvd Calendar'!$F$2786)&gt;0)*1000000+45*1000+42))</f>
        <v/>
      </c>
      <c r="AS201" s="41">
        <f>IF(N('Dvd Calendar'!$G$2787)=0,"",IF(('Dvd Calendar'!$G$2787&gt;=MIN(DATE(Summary!$C$12,1,1),Summary!$C$11))*('Dvd Calendar'!$G$2787&lt;=MAX(DATE(Summary!$C$12,12,31),Summary!$C$15))*('Dvd Calendar'!$G$2787&gt;Summary!$C$11)=0,"",'Dvd Calendar'!$G$2787*1000000000+ISNUMBER('Dvd Calendar'!$G$2788)*100000000+('Dvd Calendar'!$G$2792='Field Check'!$C$25)*10000000+(N('Dvd Calendar'!$G$2786)&gt;0)*1000000+45*1000+43))</f>
        <v/>
      </c>
      <c r="AT201" s="41">
        <f>IF(N('Dvd Calendar'!$H$2787)=0,"",IF(('Dvd Calendar'!$H$2787&gt;=MIN(DATE(Summary!$C$12,1,1),Summary!$C$11))*('Dvd Calendar'!$H$2787&lt;=MAX(DATE(Summary!$C$12,12,31),Summary!$C$15))*('Dvd Calendar'!$H$2787&gt;Summary!$C$11)=0,"",'Dvd Calendar'!$H$2787*1000000000+ISNUMBER('Dvd Calendar'!$H$2788)*100000000+('Dvd Calendar'!$H$2792='Field Check'!$C$25)*10000000+(N('Dvd Calendar'!$H$2786)&gt;0)*1000000+45*1000+44))</f>
        <v/>
      </c>
      <c r="AU201" s="41">
        <f>IF(N('Dvd Calendar'!$I$2787)=0,"",IF(('Dvd Calendar'!$I$2787&gt;=MIN(DATE(Summary!$C$12,1,1),Summary!$C$11))*('Dvd Calendar'!$I$2787&lt;=MAX(DATE(Summary!$C$12,12,31),Summary!$C$15))*('Dvd Calendar'!$I$2787&gt;Summary!$C$11)=0,"",'Dvd Calendar'!$I$2787*1000000000+ISNUMBER('Dvd Calendar'!$I$2788)*100000000+('Dvd Calendar'!$I$2792='Field Check'!$C$25)*10000000+(N('Dvd Calendar'!$I$2786)&gt;0)*1000000+45*1000+45))</f>
        <v/>
      </c>
      <c r="AV201" s="41">
        <f>IF(N('Dvd Calendar'!$J$2787)=0,"",IF(('Dvd Calendar'!$J$2787&gt;=MIN(DATE(Summary!$C$12,1,1),Summary!$C$11))*('Dvd Calendar'!$J$2787&lt;=MAX(DATE(Summary!$C$12,12,31),Summary!$C$15))*('Dvd Calendar'!$J$2787&gt;Summary!$C$11)=0,"",'Dvd Calendar'!$J$2787*1000000000+ISNUMBER('Dvd Calendar'!$J$2788)*100000000+('Dvd Calendar'!$J$2792='Field Check'!$C$25)*10000000+(N('Dvd Calendar'!$J$2786)&gt;0)*1000000+45*1000+46))</f>
        <v/>
      </c>
      <c r="AW201" s="41">
        <f>IF(N('Dvd Calendar'!$K$2787)=0,"",IF(('Dvd Calendar'!$K$2787&gt;=MIN(DATE(Summary!$C$12,1,1),Summary!$C$11))*('Dvd Calendar'!$K$2787&lt;=MAX(DATE(Summary!$C$12,12,31),Summary!$C$15))*('Dvd Calendar'!$K$2787&gt;Summary!$C$11)=0,"",'Dvd Calendar'!$K$2787*1000000000+ISNUMBER('Dvd Calendar'!$K$2788)*100000000+('Dvd Calendar'!$K$2792='Field Check'!$C$25)*10000000+(N('Dvd Calendar'!$K$2786)&gt;0)*1000000+45*1000+47))</f>
        <v/>
      </c>
      <c r="AX201" s="41">
        <f>IF(N('Dvd Calendar'!$L$2787)=0,"",IF(('Dvd Calendar'!$L$2787&gt;=MIN(DATE(Summary!$C$12,1,1),Summary!$C$11))*('Dvd Calendar'!$L$2787&lt;=MAX(DATE(Summary!$C$12,12,31),Summary!$C$15))*('Dvd Calendar'!$L$2787&gt;Summary!$C$11)=0,"",'Dvd Calendar'!$L$2787*1000000000+ISNUMBER('Dvd Calendar'!$L$2788)*100000000+('Dvd Calendar'!$L$2792='Field Check'!$C$25)*10000000+(N('Dvd Calendar'!$L$2786)&gt;0)*1000000+45*1000+48))</f>
        <v/>
      </c>
      <c r="AY201" s="41">
        <f>IF(N('Dvd Calendar'!$M$2787)=0,"",IF(('Dvd Calendar'!$M$2787&gt;=MIN(DATE(Summary!$C$12,1,1),Summary!$C$11))*('Dvd Calendar'!$M$2787&lt;=MAX(DATE(Summary!$C$12,12,31),Summary!$C$15))*('Dvd Calendar'!$M$2787&gt;Summary!$C$11)=0,"",'Dvd Calendar'!$M$2787*1000000000+ISNUMBER('Dvd Calendar'!$M$2788)*100000000+('Dvd Calendar'!$M$2792='Field Check'!$C$25)*10000000+(N('Dvd Calendar'!$M$2786)&gt;0)*1000000+45*1000+49))</f>
        <v/>
      </c>
      <c r="AZ201" s="41">
        <f>IF(N('Dvd Calendar'!$N$2787)=0,"",IF(('Dvd Calendar'!$N$2787&gt;=MIN(DATE(Summary!$C$12,1,1),Summary!$C$11))*('Dvd Calendar'!$N$2787&lt;=MAX(DATE(Summary!$C$12,12,31),Summary!$C$15))*('Dvd Calendar'!$N$2787&gt;Summary!$C$11)=0,"",'Dvd Calendar'!$N$2787*1000000000+ISNUMBER('Dvd Calendar'!$N$2788)*100000000+('Dvd Calendar'!$N$2792='Field Check'!$C$25)*10000000+(N('Dvd Calendar'!$N$2786)&gt;0)*1000000+45*1000+50))</f>
        <v/>
      </c>
      <c r="BA201" s="41">
        <f>IF(N('Dvd Calendar'!$O$2787)=0,"",IF(('Dvd Calendar'!$O$2787&gt;=MIN(DATE(Summary!$C$12,1,1),Summary!$C$11))*('Dvd Calendar'!$O$2787&lt;=MAX(DATE(Summary!$C$12,12,31),Summary!$C$15))*('Dvd Calendar'!$O$2787&gt;Summary!$C$11)=0,"",'Dvd Calendar'!$O$2787*1000000000+ISNUMBER('Dvd Calendar'!$O$2788)*100000000+('Dvd Calendar'!$O$2792='Field Check'!$C$25)*10000000+(N('Dvd Calendar'!$O$2786)&gt;0)*1000000+45*1000+51))</f>
        <v/>
      </c>
      <c r="BB201" s="41">
        <f>IF(N('Dvd Calendar'!$P$2787)=0,"",IF(('Dvd Calendar'!$P$2787&gt;=MIN(DATE(Summary!$C$12,1,1),Summary!$C$11))*('Dvd Calendar'!$P$2787&lt;=MAX(DATE(Summary!$C$12,12,31),Summary!$C$15))*('Dvd Calendar'!$P$2787&gt;Summary!$C$11)=0,"",'Dvd Calendar'!$P$2787*1000000000+ISNUMBER('Dvd Calendar'!$P$2788)*100000000+('Dvd Calendar'!$P$2792='Field Check'!$C$25)*10000000+(N('Dvd Calendar'!$P$2786)&gt;0)*1000000+45*1000+52))</f>
        <v/>
      </c>
      <c r="BC201" s="41">
        <f>IF(N('Dvd Calendar'!$Q$2787)=0,"",IF(('Dvd Calendar'!$Q$2787&gt;=MIN(DATE(Summary!$C$12,1,1),Summary!$C$11))*('Dvd Calendar'!$Q$2787&lt;=MAX(DATE(Summary!$C$12,12,31),Summary!$C$15))*('Dvd Calendar'!$Q$2787&gt;Summary!$C$11)=0,"",'Dvd Calendar'!$Q$2787*1000000000+ISNUMBER('Dvd Calendar'!$Q$2788)*100000000+('Dvd Calendar'!$Q$2792='Field Check'!$C$25)*10000000+(N('Dvd Calendar'!$Q$2786)&gt;0)*1000000+45*1000+53))</f>
        <v/>
      </c>
      <c r="BD201" s="41">
        <f>IF(N('Dvd Calendar'!$R$2787)=0,"",IF(('Dvd Calendar'!$R$2787&gt;=MIN(DATE(Summary!$C$12,1,1),Summary!$C$11))*('Dvd Calendar'!$R$2787&lt;=MAX(DATE(Summary!$C$12,12,31),Summary!$C$15))*('Dvd Calendar'!$R$2787&gt;Summary!$C$11)=0,"",'Dvd Calendar'!$R$2787*1000000000+ISNUMBER('Dvd Calendar'!$R$2788)*100000000+('Dvd Calendar'!$R$2792='Field Check'!$C$25)*10000000+(N('Dvd Calendar'!$R$2786)&gt;0)*1000000+45*1000+54))</f>
        <v/>
      </c>
      <c r="BE201" s="41">
        <f>IF(N('Dvd Calendar'!$S$2787)=0,"",IF(('Dvd Calendar'!$S$2787&gt;=MIN(DATE(Summary!$C$12,1,1),Summary!$C$11))*('Dvd Calendar'!$S$2787&lt;=MAX(DATE(Summary!$C$12,12,31),Summary!$C$15))*('Dvd Calendar'!$S$2787&gt;Summary!$C$11)=0,"",'Dvd Calendar'!$S$2787*1000000000+ISNUMBER('Dvd Calendar'!$S$2788)*100000000+('Dvd Calendar'!$S$2792='Field Check'!$C$25)*10000000+(N('Dvd Calendar'!$S$2786)&gt;0)*1000000+45*1000+55))</f>
        <v/>
      </c>
      <c r="BF201" s="41">
        <f>IF(N('Dvd Calendar'!$T$2787)=0,"",IF(('Dvd Calendar'!$T$2787&gt;=MIN(DATE(Summary!$C$12,1,1),Summary!$C$11))*('Dvd Calendar'!$T$2787&lt;=MAX(DATE(Summary!$C$12,12,31),Summary!$C$15))*('Dvd Calendar'!$T$2787&gt;Summary!$C$11)=0,"",'Dvd Calendar'!$T$2787*1000000000+ISNUMBER('Dvd Calendar'!$T$2788)*100000000+('Dvd Calendar'!$T$2792='Field Check'!$C$25)*10000000+(N('Dvd Calendar'!$T$2786)&gt;0)*1000000+45*1000+56))</f>
        <v/>
      </c>
      <c r="BG201" s="41">
        <f>IF(N('Dvd Calendar'!$U$2787)=0,"",IF(('Dvd Calendar'!$U$2787&gt;=MIN(DATE(Summary!$C$12,1,1),Summary!$C$11))*('Dvd Calendar'!$U$2787&lt;=MAX(DATE(Summary!$C$12,12,31),Summary!$C$15))*('Dvd Calendar'!$U$2787&gt;Summary!$C$11)=0,"",'Dvd Calendar'!$U$2787*1000000000+ISNUMBER('Dvd Calendar'!$U$2788)*100000000+('Dvd Calendar'!$U$2792='Field Check'!$C$25)*10000000+(N('Dvd Calendar'!$U$2786)&gt;0)*1000000+45*1000+57))</f>
        <v/>
      </c>
      <c r="BH201" s="41">
        <f>IF(N('Dvd Calendar'!$V$2787)=0,"",IF(('Dvd Calendar'!$V$2787&gt;=MIN(DATE(Summary!$C$12,1,1),Summary!$C$11))*('Dvd Calendar'!$V$2787&lt;=MAX(DATE(Summary!$C$12,12,31),Summary!$C$15))*('Dvd Calendar'!$V$2787&gt;Summary!$C$11)=0,"",'Dvd Calendar'!$V$2787*1000000000+ISNUMBER('Dvd Calendar'!$V$2788)*100000000+('Dvd Calendar'!$V$2792='Field Check'!$C$25)*10000000+(N('Dvd Calendar'!$V$2786)&gt;0)*1000000+45*1000+58))</f>
        <v/>
      </c>
      <c r="BI201" s="41">
        <f>IF(N('Dvd Calendar'!$W$2787)=0,"",IF(('Dvd Calendar'!$W$2787&gt;=MIN(DATE(Summary!$C$12,1,1),Summary!$C$11))*('Dvd Calendar'!$W$2787&lt;=MAX(DATE(Summary!$C$12,12,31),Summary!$C$15))*('Dvd Calendar'!$W$2787&gt;Summary!$C$11)=0,"",'Dvd Calendar'!$W$2787*1000000000+ISNUMBER('Dvd Calendar'!$W$2788)*100000000+('Dvd Calendar'!$W$2792='Field Check'!$C$25)*10000000+(N('Dvd Calendar'!$W$2786)&gt;0)*1000000+45*1000+59))</f>
        <v/>
      </c>
      <c r="BJ201" s="41">
        <f>IF(N('Dvd Calendar'!$X$2787)=0,"",IF(('Dvd Calendar'!$X$2787&gt;=MIN(DATE(Summary!$C$12,1,1),Summary!$C$11))*('Dvd Calendar'!$X$2787&lt;=MAX(DATE(Summary!$C$12,12,31),Summary!$C$15))*('Dvd Calendar'!$X$2787&gt;Summary!$C$11)=0,"",'Dvd Calendar'!$X$2787*1000000000+ISNUMBER('Dvd Calendar'!$X$2788)*100000000+('Dvd Calendar'!$X$2792='Field Check'!$C$25)*10000000+(N('Dvd Calendar'!$X$2786)&gt;0)*1000000+45*1000+60))</f>
        <v/>
      </c>
      <c r="BK201" s="41">
        <f>IF(N('Dvd Calendar'!$Y$2787)=0,"",IF(('Dvd Calendar'!$Y$2787&gt;=MIN(DATE(Summary!$C$12,1,1),Summary!$C$11))*('Dvd Calendar'!$Y$2787&lt;=MAX(DATE(Summary!$C$12,12,31),Summary!$C$15))*('Dvd Calendar'!$Y$2787&gt;Summary!$C$11)=0,"",'Dvd Calendar'!$Y$2787*1000000000+ISNUMBER('Dvd Calendar'!$Y$2788)*100000000+('Dvd Calendar'!$Y$2792='Field Check'!$C$25)*10000000+(N('Dvd Calendar'!$Y$2786)&gt;0)*1000000+45*1000+61))</f>
        <v/>
      </c>
      <c r="BL201" s="41">
        <f>IF(N('Dvd Calendar'!$Z$2787)=0,"",IF(('Dvd Calendar'!$Z$2787&gt;=MIN(DATE(Summary!$C$12,1,1),Summary!$C$11))*('Dvd Calendar'!$Z$2787&lt;=MAX(DATE(Summary!$C$12,12,31),Summary!$C$15))*('Dvd Calendar'!$Z$2787&gt;Summary!$C$11)=0,"",'Dvd Calendar'!$Z$2787*1000000000+ISNUMBER('Dvd Calendar'!$Z$2788)*100000000+('Dvd Calendar'!$Z$2792='Field Check'!$C$25)*10000000+(N('Dvd Calendar'!$Z$2786)&gt;0)*1000000+45*1000+62))</f>
        <v/>
      </c>
      <c r="BM201" s="41">
        <f>IF(N('Dvd Calendar'!$AA$2787)=0,"",IF(('Dvd Calendar'!$AA$2787&gt;=MIN(DATE(Summary!$C$12,1,1),Summary!$C$11))*('Dvd Calendar'!$AA$2787&lt;=MAX(DATE(Summary!$C$12,12,31),Summary!$C$15))*('Dvd Calendar'!$AA$2787&gt;Summary!$C$11)=0,"",'Dvd Calendar'!$AA$2787*1000000000+ISNUMBER('Dvd Calendar'!$AA$2788)*100000000+('Dvd Calendar'!$AA$2792='Field Check'!$C$25)*10000000+(N('Dvd Calendar'!$AA$2786)&gt;0)*1000000+45*1000+63))</f>
        <v/>
      </c>
      <c r="BN201" s="41">
        <f>IF(N('Dvd Calendar'!$AB$2787)=0,"",IF(('Dvd Calendar'!$AB$2787&gt;=MIN(DATE(Summary!$C$12,1,1),Summary!$C$11))*('Dvd Calendar'!$AB$2787&lt;=MAX(DATE(Summary!$C$12,12,31),Summary!$C$15))*('Dvd Calendar'!$AB$2787&gt;Summary!$C$11)=0,"",'Dvd Calendar'!$AB$2787*1000000000+ISNUMBER('Dvd Calendar'!$AB$2788)*100000000+('Dvd Calendar'!$AB$2792='Field Check'!$C$25)*10000000+(N('Dvd Calendar'!$AB$2786)&gt;0)*1000000+45*1000+64))</f>
        <v/>
      </c>
      <c r="BO201" s="41">
        <f>IF(N('Dvd Calendar'!$AC$2787)=0,"",IF(('Dvd Calendar'!$AC$2787&gt;=MIN(DATE(Summary!$C$12,1,1),Summary!$C$11))*('Dvd Calendar'!$AC$2787&lt;=MAX(DATE(Summary!$C$12,12,31),Summary!$C$15))*('Dvd Calendar'!$AC$2787&gt;Summary!$C$11)=0,"",'Dvd Calendar'!$AC$2787*1000000000+ISNUMBER('Dvd Calendar'!$AC$2788)*100000000+('Dvd Calendar'!$AC$2792='Field Check'!$C$25)*10000000+(N('Dvd Calendar'!$AC$2786)&gt;0)*1000000+45*1000+65))</f>
        <v/>
      </c>
      <c r="BQ201" s="85">
        <f>IF(C201="","",IF(ISNUMBER('Dvd Calendar'!$E$2781)=FALSE,"",IF((Summary!$C$13="N")*('Dvd Calendar'!$E$2785='Field Check'!$C$25)&gt;0,"",'Dvd Calendar'!$E$2781)))</f>
        <v/>
      </c>
      <c r="BR201" s="85">
        <f>IF(D201="","",IF(ISNUMBER('Dvd Calendar'!$F$2781)=FALSE,"",IF((Summary!$C$13="N")*('Dvd Calendar'!$F$2785='Field Check'!$C$25)&gt;0,"",'Dvd Calendar'!$F$2781)))</f>
        <v/>
      </c>
      <c r="BS201" s="85">
        <f>IF(E201="","",IF(ISNUMBER('Dvd Calendar'!$G$2781)=FALSE,"",IF((Summary!$C$13="N")*('Dvd Calendar'!$G$2785='Field Check'!$C$25)&gt;0,"",'Dvd Calendar'!$G$2781)))</f>
        <v/>
      </c>
      <c r="BT201" s="85">
        <f>IF(F201="","",IF(ISNUMBER('Dvd Calendar'!$H$2781)=FALSE,"",IF((Summary!$C$13="N")*('Dvd Calendar'!$H$2785='Field Check'!$C$25)&gt;0,"",'Dvd Calendar'!$H$2781)))</f>
        <v/>
      </c>
      <c r="BU201" s="85">
        <f>IF(G201="","",IF(ISNUMBER('Dvd Calendar'!$I$2781)=FALSE,"",IF((Summary!$C$13="N")*('Dvd Calendar'!$I$2785='Field Check'!$C$25)&gt;0,"",'Dvd Calendar'!$I$2781)))</f>
        <v/>
      </c>
      <c r="BV201" s="85">
        <f>IF(H201="","",IF(ISNUMBER('Dvd Calendar'!$J$2781)=FALSE,"",IF((Summary!$C$13="N")*('Dvd Calendar'!$J$2785='Field Check'!$C$25)&gt;0,"",'Dvd Calendar'!$J$2781)))</f>
        <v/>
      </c>
      <c r="BW201" s="85">
        <f>IF(I201="","",IF(ISNUMBER('Dvd Calendar'!$K$2781)=FALSE,"",IF((Summary!$C$13="N")*('Dvd Calendar'!$K$2785='Field Check'!$C$25)&gt;0,"",'Dvd Calendar'!$K$2781)))</f>
        <v/>
      </c>
      <c r="BX201" s="85">
        <f>IF(J201="","",IF(ISNUMBER('Dvd Calendar'!$L$2781)=FALSE,"",IF((Summary!$C$13="N")*('Dvd Calendar'!$L$2785='Field Check'!$C$25)&gt;0,"",'Dvd Calendar'!$L$2781)))</f>
        <v/>
      </c>
      <c r="BY201" s="85">
        <f>IF(K201="","",IF(ISNUMBER('Dvd Calendar'!$M$2781)=FALSE,"",IF((Summary!$C$13="N")*('Dvd Calendar'!$M$2785='Field Check'!$C$25)&gt;0,"",'Dvd Calendar'!$M$2781)))</f>
        <v/>
      </c>
      <c r="BZ201" s="85">
        <f>IF(L201="","",IF(ISNUMBER('Dvd Calendar'!$N$2781)=FALSE,"",IF((Summary!$C$13="N")*('Dvd Calendar'!$N$2785='Field Check'!$C$25)&gt;0,"",'Dvd Calendar'!$N$2781)))</f>
        <v/>
      </c>
      <c r="CA201" s="85">
        <f>IF(M201="","",IF(ISNUMBER('Dvd Calendar'!$O$2781)=FALSE,"",IF((Summary!$C$13="N")*('Dvd Calendar'!$O$2785='Field Check'!$C$25)&gt;0,"",'Dvd Calendar'!$O$2781)))</f>
        <v/>
      </c>
      <c r="CB201" s="85">
        <f>IF(N201="","",IF(ISNUMBER('Dvd Calendar'!$P$2781)=FALSE,"",IF((Summary!$C$13="N")*('Dvd Calendar'!$P$2785='Field Check'!$C$25)&gt;0,"",'Dvd Calendar'!$P$2781)))</f>
        <v/>
      </c>
      <c r="CC201" s="85">
        <f>IF(O201="","",IF(ISNUMBER('Dvd Calendar'!$Q$2781)=FALSE,"",IF((Summary!$C$13="N")*('Dvd Calendar'!$Q$2785='Field Check'!$C$25)&gt;0,"",'Dvd Calendar'!$Q$2781)))</f>
        <v/>
      </c>
      <c r="CD201" s="85">
        <f>IF(P201="","",IF(ISNUMBER('Dvd Calendar'!$R$2781)=FALSE,"",IF((Summary!$C$13="N")*('Dvd Calendar'!$R$2785='Field Check'!$C$25)&gt;0,"",'Dvd Calendar'!$R$2781)))</f>
        <v/>
      </c>
      <c r="CE201" s="85">
        <f>IF(Q201="","",IF(ISNUMBER('Dvd Calendar'!$S$2781)=FALSE,"",IF((Summary!$C$13="N")*('Dvd Calendar'!$S$2785='Field Check'!$C$25)&gt;0,"",'Dvd Calendar'!$S$2781)))</f>
        <v/>
      </c>
      <c r="CF201" s="85">
        <f>IF(R201="","",IF(ISNUMBER('Dvd Calendar'!$T$2781)=FALSE,"",IF((Summary!$C$13="N")*('Dvd Calendar'!$T$2785='Field Check'!$C$25)&gt;0,"",'Dvd Calendar'!$T$2781)))</f>
        <v/>
      </c>
      <c r="CG201" s="85">
        <f>IF(S201="","",IF(ISNUMBER('Dvd Calendar'!$U$2781)=FALSE,"",IF((Summary!$C$13="N")*('Dvd Calendar'!$U$2785='Field Check'!$C$25)&gt;0,"",'Dvd Calendar'!$U$2781)))</f>
        <v/>
      </c>
      <c r="CH201" s="85">
        <f>IF(T201="","",IF(ISNUMBER('Dvd Calendar'!$V$2781)=FALSE,"",IF((Summary!$C$13="N")*('Dvd Calendar'!$V$2785='Field Check'!$C$25)&gt;0,"",'Dvd Calendar'!$V$2781)))</f>
        <v/>
      </c>
      <c r="CI201" s="85">
        <f>IF(U201="","",IF(ISNUMBER('Dvd Calendar'!$W$2781)=FALSE,"",IF((Summary!$C$13="N")*('Dvd Calendar'!$W$2785='Field Check'!$C$25)&gt;0,"",'Dvd Calendar'!$W$2781)))</f>
        <v/>
      </c>
      <c r="CJ201" s="85">
        <f>IF(V201="","",IF(ISNUMBER('Dvd Calendar'!$X$2781)=FALSE,"",IF((Summary!$C$13="N")*('Dvd Calendar'!$X$2785='Field Check'!$C$25)&gt;0,"",'Dvd Calendar'!$X$2781)))</f>
        <v/>
      </c>
      <c r="CK201" s="85">
        <f>IF(W201="","",IF(ISNUMBER('Dvd Calendar'!$Y$2781)=FALSE,"",IF((Summary!$C$13="N")*('Dvd Calendar'!$Y$2785='Field Check'!$C$25)&gt;0,"",'Dvd Calendar'!$Y$2781)))</f>
        <v/>
      </c>
      <c r="CL201" s="85">
        <f>IF(X201="","",IF(ISNUMBER('Dvd Calendar'!$Z$2781)=FALSE,"",IF((Summary!$C$13="N")*('Dvd Calendar'!$Z$2785='Field Check'!$C$25)&gt;0,"",'Dvd Calendar'!$Z$2781)))</f>
        <v/>
      </c>
      <c r="CM201" s="85">
        <f>IF(Y201="","",IF(ISNUMBER('Dvd Calendar'!$AA$2781)=FALSE,"",IF((Summary!$C$13="N")*('Dvd Calendar'!$AA$2785='Field Check'!$C$25)&gt;0,"",'Dvd Calendar'!$AA$2781)))</f>
        <v/>
      </c>
      <c r="CN201" s="85">
        <f>IF(Z201="","",IF(ISNUMBER('Dvd Calendar'!$AB$2781)=FALSE,"",IF((Summary!$C$13="N")*('Dvd Calendar'!$AB$2785='Field Check'!$C$25)&gt;0,"",'Dvd Calendar'!$AB$2781)))</f>
        <v/>
      </c>
      <c r="CO201" s="85">
        <f>IF(AA201="","",IF(ISNUMBER('Dvd Calendar'!$AC$2781)=FALSE,"",IF((Summary!$C$13="N")*('Dvd Calendar'!$AC$2785='Field Check'!$C$25)&gt;0,"",'Dvd Calendar'!$AC$2781)))</f>
        <v/>
      </c>
      <c r="CP201" s="85">
        <f>IF(AB201="","",IF(ISNUMBER('Dvd Calendar'!$AD$2781)=FALSE,"",IF((Summary!$C$13="N")*('Dvd Calendar'!$AD$2785='Field Check'!$C$25)&gt;0,"",'Dvd Calendar'!$AD$2781)))</f>
        <v/>
      </c>
      <c r="CQ201" s="85">
        <f>IF(AC201="","",IF(ISNUMBER('Dvd Calendar'!$AE$2781)=FALSE,"",IF((Summary!$C$13="N")*('Dvd Calendar'!$AE$2785='Field Check'!$C$25)&gt;0,"",'Dvd Calendar'!$AE$2781)))</f>
        <v/>
      </c>
      <c r="CR201" s="85">
        <f>IF(AD201="","",IF(ISNUMBER('Dvd Calendar'!$AF$2781)=FALSE,"",IF((Summary!$C$13="N")*('Dvd Calendar'!$AF$2785='Field Check'!$C$25)&gt;0,"",'Dvd Calendar'!$AF$2781)))</f>
        <v/>
      </c>
      <c r="CS201" s="85">
        <f>IF(AE201="","",IF(ISNUMBER('Dvd Calendar'!$AG$2781)=FALSE,"",IF((Summary!$C$13="N")*('Dvd Calendar'!$AG$2785='Field Check'!$C$25)&gt;0,"",'Dvd Calendar'!$AG$2781)))</f>
        <v/>
      </c>
      <c r="CT201" s="85">
        <f>IF(AF201="","",IF(ISNUMBER('Dvd Calendar'!$AH$2781)=FALSE,"",IF((Summary!$C$13="N")*('Dvd Calendar'!$AH$2785='Field Check'!$C$25)&gt;0,"",'Dvd Calendar'!$AH$2781)))</f>
        <v/>
      </c>
      <c r="CU201" s="85">
        <f>IF(AG201="","",IF(ISNUMBER('Dvd Calendar'!$AI$2781)=FALSE,"",IF((Summary!$C$13="N")*('Dvd Calendar'!$AI$2785='Field Check'!$C$25)&gt;0,"",'Dvd Calendar'!$AI$2781)))</f>
        <v/>
      </c>
      <c r="CV201" s="85">
        <f>IF(AH201="","",IF(ISNUMBER('Dvd Calendar'!$AJ$2781)=FALSE,"",IF((Summary!$C$13="N")*('Dvd Calendar'!$AJ$2785='Field Check'!$C$25)&gt;0,"",'Dvd Calendar'!$AJ$2781)))</f>
        <v/>
      </c>
      <c r="CW201" s="85">
        <f>IF(AI201="","",IF(ISNUMBER('Dvd Calendar'!$AK$2781)=FALSE,"",IF((Summary!$C$13="N")*('Dvd Calendar'!$AK$2785='Field Check'!$C$25)&gt;0,"",'Dvd Calendar'!$AK$2781)))</f>
        <v/>
      </c>
      <c r="CX201" s="85">
        <f>IF(AJ201="","",IF(ISNUMBER('Dvd Calendar'!$AL$2781)=FALSE,"",IF((Summary!$C$13="N")*('Dvd Calendar'!$AL$2785='Field Check'!$C$25)&gt;0,"",'Dvd Calendar'!$AL$2781)))</f>
        <v/>
      </c>
      <c r="CY201" s="85">
        <f>IF(AK201="","",IF(ISNUMBER('Dvd Calendar'!$AM$2781)=FALSE,"",IF((Summary!$C$13="N")*('Dvd Calendar'!$AM$2785='Field Check'!$C$25)&gt;0,"",'Dvd Calendar'!$AM$2781)))</f>
        <v/>
      </c>
      <c r="CZ201" s="85">
        <f>IF(AL201="","",IF(ISNUMBER('Dvd Calendar'!$AN$2781)=FALSE,"",IF((Summary!$C$13="N")*('Dvd Calendar'!$AN$2785='Field Check'!$C$25)&gt;0,"",'Dvd Calendar'!$AN$2781)))</f>
        <v/>
      </c>
      <c r="DA201" s="85">
        <f>IF(AM201="","",IF(ISNUMBER('Dvd Calendar'!$AO$2781)=FALSE,"",IF((Summary!$C$13="N")*('Dvd Calendar'!$AO$2785='Field Check'!$C$25)&gt;0,"",'Dvd Calendar'!$AO$2781)))</f>
        <v/>
      </c>
      <c r="DB201" s="85">
        <f>IF(AN201="","",IF(ISNUMBER('Dvd Calendar'!$AP$2781)=FALSE,"",IF((Summary!$C$13="N")*('Dvd Calendar'!$AP$2785='Field Check'!$C$25)&gt;0,"",'Dvd Calendar'!$AP$2781)))</f>
        <v/>
      </c>
      <c r="DC201" s="85">
        <f>IF(AO201="","",IF(ISNUMBER('Dvd Calendar'!$AQ$2781)=FALSE,"",IF((Summary!$C$13="N")*('Dvd Calendar'!$AQ$2785='Field Check'!$C$25)&gt;0,"",'Dvd Calendar'!$AQ$2781)))</f>
        <v/>
      </c>
      <c r="DD201" s="85">
        <f>IF(AP201="","",IF(ISNUMBER('Dvd Calendar'!$AR$2781)=FALSE,"",IF((Summary!$C$13="N")*('Dvd Calendar'!$AR$2785='Field Check'!$C$25)&gt;0,"",'Dvd Calendar'!$AR$2781)))</f>
        <v/>
      </c>
      <c r="DE201" s="85">
        <f>IF(AQ201="","",IF(ISNUMBER('Dvd Calendar'!$E$2788)=FALSE,"",IF((Summary!$C$13="N")*('Dvd Calendar'!$E$2792='Field Check'!$C$25)&gt;0,"",'Dvd Calendar'!$E$2788)))</f>
        <v/>
      </c>
      <c r="DF201" s="85">
        <f>IF(AR201="","",IF(ISNUMBER('Dvd Calendar'!$F$2788)=FALSE,"",IF((Summary!$C$13="N")*('Dvd Calendar'!$F$2792='Field Check'!$C$25)&gt;0,"",'Dvd Calendar'!$F$2788)))</f>
        <v/>
      </c>
      <c r="DG201" s="85">
        <f>IF(AS201="","",IF(ISNUMBER('Dvd Calendar'!$G$2788)=FALSE,"",IF((Summary!$C$13="N")*('Dvd Calendar'!$G$2792='Field Check'!$C$25)&gt;0,"",'Dvd Calendar'!$G$2788)))</f>
        <v/>
      </c>
      <c r="DH201" s="85">
        <f>IF(AT201="","",IF(ISNUMBER('Dvd Calendar'!$H$2788)=FALSE,"",IF((Summary!$C$13="N")*('Dvd Calendar'!$H$2792='Field Check'!$C$25)&gt;0,"",'Dvd Calendar'!$H$2788)))</f>
        <v/>
      </c>
      <c r="DI201" s="85">
        <f>IF(AU201="","",IF(ISNUMBER('Dvd Calendar'!$I$2788)=FALSE,"",IF((Summary!$C$13="N")*('Dvd Calendar'!$I$2792='Field Check'!$C$25)&gt;0,"",'Dvd Calendar'!$I$2788)))</f>
        <v/>
      </c>
      <c r="DJ201" s="85">
        <f>IF(AV201="","",IF(ISNUMBER('Dvd Calendar'!$J$2788)=FALSE,"",IF((Summary!$C$13="N")*('Dvd Calendar'!$J$2792='Field Check'!$C$25)&gt;0,"",'Dvd Calendar'!$J$2788)))</f>
        <v/>
      </c>
      <c r="DK201" s="85">
        <f>IF(AW201="","",IF(ISNUMBER('Dvd Calendar'!$K$2788)=FALSE,"",IF((Summary!$C$13="N")*('Dvd Calendar'!$K$2792='Field Check'!$C$25)&gt;0,"",'Dvd Calendar'!$K$2788)))</f>
        <v/>
      </c>
      <c r="DL201" s="85">
        <f>IF(AX201="","",IF(ISNUMBER('Dvd Calendar'!$L$2788)=FALSE,"",IF((Summary!$C$13="N")*('Dvd Calendar'!$L$2792='Field Check'!$C$25)&gt;0,"",'Dvd Calendar'!$L$2788)))</f>
        <v/>
      </c>
      <c r="DM201" s="85">
        <f>IF(AY201="","",IF(ISNUMBER('Dvd Calendar'!$M$2788)=FALSE,"",IF((Summary!$C$13="N")*('Dvd Calendar'!$M$2792='Field Check'!$C$25)&gt;0,"",'Dvd Calendar'!$M$2788)))</f>
        <v/>
      </c>
      <c r="DN201" s="85">
        <f>IF(AZ201="","",IF(ISNUMBER('Dvd Calendar'!$N$2788)=FALSE,"",IF((Summary!$C$13="N")*('Dvd Calendar'!$N$2792='Field Check'!$C$25)&gt;0,"",'Dvd Calendar'!$N$2788)))</f>
        <v/>
      </c>
      <c r="DO201" s="85">
        <f>IF(BA201="","",IF(ISNUMBER('Dvd Calendar'!$O$2788)=FALSE,"",IF((Summary!$C$13="N")*('Dvd Calendar'!$O$2792='Field Check'!$C$25)&gt;0,"",'Dvd Calendar'!$O$2788)))</f>
        <v/>
      </c>
      <c r="DP201" s="85">
        <f>IF(BB201="","",IF(ISNUMBER('Dvd Calendar'!$P$2788)=FALSE,"",IF((Summary!$C$13="N")*('Dvd Calendar'!$P$2792='Field Check'!$C$25)&gt;0,"",'Dvd Calendar'!$P$2788)))</f>
        <v/>
      </c>
      <c r="DQ201" s="85">
        <f>IF(BC201="","",IF(ISNUMBER('Dvd Calendar'!$Q$2788)=FALSE,"",IF((Summary!$C$13="N")*('Dvd Calendar'!$Q$2792='Field Check'!$C$25)&gt;0,"",'Dvd Calendar'!$Q$2788)))</f>
        <v/>
      </c>
      <c r="DR201" s="85">
        <f>IF(BD201="","",IF(ISNUMBER('Dvd Calendar'!$R$2788)=FALSE,"",IF((Summary!$C$13="N")*('Dvd Calendar'!$R$2792='Field Check'!$C$25)&gt;0,"",'Dvd Calendar'!$R$2788)))</f>
        <v/>
      </c>
      <c r="DS201" s="85">
        <f>IF(BE201="","",IF(ISNUMBER('Dvd Calendar'!$S$2788)=FALSE,"",IF((Summary!$C$13="N")*('Dvd Calendar'!$S$2792='Field Check'!$C$25)&gt;0,"",'Dvd Calendar'!$S$2788)))</f>
        <v/>
      </c>
      <c r="DT201" s="85">
        <f>IF(BF201="","",IF(ISNUMBER('Dvd Calendar'!$T$2788)=FALSE,"",IF((Summary!$C$13="N")*('Dvd Calendar'!$T$2792='Field Check'!$C$25)&gt;0,"",'Dvd Calendar'!$T$2788)))</f>
        <v/>
      </c>
      <c r="DU201" s="85">
        <f>IF(BG201="","",IF(ISNUMBER('Dvd Calendar'!$U$2788)=FALSE,"",IF((Summary!$C$13="N")*('Dvd Calendar'!$U$2792='Field Check'!$C$25)&gt;0,"",'Dvd Calendar'!$U$2788)))</f>
        <v/>
      </c>
      <c r="DV201" s="85">
        <f>IF(BH201="","",IF(ISNUMBER('Dvd Calendar'!$V$2788)=FALSE,"",IF((Summary!$C$13="N")*('Dvd Calendar'!$V$2792='Field Check'!$C$25)&gt;0,"",'Dvd Calendar'!$V$2788)))</f>
        <v/>
      </c>
      <c r="DW201" s="85">
        <f>IF(BI201="","",IF(ISNUMBER('Dvd Calendar'!$W$2788)=FALSE,"",IF((Summary!$C$13="N")*('Dvd Calendar'!$W$2792='Field Check'!$C$25)&gt;0,"",'Dvd Calendar'!$W$2788)))</f>
        <v/>
      </c>
      <c r="DX201" s="85">
        <f>IF(BJ201="","",IF(ISNUMBER('Dvd Calendar'!$X$2788)=FALSE,"",IF((Summary!$C$13="N")*('Dvd Calendar'!$X$2792='Field Check'!$C$25)&gt;0,"",'Dvd Calendar'!$X$2788)))</f>
        <v/>
      </c>
      <c r="DY201" s="85">
        <f>IF(BK201="","",IF(ISNUMBER('Dvd Calendar'!$Y$2788)=FALSE,"",IF((Summary!$C$13="N")*('Dvd Calendar'!$Y$2792='Field Check'!$C$25)&gt;0,"",'Dvd Calendar'!$Y$2788)))</f>
        <v/>
      </c>
      <c r="DZ201" s="85">
        <f>IF(BL201="","",IF(ISNUMBER('Dvd Calendar'!$Z$2788)=FALSE,"",IF((Summary!$C$13="N")*('Dvd Calendar'!$Z$2792='Field Check'!$C$25)&gt;0,"",'Dvd Calendar'!$Z$2788)))</f>
        <v/>
      </c>
      <c r="EA201" s="85">
        <f>IF(BM201="","",IF(ISNUMBER('Dvd Calendar'!$AA$2788)=FALSE,"",IF((Summary!$C$13="N")*('Dvd Calendar'!$AA$2792='Field Check'!$C$25)&gt;0,"",'Dvd Calendar'!$AA$2788)))</f>
        <v/>
      </c>
      <c r="EB201" s="85">
        <f>IF(BN201="","",IF(ISNUMBER('Dvd Calendar'!$AB$2788)=FALSE,"",IF((Summary!$C$13="N")*('Dvd Calendar'!$AB$2792='Field Check'!$C$25)&gt;0,"",'Dvd Calendar'!$AB$2788)))</f>
        <v/>
      </c>
      <c r="EC201" s="85">
        <f>IF(BO201="","",IF(ISNUMBER('Dvd Calendar'!$AC$2788)=FALSE,"",IF((Summary!$C$13="N")*('Dvd Calendar'!$AC$2792='Field Check'!$C$25)&gt;0,"",'Dvd Calendar'!$AC$2788)))</f>
        <v/>
      </c>
      <c r="EE201" s="85">
        <f>IF(BQ201="","",IFERROR(BQ201*HSCEI!$B$51*HSCEI!$G$51/HSCEI!$B$3,""))</f>
        <v/>
      </c>
      <c r="EF201" s="85">
        <f>IF(BR201="","",IFERROR(BR201*HSCEI!$B$51*HSCEI!$G$51/HSCEI!$B$3,""))</f>
        <v/>
      </c>
      <c r="EG201" s="85">
        <f>IF(BS201="","",IFERROR(BS201*HSCEI!$B$51*HSCEI!$G$51/HSCEI!$B$3,""))</f>
        <v/>
      </c>
      <c r="EH201" s="85">
        <f>IF(BT201="","",IFERROR(BT201*HSCEI!$B$51*HSCEI!$G$51/HSCEI!$B$3,""))</f>
        <v/>
      </c>
      <c r="EI201" s="85">
        <f>IF(BU201="","",IFERROR(BU201*HSCEI!$B$51*HSCEI!$G$51/HSCEI!$B$3,""))</f>
        <v/>
      </c>
      <c r="EJ201" s="85">
        <f>IF(BV201="","",IFERROR(BV201*HSCEI!$B$51*HSCEI!$G$51/HSCEI!$B$3,""))</f>
        <v/>
      </c>
      <c r="EK201" s="85">
        <f>IF(BW201="","",IFERROR(BW201*HSCEI!$B$51*HSCEI!$G$51/HSCEI!$B$3,""))</f>
        <v/>
      </c>
      <c r="EL201" s="85">
        <f>IF(BX201="","",IFERROR(BX201*HSCEI!$B$51*HSCEI!$G$51/HSCEI!$B$3,""))</f>
        <v/>
      </c>
      <c r="EM201" s="85">
        <f>IF(BY201="","",IFERROR(BY201*HSCEI!$B$51*HSCEI!$G$51/HSCEI!$B$3,""))</f>
        <v/>
      </c>
      <c r="EN201" s="85">
        <f>IF(BZ201="","",IFERROR(BZ201*HSCEI!$B$51*HSCEI!$G$51/HSCEI!$B$3,""))</f>
        <v/>
      </c>
      <c r="EO201" s="85">
        <f>IF(CA201="","",IFERROR(CA201*HSCEI!$B$51*HSCEI!$G$51/HSCEI!$B$3,""))</f>
        <v/>
      </c>
      <c r="EP201" s="85">
        <f>IF(CB201="","",IFERROR(CB201*HSCEI!$B$51*HSCEI!$G$51/HSCEI!$B$3,""))</f>
        <v/>
      </c>
      <c r="EQ201" s="85">
        <f>IF(CC201="","",IFERROR(CC201*HSCEI!$B$51*HSCEI!$G$51/HSCEI!$B$3,""))</f>
        <v/>
      </c>
      <c r="ER201" s="85">
        <f>IF(CD201="","",IFERROR(CD201*HSCEI!$B$51*HSCEI!$G$51/HSCEI!$B$3,""))</f>
        <v/>
      </c>
      <c r="ES201" s="85">
        <f>IF(CE201="","",IFERROR(CE201*HSCEI!$B$51*HSCEI!$G$51/HSCEI!$B$3,""))</f>
        <v/>
      </c>
      <c r="ET201" s="85">
        <f>IF(CF201="","",IFERROR(CF201*HSCEI!$B$51*HSCEI!$G$51/HSCEI!$B$3,""))</f>
        <v/>
      </c>
      <c r="EU201" s="85">
        <f>IF(CG201="","",IFERROR(CG201*HSCEI!$B$51*HSCEI!$G$51/HSCEI!$B$3,""))</f>
        <v/>
      </c>
      <c r="EV201" s="85">
        <f>IF(CH201="","",IFERROR(CH201*HSCEI!$B$51*HSCEI!$G$51/HSCEI!$B$3,""))</f>
        <v/>
      </c>
      <c r="EW201" s="85">
        <f>IF(CI201="","",IFERROR(CI201*HSCEI!$B$51*HSCEI!$G$51/HSCEI!$B$3,""))</f>
        <v/>
      </c>
      <c r="EX201" s="85">
        <f>IF(CJ201="","",IFERROR(CJ201*HSCEI!$B$51*HSCEI!$G$51/HSCEI!$B$3,""))</f>
        <v/>
      </c>
      <c r="EY201" s="85">
        <f>IF(CK201="","",IFERROR(CK201*HSCEI!$B$51*HSCEI!$G$51/HSCEI!$B$3,""))</f>
        <v/>
      </c>
      <c r="EZ201" s="85">
        <f>IF(CL201="","",IFERROR(CL201*HSCEI!$B$51*HSCEI!$G$51/HSCEI!$B$3,""))</f>
        <v/>
      </c>
      <c r="FA201" s="85">
        <f>IF(CM201="","",IFERROR(CM201*HSCEI!$B$51*HSCEI!$G$51/HSCEI!$B$3,""))</f>
        <v/>
      </c>
      <c r="FB201" s="85">
        <f>IF(CN201="","",IFERROR(CN201*HSCEI!$B$51*HSCEI!$G$51/HSCEI!$B$3,""))</f>
        <v/>
      </c>
      <c r="FC201" s="85">
        <f>IF(CO201="","",IFERROR(CO201*HSCEI!$B$51*HSCEI!$G$51/HSCEI!$B$3,""))</f>
        <v/>
      </c>
      <c r="FD201" s="85">
        <f>IF(CP201="","",IFERROR(CP201*HSCEI!$B$51*HSCEI!$G$51/HSCEI!$B$3,""))</f>
        <v/>
      </c>
      <c r="FE201" s="85">
        <f>IF(CQ201="","",IFERROR(CQ201*HSCEI!$B$51*HSCEI!$G$51/HSCEI!$B$3,""))</f>
        <v/>
      </c>
      <c r="FF201" s="85">
        <f>IF(CR201="","",IFERROR(CR201*HSCEI!$B$51*HSCEI!$G$51/HSCEI!$B$3,""))</f>
        <v/>
      </c>
      <c r="FG201" s="85">
        <f>IF(CS201="","",IFERROR(CS201*HSCEI!$B$51*HSCEI!$G$51/HSCEI!$B$3,""))</f>
        <v/>
      </c>
      <c r="FH201" s="85">
        <f>IF(CT201="","",IFERROR(CT201*HSCEI!$B$51*HSCEI!$G$51/HSCEI!$B$3,""))</f>
        <v/>
      </c>
      <c r="FI201" s="85">
        <f>IF(CU201="","",IFERROR(CU201*HSCEI!$B$51*HSCEI!$G$51/HSCEI!$B$3,""))</f>
        <v/>
      </c>
      <c r="FJ201" s="85">
        <f>IF(CV201="","",IFERROR(CV201*HSCEI!$B$51*HSCEI!$G$51/HSCEI!$B$3,""))</f>
        <v/>
      </c>
      <c r="FK201" s="85">
        <f>IF(CW201="","",IFERROR(CW201*HSCEI!$B$51*HSCEI!$G$51/HSCEI!$B$3,""))</f>
        <v/>
      </c>
      <c r="FL201" s="85">
        <f>IF(CX201="","",IFERROR(CX201*HSCEI!$B$51*HSCEI!$G$51/HSCEI!$B$3,""))</f>
        <v/>
      </c>
      <c r="FM201" s="85">
        <f>IF(CY201="","",IFERROR(CY201*HSCEI!$B$51*HSCEI!$G$51/HSCEI!$B$3,""))</f>
        <v/>
      </c>
      <c r="FN201" s="85">
        <f>IF(CZ201="","",IFERROR(CZ201*HSCEI!$B$51*HSCEI!$G$51/HSCEI!$B$3,""))</f>
        <v/>
      </c>
      <c r="FO201" s="85">
        <f>IF(DA201="","",IFERROR(DA201*HSCEI!$B$51*HSCEI!$G$51/HSCEI!$B$3,""))</f>
        <v/>
      </c>
      <c r="FP201" s="85">
        <f>IF(DB201="","",IFERROR(DB201*HSCEI!$B$51*HSCEI!$G$51/HSCEI!$B$3,""))</f>
        <v/>
      </c>
      <c r="FQ201" s="85">
        <f>IF(DC201="","",IFERROR(DC201*HSCEI!$B$51*HSCEI!$G$51/HSCEI!$B$3,""))</f>
        <v/>
      </c>
      <c r="FR201" s="85">
        <f>IF(DD201="","",IFERROR(DD201*HSCEI!$B$51*HSCEI!$G$51/HSCEI!$B$3,""))</f>
        <v/>
      </c>
      <c r="FS201" s="85">
        <f>IF(DE201="","",IFERROR(DE201*HSCEI!$B$51*HSCEI!$G$51/HSCEI!$B$3,""))</f>
        <v/>
      </c>
      <c r="FT201" s="85">
        <f>IF(DF201="","",IFERROR(DF201*HSCEI!$B$51*HSCEI!$G$51/HSCEI!$B$3,""))</f>
        <v/>
      </c>
      <c r="FU201" s="85">
        <f>IF(DG201="","",IFERROR(DG201*HSCEI!$B$51*HSCEI!$G$51/HSCEI!$B$3,""))</f>
        <v/>
      </c>
      <c r="FV201" s="85">
        <f>IF(DH201="","",IFERROR(DH201*HSCEI!$B$51*HSCEI!$G$51/HSCEI!$B$3,""))</f>
        <v/>
      </c>
      <c r="FW201" s="85">
        <f>IF(DI201="","",IFERROR(DI201*HSCEI!$B$51*HSCEI!$G$51/HSCEI!$B$3,""))</f>
        <v/>
      </c>
      <c r="FX201" s="85">
        <f>IF(DJ201="","",IFERROR(DJ201*HSCEI!$B$51*HSCEI!$G$51/HSCEI!$B$3,""))</f>
        <v/>
      </c>
      <c r="FY201" s="85">
        <f>IF(DK201="","",IFERROR(DK201*HSCEI!$B$51*HSCEI!$G$51/HSCEI!$B$3,""))</f>
        <v/>
      </c>
      <c r="FZ201" s="85">
        <f>IF(DL201="","",IFERROR(DL201*HSCEI!$B$51*HSCEI!$G$51/HSCEI!$B$3,""))</f>
        <v/>
      </c>
      <c r="GA201" s="85">
        <f>IF(DM201="","",IFERROR(DM201*HSCEI!$B$51*HSCEI!$G$51/HSCEI!$B$3,""))</f>
        <v/>
      </c>
      <c r="GB201" s="85">
        <f>IF(DN201="","",IFERROR(DN201*HSCEI!$B$51*HSCEI!$G$51/HSCEI!$B$3,""))</f>
        <v/>
      </c>
      <c r="GC201" s="85">
        <f>IF(DO201="","",IFERROR(DO201*HSCEI!$B$51*HSCEI!$G$51/HSCEI!$B$3,""))</f>
        <v/>
      </c>
      <c r="GD201" s="85">
        <f>IF(DP201="","",IFERROR(DP201*HSCEI!$B$51*HSCEI!$G$51/HSCEI!$B$3,""))</f>
        <v/>
      </c>
      <c r="GE201" s="85">
        <f>IF(DQ201="","",IFERROR(DQ201*HSCEI!$B$51*HSCEI!$G$51/HSCEI!$B$3,""))</f>
        <v/>
      </c>
      <c r="GF201" s="85">
        <f>IF(DR201="","",IFERROR(DR201*HSCEI!$B$51*HSCEI!$G$51/HSCEI!$B$3,""))</f>
        <v/>
      </c>
      <c r="GG201" s="85">
        <f>IF(DS201="","",IFERROR(DS201*HSCEI!$B$51*HSCEI!$G$51/HSCEI!$B$3,""))</f>
        <v/>
      </c>
      <c r="GH201" s="85">
        <f>IF(DT201="","",IFERROR(DT201*HSCEI!$B$51*HSCEI!$G$51/HSCEI!$B$3,""))</f>
        <v/>
      </c>
      <c r="GI201" s="85">
        <f>IF(DU201="","",IFERROR(DU201*HSCEI!$B$51*HSCEI!$G$51/HSCEI!$B$3,""))</f>
        <v/>
      </c>
      <c r="GJ201" s="85">
        <f>IF(DV201="","",IFERROR(DV201*HSCEI!$B$51*HSCEI!$G$51/HSCEI!$B$3,""))</f>
        <v/>
      </c>
      <c r="GK201" s="85">
        <f>IF(DW201="","",IFERROR(DW201*HSCEI!$B$51*HSCEI!$G$51/HSCEI!$B$3,""))</f>
        <v/>
      </c>
      <c r="GL201" s="85">
        <f>IF(DX201="","",IFERROR(DX201*HSCEI!$B$51*HSCEI!$G$51/HSCEI!$B$3,""))</f>
        <v/>
      </c>
      <c r="GM201" s="85">
        <f>IF(DY201="","",IFERROR(DY201*HSCEI!$B$51*HSCEI!$G$51/HSCEI!$B$3,""))</f>
        <v/>
      </c>
      <c r="GN201" s="85">
        <f>IF(DZ201="","",IFERROR(DZ201*HSCEI!$B$51*HSCEI!$G$51/HSCEI!$B$3,""))</f>
        <v/>
      </c>
      <c r="GO201" s="85">
        <f>IF(EA201="","",IFERROR(EA201*HSCEI!$B$51*HSCEI!$G$51/HSCEI!$B$3,""))</f>
        <v/>
      </c>
      <c r="GP201" s="85">
        <f>IF(EB201="","",IFERROR(EB201*HSCEI!$B$51*HSCEI!$G$51/HSCEI!$B$3,""))</f>
        <v/>
      </c>
      <c r="GQ201" s="85">
        <f>IF(EC201="","",IFERROR(EC201*HSCEI!$B$51*HSCEI!$G$51/HSCEI!$B$3,""))</f>
        <v/>
      </c>
    </row>
    <row r="202">
      <c r="B202" s="2">
        <f>IF(HSCEI!$C$52="","",HSCEI!$C$52)</f>
        <v/>
      </c>
      <c r="C202" s="41">
        <f>IF(N('Dvd Calendar'!$E$2795)=0,"",IF(('Dvd Calendar'!$E$2795&gt;=MIN(DATE(Summary!$C$12,1,1),Summary!$C$11))*('Dvd Calendar'!$E$2795&lt;=MAX(DATE(Summary!$C$12,12,31),Summary!$C$15))*('Dvd Calendar'!$E$2795&lt;=Summary!$C$11)=0,"",'Dvd Calendar'!$E$2795*1000000000+ISNUMBER('Dvd Calendar'!$E$2796)*100000000+('Dvd Calendar'!$E$2800='Field Check'!$C$25)*10000000+(N('Dvd Calendar'!$E$2794)&gt;0)*1000000+46*1000+1))</f>
        <v/>
      </c>
      <c r="D202" s="41">
        <f>IF(N('Dvd Calendar'!$F$2795)=0,"",IF(('Dvd Calendar'!$F$2795&gt;=MIN(DATE(Summary!$C$12,1,1),Summary!$C$11))*('Dvd Calendar'!$F$2795&lt;=MAX(DATE(Summary!$C$12,12,31),Summary!$C$15))*('Dvd Calendar'!$F$2795&lt;=Summary!$C$11)=0,"",'Dvd Calendar'!$F$2795*1000000000+ISNUMBER('Dvd Calendar'!$F$2796)*100000000+('Dvd Calendar'!$F$2800='Field Check'!$C$25)*10000000+(N('Dvd Calendar'!$F$2794)&gt;0)*1000000+46*1000+2))</f>
        <v/>
      </c>
      <c r="E202" s="41">
        <f>IF(N('Dvd Calendar'!$G$2795)=0,"",IF(('Dvd Calendar'!$G$2795&gt;=MIN(DATE(Summary!$C$12,1,1),Summary!$C$11))*('Dvd Calendar'!$G$2795&lt;=MAX(DATE(Summary!$C$12,12,31),Summary!$C$15))*('Dvd Calendar'!$G$2795&lt;=Summary!$C$11)=0,"",'Dvd Calendar'!$G$2795*1000000000+ISNUMBER('Dvd Calendar'!$G$2796)*100000000+('Dvd Calendar'!$G$2800='Field Check'!$C$25)*10000000+(N('Dvd Calendar'!$G$2794)&gt;0)*1000000+46*1000+3))</f>
        <v/>
      </c>
      <c r="F202" s="41">
        <f>IF(N('Dvd Calendar'!$H$2795)=0,"",IF(('Dvd Calendar'!$H$2795&gt;=MIN(DATE(Summary!$C$12,1,1),Summary!$C$11))*('Dvd Calendar'!$H$2795&lt;=MAX(DATE(Summary!$C$12,12,31),Summary!$C$15))*('Dvd Calendar'!$H$2795&lt;=Summary!$C$11)=0,"",'Dvd Calendar'!$H$2795*1000000000+ISNUMBER('Dvd Calendar'!$H$2796)*100000000+('Dvd Calendar'!$H$2800='Field Check'!$C$25)*10000000+(N('Dvd Calendar'!$H$2794)&gt;0)*1000000+46*1000+4))</f>
        <v/>
      </c>
      <c r="G202" s="41">
        <f>IF(N('Dvd Calendar'!$I$2795)=0,"",IF(('Dvd Calendar'!$I$2795&gt;=MIN(DATE(Summary!$C$12,1,1),Summary!$C$11))*('Dvd Calendar'!$I$2795&lt;=MAX(DATE(Summary!$C$12,12,31),Summary!$C$15))*('Dvd Calendar'!$I$2795&lt;=Summary!$C$11)=0,"",'Dvd Calendar'!$I$2795*1000000000+ISNUMBER('Dvd Calendar'!$I$2796)*100000000+('Dvd Calendar'!$I$2800='Field Check'!$C$25)*10000000+(N('Dvd Calendar'!$I$2794)&gt;0)*1000000+46*1000+5))</f>
        <v/>
      </c>
      <c r="H202" s="41">
        <f>IF(N('Dvd Calendar'!$J$2795)=0,"",IF(('Dvd Calendar'!$J$2795&gt;=MIN(DATE(Summary!$C$12,1,1),Summary!$C$11))*('Dvd Calendar'!$J$2795&lt;=MAX(DATE(Summary!$C$12,12,31),Summary!$C$15))*('Dvd Calendar'!$J$2795&lt;=Summary!$C$11)=0,"",'Dvd Calendar'!$J$2795*1000000000+ISNUMBER('Dvd Calendar'!$J$2796)*100000000+('Dvd Calendar'!$J$2800='Field Check'!$C$25)*10000000+(N('Dvd Calendar'!$J$2794)&gt;0)*1000000+46*1000+6))</f>
        <v/>
      </c>
      <c r="I202" s="41">
        <f>IF(N('Dvd Calendar'!$K$2795)=0,"",IF(('Dvd Calendar'!$K$2795&gt;=MIN(DATE(Summary!$C$12,1,1),Summary!$C$11))*('Dvd Calendar'!$K$2795&lt;=MAX(DATE(Summary!$C$12,12,31),Summary!$C$15))*('Dvd Calendar'!$K$2795&lt;=Summary!$C$11)=0,"",'Dvd Calendar'!$K$2795*1000000000+ISNUMBER('Dvd Calendar'!$K$2796)*100000000+('Dvd Calendar'!$K$2800='Field Check'!$C$25)*10000000+(N('Dvd Calendar'!$K$2794)&gt;0)*1000000+46*1000+7))</f>
        <v/>
      </c>
      <c r="J202" s="41">
        <f>IF(N('Dvd Calendar'!$L$2795)=0,"",IF(('Dvd Calendar'!$L$2795&gt;=MIN(DATE(Summary!$C$12,1,1),Summary!$C$11))*('Dvd Calendar'!$L$2795&lt;=MAX(DATE(Summary!$C$12,12,31),Summary!$C$15))*('Dvd Calendar'!$L$2795&lt;=Summary!$C$11)=0,"",'Dvd Calendar'!$L$2795*1000000000+ISNUMBER('Dvd Calendar'!$L$2796)*100000000+('Dvd Calendar'!$L$2800='Field Check'!$C$25)*10000000+(N('Dvd Calendar'!$L$2794)&gt;0)*1000000+46*1000+8))</f>
        <v/>
      </c>
      <c r="K202" s="41">
        <f>IF(N('Dvd Calendar'!$M$2795)=0,"",IF(('Dvd Calendar'!$M$2795&gt;=MIN(DATE(Summary!$C$12,1,1),Summary!$C$11))*('Dvd Calendar'!$M$2795&lt;=MAX(DATE(Summary!$C$12,12,31),Summary!$C$15))*('Dvd Calendar'!$M$2795&lt;=Summary!$C$11)=0,"",'Dvd Calendar'!$M$2795*1000000000+ISNUMBER('Dvd Calendar'!$M$2796)*100000000+('Dvd Calendar'!$M$2800='Field Check'!$C$25)*10000000+(N('Dvd Calendar'!$M$2794)&gt;0)*1000000+46*1000+9))</f>
        <v/>
      </c>
      <c r="L202" s="41">
        <f>IF(N('Dvd Calendar'!$N$2795)=0,"",IF(('Dvd Calendar'!$N$2795&gt;=MIN(DATE(Summary!$C$12,1,1),Summary!$C$11))*('Dvd Calendar'!$N$2795&lt;=MAX(DATE(Summary!$C$12,12,31),Summary!$C$15))*('Dvd Calendar'!$N$2795&lt;=Summary!$C$11)=0,"",'Dvd Calendar'!$N$2795*1000000000+ISNUMBER('Dvd Calendar'!$N$2796)*100000000+('Dvd Calendar'!$N$2800='Field Check'!$C$25)*10000000+(N('Dvd Calendar'!$N$2794)&gt;0)*1000000+46*1000+10))</f>
        <v/>
      </c>
      <c r="M202" s="41">
        <f>IF(N('Dvd Calendar'!$O$2795)=0,"",IF(('Dvd Calendar'!$O$2795&gt;=MIN(DATE(Summary!$C$12,1,1),Summary!$C$11))*('Dvd Calendar'!$O$2795&lt;=MAX(DATE(Summary!$C$12,12,31),Summary!$C$15))*('Dvd Calendar'!$O$2795&lt;=Summary!$C$11)=0,"",'Dvd Calendar'!$O$2795*1000000000+ISNUMBER('Dvd Calendar'!$O$2796)*100000000+('Dvd Calendar'!$O$2800='Field Check'!$C$25)*10000000+(N('Dvd Calendar'!$O$2794)&gt;0)*1000000+46*1000+11))</f>
        <v/>
      </c>
      <c r="N202" s="41">
        <f>IF(N('Dvd Calendar'!$P$2795)=0,"",IF(('Dvd Calendar'!$P$2795&gt;=MIN(DATE(Summary!$C$12,1,1),Summary!$C$11))*('Dvd Calendar'!$P$2795&lt;=MAX(DATE(Summary!$C$12,12,31),Summary!$C$15))*('Dvd Calendar'!$P$2795&lt;=Summary!$C$11)=0,"",'Dvd Calendar'!$P$2795*1000000000+ISNUMBER('Dvd Calendar'!$P$2796)*100000000+('Dvd Calendar'!$P$2800='Field Check'!$C$25)*10000000+(N('Dvd Calendar'!$P$2794)&gt;0)*1000000+46*1000+12))</f>
        <v/>
      </c>
      <c r="O202" s="41">
        <f>IF(N('Dvd Calendar'!$Q$2795)=0,"",IF(('Dvd Calendar'!$Q$2795&gt;=MIN(DATE(Summary!$C$12,1,1),Summary!$C$11))*('Dvd Calendar'!$Q$2795&lt;=MAX(DATE(Summary!$C$12,12,31),Summary!$C$15))*('Dvd Calendar'!$Q$2795&lt;=Summary!$C$11)=0,"",'Dvd Calendar'!$Q$2795*1000000000+ISNUMBER('Dvd Calendar'!$Q$2796)*100000000+('Dvd Calendar'!$Q$2800='Field Check'!$C$25)*10000000+(N('Dvd Calendar'!$Q$2794)&gt;0)*1000000+46*1000+13))</f>
        <v/>
      </c>
      <c r="P202" s="41">
        <f>IF(N('Dvd Calendar'!$R$2795)=0,"",IF(('Dvd Calendar'!$R$2795&gt;=MIN(DATE(Summary!$C$12,1,1),Summary!$C$11))*('Dvd Calendar'!$R$2795&lt;=MAX(DATE(Summary!$C$12,12,31),Summary!$C$15))*('Dvd Calendar'!$R$2795&lt;=Summary!$C$11)=0,"",'Dvd Calendar'!$R$2795*1000000000+ISNUMBER('Dvd Calendar'!$R$2796)*100000000+('Dvd Calendar'!$R$2800='Field Check'!$C$25)*10000000+(N('Dvd Calendar'!$R$2794)&gt;0)*1000000+46*1000+14))</f>
        <v/>
      </c>
      <c r="Q202" s="41">
        <f>IF(N('Dvd Calendar'!$S$2795)=0,"",IF(('Dvd Calendar'!$S$2795&gt;=MIN(DATE(Summary!$C$12,1,1),Summary!$C$11))*('Dvd Calendar'!$S$2795&lt;=MAX(DATE(Summary!$C$12,12,31),Summary!$C$15))*('Dvd Calendar'!$S$2795&lt;=Summary!$C$11)=0,"",'Dvd Calendar'!$S$2795*1000000000+ISNUMBER('Dvd Calendar'!$S$2796)*100000000+('Dvd Calendar'!$S$2800='Field Check'!$C$25)*10000000+(N('Dvd Calendar'!$S$2794)&gt;0)*1000000+46*1000+15))</f>
        <v/>
      </c>
      <c r="R202" s="41">
        <f>IF(N('Dvd Calendar'!$T$2795)=0,"",IF(('Dvd Calendar'!$T$2795&gt;=MIN(DATE(Summary!$C$12,1,1),Summary!$C$11))*('Dvd Calendar'!$T$2795&lt;=MAX(DATE(Summary!$C$12,12,31),Summary!$C$15))*('Dvd Calendar'!$T$2795&lt;=Summary!$C$11)=0,"",'Dvd Calendar'!$T$2795*1000000000+ISNUMBER('Dvd Calendar'!$T$2796)*100000000+('Dvd Calendar'!$T$2800='Field Check'!$C$25)*10000000+(N('Dvd Calendar'!$T$2794)&gt;0)*1000000+46*1000+16))</f>
        <v/>
      </c>
      <c r="S202" s="41">
        <f>IF(N('Dvd Calendar'!$U$2795)=0,"",IF(('Dvd Calendar'!$U$2795&gt;=MIN(DATE(Summary!$C$12,1,1),Summary!$C$11))*('Dvd Calendar'!$U$2795&lt;=MAX(DATE(Summary!$C$12,12,31),Summary!$C$15))*('Dvd Calendar'!$U$2795&lt;=Summary!$C$11)=0,"",'Dvd Calendar'!$U$2795*1000000000+ISNUMBER('Dvd Calendar'!$U$2796)*100000000+('Dvd Calendar'!$U$2800='Field Check'!$C$25)*10000000+(N('Dvd Calendar'!$U$2794)&gt;0)*1000000+46*1000+17))</f>
        <v/>
      </c>
      <c r="T202" s="41">
        <f>IF(N('Dvd Calendar'!$V$2795)=0,"",IF(('Dvd Calendar'!$V$2795&gt;=MIN(DATE(Summary!$C$12,1,1),Summary!$C$11))*('Dvd Calendar'!$V$2795&lt;=MAX(DATE(Summary!$C$12,12,31),Summary!$C$15))*('Dvd Calendar'!$V$2795&lt;=Summary!$C$11)=0,"",'Dvd Calendar'!$V$2795*1000000000+ISNUMBER('Dvd Calendar'!$V$2796)*100000000+('Dvd Calendar'!$V$2800='Field Check'!$C$25)*10000000+(N('Dvd Calendar'!$V$2794)&gt;0)*1000000+46*1000+18))</f>
        <v/>
      </c>
      <c r="U202" s="41">
        <f>IF(N('Dvd Calendar'!$W$2795)=0,"",IF(('Dvd Calendar'!$W$2795&gt;=MIN(DATE(Summary!$C$12,1,1),Summary!$C$11))*('Dvd Calendar'!$W$2795&lt;=MAX(DATE(Summary!$C$12,12,31),Summary!$C$15))*('Dvd Calendar'!$W$2795&lt;=Summary!$C$11)=0,"",'Dvd Calendar'!$W$2795*1000000000+ISNUMBER('Dvd Calendar'!$W$2796)*100000000+('Dvd Calendar'!$W$2800='Field Check'!$C$25)*10000000+(N('Dvd Calendar'!$W$2794)&gt;0)*1000000+46*1000+19))</f>
        <v/>
      </c>
      <c r="V202" s="41">
        <f>IF(N('Dvd Calendar'!$X$2795)=0,"",IF(('Dvd Calendar'!$X$2795&gt;=MIN(DATE(Summary!$C$12,1,1),Summary!$C$11))*('Dvd Calendar'!$X$2795&lt;=MAX(DATE(Summary!$C$12,12,31),Summary!$C$15))*('Dvd Calendar'!$X$2795&lt;=Summary!$C$11)=0,"",'Dvd Calendar'!$X$2795*1000000000+ISNUMBER('Dvd Calendar'!$X$2796)*100000000+('Dvd Calendar'!$X$2800='Field Check'!$C$25)*10000000+(N('Dvd Calendar'!$X$2794)&gt;0)*1000000+46*1000+20))</f>
        <v/>
      </c>
      <c r="W202" s="41">
        <f>IF(N('Dvd Calendar'!$Y$2795)=0,"",IF(('Dvd Calendar'!$Y$2795&gt;=MIN(DATE(Summary!$C$12,1,1),Summary!$C$11))*('Dvd Calendar'!$Y$2795&lt;=MAX(DATE(Summary!$C$12,12,31),Summary!$C$15))*('Dvd Calendar'!$Y$2795&lt;=Summary!$C$11)=0,"",'Dvd Calendar'!$Y$2795*1000000000+ISNUMBER('Dvd Calendar'!$Y$2796)*100000000+('Dvd Calendar'!$Y$2800='Field Check'!$C$25)*10000000+(N('Dvd Calendar'!$Y$2794)&gt;0)*1000000+46*1000+21))</f>
        <v/>
      </c>
      <c r="X202" s="41">
        <f>IF(N('Dvd Calendar'!$Z$2795)=0,"",IF(('Dvd Calendar'!$Z$2795&gt;=MIN(DATE(Summary!$C$12,1,1),Summary!$C$11))*('Dvd Calendar'!$Z$2795&lt;=MAX(DATE(Summary!$C$12,12,31),Summary!$C$15))*('Dvd Calendar'!$Z$2795&lt;=Summary!$C$11)=0,"",'Dvd Calendar'!$Z$2795*1000000000+ISNUMBER('Dvd Calendar'!$Z$2796)*100000000+('Dvd Calendar'!$Z$2800='Field Check'!$C$25)*10000000+(N('Dvd Calendar'!$Z$2794)&gt;0)*1000000+46*1000+22))</f>
        <v/>
      </c>
      <c r="Y202" s="41">
        <f>IF(N('Dvd Calendar'!$AA$2795)=0,"",IF(('Dvd Calendar'!$AA$2795&gt;=MIN(DATE(Summary!$C$12,1,1),Summary!$C$11))*('Dvd Calendar'!$AA$2795&lt;=MAX(DATE(Summary!$C$12,12,31),Summary!$C$15))*('Dvd Calendar'!$AA$2795&lt;=Summary!$C$11)=0,"",'Dvd Calendar'!$AA$2795*1000000000+ISNUMBER('Dvd Calendar'!$AA$2796)*100000000+('Dvd Calendar'!$AA$2800='Field Check'!$C$25)*10000000+(N('Dvd Calendar'!$AA$2794)&gt;0)*1000000+46*1000+23))</f>
        <v/>
      </c>
      <c r="Z202" s="41">
        <f>IF(N('Dvd Calendar'!$AB$2795)=0,"",IF(('Dvd Calendar'!$AB$2795&gt;=MIN(DATE(Summary!$C$12,1,1),Summary!$C$11))*('Dvd Calendar'!$AB$2795&lt;=MAX(DATE(Summary!$C$12,12,31),Summary!$C$15))*('Dvd Calendar'!$AB$2795&lt;=Summary!$C$11)=0,"",'Dvd Calendar'!$AB$2795*1000000000+ISNUMBER('Dvd Calendar'!$AB$2796)*100000000+('Dvd Calendar'!$AB$2800='Field Check'!$C$25)*10000000+(N('Dvd Calendar'!$AB$2794)&gt;0)*1000000+46*1000+24))</f>
        <v/>
      </c>
      <c r="AA202" s="41">
        <f>IF(N('Dvd Calendar'!$AC$2795)=0,"",IF(('Dvd Calendar'!$AC$2795&gt;=MIN(DATE(Summary!$C$12,1,1),Summary!$C$11))*('Dvd Calendar'!$AC$2795&lt;=MAX(DATE(Summary!$C$12,12,31),Summary!$C$15))*('Dvd Calendar'!$AC$2795&lt;=Summary!$C$11)=0,"",'Dvd Calendar'!$AC$2795*1000000000+ISNUMBER('Dvd Calendar'!$AC$2796)*100000000+('Dvd Calendar'!$AC$2800='Field Check'!$C$25)*10000000+(N('Dvd Calendar'!$AC$2794)&gt;0)*1000000+46*1000+25))</f>
        <v/>
      </c>
      <c r="AB202" s="41">
        <f>IF(N('Dvd Calendar'!$AD$2795)=0,"",IF(('Dvd Calendar'!$AD$2795&gt;=MIN(DATE(Summary!$C$12,1,1),Summary!$C$11))*('Dvd Calendar'!$AD$2795&lt;=MAX(DATE(Summary!$C$12,12,31),Summary!$C$15))*('Dvd Calendar'!$AD$2795&lt;=Summary!$C$11)=0,"",'Dvd Calendar'!$AD$2795*1000000000+ISNUMBER('Dvd Calendar'!$AD$2796)*100000000+('Dvd Calendar'!$AD$2800='Field Check'!$C$25)*10000000+(N('Dvd Calendar'!$AD$2794)&gt;0)*1000000+46*1000+26))</f>
        <v/>
      </c>
      <c r="AC202" s="41">
        <f>IF(N('Dvd Calendar'!$AE$2795)=0,"",IF(('Dvd Calendar'!$AE$2795&gt;=MIN(DATE(Summary!$C$12,1,1),Summary!$C$11))*('Dvd Calendar'!$AE$2795&lt;=MAX(DATE(Summary!$C$12,12,31),Summary!$C$15))*('Dvd Calendar'!$AE$2795&lt;=Summary!$C$11)=0,"",'Dvd Calendar'!$AE$2795*1000000000+ISNUMBER('Dvd Calendar'!$AE$2796)*100000000+('Dvd Calendar'!$AE$2800='Field Check'!$C$25)*10000000+(N('Dvd Calendar'!$AE$2794)&gt;0)*1000000+46*1000+27))</f>
        <v/>
      </c>
      <c r="AD202" s="41">
        <f>IF(N('Dvd Calendar'!$AF$2795)=0,"",IF(('Dvd Calendar'!$AF$2795&gt;=MIN(DATE(Summary!$C$12,1,1),Summary!$C$11))*('Dvd Calendar'!$AF$2795&lt;=MAX(DATE(Summary!$C$12,12,31),Summary!$C$15))*('Dvd Calendar'!$AF$2795&lt;=Summary!$C$11)=0,"",'Dvd Calendar'!$AF$2795*1000000000+ISNUMBER('Dvd Calendar'!$AF$2796)*100000000+('Dvd Calendar'!$AF$2800='Field Check'!$C$25)*10000000+(N('Dvd Calendar'!$AF$2794)&gt;0)*1000000+46*1000+28))</f>
        <v/>
      </c>
      <c r="AE202" s="41">
        <f>IF(N('Dvd Calendar'!$AG$2795)=0,"",IF(('Dvd Calendar'!$AG$2795&gt;=MIN(DATE(Summary!$C$12,1,1),Summary!$C$11))*('Dvd Calendar'!$AG$2795&lt;=MAX(DATE(Summary!$C$12,12,31),Summary!$C$15))*('Dvd Calendar'!$AG$2795&lt;=Summary!$C$11)=0,"",'Dvd Calendar'!$AG$2795*1000000000+ISNUMBER('Dvd Calendar'!$AG$2796)*100000000+('Dvd Calendar'!$AG$2800='Field Check'!$C$25)*10000000+(N('Dvd Calendar'!$AG$2794)&gt;0)*1000000+46*1000+29))</f>
        <v/>
      </c>
      <c r="AF202" s="41">
        <f>IF(N('Dvd Calendar'!$AH$2795)=0,"",IF(('Dvd Calendar'!$AH$2795&gt;=MIN(DATE(Summary!$C$12,1,1),Summary!$C$11))*('Dvd Calendar'!$AH$2795&lt;=MAX(DATE(Summary!$C$12,12,31),Summary!$C$15))*('Dvd Calendar'!$AH$2795&lt;=Summary!$C$11)=0,"",'Dvd Calendar'!$AH$2795*1000000000+ISNUMBER('Dvd Calendar'!$AH$2796)*100000000+('Dvd Calendar'!$AH$2800='Field Check'!$C$25)*10000000+(N('Dvd Calendar'!$AH$2794)&gt;0)*1000000+46*1000+30))</f>
        <v/>
      </c>
      <c r="AG202" s="41">
        <f>IF(N('Dvd Calendar'!$AI$2795)=0,"",IF(('Dvd Calendar'!$AI$2795&gt;=MIN(DATE(Summary!$C$12,1,1),Summary!$C$11))*('Dvd Calendar'!$AI$2795&lt;=MAX(DATE(Summary!$C$12,12,31),Summary!$C$15))*('Dvd Calendar'!$AI$2795&lt;=Summary!$C$11)=0,"",'Dvd Calendar'!$AI$2795*1000000000+ISNUMBER('Dvd Calendar'!$AI$2796)*100000000+('Dvd Calendar'!$AI$2800='Field Check'!$C$25)*10000000+(N('Dvd Calendar'!$AI$2794)&gt;0)*1000000+46*1000+31))</f>
        <v/>
      </c>
      <c r="AH202" s="41">
        <f>IF(N('Dvd Calendar'!$AJ$2795)=0,"",IF(('Dvd Calendar'!$AJ$2795&gt;=MIN(DATE(Summary!$C$12,1,1),Summary!$C$11))*('Dvd Calendar'!$AJ$2795&lt;=MAX(DATE(Summary!$C$12,12,31),Summary!$C$15))*('Dvd Calendar'!$AJ$2795&lt;=Summary!$C$11)=0,"",'Dvd Calendar'!$AJ$2795*1000000000+ISNUMBER('Dvd Calendar'!$AJ$2796)*100000000+('Dvd Calendar'!$AJ$2800='Field Check'!$C$25)*10000000+(N('Dvd Calendar'!$AJ$2794)&gt;0)*1000000+46*1000+32))</f>
        <v/>
      </c>
      <c r="AI202" s="41">
        <f>IF(N('Dvd Calendar'!$AK$2795)=0,"",IF(('Dvd Calendar'!$AK$2795&gt;=MIN(DATE(Summary!$C$12,1,1),Summary!$C$11))*('Dvd Calendar'!$AK$2795&lt;=MAX(DATE(Summary!$C$12,12,31),Summary!$C$15))*('Dvd Calendar'!$AK$2795&lt;=Summary!$C$11)=0,"",'Dvd Calendar'!$AK$2795*1000000000+ISNUMBER('Dvd Calendar'!$AK$2796)*100000000+('Dvd Calendar'!$AK$2800='Field Check'!$C$25)*10000000+(N('Dvd Calendar'!$AK$2794)&gt;0)*1000000+46*1000+33))</f>
        <v/>
      </c>
      <c r="AJ202" s="41">
        <f>IF(N('Dvd Calendar'!$AL$2795)=0,"",IF(('Dvd Calendar'!$AL$2795&gt;=MIN(DATE(Summary!$C$12,1,1),Summary!$C$11))*('Dvd Calendar'!$AL$2795&lt;=MAX(DATE(Summary!$C$12,12,31),Summary!$C$15))*('Dvd Calendar'!$AL$2795&lt;=Summary!$C$11)=0,"",'Dvd Calendar'!$AL$2795*1000000000+ISNUMBER('Dvd Calendar'!$AL$2796)*100000000+('Dvd Calendar'!$AL$2800='Field Check'!$C$25)*10000000+(N('Dvd Calendar'!$AL$2794)&gt;0)*1000000+46*1000+34))</f>
        <v/>
      </c>
      <c r="AK202" s="41">
        <f>IF(N('Dvd Calendar'!$AM$2795)=0,"",IF(('Dvd Calendar'!$AM$2795&gt;=MIN(DATE(Summary!$C$12,1,1),Summary!$C$11))*('Dvd Calendar'!$AM$2795&lt;=MAX(DATE(Summary!$C$12,12,31),Summary!$C$15))*('Dvd Calendar'!$AM$2795&lt;=Summary!$C$11)=0,"",'Dvd Calendar'!$AM$2795*1000000000+ISNUMBER('Dvd Calendar'!$AM$2796)*100000000+('Dvd Calendar'!$AM$2800='Field Check'!$C$25)*10000000+(N('Dvd Calendar'!$AM$2794)&gt;0)*1000000+46*1000+35))</f>
        <v/>
      </c>
      <c r="AL202" s="41">
        <f>IF(N('Dvd Calendar'!$AN$2795)=0,"",IF(('Dvd Calendar'!$AN$2795&gt;=MIN(DATE(Summary!$C$12,1,1),Summary!$C$11))*('Dvd Calendar'!$AN$2795&lt;=MAX(DATE(Summary!$C$12,12,31),Summary!$C$15))*('Dvd Calendar'!$AN$2795&lt;=Summary!$C$11)=0,"",'Dvd Calendar'!$AN$2795*1000000000+ISNUMBER('Dvd Calendar'!$AN$2796)*100000000+('Dvd Calendar'!$AN$2800='Field Check'!$C$25)*10000000+(N('Dvd Calendar'!$AN$2794)&gt;0)*1000000+46*1000+36))</f>
        <v/>
      </c>
      <c r="AM202" s="41">
        <f>IF(N('Dvd Calendar'!$AO$2795)=0,"",IF(('Dvd Calendar'!$AO$2795&gt;=MIN(DATE(Summary!$C$12,1,1),Summary!$C$11))*('Dvd Calendar'!$AO$2795&lt;=MAX(DATE(Summary!$C$12,12,31),Summary!$C$15))*('Dvd Calendar'!$AO$2795&lt;=Summary!$C$11)=0,"",'Dvd Calendar'!$AO$2795*1000000000+ISNUMBER('Dvd Calendar'!$AO$2796)*100000000+('Dvd Calendar'!$AO$2800='Field Check'!$C$25)*10000000+(N('Dvd Calendar'!$AO$2794)&gt;0)*1000000+46*1000+37))</f>
        <v/>
      </c>
      <c r="AN202" s="41">
        <f>IF(N('Dvd Calendar'!$AP$2795)=0,"",IF(('Dvd Calendar'!$AP$2795&gt;=MIN(DATE(Summary!$C$12,1,1),Summary!$C$11))*('Dvd Calendar'!$AP$2795&lt;=MAX(DATE(Summary!$C$12,12,31),Summary!$C$15))*('Dvd Calendar'!$AP$2795&lt;=Summary!$C$11)=0,"",'Dvd Calendar'!$AP$2795*1000000000+ISNUMBER('Dvd Calendar'!$AP$2796)*100000000+('Dvd Calendar'!$AP$2800='Field Check'!$C$25)*10000000+(N('Dvd Calendar'!$AP$2794)&gt;0)*1000000+46*1000+38))</f>
        <v/>
      </c>
      <c r="AO202" s="41">
        <f>IF(N('Dvd Calendar'!$AQ$2795)=0,"",IF(('Dvd Calendar'!$AQ$2795&gt;=MIN(DATE(Summary!$C$12,1,1),Summary!$C$11))*('Dvd Calendar'!$AQ$2795&lt;=MAX(DATE(Summary!$C$12,12,31),Summary!$C$15))*('Dvd Calendar'!$AQ$2795&lt;=Summary!$C$11)=0,"",'Dvd Calendar'!$AQ$2795*1000000000+ISNUMBER('Dvd Calendar'!$AQ$2796)*100000000+('Dvd Calendar'!$AQ$2800='Field Check'!$C$25)*10000000+(N('Dvd Calendar'!$AQ$2794)&gt;0)*1000000+46*1000+39))</f>
        <v/>
      </c>
      <c r="AP202" s="41">
        <f>IF(N('Dvd Calendar'!$AR$2795)=0,"",IF(('Dvd Calendar'!$AR$2795&gt;=MIN(DATE(Summary!$C$12,1,1),Summary!$C$11))*('Dvd Calendar'!$AR$2795&lt;=MAX(DATE(Summary!$C$12,12,31),Summary!$C$15))*('Dvd Calendar'!$AR$2795&lt;=Summary!$C$11)=0,"",'Dvd Calendar'!$AR$2795*1000000000+ISNUMBER('Dvd Calendar'!$AR$2796)*100000000+('Dvd Calendar'!$AR$2800='Field Check'!$C$25)*10000000+(N('Dvd Calendar'!$AR$2794)&gt;0)*1000000+46*1000+40))</f>
        <v/>
      </c>
      <c r="AQ202" s="41">
        <f>IF(N('Dvd Calendar'!$E$2802)=0,"",IF(('Dvd Calendar'!$E$2802&gt;=MIN(DATE(Summary!$C$12,1,1),Summary!$C$11))*('Dvd Calendar'!$E$2802&lt;=MAX(DATE(Summary!$C$12,12,31),Summary!$C$15))*('Dvd Calendar'!$E$2802&gt;Summary!$C$11)=0,"",'Dvd Calendar'!$E$2802*1000000000+ISNUMBER('Dvd Calendar'!$E$2803)*100000000+('Dvd Calendar'!$E$2807='Field Check'!$C$25)*10000000+(N('Dvd Calendar'!$E$2801)&gt;0)*1000000+46*1000+41))</f>
        <v/>
      </c>
      <c r="AR202" s="41">
        <f>IF(N('Dvd Calendar'!$F$2802)=0,"",IF(('Dvd Calendar'!$F$2802&gt;=MIN(DATE(Summary!$C$12,1,1),Summary!$C$11))*('Dvd Calendar'!$F$2802&lt;=MAX(DATE(Summary!$C$12,12,31),Summary!$C$15))*('Dvd Calendar'!$F$2802&gt;Summary!$C$11)=0,"",'Dvd Calendar'!$F$2802*1000000000+ISNUMBER('Dvd Calendar'!$F$2803)*100000000+('Dvd Calendar'!$F$2807='Field Check'!$C$25)*10000000+(N('Dvd Calendar'!$F$2801)&gt;0)*1000000+46*1000+42))</f>
        <v/>
      </c>
      <c r="AS202" s="41">
        <f>IF(N('Dvd Calendar'!$G$2802)=0,"",IF(('Dvd Calendar'!$G$2802&gt;=MIN(DATE(Summary!$C$12,1,1),Summary!$C$11))*('Dvd Calendar'!$G$2802&lt;=MAX(DATE(Summary!$C$12,12,31),Summary!$C$15))*('Dvd Calendar'!$G$2802&gt;Summary!$C$11)=0,"",'Dvd Calendar'!$G$2802*1000000000+ISNUMBER('Dvd Calendar'!$G$2803)*100000000+('Dvd Calendar'!$G$2807='Field Check'!$C$25)*10000000+(N('Dvd Calendar'!$G$2801)&gt;0)*1000000+46*1000+43))</f>
        <v/>
      </c>
      <c r="AT202" s="41">
        <f>IF(N('Dvd Calendar'!$H$2802)=0,"",IF(('Dvd Calendar'!$H$2802&gt;=MIN(DATE(Summary!$C$12,1,1),Summary!$C$11))*('Dvd Calendar'!$H$2802&lt;=MAX(DATE(Summary!$C$12,12,31),Summary!$C$15))*('Dvd Calendar'!$H$2802&gt;Summary!$C$11)=0,"",'Dvd Calendar'!$H$2802*1000000000+ISNUMBER('Dvd Calendar'!$H$2803)*100000000+('Dvd Calendar'!$H$2807='Field Check'!$C$25)*10000000+(N('Dvd Calendar'!$H$2801)&gt;0)*1000000+46*1000+44))</f>
        <v/>
      </c>
      <c r="AU202" s="41">
        <f>IF(N('Dvd Calendar'!$I$2802)=0,"",IF(('Dvd Calendar'!$I$2802&gt;=MIN(DATE(Summary!$C$12,1,1),Summary!$C$11))*('Dvd Calendar'!$I$2802&lt;=MAX(DATE(Summary!$C$12,12,31),Summary!$C$15))*('Dvd Calendar'!$I$2802&gt;Summary!$C$11)=0,"",'Dvd Calendar'!$I$2802*1000000000+ISNUMBER('Dvd Calendar'!$I$2803)*100000000+('Dvd Calendar'!$I$2807='Field Check'!$C$25)*10000000+(N('Dvd Calendar'!$I$2801)&gt;0)*1000000+46*1000+45))</f>
        <v/>
      </c>
      <c r="AV202" s="41">
        <f>IF(N('Dvd Calendar'!$J$2802)=0,"",IF(('Dvd Calendar'!$J$2802&gt;=MIN(DATE(Summary!$C$12,1,1),Summary!$C$11))*('Dvd Calendar'!$J$2802&lt;=MAX(DATE(Summary!$C$12,12,31),Summary!$C$15))*('Dvd Calendar'!$J$2802&gt;Summary!$C$11)=0,"",'Dvd Calendar'!$J$2802*1000000000+ISNUMBER('Dvd Calendar'!$J$2803)*100000000+('Dvd Calendar'!$J$2807='Field Check'!$C$25)*10000000+(N('Dvd Calendar'!$J$2801)&gt;0)*1000000+46*1000+46))</f>
        <v/>
      </c>
      <c r="AW202" s="41">
        <f>IF(N('Dvd Calendar'!$K$2802)=0,"",IF(('Dvd Calendar'!$K$2802&gt;=MIN(DATE(Summary!$C$12,1,1),Summary!$C$11))*('Dvd Calendar'!$K$2802&lt;=MAX(DATE(Summary!$C$12,12,31),Summary!$C$15))*('Dvd Calendar'!$K$2802&gt;Summary!$C$11)=0,"",'Dvd Calendar'!$K$2802*1000000000+ISNUMBER('Dvd Calendar'!$K$2803)*100000000+('Dvd Calendar'!$K$2807='Field Check'!$C$25)*10000000+(N('Dvd Calendar'!$K$2801)&gt;0)*1000000+46*1000+47))</f>
        <v/>
      </c>
      <c r="AX202" s="41">
        <f>IF(N('Dvd Calendar'!$L$2802)=0,"",IF(('Dvd Calendar'!$L$2802&gt;=MIN(DATE(Summary!$C$12,1,1),Summary!$C$11))*('Dvd Calendar'!$L$2802&lt;=MAX(DATE(Summary!$C$12,12,31),Summary!$C$15))*('Dvd Calendar'!$L$2802&gt;Summary!$C$11)=0,"",'Dvd Calendar'!$L$2802*1000000000+ISNUMBER('Dvd Calendar'!$L$2803)*100000000+('Dvd Calendar'!$L$2807='Field Check'!$C$25)*10000000+(N('Dvd Calendar'!$L$2801)&gt;0)*1000000+46*1000+48))</f>
        <v/>
      </c>
      <c r="AY202" s="41">
        <f>IF(N('Dvd Calendar'!$M$2802)=0,"",IF(('Dvd Calendar'!$M$2802&gt;=MIN(DATE(Summary!$C$12,1,1),Summary!$C$11))*('Dvd Calendar'!$M$2802&lt;=MAX(DATE(Summary!$C$12,12,31),Summary!$C$15))*('Dvd Calendar'!$M$2802&gt;Summary!$C$11)=0,"",'Dvd Calendar'!$M$2802*1000000000+ISNUMBER('Dvd Calendar'!$M$2803)*100000000+('Dvd Calendar'!$M$2807='Field Check'!$C$25)*10000000+(N('Dvd Calendar'!$M$2801)&gt;0)*1000000+46*1000+49))</f>
        <v/>
      </c>
      <c r="AZ202" s="41">
        <f>IF(N('Dvd Calendar'!$N$2802)=0,"",IF(('Dvd Calendar'!$N$2802&gt;=MIN(DATE(Summary!$C$12,1,1),Summary!$C$11))*('Dvd Calendar'!$N$2802&lt;=MAX(DATE(Summary!$C$12,12,31),Summary!$C$15))*('Dvd Calendar'!$N$2802&gt;Summary!$C$11)=0,"",'Dvd Calendar'!$N$2802*1000000000+ISNUMBER('Dvd Calendar'!$N$2803)*100000000+('Dvd Calendar'!$N$2807='Field Check'!$C$25)*10000000+(N('Dvd Calendar'!$N$2801)&gt;0)*1000000+46*1000+50))</f>
        <v/>
      </c>
      <c r="BA202" s="41">
        <f>IF(N('Dvd Calendar'!$O$2802)=0,"",IF(('Dvd Calendar'!$O$2802&gt;=MIN(DATE(Summary!$C$12,1,1),Summary!$C$11))*('Dvd Calendar'!$O$2802&lt;=MAX(DATE(Summary!$C$12,12,31),Summary!$C$15))*('Dvd Calendar'!$O$2802&gt;Summary!$C$11)=0,"",'Dvd Calendar'!$O$2802*1000000000+ISNUMBER('Dvd Calendar'!$O$2803)*100000000+('Dvd Calendar'!$O$2807='Field Check'!$C$25)*10000000+(N('Dvd Calendar'!$O$2801)&gt;0)*1000000+46*1000+51))</f>
        <v/>
      </c>
      <c r="BB202" s="41">
        <f>IF(N('Dvd Calendar'!$P$2802)=0,"",IF(('Dvd Calendar'!$P$2802&gt;=MIN(DATE(Summary!$C$12,1,1),Summary!$C$11))*('Dvd Calendar'!$P$2802&lt;=MAX(DATE(Summary!$C$12,12,31),Summary!$C$15))*('Dvd Calendar'!$P$2802&gt;Summary!$C$11)=0,"",'Dvd Calendar'!$P$2802*1000000000+ISNUMBER('Dvd Calendar'!$P$2803)*100000000+('Dvd Calendar'!$P$2807='Field Check'!$C$25)*10000000+(N('Dvd Calendar'!$P$2801)&gt;0)*1000000+46*1000+52))</f>
        <v/>
      </c>
      <c r="BC202" s="41">
        <f>IF(N('Dvd Calendar'!$Q$2802)=0,"",IF(('Dvd Calendar'!$Q$2802&gt;=MIN(DATE(Summary!$C$12,1,1),Summary!$C$11))*('Dvd Calendar'!$Q$2802&lt;=MAX(DATE(Summary!$C$12,12,31),Summary!$C$15))*('Dvd Calendar'!$Q$2802&gt;Summary!$C$11)=0,"",'Dvd Calendar'!$Q$2802*1000000000+ISNUMBER('Dvd Calendar'!$Q$2803)*100000000+('Dvd Calendar'!$Q$2807='Field Check'!$C$25)*10000000+(N('Dvd Calendar'!$Q$2801)&gt;0)*1000000+46*1000+53))</f>
        <v/>
      </c>
      <c r="BD202" s="41">
        <f>IF(N('Dvd Calendar'!$R$2802)=0,"",IF(('Dvd Calendar'!$R$2802&gt;=MIN(DATE(Summary!$C$12,1,1),Summary!$C$11))*('Dvd Calendar'!$R$2802&lt;=MAX(DATE(Summary!$C$12,12,31),Summary!$C$15))*('Dvd Calendar'!$R$2802&gt;Summary!$C$11)=0,"",'Dvd Calendar'!$R$2802*1000000000+ISNUMBER('Dvd Calendar'!$R$2803)*100000000+('Dvd Calendar'!$R$2807='Field Check'!$C$25)*10000000+(N('Dvd Calendar'!$R$2801)&gt;0)*1000000+46*1000+54))</f>
        <v/>
      </c>
      <c r="BE202" s="41">
        <f>IF(N('Dvd Calendar'!$S$2802)=0,"",IF(('Dvd Calendar'!$S$2802&gt;=MIN(DATE(Summary!$C$12,1,1),Summary!$C$11))*('Dvd Calendar'!$S$2802&lt;=MAX(DATE(Summary!$C$12,12,31),Summary!$C$15))*('Dvd Calendar'!$S$2802&gt;Summary!$C$11)=0,"",'Dvd Calendar'!$S$2802*1000000000+ISNUMBER('Dvd Calendar'!$S$2803)*100000000+('Dvd Calendar'!$S$2807='Field Check'!$C$25)*10000000+(N('Dvd Calendar'!$S$2801)&gt;0)*1000000+46*1000+55))</f>
        <v/>
      </c>
      <c r="BF202" s="41">
        <f>IF(N('Dvd Calendar'!$T$2802)=0,"",IF(('Dvd Calendar'!$T$2802&gt;=MIN(DATE(Summary!$C$12,1,1),Summary!$C$11))*('Dvd Calendar'!$T$2802&lt;=MAX(DATE(Summary!$C$12,12,31),Summary!$C$15))*('Dvd Calendar'!$T$2802&gt;Summary!$C$11)=0,"",'Dvd Calendar'!$T$2802*1000000000+ISNUMBER('Dvd Calendar'!$T$2803)*100000000+('Dvd Calendar'!$T$2807='Field Check'!$C$25)*10000000+(N('Dvd Calendar'!$T$2801)&gt;0)*1000000+46*1000+56))</f>
        <v/>
      </c>
      <c r="BG202" s="41">
        <f>IF(N('Dvd Calendar'!$U$2802)=0,"",IF(('Dvd Calendar'!$U$2802&gt;=MIN(DATE(Summary!$C$12,1,1),Summary!$C$11))*('Dvd Calendar'!$U$2802&lt;=MAX(DATE(Summary!$C$12,12,31),Summary!$C$15))*('Dvd Calendar'!$U$2802&gt;Summary!$C$11)=0,"",'Dvd Calendar'!$U$2802*1000000000+ISNUMBER('Dvd Calendar'!$U$2803)*100000000+('Dvd Calendar'!$U$2807='Field Check'!$C$25)*10000000+(N('Dvd Calendar'!$U$2801)&gt;0)*1000000+46*1000+57))</f>
        <v/>
      </c>
      <c r="BH202" s="41">
        <f>IF(N('Dvd Calendar'!$V$2802)=0,"",IF(('Dvd Calendar'!$V$2802&gt;=MIN(DATE(Summary!$C$12,1,1),Summary!$C$11))*('Dvd Calendar'!$V$2802&lt;=MAX(DATE(Summary!$C$12,12,31),Summary!$C$15))*('Dvd Calendar'!$V$2802&gt;Summary!$C$11)=0,"",'Dvd Calendar'!$V$2802*1000000000+ISNUMBER('Dvd Calendar'!$V$2803)*100000000+('Dvd Calendar'!$V$2807='Field Check'!$C$25)*10000000+(N('Dvd Calendar'!$V$2801)&gt;0)*1000000+46*1000+58))</f>
        <v/>
      </c>
      <c r="BI202" s="41">
        <f>IF(N('Dvd Calendar'!$W$2802)=0,"",IF(('Dvd Calendar'!$W$2802&gt;=MIN(DATE(Summary!$C$12,1,1),Summary!$C$11))*('Dvd Calendar'!$W$2802&lt;=MAX(DATE(Summary!$C$12,12,31),Summary!$C$15))*('Dvd Calendar'!$W$2802&gt;Summary!$C$11)=0,"",'Dvd Calendar'!$W$2802*1000000000+ISNUMBER('Dvd Calendar'!$W$2803)*100000000+('Dvd Calendar'!$W$2807='Field Check'!$C$25)*10000000+(N('Dvd Calendar'!$W$2801)&gt;0)*1000000+46*1000+59))</f>
        <v/>
      </c>
      <c r="BJ202" s="41">
        <f>IF(N('Dvd Calendar'!$X$2802)=0,"",IF(('Dvd Calendar'!$X$2802&gt;=MIN(DATE(Summary!$C$12,1,1),Summary!$C$11))*('Dvd Calendar'!$X$2802&lt;=MAX(DATE(Summary!$C$12,12,31),Summary!$C$15))*('Dvd Calendar'!$X$2802&gt;Summary!$C$11)=0,"",'Dvd Calendar'!$X$2802*1000000000+ISNUMBER('Dvd Calendar'!$X$2803)*100000000+('Dvd Calendar'!$X$2807='Field Check'!$C$25)*10000000+(N('Dvd Calendar'!$X$2801)&gt;0)*1000000+46*1000+60))</f>
        <v/>
      </c>
      <c r="BK202" s="41">
        <f>IF(N('Dvd Calendar'!$Y$2802)=0,"",IF(('Dvd Calendar'!$Y$2802&gt;=MIN(DATE(Summary!$C$12,1,1),Summary!$C$11))*('Dvd Calendar'!$Y$2802&lt;=MAX(DATE(Summary!$C$12,12,31),Summary!$C$15))*('Dvd Calendar'!$Y$2802&gt;Summary!$C$11)=0,"",'Dvd Calendar'!$Y$2802*1000000000+ISNUMBER('Dvd Calendar'!$Y$2803)*100000000+('Dvd Calendar'!$Y$2807='Field Check'!$C$25)*10000000+(N('Dvd Calendar'!$Y$2801)&gt;0)*1000000+46*1000+61))</f>
        <v/>
      </c>
      <c r="BL202" s="41">
        <f>IF(N('Dvd Calendar'!$Z$2802)=0,"",IF(('Dvd Calendar'!$Z$2802&gt;=MIN(DATE(Summary!$C$12,1,1),Summary!$C$11))*('Dvd Calendar'!$Z$2802&lt;=MAX(DATE(Summary!$C$12,12,31),Summary!$C$15))*('Dvd Calendar'!$Z$2802&gt;Summary!$C$11)=0,"",'Dvd Calendar'!$Z$2802*1000000000+ISNUMBER('Dvd Calendar'!$Z$2803)*100000000+('Dvd Calendar'!$Z$2807='Field Check'!$C$25)*10000000+(N('Dvd Calendar'!$Z$2801)&gt;0)*1000000+46*1000+62))</f>
        <v/>
      </c>
      <c r="BM202" s="41">
        <f>IF(N('Dvd Calendar'!$AA$2802)=0,"",IF(('Dvd Calendar'!$AA$2802&gt;=MIN(DATE(Summary!$C$12,1,1),Summary!$C$11))*('Dvd Calendar'!$AA$2802&lt;=MAX(DATE(Summary!$C$12,12,31),Summary!$C$15))*('Dvd Calendar'!$AA$2802&gt;Summary!$C$11)=0,"",'Dvd Calendar'!$AA$2802*1000000000+ISNUMBER('Dvd Calendar'!$AA$2803)*100000000+('Dvd Calendar'!$AA$2807='Field Check'!$C$25)*10000000+(N('Dvd Calendar'!$AA$2801)&gt;0)*1000000+46*1000+63))</f>
        <v/>
      </c>
      <c r="BN202" s="41">
        <f>IF(N('Dvd Calendar'!$AB$2802)=0,"",IF(('Dvd Calendar'!$AB$2802&gt;=MIN(DATE(Summary!$C$12,1,1),Summary!$C$11))*('Dvd Calendar'!$AB$2802&lt;=MAX(DATE(Summary!$C$12,12,31),Summary!$C$15))*('Dvd Calendar'!$AB$2802&gt;Summary!$C$11)=0,"",'Dvd Calendar'!$AB$2802*1000000000+ISNUMBER('Dvd Calendar'!$AB$2803)*100000000+('Dvd Calendar'!$AB$2807='Field Check'!$C$25)*10000000+(N('Dvd Calendar'!$AB$2801)&gt;0)*1000000+46*1000+64))</f>
        <v/>
      </c>
      <c r="BO202" s="41">
        <f>IF(N('Dvd Calendar'!$AC$2802)=0,"",IF(('Dvd Calendar'!$AC$2802&gt;=MIN(DATE(Summary!$C$12,1,1),Summary!$C$11))*('Dvd Calendar'!$AC$2802&lt;=MAX(DATE(Summary!$C$12,12,31),Summary!$C$15))*('Dvd Calendar'!$AC$2802&gt;Summary!$C$11)=0,"",'Dvd Calendar'!$AC$2802*1000000000+ISNUMBER('Dvd Calendar'!$AC$2803)*100000000+('Dvd Calendar'!$AC$2807='Field Check'!$C$25)*10000000+(N('Dvd Calendar'!$AC$2801)&gt;0)*1000000+46*1000+65))</f>
        <v/>
      </c>
      <c r="BQ202" s="85">
        <f>IF(C202="","",IF(ISNUMBER('Dvd Calendar'!$E$2796)=FALSE,"",IF((Summary!$C$13="N")*('Dvd Calendar'!$E$2800='Field Check'!$C$25)&gt;0,"",'Dvd Calendar'!$E$2796)))</f>
        <v/>
      </c>
      <c r="BR202" s="85">
        <f>IF(D202="","",IF(ISNUMBER('Dvd Calendar'!$F$2796)=FALSE,"",IF((Summary!$C$13="N")*('Dvd Calendar'!$F$2800='Field Check'!$C$25)&gt;0,"",'Dvd Calendar'!$F$2796)))</f>
        <v/>
      </c>
      <c r="BS202" s="85">
        <f>IF(E202="","",IF(ISNUMBER('Dvd Calendar'!$G$2796)=FALSE,"",IF((Summary!$C$13="N")*('Dvd Calendar'!$G$2800='Field Check'!$C$25)&gt;0,"",'Dvd Calendar'!$G$2796)))</f>
        <v/>
      </c>
      <c r="BT202" s="85">
        <f>IF(F202="","",IF(ISNUMBER('Dvd Calendar'!$H$2796)=FALSE,"",IF((Summary!$C$13="N")*('Dvd Calendar'!$H$2800='Field Check'!$C$25)&gt;0,"",'Dvd Calendar'!$H$2796)))</f>
        <v/>
      </c>
      <c r="BU202" s="85">
        <f>IF(G202="","",IF(ISNUMBER('Dvd Calendar'!$I$2796)=FALSE,"",IF((Summary!$C$13="N")*('Dvd Calendar'!$I$2800='Field Check'!$C$25)&gt;0,"",'Dvd Calendar'!$I$2796)))</f>
        <v/>
      </c>
      <c r="BV202" s="85">
        <f>IF(H202="","",IF(ISNUMBER('Dvd Calendar'!$J$2796)=FALSE,"",IF((Summary!$C$13="N")*('Dvd Calendar'!$J$2800='Field Check'!$C$25)&gt;0,"",'Dvd Calendar'!$J$2796)))</f>
        <v/>
      </c>
      <c r="BW202" s="85">
        <f>IF(I202="","",IF(ISNUMBER('Dvd Calendar'!$K$2796)=FALSE,"",IF((Summary!$C$13="N")*('Dvd Calendar'!$K$2800='Field Check'!$C$25)&gt;0,"",'Dvd Calendar'!$K$2796)))</f>
        <v/>
      </c>
      <c r="BX202" s="85">
        <f>IF(J202="","",IF(ISNUMBER('Dvd Calendar'!$L$2796)=FALSE,"",IF((Summary!$C$13="N")*('Dvd Calendar'!$L$2800='Field Check'!$C$25)&gt;0,"",'Dvd Calendar'!$L$2796)))</f>
        <v/>
      </c>
      <c r="BY202" s="85">
        <f>IF(K202="","",IF(ISNUMBER('Dvd Calendar'!$M$2796)=FALSE,"",IF((Summary!$C$13="N")*('Dvd Calendar'!$M$2800='Field Check'!$C$25)&gt;0,"",'Dvd Calendar'!$M$2796)))</f>
        <v/>
      </c>
      <c r="BZ202" s="85">
        <f>IF(L202="","",IF(ISNUMBER('Dvd Calendar'!$N$2796)=FALSE,"",IF((Summary!$C$13="N")*('Dvd Calendar'!$N$2800='Field Check'!$C$25)&gt;0,"",'Dvd Calendar'!$N$2796)))</f>
        <v/>
      </c>
      <c r="CA202" s="85">
        <f>IF(M202="","",IF(ISNUMBER('Dvd Calendar'!$O$2796)=FALSE,"",IF((Summary!$C$13="N")*('Dvd Calendar'!$O$2800='Field Check'!$C$25)&gt;0,"",'Dvd Calendar'!$O$2796)))</f>
        <v/>
      </c>
      <c r="CB202" s="85">
        <f>IF(N202="","",IF(ISNUMBER('Dvd Calendar'!$P$2796)=FALSE,"",IF((Summary!$C$13="N")*('Dvd Calendar'!$P$2800='Field Check'!$C$25)&gt;0,"",'Dvd Calendar'!$P$2796)))</f>
        <v/>
      </c>
      <c r="CC202" s="85">
        <f>IF(O202="","",IF(ISNUMBER('Dvd Calendar'!$Q$2796)=FALSE,"",IF((Summary!$C$13="N")*('Dvd Calendar'!$Q$2800='Field Check'!$C$25)&gt;0,"",'Dvd Calendar'!$Q$2796)))</f>
        <v/>
      </c>
      <c r="CD202" s="85">
        <f>IF(P202="","",IF(ISNUMBER('Dvd Calendar'!$R$2796)=FALSE,"",IF((Summary!$C$13="N")*('Dvd Calendar'!$R$2800='Field Check'!$C$25)&gt;0,"",'Dvd Calendar'!$R$2796)))</f>
        <v/>
      </c>
      <c r="CE202" s="85">
        <f>IF(Q202="","",IF(ISNUMBER('Dvd Calendar'!$S$2796)=FALSE,"",IF((Summary!$C$13="N")*('Dvd Calendar'!$S$2800='Field Check'!$C$25)&gt;0,"",'Dvd Calendar'!$S$2796)))</f>
        <v/>
      </c>
      <c r="CF202" s="85">
        <f>IF(R202="","",IF(ISNUMBER('Dvd Calendar'!$T$2796)=FALSE,"",IF((Summary!$C$13="N")*('Dvd Calendar'!$T$2800='Field Check'!$C$25)&gt;0,"",'Dvd Calendar'!$T$2796)))</f>
        <v/>
      </c>
      <c r="CG202" s="85">
        <f>IF(S202="","",IF(ISNUMBER('Dvd Calendar'!$U$2796)=FALSE,"",IF((Summary!$C$13="N")*('Dvd Calendar'!$U$2800='Field Check'!$C$25)&gt;0,"",'Dvd Calendar'!$U$2796)))</f>
        <v/>
      </c>
      <c r="CH202" s="85">
        <f>IF(T202="","",IF(ISNUMBER('Dvd Calendar'!$V$2796)=FALSE,"",IF((Summary!$C$13="N")*('Dvd Calendar'!$V$2800='Field Check'!$C$25)&gt;0,"",'Dvd Calendar'!$V$2796)))</f>
        <v/>
      </c>
      <c r="CI202" s="85">
        <f>IF(U202="","",IF(ISNUMBER('Dvd Calendar'!$W$2796)=FALSE,"",IF((Summary!$C$13="N")*('Dvd Calendar'!$W$2800='Field Check'!$C$25)&gt;0,"",'Dvd Calendar'!$W$2796)))</f>
        <v/>
      </c>
      <c r="CJ202" s="85">
        <f>IF(V202="","",IF(ISNUMBER('Dvd Calendar'!$X$2796)=FALSE,"",IF((Summary!$C$13="N")*('Dvd Calendar'!$X$2800='Field Check'!$C$25)&gt;0,"",'Dvd Calendar'!$X$2796)))</f>
        <v/>
      </c>
      <c r="CK202" s="85">
        <f>IF(W202="","",IF(ISNUMBER('Dvd Calendar'!$Y$2796)=FALSE,"",IF((Summary!$C$13="N")*('Dvd Calendar'!$Y$2800='Field Check'!$C$25)&gt;0,"",'Dvd Calendar'!$Y$2796)))</f>
        <v/>
      </c>
      <c r="CL202" s="85">
        <f>IF(X202="","",IF(ISNUMBER('Dvd Calendar'!$Z$2796)=FALSE,"",IF((Summary!$C$13="N")*('Dvd Calendar'!$Z$2800='Field Check'!$C$25)&gt;0,"",'Dvd Calendar'!$Z$2796)))</f>
        <v/>
      </c>
      <c r="CM202" s="85">
        <f>IF(Y202="","",IF(ISNUMBER('Dvd Calendar'!$AA$2796)=FALSE,"",IF((Summary!$C$13="N")*('Dvd Calendar'!$AA$2800='Field Check'!$C$25)&gt;0,"",'Dvd Calendar'!$AA$2796)))</f>
        <v/>
      </c>
      <c r="CN202" s="85">
        <f>IF(Z202="","",IF(ISNUMBER('Dvd Calendar'!$AB$2796)=FALSE,"",IF((Summary!$C$13="N")*('Dvd Calendar'!$AB$2800='Field Check'!$C$25)&gt;0,"",'Dvd Calendar'!$AB$2796)))</f>
        <v/>
      </c>
      <c r="CO202" s="85">
        <f>IF(AA202="","",IF(ISNUMBER('Dvd Calendar'!$AC$2796)=FALSE,"",IF((Summary!$C$13="N")*('Dvd Calendar'!$AC$2800='Field Check'!$C$25)&gt;0,"",'Dvd Calendar'!$AC$2796)))</f>
        <v/>
      </c>
      <c r="CP202" s="85">
        <f>IF(AB202="","",IF(ISNUMBER('Dvd Calendar'!$AD$2796)=FALSE,"",IF((Summary!$C$13="N")*('Dvd Calendar'!$AD$2800='Field Check'!$C$25)&gt;0,"",'Dvd Calendar'!$AD$2796)))</f>
        <v/>
      </c>
      <c r="CQ202" s="85">
        <f>IF(AC202="","",IF(ISNUMBER('Dvd Calendar'!$AE$2796)=FALSE,"",IF((Summary!$C$13="N")*('Dvd Calendar'!$AE$2800='Field Check'!$C$25)&gt;0,"",'Dvd Calendar'!$AE$2796)))</f>
        <v/>
      </c>
      <c r="CR202" s="85">
        <f>IF(AD202="","",IF(ISNUMBER('Dvd Calendar'!$AF$2796)=FALSE,"",IF((Summary!$C$13="N")*('Dvd Calendar'!$AF$2800='Field Check'!$C$25)&gt;0,"",'Dvd Calendar'!$AF$2796)))</f>
        <v/>
      </c>
      <c r="CS202" s="85">
        <f>IF(AE202="","",IF(ISNUMBER('Dvd Calendar'!$AG$2796)=FALSE,"",IF((Summary!$C$13="N")*('Dvd Calendar'!$AG$2800='Field Check'!$C$25)&gt;0,"",'Dvd Calendar'!$AG$2796)))</f>
        <v/>
      </c>
      <c r="CT202" s="85">
        <f>IF(AF202="","",IF(ISNUMBER('Dvd Calendar'!$AH$2796)=FALSE,"",IF((Summary!$C$13="N")*('Dvd Calendar'!$AH$2800='Field Check'!$C$25)&gt;0,"",'Dvd Calendar'!$AH$2796)))</f>
        <v/>
      </c>
      <c r="CU202" s="85">
        <f>IF(AG202="","",IF(ISNUMBER('Dvd Calendar'!$AI$2796)=FALSE,"",IF((Summary!$C$13="N")*('Dvd Calendar'!$AI$2800='Field Check'!$C$25)&gt;0,"",'Dvd Calendar'!$AI$2796)))</f>
        <v/>
      </c>
      <c r="CV202" s="85">
        <f>IF(AH202="","",IF(ISNUMBER('Dvd Calendar'!$AJ$2796)=FALSE,"",IF((Summary!$C$13="N")*('Dvd Calendar'!$AJ$2800='Field Check'!$C$25)&gt;0,"",'Dvd Calendar'!$AJ$2796)))</f>
        <v/>
      </c>
      <c r="CW202" s="85">
        <f>IF(AI202="","",IF(ISNUMBER('Dvd Calendar'!$AK$2796)=FALSE,"",IF((Summary!$C$13="N")*('Dvd Calendar'!$AK$2800='Field Check'!$C$25)&gt;0,"",'Dvd Calendar'!$AK$2796)))</f>
        <v/>
      </c>
      <c r="CX202" s="85">
        <f>IF(AJ202="","",IF(ISNUMBER('Dvd Calendar'!$AL$2796)=FALSE,"",IF((Summary!$C$13="N")*('Dvd Calendar'!$AL$2800='Field Check'!$C$25)&gt;0,"",'Dvd Calendar'!$AL$2796)))</f>
        <v/>
      </c>
      <c r="CY202" s="85">
        <f>IF(AK202="","",IF(ISNUMBER('Dvd Calendar'!$AM$2796)=FALSE,"",IF((Summary!$C$13="N")*('Dvd Calendar'!$AM$2800='Field Check'!$C$25)&gt;0,"",'Dvd Calendar'!$AM$2796)))</f>
        <v/>
      </c>
      <c r="CZ202" s="85">
        <f>IF(AL202="","",IF(ISNUMBER('Dvd Calendar'!$AN$2796)=FALSE,"",IF((Summary!$C$13="N")*('Dvd Calendar'!$AN$2800='Field Check'!$C$25)&gt;0,"",'Dvd Calendar'!$AN$2796)))</f>
        <v/>
      </c>
      <c r="DA202" s="85">
        <f>IF(AM202="","",IF(ISNUMBER('Dvd Calendar'!$AO$2796)=FALSE,"",IF((Summary!$C$13="N")*('Dvd Calendar'!$AO$2800='Field Check'!$C$25)&gt;0,"",'Dvd Calendar'!$AO$2796)))</f>
        <v/>
      </c>
      <c r="DB202" s="85">
        <f>IF(AN202="","",IF(ISNUMBER('Dvd Calendar'!$AP$2796)=FALSE,"",IF((Summary!$C$13="N")*('Dvd Calendar'!$AP$2800='Field Check'!$C$25)&gt;0,"",'Dvd Calendar'!$AP$2796)))</f>
        <v/>
      </c>
      <c r="DC202" s="85">
        <f>IF(AO202="","",IF(ISNUMBER('Dvd Calendar'!$AQ$2796)=FALSE,"",IF((Summary!$C$13="N")*('Dvd Calendar'!$AQ$2800='Field Check'!$C$25)&gt;0,"",'Dvd Calendar'!$AQ$2796)))</f>
        <v/>
      </c>
      <c r="DD202" s="85">
        <f>IF(AP202="","",IF(ISNUMBER('Dvd Calendar'!$AR$2796)=FALSE,"",IF((Summary!$C$13="N")*('Dvd Calendar'!$AR$2800='Field Check'!$C$25)&gt;0,"",'Dvd Calendar'!$AR$2796)))</f>
        <v/>
      </c>
      <c r="DE202" s="85">
        <f>IF(AQ202="","",IF(ISNUMBER('Dvd Calendar'!$E$2803)=FALSE,"",IF((Summary!$C$13="N")*('Dvd Calendar'!$E$2807='Field Check'!$C$25)&gt;0,"",'Dvd Calendar'!$E$2803)))</f>
        <v/>
      </c>
      <c r="DF202" s="85">
        <f>IF(AR202="","",IF(ISNUMBER('Dvd Calendar'!$F$2803)=FALSE,"",IF((Summary!$C$13="N")*('Dvd Calendar'!$F$2807='Field Check'!$C$25)&gt;0,"",'Dvd Calendar'!$F$2803)))</f>
        <v/>
      </c>
      <c r="DG202" s="85">
        <f>IF(AS202="","",IF(ISNUMBER('Dvd Calendar'!$G$2803)=FALSE,"",IF((Summary!$C$13="N")*('Dvd Calendar'!$G$2807='Field Check'!$C$25)&gt;0,"",'Dvd Calendar'!$G$2803)))</f>
        <v/>
      </c>
      <c r="DH202" s="85">
        <f>IF(AT202="","",IF(ISNUMBER('Dvd Calendar'!$H$2803)=FALSE,"",IF((Summary!$C$13="N")*('Dvd Calendar'!$H$2807='Field Check'!$C$25)&gt;0,"",'Dvd Calendar'!$H$2803)))</f>
        <v/>
      </c>
      <c r="DI202" s="85">
        <f>IF(AU202="","",IF(ISNUMBER('Dvd Calendar'!$I$2803)=FALSE,"",IF((Summary!$C$13="N")*('Dvd Calendar'!$I$2807='Field Check'!$C$25)&gt;0,"",'Dvd Calendar'!$I$2803)))</f>
        <v/>
      </c>
      <c r="DJ202" s="85">
        <f>IF(AV202="","",IF(ISNUMBER('Dvd Calendar'!$J$2803)=FALSE,"",IF((Summary!$C$13="N")*('Dvd Calendar'!$J$2807='Field Check'!$C$25)&gt;0,"",'Dvd Calendar'!$J$2803)))</f>
        <v/>
      </c>
      <c r="DK202" s="85">
        <f>IF(AW202="","",IF(ISNUMBER('Dvd Calendar'!$K$2803)=FALSE,"",IF((Summary!$C$13="N")*('Dvd Calendar'!$K$2807='Field Check'!$C$25)&gt;0,"",'Dvd Calendar'!$K$2803)))</f>
        <v/>
      </c>
      <c r="DL202" s="85">
        <f>IF(AX202="","",IF(ISNUMBER('Dvd Calendar'!$L$2803)=FALSE,"",IF((Summary!$C$13="N")*('Dvd Calendar'!$L$2807='Field Check'!$C$25)&gt;0,"",'Dvd Calendar'!$L$2803)))</f>
        <v/>
      </c>
      <c r="DM202" s="85">
        <f>IF(AY202="","",IF(ISNUMBER('Dvd Calendar'!$M$2803)=FALSE,"",IF((Summary!$C$13="N")*('Dvd Calendar'!$M$2807='Field Check'!$C$25)&gt;0,"",'Dvd Calendar'!$M$2803)))</f>
        <v/>
      </c>
      <c r="DN202" s="85">
        <f>IF(AZ202="","",IF(ISNUMBER('Dvd Calendar'!$N$2803)=FALSE,"",IF((Summary!$C$13="N")*('Dvd Calendar'!$N$2807='Field Check'!$C$25)&gt;0,"",'Dvd Calendar'!$N$2803)))</f>
        <v/>
      </c>
      <c r="DO202" s="85">
        <f>IF(BA202="","",IF(ISNUMBER('Dvd Calendar'!$O$2803)=FALSE,"",IF((Summary!$C$13="N")*('Dvd Calendar'!$O$2807='Field Check'!$C$25)&gt;0,"",'Dvd Calendar'!$O$2803)))</f>
        <v/>
      </c>
      <c r="DP202" s="85">
        <f>IF(BB202="","",IF(ISNUMBER('Dvd Calendar'!$P$2803)=FALSE,"",IF((Summary!$C$13="N")*('Dvd Calendar'!$P$2807='Field Check'!$C$25)&gt;0,"",'Dvd Calendar'!$P$2803)))</f>
        <v/>
      </c>
      <c r="DQ202" s="85">
        <f>IF(BC202="","",IF(ISNUMBER('Dvd Calendar'!$Q$2803)=FALSE,"",IF((Summary!$C$13="N")*('Dvd Calendar'!$Q$2807='Field Check'!$C$25)&gt;0,"",'Dvd Calendar'!$Q$2803)))</f>
        <v/>
      </c>
      <c r="DR202" s="85">
        <f>IF(BD202="","",IF(ISNUMBER('Dvd Calendar'!$R$2803)=FALSE,"",IF((Summary!$C$13="N")*('Dvd Calendar'!$R$2807='Field Check'!$C$25)&gt;0,"",'Dvd Calendar'!$R$2803)))</f>
        <v/>
      </c>
      <c r="DS202" s="85">
        <f>IF(BE202="","",IF(ISNUMBER('Dvd Calendar'!$S$2803)=FALSE,"",IF((Summary!$C$13="N")*('Dvd Calendar'!$S$2807='Field Check'!$C$25)&gt;0,"",'Dvd Calendar'!$S$2803)))</f>
        <v/>
      </c>
      <c r="DT202" s="85">
        <f>IF(BF202="","",IF(ISNUMBER('Dvd Calendar'!$T$2803)=FALSE,"",IF((Summary!$C$13="N")*('Dvd Calendar'!$T$2807='Field Check'!$C$25)&gt;0,"",'Dvd Calendar'!$T$2803)))</f>
        <v/>
      </c>
      <c r="DU202" s="85">
        <f>IF(BG202="","",IF(ISNUMBER('Dvd Calendar'!$U$2803)=FALSE,"",IF((Summary!$C$13="N")*('Dvd Calendar'!$U$2807='Field Check'!$C$25)&gt;0,"",'Dvd Calendar'!$U$2803)))</f>
        <v/>
      </c>
      <c r="DV202" s="85">
        <f>IF(BH202="","",IF(ISNUMBER('Dvd Calendar'!$V$2803)=FALSE,"",IF((Summary!$C$13="N")*('Dvd Calendar'!$V$2807='Field Check'!$C$25)&gt;0,"",'Dvd Calendar'!$V$2803)))</f>
        <v/>
      </c>
      <c r="DW202" s="85">
        <f>IF(BI202="","",IF(ISNUMBER('Dvd Calendar'!$W$2803)=FALSE,"",IF((Summary!$C$13="N")*('Dvd Calendar'!$W$2807='Field Check'!$C$25)&gt;0,"",'Dvd Calendar'!$W$2803)))</f>
        <v/>
      </c>
      <c r="DX202" s="85">
        <f>IF(BJ202="","",IF(ISNUMBER('Dvd Calendar'!$X$2803)=FALSE,"",IF((Summary!$C$13="N")*('Dvd Calendar'!$X$2807='Field Check'!$C$25)&gt;0,"",'Dvd Calendar'!$X$2803)))</f>
        <v/>
      </c>
      <c r="DY202" s="85">
        <f>IF(BK202="","",IF(ISNUMBER('Dvd Calendar'!$Y$2803)=FALSE,"",IF((Summary!$C$13="N")*('Dvd Calendar'!$Y$2807='Field Check'!$C$25)&gt;0,"",'Dvd Calendar'!$Y$2803)))</f>
        <v/>
      </c>
      <c r="DZ202" s="85">
        <f>IF(BL202="","",IF(ISNUMBER('Dvd Calendar'!$Z$2803)=FALSE,"",IF((Summary!$C$13="N")*('Dvd Calendar'!$Z$2807='Field Check'!$C$25)&gt;0,"",'Dvd Calendar'!$Z$2803)))</f>
        <v/>
      </c>
      <c r="EA202" s="85">
        <f>IF(BM202="","",IF(ISNUMBER('Dvd Calendar'!$AA$2803)=FALSE,"",IF((Summary!$C$13="N")*('Dvd Calendar'!$AA$2807='Field Check'!$C$25)&gt;0,"",'Dvd Calendar'!$AA$2803)))</f>
        <v/>
      </c>
      <c r="EB202" s="85">
        <f>IF(BN202="","",IF(ISNUMBER('Dvd Calendar'!$AB$2803)=FALSE,"",IF((Summary!$C$13="N")*('Dvd Calendar'!$AB$2807='Field Check'!$C$25)&gt;0,"",'Dvd Calendar'!$AB$2803)))</f>
        <v/>
      </c>
      <c r="EC202" s="85">
        <f>IF(BO202="","",IF(ISNUMBER('Dvd Calendar'!$AC$2803)=FALSE,"",IF((Summary!$C$13="N")*('Dvd Calendar'!$AC$2807='Field Check'!$C$25)&gt;0,"",'Dvd Calendar'!$AC$2803)))</f>
        <v/>
      </c>
      <c r="EE202" s="85">
        <f>IF(BQ202="","",IFERROR(BQ202*HSCEI!$B$52*HSCEI!$G$52/HSCEI!$B$3,""))</f>
        <v/>
      </c>
      <c r="EF202" s="85">
        <f>IF(BR202="","",IFERROR(BR202*HSCEI!$B$52*HSCEI!$G$52/HSCEI!$B$3,""))</f>
        <v/>
      </c>
      <c r="EG202" s="85">
        <f>IF(BS202="","",IFERROR(BS202*HSCEI!$B$52*HSCEI!$G$52/HSCEI!$B$3,""))</f>
        <v/>
      </c>
      <c r="EH202" s="85">
        <f>IF(BT202="","",IFERROR(BT202*HSCEI!$B$52*HSCEI!$G$52/HSCEI!$B$3,""))</f>
        <v/>
      </c>
      <c r="EI202" s="85">
        <f>IF(BU202="","",IFERROR(BU202*HSCEI!$B$52*HSCEI!$G$52/HSCEI!$B$3,""))</f>
        <v/>
      </c>
      <c r="EJ202" s="85">
        <f>IF(BV202="","",IFERROR(BV202*HSCEI!$B$52*HSCEI!$G$52/HSCEI!$B$3,""))</f>
        <v/>
      </c>
      <c r="EK202" s="85">
        <f>IF(BW202="","",IFERROR(BW202*HSCEI!$B$52*HSCEI!$G$52/HSCEI!$B$3,""))</f>
        <v/>
      </c>
      <c r="EL202" s="85">
        <f>IF(BX202="","",IFERROR(BX202*HSCEI!$B$52*HSCEI!$G$52/HSCEI!$B$3,""))</f>
        <v/>
      </c>
      <c r="EM202" s="85">
        <f>IF(BY202="","",IFERROR(BY202*HSCEI!$B$52*HSCEI!$G$52/HSCEI!$B$3,""))</f>
        <v/>
      </c>
      <c r="EN202" s="85">
        <f>IF(BZ202="","",IFERROR(BZ202*HSCEI!$B$52*HSCEI!$G$52/HSCEI!$B$3,""))</f>
        <v/>
      </c>
      <c r="EO202" s="85">
        <f>IF(CA202="","",IFERROR(CA202*HSCEI!$B$52*HSCEI!$G$52/HSCEI!$B$3,""))</f>
        <v/>
      </c>
      <c r="EP202" s="85">
        <f>IF(CB202="","",IFERROR(CB202*HSCEI!$B$52*HSCEI!$G$52/HSCEI!$B$3,""))</f>
        <v/>
      </c>
      <c r="EQ202" s="85">
        <f>IF(CC202="","",IFERROR(CC202*HSCEI!$B$52*HSCEI!$G$52/HSCEI!$B$3,""))</f>
        <v/>
      </c>
      <c r="ER202" s="85">
        <f>IF(CD202="","",IFERROR(CD202*HSCEI!$B$52*HSCEI!$G$52/HSCEI!$B$3,""))</f>
        <v/>
      </c>
      <c r="ES202" s="85">
        <f>IF(CE202="","",IFERROR(CE202*HSCEI!$B$52*HSCEI!$G$52/HSCEI!$B$3,""))</f>
        <v/>
      </c>
      <c r="ET202" s="85">
        <f>IF(CF202="","",IFERROR(CF202*HSCEI!$B$52*HSCEI!$G$52/HSCEI!$B$3,""))</f>
        <v/>
      </c>
      <c r="EU202" s="85">
        <f>IF(CG202="","",IFERROR(CG202*HSCEI!$B$52*HSCEI!$G$52/HSCEI!$B$3,""))</f>
        <v/>
      </c>
      <c r="EV202" s="85">
        <f>IF(CH202="","",IFERROR(CH202*HSCEI!$B$52*HSCEI!$G$52/HSCEI!$B$3,""))</f>
        <v/>
      </c>
      <c r="EW202" s="85">
        <f>IF(CI202="","",IFERROR(CI202*HSCEI!$B$52*HSCEI!$G$52/HSCEI!$B$3,""))</f>
        <v/>
      </c>
      <c r="EX202" s="85">
        <f>IF(CJ202="","",IFERROR(CJ202*HSCEI!$B$52*HSCEI!$G$52/HSCEI!$B$3,""))</f>
        <v/>
      </c>
      <c r="EY202" s="85">
        <f>IF(CK202="","",IFERROR(CK202*HSCEI!$B$52*HSCEI!$G$52/HSCEI!$B$3,""))</f>
        <v/>
      </c>
      <c r="EZ202" s="85">
        <f>IF(CL202="","",IFERROR(CL202*HSCEI!$B$52*HSCEI!$G$52/HSCEI!$B$3,""))</f>
        <v/>
      </c>
      <c r="FA202" s="85">
        <f>IF(CM202="","",IFERROR(CM202*HSCEI!$B$52*HSCEI!$G$52/HSCEI!$B$3,""))</f>
        <v/>
      </c>
      <c r="FB202" s="85">
        <f>IF(CN202="","",IFERROR(CN202*HSCEI!$B$52*HSCEI!$G$52/HSCEI!$B$3,""))</f>
        <v/>
      </c>
      <c r="FC202" s="85">
        <f>IF(CO202="","",IFERROR(CO202*HSCEI!$B$52*HSCEI!$G$52/HSCEI!$B$3,""))</f>
        <v/>
      </c>
      <c r="FD202" s="85">
        <f>IF(CP202="","",IFERROR(CP202*HSCEI!$B$52*HSCEI!$G$52/HSCEI!$B$3,""))</f>
        <v/>
      </c>
      <c r="FE202" s="85">
        <f>IF(CQ202="","",IFERROR(CQ202*HSCEI!$B$52*HSCEI!$G$52/HSCEI!$B$3,""))</f>
        <v/>
      </c>
      <c r="FF202" s="85">
        <f>IF(CR202="","",IFERROR(CR202*HSCEI!$B$52*HSCEI!$G$52/HSCEI!$B$3,""))</f>
        <v/>
      </c>
      <c r="FG202" s="85">
        <f>IF(CS202="","",IFERROR(CS202*HSCEI!$B$52*HSCEI!$G$52/HSCEI!$B$3,""))</f>
        <v/>
      </c>
      <c r="FH202" s="85">
        <f>IF(CT202="","",IFERROR(CT202*HSCEI!$B$52*HSCEI!$G$52/HSCEI!$B$3,""))</f>
        <v/>
      </c>
      <c r="FI202" s="85">
        <f>IF(CU202="","",IFERROR(CU202*HSCEI!$B$52*HSCEI!$G$52/HSCEI!$B$3,""))</f>
        <v/>
      </c>
      <c r="FJ202" s="85">
        <f>IF(CV202="","",IFERROR(CV202*HSCEI!$B$52*HSCEI!$G$52/HSCEI!$B$3,""))</f>
        <v/>
      </c>
      <c r="FK202" s="85">
        <f>IF(CW202="","",IFERROR(CW202*HSCEI!$B$52*HSCEI!$G$52/HSCEI!$B$3,""))</f>
        <v/>
      </c>
      <c r="FL202" s="85">
        <f>IF(CX202="","",IFERROR(CX202*HSCEI!$B$52*HSCEI!$G$52/HSCEI!$B$3,""))</f>
        <v/>
      </c>
      <c r="FM202" s="85">
        <f>IF(CY202="","",IFERROR(CY202*HSCEI!$B$52*HSCEI!$G$52/HSCEI!$B$3,""))</f>
        <v/>
      </c>
      <c r="FN202" s="85">
        <f>IF(CZ202="","",IFERROR(CZ202*HSCEI!$B$52*HSCEI!$G$52/HSCEI!$B$3,""))</f>
        <v/>
      </c>
      <c r="FO202" s="85">
        <f>IF(DA202="","",IFERROR(DA202*HSCEI!$B$52*HSCEI!$G$52/HSCEI!$B$3,""))</f>
        <v/>
      </c>
      <c r="FP202" s="85">
        <f>IF(DB202="","",IFERROR(DB202*HSCEI!$B$52*HSCEI!$G$52/HSCEI!$B$3,""))</f>
        <v/>
      </c>
      <c r="FQ202" s="85">
        <f>IF(DC202="","",IFERROR(DC202*HSCEI!$B$52*HSCEI!$G$52/HSCEI!$B$3,""))</f>
        <v/>
      </c>
      <c r="FR202" s="85">
        <f>IF(DD202="","",IFERROR(DD202*HSCEI!$B$52*HSCEI!$G$52/HSCEI!$B$3,""))</f>
        <v/>
      </c>
      <c r="FS202" s="85">
        <f>IF(DE202="","",IFERROR(DE202*HSCEI!$B$52*HSCEI!$G$52/HSCEI!$B$3,""))</f>
        <v/>
      </c>
      <c r="FT202" s="85">
        <f>IF(DF202="","",IFERROR(DF202*HSCEI!$B$52*HSCEI!$G$52/HSCEI!$B$3,""))</f>
        <v/>
      </c>
      <c r="FU202" s="85">
        <f>IF(DG202="","",IFERROR(DG202*HSCEI!$B$52*HSCEI!$G$52/HSCEI!$B$3,""))</f>
        <v/>
      </c>
      <c r="FV202" s="85">
        <f>IF(DH202="","",IFERROR(DH202*HSCEI!$B$52*HSCEI!$G$52/HSCEI!$B$3,""))</f>
        <v/>
      </c>
      <c r="FW202" s="85">
        <f>IF(DI202="","",IFERROR(DI202*HSCEI!$B$52*HSCEI!$G$52/HSCEI!$B$3,""))</f>
        <v/>
      </c>
      <c r="FX202" s="85">
        <f>IF(DJ202="","",IFERROR(DJ202*HSCEI!$B$52*HSCEI!$G$52/HSCEI!$B$3,""))</f>
        <v/>
      </c>
      <c r="FY202" s="85">
        <f>IF(DK202="","",IFERROR(DK202*HSCEI!$B$52*HSCEI!$G$52/HSCEI!$B$3,""))</f>
        <v/>
      </c>
      <c r="FZ202" s="85">
        <f>IF(DL202="","",IFERROR(DL202*HSCEI!$B$52*HSCEI!$G$52/HSCEI!$B$3,""))</f>
        <v/>
      </c>
      <c r="GA202" s="85">
        <f>IF(DM202="","",IFERROR(DM202*HSCEI!$B$52*HSCEI!$G$52/HSCEI!$B$3,""))</f>
        <v/>
      </c>
      <c r="GB202" s="85">
        <f>IF(DN202="","",IFERROR(DN202*HSCEI!$B$52*HSCEI!$G$52/HSCEI!$B$3,""))</f>
        <v/>
      </c>
      <c r="GC202" s="85">
        <f>IF(DO202="","",IFERROR(DO202*HSCEI!$B$52*HSCEI!$G$52/HSCEI!$B$3,""))</f>
        <v/>
      </c>
      <c r="GD202" s="85">
        <f>IF(DP202="","",IFERROR(DP202*HSCEI!$B$52*HSCEI!$G$52/HSCEI!$B$3,""))</f>
        <v/>
      </c>
      <c r="GE202" s="85">
        <f>IF(DQ202="","",IFERROR(DQ202*HSCEI!$B$52*HSCEI!$G$52/HSCEI!$B$3,""))</f>
        <v/>
      </c>
      <c r="GF202" s="85">
        <f>IF(DR202="","",IFERROR(DR202*HSCEI!$B$52*HSCEI!$G$52/HSCEI!$B$3,""))</f>
        <v/>
      </c>
      <c r="GG202" s="85">
        <f>IF(DS202="","",IFERROR(DS202*HSCEI!$B$52*HSCEI!$G$52/HSCEI!$B$3,""))</f>
        <v/>
      </c>
      <c r="GH202" s="85">
        <f>IF(DT202="","",IFERROR(DT202*HSCEI!$B$52*HSCEI!$G$52/HSCEI!$B$3,""))</f>
        <v/>
      </c>
      <c r="GI202" s="85">
        <f>IF(DU202="","",IFERROR(DU202*HSCEI!$B$52*HSCEI!$G$52/HSCEI!$B$3,""))</f>
        <v/>
      </c>
      <c r="GJ202" s="85">
        <f>IF(DV202="","",IFERROR(DV202*HSCEI!$B$52*HSCEI!$G$52/HSCEI!$B$3,""))</f>
        <v/>
      </c>
      <c r="GK202" s="85">
        <f>IF(DW202="","",IFERROR(DW202*HSCEI!$B$52*HSCEI!$G$52/HSCEI!$B$3,""))</f>
        <v/>
      </c>
      <c r="GL202" s="85">
        <f>IF(DX202="","",IFERROR(DX202*HSCEI!$B$52*HSCEI!$G$52/HSCEI!$B$3,""))</f>
        <v/>
      </c>
      <c r="GM202" s="85">
        <f>IF(DY202="","",IFERROR(DY202*HSCEI!$B$52*HSCEI!$G$52/HSCEI!$B$3,""))</f>
        <v/>
      </c>
      <c r="GN202" s="85">
        <f>IF(DZ202="","",IFERROR(DZ202*HSCEI!$B$52*HSCEI!$G$52/HSCEI!$B$3,""))</f>
        <v/>
      </c>
      <c r="GO202" s="85">
        <f>IF(EA202="","",IFERROR(EA202*HSCEI!$B$52*HSCEI!$G$52/HSCEI!$B$3,""))</f>
        <v/>
      </c>
      <c r="GP202" s="85">
        <f>IF(EB202="","",IFERROR(EB202*HSCEI!$B$52*HSCEI!$G$52/HSCEI!$B$3,""))</f>
        <v/>
      </c>
      <c r="GQ202" s="85">
        <f>IF(EC202="","",IFERROR(EC202*HSCEI!$B$52*HSCEI!$G$52/HSCEI!$B$3,""))</f>
        <v/>
      </c>
    </row>
    <row r="203">
      <c r="B203" s="2">
        <f>IF(HSCEI!$C$53="","",HSCEI!$C$53)</f>
        <v/>
      </c>
      <c r="C203" s="41">
        <f>IF(N('Dvd Calendar'!$E$2810)=0,"",IF(('Dvd Calendar'!$E$2810&gt;=MIN(DATE(Summary!$C$12,1,1),Summary!$C$11))*('Dvd Calendar'!$E$2810&lt;=MAX(DATE(Summary!$C$12,12,31),Summary!$C$15))*('Dvd Calendar'!$E$2810&lt;=Summary!$C$11)=0,"",'Dvd Calendar'!$E$2810*1000000000+ISNUMBER('Dvd Calendar'!$E$2811)*100000000+('Dvd Calendar'!$E$2815='Field Check'!$C$25)*10000000+(N('Dvd Calendar'!$E$2809)&gt;0)*1000000+47*1000+1))</f>
        <v/>
      </c>
      <c r="D203" s="41">
        <f>IF(N('Dvd Calendar'!$F$2810)=0,"",IF(('Dvd Calendar'!$F$2810&gt;=MIN(DATE(Summary!$C$12,1,1),Summary!$C$11))*('Dvd Calendar'!$F$2810&lt;=MAX(DATE(Summary!$C$12,12,31),Summary!$C$15))*('Dvd Calendar'!$F$2810&lt;=Summary!$C$11)=0,"",'Dvd Calendar'!$F$2810*1000000000+ISNUMBER('Dvd Calendar'!$F$2811)*100000000+('Dvd Calendar'!$F$2815='Field Check'!$C$25)*10000000+(N('Dvd Calendar'!$F$2809)&gt;0)*1000000+47*1000+2))</f>
        <v/>
      </c>
      <c r="E203" s="41">
        <f>IF(N('Dvd Calendar'!$G$2810)=0,"",IF(('Dvd Calendar'!$G$2810&gt;=MIN(DATE(Summary!$C$12,1,1),Summary!$C$11))*('Dvd Calendar'!$G$2810&lt;=MAX(DATE(Summary!$C$12,12,31),Summary!$C$15))*('Dvd Calendar'!$G$2810&lt;=Summary!$C$11)=0,"",'Dvd Calendar'!$G$2810*1000000000+ISNUMBER('Dvd Calendar'!$G$2811)*100000000+('Dvd Calendar'!$G$2815='Field Check'!$C$25)*10000000+(N('Dvd Calendar'!$G$2809)&gt;0)*1000000+47*1000+3))</f>
        <v/>
      </c>
      <c r="F203" s="41">
        <f>IF(N('Dvd Calendar'!$H$2810)=0,"",IF(('Dvd Calendar'!$H$2810&gt;=MIN(DATE(Summary!$C$12,1,1),Summary!$C$11))*('Dvd Calendar'!$H$2810&lt;=MAX(DATE(Summary!$C$12,12,31),Summary!$C$15))*('Dvd Calendar'!$H$2810&lt;=Summary!$C$11)=0,"",'Dvd Calendar'!$H$2810*1000000000+ISNUMBER('Dvd Calendar'!$H$2811)*100000000+('Dvd Calendar'!$H$2815='Field Check'!$C$25)*10000000+(N('Dvd Calendar'!$H$2809)&gt;0)*1000000+47*1000+4))</f>
        <v/>
      </c>
      <c r="G203" s="41">
        <f>IF(N('Dvd Calendar'!$I$2810)=0,"",IF(('Dvd Calendar'!$I$2810&gt;=MIN(DATE(Summary!$C$12,1,1),Summary!$C$11))*('Dvd Calendar'!$I$2810&lt;=MAX(DATE(Summary!$C$12,12,31),Summary!$C$15))*('Dvd Calendar'!$I$2810&lt;=Summary!$C$11)=0,"",'Dvd Calendar'!$I$2810*1000000000+ISNUMBER('Dvd Calendar'!$I$2811)*100000000+('Dvd Calendar'!$I$2815='Field Check'!$C$25)*10000000+(N('Dvd Calendar'!$I$2809)&gt;0)*1000000+47*1000+5))</f>
        <v/>
      </c>
      <c r="H203" s="41">
        <f>IF(N('Dvd Calendar'!$J$2810)=0,"",IF(('Dvd Calendar'!$J$2810&gt;=MIN(DATE(Summary!$C$12,1,1),Summary!$C$11))*('Dvd Calendar'!$J$2810&lt;=MAX(DATE(Summary!$C$12,12,31),Summary!$C$15))*('Dvd Calendar'!$J$2810&lt;=Summary!$C$11)=0,"",'Dvd Calendar'!$J$2810*1000000000+ISNUMBER('Dvd Calendar'!$J$2811)*100000000+('Dvd Calendar'!$J$2815='Field Check'!$C$25)*10000000+(N('Dvd Calendar'!$J$2809)&gt;0)*1000000+47*1000+6))</f>
        <v/>
      </c>
      <c r="I203" s="41">
        <f>IF(N('Dvd Calendar'!$K$2810)=0,"",IF(('Dvd Calendar'!$K$2810&gt;=MIN(DATE(Summary!$C$12,1,1),Summary!$C$11))*('Dvd Calendar'!$K$2810&lt;=MAX(DATE(Summary!$C$12,12,31),Summary!$C$15))*('Dvd Calendar'!$K$2810&lt;=Summary!$C$11)=0,"",'Dvd Calendar'!$K$2810*1000000000+ISNUMBER('Dvd Calendar'!$K$2811)*100000000+('Dvd Calendar'!$K$2815='Field Check'!$C$25)*10000000+(N('Dvd Calendar'!$K$2809)&gt;0)*1000000+47*1000+7))</f>
        <v/>
      </c>
      <c r="J203" s="41">
        <f>IF(N('Dvd Calendar'!$L$2810)=0,"",IF(('Dvd Calendar'!$L$2810&gt;=MIN(DATE(Summary!$C$12,1,1),Summary!$C$11))*('Dvd Calendar'!$L$2810&lt;=MAX(DATE(Summary!$C$12,12,31),Summary!$C$15))*('Dvd Calendar'!$L$2810&lt;=Summary!$C$11)=0,"",'Dvd Calendar'!$L$2810*1000000000+ISNUMBER('Dvd Calendar'!$L$2811)*100000000+('Dvd Calendar'!$L$2815='Field Check'!$C$25)*10000000+(N('Dvd Calendar'!$L$2809)&gt;0)*1000000+47*1000+8))</f>
        <v/>
      </c>
      <c r="K203" s="41">
        <f>IF(N('Dvd Calendar'!$M$2810)=0,"",IF(('Dvd Calendar'!$M$2810&gt;=MIN(DATE(Summary!$C$12,1,1),Summary!$C$11))*('Dvd Calendar'!$M$2810&lt;=MAX(DATE(Summary!$C$12,12,31),Summary!$C$15))*('Dvd Calendar'!$M$2810&lt;=Summary!$C$11)=0,"",'Dvd Calendar'!$M$2810*1000000000+ISNUMBER('Dvd Calendar'!$M$2811)*100000000+('Dvd Calendar'!$M$2815='Field Check'!$C$25)*10000000+(N('Dvd Calendar'!$M$2809)&gt;0)*1000000+47*1000+9))</f>
        <v/>
      </c>
      <c r="L203" s="41">
        <f>IF(N('Dvd Calendar'!$N$2810)=0,"",IF(('Dvd Calendar'!$N$2810&gt;=MIN(DATE(Summary!$C$12,1,1),Summary!$C$11))*('Dvd Calendar'!$N$2810&lt;=MAX(DATE(Summary!$C$12,12,31),Summary!$C$15))*('Dvd Calendar'!$N$2810&lt;=Summary!$C$11)=0,"",'Dvd Calendar'!$N$2810*1000000000+ISNUMBER('Dvd Calendar'!$N$2811)*100000000+('Dvd Calendar'!$N$2815='Field Check'!$C$25)*10000000+(N('Dvd Calendar'!$N$2809)&gt;0)*1000000+47*1000+10))</f>
        <v/>
      </c>
      <c r="M203" s="41">
        <f>IF(N('Dvd Calendar'!$O$2810)=0,"",IF(('Dvd Calendar'!$O$2810&gt;=MIN(DATE(Summary!$C$12,1,1),Summary!$C$11))*('Dvd Calendar'!$O$2810&lt;=MAX(DATE(Summary!$C$12,12,31),Summary!$C$15))*('Dvd Calendar'!$O$2810&lt;=Summary!$C$11)=0,"",'Dvd Calendar'!$O$2810*1000000000+ISNUMBER('Dvd Calendar'!$O$2811)*100000000+('Dvd Calendar'!$O$2815='Field Check'!$C$25)*10000000+(N('Dvd Calendar'!$O$2809)&gt;0)*1000000+47*1000+11))</f>
        <v/>
      </c>
      <c r="N203" s="41">
        <f>IF(N('Dvd Calendar'!$P$2810)=0,"",IF(('Dvd Calendar'!$P$2810&gt;=MIN(DATE(Summary!$C$12,1,1),Summary!$C$11))*('Dvd Calendar'!$P$2810&lt;=MAX(DATE(Summary!$C$12,12,31),Summary!$C$15))*('Dvd Calendar'!$P$2810&lt;=Summary!$C$11)=0,"",'Dvd Calendar'!$P$2810*1000000000+ISNUMBER('Dvd Calendar'!$P$2811)*100000000+('Dvd Calendar'!$P$2815='Field Check'!$C$25)*10000000+(N('Dvd Calendar'!$P$2809)&gt;0)*1000000+47*1000+12))</f>
        <v/>
      </c>
      <c r="O203" s="41">
        <f>IF(N('Dvd Calendar'!$Q$2810)=0,"",IF(('Dvd Calendar'!$Q$2810&gt;=MIN(DATE(Summary!$C$12,1,1),Summary!$C$11))*('Dvd Calendar'!$Q$2810&lt;=MAX(DATE(Summary!$C$12,12,31),Summary!$C$15))*('Dvd Calendar'!$Q$2810&lt;=Summary!$C$11)=0,"",'Dvd Calendar'!$Q$2810*1000000000+ISNUMBER('Dvd Calendar'!$Q$2811)*100000000+('Dvd Calendar'!$Q$2815='Field Check'!$C$25)*10000000+(N('Dvd Calendar'!$Q$2809)&gt;0)*1000000+47*1000+13))</f>
        <v/>
      </c>
      <c r="P203" s="41">
        <f>IF(N('Dvd Calendar'!$R$2810)=0,"",IF(('Dvd Calendar'!$R$2810&gt;=MIN(DATE(Summary!$C$12,1,1),Summary!$C$11))*('Dvd Calendar'!$R$2810&lt;=MAX(DATE(Summary!$C$12,12,31),Summary!$C$15))*('Dvd Calendar'!$R$2810&lt;=Summary!$C$11)=0,"",'Dvd Calendar'!$R$2810*1000000000+ISNUMBER('Dvd Calendar'!$R$2811)*100000000+('Dvd Calendar'!$R$2815='Field Check'!$C$25)*10000000+(N('Dvd Calendar'!$R$2809)&gt;0)*1000000+47*1000+14))</f>
        <v/>
      </c>
      <c r="Q203" s="41">
        <f>IF(N('Dvd Calendar'!$S$2810)=0,"",IF(('Dvd Calendar'!$S$2810&gt;=MIN(DATE(Summary!$C$12,1,1),Summary!$C$11))*('Dvd Calendar'!$S$2810&lt;=MAX(DATE(Summary!$C$12,12,31),Summary!$C$15))*('Dvd Calendar'!$S$2810&lt;=Summary!$C$11)=0,"",'Dvd Calendar'!$S$2810*1000000000+ISNUMBER('Dvd Calendar'!$S$2811)*100000000+('Dvd Calendar'!$S$2815='Field Check'!$C$25)*10000000+(N('Dvd Calendar'!$S$2809)&gt;0)*1000000+47*1000+15))</f>
        <v/>
      </c>
      <c r="R203" s="41">
        <f>IF(N('Dvd Calendar'!$T$2810)=0,"",IF(('Dvd Calendar'!$T$2810&gt;=MIN(DATE(Summary!$C$12,1,1),Summary!$C$11))*('Dvd Calendar'!$T$2810&lt;=MAX(DATE(Summary!$C$12,12,31),Summary!$C$15))*('Dvd Calendar'!$T$2810&lt;=Summary!$C$11)=0,"",'Dvd Calendar'!$T$2810*1000000000+ISNUMBER('Dvd Calendar'!$T$2811)*100000000+('Dvd Calendar'!$T$2815='Field Check'!$C$25)*10000000+(N('Dvd Calendar'!$T$2809)&gt;0)*1000000+47*1000+16))</f>
        <v/>
      </c>
      <c r="S203" s="41">
        <f>IF(N('Dvd Calendar'!$U$2810)=0,"",IF(('Dvd Calendar'!$U$2810&gt;=MIN(DATE(Summary!$C$12,1,1),Summary!$C$11))*('Dvd Calendar'!$U$2810&lt;=MAX(DATE(Summary!$C$12,12,31),Summary!$C$15))*('Dvd Calendar'!$U$2810&lt;=Summary!$C$11)=0,"",'Dvd Calendar'!$U$2810*1000000000+ISNUMBER('Dvd Calendar'!$U$2811)*100000000+('Dvd Calendar'!$U$2815='Field Check'!$C$25)*10000000+(N('Dvd Calendar'!$U$2809)&gt;0)*1000000+47*1000+17))</f>
        <v/>
      </c>
      <c r="T203" s="41">
        <f>IF(N('Dvd Calendar'!$V$2810)=0,"",IF(('Dvd Calendar'!$V$2810&gt;=MIN(DATE(Summary!$C$12,1,1),Summary!$C$11))*('Dvd Calendar'!$V$2810&lt;=MAX(DATE(Summary!$C$12,12,31),Summary!$C$15))*('Dvd Calendar'!$V$2810&lt;=Summary!$C$11)=0,"",'Dvd Calendar'!$V$2810*1000000000+ISNUMBER('Dvd Calendar'!$V$2811)*100000000+('Dvd Calendar'!$V$2815='Field Check'!$C$25)*10000000+(N('Dvd Calendar'!$V$2809)&gt;0)*1000000+47*1000+18))</f>
        <v/>
      </c>
      <c r="U203" s="41">
        <f>IF(N('Dvd Calendar'!$W$2810)=0,"",IF(('Dvd Calendar'!$W$2810&gt;=MIN(DATE(Summary!$C$12,1,1),Summary!$C$11))*('Dvd Calendar'!$W$2810&lt;=MAX(DATE(Summary!$C$12,12,31),Summary!$C$15))*('Dvd Calendar'!$W$2810&lt;=Summary!$C$11)=0,"",'Dvd Calendar'!$W$2810*1000000000+ISNUMBER('Dvd Calendar'!$W$2811)*100000000+('Dvd Calendar'!$W$2815='Field Check'!$C$25)*10000000+(N('Dvd Calendar'!$W$2809)&gt;0)*1000000+47*1000+19))</f>
        <v/>
      </c>
      <c r="V203" s="41">
        <f>IF(N('Dvd Calendar'!$X$2810)=0,"",IF(('Dvd Calendar'!$X$2810&gt;=MIN(DATE(Summary!$C$12,1,1),Summary!$C$11))*('Dvd Calendar'!$X$2810&lt;=MAX(DATE(Summary!$C$12,12,31),Summary!$C$15))*('Dvd Calendar'!$X$2810&lt;=Summary!$C$11)=0,"",'Dvd Calendar'!$X$2810*1000000000+ISNUMBER('Dvd Calendar'!$X$2811)*100000000+('Dvd Calendar'!$X$2815='Field Check'!$C$25)*10000000+(N('Dvd Calendar'!$X$2809)&gt;0)*1000000+47*1000+20))</f>
        <v/>
      </c>
      <c r="W203" s="41">
        <f>IF(N('Dvd Calendar'!$Y$2810)=0,"",IF(('Dvd Calendar'!$Y$2810&gt;=MIN(DATE(Summary!$C$12,1,1),Summary!$C$11))*('Dvd Calendar'!$Y$2810&lt;=MAX(DATE(Summary!$C$12,12,31),Summary!$C$15))*('Dvd Calendar'!$Y$2810&lt;=Summary!$C$11)=0,"",'Dvd Calendar'!$Y$2810*1000000000+ISNUMBER('Dvd Calendar'!$Y$2811)*100000000+('Dvd Calendar'!$Y$2815='Field Check'!$C$25)*10000000+(N('Dvd Calendar'!$Y$2809)&gt;0)*1000000+47*1000+21))</f>
        <v/>
      </c>
      <c r="X203" s="41">
        <f>IF(N('Dvd Calendar'!$Z$2810)=0,"",IF(('Dvd Calendar'!$Z$2810&gt;=MIN(DATE(Summary!$C$12,1,1),Summary!$C$11))*('Dvd Calendar'!$Z$2810&lt;=MAX(DATE(Summary!$C$12,12,31),Summary!$C$15))*('Dvd Calendar'!$Z$2810&lt;=Summary!$C$11)=0,"",'Dvd Calendar'!$Z$2810*1000000000+ISNUMBER('Dvd Calendar'!$Z$2811)*100000000+('Dvd Calendar'!$Z$2815='Field Check'!$C$25)*10000000+(N('Dvd Calendar'!$Z$2809)&gt;0)*1000000+47*1000+22))</f>
        <v/>
      </c>
      <c r="Y203" s="41">
        <f>IF(N('Dvd Calendar'!$AA$2810)=0,"",IF(('Dvd Calendar'!$AA$2810&gt;=MIN(DATE(Summary!$C$12,1,1),Summary!$C$11))*('Dvd Calendar'!$AA$2810&lt;=MAX(DATE(Summary!$C$12,12,31),Summary!$C$15))*('Dvd Calendar'!$AA$2810&lt;=Summary!$C$11)=0,"",'Dvd Calendar'!$AA$2810*1000000000+ISNUMBER('Dvd Calendar'!$AA$2811)*100000000+('Dvd Calendar'!$AA$2815='Field Check'!$C$25)*10000000+(N('Dvd Calendar'!$AA$2809)&gt;0)*1000000+47*1000+23))</f>
        <v/>
      </c>
      <c r="Z203" s="41">
        <f>IF(N('Dvd Calendar'!$AB$2810)=0,"",IF(('Dvd Calendar'!$AB$2810&gt;=MIN(DATE(Summary!$C$12,1,1),Summary!$C$11))*('Dvd Calendar'!$AB$2810&lt;=MAX(DATE(Summary!$C$12,12,31),Summary!$C$15))*('Dvd Calendar'!$AB$2810&lt;=Summary!$C$11)=0,"",'Dvd Calendar'!$AB$2810*1000000000+ISNUMBER('Dvd Calendar'!$AB$2811)*100000000+('Dvd Calendar'!$AB$2815='Field Check'!$C$25)*10000000+(N('Dvd Calendar'!$AB$2809)&gt;0)*1000000+47*1000+24))</f>
        <v/>
      </c>
      <c r="AA203" s="41">
        <f>IF(N('Dvd Calendar'!$AC$2810)=0,"",IF(('Dvd Calendar'!$AC$2810&gt;=MIN(DATE(Summary!$C$12,1,1),Summary!$C$11))*('Dvd Calendar'!$AC$2810&lt;=MAX(DATE(Summary!$C$12,12,31),Summary!$C$15))*('Dvd Calendar'!$AC$2810&lt;=Summary!$C$11)=0,"",'Dvd Calendar'!$AC$2810*1000000000+ISNUMBER('Dvd Calendar'!$AC$2811)*100000000+('Dvd Calendar'!$AC$2815='Field Check'!$C$25)*10000000+(N('Dvd Calendar'!$AC$2809)&gt;0)*1000000+47*1000+25))</f>
        <v/>
      </c>
      <c r="AB203" s="41">
        <f>IF(N('Dvd Calendar'!$AD$2810)=0,"",IF(('Dvd Calendar'!$AD$2810&gt;=MIN(DATE(Summary!$C$12,1,1),Summary!$C$11))*('Dvd Calendar'!$AD$2810&lt;=MAX(DATE(Summary!$C$12,12,31),Summary!$C$15))*('Dvd Calendar'!$AD$2810&lt;=Summary!$C$11)=0,"",'Dvd Calendar'!$AD$2810*1000000000+ISNUMBER('Dvd Calendar'!$AD$2811)*100000000+('Dvd Calendar'!$AD$2815='Field Check'!$C$25)*10000000+(N('Dvd Calendar'!$AD$2809)&gt;0)*1000000+47*1000+26))</f>
        <v/>
      </c>
      <c r="AC203" s="41">
        <f>IF(N('Dvd Calendar'!$AE$2810)=0,"",IF(('Dvd Calendar'!$AE$2810&gt;=MIN(DATE(Summary!$C$12,1,1),Summary!$C$11))*('Dvd Calendar'!$AE$2810&lt;=MAX(DATE(Summary!$C$12,12,31),Summary!$C$15))*('Dvd Calendar'!$AE$2810&lt;=Summary!$C$11)=0,"",'Dvd Calendar'!$AE$2810*1000000000+ISNUMBER('Dvd Calendar'!$AE$2811)*100000000+('Dvd Calendar'!$AE$2815='Field Check'!$C$25)*10000000+(N('Dvd Calendar'!$AE$2809)&gt;0)*1000000+47*1000+27))</f>
        <v/>
      </c>
      <c r="AD203" s="41">
        <f>IF(N('Dvd Calendar'!$AF$2810)=0,"",IF(('Dvd Calendar'!$AF$2810&gt;=MIN(DATE(Summary!$C$12,1,1),Summary!$C$11))*('Dvd Calendar'!$AF$2810&lt;=MAX(DATE(Summary!$C$12,12,31),Summary!$C$15))*('Dvd Calendar'!$AF$2810&lt;=Summary!$C$11)=0,"",'Dvd Calendar'!$AF$2810*1000000000+ISNUMBER('Dvd Calendar'!$AF$2811)*100000000+('Dvd Calendar'!$AF$2815='Field Check'!$C$25)*10000000+(N('Dvd Calendar'!$AF$2809)&gt;0)*1000000+47*1000+28))</f>
        <v/>
      </c>
      <c r="AE203" s="41">
        <f>IF(N('Dvd Calendar'!$AG$2810)=0,"",IF(('Dvd Calendar'!$AG$2810&gt;=MIN(DATE(Summary!$C$12,1,1),Summary!$C$11))*('Dvd Calendar'!$AG$2810&lt;=MAX(DATE(Summary!$C$12,12,31),Summary!$C$15))*('Dvd Calendar'!$AG$2810&lt;=Summary!$C$11)=0,"",'Dvd Calendar'!$AG$2810*1000000000+ISNUMBER('Dvd Calendar'!$AG$2811)*100000000+('Dvd Calendar'!$AG$2815='Field Check'!$C$25)*10000000+(N('Dvd Calendar'!$AG$2809)&gt;0)*1000000+47*1000+29))</f>
        <v/>
      </c>
      <c r="AF203" s="41">
        <f>IF(N('Dvd Calendar'!$AH$2810)=0,"",IF(('Dvd Calendar'!$AH$2810&gt;=MIN(DATE(Summary!$C$12,1,1),Summary!$C$11))*('Dvd Calendar'!$AH$2810&lt;=MAX(DATE(Summary!$C$12,12,31),Summary!$C$15))*('Dvd Calendar'!$AH$2810&lt;=Summary!$C$11)=0,"",'Dvd Calendar'!$AH$2810*1000000000+ISNUMBER('Dvd Calendar'!$AH$2811)*100000000+('Dvd Calendar'!$AH$2815='Field Check'!$C$25)*10000000+(N('Dvd Calendar'!$AH$2809)&gt;0)*1000000+47*1000+30))</f>
        <v/>
      </c>
      <c r="AG203" s="41">
        <f>IF(N('Dvd Calendar'!$AI$2810)=0,"",IF(('Dvd Calendar'!$AI$2810&gt;=MIN(DATE(Summary!$C$12,1,1),Summary!$C$11))*('Dvd Calendar'!$AI$2810&lt;=MAX(DATE(Summary!$C$12,12,31),Summary!$C$15))*('Dvd Calendar'!$AI$2810&lt;=Summary!$C$11)=0,"",'Dvd Calendar'!$AI$2810*1000000000+ISNUMBER('Dvd Calendar'!$AI$2811)*100000000+('Dvd Calendar'!$AI$2815='Field Check'!$C$25)*10000000+(N('Dvd Calendar'!$AI$2809)&gt;0)*1000000+47*1000+31))</f>
        <v/>
      </c>
      <c r="AH203" s="41">
        <f>IF(N('Dvd Calendar'!$AJ$2810)=0,"",IF(('Dvd Calendar'!$AJ$2810&gt;=MIN(DATE(Summary!$C$12,1,1),Summary!$C$11))*('Dvd Calendar'!$AJ$2810&lt;=MAX(DATE(Summary!$C$12,12,31),Summary!$C$15))*('Dvd Calendar'!$AJ$2810&lt;=Summary!$C$11)=0,"",'Dvd Calendar'!$AJ$2810*1000000000+ISNUMBER('Dvd Calendar'!$AJ$2811)*100000000+('Dvd Calendar'!$AJ$2815='Field Check'!$C$25)*10000000+(N('Dvd Calendar'!$AJ$2809)&gt;0)*1000000+47*1000+32))</f>
        <v/>
      </c>
      <c r="AI203" s="41">
        <f>IF(N('Dvd Calendar'!$AK$2810)=0,"",IF(('Dvd Calendar'!$AK$2810&gt;=MIN(DATE(Summary!$C$12,1,1),Summary!$C$11))*('Dvd Calendar'!$AK$2810&lt;=MAX(DATE(Summary!$C$12,12,31),Summary!$C$15))*('Dvd Calendar'!$AK$2810&lt;=Summary!$C$11)=0,"",'Dvd Calendar'!$AK$2810*1000000000+ISNUMBER('Dvd Calendar'!$AK$2811)*100000000+('Dvd Calendar'!$AK$2815='Field Check'!$C$25)*10000000+(N('Dvd Calendar'!$AK$2809)&gt;0)*1000000+47*1000+33))</f>
        <v/>
      </c>
      <c r="AJ203" s="41">
        <f>IF(N('Dvd Calendar'!$AL$2810)=0,"",IF(('Dvd Calendar'!$AL$2810&gt;=MIN(DATE(Summary!$C$12,1,1),Summary!$C$11))*('Dvd Calendar'!$AL$2810&lt;=MAX(DATE(Summary!$C$12,12,31),Summary!$C$15))*('Dvd Calendar'!$AL$2810&lt;=Summary!$C$11)=0,"",'Dvd Calendar'!$AL$2810*1000000000+ISNUMBER('Dvd Calendar'!$AL$2811)*100000000+('Dvd Calendar'!$AL$2815='Field Check'!$C$25)*10000000+(N('Dvd Calendar'!$AL$2809)&gt;0)*1000000+47*1000+34))</f>
        <v/>
      </c>
      <c r="AK203" s="41">
        <f>IF(N('Dvd Calendar'!$AM$2810)=0,"",IF(('Dvd Calendar'!$AM$2810&gt;=MIN(DATE(Summary!$C$12,1,1),Summary!$C$11))*('Dvd Calendar'!$AM$2810&lt;=MAX(DATE(Summary!$C$12,12,31),Summary!$C$15))*('Dvd Calendar'!$AM$2810&lt;=Summary!$C$11)=0,"",'Dvd Calendar'!$AM$2810*1000000000+ISNUMBER('Dvd Calendar'!$AM$2811)*100000000+('Dvd Calendar'!$AM$2815='Field Check'!$C$25)*10000000+(N('Dvd Calendar'!$AM$2809)&gt;0)*1000000+47*1000+35))</f>
        <v/>
      </c>
      <c r="AL203" s="41">
        <f>IF(N('Dvd Calendar'!$AN$2810)=0,"",IF(('Dvd Calendar'!$AN$2810&gt;=MIN(DATE(Summary!$C$12,1,1),Summary!$C$11))*('Dvd Calendar'!$AN$2810&lt;=MAX(DATE(Summary!$C$12,12,31),Summary!$C$15))*('Dvd Calendar'!$AN$2810&lt;=Summary!$C$11)=0,"",'Dvd Calendar'!$AN$2810*1000000000+ISNUMBER('Dvd Calendar'!$AN$2811)*100000000+('Dvd Calendar'!$AN$2815='Field Check'!$C$25)*10000000+(N('Dvd Calendar'!$AN$2809)&gt;0)*1000000+47*1000+36))</f>
        <v/>
      </c>
      <c r="AM203" s="41">
        <f>IF(N('Dvd Calendar'!$AO$2810)=0,"",IF(('Dvd Calendar'!$AO$2810&gt;=MIN(DATE(Summary!$C$12,1,1),Summary!$C$11))*('Dvd Calendar'!$AO$2810&lt;=MAX(DATE(Summary!$C$12,12,31),Summary!$C$15))*('Dvd Calendar'!$AO$2810&lt;=Summary!$C$11)=0,"",'Dvd Calendar'!$AO$2810*1000000000+ISNUMBER('Dvd Calendar'!$AO$2811)*100000000+('Dvd Calendar'!$AO$2815='Field Check'!$C$25)*10000000+(N('Dvd Calendar'!$AO$2809)&gt;0)*1000000+47*1000+37))</f>
        <v/>
      </c>
      <c r="AN203" s="41">
        <f>IF(N('Dvd Calendar'!$AP$2810)=0,"",IF(('Dvd Calendar'!$AP$2810&gt;=MIN(DATE(Summary!$C$12,1,1),Summary!$C$11))*('Dvd Calendar'!$AP$2810&lt;=MAX(DATE(Summary!$C$12,12,31),Summary!$C$15))*('Dvd Calendar'!$AP$2810&lt;=Summary!$C$11)=0,"",'Dvd Calendar'!$AP$2810*1000000000+ISNUMBER('Dvd Calendar'!$AP$2811)*100000000+('Dvd Calendar'!$AP$2815='Field Check'!$C$25)*10000000+(N('Dvd Calendar'!$AP$2809)&gt;0)*1000000+47*1000+38))</f>
        <v/>
      </c>
      <c r="AO203" s="41">
        <f>IF(N('Dvd Calendar'!$AQ$2810)=0,"",IF(('Dvd Calendar'!$AQ$2810&gt;=MIN(DATE(Summary!$C$12,1,1),Summary!$C$11))*('Dvd Calendar'!$AQ$2810&lt;=MAX(DATE(Summary!$C$12,12,31),Summary!$C$15))*('Dvd Calendar'!$AQ$2810&lt;=Summary!$C$11)=0,"",'Dvd Calendar'!$AQ$2810*1000000000+ISNUMBER('Dvd Calendar'!$AQ$2811)*100000000+('Dvd Calendar'!$AQ$2815='Field Check'!$C$25)*10000000+(N('Dvd Calendar'!$AQ$2809)&gt;0)*1000000+47*1000+39))</f>
        <v/>
      </c>
      <c r="AP203" s="41">
        <f>IF(N('Dvd Calendar'!$AR$2810)=0,"",IF(('Dvd Calendar'!$AR$2810&gt;=MIN(DATE(Summary!$C$12,1,1),Summary!$C$11))*('Dvd Calendar'!$AR$2810&lt;=MAX(DATE(Summary!$C$12,12,31),Summary!$C$15))*('Dvd Calendar'!$AR$2810&lt;=Summary!$C$11)=0,"",'Dvd Calendar'!$AR$2810*1000000000+ISNUMBER('Dvd Calendar'!$AR$2811)*100000000+('Dvd Calendar'!$AR$2815='Field Check'!$C$25)*10000000+(N('Dvd Calendar'!$AR$2809)&gt;0)*1000000+47*1000+40))</f>
        <v/>
      </c>
      <c r="AQ203" s="41">
        <f>IF(N('Dvd Calendar'!$E$2817)=0,"",IF(('Dvd Calendar'!$E$2817&gt;=MIN(DATE(Summary!$C$12,1,1),Summary!$C$11))*('Dvd Calendar'!$E$2817&lt;=MAX(DATE(Summary!$C$12,12,31),Summary!$C$15))*('Dvd Calendar'!$E$2817&gt;Summary!$C$11)=0,"",'Dvd Calendar'!$E$2817*1000000000+ISNUMBER('Dvd Calendar'!$E$2818)*100000000+('Dvd Calendar'!$E$2822='Field Check'!$C$25)*10000000+(N('Dvd Calendar'!$E$2816)&gt;0)*1000000+47*1000+41))</f>
        <v/>
      </c>
      <c r="AR203" s="41">
        <f>IF(N('Dvd Calendar'!$F$2817)=0,"",IF(('Dvd Calendar'!$F$2817&gt;=MIN(DATE(Summary!$C$12,1,1),Summary!$C$11))*('Dvd Calendar'!$F$2817&lt;=MAX(DATE(Summary!$C$12,12,31),Summary!$C$15))*('Dvd Calendar'!$F$2817&gt;Summary!$C$11)=0,"",'Dvd Calendar'!$F$2817*1000000000+ISNUMBER('Dvd Calendar'!$F$2818)*100000000+('Dvd Calendar'!$F$2822='Field Check'!$C$25)*10000000+(N('Dvd Calendar'!$F$2816)&gt;0)*1000000+47*1000+42))</f>
        <v/>
      </c>
      <c r="AS203" s="41">
        <f>IF(N('Dvd Calendar'!$G$2817)=0,"",IF(('Dvd Calendar'!$G$2817&gt;=MIN(DATE(Summary!$C$12,1,1),Summary!$C$11))*('Dvd Calendar'!$G$2817&lt;=MAX(DATE(Summary!$C$12,12,31),Summary!$C$15))*('Dvd Calendar'!$G$2817&gt;Summary!$C$11)=0,"",'Dvd Calendar'!$G$2817*1000000000+ISNUMBER('Dvd Calendar'!$G$2818)*100000000+('Dvd Calendar'!$G$2822='Field Check'!$C$25)*10000000+(N('Dvd Calendar'!$G$2816)&gt;0)*1000000+47*1000+43))</f>
        <v/>
      </c>
      <c r="AT203" s="41">
        <f>IF(N('Dvd Calendar'!$H$2817)=0,"",IF(('Dvd Calendar'!$H$2817&gt;=MIN(DATE(Summary!$C$12,1,1),Summary!$C$11))*('Dvd Calendar'!$H$2817&lt;=MAX(DATE(Summary!$C$12,12,31),Summary!$C$15))*('Dvd Calendar'!$H$2817&gt;Summary!$C$11)=0,"",'Dvd Calendar'!$H$2817*1000000000+ISNUMBER('Dvd Calendar'!$H$2818)*100000000+('Dvd Calendar'!$H$2822='Field Check'!$C$25)*10000000+(N('Dvd Calendar'!$H$2816)&gt;0)*1000000+47*1000+44))</f>
        <v/>
      </c>
      <c r="AU203" s="41">
        <f>IF(N('Dvd Calendar'!$I$2817)=0,"",IF(('Dvd Calendar'!$I$2817&gt;=MIN(DATE(Summary!$C$12,1,1),Summary!$C$11))*('Dvd Calendar'!$I$2817&lt;=MAX(DATE(Summary!$C$12,12,31),Summary!$C$15))*('Dvd Calendar'!$I$2817&gt;Summary!$C$11)=0,"",'Dvd Calendar'!$I$2817*1000000000+ISNUMBER('Dvd Calendar'!$I$2818)*100000000+('Dvd Calendar'!$I$2822='Field Check'!$C$25)*10000000+(N('Dvd Calendar'!$I$2816)&gt;0)*1000000+47*1000+45))</f>
        <v/>
      </c>
      <c r="AV203" s="41">
        <f>IF(N('Dvd Calendar'!$J$2817)=0,"",IF(('Dvd Calendar'!$J$2817&gt;=MIN(DATE(Summary!$C$12,1,1),Summary!$C$11))*('Dvd Calendar'!$J$2817&lt;=MAX(DATE(Summary!$C$12,12,31),Summary!$C$15))*('Dvd Calendar'!$J$2817&gt;Summary!$C$11)=0,"",'Dvd Calendar'!$J$2817*1000000000+ISNUMBER('Dvd Calendar'!$J$2818)*100000000+('Dvd Calendar'!$J$2822='Field Check'!$C$25)*10000000+(N('Dvd Calendar'!$J$2816)&gt;0)*1000000+47*1000+46))</f>
        <v/>
      </c>
      <c r="AW203" s="41">
        <f>IF(N('Dvd Calendar'!$K$2817)=0,"",IF(('Dvd Calendar'!$K$2817&gt;=MIN(DATE(Summary!$C$12,1,1),Summary!$C$11))*('Dvd Calendar'!$K$2817&lt;=MAX(DATE(Summary!$C$12,12,31),Summary!$C$15))*('Dvd Calendar'!$K$2817&gt;Summary!$C$11)=0,"",'Dvd Calendar'!$K$2817*1000000000+ISNUMBER('Dvd Calendar'!$K$2818)*100000000+('Dvd Calendar'!$K$2822='Field Check'!$C$25)*10000000+(N('Dvd Calendar'!$K$2816)&gt;0)*1000000+47*1000+47))</f>
        <v/>
      </c>
      <c r="AX203" s="41">
        <f>IF(N('Dvd Calendar'!$L$2817)=0,"",IF(('Dvd Calendar'!$L$2817&gt;=MIN(DATE(Summary!$C$12,1,1),Summary!$C$11))*('Dvd Calendar'!$L$2817&lt;=MAX(DATE(Summary!$C$12,12,31),Summary!$C$15))*('Dvd Calendar'!$L$2817&gt;Summary!$C$11)=0,"",'Dvd Calendar'!$L$2817*1000000000+ISNUMBER('Dvd Calendar'!$L$2818)*100000000+('Dvd Calendar'!$L$2822='Field Check'!$C$25)*10000000+(N('Dvd Calendar'!$L$2816)&gt;0)*1000000+47*1000+48))</f>
        <v/>
      </c>
      <c r="AY203" s="41">
        <f>IF(N('Dvd Calendar'!$M$2817)=0,"",IF(('Dvd Calendar'!$M$2817&gt;=MIN(DATE(Summary!$C$12,1,1),Summary!$C$11))*('Dvd Calendar'!$M$2817&lt;=MAX(DATE(Summary!$C$12,12,31),Summary!$C$15))*('Dvd Calendar'!$M$2817&gt;Summary!$C$11)=0,"",'Dvd Calendar'!$M$2817*1000000000+ISNUMBER('Dvd Calendar'!$M$2818)*100000000+('Dvd Calendar'!$M$2822='Field Check'!$C$25)*10000000+(N('Dvd Calendar'!$M$2816)&gt;0)*1000000+47*1000+49))</f>
        <v/>
      </c>
      <c r="AZ203" s="41">
        <f>IF(N('Dvd Calendar'!$N$2817)=0,"",IF(('Dvd Calendar'!$N$2817&gt;=MIN(DATE(Summary!$C$12,1,1),Summary!$C$11))*('Dvd Calendar'!$N$2817&lt;=MAX(DATE(Summary!$C$12,12,31),Summary!$C$15))*('Dvd Calendar'!$N$2817&gt;Summary!$C$11)=0,"",'Dvd Calendar'!$N$2817*1000000000+ISNUMBER('Dvd Calendar'!$N$2818)*100000000+('Dvd Calendar'!$N$2822='Field Check'!$C$25)*10000000+(N('Dvd Calendar'!$N$2816)&gt;0)*1000000+47*1000+50))</f>
        <v/>
      </c>
      <c r="BA203" s="41">
        <f>IF(N('Dvd Calendar'!$O$2817)=0,"",IF(('Dvd Calendar'!$O$2817&gt;=MIN(DATE(Summary!$C$12,1,1),Summary!$C$11))*('Dvd Calendar'!$O$2817&lt;=MAX(DATE(Summary!$C$12,12,31),Summary!$C$15))*('Dvd Calendar'!$O$2817&gt;Summary!$C$11)=0,"",'Dvd Calendar'!$O$2817*1000000000+ISNUMBER('Dvd Calendar'!$O$2818)*100000000+('Dvd Calendar'!$O$2822='Field Check'!$C$25)*10000000+(N('Dvd Calendar'!$O$2816)&gt;0)*1000000+47*1000+51))</f>
        <v/>
      </c>
      <c r="BB203" s="41">
        <f>IF(N('Dvd Calendar'!$P$2817)=0,"",IF(('Dvd Calendar'!$P$2817&gt;=MIN(DATE(Summary!$C$12,1,1),Summary!$C$11))*('Dvd Calendar'!$P$2817&lt;=MAX(DATE(Summary!$C$12,12,31),Summary!$C$15))*('Dvd Calendar'!$P$2817&gt;Summary!$C$11)=0,"",'Dvd Calendar'!$P$2817*1000000000+ISNUMBER('Dvd Calendar'!$P$2818)*100000000+('Dvd Calendar'!$P$2822='Field Check'!$C$25)*10000000+(N('Dvd Calendar'!$P$2816)&gt;0)*1000000+47*1000+52))</f>
        <v/>
      </c>
      <c r="BC203" s="41">
        <f>IF(N('Dvd Calendar'!$Q$2817)=0,"",IF(('Dvd Calendar'!$Q$2817&gt;=MIN(DATE(Summary!$C$12,1,1),Summary!$C$11))*('Dvd Calendar'!$Q$2817&lt;=MAX(DATE(Summary!$C$12,12,31),Summary!$C$15))*('Dvd Calendar'!$Q$2817&gt;Summary!$C$11)=0,"",'Dvd Calendar'!$Q$2817*1000000000+ISNUMBER('Dvd Calendar'!$Q$2818)*100000000+('Dvd Calendar'!$Q$2822='Field Check'!$C$25)*10000000+(N('Dvd Calendar'!$Q$2816)&gt;0)*1000000+47*1000+53))</f>
        <v/>
      </c>
      <c r="BD203" s="41">
        <f>IF(N('Dvd Calendar'!$R$2817)=0,"",IF(('Dvd Calendar'!$R$2817&gt;=MIN(DATE(Summary!$C$12,1,1),Summary!$C$11))*('Dvd Calendar'!$R$2817&lt;=MAX(DATE(Summary!$C$12,12,31),Summary!$C$15))*('Dvd Calendar'!$R$2817&gt;Summary!$C$11)=0,"",'Dvd Calendar'!$R$2817*1000000000+ISNUMBER('Dvd Calendar'!$R$2818)*100000000+('Dvd Calendar'!$R$2822='Field Check'!$C$25)*10000000+(N('Dvd Calendar'!$R$2816)&gt;0)*1000000+47*1000+54))</f>
        <v/>
      </c>
      <c r="BE203" s="41">
        <f>IF(N('Dvd Calendar'!$S$2817)=0,"",IF(('Dvd Calendar'!$S$2817&gt;=MIN(DATE(Summary!$C$12,1,1),Summary!$C$11))*('Dvd Calendar'!$S$2817&lt;=MAX(DATE(Summary!$C$12,12,31),Summary!$C$15))*('Dvd Calendar'!$S$2817&gt;Summary!$C$11)=0,"",'Dvd Calendar'!$S$2817*1000000000+ISNUMBER('Dvd Calendar'!$S$2818)*100000000+('Dvd Calendar'!$S$2822='Field Check'!$C$25)*10000000+(N('Dvd Calendar'!$S$2816)&gt;0)*1000000+47*1000+55))</f>
        <v/>
      </c>
      <c r="BF203" s="41">
        <f>IF(N('Dvd Calendar'!$T$2817)=0,"",IF(('Dvd Calendar'!$T$2817&gt;=MIN(DATE(Summary!$C$12,1,1),Summary!$C$11))*('Dvd Calendar'!$T$2817&lt;=MAX(DATE(Summary!$C$12,12,31),Summary!$C$15))*('Dvd Calendar'!$T$2817&gt;Summary!$C$11)=0,"",'Dvd Calendar'!$T$2817*1000000000+ISNUMBER('Dvd Calendar'!$T$2818)*100000000+('Dvd Calendar'!$T$2822='Field Check'!$C$25)*10000000+(N('Dvd Calendar'!$T$2816)&gt;0)*1000000+47*1000+56))</f>
        <v/>
      </c>
      <c r="BG203" s="41">
        <f>IF(N('Dvd Calendar'!$U$2817)=0,"",IF(('Dvd Calendar'!$U$2817&gt;=MIN(DATE(Summary!$C$12,1,1),Summary!$C$11))*('Dvd Calendar'!$U$2817&lt;=MAX(DATE(Summary!$C$12,12,31),Summary!$C$15))*('Dvd Calendar'!$U$2817&gt;Summary!$C$11)=0,"",'Dvd Calendar'!$U$2817*1000000000+ISNUMBER('Dvd Calendar'!$U$2818)*100000000+('Dvd Calendar'!$U$2822='Field Check'!$C$25)*10000000+(N('Dvd Calendar'!$U$2816)&gt;0)*1000000+47*1000+57))</f>
        <v/>
      </c>
      <c r="BH203" s="41">
        <f>IF(N('Dvd Calendar'!$V$2817)=0,"",IF(('Dvd Calendar'!$V$2817&gt;=MIN(DATE(Summary!$C$12,1,1),Summary!$C$11))*('Dvd Calendar'!$V$2817&lt;=MAX(DATE(Summary!$C$12,12,31),Summary!$C$15))*('Dvd Calendar'!$V$2817&gt;Summary!$C$11)=0,"",'Dvd Calendar'!$V$2817*1000000000+ISNUMBER('Dvd Calendar'!$V$2818)*100000000+('Dvd Calendar'!$V$2822='Field Check'!$C$25)*10000000+(N('Dvd Calendar'!$V$2816)&gt;0)*1000000+47*1000+58))</f>
        <v/>
      </c>
      <c r="BI203" s="41">
        <f>IF(N('Dvd Calendar'!$W$2817)=0,"",IF(('Dvd Calendar'!$W$2817&gt;=MIN(DATE(Summary!$C$12,1,1),Summary!$C$11))*('Dvd Calendar'!$W$2817&lt;=MAX(DATE(Summary!$C$12,12,31),Summary!$C$15))*('Dvd Calendar'!$W$2817&gt;Summary!$C$11)=0,"",'Dvd Calendar'!$W$2817*1000000000+ISNUMBER('Dvd Calendar'!$W$2818)*100000000+('Dvd Calendar'!$W$2822='Field Check'!$C$25)*10000000+(N('Dvd Calendar'!$W$2816)&gt;0)*1000000+47*1000+59))</f>
        <v/>
      </c>
      <c r="BJ203" s="41">
        <f>IF(N('Dvd Calendar'!$X$2817)=0,"",IF(('Dvd Calendar'!$X$2817&gt;=MIN(DATE(Summary!$C$12,1,1),Summary!$C$11))*('Dvd Calendar'!$X$2817&lt;=MAX(DATE(Summary!$C$12,12,31),Summary!$C$15))*('Dvd Calendar'!$X$2817&gt;Summary!$C$11)=0,"",'Dvd Calendar'!$X$2817*1000000000+ISNUMBER('Dvd Calendar'!$X$2818)*100000000+('Dvd Calendar'!$X$2822='Field Check'!$C$25)*10000000+(N('Dvd Calendar'!$X$2816)&gt;0)*1000000+47*1000+60))</f>
        <v/>
      </c>
      <c r="BK203" s="41">
        <f>IF(N('Dvd Calendar'!$Y$2817)=0,"",IF(('Dvd Calendar'!$Y$2817&gt;=MIN(DATE(Summary!$C$12,1,1),Summary!$C$11))*('Dvd Calendar'!$Y$2817&lt;=MAX(DATE(Summary!$C$12,12,31),Summary!$C$15))*('Dvd Calendar'!$Y$2817&gt;Summary!$C$11)=0,"",'Dvd Calendar'!$Y$2817*1000000000+ISNUMBER('Dvd Calendar'!$Y$2818)*100000000+('Dvd Calendar'!$Y$2822='Field Check'!$C$25)*10000000+(N('Dvd Calendar'!$Y$2816)&gt;0)*1000000+47*1000+61))</f>
        <v/>
      </c>
      <c r="BL203" s="41">
        <f>IF(N('Dvd Calendar'!$Z$2817)=0,"",IF(('Dvd Calendar'!$Z$2817&gt;=MIN(DATE(Summary!$C$12,1,1),Summary!$C$11))*('Dvd Calendar'!$Z$2817&lt;=MAX(DATE(Summary!$C$12,12,31),Summary!$C$15))*('Dvd Calendar'!$Z$2817&gt;Summary!$C$11)=0,"",'Dvd Calendar'!$Z$2817*1000000000+ISNUMBER('Dvd Calendar'!$Z$2818)*100000000+('Dvd Calendar'!$Z$2822='Field Check'!$C$25)*10000000+(N('Dvd Calendar'!$Z$2816)&gt;0)*1000000+47*1000+62))</f>
        <v/>
      </c>
      <c r="BM203" s="41">
        <f>IF(N('Dvd Calendar'!$AA$2817)=0,"",IF(('Dvd Calendar'!$AA$2817&gt;=MIN(DATE(Summary!$C$12,1,1),Summary!$C$11))*('Dvd Calendar'!$AA$2817&lt;=MAX(DATE(Summary!$C$12,12,31),Summary!$C$15))*('Dvd Calendar'!$AA$2817&gt;Summary!$C$11)=0,"",'Dvd Calendar'!$AA$2817*1000000000+ISNUMBER('Dvd Calendar'!$AA$2818)*100000000+('Dvd Calendar'!$AA$2822='Field Check'!$C$25)*10000000+(N('Dvd Calendar'!$AA$2816)&gt;0)*1000000+47*1000+63))</f>
        <v/>
      </c>
      <c r="BN203" s="41">
        <f>IF(N('Dvd Calendar'!$AB$2817)=0,"",IF(('Dvd Calendar'!$AB$2817&gt;=MIN(DATE(Summary!$C$12,1,1),Summary!$C$11))*('Dvd Calendar'!$AB$2817&lt;=MAX(DATE(Summary!$C$12,12,31),Summary!$C$15))*('Dvd Calendar'!$AB$2817&gt;Summary!$C$11)=0,"",'Dvd Calendar'!$AB$2817*1000000000+ISNUMBER('Dvd Calendar'!$AB$2818)*100000000+('Dvd Calendar'!$AB$2822='Field Check'!$C$25)*10000000+(N('Dvd Calendar'!$AB$2816)&gt;0)*1000000+47*1000+64))</f>
        <v/>
      </c>
      <c r="BO203" s="41">
        <f>IF(N('Dvd Calendar'!$AC$2817)=0,"",IF(('Dvd Calendar'!$AC$2817&gt;=MIN(DATE(Summary!$C$12,1,1),Summary!$C$11))*('Dvd Calendar'!$AC$2817&lt;=MAX(DATE(Summary!$C$12,12,31),Summary!$C$15))*('Dvd Calendar'!$AC$2817&gt;Summary!$C$11)=0,"",'Dvd Calendar'!$AC$2817*1000000000+ISNUMBER('Dvd Calendar'!$AC$2818)*100000000+('Dvd Calendar'!$AC$2822='Field Check'!$C$25)*10000000+(N('Dvd Calendar'!$AC$2816)&gt;0)*1000000+47*1000+65))</f>
        <v/>
      </c>
      <c r="BQ203" s="85">
        <f>IF(C203="","",IF(ISNUMBER('Dvd Calendar'!$E$2811)=FALSE,"",IF((Summary!$C$13="N")*('Dvd Calendar'!$E$2815='Field Check'!$C$25)&gt;0,"",'Dvd Calendar'!$E$2811)))</f>
        <v/>
      </c>
      <c r="BR203" s="85">
        <f>IF(D203="","",IF(ISNUMBER('Dvd Calendar'!$F$2811)=FALSE,"",IF((Summary!$C$13="N")*('Dvd Calendar'!$F$2815='Field Check'!$C$25)&gt;0,"",'Dvd Calendar'!$F$2811)))</f>
        <v/>
      </c>
      <c r="BS203" s="85">
        <f>IF(E203="","",IF(ISNUMBER('Dvd Calendar'!$G$2811)=FALSE,"",IF((Summary!$C$13="N")*('Dvd Calendar'!$G$2815='Field Check'!$C$25)&gt;0,"",'Dvd Calendar'!$G$2811)))</f>
        <v/>
      </c>
      <c r="BT203" s="85">
        <f>IF(F203="","",IF(ISNUMBER('Dvd Calendar'!$H$2811)=FALSE,"",IF((Summary!$C$13="N")*('Dvd Calendar'!$H$2815='Field Check'!$C$25)&gt;0,"",'Dvd Calendar'!$H$2811)))</f>
        <v/>
      </c>
      <c r="BU203" s="85">
        <f>IF(G203="","",IF(ISNUMBER('Dvd Calendar'!$I$2811)=FALSE,"",IF((Summary!$C$13="N")*('Dvd Calendar'!$I$2815='Field Check'!$C$25)&gt;0,"",'Dvd Calendar'!$I$2811)))</f>
        <v/>
      </c>
      <c r="BV203" s="85">
        <f>IF(H203="","",IF(ISNUMBER('Dvd Calendar'!$J$2811)=FALSE,"",IF((Summary!$C$13="N")*('Dvd Calendar'!$J$2815='Field Check'!$C$25)&gt;0,"",'Dvd Calendar'!$J$2811)))</f>
        <v/>
      </c>
      <c r="BW203" s="85">
        <f>IF(I203="","",IF(ISNUMBER('Dvd Calendar'!$K$2811)=FALSE,"",IF((Summary!$C$13="N")*('Dvd Calendar'!$K$2815='Field Check'!$C$25)&gt;0,"",'Dvd Calendar'!$K$2811)))</f>
        <v/>
      </c>
      <c r="BX203" s="85">
        <f>IF(J203="","",IF(ISNUMBER('Dvd Calendar'!$L$2811)=FALSE,"",IF((Summary!$C$13="N")*('Dvd Calendar'!$L$2815='Field Check'!$C$25)&gt;0,"",'Dvd Calendar'!$L$2811)))</f>
        <v/>
      </c>
      <c r="BY203" s="85">
        <f>IF(K203="","",IF(ISNUMBER('Dvd Calendar'!$M$2811)=FALSE,"",IF((Summary!$C$13="N")*('Dvd Calendar'!$M$2815='Field Check'!$C$25)&gt;0,"",'Dvd Calendar'!$M$2811)))</f>
        <v/>
      </c>
      <c r="BZ203" s="85">
        <f>IF(L203="","",IF(ISNUMBER('Dvd Calendar'!$N$2811)=FALSE,"",IF((Summary!$C$13="N")*('Dvd Calendar'!$N$2815='Field Check'!$C$25)&gt;0,"",'Dvd Calendar'!$N$2811)))</f>
        <v/>
      </c>
      <c r="CA203" s="85">
        <f>IF(M203="","",IF(ISNUMBER('Dvd Calendar'!$O$2811)=FALSE,"",IF((Summary!$C$13="N")*('Dvd Calendar'!$O$2815='Field Check'!$C$25)&gt;0,"",'Dvd Calendar'!$O$2811)))</f>
        <v/>
      </c>
      <c r="CB203" s="85">
        <f>IF(N203="","",IF(ISNUMBER('Dvd Calendar'!$P$2811)=FALSE,"",IF((Summary!$C$13="N")*('Dvd Calendar'!$P$2815='Field Check'!$C$25)&gt;0,"",'Dvd Calendar'!$P$2811)))</f>
        <v/>
      </c>
      <c r="CC203" s="85">
        <f>IF(O203="","",IF(ISNUMBER('Dvd Calendar'!$Q$2811)=FALSE,"",IF((Summary!$C$13="N")*('Dvd Calendar'!$Q$2815='Field Check'!$C$25)&gt;0,"",'Dvd Calendar'!$Q$2811)))</f>
        <v/>
      </c>
      <c r="CD203" s="85">
        <f>IF(P203="","",IF(ISNUMBER('Dvd Calendar'!$R$2811)=FALSE,"",IF((Summary!$C$13="N")*('Dvd Calendar'!$R$2815='Field Check'!$C$25)&gt;0,"",'Dvd Calendar'!$R$2811)))</f>
        <v/>
      </c>
      <c r="CE203" s="85">
        <f>IF(Q203="","",IF(ISNUMBER('Dvd Calendar'!$S$2811)=FALSE,"",IF((Summary!$C$13="N")*('Dvd Calendar'!$S$2815='Field Check'!$C$25)&gt;0,"",'Dvd Calendar'!$S$2811)))</f>
        <v/>
      </c>
      <c r="CF203" s="85">
        <f>IF(R203="","",IF(ISNUMBER('Dvd Calendar'!$T$2811)=FALSE,"",IF((Summary!$C$13="N")*('Dvd Calendar'!$T$2815='Field Check'!$C$25)&gt;0,"",'Dvd Calendar'!$T$2811)))</f>
        <v/>
      </c>
      <c r="CG203" s="85">
        <f>IF(S203="","",IF(ISNUMBER('Dvd Calendar'!$U$2811)=FALSE,"",IF((Summary!$C$13="N")*('Dvd Calendar'!$U$2815='Field Check'!$C$25)&gt;0,"",'Dvd Calendar'!$U$2811)))</f>
        <v/>
      </c>
      <c r="CH203" s="85">
        <f>IF(T203="","",IF(ISNUMBER('Dvd Calendar'!$V$2811)=FALSE,"",IF((Summary!$C$13="N")*('Dvd Calendar'!$V$2815='Field Check'!$C$25)&gt;0,"",'Dvd Calendar'!$V$2811)))</f>
        <v/>
      </c>
      <c r="CI203" s="85">
        <f>IF(U203="","",IF(ISNUMBER('Dvd Calendar'!$W$2811)=FALSE,"",IF((Summary!$C$13="N")*('Dvd Calendar'!$W$2815='Field Check'!$C$25)&gt;0,"",'Dvd Calendar'!$W$2811)))</f>
        <v/>
      </c>
      <c r="CJ203" s="85">
        <f>IF(V203="","",IF(ISNUMBER('Dvd Calendar'!$X$2811)=FALSE,"",IF((Summary!$C$13="N")*('Dvd Calendar'!$X$2815='Field Check'!$C$25)&gt;0,"",'Dvd Calendar'!$X$2811)))</f>
        <v/>
      </c>
      <c r="CK203" s="85">
        <f>IF(W203="","",IF(ISNUMBER('Dvd Calendar'!$Y$2811)=FALSE,"",IF((Summary!$C$13="N")*('Dvd Calendar'!$Y$2815='Field Check'!$C$25)&gt;0,"",'Dvd Calendar'!$Y$2811)))</f>
        <v/>
      </c>
      <c r="CL203" s="85">
        <f>IF(X203="","",IF(ISNUMBER('Dvd Calendar'!$Z$2811)=FALSE,"",IF((Summary!$C$13="N")*('Dvd Calendar'!$Z$2815='Field Check'!$C$25)&gt;0,"",'Dvd Calendar'!$Z$2811)))</f>
        <v/>
      </c>
      <c r="CM203" s="85">
        <f>IF(Y203="","",IF(ISNUMBER('Dvd Calendar'!$AA$2811)=FALSE,"",IF((Summary!$C$13="N")*('Dvd Calendar'!$AA$2815='Field Check'!$C$25)&gt;0,"",'Dvd Calendar'!$AA$2811)))</f>
        <v/>
      </c>
      <c r="CN203" s="85">
        <f>IF(Z203="","",IF(ISNUMBER('Dvd Calendar'!$AB$2811)=FALSE,"",IF((Summary!$C$13="N")*('Dvd Calendar'!$AB$2815='Field Check'!$C$25)&gt;0,"",'Dvd Calendar'!$AB$2811)))</f>
        <v/>
      </c>
      <c r="CO203" s="85">
        <f>IF(AA203="","",IF(ISNUMBER('Dvd Calendar'!$AC$2811)=FALSE,"",IF((Summary!$C$13="N")*('Dvd Calendar'!$AC$2815='Field Check'!$C$25)&gt;0,"",'Dvd Calendar'!$AC$2811)))</f>
        <v/>
      </c>
      <c r="CP203" s="85">
        <f>IF(AB203="","",IF(ISNUMBER('Dvd Calendar'!$AD$2811)=FALSE,"",IF((Summary!$C$13="N")*('Dvd Calendar'!$AD$2815='Field Check'!$C$25)&gt;0,"",'Dvd Calendar'!$AD$2811)))</f>
        <v/>
      </c>
      <c r="CQ203" s="85">
        <f>IF(AC203="","",IF(ISNUMBER('Dvd Calendar'!$AE$2811)=FALSE,"",IF((Summary!$C$13="N")*('Dvd Calendar'!$AE$2815='Field Check'!$C$25)&gt;0,"",'Dvd Calendar'!$AE$2811)))</f>
        <v/>
      </c>
      <c r="CR203" s="85">
        <f>IF(AD203="","",IF(ISNUMBER('Dvd Calendar'!$AF$2811)=FALSE,"",IF((Summary!$C$13="N")*('Dvd Calendar'!$AF$2815='Field Check'!$C$25)&gt;0,"",'Dvd Calendar'!$AF$2811)))</f>
        <v/>
      </c>
      <c r="CS203" s="85">
        <f>IF(AE203="","",IF(ISNUMBER('Dvd Calendar'!$AG$2811)=FALSE,"",IF((Summary!$C$13="N")*('Dvd Calendar'!$AG$2815='Field Check'!$C$25)&gt;0,"",'Dvd Calendar'!$AG$2811)))</f>
        <v/>
      </c>
      <c r="CT203" s="85">
        <f>IF(AF203="","",IF(ISNUMBER('Dvd Calendar'!$AH$2811)=FALSE,"",IF((Summary!$C$13="N")*('Dvd Calendar'!$AH$2815='Field Check'!$C$25)&gt;0,"",'Dvd Calendar'!$AH$2811)))</f>
        <v/>
      </c>
      <c r="CU203" s="85">
        <f>IF(AG203="","",IF(ISNUMBER('Dvd Calendar'!$AI$2811)=FALSE,"",IF((Summary!$C$13="N")*('Dvd Calendar'!$AI$2815='Field Check'!$C$25)&gt;0,"",'Dvd Calendar'!$AI$2811)))</f>
        <v/>
      </c>
      <c r="CV203" s="85">
        <f>IF(AH203="","",IF(ISNUMBER('Dvd Calendar'!$AJ$2811)=FALSE,"",IF((Summary!$C$13="N")*('Dvd Calendar'!$AJ$2815='Field Check'!$C$25)&gt;0,"",'Dvd Calendar'!$AJ$2811)))</f>
        <v/>
      </c>
      <c r="CW203" s="85">
        <f>IF(AI203="","",IF(ISNUMBER('Dvd Calendar'!$AK$2811)=FALSE,"",IF((Summary!$C$13="N")*('Dvd Calendar'!$AK$2815='Field Check'!$C$25)&gt;0,"",'Dvd Calendar'!$AK$2811)))</f>
        <v/>
      </c>
      <c r="CX203" s="85">
        <f>IF(AJ203="","",IF(ISNUMBER('Dvd Calendar'!$AL$2811)=FALSE,"",IF((Summary!$C$13="N")*('Dvd Calendar'!$AL$2815='Field Check'!$C$25)&gt;0,"",'Dvd Calendar'!$AL$2811)))</f>
        <v/>
      </c>
      <c r="CY203" s="85">
        <f>IF(AK203="","",IF(ISNUMBER('Dvd Calendar'!$AM$2811)=FALSE,"",IF((Summary!$C$13="N")*('Dvd Calendar'!$AM$2815='Field Check'!$C$25)&gt;0,"",'Dvd Calendar'!$AM$2811)))</f>
        <v/>
      </c>
      <c r="CZ203" s="85">
        <f>IF(AL203="","",IF(ISNUMBER('Dvd Calendar'!$AN$2811)=FALSE,"",IF((Summary!$C$13="N")*('Dvd Calendar'!$AN$2815='Field Check'!$C$25)&gt;0,"",'Dvd Calendar'!$AN$2811)))</f>
        <v/>
      </c>
      <c r="DA203" s="85">
        <f>IF(AM203="","",IF(ISNUMBER('Dvd Calendar'!$AO$2811)=FALSE,"",IF((Summary!$C$13="N")*('Dvd Calendar'!$AO$2815='Field Check'!$C$25)&gt;0,"",'Dvd Calendar'!$AO$2811)))</f>
        <v/>
      </c>
      <c r="DB203" s="85">
        <f>IF(AN203="","",IF(ISNUMBER('Dvd Calendar'!$AP$2811)=FALSE,"",IF((Summary!$C$13="N")*('Dvd Calendar'!$AP$2815='Field Check'!$C$25)&gt;0,"",'Dvd Calendar'!$AP$2811)))</f>
        <v/>
      </c>
      <c r="DC203" s="85">
        <f>IF(AO203="","",IF(ISNUMBER('Dvd Calendar'!$AQ$2811)=FALSE,"",IF((Summary!$C$13="N")*('Dvd Calendar'!$AQ$2815='Field Check'!$C$25)&gt;0,"",'Dvd Calendar'!$AQ$2811)))</f>
        <v/>
      </c>
      <c r="DD203" s="85">
        <f>IF(AP203="","",IF(ISNUMBER('Dvd Calendar'!$AR$2811)=FALSE,"",IF((Summary!$C$13="N")*('Dvd Calendar'!$AR$2815='Field Check'!$C$25)&gt;0,"",'Dvd Calendar'!$AR$2811)))</f>
        <v/>
      </c>
      <c r="DE203" s="85">
        <f>IF(AQ203="","",IF(ISNUMBER('Dvd Calendar'!$E$2818)=FALSE,"",IF((Summary!$C$13="N")*('Dvd Calendar'!$E$2822='Field Check'!$C$25)&gt;0,"",'Dvd Calendar'!$E$2818)))</f>
        <v/>
      </c>
      <c r="DF203" s="85">
        <f>IF(AR203="","",IF(ISNUMBER('Dvd Calendar'!$F$2818)=FALSE,"",IF((Summary!$C$13="N")*('Dvd Calendar'!$F$2822='Field Check'!$C$25)&gt;0,"",'Dvd Calendar'!$F$2818)))</f>
        <v/>
      </c>
      <c r="DG203" s="85">
        <f>IF(AS203="","",IF(ISNUMBER('Dvd Calendar'!$G$2818)=FALSE,"",IF((Summary!$C$13="N")*('Dvd Calendar'!$G$2822='Field Check'!$C$25)&gt;0,"",'Dvd Calendar'!$G$2818)))</f>
        <v/>
      </c>
      <c r="DH203" s="85">
        <f>IF(AT203="","",IF(ISNUMBER('Dvd Calendar'!$H$2818)=FALSE,"",IF((Summary!$C$13="N")*('Dvd Calendar'!$H$2822='Field Check'!$C$25)&gt;0,"",'Dvd Calendar'!$H$2818)))</f>
        <v/>
      </c>
      <c r="DI203" s="85">
        <f>IF(AU203="","",IF(ISNUMBER('Dvd Calendar'!$I$2818)=FALSE,"",IF((Summary!$C$13="N")*('Dvd Calendar'!$I$2822='Field Check'!$C$25)&gt;0,"",'Dvd Calendar'!$I$2818)))</f>
        <v/>
      </c>
      <c r="DJ203" s="85">
        <f>IF(AV203="","",IF(ISNUMBER('Dvd Calendar'!$J$2818)=FALSE,"",IF((Summary!$C$13="N")*('Dvd Calendar'!$J$2822='Field Check'!$C$25)&gt;0,"",'Dvd Calendar'!$J$2818)))</f>
        <v/>
      </c>
      <c r="DK203" s="85">
        <f>IF(AW203="","",IF(ISNUMBER('Dvd Calendar'!$K$2818)=FALSE,"",IF((Summary!$C$13="N")*('Dvd Calendar'!$K$2822='Field Check'!$C$25)&gt;0,"",'Dvd Calendar'!$K$2818)))</f>
        <v/>
      </c>
      <c r="DL203" s="85">
        <f>IF(AX203="","",IF(ISNUMBER('Dvd Calendar'!$L$2818)=FALSE,"",IF((Summary!$C$13="N")*('Dvd Calendar'!$L$2822='Field Check'!$C$25)&gt;0,"",'Dvd Calendar'!$L$2818)))</f>
        <v/>
      </c>
      <c r="DM203" s="85">
        <f>IF(AY203="","",IF(ISNUMBER('Dvd Calendar'!$M$2818)=FALSE,"",IF((Summary!$C$13="N")*('Dvd Calendar'!$M$2822='Field Check'!$C$25)&gt;0,"",'Dvd Calendar'!$M$2818)))</f>
        <v/>
      </c>
      <c r="DN203" s="85">
        <f>IF(AZ203="","",IF(ISNUMBER('Dvd Calendar'!$N$2818)=FALSE,"",IF((Summary!$C$13="N")*('Dvd Calendar'!$N$2822='Field Check'!$C$25)&gt;0,"",'Dvd Calendar'!$N$2818)))</f>
        <v/>
      </c>
      <c r="DO203" s="85">
        <f>IF(BA203="","",IF(ISNUMBER('Dvd Calendar'!$O$2818)=FALSE,"",IF((Summary!$C$13="N")*('Dvd Calendar'!$O$2822='Field Check'!$C$25)&gt;0,"",'Dvd Calendar'!$O$2818)))</f>
        <v/>
      </c>
      <c r="DP203" s="85">
        <f>IF(BB203="","",IF(ISNUMBER('Dvd Calendar'!$P$2818)=FALSE,"",IF((Summary!$C$13="N")*('Dvd Calendar'!$P$2822='Field Check'!$C$25)&gt;0,"",'Dvd Calendar'!$P$2818)))</f>
        <v/>
      </c>
      <c r="DQ203" s="85">
        <f>IF(BC203="","",IF(ISNUMBER('Dvd Calendar'!$Q$2818)=FALSE,"",IF((Summary!$C$13="N")*('Dvd Calendar'!$Q$2822='Field Check'!$C$25)&gt;0,"",'Dvd Calendar'!$Q$2818)))</f>
        <v/>
      </c>
      <c r="DR203" s="85">
        <f>IF(BD203="","",IF(ISNUMBER('Dvd Calendar'!$R$2818)=FALSE,"",IF((Summary!$C$13="N")*('Dvd Calendar'!$R$2822='Field Check'!$C$25)&gt;0,"",'Dvd Calendar'!$R$2818)))</f>
        <v/>
      </c>
      <c r="DS203" s="85">
        <f>IF(BE203="","",IF(ISNUMBER('Dvd Calendar'!$S$2818)=FALSE,"",IF((Summary!$C$13="N")*('Dvd Calendar'!$S$2822='Field Check'!$C$25)&gt;0,"",'Dvd Calendar'!$S$2818)))</f>
        <v/>
      </c>
      <c r="DT203" s="85">
        <f>IF(BF203="","",IF(ISNUMBER('Dvd Calendar'!$T$2818)=FALSE,"",IF((Summary!$C$13="N")*('Dvd Calendar'!$T$2822='Field Check'!$C$25)&gt;0,"",'Dvd Calendar'!$T$2818)))</f>
        <v/>
      </c>
      <c r="DU203" s="85">
        <f>IF(BG203="","",IF(ISNUMBER('Dvd Calendar'!$U$2818)=FALSE,"",IF((Summary!$C$13="N")*('Dvd Calendar'!$U$2822='Field Check'!$C$25)&gt;0,"",'Dvd Calendar'!$U$2818)))</f>
        <v/>
      </c>
      <c r="DV203" s="85">
        <f>IF(BH203="","",IF(ISNUMBER('Dvd Calendar'!$V$2818)=FALSE,"",IF((Summary!$C$13="N")*('Dvd Calendar'!$V$2822='Field Check'!$C$25)&gt;0,"",'Dvd Calendar'!$V$2818)))</f>
        <v/>
      </c>
      <c r="DW203" s="85">
        <f>IF(BI203="","",IF(ISNUMBER('Dvd Calendar'!$W$2818)=FALSE,"",IF((Summary!$C$13="N")*('Dvd Calendar'!$W$2822='Field Check'!$C$25)&gt;0,"",'Dvd Calendar'!$W$2818)))</f>
        <v/>
      </c>
      <c r="DX203" s="85">
        <f>IF(BJ203="","",IF(ISNUMBER('Dvd Calendar'!$X$2818)=FALSE,"",IF((Summary!$C$13="N")*('Dvd Calendar'!$X$2822='Field Check'!$C$25)&gt;0,"",'Dvd Calendar'!$X$2818)))</f>
        <v/>
      </c>
      <c r="DY203" s="85">
        <f>IF(BK203="","",IF(ISNUMBER('Dvd Calendar'!$Y$2818)=FALSE,"",IF((Summary!$C$13="N")*('Dvd Calendar'!$Y$2822='Field Check'!$C$25)&gt;0,"",'Dvd Calendar'!$Y$2818)))</f>
        <v/>
      </c>
      <c r="DZ203" s="85">
        <f>IF(BL203="","",IF(ISNUMBER('Dvd Calendar'!$Z$2818)=FALSE,"",IF((Summary!$C$13="N")*('Dvd Calendar'!$Z$2822='Field Check'!$C$25)&gt;0,"",'Dvd Calendar'!$Z$2818)))</f>
        <v/>
      </c>
      <c r="EA203" s="85">
        <f>IF(BM203="","",IF(ISNUMBER('Dvd Calendar'!$AA$2818)=FALSE,"",IF((Summary!$C$13="N")*('Dvd Calendar'!$AA$2822='Field Check'!$C$25)&gt;0,"",'Dvd Calendar'!$AA$2818)))</f>
        <v/>
      </c>
      <c r="EB203" s="85">
        <f>IF(BN203="","",IF(ISNUMBER('Dvd Calendar'!$AB$2818)=FALSE,"",IF((Summary!$C$13="N")*('Dvd Calendar'!$AB$2822='Field Check'!$C$25)&gt;0,"",'Dvd Calendar'!$AB$2818)))</f>
        <v/>
      </c>
      <c r="EC203" s="85">
        <f>IF(BO203="","",IF(ISNUMBER('Dvd Calendar'!$AC$2818)=FALSE,"",IF((Summary!$C$13="N")*('Dvd Calendar'!$AC$2822='Field Check'!$C$25)&gt;0,"",'Dvd Calendar'!$AC$2818)))</f>
        <v/>
      </c>
      <c r="EE203" s="85">
        <f>IF(BQ203="","",IFERROR(BQ203*HSCEI!$B$53*HSCEI!$G$53/HSCEI!$B$3,""))</f>
        <v/>
      </c>
      <c r="EF203" s="85">
        <f>IF(BR203="","",IFERROR(BR203*HSCEI!$B$53*HSCEI!$G$53/HSCEI!$B$3,""))</f>
        <v/>
      </c>
      <c r="EG203" s="85">
        <f>IF(BS203="","",IFERROR(BS203*HSCEI!$B$53*HSCEI!$G$53/HSCEI!$B$3,""))</f>
        <v/>
      </c>
      <c r="EH203" s="85">
        <f>IF(BT203="","",IFERROR(BT203*HSCEI!$B$53*HSCEI!$G$53/HSCEI!$B$3,""))</f>
        <v/>
      </c>
      <c r="EI203" s="85">
        <f>IF(BU203="","",IFERROR(BU203*HSCEI!$B$53*HSCEI!$G$53/HSCEI!$B$3,""))</f>
        <v/>
      </c>
      <c r="EJ203" s="85">
        <f>IF(BV203="","",IFERROR(BV203*HSCEI!$B$53*HSCEI!$G$53/HSCEI!$B$3,""))</f>
        <v/>
      </c>
      <c r="EK203" s="85">
        <f>IF(BW203="","",IFERROR(BW203*HSCEI!$B$53*HSCEI!$G$53/HSCEI!$B$3,""))</f>
        <v/>
      </c>
      <c r="EL203" s="85">
        <f>IF(BX203="","",IFERROR(BX203*HSCEI!$B$53*HSCEI!$G$53/HSCEI!$B$3,""))</f>
        <v/>
      </c>
      <c r="EM203" s="85">
        <f>IF(BY203="","",IFERROR(BY203*HSCEI!$B$53*HSCEI!$G$53/HSCEI!$B$3,""))</f>
        <v/>
      </c>
      <c r="EN203" s="85">
        <f>IF(BZ203="","",IFERROR(BZ203*HSCEI!$B$53*HSCEI!$G$53/HSCEI!$B$3,""))</f>
        <v/>
      </c>
      <c r="EO203" s="85">
        <f>IF(CA203="","",IFERROR(CA203*HSCEI!$B$53*HSCEI!$G$53/HSCEI!$B$3,""))</f>
        <v/>
      </c>
      <c r="EP203" s="85">
        <f>IF(CB203="","",IFERROR(CB203*HSCEI!$B$53*HSCEI!$G$53/HSCEI!$B$3,""))</f>
        <v/>
      </c>
      <c r="EQ203" s="85">
        <f>IF(CC203="","",IFERROR(CC203*HSCEI!$B$53*HSCEI!$G$53/HSCEI!$B$3,""))</f>
        <v/>
      </c>
      <c r="ER203" s="85">
        <f>IF(CD203="","",IFERROR(CD203*HSCEI!$B$53*HSCEI!$G$53/HSCEI!$B$3,""))</f>
        <v/>
      </c>
      <c r="ES203" s="85">
        <f>IF(CE203="","",IFERROR(CE203*HSCEI!$B$53*HSCEI!$G$53/HSCEI!$B$3,""))</f>
        <v/>
      </c>
      <c r="ET203" s="85">
        <f>IF(CF203="","",IFERROR(CF203*HSCEI!$B$53*HSCEI!$G$53/HSCEI!$B$3,""))</f>
        <v/>
      </c>
      <c r="EU203" s="85">
        <f>IF(CG203="","",IFERROR(CG203*HSCEI!$B$53*HSCEI!$G$53/HSCEI!$B$3,""))</f>
        <v/>
      </c>
      <c r="EV203" s="85">
        <f>IF(CH203="","",IFERROR(CH203*HSCEI!$B$53*HSCEI!$G$53/HSCEI!$B$3,""))</f>
        <v/>
      </c>
      <c r="EW203" s="85">
        <f>IF(CI203="","",IFERROR(CI203*HSCEI!$B$53*HSCEI!$G$53/HSCEI!$B$3,""))</f>
        <v/>
      </c>
      <c r="EX203" s="85">
        <f>IF(CJ203="","",IFERROR(CJ203*HSCEI!$B$53*HSCEI!$G$53/HSCEI!$B$3,""))</f>
        <v/>
      </c>
      <c r="EY203" s="85">
        <f>IF(CK203="","",IFERROR(CK203*HSCEI!$B$53*HSCEI!$G$53/HSCEI!$B$3,""))</f>
        <v/>
      </c>
      <c r="EZ203" s="85">
        <f>IF(CL203="","",IFERROR(CL203*HSCEI!$B$53*HSCEI!$G$53/HSCEI!$B$3,""))</f>
        <v/>
      </c>
      <c r="FA203" s="85">
        <f>IF(CM203="","",IFERROR(CM203*HSCEI!$B$53*HSCEI!$G$53/HSCEI!$B$3,""))</f>
        <v/>
      </c>
      <c r="FB203" s="85">
        <f>IF(CN203="","",IFERROR(CN203*HSCEI!$B$53*HSCEI!$G$53/HSCEI!$B$3,""))</f>
        <v/>
      </c>
      <c r="FC203" s="85">
        <f>IF(CO203="","",IFERROR(CO203*HSCEI!$B$53*HSCEI!$G$53/HSCEI!$B$3,""))</f>
        <v/>
      </c>
      <c r="FD203" s="85">
        <f>IF(CP203="","",IFERROR(CP203*HSCEI!$B$53*HSCEI!$G$53/HSCEI!$B$3,""))</f>
        <v/>
      </c>
      <c r="FE203" s="85">
        <f>IF(CQ203="","",IFERROR(CQ203*HSCEI!$B$53*HSCEI!$G$53/HSCEI!$B$3,""))</f>
        <v/>
      </c>
      <c r="FF203" s="85">
        <f>IF(CR203="","",IFERROR(CR203*HSCEI!$B$53*HSCEI!$G$53/HSCEI!$B$3,""))</f>
        <v/>
      </c>
      <c r="FG203" s="85">
        <f>IF(CS203="","",IFERROR(CS203*HSCEI!$B$53*HSCEI!$G$53/HSCEI!$B$3,""))</f>
        <v/>
      </c>
      <c r="FH203" s="85">
        <f>IF(CT203="","",IFERROR(CT203*HSCEI!$B$53*HSCEI!$G$53/HSCEI!$B$3,""))</f>
        <v/>
      </c>
      <c r="FI203" s="85">
        <f>IF(CU203="","",IFERROR(CU203*HSCEI!$B$53*HSCEI!$G$53/HSCEI!$B$3,""))</f>
        <v/>
      </c>
      <c r="FJ203" s="85">
        <f>IF(CV203="","",IFERROR(CV203*HSCEI!$B$53*HSCEI!$G$53/HSCEI!$B$3,""))</f>
        <v/>
      </c>
      <c r="FK203" s="85">
        <f>IF(CW203="","",IFERROR(CW203*HSCEI!$B$53*HSCEI!$G$53/HSCEI!$B$3,""))</f>
        <v/>
      </c>
      <c r="FL203" s="85">
        <f>IF(CX203="","",IFERROR(CX203*HSCEI!$B$53*HSCEI!$G$53/HSCEI!$B$3,""))</f>
        <v/>
      </c>
      <c r="FM203" s="85">
        <f>IF(CY203="","",IFERROR(CY203*HSCEI!$B$53*HSCEI!$G$53/HSCEI!$B$3,""))</f>
        <v/>
      </c>
      <c r="FN203" s="85">
        <f>IF(CZ203="","",IFERROR(CZ203*HSCEI!$B$53*HSCEI!$G$53/HSCEI!$B$3,""))</f>
        <v/>
      </c>
      <c r="FO203" s="85">
        <f>IF(DA203="","",IFERROR(DA203*HSCEI!$B$53*HSCEI!$G$53/HSCEI!$B$3,""))</f>
        <v/>
      </c>
      <c r="FP203" s="85">
        <f>IF(DB203="","",IFERROR(DB203*HSCEI!$B$53*HSCEI!$G$53/HSCEI!$B$3,""))</f>
        <v/>
      </c>
      <c r="FQ203" s="85">
        <f>IF(DC203="","",IFERROR(DC203*HSCEI!$B$53*HSCEI!$G$53/HSCEI!$B$3,""))</f>
        <v/>
      </c>
      <c r="FR203" s="85">
        <f>IF(DD203="","",IFERROR(DD203*HSCEI!$B$53*HSCEI!$G$53/HSCEI!$B$3,""))</f>
        <v/>
      </c>
      <c r="FS203" s="85">
        <f>IF(DE203="","",IFERROR(DE203*HSCEI!$B$53*HSCEI!$G$53/HSCEI!$B$3,""))</f>
        <v/>
      </c>
      <c r="FT203" s="85">
        <f>IF(DF203="","",IFERROR(DF203*HSCEI!$B$53*HSCEI!$G$53/HSCEI!$B$3,""))</f>
        <v/>
      </c>
      <c r="FU203" s="85">
        <f>IF(DG203="","",IFERROR(DG203*HSCEI!$B$53*HSCEI!$G$53/HSCEI!$B$3,""))</f>
        <v/>
      </c>
      <c r="FV203" s="85">
        <f>IF(DH203="","",IFERROR(DH203*HSCEI!$B$53*HSCEI!$G$53/HSCEI!$B$3,""))</f>
        <v/>
      </c>
      <c r="FW203" s="85">
        <f>IF(DI203="","",IFERROR(DI203*HSCEI!$B$53*HSCEI!$G$53/HSCEI!$B$3,""))</f>
        <v/>
      </c>
      <c r="FX203" s="85">
        <f>IF(DJ203="","",IFERROR(DJ203*HSCEI!$B$53*HSCEI!$G$53/HSCEI!$B$3,""))</f>
        <v/>
      </c>
      <c r="FY203" s="85">
        <f>IF(DK203="","",IFERROR(DK203*HSCEI!$B$53*HSCEI!$G$53/HSCEI!$B$3,""))</f>
        <v/>
      </c>
      <c r="FZ203" s="85">
        <f>IF(DL203="","",IFERROR(DL203*HSCEI!$B$53*HSCEI!$G$53/HSCEI!$B$3,""))</f>
        <v/>
      </c>
      <c r="GA203" s="85">
        <f>IF(DM203="","",IFERROR(DM203*HSCEI!$B$53*HSCEI!$G$53/HSCEI!$B$3,""))</f>
        <v/>
      </c>
      <c r="GB203" s="85">
        <f>IF(DN203="","",IFERROR(DN203*HSCEI!$B$53*HSCEI!$G$53/HSCEI!$B$3,""))</f>
        <v/>
      </c>
      <c r="GC203" s="85">
        <f>IF(DO203="","",IFERROR(DO203*HSCEI!$B$53*HSCEI!$G$53/HSCEI!$B$3,""))</f>
        <v/>
      </c>
      <c r="GD203" s="85">
        <f>IF(DP203="","",IFERROR(DP203*HSCEI!$B$53*HSCEI!$G$53/HSCEI!$B$3,""))</f>
        <v/>
      </c>
      <c r="GE203" s="85">
        <f>IF(DQ203="","",IFERROR(DQ203*HSCEI!$B$53*HSCEI!$G$53/HSCEI!$B$3,""))</f>
        <v/>
      </c>
      <c r="GF203" s="85">
        <f>IF(DR203="","",IFERROR(DR203*HSCEI!$B$53*HSCEI!$G$53/HSCEI!$B$3,""))</f>
        <v/>
      </c>
      <c r="GG203" s="85">
        <f>IF(DS203="","",IFERROR(DS203*HSCEI!$B$53*HSCEI!$G$53/HSCEI!$B$3,""))</f>
        <v/>
      </c>
      <c r="GH203" s="85">
        <f>IF(DT203="","",IFERROR(DT203*HSCEI!$B$53*HSCEI!$G$53/HSCEI!$B$3,""))</f>
        <v/>
      </c>
      <c r="GI203" s="85">
        <f>IF(DU203="","",IFERROR(DU203*HSCEI!$B$53*HSCEI!$G$53/HSCEI!$B$3,""))</f>
        <v/>
      </c>
      <c r="GJ203" s="85">
        <f>IF(DV203="","",IFERROR(DV203*HSCEI!$B$53*HSCEI!$G$53/HSCEI!$B$3,""))</f>
        <v/>
      </c>
      <c r="GK203" s="85">
        <f>IF(DW203="","",IFERROR(DW203*HSCEI!$B$53*HSCEI!$G$53/HSCEI!$B$3,""))</f>
        <v/>
      </c>
      <c r="GL203" s="85">
        <f>IF(DX203="","",IFERROR(DX203*HSCEI!$B$53*HSCEI!$G$53/HSCEI!$B$3,""))</f>
        <v/>
      </c>
      <c r="GM203" s="85">
        <f>IF(DY203="","",IFERROR(DY203*HSCEI!$B$53*HSCEI!$G$53/HSCEI!$B$3,""))</f>
        <v/>
      </c>
      <c r="GN203" s="85">
        <f>IF(DZ203="","",IFERROR(DZ203*HSCEI!$B$53*HSCEI!$G$53/HSCEI!$B$3,""))</f>
        <v/>
      </c>
      <c r="GO203" s="85">
        <f>IF(EA203="","",IFERROR(EA203*HSCEI!$B$53*HSCEI!$G$53/HSCEI!$B$3,""))</f>
        <v/>
      </c>
      <c r="GP203" s="85">
        <f>IF(EB203="","",IFERROR(EB203*HSCEI!$B$53*HSCEI!$G$53/HSCEI!$B$3,""))</f>
        <v/>
      </c>
      <c r="GQ203" s="85">
        <f>IF(EC203="","",IFERROR(EC203*HSCEI!$B$53*HSCEI!$G$53/HSCEI!$B$3,""))</f>
        <v/>
      </c>
    </row>
    <row r="204">
      <c r="B204" s="2">
        <f>IF(HSCEI!$C$54="","",HSCEI!$C$54)</f>
        <v/>
      </c>
      <c r="C204" s="41">
        <f>IF(N('Dvd Calendar'!$E$2825)=0,"",IF(('Dvd Calendar'!$E$2825&gt;=MIN(DATE(Summary!$C$12,1,1),Summary!$C$11))*('Dvd Calendar'!$E$2825&lt;=MAX(DATE(Summary!$C$12,12,31),Summary!$C$15))*('Dvd Calendar'!$E$2825&lt;=Summary!$C$11)=0,"",'Dvd Calendar'!$E$2825*1000000000+ISNUMBER('Dvd Calendar'!$E$2826)*100000000+('Dvd Calendar'!$E$2830='Field Check'!$C$25)*10000000+(N('Dvd Calendar'!$E$2824)&gt;0)*1000000+48*1000+1))</f>
        <v/>
      </c>
      <c r="D204" s="41">
        <f>IF(N('Dvd Calendar'!$F$2825)=0,"",IF(('Dvd Calendar'!$F$2825&gt;=MIN(DATE(Summary!$C$12,1,1),Summary!$C$11))*('Dvd Calendar'!$F$2825&lt;=MAX(DATE(Summary!$C$12,12,31),Summary!$C$15))*('Dvd Calendar'!$F$2825&lt;=Summary!$C$11)=0,"",'Dvd Calendar'!$F$2825*1000000000+ISNUMBER('Dvd Calendar'!$F$2826)*100000000+('Dvd Calendar'!$F$2830='Field Check'!$C$25)*10000000+(N('Dvd Calendar'!$F$2824)&gt;0)*1000000+48*1000+2))</f>
        <v/>
      </c>
      <c r="E204" s="41">
        <f>IF(N('Dvd Calendar'!$G$2825)=0,"",IF(('Dvd Calendar'!$G$2825&gt;=MIN(DATE(Summary!$C$12,1,1),Summary!$C$11))*('Dvd Calendar'!$G$2825&lt;=MAX(DATE(Summary!$C$12,12,31),Summary!$C$15))*('Dvd Calendar'!$G$2825&lt;=Summary!$C$11)=0,"",'Dvd Calendar'!$G$2825*1000000000+ISNUMBER('Dvd Calendar'!$G$2826)*100000000+('Dvd Calendar'!$G$2830='Field Check'!$C$25)*10000000+(N('Dvd Calendar'!$G$2824)&gt;0)*1000000+48*1000+3))</f>
        <v/>
      </c>
      <c r="F204" s="41">
        <f>IF(N('Dvd Calendar'!$H$2825)=0,"",IF(('Dvd Calendar'!$H$2825&gt;=MIN(DATE(Summary!$C$12,1,1),Summary!$C$11))*('Dvd Calendar'!$H$2825&lt;=MAX(DATE(Summary!$C$12,12,31),Summary!$C$15))*('Dvd Calendar'!$H$2825&lt;=Summary!$C$11)=0,"",'Dvd Calendar'!$H$2825*1000000000+ISNUMBER('Dvd Calendar'!$H$2826)*100000000+('Dvd Calendar'!$H$2830='Field Check'!$C$25)*10000000+(N('Dvd Calendar'!$H$2824)&gt;0)*1000000+48*1000+4))</f>
        <v/>
      </c>
      <c r="G204" s="41">
        <f>IF(N('Dvd Calendar'!$I$2825)=0,"",IF(('Dvd Calendar'!$I$2825&gt;=MIN(DATE(Summary!$C$12,1,1),Summary!$C$11))*('Dvd Calendar'!$I$2825&lt;=MAX(DATE(Summary!$C$12,12,31),Summary!$C$15))*('Dvd Calendar'!$I$2825&lt;=Summary!$C$11)=0,"",'Dvd Calendar'!$I$2825*1000000000+ISNUMBER('Dvd Calendar'!$I$2826)*100000000+('Dvd Calendar'!$I$2830='Field Check'!$C$25)*10000000+(N('Dvd Calendar'!$I$2824)&gt;0)*1000000+48*1000+5))</f>
        <v/>
      </c>
      <c r="H204" s="41">
        <f>IF(N('Dvd Calendar'!$J$2825)=0,"",IF(('Dvd Calendar'!$J$2825&gt;=MIN(DATE(Summary!$C$12,1,1),Summary!$C$11))*('Dvd Calendar'!$J$2825&lt;=MAX(DATE(Summary!$C$12,12,31),Summary!$C$15))*('Dvd Calendar'!$J$2825&lt;=Summary!$C$11)=0,"",'Dvd Calendar'!$J$2825*1000000000+ISNUMBER('Dvd Calendar'!$J$2826)*100000000+('Dvd Calendar'!$J$2830='Field Check'!$C$25)*10000000+(N('Dvd Calendar'!$J$2824)&gt;0)*1000000+48*1000+6))</f>
        <v/>
      </c>
      <c r="I204" s="41">
        <f>IF(N('Dvd Calendar'!$K$2825)=0,"",IF(('Dvd Calendar'!$K$2825&gt;=MIN(DATE(Summary!$C$12,1,1),Summary!$C$11))*('Dvd Calendar'!$K$2825&lt;=MAX(DATE(Summary!$C$12,12,31),Summary!$C$15))*('Dvd Calendar'!$K$2825&lt;=Summary!$C$11)=0,"",'Dvd Calendar'!$K$2825*1000000000+ISNUMBER('Dvd Calendar'!$K$2826)*100000000+('Dvd Calendar'!$K$2830='Field Check'!$C$25)*10000000+(N('Dvd Calendar'!$K$2824)&gt;0)*1000000+48*1000+7))</f>
        <v/>
      </c>
      <c r="J204" s="41">
        <f>IF(N('Dvd Calendar'!$L$2825)=0,"",IF(('Dvd Calendar'!$L$2825&gt;=MIN(DATE(Summary!$C$12,1,1),Summary!$C$11))*('Dvd Calendar'!$L$2825&lt;=MAX(DATE(Summary!$C$12,12,31),Summary!$C$15))*('Dvd Calendar'!$L$2825&lt;=Summary!$C$11)=0,"",'Dvd Calendar'!$L$2825*1000000000+ISNUMBER('Dvd Calendar'!$L$2826)*100000000+('Dvd Calendar'!$L$2830='Field Check'!$C$25)*10000000+(N('Dvd Calendar'!$L$2824)&gt;0)*1000000+48*1000+8))</f>
        <v/>
      </c>
      <c r="K204" s="41">
        <f>IF(N('Dvd Calendar'!$M$2825)=0,"",IF(('Dvd Calendar'!$M$2825&gt;=MIN(DATE(Summary!$C$12,1,1),Summary!$C$11))*('Dvd Calendar'!$M$2825&lt;=MAX(DATE(Summary!$C$12,12,31),Summary!$C$15))*('Dvd Calendar'!$M$2825&lt;=Summary!$C$11)=0,"",'Dvd Calendar'!$M$2825*1000000000+ISNUMBER('Dvd Calendar'!$M$2826)*100000000+('Dvd Calendar'!$M$2830='Field Check'!$C$25)*10000000+(N('Dvd Calendar'!$M$2824)&gt;0)*1000000+48*1000+9))</f>
        <v/>
      </c>
      <c r="L204" s="41">
        <f>IF(N('Dvd Calendar'!$N$2825)=0,"",IF(('Dvd Calendar'!$N$2825&gt;=MIN(DATE(Summary!$C$12,1,1),Summary!$C$11))*('Dvd Calendar'!$N$2825&lt;=MAX(DATE(Summary!$C$12,12,31),Summary!$C$15))*('Dvd Calendar'!$N$2825&lt;=Summary!$C$11)=0,"",'Dvd Calendar'!$N$2825*1000000000+ISNUMBER('Dvd Calendar'!$N$2826)*100000000+('Dvd Calendar'!$N$2830='Field Check'!$C$25)*10000000+(N('Dvd Calendar'!$N$2824)&gt;0)*1000000+48*1000+10))</f>
        <v/>
      </c>
      <c r="M204" s="41">
        <f>IF(N('Dvd Calendar'!$O$2825)=0,"",IF(('Dvd Calendar'!$O$2825&gt;=MIN(DATE(Summary!$C$12,1,1),Summary!$C$11))*('Dvd Calendar'!$O$2825&lt;=MAX(DATE(Summary!$C$12,12,31),Summary!$C$15))*('Dvd Calendar'!$O$2825&lt;=Summary!$C$11)=0,"",'Dvd Calendar'!$O$2825*1000000000+ISNUMBER('Dvd Calendar'!$O$2826)*100000000+('Dvd Calendar'!$O$2830='Field Check'!$C$25)*10000000+(N('Dvd Calendar'!$O$2824)&gt;0)*1000000+48*1000+11))</f>
        <v/>
      </c>
      <c r="N204" s="41">
        <f>IF(N('Dvd Calendar'!$P$2825)=0,"",IF(('Dvd Calendar'!$P$2825&gt;=MIN(DATE(Summary!$C$12,1,1),Summary!$C$11))*('Dvd Calendar'!$P$2825&lt;=MAX(DATE(Summary!$C$12,12,31),Summary!$C$15))*('Dvd Calendar'!$P$2825&lt;=Summary!$C$11)=0,"",'Dvd Calendar'!$P$2825*1000000000+ISNUMBER('Dvd Calendar'!$P$2826)*100000000+('Dvd Calendar'!$P$2830='Field Check'!$C$25)*10000000+(N('Dvd Calendar'!$P$2824)&gt;0)*1000000+48*1000+12))</f>
        <v/>
      </c>
      <c r="O204" s="41">
        <f>IF(N('Dvd Calendar'!$Q$2825)=0,"",IF(('Dvd Calendar'!$Q$2825&gt;=MIN(DATE(Summary!$C$12,1,1),Summary!$C$11))*('Dvd Calendar'!$Q$2825&lt;=MAX(DATE(Summary!$C$12,12,31),Summary!$C$15))*('Dvd Calendar'!$Q$2825&lt;=Summary!$C$11)=0,"",'Dvd Calendar'!$Q$2825*1000000000+ISNUMBER('Dvd Calendar'!$Q$2826)*100000000+('Dvd Calendar'!$Q$2830='Field Check'!$C$25)*10000000+(N('Dvd Calendar'!$Q$2824)&gt;0)*1000000+48*1000+13))</f>
        <v/>
      </c>
      <c r="P204" s="41">
        <f>IF(N('Dvd Calendar'!$R$2825)=0,"",IF(('Dvd Calendar'!$R$2825&gt;=MIN(DATE(Summary!$C$12,1,1),Summary!$C$11))*('Dvd Calendar'!$R$2825&lt;=MAX(DATE(Summary!$C$12,12,31),Summary!$C$15))*('Dvd Calendar'!$R$2825&lt;=Summary!$C$11)=0,"",'Dvd Calendar'!$R$2825*1000000000+ISNUMBER('Dvd Calendar'!$R$2826)*100000000+('Dvd Calendar'!$R$2830='Field Check'!$C$25)*10000000+(N('Dvd Calendar'!$R$2824)&gt;0)*1000000+48*1000+14))</f>
        <v/>
      </c>
      <c r="Q204" s="41">
        <f>IF(N('Dvd Calendar'!$S$2825)=0,"",IF(('Dvd Calendar'!$S$2825&gt;=MIN(DATE(Summary!$C$12,1,1),Summary!$C$11))*('Dvd Calendar'!$S$2825&lt;=MAX(DATE(Summary!$C$12,12,31),Summary!$C$15))*('Dvd Calendar'!$S$2825&lt;=Summary!$C$11)=0,"",'Dvd Calendar'!$S$2825*1000000000+ISNUMBER('Dvd Calendar'!$S$2826)*100000000+('Dvd Calendar'!$S$2830='Field Check'!$C$25)*10000000+(N('Dvd Calendar'!$S$2824)&gt;0)*1000000+48*1000+15))</f>
        <v/>
      </c>
      <c r="R204" s="41">
        <f>IF(N('Dvd Calendar'!$T$2825)=0,"",IF(('Dvd Calendar'!$T$2825&gt;=MIN(DATE(Summary!$C$12,1,1),Summary!$C$11))*('Dvd Calendar'!$T$2825&lt;=MAX(DATE(Summary!$C$12,12,31),Summary!$C$15))*('Dvd Calendar'!$T$2825&lt;=Summary!$C$11)=0,"",'Dvd Calendar'!$T$2825*1000000000+ISNUMBER('Dvd Calendar'!$T$2826)*100000000+('Dvd Calendar'!$T$2830='Field Check'!$C$25)*10000000+(N('Dvd Calendar'!$T$2824)&gt;0)*1000000+48*1000+16))</f>
        <v/>
      </c>
      <c r="S204" s="41">
        <f>IF(N('Dvd Calendar'!$U$2825)=0,"",IF(('Dvd Calendar'!$U$2825&gt;=MIN(DATE(Summary!$C$12,1,1),Summary!$C$11))*('Dvd Calendar'!$U$2825&lt;=MAX(DATE(Summary!$C$12,12,31),Summary!$C$15))*('Dvd Calendar'!$U$2825&lt;=Summary!$C$11)=0,"",'Dvd Calendar'!$U$2825*1000000000+ISNUMBER('Dvd Calendar'!$U$2826)*100000000+('Dvd Calendar'!$U$2830='Field Check'!$C$25)*10000000+(N('Dvd Calendar'!$U$2824)&gt;0)*1000000+48*1000+17))</f>
        <v/>
      </c>
      <c r="T204" s="41">
        <f>IF(N('Dvd Calendar'!$V$2825)=0,"",IF(('Dvd Calendar'!$V$2825&gt;=MIN(DATE(Summary!$C$12,1,1),Summary!$C$11))*('Dvd Calendar'!$V$2825&lt;=MAX(DATE(Summary!$C$12,12,31),Summary!$C$15))*('Dvd Calendar'!$V$2825&lt;=Summary!$C$11)=0,"",'Dvd Calendar'!$V$2825*1000000000+ISNUMBER('Dvd Calendar'!$V$2826)*100000000+('Dvd Calendar'!$V$2830='Field Check'!$C$25)*10000000+(N('Dvd Calendar'!$V$2824)&gt;0)*1000000+48*1000+18))</f>
        <v/>
      </c>
      <c r="U204" s="41">
        <f>IF(N('Dvd Calendar'!$W$2825)=0,"",IF(('Dvd Calendar'!$W$2825&gt;=MIN(DATE(Summary!$C$12,1,1),Summary!$C$11))*('Dvd Calendar'!$W$2825&lt;=MAX(DATE(Summary!$C$12,12,31),Summary!$C$15))*('Dvd Calendar'!$W$2825&lt;=Summary!$C$11)=0,"",'Dvd Calendar'!$W$2825*1000000000+ISNUMBER('Dvd Calendar'!$W$2826)*100000000+('Dvd Calendar'!$W$2830='Field Check'!$C$25)*10000000+(N('Dvd Calendar'!$W$2824)&gt;0)*1000000+48*1000+19))</f>
        <v/>
      </c>
      <c r="V204" s="41">
        <f>IF(N('Dvd Calendar'!$X$2825)=0,"",IF(('Dvd Calendar'!$X$2825&gt;=MIN(DATE(Summary!$C$12,1,1),Summary!$C$11))*('Dvd Calendar'!$X$2825&lt;=MAX(DATE(Summary!$C$12,12,31),Summary!$C$15))*('Dvd Calendar'!$X$2825&lt;=Summary!$C$11)=0,"",'Dvd Calendar'!$X$2825*1000000000+ISNUMBER('Dvd Calendar'!$X$2826)*100000000+('Dvd Calendar'!$X$2830='Field Check'!$C$25)*10000000+(N('Dvd Calendar'!$X$2824)&gt;0)*1000000+48*1000+20))</f>
        <v/>
      </c>
      <c r="W204" s="41">
        <f>IF(N('Dvd Calendar'!$Y$2825)=0,"",IF(('Dvd Calendar'!$Y$2825&gt;=MIN(DATE(Summary!$C$12,1,1),Summary!$C$11))*('Dvd Calendar'!$Y$2825&lt;=MAX(DATE(Summary!$C$12,12,31),Summary!$C$15))*('Dvd Calendar'!$Y$2825&lt;=Summary!$C$11)=0,"",'Dvd Calendar'!$Y$2825*1000000000+ISNUMBER('Dvd Calendar'!$Y$2826)*100000000+('Dvd Calendar'!$Y$2830='Field Check'!$C$25)*10000000+(N('Dvd Calendar'!$Y$2824)&gt;0)*1000000+48*1000+21))</f>
        <v/>
      </c>
      <c r="X204" s="41">
        <f>IF(N('Dvd Calendar'!$Z$2825)=0,"",IF(('Dvd Calendar'!$Z$2825&gt;=MIN(DATE(Summary!$C$12,1,1),Summary!$C$11))*('Dvd Calendar'!$Z$2825&lt;=MAX(DATE(Summary!$C$12,12,31),Summary!$C$15))*('Dvd Calendar'!$Z$2825&lt;=Summary!$C$11)=0,"",'Dvd Calendar'!$Z$2825*1000000000+ISNUMBER('Dvd Calendar'!$Z$2826)*100000000+('Dvd Calendar'!$Z$2830='Field Check'!$C$25)*10000000+(N('Dvd Calendar'!$Z$2824)&gt;0)*1000000+48*1000+22))</f>
        <v/>
      </c>
      <c r="Y204" s="41">
        <f>IF(N('Dvd Calendar'!$AA$2825)=0,"",IF(('Dvd Calendar'!$AA$2825&gt;=MIN(DATE(Summary!$C$12,1,1),Summary!$C$11))*('Dvd Calendar'!$AA$2825&lt;=MAX(DATE(Summary!$C$12,12,31),Summary!$C$15))*('Dvd Calendar'!$AA$2825&lt;=Summary!$C$11)=0,"",'Dvd Calendar'!$AA$2825*1000000000+ISNUMBER('Dvd Calendar'!$AA$2826)*100000000+('Dvd Calendar'!$AA$2830='Field Check'!$C$25)*10000000+(N('Dvd Calendar'!$AA$2824)&gt;0)*1000000+48*1000+23))</f>
        <v/>
      </c>
      <c r="Z204" s="41">
        <f>IF(N('Dvd Calendar'!$AB$2825)=0,"",IF(('Dvd Calendar'!$AB$2825&gt;=MIN(DATE(Summary!$C$12,1,1),Summary!$C$11))*('Dvd Calendar'!$AB$2825&lt;=MAX(DATE(Summary!$C$12,12,31),Summary!$C$15))*('Dvd Calendar'!$AB$2825&lt;=Summary!$C$11)=0,"",'Dvd Calendar'!$AB$2825*1000000000+ISNUMBER('Dvd Calendar'!$AB$2826)*100000000+('Dvd Calendar'!$AB$2830='Field Check'!$C$25)*10000000+(N('Dvd Calendar'!$AB$2824)&gt;0)*1000000+48*1000+24))</f>
        <v/>
      </c>
      <c r="AA204" s="41">
        <f>IF(N('Dvd Calendar'!$AC$2825)=0,"",IF(('Dvd Calendar'!$AC$2825&gt;=MIN(DATE(Summary!$C$12,1,1),Summary!$C$11))*('Dvd Calendar'!$AC$2825&lt;=MAX(DATE(Summary!$C$12,12,31),Summary!$C$15))*('Dvd Calendar'!$AC$2825&lt;=Summary!$C$11)=0,"",'Dvd Calendar'!$AC$2825*1000000000+ISNUMBER('Dvd Calendar'!$AC$2826)*100000000+('Dvd Calendar'!$AC$2830='Field Check'!$C$25)*10000000+(N('Dvd Calendar'!$AC$2824)&gt;0)*1000000+48*1000+25))</f>
        <v/>
      </c>
      <c r="AB204" s="41">
        <f>IF(N('Dvd Calendar'!$AD$2825)=0,"",IF(('Dvd Calendar'!$AD$2825&gt;=MIN(DATE(Summary!$C$12,1,1),Summary!$C$11))*('Dvd Calendar'!$AD$2825&lt;=MAX(DATE(Summary!$C$12,12,31),Summary!$C$15))*('Dvd Calendar'!$AD$2825&lt;=Summary!$C$11)=0,"",'Dvd Calendar'!$AD$2825*1000000000+ISNUMBER('Dvd Calendar'!$AD$2826)*100000000+('Dvd Calendar'!$AD$2830='Field Check'!$C$25)*10000000+(N('Dvd Calendar'!$AD$2824)&gt;0)*1000000+48*1000+26))</f>
        <v/>
      </c>
      <c r="AC204" s="41">
        <f>IF(N('Dvd Calendar'!$AE$2825)=0,"",IF(('Dvd Calendar'!$AE$2825&gt;=MIN(DATE(Summary!$C$12,1,1),Summary!$C$11))*('Dvd Calendar'!$AE$2825&lt;=MAX(DATE(Summary!$C$12,12,31),Summary!$C$15))*('Dvd Calendar'!$AE$2825&lt;=Summary!$C$11)=0,"",'Dvd Calendar'!$AE$2825*1000000000+ISNUMBER('Dvd Calendar'!$AE$2826)*100000000+('Dvd Calendar'!$AE$2830='Field Check'!$C$25)*10000000+(N('Dvd Calendar'!$AE$2824)&gt;0)*1000000+48*1000+27))</f>
        <v/>
      </c>
      <c r="AD204" s="41">
        <f>IF(N('Dvd Calendar'!$AF$2825)=0,"",IF(('Dvd Calendar'!$AF$2825&gt;=MIN(DATE(Summary!$C$12,1,1),Summary!$C$11))*('Dvd Calendar'!$AF$2825&lt;=MAX(DATE(Summary!$C$12,12,31),Summary!$C$15))*('Dvd Calendar'!$AF$2825&lt;=Summary!$C$11)=0,"",'Dvd Calendar'!$AF$2825*1000000000+ISNUMBER('Dvd Calendar'!$AF$2826)*100000000+('Dvd Calendar'!$AF$2830='Field Check'!$C$25)*10000000+(N('Dvd Calendar'!$AF$2824)&gt;0)*1000000+48*1000+28))</f>
        <v/>
      </c>
      <c r="AE204" s="41">
        <f>IF(N('Dvd Calendar'!$AG$2825)=0,"",IF(('Dvd Calendar'!$AG$2825&gt;=MIN(DATE(Summary!$C$12,1,1),Summary!$C$11))*('Dvd Calendar'!$AG$2825&lt;=MAX(DATE(Summary!$C$12,12,31),Summary!$C$15))*('Dvd Calendar'!$AG$2825&lt;=Summary!$C$11)=0,"",'Dvd Calendar'!$AG$2825*1000000000+ISNUMBER('Dvd Calendar'!$AG$2826)*100000000+('Dvd Calendar'!$AG$2830='Field Check'!$C$25)*10000000+(N('Dvd Calendar'!$AG$2824)&gt;0)*1000000+48*1000+29))</f>
        <v/>
      </c>
      <c r="AF204" s="41">
        <f>IF(N('Dvd Calendar'!$AH$2825)=0,"",IF(('Dvd Calendar'!$AH$2825&gt;=MIN(DATE(Summary!$C$12,1,1),Summary!$C$11))*('Dvd Calendar'!$AH$2825&lt;=MAX(DATE(Summary!$C$12,12,31),Summary!$C$15))*('Dvd Calendar'!$AH$2825&lt;=Summary!$C$11)=0,"",'Dvd Calendar'!$AH$2825*1000000000+ISNUMBER('Dvd Calendar'!$AH$2826)*100000000+('Dvd Calendar'!$AH$2830='Field Check'!$C$25)*10000000+(N('Dvd Calendar'!$AH$2824)&gt;0)*1000000+48*1000+30))</f>
        <v/>
      </c>
      <c r="AG204" s="41">
        <f>IF(N('Dvd Calendar'!$AI$2825)=0,"",IF(('Dvd Calendar'!$AI$2825&gt;=MIN(DATE(Summary!$C$12,1,1),Summary!$C$11))*('Dvd Calendar'!$AI$2825&lt;=MAX(DATE(Summary!$C$12,12,31),Summary!$C$15))*('Dvd Calendar'!$AI$2825&lt;=Summary!$C$11)=0,"",'Dvd Calendar'!$AI$2825*1000000000+ISNUMBER('Dvd Calendar'!$AI$2826)*100000000+('Dvd Calendar'!$AI$2830='Field Check'!$C$25)*10000000+(N('Dvd Calendar'!$AI$2824)&gt;0)*1000000+48*1000+31))</f>
        <v/>
      </c>
      <c r="AH204" s="41">
        <f>IF(N('Dvd Calendar'!$AJ$2825)=0,"",IF(('Dvd Calendar'!$AJ$2825&gt;=MIN(DATE(Summary!$C$12,1,1),Summary!$C$11))*('Dvd Calendar'!$AJ$2825&lt;=MAX(DATE(Summary!$C$12,12,31),Summary!$C$15))*('Dvd Calendar'!$AJ$2825&lt;=Summary!$C$11)=0,"",'Dvd Calendar'!$AJ$2825*1000000000+ISNUMBER('Dvd Calendar'!$AJ$2826)*100000000+('Dvd Calendar'!$AJ$2830='Field Check'!$C$25)*10000000+(N('Dvd Calendar'!$AJ$2824)&gt;0)*1000000+48*1000+32))</f>
        <v/>
      </c>
      <c r="AI204" s="41">
        <f>IF(N('Dvd Calendar'!$AK$2825)=0,"",IF(('Dvd Calendar'!$AK$2825&gt;=MIN(DATE(Summary!$C$12,1,1),Summary!$C$11))*('Dvd Calendar'!$AK$2825&lt;=MAX(DATE(Summary!$C$12,12,31),Summary!$C$15))*('Dvd Calendar'!$AK$2825&lt;=Summary!$C$11)=0,"",'Dvd Calendar'!$AK$2825*1000000000+ISNUMBER('Dvd Calendar'!$AK$2826)*100000000+('Dvd Calendar'!$AK$2830='Field Check'!$C$25)*10000000+(N('Dvd Calendar'!$AK$2824)&gt;0)*1000000+48*1000+33))</f>
        <v/>
      </c>
      <c r="AJ204" s="41">
        <f>IF(N('Dvd Calendar'!$AL$2825)=0,"",IF(('Dvd Calendar'!$AL$2825&gt;=MIN(DATE(Summary!$C$12,1,1),Summary!$C$11))*('Dvd Calendar'!$AL$2825&lt;=MAX(DATE(Summary!$C$12,12,31),Summary!$C$15))*('Dvd Calendar'!$AL$2825&lt;=Summary!$C$11)=0,"",'Dvd Calendar'!$AL$2825*1000000000+ISNUMBER('Dvd Calendar'!$AL$2826)*100000000+('Dvd Calendar'!$AL$2830='Field Check'!$C$25)*10000000+(N('Dvd Calendar'!$AL$2824)&gt;0)*1000000+48*1000+34))</f>
        <v/>
      </c>
      <c r="AK204" s="41">
        <f>IF(N('Dvd Calendar'!$AM$2825)=0,"",IF(('Dvd Calendar'!$AM$2825&gt;=MIN(DATE(Summary!$C$12,1,1),Summary!$C$11))*('Dvd Calendar'!$AM$2825&lt;=MAX(DATE(Summary!$C$12,12,31),Summary!$C$15))*('Dvd Calendar'!$AM$2825&lt;=Summary!$C$11)=0,"",'Dvd Calendar'!$AM$2825*1000000000+ISNUMBER('Dvd Calendar'!$AM$2826)*100000000+('Dvd Calendar'!$AM$2830='Field Check'!$C$25)*10000000+(N('Dvd Calendar'!$AM$2824)&gt;0)*1000000+48*1000+35))</f>
        <v/>
      </c>
      <c r="AL204" s="41">
        <f>IF(N('Dvd Calendar'!$AN$2825)=0,"",IF(('Dvd Calendar'!$AN$2825&gt;=MIN(DATE(Summary!$C$12,1,1),Summary!$C$11))*('Dvd Calendar'!$AN$2825&lt;=MAX(DATE(Summary!$C$12,12,31),Summary!$C$15))*('Dvd Calendar'!$AN$2825&lt;=Summary!$C$11)=0,"",'Dvd Calendar'!$AN$2825*1000000000+ISNUMBER('Dvd Calendar'!$AN$2826)*100000000+('Dvd Calendar'!$AN$2830='Field Check'!$C$25)*10000000+(N('Dvd Calendar'!$AN$2824)&gt;0)*1000000+48*1000+36))</f>
        <v/>
      </c>
      <c r="AM204" s="41">
        <f>IF(N('Dvd Calendar'!$AO$2825)=0,"",IF(('Dvd Calendar'!$AO$2825&gt;=MIN(DATE(Summary!$C$12,1,1),Summary!$C$11))*('Dvd Calendar'!$AO$2825&lt;=MAX(DATE(Summary!$C$12,12,31),Summary!$C$15))*('Dvd Calendar'!$AO$2825&lt;=Summary!$C$11)=0,"",'Dvd Calendar'!$AO$2825*1000000000+ISNUMBER('Dvd Calendar'!$AO$2826)*100000000+('Dvd Calendar'!$AO$2830='Field Check'!$C$25)*10000000+(N('Dvd Calendar'!$AO$2824)&gt;0)*1000000+48*1000+37))</f>
        <v/>
      </c>
      <c r="AN204" s="41">
        <f>IF(N('Dvd Calendar'!$AP$2825)=0,"",IF(('Dvd Calendar'!$AP$2825&gt;=MIN(DATE(Summary!$C$12,1,1),Summary!$C$11))*('Dvd Calendar'!$AP$2825&lt;=MAX(DATE(Summary!$C$12,12,31),Summary!$C$15))*('Dvd Calendar'!$AP$2825&lt;=Summary!$C$11)=0,"",'Dvd Calendar'!$AP$2825*1000000000+ISNUMBER('Dvd Calendar'!$AP$2826)*100000000+('Dvd Calendar'!$AP$2830='Field Check'!$C$25)*10000000+(N('Dvd Calendar'!$AP$2824)&gt;0)*1000000+48*1000+38))</f>
        <v/>
      </c>
      <c r="AO204" s="41">
        <f>IF(N('Dvd Calendar'!$AQ$2825)=0,"",IF(('Dvd Calendar'!$AQ$2825&gt;=MIN(DATE(Summary!$C$12,1,1),Summary!$C$11))*('Dvd Calendar'!$AQ$2825&lt;=MAX(DATE(Summary!$C$12,12,31),Summary!$C$15))*('Dvd Calendar'!$AQ$2825&lt;=Summary!$C$11)=0,"",'Dvd Calendar'!$AQ$2825*1000000000+ISNUMBER('Dvd Calendar'!$AQ$2826)*100000000+('Dvd Calendar'!$AQ$2830='Field Check'!$C$25)*10000000+(N('Dvd Calendar'!$AQ$2824)&gt;0)*1000000+48*1000+39))</f>
        <v/>
      </c>
      <c r="AP204" s="41">
        <f>IF(N('Dvd Calendar'!$AR$2825)=0,"",IF(('Dvd Calendar'!$AR$2825&gt;=MIN(DATE(Summary!$C$12,1,1),Summary!$C$11))*('Dvd Calendar'!$AR$2825&lt;=MAX(DATE(Summary!$C$12,12,31),Summary!$C$15))*('Dvd Calendar'!$AR$2825&lt;=Summary!$C$11)=0,"",'Dvd Calendar'!$AR$2825*1000000000+ISNUMBER('Dvd Calendar'!$AR$2826)*100000000+('Dvd Calendar'!$AR$2830='Field Check'!$C$25)*10000000+(N('Dvd Calendar'!$AR$2824)&gt;0)*1000000+48*1000+40))</f>
        <v/>
      </c>
      <c r="AQ204" s="41">
        <f>IF(N('Dvd Calendar'!$E$2832)=0,"",IF(('Dvd Calendar'!$E$2832&gt;=MIN(DATE(Summary!$C$12,1,1),Summary!$C$11))*('Dvd Calendar'!$E$2832&lt;=MAX(DATE(Summary!$C$12,12,31),Summary!$C$15))*('Dvd Calendar'!$E$2832&gt;Summary!$C$11)=0,"",'Dvd Calendar'!$E$2832*1000000000+ISNUMBER('Dvd Calendar'!$E$2833)*100000000+('Dvd Calendar'!$E$2837='Field Check'!$C$25)*10000000+(N('Dvd Calendar'!$E$2831)&gt;0)*1000000+48*1000+41))</f>
        <v/>
      </c>
      <c r="AR204" s="41">
        <f>IF(N('Dvd Calendar'!$F$2832)=0,"",IF(('Dvd Calendar'!$F$2832&gt;=MIN(DATE(Summary!$C$12,1,1),Summary!$C$11))*('Dvd Calendar'!$F$2832&lt;=MAX(DATE(Summary!$C$12,12,31),Summary!$C$15))*('Dvd Calendar'!$F$2832&gt;Summary!$C$11)=0,"",'Dvd Calendar'!$F$2832*1000000000+ISNUMBER('Dvd Calendar'!$F$2833)*100000000+('Dvd Calendar'!$F$2837='Field Check'!$C$25)*10000000+(N('Dvd Calendar'!$F$2831)&gt;0)*1000000+48*1000+42))</f>
        <v/>
      </c>
      <c r="AS204" s="41">
        <f>IF(N('Dvd Calendar'!$G$2832)=0,"",IF(('Dvd Calendar'!$G$2832&gt;=MIN(DATE(Summary!$C$12,1,1),Summary!$C$11))*('Dvd Calendar'!$G$2832&lt;=MAX(DATE(Summary!$C$12,12,31),Summary!$C$15))*('Dvd Calendar'!$G$2832&gt;Summary!$C$11)=0,"",'Dvd Calendar'!$G$2832*1000000000+ISNUMBER('Dvd Calendar'!$G$2833)*100000000+('Dvd Calendar'!$G$2837='Field Check'!$C$25)*10000000+(N('Dvd Calendar'!$G$2831)&gt;0)*1000000+48*1000+43))</f>
        <v/>
      </c>
      <c r="AT204" s="41">
        <f>IF(N('Dvd Calendar'!$H$2832)=0,"",IF(('Dvd Calendar'!$H$2832&gt;=MIN(DATE(Summary!$C$12,1,1),Summary!$C$11))*('Dvd Calendar'!$H$2832&lt;=MAX(DATE(Summary!$C$12,12,31),Summary!$C$15))*('Dvd Calendar'!$H$2832&gt;Summary!$C$11)=0,"",'Dvd Calendar'!$H$2832*1000000000+ISNUMBER('Dvd Calendar'!$H$2833)*100000000+('Dvd Calendar'!$H$2837='Field Check'!$C$25)*10000000+(N('Dvd Calendar'!$H$2831)&gt;0)*1000000+48*1000+44))</f>
        <v/>
      </c>
      <c r="AU204" s="41">
        <f>IF(N('Dvd Calendar'!$I$2832)=0,"",IF(('Dvd Calendar'!$I$2832&gt;=MIN(DATE(Summary!$C$12,1,1),Summary!$C$11))*('Dvd Calendar'!$I$2832&lt;=MAX(DATE(Summary!$C$12,12,31),Summary!$C$15))*('Dvd Calendar'!$I$2832&gt;Summary!$C$11)=0,"",'Dvd Calendar'!$I$2832*1000000000+ISNUMBER('Dvd Calendar'!$I$2833)*100000000+('Dvd Calendar'!$I$2837='Field Check'!$C$25)*10000000+(N('Dvd Calendar'!$I$2831)&gt;0)*1000000+48*1000+45))</f>
        <v/>
      </c>
      <c r="AV204" s="41">
        <f>IF(N('Dvd Calendar'!$J$2832)=0,"",IF(('Dvd Calendar'!$J$2832&gt;=MIN(DATE(Summary!$C$12,1,1),Summary!$C$11))*('Dvd Calendar'!$J$2832&lt;=MAX(DATE(Summary!$C$12,12,31),Summary!$C$15))*('Dvd Calendar'!$J$2832&gt;Summary!$C$11)=0,"",'Dvd Calendar'!$J$2832*1000000000+ISNUMBER('Dvd Calendar'!$J$2833)*100000000+('Dvd Calendar'!$J$2837='Field Check'!$C$25)*10000000+(N('Dvd Calendar'!$J$2831)&gt;0)*1000000+48*1000+46))</f>
        <v/>
      </c>
      <c r="AW204" s="41">
        <f>IF(N('Dvd Calendar'!$K$2832)=0,"",IF(('Dvd Calendar'!$K$2832&gt;=MIN(DATE(Summary!$C$12,1,1),Summary!$C$11))*('Dvd Calendar'!$K$2832&lt;=MAX(DATE(Summary!$C$12,12,31),Summary!$C$15))*('Dvd Calendar'!$K$2832&gt;Summary!$C$11)=0,"",'Dvd Calendar'!$K$2832*1000000000+ISNUMBER('Dvd Calendar'!$K$2833)*100000000+('Dvd Calendar'!$K$2837='Field Check'!$C$25)*10000000+(N('Dvd Calendar'!$K$2831)&gt;0)*1000000+48*1000+47))</f>
        <v/>
      </c>
      <c r="AX204" s="41">
        <f>IF(N('Dvd Calendar'!$L$2832)=0,"",IF(('Dvd Calendar'!$L$2832&gt;=MIN(DATE(Summary!$C$12,1,1),Summary!$C$11))*('Dvd Calendar'!$L$2832&lt;=MAX(DATE(Summary!$C$12,12,31),Summary!$C$15))*('Dvd Calendar'!$L$2832&gt;Summary!$C$11)=0,"",'Dvd Calendar'!$L$2832*1000000000+ISNUMBER('Dvd Calendar'!$L$2833)*100000000+('Dvd Calendar'!$L$2837='Field Check'!$C$25)*10000000+(N('Dvd Calendar'!$L$2831)&gt;0)*1000000+48*1000+48))</f>
        <v/>
      </c>
      <c r="AY204" s="41">
        <f>IF(N('Dvd Calendar'!$M$2832)=0,"",IF(('Dvd Calendar'!$M$2832&gt;=MIN(DATE(Summary!$C$12,1,1),Summary!$C$11))*('Dvd Calendar'!$M$2832&lt;=MAX(DATE(Summary!$C$12,12,31),Summary!$C$15))*('Dvd Calendar'!$M$2832&gt;Summary!$C$11)=0,"",'Dvd Calendar'!$M$2832*1000000000+ISNUMBER('Dvd Calendar'!$M$2833)*100000000+('Dvd Calendar'!$M$2837='Field Check'!$C$25)*10000000+(N('Dvd Calendar'!$M$2831)&gt;0)*1000000+48*1000+49))</f>
        <v/>
      </c>
      <c r="AZ204" s="41">
        <f>IF(N('Dvd Calendar'!$N$2832)=0,"",IF(('Dvd Calendar'!$N$2832&gt;=MIN(DATE(Summary!$C$12,1,1),Summary!$C$11))*('Dvd Calendar'!$N$2832&lt;=MAX(DATE(Summary!$C$12,12,31),Summary!$C$15))*('Dvd Calendar'!$N$2832&gt;Summary!$C$11)=0,"",'Dvd Calendar'!$N$2832*1000000000+ISNUMBER('Dvd Calendar'!$N$2833)*100000000+('Dvd Calendar'!$N$2837='Field Check'!$C$25)*10000000+(N('Dvd Calendar'!$N$2831)&gt;0)*1000000+48*1000+50))</f>
        <v/>
      </c>
      <c r="BA204" s="41">
        <f>IF(N('Dvd Calendar'!$O$2832)=0,"",IF(('Dvd Calendar'!$O$2832&gt;=MIN(DATE(Summary!$C$12,1,1),Summary!$C$11))*('Dvd Calendar'!$O$2832&lt;=MAX(DATE(Summary!$C$12,12,31),Summary!$C$15))*('Dvd Calendar'!$O$2832&gt;Summary!$C$11)=0,"",'Dvd Calendar'!$O$2832*1000000000+ISNUMBER('Dvd Calendar'!$O$2833)*100000000+('Dvd Calendar'!$O$2837='Field Check'!$C$25)*10000000+(N('Dvd Calendar'!$O$2831)&gt;0)*1000000+48*1000+51))</f>
        <v/>
      </c>
      <c r="BB204" s="41">
        <f>IF(N('Dvd Calendar'!$P$2832)=0,"",IF(('Dvd Calendar'!$P$2832&gt;=MIN(DATE(Summary!$C$12,1,1),Summary!$C$11))*('Dvd Calendar'!$P$2832&lt;=MAX(DATE(Summary!$C$12,12,31),Summary!$C$15))*('Dvd Calendar'!$P$2832&gt;Summary!$C$11)=0,"",'Dvd Calendar'!$P$2832*1000000000+ISNUMBER('Dvd Calendar'!$P$2833)*100000000+('Dvd Calendar'!$P$2837='Field Check'!$C$25)*10000000+(N('Dvd Calendar'!$P$2831)&gt;0)*1000000+48*1000+52))</f>
        <v/>
      </c>
      <c r="BC204" s="41">
        <f>IF(N('Dvd Calendar'!$Q$2832)=0,"",IF(('Dvd Calendar'!$Q$2832&gt;=MIN(DATE(Summary!$C$12,1,1),Summary!$C$11))*('Dvd Calendar'!$Q$2832&lt;=MAX(DATE(Summary!$C$12,12,31),Summary!$C$15))*('Dvd Calendar'!$Q$2832&gt;Summary!$C$11)=0,"",'Dvd Calendar'!$Q$2832*1000000000+ISNUMBER('Dvd Calendar'!$Q$2833)*100000000+('Dvd Calendar'!$Q$2837='Field Check'!$C$25)*10000000+(N('Dvd Calendar'!$Q$2831)&gt;0)*1000000+48*1000+53))</f>
        <v/>
      </c>
      <c r="BD204" s="41">
        <f>IF(N('Dvd Calendar'!$R$2832)=0,"",IF(('Dvd Calendar'!$R$2832&gt;=MIN(DATE(Summary!$C$12,1,1),Summary!$C$11))*('Dvd Calendar'!$R$2832&lt;=MAX(DATE(Summary!$C$12,12,31),Summary!$C$15))*('Dvd Calendar'!$R$2832&gt;Summary!$C$11)=0,"",'Dvd Calendar'!$R$2832*1000000000+ISNUMBER('Dvd Calendar'!$R$2833)*100000000+('Dvd Calendar'!$R$2837='Field Check'!$C$25)*10000000+(N('Dvd Calendar'!$R$2831)&gt;0)*1000000+48*1000+54))</f>
        <v/>
      </c>
      <c r="BE204" s="41">
        <f>IF(N('Dvd Calendar'!$S$2832)=0,"",IF(('Dvd Calendar'!$S$2832&gt;=MIN(DATE(Summary!$C$12,1,1),Summary!$C$11))*('Dvd Calendar'!$S$2832&lt;=MAX(DATE(Summary!$C$12,12,31),Summary!$C$15))*('Dvd Calendar'!$S$2832&gt;Summary!$C$11)=0,"",'Dvd Calendar'!$S$2832*1000000000+ISNUMBER('Dvd Calendar'!$S$2833)*100000000+('Dvd Calendar'!$S$2837='Field Check'!$C$25)*10000000+(N('Dvd Calendar'!$S$2831)&gt;0)*1000000+48*1000+55))</f>
        <v/>
      </c>
      <c r="BF204" s="41">
        <f>IF(N('Dvd Calendar'!$T$2832)=0,"",IF(('Dvd Calendar'!$T$2832&gt;=MIN(DATE(Summary!$C$12,1,1),Summary!$C$11))*('Dvd Calendar'!$T$2832&lt;=MAX(DATE(Summary!$C$12,12,31),Summary!$C$15))*('Dvd Calendar'!$T$2832&gt;Summary!$C$11)=0,"",'Dvd Calendar'!$T$2832*1000000000+ISNUMBER('Dvd Calendar'!$T$2833)*100000000+('Dvd Calendar'!$T$2837='Field Check'!$C$25)*10000000+(N('Dvd Calendar'!$T$2831)&gt;0)*1000000+48*1000+56))</f>
        <v/>
      </c>
      <c r="BG204" s="41">
        <f>IF(N('Dvd Calendar'!$U$2832)=0,"",IF(('Dvd Calendar'!$U$2832&gt;=MIN(DATE(Summary!$C$12,1,1),Summary!$C$11))*('Dvd Calendar'!$U$2832&lt;=MAX(DATE(Summary!$C$12,12,31),Summary!$C$15))*('Dvd Calendar'!$U$2832&gt;Summary!$C$11)=0,"",'Dvd Calendar'!$U$2832*1000000000+ISNUMBER('Dvd Calendar'!$U$2833)*100000000+('Dvd Calendar'!$U$2837='Field Check'!$C$25)*10000000+(N('Dvd Calendar'!$U$2831)&gt;0)*1000000+48*1000+57))</f>
        <v/>
      </c>
      <c r="BH204" s="41">
        <f>IF(N('Dvd Calendar'!$V$2832)=0,"",IF(('Dvd Calendar'!$V$2832&gt;=MIN(DATE(Summary!$C$12,1,1),Summary!$C$11))*('Dvd Calendar'!$V$2832&lt;=MAX(DATE(Summary!$C$12,12,31),Summary!$C$15))*('Dvd Calendar'!$V$2832&gt;Summary!$C$11)=0,"",'Dvd Calendar'!$V$2832*1000000000+ISNUMBER('Dvd Calendar'!$V$2833)*100000000+('Dvd Calendar'!$V$2837='Field Check'!$C$25)*10000000+(N('Dvd Calendar'!$V$2831)&gt;0)*1000000+48*1000+58))</f>
        <v/>
      </c>
      <c r="BI204" s="41">
        <f>IF(N('Dvd Calendar'!$W$2832)=0,"",IF(('Dvd Calendar'!$W$2832&gt;=MIN(DATE(Summary!$C$12,1,1),Summary!$C$11))*('Dvd Calendar'!$W$2832&lt;=MAX(DATE(Summary!$C$12,12,31),Summary!$C$15))*('Dvd Calendar'!$W$2832&gt;Summary!$C$11)=0,"",'Dvd Calendar'!$W$2832*1000000000+ISNUMBER('Dvd Calendar'!$W$2833)*100000000+('Dvd Calendar'!$W$2837='Field Check'!$C$25)*10000000+(N('Dvd Calendar'!$W$2831)&gt;0)*1000000+48*1000+59))</f>
        <v/>
      </c>
      <c r="BJ204" s="41">
        <f>IF(N('Dvd Calendar'!$X$2832)=0,"",IF(('Dvd Calendar'!$X$2832&gt;=MIN(DATE(Summary!$C$12,1,1),Summary!$C$11))*('Dvd Calendar'!$X$2832&lt;=MAX(DATE(Summary!$C$12,12,31),Summary!$C$15))*('Dvd Calendar'!$X$2832&gt;Summary!$C$11)=0,"",'Dvd Calendar'!$X$2832*1000000000+ISNUMBER('Dvd Calendar'!$X$2833)*100000000+('Dvd Calendar'!$X$2837='Field Check'!$C$25)*10000000+(N('Dvd Calendar'!$X$2831)&gt;0)*1000000+48*1000+60))</f>
        <v/>
      </c>
      <c r="BK204" s="41">
        <f>IF(N('Dvd Calendar'!$Y$2832)=0,"",IF(('Dvd Calendar'!$Y$2832&gt;=MIN(DATE(Summary!$C$12,1,1),Summary!$C$11))*('Dvd Calendar'!$Y$2832&lt;=MAX(DATE(Summary!$C$12,12,31),Summary!$C$15))*('Dvd Calendar'!$Y$2832&gt;Summary!$C$11)=0,"",'Dvd Calendar'!$Y$2832*1000000000+ISNUMBER('Dvd Calendar'!$Y$2833)*100000000+('Dvd Calendar'!$Y$2837='Field Check'!$C$25)*10000000+(N('Dvd Calendar'!$Y$2831)&gt;0)*1000000+48*1000+61))</f>
        <v/>
      </c>
      <c r="BL204" s="41">
        <f>IF(N('Dvd Calendar'!$Z$2832)=0,"",IF(('Dvd Calendar'!$Z$2832&gt;=MIN(DATE(Summary!$C$12,1,1),Summary!$C$11))*('Dvd Calendar'!$Z$2832&lt;=MAX(DATE(Summary!$C$12,12,31),Summary!$C$15))*('Dvd Calendar'!$Z$2832&gt;Summary!$C$11)=0,"",'Dvd Calendar'!$Z$2832*1000000000+ISNUMBER('Dvd Calendar'!$Z$2833)*100000000+('Dvd Calendar'!$Z$2837='Field Check'!$C$25)*10000000+(N('Dvd Calendar'!$Z$2831)&gt;0)*1000000+48*1000+62))</f>
        <v/>
      </c>
      <c r="BM204" s="41">
        <f>IF(N('Dvd Calendar'!$AA$2832)=0,"",IF(('Dvd Calendar'!$AA$2832&gt;=MIN(DATE(Summary!$C$12,1,1),Summary!$C$11))*('Dvd Calendar'!$AA$2832&lt;=MAX(DATE(Summary!$C$12,12,31),Summary!$C$15))*('Dvd Calendar'!$AA$2832&gt;Summary!$C$11)=0,"",'Dvd Calendar'!$AA$2832*1000000000+ISNUMBER('Dvd Calendar'!$AA$2833)*100000000+('Dvd Calendar'!$AA$2837='Field Check'!$C$25)*10000000+(N('Dvd Calendar'!$AA$2831)&gt;0)*1000000+48*1000+63))</f>
        <v/>
      </c>
      <c r="BN204" s="41">
        <f>IF(N('Dvd Calendar'!$AB$2832)=0,"",IF(('Dvd Calendar'!$AB$2832&gt;=MIN(DATE(Summary!$C$12,1,1),Summary!$C$11))*('Dvd Calendar'!$AB$2832&lt;=MAX(DATE(Summary!$C$12,12,31),Summary!$C$15))*('Dvd Calendar'!$AB$2832&gt;Summary!$C$11)=0,"",'Dvd Calendar'!$AB$2832*1000000000+ISNUMBER('Dvd Calendar'!$AB$2833)*100000000+('Dvd Calendar'!$AB$2837='Field Check'!$C$25)*10000000+(N('Dvd Calendar'!$AB$2831)&gt;0)*1000000+48*1000+64))</f>
        <v/>
      </c>
      <c r="BO204" s="41">
        <f>IF(N('Dvd Calendar'!$AC$2832)=0,"",IF(('Dvd Calendar'!$AC$2832&gt;=MIN(DATE(Summary!$C$12,1,1),Summary!$C$11))*('Dvd Calendar'!$AC$2832&lt;=MAX(DATE(Summary!$C$12,12,31),Summary!$C$15))*('Dvd Calendar'!$AC$2832&gt;Summary!$C$11)=0,"",'Dvd Calendar'!$AC$2832*1000000000+ISNUMBER('Dvd Calendar'!$AC$2833)*100000000+('Dvd Calendar'!$AC$2837='Field Check'!$C$25)*10000000+(N('Dvd Calendar'!$AC$2831)&gt;0)*1000000+48*1000+65))</f>
        <v/>
      </c>
      <c r="BQ204" s="85">
        <f>IF(C204="","",IF(ISNUMBER('Dvd Calendar'!$E$2826)=FALSE,"",IF((Summary!$C$13="N")*('Dvd Calendar'!$E$2830='Field Check'!$C$25)&gt;0,"",'Dvd Calendar'!$E$2826)))</f>
        <v/>
      </c>
      <c r="BR204" s="85">
        <f>IF(D204="","",IF(ISNUMBER('Dvd Calendar'!$F$2826)=FALSE,"",IF((Summary!$C$13="N")*('Dvd Calendar'!$F$2830='Field Check'!$C$25)&gt;0,"",'Dvd Calendar'!$F$2826)))</f>
        <v/>
      </c>
      <c r="BS204" s="85">
        <f>IF(E204="","",IF(ISNUMBER('Dvd Calendar'!$G$2826)=FALSE,"",IF((Summary!$C$13="N")*('Dvd Calendar'!$G$2830='Field Check'!$C$25)&gt;0,"",'Dvd Calendar'!$G$2826)))</f>
        <v/>
      </c>
      <c r="BT204" s="85">
        <f>IF(F204="","",IF(ISNUMBER('Dvd Calendar'!$H$2826)=FALSE,"",IF((Summary!$C$13="N")*('Dvd Calendar'!$H$2830='Field Check'!$C$25)&gt;0,"",'Dvd Calendar'!$H$2826)))</f>
        <v/>
      </c>
      <c r="BU204" s="85">
        <f>IF(G204="","",IF(ISNUMBER('Dvd Calendar'!$I$2826)=FALSE,"",IF((Summary!$C$13="N")*('Dvd Calendar'!$I$2830='Field Check'!$C$25)&gt;0,"",'Dvd Calendar'!$I$2826)))</f>
        <v/>
      </c>
      <c r="BV204" s="85">
        <f>IF(H204="","",IF(ISNUMBER('Dvd Calendar'!$J$2826)=FALSE,"",IF((Summary!$C$13="N")*('Dvd Calendar'!$J$2830='Field Check'!$C$25)&gt;0,"",'Dvd Calendar'!$J$2826)))</f>
        <v/>
      </c>
      <c r="BW204" s="85">
        <f>IF(I204="","",IF(ISNUMBER('Dvd Calendar'!$K$2826)=FALSE,"",IF((Summary!$C$13="N")*('Dvd Calendar'!$K$2830='Field Check'!$C$25)&gt;0,"",'Dvd Calendar'!$K$2826)))</f>
        <v/>
      </c>
      <c r="BX204" s="85">
        <f>IF(J204="","",IF(ISNUMBER('Dvd Calendar'!$L$2826)=FALSE,"",IF((Summary!$C$13="N")*('Dvd Calendar'!$L$2830='Field Check'!$C$25)&gt;0,"",'Dvd Calendar'!$L$2826)))</f>
        <v/>
      </c>
      <c r="BY204" s="85">
        <f>IF(K204="","",IF(ISNUMBER('Dvd Calendar'!$M$2826)=FALSE,"",IF((Summary!$C$13="N")*('Dvd Calendar'!$M$2830='Field Check'!$C$25)&gt;0,"",'Dvd Calendar'!$M$2826)))</f>
        <v/>
      </c>
      <c r="BZ204" s="85">
        <f>IF(L204="","",IF(ISNUMBER('Dvd Calendar'!$N$2826)=FALSE,"",IF((Summary!$C$13="N")*('Dvd Calendar'!$N$2830='Field Check'!$C$25)&gt;0,"",'Dvd Calendar'!$N$2826)))</f>
        <v/>
      </c>
      <c r="CA204" s="85">
        <f>IF(M204="","",IF(ISNUMBER('Dvd Calendar'!$O$2826)=FALSE,"",IF((Summary!$C$13="N")*('Dvd Calendar'!$O$2830='Field Check'!$C$25)&gt;0,"",'Dvd Calendar'!$O$2826)))</f>
        <v/>
      </c>
      <c r="CB204" s="85">
        <f>IF(N204="","",IF(ISNUMBER('Dvd Calendar'!$P$2826)=FALSE,"",IF((Summary!$C$13="N")*('Dvd Calendar'!$P$2830='Field Check'!$C$25)&gt;0,"",'Dvd Calendar'!$P$2826)))</f>
        <v/>
      </c>
      <c r="CC204" s="85">
        <f>IF(O204="","",IF(ISNUMBER('Dvd Calendar'!$Q$2826)=FALSE,"",IF((Summary!$C$13="N")*('Dvd Calendar'!$Q$2830='Field Check'!$C$25)&gt;0,"",'Dvd Calendar'!$Q$2826)))</f>
        <v/>
      </c>
      <c r="CD204" s="85">
        <f>IF(P204="","",IF(ISNUMBER('Dvd Calendar'!$R$2826)=FALSE,"",IF((Summary!$C$13="N")*('Dvd Calendar'!$R$2830='Field Check'!$C$25)&gt;0,"",'Dvd Calendar'!$R$2826)))</f>
        <v/>
      </c>
      <c r="CE204" s="85">
        <f>IF(Q204="","",IF(ISNUMBER('Dvd Calendar'!$S$2826)=FALSE,"",IF((Summary!$C$13="N")*('Dvd Calendar'!$S$2830='Field Check'!$C$25)&gt;0,"",'Dvd Calendar'!$S$2826)))</f>
        <v/>
      </c>
      <c r="CF204" s="85">
        <f>IF(R204="","",IF(ISNUMBER('Dvd Calendar'!$T$2826)=FALSE,"",IF((Summary!$C$13="N")*('Dvd Calendar'!$T$2830='Field Check'!$C$25)&gt;0,"",'Dvd Calendar'!$T$2826)))</f>
        <v/>
      </c>
      <c r="CG204" s="85">
        <f>IF(S204="","",IF(ISNUMBER('Dvd Calendar'!$U$2826)=FALSE,"",IF((Summary!$C$13="N")*('Dvd Calendar'!$U$2830='Field Check'!$C$25)&gt;0,"",'Dvd Calendar'!$U$2826)))</f>
        <v/>
      </c>
      <c r="CH204" s="85">
        <f>IF(T204="","",IF(ISNUMBER('Dvd Calendar'!$V$2826)=FALSE,"",IF((Summary!$C$13="N")*('Dvd Calendar'!$V$2830='Field Check'!$C$25)&gt;0,"",'Dvd Calendar'!$V$2826)))</f>
        <v/>
      </c>
      <c r="CI204" s="85">
        <f>IF(U204="","",IF(ISNUMBER('Dvd Calendar'!$W$2826)=FALSE,"",IF((Summary!$C$13="N")*('Dvd Calendar'!$W$2830='Field Check'!$C$25)&gt;0,"",'Dvd Calendar'!$W$2826)))</f>
        <v/>
      </c>
      <c r="CJ204" s="85">
        <f>IF(V204="","",IF(ISNUMBER('Dvd Calendar'!$X$2826)=FALSE,"",IF((Summary!$C$13="N")*('Dvd Calendar'!$X$2830='Field Check'!$C$25)&gt;0,"",'Dvd Calendar'!$X$2826)))</f>
        <v/>
      </c>
      <c r="CK204" s="85">
        <f>IF(W204="","",IF(ISNUMBER('Dvd Calendar'!$Y$2826)=FALSE,"",IF((Summary!$C$13="N")*('Dvd Calendar'!$Y$2830='Field Check'!$C$25)&gt;0,"",'Dvd Calendar'!$Y$2826)))</f>
        <v/>
      </c>
      <c r="CL204" s="85">
        <f>IF(X204="","",IF(ISNUMBER('Dvd Calendar'!$Z$2826)=FALSE,"",IF((Summary!$C$13="N")*('Dvd Calendar'!$Z$2830='Field Check'!$C$25)&gt;0,"",'Dvd Calendar'!$Z$2826)))</f>
        <v/>
      </c>
      <c r="CM204" s="85">
        <f>IF(Y204="","",IF(ISNUMBER('Dvd Calendar'!$AA$2826)=FALSE,"",IF((Summary!$C$13="N")*('Dvd Calendar'!$AA$2830='Field Check'!$C$25)&gt;0,"",'Dvd Calendar'!$AA$2826)))</f>
        <v/>
      </c>
      <c r="CN204" s="85">
        <f>IF(Z204="","",IF(ISNUMBER('Dvd Calendar'!$AB$2826)=FALSE,"",IF((Summary!$C$13="N")*('Dvd Calendar'!$AB$2830='Field Check'!$C$25)&gt;0,"",'Dvd Calendar'!$AB$2826)))</f>
        <v/>
      </c>
      <c r="CO204" s="85">
        <f>IF(AA204="","",IF(ISNUMBER('Dvd Calendar'!$AC$2826)=FALSE,"",IF((Summary!$C$13="N")*('Dvd Calendar'!$AC$2830='Field Check'!$C$25)&gt;0,"",'Dvd Calendar'!$AC$2826)))</f>
        <v/>
      </c>
      <c r="CP204" s="85">
        <f>IF(AB204="","",IF(ISNUMBER('Dvd Calendar'!$AD$2826)=FALSE,"",IF((Summary!$C$13="N")*('Dvd Calendar'!$AD$2830='Field Check'!$C$25)&gt;0,"",'Dvd Calendar'!$AD$2826)))</f>
        <v/>
      </c>
      <c r="CQ204" s="85">
        <f>IF(AC204="","",IF(ISNUMBER('Dvd Calendar'!$AE$2826)=FALSE,"",IF((Summary!$C$13="N")*('Dvd Calendar'!$AE$2830='Field Check'!$C$25)&gt;0,"",'Dvd Calendar'!$AE$2826)))</f>
        <v/>
      </c>
      <c r="CR204" s="85">
        <f>IF(AD204="","",IF(ISNUMBER('Dvd Calendar'!$AF$2826)=FALSE,"",IF((Summary!$C$13="N")*('Dvd Calendar'!$AF$2830='Field Check'!$C$25)&gt;0,"",'Dvd Calendar'!$AF$2826)))</f>
        <v/>
      </c>
      <c r="CS204" s="85">
        <f>IF(AE204="","",IF(ISNUMBER('Dvd Calendar'!$AG$2826)=FALSE,"",IF((Summary!$C$13="N")*('Dvd Calendar'!$AG$2830='Field Check'!$C$25)&gt;0,"",'Dvd Calendar'!$AG$2826)))</f>
        <v/>
      </c>
      <c r="CT204" s="85">
        <f>IF(AF204="","",IF(ISNUMBER('Dvd Calendar'!$AH$2826)=FALSE,"",IF((Summary!$C$13="N")*('Dvd Calendar'!$AH$2830='Field Check'!$C$25)&gt;0,"",'Dvd Calendar'!$AH$2826)))</f>
        <v/>
      </c>
      <c r="CU204" s="85">
        <f>IF(AG204="","",IF(ISNUMBER('Dvd Calendar'!$AI$2826)=FALSE,"",IF((Summary!$C$13="N")*('Dvd Calendar'!$AI$2830='Field Check'!$C$25)&gt;0,"",'Dvd Calendar'!$AI$2826)))</f>
        <v/>
      </c>
      <c r="CV204" s="85">
        <f>IF(AH204="","",IF(ISNUMBER('Dvd Calendar'!$AJ$2826)=FALSE,"",IF((Summary!$C$13="N")*('Dvd Calendar'!$AJ$2830='Field Check'!$C$25)&gt;0,"",'Dvd Calendar'!$AJ$2826)))</f>
        <v/>
      </c>
      <c r="CW204" s="85">
        <f>IF(AI204="","",IF(ISNUMBER('Dvd Calendar'!$AK$2826)=FALSE,"",IF((Summary!$C$13="N")*('Dvd Calendar'!$AK$2830='Field Check'!$C$25)&gt;0,"",'Dvd Calendar'!$AK$2826)))</f>
        <v/>
      </c>
      <c r="CX204" s="85">
        <f>IF(AJ204="","",IF(ISNUMBER('Dvd Calendar'!$AL$2826)=FALSE,"",IF((Summary!$C$13="N")*('Dvd Calendar'!$AL$2830='Field Check'!$C$25)&gt;0,"",'Dvd Calendar'!$AL$2826)))</f>
        <v/>
      </c>
      <c r="CY204" s="85">
        <f>IF(AK204="","",IF(ISNUMBER('Dvd Calendar'!$AM$2826)=FALSE,"",IF((Summary!$C$13="N")*('Dvd Calendar'!$AM$2830='Field Check'!$C$25)&gt;0,"",'Dvd Calendar'!$AM$2826)))</f>
        <v/>
      </c>
      <c r="CZ204" s="85">
        <f>IF(AL204="","",IF(ISNUMBER('Dvd Calendar'!$AN$2826)=FALSE,"",IF((Summary!$C$13="N")*('Dvd Calendar'!$AN$2830='Field Check'!$C$25)&gt;0,"",'Dvd Calendar'!$AN$2826)))</f>
        <v/>
      </c>
      <c r="DA204" s="85">
        <f>IF(AM204="","",IF(ISNUMBER('Dvd Calendar'!$AO$2826)=FALSE,"",IF((Summary!$C$13="N")*('Dvd Calendar'!$AO$2830='Field Check'!$C$25)&gt;0,"",'Dvd Calendar'!$AO$2826)))</f>
        <v/>
      </c>
      <c r="DB204" s="85">
        <f>IF(AN204="","",IF(ISNUMBER('Dvd Calendar'!$AP$2826)=FALSE,"",IF((Summary!$C$13="N")*('Dvd Calendar'!$AP$2830='Field Check'!$C$25)&gt;0,"",'Dvd Calendar'!$AP$2826)))</f>
        <v/>
      </c>
      <c r="DC204" s="85">
        <f>IF(AO204="","",IF(ISNUMBER('Dvd Calendar'!$AQ$2826)=FALSE,"",IF((Summary!$C$13="N")*('Dvd Calendar'!$AQ$2830='Field Check'!$C$25)&gt;0,"",'Dvd Calendar'!$AQ$2826)))</f>
        <v/>
      </c>
      <c r="DD204" s="85">
        <f>IF(AP204="","",IF(ISNUMBER('Dvd Calendar'!$AR$2826)=FALSE,"",IF((Summary!$C$13="N")*('Dvd Calendar'!$AR$2830='Field Check'!$C$25)&gt;0,"",'Dvd Calendar'!$AR$2826)))</f>
        <v/>
      </c>
      <c r="DE204" s="85">
        <f>IF(AQ204="","",IF(ISNUMBER('Dvd Calendar'!$E$2833)=FALSE,"",IF((Summary!$C$13="N")*('Dvd Calendar'!$E$2837='Field Check'!$C$25)&gt;0,"",'Dvd Calendar'!$E$2833)))</f>
        <v/>
      </c>
      <c r="DF204" s="85">
        <f>IF(AR204="","",IF(ISNUMBER('Dvd Calendar'!$F$2833)=FALSE,"",IF((Summary!$C$13="N")*('Dvd Calendar'!$F$2837='Field Check'!$C$25)&gt;0,"",'Dvd Calendar'!$F$2833)))</f>
        <v/>
      </c>
      <c r="DG204" s="85">
        <f>IF(AS204="","",IF(ISNUMBER('Dvd Calendar'!$G$2833)=FALSE,"",IF((Summary!$C$13="N")*('Dvd Calendar'!$G$2837='Field Check'!$C$25)&gt;0,"",'Dvd Calendar'!$G$2833)))</f>
        <v/>
      </c>
      <c r="DH204" s="85">
        <f>IF(AT204="","",IF(ISNUMBER('Dvd Calendar'!$H$2833)=FALSE,"",IF((Summary!$C$13="N")*('Dvd Calendar'!$H$2837='Field Check'!$C$25)&gt;0,"",'Dvd Calendar'!$H$2833)))</f>
        <v/>
      </c>
      <c r="DI204" s="85">
        <f>IF(AU204="","",IF(ISNUMBER('Dvd Calendar'!$I$2833)=FALSE,"",IF((Summary!$C$13="N")*('Dvd Calendar'!$I$2837='Field Check'!$C$25)&gt;0,"",'Dvd Calendar'!$I$2833)))</f>
        <v/>
      </c>
      <c r="DJ204" s="85">
        <f>IF(AV204="","",IF(ISNUMBER('Dvd Calendar'!$J$2833)=FALSE,"",IF((Summary!$C$13="N")*('Dvd Calendar'!$J$2837='Field Check'!$C$25)&gt;0,"",'Dvd Calendar'!$J$2833)))</f>
        <v/>
      </c>
      <c r="DK204" s="85">
        <f>IF(AW204="","",IF(ISNUMBER('Dvd Calendar'!$K$2833)=FALSE,"",IF((Summary!$C$13="N")*('Dvd Calendar'!$K$2837='Field Check'!$C$25)&gt;0,"",'Dvd Calendar'!$K$2833)))</f>
        <v/>
      </c>
      <c r="DL204" s="85">
        <f>IF(AX204="","",IF(ISNUMBER('Dvd Calendar'!$L$2833)=FALSE,"",IF((Summary!$C$13="N")*('Dvd Calendar'!$L$2837='Field Check'!$C$25)&gt;0,"",'Dvd Calendar'!$L$2833)))</f>
        <v/>
      </c>
      <c r="DM204" s="85">
        <f>IF(AY204="","",IF(ISNUMBER('Dvd Calendar'!$M$2833)=FALSE,"",IF((Summary!$C$13="N")*('Dvd Calendar'!$M$2837='Field Check'!$C$25)&gt;0,"",'Dvd Calendar'!$M$2833)))</f>
        <v/>
      </c>
      <c r="DN204" s="85">
        <f>IF(AZ204="","",IF(ISNUMBER('Dvd Calendar'!$N$2833)=FALSE,"",IF((Summary!$C$13="N")*('Dvd Calendar'!$N$2837='Field Check'!$C$25)&gt;0,"",'Dvd Calendar'!$N$2833)))</f>
        <v/>
      </c>
      <c r="DO204" s="85">
        <f>IF(BA204="","",IF(ISNUMBER('Dvd Calendar'!$O$2833)=FALSE,"",IF((Summary!$C$13="N")*('Dvd Calendar'!$O$2837='Field Check'!$C$25)&gt;0,"",'Dvd Calendar'!$O$2833)))</f>
        <v/>
      </c>
      <c r="DP204" s="85">
        <f>IF(BB204="","",IF(ISNUMBER('Dvd Calendar'!$P$2833)=FALSE,"",IF((Summary!$C$13="N")*('Dvd Calendar'!$P$2837='Field Check'!$C$25)&gt;0,"",'Dvd Calendar'!$P$2833)))</f>
        <v/>
      </c>
      <c r="DQ204" s="85">
        <f>IF(BC204="","",IF(ISNUMBER('Dvd Calendar'!$Q$2833)=FALSE,"",IF((Summary!$C$13="N")*('Dvd Calendar'!$Q$2837='Field Check'!$C$25)&gt;0,"",'Dvd Calendar'!$Q$2833)))</f>
        <v/>
      </c>
      <c r="DR204" s="85">
        <f>IF(BD204="","",IF(ISNUMBER('Dvd Calendar'!$R$2833)=FALSE,"",IF((Summary!$C$13="N")*('Dvd Calendar'!$R$2837='Field Check'!$C$25)&gt;0,"",'Dvd Calendar'!$R$2833)))</f>
        <v/>
      </c>
      <c r="DS204" s="85">
        <f>IF(BE204="","",IF(ISNUMBER('Dvd Calendar'!$S$2833)=FALSE,"",IF((Summary!$C$13="N")*('Dvd Calendar'!$S$2837='Field Check'!$C$25)&gt;0,"",'Dvd Calendar'!$S$2833)))</f>
        <v/>
      </c>
      <c r="DT204" s="85">
        <f>IF(BF204="","",IF(ISNUMBER('Dvd Calendar'!$T$2833)=FALSE,"",IF((Summary!$C$13="N")*('Dvd Calendar'!$T$2837='Field Check'!$C$25)&gt;0,"",'Dvd Calendar'!$T$2833)))</f>
        <v/>
      </c>
      <c r="DU204" s="85">
        <f>IF(BG204="","",IF(ISNUMBER('Dvd Calendar'!$U$2833)=FALSE,"",IF((Summary!$C$13="N")*('Dvd Calendar'!$U$2837='Field Check'!$C$25)&gt;0,"",'Dvd Calendar'!$U$2833)))</f>
        <v/>
      </c>
      <c r="DV204" s="85">
        <f>IF(BH204="","",IF(ISNUMBER('Dvd Calendar'!$V$2833)=FALSE,"",IF((Summary!$C$13="N")*('Dvd Calendar'!$V$2837='Field Check'!$C$25)&gt;0,"",'Dvd Calendar'!$V$2833)))</f>
        <v/>
      </c>
      <c r="DW204" s="85">
        <f>IF(BI204="","",IF(ISNUMBER('Dvd Calendar'!$W$2833)=FALSE,"",IF((Summary!$C$13="N")*('Dvd Calendar'!$W$2837='Field Check'!$C$25)&gt;0,"",'Dvd Calendar'!$W$2833)))</f>
        <v/>
      </c>
      <c r="DX204" s="85">
        <f>IF(BJ204="","",IF(ISNUMBER('Dvd Calendar'!$X$2833)=FALSE,"",IF((Summary!$C$13="N")*('Dvd Calendar'!$X$2837='Field Check'!$C$25)&gt;0,"",'Dvd Calendar'!$X$2833)))</f>
        <v/>
      </c>
      <c r="DY204" s="85">
        <f>IF(BK204="","",IF(ISNUMBER('Dvd Calendar'!$Y$2833)=FALSE,"",IF((Summary!$C$13="N")*('Dvd Calendar'!$Y$2837='Field Check'!$C$25)&gt;0,"",'Dvd Calendar'!$Y$2833)))</f>
        <v/>
      </c>
      <c r="DZ204" s="85">
        <f>IF(BL204="","",IF(ISNUMBER('Dvd Calendar'!$Z$2833)=FALSE,"",IF((Summary!$C$13="N")*('Dvd Calendar'!$Z$2837='Field Check'!$C$25)&gt;0,"",'Dvd Calendar'!$Z$2833)))</f>
        <v/>
      </c>
      <c r="EA204" s="85">
        <f>IF(BM204="","",IF(ISNUMBER('Dvd Calendar'!$AA$2833)=FALSE,"",IF((Summary!$C$13="N")*('Dvd Calendar'!$AA$2837='Field Check'!$C$25)&gt;0,"",'Dvd Calendar'!$AA$2833)))</f>
        <v/>
      </c>
      <c r="EB204" s="85">
        <f>IF(BN204="","",IF(ISNUMBER('Dvd Calendar'!$AB$2833)=FALSE,"",IF((Summary!$C$13="N")*('Dvd Calendar'!$AB$2837='Field Check'!$C$25)&gt;0,"",'Dvd Calendar'!$AB$2833)))</f>
        <v/>
      </c>
      <c r="EC204" s="85">
        <f>IF(BO204="","",IF(ISNUMBER('Dvd Calendar'!$AC$2833)=FALSE,"",IF((Summary!$C$13="N")*('Dvd Calendar'!$AC$2837='Field Check'!$C$25)&gt;0,"",'Dvd Calendar'!$AC$2833)))</f>
        <v/>
      </c>
      <c r="EE204" s="85">
        <f>IF(BQ204="","",IFERROR(BQ204*HSCEI!$B$54*HSCEI!$G$54/HSCEI!$B$3,""))</f>
        <v/>
      </c>
      <c r="EF204" s="85">
        <f>IF(BR204="","",IFERROR(BR204*HSCEI!$B$54*HSCEI!$G$54/HSCEI!$B$3,""))</f>
        <v/>
      </c>
      <c r="EG204" s="85">
        <f>IF(BS204="","",IFERROR(BS204*HSCEI!$B$54*HSCEI!$G$54/HSCEI!$B$3,""))</f>
        <v/>
      </c>
      <c r="EH204" s="85">
        <f>IF(BT204="","",IFERROR(BT204*HSCEI!$B$54*HSCEI!$G$54/HSCEI!$B$3,""))</f>
        <v/>
      </c>
      <c r="EI204" s="85">
        <f>IF(BU204="","",IFERROR(BU204*HSCEI!$B$54*HSCEI!$G$54/HSCEI!$B$3,""))</f>
        <v/>
      </c>
      <c r="EJ204" s="85">
        <f>IF(BV204="","",IFERROR(BV204*HSCEI!$B$54*HSCEI!$G$54/HSCEI!$B$3,""))</f>
        <v/>
      </c>
      <c r="EK204" s="85">
        <f>IF(BW204="","",IFERROR(BW204*HSCEI!$B$54*HSCEI!$G$54/HSCEI!$B$3,""))</f>
        <v/>
      </c>
      <c r="EL204" s="85">
        <f>IF(BX204="","",IFERROR(BX204*HSCEI!$B$54*HSCEI!$G$54/HSCEI!$B$3,""))</f>
        <v/>
      </c>
      <c r="EM204" s="85">
        <f>IF(BY204="","",IFERROR(BY204*HSCEI!$B$54*HSCEI!$G$54/HSCEI!$B$3,""))</f>
        <v/>
      </c>
      <c r="EN204" s="85">
        <f>IF(BZ204="","",IFERROR(BZ204*HSCEI!$B$54*HSCEI!$G$54/HSCEI!$B$3,""))</f>
        <v/>
      </c>
      <c r="EO204" s="85">
        <f>IF(CA204="","",IFERROR(CA204*HSCEI!$B$54*HSCEI!$G$54/HSCEI!$B$3,""))</f>
        <v/>
      </c>
      <c r="EP204" s="85">
        <f>IF(CB204="","",IFERROR(CB204*HSCEI!$B$54*HSCEI!$G$54/HSCEI!$B$3,""))</f>
        <v/>
      </c>
      <c r="EQ204" s="85">
        <f>IF(CC204="","",IFERROR(CC204*HSCEI!$B$54*HSCEI!$G$54/HSCEI!$B$3,""))</f>
        <v/>
      </c>
      <c r="ER204" s="85">
        <f>IF(CD204="","",IFERROR(CD204*HSCEI!$B$54*HSCEI!$G$54/HSCEI!$B$3,""))</f>
        <v/>
      </c>
      <c r="ES204" s="85">
        <f>IF(CE204="","",IFERROR(CE204*HSCEI!$B$54*HSCEI!$G$54/HSCEI!$B$3,""))</f>
        <v/>
      </c>
      <c r="ET204" s="85">
        <f>IF(CF204="","",IFERROR(CF204*HSCEI!$B$54*HSCEI!$G$54/HSCEI!$B$3,""))</f>
        <v/>
      </c>
      <c r="EU204" s="85">
        <f>IF(CG204="","",IFERROR(CG204*HSCEI!$B$54*HSCEI!$G$54/HSCEI!$B$3,""))</f>
        <v/>
      </c>
      <c r="EV204" s="85">
        <f>IF(CH204="","",IFERROR(CH204*HSCEI!$B$54*HSCEI!$G$54/HSCEI!$B$3,""))</f>
        <v/>
      </c>
      <c r="EW204" s="85">
        <f>IF(CI204="","",IFERROR(CI204*HSCEI!$B$54*HSCEI!$G$54/HSCEI!$B$3,""))</f>
        <v/>
      </c>
      <c r="EX204" s="85">
        <f>IF(CJ204="","",IFERROR(CJ204*HSCEI!$B$54*HSCEI!$G$54/HSCEI!$B$3,""))</f>
        <v/>
      </c>
      <c r="EY204" s="85">
        <f>IF(CK204="","",IFERROR(CK204*HSCEI!$B$54*HSCEI!$G$54/HSCEI!$B$3,""))</f>
        <v/>
      </c>
      <c r="EZ204" s="85">
        <f>IF(CL204="","",IFERROR(CL204*HSCEI!$B$54*HSCEI!$G$54/HSCEI!$B$3,""))</f>
        <v/>
      </c>
      <c r="FA204" s="85">
        <f>IF(CM204="","",IFERROR(CM204*HSCEI!$B$54*HSCEI!$G$54/HSCEI!$B$3,""))</f>
        <v/>
      </c>
      <c r="FB204" s="85">
        <f>IF(CN204="","",IFERROR(CN204*HSCEI!$B$54*HSCEI!$G$54/HSCEI!$B$3,""))</f>
        <v/>
      </c>
      <c r="FC204" s="85">
        <f>IF(CO204="","",IFERROR(CO204*HSCEI!$B$54*HSCEI!$G$54/HSCEI!$B$3,""))</f>
        <v/>
      </c>
      <c r="FD204" s="85">
        <f>IF(CP204="","",IFERROR(CP204*HSCEI!$B$54*HSCEI!$G$54/HSCEI!$B$3,""))</f>
        <v/>
      </c>
      <c r="FE204" s="85">
        <f>IF(CQ204="","",IFERROR(CQ204*HSCEI!$B$54*HSCEI!$G$54/HSCEI!$B$3,""))</f>
        <v/>
      </c>
      <c r="FF204" s="85">
        <f>IF(CR204="","",IFERROR(CR204*HSCEI!$B$54*HSCEI!$G$54/HSCEI!$B$3,""))</f>
        <v/>
      </c>
      <c r="FG204" s="85">
        <f>IF(CS204="","",IFERROR(CS204*HSCEI!$B$54*HSCEI!$G$54/HSCEI!$B$3,""))</f>
        <v/>
      </c>
      <c r="FH204" s="85">
        <f>IF(CT204="","",IFERROR(CT204*HSCEI!$B$54*HSCEI!$G$54/HSCEI!$B$3,""))</f>
        <v/>
      </c>
      <c r="FI204" s="85">
        <f>IF(CU204="","",IFERROR(CU204*HSCEI!$B$54*HSCEI!$G$54/HSCEI!$B$3,""))</f>
        <v/>
      </c>
      <c r="FJ204" s="85">
        <f>IF(CV204="","",IFERROR(CV204*HSCEI!$B$54*HSCEI!$G$54/HSCEI!$B$3,""))</f>
        <v/>
      </c>
      <c r="FK204" s="85">
        <f>IF(CW204="","",IFERROR(CW204*HSCEI!$B$54*HSCEI!$G$54/HSCEI!$B$3,""))</f>
        <v/>
      </c>
      <c r="FL204" s="85">
        <f>IF(CX204="","",IFERROR(CX204*HSCEI!$B$54*HSCEI!$G$54/HSCEI!$B$3,""))</f>
        <v/>
      </c>
      <c r="FM204" s="85">
        <f>IF(CY204="","",IFERROR(CY204*HSCEI!$B$54*HSCEI!$G$54/HSCEI!$B$3,""))</f>
        <v/>
      </c>
      <c r="FN204" s="85">
        <f>IF(CZ204="","",IFERROR(CZ204*HSCEI!$B$54*HSCEI!$G$54/HSCEI!$B$3,""))</f>
        <v/>
      </c>
      <c r="FO204" s="85">
        <f>IF(DA204="","",IFERROR(DA204*HSCEI!$B$54*HSCEI!$G$54/HSCEI!$B$3,""))</f>
        <v/>
      </c>
      <c r="FP204" s="85">
        <f>IF(DB204="","",IFERROR(DB204*HSCEI!$B$54*HSCEI!$G$54/HSCEI!$B$3,""))</f>
        <v/>
      </c>
      <c r="FQ204" s="85">
        <f>IF(DC204="","",IFERROR(DC204*HSCEI!$B$54*HSCEI!$G$54/HSCEI!$B$3,""))</f>
        <v/>
      </c>
      <c r="FR204" s="85">
        <f>IF(DD204="","",IFERROR(DD204*HSCEI!$B$54*HSCEI!$G$54/HSCEI!$B$3,""))</f>
        <v/>
      </c>
      <c r="FS204" s="85">
        <f>IF(DE204="","",IFERROR(DE204*HSCEI!$B$54*HSCEI!$G$54/HSCEI!$B$3,""))</f>
        <v/>
      </c>
      <c r="FT204" s="85">
        <f>IF(DF204="","",IFERROR(DF204*HSCEI!$B$54*HSCEI!$G$54/HSCEI!$B$3,""))</f>
        <v/>
      </c>
      <c r="FU204" s="85">
        <f>IF(DG204="","",IFERROR(DG204*HSCEI!$B$54*HSCEI!$G$54/HSCEI!$B$3,""))</f>
        <v/>
      </c>
      <c r="FV204" s="85">
        <f>IF(DH204="","",IFERROR(DH204*HSCEI!$B$54*HSCEI!$G$54/HSCEI!$B$3,""))</f>
        <v/>
      </c>
      <c r="FW204" s="85">
        <f>IF(DI204="","",IFERROR(DI204*HSCEI!$B$54*HSCEI!$G$54/HSCEI!$B$3,""))</f>
        <v/>
      </c>
      <c r="FX204" s="85">
        <f>IF(DJ204="","",IFERROR(DJ204*HSCEI!$B$54*HSCEI!$G$54/HSCEI!$B$3,""))</f>
        <v/>
      </c>
      <c r="FY204" s="85">
        <f>IF(DK204="","",IFERROR(DK204*HSCEI!$B$54*HSCEI!$G$54/HSCEI!$B$3,""))</f>
        <v/>
      </c>
      <c r="FZ204" s="85">
        <f>IF(DL204="","",IFERROR(DL204*HSCEI!$B$54*HSCEI!$G$54/HSCEI!$B$3,""))</f>
        <v/>
      </c>
      <c r="GA204" s="85">
        <f>IF(DM204="","",IFERROR(DM204*HSCEI!$B$54*HSCEI!$G$54/HSCEI!$B$3,""))</f>
        <v/>
      </c>
      <c r="GB204" s="85">
        <f>IF(DN204="","",IFERROR(DN204*HSCEI!$B$54*HSCEI!$G$54/HSCEI!$B$3,""))</f>
        <v/>
      </c>
      <c r="GC204" s="85">
        <f>IF(DO204="","",IFERROR(DO204*HSCEI!$B$54*HSCEI!$G$54/HSCEI!$B$3,""))</f>
        <v/>
      </c>
      <c r="GD204" s="85">
        <f>IF(DP204="","",IFERROR(DP204*HSCEI!$B$54*HSCEI!$G$54/HSCEI!$B$3,""))</f>
        <v/>
      </c>
      <c r="GE204" s="85">
        <f>IF(DQ204="","",IFERROR(DQ204*HSCEI!$B$54*HSCEI!$G$54/HSCEI!$B$3,""))</f>
        <v/>
      </c>
      <c r="GF204" s="85">
        <f>IF(DR204="","",IFERROR(DR204*HSCEI!$B$54*HSCEI!$G$54/HSCEI!$B$3,""))</f>
        <v/>
      </c>
      <c r="GG204" s="85">
        <f>IF(DS204="","",IFERROR(DS204*HSCEI!$B$54*HSCEI!$G$54/HSCEI!$B$3,""))</f>
        <v/>
      </c>
      <c r="GH204" s="85">
        <f>IF(DT204="","",IFERROR(DT204*HSCEI!$B$54*HSCEI!$G$54/HSCEI!$B$3,""))</f>
        <v/>
      </c>
      <c r="GI204" s="85">
        <f>IF(DU204="","",IFERROR(DU204*HSCEI!$B$54*HSCEI!$G$54/HSCEI!$B$3,""))</f>
        <v/>
      </c>
      <c r="GJ204" s="85">
        <f>IF(DV204="","",IFERROR(DV204*HSCEI!$B$54*HSCEI!$G$54/HSCEI!$B$3,""))</f>
        <v/>
      </c>
      <c r="GK204" s="85">
        <f>IF(DW204="","",IFERROR(DW204*HSCEI!$B$54*HSCEI!$G$54/HSCEI!$B$3,""))</f>
        <v/>
      </c>
      <c r="GL204" s="85">
        <f>IF(DX204="","",IFERROR(DX204*HSCEI!$B$54*HSCEI!$G$54/HSCEI!$B$3,""))</f>
        <v/>
      </c>
      <c r="GM204" s="85">
        <f>IF(DY204="","",IFERROR(DY204*HSCEI!$B$54*HSCEI!$G$54/HSCEI!$B$3,""))</f>
        <v/>
      </c>
      <c r="GN204" s="85">
        <f>IF(DZ204="","",IFERROR(DZ204*HSCEI!$B$54*HSCEI!$G$54/HSCEI!$B$3,""))</f>
        <v/>
      </c>
      <c r="GO204" s="85">
        <f>IF(EA204="","",IFERROR(EA204*HSCEI!$B$54*HSCEI!$G$54/HSCEI!$B$3,""))</f>
        <v/>
      </c>
      <c r="GP204" s="85">
        <f>IF(EB204="","",IFERROR(EB204*HSCEI!$B$54*HSCEI!$G$54/HSCEI!$B$3,""))</f>
        <v/>
      </c>
      <c r="GQ204" s="85">
        <f>IF(EC204="","",IFERROR(EC204*HSCEI!$B$54*HSCEI!$G$54/HSCEI!$B$3,""))</f>
        <v/>
      </c>
    </row>
    <row r="205">
      <c r="B205" s="2">
        <f>IF(HSCEI!$C$55="","",HSCEI!$C$55)</f>
        <v/>
      </c>
      <c r="C205" s="41">
        <f>IF(N('Dvd Calendar'!$E$2840)=0,"",IF(('Dvd Calendar'!$E$2840&gt;=MIN(DATE(Summary!$C$12,1,1),Summary!$C$11))*('Dvd Calendar'!$E$2840&lt;=MAX(DATE(Summary!$C$12,12,31),Summary!$C$15))*('Dvd Calendar'!$E$2840&lt;=Summary!$C$11)=0,"",'Dvd Calendar'!$E$2840*1000000000+ISNUMBER('Dvd Calendar'!$E$2841)*100000000+('Dvd Calendar'!$E$2845='Field Check'!$C$25)*10000000+(N('Dvd Calendar'!$E$2839)&gt;0)*1000000+49*1000+1))</f>
        <v/>
      </c>
      <c r="D205" s="41">
        <f>IF(N('Dvd Calendar'!$F$2840)=0,"",IF(('Dvd Calendar'!$F$2840&gt;=MIN(DATE(Summary!$C$12,1,1),Summary!$C$11))*('Dvd Calendar'!$F$2840&lt;=MAX(DATE(Summary!$C$12,12,31),Summary!$C$15))*('Dvd Calendar'!$F$2840&lt;=Summary!$C$11)=0,"",'Dvd Calendar'!$F$2840*1000000000+ISNUMBER('Dvd Calendar'!$F$2841)*100000000+('Dvd Calendar'!$F$2845='Field Check'!$C$25)*10000000+(N('Dvd Calendar'!$F$2839)&gt;0)*1000000+49*1000+2))</f>
        <v/>
      </c>
      <c r="E205" s="41">
        <f>IF(N('Dvd Calendar'!$G$2840)=0,"",IF(('Dvd Calendar'!$G$2840&gt;=MIN(DATE(Summary!$C$12,1,1),Summary!$C$11))*('Dvd Calendar'!$G$2840&lt;=MAX(DATE(Summary!$C$12,12,31),Summary!$C$15))*('Dvd Calendar'!$G$2840&lt;=Summary!$C$11)=0,"",'Dvd Calendar'!$G$2840*1000000000+ISNUMBER('Dvd Calendar'!$G$2841)*100000000+('Dvd Calendar'!$G$2845='Field Check'!$C$25)*10000000+(N('Dvd Calendar'!$G$2839)&gt;0)*1000000+49*1000+3))</f>
        <v/>
      </c>
      <c r="F205" s="41">
        <f>IF(N('Dvd Calendar'!$H$2840)=0,"",IF(('Dvd Calendar'!$H$2840&gt;=MIN(DATE(Summary!$C$12,1,1),Summary!$C$11))*('Dvd Calendar'!$H$2840&lt;=MAX(DATE(Summary!$C$12,12,31),Summary!$C$15))*('Dvd Calendar'!$H$2840&lt;=Summary!$C$11)=0,"",'Dvd Calendar'!$H$2840*1000000000+ISNUMBER('Dvd Calendar'!$H$2841)*100000000+('Dvd Calendar'!$H$2845='Field Check'!$C$25)*10000000+(N('Dvd Calendar'!$H$2839)&gt;0)*1000000+49*1000+4))</f>
        <v/>
      </c>
      <c r="G205" s="41">
        <f>IF(N('Dvd Calendar'!$I$2840)=0,"",IF(('Dvd Calendar'!$I$2840&gt;=MIN(DATE(Summary!$C$12,1,1),Summary!$C$11))*('Dvd Calendar'!$I$2840&lt;=MAX(DATE(Summary!$C$12,12,31),Summary!$C$15))*('Dvd Calendar'!$I$2840&lt;=Summary!$C$11)=0,"",'Dvd Calendar'!$I$2840*1000000000+ISNUMBER('Dvd Calendar'!$I$2841)*100000000+('Dvd Calendar'!$I$2845='Field Check'!$C$25)*10000000+(N('Dvd Calendar'!$I$2839)&gt;0)*1000000+49*1000+5))</f>
        <v/>
      </c>
      <c r="H205" s="41">
        <f>IF(N('Dvd Calendar'!$J$2840)=0,"",IF(('Dvd Calendar'!$J$2840&gt;=MIN(DATE(Summary!$C$12,1,1),Summary!$C$11))*('Dvd Calendar'!$J$2840&lt;=MAX(DATE(Summary!$C$12,12,31),Summary!$C$15))*('Dvd Calendar'!$J$2840&lt;=Summary!$C$11)=0,"",'Dvd Calendar'!$J$2840*1000000000+ISNUMBER('Dvd Calendar'!$J$2841)*100000000+('Dvd Calendar'!$J$2845='Field Check'!$C$25)*10000000+(N('Dvd Calendar'!$J$2839)&gt;0)*1000000+49*1000+6))</f>
        <v/>
      </c>
      <c r="I205" s="41">
        <f>IF(N('Dvd Calendar'!$K$2840)=0,"",IF(('Dvd Calendar'!$K$2840&gt;=MIN(DATE(Summary!$C$12,1,1),Summary!$C$11))*('Dvd Calendar'!$K$2840&lt;=MAX(DATE(Summary!$C$12,12,31),Summary!$C$15))*('Dvd Calendar'!$K$2840&lt;=Summary!$C$11)=0,"",'Dvd Calendar'!$K$2840*1000000000+ISNUMBER('Dvd Calendar'!$K$2841)*100000000+('Dvd Calendar'!$K$2845='Field Check'!$C$25)*10000000+(N('Dvd Calendar'!$K$2839)&gt;0)*1000000+49*1000+7))</f>
        <v/>
      </c>
      <c r="J205" s="41">
        <f>IF(N('Dvd Calendar'!$L$2840)=0,"",IF(('Dvd Calendar'!$L$2840&gt;=MIN(DATE(Summary!$C$12,1,1),Summary!$C$11))*('Dvd Calendar'!$L$2840&lt;=MAX(DATE(Summary!$C$12,12,31),Summary!$C$15))*('Dvd Calendar'!$L$2840&lt;=Summary!$C$11)=0,"",'Dvd Calendar'!$L$2840*1000000000+ISNUMBER('Dvd Calendar'!$L$2841)*100000000+('Dvd Calendar'!$L$2845='Field Check'!$C$25)*10000000+(N('Dvd Calendar'!$L$2839)&gt;0)*1000000+49*1000+8))</f>
        <v/>
      </c>
      <c r="K205" s="41">
        <f>IF(N('Dvd Calendar'!$M$2840)=0,"",IF(('Dvd Calendar'!$M$2840&gt;=MIN(DATE(Summary!$C$12,1,1),Summary!$C$11))*('Dvd Calendar'!$M$2840&lt;=MAX(DATE(Summary!$C$12,12,31),Summary!$C$15))*('Dvd Calendar'!$M$2840&lt;=Summary!$C$11)=0,"",'Dvd Calendar'!$M$2840*1000000000+ISNUMBER('Dvd Calendar'!$M$2841)*100000000+('Dvd Calendar'!$M$2845='Field Check'!$C$25)*10000000+(N('Dvd Calendar'!$M$2839)&gt;0)*1000000+49*1000+9))</f>
        <v/>
      </c>
      <c r="L205" s="41">
        <f>IF(N('Dvd Calendar'!$N$2840)=0,"",IF(('Dvd Calendar'!$N$2840&gt;=MIN(DATE(Summary!$C$12,1,1),Summary!$C$11))*('Dvd Calendar'!$N$2840&lt;=MAX(DATE(Summary!$C$12,12,31),Summary!$C$15))*('Dvd Calendar'!$N$2840&lt;=Summary!$C$11)=0,"",'Dvd Calendar'!$N$2840*1000000000+ISNUMBER('Dvd Calendar'!$N$2841)*100000000+('Dvd Calendar'!$N$2845='Field Check'!$C$25)*10000000+(N('Dvd Calendar'!$N$2839)&gt;0)*1000000+49*1000+10))</f>
        <v/>
      </c>
      <c r="M205" s="41">
        <f>IF(N('Dvd Calendar'!$O$2840)=0,"",IF(('Dvd Calendar'!$O$2840&gt;=MIN(DATE(Summary!$C$12,1,1),Summary!$C$11))*('Dvd Calendar'!$O$2840&lt;=MAX(DATE(Summary!$C$12,12,31),Summary!$C$15))*('Dvd Calendar'!$O$2840&lt;=Summary!$C$11)=0,"",'Dvd Calendar'!$O$2840*1000000000+ISNUMBER('Dvd Calendar'!$O$2841)*100000000+('Dvd Calendar'!$O$2845='Field Check'!$C$25)*10000000+(N('Dvd Calendar'!$O$2839)&gt;0)*1000000+49*1000+11))</f>
        <v/>
      </c>
      <c r="N205" s="41">
        <f>IF(N('Dvd Calendar'!$P$2840)=0,"",IF(('Dvd Calendar'!$P$2840&gt;=MIN(DATE(Summary!$C$12,1,1),Summary!$C$11))*('Dvd Calendar'!$P$2840&lt;=MAX(DATE(Summary!$C$12,12,31),Summary!$C$15))*('Dvd Calendar'!$P$2840&lt;=Summary!$C$11)=0,"",'Dvd Calendar'!$P$2840*1000000000+ISNUMBER('Dvd Calendar'!$P$2841)*100000000+('Dvd Calendar'!$P$2845='Field Check'!$C$25)*10000000+(N('Dvd Calendar'!$P$2839)&gt;0)*1000000+49*1000+12))</f>
        <v/>
      </c>
      <c r="O205" s="41">
        <f>IF(N('Dvd Calendar'!$Q$2840)=0,"",IF(('Dvd Calendar'!$Q$2840&gt;=MIN(DATE(Summary!$C$12,1,1),Summary!$C$11))*('Dvd Calendar'!$Q$2840&lt;=MAX(DATE(Summary!$C$12,12,31),Summary!$C$15))*('Dvd Calendar'!$Q$2840&lt;=Summary!$C$11)=0,"",'Dvd Calendar'!$Q$2840*1000000000+ISNUMBER('Dvd Calendar'!$Q$2841)*100000000+('Dvd Calendar'!$Q$2845='Field Check'!$C$25)*10000000+(N('Dvd Calendar'!$Q$2839)&gt;0)*1000000+49*1000+13))</f>
        <v/>
      </c>
      <c r="P205" s="41">
        <f>IF(N('Dvd Calendar'!$R$2840)=0,"",IF(('Dvd Calendar'!$R$2840&gt;=MIN(DATE(Summary!$C$12,1,1),Summary!$C$11))*('Dvd Calendar'!$R$2840&lt;=MAX(DATE(Summary!$C$12,12,31),Summary!$C$15))*('Dvd Calendar'!$R$2840&lt;=Summary!$C$11)=0,"",'Dvd Calendar'!$R$2840*1000000000+ISNUMBER('Dvd Calendar'!$R$2841)*100000000+('Dvd Calendar'!$R$2845='Field Check'!$C$25)*10000000+(N('Dvd Calendar'!$R$2839)&gt;0)*1000000+49*1000+14))</f>
        <v/>
      </c>
      <c r="Q205" s="41">
        <f>IF(N('Dvd Calendar'!$S$2840)=0,"",IF(('Dvd Calendar'!$S$2840&gt;=MIN(DATE(Summary!$C$12,1,1),Summary!$C$11))*('Dvd Calendar'!$S$2840&lt;=MAX(DATE(Summary!$C$12,12,31),Summary!$C$15))*('Dvd Calendar'!$S$2840&lt;=Summary!$C$11)=0,"",'Dvd Calendar'!$S$2840*1000000000+ISNUMBER('Dvd Calendar'!$S$2841)*100000000+('Dvd Calendar'!$S$2845='Field Check'!$C$25)*10000000+(N('Dvd Calendar'!$S$2839)&gt;0)*1000000+49*1000+15))</f>
        <v/>
      </c>
      <c r="R205" s="41">
        <f>IF(N('Dvd Calendar'!$T$2840)=0,"",IF(('Dvd Calendar'!$T$2840&gt;=MIN(DATE(Summary!$C$12,1,1),Summary!$C$11))*('Dvd Calendar'!$T$2840&lt;=MAX(DATE(Summary!$C$12,12,31),Summary!$C$15))*('Dvd Calendar'!$T$2840&lt;=Summary!$C$11)=0,"",'Dvd Calendar'!$T$2840*1000000000+ISNUMBER('Dvd Calendar'!$T$2841)*100000000+('Dvd Calendar'!$T$2845='Field Check'!$C$25)*10000000+(N('Dvd Calendar'!$T$2839)&gt;0)*1000000+49*1000+16))</f>
        <v/>
      </c>
      <c r="S205" s="41">
        <f>IF(N('Dvd Calendar'!$U$2840)=0,"",IF(('Dvd Calendar'!$U$2840&gt;=MIN(DATE(Summary!$C$12,1,1),Summary!$C$11))*('Dvd Calendar'!$U$2840&lt;=MAX(DATE(Summary!$C$12,12,31),Summary!$C$15))*('Dvd Calendar'!$U$2840&lt;=Summary!$C$11)=0,"",'Dvd Calendar'!$U$2840*1000000000+ISNUMBER('Dvd Calendar'!$U$2841)*100000000+('Dvd Calendar'!$U$2845='Field Check'!$C$25)*10000000+(N('Dvd Calendar'!$U$2839)&gt;0)*1000000+49*1000+17))</f>
        <v/>
      </c>
      <c r="T205" s="41">
        <f>IF(N('Dvd Calendar'!$V$2840)=0,"",IF(('Dvd Calendar'!$V$2840&gt;=MIN(DATE(Summary!$C$12,1,1),Summary!$C$11))*('Dvd Calendar'!$V$2840&lt;=MAX(DATE(Summary!$C$12,12,31),Summary!$C$15))*('Dvd Calendar'!$V$2840&lt;=Summary!$C$11)=0,"",'Dvd Calendar'!$V$2840*1000000000+ISNUMBER('Dvd Calendar'!$V$2841)*100000000+('Dvd Calendar'!$V$2845='Field Check'!$C$25)*10000000+(N('Dvd Calendar'!$V$2839)&gt;0)*1000000+49*1000+18))</f>
        <v/>
      </c>
      <c r="U205" s="41">
        <f>IF(N('Dvd Calendar'!$W$2840)=0,"",IF(('Dvd Calendar'!$W$2840&gt;=MIN(DATE(Summary!$C$12,1,1),Summary!$C$11))*('Dvd Calendar'!$W$2840&lt;=MAX(DATE(Summary!$C$12,12,31),Summary!$C$15))*('Dvd Calendar'!$W$2840&lt;=Summary!$C$11)=0,"",'Dvd Calendar'!$W$2840*1000000000+ISNUMBER('Dvd Calendar'!$W$2841)*100000000+('Dvd Calendar'!$W$2845='Field Check'!$C$25)*10000000+(N('Dvd Calendar'!$W$2839)&gt;0)*1000000+49*1000+19))</f>
        <v/>
      </c>
      <c r="V205" s="41">
        <f>IF(N('Dvd Calendar'!$X$2840)=0,"",IF(('Dvd Calendar'!$X$2840&gt;=MIN(DATE(Summary!$C$12,1,1),Summary!$C$11))*('Dvd Calendar'!$X$2840&lt;=MAX(DATE(Summary!$C$12,12,31),Summary!$C$15))*('Dvd Calendar'!$X$2840&lt;=Summary!$C$11)=0,"",'Dvd Calendar'!$X$2840*1000000000+ISNUMBER('Dvd Calendar'!$X$2841)*100000000+('Dvd Calendar'!$X$2845='Field Check'!$C$25)*10000000+(N('Dvd Calendar'!$X$2839)&gt;0)*1000000+49*1000+20))</f>
        <v/>
      </c>
      <c r="W205" s="41">
        <f>IF(N('Dvd Calendar'!$Y$2840)=0,"",IF(('Dvd Calendar'!$Y$2840&gt;=MIN(DATE(Summary!$C$12,1,1),Summary!$C$11))*('Dvd Calendar'!$Y$2840&lt;=MAX(DATE(Summary!$C$12,12,31),Summary!$C$15))*('Dvd Calendar'!$Y$2840&lt;=Summary!$C$11)=0,"",'Dvd Calendar'!$Y$2840*1000000000+ISNUMBER('Dvd Calendar'!$Y$2841)*100000000+('Dvd Calendar'!$Y$2845='Field Check'!$C$25)*10000000+(N('Dvd Calendar'!$Y$2839)&gt;0)*1000000+49*1000+21))</f>
        <v/>
      </c>
      <c r="X205" s="41">
        <f>IF(N('Dvd Calendar'!$Z$2840)=0,"",IF(('Dvd Calendar'!$Z$2840&gt;=MIN(DATE(Summary!$C$12,1,1),Summary!$C$11))*('Dvd Calendar'!$Z$2840&lt;=MAX(DATE(Summary!$C$12,12,31),Summary!$C$15))*('Dvd Calendar'!$Z$2840&lt;=Summary!$C$11)=0,"",'Dvd Calendar'!$Z$2840*1000000000+ISNUMBER('Dvd Calendar'!$Z$2841)*100000000+('Dvd Calendar'!$Z$2845='Field Check'!$C$25)*10000000+(N('Dvd Calendar'!$Z$2839)&gt;0)*1000000+49*1000+22))</f>
        <v/>
      </c>
      <c r="Y205" s="41">
        <f>IF(N('Dvd Calendar'!$AA$2840)=0,"",IF(('Dvd Calendar'!$AA$2840&gt;=MIN(DATE(Summary!$C$12,1,1),Summary!$C$11))*('Dvd Calendar'!$AA$2840&lt;=MAX(DATE(Summary!$C$12,12,31),Summary!$C$15))*('Dvd Calendar'!$AA$2840&lt;=Summary!$C$11)=0,"",'Dvd Calendar'!$AA$2840*1000000000+ISNUMBER('Dvd Calendar'!$AA$2841)*100000000+('Dvd Calendar'!$AA$2845='Field Check'!$C$25)*10000000+(N('Dvd Calendar'!$AA$2839)&gt;0)*1000000+49*1000+23))</f>
        <v/>
      </c>
      <c r="Z205" s="41">
        <f>IF(N('Dvd Calendar'!$AB$2840)=0,"",IF(('Dvd Calendar'!$AB$2840&gt;=MIN(DATE(Summary!$C$12,1,1),Summary!$C$11))*('Dvd Calendar'!$AB$2840&lt;=MAX(DATE(Summary!$C$12,12,31),Summary!$C$15))*('Dvd Calendar'!$AB$2840&lt;=Summary!$C$11)=0,"",'Dvd Calendar'!$AB$2840*1000000000+ISNUMBER('Dvd Calendar'!$AB$2841)*100000000+('Dvd Calendar'!$AB$2845='Field Check'!$C$25)*10000000+(N('Dvd Calendar'!$AB$2839)&gt;0)*1000000+49*1000+24))</f>
        <v/>
      </c>
      <c r="AA205" s="41">
        <f>IF(N('Dvd Calendar'!$AC$2840)=0,"",IF(('Dvd Calendar'!$AC$2840&gt;=MIN(DATE(Summary!$C$12,1,1),Summary!$C$11))*('Dvd Calendar'!$AC$2840&lt;=MAX(DATE(Summary!$C$12,12,31),Summary!$C$15))*('Dvd Calendar'!$AC$2840&lt;=Summary!$C$11)=0,"",'Dvd Calendar'!$AC$2840*1000000000+ISNUMBER('Dvd Calendar'!$AC$2841)*100000000+('Dvd Calendar'!$AC$2845='Field Check'!$C$25)*10000000+(N('Dvd Calendar'!$AC$2839)&gt;0)*1000000+49*1000+25))</f>
        <v/>
      </c>
      <c r="AB205" s="41">
        <f>IF(N('Dvd Calendar'!$AD$2840)=0,"",IF(('Dvd Calendar'!$AD$2840&gt;=MIN(DATE(Summary!$C$12,1,1),Summary!$C$11))*('Dvd Calendar'!$AD$2840&lt;=MAX(DATE(Summary!$C$12,12,31),Summary!$C$15))*('Dvd Calendar'!$AD$2840&lt;=Summary!$C$11)=0,"",'Dvd Calendar'!$AD$2840*1000000000+ISNUMBER('Dvd Calendar'!$AD$2841)*100000000+('Dvd Calendar'!$AD$2845='Field Check'!$C$25)*10000000+(N('Dvd Calendar'!$AD$2839)&gt;0)*1000000+49*1000+26))</f>
        <v/>
      </c>
      <c r="AC205" s="41">
        <f>IF(N('Dvd Calendar'!$AE$2840)=0,"",IF(('Dvd Calendar'!$AE$2840&gt;=MIN(DATE(Summary!$C$12,1,1),Summary!$C$11))*('Dvd Calendar'!$AE$2840&lt;=MAX(DATE(Summary!$C$12,12,31),Summary!$C$15))*('Dvd Calendar'!$AE$2840&lt;=Summary!$C$11)=0,"",'Dvd Calendar'!$AE$2840*1000000000+ISNUMBER('Dvd Calendar'!$AE$2841)*100000000+('Dvd Calendar'!$AE$2845='Field Check'!$C$25)*10000000+(N('Dvd Calendar'!$AE$2839)&gt;0)*1000000+49*1000+27))</f>
        <v/>
      </c>
      <c r="AD205" s="41">
        <f>IF(N('Dvd Calendar'!$AF$2840)=0,"",IF(('Dvd Calendar'!$AF$2840&gt;=MIN(DATE(Summary!$C$12,1,1),Summary!$C$11))*('Dvd Calendar'!$AF$2840&lt;=MAX(DATE(Summary!$C$12,12,31),Summary!$C$15))*('Dvd Calendar'!$AF$2840&lt;=Summary!$C$11)=0,"",'Dvd Calendar'!$AF$2840*1000000000+ISNUMBER('Dvd Calendar'!$AF$2841)*100000000+('Dvd Calendar'!$AF$2845='Field Check'!$C$25)*10000000+(N('Dvd Calendar'!$AF$2839)&gt;0)*1000000+49*1000+28))</f>
        <v/>
      </c>
      <c r="AE205" s="41">
        <f>IF(N('Dvd Calendar'!$AG$2840)=0,"",IF(('Dvd Calendar'!$AG$2840&gt;=MIN(DATE(Summary!$C$12,1,1),Summary!$C$11))*('Dvd Calendar'!$AG$2840&lt;=MAX(DATE(Summary!$C$12,12,31),Summary!$C$15))*('Dvd Calendar'!$AG$2840&lt;=Summary!$C$11)=0,"",'Dvd Calendar'!$AG$2840*1000000000+ISNUMBER('Dvd Calendar'!$AG$2841)*100000000+('Dvd Calendar'!$AG$2845='Field Check'!$C$25)*10000000+(N('Dvd Calendar'!$AG$2839)&gt;0)*1000000+49*1000+29))</f>
        <v/>
      </c>
      <c r="AF205" s="41">
        <f>IF(N('Dvd Calendar'!$AH$2840)=0,"",IF(('Dvd Calendar'!$AH$2840&gt;=MIN(DATE(Summary!$C$12,1,1),Summary!$C$11))*('Dvd Calendar'!$AH$2840&lt;=MAX(DATE(Summary!$C$12,12,31),Summary!$C$15))*('Dvd Calendar'!$AH$2840&lt;=Summary!$C$11)=0,"",'Dvd Calendar'!$AH$2840*1000000000+ISNUMBER('Dvd Calendar'!$AH$2841)*100000000+('Dvd Calendar'!$AH$2845='Field Check'!$C$25)*10000000+(N('Dvd Calendar'!$AH$2839)&gt;0)*1000000+49*1000+30))</f>
        <v/>
      </c>
      <c r="AG205" s="41">
        <f>IF(N('Dvd Calendar'!$AI$2840)=0,"",IF(('Dvd Calendar'!$AI$2840&gt;=MIN(DATE(Summary!$C$12,1,1),Summary!$C$11))*('Dvd Calendar'!$AI$2840&lt;=MAX(DATE(Summary!$C$12,12,31),Summary!$C$15))*('Dvd Calendar'!$AI$2840&lt;=Summary!$C$11)=0,"",'Dvd Calendar'!$AI$2840*1000000000+ISNUMBER('Dvd Calendar'!$AI$2841)*100000000+('Dvd Calendar'!$AI$2845='Field Check'!$C$25)*10000000+(N('Dvd Calendar'!$AI$2839)&gt;0)*1000000+49*1000+31))</f>
        <v/>
      </c>
      <c r="AH205" s="41">
        <f>IF(N('Dvd Calendar'!$AJ$2840)=0,"",IF(('Dvd Calendar'!$AJ$2840&gt;=MIN(DATE(Summary!$C$12,1,1),Summary!$C$11))*('Dvd Calendar'!$AJ$2840&lt;=MAX(DATE(Summary!$C$12,12,31),Summary!$C$15))*('Dvd Calendar'!$AJ$2840&lt;=Summary!$C$11)=0,"",'Dvd Calendar'!$AJ$2840*1000000000+ISNUMBER('Dvd Calendar'!$AJ$2841)*100000000+('Dvd Calendar'!$AJ$2845='Field Check'!$C$25)*10000000+(N('Dvd Calendar'!$AJ$2839)&gt;0)*1000000+49*1000+32))</f>
        <v/>
      </c>
      <c r="AI205" s="41">
        <f>IF(N('Dvd Calendar'!$AK$2840)=0,"",IF(('Dvd Calendar'!$AK$2840&gt;=MIN(DATE(Summary!$C$12,1,1),Summary!$C$11))*('Dvd Calendar'!$AK$2840&lt;=MAX(DATE(Summary!$C$12,12,31),Summary!$C$15))*('Dvd Calendar'!$AK$2840&lt;=Summary!$C$11)=0,"",'Dvd Calendar'!$AK$2840*1000000000+ISNUMBER('Dvd Calendar'!$AK$2841)*100000000+('Dvd Calendar'!$AK$2845='Field Check'!$C$25)*10000000+(N('Dvd Calendar'!$AK$2839)&gt;0)*1000000+49*1000+33))</f>
        <v/>
      </c>
      <c r="AJ205" s="41">
        <f>IF(N('Dvd Calendar'!$AL$2840)=0,"",IF(('Dvd Calendar'!$AL$2840&gt;=MIN(DATE(Summary!$C$12,1,1),Summary!$C$11))*('Dvd Calendar'!$AL$2840&lt;=MAX(DATE(Summary!$C$12,12,31),Summary!$C$15))*('Dvd Calendar'!$AL$2840&lt;=Summary!$C$11)=0,"",'Dvd Calendar'!$AL$2840*1000000000+ISNUMBER('Dvd Calendar'!$AL$2841)*100000000+('Dvd Calendar'!$AL$2845='Field Check'!$C$25)*10000000+(N('Dvd Calendar'!$AL$2839)&gt;0)*1000000+49*1000+34))</f>
        <v/>
      </c>
      <c r="AK205" s="41">
        <f>IF(N('Dvd Calendar'!$AM$2840)=0,"",IF(('Dvd Calendar'!$AM$2840&gt;=MIN(DATE(Summary!$C$12,1,1),Summary!$C$11))*('Dvd Calendar'!$AM$2840&lt;=MAX(DATE(Summary!$C$12,12,31),Summary!$C$15))*('Dvd Calendar'!$AM$2840&lt;=Summary!$C$11)=0,"",'Dvd Calendar'!$AM$2840*1000000000+ISNUMBER('Dvd Calendar'!$AM$2841)*100000000+('Dvd Calendar'!$AM$2845='Field Check'!$C$25)*10000000+(N('Dvd Calendar'!$AM$2839)&gt;0)*1000000+49*1000+35))</f>
        <v/>
      </c>
      <c r="AL205" s="41">
        <f>IF(N('Dvd Calendar'!$AN$2840)=0,"",IF(('Dvd Calendar'!$AN$2840&gt;=MIN(DATE(Summary!$C$12,1,1),Summary!$C$11))*('Dvd Calendar'!$AN$2840&lt;=MAX(DATE(Summary!$C$12,12,31),Summary!$C$15))*('Dvd Calendar'!$AN$2840&lt;=Summary!$C$11)=0,"",'Dvd Calendar'!$AN$2840*1000000000+ISNUMBER('Dvd Calendar'!$AN$2841)*100000000+('Dvd Calendar'!$AN$2845='Field Check'!$C$25)*10000000+(N('Dvd Calendar'!$AN$2839)&gt;0)*1000000+49*1000+36))</f>
        <v/>
      </c>
      <c r="AM205" s="41">
        <f>IF(N('Dvd Calendar'!$AO$2840)=0,"",IF(('Dvd Calendar'!$AO$2840&gt;=MIN(DATE(Summary!$C$12,1,1),Summary!$C$11))*('Dvd Calendar'!$AO$2840&lt;=MAX(DATE(Summary!$C$12,12,31),Summary!$C$15))*('Dvd Calendar'!$AO$2840&lt;=Summary!$C$11)=0,"",'Dvd Calendar'!$AO$2840*1000000000+ISNUMBER('Dvd Calendar'!$AO$2841)*100000000+('Dvd Calendar'!$AO$2845='Field Check'!$C$25)*10000000+(N('Dvd Calendar'!$AO$2839)&gt;0)*1000000+49*1000+37))</f>
        <v/>
      </c>
      <c r="AN205" s="41">
        <f>IF(N('Dvd Calendar'!$AP$2840)=0,"",IF(('Dvd Calendar'!$AP$2840&gt;=MIN(DATE(Summary!$C$12,1,1),Summary!$C$11))*('Dvd Calendar'!$AP$2840&lt;=MAX(DATE(Summary!$C$12,12,31),Summary!$C$15))*('Dvd Calendar'!$AP$2840&lt;=Summary!$C$11)=0,"",'Dvd Calendar'!$AP$2840*1000000000+ISNUMBER('Dvd Calendar'!$AP$2841)*100000000+('Dvd Calendar'!$AP$2845='Field Check'!$C$25)*10000000+(N('Dvd Calendar'!$AP$2839)&gt;0)*1000000+49*1000+38))</f>
        <v/>
      </c>
      <c r="AO205" s="41">
        <f>IF(N('Dvd Calendar'!$AQ$2840)=0,"",IF(('Dvd Calendar'!$AQ$2840&gt;=MIN(DATE(Summary!$C$12,1,1),Summary!$C$11))*('Dvd Calendar'!$AQ$2840&lt;=MAX(DATE(Summary!$C$12,12,31),Summary!$C$15))*('Dvd Calendar'!$AQ$2840&lt;=Summary!$C$11)=0,"",'Dvd Calendar'!$AQ$2840*1000000000+ISNUMBER('Dvd Calendar'!$AQ$2841)*100000000+('Dvd Calendar'!$AQ$2845='Field Check'!$C$25)*10000000+(N('Dvd Calendar'!$AQ$2839)&gt;0)*1000000+49*1000+39))</f>
        <v/>
      </c>
      <c r="AP205" s="41">
        <f>IF(N('Dvd Calendar'!$AR$2840)=0,"",IF(('Dvd Calendar'!$AR$2840&gt;=MIN(DATE(Summary!$C$12,1,1),Summary!$C$11))*('Dvd Calendar'!$AR$2840&lt;=MAX(DATE(Summary!$C$12,12,31),Summary!$C$15))*('Dvd Calendar'!$AR$2840&lt;=Summary!$C$11)=0,"",'Dvd Calendar'!$AR$2840*1000000000+ISNUMBER('Dvd Calendar'!$AR$2841)*100000000+('Dvd Calendar'!$AR$2845='Field Check'!$C$25)*10000000+(N('Dvd Calendar'!$AR$2839)&gt;0)*1000000+49*1000+40))</f>
        <v/>
      </c>
      <c r="AQ205" s="41">
        <f>IF(N('Dvd Calendar'!$E$2847)=0,"",IF(('Dvd Calendar'!$E$2847&gt;=MIN(DATE(Summary!$C$12,1,1),Summary!$C$11))*('Dvd Calendar'!$E$2847&lt;=MAX(DATE(Summary!$C$12,12,31),Summary!$C$15))*('Dvd Calendar'!$E$2847&gt;Summary!$C$11)=0,"",'Dvd Calendar'!$E$2847*1000000000+ISNUMBER('Dvd Calendar'!$E$2848)*100000000+('Dvd Calendar'!$E$2852='Field Check'!$C$25)*10000000+(N('Dvd Calendar'!$E$2846)&gt;0)*1000000+49*1000+41))</f>
        <v/>
      </c>
      <c r="AR205" s="41">
        <f>IF(N('Dvd Calendar'!$F$2847)=0,"",IF(('Dvd Calendar'!$F$2847&gt;=MIN(DATE(Summary!$C$12,1,1),Summary!$C$11))*('Dvd Calendar'!$F$2847&lt;=MAX(DATE(Summary!$C$12,12,31),Summary!$C$15))*('Dvd Calendar'!$F$2847&gt;Summary!$C$11)=0,"",'Dvd Calendar'!$F$2847*1000000000+ISNUMBER('Dvd Calendar'!$F$2848)*100000000+('Dvd Calendar'!$F$2852='Field Check'!$C$25)*10000000+(N('Dvd Calendar'!$F$2846)&gt;0)*1000000+49*1000+42))</f>
        <v/>
      </c>
      <c r="AS205" s="41">
        <f>IF(N('Dvd Calendar'!$G$2847)=0,"",IF(('Dvd Calendar'!$G$2847&gt;=MIN(DATE(Summary!$C$12,1,1),Summary!$C$11))*('Dvd Calendar'!$G$2847&lt;=MAX(DATE(Summary!$C$12,12,31),Summary!$C$15))*('Dvd Calendar'!$G$2847&gt;Summary!$C$11)=0,"",'Dvd Calendar'!$G$2847*1000000000+ISNUMBER('Dvd Calendar'!$G$2848)*100000000+('Dvd Calendar'!$G$2852='Field Check'!$C$25)*10000000+(N('Dvd Calendar'!$G$2846)&gt;0)*1000000+49*1000+43))</f>
        <v/>
      </c>
      <c r="AT205" s="41">
        <f>IF(N('Dvd Calendar'!$H$2847)=0,"",IF(('Dvd Calendar'!$H$2847&gt;=MIN(DATE(Summary!$C$12,1,1),Summary!$C$11))*('Dvd Calendar'!$H$2847&lt;=MAX(DATE(Summary!$C$12,12,31),Summary!$C$15))*('Dvd Calendar'!$H$2847&gt;Summary!$C$11)=0,"",'Dvd Calendar'!$H$2847*1000000000+ISNUMBER('Dvd Calendar'!$H$2848)*100000000+('Dvd Calendar'!$H$2852='Field Check'!$C$25)*10000000+(N('Dvd Calendar'!$H$2846)&gt;0)*1000000+49*1000+44))</f>
        <v/>
      </c>
      <c r="AU205" s="41">
        <f>IF(N('Dvd Calendar'!$I$2847)=0,"",IF(('Dvd Calendar'!$I$2847&gt;=MIN(DATE(Summary!$C$12,1,1),Summary!$C$11))*('Dvd Calendar'!$I$2847&lt;=MAX(DATE(Summary!$C$12,12,31),Summary!$C$15))*('Dvd Calendar'!$I$2847&gt;Summary!$C$11)=0,"",'Dvd Calendar'!$I$2847*1000000000+ISNUMBER('Dvd Calendar'!$I$2848)*100000000+('Dvd Calendar'!$I$2852='Field Check'!$C$25)*10000000+(N('Dvd Calendar'!$I$2846)&gt;0)*1000000+49*1000+45))</f>
        <v/>
      </c>
      <c r="AV205" s="41">
        <f>IF(N('Dvd Calendar'!$J$2847)=0,"",IF(('Dvd Calendar'!$J$2847&gt;=MIN(DATE(Summary!$C$12,1,1),Summary!$C$11))*('Dvd Calendar'!$J$2847&lt;=MAX(DATE(Summary!$C$12,12,31),Summary!$C$15))*('Dvd Calendar'!$J$2847&gt;Summary!$C$11)=0,"",'Dvd Calendar'!$J$2847*1000000000+ISNUMBER('Dvd Calendar'!$J$2848)*100000000+('Dvd Calendar'!$J$2852='Field Check'!$C$25)*10000000+(N('Dvd Calendar'!$J$2846)&gt;0)*1000000+49*1000+46))</f>
        <v/>
      </c>
      <c r="AW205" s="41">
        <f>IF(N('Dvd Calendar'!$K$2847)=0,"",IF(('Dvd Calendar'!$K$2847&gt;=MIN(DATE(Summary!$C$12,1,1),Summary!$C$11))*('Dvd Calendar'!$K$2847&lt;=MAX(DATE(Summary!$C$12,12,31),Summary!$C$15))*('Dvd Calendar'!$K$2847&gt;Summary!$C$11)=0,"",'Dvd Calendar'!$K$2847*1000000000+ISNUMBER('Dvd Calendar'!$K$2848)*100000000+('Dvd Calendar'!$K$2852='Field Check'!$C$25)*10000000+(N('Dvd Calendar'!$K$2846)&gt;0)*1000000+49*1000+47))</f>
        <v/>
      </c>
      <c r="AX205" s="41">
        <f>IF(N('Dvd Calendar'!$L$2847)=0,"",IF(('Dvd Calendar'!$L$2847&gt;=MIN(DATE(Summary!$C$12,1,1),Summary!$C$11))*('Dvd Calendar'!$L$2847&lt;=MAX(DATE(Summary!$C$12,12,31),Summary!$C$15))*('Dvd Calendar'!$L$2847&gt;Summary!$C$11)=0,"",'Dvd Calendar'!$L$2847*1000000000+ISNUMBER('Dvd Calendar'!$L$2848)*100000000+('Dvd Calendar'!$L$2852='Field Check'!$C$25)*10000000+(N('Dvd Calendar'!$L$2846)&gt;0)*1000000+49*1000+48))</f>
        <v/>
      </c>
      <c r="AY205" s="41">
        <f>IF(N('Dvd Calendar'!$M$2847)=0,"",IF(('Dvd Calendar'!$M$2847&gt;=MIN(DATE(Summary!$C$12,1,1),Summary!$C$11))*('Dvd Calendar'!$M$2847&lt;=MAX(DATE(Summary!$C$12,12,31),Summary!$C$15))*('Dvd Calendar'!$M$2847&gt;Summary!$C$11)=0,"",'Dvd Calendar'!$M$2847*1000000000+ISNUMBER('Dvd Calendar'!$M$2848)*100000000+('Dvd Calendar'!$M$2852='Field Check'!$C$25)*10000000+(N('Dvd Calendar'!$M$2846)&gt;0)*1000000+49*1000+49))</f>
        <v/>
      </c>
      <c r="AZ205" s="41">
        <f>IF(N('Dvd Calendar'!$N$2847)=0,"",IF(('Dvd Calendar'!$N$2847&gt;=MIN(DATE(Summary!$C$12,1,1),Summary!$C$11))*('Dvd Calendar'!$N$2847&lt;=MAX(DATE(Summary!$C$12,12,31),Summary!$C$15))*('Dvd Calendar'!$N$2847&gt;Summary!$C$11)=0,"",'Dvd Calendar'!$N$2847*1000000000+ISNUMBER('Dvd Calendar'!$N$2848)*100000000+('Dvd Calendar'!$N$2852='Field Check'!$C$25)*10000000+(N('Dvd Calendar'!$N$2846)&gt;0)*1000000+49*1000+50))</f>
        <v/>
      </c>
      <c r="BA205" s="41">
        <f>IF(N('Dvd Calendar'!$O$2847)=0,"",IF(('Dvd Calendar'!$O$2847&gt;=MIN(DATE(Summary!$C$12,1,1),Summary!$C$11))*('Dvd Calendar'!$O$2847&lt;=MAX(DATE(Summary!$C$12,12,31),Summary!$C$15))*('Dvd Calendar'!$O$2847&gt;Summary!$C$11)=0,"",'Dvd Calendar'!$O$2847*1000000000+ISNUMBER('Dvd Calendar'!$O$2848)*100000000+('Dvd Calendar'!$O$2852='Field Check'!$C$25)*10000000+(N('Dvd Calendar'!$O$2846)&gt;0)*1000000+49*1000+51))</f>
        <v/>
      </c>
      <c r="BB205" s="41">
        <f>IF(N('Dvd Calendar'!$P$2847)=0,"",IF(('Dvd Calendar'!$P$2847&gt;=MIN(DATE(Summary!$C$12,1,1),Summary!$C$11))*('Dvd Calendar'!$P$2847&lt;=MAX(DATE(Summary!$C$12,12,31),Summary!$C$15))*('Dvd Calendar'!$P$2847&gt;Summary!$C$11)=0,"",'Dvd Calendar'!$P$2847*1000000000+ISNUMBER('Dvd Calendar'!$P$2848)*100000000+('Dvd Calendar'!$P$2852='Field Check'!$C$25)*10000000+(N('Dvd Calendar'!$P$2846)&gt;0)*1000000+49*1000+52))</f>
        <v/>
      </c>
      <c r="BC205" s="41">
        <f>IF(N('Dvd Calendar'!$Q$2847)=0,"",IF(('Dvd Calendar'!$Q$2847&gt;=MIN(DATE(Summary!$C$12,1,1),Summary!$C$11))*('Dvd Calendar'!$Q$2847&lt;=MAX(DATE(Summary!$C$12,12,31),Summary!$C$15))*('Dvd Calendar'!$Q$2847&gt;Summary!$C$11)=0,"",'Dvd Calendar'!$Q$2847*1000000000+ISNUMBER('Dvd Calendar'!$Q$2848)*100000000+('Dvd Calendar'!$Q$2852='Field Check'!$C$25)*10000000+(N('Dvd Calendar'!$Q$2846)&gt;0)*1000000+49*1000+53))</f>
        <v/>
      </c>
      <c r="BD205" s="41">
        <f>IF(N('Dvd Calendar'!$R$2847)=0,"",IF(('Dvd Calendar'!$R$2847&gt;=MIN(DATE(Summary!$C$12,1,1),Summary!$C$11))*('Dvd Calendar'!$R$2847&lt;=MAX(DATE(Summary!$C$12,12,31),Summary!$C$15))*('Dvd Calendar'!$R$2847&gt;Summary!$C$11)=0,"",'Dvd Calendar'!$R$2847*1000000000+ISNUMBER('Dvd Calendar'!$R$2848)*100000000+('Dvd Calendar'!$R$2852='Field Check'!$C$25)*10000000+(N('Dvd Calendar'!$R$2846)&gt;0)*1000000+49*1000+54))</f>
        <v/>
      </c>
      <c r="BE205" s="41">
        <f>IF(N('Dvd Calendar'!$S$2847)=0,"",IF(('Dvd Calendar'!$S$2847&gt;=MIN(DATE(Summary!$C$12,1,1),Summary!$C$11))*('Dvd Calendar'!$S$2847&lt;=MAX(DATE(Summary!$C$12,12,31),Summary!$C$15))*('Dvd Calendar'!$S$2847&gt;Summary!$C$11)=0,"",'Dvd Calendar'!$S$2847*1000000000+ISNUMBER('Dvd Calendar'!$S$2848)*100000000+('Dvd Calendar'!$S$2852='Field Check'!$C$25)*10000000+(N('Dvd Calendar'!$S$2846)&gt;0)*1000000+49*1000+55))</f>
        <v/>
      </c>
      <c r="BF205" s="41">
        <f>IF(N('Dvd Calendar'!$T$2847)=0,"",IF(('Dvd Calendar'!$T$2847&gt;=MIN(DATE(Summary!$C$12,1,1),Summary!$C$11))*('Dvd Calendar'!$T$2847&lt;=MAX(DATE(Summary!$C$12,12,31),Summary!$C$15))*('Dvd Calendar'!$T$2847&gt;Summary!$C$11)=0,"",'Dvd Calendar'!$T$2847*1000000000+ISNUMBER('Dvd Calendar'!$T$2848)*100000000+('Dvd Calendar'!$T$2852='Field Check'!$C$25)*10000000+(N('Dvd Calendar'!$T$2846)&gt;0)*1000000+49*1000+56))</f>
        <v/>
      </c>
      <c r="BG205" s="41">
        <f>IF(N('Dvd Calendar'!$U$2847)=0,"",IF(('Dvd Calendar'!$U$2847&gt;=MIN(DATE(Summary!$C$12,1,1),Summary!$C$11))*('Dvd Calendar'!$U$2847&lt;=MAX(DATE(Summary!$C$12,12,31),Summary!$C$15))*('Dvd Calendar'!$U$2847&gt;Summary!$C$11)=0,"",'Dvd Calendar'!$U$2847*1000000000+ISNUMBER('Dvd Calendar'!$U$2848)*100000000+('Dvd Calendar'!$U$2852='Field Check'!$C$25)*10000000+(N('Dvd Calendar'!$U$2846)&gt;0)*1000000+49*1000+57))</f>
        <v/>
      </c>
      <c r="BH205" s="41">
        <f>IF(N('Dvd Calendar'!$V$2847)=0,"",IF(('Dvd Calendar'!$V$2847&gt;=MIN(DATE(Summary!$C$12,1,1),Summary!$C$11))*('Dvd Calendar'!$V$2847&lt;=MAX(DATE(Summary!$C$12,12,31),Summary!$C$15))*('Dvd Calendar'!$V$2847&gt;Summary!$C$11)=0,"",'Dvd Calendar'!$V$2847*1000000000+ISNUMBER('Dvd Calendar'!$V$2848)*100000000+('Dvd Calendar'!$V$2852='Field Check'!$C$25)*10000000+(N('Dvd Calendar'!$V$2846)&gt;0)*1000000+49*1000+58))</f>
        <v/>
      </c>
      <c r="BI205" s="41">
        <f>IF(N('Dvd Calendar'!$W$2847)=0,"",IF(('Dvd Calendar'!$W$2847&gt;=MIN(DATE(Summary!$C$12,1,1),Summary!$C$11))*('Dvd Calendar'!$W$2847&lt;=MAX(DATE(Summary!$C$12,12,31),Summary!$C$15))*('Dvd Calendar'!$W$2847&gt;Summary!$C$11)=0,"",'Dvd Calendar'!$W$2847*1000000000+ISNUMBER('Dvd Calendar'!$W$2848)*100000000+('Dvd Calendar'!$W$2852='Field Check'!$C$25)*10000000+(N('Dvd Calendar'!$W$2846)&gt;0)*1000000+49*1000+59))</f>
        <v/>
      </c>
      <c r="BJ205" s="41">
        <f>IF(N('Dvd Calendar'!$X$2847)=0,"",IF(('Dvd Calendar'!$X$2847&gt;=MIN(DATE(Summary!$C$12,1,1),Summary!$C$11))*('Dvd Calendar'!$X$2847&lt;=MAX(DATE(Summary!$C$12,12,31),Summary!$C$15))*('Dvd Calendar'!$X$2847&gt;Summary!$C$11)=0,"",'Dvd Calendar'!$X$2847*1000000000+ISNUMBER('Dvd Calendar'!$X$2848)*100000000+('Dvd Calendar'!$X$2852='Field Check'!$C$25)*10000000+(N('Dvd Calendar'!$X$2846)&gt;0)*1000000+49*1000+60))</f>
        <v/>
      </c>
      <c r="BK205" s="41">
        <f>IF(N('Dvd Calendar'!$Y$2847)=0,"",IF(('Dvd Calendar'!$Y$2847&gt;=MIN(DATE(Summary!$C$12,1,1),Summary!$C$11))*('Dvd Calendar'!$Y$2847&lt;=MAX(DATE(Summary!$C$12,12,31),Summary!$C$15))*('Dvd Calendar'!$Y$2847&gt;Summary!$C$11)=0,"",'Dvd Calendar'!$Y$2847*1000000000+ISNUMBER('Dvd Calendar'!$Y$2848)*100000000+('Dvd Calendar'!$Y$2852='Field Check'!$C$25)*10000000+(N('Dvd Calendar'!$Y$2846)&gt;0)*1000000+49*1000+61))</f>
        <v/>
      </c>
      <c r="BL205" s="41">
        <f>IF(N('Dvd Calendar'!$Z$2847)=0,"",IF(('Dvd Calendar'!$Z$2847&gt;=MIN(DATE(Summary!$C$12,1,1),Summary!$C$11))*('Dvd Calendar'!$Z$2847&lt;=MAX(DATE(Summary!$C$12,12,31),Summary!$C$15))*('Dvd Calendar'!$Z$2847&gt;Summary!$C$11)=0,"",'Dvd Calendar'!$Z$2847*1000000000+ISNUMBER('Dvd Calendar'!$Z$2848)*100000000+('Dvd Calendar'!$Z$2852='Field Check'!$C$25)*10000000+(N('Dvd Calendar'!$Z$2846)&gt;0)*1000000+49*1000+62))</f>
        <v/>
      </c>
      <c r="BM205" s="41">
        <f>IF(N('Dvd Calendar'!$AA$2847)=0,"",IF(('Dvd Calendar'!$AA$2847&gt;=MIN(DATE(Summary!$C$12,1,1),Summary!$C$11))*('Dvd Calendar'!$AA$2847&lt;=MAX(DATE(Summary!$C$12,12,31),Summary!$C$15))*('Dvd Calendar'!$AA$2847&gt;Summary!$C$11)=0,"",'Dvd Calendar'!$AA$2847*1000000000+ISNUMBER('Dvd Calendar'!$AA$2848)*100000000+('Dvd Calendar'!$AA$2852='Field Check'!$C$25)*10000000+(N('Dvd Calendar'!$AA$2846)&gt;0)*1000000+49*1000+63))</f>
        <v/>
      </c>
      <c r="BN205" s="41">
        <f>IF(N('Dvd Calendar'!$AB$2847)=0,"",IF(('Dvd Calendar'!$AB$2847&gt;=MIN(DATE(Summary!$C$12,1,1),Summary!$C$11))*('Dvd Calendar'!$AB$2847&lt;=MAX(DATE(Summary!$C$12,12,31),Summary!$C$15))*('Dvd Calendar'!$AB$2847&gt;Summary!$C$11)=0,"",'Dvd Calendar'!$AB$2847*1000000000+ISNUMBER('Dvd Calendar'!$AB$2848)*100000000+('Dvd Calendar'!$AB$2852='Field Check'!$C$25)*10000000+(N('Dvd Calendar'!$AB$2846)&gt;0)*1000000+49*1000+64))</f>
        <v/>
      </c>
      <c r="BO205" s="41">
        <f>IF(N('Dvd Calendar'!$AC$2847)=0,"",IF(('Dvd Calendar'!$AC$2847&gt;=MIN(DATE(Summary!$C$12,1,1),Summary!$C$11))*('Dvd Calendar'!$AC$2847&lt;=MAX(DATE(Summary!$C$12,12,31),Summary!$C$15))*('Dvd Calendar'!$AC$2847&gt;Summary!$C$11)=0,"",'Dvd Calendar'!$AC$2847*1000000000+ISNUMBER('Dvd Calendar'!$AC$2848)*100000000+('Dvd Calendar'!$AC$2852='Field Check'!$C$25)*10000000+(N('Dvd Calendar'!$AC$2846)&gt;0)*1000000+49*1000+65))</f>
        <v/>
      </c>
      <c r="BQ205" s="85">
        <f>IF(C205="","",IF(ISNUMBER('Dvd Calendar'!$E$2841)=FALSE,"",IF((Summary!$C$13="N")*('Dvd Calendar'!$E$2845='Field Check'!$C$25)&gt;0,"",'Dvd Calendar'!$E$2841)))</f>
        <v/>
      </c>
      <c r="BR205" s="85">
        <f>IF(D205="","",IF(ISNUMBER('Dvd Calendar'!$F$2841)=FALSE,"",IF((Summary!$C$13="N")*('Dvd Calendar'!$F$2845='Field Check'!$C$25)&gt;0,"",'Dvd Calendar'!$F$2841)))</f>
        <v/>
      </c>
      <c r="BS205" s="85">
        <f>IF(E205="","",IF(ISNUMBER('Dvd Calendar'!$G$2841)=FALSE,"",IF((Summary!$C$13="N")*('Dvd Calendar'!$G$2845='Field Check'!$C$25)&gt;0,"",'Dvd Calendar'!$G$2841)))</f>
        <v/>
      </c>
      <c r="BT205" s="85">
        <f>IF(F205="","",IF(ISNUMBER('Dvd Calendar'!$H$2841)=FALSE,"",IF((Summary!$C$13="N")*('Dvd Calendar'!$H$2845='Field Check'!$C$25)&gt;0,"",'Dvd Calendar'!$H$2841)))</f>
        <v/>
      </c>
      <c r="BU205" s="85">
        <f>IF(G205="","",IF(ISNUMBER('Dvd Calendar'!$I$2841)=FALSE,"",IF((Summary!$C$13="N")*('Dvd Calendar'!$I$2845='Field Check'!$C$25)&gt;0,"",'Dvd Calendar'!$I$2841)))</f>
        <v/>
      </c>
      <c r="BV205" s="85">
        <f>IF(H205="","",IF(ISNUMBER('Dvd Calendar'!$J$2841)=FALSE,"",IF((Summary!$C$13="N")*('Dvd Calendar'!$J$2845='Field Check'!$C$25)&gt;0,"",'Dvd Calendar'!$J$2841)))</f>
        <v/>
      </c>
      <c r="BW205" s="85">
        <f>IF(I205="","",IF(ISNUMBER('Dvd Calendar'!$K$2841)=FALSE,"",IF((Summary!$C$13="N")*('Dvd Calendar'!$K$2845='Field Check'!$C$25)&gt;0,"",'Dvd Calendar'!$K$2841)))</f>
        <v/>
      </c>
      <c r="BX205" s="85">
        <f>IF(J205="","",IF(ISNUMBER('Dvd Calendar'!$L$2841)=FALSE,"",IF((Summary!$C$13="N")*('Dvd Calendar'!$L$2845='Field Check'!$C$25)&gt;0,"",'Dvd Calendar'!$L$2841)))</f>
        <v/>
      </c>
      <c r="BY205" s="85">
        <f>IF(K205="","",IF(ISNUMBER('Dvd Calendar'!$M$2841)=FALSE,"",IF((Summary!$C$13="N")*('Dvd Calendar'!$M$2845='Field Check'!$C$25)&gt;0,"",'Dvd Calendar'!$M$2841)))</f>
        <v/>
      </c>
      <c r="BZ205" s="85">
        <f>IF(L205="","",IF(ISNUMBER('Dvd Calendar'!$N$2841)=FALSE,"",IF((Summary!$C$13="N")*('Dvd Calendar'!$N$2845='Field Check'!$C$25)&gt;0,"",'Dvd Calendar'!$N$2841)))</f>
        <v/>
      </c>
      <c r="CA205" s="85">
        <f>IF(M205="","",IF(ISNUMBER('Dvd Calendar'!$O$2841)=FALSE,"",IF((Summary!$C$13="N")*('Dvd Calendar'!$O$2845='Field Check'!$C$25)&gt;0,"",'Dvd Calendar'!$O$2841)))</f>
        <v/>
      </c>
      <c r="CB205" s="85">
        <f>IF(N205="","",IF(ISNUMBER('Dvd Calendar'!$P$2841)=FALSE,"",IF((Summary!$C$13="N")*('Dvd Calendar'!$P$2845='Field Check'!$C$25)&gt;0,"",'Dvd Calendar'!$P$2841)))</f>
        <v/>
      </c>
      <c r="CC205" s="85">
        <f>IF(O205="","",IF(ISNUMBER('Dvd Calendar'!$Q$2841)=FALSE,"",IF((Summary!$C$13="N")*('Dvd Calendar'!$Q$2845='Field Check'!$C$25)&gt;0,"",'Dvd Calendar'!$Q$2841)))</f>
        <v/>
      </c>
      <c r="CD205" s="85">
        <f>IF(P205="","",IF(ISNUMBER('Dvd Calendar'!$R$2841)=FALSE,"",IF((Summary!$C$13="N")*('Dvd Calendar'!$R$2845='Field Check'!$C$25)&gt;0,"",'Dvd Calendar'!$R$2841)))</f>
        <v/>
      </c>
      <c r="CE205" s="85">
        <f>IF(Q205="","",IF(ISNUMBER('Dvd Calendar'!$S$2841)=FALSE,"",IF((Summary!$C$13="N")*('Dvd Calendar'!$S$2845='Field Check'!$C$25)&gt;0,"",'Dvd Calendar'!$S$2841)))</f>
        <v/>
      </c>
      <c r="CF205" s="85">
        <f>IF(R205="","",IF(ISNUMBER('Dvd Calendar'!$T$2841)=FALSE,"",IF((Summary!$C$13="N")*('Dvd Calendar'!$T$2845='Field Check'!$C$25)&gt;0,"",'Dvd Calendar'!$T$2841)))</f>
        <v/>
      </c>
      <c r="CG205" s="85">
        <f>IF(S205="","",IF(ISNUMBER('Dvd Calendar'!$U$2841)=FALSE,"",IF((Summary!$C$13="N")*('Dvd Calendar'!$U$2845='Field Check'!$C$25)&gt;0,"",'Dvd Calendar'!$U$2841)))</f>
        <v/>
      </c>
      <c r="CH205" s="85">
        <f>IF(T205="","",IF(ISNUMBER('Dvd Calendar'!$V$2841)=FALSE,"",IF((Summary!$C$13="N")*('Dvd Calendar'!$V$2845='Field Check'!$C$25)&gt;0,"",'Dvd Calendar'!$V$2841)))</f>
        <v/>
      </c>
      <c r="CI205" s="85">
        <f>IF(U205="","",IF(ISNUMBER('Dvd Calendar'!$W$2841)=FALSE,"",IF((Summary!$C$13="N")*('Dvd Calendar'!$W$2845='Field Check'!$C$25)&gt;0,"",'Dvd Calendar'!$W$2841)))</f>
        <v/>
      </c>
      <c r="CJ205" s="85">
        <f>IF(V205="","",IF(ISNUMBER('Dvd Calendar'!$X$2841)=FALSE,"",IF((Summary!$C$13="N")*('Dvd Calendar'!$X$2845='Field Check'!$C$25)&gt;0,"",'Dvd Calendar'!$X$2841)))</f>
        <v/>
      </c>
      <c r="CK205" s="85">
        <f>IF(W205="","",IF(ISNUMBER('Dvd Calendar'!$Y$2841)=FALSE,"",IF((Summary!$C$13="N")*('Dvd Calendar'!$Y$2845='Field Check'!$C$25)&gt;0,"",'Dvd Calendar'!$Y$2841)))</f>
        <v/>
      </c>
      <c r="CL205" s="85">
        <f>IF(X205="","",IF(ISNUMBER('Dvd Calendar'!$Z$2841)=FALSE,"",IF((Summary!$C$13="N")*('Dvd Calendar'!$Z$2845='Field Check'!$C$25)&gt;0,"",'Dvd Calendar'!$Z$2841)))</f>
        <v/>
      </c>
      <c r="CM205" s="85">
        <f>IF(Y205="","",IF(ISNUMBER('Dvd Calendar'!$AA$2841)=FALSE,"",IF((Summary!$C$13="N")*('Dvd Calendar'!$AA$2845='Field Check'!$C$25)&gt;0,"",'Dvd Calendar'!$AA$2841)))</f>
        <v/>
      </c>
      <c r="CN205" s="85">
        <f>IF(Z205="","",IF(ISNUMBER('Dvd Calendar'!$AB$2841)=FALSE,"",IF((Summary!$C$13="N")*('Dvd Calendar'!$AB$2845='Field Check'!$C$25)&gt;0,"",'Dvd Calendar'!$AB$2841)))</f>
        <v/>
      </c>
      <c r="CO205" s="85">
        <f>IF(AA205="","",IF(ISNUMBER('Dvd Calendar'!$AC$2841)=FALSE,"",IF((Summary!$C$13="N")*('Dvd Calendar'!$AC$2845='Field Check'!$C$25)&gt;0,"",'Dvd Calendar'!$AC$2841)))</f>
        <v/>
      </c>
      <c r="CP205" s="85">
        <f>IF(AB205="","",IF(ISNUMBER('Dvd Calendar'!$AD$2841)=FALSE,"",IF((Summary!$C$13="N")*('Dvd Calendar'!$AD$2845='Field Check'!$C$25)&gt;0,"",'Dvd Calendar'!$AD$2841)))</f>
        <v/>
      </c>
      <c r="CQ205" s="85">
        <f>IF(AC205="","",IF(ISNUMBER('Dvd Calendar'!$AE$2841)=FALSE,"",IF((Summary!$C$13="N")*('Dvd Calendar'!$AE$2845='Field Check'!$C$25)&gt;0,"",'Dvd Calendar'!$AE$2841)))</f>
        <v/>
      </c>
      <c r="CR205" s="85">
        <f>IF(AD205="","",IF(ISNUMBER('Dvd Calendar'!$AF$2841)=FALSE,"",IF((Summary!$C$13="N")*('Dvd Calendar'!$AF$2845='Field Check'!$C$25)&gt;0,"",'Dvd Calendar'!$AF$2841)))</f>
        <v/>
      </c>
      <c r="CS205" s="85">
        <f>IF(AE205="","",IF(ISNUMBER('Dvd Calendar'!$AG$2841)=FALSE,"",IF((Summary!$C$13="N")*('Dvd Calendar'!$AG$2845='Field Check'!$C$25)&gt;0,"",'Dvd Calendar'!$AG$2841)))</f>
        <v/>
      </c>
      <c r="CT205" s="85">
        <f>IF(AF205="","",IF(ISNUMBER('Dvd Calendar'!$AH$2841)=FALSE,"",IF((Summary!$C$13="N")*('Dvd Calendar'!$AH$2845='Field Check'!$C$25)&gt;0,"",'Dvd Calendar'!$AH$2841)))</f>
        <v/>
      </c>
      <c r="CU205" s="85">
        <f>IF(AG205="","",IF(ISNUMBER('Dvd Calendar'!$AI$2841)=FALSE,"",IF((Summary!$C$13="N")*('Dvd Calendar'!$AI$2845='Field Check'!$C$25)&gt;0,"",'Dvd Calendar'!$AI$2841)))</f>
        <v/>
      </c>
      <c r="CV205" s="85">
        <f>IF(AH205="","",IF(ISNUMBER('Dvd Calendar'!$AJ$2841)=FALSE,"",IF((Summary!$C$13="N")*('Dvd Calendar'!$AJ$2845='Field Check'!$C$25)&gt;0,"",'Dvd Calendar'!$AJ$2841)))</f>
        <v/>
      </c>
      <c r="CW205" s="85">
        <f>IF(AI205="","",IF(ISNUMBER('Dvd Calendar'!$AK$2841)=FALSE,"",IF((Summary!$C$13="N")*('Dvd Calendar'!$AK$2845='Field Check'!$C$25)&gt;0,"",'Dvd Calendar'!$AK$2841)))</f>
        <v/>
      </c>
      <c r="CX205" s="85">
        <f>IF(AJ205="","",IF(ISNUMBER('Dvd Calendar'!$AL$2841)=FALSE,"",IF((Summary!$C$13="N")*('Dvd Calendar'!$AL$2845='Field Check'!$C$25)&gt;0,"",'Dvd Calendar'!$AL$2841)))</f>
        <v/>
      </c>
      <c r="CY205" s="85">
        <f>IF(AK205="","",IF(ISNUMBER('Dvd Calendar'!$AM$2841)=FALSE,"",IF((Summary!$C$13="N")*('Dvd Calendar'!$AM$2845='Field Check'!$C$25)&gt;0,"",'Dvd Calendar'!$AM$2841)))</f>
        <v/>
      </c>
      <c r="CZ205" s="85">
        <f>IF(AL205="","",IF(ISNUMBER('Dvd Calendar'!$AN$2841)=FALSE,"",IF((Summary!$C$13="N")*('Dvd Calendar'!$AN$2845='Field Check'!$C$25)&gt;0,"",'Dvd Calendar'!$AN$2841)))</f>
        <v/>
      </c>
      <c r="DA205" s="85">
        <f>IF(AM205="","",IF(ISNUMBER('Dvd Calendar'!$AO$2841)=FALSE,"",IF((Summary!$C$13="N")*('Dvd Calendar'!$AO$2845='Field Check'!$C$25)&gt;0,"",'Dvd Calendar'!$AO$2841)))</f>
        <v/>
      </c>
      <c r="DB205" s="85">
        <f>IF(AN205="","",IF(ISNUMBER('Dvd Calendar'!$AP$2841)=FALSE,"",IF((Summary!$C$13="N")*('Dvd Calendar'!$AP$2845='Field Check'!$C$25)&gt;0,"",'Dvd Calendar'!$AP$2841)))</f>
        <v/>
      </c>
      <c r="DC205" s="85">
        <f>IF(AO205="","",IF(ISNUMBER('Dvd Calendar'!$AQ$2841)=FALSE,"",IF((Summary!$C$13="N")*('Dvd Calendar'!$AQ$2845='Field Check'!$C$25)&gt;0,"",'Dvd Calendar'!$AQ$2841)))</f>
        <v/>
      </c>
      <c r="DD205" s="85">
        <f>IF(AP205="","",IF(ISNUMBER('Dvd Calendar'!$AR$2841)=FALSE,"",IF((Summary!$C$13="N")*('Dvd Calendar'!$AR$2845='Field Check'!$C$25)&gt;0,"",'Dvd Calendar'!$AR$2841)))</f>
        <v/>
      </c>
      <c r="DE205" s="85">
        <f>IF(AQ205="","",IF(ISNUMBER('Dvd Calendar'!$E$2848)=FALSE,"",IF((Summary!$C$13="N")*('Dvd Calendar'!$E$2852='Field Check'!$C$25)&gt;0,"",'Dvd Calendar'!$E$2848)))</f>
        <v/>
      </c>
      <c r="DF205" s="85">
        <f>IF(AR205="","",IF(ISNUMBER('Dvd Calendar'!$F$2848)=FALSE,"",IF((Summary!$C$13="N")*('Dvd Calendar'!$F$2852='Field Check'!$C$25)&gt;0,"",'Dvd Calendar'!$F$2848)))</f>
        <v/>
      </c>
      <c r="DG205" s="85">
        <f>IF(AS205="","",IF(ISNUMBER('Dvd Calendar'!$G$2848)=FALSE,"",IF((Summary!$C$13="N")*('Dvd Calendar'!$G$2852='Field Check'!$C$25)&gt;0,"",'Dvd Calendar'!$G$2848)))</f>
        <v/>
      </c>
      <c r="DH205" s="85">
        <f>IF(AT205="","",IF(ISNUMBER('Dvd Calendar'!$H$2848)=FALSE,"",IF((Summary!$C$13="N")*('Dvd Calendar'!$H$2852='Field Check'!$C$25)&gt;0,"",'Dvd Calendar'!$H$2848)))</f>
        <v/>
      </c>
      <c r="DI205" s="85">
        <f>IF(AU205="","",IF(ISNUMBER('Dvd Calendar'!$I$2848)=FALSE,"",IF((Summary!$C$13="N")*('Dvd Calendar'!$I$2852='Field Check'!$C$25)&gt;0,"",'Dvd Calendar'!$I$2848)))</f>
        <v/>
      </c>
      <c r="DJ205" s="85">
        <f>IF(AV205="","",IF(ISNUMBER('Dvd Calendar'!$J$2848)=FALSE,"",IF((Summary!$C$13="N")*('Dvd Calendar'!$J$2852='Field Check'!$C$25)&gt;0,"",'Dvd Calendar'!$J$2848)))</f>
        <v/>
      </c>
      <c r="DK205" s="85">
        <f>IF(AW205="","",IF(ISNUMBER('Dvd Calendar'!$K$2848)=FALSE,"",IF((Summary!$C$13="N")*('Dvd Calendar'!$K$2852='Field Check'!$C$25)&gt;0,"",'Dvd Calendar'!$K$2848)))</f>
        <v/>
      </c>
      <c r="DL205" s="85">
        <f>IF(AX205="","",IF(ISNUMBER('Dvd Calendar'!$L$2848)=FALSE,"",IF((Summary!$C$13="N")*('Dvd Calendar'!$L$2852='Field Check'!$C$25)&gt;0,"",'Dvd Calendar'!$L$2848)))</f>
        <v/>
      </c>
      <c r="DM205" s="85">
        <f>IF(AY205="","",IF(ISNUMBER('Dvd Calendar'!$M$2848)=FALSE,"",IF((Summary!$C$13="N")*('Dvd Calendar'!$M$2852='Field Check'!$C$25)&gt;0,"",'Dvd Calendar'!$M$2848)))</f>
        <v/>
      </c>
      <c r="DN205" s="85">
        <f>IF(AZ205="","",IF(ISNUMBER('Dvd Calendar'!$N$2848)=FALSE,"",IF((Summary!$C$13="N")*('Dvd Calendar'!$N$2852='Field Check'!$C$25)&gt;0,"",'Dvd Calendar'!$N$2848)))</f>
        <v/>
      </c>
      <c r="DO205" s="85">
        <f>IF(BA205="","",IF(ISNUMBER('Dvd Calendar'!$O$2848)=FALSE,"",IF((Summary!$C$13="N")*('Dvd Calendar'!$O$2852='Field Check'!$C$25)&gt;0,"",'Dvd Calendar'!$O$2848)))</f>
        <v/>
      </c>
      <c r="DP205" s="85">
        <f>IF(BB205="","",IF(ISNUMBER('Dvd Calendar'!$P$2848)=FALSE,"",IF((Summary!$C$13="N")*('Dvd Calendar'!$P$2852='Field Check'!$C$25)&gt;0,"",'Dvd Calendar'!$P$2848)))</f>
        <v/>
      </c>
      <c r="DQ205" s="85">
        <f>IF(BC205="","",IF(ISNUMBER('Dvd Calendar'!$Q$2848)=FALSE,"",IF((Summary!$C$13="N")*('Dvd Calendar'!$Q$2852='Field Check'!$C$25)&gt;0,"",'Dvd Calendar'!$Q$2848)))</f>
        <v/>
      </c>
      <c r="DR205" s="85">
        <f>IF(BD205="","",IF(ISNUMBER('Dvd Calendar'!$R$2848)=FALSE,"",IF((Summary!$C$13="N")*('Dvd Calendar'!$R$2852='Field Check'!$C$25)&gt;0,"",'Dvd Calendar'!$R$2848)))</f>
        <v/>
      </c>
      <c r="DS205" s="85">
        <f>IF(BE205="","",IF(ISNUMBER('Dvd Calendar'!$S$2848)=FALSE,"",IF((Summary!$C$13="N")*('Dvd Calendar'!$S$2852='Field Check'!$C$25)&gt;0,"",'Dvd Calendar'!$S$2848)))</f>
        <v/>
      </c>
      <c r="DT205" s="85">
        <f>IF(BF205="","",IF(ISNUMBER('Dvd Calendar'!$T$2848)=FALSE,"",IF((Summary!$C$13="N")*('Dvd Calendar'!$T$2852='Field Check'!$C$25)&gt;0,"",'Dvd Calendar'!$T$2848)))</f>
        <v/>
      </c>
      <c r="DU205" s="85">
        <f>IF(BG205="","",IF(ISNUMBER('Dvd Calendar'!$U$2848)=FALSE,"",IF((Summary!$C$13="N")*('Dvd Calendar'!$U$2852='Field Check'!$C$25)&gt;0,"",'Dvd Calendar'!$U$2848)))</f>
        <v/>
      </c>
      <c r="DV205" s="85">
        <f>IF(BH205="","",IF(ISNUMBER('Dvd Calendar'!$V$2848)=FALSE,"",IF((Summary!$C$13="N")*('Dvd Calendar'!$V$2852='Field Check'!$C$25)&gt;0,"",'Dvd Calendar'!$V$2848)))</f>
        <v/>
      </c>
      <c r="DW205" s="85">
        <f>IF(BI205="","",IF(ISNUMBER('Dvd Calendar'!$W$2848)=FALSE,"",IF((Summary!$C$13="N")*('Dvd Calendar'!$W$2852='Field Check'!$C$25)&gt;0,"",'Dvd Calendar'!$W$2848)))</f>
        <v/>
      </c>
      <c r="DX205" s="85">
        <f>IF(BJ205="","",IF(ISNUMBER('Dvd Calendar'!$X$2848)=FALSE,"",IF((Summary!$C$13="N")*('Dvd Calendar'!$X$2852='Field Check'!$C$25)&gt;0,"",'Dvd Calendar'!$X$2848)))</f>
        <v/>
      </c>
      <c r="DY205" s="85">
        <f>IF(BK205="","",IF(ISNUMBER('Dvd Calendar'!$Y$2848)=FALSE,"",IF((Summary!$C$13="N")*('Dvd Calendar'!$Y$2852='Field Check'!$C$25)&gt;0,"",'Dvd Calendar'!$Y$2848)))</f>
        <v/>
      </c>
      <c r="DZ205" s="85">
        <f>IF(BL205="","",IF(ISNUMBER('Dvd Calendar'!$Z$2848)=FALSE,"",IF((Summary!$C$13="N")*('Dvd Calendar'!$Z$2852='Field Check'!$C$25)&gt;0,"",'Dvd Calendar'!$Z$2848)))</f>
        <v/>
      </c>
      <c r="EA205" s="85">
        <f>IF(BM205="","",IF(ISNUMBER('Dvd Calendar'!$AA$2848)=FALSE,"",IF((Summary!$C$13="N")*('Dvd Calendar'!$AA$2852='Field Check'!$C$25)&gt;0,"",'Dvd Calendar'!$AA$2848)))</f>
        <v/>
      </c>
      <c r="EB205" s="85">
        <f>IF(BN205="","",IF(ISNUMBER('Dvd Calendar'!$AB$2848)=FALSE,"",IF((Summary!$C$13="N")*('Dvd Calendar'!$AB$2852='Field Check'!$C$25)&gt;0,"",'Dvd Calendar'!$AB$2848)))</f>
        <v/>
      </c>
      <c r="EC205" s="85">
        <f>IF(BO205="","",IF(ISNUMBER('Dvd Calendar'!$AC$2848)=FALSE,"",IF((Summary!$C$13="N")*('Dvd Calendar'!$AC$2852='Field Check'!$C$25)&gt;0,"",'Dvd Calendar'!$AC$2848)))</f>
        <v/>
      </c>
      <c r="EE205" s="85">
        <f>IF(BQ205="","",IFERROR(BQ205*HSCEI!$B$55*HSCEI!$G$55/HSCEI!$B$3,""))</f>
        <v/>
      </c>
      <c r="EF205" s="85">
        <f>IF(BR205="","",IFERROR(BR205*HSCEI!$B$55*HSCEI!$G$55/HSCEI!$B$3,""))</f>
        <v/>
      </c>
      <c r="EG205" s="85">
        <f>IF(BS205="","",IFERROR(BS205*HSCEI!$B$55*HSCEI!$G$55/HSCEI!$B$3,""))</f>
        <v/>
      </c>
      <c r="EH205" s="85">
        <f>IF(BT205="","",IFERROR(BT205*HSCEI!$B$55*HSCEI!$G$55/HSCEI!$B$3,""))</f>
        <v/>
      </c>
      <c r="EI205" s="85">
        <f>IF(BU205="","",IFERROR(BU205*HSCEI!$B$55*HSCEI!$G$55/HSCEI!$B$3,""))</f>
        <v/>
      </c>
      <c r="EJ205" s="85">
        <f>IF(BV205="","",IFERROR(BV205*HSCEI!$B$55*HSCEI!$G$55/HSCEI!$B$3,""))</f>
        <v/>
      </c>
      <c r="EK205" s="85">
        <f>IF(BW205="","",IFERROR(BW205*HSCEI!$B$55*HSCEI!$G$55/HSCEI!$B$3,""))</f>
        <v/>
      </c>
      <c r="EL205" s="85">
        <f>IF(BX205="","",IFERROR(BX205*HSCEI!$B$55*HSCEI!$G$55/HSCEI!$B$3,""))</f>
        <v/>
      </c>
      <c r="EM205" s="85">
        <f>IF(BY205="","",IFERROR(BY205*HSCEI!$B$55*HSCEI!$G$55/HSCEI!$B$3,""))</f>
        <v/>
      </c>
      <c r="EN205" s="85">
        <f>IF(BZ205="","",IFERROR(BZ205*HSCEI!$B$55*HSCEI!$G$55/HSCEI!$B$3,""))</f>
        <v/>
      </c>
      <c r="EO205" s="85">
        <f>IF(CA205="","",IFERROR(CA205*HSCEI!$B$55*HSCEI!$G$55/HSCEI!$B$3,""))</f>
        <v/>
      </c>
      <c r="EP205" s="85">
        <f>IF(CB205="","",IFERROR(CB205*HSCEI!$B$55*HSCEI!$G$55/HSCEI!$B$3,""))</f>
        <v/>
      </c>
      <c r="EQ205" s="85">
        <f>IF(CC205="","",IFERROR(CC205*HSCEI!$B$55*HSCEI!$G$55/HSCEI!$B$3,""))</f>
        <v/>
      </c>
      <c r="ER205" s="85">
        <f>IF(CD205="","",IFERROR(CD205*HSCEI!$B$55*HSCEI!$G$55/HSCEI!$B$3,""))</f>
        <v/>
      </c>
      <c r="ES205" s="85">
        <f>IF(CE205="","",IFERROR(CE205*HSCEI!$B$55*HSCEI!$G$55/HSCEI!$B$3,""))</f>
        <v/>
      </c>
      <c r="ET205" s="85">
        <f>IF(CF205="","",IFERROR(CF205*HSCEI!$B$55*HSCEI!$G$55/HSCEI!$B$3,""))</f>
        <v/>
      </c>
      <c r="EU205" s="85">
        <f>IF(CG205="","",IFERROR(CG205*HSCEI!$B$55*HSCEI!$G$55/HSCEI!$B$3,""))</f>
        <v/>
      </c>
      <c r="EV205" s="85">
        <f>IF(CH205="","",IFERROR(CH205*HSCEI!$B$55*HSCEI!$G$55/HSCEI!$B$3,""))</f>
        <v/>
      </c>
      <c r="EW205" s="85">
        <f>IF(CI205="","",IFERROR(CI205*HSCEI!$B$55*HSCEI!$G$55/HSCEI!$B$3,""))</f>
        <v/>
      </c>
      <c r="EX205" s="85">
        <f>IF(CJ205="","",IFERROR(CJ205*HSCEI!$B$55*HSCEI!$G$55/HSCEI!$B$3,""))</f>
        <v/>
      </c>
      <c r="EY205" s="85">
        <f>IF(CK205="","",IFERROR(CK205*HSCEI!$B$55*HSCEI!$G$55/HSCEI!$B$3,""))</f>
        <v/>
      </c>
      <c r="EZ205" s="85">
        <f>IF(CL205="","",IFERROR(CL205*HSCEI!$B$55*HSCEI!$G$55/HSCEI!$B$3,""))</f>
        <v/>
      </c>
      <c r="FA205" s="85">
        <f>IF(CM205="","",IFERROR(CM205*HSCEI!$B$55*HSCEI!$G$55/HSCEI!$B$3,""))</f>
        <v/>
      </c>
      <c r="FB205" s="85">
        <f>IF(CN205="","",IFERROR(CN205*HSCEI!$B$55*HSCEI!$G$55/HSCEI!$B$3,""))</f>
        <v/>
      </c>
      <c r="FC205" s="85">
        <f>IF(CO205="","",IFERROR(CO205*HSCEI!$B$55*HSCEI!$G$55/HSCEI!$B$3,""))</f>
        <v/>
      </c>
      <c r="FD205" s="85">
        <f>IF(CP205="","",IFERROR(CP205*HSCEI!$B$55*HSCEI!$G$55/HSCEI!$B$3,""))</f>
        <v/>
      </c>
      <c r="FE205" s="85">
        <f>IF(CQ205="","",IFERROR(CQ205*HSCEI!$B$55*HSCEI!$G$55/HSCEI!$B$3,""))</f>
        <v/>
      </c>
      <c r="FF205" s="85">
        <f>IF(CR205="","",IFERROR(CR205*HSCEI!$B$55*HSCEI!$G$55/HSCEI!$B$3,""))</f>
        <v/>
      </c>
      <c r="FG205" s="85">
        <f>IF(CS205="","",IFERROR(CS205*HSCEI!$B$55*HSCEI!$G$55/HSCEI!$B$3,""))</f>
        <v/>
      </c>
      <c r="FH205" s="85">
        <f>IF(CT205="","",IFERROR(CT205*HSCEI!$B$55*HSCEI!$G$55/HSCEI!$B$3,""))</f>
        <v/>
      </c>
      <c r="FI205" s="85">
        <f>IF(CU205="","",IFERROR(CU205*HSCEI!$B$55*HSCEI!$G$55/HSCEI!$B$3,""))</f>
        <v/>
      </c>
      <c r="FJ205" s="85">
        <f>IF(CV205="","",IFERROR(CV205*HSCEI!$B$55*HSCEI!$G$55/HSCEI!$B$3,""))</f>
        <v/>
      </c>
      <c r="FK205" s="85">
        <f>IF(CW205="","",IFERROR(CW205*HSCEI!$B$55*HSCEI!$G$55/HSCEI!$B$3,""))</f>
        <v/>
      </c>
      <c r="FL205" s="85">
        <f>IF(CX205="","",IFERROR(CX205*HSCEI!$B$55*HSCEI!$G$55/HSCEI!$B$3,""))</f>
        <v/>
      </c>
      <c r="FM205" s="85">
        <f>IF(CY205="","",IFERROR(CY205*HSCEI!$B$55*HSCEI!$G$55/HSCEI!$B$3,""))</f>
        <v/>
      </c>
      <c r="FN205" s="85">
        <f>IF(CZ205="","",IFERROR(CZ205*HSCEI!$B$55*HSCEI!$G$55/HSCEI!$B$3,""))</f>
        <v/>
      </c>
      <c r="FO205" s="85">
        <f>IF(DA205="","",IFERROR(DA205*HSCEI!$B$55*HSCEI!$G$55/HSCEI!$B$3,""))</f>
        <v/>
      </c>
      <c r="FP205" s="85">
        <f>IF(DB205="","",IFERROR(DB205*HSCEI!$B$55*HSCEI!$G$55/HSCEI!$B$3,""))</f>
        <v/>
      </c>
      <c r="FQ205" s="85">
        <f>IF(DC205="","",IFERROR(DC205*HSCEI!$B$55*HSCEI!$G$55/HSCEI!$B$3,""))</f>
        <v/>
      </c>
      <c r="FR205" s="85">
        <f>IF(DD205="","",IFERROR(DD205*HSCEI!$B$55*HSCEI!$G$55/HSCEI!$B$3,""))</f>
        <v/>
      </c>
      <c r="FS205" s="85">
        <f>IF(DE205="","",IFERROR(DE205*HSCEI!$B$55*HSCEI!$G$55/HSCEI!$B$3,""))</f>
        <v/>
      </c>
      <c r="FT205" s="85">
        <f>IF(DF205="","",IFERROR(DF205*HSCEI!$B$55*HSCEI!$G$55/HSCEI!$B$3,""))</f>
        <v/>
      </c>
      <c r="FU205" s="85">
        <f>IF(DG205="","",IFERROR(DG205*HSCEI!$B$55*HSCEI!$G$55/HSCEI!$B$3,""))</f>
        <v/>
      </c>
      <c r="FV205" s="85">
        <f>IF(DH205="","",IFERROR(DH205*HSCEI!$B$55*HSCEI!$G$55/HSCEI!$B$3,""))</f>
        <v/>
      </c>
      <c r="FW205" s="85">
        <f>IF(DI205="","",IFERROR(DI205*HSCEI!$B$55*HSCEI!$G$55/HSCEI!$B$3,""))</f>
        <v/>
      </c>
      <c r="FX205" s="85">
        <f>IF(DJ205="","",IFERROR(DJ205*HSCEI!$B$55*HSCEI!$G$55/HSCEI!$B$3,""))</f>
        <v/>
      </c>
      <c r="FY205" s="85">
        <f>IF(DK205="","",IFERROR(DK205*HSCEI!$B$55*HSCEI!$G$55/HSCEI!$B$3,""))</f>
        <v/>
      </c>
      <c r="FZ205" s="85">
        <f>IF(DL205="","",IFERROR(DL205*HSCEI!$B$55*HSCEI!$G$55/HSCEI!$B$3,""))</f>
        <v/>
      </c>
      <c r="GA205" s="85">
        <f>IF(DM205="","",IFERROR(DM205*HSCEI!$B$55*HSCEI!$G$55/HSCEI!$B$3,""))</f>
        <v/>
      </c>
      <c r="GB205" s="85">
        <f>IF(DN205="","",IFERROR(DN205*HSCEI!$B$55*HSCEI!$G$55/HSCEI!$B$3,""))</f>
        <v/>
      </c>
      <c r="GC205" s="85">
        <f>IF(DO205="","",IFERROR(DO205*HSCEI!$B$55*HSCEI!$G$55/HSCEI!$B$3,""))</f>
        <v/>
      </c>
      <c r="GD205" s="85">
        <f>IF(DP205="","",IFERROR(DP205*HSCEI!$B$55*HSCEI!$G$55/HSCEI!$B$3,""))</f>
        <v/>
      </c>
      <c r="GE205" s="85">
        <f>IF(DQ205="","",IFERROR(DQ205*HSCEI!$B$55*HSCEI!$G$55/HSCEI!$B$3,""))</f>
        <v/>
      </c>
      <c r="GF205" s="85">
        <f>IF(DR205="","",IFERROR(DR205*HSCEI!$B$55*HSCEI!$G$55/HSCEI!$B$3,""))</f>
        <v/>
      </c>
      <c r="GG205" s="85">
        <f>IF(DS205="","",IFERROR(DS205*HSCEI!$B$55*HSCEI!$G$55/HSCEI!$B$3,""))</f>
        <v/>
      </c>
      <c r="GH205" s="85">
        <f>IF(DT205="","",IFERROR(DT205*HSCEI!$B$55*HSCEI!$G$55/HSCEI!$B$3,""))</f>
        <v/>
      </c>
      <c r="GI205" s="85">
        <f>IF(DU205="","",IFERROR(DU205*HSCEI!$B$55*HSCEI!$G$55/HSCEI!$B$3,""))</f>
        <v/>
      </c>
      <c r="GJ205" s="85">
        <f>IF(DV205="","",IFERROR(DV205*HSCEI!$B$55*HSCEI!$G$55/HSCEI!$B$3,""))</f>
        <v/>
      </c>
      <c r="GK205" s="85">
        <f>IF(DW205="","",IFERROR(DW205*HSCEI!$B$55*HSCEI!$G$55/HSCEI!$B$3,""))</f>
        <v/>
      </c>
      <c r="GL205" s="85">
        <f>IF(DX205="","",IFERROR(DX205*HSCEI!$B$55*HSCEI!$G$55/HSCEI!$B$3,""))</f>
        <v/>
      </c>
      <c r="GM205" s="85">
        <f>IF(DY205="","",IFERROR(DY205*HSCEI!$B$55*HSCEI!$G$55/HSCEI!$B$3,""))</f>
        <v/>
      </c>
      <c r="GN205" s="85">
        <f>IF(DZ205="","",IFERROR(DZ205*HSCEI!$B$55*HSCEI!$G$55/HSCEI!$B$3,""))</f>
        <v/>
      </c>
      <c r="GO205" s="85">
        <f>IF(EA205="","",IFERROR(EA205*HSCEI!$B$55*HSCEI!$G$55/HSCEI!$B$3,""))</f>
        <v/>
      </c>
      <c r="GP205" s="85">
        <f>IF(EB205="","",IFERROR(EB205*HSCEI!$B$55*HSCEI!$G$55/HSCEI!$B$3,""))</f>
        <v/>
      </c>
      <c r="GQ205" s="85">
        <f>IF(EC205="","",IFERROR(EC205*HSCEI!$B$55*HSCEI!$G$55/HSCEI!$B$3,""))</f>
        <v/>
      </c>
    </row>
    <row r="206">
      <c r="B206" s="2">
        <f>IF(HSCEI!$C$56="","",HSCEI!$C$56)</f>
        <v/>
      </c>
      <c r="C206" s="41">
        <f>IF(N('Dvd Calendar'!$E$2855)=0,"",IF(('Dvd Calendar'!$E$2855&gt;=MIN(DATE(Summary!$C$12,1,1),Summary!$C$11))*('Dvd Calendar'!$E$2855&lt;=MAX(DATE(Summary!$C$12,12,31),Summary!$C$15))*('Dvd Calendar'!$E$2855&lt;=Summary!$C$11)=0,"",'Dvd Calendar'!$E$2855*1000000000+ISNUMBER('Dvd Calendar'!$E$2856)*100000000+('Dvd Calendar'!$E$2860='Field Check'!$C$25)*10000000+(N('Dvd Calendar'!$E$2854)&gt;0)*1000000+50*1000+1))</f>
        <v/>
      </c>
      <c r="D206" s="41">
        <f>IF(N('Dvd Calendar'!$F$2855)=0,"",IF(('Dvd Calendar'!$F$2855&gt;=MIN(DATE(Summary!$C$12,1,1),Summary!$C$11))*('Dvd Calendar'!$F$2855&lt;=MAX(DATE(Summary!$C$12,12,31),Summary!$C$15))*('Dvd Calendar'!$F$2855&lt;=Summary!$C$11)=0,"",'Dvd Calendar'!$F$2855*1000000000+ISNUMBER('Dvd Calendar'!$F$2856)*100000000+('Dvd Calendar'!$F$2860='Field Check'!$C$25)*10000000+(N('Dvd Calendar'!$F$2854)&gt;0)*1000000+50*1000+2))</f>
        <v/>
      </c>
      <c r="E206" s="41">
        <f>IF(N('Dvd Calendar'!$G$2855)=0,"",IF(('Dvd Calendar'!$G$2855&gt;=MIN(DATE(Summary!$C$12,1,1),Summary!$C$11))*('Dvd Calendar'!$G$2855&lt;=MAX(DATE(Summary!$C$12,12,31),Summary!$C$15))*('Dvd Calendar'!$G$2855&lt;=Summary!$C$11)=0,"",'Dvd Calendar'!$G$2855*1000000000+ISNUMBER('Dvd Calendar'!$G$2856)*100000000+('Dvd Calendar'!$G$2860='Field Check'!$C$25)*10000000+(N('Dvd Calendar'!$G$2854)&gt;0)*1000000+50*1000+3))</f>
        <v/>
      </c>
      <c r="F206" s="41">
        <f>IF(N('Dvd Calendar'!$H$2855)=0,"",IF(('Dvd Calendar'!$H$2855&gt;=MIN(DATE(Summary!$C$12,1,1),Summary!$C$11))*('Dvd Calendar'!$H$2855&lt;=MAX(DATE(Summary!$C$12,12,31),Summary!$C$15))*('Dvd Calendar'!$H$2855&lt;=Summary!$C$11)=0,"",'Dvd Calendar'!$H$2855*1000000000+ISNUMBER('Dvd Calendar'!$H$2856)*100000000+('Dvd Calendar'!$H$2860='Field Check'!$C$25)*10000000+(N('Dvd Calendar'!$H$2854)&gt;0)*1000000+50*1000+4))</f>
        <v/>
      </c>
      <c r="G206" s="41">
        <f>IF(N('Dvd Calendar'!$I$2855)=0,"",IF(('Dvd Calendar'!$I$2855&gt;=MIN(DATE(Summary!$C$12,1,1),Summary!$C$11))*('Dvd Calendar'!$I$2855&lt;=MAX(DATE(Summary!$C$12,12,31),Summary!$C$15))*('Dvd Calendar'!$I$2855&lt;=Summary!$C$11)=0,"",'Dvd Calendar'!$I$2855*1000000000+ISNUMBER('Dvd Calendar'!$I$2856)*100000000+('Dvd Calendar'!$I$2860='Field Check'!$C$25)*10000000+(N('Dvd Calendar'!$I$2854)&gt;0)*1000000+50*1000+5))</f>
        <v/>
      </c>
      <c r="H206" s="41">
        <f>IF(N('Dvd Calendar'!$J$2855)=0,"",IF(('Dvd Calendar'!$J$2855&gt;=MIN(DATE(Summary!$C$12,1,1),Summary!$C$11))*('Dvd Calendar'!$J$2855&lt;=MAX(DATE(Summary!$C$12,12,31),Summary!$C$15))*('Dvd Calendar'!$J$2855&lt;=Summary!$C$11)=0,"",'Dvd Calendar'!$J$2855*1000000000+ISNUMBER('Dvd Calendar'!$J$2856)*100000000+('Dvd Calendar'!$J$2860='Field Check'!$C$25)*10000000+(N('Dvd Calendar'!$J$2854)&gt;0)*1000000+50*1000+6))</f>
        <v/>
      </c>
      <c r="I206" s="41">
        <f>IF(N('Dvd Calendar'!$K$2855)=0,"",IF(('Dvd Calendar'!$K$2855&gt;=MIN(DATE(Summary!$C$12,1,1),Summary!$C$11))*('Dvd Calendar'!$K$2855&lt;=MAX(DATE(Summary!$C$12,12,31),Summary!$C$15))*('Dvd Calendar'!$K$2855&lt;=Summary!$C$11)=0,"",'Dvd Calendar'!$K$2855*1000000000+ISNUMBER('Dvd Calendar'!$K$2856)*100000000+('Dvd Calendar'!$K$2860='Field Check'!$C$25)*10000000+(N('Dvd Calendar'!$K$2854)&gt;0)*1000000+50*1000+7))</f>
        <v/>
      </c>
      <c r="J206" s="41">
        <f>IF(N('Dvd Calendar'!$L$2855)=0,"",IF(('Dvd Calendar'!$L$2855&gt;=MIN(DATE(Summary!$C$12,1,1),Summary!$C$11))*('Dvd Calendar'!$L$2855&lt;=MAX(DATE(Summary!$C$12,12,31),Summary!$C$15))*('Dvd Calendar'!$L$2855&lt;=Summary!$C$11)=0,"",'Dvd Calendar'!$L$2855*1000000000+ISNUMBER('Dvd Calendar'!$L$2856)*100000000+('Dvd Calendar'!$L$2860='Field Check'!$C$25)*10000000+(N('Dvd Calendar'!$L$2854)&gt;0)*1000000+50*1000+8))</f>
        <v/>
      </c>
      <c r="K206" s="41">
        <f>IF(N('Dvd Calendar'!$M$2855)=0,"",IF(('Dvd Calendar'!$M$2855&gt;=MIN(DATE(Summary!$C$12,1,1),Summary!$C$11))*('Dvd Calendar'!$M$2855&lt;=MAX(DATE(Summary!$C$12,12,31),Summary!$C$15))*('Dvd Calendar'!$M$2855&lt;=Summary!$C$11)=0,"",'Dvd Calendar'!$M$2855*1000000000+ISNUMBER('Dvd Calendar'!$M$2856)*100000000+('Dvd Calendar'!$M$2860='Field Check'!$C$25)*10000000+(N('Dvd Calendar'!$M$2854)&gt;0)*1000000+50*1000+9))</f>
        <v/>
      </c>
      <c r="L206" s="41">
        <f>IF(N('Dvd Calendar'!$N$2855)=0,"",IF(('Dvd Calendar'!$N$2855&gt;=MIN(DATE(Summary!$C$12,1,1),Summary!$C$11))*('Dvd Calendar'!$N$2855&lt;=MAX(DATE(Summary!$C$12,12,31),Summary!$C$15))*('Dvd Calendar'!$N$2855&lt;=Summary!$C$11)=0,"",'Dvd Calendar'!$N$2855*1000000000+ISNUMBER('Dvd Calendar'!$N$2856)*100000000+('Dvd Calendar'!$N$2860='Field Check'!$C$25)*10000000+(N('Dvd Calendar'!$N$2854)&gt;0)*1000000+50*1000+10))</f>
        <v/>
      </c>
      <c r="M206" s="41">
        <f>IF(N('Dvd Calendar'!$O$2855)=0,"",IF(('Dvd Calendar'!$O$2855&gt;=MIN(DATE(Summary!$C$12,1,1),Summary!$C$11))*('Dvd Calendar'!$O$2855&lt;=MAX(DATE(Summary!$C$12,12,31),Summary!$C$15))*('Dvd Calendar'!$O$2855&lt;=Summary!$C$11)=0,"",'Dvd Calendar'!$O$2855*1000000000+ISNUMBER('Dvd Calendar'!$O$2856)*100000000+('Dvd Calendar'!$O$2860='Field Check'!$C$25)*10000000+(N('Dvd Calendar'!$O$2854)&gt;0)*1000000+50*1000+11))</f>
        <v/>
      </c>
      <c r="N206" s="41">
        <f>IF(N('Dvd Calendar'!$P$2855)=0,"",IF(('Dvd Calendar'!$P$2855&gt;=MIN(DATE(Summary!$C$12,1,1),Summary!$C$11))*('Dvd Calendar'!$P$2855&lt;=MAX(DATE(Summary!$C$12,12,31),Summary!$C$15))*('Dvd Calendar'!$P$2855&lt;=Summary!$C$11)=0,"",'Dvd Calendar'!$P$2855*1000000000+ISNUMBER('Dvd Calendar'!$P$2856)*100000000+('Dvd Calendar'!$P$2860='Field Check'!$C$25)*10000000+(N('Dvd Calendar'!$P$2854)&gt;0)*1000000+50*1000+12))</f>
        <v/>
      </c>
      <c r="O206" s="41">
        <f>IF(N('Dvd Calendar'!$Q$2855)=0,"",IF(('Dvd Calendar'!$Q$2855&gt;=MIN(DATE(Summary!$C$12,1,1),Summary!$C$11))*('Dvd Calendar'!$Q$2855&lt;=MAX(DATE(Summary!$C$12,12,31),Summary!$C$15))*('Dvd Calendar'!$Q$2855&lt;=Summary!$C$11)=0,"",'Dvd Calendar'!$Q$2855*1000000000+ISNUMBER('Dvd Calendar'!$Q$2856)*100000000+('Dvd Calendar'!$Q$2860='Field Check'!$C$25)*10000000+(N('Dvd Calendar'!$Q$2854)&gt;0)*1000000+50*1000+13))</f>
        <v/>
      </c>
      <c r="P206" s="41">
        <f>IF(N('Dvd Calendar'!$R$2855)=0,"",IF(('Dvd Calendar'!$R$2855&gt;=MIN(DATE(Summary!$C$12,1,1),Summary!$C$11))*('Dvd Calendar'!$R$2855&lt;=MAX(DATE(Summary!$C$12,12,31),Summary!$C$15))*('Dvd Calendar'!$R$2855&lt;=Summary!$C$11)=0,"",'Dvd Calendar'!$R$2855*1000000000+ISNUMBER('Dvd Calendar'!$R$2856)*100000000+('Dvd Calendar'!$R$2860='Field Check'!$C$25)*10000000+(N('Dvd Calendar'!$R$2854)&gt;0)*1000000+50*1000+14))</f>
        <v/>
      </c>
      <c r="Q206" s="41">
        <f>IF(N('Dvd Calendar'!$S$2855)=0,"",IF(('Dvd Calendar'!$S$2855&gt;=MIN(DATE(Summary!$C$12,1,1),Summary!$C$11))*('Dvd Calendar'!$S$2855&lt;=MAX(DATE(Summary!$C$12,12,31),Summary!$C$15))*('Dvd Calendar'!$S$2855&lt;=Summary!$C$11)=0,"",'Dvd Calendar'!$S$2855*1000000000+ISNUMBER('Dvd Calendar'!$S$2856)*100000000+('Dvd Calendar'!$S$2860='Field Check'!$C$25)*10000000+(N('Dvd Calendar'!$S$2854)&gt;0)*1000000+50*1000+15))</f>
        <v/>
      </c>
      <c r="R206" s="41">
        <f>IF(N('Dvd Calendar'!$T$2855)=0,"",IF(('Dvd Calendar'!$T$2855&gt;=MIN(DATE(Summary!$C$12,1,1),Summary!$C$11))*('Dvd Calendar'!$T$2855&lt;=MAX(DATE(Summary!$C$12,12,31),Summary!$C$15))*('Dvd Calendar'!$T$2855&lt;=Summary!$C$11)=0,"",'Dvd Calendar'!$T$2855*1000000000+ISNUMBER('Dvd Calendar'!$T$2856)*100000000+('Dvd Calendar'!$T$2860='Field Check'!$C$25)*10000000+(N('Dvd Calendar'!$T$2854)&gt;0)*1000000+50*1000+16))</f>
        <v/>
      </c>
      <c r="S206" s="41">
        <f>IF(N('Dvd Calendar'!$U$2855)=0,"",IF(('Dvd Calendar'!$U$2855&gt;=MIN(DATE(Summary!$C$12,1,1),Summary!$C$11))*('Dvd Calendar'!$U$2855&lt;=MAX(DATE(Summary!$C$12,12,31),Summary!$C$15))*('Dvd Calendar'!$U$2855&lt;=Summary!$C$11)=0,"",'Dvd Calendar'!$U$2855*1000000000+ISNUMBER('Dvd Calendar'!$U$2856)*100000000+('Dvd Calendar'!$U$2860='Field Check'!$C$25)*10000000+(N('Dvd Calendar'!$U$2854)&gt;0)*1000000+50*1000+17))</f>
        <v/>
      </c>
      <c r="T206" s="41">
        <f>IF(N('Dvd Calendar'!$V$2855)=0,"",IF(('Dvd Calendar'!$V$2855&gt;=MIN(DATE(Summary!$C$12,1,1),Summary!$C$11))*('Dvd Calendar'!$V$2855&lt;=MAX(DATE(Summary!$C$12,12,31),Summary!$C$15))*('Dvd Calendar'!$V$2855&lt;=Summary!$C$11)=0,"",'Dvd Calendar'!$V$2855*1000000000+ISNUMBER('Dvd Calendar'!$V$2856)*100000000+('Dvd Calendar'!$V$2860='Field Check'!$C$25)*10000000+(N('Dvd Calendar'!$V$2854)&gt;0)*1000000+50*1000+18))</f>
        <v/>
      </c>
      <c r="U206" s="41">
        <f>IF(N('Dvd Calendar'!$W$2855)=0,"",IF(('Dvd Calendar'!$W$2855&gt;=MIN(DATE(Summary!$C$12,1,1),Summary!$C$11))*('Dvd Calendar'!$W$2855&lt;=MAX(DATE(Summary!$C$12,12,31),Summary!$C$15))*('Dvd Calendar'!$W$2855&lt;=Summary!$C$11)=0,"",'Dvd Calendar'!$W$2855*1000000000+ISNUMBER('Dvd Calendar'!$W$2856)*100000000+('Dvd Calendar'!$W$2860='Field Check'!$C$25)*10000000+(N('Dvd Calendar'!$W$2854)&gt;0)*1000000+50*1000+19))</f>
        <v/>
      </c>
      <c r="V206" s="41">
        <f>IF(N('Dvd Calendar'!$X$2855)=0,"",IF(('Dvd Calendar'!$X$2855&gt;=MIN(DATE(Summary!$C$12,1,1),Summary!$C$11))*('Dvd Calendar'!$X$2855&lt;=MAX(DATE(Summary!$C$12,12,31),Summary!$C$15))*('Dvd Calendar'!$X$2855&lt;=Summary!$C$11)=0,"",'Dvd Calendar'!$X$2855*1000000000+ISNUMBER('Dvd Calendar'!$X$2856)*100000000+('Dvd Calendar'!$X$2860='Field Check'!$C$25)*10000000+(N('Dvd Calendar'!$X$2854)&gt;0)*1000000+50*1000+20))</f>
        <v/>
      </c>
      <c r="W206" s="41">
        <f>IF(N('Dvd Calendar'!$Y$2855)=0,"",IF(('Dvd Calendar'!$Y$2855&gt;=MIN(DATE(Summary!$C$12,1,1),Summary!$C$11))*('Dvd Calendar'!$Y$2855&lt;=MAX(DATE(Summary!$C$12,12,31),Summary!$C$15))*('Dvd Calendar'!$Y$2855&lt;=Summary!$C$11)=0,"",'Dvd Calendar'!$Y$2855*1000000000+ISNUMBER('Dvd Calendar'!$Y$2856)*100000000+('Dvd Calendar'!$Y$2860='Field Check'!$C$25)*10000000+(N('Dvd Calendar'!$Y$2854)&gt;0)*1000000+50*1000+21))</f>
        <v/>
      </c>
      <c r="X206" s="41">
        <f>IF(N('Dvd Calendar'!$Z$2855)=0,"",IF(('Dvd Calendar'!$Z$2855&gt;=MIN(DATE(Summary!$C$12,1,1),Summary!$C$11))*('Dvd Calendar'!$Z$2855&lt;=MAX(DATE(Summary!$C$12,12,31),Summary!$C$15))*('Dvd Calendar'!$Z$2855&lt;=Summary!$C$11)=0,"",'Dvd Calendar'!$Z$2855*1000000000+ISNUMBER('Dvd Calendar'!$Z$2856)*100000000+('Dvd Calendar'!$Z$2860='Field Check'!$C$25)*10000000+(N('Dvd Calendar'!$Z$2854)&gt;0)*1000000+50*1000+22))</f>
        <v/>
      </c>
      <c r="Y206" s="41">
        <f>IF(N('Dvd Calendar'!$AA$2855)=0,"",IF(('Dvd Calendar'!$AA$2855&gt;=MIN(DATE(Summary!$C$12,1,1),Summary!$C$11))*('Dvd Calendar'!$AA$2855&lt;=MAX(DATE(Summary!$C$12,12,31),Summary!$C$15))*('Dvd Calendar'!$AA$2855&lt;=Summary!$C$11)=0,"",'Dvd Calendar'!$AA$2855*1000000000+ISNUMBER('Dvd Calendar'!$AA$2856)*100000000+('Dvd Calendar'!$AA$2860='Field Check'!$C$25)*10000000+(N('Dvd Calendar'!$AA$2854)&gt;0)*1000000+50*1000+23))</f>
        <v/>
      </c>
      <c r="Z206" s="41">
        <f>IF(N('Dvd Calendar'!$AB$2855)=0,"",IF(('Dvd Calendar'!$AB$2855&gt;=MIN(DATE(Summary!$C$12,1,1),Summary!$C$11))*('Dvd Calendar'!$AB$2855&lt;=MAX(DATE(Summary!$C$12,12,31),Summary!$C$15))*('Dvd Calendar'!$AB$2855&lt;=Summary!$C$11)=0,"",'Dvd Calendar'!$AB$2855*1000000000+ISNUMBER('Dvd Calendar'!$AB$2856)*100000000+('Dvd Calendar'!$AB$2860='Field Check'!$C$25)*10000000+(N('Dvd Calendar'!$AB$2854)&gt;0)*1000000+50*1000+24))</f>
        <v/>
      </c>
      <c r="AA206" s="41">
        <f>IF(N('Dvd Calendar'!$AC$2855)=0,"",IF(('Dvd Calendar'!$AC$2855&gt;=MIN(DATE(Summary!$C$12,1,1),Summary!$C$11))*('Dvd Calendar'!$AC$2855&lt;=MAX(DATE(Summary!$C$12,12,31),Summary!$C$15))*('Dvd Calendar'!$AC$2855&lt;=Summary!$C$11)=0,"",'Dvd Calendar'!$AC$2855*1000000000+ISNUMBER('Dvd Calendar'!$AC$2856)*100000000+('Dvd Calendar'!$AC$2860='Field Check'!$C$25)*10000000+(N('Dvd Calendar'!$AC$2854)&gt;0)*1000000+50*1000+25))</f>
        <v/>
      </c>
      <c r="AB206" s="41">
        <f>IF(N('Dvd Calendar'!$AD$2855)=0,"",IF(('Dvd Calendar'!$AD$2855&gt;=MIN(DATE(Summary!$C$12,1,1),Summary!$C$11))*('Dvd Calendar'!$AD$2855&lt;=MAX(DATE(Summary!$C$12,12,31),Summary!$C$15))*('Dvd Calendar'!$AD$2855&lt;=Summary!$C$11)=0,"",'Dvd Calendar'!$AD$2855*1000000000+ISNUMBER('Dvd Calendar'!$AD$2856)*100000000+('Dvd Calendar'!$AD$2860='Field Check'!$C$25)*10000000+(N('Dvd Calendar'!$AD$2854)&gt;0)*1000000+50*1000+26))</f>
        <v/>
      </c>
      <c r="AC206" s="41">
        <f>IF(N('Dvd Calendar'!$AE$2855)=0,"",IF(('Dvd Calendar'!$AE$2855&gt;=MIN(DATE(Summary!$C$12,1,1),Summary!$C$11))*('Dvd Calendar'!$AE$2855&lt;=MAX(DATE(Summary!$C$12,12,31),Summary!$C$15))*('Dvd Calendar'!$AE$2855&lt;=Summary!$C$11)=0,"",'Dvd Calendar'!$AE$2855*1000000000+ISNUMBER('Dvd Calendar'!$AE$2856)*100000000+('Dvd Calendar'!$AE$2860='Field Check'!$C$25)*10000000+(N('Dvd Calendar'!$AE$2854)&gt;0)*1000000+50*1000+27))</f>
        <v/>
      </c>
      <c r="AD206" s="41">
        <f>IF(N('Dvd Calendar'!$AF$2855)=0,"",IF(('Dvd Calendar'!$AF$2855&gt;=MIN(DATE(Summary!$C$12,1,1),Summary!$C$11))*('Dvd Calendar'!$AF$2855&lt;=MAX(DATE(Summary!$C$12,12,31),Summary!$C$15))*('Dvd Calendar'!$AF$2855&lt;=Summary!$C$11)=0,"",'Dvd Calendar'!$AF$2855*1000000000+ISNUMBER('Dvd Calendar'!$AF$2856)*100000000+('Dvd Calendar'!$AF$2860='Field Check'!$C$25)*10000000+(N('Dvd Calendar'!$AF$2854)&gt;0)*1000000+50*1000+28))</f>
        <v/>
      </c>
      <c r="AE206" s="41">
        <f>IF(N('Dvd Calendar'!$AG$2855)=0,"",IF(('Dvd Calendar'!$AG$2855&gt;=MIN(DATE(Summary!$C$12,1,1),Summary!$C$11))*('Dvd Calendar'!$AG$2855&lt;=MAX(DATE(Summary!$C$12,12,31),Summary!$C$15))*('Dvd Calendar'!$AG$2855&lt;=Summary!$C$11)=0,"",'Dvd Calendar'!$AG$2855*1000000000+ISNUMBER('Dvd Calendar'!$AG$2856)*100000000+('Dvd Calendar'!$AG$2860='Field Check'!$C$25)*10000000+(N('Dvd Calendar'!$AG$2854)&gt;0)*1000000+50*1000+29))</f>
        <v/>
      </c>
      <c r="AF206" s="41">
        <f>IF(N('Dvd Calendar'!$AH$2855)=0,"",IF(('Dvd Calendar'!$AH$2855&gt;=MIN(DATE(Summary!$C$12,1,1),Summary!$C$11))*('Dvd Calendar'!$AH$2855&lt;=MAX(DATE(Summary!$C$12,12,31),Summary!$C$15))*('Dvd Calendar'!$AH$2855&lt;=Summary!$C$11)=0,"",'Dvd Calendar'!$AH$2855*1000000000+ISNUMBER('Dvd Calendar'!$AH$2856)*100000000+('Dvd Calendar'!$AH$2860='Field Check'!$C$25)*10000000+(N('Dvd Calendar'!$AH$2854)&gt;0)*1000000+50*1000+30))</f>
        <v/>
      </c>
      <c r="AG206" s="41">
        <f>IF(N('Dvd Calendar'!$AI$2855)=0,"",IF(('Dvd Calendar'!$AI$2855&gt;=MIN(DATE(Summary!$C$12,1,1),Summary!$C$11))*('Dvd Calendar'!$AI$2855&lt;=MAX(DATE(Summary!$C$12,12,31),Summary!$C$15))*('Dvd Calendar'!$AI$2855&lt;=Summary!$C$11)=0,"",'Dvd Calendar'!$AI$2855*1000000000+ISNUMBER('Dvd Calendar'!$AI$2856)*100000000+('Dvd Calendar'!$AI$2860='Field Check'!$C$25)*10000000+(N('Dvd Calendar'!$AI$2854)&gt;0)*1000000+50*1000+31))</f>
        <v/>
      </c>
      <c r="AH206" s="41">
        <f>IF(N('Dvd Calendar'!$AJ$2855)=0,"",IF(('Dvd Calendar'!$AJ$2855&gt;=MIN(DATE(Summary!$C$12,1,1),Summary!$C$11))*('Dvd Calendar'!$AJ$2855&lt;=MAX(DATE(Summary!$C$12,12,31),Summary!$C$15))*('Dvd Calendar'!$AJ$2855&lt;=Summary!$C$11)=0,"",'Dvd Calendar'!$AJ$2855*1000000000+ISNUMBER('Dvd Calendar'!$AJ$2856)*100000000+('Dvd Calendar'!$AJ$2860='Field Check'!$C$25)*10000000+(N('Dvd Calendar'!$AJ$2854)&gt;0)*1000000+50*1000+32))</f>
        <v/>
      </c>
      <c r="AI206" s="41">
        <f>IF(N('Dvd Calendar'!$AK$2855)=0,"",IF(('Dvd Calendar'!$AK$2855&gt;=MIN(DATE(Summary!$C$12,1,1),Summary!$C$11))*('Dvd Calendar'!$AK$2855&lt;=MAX(DATE(Summary!$C$12,12,31),Summary!$C$15))*('Dvd Calendar'!$AK$2855&lt;=Summary!$C$11)=0,"",'Dvd Calendar'!$AK$2855*1000000000+ISNUMBER('Dvd Calendar'!$AK$2856)*100000000+('Dvd Calendar'!$AK$2860='Field Check'!$C$25)*10000000+(N('Dvd Calendar'!$AK$2854)&gt;0)*1000000+50*1000+33))</f>
        <v/>
      </c>
      <c r="AJ206" s="41">
        <f>IF(N('Dvd Calendar'!$AL$2855)=0,"",IF(('Dvd Calendar'!$AL$2855&gt;=MIN(DATE(Summary!$C$12,1,1),Summary!$C$11))*('Dvd Calendar'!$AL$2855&lt;=MAX(DATE(Summary!$C$12,12,31),Summary!$C$15))*('Dvd Calendar'!$AL$2855&lt;=Summary!$C$11)=0,"",'Dvd Calendar'!$AL$2855*1000000000+ISNUMBER('Dvd Calendar'!$AL$2856)*100000000+('Dvd Calendar'!$AL$2860='Field Check'!$C$25)*10000000+(N('Dvd Calendar'!$AL$2854)&gt;0)*1000000+50*1000+34))</f>
        <v/>
      </c>
      <c r="AK206" s="41">
        <f>IF(N('Dvd Calendar'!$AM$2855)=0,"",IF(('Dvd Calendar'!$AM$2855&gt;=MIN(DATE(Summary!$C$12,1,1),Summary!$C$11))*('Dvd Calendar'!$AM$2855&lt;=MAX(DATE(Summary!$C$12,12,31),Summary!$C$15))*('Dvd Calendar'!$AM$2855&lt;=Summary!$C$11)=0,"",'Dvd Calendar'!$AM$2855*1000000000+ISNUMBER('Dvd Calendar'!$AM$2856)*100000000+('Dvd Calendar'!$AM$2860='Field Check'!$C$25)*10000000+(N('Dvd Calendar'!$AM$2854)&gt;0)*1000000+50*1000+35))</f>
        <v/>
      </c>
      <c r="AL206" s="41">
        <f>IF(N('Dvd Calendar'!$AN$2855)=0,"",IF(('Dvd Calendar'!$AN$2855&gt;=MIN(DATE(Summary!$C$12,1,1),Summary!$C$11))*('Dvd Calendar'!$AN$2855&lt;=MAX(DATE(Summary!$C$12,12,31),Summary!$C$15))*('Dvd Calendar'!$AN$2855&lt;=Summary!$C$11)=0,"",'Dvd Calendar'!$AN$2855*1000000000+ISNUMBER('Dvd Calendar'!$AN$2856)*100000000+('Dvd Calendar'!$AN$2860='Field Check'!$C$25)*10000000+(N('Dvd Calendar'!$AN$2854)&gt;0)*1000000+50*1000+36))</f>
        <v/>
      </c>
      <c r="AM206" s="41">
        <f>IF(N('Dvd Calendar'!$AO$2855)=0,"",IF(('Dvd Calendar'!$AO$2855&gt;=MIN(DATE(Summary!$C$12,1,1),Summary!$C$11))*('Dvd Calendar'!$AO$2855&lt;=MAX(DATE(Summary!$C$12,12,31),Summary!$C$15))*('Dvd Calendar'!$AO$2855&lt;=Summary!$C$11)=0,"",'Dvd Calendar'!$AO$2855*1000000000+ISNUMBER('Dvd Calendar'!$AO$2856)*100000000+('Dvd Calendar'!$AO$2860='Field Check'!$C$25)*10000000+(N('Dvd Calendar'!$AO$2854)&gt;0)*1000000+50*1000+37))</f>
        <v/>
      </c>
      <c r="AN206" s="41">
        <f>IF(N('Dvd Calendar'!$AP$2855)=0,"",IF(('Dvd Calendar'!$AP$2855&gt;=MIN(DATE(Summary!$C$12,1,1),Summary!$C$11))*('Dvd Calendar'!$AP$2855&lt;=MAX(DATE(Summary!$C$12,12,31),Summary!$C$15))*('Dvd Calendar'!$AP$2855&lt;=Summary!$C$11)=0,"",'Dvd Calendar'!$AP$2855*1000000000+ISNUMBER('Dvd Calendar'!$AP$2856)*100000000+('Dvd Calendar'!$AP$2860='Field Check'!$C$25)*10000000+(N('Dvd Calendar'!$AP$2854)&gt;0)*1000000+50*1000+38))</f>
        <v/>
      </c>
      <c r="AO206" s="41">
        <f>IF(N('Dvd Calendar'!$AQ$2855)=0,"",IF(('Dvd Calendar'!$AQ$2855&gt;=MIN(DATE(Summary!$C$12,1,1),Summary!$C$11))*('Dvd Calendar'!$AQ$2855&lt;=MAX(DATE(Summary!$C$12,12,31),Summary!$C$15))*('Dvd Calendar'!$AQ$2855&lt;=Summary!$C$11)=0,"",'Dvd Calendar'!$AQ$2855*1000000000+ISNUMBER('Dvd Calendar'!$AQ$2856)*100000000+('Dvd Calendar'!$AQ$2860='Field Check'!$C$25)*10000000+(N('Dvd Calendar'!$AQ$2854)&gt;0)*1000000+50*1000+39))</f>
        <v/>
      </c>
      <c r="AP206" s="41">
        <f>IF(N('Dvd Calendar'!$AR$2855)=0,"",IF(('Dvd Calendar'!$AR$2855&gt;=MIN(DATE(Summary!$C$12,1,1),Summary!$C$11))*('Dvd Calendar'!$AR$2855&lt;=MAX(DATE(Summary!$C$12,12,31),Summary!$C$15))*('Dvd Calendar'!$AR$2855&lt;=Summary!$C$11)=0,"",'Dvd Calendar'!$AR$2855*1000000000+ISNUMBER('Dvd Calendar'!$AR$2856)*100000000+('Dvd Calendar'!$AR$2860='Field Check'!$C$25)*10000000+(N('Dvd Calendar'!$AR$2854)&gt;0)*1000000+50*1000+40))</f>
        <v/>
      </c>
      <c r="AQ206" s="41">
        <f>IF(N('Dvd Calendar'!$E$2862)=0,"",IF(('Dvd Calendar'!$E$2862&gt;=MIN(DATE(Summary!$C$12,1,1),Summary!$C$11))*('Dvd Calendar'!$E$2862&lt;=MAX(DATE(Summary!$C$12,12,31),Summary!$C$15))*('Dvd Calendar'!$E$2862&gt;Summary!$C$11)=0,"",'Dvd Calendar'!$E$2862*1000000000+ISNUMBER('Dvd Calendar'!$E$2863)*100000000+('Dvd Calendar'!$E$2867='Field Check'!$C$25)*10000000+(N('Dvd Calendar'!$E$2861)&gt;0)*1000000+50*1000+41))</f>
        <v/>
      </c>
      <c r="AR206" s="41">
        <f>IF(N('Dvd Calendar'!$F$2862)=0,"",IF(('Dvd Calendar'!$F$2862&gt;=MIN(DATE(Summary!$C$12,1,1),Summary!$C$11))*('Dvd Calendar'!$F$2862&lt;=MAX(DATE(Summary!$C$12,12,31),Summary!$C$15))*('Dvd Calendar'!$F$2862&gt;Summary!$C$11)=0,"",'Dvd Calendar'!$F$2862*1000000000+ISNUMBER('Dvd Calendar'!$F$2863)*100000000+('Dvd Calendar'!$F$2867='Field Check'!$C$25)*10000000+(N('Dvd Calendar'!$F$2861)&gt;0)*1000000+50*1000+42))</f>
        <v/>
      </c>
      <c r="AS206" s="41">
        <f>IF(N('Dvd Calendar'!$G$2862)=0,"",IF(('Dvd Calendar'!$G$2862&gt;=MIN(DATE(Summary!$C$12,1,1),Summary!$C$11))*('Dvd Calendar'!$G$2862&lt;=MAX(DATE(Summary!$C$12,12,31),Summary!$C$15))*('Dvd Calendar'!$G$2862&gt;Summary!$C$11)=0,"",'Dvd Calendar'!$G$2862*1000000000+ISNUMBER('Dvd Calendar'!$G$2863)*100000000+('Dvd Calendar'!$G$2867='Field Check'!$C$25)*10000000+(N('Dvd Calendar'!$G$2861)&gt;0)*1000000+50*1000+43))</f>
        <v/>
      </c>
      <c r="AT206" s="41">
        <f>IF(N('Dvd Calendar'!$H$2862)=0,"",IF(('Dvd Calendar'!$H$2862&gt;=MIN(DATE(Summary!$C$12,1,1),Summary!$C$11))*('Dvd Calendar'!$H$2862&lt;=MAX(DATE(Summary!$C$12,12,31),Summary!$C$15))*('Dvd Calendar'!$H$2862&gt;Summary!$C$11)=0,"",'Dvd Calendar'!$H$2862*1000000000+ISNUMBER('Dvd Calendar'!$H$2863)*100000000+('Dvd Calendar'!$H$2867='Field Check'!$C$25)*10000000+(N('Dvd Calendar'!$H$2861)&gt;0)*1000000+50*1000+44))</f>
        <v/>
      </c>
      <c r="AU206" s="41">
        <f>IF(N('Dvd Calendar'!$I$2862)=0,"",IF(('Dvd Calendar'!$I$2862&gt;=MIN(DATE(Summary!$C$12,1,1),Summary!$C$11))*('Dvd Calendar'!$I$2862&lt;=MAX(DATE(Summary!$C$12,12,31),Summary!$C$15))*('Dvd Calendar'!$I$2862&gt;Summary!$C$11)=0,"",'Dvd Calendar'!$I$2862*1000000000+ISNUMBER('Dvd Calendar'!$I$2863)*100000000+('Dvd Calendar'!$I$2867='Field Check'!$C$25)*10000000+(N('Dvd Calendar'!$I$2861)&gt;0)*1000000+50*1000+45))</f>
        <v/>
      </c>
      <c r="AV206" s="41">
        <f>IF(N('Dvd Calendar'!$J$2862)=0,"",IF(('Dvd Calendar'!$J$2862&gt;=MIN(DATE(Summary!$C$12,1,1),Summary!$C$11))*('Dvd Calendar'!$J$2862&lt;=MAX(DATE(Summary!$C$12,12,31),Summary!$C$15))*('Dvd Calendar'!$J$2862&gt;Summary!$C$11)=0,"",'Dvd Calendar'!$J$2862*1000000000+ISNUMBER('Dvd Calendar'!$J$2863)*100000000+('Dvd Calendar'!$J$2867='Field Check'!$C$25)*10000000+(N('Dvd Calendar'!$J$2861)&gt;0)*1000000+50*1000+46))</f>
        <v/>
      </c>
      <c r="AW206" s="41">
        <f>IF(N('Dvd Calendar'!$K$2862)=0,"",IF(('Dvd Calendar'!$K$2862&gt;=MIN(DATE(Summary!$C$12,1,1),Summary!$C$11))*('Dvd Calendar'!$K$2862&lt;=MAX(DATE(Summary!$C$12,12,31),Summary!$C$15))*('Dvd Calendar'!$K$2862&gt;Summary!$C$11)=0,"",'Dvd Calendar'!$K$2862*1000000000+ISNUMBER('Dvd Calendar'!$K$2863)*100000000+('Dvd Calendar'!$K$2867='Field Check'!$C$25)*10000000+(N('Dvd Calendar'!$K$2861)&gt;0)*1000000+50*1000+47))</f>
        <v/>
      </c>
      <c r="AX206" s="41">
        <f>IF(N('Dvd Calendar'!$L$2862)=0,"",IF(('Dvd Calendar'!$L$2862&gt;=MIN(DATE(Summary!$C$12,1,1),Summary!$C$11))*('Dvd Calendar'!$L$2862&lt;=MAX(DATE(Summary!$C$12,12,31),Summary!$C$15))*('Dvd Calendar'!$L$2862&gt;Summary!$C$11)=0,"",'Dvd Calendar'!$L$2862*1000000000+ISNUMBER('Dvd Calendar'!$L$2863)*100000000+('Dvd Calendar'!$L$2867='Field Check'!$C$25)*10000000+(N('Dvd Calendar'!$L$2861)&gt;0)*1000000+50*1000+48))</f>
        <v/>
      </c>
      <c r="AY206" s="41">
        <f>IF(N('Dvd Calendar'!$M$2862)=0,"",IF(('Dvd Calendar'!$M$2862&gt;=MIN(DATE(Summary!$C$12,1,1),Summary!$C$11))*('Dvd Calendar'!$M$2862&lt;=MAX(DATE(Summary!$C$12,12,31),Summary!$C$15))*('Dvd Calendar'!$M$2862&gt;Summary!$C$11)=0,"",'Dvd Calendar'!$M$2862*1000000000+ISNUMBER('Dvd Calendar'!$M$2863)*100000000+('Dvd Calendar'!$M$2867='Field Check'!$C$25)*10000000+(N('Dvd Calendar'!$M$2861)&gt;0)*1000000+50*1000+49))</f>
        <v/>
      </c>
      <c r="AZ206" s="41">
        <f>IF(N('Dvd Calendar'!$N$2862)=0,"",IF(('Dvd Calendar'!$N$2862&gt;=MIN(DATE(Summary!$C$12,1,1),Summary!$C$11))*('Dvd Calendar'!$N$2862&lt;=MAX(DATE(Summary!$C$12,12,31),Summary!$C$15))*('Dvd Calendar'!$N$2862&gt;Summary!$C$11)=0,"",'Dvd Calendar'!$N$2862*1000000000+ISNUMBER('Dvd Calendar'!$N$2863)*100000000+('Dvd Calendar'!$N$2867='Field Check'!$C$25)*10000000+(N('Dvd Calendar'!$N$2861)&gt;0)*1000000+50*1000+50))</f>
        <v/>
      </c>
      <c r="BA206" s="41">
        <f>IF(N('Dvd Calendar'!$O$2862)=0,"",IF(('Dvd Calendar'!$O$2862&gt;=MIN(DATE(Summary!$C$12,1,1),Summary!$C$11))*('Dvd Calendar'!$O$2862&lt;=MAX(DATE(Summary!$C$12,12,31),Summary!$C$15))*('Dvd Calendar'!$O$2862&gt;Summary!$C$11)=0,"",'Dvd Calendar'!$O$2862*1000000000+ISNUMBER('Dvd Calendar'!$O$2863)*100000000+('Dvd Calendar'!$O$2867='Field Check'!$C$25)*10000000+(N('Dvd Calendar'!$O$2861)&gt;0)*1000000+50*1000+51))</f>
        <v/>
      </c>
      <c r="BB206" s="41">
        <f>IF(N('Dvd Calendar'!$P$2862)=0,"",IF(('Dvd Calendar'!$P$2862&gt;=MIN(DATE(Summary!$C$12,1,1),Summary!$C$11))*('Dvd Calendar'!$P$2862&lt;=MAX(DATE(Summary!$C$12,12,31),Summary!$C$15))*('Dvd Calendar'!$P$2862&gt;Summary!$C$11)=0,"",'Dvd Calendar'!$P$2862*1000000000+ISNUMBER('Dvd Calendar'!$P$2863)*100000000+('Dvd Calendar'!$P$2867='Field Check'!$C$25)*10000000+(N('Dvd Calendar'!$P$2861)&gt;0)*1000000+50*1000+52))</f>
        <v/>
      </c>
      <c r="BC206" s="41">
        <f>IF(N('Dvd Calendar'!$Q$2862)=0,"",IF(('Dvd Calendar'!$Q$2862&gt;=MIN(DATE(Summary!$C$12,1,1),Summary!$C$11))*('Dvd Calendar'!$Q$2862&lt;=MAX(DATE(Summary!$C$12,12,31),Summary!$C$15))*('Dvd Calendar'!$Q$2862&gt;Summary!$C$11)=0,"",'Dvd Calendar'!$Q$2862*1000000000+ISNUMBER('Dvd Calendar'!$Q$2863)*100000000+('Dvd Calendar'!$Q$2867='Field Check'!$C$25)*10000000+(N('Dvd Calendar'!$Q$2861)&gt;0)*1000000+50*1000+53))</f>
        <v/>
      </c>
      <c r="BD206" s="41">
        <f>IF(N('Dvd Calendar'!$R$2862)=0,"",IF(('Dvd Calendar'!$R$2862&gt;=MIN(DATE(Summary!$C$12,1,1),Summary!$C$11))*('Dvd Calendar'!$R$2862&lt;=MAX(DATE(Summary!$C$12,12,31),Summary!$C$15))*('Dvd Calendar'!$R$2862&gt;Summary!$C$11)=0,"",'Dvd Calendar'!$R$2862*1000000000+ISNUMBER('Dvd Calendar'!$R$2863)*100000000+('Dvd Calendar'!$R$2867='Field Check'!$C$25)*10000000+(N('Dvd Calendar'!$R$2861)&gt;0)*1000000+50*1000+54))</f>
        <v/>
      </c>
      <c r="BE206" s="41">
        <f>IF(N('Dvd Calendar'!$S$2862)=0,"",IF(('Dvd Calendar'!$S$2862&gt;=MIN(DATE(Summary!$C$12,1,1),Summary!$C$11))*('Dvd Calendar'!$S$2862&lt;=MAX(DATE(Summary!$C$12,12,31),Summary!$C$15))*('Dvd Calendar'!$S$2862&gt;Summary!$C$11)=0,"",'Dvd Calendar'!$S$2862*1000000000+ISNUMBER('Dvd Calendar'!$S$2863)*100000000+('Dvd Calendar'!$S$2867='Field Check'!$C$25)*10000000+(N('Dvd Calendar'!$S$2861)&gt;0)*1000000+50*1000+55))</f>
        <v/>
      </c>
      <c r="BF206" s="41">
        <f>IF(N('Dvd Calendar'!$T$2862)=0,"",IF(('Dvd Calendar'!$T$2862&gt;=MIN(DATE(Summary!$C$12,1,1),Summary!$C$11))*('Dvd Calendar'!$T$2862&lt;=MAX(DATE(Summary!$C$12,12,31),Summary!$C$15))*('Dvd Calendar'!$T$2862&gt;Summary!$C$11)=0,"",'Dvd Calendar'!$T$2862*1000000000+ISNUMBER('Dvd Calendar'!$T$2863)*100000000+('Dvd Calendar'!$T$2867='Field Check'!$C$25)*10000000+(N('Dvd Calendar'!$T$2861)&gt;0)*1000000+50*1000+56))</f>
        <v/>
      </c>
      <c r="BG206" s="41">
        <f>IF(N('Dvd Calendar'!$U$2862)=0,"",IF(('Dvd Calendar'!$U$2862&gt;=MIN(DATE(Summary!$C$12,1,1),Summary!$C$11))*('Dvd Calendar'!$U$2862&lt;=MAX(DATE(Summary!$C$12,12,31),Summary!$C$15))*('Dvd Calendar'!$U$2862&gt;Summary!$C$11)=0,"",'Dvd Calendar'!$U$2862*1000000000+ISNUMBER('Dvd Calendar'!$U$2863)*100000000+('Dvd Calendar'!$U$2867='Field Check'!$C$25)*10000000+(N('Dvd Calendar'!$U$2861)&gt;0)*1000000+50*1000+57))</f>
        <v/>
      </c>
      <c r="BH206" s="41">
        <f>IF(N('Dvd Calendar'!$V$2862)=0,"",IF(('Dvd Calendar'!$V$2862&gt;=MIN(DATE(Summary!$C$12,1,1),Summary!$C$11))*('Dvd Calendar'!$V$2862&lt;=MAX(DATE(Summary!$C$12,12,31),Summary!$C$15))*('Dvd Calendar'!$V$2862&gt;Summary!$C$11)=0,"",'Dvd Calendar'!$V$2862*1000000000+ISNUMBER('Dvd Calendar'!$V$2863)*100000000+('Dvd Calendar'!$V$2867='Field Check'!$C$25)*10000000+(N('Dvd Calendar'!$V$2861)&gt;0)*1000000+50*1000+58))</f>
        <v/>
      </c>
      <c r="BI206" s="41">
        <f>IF(N('Dvd Calendar'!$W$2862)=0,"",IF(('Dvd Calendar'!$W$2862&gt;=MIN(DATE(Summary!$C$12,1,1),Summary!$C$11))*('Dvd Calendar'!$W$2862&lt;=MAX(DATE(Summary!$C$12,12,31),Summary!$C$15))*('Dvd Calendar'!$W$2862&gt;Summary!$C$11)=0,"",'Dvd Calendar'!$W$2862*1000000000+ISNUMBER('Dvd Calendar'!$W$2863)*100000000+('Dvd Calendar'!$W$2867='Field Check'!$C$25)*10000000+(N('Dvd Calendar'!$W$2861)&gt;0)*1000000+50*1000+59))</f>
        <v/>
      </c>
      <c r="BJ206" s="41">
        <f>IF(N('Dvd Calendar'!$X$2862)=0,"",IF(('Dvd Calendar'!$X$2862&gt;=MIN(DATE(Summary!$C$12,1,1),Summary!$C$11))*('Dvd Calendar'!$X$2862&lt;=MAX(DATE(Summary!$C$12,12,31),Summary!$C$15))*('Dvd Calendar'!$X$2862&gt;Summary!$C$11)=0,"",'Dvd Calendar'!$X$2862*1000000000+ISNUMBER('Dvd Calendar'!$X$2863)*100000000+('Dvd Calendar'!$X$2867='Field Check'!$C$25)*10000000+(N('Dvd Calendar'!$X$2861)&gt;0)*1000000+50*1000+60))</f>
        <v/>
      </c>
      <c r="BK206" s="41">
        <f>IF(N('Dvd Calendar'!$Y$2862)=0,"",IF(('Dvd Calendar'!$Y$2862&gt;=MIN(DATE(Summary!$C$12,1,1),Summary!$C$11))*('Dvd Calendar'!$Y$2862&lt;=MAX(DATE(Summary!$C$12,12,31),Summary!$C$15))*('Dvd Calendar'!$Y$2862&gt;Summary!$C$11)=0,"",'Dvd Calendar'!$Y$2862*1000000000+ISNUMBER('Dvd Calendar'!$Y$2863)*100000000+('Dvd Calendar'!$Y$2867='Field Check'!$C$25)*10000000+(N('Dvd Calendar'!$Y$2861)&gt;0)*1000000+50*1000+61))</f>
        <v/>
      </c>
      <c r="BL206" s="41">
        <f>IF(N('Dvd Calendar'!$Z$2862)=0,"",IF(('Dvd Calendar'!$Z$2862&gt;=MIN(DATE(Summary!$C$12,1,1),Summary!$C$11))*('Dvd Calendar'!$Z$2862&lt;=MAX(DATE(Summary!$C$12,12,31),Summary!$C$15))*('Dvd Calendar'!$Z$2862&gt;Summary!$C$11)=0,"",'Dvd Calendar'!$Z$2862*1000000000+ISNUMBER('Dvd Calendar'!$Z$2863)*100000000+('Dvd Calendar'!$Z$2867='Field Check'!$C$25)*10000000+(N('Dvd Calendar'!$Z$2861)&gt;0)*1000000+50*1000+62))</f>
        <v/>
      </c>
      <c r="BM206" s="41">
        <f>IF(N('Dvd Calendar'!$AA$2862)=0,"",IF(('Dvd Calendar'!$AA$2862&gt;=MIN(DATE(Summary!$C$12,1,1),Summary!$C$11))*('Dvd Calendar'!$AA$2862&lt;=MAX(DATE(Summary!$C$12,12,31),Summary!$C$15))*('Dvd Calendar'!$AA$2862&gt;Summary!$C$11)=0,"",'Dvd Calendar'!$AA$2862*1000000000+ISNUMBER('Dvd Calendar'!$AA$2863)*100000000+('Dvd Calendar'!$AA$2867='Field Check'!$C$25)*10000000+(N('Dvd Calendar'!$AA$2861)&gt;0)*1000000+50*1000+63))</f>
        <v/>
      </c>
      <c r="BN206" s="41">
        <f>IF(N('Dvd Calendar'!$AB$2862)=0,"",IF(('Dvd Calendar'!$AB$2862&gt;=MIN(DATE(Summary!$C$12,1,1),Summary!$C$11))*('Dvd Calendar'!$AB$2862&lt;=MAX(DATE(Summary!$C$12,12,31),Summary!$C$15))*('Dvd Calendar'!$AB$2862&gt;Summary!$C$11)=0,"",'Dvd Calendar'!$AB$2862*1000000000+ISNUMBER('Dvd Calendar'!$AB$2863)*100000000+('Dvd Calendar'!$AB$2867='Field Check'!$C$25)*10000000+(N('Dvd Calendar'!$AB$2861)&gt;0)*1000000+50*1000+64))</f>
        <v/>
      </c>
      <c r="BO206" s="41">
        <f>IF(N('Dvd Calendar'!$AC$2862)=0,"",IF(('Dvd Calendar'!$AC$2862&gt;=MIN(DATE(Summary!$C$12,1,1),Summary!$C$11))*('Dvd Calendar'!$AC$2862&lt;=MAX(DATE(Summary!$C$12,12,31),Summary!$C$15))*('Dvd Calendar'!$AC$2862&gt;Summary!$C$11)=0,"",'Dvd Calendar'!$AC$2862*1000000000+ISNUMBER('Dvd Calendar'!$AC$2863)*100000000+('Dvd Calendar'!$AC$2867='Field Check'!$C$25)*10000000+(N('Dvd Calendar'!$AC$2861)&gt;0)*1000000+50*1000+65))</f>
        <v/>
      </c>
      <c r="BQ206" s="85">
        <f>IF(C206="","",IF(ISNUMBER('Dvd Calendar'!$E$2856)=FALSE,"",IF((Summary!$C$13="N")*('Dvd Calendar'!$E$2860='Field Check'!$C$25)&gt;0,"",'Dvd Calendar'!$E$2856)))</f>
        <v/>
      </c>
      <c r="BR206" s="85">
        <f>IF(D206="","",IF(ISNUMBER('Dvd Calendar'!$F$2856)=FALSE,"",IF((Summary!$C$13="N")*('Dvd Calendar'!$F$2860='Field Check'!$C$25)&gt;0,"",'Dvd Calendar'!$F$2856)))</f>
        <v/>
      </c>
      <c r="BS206" s="85">
        <f>IF(E206="","",IF(ISNUMBER('Dvd Calendar'!$G$2856)=FALSE,"",IF((Summary!$C$13="N")*('Dvd Calendar'!$G$2860='Field Check'!$C$25)&gt;0,"",'Dvd Calendar'!$G$2856)))</f>
        <v/>
      </c>
      <c r="BT206" s="85">
        <f>IF(F206="","",IF(ISNUMBER('Dvd Calendar'!$H$2856)=FALSE,"",IF((Summary!$C$13="N")*('Dvd Calendar'!$H$2860='Field Check'!$C$25)&gt;0,"",'Dvd Calendar'!$H$2856)))</f>
        <v/>
      </c>
      <c r="BU206" s="85">
        <f>IF(G206="","",IF(ISNUMBER('Dvd Calendar'!$I$2856)=FALSE,"",IF((Summary!$C$13="N")*('Dvd Calendar'!$I$2860='Field Check'!$C$25)&gt;0,"",'Dvd Calendar'!$I$2856)))</f>
        <v/>
      </c>
      <c r="BV206" s="85">
        <f>IF(H206="","",IF(ISNUMBER('Dvd Calendar'!$J$2856)=FALSE,"",IF((Summary!$C$13="N")*('Dvd Calendar'!$J$2860='Field Check'!$C$25)&gt;0,"",'Dvd Calendar'!$J$2856)))</f>
        <v/>
      </c>
      <c r="BW206" s="85">
        <f>IF(I206="","",IF(ISNUMBER('Dvd Calendar'!$K$2856)=FALSE,"",IF((Summary!$C$13="N")*('Dvd Calendar'!$K$2860='Field Check'!$C$25)&gt;0,"",'Dvd Calendar'!$K$2856)))</f>
        <v/>
      </c>
      <c r="BX206" s="85">
        <f>IF(J206="","",IF(ISNUMBER('Dvd Calendar'!$L$2856)=FALSE,"",IF((Summary!$C$13="N")*('Dvd Calendar'!$L$2860='Field Check'!$C$25)&gt;0,"",'Dvd Calendar'!$L$2856)))</f>
        <v/>
      </c>
      <c r="BY206" s="85">
        <f>IF(K206="","",IF(ISNUMBER('Dvd Calendar'!$M$2856)=FALSE,"",IF((Summary!$C$13="N")*('Dvd Calendar'!$M$2860='Field Check'!$C$25)&gt;0,"",'Dvd Calendar'!$M$2856)))</f>
        <v/>
      </c>
      <c r="BZ206" s="85">
        <f>IF(L206="","",IF(ISNUMBER('Dvd Calendar'!$N$2856)=FALSE,"",IF((Summary!$C$13="N")*('Dvd Calendar'!$N$2860='Field Check'!$C$25)&gt;0,"",'Dvd Calendar'!$N$2856)))</f>
        <v/>
      </c>
      <c r="CA206" s="85">
        <f>IF(M206="","",IF(ISNUMBER('Dvd Calendar'!$O$2856)=FALSE,"",IF((Summary!$C$13="N")*('Dvd Calendar'!$O$2860='Field Check'!$C$25)&gt;0,"",'Dvd Calendar'!$O$2856)))</f>
        <v/>
      </c>
      <c r="CB206" s="85">
        <f>IF(N206="","",IF(ISNUMBER('Dvd Calendar'!$P$2856)=FALSE,"",IF((Summary!$C$13="N")*('Dvd Calendar'!$P$2860='Field Check'!$C$25)&gt;0,"",'Dvd Calendar'!$P$2856)))</f>
        <v/>
      </c>
      <c r="CC206" s="85">
        <f>IF(O206="","",IF(ISNUMBER('Dvd Calendar'!$Q$2856)=FALSE,"",IF((Summary!$C$13="N")*('Dvd Calendar'!$Q$2860='Field Check'!$C$25)&gt;0,"",'Dvd Calendar'!$Q$2856)))</f>
        <v/>
      </c>
      <c r="CD206" s="85">
        <f>IF(P206="","",IF(ISNUMBER('Dvd Calendar'!$R$2856)=FALSE,"",IF((Summary!$C$13="N")*('Dvd Calendar'!$R$2860='Field Check'!$C$25)&gt;0,"",'Dvd Calendar'!$R$2856)))</f>
        <v/>
      </c>
      <c r="CE206" s="85">
        <f>IF(Q206="","",IF(ISNUMBER('Dvd Calendar'!$S$2856)=FALSE,"",IF((Summary!$C$13="N")*('Dvd Calendar'!$S$2860='Field Check'!$C$25)&gt;0,"",'Dvd Calendar'!$S$2856)))</f>
        <v/>
      </c>
      <c r="CF206" s="85">
        <f>IF(R206="","",IF(ISNUMBER('Dvd Calendar'!$T$2856)=FALSE,"",IF((Summary!$C$13="N")*('Dvd Calendar'!$T$2860='Field Check'!$C$25)&gt;0,"",'Dvd Calendar'!$T$2856)))</f>
        <v/>
      </c>
      <c r="CG206" s="85">
        <f>IF(S206="","",IF(ISNUMBER('Dvd Calendar'!$U$2856)=FALSE,"",IF((Summary!$C$13="N")*('Dvd Calendar'!$U$2860='Field Check'!$C$25)&gt;0,"",'Dvd Calendar'!$U$2856)))</f>
        <v/>
      </c>
      <c r="CH206" s="85">
        <f>IF(T206="","",IF(ISNUMBER('Dvd Calendar'!$V$2856)=FALSE,"",IF((Summary!$C$13="N")*('Dvd Calendar'!$V$2860='Field Check'!$C$25)&gt;0,"",'Dvd Calendar'!$V$2856)))</f>
        <v/>
      </c>
      <c r="CI206" s="85">
        <f>IF(U206="","",IF(ISNUMBER('Dvd Calendar'!$W$2856)=FALSE,"",IF((Summary!$C$13="N")*('Dvd Calendar'!$W$2860='Field Check'!$C$25)&gt;0,"",'Dvd Calendar'!$W$2856)))</f>
        <v/>
      </c>
      <c r="CJ206" s="85">
        <f>IF(V206="","",IF(ISNUMBER('Dvd Calendar'!$X$2856)=FALSE,"",IF((Summary!$C$13="N")*('Dvd Calendar'!$X$2860='Field Check'!$C$25)&gt;0,"",'Dvd Calendar'!$X$2856)))</f>
        <v/>
      </c>
      <c r="CK206" s="85">
        <f>IF(W206="","",IF(ISNUMBER('Dvd Calendar'!$Y$2856)=FALSE,"",IF((Summary!$C$13="N")*('Dvd Calendar'!$Y$2860='Field Check'!$C$25)&gt;0,"",'Dvd Calendar'!$Y$2856)))</f>
        <v/>
      </c>
      <c r="CL206" s="85">
        <f>IF(X206="","",IF(ISNUMBER('Dvd Calendar'!$Z$2856)=FALSE,"",IF((Summary!$C$13="N")*('Dvd Calendar'!$Z$2860='Field Check'!$C$25)&gt;0,"",'Dvd Calendar'!$Z$2856)))</f>
        <v/>
      </c>
      <c r="CM206" s="85">
        <f>IF(Y206="","",IF(ISNUMBER('Dvd Calendar'!$AA$2856)=FALSE,"",IF((Summary!$C$13="N")*('Dvd Calendar'!$AA$2860='Field Check'!$C$25)&gt;0,"",'Dvd Calendar'!$AA$2856)))</f>
        <v/>
      </c>
      <c r="CN206" s="85">
        <f>IF(Z206="","",IF(ISNUMBER('Dvd Calendar'!$AB$2856)=FALSE,"",IF((Summary!$C$13="N")*('Dvd Calendar'!$AB$2860='Field Check'!$C$25)&gt;0,"",'Dvd Calendar'!$AB$2856)))</f>
        <v/>
      </c>
      <c r="CO206" s="85">
        <f>IF(AA206="","",IF(ISNUMBER('Dvd Calendar'!$AC$2856)=FALSE,"",IF((Summary!$C$13="N")*('Dvd Calendar'!$AC$2860='Field Check'!$C$25)&gt;0,"",'Dvd Calendar'!$AC$2856)))</f>
        <v/>
      </c>
      <c r="CP206" s="85">
        <f>IF(AB206="","",IF(ISNUMBER('Dvd Calendar'!$AD$2856)=FALSE,"",IF((Summary!$C$13="N")*('Dvd Calendar'!$AD$2860='Field Check'!$C$25)&gt;0,"",'Dvd Calendar'!$AD$2856)))</f>
        <v/>
      </c>
      <c r="CQ206" s="85">
        <f>IF(AC206="","",IF(ISNUMBER('Dvd Calendar'!$AE$2856)=FALSE,"",IF((Summary!$C$13="N")*('Dvd Calendar'!$AE$2860='Field Check'!$C$25)&gt;0,"",'Dvd Calendar'!$AE$2856)))</f>
        <v/>
      </c>
      <c r="CR206" s="85">
        <f>IF(AD206="","",IF(ISNUMBER('Dvd Calendar'!$AF$2856)=FALSE,"",IF((Summary!$C$13="N")*('Dvd Calendar'!$AF$2860='Field Check'!$C$25)&gt;0,"",'Dvd Calendar'!$AF$2856)))</f>
        <v/>
      </c>
      <c r="CS206" s="85">
        <f>IF(AE206="","",IF(ISNUMBER('Dvd Calendar'!$AG$2856)=FALSE,"",IF((Summary!$C$13="N")*('Dvd Calendar'!$AG$2860='Field Check'!$C$25)&gt;0,"",'Dvd Calendar'!$AG$2856)))</f>
        <v/>
      </c>
      <c r="CT206" s="85">
        <f>IF(AF206="","",IF(ISNUMBER('Dvd Calendar'!$AH$2856)=FALSE,"",IF((Summary!$C$13="N")*('Dvd Calendar'!$AH$2860='Field Check'!$C$25)&gt;0,"",'Dvd Calendar'!$AH$2856)))</f>
        <v/>
      </c>
      <c r="CU206" s="85">
        <f>IF(AG206="","",IF(ISNUMBER('Dvd Calendar'!$AI$2856)=FALSE,"",IF((Summary!$C$13="N")*('Dvd Calendar'!$AI$2860='Field Check'!$C$25)&gt;0,"",'Dvd Calendar'!$AI$2856)))</f>
        <v/>
      </c>
      <c r="CV206" s="85">
        <f>IF(AH206="","",IF(ISNUMBER('Dvd Calendar'!$AJ$2856)=FALSE,"",IF((Summary!$C$13="N")*('Dvd Calendar'!$AJ$2860='Field Check'!$C$25)&gt;0,"",'Dvd Calendar'!$AJ$2856)))</f>
        <v/>
      </c>
      <c r="CW206" s="85">
        <f>IF(AI206="","",IF(ISNUMBER('Dvd Calendar'!$AK$2856)=FALSE,"",IF((Summary!$C$13="N")*('Dvd Calendar'!$AK$2860='Field Check'!$C$25)&gt;0,"",'Dvd Calendar'!$AK$2856)))</f>
        <v/>
      </c>
      <c r="CX206" s="85">
        <f>IF(AJ206="","",IF(ISNUMBER('Dvd Calendar'!$AL$2856)=FALSE,"",IF((Summary!$C$13="N")*('Dvd Calendar'!$AL$2860='Field Check'!$C$25)&gt;0,"",'Dvd Calendar'!$AL$2856)))</f>
        <v/>
      </c>
      <c r="CY206" s="85">
        <f>IF(AK206="","",IF(ISNUMBER('Dvd Calendar'!$AM$2856)=FALSE,"",IF((Summary!$C$13="N")*('Dvd Calendar'!$AM$2860='Field Check'!$C$25)&gt;0,"",'Dvd Calendar'!$AM$2856)))</f>
        <v/>
      </c>
      <c r="CZ206" s="85">
        <f>IF(AL206="","",IF(ISNUMBER('Dvd Calendar'!$AN$2856)=FALSE,"",IF((Summary!$C$13="N")*('Dvd Calendar'!$AN$2860='Field Check'!$C$25)&gt;0,"",'Dvd Calendar'!$AN$2856)))</f>
        <v/>
      </c>
      <c r="DA206" s="85">
        <f>IF(AM206="","",IF(ISNUMBER('Dvd Calendar'!$AO$2856)=FALSE,"",IF((Summary!$C$13="N")*('Dvd Calendar'!$AO$2860='Field Check'!$C$25)&gt;0,"",'Dvd Calendar'!$AO$2856)))</f>
        <v/>
      </c>
      <c r="DB206" s="85">
        <f>IF(AN206="","",IF(ISNUMBER('Dvd Calendar'!$AP$2856)=FALSE,"",IF((Summary!$C$13="N")*('Dvd Calendar'!$AP$2860='Field Check'!$C$25)&gt;0,"",'Dvd Calendar'!$AP$2856)))</f>
        <v/>
      </c>
      <c r="DC206" s="85">
        <f>IF(AO206="","",IF(ISNUMBER('Dvd Calendar'!$AQ$2856)=FALSE,"",IF((Summary!$C$13="N")*('Dvd Calendar'!$AQ$2860='Field Check'!$C$25)&gt;0,"",'Dvd Calendar'!$AQ$2856)))</f>
        <v/>
      </c>
      <c r="DD206" s="85">
        <f>IF(AP206="","",IF(ISNUMBER('Dvd Calendar'!$AR$2856)=FALSE,"",IF((Summary!$C$13="N")*('Dvd Calendar'!$AR$2860='Field Check'!$C$25)&gt;0,"",'Dvd Calendar'!$AR$2856)))</f>
        <v/>
      </c>
      <c r="DE206" s="85">
        <f>IF(AQ206="","",IF(ISNUMBER('Dvd Calendar'!$E$2863)=FALSE,"",IF((Summary!$C$13="N")*('Dvd Calendar'!$E$2867='Field Check'!$C$25)&gt;0,"",'Dvd Calendar'!$E$2863)))</f>
        <v/>
      </c>
      <c r="DF206" s="85">
        <f>IF(AR206="","",IF(ISNUMBER('Dvd Calendar'!$F$2863)=FALSE,"",IF((Summary!$C$13="N")*('Dvd Calendar'!$F$2867='Field Check'!$C$25)&gt;0,"",'Dvd Calendar'!$F$2863)))</f>
        <v/>
      </c>
      <c r="DG206" s="85">
        <f>IF(AS206="","",IF(ISNUMBER('Dvd Calendar'!$G$2863)=FALSE,"",IF((Summary!$C$13="N")*('Dvd Calendar'!$G$2867='Field Check'!$C$25)&gt;0,"",'Dvd Calendar'!$G$2863)))</f>
        <v/>
      </c>
      <c r="DH206" s="85">
        <f>IF(AT206="","",IF(ISNUMBER('Dvd Calendar'!$H$2863)=FALSE,"",IF((Summary!$C$13="N")*('Dvd Calendar'!$H$2867='Field Check'!$C$25)&gt;0,"",'Dvd Calendar'!$H$2863)))</f>
        <v/>
      </c>
      <c r="DI206" s="85">
        <f>IF(AU206="","",IF(ISNUMBER('Dvd Calendar'!$I$2863)=FALSE,"",IF((Summary!$C$13="N")*('Dvd Calendar'!$I$2867='Field Check'!$C$25)&gt;0,"",'Dvd Calendar'!$I$2863)))</f>
        <v/>
      </c>
      <c r="DJ206" s="85">
        <f>IF(AV206="","",IF(ISNUMBER('Dvd Calendar'!$J$2863)=FALSE,"",IF((Summary!$C$13="N")*('Dvd Calendar'!$J$2867='Field Check'!$C$25)&gt;0,"",'Dvd Calendar'!$J$2863)))</f>
        <v/>
      </c>
      <c r="DK206" s="85">
        <f>IF(AW206="","",IF(ISNUMBER('Dvd Calendar'!$K$2863)=FALSE,"",IF((Summary!$C$13="N")*('Dvd Calendar'!$K$2867='Field Check'!$C$25)&gt;0,"",'Dvd Calendar'!$K$2863)))</f>
        <v/>
      </c>
      <c r="DL206" s="85">
        <f>IF(AX206="","",IF(ISNUMBER('Dvd Calendar'!$L$2863)=FALSE,"",IF((Summary!$C$13="N")*('Dvd Calendar'!$L$2867='Field Check'!$C$25)&gt;0,"",'Dvd Calendar'!$L$2863)))</f>
        <v/>
      </c>
      <c r="DM206" s="85">
        <f>IF(AY206="","",IF(ISNUMBER('Dvd Calendar'!$M$2863)=FALSE,"",IF((Summary!$C$13="N")*('Dvd Calendar'!$M$2867='Field Check'!$C$25)&gt;0,"",'Dvd Calendar'!$M$2863)))</f>
        <v/>
      </c>
      <c r="DN206" s="85">
        <f>IF(AZ206="","",IF(ISNUMBER('Dvd Calendar'!$N$2863)=FALSE,"",IF((Summary!$C$13="N")*('Dvd Calendar'!$N$2867='Field Check'!$C$25)&gt;0,"",'Dvd Calendar'!$N$2863)))</f>
        <v/>
      </c>
      <c r="DO206" s="85">
        <f>IF(BA206="","",IF(ISNUMBER('Dvd Calendar'!$O$2863)=FALSE,"",IF((Summary!$C$13="N")*('Dvd Calendar'!$O$2867='Field Check'!$C$25)&gt;0,"",'Dvd Calendar'!$O$2863)))</f>
        <v/>
      </c>
      <c r="DP206" s="85">
        <f>IF(BB206="","",IF(ISNUMBER('Dvd Calendar'!$P$2863)=FALSE,"",IF((Summary!$C$13="N")*('Dvd Calendar'!$P$2867='Field Check'!$C$25)&gt;0,"",'Dvd Calendar'!$P$2863)))</f>
        <v/>
      </c>
      <c r="DQ206" s="85">
        <f>IF(BC206="","",IF(ISNUMBER('Dvd Calendar'!$Q$2863)=FALSE,"",IF((Summary!$C$13="N")*('Dvd Calendar'!$Q$2867='Field Check'!$C$25)&gt;0,"",'Dvd Calendar'!$Q$2863)))</f>
        <v/>
      </c>
      <c r="DR206" s="85">
        <f>IF(BD206="","",IF(ISNUMBER('Dvd Calendar'!$R$2863)=FALSE,"",IF((Summary!$C$13="N")*('Dvd Calendar'!$R$2867='Field Check'!$C$25)&gt;0,"",'Dvd Calendar'!$R$2863)))</f>
        <v/>
      </c>
      <c r="DS206" s="85">
        <f>IF(BE206="","",IF(ISNUMBER('Dvd Calendar'!$S$2863)=FALSE,"",IF((Summary!$C$13="N")*('Dvd Calendar'!$S$2867='Field Check'!$C$25)&gt;0,"",'Dvd Calendar'!$S$2863)))</f>
        <v/>
      </c>
      <c r="DT206" s="85">
        <f>IF(BF206="","",IF(ISNUMBER('Dvd Calendar'!$T$2863)=FALSE,"",IF((Summary!$C$13="N")*('Dvd Calendar'!$T$2867='Field Check'!$C$25)&gt;0,"",'Dvd Calendar'!$T$2863)))</f>
        <v/>
      </c>
      <c r="DU206" s="85">
        <f>IF(BG206="","",IF(ISNUMBER('Dvd Calendar'!$U$2863)=FALSE,"",IF((Summary!$C$13="N")*('Dvd Calendar'!$U$2867='Field Check'!$C$25)&gt;0,"",'Dvd Calendar'!$U$2863)))</f>
        <v/>
      </c>
      <c r="DV206" s="85">
        <f>IF(BH206="","",IF(ISNUMBER('Dvd Calendar'!$V$2863)=FALSE,"",IF((Summary!$C$13="N")*('Dvd Calendar'!$V$2867='Field Check'!$C$25)&gt;0,"",'Dvd Calendar'!$V$2863)))</f>
        <v/>
      </c>
      <c r="DW206" s="85">
        <f>IF(BI206="","",IF(ISNUMBER('Dvd Calendar'!$W$2863)=FALSE,"",IF((Summary!$C$13="N")*('Dvd Calendar'!$W$2867='Field Check'!$C$25)&gt;0,"",'Dvd Calendar'!$W$2863)))</f>
        <v/>
      </c>
      <c r="DX206" s="85">
        <f>IF(BJ206="","",IF(ISNUMBER('Dvd Calendar'!$X$2863)=FALSE,"",IF((Summary!$C$13="N")*('Dvd Calendar'!$X$2867='Field Check'!$C$25)&gt;0,"",'Dvd Calendar'!$X$2863)))</f>
        <v/>
      </c>
      <c r="DY206" s="85">
        <f>IF(BK206="","",IF(ISNUMBER('Dvd Calendar'!$Y$2863)=FALSE,"",IF((Summary!$C$13="N")*('Dvd Calendar'!$Y$2867='Field Check'!$C$25)&gt;0,"",'Dvd Calendar'!$Y$2863)))</f>
        <v/>
      </c>
      <c r="DZ206" s="85">
        <f>IF(BL206="","",IF(ISNUMBER('Dvd Calendar'!$Z$2863)=FALSE,"",IF((Summary!$C$13="N")*('Dvd Calendar'!$Z$2867='Field Check'!$C$25)&gt;0,"",'Dvd Calendar'!$Z$2863)))</f>
        <v/>
      </c>
      <c r="EA206" s="85">
        <f>IF(BM206="","",IF(ISNUMBER('Dvd Calendar'!$AA$2863)=FALSE,"",IF((Summary!$C$13="N")*('Dvd Calendar'!$AA$2867='Field Check'!$C$25)&gt;0,"",'Dvd Calendar'!$AA$2863)))</f>
        <v/>
      </c>
      <c r="EB206" s="85">
        <f>IF(BN206="","",IF(ISNUMBER('Dvd Calendar'!$AB$2863)=FALSE,"",IF((Summary!$C$13="N")*('Dvd Calendar'!$AB$2867='Field Check'!$C$25)&gt;0,"",'Dvd Calendar'!$AB$2863)))</f>
        <v/>
      </c>
      <c r="EC206" s="85">
        <f>IF(BO206="","",IF(ISNUMBER('Dvd Calendar'!$AC$2863)=FALSE,"",IF((Summary!$C$13="N")*('Dvd Calendar'!$AC$2867='Field Check'!$C$25)&gt;0,"",'Dvd Calendar'!$AC$2863)))</f>
        <v/>
      </c>
      <c r="EE206" s="85">
        <f>IF(BQ206="","",IFERROR(BQ206*HSCEI!$B$56*HSCEI!$G$56/HSCEI!$B$3,""))</f>
        <v/>
      </c>
      <c r="EF206" s="85">
        <f>IF(BR206="","",IFERROR(BR206*HSCEI!$B$56*HSCEI!$G$56/HSCEI!$B$3,""))</f>
        <v/>
      </c>
      <c r="EG206" s="85">
        <f>IF(BS206="","",IFERROR(BS206*HSCEI!$B$56*HSCEI!$G$56/HSCEI!$B$3,""))</f>
        <v/>
      </c>
      <c r="EH206" s="85">
        <f>IF(BT206="","",IFERROR(BT206*HSCEI!$B$56*HSCEI!$G$56/HSCEI!$B$3,""))</f>
        <v/>
      </c>
      <c r="EI206" s="85">
        <f>IF(BU206="","",IFERROR(BU206*HSCEI!$B$56*HSCEI!$G$56/HSCEI!$B$3,""))</f>
        <v/>
      </c>
      <c r="EJ206" s="85">
        <f>IF(BV206="","",IFERROR(BV206*HSCEI!$B$56*HSCEI!$G$56/HSCEI!$B$3,""))</f>
        <v/>
      </c>
      <c r="EK206" s="85">
        <f>IF(BW206="","",IFERROR(BW206*HSCEI!$B$56*HSCEI!$G$56/HSCEI!$B$3,""))</f>
        <v/>
      </c>
      <c r="EL206" s="85">
        <f>IF(BX206="","",IFERROR(BX206*HSCEI!$B$56*HSCEI!$G$56/HSCEI!$B$3,""))</f>
        <v/>
      </c>
      <c r="EM206" s="85">
        <f>IF(BY206="","",IFERROR(BY206*HSCEI!$B$56*HSCEI!$G$56/HSCEI!$B$3,""))</f>
        <v/>
      </c>
      <c r="EN206" s="85">
        <f>IF(BZ206="","",IFERROR(BZ206*HSCEI!$B$56*HSCEI!$G$56/HSCEI!$B$3,""))</f>
        <v/>
      </c>
      <c r="EO206" s="85">
        <f>IF(CA206="","",IFERROR(CA206*HSCEI!$B$56*HSCEI!$G$56/HSCEI!$B$3,""))</f>
        <v/>
      </c>
      <c r="EP206" s="85">
        <f>IF(CB206="","",IFERROR(CB206*HSCEI!$B$56*HSCEI!$G$56/HSCEI!$B$3,""))</f>
        <v/>
      </c>
      <c r="EQ206" s="85">
        <f>IF(CC206="","",IFERROR(CC206*HSCEI!$B$56*HSCEI!$G$56/HSCEI!$B$3,""))</f>
        <v/>
      </c>
      <c r="ER206" s="85">
        <f>IF(CD206="","",IFERROR(CD206*HSCEI!$B$56*HSCEI!$G$56/HSCEI!$B$3,""))</f>
        <v/>
      </c>
      <c r="ES206" s="85">
        <f>IF(CE206="","",IFERROR(CE206*HSCEI!$B$56*HSCEI!$G$56/HSCEI!$B$3,""))</f>
        <v/>
      </c>
      <c r="ET206" s="85">
        <f>IF(CF206="","",IFERROR(CF206*HSCEI!$B$56*HSCEI!$G$56/HSCEI!$B$3,""))</f>
        <v/>
      </c>
      <c r="EU206" s="85">
        <f>IF(CG206="","",IFERROR(CG206*HSCEI!$B$56*HSCEI!$G$56/HSCEI!$B$3,""))</f>
        <v/>
      </c>
      <c r="EV206" s="85">
        <f>IF(CH206="","",IFERROR(CH206*HSCEI!$B$56*HSCEI!$G$56/HSCEI!$B$3,""))</f>
        <v/>
      </c>
      <c r="EW206" s="85">
        <f>IF(CI206="","",IFERROR(CI206*HSCEI!$B$56*HSCEI!$G$56/HSCEI!$B$3,""))</f>
        <v/>
      </c>
      <c r="EX206" s="85">
        <f>IF(CJ206="","",IFERROR(CJ206*HSCEI!$B$56*HSCEI!$G$56/HSCEI!$B$3,""))</f>
        <v/>
      </c>
      <c r="EY206" s="85">
        <f>IF(CK206="","",IFERROR(CK206*HSCEI!$B$56*HSCEI!$G$56/HSCEI!$B$3,""))</f>
        <v/>
      </c>
      <c r="EZ206" s="85">
        <f>IF(CL206="","",IFERROR(CL206*HSCEI!$B$56*HSCEI!$G$56/HSCEI!$B$3,""))</f>
        <v/>
      </c>
      <c r="FA206" s="85">
        <f>IF(CM206="","",IFERROR(CM206*HSCEI!$B$56*HSCEI!$G$56/HSCEI!$B$3,""))</f>
        <v/>
      </c>
      <c r="FB206" s="85">
        <f>IF(CN206="","",IFERROR(CN206*HSCEI!$B$56*HSCEI!$G$56/HSCEI!$B$3,""))</f>
        <v/>
      </c>
      <c r="FC206" s="85">
        <f>IF(CO206="","",IFERROR(CO206*HSCEI!$B$56*HSCEI!$G$56/HSCEI!$B$3,""))</f>
        <v/>
      </c>
      <c r="FD206" s="85">
        <f>IF(CP206="","",IFERROR(CP206*HSCEI!$B$56*HSCEI!$G$56/HSCEI!$B$3,""))</f>
        <v/>
      </c>
      <c r="FE206" s="85">
        <f>IF(CQ206="","",IFERROR(CQ206*HSCEI!$B$56*HSCEI!$G$56/HSCEI!$B$3,""))</f>
        <v/>
      </c>
      <c r="FF206" s="85">
        <f>IF(CR206="","",IFERROR(CR206*HSCEI!$B$56*HSCEI!$G$56/HSCEI!$B$3,""))</f>
        <v/>
      </c>
      <c r="FG206" s="85">
        <f>IF(CS206="","",IFERROR(CS206*HSCEI!$B$56*HSCEI!$G$56/HSCEI!$B$3,""))</f>
        <v/>
      </c>
      <c r="FH206" s="85">
        <f>IF(CT206="","",IFERROR(CT206*HSCEI!$B$56*HSCEI!$G$56/HSCEI!$B$3,""))</f>
        <v/>
      </c>
      <c r="FI206" s="85">
        <f>IF(CU206="","",IFERROR(CU206*HSCEI!$B$56*HSCEI!$G$56/HSCEI!$B$3,""))</f>
        <v/>
      </c>
      <c r="FJ206" s="85">
        <f>IF(CV206="","",IFERROR(CV206*HSCEI!$B$56*HSCEI!$G$56/HSCEI!$B$3,""))</f>
        <v/>
      </c>
      <c r="FK206" s="85">
        <f>IF(CW206="","",IFERROR(CW206*HSCEI!$B$56*HSCEI!$G$56/HSCEI!$B$3,""))</f>
        <v/>
      </c>
      <c r="FL206" s="85">
        <f>IF(CX206="","",IFERROR(CX206*HSCEI!$B$56*HSCEI!$G$56/HSCEI!$B$3,""))</f>
        <v/>
      </c>
      <c r="FM206" s="85">
        <f>IF(CY206="","",IFERROR(CY206*HSCEI!$B$56*HSCEI!$G$56/HSCEI!$B$3,""))</f>
        <v/>
      </c>
      <c r="FN206" s="85">
        <f>IF(CZ206="","",IFERROR(CZ206*HSCEI!$B$56*HSCEI!$G$56/HSCEI!$B$3,""))</f>
        <v/>
      </c>
      <c r="FO206" s="85">
        <f>IF(DA206="","",IFERROR(DA206*HSCEI!$B$56*HSCEI!$G$56/HSCEI!$B$3,""))</f>
        <v/>
      </c>
      <c r="FP206" s="85">
        <f>IF(DB206="","",IFERROR(DB206*HSCEI!$B$56*HSCEI!$G$56/HSCEI!$B$3,""))</f>
        <v/>
      </c>
      <c r="FQ206" s="85">
        <f>IF(DC206="","",IFERROR(DC206*HSCEI!$B$56*HSCEI!$G$56/HSCEI!$B$3,""))</f>
        <v/>
      </c>
      <c r="FR206" s="85">
        <f>IF(DD206="","",IFERROR(DD206*HSCEI!$B$56*HSCEI!$G$56/HSCEI!$B$3,""))</f>
        <v/>
      </c>
      <c r="FS206" s="85">
        <f>IF(DE206="","",IFERROR(DE206*HSCEI!$B$56*HSCEI!$G$56/HSCEI!$B$3,""))</f>
        <v/>
      </c>
      <c r="FT206" s="85">
        <f>IF(DF206="","",IFERROR(DF206*HSCEI!$B$56*HSCEI!$G$56/HSCEI!$B$3,""))</f>
        <v/>
      </c>
      <c r="FU206" s="85">
        <f>IF(DG206="","",IFERROR(DG206*HSCEI!$B$56*HSCEI!$G$56/HSCEI!$B$3,""))</f>
        <v/>
      </c>
      <c r="FV206" s="85">
        <f>IF(DH206="","",IFERROR(DH206*HSCEI!$B$56*HSCEI!$G$56/HSCEI!$B$3,""))</f>
        <v/>
      </c>
      <c r="FW206" s="85">
        <f>IF(DI206="","",IFERROR(DI206*HSCEI!$B$56*HSCEI!$G$56/HSCEI!$B$3,""))</f>
        <v/>
      </c>
      <c r="FX206" s="85">
        <f>IF(DJ206="","",IFERROR(DJ206*HSCEI!$B$56*HSCEI!$G$56/HSCEI!$B$3,""))</f>
        <v/>
      </c>
      <c r="FY206" s="85">
        <f>IF(DK206="","",IFERROR(DK206*HSCEI!$B$56*HSCEI!$G$56/HSCEI!$B$3,""))</f>
        <v/>
      </c>
      <c r="FZ206" s="85">
        <f>IF(DL206="","",IFERROR(DL206*HSCEI!$B$56*HSCEI!$G$56/HSCEI!$B$3,""))</f>
        <v/>
      </c>
      <c r="GA206" s="85">
        <f>IF(DM206="","",IFERROR(DM206*HSCEI!$B$56*HSCEI!$G$56/HSCEI!$B$3,""))</f>
        <v/>
      </c>
      <c r="GB206" s="85">
        <f>IF(DN206="","",IFERROR(DN206*HSCEI!$B$56*HSCEI!$G$56/HSCEI!$B$3,""))</f>
        <v/>
      </c>
      <c r="GC206" s="85">
        <f>IF(DO206="","",IFERROR(DO206*HSCEI!$B$56*HSCEI!$G$56/HSCEI!$B$3,""))</f>
        <v/>
      </c>
      <c r="GD206" s="85">
        <f>IF(DP206="","",IFERROR(DP206*HSCEI!$B$56*HSCEI!$G$56/HSCEI!$B$3,""))</f>
        <v/>
      </c>
      <c r="GE206" s="85">
        <f>IF(DQ206="","",IFERROR(DQ206*HSCEI!$B$56*HSCEI!$G$56/HSCEI!$B$3,""))</f>
        <v/>
      </c>
      <c r="GF206" s="85">
        <f>IF(DR206="","",IFERROR(DR206*HSCEI!$B$56*HSCEI!$G$56/HSCEI!$B$3,""))</f>
        <v/>
      </c>
      <c r="GG206" s="85">
        <f>IF(DS206="","",IFERROR(DS206*HSCEI!$B$56*HSCEI!$G$56/HSCEI!$B$3,""))</f>
        <v/>
      </c>
      <c r="GH206" s="85">
        <f>IF(DT206="","",IFERROR(DT206*HSCEI!$B$56*HSCEI!$G$56/HSCEI!$B$3,""))</f>
        <v/>
      </c>
      <c r="GI206" s="85">
        <f>IF(DU206="","",IFERROR(DU206*HSCEI!$B$56*HSCEI!$G$56/HSCEI!$B$3,""))</f>
        <v/>
      </c>
      <c r="GJ206" s="85">
        <f>IF(DV206="","",IFERROR(DV206*HSCEI!$B$56*HSCEI!$G$56/HSCEI!$B$3,""))</f>
        <v/>
      </c>
      <c r="GK206" s="85">
        <f>IF(DW206="","",IFERROR(DW206*HSCEI!$B$56*HSCEI!$G$56/HSCEI!$B$3,""))</f>
        <v/>
      </c>
      <c r="GL206" s="85">
        <f>IF(DX206="","",IFERROR(DX206*HSCEI!$B$56*HSCEI!$G$56/HSCEI!$B$3,""))</f>
        <v/>
      </c>
      <c r="GM206" s="85">
        <f>IF(DY206="","",IFERROR(DY206*HSCEI!$B$56*HSCEI!$G$56/HSCEI!$B$3,""))</f>
        <v/>
      </c>
      <c r="GN206" s="85">
        <f>IF(DZ206="","",IFERROR(DZ206*HSCEI!$B$56*HSCEI!$G$56/HSCEI!$B$3,""))</f>
        <v/>
      </c>
      <c r="GO206" s="85">
        <f>IF(EA206="","",IFERROR(EA206*HSCEI!$B$56*HSCEI!$G$56/HSCEI!$B$3,""))</f>
        <v/>
      </c>
      <c r="GP206" s="85">
        <f>IF(EB206="","",IFERROR(EB206*HSCEI!$B$56*HSCEI!$G$56/HSCEI!$B$3,""))</f>
        <v/>
      </c>
      <c r="GQ206" s="85">
        <f>IF(EC206="","",IFERROR(EC206*HSCEI!$B$56*HSCEI!$G$56/HSCEI!$B$3,""))</f>
        <v/>
      </c>
    </row>
    <row r="207">
      <c r="B207" s="2">
        <f>IF(HSCEI!$C$57="","",HSCEI!$C$57)</f>
        <v/>
      </c>
      <c r="C207" s="41">
        <f>IF(N('Dvd Calendar'!$E$2870)=0,"",IF(('Dvd Calendar'!$E$2870&gt;=MIN(DATE(Summary!$C$12,1,1),Summary!$C$11))*('Dvd Calendar'!$E$2870&lt;=MAX(DATE(Summary!$C$12,12,31),Summary!$C$15))*('Dvd Calendar'!$E$2870&lt;=Summary!$C$11)=0,"",'Dvd Calendar'!$E$2870*1000000000+ISNUMBER('Dvd Calendar'!$E$2871)*100000000+('Dvd Calendar'!$E$2875='Field Check'!$C$25)*10000000+(N('Dvd Calendar'!$E$2869)&gt;0)*1000000+51*1000+1))</f>
        <v/>
      </c>
      <c r="D207" s="41">
        <f>IF(N('Dvd Calendar'!$F$2870)=0,"",IF(('Dvd Calendar'!$F$2870&gt;=MIN(DATE(Summary!$C$12,1,1),Summary!$C$11))*('Dvd Calendar'!$F$2870&lt;=MAX(DATE(Summary!$C$12,12,31),Summary!$C$15))*('Dvd Calendar'!$F$2870&lt;=Summary!$C$11)=0,"",'Dvd Calendar'!$F$2870*1000000000+ISNUMBER('Dvd Calendar'!$F$2871)*100000000+('Dvd Calendar'!$F$2875='Field Check'!$C$25)*10000000+(N('Dvd Calendar'!$F$2869)&gt;0)*1000000+51*1000+2))</f>
        <v/>
      </c>
      <c r="E207" s="41">
        <f>IF(N('Dvd Calendar'!$G$2870)=0,"",IF(('Dvd Calendar'!$G$2870&gt;=MIN(DATE(Summary!$C$12,1,1),Summary!$C$11))*('Dvd Calendar'!$G$2870&lt;=MAX(DATE(Summary!$C$12,12,31),Summary!$C$15))*('Dvd Calendar'!$G$2870&lt;=Summary!$C$11)=0,"",'Dvd Calendar'!$G$2870*1000000000+ISNUMBER('Dvd Calendar'!$G$2871)*100000000+('Dvd Calendar'!$G$2875='Field Check'!$C$25)*10000000+(N('Dvd Calendar'!$G$2869)&gt;0)*1000000+51*1000+3))</f>
        <v/>
      </c>
      <c r="F207" s="41">
        <f>IF(N('Dvd Calendar'!$H$2870)=0,"",IF(('Dvd Calendar'!$H$2870&gt;=MIN(DATE(Summary!$C$12,1,1),Summary!$C$11))*('Dvd Calendar'!$H$2870&lt;=MAX(DATE(Summary!$C$12,12,31),Summary!$C$15))*('Dvd Calendar'!$H$2870&lt;=Summary!$C$11)=0,"",'Dvd Calendar'!$H$2870*1000000000+ISNUMBER('Dvd Calendar'!$H$2871)*100000000+('Dvd Calendar'!$H$2875='Field Check'!$C$25)*10000000+(N('Dvd Calendar'!$H$2869)&gt;0)*1000000+51*1000+4))</f>
        <v/>
      </c>
      <c r="G207" s="41">
        <f>IF(N('Dvd Calendar'!$I$2870)=0,"",IF(('Dvd Calendar'!$I$2870&gt;=MIN(DATE(Summary!$C$12,1,1),Summary!$C$11))*('Dvd Calendar'!$I$2870&lt;=MAX(DATE(Summary!$C$12,12,31),Summary!$C$15))*('Dvd Calendar'!$I$2870&lt;=Summary!$C$11)=0,"",'Dvd Calendar'!$I$2870*1000000000+ISNUMBER('Dvd Calendar'!$I$2871)*100000000+('Dvd Calendar'!$I$2875='Field Check'!$C$25)*10000000+(N('Dvd Calendar'!$I$2869)&gt;0)*1000000+51*1000+5))</f>
        <v/>
      </c>
      <c r="H207" s="41">
        <f>IF(N('Dvd Calendar'!$J$2870)=0,"",IF(('Dvd Calendar'!$J$2870&gt;=MIN(DATE(Summary!$C$12,1,1),Summary!$C$11))*('Dvd Calendar'!$J$2870&lt;=MAX(DATE(Summary!$C$12,12,31),Summary!$C$15))*('Dvd Calendar'!$J$2870&lt;=Summary!$C$11)=0,"",'Dvd Calendar'!$J$2870*1000000000+ISNUMBER('Dvd Calendar'!$J$2871)*100000000+('Dvd Calendar'!$J$2875='Field Check'!$C$25)*10000000+(N('Dvd Calendar'!$J$2869)&gt;0)*1000000+51*1000+6))</f>
        <v/>
      </c>
      <c r="I207" s="41">
        <f>IF(N('Dvd Calendar'!$K$2870)=0,"",IF(('Dvd Calendar'!$K$2870&gt;=MIN(DATE(Summary!$C$12,1,1),Summary!$C$11))*('Dvd Calendar'!$K$2870&lt;=MAX(DATE(Summary!$C$12,12,31),Summary!$C$15))*('Dvd Calendar'!$K$2870&lt;=Summary!$C$11)=0,"",'Dvd Calendar'!$K$2870*1000000000+ISNUMBER('Dvd Calendar'!$K$2871)*100000000+('Dvd Calendar'!$K$2875='Field Check'!$C$25)*10000000+(N('Dvd Calendar'!$K$2869)&gt;0)*1000000+51*1000+7))</f>
        <v/>
      </c>
      <c r="J207" s="41">
        <f>IF(N('Dvd Calendar'!$L$2870)=0,"",IF(('Dvd Calendar'!$L$2870&gt;=MIN(DATE(Summary!$C$12,1,1),Summary!$C$11))*('Dvd Calendar'!$L$2870&lt;=MAX(DATE(Summary!$C$12,12,31),Summary!$C$15))*('Dvd Calendar'!$L$2870&lt;=Summary!$C$11)=0,"",'Dvd Calendar'!$L$2870*1000000000+ISNUMBER('Dvd Calendar'!$L$2871)*100000000+('Dvd Calendar'!$L$2875='Field Check'!$C$25)*10000000+(N('Dvd Calendar'!$L$2869)&gt;0)*1000000+51*1000+8))</f>
        <v/>
      </c>
      <c r="K207" s="41">
        <f>IF(N('Dvd Calendar'!$M$2870)=0,"",IF(('Dvd Calendar'!$M$2870&gt;=MIN(DATE(Summary!$C$12,1,1),Summary!$C$11))*('Dvd Calendar'!$M$2870&lt;=MAX(DATE(Summary!$C$12,12,31),Summary!$C$15))*('Dvd Calendar'!$M$2870&lt;=Summary!$C$11)=0,"",'Dvd Calendar'!$M$2870*1000000000+ISNUMBER('Dvd Calendar'!$M$2871)*100000000+('Dvd Calendar'!$M$2875='Field Check'!$C$25)*10000000+(N('Dvd Calendar'!$M$2869)&gt;0)*1000000+51*1000+9))</f>
        <v/>
      </c>
      <c r="L207" s="41">
        <f>IF(N('Dvd Calendar'!$N$2870)=0,"",IF(('Dvd Calendar'!$N$2870&gt;=MIN(DATE(Summary!$C$12,1,1),Summary!$C$11))*('Dvd Calendar'!$N$2870&lt;=MAX(DATE(Summary!$C$12,12,31),Summary!$C$15))*('Dvd Calendar'!$N$2870&lt;=Summary!$C$11)=0,"",'Dvd Calendar'!$N$2870*1000000000+ISNUMBER('Dvd Calendar'!$N$2871)*100000000+('Dvd Calendar'!$N$2875='Field Check'!$C$25)*10000000+(N('Dvd Calendar'!$N$2869)&gt;0)*1000000+51*1000+10))</f>
        <v/>
      </c>
      <c r="M207" s="41">
        <f>IF(N('Dvd Calendar'!$O$2870)=0,"",IF(('Dvd Calendar'!$O$2870&gt;=MIN(DATE(Summary!$C$12,1,1),Summary!$C$11))*('Dvd Calendar'!$O$2870&lt;=MAX(DATE(Summary!$C$12,12,31),Summary!$C$15))*('Dvd Calendar'!$O$2870&lt;=Summary!$C$11)=0,"",'Dvd Calendar'!$O$2870*1000000000+ISNUMBER('Dvd Calendar'!$O$2871)*100000000+('Dvd Calendar'!$O$2875='Field Check'!$C$25)*10000000+(N('Dvd Calendar'!$O$2869)&gt;0)*1000000+51*1000+11))</f>
        <v/>
      </c>
      <c r="N207" s="41">
        <f>IF(N('Dvd Calendar'!$P$2870)=0,"",IF(('Dvd Calendar'!$P$2870&gt;=MIN(DATE(Summary!$C$12,1,1),Summary!$C$11))*('Dvd Calendar'!$P$2870&lt;=MAX(DATE(Summary!$C$12,12,31),Summary!$C$15))*('Dvd Calendar'!$P$2870&lt;=Summary!$C$11)=0,"",'Dvd Calendar'!$P$2870*1000000000+ISNUMBER('Dvd Calendar'!$P$2871)*100000000+('Dvd Calendar'!$P$2875='Field Check'!$C$25)*10000000+(N('Dvd Calendar'!$P$2869)&gt;0)*1000000+51*1000+12))</f>
        <v/>
      </c>
      <c r="O207" s="41">
        <f>IF(N('Dvd Calendar'!$Q$2870)=0,"",IF(('Dvd Calendar'!$Q$2870&gt;=MIN(DATE(Summary!$C$12,1,1),Summary!$C$11))*('Dvd Calendar'!$Q$2870&lt;=MAX(DATE(Summary!$C$12,12,31),Summary!$C$15))*('Dvd Calendar'!$Q$2870&lt;=Summary!$C$11)=0,"",'Dvd Calendar'!$Q$2870*1000000000+ISNUMBER('Dvd Calendar'!$Q$2871)*100000000+('Dvd Calendar'!$Q$2875='Field Check'!$C$25)*10000000+(N('Dvd Calendar'!$Q$2869)&gt;0)*1000000+51*1000+13))</f>
        <v/>
      </c>
      <c r="P207" s="41">
        <f>IF(N('Dvd Calendar'!$R$2870)=0,"",IF(('Dvd Calendar'!$R$2870&gt;=MIN(DATE(Summary!$C$12,1,1),Summary!$C$11))*('Dvd Calendar'!$R$2870&lt;=MAX(DATE(Summary!$C$12,12,31),Summary!$C$15))*('Dvd Calendar'!$R$2870&lt;=Summary!$C$11)=0,"",'Dvd Calendar'!$R$2870*1000000000+ISNUMBER('Dvd Calendar'!$R$2871)*100000000+('Dvd Calendar'!$R$2875='Field Check'!$C$25)*10000000+(N('Dvd Calendar'!$R$2869)&gt;0)*1000000+51*1000+14))</f>
        <v/>
      </c>
      <c r="Q207" s="41">
        <f>IF(N('Dvd Calendar'!$S$2870)=0,"",IF(('Dvd Calendar'!$S$2870&gt;=MIN(DATE(Summary!$C$12,1,1),Summary!$C$11))*('Dvd Calendar'!$S$2870&lt;=MAX(DATE(Summary!$C$12,12,31),Summary!$C$15))*('Dvd Calendar'!$S$2870&lt;=Summary!$C$11)=0,"",'Dvd Calendar'!$S$2870*1000000000+ISNUMBER('Dvd Calendar'!$S$2871)*100000000+('Dvd Calendar'!$S$2875='Field Check'!$C$25)*10000000+(N('Dvd Calendar'!$S$2869)&gt;0)*1000000+51*1000+15))</f>
        <v/>
      </c>
      <c r="R207" s="41">
        <f>IF(N('Dvd Calendar'!$T$2870)=0,"",IF(('Dvd Calendar'!$T$2870&gt;=MIN(DATE(Summary!$C$12,1,1),Summary!$C$11))*('Dvd Calendar'!$T$2870&lt;=MAX(DATE(Summary!$C$12,12,31),Summary!$C$15))*('Dvd Calendar'!$T$2870&lt;=Summary!$C$11)=0,"",'Dvd Calendar'!$T$2870*1000000000+ISNUMBER('Dvd Calendar'!$T$2871)*100000000+('Dvd Calendar'!$T$2875='Field Check'!$C$25)*10000000+(N('Dvd Calendar'!$T$2869)&gt;0)*1000000+51*1000+16))</f>
        <v/>
      </c>
      <c r="S207" s="41">
        <f>IF(N('Dvd Calendar'!$U$2870)=0,"",IF(('Dvd Calendar'!$U$2870&gt;=MIN(DATE(Summary!$C$12,1,1),Summary!$C$11))*('Dvd Calendar'!$U$2870&lt;=MAX(DATE(Summary!$C$12,12,31),Summary!$C$15))*('Dvd Calendar'!$U$2870&lt;=Summary!$C$11)=0,"",'Dvd Calendar'!$U$2870*1000000000+ISNUMBER('Dvd Calendar'!$U$2871)*100000000+('Dvd Calendar'!$U$2875='Field Check'!$C$25)*10000000+(N('Dvd Calendar'!$U$2869)&gt;0)*1000000+51*1000+17))</f>
        <v/>
      </c>
      <c r="T207" s="41">
        <f>IF(N('Dvd Calendar'!$V$2870)=0,"",IF(('Dvd Calendar'!$V$2870&gt;=MIN(DATE(Summary!$C$12,1,1),Summary!$C$11))*('Dvd Calendar'!$V$2870&lt;=MAX(DATE(Summary!$C$12,12,31),Summary!$C$15))*('Dvd Calendar'!$V$2870&lt;=Summary!$C$11)=0,"",'Dvd Calendar'!$V$2870*1000000000+ISNUMBER('Dvd Calendar'!$V$2871)*100000000+('Dvd Calendar'!$V$2875='Field Check'!$C$25)*10000000+(N('Dvd Calendar'!$V$2869)&gt;0)*1000000+51*1000+18))</f>
        <v/>
      </c>
      <c r="U207" s="41">
        <f>IF(N('Dvd Calendar'!$W$2870)=0,"",IF(('Dvd Calendar'!$W$2870&gt;=MIN(DATE(Summary!$C$12,1,1),Summary!$C$11))*('Dvd Calendar'!$W$2870&lt;=MAX(DATE(Summary!$C$12,12,31),Summary!$C$15))*('Dvd Calendar'!$W$2870&lt;=Summary!$C$11)=0,"",'Dvd Calendar'!$W$2870*1000000000+ISNUMBER('Dvd Calendar'!$W$2871)*100000000+('Dvd Calendar'!$W$2875='Field Check'!$C$25)*10000000+(N('Dvd Calendar'!$W$2869)&gt;0)*1000000+51*1000+19))</f>
        <v/>
      </c>
      <c r="V207" s="41">
        <f>IF(N('Dvd Calendar'!$X$2870)=0,"",IF(('Dvd Calendar'!$X$2870&gt;=MIN(DATE(Summary!$C$12,1,1),Summary!$C$11))*('Dvd Calendar'!$X$2870&lt;=MAX(DATE(Summary!$C$12,12,31),Summary!$C$15))*('Dvd Calendar'!$X$2870&lt;=Summary!$C$11)=0,"",'Dvd Calendar'!$X$2870*1000000000+ISNUMBER('Dvd Calendar'!$X$2871)*100000000+('Dvd Calendar'!$X$2875='Field Check'!$C$25)*10000000+(N('Dvd Calendar'!$X$2869)&gt;0)*1000000+51*1000+20))</f>
        <v/>
      </c>
      <c r="W207" s="41">
        <f>IF(N('Dvd Calendar'!$Y$2870)=0,"",IF(('Dvd Calendar'!$Y$2870&gt;=MIN(DATE(Summary!$C$12,1,1),Summary!$C$11))*('Dvd Calendar'!$Y$2870&lt;=MAX(DATE(Summary!$C$12,12,31),Summary!$C$15))*('Dvd Calendar'!$Y$2870&lt;=Summary!$C$11)=0,"",'Dvd Calendar'!$Y$2870*1000000000+ISNUMBER('Dvd Calendar'!$Y$2871)*100000000+('Dvd Calendar'!$Y$2875='Field Check'!$C$25)*10000000+(N('Dvd Calendar'!$Y$2869)&gt;0)*1000000+51*1000+21))</f>
        <v/>
      </c>
      <c r="X207" s="41">
        <f>IF(N('Dvd Calendar'!$Z$2870)=0,"",IF(('Dvd Calendar'!$Z$2870&gt;=MIN(DATE(Summary!$C$12,1,1),Summary!$C$11))*('Dvd Calendar'!$Z$2870&lt;=MAX(DATE(Summary!$C$12,12,31),Summary!$C$15))*('Dvd Calendar'!$Z$2870&lt;=Summary!$C$11)=0,"",'Dvd Calendar'!$Z$2870*1000000000+ISNUMBER('Dvd Calendar'!$Z$2871)*100000000+('Dvd Calendar'!$Z$2875='Field Check'!$C$25)*10000000+(N('Dvd Calendar'!$Z$2869)&gt;0)*1000000+51*1000+22))</f>
        <v/>
      </c>
      <c r="Y207" s="41">
        <f>IF(N('Dvd Calendar'!$AA$2870)=0,"",IF(('Dvd Calendar'!$AA$2870&gt;=MIN(DATE(Summary!$C$12,1,1),Summary!$C$11))*('Dvd Calendar'!$AA$2870&lt;=MAX(DATE(Summary!$C$12,12,31),Summary!$C$15))*('Dvd Calendar'!$AA$2870&lt;=Summary!$C$11)=0,"",'Dvd Calendar'!$AA$2870*1000000000+ISNUMBER('Dvd Calendar'!$AA$2871)*100000000+('Dvd Calendar'!$AA$2875='Field Check'!$C$25)*10000000+(N('Dvd Calendar'!$AA$2869)&gt;0)*1000000+51*1000+23))</f>
        <v/>
      </c>
      <c r="Z207" s="41">
        <f>IF(N('Dvd Calendar'!$AB$2870)=0,"",IF(('Dvd Calendar'!$AB$2870&gt;=MIN(DATE(Summary!$C$12,1,1),Summary!$C$11))*('Dvd Calendar'!$AB$2870&lt;=MAX(DATE(Summary!$C$12,12,31),Summary!$C$15))*('Dvd Calendar'!$AB$2870&lt;=Summary!$C$11)=0,"",'Dvd Calendar'!$AB$2870*1000000000+ISNUMBER('Dvd Calendar'!$AB$2871)*100000000+('Dvd Calendar'!$AB$2875='Field Check'!$C$25)*10000000+(N('Dvd Calendar'!$AB$2869)&gt;0)*1000000+51*1000+24))</f>
        <v/>
      </c>
      <c r="AA207" s="41">
        <f>IF(N('Dvd Calendar'!$AC$2870)=0,"",IF(('Dvd Calendar'!$AC$2870&gt;=MIN(DATE(Summary!$C$12,1,1),Summary!$C$11))*('Dvd Calendar'!$AC$2870&lt;=MAX(DATE(Summary!$C$12,12,31),Summary!$C$15))*('Dvd Calendar'!$AC$2870&lt;=Summary!$C$11)=0,"",'Dvd Calendar'!$AC$2870*1000000000+ISNUMBER('Dvd Calendar'!$AC$2871)*100000000+('Dvd Calendar'!$AC$2875='Field Check'!$C$25)*10000000+(N('Dvd Calendar'!$AC$2869)&gt;0)*1000000+51*1000+25))</f>
        <v/>
      </c>
      <c r="AB207" s="41">
        <f>IF(N('Dvd Calendar'!$AD$2870)=0,"",IF(('Dvd Calendar'!$AD$2870&gt;=MIN(DATE(Summary!$C$12,1,1),Summary!$C$11))*('Dvd Calendar'!$AD$2870&lt;=MAX(DATE(Summary!$C$12,12,31),Summary!$C$15))*('Dvd Calendar'!$AD$2870&lt;=Summary!$C$11)=0,"",'Dvd Calendar'!$AD$2870*1000000000+ISNUMBER('Dvd Calendar'!$AD$2871)*100000000+('Dvd Calendar'!$AD$2875='Field Check'!$C$25)*10000000+(N('Dvd Calendar'!$AD$2869)&gt;0)*1000000+51*1000+26))</f>
        <v/>
      </c>
      <c r="AC207" s="41">
        <f>IF(N('Dvd Calendar'!$AE$2870)=0,"",IF(('Dvd Calendar'!$AE$2870&gt;=MIN(DATE(Summary!$C$12,1,1),Summary!$C$11))*('Dvd Calendar'!$AE$2870&lt;=MAX(DATE(Summary!$C$12,12,31),Summary!$C$15))*('Dvd Calendar'!$AE$2870&lt;=Summary!$C$11)=0,"",'Dvd Calendar'!$AE$2870*1000000000+ISNUMBER('Dvd Calendar'!$AE$2871)*100000000+('Dvd Calendar'!$AE$2875='Field Check'!$C$25)*10000000+(N('Dvd Calendar'!$AE$2869)&gt;0)*1000000+51*1000+27))</f>
        <v/>
      </c>
      <c r="AD207" s="41">
        <f>IF(N('Dvd Calendar'!$AF$2870)=0,"",IF(('Dvd Calendar'!$AF$2870&gt;=MIN(DATE(Summary!$C$12,1,1),Summary!$C$11))*('Dvd Calendar'!$AF$2870&lt;=MAX(DATE(Summary!$C$12,12,31),Summary!$C$15))*('Dvd Calendar'!$AF$2870&lt;=Summary!$C$11)=0,"",'Dvd Calendar'!$AF$2870*1000000000+ISNUMBER('Dvd Calendar'!$AF$2871)*100000000+('Dvd Calendar'!$AF$2875='Field Check'!$C$25)*10000000+(N('Dvd Calendar'!$AF$2869)&gt;0)*1000000+51*1000+28))</f>
        <v/>
      </c>
      <c r="AE207" s="41">
        <f>IF(N('Dvd Calendar'!$AG$2870)=0,"",IF(('Dvd Calendar'!$AG$2870&gt;=MIN(DATE(Summary!$C$12,1,1),Summary!$C$11))*('Dvd Calendar'!$AG$2870&lt;=MAX(DATE(Summary!$C$12,12,31),Summary!$C$15))*('Dvd Calendar'!$AG$2870&lt;=Summary!$C$11)=0,"",'Dvd Calendar'!$AG$2870*1000000000+ISNUMBER('Dvd Calendar'!$AG$2871)*100000000+('Dvd Calendar'!$AG$2875='Field Check'!$C$25)*10000000+(N('Dvd Calendar'!$AG$2869)&gt;0)*1000000+51*1000+29))</f>
        <v/>
      </c>
      <c r="AF207" s="41">
        <f>IF(N('Dvd Calendar'!$AH$2870)=0,"",IF(('Dvd Calendar'!$AH$2870&gt;=MIN(DATE(Summary!$C$12,1,1),Summary!$C$11))*('Dvd Calendar'!$AH$2870&lt;=MAX(DATE(Summary!$C$12,12,31),Summary!$C$15))*('Dvd Calendar'!$AH$2870&lt;=Summary!$C$11)=0,"",'Dvd Calendar'!$AH$2870*1000000000+ISNUMBER('Dvd Calendar'!$AH$2871)*100000000+('Dvd Calendar'!$AH$2875='Field Check'!$C$25)*10000000+(N('Dvd Calendar'!$AH$2869)&gt;0)*1000000+51*1000+30))</f>
        <v/>
      </c>
      <c r="AG207" s="41">
        <f>IF(N('Dvd Calendar'!$AI$2870)=0,"",IF(('Dvd Calendar'!$AI$2870&gt;=MIN(DATE(Summary!$C$12,1,1),Summary!$C$11))*('Dvd Calendar'!$AI$2870&lt;=MAX(DATE(Summary!$C$12,12,31),Summary!$C$15))*('Dvd Calendar'!$AI$2870&lt;=Summary!$C$11)=0,"",'Dvd Calendar'!$AI$2870*1000000000+ISNUMBER('Dvd Calendar'!$AI$2871)*100000000+('Dvd Calendar'!$AI$2875='Field Check'!$C$25)*10000000+(N('Dvd Calendar'!$AI$2869)&gt;0)*1000000+51*1000+31))</f>
        <v/>
      </c>
      <c r="AH207" s="41">
        <f>IF(N('Dvd Calendar'!$AJ$2870)=0,"",IF(('Dvd Calendar'!$AJ$2870&gt;=MIN(DATE(Summary!$C$12,1,1),Summary!$C$11))*('Dvd Calendar'!$AJ$2870&lt;=MAX(DATE(Summary!$C$12,12,31),Summary!$C$15))*('Dvd Calendar'!$AJ$2870&lt;=Summary!$C$11)=0,"",'Dvd Calendar'!$AJ$2870*1000000000+ISNUMBER('Dvd Calendar'!$AJ$2871)*100000000+('Dvd Calendar'!$AJ$2875='Field Check'!$C$25)*10000000+(N('Dvd Calendar'!$AJ$2869)&gt;0)*1000000+51*1000+32))</f>
        <v/>
      </c>
      <c r="AI207" s="41">
        <f>IF(N('Dvd Calendar'!$AK$2870)=0,"",IF(('Dvd Calendar'!$AK$2870&gt;=MIN(DATE(Summary!$C$12,1,1),Summary!$C$11))*('Dvd Calendar'!$AK$2870&lt;=MAX(DATE(Summary!$C$12,12,31),Summary!$C$15))*('Dvd Calendar'!$AK$2870&lt;=Summary!$C$11)=0,"",'Dvd Calendar'!$AK$2870*1000000000+ISNUMBER('Dvd Calendar'!$AK$2871)*100000000+('Dvd Calendar'!$AK$2875='Field Check'!$C$25)*10000000+(N('Dvd Calendar'!$AK$2869)&gt;0)*1000000+51*1000+33))</f>
        <v/>
      </c>
      <c r="AJ207" s="41">
        <f>IF(N('Dvd Calendar'!$AL$2870)=0,"",IF(('Dvd Calendar'!$AL$2870&gt;=MIN(DATE(Summary!$C$12,1,1),Summary!$C$11))*('Dvd Calendar'!$AL$2870&lt;=MAX(DATE(Summary!$C$12,12,31),Summary!$C$15))*('Dvd Calendar'!$AL$2870&lt;=Summary!$C$11)=0,"",'Dvd Calendar'!$AL$2870*1000000000+ISNUMBER('Dvd Calendar'!$AL$2871)*100000000+('Dvd Calendar'!$AL$2875='Field Check'!$C$25)*10000000+(N('Dvd Calendar'!$AL$2869)&gt;0)*1000000+51*1000+34))</f>
        <v/>
      </c>
      <c r="AK207" s="41">
        <f>IF(N('Dvd Calendar'!$AM$2870)=0,"",IF(('Dvd Calendar'!$AM$2870&gt;=MIN(DATE(Summary!$C$12,1,1),Summary!$C$11))*('Dvd Calendar'!$AM$2870&lt;=MAX(DATE(Summary!$C$12,12,31),Summary!$C$15))*('Dvd Calendar'!$AM$2870&lt;=Summary!$C$11)=0,"",'Dvd Calendar'!$AM$2870*1000000000+ISNUMBER('Dvd Calendar'!$AM$2871)*100000000+('Dvd Calendar'!$AM$2875='Field Check'!$C$25)*10000000+(N('Dvd Calendar'!$AM$2869)&gt;0)*1000000+51*1000+35))</f>
        <v/>
      </c>
      <c r="AL207" s="41">
        <f>IF(N('Dvd Calendar'!$AN$2870)=0,"",IF(('Dvd Calendar'!$AN$2870&gt;=MIN(DATE(Summary!$C$12,1,1),Summary!$C$11))*('Dvd Calendar'!$AN$2870&lt;=MAX(DATE(Summary!$C$12,12,31),Summary!$C$15))*('Dvd Calendar'!$AN$2870&lt;=Summary!$C$11)=0,"",'Dvd Calendar'!$AN$2870*1000000000+ISNUMBER('Dvd Calendar'!$AN$2871)*100000000+('Dvd Calendar'!$AN$2875='Field Check'!$C$25)*10000000+(N('Dvd Calendar'!$AN$2869)&gt;0)*1000000+51*1000+36))</f>
        <v/>
      </c>
      <c r="AM207" s="41">
        <f>IF(N('Dvd Calendar'!$AO$2870)=0,"",IF(('Dvd Calendar'!$AO$2870&gt;=MIN(DATE(Summary!$C$12,1,1),Summary!$C$11))*('Dvd Calendar'!$AO$2870&lt;=MAX(DATE(Summary!$C$12,12,31),Summary!$C$15))*('Dvd Calendar'!$AO$2870&lt;=Summary!$C$11)=0,"",'Dvd Calendar'!$AO$2870*1000000000+ISNUMBER('Dvd Calendar'!$AO$2871)*100000000+('Dvd Calendar'!$AO$2875='Field Check'!$C$25)*10000000+(N('Dvd Calendar'!$AO$2869)&gt;0)*1000000+51*1000+37))</f>
        <v/>
      </c>
      <c r="AN207" s="41">
        <f>IF(N('Dvd Calendar'!$AP$2870)=0,"",IF(('Dvd Calendar'!$AP$2870&gt;=MIN(DATE(Summary!$C$12,1,1),Summary!$C$11))*('Dvd Calendar'!$AP$2870&lt;=MAX(DATE(Summary!$C$12,12,31),Summary!$C$15))*('Dvd Calendar'!$AP$2870&lt;=Summary!$C$11)=0,"",'Dvd Calendar'!$AP$2870*1000000000+ISNUMBER('Dvd Calendar'!$AP$2871)*100000000+('Dvd Calendar'!$AP$2875='Field Check'!$C$25)*10000000+(N('Dvd Calendar'!$AP$2869)&gt;0)*1000000+51*1000+38))</f>
        <v/>
      </c>
      <c r="AO207" s="41">
        <f>IF(N('Dvd Calendar'!$AQ$2870)=0,"",IF(('Dvd Calendar'!$AQ$2870&gt;=MIN(DATE(Summary!$C$12,1,1),Summary!$C$11))*('Dvd Calendar'!$AQ$2870&lt;=MAX(DATE(Summary!$C$12,12,31),Summary!$C$15))*('Dvd Calendar'!$AQ$2870&lt;=Summary!$C$11)=0,"",'Dvd Calendar'!$AQ$2870*1000000000+ISNUMBER('Dvd Calendar'!$AQ$2871)*100000000+('Dvd Calendar'!$AQ$2875='Field Check'!$C$25)*10000000+(N('Dvd Calendar'!$AQ$2869)&gt;0)*1000000+51*1000+39))</f>
        <v/>
      </c>
      <c r="AP207" s="41">
        <f>IF(N('Dvd Calendar'!$AR$2870)=0,"",IF(('Dvd Calendar'!$AR$2870&gt;=MIN(DATE(Summary!$C$12,1,1),Summary!$C$11))*('Dvd Calendar'!$AR$2870&lt;=MAX(DATE(Summary!$C$12,12,31),Summary!$C$15))*('Dvd Calendar'!$AR$2870&lt;=Summary!$C$11)=0,"",'Dvd Calendar'!$AR$2870*1000000000+ISNUMBER('Dvd Calendar'!$AR$2871)*100000000+('Dvd Calendar'!$AR$2875='Field Check'!$C$25)*10000000+(N('Dvd Calendar'!$AR$2869)&gt;0)*1000000+51*1000+40))</f>
        <v/>
      </c>
      <c r="AQ207" s="41">
        <f>IF(N('Dvd Calendar'!$E$2877)=0,"",IF(('Dvd Calendar'!$E$2877&gt;=MIN(DATE(Summary!$C$12,1,1),Summary!$C$11))*('Dvd Calendar'!$E$2877&lt;=MAX(DATE(Summary!$C$12,12,31),Summary!$C$15))*('Dvd Calendar'!$E$2877&gt;Summary!$C$11)=0,"",'Dvd Calendar'!$E$2877*1000000000+ISNUMBER('Dvd Calendar'!$E$2878)*100000000+('Dvd Calendar'!$E$2882='Field Check'!$C$25)*10000000+(N('Dvd Calendar'!$E$2876)&gt;0)*1000000+51*1000+41))</f>
        <v/>
      </c>
      <c r="AR207" s="41">
        <f>IF(N('Dvd Calendar'!$F$2877)=0,"",IF(('Dvd Calendar'!$F$2877&gt;=MIN(DATE(Summary!$C$12,1,1),Summary!$C$11))*('Dvd Calendar'!$F$2877&lt;=MAX(DATE(Summary!$C$12,12,31),Summary!$C$15))*('Dvd Calendar'!$F$2877&gt;Summary!$C$11)=0,"",'Dvd Calendar'!$F$2877*1000000000+ISNUMBER('Dvd Calendar'!$F$2878)*100000000+('Dvd Calendar'!$F$2882='Field Check'!$C$25)*10000000+(N('Dvd Calendar'!$F$2876)&gt;0)*1000000+51*1000+42))</f>
        <v/>
      </c>
      <c r="AS207" s="41">
        <f>IF(N('Dvd Calendar'!$G$2877)=0,"",IF(('Dvd Calendar'!$G$2877&gt;=MIN(DATE(Summary!$C$12,1,1),Summary!$C$11))*('Dvd Calendar'!$G$2877&lt;=MAX(DATE(Summary!$C$12,12,31),Summary!$C$15))*('Dvd Calendar'!$G$2877&gt;Summary!$C$11)=0,"",'Dvd Calendar'!$G$2877*1000000000+ISNUMBER('Dvd Calendar'!$G$2878)*100000000+('Dvd Calendar'!$G$2882='Field Check'!$C$25)*10000000+(N('Dvd Calendar'!$G$2876)&gt;0)*1000000+51*1000+43))</f>
        <v/>
      </c>
      <c r="AT207" s="41">
        <f>IF(N('Dvd Calendar'!$H$2877)=0,"",IF(('Dvd Calendar'!$H$2877&gt;=MIN(DATE(Summary!$C$12,1,1),Summary!$C$11))*('Dvd Calendar'!$H$2877&lt;=MAX(DATE(Summary!$C$12,12,31),Summary!$C$15))*('Dvd Calendar'!$H$2877&gt;Summary!$C$11)=0,"",'Dvd Calendar'!$H$2877*1000000000+ISNUMBER('Dvd Calendar'!$H$2878)*100000000+('Dvd Calendar'!$H$2882='Field Check'!$C$25)*10000000+(N('Dvd Calendar'!$H$2876)&gt;0)*1000000+51*1000+44))</f>
        <v/>
      </c>
      <c r="AU207" s="41">
        <f>IF(N('Dvd Calendar'!$I$2877)=0,"",IF(('Dvd Calendar'!$I$2877&gt;=MIN(DATE(Summary!$C$12,1,1),Summary!$C$11))*('Dvd Calendar'!$I$2877&lt;=MAX(DATE(Summary!$C$12,12,31),Summary!$C$15))*('Dvd Calendar'!$I$2877&gt;Summary!$C$11)=0,"",'Dvd Calendar'!$I$2877*1000000000+ISNUMBER('Dvd Calendar'!$I$2878)*100000000+('Dvd Calendar'!$I$2882='Field Check'!$C$25)*10000000+(N('Dvd Calendar'!$I$2876)&gt;0)*1000000+51*1000+45))</f>
        <v/>
      </c>
      <c r="AV207" s="41">
        <f>IF(N('Dvd Calendar'!$J$2877)=0,"",IF(('Dvd Calendar'!$J$2877&gt;=MIN(DATE(Summary!$C$12,1,1),Summary!$C$11))*('Dvd Calendar'!$J$2877&lt;=MAX(DATE(Summary!$C$12,12,31),Summary!$C$15))*('Dvd Calendar'!$J$2877&gt;Summary!$C$11)=0,"",'Dvd Calendar'!$J$2877*1000000000+ISNUMBER('Dvd Calendar'!$J$2878)*100000000+('Dvd Calendar'!$J$2882='Field Check'!$C$25)*10000000+(N('Dvd Calendar'!$J$2876)&gt;0)*1000000+51*1000+46))</f>
        <v/>
      </c>
      <c r="AW207" s="41">
        <f>IF(N('Dvd Calendar'!$K$2877)=0,"",IF(('Dvd Calendar'!$K$2877&gt;=MIN(DATE(Summary!$C$12,1,1),Summary!$C$11))*('Dvd Calendar'!$K$2877&lt;=MAX(DATE(Summary!$C$12,12,31),Summary!$C$15))*('Dvd Calendar'!$K$2877&gt;Summary!$C$11)=0,"",'Dvd Calendar'!$K$2877*1000000000+ISNUMBER('Dvd Calendar'!$K$2878)*100000000+('Dvd Calendar'!$K$2882='Field Check'!$C$25)*10000000+(N('Dvd Calendar'!$K$2876)&gt;0)*1000000+51*1000+47))</f>
        <v/>
      </c>
      <c r="AX207" s="41">
        <f>IF(N('Dvd Calendar'!$L$2877)=0,"",IF(('Dvd Calendar'!$L$2877&gt;=MIN(DATE(Summary!$C$12,1,1),Summary!$C$11))*('Dvd Calendar'!$L$2877&lt;=MAX(DATE(Summary!$C$12,12,31),Summary!$C$15))*('Dvd Calendar'!$L$2877&gt;Summary!$C$11)=0,"",'Dvd Calendar'!$L$2877*1000000000+ISNUMBER('Dvd Calendar'!$L$2878)*100000000+('Dvd Calendar'!$L$2882='Field Check'!$C$25)*10000000+(N('Dvd Calendar'!$L$2876)&gt;0)*1000000+51*1000+48))</f>
        <v/>
      </c>
      <c r="AY207" s="41">
        <f>IF(N('Dvd Calendar'!$M$2877)=0,"",IF(('Dvd Calendar'!$M$2877&gt;=MIN(DATE(Summary!$C$12,1,1),Summary!$C$11))*('Dvd Calendar'!$M$2877&lt;=MAX(DATE(Summary!$C$12,12,31),Summary!$C$15))*('Dvd Calendar'!$M$2877&gt;Summary!$C$11)=0,"",'Dvd Calendar'!$M$2877*1000000000+ISNUMBER('Dvd Calendar'!$M$2878)*100000000+('Dvd Calendar'!$M$2882='Field Check'!$C$25)*10000000+(N('Dvd Calendar'!$M$2876)&gt;0)*1000000+51*1000+49))</f>
        <v/>
      </c>
      <c r="AZ207" s="41">
        <f>IF(N('Dvd Calendar'!$N$2877)=0,"",IF(('Dvd Calendar'!$N$2877&gt;=MIN(DATE(Summary!$C$12,1,1),Summary!$C$11))*('Dvd Calendar'!$N$2877&lt;=MAX(DATE(Summary!$C$12,12,31),Summary!$C$15))*('Dvd Calendar'!$N$2877&gt;Summary!$C$11)=0,"",'Dvd Calendar'!$N$2877*1000000000+ISNUMBER('Dvd Calendar'!$N$2878)*100000000+('Dvd Calendar'!$N$2882='Field Check'!$C$25)*10000000+(N('Dvd Calendar'!$N$2876)&gt;0)*1000000+51*1000+50))</f>
        <v/>
      </c>
      <c r="BA207" s="41">
        <f>IF(N('Dvd Calendar'!$O$2877)=0,"",IF(('Dvd Calendar'!$O$2877&gt;=MIN(DATE(Summary!$C$12,1,1),Summary!$C$11))*('Dvd Calendar'!$O$2877&lt;=MAX(DATE(Summary!$C$12,12,31),Summary!$C$15))*('Dvd Calendar'!$O$2877&gt;Summary!$C$11)=0,"",'Dvd Calendar'!$O$2877*1000000000+ISNUMBER('Dvd Calendar'!$O$2878)*100000000+('Dvd Calendar'!$O$2882='Field Check'!$C$25)*10000000+(N('Dvd Calendar'!$O$2876)&gt;0)*1000000+51*1000+51))</f>
        <v/>
      </c>
      <c r="BB207" s="41">
        <f>IF(N('Dvd Calendar'!$P$2877)=0,"",IF(('Dvd Calendar'!$P$2877&gt;=MIN(DATE(Summary!$C$12,1,1),Summary!$C$11))*('Dvd Calendar'!$P$2877&lt;=MAX(DATE(Summary!$C$12,12,31),Summary!$C$15))*('Dvd Calendar'!$P$2877&gt;Summary!$C$11)=0,"",'Dvd Calendar'!$P$2877*1000000000+ISNUMBER('Dvd Calendar'!$P$2878)*100000000+('Dvd Calendar'!$P$2882='Field Check'!$C$25)*10000000+(N('Dvd Calendar'!$P$2876)&gt;0)*1000000+51*1000+52))</f>
        <v/>
      </c>
      <c r="BC207" s="41">
        <f>IF(N('Dvd Calendar'!$Q$2877)=0,"",IF(('Dvd Calendar'!$Q$2877&gt;=MIN(DATE(Summary!$C$12,1,1),Summary!$C$11))*('Dvd Calendar'!$Q$2877&lt;=MAX(DATE(Summary!$C$12,12,31),Summary!$C$15))*('Dvd Calendar'!$Q$2877&gt;Summary!$C$11)=0,"",'Dvd Calendar'!$Q$2877*1000000000+ISNUMBER('Dvd Calendar'!$Q$2878)*100000000+('Dvd Calendar'!$Q$2882='Field Check'!$C$25)*10000000+(N('Dvd Calendar'!$Q$2876)&gt;0)*1000000+51*1000+53))</f>
        <v/>
      </c>
      <c r="BD207" s="41">
        <f>IF(N('Dvd Calendar'!$R$2877)=0,"",IF(('Dvd Calendar'!$R$2877&gt;=MIN(DATE(Summary!$C$12,1,1),Summary!$C$11))*('Dvd Calendar'!$R$2877&lt;=MAX(DATE(Summary!$C$12,12,31),Summary!$C$15))*('Dvd Calendar'!$R$2877&gt;Summary!$C$11)=0,"",'Dvd Calendar'!$R$2877*1000000000+ISNUMBER('Dvd Calendar'!$R$2878)*100000000+('Dvd Calendar'!$R$2882='Field Check'!$C$25)*10000000+(N('Dvd Calendar'!$R$2876)&gt;0)*1000000+51*1000+54))</f>
        <v/>
      </c>
      <c r="BE207" s="41">
        <f>IF(N('Dvd Calendar'!$S$2877)=0,"",IF(('Dvd Calendar'!$S$2877&gt;=MIN(DATE(Summary!$C$12,1,1),Summary!$C$11))*('Dvd Calendar'!$S$2877&lt;=MAX(DATE(Summary!$C$12,12,31),Summary!$C$15))*('Dvd Calendar'!$S$2877&gt;Summary!$C$11)=0,"",'Dvd Calendar'!$S$2877*1000000000+ISNUMBER('Dvd Calendar'!$S$2878)*100000000+('Dvd Calendar'!$S$2882='Field Check'!$C$25)*10000000+(N('Dvd Calendar'!$S$2876)&gt;0)*1000000+51*1000+55))</f>
        <v/>
      </c>
      <c r="BF207" s="41">
        <f>IF(N('Dvd Calendar'!$T$2877)=0,"",IF(('Dvd Calendar'!$T$2877&gt;=MIN(DATE(Summary!$C$12,1,1),Summary!$C$11))*('Dvd Calendar'!$T$2877&lt;=MAX(DATE(Summary!$C$12,12,31),Summary!$C$15))*('Dvd Calendar'!$T$2877&gt;Summary!$C$11)=0,"",'Dvd Calendar'!$T$2877*1000000000+ISNUMBER('Dvd Calendar'!$T$2878)*100000000+('Dvd Calendar'!$T$2882='Field Check'!$C$25)*10000000+(N('Dvd Calendar'!$T$2876)&gt;0)*1000000+51*1000+56))</f>
        <v/>
      </c>
      <c r="BG207" s="41">
        <f>IF(N('Dvd Calendar'!$U$2877)=0,"",IF(('Dvd Calendar'!$U$2877&gt;=MIN(DATE(Summary!$C$12,1,1),Summary!$C$11))*('Dvd Calendar'!$U$2877&lt;=MAX(DATE(Summary!$C$12,12,31),Summary!$C$15))*('Dvd Calendar'!$U$2877&gt;Summary!$C$11)=0,"",'Dvd Calendar'!$U$2877*1000000000+ISNUMBER('Dvd Calendar'!$U$2878)*100000000+('Dvd Calendar'!$U$2882='Field Check'!$C$25)*10000000+(N('Dvd Calendar'!$U$2876)&gt;0)*1000000+51*1000+57))</f>
        <v/>
      </c>
      <c r="BH207" s="41">
        <f>IF(N('Dvd Calendar'!$V$2877)=0,"",IF(('Dvd Calendar'!$V$2877&gt;=MIN(DATE(Summary!$C$12,1,1),Summary!$C$11))*('Dvd Calendar'!$V$2877&lt;=MAX(DATE(Summary!$C$12,12,31),Summary!$C$15))*('Dvd Calendar'!$V$2877&gt;Summary!$C$11)=0,"",'Dvd Calendar'!$V$2877*1000000000+ISNUMBER('Dvd Calendar'!$V$2878)*100000000+('Dvd Calendar'!$V$2882='Field Check'!$C$25)*10000000+(N('Dvd Calendar'!$V$2876)&gt;0)*1000000+51*1000+58))</f>
        <v/>
      </c>
      <c r="BI207" s="41">
        <f>IF(N('Dvd Calendar'!$W$2877)=0,"",IF(('Dvd Calendar'!$W$2877&gt;=MIN(DATE(Summary!$C$12,1,1),Summary!$C$11))*('Dvd Calendar'!$W$2877&lt;=MAX(DATE(Summary!$C$12,12,31),Summary!$C$15))*('Dvd Calendar'!$W$2877&gt;Summary!$C$11)=0,"",'Dvd Calendar'!$W$2877*1000000000+ISNUMBER('Dvd Calendar'!$W$2878)*100000000+('Dvd Calendar'!$W$2882='Field Check'!$C$25)*10000000+(N('Dvd Calendar'!$W$2876)&gt;0)*1000000+51*1000+59))</f>
        <v/>
      </c>
      <c r="BJ207" s="41">
        <f>IF(N('Dvd Calendar'!$X$2877)=0,"",IF(('Dvd Calendar'!$X$2877&gt;=MIN(DATE(Summary!$C$12,1,1),Summary!$C$11))*('Dvd Calendar'!$X$2877&lt;=MAX(DATE(Summary!$C$12,12,31),Summary!$C$15))*('Dvd Calendar'!$X$2877&gt;Summary!$C$11)=0,"",'Dvd Calendar'!$X$2877*1000000000+ISNUMBER('Dvd Calendar'!$X$2878)*100000000+('Dvd Calendar'!$X$2882='Field Check'!$C$25)*10000000+(N('Dvd Calendar'!$X$2876)&gt;0)*1000000+51*1000+60))</f>
        <v/>
      </c>
      <c r="BK207" s="41">
        <f>IF(N('Dvd Calendar'!$Y$2877)=0,"",IF(('Dvd Calendar'!$Y$2877&gt;=MIN(DATE(Summary!$C$12,1,1),Summary!$C$11))*('Dvd Calendar'!$Y$2877&lt;=MAX(DATE(Summary!$C$12,12,31),Summary!$C$15))*('Dvd Calendar'!$Y$2877&gt;Summary!$C$11)=0,"",'Dvd Calendar'!$Y$2877*1000000000+ISNUMBER('Dvd Calendar'!$Y$2878)*100000000+('Dvd Calendar'!$Y$2882='Field Check'!$C$25)*10000000+(N('Dvd Calendar'!$Y$2876)&gt;0)*1000000+51*1000+61))</f>
        <v/>
      </c>
      <c r="BL207" s="41">
        <f>IF(N('Dvd Calendar'!$Z$2877)=0,"",IF(('Dvd Calendar'!$Z$2877&gt;=MIN(DATE(Summary!$C$12,1,1),Summary!$C$11))*('Dvd Calendar'!$Z$2877&lt;=MAX(DATE(Summary!$C$12,12,31),Summary!$C$15))*('Dvd Calendar'!$Z$2877&gt;Summary!$C$11)=0,"",'Dvd Calendar'!$Z$2877*1000000000+ISNUMBER('Dvd Calendar'!$Z$2878)*100000000+('Dvd Calendar'!$Z$2882='Field Check'!$C$25)*10000000+(N('Dvd Calendar'!$Z$2876)&gt;0)*1000000+51*1000+62))</f>
        <v/>
      </c>
      <c r="BM207" s="41">
        <f>IF(N('Dvd Calendar'!$AA$2877)=0,"",IF(('Dvd Calendar'!$AA$2877&gt;=MIN(DATE(Summary!$C$12,1,1),Summary!$C$11))*('Dvd Calendar'!$AA$2877&lt;=MAX(DATE(Summary!$C$12,12,31),Summary!$C$15))*('Dvd Calendar'!$AA$2877&gt;Summary!$C$11)=0,"",'Dvd Calendar'!$AA$2877*1000000000+ISNUMBER('Dvd Calendar'!$AA$2878)*100000000+('Dvd Calendar'!$AA$2882='Field Check'!$C$25)*10000000+(N('Dvd Calendar'!$AA$2876)&gt;0)*1000000+51*1000+63))</f>
        <v/>
      </c>
      <c r="BN207" s="41">
        <f>IF(N('Dvd Calendar'!$AB$2877)=0,"",IF(('Dvd Calendar'!$AB$2877&gt;=MIN(DATE(Summary!$C$12,1,1),Summary!$C$11))*('Dvd Calendar'!$AB$2877&lt;=MAX(DATE(Summary!$C$12,12,31),Summary!$C$15))*('Dvd Calendar'!$AB$2877&gt;Summary!$C$11)=0,"",'Dvd Calendar'!$AB$2877*1000000000+ISNUMBER('Dvd Calendar'!$AB$2878)*100000000+('Dvd Calendar'!$AB$2882='Field Check'!$C$25)*10000000+(N('Dvd Calendar'!$AB$2876)&gt;0)*1000000+51*1000+64))</f>
        <v/>
      </c>
      <c r="BO207" s="41">
        <f>IF(N('Dvd Calendar'!$AC$2877)=0,"",IF(('Dvd Calendar'!$AC$2877&gt;=MIN(DATE(Summary!$C$12,1,1),Summary!$C$11))*('Dvd Calendar'!$AC$2877&lt;=MAX(DATE(Summary!$C$12,12,31),Summary!$C$15))*('Dvd Calendar'!$AC$2877&gt;Summary!$C$11)=0,"",'Dvd Calendar'!$AC$2877*1000000000+ISNUMBER('Dvd Calendar'!$AC$2878)*100000000+('Dvd Calendar'!$AC$2882='Field Check'!$C$25)*10000000+(N('Dvd Calendar'!$AC$2876)&gt;0)*1000000+51*1000+65))</f>
        <v/>
      </c>
      <c r="BQ207" s="85">
        <f>IF(C207="","",IF(ISNUMBER('Dvd Calendar'!$E$2871)=FALSE,"",IF((Summary!$C$13="N")*('Dvd Calendar'!$E$2875='Field Check'!$C$25)&gt;0,"",'Dvd Calendar'!$E$2871)))</f>
        <v/>
      </c>
      <c r="BR207" s="85">
        <f>IF(D207="","",IF(ISNUMBER('Dvd Calendar'!$F$2871)=FALSE,"",IF((Summary!$C$13="N")*('Dvd Calendar'!$F$2875='Field Check'!$C$25)&gt;0,"",'Dvd Calendar'!$F$2871)))</f>
        <v/>
      </c>
      <c r="BS207" s="85">
        <f>IF(E207="","",IF(ISNUMBER('Dvd Calendar'!$G$2871)=FALSE,"",IF((Summary!$C$13="N")*('Dvd Calendar'!$G$2875='Field Check'!$C$25)&gt;0,"",'Dvd Calendar'!$G$2871)))</f>
        <v/>
      </c>
      <c r="BT207" s="85">
        <f>IF(F207="","",IF(ISNUMBER('Dvd Calendar'!$H$2871)=FALSE,"",IF((Summary!$C$13="N")*('Dvd Calendar'!$H$2875='Field Check'!$C$25)&gt;0,"",'Dvd Calendar'!$H$2871)))</f>
        <v/>
      </c>
      <c r="BU207" s="85">
        <f>IF(G207="","",IF(ISNUMBER('Dvd Calendar'!$I$2871)=FALSE,"",IF((Summary!$C$13="N")*('Dvd Calendar'!$I$2875='Field Check'!$C$25)&gt;0,"",'Dvd Calendar'!$I$2871)))</f>
        <v/>
      </c>
      <c r="BV207" s="85">
        <f>IF(H207="","",IF(ISNUMBER('Dvd Calendar'!$J$2871)=FALSE,"",IF((Summary!$C$13="N")*('Dvd Calendar'!$J$2875='Field Check'!$C$25)&gt;0,"",'Dvd Calendar'!$J$2871)))</f>
        <v/>
      </c>
      <c r="BW207" s="85">
        <f>IF(I207="","",IF(ISNUMBER('Dvd Calendar'!$K$2871)=FALSE,"",IF((Summary!$C$13="N")*('Dvd Calendar'!$K$2875='Field Check'!$C$25)&gt;0,"",'Dvd Calendar'!$K$2871)))</f>
        <v/>
      </c>
      <c r="BX207" s="85">
        <f>IF(J207="","",IF(ISNUMBER('Dvd Calendar'!$L$2871)=FALSE,"",IF((Summary!$C$13="N")*('Dvd Calendar'!$L$2875='Field Check'!$C$25)&gt;0,"",'Dvd Calendar'!$L$2871)))</f>
        <v/>
      </c>
      <c r="BY207" s="85">
        <f>IF(K207="","",IF(ISNUMBER('Dvd Calendar'!$M$2871)=FALSE,"",IF((Summary!$C$13="N")*('Dvd Calendar'!$M$2875='Field Check'!$C$25)&gt;0,"",'Dvd Calendar'!$M$2871)))</f>
        <v/>
      </c>
      <c r="BZ207" s="85">
        <f>IF(L207="","",IF(ISNUMBER('Dvd Calendar'!$N$2871)=FALSE,"",IF((Summary!$C$13="N")*('Dvd Calendar'!$N$2875='Field Check'!$C$25)&gt;0,"",'Dvd Calendar'!$N$2871)))</f>
        <v/>
      </c>
      <c r="CA207" s="85">
        <f>IF(M207="","",IF(ISNUMBER('Dvd Calendar'!$O$2871)=FALSE,"",IF((Summary!$C$13="N")*('Dvd Calendar'!$O$2875='Field Check'!$C$25)&gt;0,"",'Dvd Calendar'!$O$2871)))</f>
        <v/>
      </c>
      <c r="CB207" s="85">
        <f>IF(N207="","",IF(ISNUMBER('Dvd Calendar'!$P$2871)=FALSE,"",IF((Summary!$C$13="N")*('Dvd Calendar'!$P$2875='Field Check'!$C$25)&gt;0,"",'Dvd Calendar'!$P$2871)))</f>
        <v/>
      </c>
      <c r="CC207" s="85">
        <f>IF(O207="","",IF(ISNUMBER('Dvd Calendar'!$Q$2871)=FALSE,"",IF((Summary!$C$13="N")*('Dvd Calendar'!$Q$2875='Field Check'!$C$25)&gt;0,"",'Dvd Calendar'!$Q$2871)))</f>
        <v/>
      </c>
      <c r="CD207" s="85">
        <f>IF(P207="","",IF(ISNUMBER('Dvd Calendar'!$R$2871)=FALSE,"",IF((Summary!$C$13="N")*('Dvd Calendar'!$R$2875='Field Check'!$C$25)&gt;0,"",'Dvd Calendar'!$R$2871)))</f>
        <v/>
      </c>
      <c r="CE207" s="85">
        <f>IF(Q207="","",IF(ISNUMBER('Dvd Calendar'!$S$2871)=FALSE,"",IF((Summary!$C$13="N")*('Dvd Calendar'!$S$2875='Field Check'!$C$25)&gt;0,"",'Dvd Calendar'!$S$2871)))</f>
        <v/>
      </c>
      <c r="CF207" s="85">
        <f>IF(R207="","",IF(ISNUMBER('Dvd Calendar'!$T$2871)=FALSE,"",IF((Summary!$C$13="N")*('Dvd Calendar'!$T$2875='Field Check'!$C$25)&gt;0,"",'Dvd Calendar'!$T$2871)))</f>
        <v/>
      </c>
      <c r="CG207" s="85">
        <f>IF(S207="","",IF(ISNUMBER('Dvd Calendar'!$U$2871)=FALSE,"",IF((Summary!$C$13="N")*('Dvd Calendar'!$U$2875='Field Check'!$C$25)&gt;0,"",'Dvd Calendar'!$U$2871)))</f>
        <v/>
      </c>
      <c r="CH207" s="85">
        <f>IF(T207="","",IF(ISNUMBER('Dvd Calendar'!$V$2871)=FALSE,"",IF((Summary!$C$13="N")*('Dvd Calendar'!$V$2875='Field Check'!$C$25)&gt;0,"",'Dvd Calendar'!$V$2871)))</f>
        <v/>
      </c>
      <c r="CI207" s="85">
        <f>IF(U207="","",IF(ISNUMBER('Dvd Calendar'!$W$2871)=FALSE,"",IF((Summary!$C$13="N")*('Dvd Calendar'!$W$2875='Field Check'!$C$25)&gt;0,"",'Dvd Calendar'!$W$2871)))</f>
        <v/>
      </c>
      <c r="CJ207" s="85">
        <f>IF(V207="","",IF(ISNUMBER('Dvd Calendar'!$X$2871)=FALSE,"",IF((Summary!$C$13="N")*('Dvd Calendar'!$X$2875='Field Check'!$C$25)&gt;0,"",'Dvd Calendar'!$X$2871)))</f>
        <v/>
      </c>
      <c r="CK207" s="85">
        <f>IF(W207="","",IF(ISNUMBER('Dvd Calendar'!$Y$2871)=FALSE,"",IF((Summary!$C$13="N")*('Dvd Calendar'!$Y$2875='Field Check'!$C$25)&gt;0,"",'Dvd Calendar'!$Y$2871)))</f>
        <v/>
      </c>
      <c r="CL207" s="85">
        <f>IF(X207="","",IF(ISNUMBER('Dvd Calendar'!$Z$2871)=FALSE,"",IF((Summary!$C$13="N")*('Dvd Calendar'!$Z$2875='Field Check'!$C$25)&gt;0,"",'Dvd Calendar'!$Z$2871)))</f>
        <v/>
      </c>
      <c r="CM207" s="85">
        <f>IF(Y207="","",IF(ISNUMBER('Dvd Calendar'!$AA$2871)=FALSE,"",IF((Summary!$C$13="N")*('Dvd Calendar'!$AA$2875='Field Check'!$C$25)&gt;0,"",'Dvd Calendar'!$AA$2871)))</f>
        <v/>
      </c>
      <c r="CN207" s="85">
        <f>IF(Z207="","",IF(ISNUMBER('Dvd Calendar'!$AB$2871)=FALSE,"",IF((Summary!$C$13="N")*('Dvd Calendar'!$AB$2875='Field Check'!$C$25)&gt;0,"",'Dvd Calendar'!$AB$2871)))</f>
        <v/>
      </c>
      <c r="CO207" s="85">
        <f>IF(AA207="","",IF(ISNUMBER('Dvd Calendar'!$AC$2871)=FALSE,"",IF((Summary!$C$13="N")*('Dvd Calendar'!$AC$2875='Field Check'!$C$25)&gt;0,"",'Dvd Calendar'!$AC$2871)))</f>
        <v/>
      </c>
      <c r="CP207" s="85">
        <f>IF(AB207="","",IF(ISNUMBER('Dvd Calendar'!$AD$2871)=FALSE,"",IF((Summary!$C$13="N")*('Dvd Calendar'!$AD$2875='Field Check'!$C$25)&gt;0,"",'Dvd Calendar'!$AD$2871)))</f>
        <v/>
      </c>
      <c r="CQ207" s="85">
        <f>IF(AC207="","",IF(ISNUMBER('Dvd Calendar'!$AE$2871)=FALSE,"",IF((Summary!$C$13="N")*('Dvd Calendar'!$AE$2875='Field Check'!$C$25)&gt;0,"",'Dvd Calendar'!$AE$2871)))</f>
        <v/>
      </c>
      <c r="CR207" s="85">
        <f>IF(AD207="","",IF(ISNUMBER('Dvd Calendar'!$AF$2871)=FALSE,"",IF((Summary!$C$13="N")*('Dvd Calendar'!$AF$2875='Field Check'!$C$25)&gt;0,"",'Dvd Calendar'!$AF$2871)))</f>
        <v/>
      </c>
      <c r="CS207" s="85">
        <f>IF(AE207="","",IF(ISNUMBER('Dvd Calendar'!$AG$2871)=FALSE,"",IF((Summary!$C$13="N")*('Dvd Calendar'!$AG$2875='Field Check'!$C$25)&gt;0,"",'Dvd Calendar'!$AG$2871)))</f>
        <v/>
      </c>
      <c r="CT207" s="85">
        <f>IF(AF207="","",IF(ISNUMBER('Dvd Calendar'!$AH$2871)=FALSE,"",IF((Summary!$C$13="N")*('Dvd Calendar'!$AH$2875='Field Check'!$C$25)&gt;0,"",'Dvd Calendar'!$AH$2871)))</f>
        <v/>
      </c>
      <c r="CU207" s="85">
        <f>IF(AG207="","",IF(ISNUMBER('Dvd Calendar'!$AI$2871)=FALSE,"",IF((Summary!$C$13="N")*('Dvd Calendar'!$AI$2875='Field Check'!$C$25)&gt;0,"",'Dvd Calendar'!$AI$2871)))</f>
        <v/>
      </c>
      <c r="CV207" s="85">
        <f>IF(AH207="","",IF(ISNUMBER('Dvd Calendar'!$AJ$2871)=FALSE,"",IF((Summary!$C$13="N")*('Dvd Calendar'!$AJ$2875='Field Check'!$C$25)&gt;0,"",'Dvd Calendar'!$AJ$2871)))</f>
        <v/>
      </c>
      <c r="CW207" s="85">
        <f>IF(AI207="","",IF(ISNUMBER('Dvd Calendar'!$AK$2871)=FALSE,"",IF((Summary!$C$13="N")*('Dvd Calendar'!$AK$2875='Field Check'!$C$25)&gt;0,"",'Dvd Calendar'!$AK$2871)))</f>
        <v/>
      </c>
      <c r="CX207" s="85">
        <f>IF(AJ207="","",IF(ISNUMBER('Dvd Calendar'!$AL$2871)=FALSE,"",IF((Summary!$C$13="N")*('Dvd Calendar'!$AL$2875='Field Check'!$C$25)&gt;0,"",'Dvd Calendar'!$AL$2871)))</f>
        <v/>
      </c>
      <c r="CY207" s="85">
        <f>IF(AK207="","",IF(ISNUMBER('Dvd Calendar'!$AM$2871)=FALSE,"",IF((Summary!$C$13="N")*('Dvd Calendar'!$AM$2875='Field Check'!$C$25)&gt;0,"",'Dvd Calendar'!$AM$2871)))</f>
        <v/>
      </c>
      <c r="CZ207" s="85">
        <f>IF(AL207="","",IF(ISNUMBER('Dvd Calendar'!$AN$2871)=FALSE,"",IF((Summary!$C$13="N")*('Dvd Calendar'!$AN$2875='Field Check'!$C$25)&gt;0,"",'Dvd Calendar'!$AN$2871)))</f>
        <v/>
      </c>
      <c r="DA207" s="85">
        <f>IF(AM207="","",IF(ISNUMBER('Dvd Calendar'!$AO$2871)=FALSE,"",IF((Summary!$C$13="N")*('Dvd Calendar'!$AO$2875='Field Check'!$C$25)&gt;0,"",'Dvd Calendar'!$AO$2871)))</f>
        <v/>
      </c>
      <c r="DB207" s="85">
        <f>IF(AN207="","",IF(ISNUMBER('Dvd Calendar'!$AP$2871)=FALSE,"",IF((Summary!$C$13="N")*('Dvd Calendar'!$AP$2875='Field Check'!$C$25)&gt;0,"",'Dvd Calendar'!$AP$2871)))</f>
        <v/>
      </c>
      <c r="DC207" s="85">
        <f>IF(AO207="","",IF(ISNUMBER('Dvd Calendar'!$AQ$2871)=FALSE,"",IF((Summary!$C$13="N")*('Dvd Calendar'!$AQ$2875='Field Check'!$C$25)&gt;0,"",'Dvd Calendar'!$AQ$2871)))</f>
        <v/>
      </c>
      <c r="DD207" s="85">
        <f>IF(AP207="","",IF(ISNUMBER('Dvd Calendar'!$AR$2871)=FALSE,"",IF((Summary!$C$13="N")*('Dvd Calendar'!$AR$2875='Field Check'!$C$25)&gt;0,"",'Dvd Calendar'!$AR$2871)))</f>
        <v/>
      </c>
      <c r="DE207" s="85">
        <f>IF(AQ207="","",IF(ISNUMBER('Dvd Calendar'!$E$2878)=FALSE,"",IF((Summary!$C$13="N")*('Dvd Calendar'!$E$2882='Field Check'!$C$25)&gt;0,"",'Dvd Calendar'!$E$2878)))</f>
        <v/>
      </c>
      <c r="DF207" s="85">
        <f>IF(AR207="","",IF(ISNUMBER('Dvd Calendar'!$F$2878)=FALSE,"",IF((Summary!$C$13="N")*('Dvd Calendar'!$F$2882='Field Check'!$C$25)&gt;0,"",'Dvd Calendar'!$F$2878)))</f>
        <v/>
      </c>
      <c r="DG207" s="85">
        <f>IF(AS207="","",IF(ISNUMBER('Dvd Calendar'!$G$2878)=FALSE,"",IF((Summary!$C$13="N")*('Dvd Calendar'!$G$2882='Field Check'!$C$25)&gt;0,"",'Dvd Calendar'!$G$2878)))</f>
        <v/>
      </c>
      <c r="DH207" s="85">
        <f>IF(AT207="","",IF(ISNUMBER('Dvd Calendar'!$H$2878)=FALSE,"",IF((Summary!$C$13="N")*('Dvd Calendar'!$H$2882='Field Check'!$C$25)&gt;0,"",'Dvd Calendar'!$H$2878)))</f>
        <v/>
      </c>
      <c r="DI207" s="85">
        <f>IF(AU207="","",IF(ISNUMBER('Dvd Calendar'!$I$2878)=FALSE,"",IF((Summary!$C$13="N")*('Dvd Calendar'!$I$2882='Field Check'!$C$25)&gt;0,"",'Dvd Calendar'!$I$2878)))</f>
        <v/>
      </c>
      <c r="DJ207" s="85">
        <f>IF(AV207="","",IF(ISNUMBER('Dvd Calendar'!$J$2878)=FALSE,"",IF((Summary!$C$13="N")*('Dvd Calendar'!$J$2882='Field Check'!$C$25)&gt;0,"",'Dvd Calendar'!$J$2878)))</f>
        <v/>
      </c>
      <c r="DK207" s="85">
        <f>IF(AW207="","",IF(ISNUMBER('Dvd Calendar'!$K$2878)=FALSE,"",IF((Summary!$C$13="N")*('Dvd Calendar'!$K$2882='Field Check'!$C$25)&gt;0,"",'Dvd Calendar'!$K$2878)))</f>
        <v/>
      </c>
      <c r="DL207" s="85">
        <f>IF(AX207="","",IF(ISNUMBER('Dvd Calendar'!$L$2878)=FALSE,"",IF((Summary!$C$13="N")*('Dvd Calendar'!$L$2882='Field Check'!$C$25)&gt;0,"",'Dvd Calendar'!$L$2878)))</f>
        <v/>
      </c>
      <c r="DM207" s="85">
        <f>IF(AY207="","",IF(ISNUMBER('Dvd Calendar'!$M$2878)=FALSE,"",IF((Summary!$C$13="N")*('Dvd Calendar'!$M$2882='Field Check'!$C$25)&gt;0,"",'Dvd Calendar'!$M$2878)))</f>
        <v/>
      </c>
      <c r="DN207" s="85">
        <f>IF(AZ207="","",IF(ISNUMBER('Dvd Calendar'!$N$2878)=FALSE,"",IF((Summary!$C$13="N")*('Dvd Calendar'!$N$2882='Field Check'!$C$25)&gt;0,"",'Dvd Calendar'!$N$2878)))</f>
        <v/>
      </c>
      <c r="DO207" s="85">
        <f>IF(BA207="","",IF(ISNUMBER('Dvd Calendar'!$O$2878)=FALSE,"",IF((Summary!$C$13="N")*('Dvd Calendar'!$O$2882='Field Check'!$C$25)&gt;0,"",'Dvd Calendar'!$O$2878)))</f>
        <v/>
      </c>
      <c r="DP207" s="85">
        <f>IF(BB207="","",IF(ISNUMBER('Dvd Calendar'!$P$2878)=FALSE,"",IF((Summary!$C$13="N")*('Dvd Calendar'!$P$2882='Field Check'!$C$25)&gt;0,"",'Dvd Calendar'!$P$2878)))</f>
        <v/>
      </c>
      <c r="DQ207" s="85">
        <f>IF(BC207="","",IF(ISNUMBER('Dvd Calendar'!$Q$2878)=FALSE,"",IF((Summary!$C$13="N")*('Dvd Calendar'!$Q$2882='Field Check'!$C$25)&gt;0,"",'Dvd Calendar'!$Q$2878)))</f>
        <v/>
      </c>
      <c r="DR207" s="85">
        <f>IF(BD207="","",IF(ISNUMBER('Dvd Calendar'!$R$2878)=FALSE,"",IF((Summary!$C$13="N")*('Dvd Calendar'!$R$2882='Field Check'!$C$25)&gt;0,"",'Dvd Calendar'!$R$2878)))</f>
        <v/>
      </c>
      <c r="DS207" s="85">
        <f>IF(BE207="","",IF(ISNUMBER('Dvd Calendar'!$S$2878)=FALSE,"",IF((Summary!$C$13="N")*('Dvd Calendar'!$S$2882='Field Check'!$C$25)&gt;0,"",'Dvd Calendar'!$S$2878)))</f>
        <v/>
      </c>
      <c r="DT207" s="85">
        <f>IF(BF207="","",IF(ISNUMBER('Dvd Calendar'!$T$2878)=FALSE,"",IF((Summary!$C$13="N")*('Dvd Calendar'!$T$2882='Field Check'!$C$25)&gt;0,"",'Dvd Calendar'!$T$2878)))</f>
        <v/>
      </c>
      <c r="DU207" s="85">
        <f>IF(BG207="","",IF(ISNUMBER('Dvd Calendar'!$U$2878)=FALSE,"",IF((Summary!$C$13="N")*('Dvd Calendar'!$U$2882='Field Check'!$C$25)&gt;0,"",'Dvd Calendar'!$U$2878)))</f>
        <v/>
      </c>
      <c r="DV207" s="85">
        <f>IF(BH207="","",IF(ISNUMBER('Dvd Calendar'!$V$2878)=FALSE,"",IF((Summary!$C$13="N")*('Dvd Calendar'!$V$2882='Field Check'!$C$25)&gt;0,"",'Dvd Calendar'!$V$2878)))</f>
        <v/>
      </c>
      <c r="DW207" s="85">
        <f>IF(BI207="","",IF(ISNUMBER('Dvd Calendar'!$W$2878)=FALSE,"",IF((Summary!$C$13="N")*('Dvd Calendar'!$W$2882='Field Check'!$C$25)&gt;0,"",'Dvd Calendar'!$W$2878)))</f>
        <v/>
      </c>
      <c r="DX207" s="85">
        <f>IF(BJ207="","",IF(ISNUMBER('Dvd Calendar'!$X$2878)=FALSE,"",IF((Summary!$C$13="N")*('Dvd Calendar'!$X$2882='Field Check'!$C$25)&gt;0,"",'Dvd Calendar'!$X$2878)))</f>
        <v/>
      </c>
      <c r="DY207" s="85">
        <f>IF(BK207="","",IF(ISNUMBER('Dvd Calendar'!$Y$2878)=FALSE,"",IF((Summary!$C$13="N")*('Dvd Calendar'!$Y$2882='Field Check'!$C$25)&gt;0,"",'Dvd Calendar'!$Y$2878)))</f>
        <v/>
      </c>
      <c r="DZ207" s="85">
        <f>IF(BL207="","",IF(ISNUMBER('Dvd Calendar'!$Z$2878)=FALSE,"",IF((Summary!$C$13="N")*('Dvd Calendar'!$Z$2882='Field Check'!$C$25)&gt;0,"",'Dvd Calendar'!$Z$2878)))</f>
        <v/>
      </c>
      <c r="EA207" s="85">
        <f>IF(BM207="","",IF(ISNUMBER('Dvd Calendar'!$AA$2878)=FALSE,"",IF((Summary!$C$13="N")*('Dvd Calendar'!$AA$2882='Field Check'!$C$25)&gt;0,"",'Dvd Calendar'!$AA$2878)))</f>
        <v/>
      </c>
      <c r="EB207" s="85">
        <f>IF(BN207="","",IF(ISNUMBER('Dvd Calendar'!$AB$2878)=FALSE,"",IF((Summary!$C$13="N")*('Dvd Calendar'!$AB$2882='Field Check'!$C$25)&gt;0,"",'Dvd Calendar'!$AB$2878)))</f>
        <v/>
      </c>
      <c r="EC207" s="85">
        <f>IF(BO207="","",IF(ISNUMBER('Dvd Calendar'!$AC$2878)=FALSE,"",IF((Summary!$C$13="N")*('Dvd Calendar'!$AC$2882='Field Check'!$C$25)&gt;0,"",'Dvd Calendar'!$AC$2878)))</f>
        <v/>
      </c>
      <c r="EE207" s="85">
        <f>IF(BQ207="","",IFERROR(BQ207*HSCEI!$B$57*HSCEI!$G$57/HSCEI!$B$3,""))</f>
        <v/>
      </c>
      <c r="EF207" s="85">
        <f>IF(BR207="","",IFERROR(BR207*HSCEI!$B$57*HSCEI!$G$57/HSCEI!$B$3,""))</f>
        <v/>
      </c>
      <c r="EG207" s="85">
        <f>IF(BS207="","",IFERROR(BS207*HSCEI!$B$57*HSCEI!$G$57/HSCEI!$B$3,""))</f>
        <v/>
      </c>
      <c r="EH207" s="85">
        <f>IF(BT207="","",IFERROR(BT207*HSCEI!$B$57*HSCEI!$G$57/HSCEI!$B$3,""))</f>
        <v/>
      </c>
      <c r="EI207" s="85">
        <f>IF(BU207="","",IFERROR(BU207*HSCEI!$B$57*HSCEI!$G$57/HSCEI!$B$3,""))</f>
        <v/>
      </c>
      <c r="EJ207" s="85">
        <f>IF(BV207="","",IFERROR(BV207*HSCEI!$B$57*HSCEI!$G$57/HSCEI!$B$3,""))</f>
        <v/>
      </c>
      <c r="EK207" s="85">
        <f>IF(BW207="","",IFERROR(BW207*HSCEI!$B$57*HSCEI!$G$57/HSCEI!$B$3,""))</f>
        <v/>
      </c>
      <c r="EL207" s="85">
        <f>IF(BX207="","",IFERROR(BX207*HSCEI!$B$57*HSCEI!$G$57/HSCEI!$B$3,""))</f>
        <v/>
      </c>
      <c r="EM207" s="85">
        <f>IF(BY207="","",IFERROR(BY207*HSCEI!$B$57*HSCEI!$G$57/HSCEI!$B$3,""))</f>
        <v/>
      </c>
      <c r="EN207" s="85">
        <f>IF(BZ207="","",IFERROR(BZ207*HSCEI!$B$57*HSCEI!$G$57/HSCEI!$B$3,""))</f>
        <v/>
      </c>
      <c r="EO207" s="85">
        <f>IF(CA207="","",IFERROR(CA207*HSCEI!$B$57*HSCEI!$G$57/HSCEI!$B$3,""))</f>
        <v/>
      </c>
      <c r="EP207" s="85">
        <f>IF(CB207="","",IFERROR(CB207*HSCEI!$B$57*HSCEI!$G$57/HSCEI!$B$3,""))</f>
        <v/>
      </c>
      <c r="EQ207" s="85">
        <f>IF(CC207="","",IFERROR(CC207*HSCEI!$B$57*HSCEI!$G$57/HSCEI!$B$3,""))</f>
        <v/>
      </c>
      <c r="ER207" s="85">
        <f>IF(CD207="","",IFERROR(CD207*HSCEI!$B$57*HSCEI!$G$57/HSCEI!$B$3,""))</f>
        <v/>
      </c>
      <c r="ES207" s="85">
        <f>IF(CE207="","",IFERROR(CE207*HSCEI!$B$57*HSCEI!$G$57/HSCEI!$B$3,""))</f>
        <v/>
      </c>
      <c r="ET207" s="85">
        <f>IF(CF207="","",IFERROR(CF207*HSCEI!$B$57*HSCEI!$G$57/HSCEI!$B$3,""))</f>
        <v/>
      </c>
      <c r="EU207" s="85">
        <f>IF(CG207="","",IFERROR(CG207*HSCEI!$B$57*HSCEI!$G$57/HSCEI!$B$3,""))</f>
        <v/>
      </c>
      <c r="EV207" s="85">
        <f>IF(CH207="","",IFERROR(CH207*HSCEI!$B$57*HSCEI!$G$57/HSCEI!$B$3,""))</f>
        <v/>
      </c>
      <c r="EW207" s="85">
        <f>IF(CI207="","",IFERROR(CI207*HSCEI!$B$57*HSCEI!$G$57/HSCEI!$B$3,""))</f>
        <v/>
      </c>
      <c r="EX207" s="85">
        <f>IF(CJ207="","",IFERROR(CJ207*HSCEI!$B$57*HSCEI!$G$57/HSCEI!$B$3,""))</f>
        <v/>
      </c>
      <c r="EY207" s="85">
        <f>IF(CK207="","",IFERROR(CK207*HSCEI!$B$57*HSCEI!$G$57/HSCEI!$B$3,""))</f>
        <v/>
      </c>
      <c r="EZ207" s="85">
        <f>IF(CL207="","",IFERROR(CL207*HSCEI!$B$57*HSCEI!$G$57/HSCEI!$B$3,""))</f>
        <v/>
      </c>
      <c r="FA207" s="85">
        <f>IF(CM207="","",IFERROR(CM207*HSCEI!$B$57*HSCEI!$G$57/HSCEI!$B$3,""))</f>
        <v/>
      </c>
      <c r="FB207" s="85">
        <f>IF(CN207="","",IFERROR(CN207*HSCEI!$B$57*HSCEI!$G$57/HSCEI!$B$3,""))</f>
        <v/>
      </c>
      <c r="FC207" s="85">
        <f>IF(CO207="","",IFERROR(CO207*HSCEI!$B$57*HSCEI!$G$57/HSCEI!$B$3,""))</f>
        <v/>
      </c>
      <c r="FD207" s="85">
        <f>IF(CP207="","",IFERROR(CP207*HSCEI!$B$57*HSCEI!$G$57/HSCEI!$B$3,""))</f>
        <v/>
      </c>
      <c r="FE207" s="85">
        <f>IF(CQ207="","",IFERROR(CQ207*HSCEI!$B$57*HSCEI!$G$57/HSCEI!$B$3,""))</f>
        <v/>
      </c>
      <c r="FF207" s="85">
        <f>IF(CR207="","",IFERROR(CR207*HSCEI!$B$57*HSCEI!$G$57/HSCEI!$B$3,""))</f>
        <v/>
      </c>
      <c r="FG207" s="85">
        <f>IF(CS207="","",IFERROR(CS207*HSCEI!$B$57*HSCEI!$G$57/HSCEI!$B$3,""))</f>
        <v/>
      </c>
      <c r="FH207" s="85">
        <f>IF(CT207="","",IFERROR(CT207*HSCEI!$B$57*HSCEI!$G$57/HSCEI!$B$3,""))</f>
        <v/>
      </c>
      <c r="FI207" s="85">
        <f>IF(CU207="","",IFERROR(CU207*HSCEI!$B$57*HSCEI!$G$57/HSCEI!$B$3,""))</f>
        <v/>
      </c>
      <c r="FJ207" s="85">
        <f>IF(CV207="","",IFERROR(CV207*HSCEI!$B$57*HSCEI!$G$57/HSCEI!$B$3,""))</f>
        <v/>
      </c>
      <c r="FK207" s="85">
        <f>IF(CW207="","",IFERROR(CW207*HSCEI!$B$57*HSCEI!$G$57/HSCEI!$B$3,""))</f>
        <v/>
      </c>
      <c r="FL207" s="85">
        <f>IF(CX207="","",IFERROR(CX207*HSCEI!$B$57*HSCEI!$G$57/HSCEI!$B$3,""))</f>
        <v/>
      </c>
      <c r="FM207" s="85">
        <f>IF(CY207="","",IFERROR(CY207*HSCEI!$B$57*HSCEI!$G$57/HSCEI!$B$3,""))</f>
        <v/>
      </c>
      <c r="FN207" s="85">
        <f>IF(CZ207="","",IFERROR(CZ207*HSCEI!$B$57*HSCEI!$G$57/HSCEI!$B$3,""))</f>
        <v/>
      </c>
      <c r="FO207" s="85">
        <f>IF(DA207="","",IFERROR(DA207*HSCEI!$B$57*HSCEI!$G$57/HSCEI!$B$3,""))</f>
        <v/>
      </c>
      <c r="FP207" s="85">
        <f>IF(DB207="","",IFERROR(DB207*HSCEI!$B$57*HSCEI!$G$57/HSCEI!$B$3,""))</f>
        <v/>
      </c>
      <c r="FQ207" s="85">
        <f>IF(DC207="","",IFERROR(DC207*HSCEI!$B$57*HSCEI!$G$57/HSCEI!$B$3,""))</f>
        <v/>
      </c>
      <c r="FR207" s="85">
        <f>IF(DD207="","",IFERROR(DD207*HSCEI!$B$57*HSCEI!$G$57/HSCEI!$B$3,""))</f>
        <v/>
      </c>
      <c r="FS207" s="85">
        <f>IF(DE207="","",IFERROR(DE207*HSCEI!$B$57*HSCEI!$G$57/HSCEI!$B$3,""))</f>
        <v/>
      </c>
      <c r="FT207" s="85">
        <f>IF(DF207="","",IFERROR(DF207*HSCEI!$B$57*HSCEI!$G$57/HSCEI!$B$3,""))</f>
        <v/>
      </c>
      <c r="FU207" s="85">
        <f>IF(DG207="","",IFERROR(DG207*HSCEI!$B$57*HSCEI!$G$57/HSCEI!$B$3,""))</f>
        <v/>
      </c>
      <c r="FV207" s="85">
        <f>IF(DH207="","",IFERROR(DH207*HSCEI!$B$57*HSCEI!$G$57/HSCEI!$B$3,""))</f>
        <v/>
      </c>
      <c r="FW207" s="85">
        <f>IF(DI207="","",IFERROR(DI207*HSCEI!$B$57*HSCEI!$G$57/HSCEI!$B$3,""))</f>
        <v/>
      </c>
      <c r="FX207" s="85">
        <f>IF(DJ207="","",IFERROR(DJ207*HSCEI!$B$57*HSCEI!$G$57/HSCEI!$B$3,""))</f>
        <v/>
      </c>
      <c r="FY207" s="85">
        <f>IF(DK207="","",IFERROR(DK207*HSCEI!$B$57*HSCEI!$G$57/HSCEI!$B$3,""))</f>
        <v/>
      </c>
      <c r="FZ207" s="85">
        <f>IF(DL207="","",IFERROR(DL207*HSCEI!$B$57*HSCEI!$G$57/HSCEI!$B$3,""))</f>
        <v/>
      </c>
      <c r="GA207" s="85">
        <f>IF(DM207="","",IFERROR(DM207*HSCEI!$B$57*HSCEI!$G$57/HSCEI!$B$3,""))</f>
        <v/>
      </c>
      <c r="GB207" s="85">
        <f>IF(DN207="","",IFERROR(DN207*HSCEI!$B$57*HSCEI!$G$57/HSCEI!$B$3,""))</f>
        <v/>
      </c>
      <c r="GC207" s="85">
        <f>IF(DO207="","",IFERROR(DO207*HSCEI!$B$57*HSCEI!$G$57/HSCEI!$B$3,""))</f>
        <v/>
      </c>
      <c r="GD207" s="85">
        <f>IF(DP207="","",IFERROR(DP207*HSCEI!$B$57*HSCEI!$G$57/HSCEI!$B$3,""))</f>
        <v/>
      </c>
      <c r="GE207" s="85">
        <f>IF(DQ207="","",IFERROR(DQ207*HSCEI!$B$57*HSCEI!$G$57/HSCEI!$B$3,""))</f>
        <v/>
      </c>
      <c r="GF207" s="85">
        <f>IF(DR207="","",IFERROR(DR207*HSCEI!$B$57*HSCEI!$G$57/HSCEI!$B$3,""))</f>
        <v/>
      </c>
      <c r="GG207" s="85">
        <f>IF(DS207="","",IFERROR(DS207*HSCEI!$B$57*HSCEI!$G$57/HSCEI!$B$3,""))</f>
        <v/>
      </c>
      <c r="GH207" s="85">
        <f>IF(DT207="","",IFERROR(DT207*HSCEI!$B$57*HSCEI!$G$57/HSCEI!$B$3,""))</f>
        <v/>
      </c>
      <c r="GI207" s="85">
        <f>IF(DU207="","",IFERROR(DU207*HSCEI!$B$57*HSCEI!$G$57/HSCEI!$B$3,""))</f>
        <v/>
      </c>
      <c r="GJ207" s="85">
        <f>IF(DV207="","",IFERROR(DV207*HSCEI!$B$57*HSCEI!$G$57/HSCEI!$B$3,""))</f>
        <v/>
      </c>
      <c r="GK207" s="85">
        <f>IF(DW207="","",IFERROR(DW207*HSCEI!$B$57*HSCEI!$G$57/HSCEI!$B$3,""))</f>
        <v/>
      </c>
      <c r="GL207" s="85">
        <f>IF(DX207="","",IFERROR(DX207*HSCEI!$B$57*HSCEI!$G$57/HSCEI!$B$3,""))</f>
        <v/>
      </c>
      <c r="GM207" s="85">
        <f>IF(DY207="","",IFERROR(DY207*HSCEI!$B$57*HSCEI!$G$57/HSCEI!$B$3,""))</f>
        <v/>
      </c>
      <c r="GN207" s="85">
        <f>IF(DZ207="","",IFERROR(DZ207*HSCEI!$B$57*HSCEI!$G$57/HSCEI!$B$3,""))</f>
        <v/>
      </c>
      <c r="GO207" s="85">
        <f>IF(EA207="","",IFERROR(EA207*HSCEI!$B$57*HSCEI!$G$57/HSCEI!$B$3,""))</f>
        <v/>
      </c>
      <c r="GP207" s="85">
        <f>IF(EB207="","",IFERROR(EB207*HSCEI!$B$57*HSCEI!$G$57/HSCEI!$B$3,""))</f>
        <v/>
      </c>
      <c r="GQ207" s="85">
        <f>IF(EC207="","",IFERROR(EC207*HSCEI!$B$57*HSCEI!$G$57/HSCEI!$B$3,""))</f>
        <v/>
      </c>
    </row>
    <row r="208">
      <c r="B208" s="2">
        <f>IF(HSCEI!$C$58="","",HSCEI!$C$58)</f>
        <v/>
      </c>
      <c r="C208" s="41">
        <f>IF(N('Dvd Calendar'!$E$2885)=0,"",IF(('Dvd Calendar'!$E$2885&gt;=MIN(DATE(Summary!$C$12,1,1),Summary!$C$11))*('Dvd Calendar'!$E$2885&lt;=MAX(DATE(Summary!$C$12,12,31),Summary!$C$15))*('Dvd Calendar'!$E$2885&lt;=Summary!$C$11)=0,"",'Dvd Calendar'!$E$2885*1000000000+ISNUMBER('Dvd Calendar'!$E$2886)*100000000+('Dvd Calendar'!$E$2890='Field Check'!$C$25)*10000000+(N('Dvd Calendar'!$E$2884)&gt;0)*1000000+52*1000+1))</f>
        <v/>
      </c>
      <c r="D208" s="41">
        <f>IF(N('Dvd Calendar'!$F$2885)=0,"",IF(('Dvd Calendar'!$F$2885&gt;=MIN(DATE(Summary!$C$12,1,1),Summary!$C$11))*('Dvd Calendar'!$F$2885&lt;=MAX(DATE(Summary!$C$12,12,31),Summary!$C$15))*('Dvd Calendar'!$F$2885&lt;=Summary!$C$11)=0,"",'Dvd Calendar'!$F$2885*1000000000+ISNUMBER('Dvd Calendar'!$F$2886)*100000000+('Dvd Calendar'!$F$2890='Field Check'!$C$25)*10000000+(N('Dvd Calendar'!$F$2884)&gt;0)*1000000+52*1000+2))</f>
        <v/>
      </c>
      <c r="E208" s="41">
        <f>IF(N('Dvd Calendar'!$G$2885)=0,"",IF(('Dvd Calendar'!$G$2885&gt;=MIN(DATE(Summary!$C$12,1,1),Summary!$C$11))*('Dvd Calendar'!$G$2885&lt;=MAX(DATE(Summary!$C$12,12,31),Summary!$C$15))*('Dvd Calendar'!$G$2885&lt;=Summary!$C$11)=0,"",'Dvd Calendar'!$G$2885*1000000000+ISNUMBER('Dvd Calendar'!$G$2886)*100000000+('Dvd Calendar'!$G$2890='Field Check'!$C$25)*10000000+(N('Dvd Calendar'!$G$2884)&gt;0)*1000000+52*1000+3))</f>
        <v/>
      </c>
      <c r="F208" s="41">
        <f>IF(N('Dvd Calendar'!$H$2885)=0,"",IF(('Dvd Calendar'!$H$2885&gt;=MIN(DATE(Summary!$C$12,1,1),Summary!$C$11))*('Dvd Calendar'!$H$2885&lt;=MAX(DATE(Summary!$C$12,12,31),Summary!$C$15))*('Dvd Calendar'!$H$2885&lt;=Summary!$C$11)=0,"",'Dvd Calendar'!$H$2885*1000000000+ISNUMBER('Dvd Calendar'!$H$2886)*100000000+('Dvd Calendar'!$H$2890='Field Check'!$C$25)*10000000+(N('Dvd Calendar'!$H$2884)&gt;0)*1000000+52*1000+4))</f>
        <v/>
      </c>
      <c r="G208" s="41">
        <f>IF(N('Dvd Calendar'!$I$2885)=0,"",IF(('Dvd Calendar'!$I$2885&gt;=MIN(DATE(Summary!$C$12,1,1),Summary!$C$11))*('Dvd Calendar'!$I$2885&lt;=MAX(DATE(Summary!$C$12,12,31),Summary!$C$15))*('Dvd Calendar'!$I$2885&lt;=Summary!$C$11)=0,"",'Dvd Calendar'!$I$2885*1000000000+ISNUMBER('Dvd Calendar'!$I$2886)*100000000+('Dvd Calendar'!$I$2890='Field Check'!$C$25)*10000000+(N('Dvd Calendar'!$I$2884)&gt;0)*1000000+52*1000+5))</f>
        <v/>
      </c>
      <c r="H208" s="41">
        <f>IF(N('Dvd Calendar'!$J$2885)=0,"",IF(('Dvd Calendar'!$J$2885&gt;=MIN(DATE(Summary!$C$12,1,1),Summary!$C$11))*('Dvd Calendar'!$J$2885&lt;=MAX(DATE(Summary!$C$12,12,31),Summary!$C$15))*('Dvd Calendar'!$J$2885&lt;=Summary!$C$11)=0,"",'Dvd Calendar'!$J$2885*1000000000+ISNUMBER('Dvd Calendar'!$J$2886)*100000000+('Dvd Calendar'!$J$2890='Field Check'!$C$25)*10000000+(N('Dvd Calendar'!$J$2884)&gt;0)*1000000+52*1000+6))</f>
        <v/>
      </c>
      <c r="I208" s="41">
        <f>IF(N('Dvd Calendar'!$K$2885)=0,"",IF(('Dvd Calendar'!$K$2885&gt;=MIN(DATE(Summary!$C$12,1,1),Summary!$C$11))*('Dvd Calendar'!$K$2885&lt;=MAX(DATE(Summary!$C$12,12,31),Summary!$C$15))*('Dvd Calendar'!$K$2885&lt;=Summary!$C$11)=0,"",'Dvd Calendar'!$K$2885*1000000000+ISNUMBER('Dvd Calendar'!$K$2886)*100000000+('Dvd Calendar'!$K$2890='Field Check'!$C$25)*10000000+(N('Dvd Calendar'!$K$2884)&gt;0)*1000000+52*1000+7))</f>
        <v/>
      </c>
      <c r="J208" s="41">
        <f>IF(N('Dvd Calendar'!$L$2885)=0,"",IF(('Dvd Calendar'!$L$2885&gt;=MIN(DATE(Summary!$C$12,1,1),Summary!$C$11))*('Dvd Calendar'!$L$2885&lt;=MAX(DATE(Summary!$C$12,12,31),Summary!$C$15))*('Dvd Calendar'!$L$2885&lt;=Summary!$C$11)=0,"",'Dvd Calendar'!$L$2885*1000000000+ISNUMBER('Dvd Calendar'!$L$2886)*100000000+('Dvd Calendar'!$L$2890='Field Check'!$C$25)*10000000+(N('Dvd Calendar'!$L$2884)&gt;0)*1000000+52*1000+8))</f>
        <v/>
      </c>
      <c r="K208" s="41">
        <f>IF(N('Dvd Calendar'!$M$2885)=0,"",IF(('Dvd Calendar'!$M$2885&gt;=MIN(DATE(Summary!$C$12,1,1),Summary!$C$11))*('Dvd Calendar'!$M$2885&lt;=MAX(DATE(Summary!$C$12,12,31),Summary!$C$15))*('Dvd Calendar'!$M$2885&lt;=Summary!$C$11)=0,"",'Dvd Calendar'!$M$2885*1000000000+ISNUMBER('Dvd Calendar'!$M$2886)*100000000+('Dvd Calendar'!$M$2890='Field Check'!$C$25)*10000000+(N('Dvd Calendar'!$M$2884)&gt;0)*1000000+52*1000+9))</f>
        <v/>
      </c>
      <c r="L208" s="41">
        <f>IF(N('Dvd Calendar'!$N$2885)=0,"",IF(('Dvd Calendar'!$N$2885&gt;=MIN(DATE(Summary!$C$12,1,1),Summary!$C$11))*('Dvd Calendar'!$N$2885&lt;=MAX(DATE(Summary!$C$12,12,31),Summary!$C$15))*('Dvd Calendar'!$N$2885&lt;=Summary!$C$11)=0,"",'Dvd Calendar'!$N$2885*1000000000+ISNUMBER('Dvd Calendar'!$N$2886)*100000000+('Dvd Calendar'!$N$2890='Field Check'!$C$25)*10000000+(N('Dvd Calendar'!$N$2884)&gt;0)*1000000+52*1000+10))</f>
        <v/>
      </c>
      <c r="M208" s="41">
        <f>IF(N('Dvd Calendar'!$O$2885)=0,"",IF(('Dvd Calendar'!$O$2885&gt;=MIN(DATE(Summary!$C$12,1,1),Summary!$C$11))*('Dvd Calendar'!$O$2885&lt;=MAX(DATE(Summary!$C$12,12,31),Summary!$C$15))*('Dvd Calendar'!$O$2885&lt;=Summary!$C$11)=0,"",'Dvd Calendar'!$O$2885*1000000000+ISNUMBER('Dvd Calendar'!$O$2886)*100000000+('Dvd Calendar'!$O$2890='Field Check'!$C$25)*10000000+(N('Dvd Calendar'!$O$2884)&gt;0)*1000000+52*1000+11))</f>
        <v/>
      </c>
      <c r="N208" s="41">
        <f>IF(N('Dvd Calendar'!$P$2885)=0,"",IF(('Dvd Calendar'!$P$2885&gt;=MIN(DATE(Summary!$C$12,1,1),Summary!$C$11))*('Dvd Calendar'!$P$2885&lt;=MAX(DATE(Summary!$C$12,12,31),Summary!$C$15))*('Dvd Calendar'!$P$2885&lt;=Summary!$C$11)=0,"",'Dvd Calendar'!$P$2885*1000000000+ISNUMBER('Dvd Calendar'!$P$2886)*100000000+('Dvd Calendar'!$P$2890='Field Check'!$C$25)*10000000+(N('Dvd Calendar'!$P$2884)&gt;0)*1000000+52*1000+12))</f>
        <v/>
      </c>
      <c r="O208" s="41">
        <f>IF(N('Dvd Calendar'!$Q$2885)=0,"",IF(('Dvd Calendar'!$Q$2885&gt;=MIN(DATE(Summary!$C$12,1,1),Summary!$C$11))*('Dvd Calendar'!$Q$2885&lt;=MAX(DATE(Summary!$C$12,12,31),Summary!$C$15))*('Dvd Calendar'!$Q$2885&lt;=Summary!$C$11)=0,"",'Dvd Calendar'!$Q$2885*1000000000+ISNUMBER('Dvd Calendar'!$Q$2886)*100000000+('Dvd Calendar'!$Q$2890='Field Check'!$C$25)*10000000+(N('Dvd Calendar'!$Q$2884)&gt;0)*1000000+52*1000+13))</f>
        <v/>
      </c>
      <c r="P208" s="41">
        <f>IF(N('Dvd Calendar'!$R$2885)=0,"",IF(('Dvd Calendar'!$R$2885&gt;=MIN(DATE(Summary!$C$12,1,1),Summary!$C$11))*('Dvd Calendar'!$R$2885&lt;=MAX(DATE(Summary!$C$12,12,31),Summary!$C$15))*('Dvd Calendar'!$R$2885&lt;=Summary!$C$11)=0,"",'Dvd Calendar'!$R$2885*1000000000+ISNUMBER('Dvd Calendar'!$R$2886)*100000000+('Dvd Calendar'!$R$2890='Field Check'!$C$25)*10000000+(N('Dvd Calendar'!$R$2884)&gt;0)*1000000+52*1000+14))</f>
        <v/>
      </c>
      <c r="Q208" s="41">
        <f>IF(N('Dvd Calendar'!$S$2885)=0,"",IF(('Dvd Calendar'!$S$2885&gt;=MIN(DATE(Summary!$C$12,1,1),Summary!$C$11))*('Dvd Calendar'!$S$2885&lt;=MAX(DATE(Summary!$C$12,12,31),Summary!$C$15))*('Dvd Calendar'!$S$2885&lt;=Summary!$C$11)=0,"",'Dvd Calendar'!$S$2885*1000000000+ISNUMBER('Dvd Calendar'!$S$2886)*100000000+('Dvd Calendar'!$S$2890='Field Check'!$C$25)*10000000+(N('Dvd Calendar'!$S$2884)&gt;0)*1000000+52*1000+15))</f>
        <v/>
      </c>
      <c r="R208" s="41">
        <f>IF(N('Dvd Calendar'!$T$2885)=0,"",IF(('Dvd Calendar'!$T$2885&gt;=MIN(DATE(Summary!$C$12,1,1),Summary!$C$11))*('Dvd Calendar'!$T$2885&lt;=MAX(DATE(Summary!$C$12,12,31),Summary!$C$15))*('Dvd Calendar'!$T$2885&lt;=Summary!$C$11)=0,"",'Dvd Calendar'!$T$2885*1000000000+ISNUMBER('Dvd Calendar'!$T$2886)*100000000+('Dvd Calendar'!$T$2890='Field Check'!$C$25)*10000000+(N('Dvd Calendar'!$T$2884)&gt;0)*1000000+52*1000+16))</f>
        <v/>
      </c>
      <c r="S208" s="41">
        <f>IF(N('Dvd Calendar'!$U$2885)=0,"",IF(('Dvd Calendar'!$U$2885&gt;=MIN(DATE(Summary!$C$12,1,1),Summary!$C$11))*('Dvd Calendar'!$U$2885&lt;=MAX(DATE(Summary!$C$12,12,31),Summary!$C$15))*('Dvd Calendar'!$U$2885&lt;=Summary!$C$11)=0,"",'Dvd Calendar'!$U$2885*1000000000+ISNUMBER('Dvd Calendar'!$U$2886)*100000000+('Dvd Calendar'!$U$2890='Field Check'!$C$25)*10000000+(N('Dvd Calendar'!$U$2884)&gt;0)*1000000+52*1000+17))</f>
        <v/>
      </c>
      <c r="T208" s="41">
        <f>IF(N('Dvd Calendar'!$V$2885)=0,"",IF(('Dvd Calendar'!$V$2885&gt;=MIN(DATE(Summary!$C$12,1,1),Summary!$C$11))*('Dvd Calendar'!$V$2885&lt;=MAX(DATE(Summary!$C$12,12,31),Summary!$C$15))*('Dvd Calendar'!$V$2885&lt;=Summary!$C$11)=0,"",'Dvd Calendar'!$V$2885*1000000000+ISNUMBER('Dvd Calendar'!$V$2886)*100000000+('Dvd Calendar'!$V$2890='Field Check'!$C$25)*10000000+(N('Dvd Calendar'!$V$2884)&gt;0)*1000000+52*1000+18))</f>
        <v/>
      </c>
      <c r="U208" s="41">
        <f>IF(N('Dvd Calendar'!$W$2885)=0,"",IF(('Dvd Calendar'!$W$2885&gt;=MIN(DATE(Summary!$C$12,1,1),Summary!$C$11))*('Dvd Calendar'!$W$2885&lt;=MAX(DATE(Summary!$C$12,12,31),Summary!$C$15))*('Dvd Calendar'!$W$2885&lt;=Summary!$C$11)=0,"",'Dvd Calendar'!$W$2885*1000000000+ISNUMBER('Dvd Calendar'!$W$2886)*100000000+('Dvd Calendar'!$W$2890='Field Check'!$C$25)*10000000+(N('Dvd Calendar'!$W$2884)&gt;0)*1000000+52*1000+19))</f>
        <v/>
      </c>
      <c r="V208" s="41">
        <f>IF(N('Dvd Calendar'!$X$2885)=0,"",IF(('Dvd Calendar'!$X$2885&gt;=MIN(DATE(Summary!$C$12,1,1),Summary!$C$11))*('Dvd Calendar'!$X$2885&lt;=MAX(DATE(Summary!$C$12,12,31),Summary!$C$15))*('Dvd Calendar'!$X$2885&lt;=Summary!$C$11)=0,"",'Dvd Calendar'!$X$2885*1000000000+ISNUMBER('Dvd Calendar'!$X$2886)*100000000+('Dvd Calendar'!$X$2890='Field Check'!$C$25)*10000000+(N('Dvd Calendar'!$X$2884)&gt;0)*1000000+52*1000+20))</f>
        <v/>
      </c>
      <c r="W208" s="41">
        <f>IF(N('Dvd Calendar'!$Y$2885)=0,"",IF(('Dvd Calendar'!$Y$2885&gt;=MIN(DATE(Summary!$C$12,1,1),Summary!$C$11))*('Dvd Calendar'!$Y$2885&lt;=MAX(DATE(Summary!$C$12,12,31),Summary!$C$15))*('Dvd Calendar'!$Y$2885&lt;=Summary!$C$11)=0,"",'Dvd Calendar'!$Y$2885*1000000000+ISNUMBER('Dvd Calendar'!$Y$2886)*100000000+('Dvd Calendar'!$Y$2890='Field Check'!$C$25)*10000000+(N('Dvd Calendar'!$Y$2884)&gt;0)*1000000+52*1000+21))</f>
        <v/>
      </c>
      <c r="X208" s="41">
        <f>IF(N('Dvd Calendar'!$Z$2885)=0,"",IF(('Dvd Calendar'!$Z$2885&gt;=MIN(DATE(Summary!$C$12,1,1),Summary!$C$11))*('Dvd Calendar'!$Z$2885&lt;=MAX(DATE(Summary!$C$12,12,31),Summary!$C$15))*('Dvd Calendar'!$Z$2885&lt;=Summary!$C$11)=0,"",'Dvd Calendar'!$Z$2885*1000000000+ISNUMBER('Dvd Calendar'!$Z$2886)*100000000+('Dvd Calendar'!$Z$2890='Field Check'!$C$25)*10000000+(N('Dvd Calendar'!$Z$2884)&gt;0)*1000000+52*1000+22))</f>
        <v/>
      </c>
      <c r="Y208" s="41">
        <f>IF(N('Dvd Calendar'!$AA$2885)=0,"",IF(('Dvd Calendar'!$AA$2885&gt;=MIN(DATE(Summary!$C$12,1,1),Summary!$C$11))*('Dvd Calendar'!$AA$2885&lt;=MAX(DATE(Summary!$C$12,12,31),Summary!$C$15))*('Dvd Calendar'!$AA$2885&lt;=Summary!$C$11)=0,"",'Dvd Calendar'!$AA$2885*1000000000+ISNUMBER('Dvd Calendar'!$AA$2886)*100000000+('Dvd Calendar'!$AA$2890='Field Check'!$C$25)*10000000+(N('Dvd Calendar'!$AA$2884)&gt;0)*1000000+52*1000+23))</f>
        <v/>
      </c>
      <c r="Z208" s="41">
        <f>IF(N('Dvd Calendar'!$AB$2885)=0,"",IF(('Dvd Calendar'!$AB$2885&gt;=MIN(DATE(Summary!$C$12,1,1),Summary!$C$11))*('Dvd Calendar'!$AB$2885&lt;=MAX(DATE(Summary!$C$12,12,31),Summary!$C$15))*('Dvd Calendar'!$AB$2885&lt;=Summary!$C$11)=0,"",'Dvd Calendar'!$AB$2885*1000000000+ISNUMBER('Dvd Calendar'!$AB$2886)*100000000+('Dvd Calendar'!$AB$2890='Field Check'!$C$25)*10000000+(N('Dvd Calendar'!$AB$2884)&gt;0)*1000000+52*1000+24))</f>
        <v/>
      </c>
      <c r="AA208" s="41">
        <f>IF(N('Dvd Calendar'!$AC$2885)=0,"",IF(('Dvd Calendar'!$AC$2885&gt;=MIN(DATE(Summary!$C$12,1,1),Summary!$C$11))*('Dvd Calendar'!$AC$2885&lt;=MAX(DATE(Summary!$C$12,12,31),Summary!$C$15))*('Dvd Calendar'!$AC$2885&lt;=Summary!$C$11)=0,"",'Dvd Calendar'!$AC$2885*1000000000+ISNUMBER('Dvd Calendar'!$AC$2886)*100000000+('Dvd Calendar'!$AC$2890='Field Check'!$C$25)*10000000+(N('Dvd Calendar'!$AC$2884)&gt;0)*1000000+52*1000+25))</f>
        <v/>
      </c>
      <c r="AB208" s="41">
        <f>IF(N('Dvd Calendar'!$AD$2885)=0,"",IF(('Dvd Calendar'!$AD$2885&gt;=MIN(DATE(Summary!$C$12,1,1),Summary!$C$11))*('Dvd Calendar'!$AD$2885&lt;=MAX(DATE(Summary!$C$12,12,31),Summary!$C$15))*('Dvd Calendar'!$AD$2885&lt;=Summary!$C$11)=0,"",'Dvd Calendar'!$AD$2885*1000000000+ISNUMBER('Dvd Calendar'!$AD$2886)*100000000+('Dvd Calendar'!$AD$2890='Field Check'!$C$25)*10000000+(N('Dvd Calendar'!$AD$2884)&gt;0)*1000000+52*1000+26))</f>
        <v/>
      </c>
      <c r="AC208" s="41">
        <f>IF(N('Dvd Calendar'!$AE$2885)=0,"",IF(('Dvd Calendar'!$AE$2885&gt;=MIN(DATE(Summary!$C$12,1,1),Summary!$C$11))*('Dvd Calendar'!$AE$2885&lt;=MAX(DATE(Summary!$C$12,12,31),Summary!$C$15))*('Dvd Calendar'!$AE$2885&lt;=Summary!$C$11)=0,"",'Dvd Calendar'!$AE$2885*1000000000+ISNUMBER('Dvd Calendar'!$AE$2886)*100000000+('Dvd Calendar'!$AE$2890='Field Check'!$C$25)*10000000+(N('Dvd Calendar'!$AE$2884)&gt;0)*1000000+52*1000+27))</f>
        <v/>
      </c>
      <c r="AD208" s="41">
        <f>IF(N('Dvd Calendar'!$AF$2885)=0,"",IF(('Dvd Calendar'!$AF$2885&gt;=MIN(DATE(Summary!$C$12,1,1),Summary!$C$11))*('Dvd Calendar'!$AF$2885&lt;=MAX(DATE(Summary!$C$12,12,31),Summary!$C$15))*('Dvd Calendar'!$AF$2885&lt;=Summary!$C$11)=0,"",'Dvd Calendar'!$AF$2885*1000000000+ISNUMBER('Dvd Calendar'!$AF$2886)*100000000+('Dvd Calendar'!$AF$2890='Field Check'!$C$25)*10000000+(N('Dvd Calendar'!$AF$2884)&gt;0)*1000000+52*1000+28))</f>
        <v/>
      </c>
      <c r="AE208" s="41">
        <f>IF(N('Dvd Calendar'!$AG$2885)=0,"",IF(('Dvd Calendar'!$AG$2885&gt;=MIN(DATE(Summary!$C$12,1,1),Summary!$C$11))*('Dvd Calendar'!$AG$2885&lt;=MAX(DATE(Summary!$C$12,12,31),Summary!$C$15))*('Dvd Calendar'!$AG$2885&lt;=Summary!$C$11)=0,"",'Dvd Calendar'!$AG$2885*1000000000+ISNUMBER('Dvd Calendar'!$AG$2886)*100000000+('Dvd Calendar'!$AG$2890='Field Check'!$C$25)*10000000+(N('Dvd Calendar'!$AG$2884)&gt;0)*1000000+52*1000+29))</f>
        <v/>
      </c>
      <c r="AF208" s="41">
        <f>IF(N('Dvd Calendar'!$AH$2885)=0,"",IF(('Dvd Calendar'!$AH$2885&gt;=MIN(DATE(Summary!$C$12,1,1),Summary!$C$11))*('Dvd Calendar'!$AH$2885&lt;=MAX(DATE(Summary!$C$12,12,31),Summary!$C$15))*('Dvd Calendar'!$AH$2885&lt;=Summary!$C$11)=0,"",'Dvd Calendar'!$AH$2885*1000000000+ISNUMBER('Dvd Calendar'!$AH$2886)*100000000+('Dvd Calendar'!$AH$2890='Field Check'!$C$25)*10000000+(N('Dvd Calendar'!$AH$2884)&gt;0)*1000000+52*1000+30))</f>
        <v/>
      </c>
      <c r="AG208" s="41">
        <f>IF(N('Dvd Calendar'!$AI$2885)=0,"",IF(('Dvd Calendar'!$AI$2885&gt;=MIN(DATE(Summary!$C$12,1,1),Summary!$C$11))*('Dvd Calendar'!$AI$2885&lt;=MAX(DATE(Summary!$C$12,12,31),Summary!$C$15))*('Dvd Calendar'!$AI$2885&lt;=Summary!$C$11)=0,"",'Dvd Calendar'!$AI$2885*1000000000+ISNUMBER('Dvd Calendar'!$AI$2886)*100000000+('Dvd Calendar'!$AI$2890='Field Check'!$C$25)*10000000+(N('Dvd Calendar'!$AI$2884)&gt;0)*1000000+52*1000+31))</f>
        <v/>
      </c>
      <c r="AH208" s="41">
        <f>IF(N('Dvd Calendar'!$AJ$2885)=0,"",IF(('Dvd Calendar'!$AJ$2885&gt;=MIN(DATE(Summary!$C$12,1,1),Summary!$C$11))*('Dvd Calendar'!$AJ$2885&lt;=MAX(DATE(Summary!$C$12,12,31),Summary!$C$15))*('Dvd Calendar'!$AJ$2885&lt;=Summary!$C$11)=0,"",'Dvd Calendar'!$AJ$2885*1000000000+ISNUMBER('Dvd Calendar'!$AJ$2886)*100000000+('Dvd Calendar'!$AJ$2890='Field Check'!$C$25)*10000000+(N('Dvd Calendar'!$AJ$2884)&gt;0)*1000000+52*1000+32))</f>
        <v/>
      </c>
      <c r="AI208" s="41">
        <f>IF(N('Dvd Calendar'!$AK$2885)=0,"",IF(('Dvd Calendar'!$AK$2885&gt;=MIN(DATE(Summary!$C$12,1,1),Summary!$C$11))*('Dvd Calendar'!$AK$2885&lt;=MAX(DATE(Summary!$C$12,12,31),Summary!$C$15))*('Dvd Calendar'!$AK$2885&lt;=Summary!$C$11)=0,"",'Dvd Calendar'!$AK$2885*1000000000+ISNUMBER('Dvd Calendar'!$AK$2886)*100000000+('Dvd Calendar'!$AK$2890='Field Check'!$C$25)*10000000+(N('Dvd Calendar'!$AK$2884)&gt;0)*1000000+52*1000+33))</f>
        <v/>
      </c>
      <c r="AJ208" s="41">
        <f>IF(N('Dvd Calendar'!$AL$2885)=0,"",IF(('Dvd Calendar'!$AL$2885&gt;=MIN(DATE(Summary!$C$12,1,1),Summary!$C$11))*('Dvd Calendar'!$AL$2885&lt;=MAX(DATE(Summary!$C$12,12,31),Summary!$C$15))*('Dvd Calendar'!$AL$2885&lt;=Summary!$C$11)=0,"",'Dvd Calendar'!$AL$2885*1000000000+ISNUMBER('Dvd Calendar'!$AL$2886)*100000000+('Dvd Calendar'!$AL$2890='Field Check'!$C$25)*10000000+(N('Dvd Calendar'!$AL$2884)&gt;0)*1000000+52*1000+34))</f>
        <v/>
      </c>
      <c r="AK208" s="41">
        <f>IF(N('Dvd Calendar'!$AM$2885)=0,"",IF(('Dvd Calendar'!$AM$2885&gt;=MIN(DATE(Summary!$C$12,1,1),Summary!$C$11))*('Dvd Calendar'!$AM$2885&lt;=MAX(DATE(Summary!$C$12,12,31),Summary!$C$15))*('Dvd Calendar'!$AM$2885&lt;=Summary!$C$11)=0,"",'Dvd Calendar'!$AM$2885*1000000000+ISNUMBER('Dvd Calendar'!$AM$2886)*100000000+('Dvd Calendar'!$AM$2890='Field Check'!$C$25)*10000000+(N('Dvd Calendar'!$AM$2884)&gt;0)*1000000+52*1000+35))</f>
        <v/>
      </c>
      <c r="AL208" s="41">
        <f>IF(N('Dvd Calendar'!$AN$2885)=0,"",IF(('Dvd Calendar'!$AN$2885&gt;=MIN(DATE(Summary!$C$12,1,1),Summary!$C$11))*('Dvd Calendar'!$AN$2885&lt;=MAX(DATE(Summary!$C$12,12,31),Summary!$C$15))*('Dvd Calendar'!$AN$2885&lt;=Summary!$C$11)=0,"",'Dvd Calendar'!$AN$2885*1000000000+ISNUMBER('Dvd Calendar'!$AN$2886)*100000000+('Dvd Calendar'!$AN$2890='Field Check'!$C$25)*10000000+(N('Dvd Calendar'!$AN$2884)&gt;0)*1000000+52*1000+36))</f>
        <v/>
      </c>
      <c r="AM208" s="41">
        <f>IF(N('Dvd Calendar'!$AO$2885)=0,"",IF(('Dvd Calendar'!$AO$2885&gt;=MIN(DATE(Summary!$C$12,1,1),Summary!$C$11))*('Dvd Calendar'!$AO$2885&lt;=MAX(DATE(Summary!$C$12,12,31),Summary!$C$15))*('Dvd Calendar'!$AO$2885&lt;=Summary!$C$11)=0,"",'Dvd Calendar'!$AO$2885*1000000000+ISNUMBER('Dvd Calendar'!$AO$2886)*100000000+('Dvd Calendar'!$AO$2890='Field Check'!$C$25)*10000000+(N('Dvd Calendar'!$AO$2884)&gt;0)*1000000+52*1000+37))</f>
        <v/>
      </c>
      <c r="AN208" s="41">
        <f>IF(N('Dvd Calendar'!$AP$2885)=0,"",IF(('Dvd Calendar'!$AP$2885&gt;=MIN(DATE(Summary!$C$12,1,1),Summary!$C$11))*('Dvd Calendar'!$AP$2885&lt;=MAX(DATE(Summary!$C$12,12,31),Summary!$C$15))*('Dvd Calendar'!$AP$2885&lt;=Summary!$C$11)=0,"",'Dvd Calendar'!$AP$2885*1000000000+ISNUMBER('Dvd Calendar'!$AP$2886)*100000000+('Dvd Calendar'!$AP$2890='Field Check'!$C$25)*10000000+(N('Dvd Calendar'!$AP$2884)&gt;0)*1000000+52*1000+38))</f>
        <v/>
      </c>
      <c r="AO208" s="41">
        <f>IF(N('Dvd Calendar'!$AQ$2885)=0,"",IF(('Dvd Calendar'!$AQ$2885&gt;=MIN(DATE(Summary!$C$12,1,1),Summary!$C$11))*('Dvd Calendar'!$AQ$2885&lt;=MAX(DATE(Summary!$C$12,12,31),Summary!$C$15))*('Dvd Calendar'!$AQ$2885&lt;=Summary!$C$11)=0,"",'Dvd Calendar'!$AQ$2885*1000000000+ISNUMBER('Dvd Calendar'!$AQ$2886)*100000000+('Dvd Calendar'!$AQ$2890='Field Check'!$C$25)*10000000+(N('Dvd Calendar'!$AQ$2884)&gt;0)*1000000+52*1000+39))</f>
        <v/>
      </c>
      <c r="AP208" s="41">
        <f>IF(N('Dvd Calendar'!$AR$2885)=0,"",IF(('Dvd Calendar'!$AR$2885&gt;=MIN(DATE(Summary!$C$12,1,1),Summary!$C$11))*('Dvd Calendar'!$AR$2885&lt;=MAX(DATE(Summary!$C$12,12,31),Summary!$C$15))*('Dvd Calendar'!$AR$2885&lt;=Summary!$C$11)=0,"",'Dvd Calendar'!$AR$2885*1000000000+ISNUMBER('Dvd Calendar'!$AR$2886)*100000000+('Dvd Calendar'!$AR$2890='Field Check'!$C$25)*10000000+(N('Dvd Calendar'!$AR$2884)&gt;0)*1000000+52*1000+40))</f>
        <v/>
      </c>
      <c r="AQ208" s="41">
        <f>IF(N('Dvd Calendar'!$E$2892)=0,"",IF(('Dvd Calendar'!$E$2892&gt;=MIN(DATE(Summary!$C$12,1,1),Summary!$C$11))*('Dvd Calendar'!$E$2892&lt;=MAX(DATE(Summary!$C$12,12,31),Summary!$C$15))*('Dvd Calendar'!$E$2892&gt;Summary!$C$11)=0,"",'Dvd Calendar'!$E$2892*1000000000+ISNUMBER('Dvd Calendar'!$E$2893)*100000000+('Dvd Calendar'!$E$2897='Field Check'!$C$25)*10000000+(N('Dvd Calendar'!$E$2891)&gt;0)*1000000+52*1000+41))</f>
        <v/>
      </c>
      <c r="AR208" s="41">
        <f>IF(N('Dvd Calendar'!$F$2892)=0,"",IF(('Dvd Calendar'!$F$2892&gt;=MIN(DATE(Summary!$C$12,1,1),Summary!$C$11))*('Dvd Calendar'!$F$2892&lt;=MAX(DATE(Summary!$C$12,12,31),Summary!$C$15))*('Dvd Calendar'!$F$2892&gt;Summary!$C$11)=0,"",'Dvd Calendar'!$F$2892*1000000000+ISNUMBER('Dvd Calendar'!$F$2893)*100000000+('Dvd Calendar'!$F$2897='Field Check'!$C$25)*10000000+(N('Dvd Calendar'!$F$2891)&gt;0)*1000000+52*1000+42))</f>
        <v/>
      </c>
      <c r="AS208" s="41">
        <f>IF(N('Dvd Calendar'!$G$2892)=0,"",IF(('Dvd Calendar'!$G$2892&gt;=MIN(DATE(Summary!$C$12,1,1),Summary!$C$11))*('Dvd Calendar'!$G$2892&lt;=MAX(DATE(Summary!$C$12,12,31),Summary!$C$15))*('Dvd Calendar'!$G$2892&gt;Summary!$C$11)=0,"",'Dvd Calendar'!$G$2892*1000000000+ISNUMBER('Dvd Calendar'!$G$2893)*100000000+('Dvd Calendar'!$G$2897='Field Check'!$C$25)*10000000+(N('Dvd Calendar'!$G$2891)&gt;0)*1000000+52*1000+43))</f>
        <v/>
      </c>
      <c r="AT208" s="41">
        <f>IF(N('Dvd Calendar'!$H$2892)=0,"",IF(('Dvd Calendar'!$H$2892&gt;=MIN(DATE(Summary!$C$12,1,1),Summary!$C$11))*('Dvd Calendar'!$H$2892&lt;=MAX(DATE(Summary!$C$12,12,31),Summary!$C$15))*('Dvd Calendar'!$H$2892&gt;Summary!$C$11)=0,"",'Dvd Calendar'!$H$2892*1000000000+ISNUMBER('Dvd Calendar'!$H$2893)*100000000+('Dvd Calendar'!$H$2897='Field Check'!$C$25)*10000000+(N('Dvd Calendar'!$H$2891)&gt;0)*1000000+52*1000+44))</f>
        <v/>
      </c>
      <c r="AU208" s="41">
        <f>IF(N('Dvd Calendar'!$I$2892)=0,"",IF(('Dvd Calendar'!$I$2892&gt;=MIN(DATE(Summary!$C$12,1,1),Summary!$C$11))*('Dvd Calendar'!$I$2892&lt;=MAX(DATE(Summary!$C$12,12,31),Summary!$C$15))*('Dvd Calendar'!$I$2892&gt;Summary!$C$11)=0,"",'Dvd Calendar'!$I$2892*1000000000+ISNUMBER('Dvd Calendar'!$I$2893)*100000000+('Dvd Calendar'!$I$2897='Field Check'!$C$25)*10000000+(N('Dvd Calendar'!$I$2891)&gt;0)*1000000+52*1000+45))</f>
        <v/>
      </c>
      <c r="AV208" s="41">
        <f>IF(N('Dvd Calendar'!$J$2892)=0,"",IF(('Dvd Calendar'!$J$2892&gt;=MIN(DATE(Summary!$C$12,1,1),Summary!$C$11))*('Dvd Calendar'!$J$2892&lt;=MAX(DATE(Summary!$C$12,12,31),Summary!$C$15))*('Dvd Calendar'!$J$2892&gt;Summary!$C$11)=0,"",'Dvd Calendar'!$J$2892*1000000000+ISNUMBER('Dvd Calendar'!$J$2893)*100000000+('Dvd Calendar'!$J$2897='Field Check'!$C$25)*10000000+(N('Dvd Calendar'!$J$2891)&gt;0)*1000000+52*1000+46))</f>
        <v/>
      </c>
      <c r="AW208" s="41">
        <f>IF(N('Dvd Calendar'!$K$2892)=0,"",IF(('Dvd Calendar'!$K$2892&gt;=MIN(DATE(Summary!$C$12,1,1),Summary!$C$11))*('Dvd Calendar'!$K$2892&lt;=MAX(DATE(Summary!$C$12,12,31),Summary!$C$15))*('Dvd Calendar'!$K$2892&gt;Summary!$C$11)=0,"",'Dvd Calendar'!$K$2892*1000000000+ISNUMBER('Dvd Calendar'!$K$2893)*100000000+('Dvd Calendar'!$K$2897='Field Check'!$C$25)*10000000+(N('Dvd Calendar'!$K$2891)&gt;0)*1000000+52*1000+47))</f>
        <v/>
      </c>
      <c r="AX208" s="41">
        <f>IF(N('Dvd Calendar'!$L$2892)=0,"",IF(('Dvd Calendar'!$L$2892&gt;=MIN(DATE(Summary!$C$12,1,1),Summary!$C$11))*('Dvd Calendar'!$L$2892&lt;=MAX(DATE(Summary!$C$12,12,31),Summary!$C$15))*('Dvd Calendar'!$L$2892&gt;Summary!$C$11)=0,"",'Dvd Calendar'!$L$2892*1000000000+ISNUMBER('Dvd Calendar'!$L$2893)*100000000+('Dvd Calendar'!$L$2897='Field Check'!$C$25)*10000000+(N('Dvd Calendar'!$L$2891)&gt;0)*1000000+52*1000+48))</f>
        <v/>
      </c>
      <c r="AY208" s="41">
        <f>IF(N('Dvd Calendar'!$M$2892)=0,"",IF(('Dvd Calendar'!$M$2892&gt;=MIN(DATE(Summary!$C$12,1,1),Summary!$C$11))*('Dvd Calendar'!$M$2892&lt;=MAX(DATE(Summary!$C$12,12,31),Summary!$C$15))*('Dvd Calendar'!$M$2892&gt;Summary!$C$11)=0,"",'Dvd Calendar'!$M$2892*1000000000+ISNUMBER('Dvd Calendar'!$M$2893)*100000000+('Dvd Calendar'!$M$2897='Field Check'!$C$25)*10000000+(N('Dvd Calendar'!$M$2891)&gt;0)*1000000+52*1000+49))</f>
        <v/>
      </c>
      <c r="AZ208" s="41">
        <f>IF(N('Dvd Calendar'!$N$2892)=0,"",IF(('Dvd Calendar'!$N$2892&gt;=MIN(DATE(Summary!$C$12,1,1),Summary!$C$11))*('Dvd Calendar'!$N$2892&lt;=MAX(DATE(Summary!$C$12,12,31),Summary!$C$15))*('Dvd Calendar'!$N$2892&gt;Summary!$C$11)=0,"",'Dvd Calendar'!$N$2892*1000000000+ISNUMBER('Dvd Calendar'!$N$2893)*100000000+('Dvd Calendar'!$N$2897='Field Check'!$C$25)*10000000+(N('Dvd Calendar'!$N$2891)&gt;0)*1000000+52*1000+50))</f>
        <v/>
      </c>
      <c r="BA208" s="41">
        <f>IF(N('Dvd Calendar'!$O$2892)=0,"",IF(('Dvd Calendar'!$O$2892&gt;=MIN(DATE(Summary!$C$12,1,1),Summary!$C$11))*('Dvd Calendar'!$O$2892&lt;=MAX(DATE(Summary!$C$12,12,31),Summary!$C$15))*('Dvd Calendar'!$O$2892&gt;Summary!$C$11)=0,"",'Dvd Calendar'!$O$2892*1000000000+ISNUMBER('Dvd Calendar'!$O$2893)*100000000+('Dvd Calendar'!$O$2897='Field Check'!$C$25)*10000000+(N('Dvd Calendar'!$O$2891)&gt;0)*1000000+52*1000+51))</f>
        <v/>
      </c>
      <c r="BB208" s="41">
        <f>IF(N('Dvd Calendar'!$P$2892)=0,"",IF(('Dvd Calendar'!$P$2892&gt;=MIN(DATE(Summary!$C$12,1,1),Summary!$C$11))*('Dvd Calendar'!$P$2892&lt;=MAX(DATE(Summary!$C$12,12,31),Summary!$C$15))*('Dvd Calendar'!$P$2892&gt;Summary!$C$11)=0,"",'Dvd Calendar'!$P$2892*1000000000+ISNUMBER('Dvd Calendar'!$P$2893)*100000000+('Dvd Calendar'!$P$2897='Field Check'!$C$25)*10000000+(N('Dvd Calendar'!$P$2891)&gt;0)*1000000+52*1000+52))</f>
        <v/>
      </c>
      <c r="BC208" s="41">
        <f>IF(N('Dvd Calendar'!$Q$2892)=0,"",IF(('Dvd Calendar'!$Q$2892&gt;=MIN(DATE(Summary!$C$12,1,1),Summary!$C$11))*('Dvd Calendar'!$Q$2892&lt;=MAX(DATE(Summary!$C$12,12,31),Summary!$C$15))*('Dvd Calendar'!$Q$2892&gt;Summary!$C$11)=0,"",'Dvd Calendar'!$Q$2892*1000000000+ISNUMBER('Dvd Calendar'!$Q$2893)*100000000+('Dvd Calendar'!$Q$2897='Field Check'!$C$25)*10000000+(N('Dvd Calendar'!$Q$2891)&gt;0)*1000000+52*1000+53))</f>
        <v/>
      </c>
      <c r="BD208" s="41">
        <f>IF(N('Dvd Calendar'!$R$2892)=0,"",IF(('Dvd Calendar'!$R$2892&gt;=MIN(DATE(Summary!$C$12,1,1),Summary!$C$11))*('Dvd Calendar'!$R$2892&lt;=MAX(DATE(Summary!$C$12,12,31),Summary!$C$15))*('Dvd Calendar'!$R$2892&gt;Summary!$C$11)=0,"",'Dvd Calendar'!$R$2892*1000000000+ISNUMBER('Dvd Calendar'!$R$2893)*100000000+('Dvd Calendar'!$R$2897='Field Check'!$C$25)*10000000+(N('Dvd Calendar'!$R$2891)&gt;0)*1000000+52*1000+54))</f>
        <v/>
      </c>
      <c r="BE208" s="41">
        <f>IF(N('Dvd Calendar'!$S$2892)=0,"",IF(('Dvd Calendar'!$S$2892&gt;=MIN(DATE(Summary!$C$12,1,1),Summary!$C$11))*('Dvd Calendar'!$S$2892&lt;=MAX(DATE(Summary!$C$12,12,31),Summary!$C$15))*('Dvd Calendar'!$S$2892&gt;Summary!$C$11)=0,"",'Dvd Calendar'!$S$2892*1000000000+ISNUMBER('Dvd Calendar'!$S$2893)*100000000+('Dvd Calendar'!$S$2897='Field Check'!$C$25)*10000000+(N('Dvd Calendar'!$S$2891)&gt;0)*1000000+52*1000+55))</f>
        <v/>
      </c>
      <c r="BF208" s="41">
        <f>IF(N('Dvd Calendar'!$T$2892)=0,"",IF(('Dvd Calendar'!$T$2892&gt;=MIN(DATE(Summary!$C$12,1,1),Summary!$C$11))*('Dvd Calendar'!$T$2892&lt;=MAX(DATE(Summary!$C$12,12,31),Summary!$C$15))*('Dvd Calendar'!$T$2892&gt;Summary!$C$11)=0,"",'Dvd Calendar'!$T$2892*1000000000+ISNUMBER('Dvd Calendar'!$T$2893)*100000000+('Dvd Calendar'!$T$2897='Field Check'!$C$25)*10000000+(N('Dvd Calendar'!$T$2891)&gt;0)*1000000+52*1000+56))</f>
        <v/>
      </c>
      <c r="BG208" s="41">
        <f>IF(N('Dvd Calendar'!$U$2892)=0,"",IF(('Dvd Calendar'!$U$2892&gt;=MIN(DATE(Summary!$C$12,1,1),Summary!$C$11))*('Dvd Calendar'!$U$2892&lt;=MAX(DATE(Summary!$C$12,12,31),Summary!$C$15))*('Dvd Calendar'!$U$2892&gt;Summary!$C$11)=0,"",'Dvd Calendar'!$U$2892*1000000000+ISNUMBER('Dvd Calendar'!$U$2893)*100000000+('Dvd Calendar'!$U$2897='Field Check'!$C$25)*10000000+(N('Dvd Calendar'!$U$2891)&gt;0)*1000000+52*1000+57))</f>
        <v/>
      </c>
      <c r="BH208" s="41">
        <f>IF(N('Dvd Calendar'!$V$2892)=0,"",IF(('Dvd Calendar'!$V$2892&gt;=MIN(DATE(Summary!$C$12,1,1),Summary!$C$11))*('Dvd Calendar'!$V$2892&lt;=MAX(DATE(Summary!$C$12,12,31),Summary!$C$15))*('Dvd Calendar'!$V$2892&gt;Summary!$C$11)=0,"",'Dvd Calendar'!$V$2892*1000000000+ISNUMBER('Dvd Calendar'!$V$2893)*100000000+('Dvd Calendar'!$V$2897='Field Check'!$C$25)*10000000+(N('Dvd Calendar'!$V$2891)&gt;0)*1000000+52*1000+58))</f>
        <v/>
      </c>
      <c r="BI208" s="41">
        <f>IF(N('Dvd Calendar'!$W$2892)=0,"",IF(('Dvd Calendar'!$W$2892&gt;=MIN(DATE(Summary!$C$12,1,1),Summary!$C$11))*('Dvd Calendar'!$W$2892&lt;=MAX(DATE(Summary!$C$12,12,31),Summary!$C$15))*('Dvd Calendar'!$W$2892&gt;Summary!$C$11)=0,"",'Dvd Calendar'!$W$2892*1000000000+ISNUMBER('Dvd Calendar'!$W$2893)*100000000+('Dvd Calendar'!$W$2897='Field Check'!$C$25)*10000000+(N('Dvd Calendar'!$W$2891)&gt;0)*1000000+52*1000+59))</f>
        <v/>
      </c>
      <c r="BJ208" s="41">
        <f>IF(N('Dvd Calendar'!$X$2892)=0,"",IF(('Dvd Calendar'!$X$2892&gt;=MIN(DATE(Summary!$C$12,1,1),Summary!$C$11))*('Dvd Calendar'!$X$2892&lt;=MAX(DATE(Summary!$C$12,12,31),Summary!$C$15))*('Dvd Calendar'!$X$2892&gt;Summary!$C$11)=0,"",'Dvd Calendar'!$X$2892*1000000000+ISNUMBER('Dvd Calendar'!$X$2893)*100000000+('Dvd Calendar'!$X$2897='Field Check'!$C$25)*10000000+(N('Dvd Calendar'!$X$2891)&gt;0)*1000000+52*1000+60))</f>
        <v/>
      </c>
      <c r="BK208" s="41">
        <f>IF(N('Dvd Calendar'!$Y$2892)=0,"",IF(('Dvd Calendar'!$Y$2892&gt;=MIN(DATE(Summary!$C$12,1,1),Summary!$C$11))*('Dvd Calendar'!$Y$2892&lt;=MAX(DATE(Summary!$C$12,12,31),Summary!$C$15))*('Dvd Calendar'!$Y$2892&gt;Summary!$C$11)=0,"",'Dvd Calendar'!$Y$2892*1000000000+ISNUMBER('Dvd Calendar'!$Y$2893)*100000000+('Dvd Calendar'!$Y$2897='Field Check'!$C$25)*10000000+(N('Dvd Calendar'!$Y$2891)&gt;0)*1000000+52*1000+61))</f>
        <v/>
      </c>
      <c r="BL208" s="41">
        <f>IF(N('Dvd Calendar'!$Z$2892)=0,"",IF(('Dvd Calendar'!$Z$2892&gt;=MIN(DATE(Summary!$C$12,1,1),Summary!$C$11))*('Dvd Calendar'!$Z$2892&lt;=MAX(DATE(Summary!$C$12,12,31),Summary!$C$15))*('Dvd Calendar'!$Z$2892&gt;Summary!$C$11)=0,"",'Dvd Calendar'!$Z$2892*1000000000+ISNUMBER('Dvd Calendar'!$Z$2893)*100000000+('Dvd Calendar'!$Z$2897='Field Check'!$C$25)*10000000+(N('Dvd Calendar'!$Z$2891)&gt;0)*1000000+52*1000+62))</f>
        <v/>
      </c>
      <c r="BM208" s="41">
        <f>IF(N('Dvd Calendar'!$AA$2892)=0,"",IF(('Dvd Calendar'!$AA$2892&gt;=MIN(DATE(Summary!$C$12,1,1),Summary!$C$11))*('Dvd Calendar'!$AA$2892&lt;=MAX(DATE(Summary!$C$12,12,31),Summary!$C$15))*('Dvd Calendar'!$AA$2892&gt;Summary!$C$11)=0,"",'Dvd Calendar'!$AA$2892*1000000000+ISNUMBER('Dvd Calendar'!$AA$2893)*100000000+('Dvd Calendar'!$AA$2897='Field Check'!$C$25)*10000000+(N('Dvd Calendar'!$AA$2891)&gt;0)*1000000+52*1000+63))</f>
        <v/>
      </c>
      <c r="BN208" s="41">
        <f>IF(N('Dvd Calendar'!$AB$2892)=0,"",IF(('Dvd Calendar'!$AB$2892&gt;=MIN(DATE(Summary!$C$12,1,1),Summary!$C$11))*('Dvd Calendar'!$AB$2892&lt;=MAX(DATE(Summary!$C$12,12,31),Summary!$C$15))*('Dvd Calendar'!$AB$2892&gt;Summary!$C$11)=0,"",'Dvd Calendar'!$AB$2892*1000000000+ISNUMBER('Dvd Calendar'!$AB$2893)*100000000+('Dvd Calendar'!$AB$2897='Field Check'!$C$25)*10000000+(N('Dvd Calendar'!$AB$2891)&gt;0)*1000000+52*1000+64))</f>
        <v/>
      </c>
      <c r="BO208" s="41">
        <f>IF(N('Dvd Calendar'!$AC$2892)=0,"",IF(('Dvd Calendar'!$AC$2892&gt;=MIN(DATE(Summary!$C$12,1,1),Summary!$C$11))*('Dvd Calendar'!$AC$2892&lt;=MAX(DATE(Summary!$C$12,12,31),Summary!$C$15))*('Dvd Calendar'!$AC$2892&gt;Summary!$C$11)=0,"",'Dvd Calendar'!$AC$2892*1000000000+ISNUMBER('Dvd Calendar'!$AC$2893)*100000000+('Dvd Calendar'!$AC$2897='Field Check'!$C$25)*10000000+(N('Dvd Calendar'!$AC$2891)&gt;0)*1000000+52*1000+65))</f>
        <v/>
      </c>
      <c r="BQ208" s="85">
        <f>IF(C208="","",IF(ISNUMBER('Dvd Calendar'!$E$2886)=FALSE,"",IF((Summary!$C$13="N")*('Dvd Calendar'!$E$2890='Field Check'!$C$25)&gt;0,"",'Dvd Calendar'!$E$2886)))</f>
        <v/>
      </c>
      <c r="BR208" s="85">
        <f>IF(D208="","",IF(ISNUMBER('Dvd Calendar'!$F$2886)=FALSE,"",IF((Summary!$C$13="N")*('Dvd Calendar'!$F$2890='Field Check'!$C$25)&gt;0,"",'Dvd Calendar'!$F$2886)))</f>
        <v/>
      </c>
      <c r="BS208" s="85">
        <f>IF(E208="","",IF(ISNUMBER('Dvd Calendar'!$G$2886)=FALSE,"",IF((Summary!$C$13="N")*('Dvd Calendar'!$G$2890='Field Check'!$C$25)&gt;0,"",'Dvd Calendar'!$G$2886)))</f>
        <v/>
      </c>
      <c r="BT208" s="85">
        <f>IF(F208="","",IF(ISNUMBER('Dvd Calendar'!$H$2886)=FALSE,"",IF((Summary!$C$13="N")*('Dvd Calendar'!$H$2890='Field Check'!$C$25)&gt;0,"",'Dvd Calendar'!$H$2886)))</f>
        <v/>
      </c>
      <c r="BU208" s="85">
        <f>IF(G208="","",IF(ISNUMBER('Dvd Calendar'!$I$2886)=FALSE,"",IF((Summary!$C$13="N")*('Dvd Calendar'!$I$2890='Field Check'!$C$25)&gt;0,"",'Dvd Calendar'!$I$2886)))</f>
        <v/>
      </c>
      <c r="BV208" s="85">
        <f>IF(H208="","",IF(ISNUMBER('Dvd Calendar'!$J$2886)=FALSE,"",IF((Summary!$C$13="N")*('Dvd Calendar'!$J$2890='Field Check'!$C$25)&gt;0,"",'Dvd Calendar'!$J$2886)))</f>
        <v/>
      </c>
      <c r="BW208" s="85">
        <f>IF(I208="","",IF(ISNUMBER('Dvd Calendar'!$K$2886)=FALSE,"",IF((Summary!$C$13="N")*('Dvd Calendar'!$K$2890='Field Check'!$C$25)&gt;0,"",'Dvd Calendar'!$K$2886)))</f>
        <v/>
      </c>
      <c r="BX208" s="85">
        <f>IF(J208="","",IF(ISNUMBER('Dvd Calendar'!$L$2886)=FALSE,"",IF((Summary!$C$13="N")*('Dvd Calendar'!$L$2890='Field Check'!$C$25)&gt;0,"",'Dvd Calendar'!$L$2886)))</f>
        <v/>
      </c>
      <c r="BY208" s="85">
        <f>IF(K208="","",IF(ISNUMBER('Dvd Calendar'!$M$2886)=FALSE,"",IF((Summary!$C$13="N")*('Dvd Calendar'!$M$2890='Field Check'!$C$25)&gt;0,"",'Dvd Calendar'!$M$2886)))</f>
        <v/>
      </c>
      <c r="BZ208" s="85">
        <f>IF(L208="","",IF(ISNUMBER('Dvd Calendar'!$N$2886)=FALSE,"",IF((Summary!$C$13="N")*('Dvd Calendar'!$N$2890='Field Check'!$C$25)&gt;0,"",'Dvd Calendar'!$N$2886)))</f>
        <v/>
      </c>
      <c r="CA208" s="85">
        <f>IF(M208="","",IF(ISNUMBER('Dvd Calendar'!$O$2886)=FALSE,"",IF((Summary!$C$13="N")*('Dvd Calendar'!$O$2890='Field Check'!$C$25)&gt;0,"",'Dvd Calendar'!$O$2886)))</f>
        <v/>
      </c>
      <c r="CB208" s="85">
        <f>IF(N208="","",IF(ISNUMBER('Dvd Calendar'!$P$2886)=FALSE,"",IF((Summary!$C$13="N")*('Dvd Calendar'!$P$2890='Field Check'!$C$25)&gt;0,"",'Dvd Calendar'!$P$2886)))</f>
        <v/>
      </c>
      <c r="CC208" s="85">
        <f>IF(O208="","",IF(ISNUMBER('Dvd Calendar'!$Q$2886)=FALSE,"",IF((Summary!$C$13="N")*('Dvd Calendar'!$Q$2890='Field Check'!$C$25)&gt;0,"",'Dvd Calendar'!$Q$2886)))</f>
        <v/>
      </c>
      <c r="CD208" s="85">
        <f>IF(P208="","",IF(ISNUMBER('Dvd Calendar'!$R$2886)=FALSE,"",IF((Summary!$C$13="N")*('Dvd Calendar'!$R$2890='Field Check'!$C$25)&gt;0,"",'Dvd Calendar'!$R$2886)))</f>
        <v/>
      </c>
      <c r="CE208" s="85">
        <f>IF(Q208="","",IF(ISNUMBER('Dvd Calendar'!$S$2886)=FALSE,"",IF((Summary!$C$13="N")*('Dvd Calendar'!$S$2890='Field Check'!$C$25)&gt;0,"",'Dvd Calendar'!$S$2886)))</f>
        <v/>
      </c>
      <c r="CF208" s="85">
        <f>IF(R208="","",IF(ISNUMBER('Dvd Calendar'!$T$2886)=FALSE,"",IF((Summary!$C$13="N")*('Dvd Calendar'!$T$2890='Field Check'!$C$25)&gt;0,"",'Dvd Calendar'!$T$2886)))</f>
        <v/>
      </c>
      <c r="CG208" s="85">
        <f>IF(S208="","",IF(ISNUMBER('Dvd Calendar'!$U$2886)=FALSE,"",IF((Summary!$C$13="N")*('Dvd Calendar'!$U$2890='Field Check'!$C$25)&gt;0,"",'Dvd Calendar'!$U$2886)))</f>
        <v/>
      </c>
      <c r="CH208" s="85">
        <f>IF(T208="","",IF(ISNUMBER('Dvd Calendar'!$V$2886)=FALSE,"",IF((Summary!$C$13="N")*('Dvd Calendar'!$V$2890='Field Check'!$C$25)&gt;0,"",'Dvd Calendar'!$V$2886)))</f>
        <v/>
      </c>
      <c r="CI208" s="85">
        <f>IF(U208="","",IF(ISNUMBER('Dvd Calendar'!$W$2886)=FALSE,"",IF((Summary!$C$13="N")*('Dvd Calendar'!$W$2890='Field Check'!$C$25)&gt;0,"",'Dvd Calendar'!$W$2886)))</f>
        <v/>
      </c>
      <c r="CJ208" s="85">
        <f>IF(V208="","",IF(ISNUMBER('Dvd Calendar'!$X$2886)=FALSE,"",IF((Summary!$C$13="N")*('Dvd Calendar'!$X$2890='Field Check'!$C$25)&gt;0,"",'Dvd Calendar'!$X$2886)))</f>
        <v/>
      </c>
      <c r="CK208" s="85">
        <f>IF(W208="","",IF(ISNUMBER('Dvd Calendar'!$Y$2886)=FALSE,"",IF((Summary!$C$13="N")*('Dvd Calendar'!$Y$2890='Field Check'!$C$25)&gt;0,"",'Dvd Calendar'!$Y$2886)))</f>
        <v/>
      </c>
      <c r="CL208" s="85">
        <f>IF(X208="","",IF(ISNUMBER('Dvd Calendar'!$Z$2886)=FALSE,"",IF((Summary!$C$13="N")*('Dvd Calendar'!$Z$2890='Field Check'!$C$25)&gt;0,"",'Dvd Calendar'!$Z$2886)))</f>
        <v/>
      </c>
      <c r="CM208" s="85">
        <f>IF(Y208="","",IF(ISNUMBER('Dvd Calendar'!$AA$2886)=FALSE,"",IF((Summary!$C$13="N")*('Dvd Calendar'!$AA$2890='Field Check'!$C$25)&gt;0,"",'Dvd Calendar'!$AA$2886)))</f>
        <v/>
      </c>
      <c r="CN208" s="85">
        <f>IF(Z208="","",IF(ISNUMBER('Dvd Calendar'!$AB$2886)=FALSE,"",IF((Summary!$C$13="N")*('Dvd Calendar'!$AB$2890='Field Check'!$C$25)&gt;0,"",'Dvd Calendar'!$AB$2886)))</f>
        <v/>
      </c>
      <c r="CO208" s="85">
        <f>IF(AA208="","",IF(ISNUMBER('Dvd Calendar'!$AC$2886)=FALSE,"",IF((Summary!$C$13="N")*('Dvd Calendar'!$AC$2890='Field Check'!$C$25)&gt;0,"",'Dvd Calendar'!$AC$2886)))</f>
        <v/>
      </c>
      <c r="CP208" s="85">
        <f>IF(AB208="","",IF(ISNUMBER('Dvd Calendar'!$AD$2886)=FALSE,"",IF((Summary!$C$13="N")*('Dvd Calendar'!$AD$2890='Field Check'!$C$25)&gt;0,"",'Dvd Calendar'!$AD$2886)))</f>
        <v/>
      </c>
      <c r="CQ208" s="85">
        <f>IF(AC208="","",IF(ISNUMBER('Dvd Calendar'!$AE$2886)=FALSE,"",IF((Summary!$C$13="N")*('Dvd Calendar'!$AE$2890='Field Check'!$C$25)&gt;0,"",'Dvd Calendar'!$AE$2886)))</f>
        <v/>
      </c>
      <c r="CR208" s="85">
        <f>IF(AD208="","",IF(ISNUMBER('Dvd Calendar'!$AF$2886)=FALSE,"",IF((Summary!$C$13="N")*('Dvd Calendar'!$AF$2890='Field Check'!$C$25)&gt;0,"",'Dvd Calendar'!$AF$2886)))</f>
        <v/>
      </c>
      <c r="CS208" s="85">
        <f>IF(AE208="","",IF(ISNUMBER('Dvd Calendar'!$AG$2886)=FALSE,"",IF((Summary!$C$13="N")*('Dvd Calendar'!$AG$2890='Field Check'!$C$25)&gt;0,"",'Dvd Calendar'!$AG$2886)))</f>
        <v/>
      </c>
      <c r="CT208" s="85">
        <f>IF(AF208="","",IF(ISNUMBER('Dvd Calendar'!$AH$2886)=FALSE,"",IF((Summary!$C$13="N")*('Dvd Calendar'!$AH$2890='Field Check'!$C$25)&gt;0,"",'Dvd Calendar'!$AH$2886)))</f>
        <v/>
      </c>
      <c r="CU208" s="85">
        <f>IF(AG208="","",IF(ISNUMBER('Dvd Calendar'!$AI$2886)=FALSE,"",IF((Summary!$C$13="N")*('Dvd Calendar'!$AI$2890='Field Check'!$C$25)&gt;0,"",'Dvd Calendar'!$AI$2886)))</f>
        <v/>
      </c>
      <c r="CV208" s="85">
        <f>IF(AH208="","",IF(ISNUMBER('Dvd Calendar'!$AJ$2886)=FALSE,"",IF((Summary!$C$13="N")*('Dvd Calendar'!$AJ$2890='Field Check'!$C$25)&gt;0,"",'Dvd Calendar'!$AJ$2886)))</f>
        <v/>
      </c>
      <c r="CW208" s="85">
        <f>IF(AI208="","",IF(ISNUMBER('Dvd Calendar'!$AK$2886)=FALSE,"",IF((Summary!$C$13="N")*('Dvd Calendar'!$AK$2890='Field Check'!$C$25)&gt;0,"",'Dvd Calendar'!$AK$2886)))</f>
        <v/>
      </c>
      <c r="CX208" s="85">
        <f>IF(AJ208="","",IF(ISNUMBER('Dvd Calendar'!$AL$2886)=FALSE,"",IF((Summary!$C$13="N")*('Dvd Calendar'!$AL$2890='Field Check'!$C$25)&gt;0,"",'Dvd Calendar'!$AL$2886)))</f>
        <v/>
      </c>
      <c r="CY208" s="85">
        <f>IF(AK208="","",IF(ISNUMBER('Dvd Calendar'!$AM$2886)=FALSE,"",IF((Summary!$C$13="N")*('Dvd Calendar'!$AM$2890='Field Check'!$C$25)&gt;0,"",'Dvd Calendar'!$AM$2886)))</f>
        <v/>
      </c>
      <c r="CZ208" s="85">
        <f>IF(AL208="","",IF(ISNUMBER('Dvd Calendar'!$AN$2886)=FALSE,"",IF((Summary!$C$13="N")*('Dvd Calendar'!$AN$2890='Field Check'!$C$25)&gt;0,"",'Dvd Calendar'!$AN$2886)))</f>
        <v/>
      </c>
      <c r="DA208" s="85">
        <f>IF(AM208="","",IF(ISNUMBER('Dvd Calendar'!$AO$2886)=FALSE,"",IF((Summary!$C$13="N")*('Dvd Calendar'!$AO$2890='Field Check'!$C$25)&gt;0,"",'Dvd Calendar'!$AO$2886)))</f>
        <v/>
      </c>
      <c r="DB208" s="85">
        <f>IF(AN208="","",IF(ISNUMBER('Dvd Calendar'!$AP$2886)=FALSE,"",IF((Summary!$C$13="N")*('Dvd Calendar'!$AP$2890='Field Check'!$C$25)&gt;0,"",'Dvd Calendar'!$AP$2886)))</f>
        <v/>
      </c>
      <c r="DC208" s="85">
        <f>IF(AO208="","",IF(ISNUMBER('Dvd Calendar'!$AQ$2886)=FALSE,"",IF((Summary!$C$13="N")*('Dvd Calendar'!$AQ$2890='Field Check'!$C$25)&gt;0,"",'Dvd Calendar'!$AQ$2886)))</f>
        <v/>
      </c>
      <c r="DD208" s="85">
        <f>IF(AP208="","",IF(ISNUMBER('Dvd Calendar'!$AR$2886)=FALSE,"",IF((Summary!$C$13="N")*('Dvd Calendar'!$AR$2890='Field Check'!$C$25)&gt;0,"",'Dvd Calendar'!$AR$2886)))</f>
        <v/>
      </c>
      <c r="DE208" s="85">
        <f>IF(AQ208="","",IF(ISNUMBER('Dvd Calendar'!$E$2893)=FALSE,"",IF((Summary!$C$13="N")*('Dvd Calendar'!$E$2897='Field Check'!$C$25)&gt;0,"",'Dvd Calendar'!$E$2893)))</f>
        <v/>
      </c>
      <c r="DF208" s="85">
        <f>IF(AR208="","",IF(ISNUMBER('Dvd Calendar'!$F$2893)=FALSE,"",IF((Summary!$C$13="N")*('Dvd Calendar'!$F$2897='Field Check'!$C$25)&gt;0,"",'Dvd Calendar'!$F$2893)))</f>
        <v/>
      </c>
      <c r="DG208" s="85">
        <f>IF(AS208="","",IF(ISNUMBER('Dvd Calendar'!$G$2893)=FALSE,"",IF((Summary!$C$13="N")*('Dvd Calendar'!$G$2897='Field Check'!$C$25)&gt;0,"",'Dvd Calendar'!$G$2893)))</f>
        <v/>
      </c>
      <c r="DH208" s="85">
        <f>IF(AT208="","",IF(ISNUMBER('Dvd Calendar'!$H$2893)=FALSE,"",IF((Summary!$C$13="N")*('Dvd Calendar'!$H$2897='Field Check'!$C$25)&gt;0,"",'Dvd Calendar'!$H$2893)))</f>
        <v/>
      </c>
      <c r="DI208" s="85">
        <f>IF(AU208="","",IF(ISNUMBER('Dvd Calendar'!$I$2893)=FALSE,"",IF((Summary!$C$13="N")*('Dvd Calendar'!$I$2897='Field Check'!$C$25)&gt;0,"",'Dvd Calendar'!$I$2893)))</f>
        <v/>
      </c>
      <c r="DJ208" s="85">
        <f>IF(AV208="","",IF(ISNUMBER('Dvd Calendar'!$J$2893)=FALSE,"",IF((Summary!$C$13="N")*('Dvd Calendar'!$J$2897='Field Check'!$C$25)&gt;0,"",'Dvd Calendar'!$J$2893)))</f>
        <v/>
      </c>
      <c r="DK208" s="85">
        <f>IF(AW208="","",IF(ISNUMBER('Dvd Calendar'!$K$2893)=FALSE,"",IF((Summary!$C$13="N")*('Dvd Calendar'!$K$2897='Field Check'!$C$25)&gt;0,"",'Dvd Calendar'!$K$2893)))</f>
        <v/>
      </c>
      <c r="DL208" s="85">
        <f>IF(AX208="","",IF(ISNUMBER('Dvd Calendar'!$L$2893)=FALSE,"",IF((Summary!$C$13="N")*('Dvd Calendar'!$L$2897='Field Check'!$C$25)&gt;0,"",'Dvd Calendar'!$L$2893)))</f>
        <v/>
      </c>
      <c r="DM208" s="85">
        <f>IF(AY208="","",IF(ISNUMBER('Dvd Calendar'!$M$2893)=FALSE,"",IF((Summary!$C$13="N")*('Dvd Calendar'!$M$2897='Field Check'!$C$25)&gt;0,"",'Dvd Calendar'!$M$2893)))</f>
        <v/>
      </c>
      <c r="DN208" s="85">
        <f>IF(AZ208="","",IF(ISNUMBER('Dvd Calendar'!$N$2893)=FALSE,"",IF((Summary!$C$13="N")*('Dvd Calendar'!$N$2897='Field Check'!$C$25)&gt;0,"",'Dvd Calendar'!$N$2893)))</f>
        <v/>
      </c>
      <c r="DO208" s="85">
        <f>IF(BA208="","",IF(ISNUMBER('Dvd Calendar'!$O$2893)=FALSE,"",IF((Summary!$C$13="N")*('Dvd Calendar'!$O$2897='Field Check'!$C$25)&gt;0,"",'Dvd Calendar'!$O$2893)))</f>
        <v/>
      </c>
      <c r="DP208" s="85">
        <f>IF(BB208="","",IF(ISNUMBER('Dvd Calendar'!$P$2893)=FALSE,"",IF((Summary!$C$13="N")*('Dvd Calendar'!$P$2897='Field Check'!$C$25)&gt;0,"",'Dvd Calendar'!$P$2893)))</f>
        <v/>
      </c>
      <c r="DQ208" s="85">
        <f>IF(BC208="","",IF(ISNUMBER('Dvd Calendar'!$Q$2893)=FALSE,"",IF((Summary!$C$13="N")*('Dvd Calendar'!$Q$2897='Field Check'!$C$25)&gt;0,"",'Dvd Calendar'!$Q$2893)))</f>
        <v/>
      </c>
      <c r="DR208" s="85">
        <f>IF(BD208="","",IF(ISNUMBER('Dvd Calendar'!$R$2893)=FALSE,"",IF((Summary!$C$13="N")*('Dvd Calendar'!$R$2897='Field Check'!$C$25)&gt;0,"",'Dvd Calendar'!$R$2893)))</f>
        <v/>
      </c>
      <c r="DS208" s="85">
        <f>IF(BE208="","",IF(ISNUMBER('Dvd Calendar'!$S$2893)=FALSE,"",IF((Summary!$C$13="N")*('Dvd Calendar'!$S$2897='Field Check'!$C$25)&gt;0,"",'Dvd Calendar'!$S$2893)))</f>
        <v/>
      </c>
      <c r="DT208" s="85">
        <f>IF(BF208="","",IF(ISNUMBER('Dvd Calendar'!$T$2893)=FALSE,"",IF((Summary!$C$13="N")*('Dvd Calendar'!$T$2897='Field Check'!$C$25)&gt;0,"",'Dvd Calendar'!$T$2893)))</f>
        <v/>
      </c>
      <c r="DU208" s="85">
        <f>IF(BG208="","",IF(ISNUMBER('Dvd Calendar'!$U$2893)=FALSE,"",IF((Summary!$C$13="N")*('Dvd Calendar'!$U$2897='Field Check'!$C$25)&gt;0,"",'Dvd Calendar'!$U$2893)))</f>
        <v/>
      </c>
      <c r="DV208" s="85">
        <f>IF(BH208="","",IF(ISNUMBER('Dvd Calendar'!$V$2893)=FALSE,"",IF((Summary!$C$13="N")*('Dvd Calendar'!$V$2897='Field Check'!$C$25)&gt;0,"",'Dvd Calendar'!$V$2893)))</f>
        <v/>
      </c>
      <c r="DW208" s="85">
        <f>IF(BI208="","",IF(ISNUMBER('Dvd Calendar'!$W$2893)=FALSE,"",IF((Summary!$C$13="N")*('Dvd Calendar'!$W$2897='Field Check'!$C$25)&gt;0,"",'Dvd Calendar'!$W$2893)))</f>
        <v/>
      </c>
      <c r="DX208" s="85">
        <f>IF(BJ208="","",IF(ISNUMBER('Dvd Calendar'!$X$2893)=FALSE,"",IF((Summary!$C$13="N")*('Dvd Calendar'!$X$2897='Field Check'!$C$25)&gt;0,"",'Dvd Calendar'!$X$2893)))</f>
        <v/>
      </c>
      <c r="DY208" s="85">
        <f>IF(BK208="","",IF(ISNUMBER('Dvd Calendar'!$Y$2893)=FALSE,"",IF((Summary!$C$13="N")*('Dvd Calendar'!$Y$2897='Field Check'!$C$25)&gt;0,"",'Dvd Calendar'!$Y$2893)))</f>
        <v/>
      </c>
      <c r="DZ208" s="85">
        <f>IF(BL208="","",IF(ISNUMBER('Dvd Calendar'!$Z$2893)=FALSE,"",IF((Summary!$C$13="N")*('Dvd Calendar'!$Z$2897='Field Check'!$C$25)&gt;0,"",'Dvd Calendar'!$Z$2893)))</f>
        <v/>
      </c>
      <c r="EA208" s="85">
        <f>IF(BM208="","",IF(ISNUMBER('Dvd Calendar'!$AA$2893)=FALSE,"",IF((Summary!$C$13="N")*('Dvd Calendar'!$AA$2897='Field Check'!$C$25)&gt;0,"",'Dvd Calendar'!$AA$2893)))</f>
        <v/>
      </c>
      <c r="EB208" s="85">
        <f>IF(BN208="","",IF(ISNUMBER('Dvd Calendar'!$AB$2893)=FALSE,"",IF((Summary!$C$13="N")*('Dvd Calendar'!$AB$2897='Field Check'!$C$25)&gt;0,"",'Dvd Calendar'!$AB$2893)))</f>
        <v/>
      </c>
      <c r="EC208" s="85">
        <f>IF(BO208="","",IF(ISNUMBER('Dvd Calendar'!$AC$2893)=FALSE,"",IF((Summary!$C$13="N")*('Dvd Calendar'!$AC$2897='Field Check'!$C$25)&gt;0,"",'Dvd Calendar'!$AC$2893)))</f>
        <v/>
      </c>
      <c r="EE208" s="85">
        <f>IF(BQ208="","",IFERROR(BQ208*HSCEI!$B$58*HSCEI!$G$58/HSCEI!$B$3,""))</f>
        <v/>
      </c>
      <c r="EF208" s="85">
        <f>IF(BR208="","",IFERROR(BR208*HSCEI!$B$58*HSCEI!$G$58/HSCEI!$B$3,""))</f>
        <v/>
      </c>
      <c r="EG208" s="85">
        <f>IF(BS208="","",IFERROR(BS208*HSCEI!$B$58*HSCEI!$G$58/HSCEI!$B$3,""))</f>
        <v/>
      </c>
      <c r="EH208" s="85">
        <f>IF(BT208="","",IFERROR(BT208*HSCEI!$B$58*HSCEI!$G$58/HSCEI!$B$3,""))</f>
        <v/>
      </c>
      <c r="EI208" s="85">
        <f>IF(BU208="","",IFERROR(BU208*HSCEI!$B$58*HSCEI!$G$58/HSCEI!$B$3,""))</f>
        <v/>
      </c>
      <c r="EJ208" s="85">
        <f>IF(BV208="","",IFERROR(BV208*HSCEI!$B$58*HSCEI!$G$58/HSCEI!$B$3,""))</f>
        <v/>
      </c>
      <c r="EK208" s="85">
        <f>IF(BW208="","",IFERROR(BW208*HSCEI!$B$58*HSCEI!$G$58/HSCEI!$B$3,""))</f>
        <v/>
      </c>
      <c r="EL208" s="85">
        <f>IF(BX208="","",IFERROR(BX208*HSCEI!$B$58*HSCEI!$G$58/HSCEI!$B$3,""))</f>
        <v/>
      </c>
      <c r="EM208" s="85">
        <f>IF(BY208="","",IFERROR(BY208*HSCEI!$B$58*HSCEI!$G$58/HSCEI!$B$3,""))</f>
        <v/>
      </c>
      <c r="EN208" s="85">
        <f>IF(BZ208="","",IFERROR(BZ208*HSCEI!$B$58*HSCEI!$G$58/HSCEI!$B$3,""))</f>
        <v/>
      </c>
      <c r="EO208" s="85">
        <f>IF(CA208="","",IFERROR(CA208*HSCEI!$B$58*HSCEI!$G$58/HSCEI!$B$3,""))</f>
        <v/>
      </c>
      <c r="EP208" s="85">
        <f>IF(CB208="","",IFERROR(CB208*HSCEI!$B$58*HSCEI!$G$58/HSCEI!$B$3,""))</f>
        <v/>
      </c>
      <c r="EQ208" s="85">
        <f>IF(CC208="","",IFERROR(CC208*HSCEI!$B$58*HSCEI!$G$58/HSCEI!$B$3,""))</f>
        <v/>
      </c>
      <c r="ER208" s="85">
        <f>IF(CD208="","",IFERROR(CD208*HSCEI!$B$58*HSCEI!$G$58/HSCEI!$B$3,""))</f>
        <v/>
      </c>
      <c r="ES208" s="85">
        <f>IF(CE208="","",IFERROR(CE208*HSCEI!$B$58*HSCEI!$G$58/HSCEI!$B$3,""))</f>
        <v/>
      </c>
      <c r="ET208" s="85">
        <f>IF(CF208="","",IFERROR(CF208*HSCEI!$B$58*HSCEI!$G$58/HSCEI!$B$3,""))</f>
        <v/>
      </c>
      <c r="EU208" s="85">
        <f>IF(CG208="","",IFERROR(CG208*HSCEI!$B$58*HSCEI!$G$58/HSCEI!$B$3,""))</f>
        <v/>
      </c>
      <c r="EV208" s="85">
        <f>IF(CH208="","",IFERROR(CH208*HSCEI!$B$58*HSCEI!$G$58/HSCEI!$B$3,""))</f>
        <v/>
      </c>
      <c r="EW208" s="85">
        <f>IF(CI208="","",IFERROR(CI208*HSCEI!$B$58*HSCEI!$G$58/HSCEI!$B$3,""))</f>
        <v/>
      </c>
      <c r="EX208" s="85">
        <f>IF(CJ208="","",IFERROR(CJ208*HSCEI!$B$58*HSCEI!$G$58/HSCEI!$B$3,""))</f>
        <v/>
      </c>
      <c r="EY208" s="85">
        <f>IF(CK208="","",IFERROR(CK208*HSCEI!$B$58*HSCEI!$G$58/HSCEI!$B$3,""))</f>
        <v/>
      </c>
      <c r="EZ208" s="85">
        <f>IF(CL208="","",IFERROR(CL208*HSCEI!$B$58*HSCEI!$G$58/HSCEI!$B$3,""))</f>
        <v/>
      </c>
      <c r="FA208" s="85">
        <f>IF(CM208="","",IFERROR(CM208*HSCEI!$B$58*HSCEI!$G$58/HSCEI!$B$3,""))</f>
        <v/>
      </c>
      <c r="FB208" s="85">
        <f>IF(CN208="","",IFERROR(CN208*HSCEI!$B$58*HSCEI!$G$58/HSCEI!$B$3,""))</f>
        <v/>
      </c>
      <c r="FC208" s="85">
        <f>IF(CO208="","",IFERROR(CO208*HSCEI!$B$58*HSCEI!$G$58/HSCEI!$B$3,""))</f>
        <v/>
      </c>
      <c r="FD208" s="85">
        <f>IF(CP208="","",IFERROR(CP208*HSCEI!$B$58*HSCEI!$G$58/HSCEI!$B$3,""))</f>
        <v/>
      </c>
      <c r="FE208" s="85">
        <f>IF(CQ208="","",IFERROR(CQ208*HSCEI!$B$58*HSCEI!$G$58/HSCEI!$B$3,""))</f>
        <v/>
      </c>
      <c r="FF208" s="85">
        <f>IF(CR208="","",IFERROR(CR208*HSCEI!$B$58*HSCEI!$G$58/HSCEI!$B$3,""))</f>
        <v/>
      </c>
      <c r="FG208" s="85">
        <f>IF(CS208="","",IFERROR(CS208*HSCEI!$B$58*HSCEI!$G$58/HSCEI!$B$3,""))</f>
        <v/>
      </c>
      <c r="FH208" s="85">
        <f>IF(CT208="","",IFERROR(CT208*HSCEI!$B$58*HSCEI!$G$58/HSCEI!$B$3,""))</f>
        <v/>
      </c>
      <c r="FI208" s="85">
        <f>IF(CU208="","",IFERROR(CU208*HSCEI!$B$58*HSCEI!$G$58/HSCEI!$B$3,""))</f>
        <v/>
      </c>
      <c r="FJ208" s="85">
        <f>IF(CV208="","",IFERROR(CV208*HSCEI!$B$58*HSCEI!$G$58/HSCEI!$B$3,""))</f>
        <v/>
      </c>
      <c r="FK208" s="85">
        <f>IF(CW208="","",IFERROR(CW208*HSCEI!$B$58*HSCEI!$G$58/HSCEI!$B$3,""))</f>
        <v/>
      </c>
      <c r="FL208" s="85">
        <f>IF(CX208="","",IFERROR(CX208*HSCEI!$B$58*HSCEI!$G$58/HSCEI!$B$3,""))</f>
        <v/>
      </c>
      <c r="FM208" s="85">
        <f>IF(CY208="","",IFERROR(CY208*HSCEI!$B$58*HSCEI!$G$58/HSCEI!$B$3,""))</f>
        <v/>
      </c>
      <c r="FN208" s="85">
        <f>IF(CZ208="","",IFERROR(CZ208*HSCEI!$B$58*HSCEI!$G$58/HSCEI!$B$3,""))</f>
        <v/>
      </c>
      <c r="FO208" s="85">
        <f>IF(DA208="","",IFERROR(DA208*HSCEI!$B$58*HSCEI!$G$58/HSCEI!$B$3,""))</f>
        <v/>
      </c>
      <c r="FP208" s="85">
        <f>IF(DB208="","",IFERROR(DB208*HSCEI!$B$58*HSCEI!$G$58/HSCEI!$B$3,""))</f>
        <v/>
      </c>
      <c r="FQ208" s="85">
        <f>IF(DC208="","",IFERROR(DC208*HSCEI!$B$58*HSCEI!$G$58/HSCEI!$B$3,""))</f>
        <v/>
      </c>
      <c r="FR208" s="85">
        <f>IF(DD208="","",IFERROR(DD208*HSCEI!$B$58*HSCEI!$G$58/HSCEI!$B$3,""))</f>
        <v/>
      </c>
      <c r="FS208" s="85">
        <f>IF(DE208="","",IFERROR(DE208*HSCEI!$B$58*HSCEI!$G$58/HSCEI!$B$3,""))</f>
        <v/>
      </c>
      <c r="FT208" s="85">
        <f>IF(DF208="","",IFERROR(DF208*HSCEI!$B$58*HSCEI!$G$58/HSCEI!$B$3,""))</f>
        <v/>
      </c>
      <c r="FU208" s="85">
        <f>IF(DG208="","",IFERROR(DG208*HSCEI!$B$58*HSCEI!$G$58/HSCEI!$B$3,""))</f>
        <v/>
      </c>
      <c r="FV208" s="85">
        <f>IF(DH208="","",IFERROR(DH208*HSCEI!$B$58*HSCEI!$G$58/HSCEI!$B$3,""))</f>
        <v/>
      </c>
      <c r="FW208" s="85">
        <f>IF(DI208="","",IFERROR(DI208*HSCEI!$B$58*HSCEI!$G$58/HSCEI!$B$3,""))</f>
        <v/>
      </c>
      <c r="FX208" s="85">
        <f>IF(DJ208="","",IFERROR(DJ208*HSCEI!$B$58*HSCEI!$G$58/HSCEI!$B$3,""))</f>
        <v/>
      </c>
      <c r="FY208" s="85">
        <f>IF(DK208="","",IFERROR(DK208*HSCEI!$B$58*HSCEI!$G$58/HSCEI!$B$3,""))</f>
        <v/>
      </c>
      <c r="FZ208" s="85">
        <f>IF(DL208="","",IFERROR(DL208*HSCEI!$B$58*HSCEI!$G$58/HSCEI!$B$3,""))</f>
        <v/>
      </c>
      <c r="GA208" s="85">
        <f>IF(DM208="","",IFERROR(DM208*HSCEI!$B$58*HSCEI!$G$58/HSCEI!$B$3,""))</f>
        <v/>
      </c>
      <c r="GB208" s="85">
        <f>IF(DN208="","",IFERROR(DN208*HSCEI!$B$58*HSCEI!$G$58/HSCEI!$B$3,""))</f>
        <v/>
      </c>
      <c r="GC208" s="85">
        <f>IF(DO208="","",IFERROR(DO208*HSCEI!$B$58*HSCEI!$G$58/HSCEI!$B$3,""))</f>
        <v/>
      </c>
      <c r="GD208" s="85">
        <f>IF(DP208="","",IFERROR(DP208*HSCEI!$B$58*HSCEI!$G$58/HSCEI!$B$3,""))</f>
        <v/>
      </c>
      <c r="GE208" s="85">
        <f>IF(DQ208="","",IFERROR(DQ208*HSCEI!$B$58*HSCEI!$G$58/HSCEI!$B$3,""))</f>
        <v/>
      </c>
      <c r="GF208" s="85">
        <f>IF(DR208="","",IFERROR(DR208*HSCEI!$B$58*HSCEI!$G$58/HSCEI!$B$3,""))</f>
        <v/>
      </c>
      <c r="GG208" s="85">
        <f>IF(DS208="","",IFERROR(DS208*HSCEI!$B$58*HSCEI!$G$58/HSCEI!$B$3,""))</f>
        <v/>
      </c>
      <c r="GH208" s="85">
        <f>IF(DT208="","",IFERROR(DT208*HSCEI!$B$58*HSCEI!$G$58/HSCEI!$B$3,""))</f>
        <v/>
      </c>
      <c r="GI208" s="85">
        <f>IF(DU208="","",IFERROR(DU208*HSCEI!$B$58*HSCEI!$G$58/HSCEI!$B$3,""))</f>
        <v/>
      </c>
      <c r="GJ208" s="85">
        <f>IF(DV208="","",IFERROR(DV208*HSCEI!$B$58*HSCEI!$G$58/HSCEI!$B$3,""))</f>
        <v/>
      </c>
      <c r="GK208" s="85">
        <f>IF(DW208="","",IFERROR(DW208*HSCEI!$B$58*HSCEI!$G$58/HSCEI!$B$3,""))</f>
        <v/>
      </c>
      <c r="GL208" s="85">
        <f>IF(DX208="","",IFERROR(DX208*HSCEI!$B$58*HSCEI!$G$58/HSCEI!$B$3,""))</f>
        <v/>
      </c>
      <c r="GM208" s="85">
        <f>IF(DY208="","",IFERROR(DY208*HSCEI!$B$58*HSCEI!$G$58/HSCEI!$B$3,""))</f>
        <v/>
      </c>
      <c r="GN208" s="85">
        <f>IF(DZ208="","",IFERROR(DZ208*HSCEI!$B$58*HSCEI!$G$58/HSCEI!$B$3,""))</f>
        <v/>
      </c>
      <c r="GO208" s="85">
        <f>IF(EA208="","",IFERROR(EA208*HSCEI!$B$58*HSCEI!$G$58/HSCEI!$B$3,""))</f>
        <v/>
      </c>
      <c r="GP208" s="85">
        <f>IF(EB208="","",IFERROR(EB208*HSCEI!$B$58*HSCEI!$G$58/HSCEI!$B$3,""))</f>
        <v/>
      </c>
      <c r="GQ208" s="85">
        <f>IF(EC208="","",IFERROR(EC208*HSCEI!$B$58*HSCEI!$G$58/HSCEI!$B$3,""))</f>
        <v/>
      </c>
    </row>
    <row r="209">
      <c r="B209" s="2">
        <f>IF(HSCEI!$C$59="","",HSCEI!$C$59)</f>
        <v/>
      </c>
      <c r="C209" s="41">
        <f>IF(N('Dvd Calendar'!$E$2900)=0,"",IF(('Dvd Calendar'!$E$2900&gt;=MIN(DATE(Summary!$C$12,1,1),Summary!$C$11))*('Dvd Calendar'!$E$2900&lt;=MAX(DATE(Summary!$C$12,12,31),Summary!$C$15))*('Dvd Calendar'!$E$2900&lt;=Summary!$C$11)=0,"",'Dvd Calendar'!$E$2900*1000000000+ISNUMBER('Dvd Calendar'!$E$2901)*100000000+('Dvd Calendar'!$E$2905='Field Check'!$C$25)*10000000+(N('Dvd Calendar'!$E$2899)&gt;0)*1000000+53*1000+1))</f>
        <v/>
      </c>
      <c r="D209" s="41">
        <f>IF(N('Dvd Calendar'!$F$2900)=0,"",IF(('Dvd Calendar'!$F$2900&gt;=MIN(DATE(Summary!$C$12,1,1),Summary!$C$11))*('Dvd Calendar'!$F$2900&lt;=MAX(DATE(Summary!$C$12,12,31),Summary!$C$15))*('Dvd Calendar'!$F$2900&lt;=Summary!$C$11)=0,"",'Dvd Calendar'!$F$2900*1000000000+ISNUMBER('Dvd Calendar'!$F$2901)*100000000+('Dvd Calendar'!$F$2905='Field Check'!$C$25)*10000000+(N('Dvd Calendar'!$F$2899)&gt;0)*1000000+53*1000+2))</f>
        <v/>
      </c>
      <c r="E209" s="41">
        <f>IF(N('Dvd Calendar'!$G$2900)=0,"",IF(('Dvd Calendar'!$G$2900&gt;=MIN(DATE(Summary!$C$12,1,1),Summary!$C$11))*('Dvd Calendar'!$G$2900&lt;=MAX(DATE(Summary!$C$12,12,31),Summary!$C$15))*('Dvd Calendar'!$G$2900&lt;=Summary!$C$11)=0,"",'Dvd Calendar'!$G$2900*1000000000+ISNUMBER('Dvd Calendar'!$G$2901)*100000000+('Dvd Calendar'!$G$2905='Field Check'!$C$25)*10000000+(N('Dvd Calendar'!$G$2899)&gt;0)*1000000+53*1000+3))</f>
        <v/>
      </c>
      <c r="F209" s="41">
        <f>IF(N('Dvd Calendar'!$H$2900)=0,"",IF(('Dvd Calendar'!$H$2900&gt;=MIN(DATE(Summary!$C$12,1,1),Summary!$C$11))*('Dvd Calendar'!$H$2900&lt;=MAX(DATE(Summary!$C$12,12,31),Summary!$C$15))*('Dvd Calendar'!$H$2900&lt;=Summary!$C$11)=0,"",'Dvd Calendar'!$H$2900*1000000000+ISNUMBER('Dvd Calendar'!$H$2901)*100000000+('Dvd Calendar'!$H$2905='Field Check'!$C$25)*10000000+(N('Dvd Calendar'!$H$2899)&gt;0)*1000000+53*1000+4))</f>
        <v/>
      </c>
      <c r="G209" s="41">
        <f>IF(N('Dvd Calendar'!$I$2900)=0,"",IF(('Dvd Calendar'!$I$2900&gt;=MIN(DATE(Summary!$C$12,1,1),Summary!$C$11))*('Dvd Calendar'!$I$2900&lt;=MAX(DATE(Summary!$C$12,12,31),Summary!$C$15))*('Dvd Calendar'!$I$2900&lt;=Summary!$C$11)=0,"",'Dvd Calendar'!$I$2900*1000000000+ISNUMBER('Dvd Calendar'!$I$2901)*100000000+('Dvd Calendar'!$I$2905='Field Check'!$C$25)*10000000+(N('Dvd Calendar'!$I$2899)&gt;0)*1000000+53*1000+5))</f>
        <v/>
      </c>
      <c r="H209" s="41">
        <f>IF(N('Dvd Calendar'!$J$2900)=0,"",IF(('Dvd Calendar'!$J$2900&gt;=MIN(DATE(Summary!$C$12,1,1),Summary!$C$11))*('Dvd Calendar'!$J$2900&lt;=MAX(DATE(Summary!$C$12,12,31),Summary!$C$15))*('Dvd Calendar'!$J$2900&lt;=Summary!$C$11)=0,"",'Dvd Calendar'!$J$2900*1000000000+ISNUMBER('Dvd Calendar'!$J$2901)*100000000+('Dvd Calendar'!$J$2905='Field Check'!$C$25)*10000000+(N('Dvd Calendar'!$J$2899)&gt;0)*1000000+53*1000+6))</f>
        <v/>
      </c>
      <c r="I209" s="41">
        <f>IF(N('Dvd Calendar'!$K$2900)=0,"",IF(('Dvd Calendar'!$K$2900&gt;=MIN(DATE(Summary!$C$12,1,1),Summary!$C$11))*('Dvd Calendar'!$K$2900&lt;=MAX(DATE(Summary!$C$12,12,31),Summary!$C$15))*('Dvd Calendar'!$K$2900&lt;=Summary!$C$11)=0,"",'Dvd Calendar'!$K$2900*1000000000+ISNUMBER('Dvd Calendar'!$K$2901)*100000000+('Dvd Calendar'!$K$2905='Field Check'!$C$25)*10000000+(N('Dvd Calendar'!$K$2899)&gt;0)*1000000+53*1000+7))</f>
        <v/>
      </c>
      <c r="J209" s="41">
        <f>IF(N('Dvd Calendar'!$L$2900)=0,"",IF(('Dvd Calendar'!$L$2900&gt;=MIN(DATE(Summary!$C$12,1,1),Summary!$C$11))*('Dvd Calendar'!$L$2900&lt;=MAX(DATE(Summary!$C$12,12,31),Summary!$C$15))*('Dvd Calendar'!$L$2900&lt;=Summary!$C$11)=0,"",'Dvd Calendar'!$L$2900*1000000000+ISNUMBER('Dvd Calendar'!$L$2901)*100000000+('Dvd Calendar'!$L$2905='Field Check'!$C$25)*10000000+(N('Dvd Calendar'!$L$2899)&gt;0)*1000000+53*1000+8))</f>
        <v/>
      </c>
      <c r="K209" s="41">
        <f>IF(N('Dvd Calendar'!$M$2900)=0,"",IF(('Dvd Calendar'!$M$2900&gt;=MIN(DATE(Summary!$C$12,1,1),Summary!$C$11))*('Dvd Calendar'!$M$2900&lt;=MAX(DATE(Summary!$C$12,12,31),Summary!$C$15))*('Dvd Calendar'!$M$2900&lt;=Summary!$C$11)=0,"",'Dvd Calendar'!$M$2900*1000000000+ISNUMBER('Dvd Calendar'!$M$2901)*100000000+('Dvd Calendar'!$M$2905='Field Check'!$C$25)*10000000+(N('Dvd Calendar'!$M$2899)&gt;0)*1000000+53*1000+9))</f>
        <v/>
      </c>
      <c r="L209" s="41">
        <f>IF(N('Dvd Calendar'!$N$2900)=0,"",IF(('Dvd Calendar'!$N$2900&gt;=MIN(DATE(Summary!$C$12,1,1),Summary!$C$11))*('Dvd Calendar'!$N$2900&lt;=MAX(DATE(Summary!$C$12,12,31),Summary!$C$15))*('Dvd Calendar'!$N$2900&lt;=Summary!$C$11)=0,"",'Dvd Calendar'!$N$2900*1000000000+ISNUMBER('Dvd Calendar'!$N$2901)*100000000+('Dvd Calendar'!$N$2905='Field Check'!$C$25)*10000000+(N('Dvd Calendar'!$N$2899)&gt;0)*1000000+53*1000+10))</f>
        <v/>
      </c>
      <c r="M209" s="41">
        <f>IF(N('Dvd Calendar'!$O$2900)=0,"",IF(('Dvd Calendar'!$O$2900&gt;=MIN(DATE(Summary!$C$12,1,1),Summary!$C$11))*('Dvd Calendar'!$O$2900&lt;=MAX(DATE(Summary!$C$12,12,31),Summary!$C$15))*('Dvd Calendar'!$O$2900&lt;=Summary!$C$11)=0,"",'Dvd Calendar'!$O$2900*1000000000+ISNUMBER('Dvd Calendar'!$O$2901)*100000000+('Dvd Calendar'!$O$2905='Field Check'!$C$25)*10000000+(N('Dvd Calendar'!$O$2899)&gt;0)*1000000+53*1000+11))</f>
        <v/>
      </c>
      <c r="N209" s="41">
        <f>IF(N('Dvd Calendar'!$P$2900)=0,"",IF(('Dvd Calendar'!$P$2900&gt;=MIN(DATE(Summary!$C$12,1,1),Summary!$C$11))*('Dvd Calendar'!$P$2900&lt;=MAX(DATE(Summary!$C$12,12,31),Summary!$C$15))*('Dvd Calendar'!$P$2900&lt;=Summary!$C$11)=0,"",'Dvd Calendar'!$P$2900*1000000000+ISNUMBER('Dvd Calendar'!$P$2901)*100000000+('Dvd Calendar'!$P$2905='Field Check'!$C$25)*10000000+(N('Dvd Calendar'!$P$2899)&gt;0)*1000000+53*1000+12))</f>
        <v/>
      </c>
      <c r="O209" s="41">
        <f>IF(N('Dvd Calendar'!$Q$2900)=0,"",IF(('Dvd Calendar'!$Q$2900&gt;=MIN(DATE(Summary!$C$12,1,1),Summary!$C$11))*('Dvd Calendar'!$Q$2900&lt;=MAX(DATE(Summary!$C$12,12,31),Summary!$C$15))*('Dvd Calendar'!$Q$2900&lt;=Summary!$C$11)=0,"",'Dvd Calendar'!$Q$2900*1000000000+ISNUMBER('Dvd Calendar'!$Q$2901)*100000000+('Dvd Calendar'!$Q$2905='Field Check'!$C$25)*10000000+(N('Dvd Calendar'!$Q$2899)&gt;0)*1000000+53*1000+13))</f>
        <v/>
      </c>
      <c r="P209" s="41">
        <f>IF(N('Dvd Calendar'!$R$2900)=0,"",IF(('Dvd Calendar'!$R$2900&gt;=MIN(DATE(Summary!$C$12,1,1),Summary!$C$11))*('Dvd Calendar'!$R$2900&lt;=MAX(DATE(Summary!$C$12,12,31),Summary!$C$15))*('Dvd Calendar'!$R$2900&lt;=Summary!$C$11)=0,"",'Dvd Calendar'!$R$2900*1000000000+ISNUMBER('Dvd Calendar'!$R$2901)*100000000+('Dvd Calendar'!$R$2905='Field Check'!$C$25)*10000000+(N('Dvd Calendar'!$R$2899)&gt;0)*1000000+53*1000+14))</f>
        <v/>
      </c>
      <c r="Q209" s="41">
        <f>IF(N('Dvd Calendar'!$S$2900)=0,"",IF(('Dvd Calendar'!$S$2900&gt;=MIN(DATE(Summary!$C$12,1,1),Summary!$C$11))*('Dvd Calendar'!$S$2900&lt;=MAX(DATE(Summary!$C$12,12,31),Summary!$C$15))*('Dvd Calendar'!$S$2900&lt;=Summary!$C$11)=0,"",'Dvd Calendar'!$S$2900*1000000000+ISNUMBER('Dvd Calendar'!$S$2901)*100000000+('Dvd Calendar'!$S$2905='Field Check'!$C$25)*10000000+(N('Dvd Calendar'!$S$2899)&gt;0)*1000000+53*1000+15))</f>
        <v/>
      </c>
      <c r="R209" s="41">
        <f>IF(N('Dvd Calendar'!$T$2900)=0,"",IF(('Dvd Calendar'!$T$2900&gt;=MIN(DATE(Summary!$C$12,1,1),Summary!$C$11))*('Dvd Calendar'!$T$2900&lt;=MAX(DATE(Summary!$C$12,12,31),Summary!$C$15))*('Dvd Calendar'!$T$2900&lt;=Summary!$C$11)=0,"",'Dvd Calendar'!$T$2900*1000000000+ISNUMBER('Dvd Calendar'!$T$2901)*100000000+('Dvd Calendar'!$T$2905='Field Check'!$C$25)*10000000+(N('Dvd Calendar'!$T$2899)&gt;0)*1000000+53*1000+16))</f>
        <v/>
      </c>
      <c r="S209" s="41">
        <f>IF(N('Dvd Calendar'!$U$2900)=0,"",IF(('Dvd Calendar'!$U$2900&gt;=MIN(DATE(Summary!$C$12,1,1),Summary!$C$11))*('Dvd Calendar'!$U$2900&lt;=MAX(DATE(Summary!$C$12,12,31),Summary!$C$15))*('Dvd Calendar'!$U$2900&lt;=Summary!$C$11)=0,"",'Dvd Calendar'!$U$2900*1000000000+ISNUMBER('Dvd Calendar'!$U$2901)*100000000+('Dvd Calendar'!$U$2905='Field Check'!$C$25)*10000000+(N('Dvd Calendar'!$U$2899)&gt;0)*1000000+53*1000+17))</f>
        <v/>
      </c>
      <c r="T209" s="41">
        <f>IF(N('Dvd Calendar'!$V$2900)=0,"",IF(('Dvd Calendar'!$V$2900&gt;=MIN(DATE(Summary!$C$12,1,1),Summary!$C$11))*('Dvd Calendar'!$V$2900&lt;=MAX(DATE(Summary!$C$12,12,31),Summary!$C$15))*('Dvd Calendar'!$V$2900&lt;=Summary!$C$11)=0,"",'Dvd Calendar'!$V$2900*1000000000+ISNUMBER('Dvd Calendar'!$V$2901)*100000000+('Dvd Calendar'!$V$2905='Field Check'!$C$25)*10000000+(N('Dvd Calendar'!$V$2899)&gt;0)*1000000+53*1000+18))</f>
        <v/>
      </c>
      <c r="U209" s="41">
        <f>IF(N('Dvd Calendar'!$W$2900)=0,"",IF(('Dvd Calendar'!$W$2900&gt;=MIN(DATE(Summary!$C$12,1,1),Summary!$C$11))*('Dvd Calendar'!$W$2900&lt;=MAX(DATE(Summary!$C$12,12,31),Summary!$C$15))*('Dvd Calendar'!$W$2900&lt;=Summary!$C$11)=0,"",'Dvd Calendar'!$W$2900*1000000000+ISNUMBER('Dvd Calendar'!$W$2901)*100000000+('Dvd Calendar'!$W$2905='Field Check'!$C$25)*10000000+(N('Dvd Calendar'!$W$2899)&gt;0)*1000000+53*1000+19))</f>
        <v/>
      </c>
      <c r="V209" s="41">
        <f>IF(N('Dvd Calendar'!$X$2900)=0,"",IF(('Dvd Calendar'!$X$2900&gt;=MIN(DATE(Summary!$C$12,1,1),Summary!$C$11))*('Dvd Calendar'!$X$2900&lt;=MAX(DATE(Summary!$C$12,12,31),Summary!$C$15))*('Dvd Calendar'!$X$2900&lt;=Summary!$C$11)=0,"",'Dvd Calendar'!$X$2900*1000000000+ISNUMBER('Dvd Calendar'!$X$2901)*100000000+('Dvd Calendar'!$X$2905='Field Check'!$C$25)*10000000+(N('Dvd Calendar'!$X$2899)&gt;0)*1000000+53*1000+20))</f>
        <v/>
      </c>
      <c r="W209" s="41">
        <f>IF(N('Dvd Calendar'!$Y$2900)=0,"",IF(('Dvd Calendar'!$Y$2900&gt;=MIN(DATE(Summary!$C$12,1,1),Summary!$C$11))*('Dvd Calendar'!$Y$2900&lt;=MAX(DATE(Summary!$C$12,12,31),Summary!$C$15))*('Dvd Calendar'!$Y$2900&lt;=Summary!$C$11)=0,"",'Dvd Calendar'!$Y$2900*1000000000+ISNUMBER('Dvd Calendar'!$Y$2901)*100000000+('Dvd Calendar'!$Y$2905='Field Check'!$C$25)*10000000+(N('Dvd Calendar'!$Y$2899)&gt;0)*1000000+53*1000+21))</f>
        <v/>
      </c>
      <c r="X209" s="41">
        <f>IF(N('Dvd Calendar'!$Z$2900)=0,"",IF(('Dvd Calendar'!$Z$2900&gt;=MIN(DATE(Summary!$C$12,1,1),Summary!$C$11))*('Dvd Calendar'!$Z$2900&lt;=MAX(DATE(Summary!$C$12,12,31),Summary!$C$15))*('Dvd Calendar'!$Z$2900&lt;=Summary!$C$11)=0,"",'Dvd Calendar'!$Z$2900*1000000000+ISNUMBER('Dvd Calendar'!$Z$2901)*100000000+('Dvd Calendar'!$Z$2905='Field Check'!$C$25)*10000000+(N('Dvd Calendar'!$Z$2899)&gt;0)*1000000+53*1000+22))</f>
        <v/>
      </c>
      <c r="Y209" s="41">
        <f>IF(N('Dvd Calendar'!$AA$2900)=0,"",IF(('Dvd Calendar'!$AA$2900&gt;=MIN(DATE(Summary!$C$12,1,1),Summary!$C$11))*('Dvd Calendar'!$AA$2900&lt;=MAX(DATE(Summary!$C$12,12,31),Summary!$C$15))*('Dvd Calendar'!$AA$2900&lt;=Summary!$C$11)=0,"",'Dvd Calendar'!$AA$2900*1000000000+ISNUMBER('Dvd Calendar'!$AA$2901)*100000000+('Dvd Calendar'!$AA$2905='Field Check'!$C$25)*10000000+(N('Dvd Calendar'!$AA$2899)&gt;0)*1000000+53*1000+23))</f>
        <v/>
      </c>
      <c r="Z209" s="41">
        <f>IF(N('Dvd Calendar'!$AB$2900)=0,"",IF(('Dvd Calendar'!$AB$2900&gt;=MIN(DATE(Summary!$C$12,1,1),Summary!$C$11))*('Dvd Calendar'!$AB$2900&lt;=MAX(DATE(Summary!$C$12,12,31),Summary!$C$15))*('Dvd Calendar'!$AB$2900&lt;=Summary!$C$11)=0,"",'Dvd Calendar'!$AB$2900*1000000000+ISNUMBER('Dvd Calendar'!$AB$2901)*100000000+('Dvd Calendar'!$AB$2905='Field Check'!$C$25)*10000000+(N('Dvd Calendar'!$AB$2899)&gt;0)*1000000+53*1000+24))</f>
        <v/>
      </c>
      <c r="AA209" s="41">
        <f>IF(N('Dvd Calendar'!$AC$2900)=0,"",IF(('Dvd Calendar'!$AC$2900&gt;=MIN(DATE(Summary!$C$12,1,1),Summary!$C$11))*('Dvd Calendar'!$AC$2900&lt;=MAX(DATE(Summary!$C$12,12,31),Summary!$C$15))*('Dvd Calendar'!$AC$2900&lt;=Summary!$C$11)=0,"",'Dvd Calendar'!$AC$2900*1000000000+ISNUMBER('Dvd Calendar'!$AC$2901)*100000000+('Dvd Calendar'!$AC$2905='Field Check'!$C$25)*10000000+(N('Dvd Calendar'!$AC$2899)&gt;0)*1000000+53*1000+25))</f>
        <v/>
      </c>
      <c r="AB209" s="41">
        <f>IF(N('Dvd Calendar'!$AD$2900)=0,"",IF(('Dvd Calendar'!$AD$2900&gt;=MIN(DATE(Summary!$C$12,1,1),Summary!$C$11))*('Dvd Calendar'!$AD$2900&lt;=MAX(DATE(Summary!$C$12,12,31),Summary!$C$15))*('Dvd Calendar'!$AD$2900&lt;=Summary!$C$11)=0,"",'Dvd Calendar'!$AD$2900*1000000000+ISNUMBER('Dvd Calendar'!$AD$2901)*100000000+('Dvd Calendar'!$AD$2905='Field Check'!$C$25)*10000000+(N('Dvd Calendar'!$AD$2899)&gt;0)*1000000+53*1000+26))</f>
        <v/>
      </c>
      <c r="AC209" s="41">
        <f>IF(N('Dvd Calendar'!$AE$2900)=0,"",IF(('Dvd Calendar'!$AE$2900&gt;=MIN(DATE(Summary!$C$12,1,1),Summary!$C$11))*('Dvd Calendar'!$AE$2900&lt;=MAX(DATE(Summary!$C$12,12,31),Summary!$C$15))*('Dvd Calendar'!$AE$2900&lt;=Summary!$C$11)=0,"",'Dvd Calendar'!$AE$2900*1000000000+ISNUMBER('Dvd Calendar'!$AE$2901)*100000000+('Dvd Calendar'!$AE$2905='Field Check'!$C$25)*10000000+(N('Dvd Calendar'!$AE$2899)&gt;0)*1000000+53*1000+27))</f>
        <v/>
      </c>
      <c r="AD209" s="41">
        <f>IF(N('Dvd Calendar'!$AF$2900)=0,"",IF(('Dvd Calendar'!$AF$2900&gt;=MIN(DATE(Summary!$C$12,1,1),Summary!$C$11))*('Dvd Calendar'!$AF$2900&lt;=MAX(DATE(Summary!$C$12,12,31),Summary!$C$15))*('Dvd Calendar'!$AF$2900&lt;=Summary!$C$11)=0,"",'Dvd Calendar'!$AF$2900*1000000000+ISNUMBER('Dvd Calendar'!$AF$2901)*100000000+('Dvd Calendar'!$AF$2905='Field Check'!$C$25)*10000000+(N('Dvd Calendar'!$AF$2899)&gt;0)*1000000+53*1000+28))</f>
        <v/>
      </c>
      <c r="AE209" s="41">
        <f>IF(N('Dvd Calendar'!$AG$2900)=0,"",IF(('Dvd Calendar'!$AG$2900&gt;=MIN(DATE(Summary!$C$12,1,1),Summary!$C$11))*('Dvd Calendar'!$AG$2900&lt;=MAX(DATE(Summary!$C$12,12,31),Summary!$C$15))*('Dvd Calendar'!$AG$2900&lt;=Summary!$C$11)=0,"",'Dvd Calendar'!$AG$2900*1000000000+ISNUMBER('Dvd Calendar'!$AG$2901)*100000000+('Dvd Calendar'!$AG$2905='Field Check'!$C$25)*10000000+(N('Dvd Calendar'!$AG$2899)&gt;0)*1000000+53*1000+29))</f>
        <v/>
      </c>
      <c r="AF209" s="41">
        <f>IF(N('Dvd Calendar'!$AH$2900)=0,"",IF(('Dvd Calendar'!$AH$2900&gt;=MIN(DATE(Summary!$C$12,1,1),Summary!$C$11))*('Dvd Calendar'!$AH$2900&lt;=MAX(DATE(Summary!$C$12,12,31),Summary!$C$15))*('Dvd Calendar'!$AH$2900&lt;=Summary!$C$11)=0,"",'Dvd Calendar'!$AH$2900*1000000000+ISNUMBER('Dvd Calendar'!$AH$2901)*100000000+('Dvd Calendar'!$AH$2905='Field Check'!$C$25)*10000000+(N('Dvd Calendar'!$AH$2899)&gt;0)*1000000+53*1000+30))</f>
        <v/>
      </c>
      <c r="AG209" s="41">
        <f>IF(N('Dvd Calendar'!$AI$2900)=0,"",IF(('Dvd Calendar'!$AI$2900&gt;=MIN(DATE(Summary!$C$12,1,1),Summary!$C$11))*('Dvd Calendar'!$AI$2900&lt;=MAX(DATE(Summary!$C$12,12,31),Summary!$C$15))*('Dvd Calendar'!$AI$2900&lt;=Summary!$C$11)=0,"",'Dvd Calendar'!$AI$2900*1000000000+ISNUMBER('Dvd Calendar'!$AI$2901)*100000000+('Dvd Calendar'!$AI$2905='Field Check'!$C$25)*10000000+(N('Dvd Calendar'!$AI$2899)&gt;0)*1000000+53*1000+31))</f>
        <v/>
      </c>
      <c r="AH209" s="41">
        <f>IF(N('Dvd Calendar'!$AJ$2900)=0,"",IF(('Dvd Calendar'!$AJ$2900&gt;=MIN(DATE(Summary!$C$12,1,1),Summary!$C$11))*('Dvd Calendar'!$AJ$2900&lt;=MAX(DATE(Summary!$C$12,12,31),Summary!$C$15))*('Dvd Calendar'!$AJ$2900&lt;=Summary!$C$11)=0,"",'Dvd Calendar'!$AJ$2900*1000000000+ISNUMBER('Dvd Calendar'!$AJ$2901)*100000000+('Dvd Calendar'!$AJ$2905='Field Check'!$C$25)*10000000+(N('Dvd Calendar'!$AJ$2899)&gt;0)*1000000+53*1000+32))</f>
        <v/>
      </c>
      <c r="AI209" s="41">
        <f>IF(N('Dvd Calendar'!$AK$2900)=0,"",IF(('Dvd Calendar'!$AK$2900&gt;=MIN(DATE(Summary!$C$12,1,1),Summary!$C$11))*('Dvd Calendar'!$AK$2900&lt;=MAX(DATE(Summary!$C$12,12,31),Summary!$C$15))*('Dvd Calendar'!$AK$2900&lt;=Summary!$C$11)=0,"",'Dvd Calendar'!$AK$2900*1000000000+ISNUMBER('Dvd Calendar'!$AK$2901)*100000000+('Dvd Calendar'!$AK$2905='Field Check'!$C$25)*10000000+(N('Dvd Calendar'!$AK$2899)&gt;0)*1000000+53*1000+33))</f>
        <v/>
      </c>
      <c r="AJ209" s="41">
        <f>IF(N('Dvd Calendar'!$AL$2900)=0,"",IF(('Dvd Calendar'!$AL$2900&gt;=MIN(DATE(Summary!$C$12,1,1),Summary!$C$11))*('Dvd Calendar'!$AL$2900&lt;=MAX(DATE(Summary!$C$12,12,31),Summary!$C$15))*('Dvd Calendar'!$AL$2900&lt;=Summary!$C$11)=0,"",'Dvd Calendar'!$AL$2900*1000000000+ISNUMBER('Dvd Calendar'!$AL$2901)*100000000+('Dvd Calendar'!$AL$2905='Field Check'!$C$25)*10000000+(N('Dvd Calendar'!$AL$2899)&gt;0)*1000000+53*1000+34))</f>
        <v/>
      </c>
      <c r="AK209" s="41">
        <f>IF(N('Dvd Calendar'!$AM$2900)=0,"",IF(('Dvd Calendar'!$AM$2900&gt;=MIN(DATE(Summary!$C$12,1,1),Summary!$C$11))*('Dvd Calendar'!$AM$2900&lt;=MAX(DATE(Summary!$C$12,12,31),Summary!$C$15))*('Dvd Calendar'!$AM$2900&lt;=Summary!$C$11)=0,"",'Dvd Calendar'!$AM$2900*1000000000+ISNUMBER('Dvd Calendar'!$AM$2901)*100000000+('Dvd Calendar'!$AM$2905='Field Check'!$C$25)*10000000+(N('Dvd Calendar'!$AM$2899)&gt;0)*1000000+53*1000+35))</f>
        <v/>
      </c>
      <c r="AL209" s="41">
        <f>IF(N('Dvd Calendar'!$AN$2900)=0,"",IF(('Dvd Calendar'!$AN$2900&gt;=MIN(DATE(Summary!$C$12,1,1),Summary!$C$11))*('Dvd Calendar'!$AN$2900&lt;=MAX(DATE(Summary!$C$12,12,31),Summary!$C$15))*('Dvd Calendar'!$AN$2900&lt;=Summary!$C$11)=0,"",'Dvd Calendar'!$AN$2900*1000000000+ISNUMBER('Dvd Calendar'!$AN$2901)*100000000+('Dvd Calendar'!$AN$2905='Field Check'!$C$25)*10000000+(N('Dvd Calendar'!$AN$2899)&gt;0)*1000000+53*1000+36))</f>
        <v/>
      </c>
      <c r="AM209" s="41">
        <f>IF(N('Dvd Calendar'!$AO$2900)=0,"",IF(('Dvd Calendar'!$AO$2900&gt;=MIN(DATE(Summary!$C$12,1,1),Summary!$C$11))*('Dvd Calendar'!$AO$2900&lt;=MAX(DATE(Summary!$C$12,12,31),Summary!$C$15))*('Dvd Calendar'!$AO$2900&lt;=Summary!$C$11)=0,"",'Dvd Calendar'!$AO$2900*1000000000+ISNUMBER('Dvd Calendar'!$AO$2901)*100000000+('Dvd Calendar'!$AO$2905='Field Check'!$C$25)*10000000+(N('Dvd Calendar'!$AO$2899)&gt;0)*1000000+53*1000+37))</f>
        <v/>
      </c>
      <c r="AN209" s="41">
        <f>IF(N('Dvd Calendar'!$AP$2900)=0,"",IF(('Dvd Calendar'!$AP$2900&gt;=MIN(DATE(Summary!$C$12,1,1),Summary!$C$11))*('Dvd Calendar'!$AP$2900&lt;=MAX(DATE(Summary!$C$12,12,31),Summary!$C$15))*('Dvd Calendar'!$AP$2900&lt;=Summary!$C$11)=0,"",'Dvd Calendar'!$AP$2900*1000000000+ISNUMBER('Dvd Calendar'!$AP$2901)*100000000+('Dvd Calendar'!$AP$2905='Field Check'!$C$25)*10000000+(N('Dvd Calendar'!$AP$2899)&gt;0)*1000000+53*1000+38))</f>
        <v/>
      </c>
      <c r="AO209" s="41">
        <f>IF(N('Dvd Calendar'!$AQ$2900)=0,"",IF(('Dvd Calendar'!$AQ$2900&gt;=MIN(DATE(Summary!$C$12,1,1),Summary!$C$11))*('Dvd Calendar'!$AQ$2900&lt;=MAX(DATE(Summary!$C$12,12,31),Summary!$C$15))*('Dvd Calendar'!$AQ$2900&lt;=Summary!$C$11)=0,"",'Dvd Calendar'!$AQ$2900*1000000000+ISNUMBER('Dvd Calendar'!$AQ$2901)*100000000+('Dvd Calendar'!$AQ$2905='Field Check'!$C$25)*10000000+(N('Dvd Calendar'!$AQ$2899)&gt;0)*1000000+53*1000+39))</f>
        <v/>
      </c>
      <c r="AP209" s="41">
        <f>IF(N('Dvd Calendar'!$AR$2900)=0,"",IF(('Dvd Calendar'!$AR$2900&gt;=MIN(DATE(Summary!$C$12,1,1),Summary!$C$11))*('Dvd Calendar'!$AR$2900&lt;=MAX(DATE(Summary!$C$12,12,31),Summary!$C$15))*('Dvd Calendar'!$AR$2900&lt;=Summary!$C$11)=0,"",'Dvd Calendar'!$AR$2900*1000000000+ISNUMBER('Dvd Calendar'!$AR$2901)*100000000+('Dvd Calendar'!$AR$2905='Field Check'!$C$25)*10000000+(N('Dvd Calendar'!$AR$2899)&gt;0)*1000000+53*1000+40))</f>
        <v/>
      </c>
      <c r="AQ209" s="41">
        <f>IF(N('Dvd Calendar'!$E$2907)=0,"",IF(('Dvd Calendar'!$E$2907&gt;=MIN(DATE(Summary!$C$12,1,1),Summary!$C$11))*('Dvd Calendar'!$E$2907&lt;=MAX(DATE(Summary!$C$12,12,31),Summary!$C$15))*('Dvd Calendar'!$E$2907&gt;Summary!$C$11)=0,"",'Dvd Calendar'!$E$2907*1000000000+ISNUMBER('Dvd Calendar'!$E$2908)*100000000+('Dvd Calendar'!$E$2912='Field Check'!$C$25)*10000000+(N('Dvd Calendar'!$E$2906)&gt;0)*1000000+53*1000+41))</f>
        <v/>
      </c>
      <c r="AR209" s="41">
        <f>IF(N('Dvd Calendar'!$F$2907)=0,"",IF(('Dvd Calendar'!$F$2907&gt;=MIN(DATE(Summary!$C$12,1,1),Summary!$C$11))*('Dvd Calendar'!$F$2907&lt;=MAX(DATE(Summary!$C$12,12,31),Summary!$C$15))*('Dvd Calendar'!$F$2907&gt;Summary!$C$11)=0,"",'Dvd Calendar'!$F$2907*1000000000+ISNUMBER('Dvd Calendar'!$F$2908)*100000000+('Dvd Calendar'!$F$2912='Field Check'!$C$25)*10000000+(N('Dvd Calendar'!$F$2906)&gt;0)*1000000+53*1000+42))</f>
        <v/>
      </c>
      <c r="AS209" s="41">
        <f>IF(N('Dvd Calendar'!$G$2907)=0,"",IF(('Dvd Calendar'!$G$2907&gt;=MIN(DATE(Summary!$C$12,1,1),Summary!$C$11))*('Dvd Calendar'!$G$2907&lt;=MAX(DATE(Summary!$C$12,12,31),Summary!$C$15))*('Dvd Calendar'!$G$2907&gt;Summary!$C$11)=0,"",'Dvd Calendar'!$G$2907*1000000000+ISNUMBER('Dvd Calendar'!$G$2908)*100000000+('Dvd Calendar'!$G$2912='Field Check'!$C$25)*10000000+(N('Dvd Calendar'!$G$2906)&gt;0)*1000000+53*1000+43))</f>
        <v/>
      </c>
      <c r="AT209" s="41">
        <f>IF(N('Dvd Calendar'!$H$2907)=0,"",IF(('Dvd Calendar'!$H$2907&gt;=MIN(DATE(Summary!$C$12,1,1),Summary!$C$11))*('Dvd Calendar'!$H$2907&lt;=MAX(DATE(Summary!$C$12,12,31),Summary!$C$15))*('Dvd Calendar'!$H$2907&gt;Summary!$C$11)=0,"",'Dvd Calendar'!$H$2907*1000000000+ISNUMBER('Dvd Calendar'!$H$2908)*100000000+('Dvd Calendar'!$H$2912='Field Check'!$C$25)*10000000+(N('Dvd Calendar'!$H$2906)&gt;0)*1000000+53*1000+44))</f>
        <v/>
      </c>
      <c r="AU209" s="41">
        <f>IF(N('Dvd Calendar'!$I$2907)=0,"",IF(('Dvd Calendar'!$I$2907&gt;=MIN(DATE(Summary!$C$12,1,1),Summary!$C$11))*('Dvd Calendar'!$I$2907&lt;=MAX(DATE(Summary!$C$12,12,31),Summary!$C$15))*('Dvd Calendar'!$I$2907&gt;Summary!$C$11)=0,"",'Dvd Calendar'!$I$2907*1000000000+ISNUMBER('Dvd Calendar'!$I$2908)*100000000+('Dvd Calendar'!$I$2912='Field Check'!$C$25)*10000000+(N('Dvd Calendar'!$I$2906)&gt;0)*1000000+53*1000+45))</f>
        <v/>
      </c>
      <c r="AV209" s="41">
        <f>IF(N('Dvd Calendar'!$J$2907)=0,"",IF(('Dvd Calendar'!$J$2907&gt;=MIN(DATE(Summary!$C$12,1,1),Summary!$C$11))*('Dvd Calendar'!$J$2907&lt;=MAX(DATE(Summary!$C$12,12,31),Summary!$C$15))*('Dvd Calendar'!$J$2907&gt;Summary!$C$11)=0,"",'Dvd Calendar'!$J$2907*1000000000+ISNUMBER('Dvd Calendar'!$J$2908)*100000000+('Dvd Calendar'!$J$2912='Field Check'!$C$25)*10000000+(N('Dvd Calendar'!$J$2906)&gt;0)*1000000+53*1000+46))</f>
        <v/>
      </c>
      <c r="AW209" s="41">
        <f>IF(N('Dvd Calendar'!$K$2907)=0,"",IF(('Dvd Calendar'!$K$2907&gt;=MIN(DATE(Summary!$C$12,1,1),Summary!$C$11))*('Dvd Calendar'!$K$2907&lt;=MAX(DATE(Summary!$C$12,12,31),Summary!$C$15))*('Dvd Calendar'!$K$2907&gt;Summary!$C$11)=0,"",'Dvd Calendar'!$K$2907*1000000000+ISNUMBER('Dvd Calendar'!$K$2908)*100000000+('Dvd Calendar'!$K$2912='Field Check'!$C$25)*10000000+(N('Dvd Calendar'!$K$2906)&gt;0)*1000000+53*1000+47))</f>
        <v/>
      </c>
      <c r="AX209" s="41">
        <f>IF(N('Dvd Calendar'!$L$2907)=0,"",IF(('Dvd Calendar'!$L$2907&gt;=MIN(DATE(Summary!$C$12,1,1),Summary!$C$11))*('Dvd Calendar'!$L$2907&lt;=MAX(DATE(Summary!$C$12,12,31),Summary!$C$15))*('Dvd Calendar'!$L$2907&gt;Summary!$C$11)=0,"",'Dvd Calendar'!$L$2907*1000000000+ISNUMBER('Dvd Calendar'!$L$2908)*100000000+('Dvd Calendar'!$L$2912='Field Check'!$C$25)*10000000+(N('Dvd Calendar'!$L$2906)&gt;0)*1000000+53*1000+48))</f>
        <v/>
      </c>
      <c r="AY209" s="41">
        <f>IF(N('Dvd Calendar'!$M$2907)=0,"",IF(('Dvd Calendar'!$M$2907&gt;=MIN(DATE(Summary!$C$12,1,1),Summary!$C$11))*('Dvd Calendar'!$M$2907&lt;=MAX(DATE(Summary!$C$12,12,31),Summary!$C$15))*('Dvd Calendar'!$M$2907&gt;Summary!$C$11)=0,"",'Dvd Calendar'!$M$2907*1000000000+ISNUMBER('Dvd Calendar'!$M$2908)*100000000+('Dvd Calendar'!$M$2912='Field Check'!$C$25)*10000000+(N('Dvd Calendar'!$M$2906)&gt;0)*1000000+53*1000+49))</f>
        <v/>
      </c>
      <c r="AZ209" s="41">
        <f>IF(N('Dvd Calendar'!$N$2907)=0,"",IF(('Dvd Calendar'!$N$2907&gt;=MIN(DATE(Summary!$C$12,1,1),Summary!$C$11))*('Dvd Calendar'!$N$2907&lt;=MAX(DATE(Summary!$C$12,12,31),Summary!$C$15))*('Dvd Calendar'!$N$2907&gt;Summary!$C$11)=0,"",'Dvd Calendar'!$N$2907*1000000000+ISNUMBER('Dvd Calendar'!$N$2908)*100000000+('Dvd Calendar'!$N$2912='Field Check'!$C$25)*10000000+(N('Dvd Calendar'!$N$2906)&gt;0)*1000000+53*1000+50))</f>
        <v/>
      </c>
      <c r="BA209" s="41">
        <f>IF(N('Dvd Calendar'!$O$2907)=0,"",IF(('Dvd Calendar'!$O$2907&gt;=MIN(DATE(Summary!$C$12,1,1),Summary!$C$11))*('Dvd Calendar'!$O$2907&lt;=MAX(DATE(Summary!$C$12,12,31),Summary!$C$15))*('Dvd Calendar'!$O$2907&gt;Summary!$C$11)=0,"",'Dvd Calendar'!$O$2907*1000000000+ISNUMBER('Dvd Calendar'!$O$2908)*100000000+('Dvd Calendar'!$O$2912='Field Check'!$C$25)*10000000+(N('Dvd Calendar'!$O$2906)&gt;0)*1000000+53*1000+51))</f>
        <v/>
      </c>
      <c r="BB209" s="41">
        <f>IF(N('Dvd Calendar'!$P$2907)=0,"",IF(('Dvd Calendar'!$P$2907&gt;=MIN(DATE(Summary!$C$12,1,1),Summary!$C$11))*('Dvd Calendar'!$P$2907&lt;=MAX(DATE(Summary!$C$12,12,31),Summary!$C$15))*('Dvd Calendar'!$P$2907&gt;Summary!$C$11)=0,"",'Dvd Calendar'!$P$2907*1000000000+ISNUMBER('Dvd Calendar'!$P$2908)*100000000+('Dvd Calendar'!$P$2912='Field Check'!$C$25)*10000000+(N('Dvd Calendar'!$P$2906)&gt;0)*1000000+53*1000+52))</f>
        <v/>
      </c>
      <c r="BC209" s="41">
        <f>IF(N('Dvd Calendar'!$Q$2907)=0,"",IF(('Dvd Calendar'!$Q$2907&gt;=MIN(DATE(Summary!$C$12,1,1),Summary!$C$11))*('Dvd Calendar'!$Q$2907&lt;=MAX(DATE(Summary!$C$12,12,31),Summary!$C$15))*('Dvd Calendar'!$Q$2907&gt;Summary!$C$11)=0,"",'Dvd Calendar'!$Q$2907*1000000000+ISNUMBER('Dvd Calendar'!$Q$2908)*100000000+('Dvd Calendar'!$Q$2912='Field Check'!$C$25)*10000000+(N('Dvd Calendar'!$Q$2906)&gt;0)*1000000+53*1000+53))</f>
        <v/>
      </c>
      <c r="BD209" s="41">
        <f>IF(N('Dvd Calendar'!$R$2907)=0,"",IF(('Dvd Calendar'!$R$2907&gt;=MIN(DATE(Summary!$C$12,1,1),Summary!$C$11))*('Dvd Calendar'!$R$2907&lt;=MAX(DATE(Summary!$C$12,12,31),Summary!$C$15))*('Dvd Calendar'!$R$2907&gt;Summary!$C$11)=0,"",'Dvd Calendar'!$R$2907*1000000000+ISNUMBER('Dvd Calendar'!$R$2908)*100000000+('Dvd Calendar'!$R$2912='Field Check'!$C$25)*10000000+(N('Dvd Calendar'!$R$2906)&gt;0)*1000000+53*1000+54))</f>
        <v/>
      </c>
      <c r="BE209" s="41">
        <f>IF(N('Dvd Calendar'!$S$2907)=0,"",IF(('Dvd Calendar'!$S$2907&gt;=MIN(DATE(Summary!$C$12,1,1),Summary!$C$11))*('Dvd Calendar'!$S$2907&lt;=MAX(DATE(Summary!$C$12,12,31),Summary!$C$15))*('Dvd Calendar'!$S$2907&gt;Summary!$C$11)=0,"",'Dvd Calendar'!$S$2907*1000000000+ISNUMBER('Dvd Calendar'!$S$2908)*100000000+('Dvd Calendar'!$S$2912='Field Check'!$C$25)*10000000+(N('Dvd Calendar'!$S$2906)&gt;0)*1000000+53*1000+55))</f>
        <v/>
      </c>
      <c r="BF209" s="41">
        <f>IF(N('Dvd Calendar'!$T$2907)=0,"",IF(('Dvd Calendar'!$T$2907&gt;=MIN(DATE(Summary!$C$12,1,1),Summary!$C$11))*('Dvd Calendar'!$T$2907&lt;=MAX(DATE(Summary!$C$12,12,31),Summary!$C$15))*('Dvd Calendar'!$T$2907&gt;Summary!$C$11)=0,"",'Dvd Calendar'!$T$2907*1000000000+ISNUMBER('Dvd Calendar'!$T$2908)*100000000+('Dvd Calendar'!$T$2912='Field Check'!$C$25)*10000000+(N('Dvd Calendar'!$T$2906)&gt;0)*1000000+53*1000+56))</f>
        <v/>
      </c>
      <c r="BG209" s="41">
        <f>IF(N('Dvd Calendar'!$U$2907)=0,"",IF(('Dvd Calendar'!$U$2907&gt;=MIN(DATE(Summary!$C$12,1,1),Summary!$C$11))*('Dvd Calendar'!$U$2907&lt;=MAX(DATE(Summary!$C$12,12,31),Summary!$C$15))*('Dvd Calendar'!$U$2907&gt;Summary!$C$11)=0,"",'Dvd Calendar'!$U$2907*1000000000+ISNUMBER('Dvd Calendar'!$U$2908)*100000000+('Dvd Calendar'!$U$2912='Field Check'!$C$25)*10000000+(N('Dvd Calendar'!$U$2906)&gt;0)*1000000+53*1000+57))</f>
        <v/>
      </c>
      <c r="BH209" s="41">
        <f>IF(N('Dvd Calendar'!$V$2907)=0,"",IF(('Dvd Calendar'!$V$2907&gt;=MIN(DATE(Summary!$C$12,1,1),Summary!$C$11))*('Dvd Calendar'!$V$2907&lt;=MAX(DATE(Summary!$C$12,12,31),Summary!$C$15))*('Dvd Calendar'!$V$2907&gt;Summary!$C$11)=0,"",'Dvd Calendar'!$V$2907*1000000000+ISNUMBER('Dvd Calendar'!$V$2908)*100000000+('Dvd Calendar'!$V$2912='Field Check'!$C$25)*10000000+(N('Dvd Calendar'!$V$2906)&gt;0)*1000000+53*1000+58))</f>
        <v/>
      </c>
      <c r="BI209" s="41">
        <f>IF(N('Dvd Calendar'!$W$2907)=0,"",IF(('Dvd Calendar'!$W$2907&gt;=MIN(DATE(Summary!$C$12,1,1),Summary!$C$11))*('Dvd Calendar'!$W$2907&lt;=MAX(DATE(Summary!$C$12,12,31),Summary!$C$15))*('Dvd Calendar'!$W$2907&gt;Summary!$C$11)=0,"",'Dvd Calendar'!$W$2907*1000000000+ISNUMBER('Dvd Calendar'!$W$2908)*100000000+('Dvd Calendar'!$W$2912='Field Check'!$C$25)*10000000+(N('Dvd Calendar'!$W$2906)&gt;0)*1000000+53*1000+59))</f>
        <v/>
      </c>
      <c r="BJ209" s="41">
        <f>IF(N('Dvd Calendar'!$X$2907)=0,"",IF(('Dvd Calendar'!$X$2907&gt;=MIN(DATE(Summary!$C$12,1,1),Summary!$C$11))*('Dvd Calendar'!$X$2907&lt;=MAX(DATE(Summary!$C$12,12,31),Summary!$C$15))*('Dvd Calendar'!$X$2907&gt;Summary!$C$11)=0,"",'Dvd Calendar'!$X$2907*1000000000+ISNUMBER('Dvd Calendar'!$X$2908)*100000000+('Dvd Calendar'!$X$2912='Field Check'!$C$25)*10000000+(N('Dvd Calendar'!$X$2906)&gt;0)*1000000+53*1000+60))</f>
        <v/>
      </c>
      <c r="BK209" s="41">
        <f>IF(N('Dvd Calendar'!$Y$2907)=0,"",IF(('Dvd Calendar'!$Y$2907&gt;=MIN(DATE(Summary!$C$12,1,1),Summary!$C$11))*('Dvd Calendar'!$Y$2907&lt;=MAX(DATE(Summary!$C$12,12,31),Summary!$C$15))*('Dvd Calendar'!$Y$2907&gt;Summary!$C$11)=0,"",'Dvd Calendar'!$Y$2907*1000000000+ISNUMBER('Dvd Calendar'!$Y$2908)*100000000+('Dvd Calendar'!$Y$2912='Field Check'!$C$25)*10000000+(N('Dvd Calendar'!$Y$2906)&gt;0)*1000000+53*1000+61))</f>
        <v/>
      </c>
      <c r="BL209" s="41">
        <f>IF(N('Dvd Calendar'!$Z$2907)=0,"",IF(('Dvd Calendar'!$Z$2907&gt;=MIN(DATE(Summary!$C$12,1,1),Summary!$C$11))*('Dvd Calendar'!$Z$2907&lt;=MAX(DATE(Summary!$C$12,12,31),Summary!$C$15))*('Dvd Calendar'!$Z$2907&gt;Summary!$C$11)=0,"",'Dvd Calendar'!$Z$2907*1000000000+ISNUMBER('Dvd Calendar'!$Z$2908)*100000000+('Dvd Calendar'!$Z$2912='Field Check'!$C$25)*10000000+(N('Dvd Calendar'!$Z$2906)&gt;0)*1000000+53*1000+62))</f>
        <v/>
      </c>
      <c r="BM209" s="41">
        <f>IF(N('Dvd Calendar'!$AA$2907)=0,"",IF(('Dvd Calendar'!$AA$2907&gt;=MIN(DATE(Summary!$C$12,1,1),Summary!$C$11))*('Dvd Calendar'!$AA$2907&lt;=MAX(DATE(Summary!$C$12,12,31),Summary!$C$15))*('Dvd Calendar'!$AA$2907&gt;Summary!$C$11)=0,"",'Dvd Calendar'!$AA$2907*1000000000+ISNUMBER('Dvd Calendar'!$AA$2908)*100000000+('Dvd Calendar'!$AA$2912='Field Check'!$C$25)*10000000+(N('Dvd Calendar'!$AA$2906)&gt;0)*1000000+53*1000+63))</f>
        <v/>
      </c>
      <c r="BN209" s="41">
        <f>IF(N('Dvd Calendar'!$AB$2907)=0,"",IF(('Dvd Calendar'!$AB$2907&gt;=MIN(DATE(Summary!$C$12,1,1),Summary!$C$11))*('Dvd Calendar'!$AB$2907&lt;=MAX(DATE(Summary!$C$12,12,31),Summary!$C$15))*('Dvd Calendar'!$AB$2907&gt;Summary!$C$11)=0,"",'Dvd Calendar'!$AB$2907*1000000000+ISNUMBER('Dvd Calendar'!$AB$2908)*100000000+('Dvd Calendar'!$AB$2912='Field Check'!$C$25)*10000000+(N('Dvd Calendar'!$AB$2906)&gt;0)*1000000+53*1000+64))</f>
        <v/>
      </c>
      <c r="BO209" s="41">
        <f>IF(N('Dvd Calendar'!$AC$2907)=0,"",IF(('Dvd Calendar'!$AC$2907&gt;=MIN(DATE(Summary!$C$12,1,1),Summary!$C$11))*('Dvd Calendar'!$AC$2907&lt;=MAX(DATE(Summary!$C$12,12,31),Summary!$C$15))*('Dvd Calendar'!$AC$2907&gt;Summary!$C$11)=0,"",'Dvd Calendar'!$AC$2907*1000000000+ISNUMBER('Dvd Calendar'!$AC$2908)*100000000+('Dvd Calendar'!$AC$2912='Field Check'!$C$25)*10000000+(N('Dvd Calendar'!$AC$2906)&gt;0)*1000000+53*1000+65))</f>
        <v/>
      </c>
      <c r="BQ209" s="85">
        <f>IF(C209="","",IF(ISNUMBER('Dvd Calendar'!$E$2901)=FALSE,"",IF((Summary!$C$13="N")*('Dvd Calendar'!$E$2905='Field Check'!$C$25)&gt;0,"",'Dvd Calendar'!$E$2901)))</f>
        <v/>
      </c>
      <c r="BR209" s="85">
        <f>IF(D209="","",IF(ISNUMBER('Dvd Calendar'!$F$2901)=FALSE,"",IF((Summary!$C$13="N")*('Dvd Calendar'!$F$2905='Field Check'!$C$25)&gt;0,"",'Dvd Calendar'!$F$2901)))</f>
        <v/>
      </c>
      <c r="BS209" s="85">
        <f>IF(E209="","",IF(ISNUMBER('Dvd Calendar'!$G$2901)=FALSE,"",IF((Summary!$C$13="N")*('Dvd Calendar'!$G$2905='Field Check'!$C$25)&gt;0,"",'Dvd Calendar'!$G$2901)))</f>
        <v/>
      </c>
      <c r="BT209" s="85">
        <f>IF(F209="","",IF(ISNUMBER('Dvd Calendar'!$H$2901)=FALSE,"",IF((Summary!$C$13="N")*('Dvd Calendar'!$H$2905='Field Check'!$C$25)&gt;0,"",'Dvd Calendar'!$H$2901)))</f>
        <v/>
      </c>
      <c r="BU209" s="85">
        <f>IF(G209="","",IF(ISNUMBER('Dvd Calendar'!$I$2901)=FALSE,"",IF((Summary!$C$13="N")*('Dvd Calendar'!$I$2905='Field Check'!$C$25)&gt;0,"",'Dvd Calendar'!$I$2901)))</f>
        <v/>
      </c>
      <c r="BV209" s="85">
        <f>IF(H209="","",IF(ISNUMBER('Dvd Calendar'!$J$2901)=FALSE,"",IF((Summary!$C$13="N")*('Dvd Calendar'!$J$2905='Field Check'!$C$25)&gt;0,"",'Dvd Calendar'!$J$2901)))</f>
        <v/>
      </c>
      <c r="BW209" s="85">
        <f>IF(I209="","",IF(ISNUMBER('Dvd Calendar'!$K$2901)=FALSE,"",IF((Summary!$C$13="N")*('Dvd Calendar'!$K$2905='Field Check'!$C$25)&gt;0,"",'Dvd Calendar'!$K$2901)))</f>
        <v/>
      </c>
      <c r="BX209" s="85">
        <f>IF(J209="","",IF(ISNUMBER('Dvd Calendar'!$L$2901)=FALSE,"",IF((Summary!$C$13="N")*('Dvd Calendar'!$L$2905='Field Check'!$C$25)&gt;0,"",'Dvd Calendar'!$L$2901)))</f>
        <v/>
      </c>
      <c r="BY209" s="85">
        <f>IF(K209="","",IF(ISNUMBER('Dvd Calendar'!$M$2901)=FALSE,"",IF((Summary!$C$13="N")*('Dvd Calendar'!$M$2905='Field Check'!$C$25)&gt;0,"",'Dvd Calendar'!$M$2901)))</f>
        <v/>
      </c>
      <c r="BZ209" s="85">
        <f>IF(L209="","",IF(ISNUMBER('Dvd Calendar'!$N$2901)=FALSE,"",IF((Summary!$C$13="N")*('Dvd Calendar'!$N$2905='Field Check'!$C$25)&gt;0,"",'Dvd Calendar'!$N$2901)))</f>
        <v/>
      </c>
      <c r="CA209" s="85">
        <f>IF(M209="","",IF(ISNUMBER('Dvd Calendar'!$O$2901)=FALSE,"",IF((Summary!$C$13="N")*('Dvd Calendar'!$O$2905='Field Check'!$C$25)&gt;0,"",'Dvd Calendar'!$O$2901)))</f>
        <v/>
      </c>
      <c r="CB209" s="85">
        <f>IF(N209="","",IF(ISNUMBER('Dvd Calendar'!$P$2901)=FALSE,"",IF((Summary!$C$13="N")*('Dvd Calendar'!$P$2905='Field Check'!$C$25)&gt;0,"",'Dvd Calendar'!$P$2901)))</f>
        <v/>
      </c>
      <c r="CC209" s="85">
        <f>IF(O209="","",IF(ISNUMBER('Dvd Calendar'!$Q$2901)=FALSE,"",IF((Summary!$C$13="N")*('Dvd Calendar'!$Q$2905='Field Check'!$C$25)&gt;0,"",'Dvd Calendar'!$Q$2901)))</f>
        <v/>
      </c>
      <c r="CD209" s="85">
        <f>IF(P209="","",IF(ISNUMBER('Dvd Calendar'!$R$2901)=FALSE,"",IF((Summary!$C$13="N")*('Dvd Calendar'!$R$2905='Field Check'!$C$25)&gt;0,"",'Dvd Calendar'!$R$2901)))</f>
        <v/>
      </c>
      <c r="CE209" s="85">
        <f>IF(Q209="","",IF(ISNUMBER('Dvd Calendar'!$S$2901)=FALSE,"",IF((Summary!$C$13="N")*('Dvd Calendar'!$S$2905='Field Check'!$C$25)&gt;0,"",'Dvd Calendar'!$S$2901)))</f>
        <v/>
      </c>
      <c r="CF209" s="85">
        <f>IF(R209="","",IF(ISNUMBER('Dvd Calendar'!$T$2901)=FALSE,"",IF((Summary!$C$13="N")*('Dvd Calendar'!$T$2905='Field Check'!$C$25)&gt;0,"",'Dvd Calendar'!$T$2901)))</f>
        <v/>
      </c>
      <c r="CG209" s="85">
        <f>IF(S209="","",IF(ISNUMBER('Dvd Calendar'!$U$2901)=FALSE,"",IF((Summary!$C$13="N")*('Dvd Calendar'!$U$2905='Field Check'!$C$25)&gt;0,"",'Dvd Calendar'!$U$2901)))</f>
        <v/>
      </c>
      <c r="CH209" s="85">
        <f>IF(T209="","",IF(ISNUMBER('Dvd Calendar'!$V$2901)=FALSE,"",IF((Summary!$C$13="N")*('Dvd Calendar'!$V$2905='Field Check'!$C$25)&gt;0,"",'Dvd Calendar'!$V$2901)))</f>
        <v/>
      </c>
      <c r="CI209" s="85">
        <f>IF(U209="","",IF(ISNUMBER('Dvd Calendar'!$W$2901)=FALSE,"",IF((Summary!$C$13="N")*('Dvd Calendar'!$W$2905='Field Check'!$C$25)&gt;0,"",'Dvd Calendar'!$W$2901)))</f>
        <v/>
      </c>
      <c r="CJ209" s="85">
        <f>IF(V209="","",IF(ISNUMBER('Dvd Calendar'!$X$2901)=FALSE,"",IF((Summary!$C$13="N")*('Dvd Calendar'!$X$2905='Field Check'!$C$25)&gt;0,"",'Dvd Calendar'!$X$2901)))</f>
        <v/>
      </c>
      <c r="CK209" s="85">
        <f>IF(W209="","",IF(ISNUMBER('Dvd Calendar'!$Y$2901)=FALSE,"",IF((Summary!$C$13="N")*('Dvd Calendar'!$Y$2905='Field Check'!$C$25)&gt;0,"",'Dvd Calendar'!$Y$2901)))</f>
        <v/>
      </c>
      <c r="CL209" s="85">
        <f>IF(X209="","",IF(ISNUMBER('Dvd Calendar'!$Z$2901)=FALSE,"",IF((Summary!$C$13="N")*('Dvd Calendar'!$Z$2905='Field Check'!$C$25)&gt;0,"",'Dvd Calendar'!$Z$2901)))</f>
        <v/>
      </c>
      <c r="CM209" s="85">
        <f>IF(Y209="","",IF(ISNUMBER('Dvd Calendar'!$AA$2901)=FALSE,"",IF((Summary!$C$13="N")*('Dvd Calendar'!$AA$2905='Field Check'!$C$25)&gt;0,"",'Dvd Calendar'!$AA$2901)))</f>
        <v/>
      </c>
      <c r="CN209" s="85">
        <f>IF(Z209="","",IF(ISNUMBER('Dvd Calendar'!$AB$2901)=FALSE,"",IF((Summary!$C$13="N")*('Dvd Calendar'!$AB$2905='Field Check'!$C$25)&gt;0,"",'Dvd Calendar'!$AB$2901)))</f>
        <v/>
      </c>
      <c r="CO209" s="85">
        <f>IF(AA209="","",IF(ISNUMBER('Dvd Calendar'!$AC$2901)=FALSE,"",IF((Summary!$C$13="N")*('Dvd Calendar'!$AC$2905='Field Check'!$C$25)&gt;0,"",'Dvd Calendar'!$AC$2901)))</f>
        <v/>
      </c>
      <c r="CP209" s="85">
        <f>IF(AB209="","",IF(ISNUMBER('Dvd Calendar'!$AD$2901)=FALSE,"",IF((Summary!$C$13="N")*('Dvd Calendar'!$AD$2905='Field Check'!$C$25)&gt;0,"",'Dvd Calendar'!$AD$2901)))</f>
        <v/>
      </c>
      <c r="CQ209" s="85">
        <f>IF(AC209="","",IF(ISNUMBER('Dvd Calendar'!$AE$2901)=FALSE,"",IF((Summary!$C$13="N")*('Dvd Calendar'!$AE$2905='Field Check'!$C$25)&gt;0,"",'Dvd Calendar'!$AE$2901)))</f>
        <v/>
      </c>
      <c r="CR209" s="85">
        <f>IF(AD209="","",IF(ISNUMBER('Dvd Calendar'!$AF$2901)=FALSE,"",IF((Summary!$C$13="N")*('Dvd Calendar'!$AF$2905='Field Check'!$C$25)&gt;0,"",'Dvd Calendar'!$AF$2901)))</f>
        <v/>
      </c>
      <c r="CS209" s="85">
        <f>IF(AE209="","",IF(ISNUMBER('Dvd Calendar'!$AG$2901)=FALSE,"",IF((Summary!$C$13="N")*('Dvd Calendar'!$AG$2905='Field Check'!$C$25)&gt;0,"",'Dvd Calendar'!$AG$2901)))</f>
        <v/>
      </c>
      <c r="CT209" s="85">
        <f>IF(AF209="","",IF(ISNUMBER('Dvd Calendar'!$AH$2901)=FALSE,"",IF((Summary!$C$13="N")*('Dvd Calendar'!$AH$2905='Field Check'!$C$25)&gt;0,"",'Dvd Calendar'!$AH$2901)))</f>
        <v/>
      </c>
      <c r="CU209" s="85">
        <f>IF(AG209="","",IF(ISNUMBER('Dvd Calendar'!$AI$2901)=FALSE,"",IF((Summary!$C$13="N")*('Dvd Calendar'!$AI$2905='Field Check'!$C$25)&gt;0,"",'Dvd Calendar'!$AI$2901)))</f>
        <v/>
      </c>
      <c r="CV209" s="85">
        <f>IF(AH209="","",IF(ISNUMBER('Dvd Calendar'!$AJ$2901)=FALSE,"",IF((Summary!$C$13="N")*('Dvd Calendar'!$AJ$2905='Field Check'!$C$25)&gt;0,"",'Dvd Calendar'!$AJ$2901)))</f>
        <v/>
      </c>
      <c r="CW209" s="85">
        <f>IF(AI209="","",IF(ISNUMBER('Dvd Calendar'!$AK$2901)=FALSE,"",IF((Summary!$C$13="N")*('Dvd Calendar'!$AK$2905='Field Check'!$C$25)&gt;0,"",'Dvd Calendar'!$AK$2901)))</f>
        <v/>
      </c>
      <c r="CX209" s="85">
        <f>IF(AJ209="","",IF(ISNUMBER('Dvd Calendar'!$AL$2901)=FALSE,"",IF((Summary!$C$13="N")*('Dvd Calendar'!$AL$2905='Field Check'!$C$25)&gt;0,"",'Dvd Calendar'!$AL$2901)))</f>
        <v/>
      </c>
      <c r="CY209" s="85">
        <f>IF(AK209="","",IF(ISNUMBER('Dvd Calendar'!$AM$2901)=FALSE,"",IF((Summary!$C$13="N")*('Dvd Calendar'!$AM$2905='Field Check'!$C$25)&gt;0,"",'Dvd Calendar'!$AM$2901)))</f>
        <v/>
      </c>
      <c r="CZ209" s="85">
        <f>IF(AL209="","",IF(ISNUMBER('Dvd Calendar'!$AN$2901)=FALSE,"",IF((Summary!$C$13="N")*('Dvd Calendar'!$AN$2905='Field Check'!$C$25)&gt;0,"",'Dvd Calendar'!$AN$2901)))</f>
        <v/>
      </c>
      <c r="DA209" s="85">
        <f>IF(AM209="","",IF(ISNUMBER('Dvd Calendar'!$AO$2901)=FALSE,"",IF((Summary!$C$13="N")*('Dvd Calendar'!$AO$2905='Field Check'!$C$25)&gt;0,"",'Dvd Calendar'!$AO$2901)))</f>
        <v/>
      </c>
      <c r="DB209" s="85">
        <f>IF(AN209="","",IF(ISNUMBER('Dvd Calendar'!$AP$2901)=FALSE,"",IF((Summary!$C$13="N")*('Dvd Calendar'!$AP$2905='Field Check'!$C$25)&gt;0,"",'Dvd Calendar'!$AP$2901)))</f>
        <v/>
      </c>
      <c r="DC209" s="85">
        <f>IF(AO209="","",IF(ISNUMBER('Dvd Calendar'!$AQ$2901)=FALSE,"",IF((Summary!$C$13="N")*('Dvd Calendar'!$AQ$2905='Field Check'!$C$25)&gt;0,"",'Dvd Calendar'!$AQ$2901)))</f>
        <v/>
      </c>
      <c r="DD209" s="85">
        <f>IF(AP209="","",IF(ISNUMBER('Dvd Calendar'!$AR$2901)=FALSE,"",IF((Summary!$C$13="N")*('Dvd Calendar'!$AR$2905='Field Check'!$C$25)&gt;0,"",'Dvd Calendar'!$AR$2901)))</f>
        <v/>
      </c>
      <c r="DE209" s="85">
        <f>IF(AQ209="","",IF(ISNUMBER('Dvd Calendar'!$E$2908)=FALSE,"",IF((Summary!$C$13="N")*('Dvd Calendar'!$E$2912='Field Check'!$C$25)&gt;0,"",'Dvd Calendar'!$E$2908)))</f>
        <v/>
      </c>
      <c r="DF209" s="85">
        <f>IF(AR209="","",IF(ISNUMBER('Dvd Calendar'!$F$2908)=FALSE,"",IF((Summary!$C$13="N")*('Dvd Calendar'!$F$2912='Field Check'!$C$25)&gt;0,"",'Dvd Calendar'!$F$2908)))</f>
        <v/>
      </c>
      <c r="DG209" s="85">
        <f>IF(AS209="","",IF(ISNUMBER('Dvd Calendar'!$G$2908)=FALSE,"",IF((Summary!$C$13="N")*('Dvd Calendar'!$G$2912='Field Check'!$C$25)&gt;0,"",'Dvd Calendar'!$G$2908)))</f>
        <v/>
      </c>
      <c r="DH209" s="85">
        <f>IF(AT209="","",IF(ISNUMBER('Dvd Calendar'!$H$2908)=FALSE,"",IF((Summary!$C$13="N")*('Dvd Calendar'!$H$2912='Field Check'!$C$25)&gt;0,"",'Dvd Calendar'!$H$2908)))</f>
        <v/>
      </c>
      <c r="DI209" s="85">
        <f>IF(AU209="","",IF(ISNUMBER('Dvd Calendar'!$I$2908)=FALSE,"",IF((Summary!$C$13="N")*('Dvd Calendar'!$I$2912='Field Check'!$C$25)&gt;0,"",'Dvd Calendar'!$I$2908)))</f>
        <v/>
      </c>
      <c r="DJ209" s="85">
        <f>IF(AV209="","",IF(ISNUMBER('Dvd Calendar'!$J$2908)=FALSE,"",IF((Summary!$C$13="N")*('Dvd Calendar'!$J$2912='Field Check'!$C$25)&gt;0,"",'Dvd Calendar'!$J$2908)))</f>
        <v/>
      </c>
      <c r="DK209" s="85">
        <f>IF(AW209="","",IF(ISNUMBER('Dvd Calendar'!$K$2908)=FALSE,"",IF((Summary!$C$13="N")*('Dvd Calendar'!$K$2912='Field Check'!$C$25)&gt;0,"",'Dvd Calendar'!$K$2908)))</f>
        <v/>
      </c>
      <c r="DL209" s="85">
        <f>IF(AX209="","",IF(ISNUMBER('Dvd Calendar'!$L$2908)=FALSE,"",IF((Summary!$C$13="N")*('Dvd Calendar'!$L$2912='Field Check'!$C$25)&gt;0,"",'Dvd Calendar'!$L$2908)))</f>
        <v/>
      </c>
      <c r="DM209" s="85">
        <f>IF(AY209="","",IF(ISNUMBER('Dvd Calendar'!$M$2908)=FALSE,"",IF((Summary!$C$13="N")*('Dvd Calendar'!$M$2912='Field Check'!$C$25)&gt;0,"",'Dvd Calendar'!$M$2908)))</f>
        <v/>
      </c>
      <c r="DN209" s="85">
        <f>IF(AZ209="","",IF(ISNUMBER('Dvd Calendar'!$N$2908)=FALSE,"",IF((Summary!$C$13="N")*('Dvd Calendar'!$N$2912='Field Check'!$C$25)&gt;0,"",'Dvd Calendar'!$N$2908)))</f>
        <v/>
      </c>
      <c r="DO209" s="85">
        <f>IF(BA209="","",IF(ISNUMBER('Dvd Calendar'!$O$2908)=FALSE,"",IF((Summary!$C$13="N")*('Dvd Calendar'!$O$2912='Field Check'!$C$25)&gt;0,"",'Dvd Calendar'!$O$2908)))</f>
        <v/>
      </c>
      <c r="DP209" s="85">
        <f>IF(BB209="","",IF(ISNUMBER('Dvd Calendar'!$P$2908)=FALSE,"",IF((Summary!$C$13="N")*('Dvd Calendar'!$P$2912='Field Check'!$C$25)&gt;0,"",'Dvd Calendar'!$P$2908)))</f>
        <v/>
      </c>
      <c r="DQ209" s="85">
        <f>IF(BC209="","",IF(ISNUMBER('Dvd Calendar'!$Q$2908)=FALSE,"",IF((Summary!$C$13="N")*('Dvd Calendar'!$Q$2912='Field Check'!$C$25)&gt;0,"",'Dvd Calendar'!$Q$2908)))</f>
        <v/>
      </c>
      <c r="DR209" s="85">
        <f>IF(BD209="","",IF(ISNUMBER('Dvd Calendar'!$R$2908)=FALSE,"",IF((Summary!$C$13="N")*('Dvd Calendar'!$R$2912='Field Check'!$C$25)&gt;0,"",'Dvd Calendar'!$R$2908)))</f>
        <v/>
      </c>
      <c r="DS209" s="85">
        <f>IF(BE209="","",IF(ISNUMBER('Dvd Calendar'!$S$2908)=FALSE,"",IF((Summary!$C$13="N")*('Dvd Calendar'!$S$2912='Field Check'!$C$25)&gt;0,"",'Dvd Calendar'!$S$2908)))</f>
        <v/>
      </c>
      <c r="DT209" s="85">
        <f>IF(BF209="","",IF(ISNUMBER('Dvd Calendar'!$T$2908)=FALSE,"",IF((Summary!$C$13="N")*('Dvd Calendar'!$T$2912='Field Check'!$C$25)&gt;0,"",'Dvd Calendar'!$T$2908)))</f>
        <v/>
      </c>
      <c r="DU209" s="85">
        <f>IF(BG209="","",IF(ISNUMBER('Dvd Calendar'!$U$2908)=FALSE,"",IF((Summary!$C$13="N")*('Dvd Calendar'!$U$2912='Field Check'!$C$25)&gt;0,"",'Dvd Calendar'!$U$2908)))</f>
        <v/>
      </c>
      <c r="DV209" s="85">
        <f>IF(BH209="","",IF(ISNUMBER('Dvd Calendar'!$V$2908)=FALSE,"",IF((Summary!$C$13="N")*('Dvd Calendar'!$V$2912='Field Check'!$C$25)&gt;0,"",'Dvd Calendar'!$V$2908)))</f>
        <v/>
      </c>
      <c r="DW209" s="85">
        <f>IF(BI209="","",IF(ISNUMBER('Dvd Calendar'!$W$2908)=FALSE,"",IF((Summary!$C$13="N")*('Dvd Calendar'!$W$2912='Field Check'!$C$25)&gt;0,"",'Dvd Calendar'!$W$2908)))</f>
        <v/>
      </c>
      <c r="DX209" s="85">
        <f>IF(BJ209="","",IF(ISNUMBER('Dvd Calendar'!$X$2908)=FALSE,"",IF((Summary!$C$13="N")*('Dvd Calendar'!$X$2912='Field Check'!$C$25)&gt;0,"",'Dvd Calendar'!$X$2908)))</f>
        <v/>
      </c>
      <c r="DY209" s="85">
        <f>IF(BK209="","",IF(ISNUMBER('Dvd Calendar'!$Y$2908)=FALSE,"",IF((Summary!$C$13="N")*('Dvd Calendar'!$Y$2912='Field Check'!$C$25)&gt;0,"",'Dvd Calendar'!$Y$2908)))</f>
        <v/>
      </c>
      <c r="DZ209" s="85">
        <f>IF(BL209="","",IF(ISNUMBER('Dvd Calendar'!$Z$2908)=FALSE,"",IF((Summary!$C$13="N")*('Dvd Calendar'!$Z$2912='Field Check'!$C$25)&gt;0,"",'Dvd Calendar'!$Z$2908)))</f>
        <v/>
      </c>
      <c r="EA209" s="85">
        <f>IF(BM209="","",IF(ISNUMBER('Dvd Calendar'!$AA$2908)=FALSE,"",IF((Summary!$C$13="N")*('Dvd Calendar'!$AA$2912='Field Check'!$C$25)&gt;0,"",'Dvd Calendar'!$AA$2908)))</f>
        <v/>
      </c>
      <c r="EB209" s="85">
        <f>IF(BN209="","",IF(ISNUMBER('Dvd Calendar'!$AB$2908)=FALSE,"",IF((Summary!$C$13="N")*('Dvd Calendar'!$AB$2912='Field Check'!$C$25)&gt;0,"",'Dvd Calendar'!$AB$2908)))</f>
        <v/>
      </c>
      <c r="EC209" s="85">
        <f>IF(BO209="","",IF(ISNUMBER('Dvd Calendar'!$AC$2908)=FALSE,"",IF((Summary!$C$13="N")*('Dvd Calendar'!$AC$2912='Field Check'!$C$25)&gt;0,"",'Dvd Calendar'!$AC$2908)))</f>
        <v/>
      </c>
      <c r="EE209" s="85">
        <f>IF(BQ209="","",IFERROR(BQ209*HSCEI!$B$59*HSCEI!$G$59/HSCEI!$B$3,""))</f>
        <v/>
      </c>
      <c r="EF209" s="85">
        <f>IF(BR209="","",IFERROR(BR209*HSCEI!$B$59*HSCEI!$G$59/HSCEI!$B$3,""))</f>
        <v/>
      </c>
      <c r="EG209" s="85">
        <f>IF(BS209="","",IFERROR(BS209*HSCEI!$B$59*HSCEI!$G$59/HSCEI!$B$3,""))</f>
        <v/>
      </c>
      <c r="EH209" s="85">
        <f>IF(BT209="","",IFERROR(BT209*HSCEI!$B$59*HSCEI!$G$59/HSCEI!$B$3,""))</f>
        <v/>
      </c>
      <c r="EI209" s="85">
        <f>IF(BU209="","",IFERROR(BU209*HSCEI!$B$59*HSCEI!$G$59/HSCEI!$B$3,""))</f>
        <v/>
      </c>
      <c r="EJ209" s="85">
        <f>IF(BV209="","",IFERROR(BV209*HSCEI!$B$59*HSCEI!$G$59/HSCEI!$B$3,""))</f>
        <v/>
      </c>
      <c r="EK209" s="85">
        <f>IF(BW209="","",IFERROR(BW209*HSCEI!$B$59*HSCEI!$G$59/HSCEI!$B$3,""))</f>
        <v/>
      </c>
      <c r="EL209" s="85">
        <f>IF(BX209="","",IFERROR(BX209*HSCEI!$B$59*HSCEI!$G$59/HSCEI!$B$3,""))</f>
        <v/>
      </c>
      <c r="EM209" s="85">
        <f>IF(BY209="","",IFERROR(BY209*HSCEI!$B$59*HSCEI!$G$59/HSCEI!$B$3,""))</f>
        <v/>
      </c>
      <c r="EN209" s="85">
        <f>IF(BZ209="","",IFERROR(BZ209*HSCEI!$B$59*HSCEI!$G$59/HSCEI!$B$3,""))</f>
        <v/>
      </c>
      <c r="EO209" s="85">
        <f>IF(CA209="","",IFERROR(CA209*HSCEI!$B$59*HSCEI!$G$59/HSCEI!$B$3,""))</f>
        <v/>
      </c>
      <c r="EP209" s="85">
        <f>IF(CB209="","",IFERROR(CB209*HSCEI!$B$59*HSCEI!$G$59/HSCEI!$B$3,""))</f>
        <v/>
      </c>
      <c r="EQ209" s="85">
        <f>IF(CC209="","",IFERROR(CC209*HSCEI!$B$59*HSCEI!$G$59/HSCEI!$B$3,""))</f>
        <v/>
      </c>
      <c r="ER209" s="85">
        <f>IF(CD209="","",IFERROR(CD209*HSCEI!$B$59*HSCEI!$G$59/HSCEI!$B$3,""))</f>
        <v/>
      </c>
      <c r="ES209" s="85">
        <f>IF(CE209="","",IFERROR(CE209*HSCEI!$B$59*HSCEI!$G$59/HSCEI!$B$3,""))</f>
        <v/>
      </c>
      <c r="ET209" s="85">
        <f>IF(CF209="","",IFERROR(CF209*HSCEI!$B$59*HSCEI!$G$59/HSCEI!$B$3,""))</f>
        <v/>
      </c>
      <c r="EU209" s="85">
        <f>IF(CG209="","",IFERROR(CG209*HSCEI!$B$59*HSCEI!$G$59/HSCEI!$B$3,""))</f>
        <v/>
      </c>
      <c r="EV209" s="85">
        <f>IF(CH209="","",IFERROR(CH209*HSCEI!$B$59*HSCEI!$G$59/HSCEI!$B$3,""))</f>
        <v/>
      </c>
      <c r="EW209" s="85">
        <f>IF(CI209="","",IFERROR(CI209*HSCEI!$B$59*HSCEI!$G$59/HSCEI!$B$3,""))</f>
        <v/>
      </c>
      <c r="EX209" s="85">
        <f>IF(CJ209="","",IFERROR(CJ209*HSCEI!$B$59*HSCEI!$G$59/HSCEI!$B$3,""))</f>
        <v/>
      </c>
      <c r="EY209" s="85">
        <f>IF(CK209="","",IFERROR(CK209*HSCEI!$B$59*HSCEI!$G$59/HSCEI!$B$3,""))</f>
        <v/>
      </c>
      <c r="EZ209" s="85">
        <f>IF(CL209="","",IFERROR(CL209*HSCEI!$B$59*HSCEI!$G$59/HSCEI!$B$3,""))</f>
        <v/>
      </c>
      <c r="FA209" s="85">
        <f>IF(CM209="","",IFERROR(CM209*HSCEI!$B$59*HSCEI!$G$59/HSCEI!$B$3,""))</f>
        <v/>
      </c>
      <c r="FB209" s="85">
        <f>IF(CN209="","",IFERROR(CN209*HSCEI!$B$59*HSCEI!$G$59/HSCEI!$B$3,""))</f>
        <v/>
      </c>
      <c r="FC209" s="85">
        <f>IF(CO209="","",IFERROR(CO209*HSCEI!$B$59*HSCEI!$G$59/HSCEI!$B$3,""))</f>
        <v/>
      </c>
      <c r="FD209" s="85">
        <f>IF(CP209="","",IFERROR(CP209*HSCEI!$B$59*HSCEI!$G$59/HSCEI!$B$3,""))</f>
        <v/>
      </c>
      <c r="FE209" s="85">
        <f>IF(CQ209="","",IFERROR(CQ209*HSCEI!$B$59*HSCEI!$G$59/HSCEI!$B$3,""))</f>
        <v/>
      </c>
      <c r="FF209" s="85">
        <f>IF(CR209="","",IFERROR(CR209*HSCEI!$B$59*HSCEI!$G$59/HSCEI!$B$3,""))</f>
        <v/>
      </c>
      <c r="FG209" s="85">
        <f>IF(CS209="","",IFERROR(CS209*HSCEI!$B$59*HSCEI!$G$59/HSCEI!$B$3,""))</f>
        <v/>
      </c>
      <c r="FH209" s="85">
        <f>IF(CT209="","",IFERROR(CT209*HSCEI!$B$59*HSCEI!$G$59/HSCEI!$B$3,""))</f>
        <v/>
      </c>
      <c r="FI209" s="85">
        <f>IF(CU209="","",IFERROR(CU209*HSCEI!$B$59*HSCEI!$G$59/HSCEI!$B$3,""))</f>
        <v/>
      </c>
      <c r="FJ209" s="85">
        <f>IF(CV209="","",IFERROR(CV209*HSCEI!$B$59*HSCEI!$G$59/HSCEI!$B$3,""))</f>
        <v/>
      </c>
      <c r="FK209" s="85">
        <f>IF(CW209="","",IFERROR(CW209*HSCEI!$B$59*HSCEI!$G$59/HSCEI!$B$3,""))</f>
        <v/>
      </c>
      <c r="FL209" s="85">
        <f>IF(CX209="","",IFERROR(CX209*HSCEI!$B$59*HSCEI!$G$59/HSCEI!$B$3,""))</f>
        <v/>
      </c>
      <c r="FM209" s="85">
        <f>IF(CY209="","",IFERROR(CY209*HSCEI!$B$59*HSCEI!$G$59/HSCEI!$B$3,""))</f>
        <v/>
      </c>
      <c r="FN209" s="85">
        <f>IF(CZ209="","",IFERROR(CZ209*HSCEI!$B$59*HSCEI!$G$59/HSCEI!$B$3,""))</f>
        <v/>
      </c>
      <c r="FO209" s="85">
        <f>IF(DA209="","",IFERROR(DA209*HSCEI!$B$59*HSCEI!$G$59/HSCEI!$B$3,""))</f>
        <v/>
      </c>
      <c r="FP209" s="85">
        <f>IF(DB209="","",IFERROR(DB209*HSCEI!$B$59*HSCEI!$G$59/HSCEI!$B$3,""))</f>
        <v/>
      </c>
      <c r="FQ209" s="85">
        <f>IF(DC209="","",IFERROR(DC209*HSCEI!$B$59*HSCEI!$G$59/HSCEI!$B$3,""))</f>
        <v/>
      </c>
      <c r="FR209" s="85">
        <f>IF(DD209="","",IFERROR(DD209*HSCEI!$B$59*HSCEI!$G$59/HSCEI!$B$3,""))</f>
        <v/>
      </c>
      <c r="FS209" s="85">
        <f>IF(DE209="","",IFERROR(DE209*HSCEI!$B$59*HSCEI!$G$59/HSCEI!$B$3,""))</f>
        <v/>
      </c>
      <c r="FT209" s="85">
        <f>IF(DF209="","",IFERROR(DF209*HSCEI!$B$59*HSCEI!$G$59/HSCEI!$B$3,""))</f>
        <v/>
      </c>
      <c r="FU209" s="85">
        <f>IF(DG209="","",IFERROR(DG209*HSCEI!$B$59*HSCEI!$G$59/HSCEI!$B$3,""))</f>
        <v/>
      </c>
      <c r="FV209" s="85">
        <f>IF(DH209="","",IFERROR(DH209*HSCEI!$B$59*HSCEI!$G$59/HSCEI!$B$3,""))</f>
        <v/>
      </c>
      <c r="FW209" s="85">
        <f>IF(DI209="","",IFERROR(DI209*HSCEI!$B$59*HSCEI!$G$59/HSCEI!$B$3,""))</f>
        <v/>
      </c>
      <c r="FX209" s="85">
        <f>IF(DJ209="","",IFERROR(DJ209*HSCEI!$B$59*HSCEI!$G$59/HSCEI!$B$3,""))</f>
        <v/>
      </c>
      <c r="FY209" s="85">
        <f>IF(DK209="","",IFERROR(DK209*HSCEI!$B$59*HSCEI!$G$59/HSCEI!$B$3,""))</f>
        <v/>
      </c>
      <c r="FZ209" s="85">
        <f>IF(DL209="","",IFERROR(DL209*HSCEI!$B$59*HSCEI!$G$59/HSCEI!$B$3,""))</f>
        <v/>
      </c>
      <c r="GA209" s="85">
        <f>IF(DM209="","",IFERROR(DM209*HSCEI!$B$59*HSCEI!$G$59/HSCEI!$B$3,""))</f>
        <v/>
      </c>
      <c r="GB209" s="85">
        <f>IF(DN209="","",IFERROR(DN209*HSCEI!$B$59*HSCEI!$G$59/HSCEI!$B$3,""))</f>
        <v/>
      </c>
      <c r="GC209" s="85">
        <f>IF(DO209="","",IFERROR(DO209*HSCEI!$B$59*HSCEI!$G$59/HSCEI!$B$3,""))</f>
        <v/>
      </c>
      <c r="GD209" s="85">
        <f>IF(DP209="","",IFERROR(DP209*HSCEI!$B$59*HSCEI!$G$59/HSCEI!$B$3,""))</f>
        <v/>
      </c>
      <c r="GE209" s="85">
        <f>IF(DQ209="","",IFERROR(DQ209*HSCEI!$B$59*HSCEI!$G$59/HSCEI!$B$3,""))</f>
        <v/>
      </c>
      <c r="GF209" s="85">
        <f>IF(DR209="","",IFERROR(DR209*HSCEI!$B$59*HSCEI!$G$59/HSCEI!$B$3,""))</f>
        <v/>
      </c>
      <c r="GG209" s="85">
        <f>IF(DS209="","",IFERROR(DS209*HSCEI!$B$59*HSCEI!$G$59/HSCEI!$B$3,""))</f>
        <v/>
      </c>
      <c r="GH209" s="85">
        <f>IF(DT209="","",IFERROR(DT209*HSCEI!$B$59*HSCEI!$G$59/HSCEI!$B$3,""))</f>
        <v/>
      </c>
      <c r="GI209" s="85">
        <f>IF(DU209="","",IFERROR(DU209*HSCEI!$B$59*HSCEI!$G$59/HSCEI!$B$3,""))</f>
        <v/>
      </c>
      <c r="GJ209" s="85">
        <f>IF(DV209="","",IFERROR(DV209*HSCEI!$B$59*HSCEI!$G$59/HSCEI!$B$3,""))</f>
        <v/>
      </c>
      <c r="GK209" s="85">
        <f>IF(DW209="","",IFERROR(DW209*HSCEI!$B$59*HSCEI!$G$59/HSCEI!$B$3,""))</f>
        <v/>
      </c>
      <c r="GL209" s="85">
        <f>IF(DX209="","",IFERROR(DX209*HSCEI!$B$59*HSCEI!$G$59/HSCEI!$B$3,""))</f>
        <v/>
      </c>
      <c r="GM209" s="85">
        <f>IF(DY209="","",IFERROR(DY209*HSCEI!$B$59*HSCEI!$G$59/HSCEI!$B$3,""))</f>
        <v/>
      </c>
      <c r="GN209" s="85">
        <f>IF(DZ209="","",IFERROR(DZ209*HSCEI!$B$59*HSCEI!$G$59/HSCEI!$B$3,""))</f>
        <v/>
      </c>
      <c r="GO209" s="85">
        <f>IF(EA209="","",IFERROR(EA209*HSCEI!$B$59*HSCEI!$G$59/HSCEI!$B$3,""))</f>
        <v/>
      </c>
      <c r="GP209" s="85">
        <f>IF(EB209="","",IFERROR(EB209*HSCEI!$B$59*HSCEI!$G$59/HSCEI!$B$3,""))</f>
        <v/>
      </c>
      <c r="GQ209" s="85">
        <f>IF(EC209="","",IFERROR(EC209*HSCEI!$B$59*HSCEI!$G$59/HSCEI!$B$3,""))</f>
        <v/>
      </c>
    </row>
    <row r="210">
      <c r="B210" s="2">
        <f>IF(HSCEI!$C$60="","",HSCEI!$C$60)</f>
        <v/>
      </c>
      <c r="C210" s="41">
        <f>IF(N('Dvd Calendar'!$E$2915)=0,"",IF(('Dvd Calendar'!$E$2915&gt;=MIN(DATE(Summary!$C$12,1,1),Summary!$C$11))*('Dvd Calendar'!$E$2915&lt;=MAX(DATE(Summary!$C$12,12,31),Summary!$C$15))*('Dvd Calendar'!$E$2915&lt;=Summary!$C$11)=0,"",'Dvd Calendar'!$E$2915*1000000000+ISNUMBER('Dvd Calendar'!$E$2916)*100000000+('Dvd Calendar'!$E$2920='Field Check'!$C$25)*10000000+(N('Dvd Calendar'!$E$2914)&gt;0)*1000000+54*1000+1))</f>
        <v/>
      </c>
      <c r="D210" s="41">
        <f>IF(N('Dvd Calendar'!$F$2915)=0,"",IF(('Dvd Calendar'!$F$2915&gt;=MIN(DATE(Summary!$C$12,1,1),Summary!$C$11))*('Dvd Calendar'!$F$2915&lt;=MAX(DATE(Summary!$C$12,12,31),Summary!$C$15))*('Dvd Calendar'!$F$2915&lt;=Summary!$C$11)=0,"",'Dvd Calendar'!$F$2915*1000000000+ISNUMBER('Dvd Calendar'!$F$2916)*100000000+('Dvd Calendar'!$F$2920='Field Check'!$C$25)*10000000+(N('Dvd Calendar'!$F$2914)&gt;0)*1000000+54*1000+2))</f>
        <v/>
      </c>
      <c r="E210" s="41">
        <f>IF(N('Dvd Calendar'!$G$2915)=0,"",IF(('Dvd Calendar'!$G$2915&gt;=MIN(DATE(Summary!$C$12,1,1),Summary!$C$11))*('Dvd Calendar'!$G$2915&lt;=MAX(DATE(Summary!$C$12,12,31),Summary!$C$15))*('Dvd Calendar'!$G$2915&lt;=Summary!$C$11)=0,"",'Dvd Calendar'!$G$2915*1000000000+ISNUMBER('Dvd Calendar'!$G$2916)*100000000+('Dvd Calendar'!$G$2920='Field Check'!$C$25)*10000000+(N('Dvd Calendar'!$G$2914)&gt;0)*1000000+54*1000+3))</f>
        <v/>
      </c>
      <c r="F210" s="41">
        <f>IF(N('Dvd Calendar'!$H$2915)=0,"",IF(('Dvd Calendar'!$H$2915&gt;=MIN(DATE(Summary!$C$12,1,1),Summary!$C$11))*('Dvd Calendar'!$H$2915&lt;=MAX(DATE(Summary!$C$12,12,31),Summary!$C$15))*('Dvd Calendar'!$H$2915&lt;=Summary!$C$11)=0,"",'Dvd Calendar'!$H$2915*1000000000+ISNUMBER('Dvd Calendar'!$H$2916)*100000000+('Dvd Calendar'!$H$2920='Field Check'!$C$25)*10000000+(N('Dvd Calendar'!$H$2914)&gt;0)*1000000+54*1000+4))</f>
        <v/>
      </c>
      <c r="G210" s="41">
        <f>IF(N('Dvd Calendar'!$I$2915)=0,"",IF(('Dvd Calendar'!$I$2915&gt;=MIN(DATE(Summary!$C$12,1,1),Summary!$C$11))*('Dvd Calendar'!$I$2915&lt;=MAX(DATE(Summary!$C$12,12,31),Summary!$C$15))*('Dvd Calendar'!$I$2915&lt;=Summary!$C$11)=0,"",'Dvd Calendar'!$I$2915*1000000000+ISNUMBER('Dvd Calendar'!$I$2916)*100000000+('Dvd Calendar'!$I$2920='Field Check'!$C$25)*10000000+(N('Dvd Calendar'!$I$2914)&gt;0)*1000000+54*1000+5))</f>
        <v/>
      </c>
      <c r="H210" s="41">
        <f>IF(N('Dvd Calendar'!$J$2915)=0,"",IF(('Dvd Calendar'!$J$2915&gt;=MIN(DATE(Summary!$C$12,1,1),Summary!$C$11))*('Dvd Calendar'!$J$2915&lt;=MAX(DATE(Summary!$C$12,12,31),Summary!$C$15))*('Dvd Calendar'!$J$2915&lt;=Summary!$C$11)=0,"",'Dvd Calendar'!$J$2915*1000000000+ISNUMBER('Dvd Calendar'!$J$2916)*100000000+('Dvd Calendar'!$J$2920='Field Check'!$C$25)*10000000+(N('Dvd Calendar'!$J$2914)&gt;0)*1000000+54*1000+6))</f>
        <v/>
      </c>
      <c r="I210" s="41">
        <f>IF(N('Dvd Calendar'!$K$2915)=0,"",IF(('Dvd Calendar'!$K$2915&gt;=MIN(DATE(Summary!$C$12,1,1),Summary!$C$11))*('Dvd Calendar'!$K$2915&lt;=MAX(DATE(Summary!$C$12,12,31),Summary!$C$15))*('Dvd Calendar'!$K$2915&lt;=Summary!$C$11)=0,"",'Dvd Calendar'!$K$2915*1000000000+ISNUMBER('Dvd Calendar'!$K$2916)*100000000+('Dvd Calendar'!$K$2920='Field Check'!$C$25)*10000000+(N('Dvd Calendar'!$K$2914)&gt;0)*1000000+54*1000+7))</f>
        <v/>
      </c>
      <c r="J210" s="41">
        <f>IF(N('Dvd Calendar'!$L$2915)=0,"",IF(('Dvd Calendar'!$L$2915&gt;=MIN(DATE(Summary!$C$12,1,1),Summary!$C$11))*('Dvd Calendar'!$L$2915&lt;=MAX(DATE(Summary!$C$12,12,31),Summary!$C$15))*('Dvd Calendar'!$L$2915&lt;=Summary!$C$11)=0,"",'Dvd Calendar'!$L$2915*1000000000+ISNUMBER('Dvd Calendar'!$L$2916)*100000000+('Dvd Calendar'!$L$2920='Field Check'!$C$25)*10000000+(N('Dvd Calendar'!$L$2914)&gt;0)*1000000+54*1000+8))</f>
        <v/>
      </c>
      <c r="K210" s="41">
        <f>IF(N('Dvd Calendar'!$M$2915)=0,"",IF(('Dvd Calendar'!$M$2915&gt;=MIN(DATE(Summary!$C$12,1,1),Summary!$C$11))*('Dvd Calendar'!$M$2915&lt;=MAX(DATE(Summary!$C$12,12,31),Summary!$C$15))*('Dvd Calendar'!$M$2915&lt;=Summary!$C$11)=0,"",'Dvd Calendar'!$M$2915*1000000000+ISNUMBER('Dvd Calendar'!$M$2916)*100000000+('Dvd Calendar'!$M$2920='Field Check'!$C$25)*10000000+(N('Dvd Calendar'!$M$2914)&gt;0)*1000000+54*1000+9))</f>
        <v/>
      </c>
      <c r="L210" s="41">
        <f>IF(N('Dvd Calendar'!$N$2915)=0,"",IF(('Dvd Calendar'!$N$2915&gt;=MIN(DATE(Summary!$C$12,1,1),Summary!$C$11))*('Dvd Calendar'!$N$2915&lt;=MAX(DATE(Summary!$C$12,12,31),Summary!$C$15))*('Dvd Calendar'!$N$2915&lt;=Summary!$C$11)=0,"",'Dvd Calendar'!$N$2915*1000000000+ISNUMBER('Dvd Calendar'!$N$2916)*100000000+('Dvd Calendar'!$N$2920='Field Check'!$C$25)*10000000+(N('Dvd Calendar'!$N$2914)&gt;0)*1000000+54*1000+10))</f>
        <v/>
      </c>
      <c r="M210" s="41">
        <f>IF(N('Dvd Calendar'!$O$2915)=0,"",IF(('Dvd Calendar'!$O$2915&gt;=MIN(DATE(Summary!$C$12,1,1),Summary!$C$11))*('Dvd Calendar'!$O$2915&lt;=MAX(DATE(Summary!$C$12,12,31),Summary!$C$15))*('Dvd Calendar'!$O$2915&lt;=Summary!$C$11)=0,"",'Dvd Calendar'!$O$2915*1000000000+ISNUMBER('Dvd Calendar'!$O$2916)*100000000+('Dvd Calendar'!$O$2920='Field Check'!$C$25)*10000000+(N('Dvd Calendar'!$O$2914)&gt;0)*1000000+54*1000+11))</f>
        <v/>
      </c>
      <c r="N210" s="41">
        <f>IF(N('Dvd Calendar'!$P$2915)=0,"",IF(('Dvd Calendar'!$P$2915&gt;=MIN(DATE(Summary!$C$12,1,1),Summary!$C$11))*('Dvd Calendar'!$P$2915&lt;=MAX(DATE(Summary!$C$12,12,31),Summary!$C$15))*('Dvd Calendar'!$P$2915&lt;=Summary!$C$11)=0,"",'Dvd Calendar'!$P$2915*1000000000+ISNUMBER('Dvd Calendar'!$P$2916)*100000000+('Dvd Calendar'!$P$2920='Field Check'!$C$25)*10000000+(N('Dvd Calendar'!$P$2914)&gt;0)*1000000+54*1000+12))</f>
        <v/>
      </c>
      <c r="O210" s="41">
        <f>IF(N('Dvd Calendar'!$Q$2915)=0,"",IF(('Dvd Calendar'!$Q$2915&gt;=MIN(DATE(Summary!$C$12,1,1),Summary!$C$11))*('Dvd Calendar'!$Q$2915&lt;=MAX(DATE(Summary!$C$12,12,31),Summary!$C$15))*('Dvd Calendar'!$Q$2915&lt;=Summary!$C$11)=0,"",'Dvd Calendar'!$Q$2915*1000000000+ISNUMBER('Dvd Calendar'!$Q$2916)*100000000+('Dvd Calendar'!$Q$2920='Field Check'!$C$25)*10000000+(N('Dvd Calendar'!$Q$2914)&gt;0)*1000000+54*1000+13))</f>
        <v/>
      </c>
      <c r="P210" s="41">
        <f>IF(N('Dvd Calendar'!$R$2915)=0,"",IF(('Dvd Calendar'!$R$2915&gt;=MIN(DATE(Summary!$C$12,1,1),Summary!$C$11))*('Dvd Calendar'!$R$2915&lt;=MAX(DATE(Summary!$C$12,12,31),Summary!$C$15))*('Dvd Calendar'!$R$2915&lt;=Summary!$C$11)=0,"",'Dvd Calendar'!$R$2915*1000000000+ISNUMBER('Dvd Calendar'!$R$2916)*100000000+('Dvd Calendar'!$R$2920='Field Check'!$C$25)*10000000+(N('Dvd Calendar'!$R$2914)&gt;0)*1000000+54*1000+14))</f>
        <v/>
      </c>
      <c r="Q210" s="41">
        <f>IF(N('Dvd Calendar'!$S$2915)=0,"",IF(('Dvd Calendar'!$S$2915&gt;=MIN(DATE(Summary!$C$12,1,1),Summary!$C$11))*('Dvd Calendar'!$S$2915&lt;=MAX(DATE(Summary!$C$12,12,31),Summary!$C$15))*('Dvd Calendar'!$S$2915&lt;=Summary!$C$11)=0,"",'Dvd Calendar'!$S$2915*1000000000+ISNUMBER('Dvd Calendar'!$S$2916)*100000000+('Dvd Calendar'!$S$2920='Field Check'!$C$25)*10000000+(N('Dvd Calendar'!$S$2914)&gt;0)*1000000+54*1000+15))</f>
        <v/>
      </c>
      <c r="R210" s="41">
        <f>IF(N('Dvd Calendar'!$T$2915)=0,"",IF(('Dvd Calendar'!$T$2915&gt;=MIN(DATE(Summary!$C$12,1,1),Summary!$C$11))*('Dvd Calendar'!$T$2915&lt;=MAX(DATE(Summary!$C$12,12,31),Summary!$C$15))*('Dvd Calendar'!$T$2915&lt;=Summary!$C$11)=0,"",'Dvd Calendar'!$T$2915*1000000000+ISNUMBER('Dvd Calendar'!$T$2916)*100000000+('Dvd Calendar'!$T$2920='Field Check'!$C$25)*10000000+(N('Dvd Calendar'!$T$2914)&gt;0)*1000000+54*1000+16))</f>
        <v/>
      </c>
      <c r="S210" s="41">
        <f>IF(N('Dvd Calendar'!$U$2915)=0,"",IF(('Dvd Calendar'!$U$2915&gt;=MIN(DATE(Summary!$C$12,1,1),Summary!$C$11))*('Dvd Calendar'!$U$2915&lt;=MAX(DATE(Summary!$C$12,12,31),Summary!$C$15))*('Dvd Calendar'!$U$2915&lt;=Summary!$C$11)=0,"",'Dvd Calendar'!$U$2915*1000000000+ISNUMBER('Dvd Calendar'!$U$2916)*100000000+('Dvd Calendar'!$U$2920='Field Check'!$C$25)*10000000+(N('Dvd Calendar'!$U$2914)&gt;0)*1000000+54*1000+17))</f>
        <v/>
      </c>
      <c r="T210" s="41">
        <f>IF(N('Dvd Calendar'!$V$2915)=0,"",IF(('Dvd Calendar'!$V$2915&gt;=MIN(DATE(Summary!$C$12,1,1),Summary!$C$11))*('Dvd Calendar'!$V$2915&lt;=MAX(DATE(Summary!$C$12,12,31),Summary!$C$15))*('Dvd Calendar'!$V$2915&lt;=Summary!$C$11)=0,"",'Dvd Calendar'!$V$2915*1000000000+ISNUMBER('Dvd Calendar'!$V$2916)*100000000+('Dvd Calendar'!$V$2920='Field Check'!$C$25)*10000000+(N('Dvd Calendar'!$V$2914)&gt;0)*1000000+54*1000+18))</f>
        <v/>
      </c>
      <c r="U210" s="41">
        <f>IF(N('Dvd Calendar'!$W$2915)=0,"",IF(('Dvd Calendar'!$W$2915&gt;=MIN(DATE(Summary!$C$12,1,1),Summary!$C$11))*('Dvd Calendar'!$W$2915&lt;=MAX(DATE(Summary!$C$12,12,31),Summary!$C$15))*('Dvd Calendar'!$W$2915&lt;=Summary!$C$11)=0,"",'Dvd Calendar'!$W$2915*1000000000+ISNUMBER('Dvd Calendar'!$W$2916)*100000000+('Dvd Calendar'!$W$2920='Field Check'!$C$25)*10000000+(N('Dvd Calendar'!$W$2914)&gt;0)*1000000+54*1000+19))</f>
        <v/>
      </c>
      <c r="V210" s="41">
        <f>IF(N('Dvd Calendar'!$X$2915)=0,"",IF(('Dvd Calendar'!$X$2915&gt;=MIN(DATE(Summary!$C$12,1,1),Summary!$C$11))*('Dvd Calendar'!$X$2915&lt;=MAX(DATE(Summary!$C$12,12,31),Summary!$C$15))*('Dvd Calendar'!$X$2915&lt;=Summary!$C$11)=0,"",'Dvd Calendar'!$X$2915*1000000000+ISNUMBER('Dvd Calendar'!$X$2916)*100000000+('Dvd Calendar'!$X$2920='Field Check'!$C$25)*10000000+(N('Dvd Calendar'!$X$2914)&gt;0)*1000000+54*1000+20))</f>
        <v/>
      </c>
      <c r="W210" s="41">
        <f>IF(N('Dvd Calendar'!$Y$2915)=0,"",IF(('Dvd Calendar'!$Y$2915&gt;=MIN(DATE(Summary!$C$12,1,1),Summary!$C$11))*('Dvd Calendar'!$Y$2915&lt;=MAX(DATE(Summary!$C$12,12,31),Summary!$C$15))*('Dvd Calendar'!$Y$2915&lt;=Summary!$C$11)=0,"",'Dvd Calendar'!$Y$2915*1000000000+ISNUMBER('Dvd Calendar'!$Y$2916)*100000000+('Dvd Calendar'!$Y$2920='Field Check'!$C$25)*10000000+(N('Dvd Calendar'!$Y$2914)&gt;0)*1000000+54*1000+21))</f>
        <v/>
      </c>
      <c r="X210" s="41">
        <f>IF(N('Dvd Calendar'!$Z$2915)=0,"",IF(('Dvd Calendar'!$Z$2915&gt;=MIN(DATE(Summary!$C$12,1,1),Summary!$C$11))*('Dvd Calendar'!$Z$2915&lt;=MAX(DATE(Summary!$C$12,12,31),Summary!$C$15))*('Dvd Calendar'!$Z$2915&lt;=Summary!$C$11)=0,"",'Dvd Calendar'!$Z$2915*1000000000+ISNUMBER('Dvd Calendar'!$Z$2916)*100000000+('Dvd Calendar'!$Z$2920='Field Check'!$C$25)*10000000+(N('Dvd Calendar'!$Z$2914)&gt;0)*1000000+54*1000+22))</f>
        <v/>
      </c>
      <c r="Y210" s="41">
        <f>IF(N('Dvd Calendar'!$AA$2915)=0,"",IF(('Dvd Calendar'!$AA$2915&gt;=MIN(DATE(Summary!$C$12,1,1),Summary!$C$11))*('Dvd Calendar'!$AA$2915&lt;=MAX(DATE(Summary!$C$12,12,31),Summary!$C$15))*('Dvd Calendar'!$AA$2915&lt;=Summary!$C$11)=0,"",'Dvd Calendar'!$AA$2915*1000000000+ISNUMBER('Dvd Calendar'!$AA$2916)*100000000+('Dvd Calendar'!$AA$2920='Field Check'!$C$25)*10000000+(N('Dvd Calendar'!$AA$2914)&gt;0)*1000000+54*1000+23))</f>
        <v/>
      </c>
      <c r="Z210" s="41">
        <f>IF(N('Dvd Calendar'!$AB$2915)=0,"",IF(('Dvd Calendar'!$AB$2915&gt;=MIN(DATE(Summary!$C$12,1,1),Summary!$C$11))*('Dvd Calendar'!$AB$2915&lt;=MAX(DATE(Summary!$C$12,12,31),Summary!$C$15))*('Dvd Calendar'!$AB$2915&lt;=Summary!$C$11)=0,"",'Dvd Calendar'!$AB$2915*1000000000+ISNUMBER('Dvd Calendar'!$AB$2916)*100000000+('Dvd Calendar'!$AB$2920='Field Check'!$C$25)*10000000+(N('Dvd Calendar'!$AB$2914)&gt;0)*1000000+54*1000+24))</f>
        <v/>
      </c>
      <c r="AA210" s="41">
        <f>IF(N('Dvd Calendar'!$AC$2915)=0,"",IF(('Dvd Calendar'!$AC$2915&gt;=MIN(DATE(Summary!$C$12,1,1),Summary!$C$11))*('Dvd Calendar'!$AC$2915&lt;=MAX(DATE(Summary!$C$12,12,31),Summary!$C$15))*('Dvd Calendar'!$AC$2915&lt;=Summary!$C$11)=0,"",'Dvd Calendar'!$AC$2915*1000000000+ISNUMBER('Dvd Calendar'!$AC$2916)*100000000+('Dvd Calendar'!$AC$2920='Field Check'!$C$25)*10000000+(N('Dvd Calendar'!$AC$2914)&gt;0)*1000000+54*1000+25))</f>
        <v/>
      </c>
      <c r="AB210" s="41">
        <f>IF(N('Dvd Calendar'!$AD$2915)=0,"",IF(('Dvd Calendar'!$AD$2915&gt;=MIN(DATE(Summary!$C$12,1,1),Summary!$C$11))*('Dvd Calendar'!$AD$2915&lt;=MAX(DATE(Summary!$C$12,12,31),Summary!$C$15))*('Dvd Calendar'!$AD$2915&lt;=Summary!$C$11)=0,"",'Dvd Calendar'!$AD$2915*1000000000+ISNUMBER('Dvd Calendar'!$AD$2916)*100000000+('Dvd Calendar'!$AD$2920='Field Check'!$C$25)*10000000+(N('Dvd Calendar'!$AD$2914)&gt;0)*1000000+54*1000+26))</f>
        <v/>
      </c>
      <c r="AC210" s="41">
        <f>IF(N('Dvd Calendar'!$AE$2915)=0,"",IF(('Dvd Calendar'!$AE$2915&gt;=MIN(DATE(Summary!$C$12,1,1),Summary!$C$11))*('Dvd Calendar'!$AE$2915&lt;=MAX(DATE(Summary!$C$12,12,31),Summary!$C$15))*('Dvd Calendar'!$AE$2915&lt;=Summary!$C$11)=0,"",'Dvd Calendar'!$AE$2915*1000000000+ISNUMBER('Dvd Calendar'!$AE$2916)*100000000+('Dvd Calendar'!$AE$2920='Field Check'!$C$25)*10000000+(N('Dvd Calendar'!$AE$2914)&gt;0)*1000000+54*1000+27))</f>
        <v/>
      </c>
      <c r="AD210" s="41">
        <f>IF(N('Dvd Calendar'!$AF$2915)=0,"",IF(('Dvd Calendar'!$AF$2915&gt;=MIN(DATE(Summary!$C$12,1,1),Summary!$C$11))*('Dvd Calendar'!$AF$2915&lt;=MAX(DATE(Summary!$C$12,12,31),Summary!$C$15))*('Dvd Calendar'!$AF$2915&lt;=Summary!$C$11)=0,"",'Dvd Calendar'!$AF$2915*1000000000+ISNUMBER('Dvd Calendar'!$AF$2916)*100000000+('Dvd Calendar'!$AF$2920='Field Check'!$C$25)*10000000+(N('Dvd Calendar'!$AF$2914)&gt;0)*1000000+54*1000+28))</f>
        <v/>
      </c>
      <c r="AE210" s="41">
        <f>IF(N('Dvd Calendar'!$AG$2915)=0,"",IF(('Dvd Calendar'!$AG$2915&gt;=MIN(DATE(Summary!$C$12,1,1),Summary!$C$11))*('Dvd Calendar'!$AG$2915&lt;=MAX(DATE(Summary!$C$12,12,31),Summary!$C$15))*('Dvd Calendar'!$AG$2915&lt;=Summary!$C$11)=0,"",'Dvd Calendar'!$AG$2915*1000000000+ISNUMBER('Dvd Calendar'!$AG$2916)*100000000+('Dvd Calendar'!$AG$2920='Field Check'!$C$25)*10000000+(N('Dvd Calendar'!$AG$2914)&gt;0)*1000000+54*1000+29))</f>
        <v/>
      </c>
      <c r="AF210" s="41">
        <f>IF(N('Dvd Calendar'!$AH$2915)=0,"",IF(('Dvd Calendar'!$AH$2915&gt;=MIN(DATE(Summary!$C$12,1,1),Summary!$C$11))*('Dvd Calendar'!$AH$2915&lt;=MAX(DATE(Summary!$C$12,12,31),Summary!$C$15))*('Dvd Calendar'!$AH$2915&lt;=Summary!$C$11)=0,"",'Dvd Calendar'!$AH$2915*1000000000+ISNUMBER('Dvd Calendar'!$AH$2916)*100000000+('Dvd Calendar'!$AH$2920='Field Check'!$C$25)*10000000+(N('Dvd Calendar'!$AH$2914)&gt;0)*1000000+54*1000+30))</f>
        <v/>
      </c>
      <c r="AG210" s="41">
        <f>IF(N('Dvd Calendar'!$AI$2915)=0,"",IF(('Dvd Calendar'!$AI$2915&gt;=MIN(DATE(Summary!$C$12,1,1),Summary!$C$11))*('Dvd Calendar'!$AI$2915&lt;=MAX(DATE(Summary!$C$12,12,31),Summary!$C$15))*('Dvd Calendar'!$AI$2915&lt;=Summary!$C$11)=0,"",'Dvd Calendar'!$AI$2915*1000000000+ISNUMBER('Dvd Calendar'!$AI$2916)*100000000+('Dvd Calendar'!$AI$2920='Field Check'!$C$25)*10000000+(N('Dvd Calendar'!$AI$2914)&gt;0)*1000000+54*1000+31))</f>
        <v/>
      </c>
      <c r="AH210" s="41">
        <f>IF(N('Dvd Calendar'!$AJ$2915)=0,"",IF(('Dvd Calendar'!$AJ$2915&gt;=MIN(DATE(Summary!$C$12,1,1),Summary!$C$11))*('Dvd Calendar'!$AJ$2915&lt;=MAX(DATE(Summary!$C$12,12,31),Summary!$C$15))*('Dvd Calendar'!$AJ$2915&lt;=Summary!$C$11)=0,"",'Dvd Calendar'!$AJ$2915*1000000000+ISNUMBER('Dvd Calendar'!$AJ$2916)*100000000+('Dvd Calendar'!$AJ$2920='Field Check'!$C$25)*10000000+(N('Dvd Calendar'!$AJ$2914)&gt;0)*1000000+54*1000+32))</f>
        <v/>
      </c>
      <c r="AI210" s="41">
        <f>IF(N('Dvd Calendar'!$AK$2915)=0,"",IF(('Dvd Calendar'!$AK$2915&gt;=MIN(DATE(Summary!$C$12,1,1),Summary!$C$11))*('Dvd Calendar'!$AK$2915&lt;=MAX(DATE(Summary!$C$12,12,31),Summary!$C$15))*('Dvd Calendar'!$AK$2915&lt;=Summary!$C$11)=0,"",'Dvd Calendar'!$AK$2915*1000000000+ISNUMBER('Dvd Calendar'!$AK$2916)*100000000+('Dvd Calendar'!$AK$2920='Field Check'!$C$25)*10000000+(N('Dvd Calendar'!$AK$2914)&gt;0)*1000000+54*1000+33))</f>
        <v/>
      </c>
      <c r="AJ210" s="41">
        <f>IF(N('Dvd Calendar'!$AL$2915)=0,"",IF(('Dvd Calendar'!$AL$2915&gt;=MIN(DATE(Summary!$C$12,1,1),Summary!$C$11))*('Dvd Calendar'!$AL$2915&lt;=MAX(DATE(Summary!$C$12,12,31),Summary!$C$15))*('Dvd Calendar'!$AL$2915&lt;=Summary!$C$11)=0,"",'Dvd Calendar'!$AL$2915*1000000000+ISNUMBER('Dvd Calendar'!$AL$2916)*100000000+('Dvd Calendar'!$AL$2920='Field Check'!$C$25)*10000000+(N('Dvd Calendar'!$AL$2914)&gt;0)*1000000+54*1000+34))</f>
        <v/>
      </c>
      <c r="AK210" s="41">
        <f>IF(N('Dvd Calendar'!$AM$2915)=0,"",IF(('Dvd Calendar'!$AM$2915&gt;=MIN(DATE(Summary!$C$12,1,1),Summary!$C$11))*('Dvd Calendar'!$AM$2915&lt;=MAX(DATE(Summary!$C$12,12,31),Summary!$C$15))*('Dvd Calendar'!$AM$2915&lt;=Summary!$C$11)=0,"",'Dvd Calendar'!$AM$2915*1000000000+ISNUMBER('Dvd Calendar'!$AM$2916)*100000000+('Dvd Calendar'!$AM$2920='Field Check'!$C$25)*10000000+(N('Dvd Calendar'!$AM$2914)&gt;0)*1000000+54*1000+35))</f>
        <v/>
      </c>
      <c r="AL210" s="41">
        <f>IF(N('Dvd Calendar'!$AN$2915)=0,"",IF(('Dvd Calendar'!$AN$2915&gt;=MIN(DATE(Summary!$C$12,1,1),Summary!$C$11))*('Dvd Calendar'!$AN$2915&lt;=MAX(DATE(Summary!$C$12,12,31),Summary!$C$15))*('Dvd Calendar'!$AN$2915&lt;=Summary!$C$11)=0,"",'Dvd Calendar'!$AN$2915*1000000000+ISNUMBER('Dvd Calendar'!$AN$2916)*100000000+('Dvd Calendar'!$AN$2920='Field Check'!$C$25)*10000000+(N('Dvd Calendar'!$AN$2914)&gt;0)*1000000+54*1000+36))</f>
        <v/>
      </c>
      <c r="AM210" s="41">
        <f>IF(N('Dvd Calendar'!$AO$2915)=0,"",IF(('Dvd Calendar'!$AO$2915&gt;=MIN(DATE(Summary!$C$12,1,1),Summary!$C$11))*('Dvd Calendar'!$AO$2915&lt;=MAX(DATE(Summary!$C$12,12,31),Summary!$C$15))*('Dvd Calendar'!$AO$2915&lt;=Summary!$C$11)=0,"",'Dvd Calendar'!$AO$2915*1000000000+ISNUMBER('Dvd Calendar'!$AO$2916)*100000000+('Dvd Calendar'!$AO$2920='Field Check'!$C$25)*10000000+(N('Dvd Calendar'!$AO$2914)&gt;0)*1000000+54*1000+37))</f>
        <v/>
      </c>
      <c r="AN210" s="41">
        <f>IF(N('Dvd Calendar'!$AP$2915)=0,"",IF(('Dvd Calendar'!$AP$2915&gt;=MIN(DATE(Summary!$C$12,1,1),Summary!$C$11))*('Dvd Calendar'!$AP$2915&lt;=MAX(DATE(Summary!$C$12,12,31),Summary!$C$15))*('Dvd Calendar'!$AP$2915&lt;=Summary!$C$11)=0,"",'Dvd Calendar'!$AP$2915*1000000000+ISNUMBER('Dvd Calendar'!$AP$2916)*100000000+('Dvd Calendar'!$AP$2920='Field Check'!$C$25)*10000000+(N('Dvd Calendar'!$AP$2914)&gt;0)*1000000+54*1000+38))</f>
        <v/>
      </c>
      <c r="AO210" s="41">
        <f>IF(N('Dvd Calendar'!$AQ$2915)=0,"",IF(('Dvd Calendar'!$AQ$2915&gt;=MIN(DATE(Summary!$C$12,1,1),Summary!$C$11))*('Dvd Calendar'!$AQ$2915&lt;=MAX(DATE(Summary!$C$12,12,31),Summary!$C$15))*('Dvd Calendar'!$AQ$2915&lt;=Summary!$C$11)=0,"",'Dvd Calendar'!$AQ$2915*1000000000+ISNUMBER('Dvd Calendar'!$AQ$2916)*100000000+('Dvd Calendar'!$AQ$2920='Field Check'!$C$25)*10000000+(N('Dvd Calendar'!$AQ$2914)&gt;0)*1000000+54*1000+39))</f>
        <v/>
      </c>
      <c r="AP210" s="41">
        <f>IF(N('Dvd Calendar'!$AR$2915)=0,"",IF(('Dvd Calendar'!$AR$2915&gt;=MIN(DATE(Summary!$C$12,1,1),Summary!$C$11))*('Dvd Calendar'!$AR$2915&lt;=MAX(DATE(Summary!$C$12,12,31),Summary!$C$15))*('Dvd Calendar'!$AR$2915&lt;=Summary!$C$11)=0,"",'Dvd Calendar'!$AR$2915*1000000000+ISNUMBER('Dvd Calendar'!$AR$2916)*100000000+('Dvd Calendar'!$AR$2920='Field Check'!$C$25)*10000000+(N('Dvd Calendar'!$AR$2914)&gt;0)*1000000+54*1000+40))</f>
        <v/>
      </c>
      <c r="AQ210" s="41">
        <f>IF(N('Dvd Calendar'!$E$2922)=0,"",IF(('Dvd Calendar'!$E$2922&gt;=MIN(DATE(Summary!$C$12,1,1),Summary!$C$11))*('Dvd Calendar'!$E$2922&lt;=MAX(DATE(Summary!$C$12,12,31),Summary!$C$15))*('Dvd Calendar'!$E$2922&gt;Summary!$C$11)=0,"",'Dvd Calendar'!$E$2922*1000000000+ISNUMBER('Dvd Calendar'!$E$2923)*100000000+('Dvd Calendar'!$E$2927='Field Check'!$C$25)*10000000+(N('Dvd Calendar'!$E$2921)&gt;0)*1000000+54*1000+41))</f>
        <v/>
      </c>
      <c r="AR210" s="41">
        <f>IF(N('Dvd Calendar'!$F$2922)=0,"",IF(('Dvd Calendar'!$F$2922&gt;=MIN(DATE(Summary!$C$12,1,1),Summary!$C$11))*('Dvd Calendar'!$F$2922&lt;=MAX(DATE(Summary!$C$12,12,31),Summary!$C$15))*('Dvd Calendar'!$F$2922&gt;Summary!$C$11)=0,"",'Dvd Calendar'!$F$2922*1000000000+ISNUMBER('Dvd Calendar'!$F$2923)*100000000+('Dvd Calendar'!$F$2927='Field Check'!$C$25)*10000000+(N('Dvd Calendar'!$F$2921)&gt;0)*1000000+54*1000+42))</f>
        <v/>
      </c>
      <c r="AS210" s="41">
        <f>IF(N('Dvd Calendar'!$G$2922)=0,"",IF(('Dvd Calendar'!$G$2922&gt;=MIN(DATE(Summary!$C$12,1,1),Summary!$C$11))*('Dvd Calendar'!$G$2922&lt;=MAX(DATE(Summary!$C$12,12,31),Summary!$C$15))*('Dvd Calendar'!$G$2922&gt;Summary!$C$11)=0,"",'Dvd Calendar'!$G$2922*1000000000+ISNUMBER('Dvd Calendar'!$G$2923)*100000000+('Dvd Calendar'!$G$2927='Field Check'!$C$25)*10000000+(N('Dvd Calendar'!$G$2921)&gt;0)*1000000+54*1000+43))</f>
        <v/>
      </c>
      <c r="AT210" s="41">
        <f>IF(N('Dvd Calendar'!$H$2922)=0,"",IF(('Dvd Calendar'!$H$2922&gt;=MIN(DATE(Summary!$C$12,1,1),Summary!$C$11))*('Dvd Calendar'!$H$2922&lt;=MAX(DATE(Summary!$C$12,12,31),Summary!$C$15))*('Dvd Calendar'!$H$2922&gt;Summary!$C$11)=0,"",'Dvd Calendar'!$H$2922*1000000000+ISNUMBER('Dvd Calendar'!$H$2923)*100000000+('Dvd Calendar'!$H$2927='Field Check'!$C$25)*10000000+(N('Dvd Calendar'!$H$2921)&gt;0)*1000000+54*1000+44))</f>
        <v/>
      </c>
      <c r="AU210" s="41">
        <f>IF(N('Dvd Calendar'!$I$2922)=0,"",IF(('Dvd Calendar'!$I$2922&gt;=MIN(DATE(Summary!$C$12,1,1),Summary!$C$11))*('Dvd Calendar'!$I$2922&lt;=MAX(DATE(Summary!$C$12,12,31),Summary!$C$15))*('Dvd Calendar'!$I$2922&gt;Summary!$C$11)=0,"",'Dvd Calendar'!$I$2922*1000000000+ISNUMBER('Dvd Calendar'!$I$2923)*100000000+('Dvd Calendar'!$I$2927='Field Check'!$C$25)*10000000+(N('Dvd Calendar'!$I$2921)&gt;0)*1000000+54*1000+45))</f>
        <v/>
      </c>
      <c r="AV210" s="41">
        <f>IF(N('Dvd Calendar'!$J$2922)=0,"",IF(('Dvd Calendar'!$J$2922&gt;=MIN(DATE(Summary!$C$12,1,1),Summary!$C$11))*('Dvd Calendar'!$J$2922&lt;=MAX(DATE(Summary!$C$12,12,31),Summary!$C$15))*('Dvd Calendar'!$J$2922&gt;Summary!$C$11)=0,"",'Dvd Calendar'!$J$2922*1000000000+ISNUMBER('Dvd Calendar'!$J$2923)*100000000+('Dvd Calendar'!$J$2927='Field Check'!$C$25)*10000000+(N('Dvd Calendar'!$J$2921)&gt;0)*1000000+54*1000+46))</f>
        <v/>
      </c>
      <c r="AW210" s="41">
        <f>IF(N('Dvd Calendar'!$K$2922)=0,"",IF(('Dvd Calendar'!$K$2922&gt;=MIN(DATE(Summary!$C$12,1,1),Summary!$C$11))*('Dvd Calendar'!$K$2922&lt;=MAX(DATE(Summary!$C$12,12,31),Summary!$C$15))*('Dvd Calendar'!$K$2922&gt;Summary!$C$11)=0,"",'Dvd Calendar'!$K$2922*1000000000+ISNUMBER('Dvd Calendar'!$K$2923)*100000000+('Dvd Calendar'!$K$2927='Field Check'!$C$25)*10000000+(N('Dvd Calendar'!$K$2921)&gt;0)*1000000+54*1000+47))</f>
        <v/>
      </c>
      <c r="AX210" s="41">
        <f>IF(N('Dvd Calendar'!$L$2922)=0,"",IF(('Dvd Calendar'!$L$2922&gt;=MIN(DATE(Summary!$C$12,1,1),Summary!$C$11))*('Dvd Calendar'!$L$2922&lt;=MAX(DATE(Summary!$C$12,12,31),Summary!$C$15))*('Dvd Calendar'!$L$2922&gt;Summary!$C$11)=0,"",'Dvd Calendar'!$L$2922*1000000000+ISNUMBER('Dvd Calendar'!$L$2923)*100000000+('Dvd Calendar'!$L$2927='Field Check'!$C$25)*10000000+(N('Dvd Calendar'!$L$2921)&gt;0)*1000000+54*1000+48))</f>
        <v/>
      </c>
      <c r="AY210" s="41">
        <f>IF(N('Dvd Calendar'!$M$2922)=0,"",IF(('Dvd Calendar'!$M$2922&gt;=MIN(DATE(Summary!$C$12,1,1),Summary!$C$11))*('Dvd Calendar'!$M$2922&lt;=MAX(DATE(Summary!$C$12,12,31),Summary!$C$15))*('Dvd Calendar'!$M$2922&gt;Summary!$C$11)=0,"",'Dvd Calendar'!$M$2922*1000000000+ISNUMBER('Dvd Calendar'!$M$2923)*100000000+('Dvd Calendar'!$M$2927='Field Check'!$C$25)*10000000+(N('Dvd Calendar'!$M$2921)&gt;0)*1000000+54*1000+49))</f>
        <v/>
      </c>
      <c r="AZ210" s="41">
        <f>IF(N('Dvd Calendar'!$N$2922)=0,"",IF(('Dvd Calendar'!$N$2922&gt;=MIN(DATE(Summary!$C$12,1,1),Summary!$C$11))*('Dvd Calendar'!$N$2922&lt;=MAX(DATE(Summary!$C$12,12,31),Summary!$C$15))*('Dvd Calendar'!$N$2922&gt;Summary!$C$11)=0,"",'Dvd Calendar'!$N$2922*1000000000+ISNUMBER('Dvd Calendar'!$N$2923)*100000000+('Dvd Calendar'!$N$2927='Field Check'!$C$25)*10000000+(N('Dvd Calendar'!$N$2921)&gt;0)*1000000+54*1000+50))</f>
        <v/>
      </c>
      <c r="BA210" s="41">
        <f>IF(N('Dvd Calendar'!$O$2922)=0,"",IF(('Dvd Calendar'!$O$2922&gt;=MIN(DATE(Summary!$C$12,1,1),Summary!$C$11))*('Dvd Calendar'!$O$2922&lt;=MAX(DATE(Summary!$C$12,12,31),Summary!$C$15))*('Dvd Calendar'!$O$2922&gt;Summary!$C$11)=0,"",'Dvd Calendar'!$O$2922*1000000000+ISNUMBER('Dvd Calendar'!$O$2923)*100000000+('Dvd Calendar'!$O$2927='Field Check'!$C$25)*10000000+(N('Dvd Calendar'!$O$2921)&gt;0)*1000000+54*1000+51))</f>
        <v/>
      </c>
      <c r="BB210" s="41">
        <f>IF(N('Dvd Calendar'!$P$2922)=0,"",IF(('Dvd Calendar'!$P$2922&gt;=MIN(DATE(Summary!$C$12,1,1),Summary!$C$11))*('Dvd Calendar'!$P$2922&lt;=MAX(DATE(Summary!$C$12,12,31),Summary!$C$15))*('Dvd Calendar'!$P$2922&gt;Summary!$C$11)=0,"",'Dvd Calendar'!$P$2922*1000000000+ISNUMBER('Dvd Calendar'!$P$2923)*100000000+('Dvd Calendar'!$P$2927='Field Check'!$C$25)*10000000+(N('Dvd Calendar'!$P$2921)&gt;0)*1000000+54*1000+52))</f>
        <v/>
      </c>
      <c r="BC210" s="41">
        <f>IF(N('Dvd Calendar'!$Q$2922)=0,"",IF(('Dvd Calendar'!$Q$2922&gt;=MIN(DATE(Summary!$C$12,1,1),Summary!$C$11))*('Dvd Calendar'!$Q$2922&lt;=MAX(DATE(Summary!$C$12,12,31),Summary!$C$15))*('Dvd Calendar'!$Q$2922&gt;Summary!$C$11)=0,"",'Dvd Calendar'!$Q$2922*1000000000+ISNUMBER('Dvd Calendar'!$Q$2923)*100000000+('Dvd Calendar'!$Q$2927='Field Check'!$C$25)*10000000+(N('Dvd Calendar'!$Q$2921)&gt;0)*1000000+54*1000+53))</f>
        <v/>
      </c>
      <c r="BD210" s="41">
        <f>IF(N('Dvd Calendar'!$R$2922)=0,"",IF(('Dvd Calendar'!$R$2922&gt;=MIN(DATE(Summary!$C$12,1,1),Summary!$C$11))*('Dvd Calendar'!$R$2922&lt;=MAX(DATE(Summary!$C$12,12,31),Summary!$C$15))*('Dvd Calendar'!$R$2922&gt;Summary!$C$11)=0,"",'Dvd Calendar'!$R$2922*1000000000+ISNUMBER('Dvd Calendar'!$R$2923)*100000000+('Dvd Calendar'!$R$2927='Field Check'!$C$25)*10000000+(N('Dvd Calendar'!$R$2921)&gt;0)*1000000+54*1000+54))</f>
        <v/>
      </c>
      <c r="BE210" s="41">
        <f>IF(N('Dvd Calendar'!$S$2922)=0,"",IF(('Dvd Calendar'!$S$2922&gt;=MIN(DATE(Summary!$C$12,1,1),Summary!$C$11))*('Dvd Calendar'!$S$2922&lt;=MAX(DATE(Summary!$C$12,12,31),Summary!$C$15))*('Dvd Calendar'!$S$2922&gt;Summary!$C$11)=0,"",'Dvd Calendar'!$S$2922*1000000000+ISNUMBER('Dvd Calendar'!$S$2923)*100000000+('Dvd Calendar'!$S$2927='Field Check'!$C$25)*10000000+(N('Dvd Calendar'!$S$2921)&gt;0)*1000000+54*1000+55))</f>
        <v/>
      </c>
      <c r="BF210" s="41">
        <f>IF(N('Dvd Calendar'!$T$2922)=0,"",IF(('Dvd Calendar'!$T$2922&gt;=MIN(DATE(Summary!$C$12,1,1),Summary!$C$11))*('Dvd Calendar'!$T$2922&lt;=MAX(DATE(Summary!$C$12,12,31),Summary!$C$15))*('Dvd Calendar'!$T$2922&gt;Summary!$C$11)=0,"",'Dvd Calendar'!$T$2922*1000000000+ISNUMBER('Dvd Calendar'!$T$2923)*100000000+('Dvd Calendar'!$T$2927='Field Check'!$C$25)*10000000+(N('Dvd Calendar'!$T$2921)&gt;0)*1000000+54*1000+56))</f>
        <v/>
      </c>
      <c r="BG210" s="41">
        <f>IF(N('Dvd Calendar'!$U$2922)=0,"",IF(('Dvd Calendar'!$U$2922&gt;=MIN(DATE(Summary!$C$12,1,1),Summary!$C$11))*('Dvd Calendar'!$U$2922&lt;=MAX(DATE(Summary!$C$12,12,31),Summary!$C$15))*('Dvd Calendar'!$U$2922&gt;Summary!$C$11)=0,"",'Dvd Calendar'!$U$2922*1000000000+ISNUMBER('Dvd Calendar'!$U$2923)*100000000+('Dvd Calendar'!$U$2927='Field Check'!$C$25)*10000000+(N('Dvd Calendar'!$U$2921)&gt;0)*1000000+54*1000+57))</f>
        <v/>
      </c>
      <c r="BH210" s="41">
        <f>IF(N('Dvd Calendar'!$V$2922)=0,"",IF(('Dvd Calendar'!$V$2922&gt;=MIN(DATE(Summary!$C$12,1,1),Summary!$C$11))*('Dvd Calendar'!$V$2922&lt;=MAX(DATE(Summary!$C$12,12,31),Summary!$C$15))*('Dvd Calendar'!$V$2922&gt;Summary!$C$11)=0,"",'Dvd Calendar'!$V$2922*1000000000+ISNUMBER('Dvd Calendar'!$V$2923)*100000000+('Dvd Calendar'!$V$2927='Field Check'!$C$25)*10000000+(N('Dvd Calendar'!$V$2921)&gt;0)*1000000+54*1000+58))</f>
        <v/>
      </c>
      <c r="BI210" s="41">
        <f>IF(N('Dvd Calendar'!$W$2922)=0,"",IF(('Dvd Calendar'!$W$2922&gt;=MIN(DATE(Summary!$C$12,1,1),Summary!$C$11))*('Dvd Calendar'!$W$2922&lt;=MAX(DATE(Summary!$C$12,12,31),Summary!$C$15))*('Dvd Calendar'!$W$2922&gt;Summary!$C$11)=0,"",'Dvd Calendar'!$W$2922*1000000000+ISNUMBER('Dvd Calendar'!$W$2923)*100000000+('Dvd Calendar'!$W$2927='Field Check'!$C$25)*10000000+(N('Dvd Calendar'!$W$2921)&gt;0)*1000000+54*1000+59))</f>
        <v/>
      </c>
      <c r="BJ210" s="41">
        <f>IF(N('Dvd Calendar'!$X$2922)=0,"",IF(('Dvd Calendar'!$X$2922&gt;=MIN(DATE(Summary!$C$12,1,1),Summary!$C$11))*('Dvd Calendar'!$X$2922&lt;=MAX(DATE(Summary!$C$12,12,31),Summary!$C$15))*('Dvd Calendar'!$X$2922&gt;Summary!$C$11)=0,"",'Dvd Calendar'!$X$2922*1000000000+ISNUMBER('Dvd Calendar'!$X$2923)*100000000+('Dvd Calendar'!$X$2927='Field Check'!$C$25)*10000000+(N('Dvd Calendar'!$X$2921)&gt;0)*1000000+54*1000+60))</f>
        <v/>
      </c>
      <c r="BK210" s="41">
        <f>IF(N('Dvd Calendar'!$Y$2922)=0,"",IF(('Dvd Calendar'!$Y$2922&gt;=MIN(DATE(Summary!$C$12,1,1),Summary!$C$11))*('Dvd Calendar'!$Y$2922&lt;=MAX(DATE(Summary!$C$12,12,31),Summary!$C$15))*('Dvd Calendar'!$Y$2922&gt;Summary!$C$11)=0,"",'Dvd Calendar'!$Y$2922*1000000000+ISNUMBER('Dvd Calendar'!$Y$2923)*100000000+('Dvd Calendar'!$Y$2927='Field Check'!$C$25)*10000000+(N('Dvd Calendar'!$Y$2921)&gt;0)*1000000+54*1000+61))</f>
        <v/>
      </c>
      <c r="BL210" s="41">
        <f>IF(N('Dvd Calendar'!$Z$2922)=0,"",IF(('Dvd Calendar'!$Z$2922&gt;=MIN(DATE(Summary!$C$12,1,1),Summary!$C$11))*('Dvd Calendar'!$Z$2922&lt;=MAX(DATE(Summary!$C$12,12,31),Summary!$C$15))*('Dvd Calendar'!$Z$2922&gt;Summary!$C$11)=0,"",'Dvd Calendar'!$Z$2922*1000000000+ISNUMBER('Dvd Calendar'!$Z$2923)*100000000+('Dvd Calendar'!$Z$2927='Field Check'!$C$25)*10000000+(N('Dvd Calendar'!$Z$2921)&gt;0)*1000000+54*1000+62))</f>
        <v/>
      </c>
      <c r="BM210" s="41">
        <f>IF(N('Dvd Calendar'!$AA$2922)=0,"",IF(('Dvd Calendar'!$AA$2922&gt;=MIN(DATE(Summary!$C$12,1,1),Summary!$C$11))*('Dvd Calendar'!$AA$2922&lt;=MAX(DATE(Summary!$C$12,12,31),Summary!$C$15))*('Dvd Calendar'!$AA$2922&gt;Summary!$C$11)=0,"",'Dvd Calendar'!$AA$2922*1000000000+ISNUMBER('Dvd Calendar'!$AA$2923)*100000000+('Dvd Calendar'!$AA$2927='Field Check'!$C$25)*10000000+(N('Dvd Calendar'!$AA$2921)&gt;0)*1000000+54*1000+63))</f>
        <v/>
      </c>
      <c r="BN210" s="41">
        <f>IF(N('Dvd Calendar'!$AB$2922)=0,"",IF(('Dvd Calendar'!$AB$2922&gt;=MIN(DATE(Summary!$C$12,1,1),Summary!$C$11))*('Dvd Calendar'!$AB$2922&lt;=MAX(DATE(Summary!$C$12,12,31),Summary!$C$15))*('Dvd Calendar'!$AB$2922&gt;Summary!$C$11)=0,"",'Dvd Calendar'!$AB$2922*1000000000+ISNUMBER('Dvd Calendar'!$AB$2923)*100000000+('Dvd Calendar'!$AB$2927='Field Check'!$C$25)*10000000+(N('Dvd Calendar'!$AB$2921)&gt;0)*1000000+54*1000+64))</f>
        <v/>
      </c>
      <c r="BO210" s="41">
        <f>IF(N('Dvd Calendar'!$AC$2922)=0,"",IF(('Dvd Calendar'!$AC$2922&gt;=MIN(DATE(Summary!$C$12,1,1),Summary!$C$11))*('Dvd Calendar'!$AC$2922&lt;=MAX(DATE(Summary!$C$12,12,31),Summary!$C$15))*('Dvd Calendar'!$AC$2922&gt;Summary!$C$11)=0,"",'Dvd Calendar'!$AC$2922*1000000000+ISNUMBER('Dvd Calendar'!$AC$2923)*100000000+('Dvd Calendar'!$AC$2927='Field Check'!$C$25)*10000000+(N('Dvd Calendar'!$AC$2921)&gt;0)*1000000+54*1000+65))</f>
        <v/>
      </c>
      <c r="BQ210" s="85">
        <f>IF(C210="","",IF(ISNUMBER('Dvd Calendar'!$E$2916)=FALSE,"",IF((Summary!$C$13="N")*('Dvd Calendar'!$E$2920='Field Check'!$C$25)&gt;0,"",'Dvd Calendar'!$E$2916)))</f>
        <v/>
      </c>
      <c r="BR210" s="85">
        <f>IF(D210="","",IF(ISNUMBER('Dvd Calendar'!$F$2916)=FALSE,"",IF((Summary!$C$13="N")*('Dvd Calendar'!$F$2920='Field Check'!$C$25)&gt;0,"",'Dvd Calendar'!$F$2916)))</f>
        <v/>
      </c>
      <c r="BS210" s="85">
        <f>IF(E210="","",IF(ISNUMBER('Dvd Calendar'!$G$2916)=FALSE,"",IF((Summary!$C$13="N")*('Dvd Calendar'!$G$2920='Field Check'!$C$25)&gt;0,"",'Dvd Calendar'!$G$2916)))</f>
        <v/>
      </c>
      <c r="BT210" s="85">
        <f>IF(F210="","",IF(ISNUMBER('Dvd Calendar'!$H$2916)=FALSE,"",IF((Summary!$C$13="N")*('Dvd Calendar'!$H$2920='Field Check'!$C$25)&gt;0,"",'Dvd Calendar'!$H$2916)))</f>
        <v/>
      </c>
      <c r="BU210" s="85">
        <f>IF(G210="","",IF(ISNUMBER('Dvd Calendar'!$I$2916)=FALSE,"",IF((Summary!$C$13="N")*('Dvd Calendar'!$I$2920='Field Check'!$C$25)&gt;0,"",'Dvd Calendar'!$I$2916)))</f>
        <v/>
      </c>
      <c r="BV210" s="85">
        <f>IF(H210="","",IF(ISNUMBER('Dvd Calendar'!$J$2916)=FALSE,"",IF((Summary!$C$13="N")*('Dvd Calendar'!$J$2920='Field Check'!$C$25)&gt;0,"",'Dvd Calendar'!$J$2916)))</f>
        <v/>
      </c>
      <c r="BW210" s="85">
        <f>IF(I210="","",IF(ISNUMBER('Dvd Calendar'!$K$2916)=FALSE,"",IF((Summary!$C$13="N")*('Dvd Calendar'!$K$2920='Field Check'!$C$25)&gt;0,"",'Dvd Calendar'!$K$2916)))</f>
        <v/>
      </c>
      <c r="BX210" s="85">
        <f>IF(J210="","",IF(ISNUMBER('Dvd Calendar'!$L$2916)=FALSE,"",IF((Summary!$C$13="N")*('Dvd Calendar'!$L$2920='Field Check'!$C$25)&gt;0,"",'Dvd Calendar'!$L$2916)))</f>
        <v/>
      </c>
      <c r="BY210" s="85">
        <f>IF(K210="","",IF(ISNUMBER('Dvd Calendar'!$M$2916)=FALSE,"",IF((Summary!$C$13="N")*('Dvd Calendar'!$M$2920='Field Check'!$C$25)&gt;0,"",'Dvd Calendar'!$M$2916)))</f>
        <v/>
      </c>
      <c r="BZ210" s="85">
        <f>IF(L210="","",IF(ISNUMBER('Dvd Calendar'!$N$2916)=FALSE,"",IF((Summary!$C$13="N")*('Dvd Calendar'!$N$2920='Field Check'!$C$25)&gt;0,"",'Dvd Calendar'!$N$2916)))</f>
        <v/>
      </c>
      <c r="CA210" s="85">
        <f>IF(M210="","",IF(ISNUMBER('Dvd Calendar'!$O$2916)=FALSE,"",IF((Summary!$C$13="N")*('Dvd Calendar'!$O$2920='Field Check'!$C$25)&gt;0,"",'Dvd Calendar'!$O$2916)))</f>
        <v/>
      </c>
      <c r="CB210" s="85">
        <f>IF(N210="","",IF(ISNUMBER('Dvd Calendar'!$P$2916)=FALSE,"",IF((Summary!$C$13="N")*('Dvd Calendar'!$P$2920='Field Check'!$C$25)&gt;0,"",'Dvd Calendar'!$P$2916)))</f>
        <v/>
      </c>
      <c r="CC210" s="85">
        <f>IF(O210="","",IF(ISNUMBER('Dvd Calendar'!$Q$2916)=FALSE,"",IF((Summary!$C$13="N")*('Dvd Calendar'!$Q$2920='Field Check'!$C$25)&gt;0,"",'Dvd Calendar'!$Q$2916)))</f>
        <v/>
      </c>
      <c r="CD210" s="85">
        <f>IF(P210="","",IF(ISNUMBER('Dvd Calendar'!$R$2916)=FALSE,"",IF((Summary!$C$13="N")*('Dvd Calendar'!$R$2920='Field Check'!$C$25)&gt;0,"",'Dvd Calendar'!$R$2916)))</f>
        <v/>
      </c>
      <c r="CE210" s="85">
        <f>IF(Q210="","",IF(ISNUMBER('Dvd Calendar'!$S$2916)=FALSE,"",IF((Summary!$C$13="N")*('Dvd Calendar'!$S$2920='Field Check'!$C$25)&gt;0,"",'Dvd Calendar'!$S$2916)))</f>
        <v/>
      </c>
      <c r="CF210" s="85">
        <f>IF(R210="","",IF(ISNUMBER('Dvd Calendar'!$T$2916)=FALSE,"",IF((Summary!$C$13="N")*('Dvd Calendar'!$T$2920='Field Check'!$C$25)&gt;0,"",'Dvd Calendar'!$T$2916)))</f>
        <v/>
      </c>
      <c r="CG210" s="85">
        <f>IF(S210="","",IF(ISNUMBER('Dvd Calendar'!$U$2916)=FALSE,"",IF((Summary!$C$13="N")*('Dvd Calendar'!$U$2920='Field Check'!$C$25)&gt;0,"",'Dvd Calendar'!$U$2916)))</f>
        <v/>
      </c>
      <c r="CH210" s="85">
        <f>IF(T210="","",IF(ISNUMBER('Dvd Calendar'!$V$2916)=FALSE,"",IF((Summary!$C$13="N")*('Dvd Calendar'!$V$2920='Field Check'!$C$25)&gt;0,"",'Dvd Calendar'!$V$2916)))</f>
        <v/>
      </c>
      <c r="CI210" s="85">
        <f>IF(U210="","",IF(ISNUMBER('Dvd Calendar'!$W$2916)=FALSE,"",IF((Summary!$C$13="N")*('Dvd Calendar'!$W$2920='Field Check'!$C$25)&gt;0,"",'Dvd Calendar'!$W$2916)))</f>
        <v/>
      </c>
      <c r="CJ210" s="85">
        <f>IF(V210="","",IF(ISNUMBER('Dvd Calendar'!$X$2916)=FALSE,"",IF((Summary!$C$13="N")*('Dvd Calendar'!$X$2920='Field Check'!$C$25)&gt;0,"",'Dvd Calendar'!$X$2916)))</f>
        <v/>
      </c>
      <c r="CK210" s="85">
        <f>IF(W210="","",IF(ISNUMBER('Dvd Calendar'!$Y$2916)=FALSE,"",IF((Summary!$C$13="N")*('Dvd Calendar'!$Y$2920='Field Check'!$C$25)&gt;0,"",'Dvd Calendar'!$Y$2916)))</f>
        <v/>
      </c>
      <c r="CL210" s="85">
        <f>IF(X210="","",IF(ISNUMBER('Dvd Calendar'!$Z$2916)=FALSE,"",IF((Summary!$C$13="N")*('Dvd Calendar'!$Z$2920='Field Check'!$C$25)&gt;0,"",'Dvd Calendar'!$Z$2916)))</f>
        <v/>
      </c>
      <c r="CM210" s="85">
        <f>IF(Y210="","",IF(ISNUMBER('Dvd Calendar'!$AA$2916)=FALSE,"",IF((Summary!$C$13="N")*('Dvd Calendar'!$AA$2920='Field Check'!$C$25)&gt;0,"",'Dvd Calendar'!$AA$2916)))</f>
        <v/>
      </c>
      <c r="CN210" s="85">
        <f>IF(Z210="","",IF(ISNUMBER('Dvd Calendar'!$AB$2916)=FALSE,"",IF((Summary!$C$13="N")*('Dvd Calendar'!$AB$2920='Field Check'!$C$25)&gt;0,"",'Dvd Calendar'!$AB$2916)))</f>
        <v/>
      </c>
      <c r="CO210" s="85">
        <f>IF(AA210="","",IF(ISNUMBER('Dvd Calendar'!$AC$2916)=FALSE,"",IF((Summary!$C$13="N")*('Dvd Calendar'!$AC$2920='Field Check'!$C$25)&gt;0,"",'Dvd Calendar'!$AC$2916)))</f>
        <v/>
      </c>
      <c r="CP210" s="85">
        <f>IF(AB210="","",IF(ISNUMBER('Dvd Calendar'!$AD$2916)=FALSE,"",IF((Summary!$C$13="N")*('Dvd Calendar'!$AD$2920='Field Check'!$C$25)&gt;0,"",'Dvd Calendar'!$AD$2916)))</f>
        <v/>
      </c>
      <c r="CQ210" s="85">
        <f>IF(AC210="","",IF(ISNUMBER('Dvd Calendar'!$AE$2916)=FALSE,"",IF((Summary!$C$13="N")*('Dvd Calendar'!$AE$2920='Field Check'!$C$25)&gt;0,"",'Dvd Calendar'!$AE$2916)))</f>
        <v/>
      </c>
      <c r="CR210" s="85">
        <f>IF(AD210="","",IF(ISNUMBER('Dvd Calendar'!$AF$2916)=FALSE,"",IF((Summary!$C$13="N")*('Dvd Calendar'!$AF$2920='Field Check'!$C$25)&gt;0,"",'Dvd Calendar'!$AF$2916)))</f>
        <v/>
      </c>
      <c r="CS210" s="85">
        <f>IF(AE210="","",IF(ISNUMBER('Dvd Calendar'!$AG$2916)=FALSE,"",IF((Summary!$C$13="N")*('Dvd Calendar'!$AG$2920='Field Check'!$C$25)&gt;0,"",'Dvd Calendar'!$AG$2916)))</f>
        <v/>
      </c>
      <c r="CT210" s="85">
        <f>IF(AF210="","",IF(ISNUMBER('Dvd Calendar'!$AH$2916)=FALSE,"",IF((Summary!$C$13="N")*('Dvd Calendar'!$AH$2920='Field Check'!$C$25)&gt;0,"",'Dvd Calendar'!$AH$2916)))</f>
        <v/>
      </c>
      <c r="CU210" s="85">
        <f>IF(AG210="","",IF(ISNUMBER('Dvd Calendar'!$AI$2916)=FALSE,"",IF((Summary!$C$13="N")*('Dvd Calendar'!$AI$2920='Field Check'!$C$25)&gt;0,"",'Dvd Calendar'!$AI$2916)))</f>
        <v/>
      </c>
      <c r="CV210" s="85">
        <f>IF(AH210="","",IF(ISNUMBER('Dvd Calendar'!$AJ$2916)=FALSE,"",IF((Summary!$C$13="N")*('Dvd Calendar'!$AJ$2920='Field Check'!$C$25)&gt;0,"",'Dvd Calendar'!$AJ$2916)))</f>
        <v/>
      </c>
      <c r="CW210" s="85">
        <f>IF(AI210="","",IF(ISNUMBER('Dvd Calendar'!$AK$2916)=FALSE,"",IF((Summary!$C$13="N")*('Dvd Calendar'!$AK$2920='Field Check'!$C$25)&gt;0,"",'Dvd Calendar'!$AK$2916)))</f>
        <v/>
      </c>
      <c r="CX210" s="85">
        <f>IF(AJ210="","",IF(ISNUMBER('Dvd Calendar'!$AL$2916)=FALSE,"",IF((Summary!$C$13="N")*('Dvd Calendar'!$AL$2920='Field Check'!$C$25)&gt;0,"",'Dvd Calendar'!$AL$2916)))</f>
        <v/>
      </c>
      <c r="CY210" s="85">
        <f>IF(AK210="","",IF(ISNUMBER('Dvd Calendar'!$AM$2916)=FALSE,"",IF((Summary!$C$13="N")*('Dvd Calendar'!$AM$2920='Field Check'!$C$25)&gt;0,"",'Dvd Calendar'!$AM$2916)))</f>
        <v/>
      </c>
      <c r="CZ210" s="85">
        <f>IF(AL210="","",IF(ISNUMBER('Dvd Calendar'!$AN$2916)=FALSE,"",IF((Summary!$C$13="N")*('Dvd Calendar'!$AN$2920='Field Check'!$C$25)&gt;0,"",'Dvd Calendar'!$AN$2916)))</f>
        <v/>
      </c>
      <c r="DA210" s="85">
        <f>IF(AM210="","",IF(ISNUMBER('Dvd Calendar'!$AO$2916)=FALSE,"",IF((Summary!$C$13="N")*('Dvd Calendar'!$AO$2920='Field Check'!$C$25)&gt;0,"",'Dvd Calendar'!$AO$2916)))</f>
        <v/>
      </c>
      <c r="DB210" s="85">
        <f>IF(AN210="","",IF(ISNUMBER('Dvd Calendar'!$AP$2916)=FALSE,"",IF((Summary!$C$13="N")*('Dvd Calendar'!$AP$2920='Field Check'!$C$25)&gt;0,"",'Dvd Calendar'!$AP$2916)))</f>
        <v/>
      </c>
      <c r="DC210" s="85">
        <f>IF(AO210="","",IF(ISNUMBER('Dvd Calendar'!$AQ$2916)=FALSE,"",IF((Summary!$C$13="N")*('Dvd Calendar'!$AQ$2920='Field Check'!$C$25)&gt;0,"",'Dvd Calendar'!$AQ$2916)))</f>
        <v/>
      </c>
      <c r="DD210" s="85">
        <f>IF(AP210="","",IF(ISNUMBER('Dvd Calendar'!$AR$2916)=FALSE,"",IF((Summary!$C$13="N")*('Dvd Calendar'!$AR$2920='Field Check'!$C$25)&gt;0,"",'Dvd Calendar'!$AR$2916)))</f>
        <v/>
      </c>
      <c r="DE210" s="85">
        <f>IF(AQ210="","",IF(ISNUMBER('Dvd Calendar'!$E$2923)=FALSE,"",IF((Summary!$C$13="N")*('Dvd Calendar'!$E$2927='Field Check'!$C$25)&gt;0,"",'Dvd Calendar'!$E$2923)))</f>
        <v/>
      </c>
      <c r="DF210" s="85">
        <f>IF(AR210="","",IF(ISNUMBER('Dvd Calendar'!$F$2923)=FALSE,"",IF((Summary!$C$13="N")*('Dvd Calendar'!$F$2927='Field Check'!$C$25)&gt;0,"",'Dvd Calendar'!$F$2923)))</f>
        <v/>
      </c>
      <c r="DG210" s="85">
        <f>IF(AS210="","",IF(ISNUMBER('Dvd Calendar'!$G$2923)=FALSE,"",IF((Summary!$C$13="N")*('Dvd Calendar'!$G$2927='Field Check'!$C$25)&gt;0,"",'Dvd Calendar'!$G$2923)))</f>
        <v/>
      </c>
      <c r="DH210" s="85">
        <f>IF(AT210="","",IF(ISNUMBER('Dvd Calendar'!$H$2923)=FALSE,"",IF((Summary!$C$13="N")*('Dvd Calendar'!$H$2927='Field Check'!$C$25)&gt;0,"",'Dvd Calendar'!$H$2923)))</f>
        <v/>
      </c>
      <c r="DI210" s="85">
        <f>IF(AU210="","",IF(ISNUMBER('Dvd Calendar'!$I$2923)=FALSE,"",IF((Summary!$C$13="N")*('Dvd Calendar'!$I$2927='Field Check'!$C$25)&gt;0,"",'Dvd Calendar'!$I$2923)))</f>
        <v/>
      </c>
      <c r="DJ210" s="85">
        <f>IF(AV210="","",IF(ISNUMBER('Dvd Calendar'!$J$2923)=FALSE,"",IF((Summary!$C$13="N")*('Dvd Calendar'!$J$2927='Field Check'!$C$25)&gt;0,"",'Dvd Calendar'!$J$2923)))</f>
        <v/>
      </c>
      <c r="DK210" s="85">
        <f>IF(AW210="","",IF(ISNUMBER('Dvd Calendar'!$K$2923)=FALSE,"",IF((Summary!$C$13="N")*('Dvd Calendar'!$K$2927='Field Check'!$C$25)&gt;0,"",'Dvd Calendar'!$K$2923)))</f>
        <v/>
      </c>
      <c r="DL210" s="85">
        <f>IF(AX210="","",IF(ISNUMBER('Dvd Calendar'!$L$2923)=FALSE,"",IF((Summary!$C$13="N")*('Dvd Calendar'!$L$2927='Field Check'!$C$25)&gt;0,"",'Dvd Calendar'!$L$2923)))</f>
        <v/>
      </c>
      <c r="DM210" s="85">
        <f>IF(AY210="","",IF(ISNUMBER('Dvd Calendar'!$M$2923)=FALSE,"",IF((Summary!$C$13="N")*('Dvd Calendar'!$M$2927='Field Check'!$C$25)&gt;0,"",'Dvd Calendar'!$M$2923)))</f>
        <v/>
      </c>
      <c r="DN210" s="85">
        <f>IF(AZ210="","",IF(ISNUMBER('Dvd Calendar'!$N$2923)=FALSE,"",IF((Summary!$C$13="N")*('Dvd Calendar'!$N$2927='Field Check'!$C$25)&gt;0,"",'Dvd Calendar'!$N$2923)))</f>
        <v/>
      </c>
      <c r="DO210" s="85">
        <f>IF(BA210="","",IF(ISNUMBER('Dvd Calendar'!$O$2923)=FALSE,"",IF((Summary!$C$13="N")*('Dvd Calendar'!$O$2927='Field Check'!$C$25)&gt;0,"",'Dvd Calendar'!$O$2923)))</f>
        <v/>
      </c>
      <c r="DP210" s="85">
        <f>IF(BB210="","",IF(ISNUMBER('Dvd Calendar'!$P$2923)=FALSE,"",IF((Summary!$C$13="N")*('Dvd Calendar'!$P$2927='Field Check'!$C$25)&gt;0,"",'Dvd Calendar'!$P$2923)))</f>
        <v/>
      </c>
      <c r="DQ210" s="85">
        <f>IF(BC210="","",IF(ISNUMBER('Dvd Calendar'!$Q$2923)=FALSE,"",IF((Summary!$C$13="N")*('Dvd Calendar'!$Q$2927='Field Check'!$C$25)&gt;0,"",'Dvd Calendar'!$Q$2923)))</f>
        <v/>
      </c>
      <c r="DR210" s="85">
        <f>IF(BD210="","",IF(ISNUMBER('Dvd Calendar'!$R$2923)=FALSE,"",IF((Summary!$C$13="N")*('Dvd Calendar'!$R$2927='Field Check'!$C$25)&gt;0,"",'Dvd Calendar'!$R$2923)))</f>
        <v/>
      </c>
      <c r="DS210" s="85">
        <f>IF(BE210="","",IF(ISNUMBER('Dvd Calendar'!$S$2923)=FALSE,"",IF((Summary!$C$13="N")*('Dvd Calendar'!$S$2927='Field Check'!$C$25)&gt;0,"",'Dvd Calendar'!$S$2923)))</f>
        <v/>
      </c>
      <c r="DT210" s="85">
        <f>IF(BF210="","",IF(ISNUMBER('Dvd Calendar'!$T$2923)=FALSE,"",IF((Summary!$C$13="N")*('Dvd Calendar'!$T$2927='Field Check'!$C$25)&gt;0,"",'Dvd Calendar'!$T$2923)))</f>
        <v/>
      </c>
      <c r="DU210" s="85">
        <f>IF(BG210="","",IF(ISNUMBER('Dvd Calendar'!$U$2923)=FALSE,"",IF((Summary!$C$13="N")*('Dvd Calendar'!$U$2927='Field Check'!$C$25)&gt;0,"",'Dvd Calendar'!$U$2923)))</f>
        <v/>
      </c>
      <c r="DV210" s="85">
        <f>IF(BH210="","",IF(ISNUMBER('Dvd Calendar'!$V$2923)=FALSE,"",IF((Summary!$C$13="N")*('Dvd Calendar'!$V$2927='Field Check'!$C$25)&gt;0,"",'Dvd Calendar'!$V$2923)))</f>
        <v/>
      </c>
      <c r="DW210" s="85">
        <f>IF(BI210="","",IF(ISNUMBER('Dvd Calendar'!$W$2923)=FALSE,"",IF((Summary!$C$13="N")*('Dvd Calendar'!$W$2927='Field Check'!$C$25)&gt;0,"",'Dvd Calendar'!$W$2923)))</f>
        <v/>
      </c>
      <c r="DX210" s="85">
        <f>IF(BJ210="","",IF(ISNUMBER('Dvd Calendar'!$X$2923)=FALSE,"",IF((Summary!$C$13="N")*('Dvd Calendar'!$X$2927='Field Check'!$C$25)&gt;0,"",'Dvd Calendar'!$X$2923)))</f>
        <v/>
      </c>
      <c r="DY210" s="85">
        <f>IF(BK210="","",IF(ISNUMBER('Dvd Calendar'!$Y$2923)=FALSE,"",IF((Summary!$C$13="N")*('Dvd Calendar'!$Y$2927='Field Check'!$C$25)&gt;0,"",'Dvd Calendar'!$Y$2923)))</f>
        <v/>
      </c>
      <c r="DZ210" s="85">
        <f>IF(BL210="","",IF(ISNUMBER('Dvd Calendar'!$Z$2923)=FALSE,"",IF((Summary!$C$13="N")*('Dvd Calendar'!$Z$2927='Field Check'!$C$25)&gt;0,"",'Dvd Calendar'!$Z$2923)))</f>
        <v/>
      </c>
      <c r="EA210" s="85">
        <f>IF(BM210="","",IF(ISNUMBER('Dvd Calendar'!$AA$2923)=FALSE,"",IF((Summary!$C$13="N")*('Dvd Calendar'!$AA$2927='Field Check'!$C$25)&gt;0,"",'Dvd Calendar'!$AA$2923)))</f>
        <v/>
      </c>
      <c r="EB210" s="85">
        <f>IF(BN210="","",IF(ISNUMBER('Dvd Calendar'!$AB$2923)=FALSE,"",IF((Summary!$C$13="N")*('Dvd Calendar'!$AB$2927='Field Check'!$C$25)&gt;0,"",'Dvd Calendar'!$AB$2923)))</f>
        <v/>
      </c>
      <c r="EC210" s="85">
        <f>IF(BO210="","",IF(ISNUMBER('Dvd Calendar'!$AC$2923)=FALSE,"",IF((Summary!$C$13="N")*('Dvd Calendar'!$AC$2927='Field Check'!$C$25)&gt;0,"",'Dvd Calendar'!$AC$2923)))</f>
        <v/>
      </c>
      <c r="EE210" s="85">
        <f>IF(BQ210="","",IFERROR(BQ210*HSCEI!$B$60*HSCEI!$G$60/HSCEI!$B$3,""))</f>
        <v/>
      </c>
      <c r="EF210" s="85">
        <f>IF(BR210="","",IFERROR(BR210*HSCEI!$B$60*HSCEI!$G$60/HSCEI!$B$3,""))</f>
        <v/>
      </c>
      <c r="EG210" s="85">
        <f>IF(BS210="","",IFERROR(BS210*HSCEI!$B$60*HSCEI!$G$60/HSCEI!$B$3,""))</f>
        <v/>
      </c>
      <c r="EH210" s="85">
        <f>IF(BT210="","",IFERROR(BT210*HSCEI!$B$60*HSCEI!$G$60/HSCEI!$B$3,""))</f>
        <v/>
      </c>
      <c r="EI210" s="85">
        <f>IF(BU210="","",IFERROR(BU210*HSCEI!$B$60*HSCEI!$G$60/HSCEI!$B$3,""))</f>
        <v/>
      </c>
      <c r="EJ210" s="85">
        <f>IF(BV210="","",IFERROR(BV210*HSCEI!$B$60*HSCEI!$G$60/HSCEI!$B$3,""))</f>
        <v/>
      </c>
      <c r="EK210" s="85">
        <f>IF(BW210="","",IFERROR(BW210*HSCEI!$B$60*HSCEI!$G$60/HSCEI!$B$3,""))</f>
        <v/>
      </c>
      <c r="EL210" s="85">
        <f>IF(BX210="","",IFERROR(BX210*HSCEI!$B$60*HSCEI!$G$60/HSCEI!$B$3,""))</f>
        <v/>
      </c>
      <c r="EM210" s="85">
        <f>IF(BY210="","",IFERROR(BY210*HSCEI!$B$60*HSCEI!$G$60/HSCEI!$B$3,""))</f>
        <v/>
      </c>
      <c r="EN210" s="85">
        <f>IF(BZ210="","",IFERROR(BZ210*HSCEI!$B$60*HSCEI!$G$60/HSCEI!$B$3,""))</f>
        <v/>
      </c>
      <c r="EO210" s="85">
        <f>IF(CA210="","",IFERROR(CA210*HSCEI!$B$60*HSCEI!$G$60/HSCEI!$B$3,""))</f>
        <v/>
      </c>
      <c r="EP210" s="85">
        <f>IF(CB210="","",IFERROR(CB210*HSCEI!$B$60*HSCEI!$G$60/HSCEI!$B$3,""))</f>
        <v/>
      </c>
      <c r="EQ210" s="85">
        <f>IF(CC210="","",IFERROR(CC210*HSCEI!$B$60*HSCEI!$G$60/HSCEI!$B$3,""))</f>
        <v/>
      </c>
      <c r="ER210" s="85">
        <f>IF(CD210="","",IFERROR(CD210*HSCEI!$B$60*HSCEI!$G$60/HSCEI!$B$3,""))</f>
        <v/>
      </c>
      <c r="ES210" s="85">
        <f>IF(CE210="","",IFERROR(CE210*HSCEI!$B$60*HSCEI!$G$60/HSCEI!$B$3,""))</f>
        <v/>
      </c>
      <c r="ET210" s="85">
        <f>IF(CF210="","",IFERROR(CF210*HSCEI!$B$60*HSCEI!$G$60/HSCEI!$B$3,""))</f>
        <v/>
      </c>
      <c r="EU210" s="85">
        <f>IF(CG210="","",IFERROR(CG210*HSCEI!$B$60*HSCEI!$G$60/HSCEI!$B$3,""))</f>
        <v/>
      </c>
      <c r="EV210" s="85">
        <f>IF(CH210="","",IFERROR(CH210*HSCEI!$B$60*HSCEI!$G$60/HSCEI!$B$3,""))</f>
        <v/>
      </c>
      <c r="EW210" s="85">
        <f>IF(CI210="","",IFERROR(CI210*HSCEI!$B$60*HSCEI!$G$60/HSCEI!$B$3,""))</f>
        <v/>
      </c>
      <c r="EX210" s="85">
        <f>IF(CJ210="","",IFERROR(CJ210*HSCEI!$B$60*HSCEI!$G$60/HSCEI!$B$3,""))</f>
        <v/>
      </c>
      <c r="EY210" s="85">
        <f>IF(CK210="","",IFERROR(CK210*HSCEI!$B$60*HSCEI!$G$60/HSCEI!$B$3,""))</f>
        <v/>
      </c>
      <c r="EZ210" s="85">
        <f>IF(CL210="","",IFERROR(CL210*HSCEI!$B$60*HSCEI!$G$60/HSCEI!$B$3,""))</f>
        <v/>
      </c>
      <c r="FA210" s="85">
        <f>IF(CM210="","",IFERROR(CM210*HSCEI!$B$60*HSCEI!$G$60/HSCEI!$B$3,""))</f>
        <v/>
      </c>
      <c r="FB210" s="85">
        <f>IF(CN210="","",IFERROR(CN210*HSCEI!$B$60*HSCEI!$G$60/HSCEI!$B$3,""))</f>
        <v/>
      </c>
      <c r="FC210" s="85">
        <f>IF(CO210="","",IFERROR(CO210*HSCEI!$B$60*HSCEI!$G$60/HSCEI!$B$3,""))</f>
        <v/>
      </c>
      <c r="FD210" s="85">
        <f>IF(CP210="","",IFERROR(CP210*HSCEI!$B$60*HSCEI!$G$60/HSCEI!$B$3,""))</f>
        <v/>
      </c>
      <c r="FE210" s="85">
        <f>IF(CQ210="","",IFERROR(CQ210*HSCEI!$B$60*HSCEI!$G$60/HSCEI!$B$3,""))</f>
        <v/>
      </c>
      <c r="FF210" s="85">
        <f>IF(CR210="","",IFERROR(CR210*HSCEI!$B$60*HSCEI!$G$60/HSCEI!$B$3,""))</f>
        <v/>
      </c>
      <c r="FG210" s="85">
        <f>IF(CS210="","",IFERROR(CS210*HSCEI!$B$60*HSCEI!$G$60/HSCEI!$B$3,""))</f>
        <v/>
      </c>
      <c r="FH210" s="85">
        <f>IF(CT210="","",IFERROR(CT210*HSCEI!$B$60*HSCEI!$G$60/HSCEI!$B$3,""))</f>
        <v/>
      </c>
      <c r="FI210" s="85">
        <f>IF(CU210="","",IFERROR(CU210*HSCEI!$B$60*HSCEI!$G$60/HSCEI!$B$3,""))</f>
        <v/>
      </c>
      <c r="FJ210" s="85">
        <f>IF(CV210="","",IFERROR(CV210*HSCEI!$B$60*HSCEI!$G$60/HSCEI!$B$3,""))</f>
        <v/>
      </c>
      <c r="FK210" s="85">
        <f>IF(CW210="","",IFERROR(CW210*HSCEI!$B$60*HSCEI!$G$60/HSCEI!$B$3,""))</f>
        <v/>
      </c>
      <c r="FL210" s="85">
        <f>IF(CX210="","",IFERROR(CX210*HSCEI!$B$60*HSCEI!$G$60/HSCEI!$B$3,""))</f>
        <v/>
      </c>
      <c r="FM210" s="85">
        <f>IF(CY210="","",IFERROR(CY210*HSCEI!$B$60*HSCEI!$G$60/HSCEI!$B$3,""))</f>
        <v/>
      </c>
      <c r="FN210" s="85">
        <f>IF(CZ210="","",IFERROR(CZ210*HSCEI!$B$60*HSCEI!$G$60/HSCEI!$B$3,""))</f>
        <v/>
      </c>
      <c r="FO210" s="85">
        <f>IF(DA210="","",IFERROR(DA210*HSCEI!$B$60*HSCEI!$G$60/HSCEI!$B$3,""))</f>
        <v/>
      </c>
      <c r="FP210" s="85">
        <f>IF(DB210="","",IFERROR(DB210*HSCEI!$B$60*HSCEI!$G$60/HSCEI!$B$3,""))</f>
        <v/>
      </c>
      <c r="FQ210" s="85">
        <f>IF(DC210="","",IFERROR(DC210*HSCEI!$B$60*HSCEI!$G$60/HSCEI!$B$3,""))</f>
        <v/>
      </c>
      <c r="FR210" s="85">
        <f>IF(DD210="","",IFERROR(DD210*HSCEI!$B$60*HSCEI!$G$60/HSCEI!$B$3,""))</f>
        <v/>
      </c>
      <c r="FS210" s="85">
        <f>IF(DE210="","",IFERROR(DE210*HSCEI!$B$60*HSCEI!$G$60/HSCEI!$B$3,""))</f>
        <v/>
      </c>
      <c r="FT210" s="85">
        <f>IF(DF210="","",IFERROR(DF210*HSCEI!$B$60*HSCEI!$G$60/HSCEI!$B$3,""))</f>
        <v/>
      </c>
      <c r="FU210" s="85">
        <f>IF(DG210="","",IFERROR(DG210*HSCEI!$B$60*HSCEI!$G$60/HSCEI!$B$3,""))</f>
        <v/>
      </c>
      <c r="FV210" s="85">
        <f>IF(DH210="","",IFERROR(DH210*HSCEI!$B$60*HSCEI!$G$60/HSCEI!$B$3,""))</f>
        <v/>
      </c>
      <c r="FW210" s="85">
        <f>IF(DI210="","",IFERROR(DI210*HSCEI!$B$60*HSCEI!$G$60/HSCEI!$B$3,""))</f>
        <v/>
      </c>
      <c r="FX210" s="85">
        <f>IF(DJ210="","",IFERROR(DJ210*HSCEI!$B$60*HSCEI!$G$60/HSCEI!$B$3,""))</f>
        <v/>
      </c>
      <c r="FY210" s="85">
        <f>IF(DK210="","",IFERROR(DK210*HSCEI!$B$60*HSCEI!$G$60/HSCEI!$B$3,""))</f>
        <v/>
      </c>
      <c r="FZ210" s="85">
        <f>IF(DL210="","",IFERROR(DL210*HSCEI!$B$60*HSCEI!$G$60/HSCEI!$B$3,""))</f>
        <v/>
      </c>
      <c r="GA210" s="85">
        <f>IF(DM210="","",IFERROR(DM210*HSCEI!$B$60*HSCEI!$G$60/HSCEI!$B$3,""))</f>
        <v/>
      </c>
      <c r="GB210" s="85">
        <f>IF(DN210="","",IFERROR(DN210*HSCEI!$B$60*HSCEI!$G$60/HSCEI!$B$3,""))</f>
        <v/>
      </c>
      <c r="GC210" s="85">
        <f>IF(DO210="","",IFERROR(DO210*HSCEI!$B$60*HSCEI!$G$60/HSCEI!$B$3,""))</f>
        <v/>
      </c>
      <c r="GD210" s="85">
        <f>IF(DP210="","",IFERROR(DP210*HSCEI!$B$60*HSCEI!$G$60/HSCEI!$B$3,""))</f>
        <v/>
      </c>
      <c r="GE210" s="85">
        <f>IF(DQ210="","",IFERROR(DQ210*HSCEI!$B$60*HSCEI!$G$60/HSCEI!$B$3,""))</f>
        <v/>
      </c>
      <c r="GF210" s="85">
        <f>IF(DR210="","",IFERROR(DR210*HSCEI!$B$60*HSCEI!$G$60/HSCEI!$B$3,""))</f>
        <v/>
      </c>
      <c r="GG210" s="85">
        <f>IF(DS210="","",IFERROR(DS210*HSCEI!$B$60*HSCEI!$G$60/HSCEI!$B$3,""))</f>
        <v/>
      </c>
      <c r="GH210" s="85">
        <f>IF(DT210="","",IFERROR(DT210*HSCEI!$B$60*HSCEI!$G$60/HSCEI!$B$3,""))</f>
        <v/>
      </c>
      <c r="GI210" s="85">
        <f>IF(DU210="","",IFERROR(DU210*HSCEI!$B$60*HSCEI!$G$60/HSCEI!$B$3,""))</f>
        <v/>
      </c>
      <c r="GJ210" s="85">
        <f>IF(DV210="","",IFERROR(DV210*HSCEI!$B$60*HSCEI!$G$60/HSCEI!$B$3,""))</f>
        <v/>
      </c>
      <c r="GK210" s="85">
        <f>IF(DW210="","",IFERROR(DW210*HSCEI!$B$60*HSCEI!$G$60/HSCEI!$B$3,""))</f>
        <v/>
      </c>
      <c r="GL210" s="85">
        <f>IF(DX210="","",IFERROR(DX210*HSCEI!$B$60*HSCEI!$G$60/HSCEI!$B$3,""))</f>
        <v/>
      </c>
      <c r="GM210" s="85">
        <f>IF(DY210="","",IFERROR(DY210*HSCEI!$B$60*HSCEI!$G$60/HSCEI!$B$3,""))</f>
        <v/>
      </c>
      <c r="GN210" s="85">
        <f>IF(DZ210="","",IFERROR(DZ210*HSCEI!$B$60*HSCEI!$G$60/HSCEI!$B$3,""))</f>
        <v/>
      </c>
      <c r="GO210" s="85">
        <f>IF(EA210="","",IFERROR(EA210*HSCEI!$B$60*HSCEI!$G$60/HSCEI!$B$3,""))</f>
        <v/>
      </c>
      <c r="GP210" s="85">
        <f>IF(EB210="","",IFERROR(EB210*HSCEI!$B$60*HSCEI!$G$60/HSCEI!$B$3,""))</f>
        <v/>
      </c>
      <c r="GQ210" s="85">
        <f>IF(EC210="","",IFERROR(EC210*HSCEI!$B$60*HSCEI!$G$60/HSCEI!$B$3,""))</f>
        <v/>
      </c>
    </row>
    <row r="211">
      <c r="B211" s="2">
        <f>IF(HSCEI!$C$61="","",HSCEI!$C$61)</f>
        <v/>
      </c>
      <c r="C211" s="41">
        <f>IF(N('Dvd Calendar'!$E$2930)=0,"",IF(('Dvd Calendar'!$E$2930&gt;=MIN(DATE(Summary!$C$12,1,1),Summary!$C$11))*('Dvd Calendar'!$E$2930&lt;=MAX(DATE(Summary!$C$12,12,31),Summary!$C$15))*('Dvd Calendar'!$E$2930&lt;=Summary!$C$11)=0,"",'Dvd Calendar'!$E$2930*1000000000+ISNUMBER('Dvd Calendar'!$E$2931)*100000000+('Dvd Calendar'!$E$2935='Field Check'!$C$25)*10000000+(N('Dvd Calendar'!$E$2929)&gt;0)*1000000+55*1000+1))</f>
        <v/>
      </c>
      <c r="D211" s="41">
        <f>IF(N('Dvd Calendar'!$F$2930)=0,"",IF(('Dvd Calendar'!$F$2930&gt;=MIN(DATE(Summary!$C$12,1,1),Summary!$C$11))*('Dvd Calendar'!$F$2930&lt;=MAX(DATE(Summary!$C$12,12,31),Summary!$C$15))*('Dvd Calendar'!$F$2930&lt;=Summary!$C$11)=0,"",'Dvd Calendar'!$F$2930*1000000000+ISNUMBER('Dvd Calendar'!$F$2931)*100000000+('Dvd Calendar'!$F$2935='Field Check'!$C$25)*10000000+(N('Dvd Calendar'!$F$2929)&gt;0)*1000000+55*1000+2))</f>
        <v/>
      </c>
      <c r="E211" s="41">
        <f>IF(N('Dvd Calendar'!$G$2930)=0,"",IF(('Dvd Calendar'!$G$2930&gt;=MIN(DATE(Summary!$C$12,1,1),Summary!$C$11))*('Dvd Calendar'!$G$2930&lt;=MAX(DATE(Summary!$C$12,12,31),Summary!$C$15))*('Dvd Calendar'!$G$2930&lt;=Summary!$C$11)=0,"",'Dvd Calendar'!$G$2930*1000000000+ISNUMBER('Dvd Calendar'!$G$2931)*100000000+('Dvd Calendar'!$G$2935='Field Check'!$C$25)*10000000+(N('Dvd Calendar'!$G$2929)&gt;0)*1000000+55*1000+3))</f>
        <v/>
      </c>
      <c r="F211" s="41">
        <f>IF(N('Dvd Calendar'!$H$2930)=0,"",IF(('Dvd Calendar'!$H$2930&gt;=MIN(DATE(Summary!$C$12,1,1),Summary!$C$11))*('Dvd Calendar'!$H$2930&lt;=MAX(DATE(Summary!$C$12,12,31),Summary!$C$15))*('Dvd Calendar'!$H$2930&lt;=Summary!$C$11)=0,"",'Dvd Calendar'!$H$2930*1000000000+ISNUMBER('Dvd Calendar'!$H$2931)*100000000+('Dvd Calendar'!$H$2935='Field Check'!$C$25)*10000000+(N('Dvd Calendar'!$H$2929)&gt;0)*1000000+55*1000+4))</f>
        <v/>
      </c>
      <c r="G211" s="41">
        <f>IF(N('Dvd Calendar'!$I$2930)=0,"",IF(('Dvd Calendar'!$I$2930&gt;=MIN(DATE(Summary!$C$12,1,1),Summary!$C$11))*('Dvd Calendar'!$I$2930&lt;=MAX(DATE(Summary!$C$12,12,31),Summary!$C$15))*('Dvd Calendar'!$I$2930&lt;=Summary!$C$11)=0,"",'Dvd Calendar'!$I$2930*1000000000+ISNUMBER('Dvd Calendar'!$I$2931)*100000000+('Dvd Calendar'!$I$2935='Field Check'!$C$25)*10000000+(N('Dvd Calendar'!$I$2929)&gt;0)*1000000+55*1000+5))</f>
        <v/>
      </c>
      <c r="H211" s="41">
        <f>IF(N('Dvd Calendar'!$J$2930)=0,"",IF(('Dvd Calendar'!$J$2930&gt;=MIN(DATE(Summary!$C$12,1,1),Summary!$C$11))*('Dvd Calendar'!$J$2930&lt;=MAX(DATE(Summary!$C$12,12,31),Summary!$C$15))*('Dvd Calendar'!$J$2930&lt;=Summary!$C$11)=0,"",'Dvd Calendar'!$J$2930*1000000000+ISNUMBER('Dvd Calendar'!$J$2931)*100000000+('Dvd Calendar'!$J$2935='Field Check'!$C$25)*10000000+(N('Dvd Calendar'!$J$2929)&gt;0)*1000000+55*1000+6))</f>
        <v/>
      </c>
      <c r="I211" s="41">
        <f>IF(N('Dvd Calendar'!$K$2930)=0,"",IF(('Dvd Calendar'!$K$2930&gt;=MIN(DATE(Summary!$C$12,1,1),Summary!$C$11))*('Dvd Calendar'!$K$2930&lt;=MAX(DATE(Summary!$C$12,12,31),Summary!$C$15))*('Dvd Calendar'!$K$2930&lt;=Summary!$C$11)=0,"",'Dvd Calendar'!$K$2930*1000000000+ISNUMBER('Dvd Calendar'!$K$2931)*100000000+('Dvd Calendar'!$K$2935='Field Check'!$C$25)*10000000+(N('Dvd Calendar'!$K$2929)&gt;0)*1000000+55*1000+7))</f>
        <v/>
      </c>
      <c r="J211" s="41">
        <f>IF(N('Dvd Calendar'!$L$2930)=0,"",IF(('Dvd Calendar'!$L$2930&gt;=MIN(DATE(Summary!$C$12,1,1),Summary!$C$11))*('Dvd Calendar'!$L$2930&lt;=MAX(DATE(Summary!$C$12,12,31),Summary!$C$15))*('Dvd Calendar'!$L$2930&lt;=Summary!$C$11)=0,"",'Dvd Calendar'!$L$2930*1000000000+ISNUMBER('Dvd Calendar'!$L$2931)*100000000+('Dvd Calendar'!$L$2935='Field Check'!$C$25)*10000000+(N('Dvd Calendar'!$L$2929)&gt;0)*1000000+55*1000+8))</f>
        <v/>
      </c>
      <c r="K211" s="41">
        <f>IF(N('Dvd Calendar'!$M$2930)=0,"",IF(('Dvd Calendar'!$M$2930&gt;=MIN(DATE(Summary!$C$12,1,1),Summary!$C$11))*('Dvd Calendar'!$M$2930&lt;=MAX(DATE(Summary!$C$12,12,31),Summary!$C$15))*('Dvd Calendar'!$M$2930&lt;=Summary!$C$11)=0,"",'Dvd Calendar'!$M$2930*1000000000+ISNUMBER('Dvd Calendar'!$M$2931)*100000000+('Dvd Calendar'!$M$2935='Field Check'!$C$25)*10000000+(N('Dvd Calendar'!$M$2929)&gt;0)*1000000+55*1000+9))</f>
        <v/>
      </c>
      <c r="L211" s="41">
        <f>IF(N('Dvd Calendar'!$N$2930)=0,"",IF(('Dvd Calendar'!$N$2930&gt;=MIN(DATE(Summary!$C$12,1,1),Summary!$C$11))*('Dvd Calendar'!$N$2930&lt;=MAX(DATE(Summary!$C$12,12,31),Summary!$C$15))*('Dvd Calendar'!$N$2930&lt;=Summary!$C$11)=0,"",'Dvd Calendar'!$N$2930*1000000000+ISNUMBER('Dvd Calendar'!$N$2931)*100000000+('Dvd Calendar'!$N$2935='Field Check'!$C$25)*10000000+(N('Dvd Calendar'!$N$2929)&gt;0)*1000000+55*1000+10))</f>
        <v/>
      </c>
      <c r="M211" s="41">
        <f>IF(N('Dvd Calendar'!$O$2930)=0,"",IF(('Dvd Calendar'!$O$2930&gt;=MIN(DATE(Summary!$C$12,1,1),Summary!$C$11))*('Dvd Calendar'!$O$2930&lt;=MAX(DATE(Summary!$C$12,12,31),Summary!$C$15))*('Dvd Calendar'!$O$2930&lt;=Summary!$C$11)=0,"",'Dvd Calendar'!$O$2930*1000000000+ISNUMBER('Dvd Calendar'!$O$2931)*100000000+('Dvd Calendar'!$O$2935='Field Check'!$C$25)*10000000+(N('Dvd Calendar'!$O$2929)&gt;0)*1000000+55*1000+11))</f>
        <v/>
      </c>
      <c r="N211" s="41">
        <f>IF(N('Dvd Calendar'!$P$2930)=0,"",IF(('Dvd Calendar'!$P$2930&gt;=MIN(DATE(Summary!$C$12,1,1),Summary!$C$11))*('Dvd Calendar'!$P$2930&lt;=MAX(DATE(Summary!$C$12,12,31),Summary!$C$15))*('Dvd Calendar'!$P$2930&lt;=Summary!$C$11)=0,"",'Dvd Calendar'!$P$2930*1000000000+ISNUMBER('Dvd Calendar'!$P$2931)*100000000+('Dvd Calendar'!$P$2935='Field Check'!$C$25)*10000000+(N('Dvd Calendar'!$P$2929)&gt;0)*1000000+55*1000+12))</f>
        <v/>
      </c>
      <c r="O211" s="41">
        <f>IF(N('Dvd Calendar'!$Q$2930)=0,"",IF(('Dvd Calendar'!$Q$2930&gt;=MIN(DATE(Summary!$C$12,1,1),Summary!$C$11))*('Dvd Calendar'!$Q$2930&lt;=MAX(DATE(Summary!$C$12,12,31),Summary!$C$15))*('Dvd Calendar'!$Q$2930&lt;=Summary!$C$11)=0,"",'Dvd Calendar'!$Q$2930*1000000000+ISNUMBER('Dvd Calendar'!$Q$2931)*100000000+('Dvd Calendar'!$Q$2935='Field Check'!$C$25)*10000000+(N('Dvd Calendar'!$Q$2929)&gt;0)*1000000+55*1000+13))</f>
        <v/>
      </c>
      <c r="P211" s="41">
        <f>IF(N('Dvd Calendar'!$R$2930)=0,"",IF(('Dvd Calendar'!$R$2930&gt;=MIN(DATE(Summary!$C$12,1,1),Summary!$C$11))*('Dvd Calendar'!$R$2930&lt;=MAX(DATE(Summary!$C$12,12,31),Summary!$C$15))*('Dvd Calendar'!$R$2930&lt;=Summary!$C$11)=0,"",'Dvd Calendar'!$R$2930*1000000000+ISNUMBER('Dvd Calendar'!$R$2931)*100000000+('Dvd Calendar'!$R$2935='Field Check'!$C$25)*10000000+(N('Dvd Calendar'!$R$2929)&gt;0)*1000000+55*1000+14))</f>
        <v/>
      </c>
      <c r="Q211" s="41">
        <f>IF(N('Dvd Calendar'!$S$2930)=0,"",IF(('Dvd Calendar'!$S$2930&gt;=MIN(DATE(Summary!$C$12,1,1),Summary!$C$11))*('Dvd Calendar'!$S$2930&lt;=MAX(DATE(Summary!$C$12,12,31),Summary!$C$15))*('Dvd Calendar'!$S$2930&lt;=Summary!$C$11)=0,"",'Dvd Calendar'!$S$2930*1000000000+ISNUMBER('Dvd Calendar'!$S$2931)*100000000+('Dvd Calendar'!$S$2935='Field Check'!$C$25)*10000000+(N('Dvd Calendar'!$S$2929)&gt;0)*1000000+55*1000+15))</f>
        <v/>
      </c>
      <c r="R211" s="41">
        <f>IF(N('Dvd Calendar'!$T$2930)=0,"",IF(('Dvd Calendar'!$T$2930&gt;=MIN(DATE(Summary!$C$12,1,1),Summary!$C$11))*('Dvd Calendar'!$T$2930&lt;=MAX(DATE(Summary!$C$12,12,31),Summary!$C$15))*('Dvd Calendar'!$T$2930&lt;=Summary!$C$11)=0,"",'Dvd Calendar'!$T$2930*1000000000+ISNUMBER('Dvd Calendar'!$T$2931)*100000000+('Dvd Calendar'!$T$2935='Field Check'!$C$25)*10000000+(N('Dvd Calendar'!$T$2929)&gt;0)*1000000+55*1000+16))</f>
        <v/>
      </c>
      <c r="S211" s="41">
        <f>IF(N('Dvd Calendar'!$U$2930)=0,"",IF(('Dvd Calendar'!$U$2930&gt;=MIN(DATE(Summary!$C$12,1,1),Summary!$C$11))*('Dvd Calendar'!$U$2930&lt;=MAX(DATE(Summary!$C$12,12,31),Summary!$C$15))*('Dvd Calendar'!$U$2930&lt;=Summary!$C$11)=0,"",'Dvd Calendar'!$U$2930*1000000000+ISNUMBER('Dvd Calendar'!$U$2931)*100000000+('Dvd Calendar'!$U$2935='Field Check'!$C$25)*10000000+(N('Dvd Calendar'!$U$2929)&gt;0)*1000000+55*1000+17))</f>
        <v/>
      </c>
      <c r="T211" s="41">
        <f>IF(N('Dvd Calendar'!$V$2930)=0,"",IF(('Dvd Calendar'!$V$2930&gt;=MIN(DATE(Summary!$C$12,1,1),Summary!$C$11))*('Dvd Calendar'!$V$2930&lt;=MAX(DATE(Summary!$C$12,12,31),Summary!$C$15))*('Dvd Calendar'!$V$2930&lt;=Summary!$C$11)=0,"",'Dvd Calendar'!$V$2930*1000000000+ISNUMBER('Dvd Calendar'!$V$2931)*100000000+('Dvd Calendar'!$V$2935='Field Check'!$C$25)*10000000+(N('Dvd Calendar'!$V$2929)&gt;0)*1000000+55*1000+18))</f>
        <v/>
      </c>
      <c r="U211" s="41">
        <f>IF(N('Dvd Calendar'!$W$2930)=0,"",IF(('Dvd Calendar'!$W$2930&gt;=MIN(DATE(Summary!$C$12,1,1),Summary!$C$11))*('Dvd Calendar'!$W$2930&lt;=MAX(DATE(Summary!$C$12,12,31),Summary!$C$15))*('Dvd Calendar'!$W$2930&lt;=Summary!$C$11)=0,"",'Dvd Calendar'!$W$2930*1000000000+ISNUMBER('Dvd Calendar'!$W$2931)*100000000+('Dvd Calendar'!$W$2935='Field Check'!$C$25)*10000000+(N('Dvd Calendar'!$W$2929)&gt;0)*1000000+55*1000+19))</f>
        <v/>
      </c>
      <c r="V211" s="41">
        <f>IF(N('Dvd Calendar'!$X$2930)=0,"",IF(('Dvd Calendar'!$X$2930&gt;=MIN(DATE(Summary!$C$12,1,1),Summary!$C$11))*('Dvd Calendar'!$X$2930&lt;=MAX(DATE(Summary!$C$12,12,31),Summary!$C$15))*('Dvd Calendar'!$X$2930&lt;=Summary!$C$11)=0,"",'Dvd Calendar'!$X$2930*1000000000+ISNUMBER('Dvd Calendar'!$X$2931)*100000000+('Dvd Calendar'!$X$2935='Field Check'!$C$25)*10000000+(N('Dvd Calendar'!$X$2929)&gt;0)*1000000+55*1000+20))</f>
        <v/>
      </c>
      <c r="W211" s="41">
        <f>IF(N('Dvd Calendar'!$Y$2930)=0,"",IF(('Dvd Calendar'!$Y$2930&gt;=MIN(DATE(Summary!$C$12,1,1),Summary!$C$11))*('Dvd Calendar'!$Y$2930&lt;=MAX(DATE(Summary!$C$12,12,31),Summary!$C$15))*('Dvd Calendar'!$Y$2930&lt;=Summary!$C$11)=0,"",'Dvd Calendar'!$Y$2930*1000000000+ISNUMBER('Dvd Calendar'!$Y$2931)*100000000+('Dvd Calendar'!$Y$2935='Field Check'!$C$25)*10000000+(N('Dvd Calendar'!$Y$2929)&gt;0)*1000000+55*1000+21))</f>
        <v/>
      </c>
      <c r="X211" s="41">
        <f>IF(N('Dvd Calendar'!$Z$2930)=0,"",IF(('Dvd Calendar'!$Z$2930&gt;=MIN(DATE(Summary!$C$12,1,1),Summary!$C$11))*('Dvd Calendar'!$Z$2930&lt;=MAX(DATE(Summary!$C$12,12,31),Summary!$C$15))*('Dvd Calendar'!$Z$2930&lt;=Summary!$C$11)=0,"",'Dvd Calendar'!$Z$2930*1000000000+ISNUMBER('Dvd Calendar'!$Z$2931)*100000000+('Dvd Calendar'!$Z$2935='Field Check'!$C$25)*10000000+(N('Dvd Calendar'!$Z$2929)&gt;0)*1000000+55*1000+22))</f>
        <v/>
      </c>
      <c r="Y211" s="41">
        <f>IF(N('Dvd Calendar'!$AA$2930)=0,"",IF(('Dvd Calendar'!$AA$2930&gt;=MIN(DATE(Summary!$C$12,1,1),Summary!$C$11))*('Dvd Calendar'!$AA$2930&lt;=MAX(DATE(Summary!$C$12,12,31),Summary!$C$15))*('Dvd Calendar'!$AA$2930&lt;=Summary!$C$11)=0,"",'Dvd Calendar'!$AA$2930*1000000000+ISNUMBER('Dvd Calendar'!$AA$2931)*100000000+('Dvd Calendar'!$AA$2935='Field Check'!$C$25)*10000000+(N('Dvd Calendar'!$AA$2929)&gt;0)*1000000+55*1000+23))</f>
        <v/>
      </c>
      <c r="Z211" s="41">
        <f>IF(N('Dvd Calendar'!$AB$2930)=0,"",IF(('Dvd Calendar'!$AB$2930&gt;=MIN(DATE(Summary!$C$12,1,1),Summary!$C$11))*('Dvd Calendar'!$AB$2930&lt;=MAX(DATE(Summary!$C$12,12,31),Summary!$C$15))*('Dvd Calendar'!$AB$2930&lt;=Summary!$C$11)=0,"",'Dvd Calendar'!$AB$2930*1000000000+ISNUMBER('Dvd Calendar'!$AB$2931)*100000000+('Dvd Calendar'!$AB$2935='Field Check'!$C$25)*10000000+(N('Dvd Calendar'!$AB$2929)&gt;0)*1000000+55*1000+24))</f>
        <v/>
      </c>
      <c r="AA211" s="41">
        <f>IF(N('Dvd Calendar'!$AC$2930)=0,"",IF(('Dvd Calendar'!$AC$2930&gt;=MIN(DATE(Summary!$C$12,1,1),Summary!$C$11))*('Dvd Calendar'!$AC$2930&lt;=MAX(DATE(Summary!$C$12,12,31),Summary!$C$15))*('Dvd Calendar'!$AC$2930&lt;=Summary!$C$11)=0,"",'Dvd Calendar'!$AC$2930*1000000000+ISNUMBER('Dvd Calendar'!$AC$2931)*100000000+('Dvd Calendar'!$AC$2935='Field Check'!$C$25)*10000000+(N('Dvd Calendar'!$AC$2929)&gt;0)*1000000+55*1000+25))</f>
        <v/>
      </c>
      <c r="AB211" s="41">
        <f>IF(N('Dvd Calendar'!$AD$2930)=0,"",IF(('Dvd Calendar'!$AD$2930&gt;=MIN(DATE(Summary!$C$12,1,1),Summary!$C$11))*('Dvd Calendar'!$AD$2930&lt;=MAX(DATE(Summary!$C$12,12,31),Summary!$C$15))*('Dvd Calendar'!$AD$2930&lt;=Summary!$C$11)=0,"",'Dvd Calendar'!$AD$2930*1000000000+ISNUMBER('Dvd Calendar'!$AD$2931)*100000000+('Dvd Calendar'!$AD$2935='Field Check'!$C$25)*10000000+(N('Dvd Calendar'!$AD$2929)&gt;0)*1000000+55*1000+26))</f>
        <v/>
      </c>
      <c r="AC211" s="41">
        <f>IF(N('Dvd Calendar'!$AE$2930)=0,"",IF(('Dvd Calendar'!$AE$2930&gt;=MIN(DATE(Summary!$C$12,1,1),Summary!$C$11))*('Dvd Calendar'!$AE$2930&lt;=MAX(DATE(Summary!$C$12,12,31),Summary!$C$15))*('Dvd Calendar'!$AE$2930&lt;=Summary!$C$11)=0,"",'Dvd Calendar'!$AE$2930*1000000000+ISNUMBER('Dvd Calendar'!$AE$2931)*100000000+('Dvd Calendar'!$AE$2935='Field Check'!$C$25)*10000000+(N('Dvd Calendar'!$AE$2929)&gt;0)*1000000+55*1000+27))</f>
        <v/>
      </c>
      <c r="AD211" s="41">
        <f>IF(N('Dvd Calendar'!$AF$2930)=0,"",IF(('Dvd Calendar'!$AF$2930&gt;=MIN(DATE(Summary!$C$12,1,1),Summary!$C$11))*('Dvd Calendar'!$AF$2930&lt;=MAX(DATE(Summary!$C$12,12,31),Summary!$C$15))*('Dvd Calendar'!$AF$2930&lt;=Summary!$C$11)=0,"",'Dvd Calendar'!$AF$2930*1000000000+ISNUMBER('Dvd Calendar'!$AF$2931)*100000000+('Dvd Calendar'!$AF$2935='Field Check'!$C$25)*10000000+(N('Dvd Calendar'!$AF$2929)&gt;0)*1000000+55*1000+28))</f>
        <v/>
      </c>
      <c r="AE211" s="41">
        <f>IF(N('Dvd Calendar'!$AG$2930)=0,"",IF(('Dvd Calendar'!$AG$2930&gt;=MIN(DATE(Summary!$C$12,1,1),Summary!$C$11))*('Dvd Calendar'!$AG$2930&lt;=MAX(DATE(Summary!$C$12,12,31),Summary!$C$15))*('Dvd Calendar'!$AG$2930&lt;=Summary!$C$11)=0,"",'Dvd Calendar'!$AG$2930*1000000000+ISNUMBER('Dvd Calendar'!$AG$2931)*100000000+('Dvd Calendar'!$AG$2935='Field Check'!$C$25)*10000000+(N('Dvd Calendar'!$AG$2929)&gt;0)*1000000+55*1000+29))</f>
        <v/>
      </c>
      <c r="AF211" s="41">
        <f>IF(N('Dvd Calendar'!$AH$2930)=0,"",IF(('Dvd Calendar'!$AH$2930&gt;=MIN(DATE(Summary!$C$12,1,1),Summary!$C$11))*('Dvd Calendar'!$AH$2930&lt;=MAX(DATE(Summary!$C$12,12,31),Summary!$C$15))*('Dvd Calendar'!$AH$2930&lt;=Summary!$C$11)=0,"",'Dvd Calendar'!$AH$2930*1000000000+ISNUMBER('Dvd Calendar'!$AH$2931)*100000000+('Dvd Calendar'!$AH$2935='Field Check'!$C$25)*10000000+(N('Dvd Calendar'!$AH$2929)&gt;0)*1000000+55*1000+30))</f>
        <v/>
      </c>
      <c r="AG211" s="41">
        <f>IF(N('Dvd Calendar'!$AI$2930)=0,"",IF(('Dvd Calendar'!$AI$2930&gt;=MIN(DATE(Summary!$C$12,1,1),Summary!$C$11))*('Dvd Calendar'!$AI$2930&lt;=MAX(DATE(Summary!$C$12,12,31),Summary!$C$15))*('Dvd Calendar'!$AI$2930&lt;=Summary!$C$11)=0,"",'Dvd Calendar'!$AI$2930*1000000000+ISNUMBER('Dvd Calendar'!$AI$2931)*100000000+('Dvd Calendar'!$AI$2935='Field Check'!$C$25)*10000000+(N('Dvd Calendar'!$AI$2929)&gt;0)*1000000+55*1000+31))</f>
        <v/>
      </c>
      <c r="AH211" s="41">
        <f>IF(N('Dvd Calendar'!$AJ$2930)=0,"",IF(('Dvd Calendar'!$AJ$2930&gt;=MIN(DATE(Summary!$C$12,1,1),Summary!$C$11))*('Dvd Calendar'!$AJ$2930&lt;=MAX(DATE(Summary!$C$12,12,31),Summary!$C$15))*('Dvd Calendar'!$AJ$2930&lt;=Summary!$C$11)=0,"",'Dvd Calendar'!$AJ$2930*1000000000+ISNUMBER('Dvd Calendar'!$AJ$2931)*100000000+('Dvd Calendar'!$AJ$2935='Field Check'!$C$25)*10000000+(N('Dvd Calendar'!$AJ$2929)&gt;0)*1000000+55*1000+32))</f>
        <v/>
      </c>
      <c r="AI211" s="41">
        <f>IF(N('Dvd Calendar'!$AK$2930)=0,"",IF(('Dvd Calendar'!$AK$2930&gt;=MIN(DATE(Summary!$C$12,1,1),Summary!$C$11))*('Dvd Calendar'!$AK$2930&lt;=MAX(DATE(Summary!$C$12,12,31),Summary!$C$15))*('Dvd Calendar'!$AK$2930&lt;=Summary!$C$11)=0,"",'Dvd Calendar'!$AK$2930*1000000000+ISNUMBER('Dvd Calendar'!$AK$2931)*100000000+('Dvd Calendar'!$AK$2935='Field Check'!$C$25)*10000000+(N('Dvd Calendar'!$AK$2929)&gt;0)*1000000+55*1000+33))</f>
        <v/>
      </c>
      <c r="AJ211" s="41">
        <f>IF(N('Dvd Calendar'!$AL$2930)=0,"",IF(('Dvd Calendar'!$AL$2930&gt;=MIN(DATE(Summary!$C$12,1,1),Summary!$C$11))*('Dvd Calendar'!$AL$2930&lt;=MAX(DATE(Summary!$C$12,12,31),Summary!$C$15))*('Dvd Calendar'!$AL$2930&lt;=Summary!$C$11)=0,"",'Dvd Calendar'!$AL$2930*1000000000+ISNUMBER('Dvd Calendar'!$AL$2931)*100000000+('Dvd Calendar'!$AL$2935='Field Check'!$C$25)*10000000+(N('Dvd Calendar'!$AL$2929)&gt;0)*1000000+55*1000+34))</f>
        <v/>
      </c>
      <c r="AK211" s="41">
        <f>IF(N('Dvd Calendar'!$AM$2930)=0,"",IF(('Dvd Calendar'!$AM$2930&gt;=MIN(DATE(Summary!$C$12,1,1),Summary!$C$11))*('Dvd Calendar'!$AM$2930&lt;=MAX(DATE(Summary!$C$12,12,31),Summary!$C$15))*('Dvd Calendar'!$AM$2930&lt;=Summary!$C$11)=0,"",'Dvd Calendar'!$AM$2930*1000000000+ISNUMBER('Dvd Calendar'!$AM$2931)*100000000+('Dvd Calendar'!$AM$2935='Field Check'!$C$25)*10000000+(N('Dvd Calendar'!$AM$2929)&gt;0)*1000000+55*1000+35))</f>
        <v/>
      </c>
      <c r="AL211" s="41">
        <f>IF(N('Dvd Calendar'!$AN$2930)=0,"",IF(('Dvd Calendar'!$AN$2930&gt;=MIN(DATE(Summary!$C$12,1,1),Summary!$C$11))*('Dvd Calendar'!$AN$2930&lt;=MAX(DATE(Summary!$C$12,12,31),Summary!$C$15))*('Dvd Calendar'!$AN$2930&lt;=Summary!$C$11)=0,"",'Dvd Calendar'!$AN$2930*1000000000+ISNUMBER('Dvd Calendar'!$AN$2931)*100000000+('Dvd Calendar'!$AN$2935='Field Check'!$C$25)*10000000+(N('Dvd Calendar'!$AN$2929)&gt;0)*1000000+55*1000+36))</f>
        <v/>
      </c>
      <c r="AM211" s="41">
        <f>IF(N('Dvd Calendar'!$AO$2930)=0,"",IF(('Dvd Calendar'!$AO$2930&gt;=MIN(DATE(Summary!$C$12,1,1),Summary!$C$11))*('Dvd Calendar'!$AO$2930&lt;=MAX(DATE(Summary!$C$12,12,31),Summary!$C$15))*('Dvd Calendar'!$AO$2930&lt;=Summary!$C$11)=0,"",'Dvd Calendar'!$AO$2930*1000000000+ISNUMBER('Dvd Calendar'!$AO$2931)*100000000+('Dvd Calendar'!$AO$2935='Field Check'!$C$25)*10000000+(N('Dvd Calendar'!$AO$2929)&gt;0)*1000000+55*1000+37))</f>
        <v/>
      </c>
      <c r="AN211" s="41">
        <f>IF(N('Dvd Calendar'!$AP$2930)=0,"",IF(('Dvd Calendar'!$AP$2930&gt;=MIN(DATE(Summary!$C$12,1,1),Summary!$C$11))*('Dvd Calendar'!$AP$2930&lt;=MAX(DATE(Summary!$C$12,12,31),Summary!$C$15))*('Dvd Calendar'!$AP$2930&lt;=Summary!$C$11)=0,"",'Dvd Calendar'!$AP$2930*1000000000+ISNUMBER('Dvd Calendar'!$AP$2931)*100000000+('Dvd Calendar'!$AP$2935='Field Check'!$C$25)*10000000+(N('Dvd Calendar'!$AP$2929)&gt;0)*1000000+55*1000+38))</f>
        <v/>
      </c>
      <c r="AO211" s="41">
        <f>IF(N('Dvd Calendar'!$AQ$2930)=0,"",IF(('Dvd Calendar'!$AQ$2930&gt;=MIN(DATE(Summary!$C$12,1,1),Summary!$C$11))*('Dvd Calendar'!$AQ$2930&lt;=MAX(DATE(Summary!$C$12,12,31),Summary!$C$15))*('Dvd Calendar'!$AQ$2930&lt;=Summary!$C$11)=0,"",'Dvd Calendar'!$AQ$2930*1000000000+ISNUMBER('Dvd Calendar'!$AQ$2931)*100000000+('Dvd Calendar'!$AQ$2935='Field Check'!$C$25)*10000000+(N('Dvd Calendar'!$AQ$2929)&gt;0)*1000000+55*1000+39))</f>
        <v/>
      </c>
      <c r="AP211" s="41">
        <f>IF(N('Dvd Calendar'!$AR$2930)=0,"",IF(('Dvd Calendar'!$AR$2930&gt;=MIN(DATE(Summary!$C$12,1,1),Summary!$C$11))*('Dvd Calendar'!$AR$2930&lt;=MAX(DATE(Summary!$C$12,12,31),Summary!$C$15))*('Dvd Calendar'!$AR$2930&lt;=Summary!$C$11)=0,"",'Dvd Calendar'!$AR$2930*1000000000+ISNUMBER('Dvd Calendar'!$AR$2931)*100000000+('Dvd Calendar'!$AR$2935='Field Check'!$C$25)*10000000+(N('Dvd Calendar'!$AR$2929)&gt;0)*1000000+55*1000+40))</f>
        <v/>
      </c>
      <c r="AQ211" s="41">
        <f>IF(N('Dvd Calendar'!$E$2937)=0,"",IF(('Dvd Calendar'!$E$2937&gt;=MIN(DATE(Summary!$C$12,1,1),Summary!$C$11))*('Dvd Calendar'!$E$2937&lt;=MAX(DATE(Summary!$C$12,12,31),Summary!$C$15))*('Dvd Calendar'!$E$2937&gt;Summary!$C$11)=0,"",'Dvd Calendar'!$E$2937*1000000000+ISNUMBER('Dvd Calendar'!$E$2938)*100000000+('Dvd Calendar'!$E$2942='Field Check'!$C$25)*10000000+(N('Dvd Calendar'!$E$2936)&gt;0)*1000000+55*1000+41))</f>
        <v/>
      </c>
      <c r="AR211" s="41">
        <f>IF(N('Dvd Calendar'!$F$2937)=0,"",IF(('Dvd Calendar'!$F$2937&gt;=MIN(DATE(Summary!$C$12,1,1),Summary!$C$11))*('Dvd Calendar'!$F$2937&lt;=MAX(DATE(Summary!$C$12,12,31),Summary!$C$15))*('Dvd Calendar'!$F$2937&gt;Summary!$C$11)=0,"",'Dvd Calendar'!$F$2937*1000000000+ISNUMBER('Dvd Calendar'!$F$2938)*100000000+('Dvd Calendar'!$F$2942='Field Check'!$C$25)*10000000+(N('Dvd Calendar'!$F$2936)&gt;0)*1000000+55*1000+42))</f>
        <v/>
      </c>
      <c r="AS211" s="41">
        <f>IF(N('Dvd Calendar'!$G$2937)=0,"",IF(('Dvd Calendar'!$G$2937&gt;=MIN(DATE(Summary!$C$12,1,1),Summary!$C$11))*('Dvd Calendar'!$G$2937&lt;=MAX(DATE(Summary!$C$12,12,31),Summary!$C$15))*('Dvd Calendar'!$G$2937&gt;Summary!$C$11)=0,"",'Dvd Calendar'!$G$2937*1000000000+ISNUMBER('Dvd Calendar'!$G$2938)*100000000+('Dvd Calendar'!$G$2942='Field Check'!$C$25)*10000000+(N('Dvd Calendar'!$G$2936)&gt;0)*1000000+55*1000+43))</f>
        <v/>
      </c>
      <c r="AT211" s="41">
        <f>IF(N('Dvd Calendar'!$H$2937)=0,"",IF(('Dvd Calendar'!$H$2937&gt;=MIN(DATE(Summary!$C$12,1,1),Summary!$C$11))*('Dvd Calendar'!$H$2937&lt;=MAX(DATE(Summary!$C$12,12,31),Summary!$C$15))*('Dvd Calendar'!$H$2937&gt;Summary!$C$11)=0,"",'Dvd Calendar'!$H$2937*1000000000+ISNUMBER('Dvd Calendar'!$H$2938)*100000000+('Dvd Calendar'!$H$2942='Field Check'!$C$25)*10000000+(N('Dvd Calendar'!$H$2936)&gt;0)*1000000+55*1000+44))</f>
        <v/>
      </c>
      <c r="AU211" s="41">
        <f>IF(N('Dvd Calendar'!$I$2937)=0,"",IF(('Dvd Calendar'!$I$2937&gt;=MIN(DATE(Summary!$C$12,1,1),Summary!$C$11))*('Dvd Calendar'!$I$2937&lt;=MAX(DATE(Summary!$C$12,12,31),Summary!$C$15))*('Dvd Calendar'!$I$2937&gt;Summary!$C$11)=0,"",'Dvd Calendar'!$I$2937*1000000000+ISNUMBER('Dvd Calendar'!$I$2938)*100000000+('Dvd Calendar'!$I$2942='Field Check'!$C$25)*10000000+(N('Dvd Calendar'!$I$2936)&gt;0)*1000000+55*1000+45))</f>
        <v/>
      </c>
      <c r="AV211" s="41">
        <f>IF(N('Dvd Calendar'!$J$2937)=0,"",IF(('Dvd Calendar'!$J$2937&gt;=MIN(DATE(Summary!$C$12,1,1),Summary!$C$11))*('Dvd Calendar'!$J$2937&lt;=MAX(DATE(Summary!$C$12,12,31),Summary!$C$15))*('Dvd Calendar'!$J$2937&gt;Summary!$C$11)=0,"",'Dvd Calendar'!$J$2937*1000000000+ISNUMBER('Dvd Calendar'!$J$2938)*100000000+('Dvd Calendar'!$J$2942='Field Check'!$C$25)*10000000+(N('Dvd Calendar'!$J$2936)&gt;0)*1000000+55*1000+46))</f>
        <v/>
      </c>
      <c r="AW211" s="41">
        <f>IF(N('Dvd Calendar'!$K$2937)=0,"",IF(('Dvd Calendar'!$K$2937&gt;=MIN(DATE(Summary!$C$12,1,1),Summary!$C$11))*('Dvd Calendar'!$K$2937&lt;=MAX(DATE(Summary!$C$12,12,31),Summary!$C$15))*('Dvd Calendar'!$K$2937&gt;Summary!$C$11)=0,"",'Dvd Calendar'!$K$2937*1000000000+ISNUMBER('Dvd Calendar'!$K$2938)*100000000+('Dvd Calendar'!$K$2942='Field Check'!$C$25)*10000000+(N('Dvd Calendar'!$K$2936)&gt;0)*1000000+55*1000+47))</f>
        <v/>
      </c>
      <c r="AX211" s="41">
        <f>IF(N('Dvd Calendar'!$L$2937)=0,"",IF(('Dvd Calendar'!$L$2937&gt;=MIN(DATE(Summary!$C$12,1,1),Summary!$C$11))*('Dvd Calendar'!$L$2937&lt;=MAX(DATE(Summary!$C$12,12,31),Summary!$C$15))*('Dvd Calendar'!$L$2937&gt;Summary!$C$11)=0,"",'Dvd Calendar'!$L$2937*1000000000+ISNUMBER('Dvd Calendar'!$L$2938)*100000000+('Dvd Calendar'!$L$2942='Field Check'!$C$25)*10000000+(N('Dvd Calendar'!$L$2936)&gt;0)*1000000+55*1000+48))</f>
        <v/>
      </c>
      <c r="AY211" s="41">
        <f>IF(N('Dvd Calendar'!$M$2937)=0,"",IF(('Dvd Calendar'!$M$2937&gt;=MIN(DATE(Summary!$C$12,1,1),Summary!$C$11))*('Dvd Calendar'!$M$2937&lt;=MAX(DATE(Summary!$C$12,12,31),Summary!$C$15))*('Dvd Calendar'!$M$2937&gt;Summary!$C$11)=0,"",'Dvd Calendar'!$M$2937*1000000000+ISNUMBER('Dvd Calendar'!$M$2938)*100000000+('Dvd Calendar'!$M$2942='Field Check'!$C$25)*10000000+(N('Dvd Calendar'!$M$2936)&gt;0)*1000000+55*1000+49))</f>
        <v/>
      </c>
      <c r="AZ211" s="41">
        <f>IF(N('Dvd Calendar'!$N$2937)=0,"",IF(('Dvd Calendar'!$N$2937&gt;=MIN(DATE(Summary!$C$12,1,1),Summary!$C$11))*('Dvd Calendar'!$N$2937&lt;=MAX(DATE(Summary!$C$12,12,31),Summary!$C$15))*('Dvd Calendar'!$N$2937&gt;Summary!$C$11)=0,"",'Dvd Calendar'!$N$2937*1000000000+ISNUMBER('Dvd Calendar'!$N$2938)*100000000+('Dvd Calendar'!$N$2942='Field Check'!$C$25)*10000000+(N('Dvd Calendar'!$N$2936)&gt;0)*1000000+55*1000+50))</f>
        <v/>
      </c>
      <c r="BA211" s="41">
        <f>IF(N('Dvd Calendar'!$O$2937)=0,"",IF(('Dvd Calendar'!$O$2937&gt;=MIN(DATE(Summary!$C$12,1,1),Summary!$C$11))*('Dvd Calendar'!$O$2937&lt;=MAX(DATE(Summary!$C$12,12,31),Summary!$C$15))*('Dvd Calendar'!$O$2937&gt;Summary!$C$11)=0,"",'Dvd Calendar'!$O$2937*1000000000+ISNUMBER('Dvd Calendar'!$O$2938)*100000000+('Dvd Calendar'!$O$2942='Field Check'!$C$25)*10000000+(N('Dvd Calendar'!$O$2936)&gt;0)*1000000+55*1000+51))</f>
        <v/>
      </c>
      <c r="BB211" s="41">
        <f>IF(N('Dvd Calendar'!$P$2937)=0,"",IF(('Dvd Calendar'!$P$2937&gt;=MIN(DATE(Summary!$C$12,1,1),Summary!$C$11))*('Dvd Calendar'!$P$2937&lt;=MAX(DATE(Summary!$C$12,12,31),Summary!$C$15))*('Dvd Calendar'!$P$2937&gt;Summary!$C$11)=0,"",'Dvd Calendar'!$P$2937*1000000000+ISNUMBER('Dvd Calendar'!$P$2938)*100000000+('Dvd Calendar'!$P$2942='Field Check'!$C$25)*10000000+(N('Dvd Calendar'!$P$2936)&gt;0)*1000000+55*1000+52))</f>
        <v/>
      </c>
      <c r="BC211" s="41">
        <f>IF(N('Dvd Calendar'!$Q$2937)=0,"",IF(('Dvd Calendar'!$Q$2937&gt;=MIN(DATE(Summary!$C$12,1,1),Summary!$C$11))*('Dvd Calendar'!$Q$2937&lt;=MAX(DATE(Summary!$C$12,12,31),Summary!$C$15))*('Dvd Calendar'!$Q$2937&gt;Summary!$C$11)=0,"",'Dvd Calendar'!$Q$2937*1000000000+ISNUMBER('Dvd Calendar'!$Q$2938)*100000000+('Dvd Calendar'!$Q$2942='Field Check'!$C$25)*10000000+(N('Dvd Calendar'!$Q$2936)&gt;0)*1000000+55*1000+53))</f>
        <v/>
      </c>
      <c r="BD211" s="41">
        <f>IF(N('Dvd Calendar'!$R$2937)=0,"",IF(('Dvd Calendar'!$R$2937&gt;=MIN(DATE(Summary!$C$12,1,1),Summary!$C$11))*('Dvd Calendar'!$R$2937&lt;=MAX(DATE(Summary!$C$12,12,31),Summary!$C$15))*('Dvd Calendar'!$R$2937&gt;Summary!$C$11)=0,"",'Dvd Calendar'!$R$2937*1000000000+ISNUMBER('Dvd Calendar'!$R$2938)*100000000+('Dvd Calendar'!$R$2942='Field Check'!$C$25)*10000000+(N('Dvd Calendar'!$R$2936)&gt;0)*1000000+55*1000+54))</f>
        <v/>
      </c>
      <c r="BE211" s="41">
        <f>IF(N('Dvd Calendar'!$S$2937)=0,"",IF(('Dvd Calendar'!$S$2937&gt;=MIN(DATE(Summary!$C$12,1,1),Summary!$C$11))*('Dvd Calendar'!$S$2937&lt;=MAX(DATE(Summary!$C$12,12,31),Summary!$C$15))*('Dvd Calendar'!$S$2937&gt;Summary!$C$11)=0,"",'Dvd Calendar'!$S$2937*1000000000+ISNUMBER('Dvd Calendar'!$S$2938)*100000000+('Dvd Calendar'!$S$2942='Field Check'!$C$25)*10000000+(N('Dvd Calendar'!$S$2936)&gt;0)*1000000+55*1000+55))</f>
        <v/>
      </c>
      <c r="BF211" s="41">
        <f>IF(N('Dvd Calendar'!$T$2937)=0,"",IF(('Dvd Calendar'!$T$2937&gt;=MIN(DATE(Summary!$C$12,1,1),Summary!$C$11))*('Dvd Calendar'!$T$2937&lt;=MAX(DATE(Summary!$C$12,12,31),Summary!$C$15))*('Dvd Calendar'!$T$2937&gt;Summary!$C$11)=0,"",'Dvd Calendar'!$T$2937*1000000000+ISNUMBER('Dvd Calendar'!$T$2938)*100000000+('Dvd Calendar'!$T$2942='Field Check'!$C$25)*10000000+(N('Dvd Calendar'!$T$2936)&gt;0)*1000000+55*1000+56))</f>
        <v/>
      </c>
      <c r="BG211" s="41">
        <f>IF(N('Dvd Calendar'!$U$2937)=0,"",IF(('Dvd Calendar'!$U$2937&gt;=MIN(DATE(Summary!$C$12,1,1),Summary!$C$11))*('Dvd Calendar'!$U$2937&lt;=MAX(DATE(Summary!$C$12,12,31),Summary!$C$15))*('Dvd Calendar'!$U$2937&gt;Summary!$C$11)=0,"",'Dvd Calendar'!$U$2937*1000000000+ISNUMBER('Dvd Calendar'!$U$2938)*100000000+('Dvd Calendar'!$U$2942='Field Check'!$C$25)*10000000+(N('Dvd Calendar'!$U$2936)&gt;0)*1000000+55*1000+57))</f>
        <v/>
      </c>
      <c r="BH211" s="41">
        <f>IF(N('Dvd Calendar'!$V$2937)=0,"",IF(('Dvd Calendar'!$V$2937&gt;=MIN(DATE(Summary!$C$12,1,1),Summary!$C$11))*('Dvd Calendar'!$V$2937&lt;=MAX(DATE(Summary!$C$12,12,31),Summary!$C$15))*('Dvd Calendar'!$V$2937&gt;Summary!$C$11)=0,"",'Dvd Calendar'!$V$2937*1000000000+ISNUMBER('Dvd Calendar'!$V$2938)*100000000+('Dvd Calendar'!$V$2942='Field Check'!$C$25)*10000000+(N('Dvd Calendar'!$V$2936)&gt;0)*1000000+55*1000+58))</f>
        <v/>
      </c>
      <c r="BI211" s="41">
        <f>IF(N('Dvd Calendar'!$W$2937)=0,"",IF(('Dvd Calendar'!$W$2937&gt;=MIN(DATE(Summary!$C$12,1,1),Summary!$C$11))*('Dvd Calendar'!$W$2937&lt;=MAX(DATE(Summary!$C$12,12,31),Summary!$C$15))*('Dvd Calendar'!$W$2937&gt;Summary!$C$11)=0,"",'Dvd Calendar'!$W$2937*1000000000+ISNUMBER('Dvd Calendar'!$W$2938)*100000000+('Dvd Calendar'!$W$2942='Field Check'!$C$25)*10000000+(N('Dvd Calendar'!$W$2936)&gt;0)*1000000+55*1000+59))</f>
        <v/>
      </c>
      <c r="BJ211" s="41">
        <f>IF(N('Dvd Calendar'!$X$2937)=0,"",IF(('Dvd Calendar'!$X$2937&gt;=MIN(DATE(Summary!$C$12,1,1),Summary!$C$11))*('Dvd Calendar'!$X$2937&lt;=MAX(DATE(Summary!$C$12,12,31),Summary!$C$15))*('Dvd Calendar'!$X$2937&gt;Summary!$C$11)=0,"",'Dvd Calendar'!$X$2937*1000000000+ISNUMBER('Dvd Calendar'!$X$2938)*100000000+('Dvd Calendar'!$X$2942='Field Check'!$C$25)*10000000+(N('Dvd Calendar'!$X$2936)&gt;0)*1000000+55*1000+60))</f>
        <v/>
      </c>
      <c r="BK211" s="41">
        <f>IF(N('Dvd Calendar'!$Y$2937)=0,"",IF(('Dvd Calendar'!$Y$2937&gt;=MIN(DATE(Summary!$C$12,1,1),Summary!$C$11))*('Dvd Calendar'!$Y$2937&lt;=MAX(DATE(Summary!$C$12,12,31),Summary!$C$15))*('Dvd Calendar'!$Y$2937&gt;Summary!$C$11)=0,"",'Dvd Calendar'!$Y$2937*1000000000+ISNUMBER('Dvd Calendar'!$Y$2938)*100000000+('Dvd Calendar'!$Y$2942='Field Check'!$C$25)*10000000+(N('Dvd Calendar'!$Y$2936)&gt;0)*1000000+55*1000+61))</f>
        <v/>
      </c>
      <c r="BL211" s="41">
        <f>IF(N('Dvd Calendar'!$Z$2937)=0,"",IF(('Dvd Calendar'!$Z$2937&gt;=MIN(DATE(Summary!$C$12,1,1),Summary!$C$11))*('Dvd Calendar'!$Z$2937&lt;=MAX(DATE(Summary!$C$12,12,31),Summary!$C$15))*('Dvd Calendar'!$Z$2937&gt;Summary!$C$11)=0,"",'Dvd Calendar'!$Z$2937*1000000000+ISNUMBER('Dvd Calendar'!$Z$2938)*100000000+('Dvd Calendar'!$Z$2942='Field Check'!$C$25)*10000000+(N('Dvd Calendar'!$Z$2936)&gt;0)*1000000+55*1000+62))</f>
        <v/>
      </c>
      <c r="BM211" s="41">
        <f>IF(N('Dvd Calendar'!$AA$2937)=0,"",IF(('Dvd Calendar'!$AA$2937&gt;=MIN(DATE(Summary!$C$12,1,1),Summary!$C$11))*('Dvd Calendar'!$AA$2937&lt;=MAX(DATE(Summary!$C$12,12,31),Summary!$C$15))*('Dvd Calendar'!$AA$2937&gt;Summary!$C$11)=0,"",'Dvd Calendar'!$AA$2937*1000000000+ISNUMBER('Dvd Calendar'!$AA$2938)*100000000+('Dvd Calendar'!$AA$2942='Field Check'!$C$25)*10000000+(N('Dvd Calendar'!$AA$2936)&gt;0)*1000000+55*1000+63))</f>
        <v/>
      </c>
      <c r="BN211" s="41">
        <f>IF(N('Dvd Calendar'!$AB$2937)=0,"",IF(('Dvd Calendar'!$AB$2937&gt;=MIN(DATE(Summary!$C$12,1,1),Summary!$C$11))*('Dvd Calendar'!$AB$2937&lt;=MAX(DATE(Summary!$C$12,12,31),Summary!$C$15))*('Dvd Calendar'!$AB$2937&gt;Summary!$C$11)=0,"",'Dvd Calendar'!$AB$2937*1000000000+ISNUMBER('Dvd Calendar'!$AB$2938)*100000000+('Dvd Calendar'!$AB$2942='Field Check'!$C$25)*10000000+(N('Dvd Calendar'!$AB$2936)&gt;0)*1000000+55*1000+64))</f>
        <v/>
      </c>
      <c r="BO211" s="41">
        <f>IF(N('Dvd Calendar'!$AC$2937)=0,"",IF(('Dvd Calendar'!$AC$2937&gt;=MIN(DATE(Summary!$C$12,1,1),Summary!$C$11))*('Dvd Calendar'!$AC$2937&lt;=MAX(DATE(Summary!$C$12,12,31),Summary!$C$15))*('Dvd Calendar'!$AC$2937&gt;Summary!$C$11)=0,"",'Dvd Calendar'!$AC$2937*1000000000+ISNUMBER('Dvd Calendar'!$AC$2938)*100000000+('Dvd Calendar'!$AC$2942='Field Check'!$C$25)*10000000+(N('Dvd Calendar'!$AC$2936)&gt;0)*1000000+55*1000+65))</f>
        <v/>
      </c>
      <c r="BQ211" s="85">
        <f>IF(C211="","",IF(ISNUMBER('Dvd Calendar'!$E$2931)=FALSE,"",IF((Summary!$C$13="N")*('Dvd Calendar'!$E$2935='Field Check'!$C$25)&gt;0,"",'Dvd Calendar'!$E$2931)))</f>
        <v/>
      </c>
      <c r="BR211" s="85">
        <f>IF(D211="","",IF(ISNUMBER('Dvd Calendar'!$F$2931)=FALSE,"",IF((Summary!$C$13="N")*('Dvd Calendar'!$F$2935='Field Check'!$C$25)&gt;0,"",'Dvd Calendar'!$F$2931)))</f>
        <v/>
      </c>
      <c r="BS211" s="85">
        <f>IF(E211="","",IF(ISNUMBER('Dvd Calendar'!$G$2931)=FALSE,"",IF((Summary!$C$13="N")*('Dvd Calendar'!$G$2935='Field Check'!$C$25)&gt;0,"",'Dvd Calendar'!$G$2931)))</f>
        <v/>
      </c>
      <c r="BT211" s="85">
        <f>IF(F211="","",IF(ISNUMBER('Dvd Calendar'!$H$2931)=FALSE,"",IF((Summary!$C$13="N")*('Dvd Calendar'!$H$2935='Field Check'!$C$25)&gt;0,"",'Dvd Calendar'!$H$2931)))</f>
        <v/>
      </c>
      <c r="BU211" s="85">
        <f>IF(G211="","",IF(ISNUMBER('Dvd Calendar'!$I$2931)=FALSE,"",IF((Summary!$C$13="N")*('Dvd Calendar'!$I$2935='Field Check'!$C$25)&gt;0,"",'Dvd Calendar'!$I$2931)))</f>
        <v/>
      </c>
      <c r="BV211" s="85">
        <f>IF(H211="","",IF(ISNUMBER('Dvd Calendar'!$J$2931)=FALSE,"",IF((Summary!$C$13="N")*('Dvd Calendar'!$J$2935='Field Check'!$C$25)&gt;0,"",'Dvd Calendar'!$J$2931)))</f>
        <v/>
      </c>
      <c r="BW211" s="85">
        <f>IF(I211="","",IF(ISNUMBER('Dvd Calendar'!$K$2931)=FALSE,"",IF((Summary!$C$13="N")*('Dvd Calendar'!$K$2935='Field Check'!$C$25)&gt;0,"",'Dvd Calendar'!$K$2931)))</f>
        <v/>
      </c>
      <c r="BX211" s="85">
        <f>IF(J211="","",IF(ISNUMBER('Dvd Calendar'!$L$2931)=FALSE,"",IF((Summary!$C$13="N")*('Dvd Calendar'!$L$2935='Field Check'!$C$25)&gt;0,"",'Dvd Calendar'!$L$2931)))</f>
        <v/>
      </c>
      <c r="BY211" s="85">
        <f>IF(K211="","",IF(ISNUMBER('Dvd Calendar'!$M$2931)=FALSE,"",IF((Summary!$C$13="N")*('Dvd Calendar'!$M$2935='Field Check'!$C$25)&gt;0,"",'Dvd Calendar'!$M$2931)))</f>
        <v/>
      </c>
      <c r="BZ211" s="85">
        <f>IF(L211="","",IF(ISNUMBER('Dvd Calendar'!$N$2931)=FALSE,"",IF((Summary!$C$13="N")*('Dvd Calendar'!$N$2935='Field Check'!$C$25)&gt;0,"",'Dvd Calendar'!$N$2931)))</f>
        <v/>
      </c>
      <c r="CA211" s="85">
        <f>IF(M211="","",IF(ISNUMBER('Dvd Calendar'!$O$2931)=FALSE,"",IF((Summary!$C$13="N")*('Dvd Calendar'!$O$2935='Field Check'!$C$25)&gt;0,"",'Dvd Calendar'!$O$2931)))</f>
        <v/>
      </c>
      <c r="CB211" s="85">
        <f>IF(N211="","",IF(ISNUMBER('Dvd Calendar'!$P$2931)=FALSE,"",IF((Summary!$C$13="N")*('Dvd Calendar'!$P$2935='Field Check'!$C$25)&gt;0,"",'Dvd Calendar'!$P$2931)))</f>
        <v/>
      </c>
      <c r="CC211" s="85">
        <f>IF(O211="","",IF(ISNUMBER('Dvd Calendar'!$Q$2931)=FALSE,"",IF((Summary!$C$13="N")*('Dvd Calendar'!$Q$2935='Field Check'!$C$25)&gt;0,"",'Dvd Calendar'!$Q$2931)))</f>
        <v/>
      </c>
      <c r="CD211" s="85">
        <f>IF(P211="","",IF(ISNUMBER('Dvd Calendar'!$R$2931)=FALSE,"",IF((Summary!$C$13="N")*('Dvd Calendar'!$R$2935='Field Check'!$C$25)&gt;0,"",'Dvd Calendar'!$R$2931)))</f>
        <v/>
      </c>
      <c r="CE211" s="85">
        <f>IF(Q211="","",IF(ISNUMBER('Dvd Calendar'!$S$2931)=FALSE,"",IF((Summary!$C$13="N")*('Dvd Calendar'!$S$2935='Field Check'!$C$25)&gt;0,"",'Dvd Calendar'!$S$2931)))</f>
        <v/>
      </c>
      <c r="CF211" s="85">
        <f>IF(R211="","",IF(ISNUMBER('Dvd Calendar'!$T$2931)=FALSE,"",IF((Summary!$C$13="N")*('Dvd Calendar'!$T$2935='Field Check'!$C$25)&gt;0,"",'Dvd Calendar'!$T$2931)))</f>
        <v/>
      </c>
      <c r="CG211" s="85">
        <f>IF(S211="","",IF(ISNUMBER('Dvd Calendar'!$U$2931)=FALSE,"",IF((Summary!$C$13="N")*('Dvd Calendar'!$U$2935='Field Check'!$C$25)&gt;0,"",'Dvd Calendar'!$U$2931)))</f>
        <v/>
      </c>
      <c r="CH211" s="85">
        <f>IF(T211="","",IF(ISNUMBER('Dvd Calendar'!$V$2931)=FALSE,"",IF((Summary!$C$13="N")*('Dvd Calendar'!$V$2935='Field Check'!$C$25)&gt;0,"",'Dvd Calendar'!$V$2931)))</f>
        <v/>
      </c>
      <c r="CI211" s="85">
        <f>IF(U211="","",IF(ISNUMBER('Dvd Calendar'!$W$2931)=FALSE,"",IF((Summary!$C$13="N")*('Dvd Calendar'!$W$2935='Field Check'!$C$25)&gt;0,"",'Dvd Calendar'!$W$2931)))</f>
        <v/>
      </c>
      <c r="CJ211" s="85">
        <f>IF(V211="","",IF(ISNUMBER('Dvd Calendar'!$X$2931)=FALSE,"",IF((Summary!$C$13="N")*('Dvd Calendar'!$X$2935='Field Check'!$C$25)&gt;0,"",'Dvd Calendar'!$X$2931)))</f>
        <v/>
      </c>
      <c r="CK211" s="85">
        <f>IF(W211="","",IF(ISNUMBER('Dvd Calendar'!$Y$2931)=FALSE,"",IF((Summary!$C$13="N")*('Dvd Calendar'!$Y$2935='Field Check'!$C$25)&gt;0,"",'Dvd Calendar'!$Y$2931)))</f>
        <v/>
      </c>
      <c r="CL211" s="85">
        <f>IF(X211="","",IF(ISNUMBER('Dvd Calendar'!$Z$2931)=FALSE,"",IF((Summary!$C$13="N")*('Dvd Calendar'!$Z$2935='Field Check'!$C$25)&gt;0,"",'Dvd Calendar'!$Z$2931)))</f>
        <v/>
      </c>
      <c r="CM211" s="85">
        <f>IF(Y211="","",IF(ISNUMBER('Dvd Calendar'!$AA$2931)=FALSE,"",IF((Summary!$C$13="N")*('Dvd Calendar'!$AA$2935='Field Check'!$C$25)&gt;0,"",'Dvd Calendar'!$AA$2931)))</f>
        <v/>
      </c>
      <c r="CN211" s="85">
        <f>IF(Z211="","",IF(ISNUMBER('Dvd Calendar'!$AB$2931)=FALSE,"",IF((Summary!$C$13="N")*('Dvd Calendar'!$AB$2935='Field Check'!$C$25)&gt;0,"",'Dvd Calendar'!$AB$2931)))</f>
        <v/>
      </c>
      <c r="CO211" s="85">
        <f>IF(AA211="","",IF(ISNUMBER('Dvd Calendar'!$AC$2931)=FALSE,"",IF((Summary!$C$13="N")*('Dvd Calendar'!$AC$2935='Field Check'!$C$25)&gt;0,"",'Dvd Calendar'!$AC$2931)))</f>
        <v/>
      </c>
      <c r="CP211" s="85">
        <f>IF(AB211="","",IF(ISNUMBER('Dvd Calendar'!$AD$2931)=FALSE,"",IF((Summary!$C$13="N")*('Dvd Calendar'!$AD$2935='Field Check'!$C$25)&gt;0,"",'Dvd Calendar'!$AD$2931)))</f>
        <v/>
      </c>
      <c r="CQ211" s="85">
        <f>IF(AC211="","",IF(ISNUMBER('Dvd Calendar'!$AE$2931)=FALSE,"",IF((Summary!$C$13="N")*('Dvd Calendar'!$AE$2935='Field Check'!$C$25)&gt;0,"",'Dvd Calendar'!$AE$2931)))</f>
        <v/>
      </c>
      <c r="CR211" s="85">
        <f>IF(AD211="","",IF(ISNUMBER('Dvd Calendar'!$AF$2931)=FALSE,"",IF((Summary!$C$13="N")*('Dvd Calendar'!$AF$2935='Field Check'!$C$25)&gt;0,"",'Dvd Calendar'!$AF$2931)))</f>
        <v/>
      </c>
      <c r="CS211" s="85">
        <f>IF(AE211="","",IF(ISNUMBER('Dvd Calendar'!$AG$2931)=FALSE,"",IF((Summary!$C$13="N")*('Dvd Calendar'!$AG$2935='Field Check'!$C$25)&gt;0,"",'Dvd Calendar'!$AG$2931)))</f>
        <v/>
      </c>
      <c r="CT211" s="85">
        <f>IF(AF211="","",IF(ISNUMBER('Dvd Calendar'!$AH$2931)=FALSE,"",IF((Summary!$C$13="N")*('Dvd Calendar'!$AH$2935='Field Check'!$C$25)&gt;0,"",'Dvd Calendar'!$AH$2931)))</f>
        <v/>
      </c>
      <c r="CU211" s="85">
        <f>IF(AG211="","",IF(ISNUMBER('Dvd Calendar'!$AI$2931)=FALSE,"",IF((Summary!$C$13="N")*('Dvd Calendar'!$AI$2935='Field Check'!$C$25)&gt;0,"",'Dvd Calendar'!$AI$2931)))</f>
        <v/>
      </c>
      <c r="CV211" s="85">
        <f>IF(AH211="","",IF(ISNUMBER('Dvd Calendar'!$AJ$2931)=FALSE,"",IF((Summary!$C$13="N")*('Dvd Calendar'!$AJ$2935='Field Check'!$C$25)&gt;0,"",'Dvd Calendar'!$AJ$2931)))</f>
        <v/>
      </c>
      <c r="CW211" s="85">
        <f>IF(AI211="","",IF(ISNUMBER('Dvd Calendar'!$AK$2931)=FALSE,"",IF((Summary!$C$13="N")*('Dvd Calendar'!$AK$2935='Field Check'!$C$25)&gt;0,"",'Dvd Calendar'!$AK$2931)))</f>
        <v/>
      </c>
      <c r="CX211" s="85">
        <f>IF(AJ211="","",IF(ISNUMBER('Dvd Calendar'!$AL$2931)=FALSE,"",IF((Summary!$C$13="N")*('Dvd Calendar'!$AL$2935='Field Check'!$C$25)&gt;0,"",'Dvd Calendar'!$AL$2931)))</f>
        <v/>
      </c>
      <c r="CY211" s="85">
        <f>IF(AK211="","",IF(ISNUMBER('Dvd Calendar'!$AM$2931)=FALSE,"",IF((Summary!$C$13="N")*('Dvd Calendar'!$AM$2935='Field Check'!$C$25)&gt;0,"",'Dvd Calendar'!$AM$2931)))</f>
        <v/>
      </c>
      <c r="CZ211" s="85">
        <f>IF(AL211="","",IF(ISNUMBER('Dvd Calendar'!$AN$2931)=FALSE,"",IF((Summary!$C$13="N")*('Dvd Calendar'!$AN$2935='Field Check'!$C$25)&gt;0,"",'Dvd Calendar'!$AN$2931)))</f>
        <v/>
      </c>
      <c r="DA211" s="85">
        <f>IF(AM211="","",IF(ISNUMBER('Dvd Calendar'!$AO$2931)=FALSE,"",IF((Summary!$C$13="N")*('Dvd Calendar'!$AO$2935='Field Check'!$C$25)&gt;0,"",'Dvd Calendar'!$AO$2931)))</f>
        <v/>
      </c>
      <c r="DB211" s="85">
        <f>IF(AN211="","",IF(ISNUMBER('Dvd Calendar'!$AP$2931)=FALSE,"",IF((Summary!$C$13="N")*('Dvd Calendar'!$AP$2935='Field Check'!$C$25)&gt;0,"",'Dvd Calendar'!$AP$2931)))</f>
        <v/>
      </c>
      <c r="DC211" s="85">
        <f>IF(AO211="","",IF(ISNUMBER('Dvd Calendar'!$AQ$2931)=FALSE,"",IF((Summary!$C$13="N")*('Dvd Calendar'!$AQ$2935='Field Check'!$C$25)&gt;0,"",'Dvd Calendar'!$AQ$2931)))</f>
        <v/>
      </c>
      <c r="DD211" s="85">
        <f>IF(AP211="","",IF(ISNUMBER('Dvd Calendar'!$AR$2931)=FALSE,"",IF((Summary!$C$13="N")*('Dvd Calendar'!$AR$2935='Field Check'!$C$25)&gt;0,"",'Dvd Calendar'!$AR$2931)))</f>
        <v/>
      </c>
      <c r="DE211" s="85">
        <f>IF(AQ211="","",IF(ISNUMBER('Dvd Calendar'!$E$2938)=FALSE,"",IF((Summary!$C$13="N")*('Dvd Calendar'!$E$2942='Field Check'!$C$25)&gt;0,"",'Dvd Calendar'!$E$2938)))</f>
        <v/>
      </c>
      <c r="DF211" s="85">
        <f>IF(AR211="","",IF(ISNUMBER('Dvd Calendar'!$F$2938)=FALSE,"",IF((Summary!$C$13="N")*('Dvd Calendar'!$F$2942='Field Check'!$C$25)&gt;0,"",'Dvd Calendar'!$F$2938)))</f>
        <v/>
      </c>
      <c r="DG211" s="85">
        <f>IF(AS211="","",IF(ISNUMBER('Dvd Calendar'!$G$2938)=FALSE,"",IF((Summary!$C$13="N")*('Dvd Calendar'!$G$2942='Field Check'!$C$25)&gt;0,"",'Dvd Calendar'!$G$2938)))</f>
        <v/>
      </c>
      <c r="DH211" s="85">
        <f>IF(AT211="","",IF(ISNUMBER('Dvd Calendar'!$H$2938)=FALSE,"",IF((Summary!$C$13="N")*('Dvd Calendar'!$H$2942='Field Check'!$C$25)&gt;0,"",'Dvd Calendar'!$H$2938)))</f>
        <v/>
      </c>
      <c r="DI211" s="85">
        <f>IF(AU211="","",IF(ISNUMBER('Dvd Calendar'!$I$2938)=FALSE,"",IF((Summary!$C$13="N")*('Dvd Calendar'!$I$2942='Field Check'!$C$25)&gt;0,"",'Dvd Calendar'!$I$2938)))</f>
        <v/>
      </c>
      <c r="DJ211" s="85">
        <f>IF(AV211="","",IF(ISNUMBER('Dvd Calendar'!$J$2938)=FALSE,"",IF((Summary!$C$13="N")*('Dvd Calendar'!$J$2942='Field Check'!$C$25)&gt;0,"",'Dvd Calendar'!$J$2938)))</f>
        <v/>
      </c>
      <c r="DK211" s="85">
        <f>IF(AW211="","",IF(ISNUMBER('Dvd Calendar'!$K$2938)=FALSE,"",IF((Summary!$C$13="N")*('Dvd Calendar'!$K$2942='Field Check'!$C$25)&gt;0,"",'Dvd Calendar'!$K$2938)))</f>
        <v/>
      </c>
      <c r="DL211" s="85">
        <f>IF(AX211="","",IF(ISNUMBER('Dvd Calendar'!$L$2938)=FALSE,"",IF((Summary!$C$13="N")*('Dvd Calendar'!$L$2942='Field Check'!$C$25)&gt;0,"",'Dvd Calendar'!$L$2938)))</f>
        <v/>
      </c>
      <c r="DM211" s="85">
        <f>IF(AY211="","",IF(ISNUMBER('Dvd Calendar'!$M$2938)=FALSE,"",IF((Summary!$C$13="N")*('Dvd Calendar'!$M$2942='Field Check'!$C$25)&gt;0,"",'Dvd Calendar'!$M$2938)))</f>
        <v/>
      </c>
      <c r="DN211" s="85">
        <f>IF(AZ211="","",IF(ISNUMBER('Dvd Calendar'!$N$2938)=FALSE,"",IF((Summary!$C$13="N")*('Dvd Calendar'!$N$2942='Field Check'!$C$25)&gt;0,"",'Dvd Calendar'!$N$2938)))</f>
        <v/>
      </c>
      <c r="DO211" s="85">
        <f>IF(BA211="","",IF(ISNUMBER('Dvd Calendar'!$O$2938)=FALSE,"",IF((Summary!$C$13="N")*('Dvd Calendar'!$O$2942='Field Check'!$C$25)&gt;0,"",'Dvd Calendar'!$O$2938)))</f>
        <v/>
      </c>
      <c r="DP211" s="85">
        <f>IF(BB211="","",IF(ISNUMBER('Dvd Calendar'!$P$2938)=FALSE,"",IF((Summary!$C$13="N")*('Dvd Calendar'!$P$2942='Field Check'!$C$25)&gt;0,"",'Dvd Calendar'!$P$2938)))</f>
        <v/>
      </c>
      <c r="DQ211" s="85">
        <f>IF(BC211="","",IF(ISNUMBER('Dvd Calendar'!$Q$2938)=FALSE,"",IF((Summary!$C$13="N")*('Dvd Calendar'!$Q$2942='Field Check'!$C$25)&gt;0,"",'Dvd Calendar'!$Q$2938)))</f>
        <v/>
      </c>
      <c r="DR211" s="85">
        <f>IF(BD211="","",IF(ISNUMBER('Dvd Calendar'!$R$2938)=FALSE,"",IF((Summary!$C$13="N")*('Dvd Calendar'!$R$2942='Field Check'!$C$25)&gt;0,"",'Dvd Calendar'!$R$2938)))</f>
        <v/>
      </c>
      <c r="DS211" s="85">
        <f>IF(BE211="","",IF(ISNUMBER('Dvd Calendar'!$S$2938)=FALSE,"",IF((Summary!$C$13="N")*('Dvd Calendar'!$S$2942='Field Check'!$C$25)&gt;0,"",'Dvd Calendar'!$S$2938)))</f>
        <v/>
      </c>
      <c r="DT211" s="85">
        <f>IF(BF211="","",IF(ISNUMBER('Dvd Calendar'!$T$2938)=FALSE,"",IF((Summary!$C$13="N")*('Dvd Calendar'!$T$2942='Field Check'!$C$25)&gt;0,"",'Dvd Calendar'!$T$2938)))</f>
        <v/>
      </c>
      <c r="DU211" s="85">
        <f>IF(BG211="","",IF(ISNUMBER('Dvd Calendar'!$U$2938)=FALSE,"",IF((Summary!$C$13="N")*('Dvd Calendar'!$U$2942='Field Check'!$C$25)&gt;0,"",'Dvd Calendar'!$U$2938)))</f>
        <v/>
      </c>
      <c r="DV211" s="85">
        <f>IF(BH211="","",IF(ISNUMBER('Dvd Calendar'!$V$2938)=FALSE,"",IF((Summary!$C$13="N")*('Dvd Calendar'!$V$2942='Field Check'!$C$25)&gt;0,"",'Dvd Calendar'!$V$2938)))</f>
        <v/>
      </c>
      <c r="DW211" s="85">
        <f>IF(BI211="","",IF(ISNUMBER('Dvd Calendar'!$W$2938)=FALSE,"",IF((Summary!$C$13="N")*('Dvd Calendar'!$W$2942='Field Check'!$C$25)&gt;0,"",'Dvd Calendar'!$W$2938)))</f>
        <v/>
      </c>
      <c r="DX211" s="85">
        <f>IF(BJ211="","",IF(ISNUMBER('Dvd Calendar'!$X$2938)=FALSE,"",IF((Summary!$C$13="N")*('Dvd Calendar'!$X$2942='Field Check'!$C$25)&gt;0,"",'Dvd Calendar'!$X$2938)))</f>
        <v/>
      </c>
      <c r="DY211" s="85">
        <f>IF(BK211="","",IF(ISNUMBER('Dvd Calendar'!$Y$2938)=FALSE,"",IF((Summary!$C$13="N")*('Dvd Calendar'!$Y$2942='Field Check'!$C$25)&gt;0,"",'Dvd Calendar'!$Y$2938)))</f>
        <v/>
      </c>
      <c r="DZ211" s="85">
        <f>IF(BL211="","",IF(ISNUMBER('Dvd Calendar'!$Z$2938)=FALSE,"",IF((Summary!$C$13="N")*('Dvd Calendar'!$Z$2942='Field Check'!$C$25)&gt;0,"",'Dvd Calendar'!$Z$2938)))</f>
        <v/>
      </c>
      <c r="EA211" s="85">
        <f>IF(BM211="","",IF(ISNUMBER('Dvd Calendar'!$AA$2938)=FALSE,"",IF((Summary!$C$13="N")*('Dvd Calendar'!$AA$2942='Field Check'!$C$25)&gt;0,"",'Dvd Calendar'!$AA$2938)))</f>
        <v/>
      </c>
      <c r="EB211" s="85">
        <f>IF(BN211="","",IF(ISNUMBER('Dvd Calendar'!$AB$2938)=FALSE,"",IF((Summary!$C$13="N")*('Dvd Calendar'!$AB$2942='Field Check'!$C$25)&gt;0,"",'Dvd Calendar'!$AB$2938)))</f>
        <v/>
      </c>
      <c r="EC211" s="85">
        <f>IF(BO211="","",IF(ISNUMBER('Dvd Calendar'!$AC$2938)=FALSE,"",IF((Summary!$C$13="N")*('Dvd Calendar'!$AC$2942='Field Check'!$C$25)&gt;0,"",'Dvd Calendar'!$AC$2938)))</f>
        <v/>
      </c>
      <c r="EE211" s="85">
        <f>IF(BQ211="","",IFERROR(BQ211*HSCEI!$B$61*HSCEI!$G$61/HSCEI!$B$3,""))</f>
        <v/>
      </c>
      <c r="EF211" s="85">
        <f>IF(BR211="","",IFERROR(BR211*HSCEI!$B$61*HSCEI!$G$61/HSCEI!$B$3,""))</f>
        <v/>
      </c>
      <c r="EG211" s="85">
        <f>IF(BS211="","",IFERROR(BS211*HSCEI!$B$61*HSCEI!$G$61/HSCEI!$B$3,""))</f>
        <v/>
      </c>
      <c r="EH211" s="85">
        <f>IF(BT211="","",IFERROR(BT211*HSCEI!$B$61*HSCEI!$G$61/HSCEI!$B$3,""))</f>
        <v/>
      </c>
      <c r="EI211" s="85">
        <f>IF(BU211="","",IFERROR(BU211*HSCEI!$B$61*HSCEI!$G$61/HSCEI!$B$3,""))</f>
        <v/>
      </c>
      <c r="EJ211" s="85">
        <f>IF(BV211="","",IFERROR(BV211*HSCEI!$B$61*HSCEI!$G$61/HSCEI!$B$3,""))</f>
        <v/>
      </c>
      <c r="EK211" s="85">
        <f>IF(BW211="","",IFERROR(BW211*HSCEI!$B$61*HSCEI!$G$61/HSCEI!$B$3,""))</f>
        <v/>
      </c>
      <c r="EL211" s="85">
        <f>IF(BX211="","",IFERROR(BX211*HSCEI!$B$61*HSCEI!$G$61/HSCEI!$B$3,""))</f>
        <v/>
      </c>
      <c r="EM211" s="85">
        <f>IF(BY211="","",IFERROR(BY211*HSCEI!$B$61*HSCEI!$G$61/HSCEI!$B$3,""))</f>
        <v/>
      </c>
      <c r="EN211" s="85">
        <f>IF(BZ211="","",IFERROR(BZ211*HSCEI!$B$61*HSCEI!$G$61/HSCEI!$B$3,""))</f>
        <v/>
      </c>
      <c r="EO211" s="85">
        <f>IF(CA211="","",IFERROR(CA211*HSCEI!$B$61*HSCEI!$G$61/HSCEI!$B$3,""))</f>
        <v/>
      </c>
      <c r="EP211" s="85">
        <f>IF(CB211="","",IFERROR(CB211*HSCEI!$B$61*HSCEI!$G$61/HSCEI!$B$3,""))</f>
        <v/>
      </c>
      <c r="EQ211" s="85">
        <f>IF(CC211="","",IFERROR(CC211*HSCEI!$B$61*HSCEI!$G$61/HSCEI!$B$3,""))</f>
        <v/>
      </c>
      <c r="ER211" s="85">
        <f>IF(CD211="","",IFERROR(CD211*HSCEI!$B$61*HSCEI!$G$61/HSCEI!$B$3,""))</f>
        <v/>
      </c>
      <c r="ES211" s="85">
        <f>IF(CE211="","",IFERROR(CE211*HSCEI!$B$61*HSCEI!$G$61/HSCEI!$B$3,""))</f>
        <v/>
      </c>
      <c r="ET211" s="85">
        <f>IF(CF211="","",IFERROR(CF211*HSCEI!$B$61*HSCEI!$G$61/HSCEI!$B$3,""))</f>
        <v/>
      </c>
      <c r="EU211" s="85">
        <f>IF(CG211="","",IFERROR(CG211*HSCEI!$B$61*HSCEI!$G$61/HSCEI!$B$3,""))</f>
        <v/>
      </c>
      <c r="EV211" s="85">
        <f>IF(CH211="","",IFERROR(CH211*HSCEI!$B$61*HSCEI!$G$61/HSCEI!$B$3,""))</f>
        <v/>
      </c>
      <c r="EW211" s="85">
        <f>IF(CI211="","",IFERROR(CI211*HSCEI!$B$61*HSCEI!$G$61/HSCEI!$B$3,""))</f>
        <v/>
      </c>
      <c r="EX211" s="85">
        <f>IF(CJ211="","",IFERROR(CJ211*HSCEI!$B$61*HSCEI!$G$61/HSCEI!$B$3,""))</f>
        <v/>
      </c>
      <c r="EY211" s="85">
        <f>IF(CK211="","",IFERROR(CK211*HSCEI!$B$61*HSCEI!$G$61/HSCEI!$B$3,""))</f>
        <v/>
      </c>
      <c r="EZ211" s="85">
        <f>IF(CL211="","",IFERROR(CL211*HSCEI!$B$61*HSCEI!$G$61/HSCEI!$B$3,""))</f>
        <v/>
      </c>
      <c r="FA211" s="85">
        <f>IF(CM211="","",IFERROR(CM211*HSCEI!$B$61*HSCEI!$G$61/HSCEI!$B$3,""))</f>
        <v/>
      </c>
      <c r="FB211" s="85">
        <f>IF(CN211="","",IFERROR(CN211*HSCEI!$B$61*HSCEI!$G$61/HSCEI!$B$3,""))</f>
        <v/>
      </c>
      <c r="FC211" s="85">
        <f>IF(CO211="","",IFERROR(CO211*HSCEI!$B$61*HSCEI!$G$61/HSCEI!$B$3,""))</f>
        <v/>
      </c>
      <c r="FD211" s="85">
        <f>IF(CP211="","",IFERROR(CP211*HSCEI!$B$61*HSCEI!$G$61/HSCEI!$B$3,""))</f>
        <v/>
      </c>
      <c r="FE211" s="85">
        <f>IF(CQ211="","",IFERROR(CQ211*HSCEI!$B$61*HSCEI!$G$61/HSCEI!$B$3,""))</f>
        <v/>
      </c>
      <c r="FF211" s="85">
        <f>IF(CR211="","",IFERROR(CR211*HSCEI!$B$61*HSCEI!$G$61/HSCEI!$B$3,""))</f>
        <v/>
      </c>
      <c r="FG211" s="85">
        <f>IF(CS211="","",IFERROR(CS211*HSCEI!$B$61*HSCEI!$G$61/HSCEI!$B$3,""))</f>
        <v/>
      </c>
      <c r="FH211" s="85">
        <f>IF(CT211="","",IFERROR(CT211*HSCEI!$B$61*HSCEI!$G$61/HSCEI!$B$3,""))</f>
        <v/>
      </c>
      <c r="FI211" s="85">
        <f>IF(CU211="","",IFERROR(CU211*HSCEI!$B$61*HSCEI!$G$61/HSCEI!$B$3,""))</f>
        <v/>
      </c>
      <c r="FJ211" s="85">
        <f>IF(CV211="","",IFERROR(CV211*HSCEI!$B$61*HSCEI!$G$61/HSCEI!$B$3,""))</f>
        <v/>
      </c>
      <c r="FK211" s="85">
        <f>IF(CW211="","",IFERROR(CW211*HSCEI!$B$61*HSCEI!$G$61/HSCEI!$B$3,""))</f>
        <v/>
      </c>
      <c r="FL211" s="85">
        <f>IF(CX211="","",IFERROR(CX211*HSCEI!$B$61*HSCEI!$G$61/HSCEI!$B$3,""))</f>
        <v/>
      </c>
      <c r="FM211" s="85">
        <f>IF(CY211="","",IFERROR(CY211*HSCEI!$B$61*HSCEI!$G$61/HSCEI!$B$3,""))</f>
        <v/>
      </c>
      <c r="FN211" s="85">
        <f>IF(CZ211="","",IFERROR(CZ211*HSCEI!$B$61*HSCEI!$G$61/HSCEI!$B$3,""))</f>
        <v/>
      </c>
      <c r="FO211" s="85">
        <f>IF(DA211="","",IFERROR(DA211*HSCEI!$B$61*HSCEI!$G$61/HSCEI!$B$3,""))</f>
        <v/>
      </c>
      <c r="FP211" s="85">
        <f>IF(DB211="","",IFERROR(DB211*HSCEI!$B$61*HSCEI!$G$61/HSCEI!$B$3,""))</f>
        <v/>
      </c>
      <c r="FQ211" s="85">
        <f>IF(DC211="","",IFERROR(DC211*HSCEI!$B$61*HSCEI!$G$61/HSCEI!$B$3,""))</f>
        <v/>
      </c>
      <c r="FR211" s="85">
        <f>IF(DD211="","",IFERROR(DD211*HSCEI!$B$61*HSCEI!$G$61/HSCEI!$B$3,""))</f>
        <v/>
      </c>
      <c r="FS211" s="85">
        <f>IF(DE211="","",IFERROR(DE211*HSCEI!$B$61*HSCEI!$G$61/HSCEI!$B$3,""))</f>
        <v/>
      </c>
      <c r="FT211" s="85">
        <f>IF(DF211="","",IFERROR(DF211*HSCEI!$B$61*HSCEI!$G$61/HSCEI!$B$3,""))</f>
        <v/>
      </c>
      <c r="FU211" s="85">
        <f>IF(DG211="","",IFERROR(DG211*HSCEI!$B$61*HSCEI!$G$61/HSCEI!$B$3,""))</f>
        <v/>
      </c>
      <c r="FV211" s="85">
        <f>IF(DH211="","",IFERROR(DH211*HSCEI!$B$61*HSCEI!$G$61/HSCEI!$B$3,""))</f>
        <v/>
      </c>
      <c r="FW211" s="85">
        <f>IF(DI211="","",IFERROR(DI211*HSCEI!$B$61*HSCEI!$G$61/HSCEI!$B$3,""))</f>
        <v/>
      </c>
      <c r="FX211" s="85">
        <f>IF(DJ211="","",IFERROR(DJ211*HSCEI!$B$61*HSCEI!$G$61/HSCEI!$B$3,""))</f>
        <v/>
      </c>
      <c r="FY211" s="85">
        <f>IF(DK211="","",IFERROR(DK211*HSCEI!$B$61*HSCEI!$G$61/HSCEI!$B$3,""))</f>
        <v/>
      </c>
      <c r="FZ211" s="85">
        <f>IF(DL211="","",IFERROR(DL211*HSCEI!$B$61*HSCEI!$G$61/HSCEI!$B$3,""))</f>
        <v/>
      </c>
      <c r="GA211" s="85">
        <f>IF(DM211="","",IFERROR(DM211*HSCEI!$B$61*HSCEI!$G$61/HSCEI!$B$3,""))</f>
        <v/>
      </c>
      <c r="GB211" s="85">
        <f>IF(DN211="","",IFERROR(DN211*HSCEI!$B$61*HSCEI!$G$61/HSCEI!$B$3,""))</f>
        <v/>
      </c>
      <c r="GC211" s="85">
        <f>IF(DO211="","",IFERROR(DO211*HSCEI!$B$61*HSCEI!$G$61/HSCEI!$B$3,""))</f>
        <v/>
      </c>
      <c r="GD211" s="85">
        <f>IF(DP211="","",IFERROR(DP211*HSCEI!$B$61*HSCEI!$G$61/HSCEI!$B$3,""))</f>
        <v/>
      </c>
      <c r="GE211" s="85">
        <f>IF(DQ211="","",IFERROR(DQ211*HSCEI!$B$61*HSCEI!$G$61/HSCEI!$B$3,""))</f>
        <v/>
      </c>
      <c r="GF211" s="85">
        <f>IF(DR211="","",IFERROR(DR211*HSCEI!$B$61*HSCEI!$G$61/HSCEI!$B$3,""))</f>
        <v/>
      </c>
      <c r="GG211" s="85">
        <f>IF(DS211="","",IFERROR(DS211*HSCEI!$B$61*HSCEI!$G$61/HSCEI!$B$3,""))</f>
        <v/>
      </c>
      <c r="GH211" s="85">
        <f>IF(DT211="","",IFERROR(DT211*HSCEI!$B$61*HSCEI!$G$61/HSCEI!$B$3,""))</f>
        <v/>
      </c>
      <c r="GI211" s="85">
        <f>IF(DU211="","",IFERROR(DU211*HSCEI!$B$61*HSCEI!$G$61/HSCEI!$B$3,""))</f>
        <v/>
      </c>
      <c r="GJ211" s="85">
        <f>IF(DV211="","",IFERROR(DV211*HSCEI!$B$61*HSCEI!$G$61/HSCEI!$B$3,""))</f>
        <v/>
      </c>
      <c r="GK211" s="85">
        <f>IF(DW211="","",IFERROR(DW211*HSCEI!$B$61*HSCEI!$G$61/HSCEI!$B$3,""))</f>
        <v/>
      </c>
      <c r="GL211" s="85">
        <f>IF(DX211="","",IFERROR(DX211*HSCEI!$B$61*HSCEI!$G$61/HSCEI!$B$3,""))</f>
        <v/>
      </c>
      <c r="GM211" s="85">
        <f>IF(DY211="","",IFERROR(DY211*HSCEI!$B$61*HSCEI!$G$61/HSCEI!$B$3,""))</f>
        <v/>
      </c>
      <c r="GN211" s="85">
        <f>IF(DZ211="","",IFERROR(DZ211*HSCEI!$B$61*HSCEI!$G$61/HSCEI!$B$3,""))</f>
        <v/>
      </c>
      <c r="GO211" s="85">
        <f>IF(EA211="","",IFERROR(EA211*HSCEI!$B$61*HSCEI!$G$61/HSCEI!$B$3,""))</f>
        <v/>
      </c>
      <c r="GP211" s="85">
        <f>IF(EB211="","",IFERROR(EB211*HSCEI!$B$61*HSCEI!$G$61/HSCEI!$B$3,""))</f>
        <v/>
      </c>
      <c r="GQ211" s="85">
        <f>IF(EC211="","",IFERROR(EC211*HSCEI!$B$61*HSCEI!$G$61/HSCEI!$B$3,""))</f>
        <v/>
      </c>
    </row>
    <row r="212">
      <c r="B212" s="2">
        <f>IF(HSCEI!$C$62="","",HSCEI!$C$62)</f>
        <v/>
      </c>
      <c r="C212" s="41">
        <f>IF(N('Dvd Calendar'!$E$2945)=0,"",IF(('Dvd Calendar'!$E$2945&gt;=MIN(DATE(Summary!$C$12,1,1),Summary!$C$11))*('Dvd Calendar'!$E$2945&lt;=MAX(DATE(Summary!$C$12,12,31),Summary!$C$15))*('Dvd Calendar'!$E$2945&lt;=Summary!$C$11)=0,"",'Dvd Calendar'!$E$2945*1000000000+ISNUMBER('Dvd Calendar'!$E$2946)*100000000+('Dvd Calendar'!$E$2950='Field Check'!$C$25)*10000000+(N('Dvd Calendar'!$E$2944)&gt;0)*1000000+56*1000+1))</f>
        <v/>
      </c>
      <c r="D212" s="41">
        <f>IF(N('Dvd Calendar'!$F$2945)=0,"",IF(('Dvd Calendar'!$F$2945&gt;=MIN(DATE(Summary!$C$12,1,1),Summary!$C$11))*('Dvd Calendar'!$F$2945&lt;=MAX(DATE(Summary!$C$12,12,31),Summary!$C$15))*('Dvd Calendar'!$F$2945&lt;=Summary!$C$11)=0,"",'Dvd Calendar'!$F$2945*1000000000+ISNUMBER('Dvd Calendar'!$F$2946)*100000000+('Dvd Calendar'!$F$2950='Field Check'!$C$25)*10000000+(N('Dvd Calendar'!$F$2944)&gt;0)*1000000+56*1000+2))</f>
        <v/>
      </c>
      <c r="E212" s="41">
        <f>IF(N('Dvd Calendar'!$G$2945)=0,"",IF(('Dvd Calendar'!$G$2945&gt;=MIN(DATE(Summary!$C$12,1,1),Summary!$C$11))*('Dvd Calendar'!$G$2945&lt;=MAX(DATE(Summary!$C$12,12,31),Summary!$C$15))*('Dvd Calendar'!$G$2945&lt;=Summary!$C$11)=0,"",'Dvd Calendar'!$G$2945*1000000000+ISNUMBER('Dvd Calendar'!$G$2946)*100000000+('Dvd Calendar'!$G$2950='Field Check'!$C$25)*10000000+(N('Dvd Calendar'!$G$2944)&gt;0)*1000000+56*1000+3))</f>
        <v/>
      </c>
      <c r="F212" s="41">
        <f>IF(N('Dvd Calendar'!$H$2945)=0,"",IF(('Dvd Calendar'!$H$2945&gt;=MIN(DATE(Summary!$C$12,1,1),Summary!$C$11))*('Dvd Calendar'!$H$2945&lt;=MAX(DATE(Summary!$C$12,12,31),Summary!$C$15))*('Dvd Calendar'!$H$2945&lt;=Summary!$C$11)=0,"",'Dvd Calendar'!$H$2945*1000000000+ISNUMBER('Dvd Calendar'!$H$2946)*100000000+('Dvd Calendar'!$H$2950='Field Check'!$C$25)*10000000+(N('Dvd Calendar'!$H$2944)&gt;0)*1000000+56*1000+4))</f>
        <v/>
      </c>
      <c r="G212" s="41">
        <f>IF(N('Dvd Calendar'!$I$2945)=0,"",IF(('Dvd Calendar'!$I$2945&gt;=MIN(DATE(Summary!$C$12,1,1),Summary!$C$11))*('Dvd Calendar'!$I$2945&lt;=MAX(DATE(Summary!$C$12,12,31),Summary!$C$15))*('Dvd Calendar'!$I$2945&lt;=Summary!$C$11)=0,"",'Dvd Calendar'!$I$2945*1000000000+ISNUMBER('Dvd Calendar'!$I$2946)*100000000+('Dvd Calendar'!$I$2950='Field Check'!$C$25)*10000000+(N('Dvd Calendar'!$I$2944)&gt;0)*1000000+56*1000+5))</f>
        <v/>
      </c>
      <c r="H212" s="41">
        <f>IF(N('Dvd Calendar'!$J$2945)=0,"",IF(('Dvd Calendar'!$J$2945&gt;=MIN(DATE(Summary!$C$12,1,1),Summary!$C$11))*('Dvd Calendar'!$J$2945&lt;=MAX(DATE(Summary!$C$12,12,31),Summary!$C$15))*('Dvd Calendar'!$J$2945&lt;=Summary!$C$11)=0,"",'Dvd Calendar'!$J$2945*1000000000+ISNUMBER('Dvd Calendar'!$J$2946)*100000000+('Dvd Calendar'!$J$2950='Field Check'!$C$25)*10000000+(N('Dvd Calendar'!$J$2944)&gt;0)*1000000+56*1000+6))</f>
        <v/>
      </c>
      <c r="I212" s="41">
        <f>IF(N('Dvd Calendar'!$K$2945)=0,"",IF(('Dvd Calendar'!$K$2945&gt;=MIN(DATE(Summary!$C$12,1,1),Summary!$C$11))*('Dvd Calendar'!$K$2945&lt;=MAX(DATE(Summary!$C$12,12,31),Summary!$C$15))*('Dvd Calendar'!$K$2945&lt;=Summary!$C$11)=0,"",'Dvd Calendar'!$K$2945*1000000000+ISNUMBER('Dvd Calendar'!$K$2946)*100000000+('Dvd Calendar'!$K$2950='Field Check'!$C$25)*10000000+(N('Dvd Calendar'!$K$2944)&gt;0)*1000000+56*1000+7))</f>
        <v/>
      </c>
      <c r="J212" s="41">
        <f>IF(N('Dvd Calendar'!$L$2945)=0,"",IF(('Dvd Calendar'!$L$2945&gt;=MIN(DATE(Summary!$C$12,1,1),Summary!$C$11))*('Dvd Calendar'!$L$2945&lt;=MAX(DATE(Summary!$C$12,12,31),Summary!$C$15))*('Dvd Calendar'!$L$2945&lt;=Summary!$C$11)=0,"",'Dvd Calendar'!$L$2945*1000000000+ISNUMBER('Dvd Calendar'!$L$2946)*100000000+('Dvd Calendar'!$L$2950='Field Check'!$C$25)*10000000+(N('Dvd Calendar'!$L$2944)&gt;0)*1000000+56*1000+8))</f>
        <v/>
      </c>
      <c r="K212" s="41">
        <f>IF(N('Dvd Calendar'!$M$2945)=0,"",IF(('Dvd Calendar'!$M$2945&gt;=MIN(DATE(Summary!$C$12,1,1),Summary!$C$11))*('Dvd Calendar'!$M$2945&lt;=MAX(DATE(Summary!$C$12,12,31),Summary!$C$15))*('Dvd Calendar'!$M$2945&lt;=Summary!$C$11)=0,"",'Dvd Calendar'!$M$2945*1000000000+ISNUMBER('Dvd Calendar'!$M$2946)*100000000+('Dvd Calendar'!$M$2950='Field Check'!$C$25)*10000000+(N('Dvd Calendar'!$M$2944)&gt;0)*1000000+56*1000+9))</f>
        <v/>
      </c>
      <c r="L212" s="41">
        <f>IF(N('Dvd Calendar'!$N$2945)=0,"",IF(('Dvd Calendar'!$N$2945&gt;=MIN(DATE(Summary!$C$12,1,1),Summary!$C$11))*('Dvd Calendar'!$N$2945&lt;=MAX(DATE(Summary!$C$12,12,31),Summary!$C$15))*('Dvd Calendar'!$N$2945&lt;=Summary!$C$11)=0,"",'Dvd Calendar'!$N$2945*1000000000+ISNUMBER('Dvd Calendar'!$N$2946)*100000000+('Dvd Calendar'!$N$2950='Field Check'!$C$25)*10000000+(N('Dvd Calendar'!$N$2944)&gt;0)*1000000+56*1000+10))</f>
        <v/>
      </c>
      <c r="M212" s="41">
        <f>IF(N('Dvd Calendar'!$O$2945)=0,"",IF(('Dvd Calendar'!$O$2945&gt;=MIN(DATE(Summary!$C$12,1,1),Summary!$C$11))*('Dvd Calendar'!$O$2945&lt;=MAX(DATE(Summary!$C$12,12,31),Summary!$C$15))*('Dvd Calendar'!$O$2945&lt;=Summary!$C$11)=0,"",'Dvd Calendar'!$O$2945*1000000000+ISNUMBER('Dvd Calendar'!$O$2946)*100000000+('Dvd Calendar'!$O$2950='Field Check'!$C$25)*10000000+(N('Dvd Calendar'!$O$2944)&gt;0)*1000000+56*1000+11))</f>
        <v/>
      </c>
      <c r="N212" s="41">
        <f>IF(N('Dvd Calendar'!$P$2945)=0,"",IF(('Dvd Calendar'!$P$2945&gt;=MIN(DATE(Summary!$C$12,1,1),Summary!$C$11))*('Dvd Calendar'!$P$2945&lt;=MAX(DATE(Summary!$C$12,12,31),Summary!$C$15))*('Dvd Calendar'!$P$2945&lt;=Summary!$C$11)=0,"",'Dvd Calendar'!$P$2945*1000000000+ISNUMBER('Dvd Calendar'!$P$2946)*100000000+('Dvd Calendar'!$P$2950='Field Check'!$C$25)*10000000+(N('Dvd Calendar'!$P$2944)&gt;0)*1000000+56*1000+12))</f>
        <v/>
      </c>
      <c r="O212" s="41">
        <f>IF(N('Dvd Calendar'!$Q$2945)=0,"",IF(('Dvd Calendar'!$Q$2945&gt;=MIN(DATE(Summary!$C$12,1,1),Summary!$C$11))*('Dvd Calendar'!$Q$2945&lt;=MAX(DATE(Summary!$C$12,12,31),Summary!$C$15))*('Dvd Calendar'!$Q$2945&lt;=Summary!$C$11)=0,"",'Dvd Calendar'!$Q$2945*1000000000+ISNUMBER('Dvd Calendar'!$Q$2946)*100000000+('Dvd Calendar'!$Q$2950='Field Check'!$C$25)*10000000+(N('Dvd Calendar'!$Q$2944)&gt;0)*1000000+56*1000+13))</f>
        <v/>
      </c>
      <c r="P212" s="41">
        <f>IF(N('Dvd Calendar'!$R$2945)=0,"",IF(('Dvd Calendar'!$R$2945&gt;=MIN(DATE(Summary!$C$12,1,1),Summary!$C$11))*('Dvd Calendar'!$R$2945&lt;=MAX(DATE(Summary!$C$12,12,31),Summary!$C$15))*('Dvd Calendar'!$R$2945&lt;=Summary!$C$11)=0,"",'Dvd Calendar'!$R$2945*1000000000+ISNUMBER('Dvd Calendar'!$R$2946)*100000000+('Dvd Calendar'!$R$2950='Field Check'!$C$25)*10000000+(N('Dvd Calendar'!$R$2944)&gt;0)*1000000+56*1000+14))</f>
        <v/>
      </c>
      <c r="Q212" s="41">
        <f>IF(N('Dvd Calendar'!$S$2945)=0,"",IF(('Dvd Calendar'!$S$2945&gt;=MIN(DATE(Summary!$C$12,1,1),Summary!$C$11))*('Dvd Calendar'!$S$2945&lt;=MAX(DATE(Summary!$C$12,12,31),Summary!$C$15))*('Dvd Calendar'!$S$2945&lt;=Summary!$C$11)=0,"",'Dvd Calendar'!$S$2945*1000000000+ISNUMBER('Dvd Calendar'!$S$2946)*100000000+('Dvd Calendar'!$S$2950='Field Check'!$C$25)*10000000+(N('Dvd Calendar'!$S$2944)&gt;0)*1000000+56*1000+15))</f>
        <v/>
      </c>
      <c r="R212" s="41">
        <f>IF(N('Dvd Calendar'!$T$2945)=0,"",IF(('Dvd Calendar'!$T$2945&gt;=MIN(DATE(Summary!$C$12,1,1),Summary!$C$11))*('Dvd Calendar'!$T$2945&lt;=MAX(DATE(Summary!$C$12,12,31),Summary!$C$15))*('Dvd Calendar'!$T$2945&lt;=Summary!$C$11)=0,"",'Dvd Calendar'!$T$2945*1000000000+ISNUMBER('Dvd Calendar'!$T$2946)*100000000+('Dvd Calendar'!$T$2950='Field Check'!$C$25)*10000000+(N('Dvd Calendar'!$T$2944)&gt;0)*1000000+56*1000+16))</f>
        <v/>
      </c>
      <c r="S212" s="41">
        <f>IF(N('Dvd Calendar'!$U$2945)=0,"",IF(('Dvd Calendar'!$U$2945&gt;=MIN(DATE(Summary!$C$12,1,1),Summary!$C$11))*('Dvd Calendar'!$U$2945&lt;=MAX(DATE(Summary!$C$12,12,31),Summary!$C$15))*('Dvd Calendar'!$U$2945&lt;=Summary!$C$11)=0,"",'Dvd Calendar'!$U$2945*1000000000+ISNUMBER('Dvd Calendar'!$U$2946)*100000000+('Dvd Calendar'!$U$2950='Field Check'!$C$25)*10000000+(N('Dvd Calendar'!$U$2944)&gt;0)*1000000+56*1000+17))</f>
        <v/>
      </c>
      <c r="T212" s="41">
        <f>IF(N('Dvd Calendar'!$V$2945)=0,"",IF(('Dvd Calendar'!$V$2945&gt;=MIN(DATE(Summary!$C$12,1,1),Summary!$C$11))*('Dvd Calendar'!$V$2945&lt;=MAX(DATE(Summary!$C$12,12,31),Summary!$C$15))*('Dvd Calendar'!$V$2945&lt;=Summary!$C$11)=0,"",'Dvd Calendar'!$V$2945*1000000000+ISNUMBER('Dvd Calendar'!$V$2946)*100000000+('Dvd Calendar'!$V$2950='Field Check'!$C$25)*10000000+(N('Dvd Calendar'!$V$2944)&gt;0)*1000000+56*1000+18))</f>
        <v/>
      </c>
      <c r="U212" s="41">
        <f>IF(N('Dvd Calendar'!$W$2945)=0,"",IF(('Dvd Calendar'!$W$2945&gt;=MIN(DATE(Summary!$C$12,1,1),Summary!$C$11))*('Dvd Calendar'!$W$2945&lt;=MAX(DATE(Summary!$C$12,12,31),Summary!$C$15))*('Dvd Calendar'!$W$2945&lt;=Summary!$C$11)=0,"",'Dvd Calendar'!$W$2945*1000000000+ISNUMBER('Dvd Calendar'!$W$2946)*100000000+('Dvd Calendar'!$W$2950='Field Check'!$C$25)*10000000+(N('Dvd Calendar'!$W$2944)&gt;0)*1000000+56*1000+19))</f>
        <v/>
      </c>
      <c r="V212" s="41">
        <f>IF(N('Dvd Calendar'!$X$2945)=0,"",IF(('Dvd Calendar'!$X$2945&gt;=MIN(DATE(Summary!$C$12,1,1),Summary!$C$11))*('Dvd Calendar'!$X$2945&lt;=MAX(DATE(Summary!$C$12,12,31),Summary!$C$15))*('Dvd Calendar'!$X$2945&lt;=Summary!$C$11)=0,"",'Dvd Calendar'!$X$2945*1000000000+ISNUMBER('Dvd Calendar'!$X$2946)*100000000+('Dvd Calendar'!$X$2950='Field Check'!$C$25)*10000000+(N('Dvd Calendar'!$X$2944)&gt;0)*1000000+56*1000+20))</f>
        <v/>
      </c>
      <c r="W212" s="41">
        <f>IF(N('Dvd Calendar'!$Y$2945)=0,"",IF(('Dvd Calendar'!$Y$2945&gt;=MIN(DATE(Summary!$C$12,1,1),Summary!$C$11))*('Dvd Calendar'!$Y$2945&lt;=MAX(DATE(Summary!$C$12,12,31),Summary!$C$15))*('Dvd Calendar'!$Y$2945&lt;=Summary!$C$11)=0,"",'Dvd Calendar'!$Y$2945*1000000000+ISNUMBER('Dvd Calendar'!$Y$2946)*100000000+('Dvd Calendar'!$Y$2950='Field Check'!$C$25)*10000000+(N('Dvd Calendar'!$Y$2944)&gt;0)*1000000+56*1000+21))</f>
        <v/>
      </c>
      <c r="X212" s="41">
        <f>IF(N('Dvd Calendar'!$Z$2945)=0,"",IF(('Dvd Calendar'!$Z$2945&gt;=MIN(DATE(Summary!$C$12,1,1),Summary!$C$11))*('Dvd Calendar'!$Z$2945&lt;=MAX(DATE(Summary!$C$12,12,31),Summary!$C$15))*('Dvd Calendar'!$Z$2945&lt;=Summary!$C$11)=0,"",'Dvd Calendar'!$Z$2945*1000000000+ISNUMBER('Dvd Calendar'!$Z$2946)*100000000+('Dvd Calendar'!$Z$2950='Field Check'!$C$25)*10000000+(N('Dvd Calendar'!$Z$2944)&gt;0)*1000000+56*1000+22))</f>
        <v/>
      </c>
      <c r="Y212" s="41">
        <f>IF(N('Dvd Calendar'!$AA$2945)=0,"",IF(('Dvd Calendar'!$AA$2945&gt;=MIN(DATE(Summary!$C$12,1,1),Summary!$C$11))*('Dvd Calendar'!$AA$2945&lt;=MAX(DATE(Summary!$C$12,12,31),Summary!$C$15))*('Dvd Calendar'!$AA$2945&lt;=Summary!$C$11)=0,"",'Dvd Calendar'!$AA$2945*1000000000+ISNUMBER('Dvd Calendar'!$AA$2946)*100000000+('Dvd Calendar'!$AA$2950='Field Check'!$C$25)*10000000+(N('Dvd Calendar'!$AA$2944)&gt;0)*1000000+56*1000+23))</f>
        <v/>
      </c>
      <c r="Z212" s="41">
        <f>IF(N('Dvd Calendar'!$AB$2945)=0,"",IF(('Dvd Calendar'!$AB$2945&gt;=MIN(DATE(Summary!$C$12,1,1),Summary!$C$11))*('Dvd Calendar'!$AB$2945&lt;=MAX(DATE(Summary!$C$12,12,31),Summary!$C$15))*('Dvd Calendar'!$AB$2945&lt;=Summary!$C$11)=0,"",'Dvd Calendar'!$AB$2945*1000000000+ISNUMBER('Dvd Calendar'!$AB$2946)*100000000+('Dvd Calendar'!$AB$2950='Field Check'!$C$25)*10000000+(N('Dvd Calendar'!$AB$2944)&gt;0)*1000000+56*1000+24))</f>
        <v/>
      </c>
      <c r="AA212" s="41">
        <f>IF(N('Dvd Calendar'!$AC$2945)=0,"",IF(('Dvd Calendar'!$AC$2945&gt;=MIN(DATE(Summary!$C$12,1,1),Summary!$C$11))*('Dvd Calendar'!$AC$2945&lt;=MAX(DATE(Summary!$C$12,12,31),Summary!$C$15))*('Dvd Calendar'!$AC$2945&lt;=Summary!$C$11)=0,"",'Dvd Calendar'!$AC$2945*1000000000+ISNUMBER('Dvd Calendar'!$AC$2946)*100000000+('Dvd Calendar'!$AC$2950='Field Check'!$C$25)*10000000+(N('Dvd Calendar'!$AC$2944)&gt;0)*1000000+56*1000+25))</f>
        <v/>
      </c>
      <c r="AB212" s="41">
        <f>IF(N('Dvd Calendar'!$AD$2945)=0,"",IF(('Dvd Calendar'!$AD$2945&gt;=MIN(DATE(Summary!$C$12,1,1),Summary!$C$11))*('Dvd Calendar'!$AD$2945&lt;=MAX(DATE(Summary!$C$12,12,31),Summary!$C$15))*('Dvd Calendar'!$AD$2945&lt;=Summary!$C$11)=0,"",'Dvd Calendar'!$AD$2945*1000000000+ISNUMBER('Dvd Calendar'!$AD$2946)*100000000+('Dvd Calendar'!$AD$2950='Field Check'!$C$25)*10000000+(N('Dvd Calendar'!$AD$2944)&gt;0)*1000000+56*1000+26))</f>
        <v/>
      </c>
      <c r="AC212" s="41">
        <f>IF(N('Dvd Calendar'!$AE$2945)=0,"",IF(('Dvd Calendar'!$AE$2945&gt;=MIN(DATE(Summary!$C$12,1,1),Summary!$C$11))*('Dvd Calendar'!$AE$2945&lt;=MAX(DATE(Summary!$C$12,12,31),Summary!$C$15))*('Dvd Calendar'!$AE$2945&lt;=Summary!$C$11)=0,"",'Dvd Calendar'!$AE$2945*1000000000+ISNUMBER('Dvd Calendar'!$AE$2946)*100000000+('Dvd Calendar'!$AE$2950='Field Check'!$C$25)*10000000+(N('Dvd Calendar'!$AE$2944)&gt;0)*1000000+56*1000+27))</f>
        <v/>
      </c>
      <c r="AD212" s="41">
        <f>IF(N('Dvd Calendar'!$AF$2945)=0,"",IF(('Dvd Calendar'!$AF$2945&gt;=MIN(DATE(Summary!$C$12,1,1),Summary!$C$11))*('Dvd Calendar'!$AF$2945&lt;=MAX(DATE(Summary!$C$12,12,31),Summary!$C$15))*('Dvd Calendar'!$AF$2945&lt;=Summary!$C$11)=0,"",'Dvd Calendar'!$AF$2945*1000000000+ISNUMBER('Dvd Calendar'!$AF$2946)*100000000+('Dvd Calendar'!$AF$2950='Field Check'!$C$25)*10000000+(N('Dvd Calendar'!$AF$2944)&gt;0)*1000000+56*1000+28))</f>
        <v/>
      </c>
      <c r="AE212" s="41">
        <f>IF(N('Dvd Calendar'!$AG$2945)=0,"",IF(('Dvd Calendar'!$AG$2945&gt;=MIN(DATE(Summary!$C$12,1,1),Summary!$C$11))*('Dvd Calendar'!$AG$2945&lt;=MAX(DATE(Summary!$C$12,12,31),Summary!$C$15))*('Dvd Calendar'!$AG$2945&lt;=Summary!$C$11)=0,"",'Dvd Calendar'!$AG$2945*1000000000+ISNUMBER('Dvd Calendar'!$AG$2946)*100000000+('Dvd Calendar'!$AG$2950='Field Check'!$C$25)*10000000+(N('Dvd Calendar'!$AG$2944)&gt;0)*1000000+56*1000+29))</f>
        <v/>
      </c>
      <c r="AF212" s="41">
        <f>IF(N('Dvd Calendar'!$AH$2945)=0,"",IF(('Dvd Calendar'!$AH$2945&gt;=MIN(DATE(Summary!$C$12,1,1),Summary!$C$11))*('Dvd Calendar'!$AH$2945&lt;=MAX(DATE(Summary!$C$12,12,31),Summary!$C$15))*('Dvd Calendar'!$AH$2945&lt;=Summary!$C$11)=0,"",'Dvd Calendar'!$AH$2945*1000000000+ISNUMBER('Dvd Calendar'!$AH$2946)*100000000+('Dvd Calendar'!$AH$2950='Field Check'!$C$25)*10000000+(N('Dvd Calendar'!$AH$2944)&gt;0)*1000000+56*1000+30))</f>
        <v/>
      </c>
      <c r="AG212" s="41">
        <f>IF(N('Dvd Calendar'!$AI$2945)=0,"",IF(('Dvd Calendar'!$AI$2945&gt;=MIN(DATE(Summary!$C$12,1,1),Summary!$C$11))*('Dvd Calendar'!$AI$2945&lt;=MAX(DATE(Summary!$C$12,12,31),Summary!$C$15))*('Dvd Calendar'!$AI$2945&lt;=Summary!$C$11)=0,"",'Dvd Calendar'!$AI$2945*1000000000+ISNUMBER('Dvd Calendar'!$AI$2946)*100000000+('Dvd Calendar'!$AI$2950='Field Check'!$C$25)*10000000+(N('Dvd Calendar'!$AI$2944)&gt;0)*1000000+56*1000+31))</f>
        <v/>
      </c>
      <c r="AH212" s="41">
        <f>IF(N('Dvd Calendar'!$AJ$2945)=0,"",IF(('Dvd Calendar'!$AJ$2945&gt;=MIN(DATE(Summary!$C$12,1,1),Summary!$C$11))*('Dvd Calendar'!$AJ$2945&lt;=MAX(DATE(Summary!$C$12,12,31),Summary!$C$15))*('Dvd Calendar'!$AJ$2945&lt;=Summary!$C$11)=0,"",'Dvd Calendar'!$AJ$2945*1000000000+ISNUMBER('Dvd Calendar'!$AJ$2946)*100000000+('Dvd Calendar'!$AJ$2950='Field Check'!$C$25)*10000000+(N('Dvd Calendar'!$AJ$2944)&gt;0)*1000000+56*1000+32))</f>
        <v/>
      </c>
      <c r="AI212" s="41">
        <f>IF(N('Dvd Calendar'!$AK$2945)=0,"",IF(('Dvd Calendar'!$AK$2945&gt;=MIN(DATE(Summary!$C$12,1,1),Summary!$C$11))*('Dvd Calendar'!$AK$2945&lt;=MAX(DATE(Summary!$C$12,12,31),Summary!$C$15))*('Dvd Calendar'!$AK$2945&lt;=Summary!$C$11)=0,"",'Dvd Calendar'!$AK$2945*1000000000+ISNUMBER('Dvd Calendar'!$AK$2946)*100000000+('Dvd Calendar'!$AK$2950='Field Check'!$C$25)*10000000+(N('Dvd Calendar'!$AK$2944)&gt;0)*1000000+56*1000+33))</f>
        <v/>
      </c>
      <c r="AJ212" s="41">
        <f>IF(N('Dvd Calendar'!$AL$2945)=0,"",IF(('Dvd Calendar'!$AL$2945&gt;=MIN(DATE(Summary!$C$12,1,1),Summary!$C$11))*('Dvd Calendar'!$AL$2945&lt;=MAX(DATE(Summary!$C$12,12,31),Summary!$C$15))*('Dvd Calendar'!$AL$2945&lt;=Summary!$C$11)=0,"",'Dvd Calendar'!$AL$2945*1000000000+ISNUMBER('Dvd Calendar'!$AL$2946)*100000000+('Dvd Calendar'!$AL$2950='Field Check'!$C$25)*10000000+(N('Dvd Calendar'!$AL$2944)&gt;0)*1000000+56*1000+34))</f>
        <v/>
      </c>
      <c r="AK212" s="41">
        <f>IF(N('Dvd Calendar'!$AM$2945)=0,"",IF(('Dvd Calendar'!$AM$2945&gt;=MIN(DATE(Summary!$C$12,1,1),Summary!$C$11))*('Dvd Calendar'!$AM$2945&lt;=MAX(DATE(Summary!$C$12,12,31),Summary!$C$15))*('Dvd Calendar'!$AM$2945&lt;=Summary!$C$11)=0,"",'Dvd Calendar'!$AM$2945*1000000000+ISNUMBER('Dvd Calendar'!$AM$2946)*100000000+('Dvd Calendar'!$AM$2950='Field Check'!$C$25)*10000000+(N('Dvd Calendar'!$AM$2944)&gt;0)*1000000+56*1000+35))</f>
        <v/>
      </c>
      <c r="AL212" s="41">
        <f>IF(N('Dvd Calendar'!$AN$2945)=0,"",IF(('Dvd Calendar'!$AN$2945&gt;=MIN(DATE(Summary!$C$12,1,1),Summary!$C$11))*('Dvd Calendar'!$AN$2945&lt;=MAX(DATE(Summary!$C$12,12,31),Summary!$C$15))*('Dvd Calendar'!$AN$2945&lt;=Summary!$C$11)=0,"",'Dvd Calendar'!$AN$2945*1000000000+ISNUMBER('Dvd Calendar'!$AN$2946)*100000000+('Dvd Calendar'!$AN$2950='Field Check'!$C$25)*10000000+(N('Dvd Calendar'!$AN$2944)&gt;0)*1000000+56*1000+36))</f>
        <v/>
      </c>
      <c r="AM212" s="41">
        <f>IF(N('Dvd Calendar'!$AO$2945)=0,"",IF(('Dvd Calendar'!$AO$2945&gt;=MIN(DATE(Summary!$C$12,1,1),Summary!$C$11))*('Dvd Calendar'!$AO$2945&lt;=MAX(DATE(Summary!$C$12,12,31),Summary!$C$15))*('Dvd Calendar'!$AO$2945&lt;=Summary!$C$11)=0,"",'Dvd Calendar'!$AO$2945*1000000000+ISNUMBER('Dvd Calendar'!$AO$2946)*100000000+('Dvd Calendar'!$AO$2950='Field Check'!$C$25)*10000000+(N('Dvd Calendar'!$AO$2944)&gt;0)*1000000+56*1000+37))</f>
        <v/>
      </c>
      <c r="AN212" s="41">
        <f>IF(N('Dvd Calendar'!$AP$2945)=0,"",IF(('Dvd Calendar'!$AP$2945&gt;=MIN(DATE(Summary!$C$12,1,1),Summary!$C$11))*('Dvd Calendar'!$AP$2945&lt;=MAX(DATE(Summary!$C$12,12,31),Summary!$C$15))*('Dvd Calendar'!$AP$2945&lt;=Summary!$C$11)=0,"",'Dvd Calendar'!$AP$2945*1000000000+ISNUMBER('Dvd Calendar'!$AP$2946)*100000000+('Dvd Calendar'!$AP$2950='Field Check'!$C$25)*10000000+(N('Dvd Calendar'!$AP$2944)&gt;0)*1000000+56*1000+38))</f>
        <v/>
      </c>
      <c r="AO212" s="41">
        <f>IF(N('Dvd Calendar'!$AQ$2945)=0,"",IF(('Dvd Calendar'!$AQ$2945&gt;=MIN(DATE(Summary!$C$12,1,1),Summary!$C$11))*('Dvd Calendar'!$AQ$2945&lt;=MAX(DATE(Summary!$C$12,12,31),Summary!$C$15))*('Dvd Calendar'!$AQ$2945&lt;=Summary!$C$11)=0,"",'Dvd Calendar'!$AQ$2945*1000000000+ISNUMBER('Dvd Calendar'!$AQ$2946)*100000000+('Dvd Calendar'!$AQ$2950='Field Check'!$C$25)*10000000+(N('Dvd Calendar'!$AQ$2944)&gt;0)*1000000+56*1000+39))</f>
        <v/>
      </c>
      <c r="AP212" s="41">
        <f>IF(N('Dvd Calendar'!$AR$2945)=0,"",IF(('Dvd Calendar'!$AR$2945&gt;=MIN(DATE(Summary!$C$12,1,1),Summary!$C$11))*('Dvd Calendar'!$AR$2945&lt;=MAX(DATE(Summary!$C$12,12,31),Summary!$C$15))*('Dvd Calendar'!$AR$2945&lt;=Summary!$C$11)=0,"",'Dvd Calendar'!$AR$2945*1000000000+ISNUMBER('Dvd Calendar'!$AR$2946)*100000000+('Dvd Calendar'!$AR$2950='Field Check'!$C$25)*10000000+(N('Dvd Calendar'!$AR$2944)&gt;0)*1000000+56*1000+40))</f>
        <v/>
      </c>
      <c r="AQ212" s="41">
        <f>IF(N('Dvd Calendar'!$E$2952)=0,"",IF(('Dvd Calendar'!$E$2952&gt;=MIN(DATE(Summary!$C$12,1,1),Summary!$C$11))*('Dvd Calendar'!$E$2952&lt;=MAX(DATE(Summary!$C$12,12,31),Summary!$C$15))*('Dvd Calendar'!$E$2952&gt;Summary!$C$11)=0,"",'Dvd Calendar'!$E$2952*1000000000+ISNUMBER('Dvd Calendar'!$E$2953)*100000000+('Dvd Calendar'!$E$2957='Field Check'!$C$25)*10000000+(N('Dvd Calendar'!$E$2951)&gt;0)*1000000+56*1000+41))</f>
        <v/>
      </c>
      <c r="AR212" s="41">
        <f>IF(N('Dvd Calendar'!$F$2952)=0,"",IF(('Dvd Calendar'!$F$2952&gt;=MIN(DATE(Summary!$C$12,1,1),Summary!$C$11))*('Dvd Calendar'!$F$2952&lt;=MAX(DATE(Summary!$C$12,12,31),Summary!$C$15))*('Dvd Calendar'!$F$2952&gt;Summary!$C$11)=0,"",'Dvd Calendar'!$F$2952*1000000000+ISNUMBER('Dvd Calendar'!$F$2953)*100000000+('Dvd Calendar'!$F$2957='Field Check'!$C$25)*10000000+(N('Dvd Calendar'!$F$2951)&gt;0)*1000000+56*1000+42))</f>
        <v/>
      </c>
      <c r="AS212" s="41">
        <f>IF(N('Dvd Calendar'!$G$2952)=0,"",IF(('Dvd Calendar'!$G$2952&gt;=MIN(DATE(Summary!$C$12,1,1),Summary!$C$11))*('Dvd Calendar'!$G$2952&lt;=MAX(DATE(Summary!$C$12,12,31),Summary!$C$15))*('Dvd Calendar'!$G$2952&gt;Summary!$C$11)=0,"",'Dvd Calendar'!$G$2952*1000000000+ISNUMBER('Dvd Calendar'!$G$2953)*100000000+('Dvd Calendar'!$G$2957='Field Check'!$C$25)*10000000+(N('Dvd Calendar'!$G$2951)&gt;0)*1000000+56*1000+43))</f>
        <v/>
      </c>
      <c r="AT212" s="41">
        <f>IF(N('Dvd Calendar'!$H$2952)=0,"",IF(('Dvd Calendar'!$H$2952&gt;=MIN(DATE(Summary!$C$12,1,1),Summary!$C$11))*('Dvd Calendar'!$H$2952&lt;=MAX(DATE(Summary!$C$12,12,31),Summary!$C$15))*('Dvd Calendar'!$H$2952&gt;Summary!$C$11)=0,"",'Dvd Calendar'!$H$2952*1000000000+ISNUMBER('Dvd Calendar'!$H$2953)*100000000+('Dvd Calendar'!$H$2957='Field Check'!$C$25)*10000000+(N('Dvd Calendar'!$H$2951)&gt;0)*1000000+56*1000+44))</f>
        <v/>
      </c>
      <c r="AU212" s="41">
        <f>IF(N('Dvd Calendar'!$I$2952)=0,"",IF(('Dvd Calendar'!$I$2952&gt;=MIN(DATE(Summary!$C$12,1,1),Summary!$C$11))*('Dvd Calendar'!$I$2952&lt;=MAX(DATE(Summary!$C$12,12,31),Summary!$C$15))*('Dvd Calendar'!$I$2952&gt;Summary!$C$11)=0,"",'Dvd Calendar'!$I$2952*1000000000+ISNUMBER('Dvd Calendar'!$I$2953)*100000000+('Dvd Calendar'!$I$2957='Field Check'!$C$25)*10000000+(N('Dvd Calendar'!$I$2951)&gt;0)*1000000+56*1000+45))</f>
        <v/>
      </c>
      <c r="AV212" s="41">
        <f>IF(N('Dvd Calendar'!$J$2952)=0,"",IF(('Dvd Calendar'!$J$2952&gt;=MIN(DATE(Summary!$C$12,1,1),Summary!$C$11))*('Dvd Calendar'!$J$2952&lt;=MAX(DATE(Summary!$C$12,12,31),Summary!$C$15))*('Dvd Calendar'!$J$2952&gt;Summary!$C$11)=0,"",'Dvd Calendar'!$J$2952*1000000000+ISNUMBER('Dvd Calendar'!$J$2953)*100000000+('Dvd Calendar'!$J$2957='Field Check'!$C$25)*10000000+(N('Dvd Calendar'!$J$2951)&gt;0)*1000000+56*1000+46))</f>
        <v/>
      </c>
      <c r="AW212" s="41">
        <f>IF(N('Dvd Calendar'!$K$2952)=0,"",IF(('Dvd Calendar'!$K$2952&gt;=MIN(DATE(Summary!$C$12,1,1),Summary!$C$11))*('Dvd Calendar'!$K$2952&lt;=MAX(DATE(Summary!$C$12,12,31),Summary!$C$15))*('Dvd Calendar'!$K$2952&gt;Summary!$C$11)=0,"",'Dvd Calendar'!$K$2952*1000000000+ISNUMBER('Dvd Calendar'!$K$2953)*100000000+('Dvd Calendar'!$K$2957='Field Check'!$C$25)*10000000+(N('Dvd Calendar'!$K$2951)&gt;0)*1000000+56*1000+47))</f>
        <v/>
      </c>
      <c r="AX212" s="41">
        <f>IF(N('Dvd Calendar'!$L$2952)=0,"",IF(('Dvd Calendar'!$L$2952&gt;=MIN(DATE(Summary!$C$12,1,1),Summary!$C$11))*('Dvd Calendar'!$L$2952&lt;=MAX(DATE(Summary!$C$12,12,31),Summary!$C$15))*('Dvd Calendar'!$L$2952&gt;Summary!$C$11)=0,"",'Dvd Calendar'!$L$2952*1000000000+ISNUMBER('Dvd Calendar'!$L$2953)*100000000+('Dvd Calendar'!$L$2957='Field Check'!$C$25)*10000000+(N('Dvd Calendar'!$L$2951)&gt;0)*1000000+56*1000+48))</f>
        <v/>
      </c>
      <c r="AY212" s="41">
        <f>IF(N('Dvd Calendar'!$M$2952)=0,"",IF(('Dvd Calendar'!$M$2952&gt;=MIN(DATE(Summary!$C$12,1,1),Summary!$C$11))*('Dvd Calendar'!$M$2952&lt;=MAX(DATE(Summary!$C$12,12,31),Summary!$C$15))*('Dvd Calendar'!$M$2952&gt;Summary!$C$11)=0,"",'Dvd Calendar'!$M$2952*1000000000+ISNUMBER('Dvd Calendar'!$M$2953)*100000000+('Dvd Calendar'!$M$2957='Field Check'!$C$25)*10000000+(N('Dvd Calendar'!$M$2951)&gt;0)*1000000+56*1000+49))</f>
        <v/>
      </c>
      <c r="AZ212" s="41">
        <f>IF(N('Dvd Calendar'!$N$2952)=0,"",IF(('Dvd Calendar'!$N$2952&gt;=MIN(DATE(Summary!$C$12,1,1),Summary!$C$11))*('Dvd Calendar'!$N$2952&lt;=MAX(DATE(Summary!$C$12,12,31),Summary!$C$15))*('Dvd Calendar'!$N$2952&gt;Summary!$C$11)=0,"",'Dvd Calendar'!$N$2952*1000000000+ISNUMBER('Dvd Calendar'!$N$2953)*100000000+('Dvd Calendar'!$N$2957='Field Check'!$C$25)*10000000+(N('Dvd Calendar'!$N$2951)&gt;0)*1000000+56*1000+50))</f>
        <v/>
      </c>
      <c r="BA212" s="41">
        <f>IF(N('Dvd Calendar'!$O$2952)=0,"",IF(('Dvd Calendar'!$O$2952&gt;=MIN(DATE(Summary!$C$12,1,1),Summary!$C$11))*('Dvd Calendar'!$O$2952&lt;=MAX(DATE(Summary!$C$12,12,31),Summary!$C$15))*('Dvd Calendar'!$O$2952&gt;Summary!$C$11)=0,"",'Dvd Calendar'!$O$2952*1000000000+ISNUMBER('Dvd Calendar'!$O$2953)*100000000+('Dvd Calendar'!$O$2957='Field Check'!$C$25)*10000000+(N('Dvd Calendar'!$O$2951)&gt;0)*1000000+56*1000+51))</f>
        <v/>
      </c>
      <c r="BB212" s="41">
        <f>IF(N('Dvd Calendar'!$P$2952)=0,"",IF(('Dvd Calendar'!$P$2952&gt;=MIN(DATE(Summary!$C$12,1,1),Summary!$C$11))*('Dvd Calendar'!$P$2952&lt;=MAX(DATE(Summary!$C$12,12,31),Summary!$C$15))*('Dvd Calendar'!$P$2952&gt;Summary!$C$11)=0,"",'Dvd Calendar'!$P$2952*1000000000+ISNUMBER('Dvd Calendar'!$P$2953)*100000000+('Dvd Calendar'!$P$2957='Field Check'!$C$25)*10000000+(N('Dvd Calendar'!$P$2951)&gt;0)*1000000+56*1000+52))</f>
        <v/>
      </c>
      <c r="BC212" s="41">
        <f>IF(N('Dvd Calendar'!$Q$2952)=0,"",IF(('Dvd Calendar'!$Q$2952&gt;=MIN(DATE(Summary!$C$12,1,1),Summary!$C$11))*('Dvd Calendar'!$Q$2952&lt;=MAX(DATE(Summary!$C$12,12,31),Summary!$C$15))*('Dvd Calendar'!$Q$2952&gt;Summary!$C$11)=0,"",'Dvd Calendar'!$Q$2952*1000000000+ISNUMBER('Dvd Calendar'!$Q$2953)*100000000+('Dvd Calendar'!$Q$2957='Field Check'!$C$25)*10000000+(N('Dvd Calendar'!$Q$2951)&gt;0)*1000000+56*1000+53))</f>
        <v/>
      </c>
      <c r="BD212" s="41">
        <f>IF(N('Dvd Calendar'!$R$2952)=0,"",IF(('Dvd Calendar'!$R$2952&gt;=MIN(DATE(Summary!$C$12,1,1),Summary!$C$11))*('Dvd Calendar'!$R$2952&lt;=MAX(DATE(Summary!$C$12,12,31),Summary!$C$15))*('Dvd Calendar'!$R$2952&gt;Summary!$C$11)=0,"",'Dvd Calendar'!$R$2952*1000000000+ISNUMBER('Dvd Calendar'!$R$2953)*100000000+('Dvd Calendar'!$R$2957='Field Check'!$C$25)*10000000+(N('Dvd Calendar'!$R$2951)&gt;0)*1000000+56*1000+54))</f>
        <v/>
      </c>
      <c r="BE212" s="41">
        <f>IF(N('Dvd Calendar'!$S$2952)=0,"",IF(('Dvd Calendar'!$S$2952&gt;=MIN(DATE(Summary!$C$12,1,1),Summary!$C$11))*('Dvd Calendar'!$S$2952&lt;=MAX(DATE(Summary!$C$12,12,31),Summary!$C$15))*('Dvd Calendar'!$S$2952&gt;Summary!$C$11)=0,"",'Dvd Calendar'!$S$2952*1000000000+ISNUMBER('Dvd Calendar'!$S$2953)*100000000+('Dvd Calendar'!$S$2957='Field Check'!$C$25)*10000000+(N('Dvd Calendar'!$S$2951)&gt;0)*1000000+56*1000+55))</f>
        <v/>
      </c>
      <c r="BF212" s="41">
        <f>IF(N('Dvd Calendar'!$T$2952)=0,"",IF(('Dvd Calendar'!$T$2952&gt;=MIN(DATE(Summary!$C$12,1,1),Summary!$C$11))*('Dvd Calendar'!$T$2952&lt;=MAX(DATE(Summary!$C$12,12,31),Summary!$C$15))*('Dvd Calendar'!$T$2952&gt;Summary!$C$11)=0,"",'Dvd Calendar'!$T$2952*1000000000+ISNUMBER('Dvd Calendar'!$T$2953)*100000000+('Dvd Calendar'!$T$2957='Field Check'!$C$25)*10000000+(N('Dvd Calendar'!$T$2951)&gt;0)*1000000+56*1000+56))</f>
        <v/>
      </c>
      <c r="BG212" s="41">
        <f>IF(N('Dvd Calendar'!$U$2952)=0,"",IF(('Dvd Calendar'!$U$2952&gt;=MIN(DATE(Summary!$C$12,1,1),Summary!$C$11))*('Dvd Calendar'!$U$2952&lt;=MAX(DATE(Summary!$C$12,12,31),Summary!$C$15))*('Dvd Calendar'!$U$2952&gt;Summary!$C$11)=0,"",'Dvd Calendar'!$U$2952*1000000000+ISNUMBER('Dvd Calendar'!$U$2953)*100000000+('Dvd Calendar'!$U$2957='Field Check'!$C$25)*10000000+(N('Dvd Calendar'!$U$2951)&gt;0)*1000000+56*1000+57))</f>
        <v/>
      </c>
      <c r="BH212" s="41">
        <f>IF(N('Dvd Calendar'!$V$2952)=0,"",IF(('Dvd Calendar'!$V$2952&gt;=MIN(DATE(Summary!$C$12,1,1),Summary!$C$11))*('Dvd Calendar'!$V$2952&lt;=MAX(DATE(Summary!$C$12,12,31),Summary!$C$15))*('Dvd Calendar'!$V$2952&gt;Summary!$C$11)=0,"",'Dvd Calendar'!$V$2952*1000000000+ISNUMBER('Dvd Calendar'!$V$2953)*100000000+('Dvd Calendar'!$V$2957='Field Check'!$C$25)*10000000+(N('Dvd Calendar'!$V$2951)&gt;0)*1000000+56*1000+58))</f>
        <v/>
      </c>
      <c r="BI212" s="41">
        <f>IF(N('Dvd Calendar'!$W$2952)=0,"",IF(('Dvd Calendar'!$W$2952&gt;=MIN(DATE(Summary!$C$12,1,1),Summary!$C$11))*('Dvd Calendar'!$W$2952&lt;=MAX(DATE(Summary!$C$12,12,31),Summary!$C$15))*('Dvd Calendar'!$W$2952&gt;Summary!$C$11)=0,"",'Dvd Calendar'!$W$2952*1000000000+ISNUMBER('Dvd Calendar'!$W$2953)*100000000+('Dvd Calendar'!$W$2957='Field Check'!$C$25)*10000000+(N('Dvd Calendar'!$W$2951)&gt;0)*1000000+56*1000+59))</f>
        <v/>
      </c>
      <c r="BJ212" s="41">
        <f>IF(N('Dvd Calendar'!$X$2952)=0,"",IF(('Dvd Calendar'!$X$2952&gt;=MIN(DATE(Summary!$C$12,1,1),Summary!$C$11))*('Dvd Calendar'!$X$2952&lt;=MAX(DATE(Summary!$C$12,12,31),Summary!$C$15))*('Dvd Calendar'!$X$2952&gt;Summary!$C$11)=0,"",'Dvd Calendar'!$X$2952*1000000000+ISNUMBER('Dvd Calendar'!$X$2953)*100000000+('Dvd Calendar'!$X$2957='Field Check'!$C$25)*10000000+(N('Dvd Calendar'!$X$2951)&gt;0)*1000000+56*1000+60))</f>
        <v/>
      </c>
      <c r="BK212" s="41">
        <f>IF(N('Dvd Calendar'!$Y$2952)=0,"",IF(('Dvd Calendar'!$Y$2952&gt;=MIN(DATE(Summary!$C$12,1,1),Summary!$C$11))*('Dvd Calendar'!$Y$2952&lt;=MAX(DATE(Summary!$C$12,12,31),Summary!$C$15))*('Dvd Calendar'!$Y$2952&gt;Summary!$C$11)=0,"",'Dvd Calendar'!$Y$2952*1000000000+ISNUMBER('Dvd Calendar'!$Y$2953)*100000000+('Dvd Calendar'!$Y$2957='Field Check'!$C$25)*10000000+(N('Dvd Calendar'!$Y$2951)&gt;0)*1000000+56*1000+61))</f>
        <v/>
      </c>
      <c r="BL212" s="41">
        <f>IF(N('Dvd Calendar'!$Z$2952)=0,"",IF(('Dvd Calendar'!$Z$2952&gt;=MIN(DATE(Summary!$C$12,1,1),Summary!$C$11))*('Dvd Calendar'!$Z$2952&lt;=MAX(DATE(Summary!$C$12,12,31),Summary!$C$15))*('Dvd Calendar'!$Z$2952&gt;Summary!$C$11)=0,"",'Dvd Calendar'!$Z$2952*1000000000+ISNUMBER('Dvd Calendar'!$Z$2953)*100000000+('Dvd Calendar'!$Z$2957='Field Check'!$C$25)*10000000+(N('Dvd Calendar'!$Z$2951)&gt;0)*1000000+56*1000+62))</f>
        <v/>
      </c>
      <c r="BM212" s="41">
        <f>IF(N('Dvd Calendar'!$AA$2952)=0,"",IF(('Dvd Calendar'!$AA$2952&gt;=MIN(DATE(Summary!$C$12,1,1),Summary!$C$11))*('Dvd Calendar'!$AA$2952&lt;=MAX(DATE(Summary!$C$12,12,31),Summary!$C$15))*('Dvd Calendar'!$AA$2952&gt;Summary!$C$11)=0,"",'Dvd Calendar'!$AA$2952*1000000000+ISNUMBER('Dvd Calendar'!$AA$2953)*100000000+('Dvd Calendar'!$AA$2957='Field Check'!$C$25)*10000000+(N('Dvd Calendar'!$AA$2951)&gt;0)*1000000+56*1000+63))</f>
        <v/>
      </c>
      <c r="BN212" s="41">
        <f>IF(N('Dvd Calendar'!$AB$2952)=0,"",IF(('Dvd Calendar'!$AB$2952&gt;=MIN(DATE(Summary!$C$12,1,1),Summary!$C$11))*('Dvd Calendar'!$AB$2952&lt;=MAX(DATE(Summary!$C$12,12,31),Summary!$C$15))*('Dvd Calendar'!$AB$2952&gt;Summary!$C$11)=0,"",'Dvd Calendar'!$AB$2952*1000000000+ISNUMBER('Dvd Calendar'!$AB$2953)*100000000+('Dvd Calendar'!$AB$2957='Field Check'!$C$25)*10000000+(N('Dvd Calendar'!$AB$2951)&gt;0)*1000000+56*1000+64))</f>
        <v/>
      </c>
      <c r="BO212" s="41">
        <f>IF(N('Dvd Calendar'!$AC$2952)=0,"",IF(('Dvd Calendar'!$AC$2952&gt;=MIN(DATE(Summary!$C$12,1,1),Summary!$C$11))*('Dvd Calendar'!$AC$2952&lt;=MAX(DATE(Summary!$C$12,12,31),Summary!$C$15))*('Dvd Calendar'!$AC$2952&gt;Summary!$C$11)=0,"",'Dvd Calendar'!$AC$2952*1000000000+ISNUMBER('Dvd Calendar'!$AC$2953)*100000000+('Dvd Calendar'!$AC$2957='Field Check'!$C$25)*10000000+(N('Dvd Calendar'!$AC$2951)&gt;0)*1000000+56*1000+65))</f>
        <v/>
      </c>
      <c r="BQ212" s="85">
        <f>IF(C212="","",IF(ISNUMBER('Dvd Calendar'!$E$2946)=FALSE,"",IF((Summary!$C$13="N")*('Dvd Calendar'!$E$2950='Field Check'!$C$25)&gt;0,"",'Dvd Calendar'!$E$2946)))</f>
        <v/>
      </c>
      <c r="BR212" s="85">
        <f>IF(D212="","",IF(ISNUMBER('Dvd Calendar'!$F$2946)=FALSE,"",IF((Summary!$C$13="N")*('Dvd Calendar'!$F$2950='Field Check'!$C$25)&gt;0,"",'Dvd Calendar'!$F$2946)))</f>
        <v/>
      </c>
      <c r="BS212" s="85">
        <f>IF(E212="","",IF(ISNUMBER('Dvd Calendar'!$G$2946)=FALSE,"",IF((Summary!$C$13="N")*('Dvd Calendar'!$G$2950='Field Check'!$C$25)&gt;0,"",'Dvd Calendar'!$G$2946)))</f>
        <v/>
      </c>
      <c r="BT212" s="85">
        <f>IF(F212="","",IF(ISNUMBER('Dvd Calendar'!$H$2946)=FALSE,"",IF((Summary!$C$13="N")*('Dvd Calendar'!$H$2950='Field Check'!$C$25)&gt;0,"",'Dvd Calendar'!$H$2946)))</f>
        <v/>
      </c>
      <c r="BU212" s="85">
        <f>IF(G212="","",IF(ISNUMBER('Dvd Calendar'!$I$2946)=FALSE,"",IF((Summary!$C$13="N")*('Dvd Calendar'!$I$2950='Field Check'!$C$25)&gt;0,"",'Dvd Calendar'!$I$2946)))</f>
        <v/>
      </c>
      <c r="BV212" s="85">
        <f>IF(H212="","",IF(ISNUMBER('Dvd Calendar'!$J$2946)=FALSE,"",IF((Summary!$C$13="N")*('Dvd Calendar'!$J$2950='Field Check'!$C$25)&gt;0,"",'Dvd Calendar'!$J$2946)))</f>
        <v/>
      </c>
      <c r="BW212" s="85">
        <f>IF(I212="","",IF(ISNUMBER('Dvd Calendar'!$K$2946)=FALSE,"",IF((Summary!$C$13="N")*('Dvd Calendar'!$K$2950='Field Check'!$C$25)&gt;0,"",'Dvd Calendar'!$K$2946)))</f>
        <v/>
      </c>
      <c r="BX212" s="85">
        <f>IF(J212="","",IF(ISNUMBER('Dvd Calendar'!$L$2946)=FALSE,"",IF((Summary!$C$13="N")*('Dvd Calendar'!$L$2950='Field Check'!$C$25)&gt;0,"",'Dvd Calendar'!$L$2946)))</f>
        <v/>
      </c>
      <c r="BY212" s="85">
        <f>IF(K212="","",IF(ISNUMBER('Dvd Calendar'!$M$2946)=FALSE,"",IF((Summary!$C$13="N")*('Dvd Calendar'!$M$2950='Field Check'!$C$25)&gt;0,"",'Dvd Calendar'!$M$2946)))</f>
        <v/>
      </c>
      <c r="BZ212" s="85">
        <f>IF(L212="","",IF(ISNUMBER('Dvd Calendar'!$N$2946)=FALSE,"",IF((Summary!$C$13="N")*('Dvd Calendar'!$N$2950='Field Check'!$C$25)&gt;0,"",'Dvd Calendar'!$N$2946)))</f>
        <v/>
      </c>
      <c r="CA212" s="85">
        <f>IF(M212="","",IF(ISNUMBER('Dvd Calendar'!$O$2946)=FALSE,"",IF((Summary!$C$13="N")*('Dvd Calendar'!$O$2950='Field Check'!$C$25)&gt;0,"",'Dvd Calendar'!$O$2946)))</f>
        <v/>
      </c>
      <c r="CB212" s="85">
        <f>IF(N212="","",IF(ISNUMBER('Dvd Calendar'!$P$2946)=FALSE,"",IF((Summary!$C$13="N")*('Dvd Calendar'!$P$2950='Field Check'!$C$25)&gt;0,"",'Dvd Calendar'!$P$2946)))</f>
        <v/>
      </c>
      <c r="CC212" s="85">
        <f>IF(O212="","",IF(ISNUMBER('Dvd Calendar'!$Q$2946)=FALSE,"",IF((Summary!$C$13="N")*('Dvd Calendar'!$Q$2950='Field Check'!$C$25)&gt;0,"",'Dvd Calendar'!$Q$2946)))</f>
        <v/>
      </c>
      <c r="CD212" s="85">
        <f>IF(P212="","",IF(ISNUMBER('Dvd Calendar'!$R$2946)=FALSE,"",IF((Summary!$C$13="N")*('Dvd Calendar'!$R$2950='Field Check'!$C$25)&gt;0,"",'Dvd Calendar'!$R$2946)))</f>
        <v/>
      </c>
      <c r="CE212" s="85">
        <f>IF(Q212="","",IF(ISNUMBER('Dvd Calendar'!$S$2946)=FALSE,"",IF((Summary!$C$13="N")*('Dvd Calendar'!$S$2950='Field Check'!$C$25)&gt;0,"",'Dvd Calendar'!$S$2946)))</f>
        <v/>
      </c>
      <c r="CF212" s="85">
        <f>IF(R212="","",IF(ISNUMBER('Dvd Calendar'!$T$2946)=FALSE,"",IF((Summary!$C$13="N")*('Dvd Calendar'!$T$2950='Field Check'!$C$25)&gt;0,"",'Dvd Calendar'!$T$2946)))</f>
        <v/>
      </c>
      <c r="CG212" s="85">
        <f>IF(S212="","",IF(ISNUMBER('Dvd Calendar'!$U$2946)=FALSE,"",IF((Summary!$C$13="N")*('Dvd Calendar'!$U$2950='Field Check'!$C$25)&gt;0,"",'Dvd Calendar'!$U$2946)))</f>
        <v/>
      </c>
      <c r="CH212" s="85">
        <f>IF(T212="","",IF(ISNUMBER('Dvd Calendar'!$V$2946)=FALSE,"",IF((Summary!$C$13="N")*('Dvd Calendar'!$V$2950='Field Check'!$C$25)&gt;0,"",'Dvd Calendar'!$V$2946)))</f>
        <v/>
      </c>
      <c r="CI212" s="85">
        <f>IF(U212="","",IF(ISNUMBER('Dvd Calendar'!$W$2946)=FALSE,"",IF((Summary!$C$13="N")*('Dvd Calendar'!$W$2950='Field Check'!$C$25)&gt;0,"",'Dvd Calendar'!$W$2946)))</f>
        <v/>
      </c>
      <c r="CJ212" s="85">
        <f>IF(V212="","",IF(ISNUMBER('Dvd Calendar'!$X$2946)=FALSE,"",IF((Summary!$C$13="N")*('Dvd Calendar'!$X$2950='Field Check'!$C$25)&gt;0,"",'Dvd Calendar'!$X$2946)))</f>
        <v/>
      </c>
      <c r="CK212" s="85">
        <f>IF(W212="","",IF(ISNUMBER('Dvd Calendar'!$Y$2946)=FALSE,"",IF((Summary!$C$13="N")*('Dvd Calendar'!$Y$2950='Field Check'!$C$25)&gt;0,"",'Dvd Calendar'!$Y$2946)))</f>
        <v/>
      </c>
      <c r="CL212" s="85">
        <f>IF(X212="","",IF(ISNUMBER('Dvd Calendar'!$Z$2946)=FALSE,"",IF((Summary!$C$13="N")*('Dvd Calendar'!$Z$2950='Field Check'!$C$25)&gt;0,"",'Dvd Calendar'!$Z$2946)))</f>
        <v/>
      </c>
      <c r="CM212" s="85">
        <f>IF(Y212="","",IF(ISNUMBER('Dvd Calendar'!$AA$2946)=FALSE,"",IF((Summary!$C$13="N")*('Dvd Calendar'!$AA$2950='Field Check'!$C$25)&gt;0,"",'Dvd Calendar'!$AA$2946)))</f>
        <v/>
      </c>
      <c r="CN212" s="85">
        <f>IF(Z212="","",IF(ISNUMBER('Dvd Calendar'!$AB$2946)=FALSE,"",IF((Summary!$C$13="N")*('Dvd Calendar'!$AB$2950='Field Check'!$C$25)&gt;0,"",'Dvd Calendar'!$AB$2946)))</f>
        <v/>
      </c>
      <c r="CO212" s="85">
        <f>IF(AA212="","",IF(ISNUMBER('Dvd Calendar'!$AC$2946)=FALSE,"",IF((Summary!$C$13="N")*('Dvd Calendar'!$AC$2950='Field Check'!$C$25)&gt;0,"",'Dvd Calendar'!$AC$2946)))</f>
        <v/>
      </c>
      <c r="CP212" s="85">
        <f>IF(AB212="","",IF(ISNUMBER('Dvd Calendar'!$AD$2946)=FALSE,"",IF((Summary!$C$13="N")*('Dvd Calendar'!$AD$2950='Field Check'!$C$25)&gt;0,"",'Dvd Calendar'!$AD$2946)))</f>
        <v/>
      </c>
      <c r="CQ212" s="85">
        <f>IF(AC212="","",IF(ISNUMBER('Dvd Calendar'!$AE$2946)=FALSE,"",IF((Summary!$C$13="N")*('Dvd Calendar'!$AE$2950='Field Check'!$C$25)&gt;0,"",'Dvd Calendar'!$AE$2946)))</f>
        <v/>
      </c>
      <c r="CR212" s="85">
        <f>IF(AD212="","",IF(ISNUMBER('Dvd Calendar'!$AF$2946)=FALSE,"",IF((Summary!$C$13="N")*('Dvd Calendar'!$AF$2950='Field Check'!$C$25)&gt;0,"",'Dvd Calendar'!$AF$2946)))</f>
        <v/>
      </c>
      <c r="CS212" s="85">
        <f>IF(AE212="","",IF(ISNUMBER('Dvd Calendar'!$AG$2946)=FALSE,"",IF((Summary!$C$13="N")*('Dvd Calendar'!$AG$2950='Field Check'!$C$25)&gt;0,"",'Dvd Calendar'!$AG$2946)))</f>
        <v/>
      </c>
      <c r="CT212" s="85">
        <f>IF(AF212="","",IF(ISNUMBER('Dvd Calendar'!$AH$2946)=FALSE,"",IF((Summary!$C$13="N")*('Dvd Calendar'!$AH$2950='Field Check'!$C$25)&gt;0,"",'Dvd Calendar'!$AH$2946)))</f>
        <v/>
      </c>
      <c r="CU212" s="85">
        <f>IF(AG212="","",IF(ISNUMBER('Dvd Calendar'!$AI$2946)=FALSE,"",IF((Summary!$C$13="N")*('Dvd Calendar'!$AI$2950='Field Check'!$C$25)&gt;0,"",'Dvd Calendar'!$AI$2946)))</f>
        <v/>
      </c>
      <c r="CV212" s="85">
        <f>IF(AH212="","",IF(ISNUMBER('Dvd Calendar'!$AJ$2946)=FALSE,"",IF((Summary!$C$13="N")*('Dvd Calendar'!$AJ$2950='Field Check'!$C$25)&gt;0,"",'Dvd Calendar'!$AJ$2946)))</f>
        <v/>
      </c>
      <c r="CW212" s="85">
        <f>IF(AI212="","",IF(ISNUMBER('Dvd Calendar'!$AK$2946)=FALSE,"",IF((Summary!$C$13="N")*('Dvd Calendar'!$AK$2950='Field Check'!$C$25)&gt;0,"",'Dvd Calendar'!$AK$2946)))</f>
        <v/>
      </c>
      <c r="CX212" s="85">
        <f>IF(AJ212="","",IF(ISNUMBER('Dvd Calendar'!$AL$2946)=FALSE,"",IF((Summary!$C$13="N")*('Dvd Calendar'!$AL$2950='Field Check'!$C$25)&gt;0,"",'Dvd Calendar'!$AL$2946)))</f>
        <v/>
      </c>
      <c r="CY212" s="85">
        <f>IF(AK212="","",IF(ISNUMBER('Dvd Calendar'!$AM$2946)=FALSE,"",IF((Summary!$C$13="N")*('Dvd Calendar'!$AM$2950='Field Check'!$C$25)&gt;0,"",'Dvd Calendar'!$AM$2946)))</f>
        <v/>
      </c>
      <c r="CZ212" s="85">
        <f>IF(AL212="","",IF(ISNUMBER('Dvd Calendar'!$AN$2946)=FALSE,"",IF((Summary!$C$13="N")*('Dvd Calendar'!$AN$2950='Field Check'!$C$25)&gt;0,"",'Dvd Calendar'!$AN$2946)))</f>
        <v/>
      </c>
      <c r="DA212" s="85">
        <f>IF(AM212="","",IF(ISNUMBER('Dvd Calendar'!$AO$2946)=FALSE,"",IF((Summary!$C$13="N")*('Dvd Calendar'!$AO$2950='Field Check'!$C$25)&gt;0,"",'Dvd Calendar'!$AO$2946)))</f>
        <v/>
      </c>
      <c r="DB212" s="85">
        <f>IF(AN212="","",IF(ISNUMBER('Dvd Calendar'!$AP$2946)=FALSE,"",IF((Summary!$C$13="N")*('Dvd Calendar'!$AP$2950='Field Check'!$C$25)&gt;0,"",'Dvd Calendar'!$AP$2946)))</f>
        <v/>
      </c>
      <c r="DC212" s="85">
        <f>IF(AO212="","",IF(ISNUMBER('Dvd Calendar'!$AQ$2946)=FALSE,"",IF((Summary!$C$13="N")*('Dvd Calendar'!$AQ$2950='Field Check'!$C$25)&gt;0,"",'Dvd Calendar'!$AQ$2946)))</f>
        <v/>
      </c>
      <c r="DD212" s="85">
        <f>IF(AP212="","",IF(ISNUMBER('Dvd Calendar'!$AR$2946)=FALSE,"",IF((Summary!$C$13="N")*('Dvd Calendar'!$AR$2950='Field Check'!$C$25)&gt;0,"",'Dvd Calendar'!$AR$2946)))</f>
        <v/>
      </c>
      <c r="DE212" s="85">
        <f>IF(AQ212="","",IF(ISNUMBER('Dvd Calendar'!$E$2953)=FALSE,"",IF((Summary!$C$13="N")*('Dvd Calendar'!$E$2957='Field Check'!$C$25)&gt;0,"",'Dvd Calendar'!$E$2953)))</f>
        <v/>
      </c>
      <c r="DF212" s="85">
        <f>IF(AR212="","",IF(ISNUMBER('Dvd Calendar'!$F$2953)=FALSE,"",IF((Summary!$C$13="N")*('Dvd Calendar'!$F$2957='Field Check'!$C$25)&gt;0,"",'Dvd Calendar'!$F$2953)))</f>
        <v/>
      </c>
      <c r="DG212" s="85">
        <f>IF(AS212="","",IF(ISNUMBER('Dvd Calendar'!$G$2953)=FALSE,"",IF((Summary!$C$13="N")*('Dvd Calendar'!$G$2957='Field Check'!$C$25)&gt;0,"",'Dvd Calendar'!$G$2953)))</f>
        <v/>
      </c>
      <c r="DH212" s="85">
        <f>IF(AT212="","",IF(ISNUMBER('Dvd Calendar'!$H$2953)=FALSE,"",IF((Summary!$C$13="N")*('Dvd Calendar'!$H$2957='Field Check'!$C$25)&gt;0,"",'Dvd Calendar'!$H$2953)))</f>
        <v/>
      </c>
      <c r="DI212" s="85">
        <f>IF(AU212="","",IF(ISNUMBER('Dvd Calendar'!$I$2953)=FALSE,"",IF((Summary!$C$13="N")*('Dvd Calendar'!$I$2957='Field Check'!$C$25)&gt;0,"",'Dvd Calendar'!$I$2953)))</f>
        <v/>
      </c>
      <c r="DJ212" s="85">
        <f>IF(AV212="","",IF(ISNUMBER('Dvd Calendar'!$J$2953)=FALSE,"",IF((Summary!$C$13="N")*('Dvd Calendar'!$J$2957='Field Check'!$C$25)&gt;0,"",'Dvd Calendar'!$J$2953)))</f>
        <v/>
      </c>
      <c r="DK212" s="85">
        <f>IF(AW212="","",IF(ISNUMBER('Dvd Calendar'!$K$2953)=FALSE,"",IF((Summary!$C$13="N")*('Dvd Calendar'!$K$2957='Field Check'!$C$25)&gt;0,"",'Dvd Calendar'!$K$2953)))</f>
        <v/>
      </c>
      <c r="DL212" s="85">
        <f>IF(AX212="","",IF(ISNUMBER('Dvd Calendar'!$L$2953)=FALSE,"",IF((Summary!$C$13="N")*('Dvd Calendar'!$L$2957='Field Check'!$C$25)&gt;0,"",'Dvd Calendar'!$L$2953)))</f>
        <v/>
      </c>
      <c r="DM212" s="85">
        <f>IF(AY212="","",IF(ISNUMBER('Dvd Calendar'!$M$2953)=FALSE,"",IF((Summary!$C$13="N")*('Dvd Calendar'!$M$2957='Field Check'!$C$25)&gt;0,"",'Dvd Calendar'!$M$2953)))</f>
        <v/>
      </c>
      <c r="DN212" s="85">
        <f>IF(AZ212="","",IF(ISNUMBER('Dvd Calendar'!$N$2953)=FALSE,"",IF((Summary!$C$13="N")*('Dvd Calendar'!$N$2957='Field Check'!$C$25)&gt;0,"",'Dvd Calendar'!$N$2953)))</f>
        <v/>
      </c>
      <c r="DO212" s="85">
        <f>IF(BA212="","",IF(ISNUMBER('Dvd Calendar'!$O$2953)=FALSE,"",IF((Summary!$C$13="N")*('Dvd Calendar'!$O$2957='Field Check'!$C$25)&gt;0,"",'Dvd Calendar'!$O$2953)))</f>
        <v/>
      </c>
      <c r="DP212" s="85">
        <f>IF(BB212="","",IF(ISNUMBER('Dvd Calendar'!$P$2953)=FALSE,"",IF((Summary!$C$13="N")*('Dvd Calendar'!$P$2957='Field Check'!$C$25)&gt;0,"",'Dvd Calendar'!$P$2953)))</f>
        <v/>
      </c>
      <c r="DQ212" s="85">
        <f>IF(BC212="","",IF(ISNUMBER('Dvd Calendar'!$Q$2953)=FALSE,"",IF((Summary!$C$13="N")*('Dvd Calendar'!$Q$2957='Field Check'!$C$25)&gt;0,"",'Dvd Calendar'!$Q$2953)))</f>
        <v/>
      </c>
      <c r="DR212" s="85">
        <f>IF(BD212="","",IF(ISNUMBER('Dvd Calendar'!$R$2953)=FALSE,"",IF((Summary!$C$13="N")*('Dvd Calendar'!$R$2957='Field Check'!$C$25)&gt;0,"",'Dvd Calendar'!$R$2953)))</f>
        <v/>
      </c>
      <c r="DS212" s="85">
        <f>IF(BE212="","",IF(ISNUMBER('Dvd Calendar'!$S$2953)=FALSE,"",IF((Summary!$C$13="N")*('Dvd Calendar'!$S$2957='Field Check'!$C$25)&gt;0,"",'Dvd Calendar'!$S$2953)))</f>
        <v/>
      </c>
      <c r="DT212" s="85">
        <f>IF(BF212="","",IF(ISNUMBER('Dvd Calendar'!$T$2953)=FALSE,"",IF((Summary!$C$13="N")*('Dvd Calendar'!$T$2957='Field Check'!$C$25)&gt;0,"",'Dvd Calendar'!$T$2953)))</f>
        <v/>
      </c>
      <c r="DU212" s="85">
        <f>IF(BG212="","",IF(ISNUMBER('Dvd Calendar'!$U$2953)=FALSE,"",IF((Summary!$C$13="N")*('Dvd Calendar'!$U$2957='Field Check'!$C$25)&gt;0,"",'Dvd Calendar'!$U$2953)))</f>
        <v/>
      </c>
      <c r="DV212" s="85">
        <f>IF(BH212="","",IF(ISNUMBER('Dvd Calendar'!$V$2953)=FALSE,"",IF((Summary!$C$13="N")*('Dvd Calendar'!$V$2957='Field Check'!$C$25)&gt;0,"",'Dvd Calendar'!$V$2953)))</f>
        <v/>
      </c>
      <c r="DW212" s="85">
        <f>IF(BI212="","",IF(ISNUMBER('Dvd Calendar'!$W$2953)=FALSE,"",IF((Summary!$C$13="N")*('Dvd Calendar'!$W$2957='Field Check'!$C$25)&gt;0,"",'Dvd Calendar'!$W$2953)))</f>
        <v/>
      </c>
      <c r="DX212" s="85">
        <f>IF(BJ212="","",IF(ISNUMBER('Dvd Calendar'!$X$2953)=FALSE,"",IF((Summary!$C$13="N")*('Dvd Calendar'!$X$2957='Field Check'!$C$25)&gt;0,"",'Dvd Calendar'!$X$2953)))</f>
        <v/>
      </c>
      <c r="DY212" s="85">
        <f>IF(BK212="","",IF(ISNUMBER('Dvd Calendar'!$Y$2953)=FALSE,"",IF((Summary!$C$13="N")*('Dvd Calendar'!$Y$2957='Field Check'!$C$25)&gt;0,"",'Dvd Calendar'!$Y$2953)))</f>
        <v/>
      </c>
      <c r="DZ212" s="85">
        <f>IF(BL212="","",IF(ISNUMBER('Dvd Calendar'!$Z$2953)=FALSE,"",IF((Summary!$C$13="N")*('Dvd Calendar'!$Z$2957='Field Check'!$C$25)&gt;0,"",'Dvd Calendar'!$Z$2953)))</f>
        <v/>
      </c>
      <c r="EA212" s="85">
        <f>IF(BM212="","",IF(ISNUMBER('Dvd Calendar'!$AA$2953)=FALSE,"",IF((Summary!$C$13="N")*('Dvd Calendar'!$AA$2957='Field Check'!$C$25)&gt;0,"",'Dvd Calendar'!$AA$2953)))</f>
        <v/>
      </c>
      <c r="EB212" s="85">
        <f>IF(BN212="","",IF(ISNUMBER('Dvd Calendar'!$AB$2953)=FALSE,"",IF((Summary!$C$13="N")*('Dvd Calendar'!$AB$2957='Field Check'!$C$25)&gt;0,"",'Dvd Calendar'!$AB$2953)))</f>
        <v/>
      </c>
      <c r="EC212" s="85">
        <f>IF(BO212="","",IF(ISNUMBER('Dvd Calendar'!$AC$2953)=FALSE,"",IF((Summary!$C$13="N")*('Dvd Calendar'!$AC$2957='Field Check'!$C$25)&gt;0,"",'Dvd Calendar'!$AC$2953)))</f>
        <v/>
      </c>
      <c r="EE212" s="85">
        <f>IF(BQ212="","",IFERROR(BQ212*HSCEI!$B$62*HSCEI!$G$62/HSCEI!$B$3,""))</f>
        <v/>
      </c>
      <c r="EF212" s="85">
        <f>IF(BR212="","",IFERROR(BR212*HSCEI!$B$62*HSCEI!$G$62/HSCEI!$B$3,""))</f>
        <v/>
      </c>
      <c r="EG212" s="85">
        <f>IF(BS212="","",IFERROR(BS212*HSCEI!$B$62*HSCEI!$G$62/HSCEI!$B$3,""))</f>
        <v/>
      </c>
      <c r="EH212" s="85">
        <f>IF(BT212="","",IFERROR(BT212*HSCEI!$B$62*HSCEI!$G$62/HSCEI!$B$3,""))</f>
        <v/>
      </c>
      <c r="EI212" s="85">
        <f>IF(BU212="","",IFERROR(BU212*HSCEI!$B$62*HSCEI!$G$62/HSCEI!$B$3,""))</f>
        <v/>
      </c>
      <c r="EJ212" s="85">
        <f>IF(BV212="","",IFERROR(BV212*HSCEI!$B$62*HSCEI!$G$62/HSCEI!$B$3,""))</f>
        <v/>
      </c>
      <c r="EK212" s="85">
        <f>IF(BW212="","",IFERROR(BW212*HSCEI!$B$62*HSCEI!$G$62/HSCEI!$B$3,""))</f>
        <v/>
      </c>
      <c r="EL212" s="85">
        <f>IF(BX212="","",IFERROR(BX212*HSCEI!$B$62*HSCEI!$G$62/HSCEI!$B$3,""))</f>
        <v/>
      </c>
      <c r="EM212" s="85">
        <f>IF(BY212="","",IFERROR(BY212*HSCEI!$B$62*HSCEI!$G$62/HSCEI!$B$3,""))</f>
        <v/>
      </c>
      <c r="EN212" s="85">
        <f>IF(BZ212="","",IFERROR(BZ212*HSCEI!$B$62*HSCEI!$G$62/HSCEI!$B$3,""))</f>
        <v/>
      </c>
      <c r="EO212" s="85">
        <f>IF(CA212="","",IFERROR(CA212*HSCEI!$B$62*HSCEI!$G$62/HSCEI!$B$3,""))</f>
        <v/>
      </c>
      <c r="EP212" s="85">
        <f>IF(CB212="","",IFERROR(CB212*HSCEI!$B$62*HSCEI!$G$62/HSCEI!$B$3,""))</f>
        <v/>
      </c>
      <c r="EQ212" s="85">
        <f>IF(CC212="","",IFERROR(CC212*HSCEI!$B$62*HSCEI!$G$62/HSCEI!$B$3,""))</f>
        <v/>
      </c>
      <c r="ER212" s="85">
        <f>IF(CD212="","",IFERROR(CD212*HSCEI!$B$62*HSCEI!$G$62/HSCEI!$B$3,""))</f>
        <v/>
      </c>
      <c r="ES212" s="85">
        <f>IF(CE212="","",IFERROR(CE212*HSCEI!$B$62*HSCEI!$G$62/HSCEI!$B$3,""))</f>
        <v/>
      </c>
      <c r="ET212" s="85">
        <f>IF(CF212="","",IFERROR(CF212*HSCEI!$B$62*HSCEI!$G$62/HSCEI!$B$3,""))</f>
        <v/>
      </c>
      <c r="EU212" s="85">
        <f>IF(CG212="","",IFERROR(CG212*HSCEI!$B$62*HSCEI!$G$62/HSCEI!$B$3,""))</f>
        <v/>
      </c>
      <c r="EV212" s="85">
        <f>IF(CH212="","",IFERROR(CH212*HSCEI!$B$62*HSCEI!$G$62/HSCEI!$B$3,""))</f>
        <v/>
      </c>
      <c r="EW212" s="85">
        <f>IF(CI212="","",IFERROR(CI212*HSCEI!$B$62*HSCEI!$G$62/HSCEI!$B$3,""))</f>
        <v/>
      </c>
      <c r="EX212" s="85">
        <f>IF(CJ212="","",IFERROR(CJ212*HSCEI!$B$62*HSCEI!$G$62/HSCEI!$B$3,""))</f>
        <v/>
      </c>
      <c r="EY212" s="85">
        <f>IF(CK212="","",IFERROR(CK212*HSCEI!$B$62*HSCEI!$G$62/HSCEI!$B$3,""))</f>
        <v/>
      </c>
      <c r="EZ212" s="85">
        <f>IF(CL212="","",IFERROR(CL212*HSCEI!$B$62*HSCEI!$G$62/HSCEI!$B$3,""))</f>
        <v/>
      </c>
      <c r="FA212" s="85">
        <f>IF(CM212="","",IFERROR(CM212*HSCEI!$B$62*HSCEI!$G$62/HSCEI!$B$3,""))</f>
        <v/>
      </c>
      <c r="FB212" s="85">
        <f>IF(CN212="","",IFERROR(CN212*HSCEI!$B$62*HSCEI!$G$62/HSCEI!$B$3,""))</f>
        <v/>
      </c>
      <c r="FC212" s="85">
        <f>IF(CO212="","",IFERROR(CO212*HSCEI!$B$62*HSCEI!$G$62/HSCEI!$B$3,""))</f>
        <v/>
      </c>
      <c r="FD212" s="85">
        <f>IF(CP212="","",IFERROR(CP212*HSCEI!$B$62*HSCEI!$G$62/HSCEI!$B$3,""))</f>
        <v/>
      </c>
      <c r="FE212" s="85">
        <f>IF(CQ212="","",IFERROR(CQ212*HSCEI!$B$62*HSCEI!$G$62/HSCEI!$B$3,""))</f>
        <v/>
      </c>
      <c r="FF212" s="85">
        <f>IF(CR212="","",IFERROR(CR212*HSCEI!$B$62*HSCEI!$G$62/HSCEI!$B$3,""))</f>
        <v/>
      </c>
      <c r="FG212" s="85">
        <f>IF(CS212="","",IFERROR(CS212*HSCEI!$B$62*HSCEI!$G$62/HSCEI!$B$3,""))</f>
        <v/>
      </c>
      <c r="FH212" s="85">
        <f>IF(CT212="","",IFERROR(CT212*HSCEI!$B$62*HSCEI!$G$62/HSCEI!$B$3,""))</f>
        <v/>
      </c>
      <c r="FI212" s="85">
        <f>IF(CU212="","",IFERROR(CU212*HSCEI!$B$62*HSCEI!$G$62/HSCEI!$B$3,""))</f>
        <v/>
      </c>
      <c r="FJ212" s="85">
        <f>IF(CV212="","",IFERROR(CV212*HSCEI!$B$62*HSCEI!$G$62/HSCEI!$B$3,""))</f>
        <v/>
      </c>
      <c r="FK212" s="85">
        <f>IF(CW212="","",IFERROR(CW212*HSCEI!$B$62*HSCEI!$G$62/HSCEI!$B$3,""))</f>
        <v/>
      </c>
      <c r="FL212" s="85">
        <f>IF(CX212="","",IFERROR(CX212*HSCEI!$B$62*HSCEI!$G$62/HSCEI!$B$3,""))</f>
        <v/>
      </c>
      <c r="FM212" s="85">
        <f>IF(CY212="","",IFERROR(CY212*HSCEI!$B$62*HSCEI!$G$62/HSCEI!$B$3,""))</f>
        <v/>
      </c>
      <c r="FN212" s="85">
        <f>IF(CZ212="","",IFERROR(CZ212*HSCEI!$B$62*HSCEI!$G$62/HSCEI!$B$3,""))</f>
        <v/>
      </c>
      <c r="FO212" s="85">
        <f>IF(DA212="","",IFERROR(DA212*HSCEI!$B$62*HSCEI!$G$62/HSCEI!$B$3,""))</f>
        <v/>
      </c>
      <c r="FP212" s="85">
        <f>IF(DB212="","",IFERROR(DB212*HSCEI!$B$62*HSCEI!$G$62/HSCEI!$B$3,""))</f>
        <v/>
      </c>
      <c r="FQ212" s="85">
        <f>IF(DC212="","",IFERROR(DC212*HSCEI!$B$62*HSCEI!$G$62/HSCEI!$B$3,""))</f>
        <v/>
      </c>
      <c r="FR212" s="85">
        <f>IF(DD212="","",IFERROR(DD212*HSCEI!$B$62*HSCEI!$G$62/HSCEI!$B$3,""))</f>
        <v/>
      </c>
      <c r="FS212" s="85">
        <f>IF(DE212="","",IFERROR(DE212*HSCEI!$B$62*HSCEI!$G$62/HSCEI!$B$3,""))</f>
        <v/>
      </c>
      <c r="FT212" s="85">
        <f>IF(DF212="","",IFERROR(DF212*HSCEI!$B$62*HSCEI!$G$62/HSCEI!$B$3,""))</f>
        <v/>
      </c>
      <c r="FU212" s="85">
        <f>IF(DG212="","",IFERROR(DG212*HSCEI!$B$62*HSCEI!$G$62/HSCEI!$B$3,""))</f>
        <v/>
      </c>
      <c r="FV212" s="85">
        <f>IF(DH212="","",IFERROR(DH212*HSCEI!$B$62*HSCEI!$G$62/HSCEI!$B$3,""))</f>
        <v/>
      </c>
      <c r="FW212" s="85">
        <f>IF(DI212="","",IFERROR(DI212*HSCEI!$B$62*HSCEI!$G$62/HSCEI!$B$3,""))</f>
        <v/>
      </c>
      <c r="FX212" s="85">
        <f>IF(DJ212="","",IFERROR(DJ212*HSCEI!$B$62*HSCEI!$G$62/HSCEI!$B$3,""))</f>
        <v/>
      </c>
      <c r="FY212" s="85">
        <f>IF(DK212="","",IFERROR(DK212*HSCEI!$B$62*HSCEI!$G$62/HSCEI!$B$3,""))</f>
        <v/>
      </c>
      <c r="FZ212" s="85">
        <f>IF(DL212="","",IFERROR(DL212*HSCEI!$B$62*HSCEI!$G$62/HSCEI!$B$3,""))</f>
        <v/>
      </c>
      <c r="GA212" s="85">
        <f>IF(DM212="","",IFERROR(DM212*HSCEI!$B$62*HSCEI!$G$62/HSCEI!$B$3,""))</f>
        <v/>
      </c>
      <c r="GB212" s="85">
        <f>IF(DN212="","",IFERROR(DN212*HSCEI!$B$62*HSCEI!$G$62/HSCEI!$B$3,""))</f>
        <v/>
      </c>
      <c r="GC212" s="85">
        <f>IF(DO212="","",IFERROR(DO212*HSCEI!$B$62*HSCEI!$G$62/HSCEI!$B$3,""))</f>
        <v/>
      </c>
      <c r="GD212" s="85">
        <f>IF(DP212="","",IFERROR(DP212*HSCEI!$B$62*HSCEI!$G$62/HSCEI!$B$3,""))</f>
        <v/>
      </c>
      <c r="GE212" s="85">
        <f>IF(DQ212="","",IFERROR(DQ212*HSCEI!$B$62*HSCEI!$G$62/HSCEI!$B$3,""))</f>
        <v/>
      </c>
      <c r="GF212" s="85">
        <f>IF(DR212="","",IFERROR(DR212*HSCEI!$B$62*HSCEI!$G$62/HSCEI!$B$3,""))</f>
        <v/>
      </c>
      <c r="GG212" s="85">
        <f>IF(DS212="","",IFERROR(DS212*HSCEI!$B$62*HSCEI!$G$62/HSCEI!$B$3,""))</f>
        <v/>
      </c>
      <c r="GH212" s="85">
        <f>IF(DT212="","",IFERROR(DT212*HSCEI!$B$62*HSCEI!$G$62/HSCEI!$B$3,""))</f>
        <v/>
      </c>
      <c r="GI212" s="85">
        <f>IF(DU212="","",IFERROR(DU212*HSCEI!$B$62*HSCEI!$G$62/HSCEI!$B$3,""))</f>
        <v/>
      </c>
      <c r="GJ212" s="85">
        <f>IF(DV212="","",IFERROR(DV212*HSCEI!$B$62*HSCEI!$G$62/HSCEI!$B$3,""))</f>
        <v/>
      </c>
      <c r="GK212" s="85">
        <f>IF(DW212="","",IFERROR(DW212*HSCEI!$B$62*HSCEI!$G$62/HSCEI!$B$3,""))</f>
        <v/>
      </c>
      <c r="GL212" s="85">
        <f>IF(DX212="","",IFERROR(DX212*HSCEI!$B$62*HSCEI!$G$62/HSCEI!$B$3,""))</f>
        <v/>
      </c>
      <c r="GM212" s="85">
        <f>IF(DY212="","",IFERROR(DY212*HSCEI!$B$62*HSCEI!$G$62/HSCEI!$B$3,""))</f>
        <v/>
      </c>
      <c r="GN212" s="85">
        <f>IF(DZ212="","",IFERROR(DZ212*HSCEI!$B$62*HSCEI!$G$62/HSCEI!$B$3,""))</f>
        <v/>
      </c>
      <c r="GO212" s="85">
        <f>IF(EA212="","",IFERROR(EA212*HSCEI!$B$62*HSCEI!$G$62/HSCEI!$B$3,""))</f>
        <v/>
      </c>
      <c r="GP212" s="85">
        <f>IF(EB212="","",IFERROR(EB212*HSCEI!$B$62*HSCEI!$G$62/HSCEI!$B$3,""))</f>
        <v/>
      </c>
      <c r="GQ212" s="85">
        <f>IF(EC212="","",IFERROR(EC212*HSCEI!$B$62*HSCEI!$G$62/HSCEI!$B$3,""))</f>
        <v/>
      </c>
    </row>
    <row r="213">
      <c r="B213" s="2">
        <f>IF(HSCEI!$C$63="","",HSCEI!$C$63)</f>
        <v/>
      </c>
      <c r="C213" s="41">
        <f>IF(N('Dvd Calendar'!$E$2960)=0,"",IF(('Dvd Calendar'!$E$2960&gt;=MIN(DATE(Summary!$C$12,1,1),Summary!$C$11))*('Dvd Calendar'!$E$2960&lt;=MAX(DATE(Summary!$C$12,12,31),Summary!$C$15))*('Dvd Calendar'!$E$2960&lt;=Summary!$C$11)=0,"",'Dvd Calendar'!$E$2960*1000000000+ISNUMBER('Dvd Calendar'!$E$2961)*100000000+('Dvd Calendar'!$E$2965='Field Check'!$C$25)*10000000+(N('Dvd Calendar'!$E$2959)&gt;0)*1000000+57*1000+1))</f>
        <v/>
      </c>
      <c r="D213" s="41">
        <f>IF(N('Dvd Calendar'!$F$2960)=0,"",IF(('Dvd Calendar'!$F$2960&gt;=MIN(DATE(Summary!$C$12,1,1),Summary!$C$11))*('Dvd Calendar'!$F$2960&lt;=MAX(DATE(Summary!$C$12,12,31),Summary!$C$15))*('Dvd Calendar'!$F$2960&lt;=Summary!$C$11)=0,"",'Dvd Calendar'!$F$2960*1000000000+ISNUMBER('Dvd Calendar'!$F$2961)*100000000+('Dvd Calendar'!$F$2965='Field Check'!$C$25)*10000000+(N('Dvd Calendar'!$F$2959)&gt;0)*1000000+57*1000+2))</f>
        <v/>
      </c>
      <c r="E213" s="41">
        <f>IF(N('Dvd Calendar'!$G$2960)=0,"",IF(('Dvd Calendar'!$G$2960&gt;=MIN(DATE(Summary!$C$12,1,1),Summary!$C$11))*('Dvd Calendar'!$G$2960&lt;=MAX(DATE(Summary!$C$12,12,31),Summary!$C$15))*('Dvd Calendar'!$G$2960&lt;=Summary!$C$11)=0,"",'Dvd Calendar'!$G$2960*1000000000+ISNUMBER('Dvd Calendar'!$G$2961)*100000000+('Dvd Calendar'!$G$2965='Field Check'!$C$25)*10000000+(N('Dvd Calendar'!$G$2959)&gt;0)*1000000+57*1000+3))</f>
        <v/>
      </c>
      <c r="F213" s="41">
        <f>IF(N('Dvd Calendar'!$H$2960)=0,"",IF(('Dvd Calendar'!$H$2960&gt;=MIN(DATE(Summary!$C$12,1,1),Summary!$C$11))*('Dvd Calendar'!$H$2960&lt;=MAX(DATE(Summary!$C$12,12,31),Summary!$C$15))*('Dvd Calendar'!$H$2960&lt;=Summary!$C$11)=0,"",'Dvd Calendar'!$H$2960*1000000000+ISNUMBER('Dvd Calendar'!$H$2961)*100000000+('Dvd Calendar'!$H$2965='Field Check'!$C$25)*10000000+(N('Dvd Calendar'!$H$2959)&gt;0)*1000000+57*1000+4))</f>
        <v/>
      </c>
      <c r="G213" s="41">
        <f>IF(N('Dvd Calendar'!$I$2960)=0,"",IF(('Dvd Calendar'!$I$2960&gt;=MIN(DATE(Summary!$C$12,1,1),Summary!$C$11))*('Dvd Calendar'!$I$2960&lt;=MAX(DATE(Summary!$C$12,12,31),Summary!$C$15))*('Dvd Calendar'!$I$2960&lt;=Summary!$C$11)=0,"",'Dvd Calendar'!$I$2960*1000000000+ISNUMBER('Dvd Calendar'!$I$2961)*100000000+('Dvd Calendar'!$I$2965='Field Check'!$C$25)*10000000+(N('Dvd Calendar'!$I$2959)&gt;0)*1000000+57*1000+5))</f>
        <v/>
      </c>
      <c r="H213" s="41">
        <f>IF(N('Dvd Calendar'!$J$2960)=0,"",IF(('Dvd Calendar'!$J$2960&gt;=MIN(DATE(Summary!$C$12,1,1),Summary!$C$11))*('Dvd Calendar'!$J$2960&lt;=MAX(DATE(Summary!$C$12,12,31),Summary!$C$15))*('Dvd Calendar'!$J$2960&lt;=Summary!$C$11)=0,"",'Dvd Calendar'!$J$2960*1000000000+ISNUMBER('Dvd Calendar'!$J$2961)*100000000+('Dvd Calendar'!$J$2965='Field Check'!$C$25)*10000000+(N('Dvd Calendar'!$J$2959)&gt;0)*1000000+57*1000+6))</f>
        <v/>
      </c>
      <c r="I213" s="41">
        <f>IF(N('Dvd Calendar'!$K$2960)=0,"",IF(('Dvd Calendar'!$K$2960&gt;=MIN(DATE(Summary!$C$12,1,1),Summary!$C$11))*('Dvd Calendar'!$K$2960&lt;=MAX(DATE(Summary!$C$12,12,31),Summary!$C$15))*('Dvd Calendar'!$K$2960&lt;=Summary!$C$11)=0,"",'Dvd Calendar'!$K$2960*1000000000+ISNUMBER('Dvd Calendar'!$K$2961)*100000000+('Dvd Calendar'!$K$2965='Field Check'!$C$25)*10000000+(N('Dvd Calendar'!$K$2959)&gt;0)*1000000+57*1000+7))</f>
        <v/>
      </c>
      <c r="J213" s="41">
        <f>IF(N('Dvd Calendar'!$L$2960)=0,"",IF(('Dvd Calendar'!$L$2960&gt;=MIN(DATE(Summary!$C$12,1,1),Summary!$C$11))*('Dvd Calendar'!$L$2960&lt;=MAX(DATE(Summary!$C$12,12,31),Summary!$C$15))*('Dvd Calendar'!$L$2960&lt;=Summary!$C$11)=0,"",'Dvd Calendar'!$L$2960*1000000000+ISNUMBER('Dvd Calendar'!$L$2961)*100000000+('Dvd Calendar'!$L$2965='Field Check'!$C$25)*10000000+(N('Dvd Calendar'!$L$2959)&gt;0)*1000000+57*1000+8))</f>
        <v/>
      </c>
      <c r="K213" s="41">
        <f>IF(N('Dvd Calendar'!$M$2960)=0,"",IF(('Dvd Calendar'!$M$2960&gt;=MIN(DATE(Summary!$C$12,1,1),Summary!$C$11))*('Dvd Calendar'!$M$2960&lt;=MAX(DATE(Summary!$C$12,12,31),Summary!$C$15))*('Dvd Calendar'!$M$2960&lt;=Summary!$C$11)=0,"",'Dvd Calendar'!$M$2960*1000000000+ISNUMBER('Dvd Calendar'!$M$2961)*100000000+('Dvd Calendar'!$M$2965='Field Check'!$C$25)*10000000+(N('Dvd Calendar'!$M$2959)&gt;0)*1000000+57*1000+9))</f>
        <v/>
      </c>
      <c r="L213" s="41">
        <f>IF(N('Dvd Calendar'!$N$2960)=0,"",IF(('Dvd Calendar'!$N$2960&gt;=MIN(DATE(Summary!$C$12,1,1),Summary!$C$11))*('Dvd Calendar'!$N$2960&lt;=MAX(DATE(Summary!$C$12,12,31),Summary!$C$15))*('Dvd Calendar'!$N$2960&lt;=Summary!$C$11)=0,"",'Dvd Calendar'!$N$2960*1000000000+ISNUMBER('Dvd Calendar'!$N$2961)*100000000+('Dvd Calendar'!$N$2965='Field Check'!$C$25)*10000000+(N('Dvd Calendar'!$N$2959)&gt;0)*1000000+57*1000+10))</f>
        <v/>
      </c>
      <c r="M213" s="41">
        <f>IF(N('Dvd Calendar'!$O$2960)=0,"",IF(('Dvd Calendar'!$O$2960&gt;=MIN(DATE(Summary!$C$12,1,1),Summary!$C$11))*('Dvd Calendar'!$O$2960&lt;=MAX(DATE(Summary!$C$12,12,31),Summary!$C$15))*('Dvd Calendar'!$O$2960&lt;=Summary!$C$11)=0,"",'Dvd Calendar'!$O$2960*1000000000+ISNUMBER('Dvd Calendar'!$O$2961)*100000000+('Dvd Calendar'!$O$2965='Field Check'!$C$25)*10000000+(N('Dvd Calendar'!$O$2959)&gt;0)*1000000+57*1000+11))</f>
        <v/>
      </c>
      <c r="N213" s="41">
        <f>IF(N('Dvd Calendar'!$P$2960)=0,"",IF(('Dvd Calendar'!$P$2960&gt;=MIN(DATE(Summary!$C$12,1,1),Summary!$C$11))*('Dvd Calendar'!$P$2960&lt;=MAX(DATE(Summary!$C$12,12,31),Summary!$C$15))*('Dvd Calendar'!$P$2960&lt;=Summary!$C$11)=0,"",'Dvd Calendar'!$P$2960*1000000000+ISNUMBER('Dvd Calendar'!$P$2961)*100000000+('Dvd Calendar'!$P$2965='Field Check'!$C$25)*10000000+(N('Dvd Calendar'!$P$2959)&gt;0)*1000000+57*1000+12))</f>
        <v/>
      </c>
      <c r="O213" s="41">
        <f>IF(N('Dvd Calendar'!$Q$2960)=0,"",IF(('Dvd Calendar'!$Q$2960&gt;=MIN(DATE(Summary!$C$12,1,1),Summary!$C$11))*('Dvd Calendar'!$Q$2960&lt;=MAX(DATE(Summary!$C$12,12,31),Summary!$C$15))*('Dvd Calendar'!$Q$2960&lt;=Summary!$C$11)=0,"",'Dvd Calendar'!$Q$2960*1000000000+ISNUMBER('Dvd Calendar'!$Q$2961)*100000000+('Dvd Calendar'!$Q$2965='Field Check'!$C$25)*10000000+(N('Dvd Calendar'!$Q$2959)&gt;0)*1000000+57*1000+13))</f>
        <v/>
      </c>
      <c r="P213" s="41">
        <f>IF(N('Dvd Calendar'!$R$2960)=0,"",IF(('Dvd Calendar'!$R$2960&gt;=MIN(DATE(Summary!$C$12,1,1),Summary!$C$11))*('Dvd Calendar'!$R$2960&lt;=MAX(DATE(Summary!$C$12,12,31),Summary!$C$15))*('Dvd Calendar'!$R$2960&lt;=Summary!$C$11)=0,"",'Dvd Calendar'!$R$2960*1000000000+ISNUMBER('Dvd Calendar'!$R$2961)*100000000+('Dvd Calendar'!$R$2965='Field Check'!$C$25)*10000000+(N('Dvd Calendar'!$R$2959)&gt;0)*1000000+57*1000+14))</f>
        <v/>
      </c>
      <c r="Q213" s="41">
        <f>IF(N('Dvd Calendar'!$S$2960)=0,"",IF(('Dvd Calendar'!$S$2960&gt;=MIN(DATE(Summary!$C$12,1,1),Summary!$C$11))*('Dvd Calendar'!$S$2960&lt;=MAX(DATE(Summary!$C$12,12,31),Summary!$C$15))*('Dvd Calendar'!$S$2960&lt;=Summary!$C$11)=0,"",'Dvd Calendar'!$S$2960*1000000000+ISNUMBER('Dvd Calendar'!$S$2961)*100000000+('Dvd Calendar'!$S$2965='Field Check'!$C$25)*10000000+(N('Dvd Calendar'!$S$2959)&gt;0)*1000000+57*1000+15))</f>
        <v/>
      </c>
      <c r="R213" s="41">
        <f>IF(N('Dvd Calendar'!$T$2960)=0,"",IF(('Dvd Calendar'!$T$2960&gt;=MIN(DATE(Summary!$C$12,1,1),Summary!$C$11))*('Dvd Calendar'!$T$2960&lt;=MAX(DATE(Summary!$C$12,12,31),Summary!$C$15))*('Dvd Calendar'!$T$2960&lt;=Summary!$C$11)=0,"",'Dvd Calendar'!$T$2960*1000000000+ISNUMBER('Dvd Calendar'!$T$2961)*100000000+('Dvd Calendar'!$T$2965='Field Check'!$C$25)*10000000+(N('Dvd Calendar'!$T$2959)&gt;0)*1000000+57*1000+16))</f>
        <v/>
      </c>
      <c r="S213" s="41">
        <f>IF(N('Dvd Calendar'!$U$2960)=0,"",IF(('Dvd Calendar'!$U$2960&gt;=MIN(DATE(Summary!$C$12,1,1),Summary!$C$11))*('Dvd Calendar'!$U$2960&lt;=MAX(DATE(Summary!$C$12,12,31),Summary!$C$15))*('Dvd Calendar'!$U$2960&lt;=Summary!$C$11)=0,"",'Dvd Calendar'!$U$2960*1000000000+ISNUMBER('Dvd Calendar'!$U$2961)*100000000+('Dvd Calendar'!$U$2965='Field Check'!$C$25)*10000000+(N('Dvd Calendar'!$U$2959)&gt;0)*1000000+57*1000+17))</f>
        <v/>
      </c>
      <c r="T213" s="41">
        <f>IF(N('Dvd Calendar'!$V$2960)=0,"",IF(('Dvd Calendar'!$V$2960&gt;=MIN(DATE(Summary!$C$12,1,1),Summary!$C$11))*('Dvd Calendar'!$V$2960&lt;=MAX(DATE(Summary!$C$12,12,31),Summary!$C$15))*('Dvd Calendar'!$V$2960&lt;=Summary!$C$11)=0,"",'Dvd Calendar'!$V$2960*1000000000+ISNUMBER('Dvd Calendar'!$V$2961)*100000000+('Dvd Calendar'!$V$2965='Field Check'!$C$25)*10000000+(N('Dvd Calendar'!$V$2959)&gt;0)*1000000+57*1000+18))</f>
        <v/>
      </c>
      <c r="U213" s="41">
        <f>IF(N('Dvd Calendar'!$W$2960)=0,"",IF(('Dvd Calendar'!$W$2960&gt;=MIN(DATE(Summary!$C$12,1,1),Summary!$C$11))*('Dvd Calendar'!$W$2960&lt;=MAX(DATE(Summary!$C$12,12,31),Summary!$C$15))*('Dvd Calendar'!$W$2960&lt;=Summary!$C$11)=0,"",'Dvd Calendar'!$W$2960*1000000000+ISNUMBER('Dvd Calendar'!$W$2961)*100000000+('Dvd Calendar'!$W$2965='Field Check'!$C$25)*10000000+(N('Dvd Calendar'!$W$2959)&gt;0)*1000000+57*1000+19))</f>
        <v/>
      </c>
      <c r="V213" s="41">
        <f>IF(N('Dvd Calendar'!$X$2960)=0,"",IF(('Dvd Calendar'!$X$2960&gt;=MIN(DATE(Summary!$C$12,1,1),Summary!$C$11))*('Dvd Calendar'!$X$2960&lt;=MAX(DATE(Summary!$C$12,12,31),Summary!$C$15))*('Dvd Calendar'!$X$2960&lt;=Summary!$C$11)=0,"",'Dvd Calendar'!$X$2960*1000000000+ISNUMBER('Dvd Calendar'!$X$2961)*100000000+('Dvd Calendar'!$X$2965='Field Check'!$C$25)*10000000+(N('Dvd Calendar'!$X$2959)&gt;0)*1000000+57*1000+20))</f>
        <v/>
      </c>
      <c r="W213" s="41">
        <f>IF(N('Dvd Calendar'!$Y$2960)=0,"",IF(('Dvd Calendar'!$Y$2960&gt;=MIN(DATE(Summary!$C$12,1,1),Summary!$C$11))*('Dvd Calendar'!$Y$2960&lt;=MAX(DATE(Summary!$C$12,12,31),Summary!$C$15))*('Dvd Calendar'!$Y$2960&lt;=Summary!$C$11)=0,"",'Dvd Calendar'!$Y$2960*1000000000+ISNUMBER('Dvd Calendar'!$Y$2961)*100000000+('Dvd Calendar'!$Y$2965='Field Check'!$C$25)*10000000+(N('Dvd Calendar'!$Y$2959)&gt;0)*1000000+57*1000+21))</f>
        <v/>
      </c>
      <c r="X213" s="41">
        <f>IF(N('Dvd Calendar'!$Z$2960)=0,"",IF(('Dvd Calendar'!$Z$2960&gt;=MIN(DATE(Summary!$C$12,1,1),Summary!$C$11))*('Dvd Calendar'!$Z$2960&lt;=MAX(DATE(Summary!$C$12,12,31),Summary!$C$15))*('Dvd Calendar'!$Z$2960&lt;=Summary!$C$11)=0,"",'Dvd Calendar'!$Z$2960*1000000000+ISNUMBER('Dvd Calendar'!$Z$2961)*100000000+('Dvd Calendar'!$Z$2965='Field Check'!$C$25)*10000000+(N('Dvd Calendar'!$Z$2959)&gt;0)*1000000+57*1000+22))</f>
        <v/>
      </c>
      <c r="Y213" s="41">
        <f>IF(N('Dvd Calendar'!$AA$2960)=0,"",IF(('Dvd Calendar'!$AA$2960&gt;=MIN(DATE(Summary!$C$12,1,1),Summary!$C$11))*('Dvd Calendar'!$AA$2960&lt;=MAX(DATE(Summary!$C$12,12,31),Summary!$C$15))*('Dvd Calendar'!$AA$2960&lt;=Summary!$C$11)=0,"",'Dvd Calendar'!$AA$2960*1000000000+ISNUMBER('Dvd Calendar'!$AA$2961)*100000000+('Dvd Calendar'!$AA$2965='Field Check'!$C$25)*10000000+(N('Dvd Calendar'!$AA$2959)&gt;0)*1000000+57*1000+23))</f>
        <v/>
      </c>
      <c r="Z213" s="41">
        <f>IF(N('Dvd Calendar'!$AB$2960)=0,"",IF(('Dvd Calendar'!$AB$2960&gt;=MIN(DATE(Summary!$C$12,1,1),Summary!$C$11))*('Dvd Calendar'!$AB$2960&lt;=MAX(DATE(Summary!$C$12,12,31),Summary!$C$15))*('Dvd Calendar'!$AB$2960&lt;=Summary!$C$11)=0,"",'Dvd Calendar'!$AB$2960*1000000000+ISNUMBER('Dvd Calendar'!$AB$2961)*100000000+('Dvd Calendar'!$AB$2965='Field Check'!$C$25)*10000000+(N('Dvd Calendar'!$AB$2959)&gt;0)*1000000+57*1000+24))</f>
        <v/>
      </c>
      <c r="AA213" s="41">
        <f>IF(N('Dvd Calendar'!$AC$2960)=0,"",IF(('Dvd Calendar'!$AC$2960&gt;=MIN(DATE(Summary!$C$12,1,1),Summary!$C$11))*('Dvd Calendar'!$AC$2960&lt;=MAX(DATE(Summary!$C$12,12,31),Summary!$C$15))*('Dvd Calendar'!$AC$2960&lt;=Summary!$C$11)=0,"",'Dvd Calendar'!$AC$2960*1000000000+ISNUMBER('Dvd Calendar'!$AC$2961)*100000000+('Dvd Calendar'!$AC$2965='Field Check'!$C$25)*10000000+(N('Dvd Calendar'!$AC$2959)&gt;0)*1000000+57*1000+25))</f>
        <v/>
      </c>
      <c r="AB213" s="41">
        <f>IF(N('Dvd Calendar'!$AD$2960)=0,"",IF(('Dvd Calendar'!$AD$2960&gt;=MIN(DATE(Summary!$C$12,1,1),Summary!$C$11))*('Dvd Calendar'!$AD$2960&lt;=MAX(DATE(Summary!$C$12,12,31),Summary!$C$15))*('Dvd Calendar'!$AD$2960&lt;=Summary!$C$11)=0,"",'Dvd Calendar'!$AD$2960*1000000000+ISNUMBER('Dvd Calendar'!$AD$2961)*100000000+('Dvd Calendar'!$AD$2965='Field Check'!$C$25)*10000000+(N('Dvd Calendar'!$AD$2959)&gt;0)*1000000+57*1000+26))</f>
        <v/>
      </c>
      <c r="AC213" s="41">
        <f>IF(N('Dvd Calendar'!$AE$2960)=0,"",IF(('Dvd Calendar'!$AE$2960&gt;=MIN(DATE(Summary!$C$12,1,1),Summary!$C$11))*('Dvd Calendar'!$AE$2960&lt;=MAX(DATE(Summary!$C$12,12,31),Summary!$C$15))*('Dvd Calendar'!$AE$2960&lt;=Summary!$C$11)=0,"",'Dvd Calendar'!$AE$2960*1000000000+ISNUMBER('Dvd Calendar'!$AE$2961)*100000000+('Dvd Calendar'!$AE$2965='Field Check'!$C$25)*10000000+(N('Dvd Calendar'!$AE$2959)&gt;0)*1000000+57*1000+27))</f>
        <v/>
      </c>
      <c r="AD213" s="41">
        <f>IF(N('Dvd Calendar'!$AF$2960)=0,"",IF(('Dvd Calendar'!$AF$2960&gt;=MIN(DATE(Summary!$C$12,1,1),Summary!$C$11))*('Dvd Calendar'!$AF$2960&lt;=MAX(DATE(Summary!$C$12,12,31),Summary!$C$15))*('Dvd Calendar'!$AF$2960&lt;=Summary!$C$11)=0,"",'Dvd Calendar'!$AF$2960*1000000000+ISNUMBER('Dvd Calendar'!$AF$2961)*100000000+('Dvd Calendar'!$AF$2965='Field Check'!$C$25)*10000000+(N('Dvd Calendar'!$AF$2959)&gt;0)*1000000+57*1000+28))</f>
        <v/>
      </c>
      <c r="AE213" s="41">
        <f>IF(N('Dvd Calendar'!$AG$2960)=0,"",IF(('Dvd Calendar'!$AG$2960&gt;=MIN(DATE(Summary!$C$12,1,1),Summary!$C$11))*('Dvd Calendar'!$AG$2960&lt;=MAX(DATE(Summary!$C$12,12,31),Summary!$C$15))*('Dvd Calendar'!$AG$2960&lt;=Summary!$C$11)=0,"",'Dvd Calendar'!$AG$2960*1000000000+ISNUMBER('Dvd Calendar'!$AG$2961)*100000000+('Dvd Calendar'!$AG$2965='Field Check'!$C$25)*10000000+(N('Dvd Calendar'!$AG$2959)&gt;0)*1000000+57*1000+29))</f>
        <v/>
      </c>
      <c r="AF213" s="41">
        <f>IF(N('Dvd Calendar'!$AH$2960)=0,"",IF(('Dvd Calendar'!$AH$2960&gt;=MIN(DATE(Summary!$C$12,1,1),Summary!$C$11))*('Dvd Calendar'!$AH$2960&lt;=MAX(DATE(Summary!$C$12,12,31),Summary!$C$15))*('Dvd Calendar'!$AH$2960&lt;=Summary!$C$11)=0,"",'Dvd Calendar'!$AH$2960*1000000000+ISNUMBER('Dvd Calendar'!$AH$2961)*100000000+('Dvd Calendar'!$AH$2965='Field Check'!$C$25)*10000000+(N('Dvd Calendar'!$AH$2959)&gt;0)*1000000+57*1000+30))</f>
        <v/>
      </c>
      <c r="AG213" s="41">
        <f>IF(N('Dvd Calendar'!$AI$2960)=0,"",IF(('Dvd Calendar'!$AI$2960&gt;=MIN(DATE(Summary!$C$12,1,1),Summary!$C$11))*('Dvd Calendar'!$AI$2960&lt;=MAX(DATE(Summary!$C$12,12,31),Summary!$C$15))*('Dvd Calendar'!$AI$2960&lt;=Summary!$C$11)=0,"",'Dvd Calendar'!$AI$2960*1000000000+ISNUMBER('Dvd Calendar'!$AI$2961)*100000000+('Dvd Calendar'!$AI$2965='Field Check'!$C$25)*10000000+(N('Dvd Calendar'!$AI$2959)&gt;0)*1000000+57*1000+31))</f>
        <v/>
      </c>
      <c r="AH213" s="41">
        <f>IF(N('Dvd Calendar'!$AJ$2960)=0,"",IF(('Dvd Calendar'!$AJ$2960&gt;=MIN(DATE(Summary!$C$12,1,1),Summary!$C$11))*('Dvd Calendar'!$AJ$2960&lt;=MAX(DATE(Summary!$C$12,12,31),Summary!$C$15))*('Dvd Calendar'!$AJ$2960&lt;=Summary!$C$11)=0,"",'Dvd Calendar'!$AJ$2960*1000000000+ISNUMBER('Dvd Calendar'!$AJ$2961)*100000000+('Dvd Calendar'!$AJ$2965='Field Check'!$C$25)*10000000+(N('Dvd Calendar'!$AJ$2959)&gt;0)*1000000+57*1000+32))</f>
        <v/>
      </c>
      <c r="AI213" s="41">
        <f>IF(N('Dvd Calendar'!$AK$2960)=0,"",IF(('Dvd Calendar'!$AK$2960&gt;=MIN(DATE(Summary!$C$12,1,1),Summary!$C$11))*('Dvd Calendar'!$AK$2960&lt;=MAX(DATE(Summary!$C$12,12,31),Summary!$C$15))*('Dvd Calendar'!$AK$2960&lt;=Summary!$C$11)=0,"",'Dvd Calendar'!$AK$2960*1000000000+ISNUMBER('Dvd Calendar'!$AK$2961)*100000000+('Dvd Calendar'!$AK$2965='Field Check'!$C$25)*10000000+(N('Dvd Calendar'!$AK$2959)&gt;0)*1000000+57*1000+33))</f>
        <v/>
      </c>
      <c r="AJ213" s="41">
        <f>IF(N('Dvd Calendar'!$AL$2960)=0,"",IF(('Dvd Calendar'!$AL$2960&gt;=MIN(DATE(Summary!$C$12,1,1),Summary!$C$11))*('Dvd Calendar'!$AL$2960&lt;=MAX(DATE(Summary!$C$12,12,31),Summary!$C$15))*('Dvd Calendar'!$AL$2960&lt;=Summary!$C$11)=0,"",'Dvd Calendar'!$AL$2960*1000000000+ISNUMBER('Dvd Calendar'!$AL$2961)*100000000+('Dvd Calendar'!$AL$2965='Field Check'!$C$25)*10000000+(N('Dvd Calendar'!$AL$2959)&gt;0)*1000000+57*1000+34))</f>
        <v/>
      </c>
      <c r="AK213" s="41">
        <f>IF(N('Dvd Calendar'!$AM$2960)=0,"",IF(('Dvd Calendar'!$AM$2960&gt;=MIN(DATE(Summary!$C$12,1,1),Summary!$C$11))*('Dvd Calendar'!$AM$2960&lt;=MAX(DATE(Summary!$C$12,12,31),Summary!$C$15))*('Dvd Calendar'!$AM$2960&lt;=Summary!$C$11)=0,"",'Dvd Calendar'!$AM$2960*1000000000+ISNUMBER('Dvd Calendar'!$AM$2961)*100000000+('Dvd Calendar'!$AM$2965='Field Check'!$C$25)*10000000+(N('Dvd Calendar'!$AM$2959)&gt;0)*1000000+57*1000+35))</f>
        <v/>
      </c>
      <c r="AL213" s="41">
        <f>IF(N('Dvd Calendar'!$AN$2960)=0,"",IF(('Dvd Calendar'!$AN$2960&gt;=MIN(DATE(Summary!$C$12,1,1),Summary!$C$11))*('Dvd Calendar'!$AN$2960&lt;=MAX(DATE(Summary!$C$12,12,31),Summary!$C$15))*('Dvd Calendar'!$AN$2960&lt;=Summary!$C$11)=0,"",'Dvd Calendar'!$AN$2960*1000000000+ISNUMBER('Dvd Calendar'!$AN$2961)*100000000+('Dvd Calendar'!$AN$2965='Field Check'!$C$25)*10000000+(N('Dvd Calendar'!$AN$2959)&gt;0)*1000000+57*1000+36))</f>
        <v/>
      </c>
      <c r="AM213" s="41">
        <f>IF(N('Dvd Calendar'!$AO$2960)=0,"",IF(('Dvd Calendar'!$AO$2960&gt;=MIN(DATE(Summary!$C$12,1,1),Summary!$C$11))*('Dvd Calendar'!$AO$2960&lt;=MAX(DATE(Summary!$C$12,12,31),Summary!$C$15))*('Dvd Calendar'!$AO$2960&lt;=Summary!$C$11)=0,"",'Dvd Calendar'!$AO$2960*1000000000+ISNUMBER('Dvd Calendar'!$AO$2961)*100000000+('Dvd Calendar'!$AO$2965='Field Check'!$C$25)*10000000+(N('Dvd Calendar'!$AO$2959)&gt;0)*1000000+57*1000+37))</f>
        <v/>
      </c>
      <c r="AN213" s="41">
        <f>IF(N('Dvd Calendar'!$AP$2960)=0,"",IF(('Dvd Calendar'!$AP$2960&gt;=MIN(DATE(Summary!$C$12,1,1),Summary!$C$11))*('Dvd Calendar'!$AP$2960&lt;=MAX(DATE(Summary!$C$12,12,31),Summary!$C$15))*('Dvd Calendar'!$AP$2960&lt;=Summary!$C$11)=0,"",'Dvd Calendar'!$AP$2960*1000000000+ISNUMBER('Dvd Calendar'!$AP$2961)*100000000+('Dvd Calendar'!$AP$2965='Field Check'!$C$25)*10000000+(N('Dvd Calendar'!$AP$2959)&gt;0)*1000000+57*1000+38))</f>
        <v/>
      </c>
      <c r="AO213" s="41">
        <f>IF(N('Dvd Calendar'!$AQ$2960)=0,"",IF(('Dvd Calendar'!$AQ$2960&gt;=MIN(DATE(Summary!$C$12,1,1),Summary!$C$11))*('Dvd Calendar'!$AQ$2960&lt;=MAX(DATE(Summary!$C$12,12,31),Summary!$C$15))*('Dvd Calendar'!$AQ$2960&lt;=Summary!$C$11)=0,"",'Dvd Calendar'!$AQ$2960*1000000000+ISNUMBER('Dvd Calendar'!$AQ$2961)*100000000+('Dvd Calendar'!$AQ$2965='Field Check'!$C$25)*10000000+(N('Dvd Calendar'!$AQ$2959)&gt;0)*1000000+57*1000+39))</f>
        <v/>
      </c>
      <c r="AP213" s="41">
        <f>IF(N('Dvd Calendar'!$AR$2960)=0,"",IF(('Dvd Calendar'!$AR$2960&gt;=MIN(DATE(Summary!$C$12,1,1),Summary!$C$11))*('Dvd Calendar'!$AR$2960&lt;=MAX(DATE(Summary!$C$12,12,31),Summary!$C$15))*('Dvd Calendar'!$AR$2960&lt;=Summary!$C$11)=0,"",'Dvd Calendar'!$AR$2960*1000000000+ISNUMBER('Dvd Calendar'!$AR$2961)*100000000+('Dvd Calendar'!$AR$2965='Field Check'!$C$25)*10000000+(N('Dvd Calendar'!$AR$2959)&gt;0)*1000000+57*1000+40))</f>
        <v/>
      </c>
      <c r="AQ213" s="41">
        <f>IF(N('Dvd Calendar'!$E$2967)=0,"",IF(('Dvd Calendar'!$E$2967&gt;=MIN(DATE(Summary!$C$12,1,1),Summary!$C$11))*('Dvd Calendar'!$E$2967&lt;=MAX(DATE(Summary!$C$12,12,31),Summary!$C$15))*('Dvd Calendar'!$E$2967&gt;Summary!$C$11)=0,"",'Dvd Calendar'!$E$2967*1000000000+ISNUMBER('Dvd Calendar'!$E$2968)*100000000+('Dvd Calendar'!$E$2972='Field Check'!$C$25)*10000000+(N('Dvd Calendar'!$E$2966)&gt;0)*1000000+57*1000+41))</f>
        <v/>
      </c>
      <c r="AR213" s="41">
        <f>IF(N('Dvd Calendar'!$F$2967)=0,"",IF(('Dvd Calendar'!$F$2967&gt;=MIN(DATE(Summary!$C$12,1,1),Summary!$C$11))*('Dvd Calendar'!$F$2967&lt;=MAX(DATE(Summary!$C$12,12,31),Summary!$C$15))*('Dvd Calendar'!$F$2967&gt;Summary!$C$11)=0,"",'Dvd Calendar'!$F$2967*1000000000+ISNUMBER('Dvd Calendar'!$F$2968)*100000000+('Dvd Calendar'!$F$2972='Field Check'!$C$25)*10000000+(N('Dvd Calendar'!$F$2966)&gt;0)*1000000+57*1000+42))</f>
        <v/>
      </c>
      <c r="AS213" s="41">
        <f>IF(N('Dvd Calendar'!$G$2967)=0,"",IF(('Dvd Calendar'!$G$2967&gt;=MIN(DATE(Summary!$C$12,1,1),Summary!$C$11))*('Dvd Calendar'!$G$2967&lt;=MAX(DATE(Summary!$C$12,12,31),Summary!$C$15))*('Dvd Calendar'!$G$2967&gt;Summary!$C$11)=0,"",'Dvd Calendar'!$G$2967*1000000000+ISNUMBER('Dvd Calendar'!$G$2968)*100000000+('Dvd Calendar'!$G$2972='Field Check'!$C$25)*10000000+(N('Dvd Calendar'!$G$2966)&gt;0)*1000000+57*1000+43))</f>
        <v/>
      </c>
      <c r="AT213" s="41">
        <f>IF(N('Dvd Calendar'!$H$2967)=0,"",IF(('Dvd Calendar'!$H$2967&gt;=MIN(DATE(Summary!$C$12,1,1),Summary!$C$11))*('Dvd Calendar'!$H$2967&lt;=MAX(DATE(Summary!$C$12,12,31),Summary!$C$15))*('Dvd Calendar'!$H$2967&gt;Summary!$C$11)=0,"",'Dvd Calendar'!$H$2967*1000000000+ISNUMBER('Dvd Calendar'!$H$2968)*100000000+('Dvd Calendar'!$H$2972='Field Check'!$C$25)*10000000+(N('Dvd Calendar'!$H$2966)&gt;0)*1000000+57*1000+44))</f>
        <v/>
      </c>
      <c r="AU213" s="41">
        <f>IF(N('Dvd Calendar'!$I$2967)=0,"",IF(('Dvd Calendar'!$I$2967&gt;=MIN(DATE(Summary!$C$12,1,1),Summary!$C$11))*('Dvd Calendar'!$I$2967&lt;=MAX(DATE(Summary!$C$12,12,31),Summary!$C$15))*('Dvd Calendar'!$I$2967&gt;Summary!$C$11)=0,"",'Dvd Calendar'!$I$2967*1000000000+ISNUMBER('Dvd Calendar'!$I$2968)*100000000+('Dvd Calendar'!$I$2972='Field Check'!$C$25)*10000000+(N('Dvd Calendar'!$I$2966)&gt;0)*1000000+57*1000+45))</f>
        <v/>
      </c>
      <c r="AV213" s="41">
        <f>IF(N('Dvd Calendar'!$J$2967)=0,"",IF(('Dvd Calendar'!$J$2967&gt;=MIN(DATE(Summary!$C$12,1,1),Summary!$C$11))*('Dvd Calendar'!$J$2967&lt;=MAX(DATE(Summary!$C$12,12,31),Summary!$C$15))*('Dvd Calendar'!$J$2967&gt;Summary!$C$11)=0,"",'Dvd Calendar'!$J$2967*1000000000+ISNUMBER('Dvd Calendar'!$J$2968)*100000000+('Dvd Calendar'!$J$2972='Field Check'!$C$25)*10000000+(N('Dvd Calendar'!$J$2966)&gt;0)*1000000+57*1000+46))</f>
        <v/>
      </c>
      <c r="AW213" s="41">
        <f>IF(N('Dvd Calendar'!$K$2967)=0,"",IF(('Dvd Calendar'!$K$2967&gt;=MIN(DATE(Summary!$C$12,1,1),Summary!$C$11))*('Dvd Calendar'!$K$2967&lt;=MAX(DATE(Summary!$C$12,12,31),Summary!$C$15))*('Dvd Calendar'!$K$2967&gt;Summary!$C$11)=0,"",'Dvd Calendar'!$K$2967*1000000000+ISNUMBER('Dvd Calendar'!$K$2968)*100000000+('Dvd Calendar'!$K$2972='Field Check'!$C$25)*10000000+(N('Dvd Calendar'!$K$2966)&gt;0)*1000000+57*1000+47))</f>
        <v/>
      </c>
      <c r="AX213" s="41">
        <f>IF(N('Dvd Calendar'!$L$2967)=0,"",IF(('Dvd Calendar'!$L$2967&gt;=MIN(DATE(Summary!$C$12,1,1),Summary!$C$11))*('Dvd Calendar'!$L$2967&lt;=MAX(DATE(Summary!$C$12,12,31),Summary!$C$15))*('Dvd Calendar'!$L$2967&gt;Summary!$C$11)=0,"",'Dvd Calendar'!$L$2967*1000000000+ISNUMBER('Dvd Calendar'!$L$2968)*100000000+('Dvd Calendar'!$L$2972='Field Check'!$C$25)*10000000+(N('Dvd Calendar'!$L$2966)&gt;0)*1000000+57*1000+48))</f>
        <v/>
      </c>
      <c r="AY213" s="41">
        <f>IF(N('Dvd Calendar'!$M$2967)=0,"",IF(('Dvd Calendar'!$M$2967&gt;=MIN(DATE(Summary!$C$12,1,1),Summary!$C$11))*('Dvd Calendar'!$M$2967&lt;=MAX(DATE(Summary!$C$12,12,31),Summary!$C$15))*('Dvd Calendar'!$M$2967&gt;Summary!$C$11)=0,"",'Dvd Calendar'!$M$2967*1000000000+ISNUMBER('Dvd Calendar'!$M$2968)*100000000+('Dvd Calendar'!$M$2972='Field Check'!$C$25)*10000000+(N('Dvd Calendar'!$M$2966)&gt;0)*1000000+57*1000+49))</f>
        <v/>
      </c>
      <c r="AZ213" s="41">
        <f>IF(N('Dvd Calendar'!$N$2967)=0,"",IF(('Dvd Calendar'!$N$2967&gt;=MIN(DATE(Summary!$C$12,1,1),Summary!$C$11))*('Dvd Calendar'!$N$2967&lt;=MAX(DATE(Summary!$C$12,12,31),Summary!$C$15))*('Dvd Calendar'!$N$2967&gt;Summary!$C$11)=0,"",'Dvd Calendar'!$N$2967*1000000000+ISNUMBER('Dvd Calendar'!$N$2968)*100000000+('Dvd Calendar'!$N$2972='Field Check'!$C$25)*10000000+(N('Dvd Calendar'!$N$2966)&gt;0)*1000000+57*1000+50))</f>
        <v/>
      </c>
      <c r="BA213" s="41">
        <f>IF(N('Dvd Calendar'!$O$2967)=0,"",IF(('Dvd Calendar'!$O$2967&gt;=MIN(DATE(Summary!$C$12,1,1),Summary!$C$11))*('Dvd Calendar'!$O$2967&lt;=MAX(DATE(Summary!$C$12,12,31),Summary!$C$15))*('Dvd Calendar'!$O$2967&gt;Summary!$C$11)=0,"",'Dvd Calendar'!$O$2967*1000000000+ISNUMBER('Dvd Calendar'!$O$2968)*100000000+('Dvd Calendar'!$O$2972='Field Check'!$C$25)*10000000+(N('Dvd Calendar'!$O$2966)&gt;0)*1000000+57*1000+51))</f>
        <v/>
      </c>
      <c r="BB213" s="41">
        <f>IF(N('Dvd Calendar'!$P$2967)=0,"",IF(('Dvd Calendar'!$P$2967&gt;=MIN(DATE(Summary!$C$12,1,1),Summary!$C$11))*('Dvd Calendar'!$P$2967&lt;=MAX(DATE(Summary!$C$12,12,31),Summary!$C$15))*('Dvd Calendar'!$P$2967&gt;Summary!$C$11)=0,"",'Dvd Calendar'!$P$2967*1000000000+ISNUMBER('Dvd Calendar'!$P$2968)*100000000+('Dvd Calendar'!$P$2972='Field Check'!$C$25)*10000000+(N('Dvd Calendar'!$P$2966)&gt;0)*1000000+57*1000+52))</f>
        <v/>
      </c>
      <c r="BC213" s="41">
        <f>IF(N('Dvd Calendar'!$Q$2967)=0,"",IF(('Dvd Calendar'!$Q$2967&gt;=MIN(DATE(Summary!$C$12,1,1),Summary!$C$11))*('Dvd Calendar'!$Q$2967&lt;=MAX(DATE(Summary!$C$12,12,31),Summary!$C$15))*('Dvd Calendar'!$Q$2967&gt;Summary!$C$11)=0,"",'Dvd Calendar'!$Q$2967*1000000000+ISNUMBER('Dvd Calendar'!$Q$2968)*100000000+('Dvd Calendar'!$Q$2972='Field Check'!$C$25)*10000000+(N('Dvd Calendar'!$Q$2966)&gt;0)*1000000+57*1000+53))</f>
        <v/>
      </c>
      <c r="BD213" s="41">
        <f>IF(N('Dvd Calendar'!$R$2967)=0,"",IF(('Dvd Calendar'!$R$2967&gt;=MIN(DATE(Summary!$C$12,1,1),Summary!$C$11))*('Dvd Calendar'!$R$2967&lt;=MAX(DATE(Summary!$C$12,12,31),Summary!$C$15))*('Dvd Calendar'!$R$2967&gt;Summary!$C$11)=0,"",'Dvd Calendar'!$R$2967*1000000000+ISNUMBER('Dvd Calendar'!$R$2968)*100000000+('Dvd Calendar'!$R$2972='Field Check'!$C$25)*10000000+(N('Dvd Calendar'!$R$2966)&gt;0)*1000000+57*1000+54))</f>
        <v/>
      </c>
      <c r="BE213" s="41">
        <f>IF(N('Dvd Calendar'!$S$2967)=0,"",IF(('Dvd Calendar'!$S$2967&gt;=MIN(DATE(Summary!$C$12,1,1),Summary!$C$11))*('Dvd Calendar'!$S$2967&lt;=MAX(DATE(Summary!$C$12,12,31),Summary!$C$15))*('Dvd Calendar'!$S$2967&gt;Summary!$C$11)=0,"",'Dvd Calendar'!$S$2967*1000000000+ISNUMBER('Dvd Calendar'!$S$2968)*100000000+('Dvd Calendar'!$S$2972='Field Check'!$C$25)*10000000+(N('Dvd Calendar'!$S$2966)&gt;0)*1000000+57*1000+55))</f>
        <v/>
      </c>
      <c r="BF213" s="41">
        <f>IF(N('Dvd Calendar'!$T$2967)=0,"",IF(('Dvd Calendar'!$T$2967&gt;=MIN(DATE(Summary!$C$12,1,1),Summary!$C$11))*('Dvd Calendar'!$T$2967&lt;=MAX(DATE(Summary!$C$12,12,31),Summary!$C$15))*('Dvd Calendar'!$T$2967&gt;Summary!$C$11)=0,"",'Dvd Calendar'!$T$2967*1000000000+ISNUMBER('Dvd Calendar'!$T$2968)*100000000+('Dvd Calendar'!$T$2972='Field Check'!$C$25)*10000000+(N('Dvd Calendar'!$T$2966)&gt;0)*1000000+57*1000+56))</f>
        <v/>
      </c>
      <c r="BG213" s="41">
        <f>IF(N('Dvd Calendar'!$U$2967)=0,"",IF(('Dvd Calendar'!$U$2967&gt;=MIN(DATE(Summary!$C$12,1,1),Summary!$C$11))*('Dvd Calendar'!$U$2967&lt;=MAX(DATE(Summary!$C$12,12,31),Summary!$C$15))*('Dvd Calendar'!$U$2967&gt;Summary!$C$11)=0,"",'Dvd Calendar'!$U$2967*1000000000+ISNUMBER('Dvd Calendar'!$U$2968)*100000000+('Dvd Calendar'!$U$2972='Field Check'!$C$25)*10000000+(N('Dvd Calendar'!$U$2966)&gt;0)*1000000+57*1000+57))</f>
        <v/>
      </c>
      <c r="BH213" s="41">
        <f>IF(N('Dvd Calendar'!$V$2967)=0,"",IF(('Dvd Calendar'!$V$2967&gt;=MIN(DATE(Summary!$C$12,1,1),Summary!$C$11))*('Dvd Calendar'!$V$2967&lt;=MAX(DATE(Summary!$C$12,12,31),Summary!$C$15))*('Dvd Calendar'!$V$2967&gt;Summary!$C$11)=0,"",'Dvd Calendar'!$V$2967*1000000000+ISNUMBER('Dvd Calendar'!$V$2968)*100000000+('Dvd Calendar'!$V$2972='Field Check'!$C$25)*10000000+(N('Dvd Calendar'!$V$2966)&gt;0)*1000000+57*1000+58))</f>
        <v/>
      </c>
      <c r="BI213" s="41">
        <f>IF(N('Dvd Calendar'!$W$2967)=0,"",IF(('Dvd Calendar'!$W$2967&gt;=MIN(DATE(Summary!$C$12,1,1),Summary!$C$11))*('Dvd Calendar'!$W$2967&lt;=MAX(DATE(Summary!$C$12,12,31),Summary!$C$15))*('Dvd Calendar'!$W$2967&gt;Summary!$C$11)=0,"",'Dvd Calendar'!$W$2967*1000000000+ISNUMBER('Dvd Calendar'!$W$2968)*100000000+('Dvd Calendar'!$W$2972='Field Check'!$C$25)*10000000+(N('Dvd Calendar'!$W$2966)&gt;0)*1000000+57*1000+59))</f>
        <v/>
      </c>
      <c r="BJ213" s="41">
        <f>IF(N('Dvd Calendar'!$X$2967)=0,"",IF(('Dvd Calendar'!$X$2967&gt;=MIN(DATE(Summary!$C$12,1,1),Summary!$C$11))*('Dvd Calendar'!$X$2967&lt;=MAX(DATE(Summary!$C$12,12,31),Summary!$C$15))*('Dvd Calendar'!$X$2967&gt;Summary!$C$11)=0,"",'Dvd Calendar'!$X$2967*1000000000+ISNUMBER('Dvd Calendar'!$X$2968)*100000000+('Dvd Calendar'!$X$2972='Field Check'!$C$25)*10000000+(N('Dvd Calendar'!$X$2966)&gt;0)*1000000+57*1000+60))</f>
        <v/>
      </c>
      <c r="BK213" s="41">
        <f>IF(N('Dvd Calendar'!$Y$2967)=0,"",IF(('Dvd Calendar'!$Y$2967&gt;=MIN(DATE(Summary!$C$12,1,1),Summary!$C$11))*('Dvd Calendar'!$Y$2967&lt;=MAX(DATE(Summary!$C$12,12,31),Summary!$C$15))*('Dvd Calendar'!$Y$2967&gt;Summary!$C$11)=0,"",'Dvd Calendar'!$Y$2967*1000000000+ISNUMBER('Dvd Calendar'!$Y$2968)*100000000+('Dvd Calendar'!$Y$2972='Field Check'!$C$25)*10000000+(N('Dvd Calendar'!$Y$2966)&gt;0)*1000000+57*1000+61))</f>
        <v/>
      </c>
      <c r="BL213" s="41">
        <f>IF(N('Dvd Calendar'!$Z$2967)=0,"",IF(('Dvd Calendar'!$Z$2967&gt;=MIN(DATE(Summary!$C$12,1,1),Summary!$C$11))*('Dvd Calendar'!$Z$2967&lt;=MAX(DATE(Summary!$C$12,12,31),Summary!$C$15))*('Dvd Calendar'!$Z$2967&gt;Summary!$C$11)=0,"",'Dvd Calendar'!$Z$2967*1000000000+ISNUMBER('Dvd Calendar'!$Z$2968)*100000000+('Dvd Calendar'!$Z$2972='Field Check'!$C$25)*10000000+(N('Dvd Calendar'!$Z$2966)&gt;0)*1000000+57*1000+62))</f>
        <v/>
      </c>
      <c r="BM213" s="41">
        <f>IF(N('Dvd Calendar'!$AA$2967)=0,"",IF(('Dvd Calendar'!$AA$2967&gt;=MIN(DATE(Summary!$C$12,1,1),Summary!$C$11))*('Dvd Calendar'!$AA$2967&lt;=MAX(DATE(Summary!$C$12,12,31),Summary!$C$15))*('Dvd Calendar'!$AA$2967&gt;Summary!$C$11)=0,"",'Dvd Calendar'!$AA$2967*1000000000+ISNUMBER('Dvd Calendar'!$AA$2968)*100000000+('Dvd Calendar'!$AA$2972='Field Check'!$C$25)*10000000+(N('Dvd Calendar'!$AA$2966)&gt;0)*1000000+57*1000+63))</f>
        <v/>
      </c>
      <c r="BN213" s="41">
        <f>IF(N('Dvd Calendar'!$AB$2967)=0,"",IF(('Dvd Calendar'!$AB$2967&gt;=MIN(DATE(Summary!$C$12,1,1),Summary!$C$11))*('Dvd Calendar'!$AB$2967&lt;=MAX(DATE(Summary!$C$12,12,31),Summary!$C$15))*('Dvd Calendar'!$AB$2967&gt;Summary!$C$11)=0,"",'Dvd Calendar'!$AB$2967*1000000000+ISNUMBER('Dvd Calendar'!$AB$2968)*100000000+('Dvd Calendar'!$AB$2972='Field Check'!$C$25)*10000000+(N('Dvd Calendar'!$AB$2966)&gt;0)*1000000+57*1000+64))</f>
        <v/>
      </c>
      <c r="BO213" s="41">
        <f>IF(N('Dvd Calendar'!$AC$2967)=0,"",IF(('Dvd Calendar'!$AC$2967&gt;=MIN(DATE(Summary!$C$12,1,1),Summary!$C$11))*('Dvd Calendar'!$AC$2967&lt;=MAX(DATE(Summary!$C$12,12,31),Summary!$C$15))*('Dvd Calendar'!$AC$2967&gt;Summary!$C$11)=0,"",'Dvd Calendar'!$AC$2967*1000000000+ISNUMBER('Dvd Calendar'!$AC$2968)*100000000+('Dvd Calendar'!$AC$2972='Field Check'!$C$25)*10000000+(N('Dvd Calendar'!$AC$2966)&gt;0)*1000000+57*1000+65))</f>
        <v/>
      </c>
      <c r="BQ213" s="85">
        <f>IF(C213="","",IF(ISNUMBER('Dvd Calendar'!$E$2961)=FALSE,"",IF((Summary!$C$13="N")*('Dvd Calendar'!$E$2965='Field Check'!$C$25)&gt;0,"",'Dvd Calendar'!$E$2961)))</f>
        <v/>
      </c>
      <c r="BR213" s="85">
        <f>IF(D213="","",IF(ISNUMBER('Dvd Calendar'!$F$2961)=FALSE,"",IF((Summary!$C$13="N")*('Dvd Calendar'!$F$2965='Field Check'!$C$25)&gt;0,"",'Dvd Calendar'!$F$2961)))</f>
        <v/>
      </c>
      <c r="BS213" s="85">
        <f>IF(E213="","",IF(ISNUMBER('Dvd Calendar'!$G$2961)=FALSE,"",IF((Summary!$C$13="N")*('Dvd Calendar'!$G$2965='Field Check'!$C$25)&gt;0,"",'Dvd Calendar'!$G$2961)))</f>
        <v/>
      </c>
      <c r="BT213" s="85">
        <f>IF(F213="","",IF(ISNUMBER('Dvd Calendar'!$H$2961)=FALSE,"",IF((Summary!$C$13="N")*('Dvd Calendar'!$H$2965='Field Check'!$C$25)&gt;0,"",'Dvd Calendar'!$H$2961)))</f>
        <v/>
      </c>
      <c r="BU213" s="85">
        <f>IF(G213="","",IF(ISNUMBER('Dvd Calendar'!$I$2961)=FALSE,"",IF((Summary!$C$13="N")*('Dvd Calendar'!$I$2965='Field Check'!$C$25)&gt;0,"",'Dvd Calendar'!$I$2961)))</f>
        <v/>
      </c>
      <c r="BV213" s="85">
        <f>IF(H213="","",IF(ISNUMBER('Dvd Calendar'!$J$2961)=FALSE,"",IF((Summary!$C$13="N")*('Dvd Calendar'!$J$2965='Field Check'!$C$25)&gt;0,"",'Dvd Calendar'!$J$2961)))</f>
        <v/>
      </c>
      <c r="BW213" s="85">
        <f>IF(I213="","",IF(ISNUMBER('Dvd Calendar'!$K$2961)=FALSE,"",IF((Summary!$C$13="N")*('Dvd Calendar'!$K$2965='Field Check'!$C$25)&gt;0,"",'Dvd Calendar'!$K$2961)))</f>
        <v/>
      </c>
      <c r="BX213" s="85">
        <f>IF(J213="","",IF(ISNUMBER('Dvd Calendar'!$L$2961)=FALSE,"",IF((Summary!$C$13="N")*('Dvd Calendar'!$L$2965='Field Check'!$C$25)&gt;0,"",'Dvd Calendar'!$L$2961)))</f>
        <v/>
      </c>
      <c r="BY213" s="85">
        <f>IF(K213="","",IF(ISNUMBER('Dvd Calendar'!$M$2961)=FALSE,"",IF((Summary!$C$13="N")*('Dvd Calendar'!$M$2965='Field Check'!$C$25)&gt;0,"",'Dvd Calendar'!$M$2961)))</f>
        <v/>
      </c>
      <c r="BZ213" s="85">
        <f>IF(L213="","",IF(ISNUMBER('Dvd Calendar'!$N$2961)=FALSE,"",IF((Summary!$C$13="N")*('Dvd Calendar'!$N$2965='Field Check'!$C$25)&gt;0,"",'Dvd Calendar'!$N$2961)))</f>
        <v/>
      </c>
      <c r="CA213" s="85">
        <f>IF(M213="","",IF(ISNUMBER('Dvd Calendar'!$O$2961)=FALSE,"",IF((Summary!$C$13="N")*('Dvd Calendar'!$O$2965='Field Check'!$C$25)&gt;0,"",'Dvd Calendar'!$O$2961)))</f>
        <v/>
      </c>
      <c r="CB213" s="85">
        <f>IF(N213="","",IF(ISNUMBER('Dvd Calendar'!$P$2961)=FALSE,"",IF((Summary!$C$13="N")*('Dvd Calendar'!$P$2965='Field Check'!$C$25)&gt;0,"",'Dvd Calendar'!$P$2961)))</f>
        <v/>
      </c>
      <c r="CC213" s="85">
        <f>IF(O213="","",IF(ISNUMBER('Dvd Calendar'!$Q$2961)=FALSE,"",IF((Summary!$C$13="N")*('Dvd Calendar'!$Q$2965='Field Check'!$C$25)&gt;0,"",'Dvd Calendar'!$Q$2961)))</f>
        <v/>
      </c>
      <c r="CD213" s="85">
        <f>IF(P213="","",IF(ISNUMBER('Dvd Calendar'!$R$2961)=FALSE,"",IF((Summary!$C$13="N")*('Dvd Calendar'!$R$2965='Field Check'!$C$25)&gt;0,"",'Dvd Calendar'!$R$2961)))</f>
        <v/>
      </c>
      <c r="CE213" s="85">
        <f>IF(Q213="","",IF(ISNUMBER('Dvd Calendar'!$S$2961)=FALSE,"",IF((Summary!$C$13="N")*('Dvd Calendar'!$S$2965='Field Check'!$C$25)&gt;0,"",'Dvd Calendar'!$S$2961)))</f>
        <v/>
      </c>
      <c r="CF213" s="85">
        <f>IF(R213="","",IF(ISNUMBER('Dvd Calendar'!$T$2961)=FALSE,"",IF((Summary!$C$13="N")*('Dvd Calendar'!$T$2965='Field Check'!$C$25)&gt;0,"",'Dvd Calendar'!$T$2961)))</f>
        <v/>
      </c>
      <c r="CG213" s="85">
        <f>IF(S213="","",IF(ISNUMBER('Dvd Calendar'!$U$2961)=FALSE,"",IF((Summary!$C$13="N")*('Dvd Calendar'!$U$2965='Field Check'!$C$25)&gt;0,"",'Dvd Calendar'!$U$2961)))</f>
        <v/>
      </c>
      <c r="CH213" s="85">
        <f>IF(T213="","",IF(ISNUMBER('Dvd Calendar'!$V$2961)=FALSE,"",IF((Summary!$C$13="N")*('Dvd Calendar'!$V$2965='Field Check'!$C$25)&gt;0,"",'Dvd Calendar'!$V$2961)))</f>
        <v/>
      </c>
      <c r="CI213" s="85">
        <f>IF(U213="","",IF(ISNUMBER('Dvd Calendar'!$W$2961)=FALSE,"",IF((Summary!$C$13="N")*('Dvd Calendar'!$W$2965='Field Check'!$C$25)&gt;0,"",'Dvd Calendar'!$W$2961)))</f>
        <v/>
      </c>
      <c r="CJ213" s="85">
        <f>IF(V213="","",IF(ISNUMBER('Dvd Calendar'!$X$2961)=FALSE,"",IF((Summary!$C$13="N")*('Dvd Calendar'!$X$2965='Field Check'!$C$25)&gt;0,"",'Dvd Calendar'!$X$2961)))</f>
        <v/>
      </c>
      <c r="CK213" s="85">
        <f>IF(W213="","",IF(ISNUMBER('Dvd Calendar'!$Y$2961)=FALSE,"",IF((Summary!$C$13="N")*('Dvd Calendar'!$Y$2965='Field Check'!$C$25)&gt;0,"",'Dvd Calendar'!$Y$2961)))</f>
        <v/>
      </c>
      <c r="CL213" s="85">
        <f>IF(X213="","",IF(ISNUMBER('Dvd Calendar'!$Z$2961)=FALSE,"",IF((Summary!$C$13="N")*('Dvd Calendar'!$Z$2965='Field Check'!$C$25)&gt;0,"",'Dvd Calendar'!$Z$2961)))</f>
        <v/>
      </c>
      <c r="CM213" s="85">
        <f>IF(Y213="","",IF(ISNUMBER('Dvd Calendar'!$AA$2961)=FALSE,"",IF((Summary!$C$13="N")*('Dvd Calendar'!$AA$2965='Field Check'!$C$25)&gt;0,"",'Dvd Calendar'!$AA$2961)))</f>
        <v/>
      </c>
      <c r="CN213" s="85">
        <f>IF(Z213="","",IF(ISNUMBER('Dvd Calendar'!$AB$2961)=FALSE,"",IF((Summary!$C$13="N")*('Dvd Calendar'!$AB$2965='Field Check'!$C$25)&gt;0,"",'Dvd Calendar'!$AB$2961)))</f>
        <v/>
      </c>
      <c r="CO213" s="85">
        <f>IF(AA213="","",IF(ISNUMBER('Dvd Calendar'!$AC$2961)=FALSE,"",IF((Summary!$C$13="N")*('Dvd Calendar'!$AC$2965='Field Check'!$C$25)&gt;0,"",'Dvd Calendar'!$AC$2961)))</f>
        <v/>
      </c>
      <c r="CP213" s="85">
        <f>IF(AB213="","",IF(ISNUMBER('Dvd Calendar'!$AD$2961)=FALSE,"",IF((Summary!$C$13="N")*('Dvd Calendar'!$AD$2965='Field Check'!$C$25)&gt;0,"",'Dvd Calendar'!$AD$2961)))</f>
        <v/>
      </c>
      <c r="CQ213" s="85">
        <f>IF(AC213="","",IF(ISNUMBER('Dvd Calendar'!$AE$2961)=FALSE,"",IF((Summary!$C$13="N")*('Dvd Calendar'!$AE$2965='Field Check'!$C$25)&gt;0,"",'Dvd Calendar'!$AE$2961)))</f>
        <v/>
      </c>
      <c r="CR213" s="85">
        <f>IF(AD213="","",IF(ISNUMBER('Dvd Calendar'!$AF$2961)=FALSE,"",IF((Summary!$C$13="N")*('Dvd Calendar'!$AF$2965='Field Check'!$C$25)&gt;0,"",'Dvd Calendar'!$AF$2961)))</f>
        <v/>
      </c>
      <c r="CS213" s="85">
        <f>IF(AE213="","",IF(ISNUMBER('Dvd Calendar'!$AG$2961)=FALSE,"",IF((Summary!$C$13="N")*('Dvd Calendar'!$AG$2965='Field Check'!$C$25)&gt;0,"",'Dvd Calendar'!$AG$2961)))</f>
        <v/>
      </c>
      <c r="CT213" s="85">
        <f>IF(AF213="","",IF(ISNUMBER('Dvd Calendar'!$AH$2961)=FALSE,"",IF((Summary!$C$13="N")*('Dvd Calendar'!$AH$2965='Field Check'!$C$25)&gt;0,"",'Dvd Calendar'!$AH$2961)))</f>
        <v/>
      </c>
      <c r="CU213" s="85">
        <f>IF(AG213="","",IF(ISNUMBER('Dvd Calendar'!$AI$2961)=FALSE,"",IF((Summary!$C$13="N")*('Dvd Calendar'!$AI$2965='Field Check'!$C$25)&gt;0,"",'Dvd Calendar'!$AI$2961)))</f>
        <v/>
      </c>
      <c r="CV213" s="85">
        <f>IF(AH213="","",IF(ISNUMBER('Dvd Calendar'!$AJ$2961)=FALSE,"",IF((Summary!$C$13="N")*('Dvd Calendar'!$AJ$2965='Field Check'!$C$25)&gt;0,"",'Dvd Calendar'!$AJ$2961)))</f>
        <v/>
      </c>
      <c r="CW213" s="85">
        <f>IF(AI213="","",IF(ISNUMBER('Dvd Calendar'!$AK$2961)=FALSE,"",IF((Summary!$C$13="N")*('Dvd Calendar'!$AK$2965='Field Check'!$C$25)&gt;0,"",'Dvd Calendar'!$AK$2961)))</f>
        <v/>
      </c>
      <c r="CX213" s="85">
        <f>IF(AJ213="","",IF(ISNUMBER('Dvd Calendar'!$AL$2961)=FALSE,"",IF((Summary!$C$13="N")*('Dvd Calendar'!$AL$2965='Field Check'!$C$25)&gt;0,"",'Dvd Calendar'!$AL$2961)))</f>
        <v/>
      </c>
      <c r="CY213" s="85">
        <f>IF(AK213="","",IF(ISNUMBER('Dvd Calendar'!$AM$2961)=FALSE,"",IF((Summary!$C$13="N")*('Dvd Calendar'!$AM$2965='Field Check'!$C$25)&gt;0,"",'Dvd Calendar'!$AM$2961)))</f>
        <v/>
      </c>
      <c r="CZ213" s="85">
        <f>IF(AL213="","",IF(ISNUMBER('Dvd Calendar'!$AN$2961)=FALSE,"",IF((Summary!$C$13="N")*('Dvd Calendar'!$AN$2965='Field Check'!$C$25)&gt;0,"",'Dvd Calendar'!$AN$2961)))</f>
        <v/>
      </c>
      <c r="DA213" s="85">
        <f>IF(AM213="","",IF(ISNUMBER('Dvd Calendar'!$AO$2961)=FALSE,"",IF((Summary!$C$13="N")*('Dvd Calendar'!$AO$2965='Field Check'!$C$25)&gt;0,"",'Dvd Calendar'!$AO$2961)))</f>
        <v/>
      </c>
      <c r="DB213" s="85">
        <f>IF(AN213="","",IF(ISNUMBER('Dvd Calendar'!$AP$2961)=FALSE,"",IF((Summary!$C$13="N")*('Dvd Calendar'!$AP$2965='Field Check'!$C$25)&gt;0,"",'Dvd Calendar'!$AP$2961)))</f>
        <v/>
      </c>
      <c r="DC213" s="85">
        <f>IF(AO213="","",IF(ISNUMBER('Dvd Calendar'!$AQ$2961)=FALSE,"",IF((Summary!$C$13="N")*('Dvd Calendar'!$AQ$2965='Field Check'!$C$25)&gt;0,"",'Dvd Calendar'!$AQ$2961)))</f>
        <v/>
      </c>
      <c r="DD213" s="85">
        <f>IF(AP213="","",IF(ISNUMBER('Dvd Calendar'!$AR$2961)=FALSE,"",IF((Summary!$C$13="N")*('Dvd Calendar'!$AR$2965='Field Check'!$C$25)&gt;0,"",'Dvd Calendar'!$AR$2961)))</f>
        <v/>
      </c>
      <c r="DE213" s="85">
        <f>IF(AQ213="","",IF(ISNUMBER('Dvd Calendar'!$E$2968)=FALSE,"",IF((Summary!$C$13="N")*('Dvd Calendar'!$E$2972='Field Check'!$C$25)&gt;0,"",'Dvd Calendar'!$E$2968)))</f>
        <v/>
      </c>
      <c r="DF213" s="85">
        <f>IF(AR213="","",IF(ISNUMBER('Dvd Calendar'!$F$2968)=FALSE,"",IF((Summary!$C$13="N")*('Dvd Calendar'!$F$2972='Field Check'!$C$25)&gt;0,"",'Dvd Calendar'!$F$2968)))</f>
        <v/>
      </c>
      <c r="DG213" s="85">
        <f>IF(AS213="","",IF(ISNUMBER('Dvd Calendar'!$G$2968)=FALSE,"",IF((Summary!$C$13="N")*('Dvd Calendar'!$G$2972='Field Check'!$C$25)&gt;0,"",'Dvd Calendar'!$G$2968)))</f>
        <v/>
      </c>
      <c r="DH213" s="85">
        <f>IF(AT213="","",IF(ISNUMBER('Dvd Calendar'!$H$2968)=FALSE,"",IF((Summary!$C$13="N")*('Dvd Calendar'!$H$2972='Field Check'!$C$25)&gt;0,"",'Dvd Calendar'!$H$2968)))</f>
        <v/>
      </c>
      <c r="DI213" s="85">
        <f>IF(AU213="","",IF(ISNUMBER('Dvd Calendar'!$I$2968)=FALSE,"",IF((Summary!$C$13="N")*('Dvd Calendar'!$I$2972='Field Check'!$C$25)&gt;0,"",'Dvd Calendar'!$I$2968)))</f>
        <v/>
      </c>
      <c r="DJ213" s="85">
        <f>IF(AV213="","",IF(ISNUMBER('Dvd Calendar'!$J$2968)=FALSE,"",IF((Summary!$C$13="N")*('Dvd Calendar'!$J$2972='Field Check'!$C$25)&gt;0,"",'Dvd Calendar'!$J$2968)))</f>
        <v/>
      </c>
      <c r="DK213" s="85">
        <f>IF(AW213="","",IF(ISNUMBER('Dvd Calendar'!$K$2968)=FALSE,"",IF((Summary!$C$13="N")*('Dvd Calendar'!$K$2972='Field Check'!$C$25)&gt;0,"",'Dvd Calendar'!$K$2968)))</f>
        <v/>
      </c>
      <c r="DL213" s="85">
        <f>IF(AX213="","",IF(ISNUMBER('Dvd Calendar'!$L$2968)=FALSE,"",IF((Summary!$C$13="N")*('Dvd Calendar'!$L$2972='Field Check'!$C$25)&gt;0,"",'Dvd Calendar'!$L$2968)))</f>
        <v/>
      </c>
      <c r="DM213" s="85">
        <f>IF(AY213="","",IF(ISNUMBER('Dvd Calendar'!$M$2968)=FALSE,"",IF((Summary!$C$13="N")*('Dvd Calendar'!$M$2972='Field Check'!$C$25)&gt;0,"",'Dvd Calendar'!$M$2968)))</f>
        <v/>
      </c>
      <c r="DN213" s="85">
        <f>IF(AZ213="","",IF(ISNUMBER('Dvd Calendar'!$N$2968)=FALSE,"",IF((Summary!$C$13="N")*('Dvd Calendar'!$N$2972='Field Check'!$C$25)&gt;0,"",'Dvd Calendar'!$N$2968)))</f>
        <v/>
      </c>
      <c r="DO213" s="85">
        <f>IF(BA213="","",IF(ISNUMBER('Dvd Calendar'!$O$2968)=FALSE,"",IF((Summary!$C$13="N")*('Dvd Calendar'!$O$2972='Field Check'!$C$25)&gt;0,"",'Dvd Calendar'!$O$2968)))</f>
        <v/>
      </c>
      <c r="DP213" s="85">
        <f>IF(BB213="","",IF(ISNUMBER('Dvd Calendar'!$P$2968)=FALSE,"",IF((Summary!$C$13="N")*('Dvd Calendar'!$P$2972='Field Check'!$C$25)&gt;0,"",'Dvd Calendar'!$P$2968)))</f>
        <v/>
      </c>
      <c r="DQ213" s="85">
        <f>IF(BC213="","",IF(ISNUMBER('Dvd Calendar'!$Q$2968)=FALSE,"",IF((Summary!$C$13="N")*('Dvd Calendar'!$Q$2972='Field Check'!$C$25)&gt;0,"",'Dvd Calendar'!$Q$2968)))</f>
        <v/>
      </c>
      <c r="DR213" s="85">
        <f>IF(BD213="","",IF(ISNUMBER('Dvd Calendar'!$R$2968)=FALSE,"",IF((Summary!$C$13="N")*('Dvd Calendar'!$R$2972='Field Check'!$C$25)&gt;0,"",'Dvd Calendar'!$R$2968)))</f>
        <v/>
      </c>
      <c r="DS213" s="85">
        <f>IF(BE213="","",IF(ISNUMBER('Dvd Calendar'!$S$2968)=FALSE,"",IF((Summary!$C$13="N")*('Dvd Calendar'!$S$2972='Field Check'!$C$25)&gt;0,"",'Dvd Calendar'!$S$2968)))</f>
        <v/>
      </c>
      <c r="DT213" s="85">
        <f>IF(BF213="","",IF(ISNUMBER('Dvd Calendar'!$T$2968)=FALSE,"",IF((Summary!$C$13="N")*('Dvd Calendar'!$T$2972='Field Check'!$C$25)&gt;0,"",'Dvd Calendar'!$T$2968)))</f>
        <v/>
      </c>
      <c r="DU213" s="85">
        <f>IF(BG213="","",IF(ISNUMBER('Dvd Calendar'!$U$2968)=FALSE,"",IF((Summary!$C$13="N")*('Dvd Calendar'!$U$2972='Field Check'!$C$25)&gt;0,"",'Dvd Calendar'!$U$2968)))</f>
        <v/>
      </c>
      <c r="DV213" s="85">
        <f>IF(BH213="","",IF(ISNUMBER('Dvd Calendar'!$V$2968)=FALSE,"",IF((Summary!$C$13="N")*('Dvd Calendar'!$V$2972='Field Check'!$C$25)&gt;0,"",'Dvd Calendar'!$V$2968)))</f>
        <v/>
      </c>
      <c r="DW213" s="85">
        <f>IF(BI213="","",IF(ISNUMBER('Dvd Calendar'!$W$2968)=FALSE,"",IF((Summary!$C$13="N")*('Dvd Calendar'!$W$2972='Field Check'!$C$25)&gt;0,"",'Dvd Calendar'!$W$2968)))</f>
        <v/>
      </c>
      <c r="DX213" s="85">
        <f>IF(BJ213="","",IF(ISNUMBER('Dvd Calendar'!$X$2968)=FALSE,"",IF((Summary!$C$13="N")*('Dvd Calendar'!$X$2972='Field Check'!$C$25)&gt;0,"",'Dvd Calendar'!$X$2968)))</f>
        <v/>
      </c>
      <c r="DY213" s="85">
        <f>IF(BK213="","",IF(ISNUMBER('Dvd Calendar'!$Y$2968)=FALSE,"",IF((Summary!$C$13="N")*('Dvd Calendar'!$Y$2972='Field Check'!$C$25)&gt;0,"",'Dvd Calendar'!$Y$2968)))</f>
        <v/>
      </c>
      <c r="DZ213" s="85">
        <f>IF(BL213="","",IF(ISNUMBER('Dvd Calendar'!$Z$2968)=FALSE,"",IF((Summary!$C$13="N")*('Dvd Calendar'!$Z$2972='Field Check'!$C$25)&gt;0,"",'Dvd Calendar'!$Z$2968)))</f>
        <v/>
      </c>
      <c r="EA213" s="85">
        <f>IF(BM213="","",IF(ISNUMBER('Dvd Calendar'!$AA$2968)=FALSE,"",IF((Summary!$C$13="N")*('Dvd Calendar'!$AA$2972='Field Check'!$C$25)&gt;0,"",'Dvd Calendar'!$AA$2968)))</f>
        <v/>
      </c>
      <c r="EB213" s="85">
        <f>IF(BN213="","",IF(ISNUMBER('Dvd Calendar'!$AB$2968)=FALSE,"",IF((Summary!$C$13="N")*('Dvd Calendar'!$AB$2972='Field Check'!$C$25)&gt;0,"",'Dvd Calendar'!$AB$2968)))</f>
        <v/>
      </c>
      <c r="EC213" s="85">
        <f>IF(BO213="","",IF(ISNUMBER('Dvd Calendar'!$AC$2968)=FALSE,"",IF((Summary!$C$13="N")*('Dvd Calendar'!$AC$2972='Field Check'!$C$25)&gt;0,"",'Dvd Calendar'!$AC$2968)))</f>
        <v/>
      </c>
      <c r="EE213" s="85">
        <f>IF(BQ213="","",IFERROR(BQ213*HSCEI!$B$63*HSCEI!$G$63/HSCEI!$B$3,""))</f>
        <v/>
      </c>
      <c r="EF213" s="85">
        <f>IF(BR213="","",IFERROR(BR213*HSCEI!$B$63*HSCEI!$G$63/HSCEI!$B$3,""))</f>
        <v/>
      </c>
      <c r="EG213" s="85">
        <f>IF(BS213="","",IFERROR(BS213*HSCEI!$B$63*HSCEI!$G$63/HSCEI!$B$3,""))</f>
        <v/>
      </c>
      <c r="EH213" s="85">
        <f>IF(BT213="","",IFERROR(BT213*HSCEI!$B$63*HSCEI!$G$63/HSCEI!$B$3,""))</f>
        <v/>
      </c>
      <c r="EI213" s="85">
        <f>IF(BU213="","",IFERROR(BU213*HSCEI!$B$63*HSCEI!$G$63/HSCEI!$B$3,""))</f>
        <v/>
      </c>
      <c r="EJ213" s="85">
        <f>IF(BV213="","",IFERROR(BV213*HSCEI!$B$63*HSCEI!$G$63/HSCEI!$B$3,""))</f>
        <v/>
      </c>
      <c r="EK213" s="85">
        <f>IF(BW213="","",IFERROR(BW213*HSCEI!$B$63*HSCEI!$G$63/HSCEI!$B$3,""))</f>
        <v/>
      </c>
      <c r="EL213" s="85">
        <f>IF(BX213="","",IFERROR(BX213*HSCEI!$B$63*HSCEI!$G$63/HSCEI!$B$3,""))</f>
        <v/>
      </c>
      <c r="EM213" s="85">
        <f>IF(BY213="","",IFERROR(BY213*HSCEI!$B$63*HSCEI!$G$63/HSCEI!$B$3,""))</f>
        <v/>
      </c>
      <c r="EN213" s="85">
        <f>IF(BZ213="","",IFERROR(BZ213*HSCEI!$B$63*HSCEI!$G$63/HSCEI!$B$3,""))</f>
        <v/>
      </c>
      <c r="EO213" s="85">
        <f>IF(CA213="","",IFERROR(CA213*HSCEI!$B$63*HSCEI!$G$63/HSCEI!$B$3,""))</f>
        <v/>
      </c>
      <c r="EP213" s="85">
        <f>IF(CB213="","",IFERROR(CB213*HSCEI!$B$63*HSCEI!$G$63/HSCEI!$B$3,""))</f>
        <v/>
      </c>
      <c r="EQ213" s="85">
        <f>IF(CC213="","",IFERROR(CC213*HSCEI!$B$63*HSCEI!$G$63/HSCEI!$B$3,""))</f>
        <v/>
      </c>
      <c r="ER213" s="85">
        <f>IF(CD213="","",IFERROR(CD213*HSCEI!$B$63*HSCEI!$G$63/HSCEI!$B$3,""))</f>
        <v/>
      </c>
      <c r="ES213" s="85">
        <f>IF(CE213="","",IFERROR(CE213*HSCEI!$B$63*HSCEI!$G$63/HSCEI!$B$3,""))</f>
        <v/>
      </c>
      <c r="ET213" s="85">
        <f>IF(CF213="","",IFERROR(CF213*HSCEI!$B$63*HSCEI!$G$63/HSCEI!$B$3,""))</f>
        <v/>
      </c>
      <c r="EU213" s="85">
        <f>IF(CG213="","",IFERROR(CG213*HSCEI!$B$63*HSCEI!$G$63/HSCEI!$B$3,""))</f>
        <v/>
      </c>
      <c r="EV213" s="85">
        <f>IF(CH213="","",IFERROR(CH213*HSCEI!$B$63*HSCEI!$G$63/HSCEI!$B$3,""))</f>
        <v/>
      </c>
      <c r="EW213" s="85">
        <f>IF(CI213="","",IFERROR(CI213*HSCEI!$B$63*HSCEI!$G$63/HSCEI!$B$3,""))</f>
        <v/>
      </c>
      <c r="EX213" s="85">
        <f>IF(CJ213="","",IFERROR(CJ213*HSCEI!$B$63*HSCEI!$G$63/HSCEI!$B$3,""))</f>
        <v/>
      </c>
      <c r="EY213" s="85">
        <f>IF(CK213="","",IFERROR(CK213*HSCEI!$B$63*HSCEI!$G$63/HSCEI!$B$3,""))</f>
        <v/>
      </c>
      <c r="EZ213" s="85">
        <f>IF(CL213="","",IFERROR(CL213*HSCEI!$B$63*HSCEI!$G$63/HSCEI!$B$3,""))</f>
        <v/>
      </c>
      <c r="FA213" s="85">
        <f>IF(CM213="","",IFERROR(CM213*HSCEI!$B$63*HSCEI!$G$63/HSCEI!$B$3,""))</f>
        <v/>
      </c>
      <c r="FB213" s="85">
        <f>IF(CN213="","",IFERROR(CN213*HSCEI!$B$63*HSCEI!$G$63/HSCEI!$B$3,""))</f>
        <v/>
      </c>
      <c r="FC213" s="85">
        <f>IF(CO213="","",IFERROR(CO213*HSCEI!$B$63*HSCEI!$G$63/HSCEI!$B$3,""))</f>
        <v/>
      </c>
      <c r="FD213" s="85">
        <f>IF(CP213="","",IFERROR(CP213*HSCEI!$B$63*HSCEI!$G$63/HSCEI!$B$3,""))</f>
        <v/>
      </c>
      <c r="FE213" s="85">
        <f>IF(CQ213="","",IFERROR(CQ213*HSCEI!$B$63*HSCEI!$G$63/HSCEI!$B$3,""))</f>
        <v/>
      </c>
      <c r="FF213" s="85">
        <f>IF(CR213="","",IFERROR(CR213*HSCEI!$B$63*HSCEI!$G$63/HSCEI!$B$3,""))</f>
        <v/>
      </c>
      <c r="FG213" s="85">
        <f>IF(CS213="","",IFERROR(CS213*HSCEI!$B$63*HSCEI!$G$63/HSCEI!$B$3,""))</f>
        <v/>
      </c>
      <c r="FH213" s="85">
        <f>IF(CT213="","",IFERROR(CT213*HSCEI!$B$63*HSCEI!$G$63/HSCEI!$B$3,""))</f>
        <v/>
      </c>
      <c r="FI213" s="85">
        <f>IF(CU213="","",IFERROR(CU213*HSCEI!$B$63*HSCEI!$G$63/HSCEI!$B$3,""))</f>
        <v/>
      </c>
      <c r="FJ213" s="85">
        <f>IF(CV213="","",IFERROR(CV213*HSCEI!$B$63*HSCEI!$G$63/HSCEI!$B$3,""))</f>
        <v/>
      </c>
      <c r="FK213" s="85">
        <f>IF(CW213="","",IFERROR(CW213*HSCEI!$B$63*HSCEI!$G$63/HSCEI!$B$3,""))</f>
        <v/>
      </c>
      <c r="FL213" s="85">
        <f>IF(CX213="","",IFERROR(CX213*HSCEI!$B$63*HSCEI!$G$63/HSCEI!$B$3,""))</f>
        <v/>
      </c>
      <c r="FM213" s="85">
        <f>IF(CY213="","",IFERROR(CY213*HSCEI!$B$63*HSCEI!$G$63/HSCEI!$B$3,""))</f>
        <v/>
      </c>
      <c r="FN213" s="85">
        <f>IF(CZ213="","",IFERROR(CZ213*HSCEI!$B$63*HSCEI!$G$63/HSCEI!$B$3,""))</f>
        <v/>
      </c>
      <c r="FO213" s="85">
        <f>IF(DA213="","",IFERROR(DA213*HSCEI!$B$63*HSCEI!$G$63/HSCEI!$B$3,""))</f>
        <v/>
      </c>
      <c r="FP213" s="85">
        <f>IF(DB213="","",IFERROR(DB213*HSCEI!$B$63*HSCEI!$G$63/HSCEI!$B$3,""))</f>
        <v/>
      </c>
      <c r="FQ213" s="85">
        <f>IF(DC213="","",IFERROR(DC213*HSCEI!$B$63*HSCEI!$G$63/HSCEI!$B$3,""))</f>
        <v/>
      </c>
      <c r="FR213" s="85">
        <f>IF(DD213="","",IFERROR(DD213*HSCEI!$B$63*HSCEI!$G$63/HSCEI!$B$3,""))</f>
        <v/>
      </c>
      <c r="FS213" s="85">
        <f>IF(DE213="","",IFERROR(DE213*HSCEI!$B$63*HSCEI!$G$63/HSCEI!$B$3,""))</f>
        <v/>
      </c>
      <c r="FT213" s="85">
        <f>IF(DF213="","",IFERROR(DF213*HSCEI!$B$63*HSCEI!$G$63/HSCEI!$B$3,""))</f>
        <v/>
      </c>
      <c r="FU213" s="85">
        <f>IF(DG213="","",IFERROR(DG213*HSCEI!$B$63*HSCEI!$G$63/HSCEI!$B$3,""))</f>
        <v/>
      </c>
      <c r="FV213" s="85">
        <f>IF(DH213="","",IFERROR(DH213*HSCEI!$B$63*HSCEI!$G$63/HSCEI!$B$3,""))</f>
        <v/>
      </c>
      <c r="FW213" s="85">
        <f>IF(DI213="","",IFERROR(DI213*HSCEI!$B$63*HSCEI!$G$63/HSCEI!$B$3,""))</f>
        <v/>
      </c>
      <c r="FX213" s="85">
        <f>IF(DJ213="","",IFERROR(DJ213*HSCEI!$B$63*HSCEI!$G$63/HSCEI!$B$3,""))</f>
        <v/>
      </c>
      <c r="FY213" s="85">
        <f>IF(DK213="","",IFERROR(DK213*HSCEI!$B$63*HSCEI!$G$63/HSCEI!$B$3,""))</f>
        <v/>
      </c>
      <c r="FZ213" s="85">
        <f>IF(DL213="","",IFERROR(DL213*HSCEI!$B$63*HSCEI!$G$63/HSCEI!$B$3,""))</f>
        <v/>
      </c>
      <c r="GA213" s="85">
        <f>IF(DM213="","",IFERROR(DM213*HSCEI!$B$63*HSCEI!$G$63/HSCEI!$B$3,""))</f>
        <v/>
      </c>
      <c r="GB213" s="85">
        <f>IF(DN213="","",IFERROR(DN213*HSCEI!$B$63*HSCEI!$G$63/HSCEI!$B$3,""))</f>
        <v/>
      </c>
      <c r="GC213" s="85">
        <f>IF(DO213="","",IFERROR(DO213*HSCEI!$B$63*HSCEI!$G$63/HSCEI!$B$3,""))</f>
        <v/>
      </c>
      <c r="GD213" s="85">
        <f>IF(DP213="","",IFERROR(DP213*HSCEI!$B$63*HSCEI!$G$63/HSCEI!$B$3,""))</f>
        <v/>
      </c>
      <c r="GE213" s="85">
        <f>IF(DQ213="","",IFERROR(DQ213*HSCEI!$B$63*HSCEI!$G$63/HSCEI!$B$3,""))</f>
        <v/>
      </c>
      <c r="GF213" s="85">
        <f>IF(DR213="","",IFERROR(DR213*HSCEI!$B$63*HSCEI!$G$63/HSCEI!$B$3,""))</f>
        <v/>
      </c>
      <c r="GG213" s="85">
        <f>IF(DS213="","",IFERROR(DS213*HSCEI!$B$63*HSCEI!$G$63/HSCEI!$B$3,""))</f>
        <v/>
      </c>
      <c r="GH213" s="85">
        <f>IF(DT213="","",IFERROR(DT213*HSCEI!$B$63*HSCEI!$G$63/HSCEI!$B$3,""))</f>
        <v/>
      </c>
      <c r="GI213" s="85">
        <f>IF(DU213="","",IFERROR(DU213*HSCEI!$B$63*HSCEI!$G$63/HSCEI!$B$3,""))</f>
        <v/>
      </c>
      <c r="GJ213" s="85">
        <f>IF(DV213="","",IFERROR(DV213*HSCEI!$B$63*HSCEI!$G$63/HSCEI!$B$3,""))</f>
        <v/>
      </c>
      <c r="GK213" s="85">
        <f>IF(DW213="","",IFERROR(DW213*HSCEI!$B$63*HSCEI!$G$63/HSCEI!$B$3,""))</f>
        <v/>
      </c>
      <c r="GL213" s="85">
        <f>IF(DX213="","",IFERROR(DX213*HSCEI!$B$63*HSCEI!$G$63/HSCEI!$B$3,""))</f>
        <v/>
      </c>
      <c r="GM213" s="85">
        <f>IF(DY213="","",IFERROR(DY213*HSCEI!$B$63*HSCEI!$G$63/HSCEI!$B$3,""))</f>
        <v/>
      </c>
      <c r="GN213" s="85">
        <f>IF(DZ213="","",IFERROR(DZ213*HSCEI!$B$63*HSCEI!$G$63/HSCEI!$B$3,""))</f>
        <v/>
      </c>
      <c r="GO213" s="85">
        <f>IF(EA213="","",IFERROR(EA213*HSCEI!$B$63*HSCEI!$G$63/HSCEI!$B$3,""))</f>
        <v/>
      </c>
      <c r="GP213" s="85">
        <f>IF(EB213="","",IFERROR(EB213*HSCEI!$B$63*HSCEI!$G$63/HSCEI!$B$3,""))</f>
        <v/>
      </c>
      <c r="GQ213" s="85">
        <f>IF(EC213="","",IFERROR(EC213*HSCEI!$B$63*HSCEI!$G$63/HSCEI!$B$3,""))</f>
        <v/>
      </c>
    </row>
    <row r="214">
      <c r="B214" s="2">
        <f>IF(HSCEI!$C$64="","",HSCEI!$C$64)</f>
        <v/>
      </c>
      <c r="C214" s="41">
        <f>IF(N('Dvd Calendar'!$E$2975)=0,"",IF(('Dvd Calendar'!$E$2975&gt;=MIN(DATE(Summary!$C$12,1,1),Summary!$C$11))*('Dvd Calendar'!$E$2975&lt;=MAX(DATE(Summary!$C$12,12,31),Summary!$C$15))*('Dvd Calendar'!$E$2975&lt;=Summary!$C$11)=0,"",'Dvd Calendar'!$E$2975*1000000000+ISNUMBER('Dvd Calendar'!$E$2976)*100000000+('Dvd Calendar'!$E$2980='Field Check'!$C$25)*10000000+(N('Dvd Calendar'!$E$2974)&gt;0)*1000000+58*1000+1))</f>
        <v/>
      </c>
      <c r="D214" s="41">
        <f>IF(N('Dvd Calendar'!$F$2975)=0,"",IF(('Dvd Calendar'!$F$2975&gt;=MIN(DATE(Summary!$C$12,1,1),Summary!$C$11))*('Dvd Calendar'!$F$2975&lt;=MAX(DATE(Summary!$C$12,12,31),Summary!$C$15))*('Dvd Calendar'!$F$2975&lt;=Summary!$C$11)=0,"",'Dvd Calendar'!$F$2975*1000000000+ISNUMBER('Dvd Calendar'!$F$2976)*100000000+('Dvd Calendar'!$F$2980='Field Check'!$C$25)*10000000+(N('Dvd Calendar'!$F$2974)&gt;0)*1000000+58*1000+2))</f>
        <v/>
      </c>
      <c r="E214" s="41">
        <f>IF(N('Dvd Calendar'!$G$2975)=0,"",IF(('Dvd Calendar'!$G$2975&gt;=MIN(DATE(Summary!$C$12,1,1),Summary!$C$11))*('Dvd Calendar'!$G$2975&lt;=MAX(DATE(Summary!$C$12,12,31),Summary!$C$15))*('Dvd Calendar'!$G$2975&lt;=Summary!$C$11)=0,"",'Dvd Calendar'!$G$2975*1000000000+ISNUMBER('Dvd Calendar'!$G$2976)*100000000+('Dvd Calendar'!$G$2980='Field Check'!$C$25)*10000000+(N('Dvd Calendar'!$G$2974)&gt;0)*1000000+58*1000+3))</f>
        <v/>
      </c>
      <c r="F214" s="41">
        <f>IF(N('Dvd Calendar'!$H$2975)=0,"",IF(('Dvd Calendar'!$H$2975&gt;=MIN(DATE(Summary!$C$12,1,1),Summary!$C$11))*('Dvd Calendar'!$H$2975&lt;=MAX(DATE(Summary!$C$12,12,31),Summary!$C$15))*('Dvd Calendar'!$H$2975&lt;=Summary!$C$11)=0,"",'Dvd Calendar'!$H$2975*1000000000+ISNUMBER('Dvd Calendar'!$H$2976)*100000000+('Dvd Calendar'!$H$2980='Field Check'!$C$25)*10000000+(N('Dvd Calendar'!$H$2974)&gt;0)*1000000+58*1000+4))</f>
        <v/>
      </c>
      <c r="G214" s="41">
        <f>IF(N('Dvd Calendar'!$I$2975)=0,"",IF(('Dvd Calendar'!$I$2975&gt;=MIN(DATE(Summary!$C$12,1,1),Summary!$C$11))*('Dvd Calendar'!$I$2975&lt;=MAX(DATE(Summary!$C$12,12,31),Summary!$C$15))*('Dvd Calendar'!$I$2975&lt;=Summary!$C$11)=0,"",'Dvd Calendar'!$I$2975*1000000000+ISNUMBER('Dvd Calendar'!$I$2976)*100000000+('Dvd Calendar'!$I$2980='Field Check'!$C$25)*10000000+(N('Dvd Calendar'!$I$2974)&gt;0)*1000000+58*1000+5))</f>
        <v/>
      </c>
      <c r="H214" s="41">
        <f>IF(N('Dvd Calendar'!$J$2975)=0,"",IF(('Dvd Calendar'!$J$2975&gt;=MIN(DATE(Summary!$C$12,1,1),Summary!$C$11))*('Dvd Calendar'!$J$2975&lt;=MAX(DATE(Summary!$C$12,12,31),Summary!$C$15))*('Dvd Calendar'!$J$2975&lt;=Summary!$C$11)=0,"",'Dvd Calendar'!$J$2975*1000000000+ISNUMBER('Dvd Calendar'!$J$2976)*100000000+('Dvd Calendar'!$J$2980='Field Check'!$C$25)*10000000+(N('Dvd Calendar'!$J$2974)&gt;0)*1000000+58*1000+6))</f>
        <v/>
      </c>
      <c r="I214" s="41">
        <f>IF(N('Dvd Calendar'!$K$2975)=0,"",IF(('Dvd Calendar'!$K$2975&gt;=MIN(DATE(Summary!$C$12,1,1),Summary!$C$11))*('Dvd Calendar'!$K$2975&lt;=MAX(DATE(Summary!$C$12,12,31),Summary!$C$15))*('Dvd Calendar'!$K$2975&lt;=Summary!$C$11)=0,"",'Dvd Calendar'!$K$2975*1000000000+ISNUMBER('Dvd Calendar'!$K$2976)*100000000+('Dvd Calendar'!$K$2980='Field Check'!$C$25)*10000000+(N('Dvd Calendar'!$K$2974)&gt;0)*1000000+58*1000+7))</f>
        <v/>
      </c>
      <c r="J214" s="41">
        <f>IF(N('Dvd Calendar'!$L$2975)=0,"",IF(('Dvd Calendar'!$L$2975&gt;=MIN(DATE(Summary!$C$12,1,1),Summary!$C$11))*('Dvd Calendar'!$L$2975&lt;=MAX(DATE(Summary!$C$12,12,31),Summary!$C$15))*('Dvd Calendar'!$L$2975&lt;=Summary!$C$11)=0,"",'Dvd Calendar'!$L$2975*1000000000+ISNUMBER('Dvd Calendar'!$L$2976)*100000000+('Dvd Calendar'!$L$2980='Field Check'!$C$25)*10000000+(N('Dvd Calendar'!$L$2974)&gt;0)*1000000+58*1000+8))</f>
        <v/>
      </c>
      <c r="K214" s="41">
        <f>IF(N('Dvd Calendar'!$M$2975)=0,"",IF(('Dvd Calendar'!$M$2975&gt;=MIN(DATE(Summary!$C$12,1,1),Summary!$C$11))*('Dvd Calendar'!$M$2975&lt;=MAX(DATE(Summary!$C$12,12,31),Summary!$C$15))*('Dvd Calendar'!$M$2975&lt;=Summary!$C$11)=0,"",'Dvd Calendar'!$M$2975*1000000000+ISNUMBER('Dvd Calendar'!$M$2976)*100000000+('Dvd Calendar'!$M$2980='Field Check'!$C$25)*10000000+(N('Dvd Calendar'!$M$2974)&gt;0)*1000000+58*1000+9))</f>
        <v/>
      </c>
      <c r="L214" s="41">
        <f>IF(N('Dvd Calendar'!$N$2975)=0,"",IF(('Dvd Calendar'!$N$2975&gt;=MIN(DATE(Summary!$C$12,1,1),Summary!$C$11))*('Dvd Calendar'!$N$2975&lt;=MAX(DATE(Summary!$C$12,12,31),Summary!$C$15))*('Dvd Calendar'!$N$2975&lt;=Summary!$C$11)=0,"",'Dvd Calendar'!$N$2975*1000000000+ISNUMBER('Dvd Calendar'!$N$2976)*100000000+('Dvd Calendar'!$N$2980='Field Check'!$C$25)*10000000+(N('Dvd Calendar'!$N$2974)&gt;0)*1000000+58*1000+10))</f>
        <v/>
      </c>
      <c r="M214" s="41">
        <f>IF(N('Dvd Calendar'!$O$2975)=0,"",IF(('Dvd Calendar'!$O$2975&gt;=MIN(DATE(Summary!$C$12,1,1),Summary!$C$11))*('Dvd Calendar'!$O$2975&lt;=MAX(DATE(Summary!$C$12,12,31),Summary!$C$15))*('Dvd Calendar'!$O$2975&lt;=Summary!$C$11)=0,"",'Dvd Calendar'!$O$2975*1000000000+ISNUMBER('Dvd Calendar'!$O$2976)*100000000+('Dvd Calendar'!$O$2980='Field Check'!$C$25)*10000000+(N('Dvd Calendar'!$O$2974)&gt;0)*1000000+58*1000+11))</f>
        <v/>
      </c>
      <c r="N214" s="41">
        <f>IF(N('Dvd Calendar'!$P$2975)=0,"",IF(('Dvd Calendar'!$P$2975&gt;=MIN(DATE(Summary!$C$12,1,1),Summary!$C$11))*('Dvd Calendar'!$P$2975&lt;=MAX(DATE(Summary!$C$12,12,31),Summary!$C$15))*('Dvd Calendar'!$P$2975&lt;=Summary!$C$11)=0,"",'Dvd Calendar'!$P$2975*1000000000+ISNUMBER('Dvd Calendar'!$P$2976)*100000000+('Dvd Calendar'!$P$2980='Field Check'!$C$25)*10000000+(N('Dvd Calendar'!$P$2974)&gt;0)*1000000+58*1000+12))</f>
        <v/>
      </c>
      <c r="O214" s="41">
        <f>IF(N('Dvd Calendar'!$Q$2975)=0,"",IF(('Dvd Calendar'!$Q$2975&gt;=MIN(DATE(Summary!$C$12,1,1),Summary!$C$11))*('Dvd Calendar'!$Q$2975&lt;=MAX(DATE(Summary!$C$12,12,31),Summary!$C$15))*('Dvd Calendar'!$Q$2975&lt;=Summary!$C$11)=0,"",'Dvd Calendar'!$Q$2975*1000000000+ISNUMBER('Dvd Calendar'!$Q$2976)*100000000+('Dvd Calendar'!$Q$2980='Field Check'!$C$25)*10000000+(N('Dvd Calendar'!$Q$2974)&gt;0)*1000000+58*1000+13))</f>
        <v/>
      </c>
      <c r="P214" s="41">
        <f>IF(N('Dvd Calendar'!$R$2975)=0,"",IF(('Dvd Calendar'!$R$2975&gt;=MIN(DATE(Summary!$C$12,1,1),Summary!$C$11))*('Dvd Calendar'!$R$2975&lt;=MAX(DATE(Summary!$C$12,12,31),Summary!$C$15))*('Dvd Calendar'!$R$2975&lt;=Summary!$C$11)=0,"",'Dvd Calendar'!$R$2975*1000000000+ISNUMBER('Dvd Calendar'!$R$2976)*100000000+('Dvd Calendar'!$R$2980='Field Check'!$C$25)*10000000+(N('Dvd Calendar'!$R$2974)&gt;0)*1000000+58*1000+14))</f>
        <v/>
      </c>
      <c r="Q214" s="41">
        <f>IF(N('Dvd Calendar'!$S$2975)=0,"",IF(('Dvd Calendar'!$S$2975&gt;=MIN(DATE(Summary!$C$12,1,1),Summary!$C$11))*('Dvd Calendar'!$S$2975&lt;=MAX(DATE(Summary!$C$12,12,31),Summary!$C$15))*('Dvd Calendar'!$S$2975&lt;=Summary!$C$11)=0,"",'Dvd Calendar'!$S$2975*1000000000+ISNUMBER('Dvd Calendar'!$S$2976)*100000000+('Dvd Calendar'!$S$2980='Field Check'!$C$25)*10000000+(N('Dvd Calendar'!$S$2974)&gt;0)*1000000+58*1000+15))</f>
        <v/>
      </c>
      <c r="R214" s="41">
        <f>IF(N('Dvd Calendar'!$T$2975)=0,"",IF(('Dvd Calendar'!$T$2975&gt;=MIN(DATE(Summary!$C$12,1,1),Summary!$C$11))*('Dvd Calendar'!$T$2975&lt;=MAX(DATE(Summary!$C$12,12,31),Summary!$C$15))*('Dvd Calendar'!$T$2975&lt;=Summary!$C$11)=0,"",'Dvd Calendar'!$T$2975*1000000000+ISNUMBER('Dvd Calendar'!$T$2976)*100000000+('Dvd Calendar'!$T$2980='Field Check'!$C$25)*10000000+(N('Dvd Calendar'!$T$2974)&gt;0)*1000000+58*1000+16))</f>
        <v/>
      </c>
      <c r="S214" s="41">
        <f>IF(N('Dvd Calendar'!$U$2975)=0,"",IF(('Dvd Calendar'!$U$2975&gt;=MIN(DATE(Summary!$C$12,1,1),Summary!$C$11))*('Dvd Calendar'!$U$2975&lt;=MAX(DATE(Summary!$C$12,12,31),Summary!$C$15))*('Dvd Calendar'!$U$2975&lt;=Summary!$C$11)=0,"",'Dvd Calendar'!$U$2975*1000000000+ISNUMBER('Dvd Calendar'!$U$2976)*100000000+('Dvd Calendar'!$U$2980='Field Check'!$C$25)*10000000+(N('Dvd Calendar'!$U$2974)&gt;0)*1000000+58*1000+17))</f>
        <v/>
      </c>
      <c r="T214" s="41">
        <f>IF(N('Dvd Calendar'!$V$2975)=0,"",IF(('Dvd Calendar'!$V$2975&gt;=MIN(DATE(Summary!$C$12,1,1),Summary!$C$11))*('Dvd Calendar'!$V$2975&lt;=MAX(DATE(Summary!$C$12,12,31),Summary!$C$15))*('Dvd Calendar'!$V$2975&lt;=Summary!$C$11)=0,"",'Dvd Calendar'!$V$2975*1000000000+ISNUMBER('Dvd Calendar'!$V$2976)*100000000+('Dvd Calendar'!$V$2980='Field Check'!$C$25)*10000000+(N('Dvd Calendar'!$V$2974)&gt;0)*1000000+58*1000+18))</f>
        <v/>
      </c>
      <c r="U214" s="41">
        <f>IF(N('Dvd Calendar'!$W$2975)=0,"",IF(('Dvd Calendar'!$W$2975&gt;=MIN(DATE(Summary!$C$12,1,1),Summary!$C$11))*('Dvd Calendar'!$W$2975&lt;=MAX(DATE(Summary!$C$12,12,31),Summary!$C$15))*('Dvd Calendar'!$W$2975&lt;=Summary!$C$11)=0,"",'Dvd Calendar'!$W$2975*1000000000+ISNUMBER('Dvd Calendar'!$W$2976)*100000000+('Dvd Calendar'!$W$2980='Field Check'!$C$25)*10000000+(N('Dvd Calendar'!$W$2974)&gt;0)*1000000+58*1000+19))</f>
        <v/>
      </c>
      <c r="V214" s="41">
        <f>IF(N('Dvd Calendar'!$X$2975)=0,"",IF(('Dvd Calendar'!$X$2975&gt;=MIN(DATE(Summary!$C$12,1,1),Summary!$C$11))*('Dvd Calendar'!$X$2975&lt;=MAX(DATE(Summary!$C$12,12,31),Summary!$C$15))*('Dvd Calendar'!$X$2975&lt;=Summary!$C$11)=0,"",'Dvd Calendar'!$X$2975*1000000000+ISNUMBER('Dvd Calendar'!$X$2976)*100000000+('Dvd Calendar'!$X$2980='Field Check'!$C$25)*10000000+(N('Dvd Calendar'!$X$2974)&gt;0)*1000000+58*1000+20))</f>
        <v/>
      </c>
      <c r="W214" s="41">
        <f>IF(N('Dvd Calendar'!$Y$2975)=0,"",IF(('Dvd Calendar'!$Y$2975&gt;=MIN(DATE(Summary!$C$12,1,1),Summary!$C$11))*('Dvd Calendar'!$Y$2975&lt;=MAX(DATE(Summary!$C$12,12,31),Summary!$C$15))*('Dvd Calendar'!$Y$2975&lt;=Summary!$C$11)=0,"",'Dvd Calendar'!$Y$2975*1000000000+ISNUMBER('Dvd Calendar'!$Y$2976)*100000000+('Dvd Calendar'!$Y$2980='Field Check'!$C$25)*10000000+(N('Dvd Calendar'!$Y$2974)&gt;0)*1000000+58*1000+21))</f>
        <v/>
      </c>
      <c r="X214" s="41">
        <f>IF(N('Dvd Calendar'!$Z$2975)=0,"",IF(('Dvd Calendar'!$Z$2975&gt;=MIN(DATE(Summary!$C$12,1,1),Summary!$C$11))*('Dvd Calendar'!$Z$2975&lt;=MAX(DATE(Summary!$C$12,12,31),Summary!$C$15))*('Dvd Calendar'!$Z$2975&lt;=Summary!$C$11)=0,"",'Dvd Calendar'!$Z$2975*1000000000+ISNUMBER('Dvd Calendar'!$Z$2976)*100000000+('Dvd Calendar'!$Z$2980='Field Check'!$C$25)*10000000+(N('Dvd Calendar'!$Z$2974)&gt;0)*1000000+58*1000+22))</f>
        <v/>
      </c>
      <c r="Y214" s="41">
        <f>IF(N('Dvd Calendar'!$AA$2975)=0,"",IF(('Dvd Calendar'!$AA$2975&gt;=MIN(DATE(Summary!$C$12,1,1),Summary!$C$11))*('Dvd Calendar'!$AA$2975&lt;=MAX(DATE(Summary!$C$12,12,31),Summary!$C$15))*('Dvd Calendar'!$AA$2975&lt;=Summary!$C$11)=0,"",'Dvd Calendar'!$AA$2975*1000000000+ISNUMBER('Dvd Calendar'!$AA$2976)*100000000+('Dvd Calendar'!$AA$2980='Field Check'!$C$25)*10000000+(N('Dvd Calendar'!$AA$2974)&gt;0)*1000000+58*1000+23))</f>
        <v/>
      </c>
      <c r="Z214" s="41">
        <f>IF(N('Dvd Calendar'!$AB$2975)=0,"",IF(('Dvd Calendar'!$AB$2975&gt;=MIN(DATE(Summary!$C$12,1,1),Summary!$C$11))*('Dvd Calendar'!$AB$2975&lt;=MAX(DATE(Summary!$C$12,12,31),Summary!$C$15))*('Dvd Calendar'!$AB$2975&lt;=Summary!$C$11)=0,"",'Dvd Calendar'!$AB$2975*1000000000+ISNUMBER('Dvd Calendar'!$AB$2976)*100000000+('Dvd Calendar'!$AB$2980='Field Check'!$C$25)*10000000+(N('Dvd Calendar'!$AB$2974)&gt;0)*1000000+58*1000+24))</f>
        <v/>
      </c>
      <c r="AA214" s="41">
        <f>IF(N('Dvd Calendar'!$AC$2975)=0,"",IF(('Dvd Calendar'!$AC$2975&gt;=MIN(DATE(Summary!$C$12,1,1),Summary!$C$11))*('Dvd Calendar'!$AC$2975&lt;=MAX(DATE(Summary!$C$12,12,31),Summary!$C$15))*('Dvd Calendar'!$AC$2975&lt;=Summary!$C$11)=0,"",'Dvd Calendar'!$AC$2975*1000000000+ISNUMBER('Dvd Calendar'!$AC$2976)*100000000+('Dvd Calendar'!$AC$2980='Field Check'!$C$25)*10000000+(N('Dvd Calendar'!$AC$2974)&gt;0)*1000000+58*1000+25))</f>
        <v/>
      </c>
      <c r="AB214" s="41">
        <f>IF(N('Dvd Calendar'!$AD$2975)=0,"",IF(('Dvd Calendar'!$AD$2975&gt;=MIN(DATE(Summary!$C$12,1,1),Summary!$C$11))*('Dvd Calendar'!$AD$2975&lt;=MAX(DATE(Summary!$C$12,12,31),Summary!$C$15))*('Dvd Calendar'!$AD$2975&lt;=Summary!$C$11)=0,"",'Dvd Calendar'!$AD$2975*1000000000+ISNUMBER('Dvd Calendar'!$AD$2976)*100000000+('Dvd Calendar'!$AD$2980='Field Check'!$C$25)*10000000+(N('Dvd Calendar'!$AD$2974)&gt;0)*1000000+58*1000+26))</f>
        <v/>
      </c>
      <c r="AC214" s="41">
        <f>IF(N('Dvd Calendar'!$AE$2975)=0,"",IF(('Dvd Calendar'!$AE$2975&gt;=MIN(DATE(Summary!$C$12,1,1),Summary!$C$11))*('Dvd Calendar'!$AE$2975&lt;=MAX(DATE(Summary!$C$12,12,31),Summary!$C$15))*('Dvd Calendar'!$AE$2975&lt;=Summary!$C$11)=0,"",'Dvd Calendar'!$AE$2975*1000000000+ISNUMBER('Dvd Calendar'!$AE$2976)*100000000+('Dvd Calendar'!$AE$2980='Field Check'!$C$25)*10000000+(N('Dvd Calendar'!$AE$2974)&gt;0)*1000000+58*1000+27))</f>
        <v/>
      </c>
      <c r="AD214" s="41">
        <f>IF(N('Dvd Calendar'!$AF$2975)=0,"",IF(('Dvd Calendar'!$AF$2975&gt;=MIN(DATE(Summary!$C$12,1,1),Summary!$C$11))*('Dvd Calendar'!$AF$2975&lt;=MAX(DATE(Summary!$C$12,12,31),Summary!$C$15))*('Dvd Calendar'!$AF$2975&lt;=Summary!$C$11)=0,"",'Dvd Calendar'!$AF$2975*1000000000+ISNUMBER('Dvd Calendar'!$AF$2976)*100000000+('Dvd Calendar'!$AF$2980='Field Check'!$C$25)*10000000+(N('Dvd Calendar'!$AF$2974)&gt;0)*1000000+58*1000+28))</f>
        <v/>
      </c>
      <c r="AE214" s="41">
        <f>IF(N('Dvd Calendar'!$AG$2975)=0,"",IF(('Dvd Calendar'!$AG$2975&gt;=MIN(DATE(Summary!$C$12,1,1),Summary!$C$11))*('Dvd Calendar'!$AG$2975&lt;=MAX(DATE(Summary!$C$12,12,31),Summary!$C$15))*('Dvd Calendar'!$AG$2975&lt;=Summary!$C$11)=0,"",'Dvd Calendar'!$AG$2975*1000000000+ISNUMBER('Dvd Calendar'!$AG$2976)*100000000+('Dvd Calendar'!$AG$2980='Field Check'!$C$25)*10000000+(N('Dvd Calendar'!$AG$2974)&gt;0)*1000000+58*1000+29))</f>
        <v/>
      </c>
      <c r="AF214" s="41">
        <f>IF(N('Dvd Calendar'!$AH$2975)=0,"",IF(('Dvd Calendar'!$AH$2975&gt;=MIN(DATE(Summary!$C$12,1,1),Summary!$C$11))*('Dvd Calendar'!$AH$2975&lt;=MAX(DATE(Summary!$C$12,12,31),Summary!$C$15))*('Dvd Calendar'!$AH$2975&lt;=Summary!$C$11)=0,"",'Dvd Calendar'!$AH$2975*1000000000+ISNUMBER('Dvd Calendar'!$AH$2976)*100000000+('Dvd Calendar'!$AH$2980='Field Check'!$C$25)*10000000+(N('Dvd Calendar'!$AH$2974)&gt;0)*1000000+58*1000+30))</f>
        <v/>
      </c>
      <c r="AG214" s="41">
        <f>IF(N('Dvd Calendar'!$AI$2975)=0,"",IF(('Dvd Calendar'!$AI$2975&gt;=MIN(DATE(Summary!$C$12,1,1),Summary!$C$11))*('Dvd Calendar'!$AI$2975&lt;=MAX(DATE(Summary!$C$12,12,31),Summary!$C$15))*('Dvd Calendar'!$AI$2975&lt;=Summary!$C$11)=0,"",'Dvd Calendar'!$AI$2975*1000000000+ISNUMBER('Dvd Calendar'!$AI$2976)*100000000+('Dvd Calendar'!$AI$2980='Field Check'!$C$25)*10000000+(N('Dvd Calendar'!$AI$2974)&gt;0)*1000000+58*1000+31))</f>
        <v/>
      </c>
      <c r="AH214" s="41">
        <f>IF(N('Dvd Calendar'!$AJ$2975)=0,"",IF(('Dvd Calendar'!$AJ$2975&gt;=MIN(DATE(Summary!$C$12,1,1),Summary!$C$11))*('Dvd Calendar'!$AJ$2975&lt;=MAX(DATE(Summary!$C$12,12,31),Summary!$C$15))*('Dvd Calendar'!$AJ$2975&lt;=Summary!$C$11)=0,"",'Dvd Calendar'!$AJ$2975*1000000000+ISNUMBER('Dvd Calendar'!$AJ$2976)*100000000+('Dvd Calendar'!$AJ$2980='Field Check'!$C$25)*10000000+(N('Dvd Calendar'!$AJ$2974)&gt;0)*1000000+58*1000+32))</f>
        <v/>
      </c>
      <c r="AI214" s="41">
        <f>IF(N('Dvd Calendar'!$AK$2975)=0,"",IF(('Dvd Calendar'!$AK$2975&gt;=MIN(DATE(Summary!$C$12,1,1),Summary!$C$11))*('Dvd Calendar'!$AK$2975&lt;=MAX(DATE(Summary!$C$12,12,31),Summary!$C$15))*('Dvd Calendar'!$AK$2975&lt;=Summary!$C$11)=0,"",'Dvd Calendar'!$AK$2975*1000000000+ISNUMBER('Dvd Calendar'!$AK$2976)*100000000+('Dvd Calendar'!$AK$2980='Field Check'!$C$25)*10000000+(N('Dvd Calendar'!$AK$2974)&gt;0)*1000000+58*1000+33))</f>
        <v/>
      </c>
      <c r="AJ214" s="41">
        <f>IF(N('Dvd Calendar'!$AL$2975)=0,"",IF(('Dvd Calendar'!$AL$2975&gt;=MIN(DATE(Summary!$C$12,1,1),Summary!$C$11))*('Dvd Calendar'!$AL$2975&lt;=MAX(DATE(Summary!$C$12,12,31),Summary!$C$15))*('Dvd Calendar'!$AL$2975&lt;=Summary!$C$11)=0,"",'Dvd Calendar'!$AL$2975*1000000000+ISNUMBER('Dvd Calendar'!$AL$2976)*100000000+('Dvd Calendar'!$AL$2980='Field Check'!$C$25)*10000000+(N('Dvd Calendar'!$AL$2974)&gt;0)*1000000+58*1000+34))</f>
        <v/>
      </c>
      <c r="AK214" s="41">
        <f>IF(N('Dvd Calendar'!$AM$2975)=0,"",IF(('Dvd Calendar'!$AM$2975&gt;=MIN(DATE(Summary!$C$12,1,1),Summary!$C$11))*('Dvd Calendar'!$AM$2975&lt;=MAX(DATE(Summary!$C$12,12,31),Summary!$C$15))*('Dvd Calendar'!$AM$2975&lt;=Summary!$C$11)=0,"",'Dvd Calendar'!$AM$2975*1000000000+ISNUMBER('Dvd Calendar'!$AM$2976)*100000000+('Dvd Calendar'!$AM$2980='Field Check'!$C$25)*10000000+(N('Dvd Calendar'!$AM$2974)&gt;0)*1000000+58*1000+35))</f>
        <v/>
      </c>
      <c r="AL214" s="41">
        <f>IF(N('Dvd Calendar'!$AN$2975)=0,"",IF(('Dvd Calendar'!$AN$2975&gt;=MIN(DATE(Summary!$C$12,1,1),Summary!$C$11))*('Dvd Calendar'!$AN$2975&lt;=MAX(DATE(Summary!$C$12,12,31),Summary!$C$15))*('Dvd Calendar'!$AN$2975&lt;=Summary!$C$11)=0,"",'Dvd Calendar'!$AN$2975*1000000000+ISNUMBER('Dvd Calendar'!$AN$2976)*100000000+('Dvd Calendar'!$AN$2980='Field Check'!$C$25)*10000000+(N('Dvd Calendar'!$AN$2974)&gt;0)*1000000+58*1000+36))</f>
        <v/>
      </c>
      <c r="AM214" s="41">
        <f>IF(N('Dvd Calendar'!$AO$2975)=0,"",IF(('Dvd Calendar'!$AO$2975&gt;=MIN(DATE(Summary!$C$12,1,1),Summary!$C$11))*('Dvd Calendar'!$AO$2975&lt;=MAX(DATE(Summary!$C$12,12,31),Summary!$C$15))*('Dvd Calendar'!$AO$2975&lt;=Summary!$C$11)=0,"",'Dvd Calendar'!$AO$2975*1000000000+ISNUMBER('Dvd Calendar'!$AO$2976)*100000000+('Dvd Calendar'!$AO$2980='Field Check'!$C$25)*10000000+(N('Dvd Calendar'!$AO$2974)&gt;0)*1000000+58*1000+37))</f>
        <v/>
      </c>
      <c r="AN214" s="41">
        <f>IF(N('Dvd Calendar'!$AP$2975)=0,"",IF(('Dvd Calendar'!$AP$2975&gt;=MIN(DATE(Summary!$C$12,1,1),Summary!$C$11))*('Dvd Calendar'!$AP$2975&lt;=MAX(DATE(Summary!$C$12,12,31),Summary!$C$15))*('Dvd Calendar'!$AP$2975&lt;=Summary!$C$11)=0,"",'Dvd Calendar'!$AP$2975*1000000000+ISNUMBER('Dvd Calendar'!$AP$2976)*100000000+('Dvd Calendar'!$AP$2980='Field Check'!$C$25)*10000000+(N('Dvd Calendar'!$AP$2974)&gt;0)*1000000+58*1000+38))</f>
        <v/>
      </c>
      <c r="AO214" s="41">
        <f>IF(N('Dvd Calendar'!$AQ$2975)=0,"",IF(('Dvd Calendar'!$AQ$2975&gt;=MIN(DATE(Summary!$C$12,1,1),Summary!$C$11))*('Dvd Calendar'!$AQ$2975&lt;=MAX(DATE(Summary!$C$12,12,31),Summary!$C$15))*('Dvd Calendar'!$AQ$2975&lt;=Summary!$C$11)=0,"",'Dvd Calendar'!$AQ$2975*1000000000+ISNUMBER('Dvd Calendar'!$AQ$2976)*100000000+('Dvd Calendar'!$AQ$2980='Field Check'!$C$25)*10000000+(N('Dvd Calendar'!$AQ$2974)&gt;0)*1000000+58*1000+39))</f>
        <v/>
      </c>
      <c r="AP214" s="41">
        <f>IF(N('Dvd Calendar'!$AR$2975)=0,"",IF(('Dvd Calendar'!$AR$2975&gt;=MIN(DATE(Summary!$C$12,1,1),Summary!$C$11))*('Dvd Calendar'!$AR$2975&lt;=MAX(DATE(Summary!$C$12,12,31),Summary!$C$15))*('Dvd Calendar'!$AR$2975&lt;=Summary!$C$11)=0,"",'Dvd Calendar'!$AR$2975*1000000000+ISNUMBER('Dvd Calendar'!$AR$2976)*100000000+('Dvd Calendar'!$AR$2980='Field Check'!$C$25)*10000000+(N('Dvd Calendar'!$AR$2974)&gt;0)*1000000+58*1000+40))</f>
        <v/>
      </c>
      <c r="AQ214" s="41">
        <f>IF(N('Dvd Calendar'!$E$2982)=0,"",IF(('Dvd Calendar'!$E$2982&gt;=MIN(DATE(Summary!$C$12,1,1),Summary!$C$11))*('Dvd Calendar'!$E$2982&lt;=MAX(DATE(Summary!$C$12,12,31),Summary!$C$15))*('Dvd Calendar'!$E$2982&gt;Summary!$C$11)=0,"",'Dvd Calendar'!$E$2982*1000000000+ISNUMBER('Dvd Calendar'!$E$2983)*100000000+('Dvd Calendar'!$E$2987='Field Check'!$C$25)*10000000+(N('Dvd Calendar'!$E$2981)&gt;0)*1000000+58*1000+41))</f>
        <v/>
      </c>
      <c r="AR214" s="41">
        <f>IF(N('Dvd Calendar'!$F$2982)=0,"",IF(('Dvd Calendar'!$F$2982&gt;=MIN(DATE(Summary!$C$12,1,1),Summary!$C$11))*('Dvd Calendar'!$F$2982&lt;=MAX(DATE(Summary!$C$12,12,31),Summary!$C$15))*('Dvd Calendar'!$F$2982&gt;Summary!$C$11)=0,"",'Dvd Calendar'!$F$2982*1000000000+ISNUMBER('Dvd Calendar'!$F$2983)*100000000+('Dvd Calendar'!$F$2987='Field Check'!$C$25)*10000000+(N('Dvd Calendar'!$F$2981)&gt;0)*1000000+58*1000+42))</f>
        <v/>
      </c>
      <c r="AS214" s="41">
        <f>IF(N('Dvd Calendar'!$G$2982)=0,"",IF(('Dvd Calendar'!$G$2982&gt;=MIN(DATE(Summary!$C$12,1,1),Summary!$C$11))*('Dvd Calendar'!$G$2982&lt;=MAX(DATE(Summary!$C$12,12,31),Summary!$C$15))*('Dvd Calendar'!$G$2982&gt;Summary!$C$11)=0,"",'Dvd Calendar'!$G$2982*1000000000+ISNUMBER('Dvd Calendar'!$G$2983)*100000000+('Dvd Calendar'!$G$2987='Field Check'!$C$25)*10000000+(N('Dvd Calendar'!$G$2981)&gt;0)*1000000+58*1000+43))</f>
        <v/>
      </c>
      <c r="AT214" s="41">
        <f>IF(N('Dvd Calendar'!$H$2982)=0,"",IF(('Dvd Calendar'!$H$2982&gt;=MIN(DATE(Summary!$C$12,1,1),Summary!$C$11))*('Dvd Calendar'!$H$2982&lt;=MAX(DATE(Summary!$C$12,12,31),Summary!$C$15))*('Dvd Calendar'!$H$2982&gt;Summary!$C$11)=0,"",'Dvd Calendar'!$H$2982*1000000000+ISNUMBER('Dvd Calendar'!$H$2983)*100000000+('Dvd Calendar'!$H$2987='Field Check'!$C$25)*10000000+(N('Dvd Calendar'!$H$2981)&gt;0)*1000000+58*1000+44))</f>
        <v/>
      </c>
      <c r="AU214" s="41">
        <f>IF(N('Dvd Calendar'!$I$2982)=0,"",IF(('Dvd Calendar'!$I$2982&gt;=MIN(DATE(Summary!$C$12,1,1),Summary!$C$11))*('Dvd Calendar'!$I$2982&lt;=MAX(DATE(Summary!$C$12,12,31),Summary!$C$15))*('Dvd Calendar'!$I$2982&gt;Summary!$C$11)=0,"",'Dvd Calendar'!$I$2982*1000000000+ISNUMBER('Dvd Calendar'!$I$2983)*100000000+('Dvd Calendar'!$I$2987='Field Check'!$C$25)*10000000+(N('Dvd Calendar'!$I$2981)&gt;0)*1000000+58*1000+45))</f>
        <v/>
      </c>
      <c r="AV214" s="41">
        <f>IF(N('Dvd Calendar'!$J$2982)=0,"",IF(('Dvd Calendar'!$J$2982&gt;=MIN(DATE(Summary!$C$12,1,1),Summary!$C$11))*('Dvd Calendar'!$J$2982&lt;=MAX(DATE(Summary!$C$12,12,31),Summary!$C$15))*('Dvd Calendar'!$J$2982&gt;Summary!$C$11)=0,"",'Dvd Calendar'!$J$2982*1000000000+ISNUMBER('Dvd Calendar'!$J$2983)*100000000+('Dvd Calendar'!$J$2987='Field Check'!$C$25)*10000000+(N('Dvd Calendar'!$J$2981)&gt;0)*1000000+58*1000+46))</f>
        <v/>
      </c>
      <c r="AW214" s="41">
        <f>IF(N('Dvd Calendar'!$K$2982)=0,"",IF(('Dvd Calendar'!$K$2982&gt;=MIN(DATE(Summary!$C$12,1,1),Summary!$C$11))*('Dvd Calendar'!$K$2982&lt;=MAX(DATE(Summary!$C$12,12,31),Summary!$C$15))*('Dvd Calendar'!$K$2982&gt;Summary!$C$11)=0,"",'Dvd Calendar'!$K$2982*1000000000+ISNUMBER('Dvd Calendar'!$K$2983)*100000000+('Dvd Calendar'!$K$2987='Field Check'!$C$25)*10000000+(N('Dvd Calendar'!$K$2981)&gt;0)*1000000+58*1000+47))</f>
        <v/>
      </c>
      <c r="AX214" s="41">
        <f>IF(N('Dvd Calendar'!$L$2982)=0,"",IF(('Dvd Calendar'!$L$2982&gt;=MIN(DATE(Summary!$C$12,1,1),Summary!$C$11))*('Dvd Calendar'!$L$2982&lt;=MAX(DATE(Summary!$C$12,12,31),Summary!$C$15))*('Dvd Calendar'!$L$2982&gt;Summary!$C$11)=0,"",'Dvd Calendar'!$L$2982*1000000000+ISNUMBER('Dvd Calendar'!$L$2983)*100000000+('Dvd Calendar'!$L$2987='Field Check'!$C$25)*10000000+(N('Dvd Calendar'!$L$2981)&gt;0)*1000000+58*1000+48))</f>
        <v/>
      </c>
      <c r="AY214" s="41">
        <f>IF(N('Dvd Calendar'!$M$2982)=0,"",IF(('Dvd Calendar'!$M$2982&gt;=MIN(DATE(Summary!$C$12,1,1),Summary!$C$11))*('Dvd Calendar'!$M$2982&lt;=MAX(DATE(Summary!$C$12,12,31),Summary!$C$15))*('Dvd Calendar'!$M$2982&gt;Summary!$C$11)=0,"",'Dvd Calendar'!$M$2982*1000000000+ISNUMBER('Dvd Calendar'!$M$2983)*100000000+('Dvd Calendar'!$M$2987='Field Check'!$C$25)*10000000+(N('Dvd Calendar'!$M$2981)&gt;0)*1000000+58*1000+49))</f>
        <v/>
      </c>
      <c r="AZ214" s="41">
        <f>IF(N('Dvd Calendar'!$N$2982)=0,"",IF(('Dvd Calendar'!$N$2982&gt;=MIN(DATE(Summary!$C$12,1,1),Summary!$C$11))*('Dvd Calendar'!$N$2982&lt;=MAX(DATE(Summary!$C$12,12,31),Summary!$C$15))*('Dvd Calendar'!$N$2982&gt;Summary!$C$11)=0,"",'Dvd Calendar'!$N$2982*1000000000+ISNUMBER('Dvd Calendar'!$N$2983)*100000000+('Dvd Calendar'!$N$2987='Field Check'!$C$25)*10000000+(N('Dvd Calendar'!$N$2981)&gt;0)*1000000+58*1000+50))</f>
        <v/>
      </c>
      <c r="BA214" s="41">
        <f>IF(N('Dvd Calendar'!$O$2982)=0,"",IF(('Dvd Calendar'!$O$2982&gt;=MIN(DATE(Summary!$C$12,1,1),Summary!$C$11))*('Dvd Calendar'!$O$2982&lt;=MAX(DATE(Summary!$C$12,12,31),Summary!$C$15))*('Dvd Calendar'!$O$2982&gt;Summary!$C$11)=0,"",'Dvd Calendar'!$O$2982*1000000000+ISNUMBER('Dvd Calendar'!$O$2983)*100000000+('Dvd Calendar'!$O$2987='Field Check'!$C$25)*10000000+(N('Dvd Calendar'!$O$2981)&gt;0)*1000000+58*1000+51))</f>
        <v/>
      </c>
      <c r="BB214" s="41">
        <f>IF(N('Dvd Calendar'!$P$2982)=0,"",IF(('Dvd Calendar'!$P$2982&gt;=MIN(DATE(Summary!$C$12,1,1),Summary!$C$11))*('Dvd Calendar'!$P$2982&lt;=MAX(DATE(Summary!$C$12,12,31),Summary!$C$15))*('Dvd Calendar'!$P$2982&gt;Summary!$C$11)=0,"",'Dvd Calendar'!$P$2982*1000000000+ISNUMBER('Dvd Calendar'!$P$2983)*100000000+('Dvd Calendar'!$P$2987='Field Check'!$C$25)*10000000+(N('Dvd Calendar'!$P$2981)&gt;0)*1000000+58*1000+52))</f>
        <v/>
      </c>
      <c r="BC214" s="41">
        <f>IF(N('Dvd Calendar'!$Q$2982)=0,"",IF(('Dvd Calendar'!$Q$2982&gt;=MIN(DATE(Summary!$C$12,1,1),Summary!$C$11))*('Dvd Calendar'!$Q$2982&lt;=MAX(DATE(Summary!$C$12,12,31),Summary!$C$15))*('Dvd Calendar'!$Q$2982&gt;Summary!$C$11)=0,"",'Dvd Calendar'!$Q$2982*1000000000+ISNUMBER('Dvd Calendar'!$Q$2983)*100000000+('Dvd Calendar'!$Q$2987='Field Check'!$C$25)*10000000+(N('Dvd Calendar'!$Q$2981)&gt;0)*1000000+58*1000+53))</f>
        <v/>
      </c>
      <c r="BD214" s="41">
        <f>IF(N('Dvd Calendar'!$R$2982)=0,"",IF(('Dvd Calendar'!$R$2982&gt;=MIN(DATE(Summary!$C$12,1,1),Summary!$C$11))*('Dvd Calendar'!$R$2982&lt;=MAX(DATE(Summary!$C$12,12,31),Summary!$C$15))*('Dvd Calendar'!$R$2982&gt;Summary!$C$11)=0,"",'Dvd Calendar'!$R$2982*1000000000+ISNUMBER('Dvd Calendar'!$R$2983)*100000000+('Dvd Calendar'!$R$2987='Field Check'!$C$25)*10000000+(N('Dvd Calendar'!$R$2981)&gt;0)*1000000+58*1000+54))</f>
        <v/>
      </c>
      <c r="BE214" s="41">
        <f>IF(N('Dvd Calendar'!$S$2982)=0,"",IF(('Dvd Calendar'!$S$2982&gt;=MIN(DATE(Summary!$C$12,1,1),Summary!$C$11))*('Dvd Calendar'!$S$2982&lt;=MAX(DATE(Summary!$C$12,12,31),Summary!$C$15))*('Dvd Calendar'!$S$2982&gt;Summary!$C$11)=0,"",'Dvd Calendar'!$S$2982*1000000000+ISNUMBER('Dvd Calendar'!$S$2983)*100000000+('Dvd Calendar'!$S$2987='Field Check'!$C$25)*10000000+(N('Dvd Calendar'!$S$2981)&gt;0)*1000000+58*1000+55))</f>
        <v/>
      </c>
      <c r="BF214" s="41">
        <f>IF(N('Dvd Calendar'!$T$2982)=0,"",IF(('Dvd Calendar'!$T$2982&gt;=MIN(DATE(Summary!$C$12,1,1),Summary!$C$11))*('Dvd Calendar'!$T$2982&lt;=MAX(DATE(Summary!$C$12,12,31),Summary!$C$15))*('Dvd Calendar'!$T$2982&gt;Summary!$C$11)=0,"",'Dvd Calendar'!$T$2982*1000000000+ISNUMBER('Dvd Calendar'!$T$2983)*100000000+('Dvd Calendar'!$T$2987='Field Check'!$C$25)*10000000+(N('Dvd Calendar'!$T$2981)&gt;0)*1000000+58*1000+56))</f>
        <v/>
      </c>
      <c r="BG214" s="41">
        <f>IF(N('Dvd Calendar'!$U$2982)=0,"",IF(('Dvd Calendar'!$U$2982&gt;=MIN(DATE(Summary!$C$12,1,1),Summary!$C$11))*('Dvd Calendar'!$U$2982&lt;=MAX(DATE(Summary!$C$12,12,31),Summary!$C$15))*('Dvd Calendar'!$U$2982&gt;Summary!$C$11)=0,"",'Dvd Calendar'!$U$2982*1000000000+ISNUMBER('Dvd Calendar'!$U$2983)*100000000+('Dvd Calendar'!$U$2987='Field Check'!$C$25)*10000000+(N('Dvd Calendar'!$U$2981)&gt;0)*1000000+58*1000+57))</f>
        <v/>
      </c>
      <c r="BH214" s="41">
        <f>IF(N('Dvd Calendar'!$V$2982)=0,"",IF(('Dvd Calendar'!$V$2982&gt;=MIN(DATE(Summary!$C$12,1,1),Summary!$C$11))*('Dvd Calendar'!$V$2982&lt;=MAX(DATE(Summary!$C$12,12,31),Summary!$C$15))*('Dvd Calendar'!$V$2982&gt;Summary!$C$11)=0,"",'Dvd Calendar'!$V$2982*1000000000+ISNUMBER('Dvd Calendar'!$V$2983)*100000000+('Dvd Calendar'!$V$2987='Field Check'!$C$25)*10000000+(N('Dvd Calendar'!$V$2981)&gt;0)*1000000+58*1000+58))</f>
        <v/>
      </c>
      <c r="BI214" s="41">
        <f>IF(N('Dvd Calendar'!$W$2982)=0,"",IF(('Dvd Calendar'!$W$2982&gt;=MIN(DATE(Summary!$C$12,1,1),Summary!$C$11))*('Dvd Calendar'!$W$2982&lt;=MAX(DATE(Summary!$C$12,12,31),Summary!$C$15))*('Dvd Calendar'!$W$2982&gt;Summary!$C$11)=0,"",'Dvd Calendar'!$W$2982*1000000000+ISNUMBER('Dvd Calendar'!$W$2983)*100000000+('Dvd Calendar'!$W$2987='Field Check'!$C$25)*10000000+(N('Dvd Calendar'!$W$2981)&gt;0)*1000000+58*1000+59))</f>
        <v/>
      </c>
      <c r="BJ214" s="41">
        <f>IF(N('Dvd Calendar'!$X$2982)=0,"",IF(('Dvd Calendar'!$X$2982&gt;=MIN(DATE(Summary!$C$12,1,1),Summary!$C$11))*('Dvd Calendar'!$X$2982&lt;=MAX(DATE(Summary!$C$12,12,31),Summary!$C$15))*('Dvd Calendar'!$X$2982&gt;Summary!$C$11)=0,"",'Dvd Calendar'!$X$2982*1000000000+ISNUMBER('Dvd Calendar'!$X$2983)*100000000+('Dvd Calendar'!$X$2987='Field Check'!$C$25)*10000000+(N('Dvd Calendar'!$X$2981)&gt;0)*1000000+58*1000+60))</f>
        <v/>
      </c>
      <c r="BK214" s="41">
        <f>IF(N('Dvd Calendar'!$Y$2982)=0,"",IF(('Dvd Calendar'!$Y$2982&gt;=MIN(DATE(Summary!$C$12,1,1),Summary!$C$11))*('Dvd Calendar'!$Y$2982&lt;=MAX(DATE(Summary!$C$12,12,31),Summary!$C$15))*('Dvd Calendar'!$Y$2982&gt;Summary!$C$11)=0,"",'Dvd Calendar'!$Y$2982*1000000000+ISNUMBER('Dvd Calendar'!$Y$2983)*100000000+('Dvd Calendar'!$Y$2987='Field Check'!$C$25)*10000000+(N('Dvd Calendar'!$Y$2981)&gt;0)*1000000+58*1000+61))</f>
        <v/>
      </c>
      <c r="BL214" s="41">
        <f>IF(N('Dvd Calendar'!$Z$2982)=0,"",IF(('Dvd Calendar'!$Z$2982&gt;=MIN(DATE(Summary!$C$12,1,1),Summary!$C$11))*('Dvd Calendar'!$Z$2982&lt;=MAX(DATE(Summary!$C$12,12,31),Summary!$C$15))*('Dvd Calendar'!$Z$2982&gt;Summary!$C$11)=0,"",'Dvd Calendar'!$Z$2982*1000000000+ISNUMBER('Dvd Calendar'!$Z$2983)*100000000+('Dvd Calendar'!$Z$2987='Field Check'!$C$25)*10000000+(N('Dvd Calendar'!$Z$2981)&gt;0)*1000000+58*1000+62))</f>
        <v/>
      </c>
      <c r="BM214" s="41">
        <f>IF(N('Dvd Calendar'!$AA$2982)=0,"",IF(('Dvd Calendar'!$AA$2982&gt;=MIN(DATE(Summary!$C$12,1,1),Summary!$C$11))*('Dvd Calendar'!$AA$2982&lt;=MAX(DATE(Summary!$C$12,12,31),Summary!$C$15))*('Dvd Calendar'!$AA$2982&gt;Summary!$C$11)=0,"",'Dvd Calendar'!$AA$2982*1000000000+ISNUMBER('Dvd Calendar'!$AA$2983)*100000000+('Dvd Calendar'!$AA$2987='Field Check'!$C$25)*10000000+(N('Dvd Calendar'!$AA$2981)&gt;0)*1000000+58*1000+63))</f>
        <v/>
      </c>
      <c r="BN214" s="41">
        <f>IF(N('Dvd Calendar'!$AB$2982)=0,"",IF(('Dvd Calendar'!$AB$2982&gt;=MIN(DATE(Summary!$C$12,1,1),Summary!$C$11))*('Dvd Calendar'!$AB$2982&lt;=MAX(DATE(Summary!$C$12,12,31),Summary!$C$15))*('Dvd Calendar'!$AB$2982&gt;Summary!$C$11)=0,"",'Dvd Calendar'!$AB$2982*1000000000+ISNUMBER('Dvd Calendar'!$AB$2983)*100000000+('Dvd Calendar'!$AB$2987='Field Check'!$C$25)*10000000+(N('Dvd Calendar'!$AB$2981)&gt;0)*1000000+58*1000+64))</f>
        <v/>
      </c>
      <c r="BO214" s="41">
        <f>IF(N('Dvd Calendar'!$AC$2982)=0,"",IF(('Dvd Calendar'!$AC$2982&gt;=MIN(DATE(Summary!$C$12,1,1),Summary!$C$11))*('Dvd Calendar'!$AC$2982&lt;=MAX(DATE(Summary!$C$12,12,31),Summary!$C$15))*('Dvd Calendar'!$AC$2982&gt;Summary!$C$11)=0,"",'Dvd Calendar'!$AC$2982*1000000000+ISNUMBER('Dvd Calendar'!$AC$2983)*100000000+('Dvd Calendar'!$AC$2987='Field Check'!$C$25)*10000000+(N('Dvd Calendar'!$AC$2981)&gt;0)*1000000+58*1000+65))</f>
        <v/>
      </c>
      <c r="BQ214" s="85">
        <f>IF(C214="","",IF(ISNUMBER('Dvd Calendar'!$E$2976)=FALSE,"",IF((Summary!$C$13="N")*('Dvd Calendar'!$E$2980='Field Check'!$C$25)&gt;0,"",'Dvd Calendar'!$E$2976)))</f>
        <v/>
      </c>
      <c r="BR214" s="85">
        <f>IF(D214="","",IF(ISNUMBER('Dvd Calendar'!$F$2976)=FALSE,"",IF((Summary!$C$13="N")*('Dvd Calendar'!$F$2980='Field Check'!$C$25)&gt;0,"",'Dvd Calendar'!$F$2976)))</f>
        <v/>
      </c>
      <c r="BS214" s="85">
        <f>IF(E214="","",IF(ISNUMBER('Dvd Calendar'!$G$2976)=FALSE,"",IF((Summary!$C$13="N")*('Dvd Calendar'!$G$2980='Field Check'!$C$25)&gt;0,"",'Dvd Calendar'!$G$2976)))</f>
        <v/>
      </c>
      <c r="BT214" s="85">
        <f>IF(F214="","",IF(ISNUMBER('Dvd Calendar'!$H$2976)=FALSE,"",IF((Summary!$C$13="N")*('Dvd Calendar'!$H$2980='Field Check'!$C$25)&gt;0,"",'Dvd Calendar'!$H$2976)))</f>
        <v/>
      </c>
      <c r="BU214" s="85">
        <f>IF(G214="","",IF(ISNUMBER('Dvd Calendar'!$I$2976)=FALSE,"",IF((Summary!$C$13="N")*('Dvd Calendar'!$I$2980='Field Check'!$C$25)&gt;0,"",'Dvd Calendar'!$I$2976)))</f>
        <v/>
      </c>
      <c r="BV214" s="85">
        <f>IF(H214="","",IF(ISNUMBER('Dvd Calendar'!$J$2976)=FALSE,"",IF((Summary!$C$13="N")*('Dvd Calendar'!$J$2980='Field Check'!$C$25)&gt;0,"",'Dvd Calendar'!$J$2976)))</f>
        <v/>
      </c>
      <c r="BW214" s="85">
        <f>IF(I214="","",IF(ISNUMBER('Dvd Calendar'!$K$2976)=FALSE,"",IF((Summary!$C$13="N")*('Dvd Calendar'!$K$2980='Field Check'!$C$25)&gt;0,"",'Dvd Calendar'!$K$2976)))</f>
        <v/>
      </c>
      <c r="BX214" s="85">
        <f>IF(J214="","",IF(ISNUMBER('Dvd Calendar'!$L$2976)=FALSE,"",IF((Summary!$C$13="N")*('Dvd Calendar'!$L$2980='Field Check'!$C$25)&gt;0,"",'Dvd Calendar'!$L$2976)))</f>
        <v/>
      </c>
      <c r="BY214" s="85">
        <f>IF(K214="","",IF(ISNUMBER('Dvd Calendar'!$M$2976)=FALSE,"",IF((Summary!$C$13="N")*('Dvd Calendar'!$M$2980='Field Check'!$C$25)&gt;0,"",'Dvd Calendar'!$M$2976)))</f>
        <v/>
      </c>
      <c r="BZ214" s="85">
        <f>IF(L214="","",IF(ISNUMBER('Dvd Calendar'!$N$2976)=FALSE,"",IF((Summary!$C$13="N")*('Dvd Calendar'!$N$2980='Field Check'!$C$25)&gt;0,"",'Dvd Calendar'!$N$2976)))</f>
        <v/>
      </c>
      <c r="CA214" s="85">
        <f>IF(M214="","",IF(ISNUMBER('Dvd Calendar'!$O$2976)=FALSE,"",IF((Summary!$C$13="N")*('Dvd Calendar'!$O$2980='Field Check'!$C$25)&gt;0,"",'Dvd Calendar'!$O$2976)))</f>
        <v/>
      </c>
      <c r="CB214" s="85">
        <f>IF(N214="","",IF(ISNUMBER('Dvd Calendar'!$P$2976)=FALSE,"",IF((Summary!$C$13="N")*('Dvd Calendar'!$P$2980='Field Check'!$C$25)&gt;0,"",'Dvd Calendar'!$P$2976)))</f>
        <v/>
      </c>
      <c r="CC214" s="85">
        <f>IF(O214="","",IF(ISNUMBER('Dvd Calendar'!$Q$2976)=FALSE,"",IF((Summary!$C$13="N")*('Dvd Calendar'!$Q$2980='Field Check'!$C$25)&gt;0,"",'Dvd Calendar'!$Q$2976)))</f>
        <v/>
      </c>
      <c r="CD214" s="85">
        <f>IF(P214="","",IF(ISNUMBER('Dvd Calendar'!$R$2976)=FALSE,"",IF((Summary!$C$13="N")*('Dvd Calendar'!$R$2980='Field Check'!$C$25)&gt;0,"",'Dvd Calendar'!$R$2976)))</f>
        <v/>
      </c>
      <c r="CE214" s="85">
        <f>IF(Q214="","",IF(ISNUMBER('Dvd Calendar'!$S$2976)=FALSE,"",IF((Summary!$C$13="N")*('Dvd Calendar'!$S$2980='Field Check'!$C$25)&gt;0,"",'Dvd Calendar'!$S$2976)))</f>
        <v/>
      </c>
      <c r="CF214" s="85">
        <f>IF(R214="","",IF(ISNUMBER('Dvd Calendar'!$T$2976)=FALSE,"",IF((Summary!$C$13="N")*('Dvd Calendar'!$T$2980='Field Check'!$C$25)&gt;0,"",'Dvd Calendar'!$T$2976)))</f>
        <v/>
      </c>
      <c r="CG214" s="85">
        <f>IF(S214="","",IF(ISNUMBER('Dvd Calendar'!$U$2976)=FALSE,"",IF((Summary!$C$13="N")*('Dvd Calendar'!$U$2980='Field Check'!$C$25)&gt;0,"",'Dvd Calendar'!$U$2976)))</f>
        <v/>
      </c>
      <c r="CH214" s="85">
        <f>IF(T214="","",IF(ISNUMBER('Dvd Calendar'!$V$2976)=FALSE,"",IF((Summary!$C$13="N")*('Dvd Calendar'!$V$2980='Field Check'!$C$25)&gt;0,"",'Dvd Calendar'!$V$2976)))</f>
        <v/>
      </c>
      <c r="CI214" s="85">
        <f>IF(U214="","",IF(ISNUMBER('Dvd Calendar'!$W$2976)=FALSE,"",IF((Summary!$C$13="N")*('Dvd Calendar'!$W$2980='Field Check'!$C$25)&gt;0,"",'Dvd Calendar'!$W$2976)))</f>
        <v/>
      </c>
      <c r="CJ214" s="85">
        <f>IF(V214="","",IF(ISNUMBER('Dvd Calendar'!$X$2976)=FALSE,"",IF((Summary!$C$13="N")*('Dvd Calendar'!$X$2980='Field Check'!$C$25)&gt;0,"",'Dvd Calendar'!$X$2976)))</f>
        <v/>
      </c>
      <c r="CK214" s="85">
        <f>IF(W214="","",IF(ISNUMBER('Dvd Calendar'!$Y$2976)=FALSE,"",IF((Summary!$C$13="N")*('Dvd Calendar'!$Y$2980='Field Check'!$C$25)&gt;0,"",'Dvd Calendar'!$Y$2976)))</f>
        <v/>
      </c>
      <c r="CL214" s="85">
        <f>IF(X214="","",IF(ISNUMBER('Dvd Calendar'!$Z$2976)=FALSE,"",IF((Summary!$C$13="N")*('Dvd Calendar'!$Z$2980='Field Check'!$C$25)&gt;0,"",'Dvd Calendar'!$Z$2976)))</f>
        <v/>
      </c>
      <c r="CM214" s="85">
        <f>IF(Y214="","",IF(ISNUMBER('Dvd Calendar'!$AA$2976)=FALSE,"",IF((Summary!$C$13="N")*('Dvd Calendar'!$AA$2980='Field Check'!$C$25)&gt;0,"",'Dvd Calendar'!$AA$2976)))</f>
        <v/>
      </c>
      <c r="CN214" s="85">
        <f>IF(Z214="","",IF(ISNUMBER('Dvd Calendar'!$AB$2976)=FALSE,"",IF((Summary!$C$13="N")*('Dvd Calendar'!$AB$2980='Field Check'!$C$25)&gt;0,"",'Dvd Calendar'!$AB$2976)))</f>
        <v/>
      </c>
      <c r="CO214" s="85">
        <f>IF(AA214="","",IF(ISNUMBER('Dvd Calendar'!$AC$2976)=FALSE,"",IF((Summary!$C$13="N")*('Dvd Calendar'!$AC$2980='Field Check'!$C$25)&gt;0,"",'Dvd Calendar'!$AC$2976)))</f>
        <v/>
      </c>
      <c r="CP214" s="85">
        <f>IF(AB214="","",IF(ISNUMBER('Dvd Calendar'!$AD$2976)=FALSE,"",IF((Summary!$C$13="N")*('Dvd Calendar'!$AD$2980='Field Check'!$C$25)&gt;0,"",'Dvd Calendar'!$AD$2976)))</f>
        <v/>
      </c>
      <c r="CQ214" s="85">
        <f>IF(AC214="","",IF(ISNUMBER('Dvd Calendar'!$AE$2976)=FALSE,"",IF((Summary!$C$13="N")*('Dvd Calendar'!$AE$2980='Field Check'!$C$25)&gt;0,"",'Dvd Calendar'!$AE$2976)))</f>
        <v/>
      </c>
      <c r="CR214" s="85">
        <f>IF(AD214="","",IF(ISNUMBER('Dvd Calendar'!$AF$2976)=FALSE,"",IF((Summary!$C$13="N")*('Dvd Calendar'!$AF$2980='Field Check'!$C$25)&gt;0,"",'Dvd Calendar'!$AF$2976)))</f>
        <v/>
      </c>
      <c r="CS214" s="85">
        <f>IF(AE214="","",IF(ISNUMBER('Dvd Calendar'!$AG$2976)=FALSE,"",IF((Summary!$C$13="N")*('Dvd Calendar'!$AG$2980='Field Check'!$C$25)&gt;0,"",'Dvd Calendar'!$AG$2976)))</f>
        <v/>
      </c>
      <c r="CT214" s="85">
        <f>IF(AF214="","",IF(ISNUMBER('Dvd Calendar'!$AH$2976)=FALSE,"",IF((Summary!$C$13="N")*('Dvd Calendar'!$AH$2980='Field Check'!$C$25)&gt;0,"",'Dvd Calendar'!$AH$2976)))</f>
        <v/>
      </c>
      <c r="CU214" s="85">
        <f>IF(AG214="","",IF(ISNUMBER('Dvd Calendar'!$AI$2976)=FALSE,"",IF((Summary!$C$13="N")*('Dvd Calendar'!$AI$2980='Field Check'!$C$25)&gt;0,"",'Dvd Calendar'!$AI$2976)))</f>
        <v/>
      </c>
      <c r="CV214" s="85">
        <f>IF(AH214="","",IF(ISNUMBER('Dvd Calendar'!$AJ$2976)=FALSE,"",IF((Summary!$C$13="N")*('Dvd Calendar'!$AJ$2980='Field Check'!$C$25)&gt;0,"",'Dvd Calendar'!$AJ$2976)))</f>
        <v/>
      </c>
      <c r="CW214" s="85">
        <f>IF(AI214="","",IF(ISNUMBER('Dvd Calendar'!$AK$2976)=FALSE,"",IF((Summary!$C$13="N")*('Dvd Calendar'!$AK$2980='Field Check'!$C$25)&gt;0,"",'Dvd Calendar'!$AK$2976)))</f>
        <v/>
      </c>
      <c r="CX214" s="85">
        <f>IF(AJ214="","",IF(ISNUMBER('Dvd Calendar'!$AL$2976)=FALSE,"",IF((Summary!$C$13="N")*('Dvd Calendar'!$AL$2980='Field Check'!$C$25)&gt;0,"",'Dvd Calendar'!$AL$2976)))</f>
        <v/>
      </c>
      <c r="CY214" s="85">
        <f>IF(AK214="","",IF(ISNUMBER('Dvd Calendar'!$AM$2976)=FALSE,"",IF((Summary!$C$13="N")*('Dvd Calendar'!$AM$2980='Field Check'!$C$25)&gt;0,"",'Dvd Calendar'!$AM$2976)))</f>
        <v/>
      </c>
      <c r="CZ214" s="85">
        <f>IF(AL214="","",IF(ISNUMBER('Dvd Calendar'!$AN$2976)=FALSE,"",IF((Summary!$C$13="N")*('Dvd Calendar'!$AN$2980='Field Check'!$C$25)&gt;0,"",'Dvd Calendar'!$AN$2976)))</f>
        <v/>
      </c>
      <c r="DA214" s="85">
        <f>IF(AM214="","",IF(ISNUMBER('Dvd Calendar'!$AO$2976)=FALSE,"",IF((Summary!$C$13="N")*('Dvd Calendar'!$AO$2980='Field Check'!$C$25)&gt;0,"",'Dvd Calendar'!$AO$2976)))</f>
        <v/>
      </c>
      <c r="DB214" s="85">
        <f>IF(AN214="","",IF(ISNUMBER('Dvd Calendar'!$AP$2976)=FALSE,"",IF((Summary!$C$13="N")*('Dvd Calendar'!$AP$2980='Field Check'!$C$25)&gt;0,"",'Dvd Calendar'!$AP$2976)))</f>
        <v/>
      </c>
      <c r="DC214" s="85">
        <f>IF(AO214="","",IF(ISNUMBER('Dvd Calendar'!$AQ$2976)=FALSE,"",IF((Summary!$C$13="N")*('Dvd Calendar'!$AQ$2980='Field Check'!$C$25)&gt;0,"",'Dvd Calendar'!$AQ$2976)))</f>
        <v/>
      </c>
      <c r="DD214" s="85">
        <f>IF(AP214="","",IF(ISNUMBER('Dvd Calendar'!$AR$2976)=FALSE,"",IF((Summary!$C$13="N")*('Dvd Calendar'!$AR$2980='Field Check'!$C$25)&gt;0,"",'Dvd Calendar'!$AR$2976)))</f>
        <v/>
      </c>
      <c r="DE214" s="85">
        <f>IF(AQ214="","",IF(ISNUMBER('Dvd Calendar'!$E$2983)=FALSE,"",IF((Summary!$C$13="N")*('Dvd Calendar'!$E$2987='Field Check'!$C$25)&gt;0,"",'Dvd Calendar'!$E$2983)))</f>
        <v/>
      </c>
      <c r="DF214" s="85">
        <f>IF(AR214="","",IF(ISNUMBER('Dvd Calendar'!$F$2983)=FALSE,"",IF((Summary!$C$13="N")*('Dvd Calendar'!$F$2987='Field Check'!$C$25)&gt;0,"",'Dvd Calendar'!$F$2983)))</f>
        <v/>
      </c>
      <c r="DG214" s="85">
        <f>IF(AS214="","",IF(ISNUMBER('Dvd Calendar'!$G$2983)=FALSE,"",IF((Summary!$C$13="N")*('Dvd Calendar'!$G$2987='Field Check'!$C$25)&gt;0,"",'Dvd Calendar'!$G$2983)))</f>
        <v/>
      </c>
      <c r="DH214" s="85">
        <f>IF(AT214="","",IF(ISNUMBER('Dvd Calendar'!$H$2983)=FALSE,"",IF((Summary!$C$13="N")*('Dvd Calendar'!$H$2987='Field Check'!$C$25)&gt;0,"",'Dvd Calendar'!$H$2983)))</f>
        <v/>
      </c>
      <c r="DI214" s="85">
        <f>IF(AU214="","",IF(ISNUMBER('Dvd Calendar'!$I$2983)=FALSE,"",IF((Summary!$C$13="N")*('Dvd Calendar'!$I$2987='Field Check'!$C$25)&gt;0,"",'Dvd Calendar'!$I$2983)))</f>
        <v/>
      </c>
      <c r="DJ214" s="85">
        <f>IF(AV214="","",IF(ISNUMBER('Dvd Calendar'!$J$2983)=FALSE,"",IF((Summary!$C$13="N")*('Dvd Calendar'!$J$2987='Field Check'!$C$25)&gt;0,"",'Dvd Calendar'!$J$2983)))</f>
        <v/>
      </c>
      <c r="DK214" s="85">
        <f>IF(AW214="","",IF(ISNUMBER('Dvd Calendar'!$K$2983)=FALSE,"",IF((Summary!$C$13="N")*('Dvd Calendar'!$K$2987='Field Check'!$C$25)&gt;0,"",'Dvd Calendar'!$K$2983)))</f>
        <v/>
      </c>
      <c r="DL214" s="85">
        <f>IF(AX214="","",IF(ISNUMBER('Dvd Calendar'!$L$2983)=FALSE,"",IF((Summary!$C$13="N")*('Dvd Calendar'!$L$2987='Field Check'!$C$25)&gt;0,"",'Dvd Calendar'!$L$2983)))</f>
        <v/>
      </c>
      <c r="DM214" s="85">
        <f>IF(AY214="","",IF(ISNUMBER('Dvd Calendar'!$M$2983)=FALSE,"",IF((Summary!$C$13="N")*('Dvd Calendar'!$M$2987='Field Check'!$C$25)&gt;0,"",'Dvd Calendar'!$M$2983)))</f>
        <v/>
      </c>
      <c r="DN214" s="85">
        <f>IF(AZ214="","",IF(ISNUMBER('Dvd Calendar'!$N$2983)=FALSE,"",IF((Summary!$C$13="N")*('Dvd Calendar'!$N$2987='Field Check'!$C$25)&gt;0,"",'Dvd Calendar'!$N$2983)))</f>
        <v/>
      </c>
      <c r="DO214" s="85">
        <f>IF(BA214="","",IF(ISNUMBER('Dvd Calendar'!$O$2983)=FALSE,"",IF((Summary!$C$13="N")*('Dvd Calendar'!$O$2987='Field Check'!$C$25)&gt;0,"",'Dvd Calendar'!$O$2983)))</f>
        <v/>
      </c>
      <c r="DP214" s="85">
        <f>IF(BB214="","",IF(ISNUMBER('Dvd Calendar'!$P$2983)=FALSE,"",IF((Summary!$C$13="N")*('Dvd Calendar'!$P$2987='Field Check'!$C$25)&gt;0,"",'Dvd Calendar'!$P$2983)))</f>
        <v/>
      </c>
      <c r="DQ214" s="85">
        <f>IF(BC214="","",IF(ISNUMBER('Dvd Calendar'!$Q$2983)=FALSE,"",IF((Summary!$C$13="N")*('Dvd Calendar'!$Q$2987='Field Check'!$C$25)&gt;0,"",'Dvd Calendar'!$Q$2983)))</f>
        <v/>
      </c>
      <c r="DR214" s="85">
        <f>IF(BD214="","",IF(ISNUMBER('Dvd Calendar'!$R$2983)=FALSE,"",IF((Summary!$C$13="N")*('Dvd Calendar'!$R$2987='Field Check'!$C$25)&gt;0,"",'Dvd Calendar'!$R$2983)))</f>
        <v/>
      </c>
      <c r="DS214" s="85">
        <f>IF(BE214="","",IF(ISNUMBER('Dvd Calendar'!$S$2983)=FALSE,"",IF((Summary!$C$13="N")*('Dvd Calendar'!$S$2987='Field Check'!$C$25)&gt;0,"",'Dvd Calendar'!$S$2983)))</f>
        <v/>
      </c>
      <c r="DT214" s="85">
        <f>IF(BF214="","",IF(ISNUMBER('Dvd Calendar'!$T$2983)=FALSE,"",IF((Summary!$C$13="N")*('Dvd Calendar'!$T$2987='Field Check'!$C$25)&gt;0,"",'Dvd Calendar'!$T$2983)))</f>
        <v/>
      </c>
      <c r="DU214" s="85">
        <f>IF(BG214="","",IF(ISNUMBER('Dvd Calendar'!$U$2983)=FALSE,"",IF((Summary!$C$13="N")*('Dvd Calendar'!$U$2987='Field Check'!$C$25)&gt;0,"",'Dvd Calendar'!$U$2983)))</f>
        <v/>
      </c>
      <c r="DV214" s="85">
        <f>IF(BH214="","",IF(ISNUMBER('Dvd Calendar'!$V$2983)=FALSE,"",IF((Summary!$C$13="N")*('Dvd Calendar'!$V$2987='Field Check'!$C$25)&gt;0,"",'Dvd Calendar'!$V$2983)))</f>
        <v/>
      </c>
      <c r="DW214" s="85">
        <f>IF(BI214="","",IF(ISNUMBER('Dvd Calendar'!$W$2983)=FALSE,"",IF((Summary!$C$13="N")*('Dvd Calendar'!$W$2987='Field Check'!$C$25)&gt;0,"",'Dvd Calendar'!$W$2983)))</f>
        <v/>
      </c>
      <c r="DX214" s="85">
        <f>IF(BJ214="","",IF(ISNUMBER('Dvd Calendar'!$X$2983)=FALSE,"",IF((Summary!$C$13="N")*('Dvd Calendar'!$X$2987='Field Check'!$C$25)&gt;0,"",'Dvd Calendar'!$X$2983)))</f>
        <v/>
      </c>
      <c r="DY214" s="85">
        <f>IF(BK214="","",IF(ISNUMBER('Dvd Calendar'!$Y$2983)=FALSE,"",IF((Summary!$C$13="N")*('Dvd Calendar'!$Y$2987='Field Check'!$C$25)&gt;0,"",'Dvd Calendar'!$Y$2983)))</f>
        <v/>
      </c>
      <c r="DZ214" s="85">
        <f>IF(BL214="","",IF(ISNUMBER('Dvd Calendar'!$Z$2983)=FALSE,"",IF((Summary!$C$13="N")*('Dvd Calendar'!$Z$2987='Field Check'!$C$25)&gt;0,"",'Dvd Calendar'!$Z$2983)))</f>
        <v/>
      </c>
      <c r="EA214" s="85">
        <f>IF(BM214="","",IF(ISNUMBER('Dvd Calendar'!$AA$2983)=FALSE,"",IF((Summary!$C$13="N")*('Dvd Calendar'!$AA$2987='Field Check'!$C$25)&gt;0,"",'Dvd Calendar'!$AA$2983)))</f>
        <v/>
      </c>
      <c r="EB214" s="85">
        <f>IF(BN214="","",IF(ISNUMBER('Dvd Calendar'!$AB$2983)=FALSE,"",IF((Summary!$C$13="N")*('Dvd Calendar'!$AB$2987='Field Check'!$C$25)&gt;0,"",'Dvd Calendar'!$AB$2983)))</f>
        <v/>
      </c>
      <c r="EC214" s="85">
        <f>IF(BO214="","",IF(ISNUMBER('Dvd Calendar'!$AC$2983)=FALSE,"",IF((Summary!$C$13="N")*('Dvd Calendar'!$AC$2987='Field Check'!$C$25)&gt;0,"",'Dvd Calendar'!$AC$2983)))</f>
        <v/>
      </c>
      <c r="EE214" s="85">
        <f>IF(BQ214="","",IFERROR(BQ214*HSCEI!$B$64*HSCEI!$G$64/HSCEI!$B$3,""))</f>
        <v/>
      </c>
      <c r="EF214" s="85">
        <f>IF(BR214="","",IFERROR(BR214*HSCEI!$B$64*HSCEI!$G$64/HSCEI!$B$3,""))</f>
        <v/>
      </c>
      <c r="EG214" s="85">
        <f>IF(BS214="","",IFERROR(BS214*HSCEI!$B$64*HSCEI!$G$64/HSCEI!$B$3,""))</f>
        <v/>
      </c>
      <c r="EH214" s="85">
        <f>IF(BT214="","",IFERROR(BT214*HSCEI!$B$64*HSCEI!$G$64/HSCEI!$B$3,""))</f>
        <v/>
      </c>
      <c r="EI214" s="85">
        <f>IF(BU214="","",IFERROR(BU214*HSCEI!$B$64*HSCEI!$G$64/HSCEI!$B$3,""))</f>
        <v/>
      </c>
      <c r="EJ214" s="85">
        <f>IF(BV214="","",IFERROR(BV214*HSCEI!$B$64*HSCEI!$G$64/HSCEI!$B$3,""))</f>
        <v/>
      </c>
      <c r="EK214" s="85">
        <f>IF(BW214="","",IFERROR(BW214*HSCEI!$B$64*HSCEI!$G$64/HSCEI!$B$3,""))</f>
        <v/>
      </c>
      <c r="EL214" s="85">
        <f>IF(BX214="","",IFERROR(BX214*HSCEI!$B$64*HSCEI!$G$64/HSCEI!$B$3,""))</f>
        <v/>
      </c>
      <c r="EM214" s="85">
        <f>IF(BY214="","",IFERROR(BY214*HSCEI!$B$64*HSCEI!$G$64/HSCEI!$B$3,""))</f>
        <v/>
      </c>
      <c r="EN214" s="85">
        <f>IF(BZ214="","",IFERROR(BZ214*HSCEI!$B$64*HSCEI!$G$64/HSCEI!$B$3,""))</f>
        <v/>
      </c>
      <c r="EO214" s="85">
        <f>IF(CA214="","",IFERROR(CA214*HSCEI!$B$64*HSCEI!$G$64/HSCEI!$B$3,""))</f>
        <v/>
      </c>
      <c r="EP214" s="85">
        <f>IF(CB214="","",IFERROR(CB214*HSCEI!$B$64*HSCEI!$G$64/HSCEI!$B$3,""))</f>
        <v/>
      </c>
      <c r="EQ214" s="85">
        <f>IF(CC214="","",IFERROR(CC214*HSCEI!$B$64*HSCEI!$G$64/HSCEI!$B$3,""))</f>
        <v/>
      </c>
      <c r="ER214" s="85">
        <f>IF(CD214="","",IFERROR(CD214*HSCEI!$B$64*HSCEI!$G$64/HSCEI!$B$3,""))</f>
        <v/>
      </c>
      <c r="ES214" s="85">
        <f>IF(CE214="","",IFERROR(CE214*HSCEI!$B$64*HSCEI!$G$64/HSCEI!$B$3,""))</f>
        <v/>
      </c>
      <c r="ET214" s="85">
        <f>IF(CF214="","",IFERROR(CF214*HSCEI!$B$64*HSCEI!$G$64/HSCEI!$B$3,""))</f>
        <v/>
      </c>
      <c r="EU214" s="85">
        <f>IF(CG214="","",IFERROR(CG214*HSCEI!$B$64*HSCEI!$G$64/HSCEI!$B$3,""))</f>
        <v/>
      </c>
      <c r="EV214" s="85">
        <f>IF(CH214="","",IFERROR(CH214*HSCEI!$B$64*HSCEI!$G$64/HSCEI!$B$3,""))</f>
        <v/>
      </c>
      <c r="EW214" s="85">
        <f>IF(CI214="","",IFERROR(CI214*HSCEI!$B$64*HSCEI!$G$64/HSCEI!$B$3,""))</f>
        <v/>
      </c>
      <c r="EX214" s="85">
        <f>IF(CJ214="","",IFERROR(CJ214*HSCEI!$B$64*HSCEI!$G$64/HSCEI!$B$3,""))</f>
        <v/>
      </c>
      <c r="EY214" s="85">
        <f>IF(CK214="","",IFERROR(CK214*HSCEI!$B$64*HSCEI!$G$64/HSCEI!$B$3,""))</f>
        <v/>
      </c>
      <c r="EZ214" s="85">
        <f>IF(CL214="","",IFERROR(CL214*HSCEI!$B$64*HSCEI!$G$64/HSCEI!$B$3,""))</f>
        <v/>
      </c>
      <c r="FA214" s="85">
        <f>IF(CM214="","",IFERROR(CM214*HSCEI!$B$64*HSCEI!$G$64/HSCEI!$B$3,""))</f>
        <v/>
      </c>
      <c r="FB214" s="85">
        <f>IF(CN214="","",IFERROR(CN214*HSCEI!$B$64*HSCEI!$G$64/HSCEI!$B$3,""))</f>
        <v/>
      </c>
      <c r="FC214" s="85">
        <f>IF(CO214="","",IFERROR(CO214*HSCEI!$B$64*HSCEI!$G$64/HSCEI!$B$3,""))</f>
        <v/>
      </c>
      <c r="FD214" s="85">
        <f>IF(CP214="","",IFERROR(CP214*HSCEI!$B$64*HSCEI!$G$64/HSCEI!$B$3,""))</f>
        <v/>
      </c>
      <c r="FE214" s="85">
        <f>IF(CQ214="","",IFERROR(CQ214*HSCEI!$B$64*HSCEI!$G$64/HSCEI!$B$3,""))</f>
        <v/>
      </c>
      <c r="FF214" s="85">
        <f>IF(CR214="","",IFERROR(CR214*HSCEI!$B$64*HSCEI!$G$64/HSCEI!$B$3,""))</f>
        <v/>
      </c>
      <c r="FG214" s="85">
        <f>IF(CS214="","",IFERROR(CS214*HSCEI!$B$64*HSCEI!$G$64/HSCEI!$B$3,""))</f>
        <v/>
      </c>
      <c r="FH214" s="85">
        <f>IF(CT214="","",IFERROR(CT214*HSCEI!$B$64*HSCEI!$G$64/HSCEI!$B$3,""))</f>
        <v/>
      </c>
      <c r="FI214" s="85">
        <f>IF(CU214="","",IFERROR(CU214*HSCEI!$B$64*HSCEI!$G$64/HSCEI!$B$3,""))</f>
        <v/>
      </c>
      <c r="FJ214" s="85">
        <f>IF(CV214="","",IFERROR(CV214*HSCEI!$B$64*HSCEI!$G$64/HSCEI!$B$3,""))</f>
        <v/>
      </c>
      <c r="FK214" s="85">
        <f>IF(CW214="","",IFERROR(CW214*HSCEI!$B$64*HSCEI!$G$64/HSCEI!$B$3,""))</f>
        <v/>
      </c>
      <c r="FL214" s="85">
        <f>IF(CX214="","",IFERROR(CX214*HSCEI!$B$64*HSCEI!$G$64/HSCEI!$B$3,""))</f>
        <v/>
      </c>
      <c r="FM214" s="85">
        <f>IF(CY214="","",IFERROR(CY214*HSCEI!$B$64*HSCEI!$G$64/HSCEI!$B$3,""))</f>
        <v/>
      </c>
      <c r="FN214" s="85">
        <f>IF(CZ214="","",IFERROR(CZ214*HSCEI!$B$64*HSCEI!$G$64/HSCEI!$B$3,""))</f>
        <v/>
      </c>
      <c r="FO214" s="85">
        <f>IF(DA214="","",IFERROR(DA214*HSCEI!$B$64*HSCEI!$G$64/HSCEI!$B$3,""))</f>
        <v/>
      </c>
      <c r="FP214" s="85">
        <f>IF(DB214="","",IFERROR(DB214*HSCEI!$B$64*HSCEI!$G$64/HSCEI!$B$3,""))</f>
        <v/>
      </c>
      <c r="FQ214" s="85">
        <f>IF(DC214="","",IFERROR(DC214*HSCEI!$B$64*HSCEI!$G$64/HSCEI!$B$3,""))</f>
        <v/>
      </c>
      <c r="FR214" s="85">
        <f>IF(DD214="","",IFERROR(DD214*HSCEI!$B$64*HSCEI!$G$64/HSCEI!$B$3,""))</f>
        <v/>
      </c>
      <c r="FS214" s="85">
        <f>IF(DE214="","",IFERROR(DE214*HSCEI!$B$64*HSCEI!$G$64/HSCEI!$B$3,""))</f>
        <v/>
      </c>
      <c r="FT214" s="85">
        <f>IF(DF214="","",IFERROR(DF214*HSCEI!$B$64*HSCEI!$G$64/HSCEI!$B$3,""))</f>
        <v/>
      </c>
      <c r="FU214" s="85">
        <f>IF(DG214="","",IFERROR(DG214*HSCEI!$B$64*HSCEI!$G$64/HSCEI!$B$3,""))</f>
        <v/>
      </c>
      <c r="FV214" s="85">
        <f>IF(DH214="","",IFERROR(DH214*HSCEI!$B$64*HSCEI!$G$64/HSCEI!$B$3,""))</f>
        <v/>
      </c>
      <c r="FW214" s="85">
        <f>IF(DI214="","",IFERROR(DI214*HSCEI!$B$64*HSCEI!$G$64/HSCEI!$B$3,""))</f>
        <v/>
      </c>
      <c r="FX214" s="85">
        <f>IF(DJ214="","",IFERROR(DJ214*HSCEI!$B$64*HSCEI!$G$64/HSCEI!$B$3,""))</f>
        <v/>
      </c>
      <c r="FY214" s="85">
        <f>IF(DK214="","",IFERROR(DK214*HSCEI!$B$64*HSCEI!$G$64/HSCEI!$B$3,""))</f>
        <v/>
      </c>
      <c r="FZ214" s="85">
        <f>IF(DL214="","",IFERROR(DL214*HSCEI!$B$64*HSCEI!$G$64/HSCEI!$B$3,""))</f>
        <v/>
      </c>
      <c r="GA214" s="85">
        <f>IF(DM214="","",IFERROR(DM214*HSCEI!$B$64*HSCEI!$G$64/HSCEI!$B$3,""))</f>
        <v/>
      </c>
      <c r="GB214" s="85">
        <f>IF(DN214="","",IFERROR(DN214*HSCEI!$B$64*HSCEI!$G$64/HSCEI!$B$3,""))</f>
        <v/>
      </c>
      <c r="GC214" s="85">
        <f>IF(DO214="","",IFERROR(DO214*HSCEI!$B$64*HSCEI!$G$64/HSCEI!$B$3,""))</f>
        <v/>
      </c>
      <c r="GD214" s="85">
        <f>IF(DP214="","",IFERROR(DP214*HSCEI!$B$64*HSCEI!$G$64/HSCEI!$B$3,""))</f>
        <v/>
      </c>
      <c r="GE214" s="85">
        <f>IF(DQ214="","",IFERROR(DQ214*HSCEI!$B$64*HSCEI!$G$64/HSCEI!$B$3,""))</f>
        <v/>
      </c>
      <c r="GF214" s="85">
        <f>IF(DR214="","",IFERROR(DR214*HSCEI!$B$64*HSCEI!$G$64/HSCEI!$B$3,""))</f>
        <v/>
      </c>
      <c r="GG214" s="85">
        <f>IF(DS214="","",IFERROR(DS214*HSCEI!$B$64*HSCEI!$G$64/HSCEI!$B$3,""))</f>
        <v/>
      </c>
      <c r="GH214" s="85">
        <f>IF(DT214="","",IFERROR(DT214*HSCEI!$B$64*HSCEI!$G$64/HSCEI!$B$3,""))</f>
        <v/>
      </c>
      <c r="GI214" s="85">
        <f>IF(DU214="","",IFERROR(DU214*HSCEI!$B$64*HSCEI!$G$64/HSCEI!$B$3,""))</f>
        <v/>
      </c>
      <c r="GJ214" s="85">
        <f>IF(DV214="","",IFERROR(DV214*HSCEI!$B$64*HSCEI!$G$64/HSCEI!$B$3,""))</f>
        <v/>
      </c>
      <c r="GK214" s="85">
        <f>IF(DW214="","",IFERROR(DW214*HSCEI!$B$64*HSCEI!$G$64/HSCEI!$B$3,""))</f>
        <v/>
      </c>
      <c r="GL214" s="85">
        <f>IF(DX214="","",IFERROR(DX214*HSCEI!$B$64*HSCEI!$G$64/HSCEI!$B$3,""))</f>
        <v/>
      </c>
      <c r="GM214" s="85">
        <f>IF(DY214="","",IFERROR(DY214*HSCEI!$B$64*HSCEI!$G$64/HSCEI!$B$3,""))</f>
        <v/>
      </c>
      <c r="GN214" s="85">
        <f>IF(DZ214="","",IFERROR(DZ214*HSCEI!$B$64*HSCEI!$G$64/HSCEI!$B$3,""))</f>
        <v/>
      </c>
      <c r="GO214" s="85">
        <f>IF(EA214="","",IFERROR(EA214*HSCEI!$B$64*HSCEI!$G$64/HSCEI!$B$3,""))</f>
        <v/>
      </c>
      <c r="GP214" s="85">
        <f>IF(EB214="","",IFERROR(EB214*HSCEI!$B$64*HSCEI!$G$64/HSCEI!$B$3,""))</f>
        <v/>
      </c>
      <c r="GQ214" s="85">
        <f>IF(EC214="","",IFERROR(EC214*HSCEI!$B$64*HSCEI!$G$64/HSCEI!$B$3,""))</f>
        <v/>
      </c>
    </row>
    <row r="215">
      <c r="B215" s="2">
        <f>IF(HSCEI!$C$65="","",HSCEI!$C$65)</f>
        <v/>
      </c>
      <c r="C215" s="41">
        <f>IF(N('Dvd Calendar'!$E$2990)=0,"",IF(('Dvd Calendar'!$E$2990&gt;=MIN(DATE(Summary!$C$12,1,1),Summary!$C$11))*('Dvd Calendar'!$E$2990&lt;=MAX(DATE(Summary!$C$12,12,31),Summary!$C$15))*('Dvd Calendar'!$E$2990&lt;=Summary!$C$11)=0,"",'Dvd Calendar'!$E$2990*1000000000+ISNUMBER('Dvd Calendar'!$E$2991)*100000000+('Dvd Calendar'!$E$2995='Field Check'!$C$25)*10000000+(N('Dvd Calendar'!$E$2989)&gt;0)*1000000+59*1000+1))</f>
        <v/>
      </c>
      <c r="D215" s="41">
        <f>IF(N('Dvd Calendar'!$F$2990)=0,"",IF(('Dvd Calendar'!$F$2990&gt;=MIN(DATE(Summary!$C$12,1,1),Summary!$C$11))*('Dvd Calendar'!$F$2990&lt;=MAX(DATE(Summary!$C$12,12,31),Summary!$C$15))*('Dvd Calendar'!$F$2990&lt;=Summary!$C$11)=0,"",'Dvd Calendar'!$F$2990*1000000000+ISNUMBER('Dvd Calendar'!$F$2991)*100000000+('Dvd Calendar'!$F$2995='Field Check'!$C$25)*10000000+(N('Dvd Calendar'!$F$2989)&gt;0)*1000000+59*1000+2))</f>
        <v/>
      </c>
      <c r="E215" s="41">
        <f>IF(N('Dvd Calendar'!$G$2990)=0,"",IF(('Dvd Calendar'!$G$2990&gt;=MIN(DATE(Summary!$C$12,1,1),Summary!$C$11))*('Dvd Calendar'!$G$2990&lt;=MAX(DATE(Summary!$C$12,12,31),Summary!$C$15))*('Dvd Calendar'!$G$2990&lt;=Summary!$C$11)=0,"",'Dvd Calendar'!$G$2990*1000000000+ISNUMBER('Dvd Calendar'!$G$2991)*100000000+('Dvd Calendar'!$G$2995='Field Check'!$C$25)*10000000+(N('Dvd Calendar'!$G$2989)&gt;0)*1000000+59*1000+3))</f>
        <v/>
      </c>
      <c r="F215" s="41">
        <f>IF(N('Dvd Calendar'!$H$2990)=0,"",IF(('Dvd Calendar'!$H$2990&gt;=MIN(DATE(Summary!$C$12,1,1),Summary!$C$11))*('Dvd Calendar'!$H$2990&lt;=MAX(DATE(Summary!$C$12,12,31),Summary!$C$15))*('Dvd Calendar'!$H$2990&lt;=Summary!$C$11)=0,"",'Dvd Calendar'!$H$2990*1000000000+ISNUMBER('Dvd Calendar'!$H$2991)*100000000+('Dvd Calendar'!$H$2995='Field Check'!$C$25)*10000000+(N('Dvd Calendar'!$H$2989)&gt;0)*1000000+59*1000+4))</f>
        <v/>
      </c>
      <c r="G215" s="41">
        <f>IF(N('Dvd Calendar'!$I$2990)=0,"",IF(('Dvd Calendar'!$I$2990&gt;=MIN(DATE(Summary!$C$12,1,1),Summary!$C$11))*('Dvd Calendar'!$I$2990&lt;=MAX(DATE(Summary!$C$12,12,31),Summary!$C$15))*('Dvd Calendar'!$I$2990&lt;=Summary!$C$11)=0,"",'Dvd Calendar'!$I$2990*1000000000+ISNUMBER('Dvd Calendar'!$I$2991)*100000000+('Dvd Calendar'!$I$2995='Field Check'!$C$25)*10000000+(N('Dvd Calendar'!$I$2989)&gt;0)*1000000+59*1000+5))</f>
        <v/>
      </c>
      <c r="H215" s="41">
        <f>IF(N('Dvd Calendar'!$J$2990)=0,"",IF(('Dvd Calendar'!$J$2990&gt;=MIN(DATE(Summary!$C$12,1,1),Summary!$C$11))*('Dvd Calendar'!$J$2990&lt;=MAX(DATE(Summary!$C$12,12,31),Summary!$C$15))*('Dvd Calendar'!$J$2990&lt;=Summary!$C$11)=0,"",'Dvd Calendar'!$J$2990*1000000000+ISNUMBER('Dvd Calendar'!$J$2991)*100000000+('Dvd Calendar'!$J$2995='Field Check'!$C$25)*10000000+(N('Dvd Calendar'!$J$2989)&gt;0)*1000000+59*1000+6))</f>
        <v/>
      </c>
      <c r="I215" s="41">
        <f>IF(N('Dvd Calendar'!$K$2990)=0,"",IF(('Dvd Calendar'!$K$2990&gt;=MIN(DATE(Summary!$C$12,1,1),Summary!$C$11))*('Dvd Calendar'!$K$2990&lt;=MAX(DATE(Summary!$C$12,12,31),Summary!$C$15))*('Dvd Calendar'!$K$2990&lt;=Summary!$C$11)=0,"",'Dvd Calendar'!$K$2990*1000000000+ISNUMBER('Dvd Calendar'!$K$2991)*100000000+('Dvd Calendar'!$K$2995='Field Check'!$C$25)*10000000+(N('Dvd Calendar'!$K$2989)&gt;0)*1000000+59*1000+7))</f>
        <v/>
      </c>
      <c r="J215" s="41">
        <f>IF(N('Dvd Calendar'!$L$2990)=0,"",IF(('Dvd Calendar'!$L$2990&gt;=MIN(DATE(Summary!$C$12,1,1),Summary!$C$11))*('Dvd Calendar'!$L$2990&lt;=MAX(DATE(Summary!$C$12,12,31),Summary!$C$15))*('Dvd Calendar'!$L$2990&lt;=Summary!$C$11)=0,"",'Dvd Calendar'!$L$2990*1000000000+ISNUMBER('Dvd Calendar'!$L$2991)*100000000+('Dvd Calendar'!$L$2995='Field Check'!$C$25)*10000000+(N('Dvd Calendar'!$L$2989)&gt;0)*1000000+59*1000+8))</f>
        <v/>
      </c>
      <c r="K215" s="41">
        <f>IF(N('Dvd Calendar'!$M$2990)=0,"",IF(('Dvd Calendar'!$M$2990&gt;=MIN(DATE(Summary!$C$12,1,1),Summary!$C$11))*('Dvd Calendar'!$M$2990&lt;=MAX(DATE(Summary!$C$12,12,31),Summary!$C$15))*('Dvd Calendar'!$M$2990&lt;=Summary!$C$11)=0,"",'Dvd Calendar'!$M$2990*1000000000+ISNUMBER('Dvd Calendar'!$M$2991)*100000000+('Dvd Calendar'!$M$2995='Field Check'!$C$25)*10000000+(N('Dvd Calendar'!$M$2989)&gt;0)*1000000+59*1000+9))</f>
        <v/>
      </c>
      <c r="L215" s="41">
        <f>IF(N('Dvd Calendar'!$N$2990)=0,"",IF(('Dvd Calendar'!$N$2990&gt;=MIN(DATE(Summary!$C$12,1,1),Summary!$C$11))*('Dvd Calendar'!$N$2990&lt;=MAX(DATE(Summary!$C$12,12,31),Summary!$C$15))*('Dvd Calendar'!$N$2990&lt;=Summary!$C$11)=0,"",'Dvd Calendar'!$N$2990*1000000000+ISNUMBER('Dvd Calendar'!$N$2991)*100000000+('Dvd Calendar'!$N$2995='Field Check'!$C$25)*10000000+(N('Dvd Calendar'!$N$2989)&gt;0)*1000000+59*1000+10))</f>
        <v/>
      </c>
      <c r="M215" s="41">
        <f>IF(N('Dvd Calendar'!$O$2990)=0,"",IF(('Dvd Calendar'!$O$2990&gt;=MIN(DATE(Summary!$C$12,1,1),Summary!$C$11))*('Dvd Calendar'!$O$2990&lt;=MAX(DATE(Summary!$C$12,12,31),Summary!$C$15))*('Dvd Calendar'!$O$2990&lt;=Summary!$C$11)=0,"",'Dvd Calendar'!$O$2990*1000000000+ISNUMBER('Dvd Calendar'!$O$2991)*100000000+('Dvd Calendar'!$O$2995='Field Check'!$C$25)*10000000+(N('Dvd Calendar'!$O$2989)&gt;0)*1000000+59*1000+11))</f>
        <v/>
      </c>
      <c r="N215" s="41">
        <f>IF(N('Dvd Calendar'!$P$2990)=0,"",IF(('Dvd Calendar'!$P$2990&gt;=MIN(DATE(Summary!$C$12,1,1),Summary!$C$11))*('Dvd Calendar'!$P$2990&lt;=MAX(DATE(Summary!$C$12,12,31),Summary!$C$15))*('Dvd Calendar'!$P$2990&lt;=Summary!$C$11)=0,"",'Dvd Calendar'!$P$2990*1000000000+ISNUMBER('Dvd Calendar'!$P$2991)*100000000+('Dvd Calendar'!$P$2995='Field Check'!$C$25)*10000000+(N('Dvd Calendar'!$P$2989)&gt;0)*1000000+59*1000+12))</f>
        <v/>
      </c>
      <c r="O215" s="41">
        <f>IF(N('Dvd Calendar'!$Q$2990)=0,"",IF(('Dvd Calendar'!$Q$2990&gt;=MIN(DATE(Summary!$C$12,1,1),Summary!$C$11))*('Dvd Calendar'!$Q$2990&lt;=MAX(DATE(Summary!$C$12,12,31),Summary!$C$15))*('Dvd Calendar'!$Q$2990&lt;=Summary!$C$11)=0,"",'Dvd Calendar'!$Q$2990*1000000000+ISNUMBER('Dvd Calendar'!$Q$2991)*100000000+('Dvd Calendar'!$Q$2995='Field Check'!$C$25)*10000000+(N('Dvd Calendar'!$Q$2989)&gt;0)*1000000+59*1000+13))</f>
        <v/>
      </c>
      <c r="P215" s="41">
        <f>IF(N('Dvd Calendar'!$R$2990)=0,"",IF(('Dvd Calendar'!$R$2990&gt;=MIN(DATE(Summary!$C$12,1,1),Summary!$C$11))*('Dvd Calendar'!$R$2990&lt;=MAX(DATE(Summary!$C$12,12,31),Summary!$C$15))*('Dvd Calendar'!$R$2990&lt;=Summary!$C$11)=0,"",'Dvd Calendar'!$R$2990*1000000000+ISNUMBER('Dvd Calendar'!$R$2991)*100000000+('Dvd Calendar'!$R$2995='Field Check'!$C$25)*10000000+(N('Dvd Calendar'!$R$2989)&gt;0)*1000000+59*1000+14))</f>
        <v/>
      </c>
      <c r="Q215" s="41">
        <f>IF(N('Dvd Calendar'!$S$2990)=0,"",IF(('Dvd Calendar'!$S$2990&gt;=MIN(DATE(Summary!$C$12,1,1),Summary!$C$11))*('Dvd Calendar'!$S$2990&lt;=MAX(DATE(Summary!$C$12,12,31),Summary!$C$15))*('Dvd Calendar'!$S$2990&lt;=Summary!$C$11)=0,"",'Dvd Calendar'!$S$2990*1000000000+ISNUMBER('Dvd Calendar'!$S$2991)*100000000+('Dvd Calendar'!$S$2995='Field Check'!$C$25)*10000000+(N('Dvd Calendar'!$S$2989)&gt;0)*1000000+59*1000+15))</f>
        <v/>
      </c>
      <c r="R215" s="41">
        <f>IF(N('Dvd Calendar'!$T$2990)=0,"",IF(('Dvd Calendar'!$T$2990&gt;=MIN(DATE(Summary!$C$12,1,1),Summary!$C$11))*('Dvd Calendar'!$T$2990&lt;=MAX(DATE(Summary!$C$12,12,31),Summary!$C$15))*('Dvd Calendar'!$T$2990&lt;=Summary!$C$11)=0,"",'Dvd Calendar'!$T$2990*1000000000+ISNUMBER('Dvd Calendar'!$T$2991)*100000000+('Dvd Calendar'!$T$2995='Field Check'!$C$25)*10000000+(N('Dvd Calendar'!$T$2989)&gt;0)*1000000+59*1000+16))</f>
        <v/>
      </c>
      <c r="S215" s="41">
        <f>IF(N('Dvd Calendar'!$U$2990)=0,"",IF(('Dvd Calendar'!$U$2990&gt;=MIN(DATE(Summary!$C$12,1,1),Summary!$C$11))*('Dvd Calendar'!$U$2990&lt;=MAX(DATE(Summary!$C$12,12,31),Summary!$C$15))*('Dvd Calendar'!$U$2990&lt;=Summary!$C$11)=0,"",'Dvd Calendar'!$U$2990*1000000000+ISNUMBER('Dvd Calendar'!$U$2991)*100000000+('Dvd Calendar'!$U$2995='Field Check'!$C$25)*10000000+(N('Dvd Calendar'!$U$2989)&gt;0)*1000000+59*1000+17))</f>
        <v/>
      </c>
      <c r="T215" s="41">
        <f>IF(N('Dvd Calendar'!$V$2990)=0,"",IF(('Dvd Calendar'!$V$2990&gt;=MIN(DATE(Summary!$C$12,1,1),Summary!$C$11))*('Dvd Calendar'!$V$2990&lt;=MAX(DATE(Summary!$C$12,12,31),Summary!$C$15))*('Dvd Calendar'!$V$2990&lt;=Summary!$C$11)=0,"",'Dvd Calendar'!$V$2990*1000000000+ISNUMBER('Dvd Calendar'!$V$2991)*100000000+('Dvd Calendar'!$V$2995='Field Check'!$C$25)*10000000+(N('Dvd Calendar'!$V$2989)&gt;0)*1000000+59*1000+18))</f>
        <v/>
      </c>
      <c r="U215" s="41">
        <f>IF(N('Dvd Calendar'!$W$2990)=0,"",IF(('Dvd Calendar'!$W$2990&gt;=MIN(DATE(Summary!$C$12,1,1),Summary!$C$11))*('Dvd Calendar'!$W$2990&lt;=MAX(DATE(Summary!$C$12,12,31),Summary!$C$15))*('Dvd Calendar'!$W$2990&lt;=Summary!$C$11)=0,"",'Dvd Calendar'!$W$2990*1000000000+ISNUMBER('Dvd Calendar'!$W$2991)*100000000+('Dvd Calendar'!$W$2995='Field Check'!$C$25)*10000000+(N('Dvd Calendar'!$W$2989)&gt;0)*1000000+59*1000+19))</f>
        <v/>
      </c>
      <c r="V215" s="41">
        <f>IF(N('Dvd Calendar'!$X$2990)=0,"",IF(('Dvd Calendar'!$X$2990&gt;=MIN(DATE(Summary!$C$12,1,1),Summary!$C$11))*('Dvd Calendar'!$X$2990&lt;=MAX(DATE(Summary!$C$12,12,31),Summary!$C$15))*('Dvd Calendar'!$X$2990&lt;=Summary!$C$11)=0,"",'Dvd Calendar'!$X$2990*1000000000+ISNUMBER('Dvd Calendar'!$X$2991)*100000000+('Dvd Calendar'!$X$2995='Field Check'!$C$25)*10000000+(N('Dvd Calendar'!$X$2989)&gt;0)*1000000+59*1000+20))</f>
        <v/>
      </c>
      <c r="W215" s="41">
        <f>IF(N('Dvd Calendar'!$Y$2990)=0,"",IF(('Dvd Calendar'!$Y$2990&gt;=MIN(DATE(Summary!$C$12,1,1),Summary!$C$11))*('Dvd Calendar'!$Y$2990&lt;=MAX(DATE(Summary!$C$12,12,31),Summary!$C$15))*('Dvd Calendar'!$Y$2990&lt;=Summary!$C$11)=0,"",'Dvd Calendar'!$Y$2990*1000000000+ISNUMBER('Dvd Calendar'!$Y$2991)*100000000+('Dvd Calendar'!$Y$2995='Field Check'!$C$25)*10000000+(N('Dvd Calendar'!$Y$2989)&gt;0)*1000000+59*1000+21))</f>
        <v/>
      </c>
      <c r="X215" s="41">
        <f>IF(N('Dvd Calendar'!$Z$2990)=0,"",IF(('Dvd Calendar'!$Z$2990&gt;=MIN(DATE(Summary!$C$12,1,1),Summary!$C$11))*('Dvd Calendar'!$Z$2990&lt;=MAX(DATE(Summary!$C$12,12,31),Summary!$C$15))*('Dvd Calendar'!$Z$2990&lt;=Summary!$C$11)=0,"",'Dvd Calendar'!$Z$2990*1000000000+ISNUMBER('Dvd Calendar'!$Z$2991)*100000000+('Dvd Calendar'!$Z$2995='Field Check'!$C$25)*10000000+(N('Dvd Calendar'!$Z$2989)&gt;0)*1000000+59*1000+22))</f>
        <v/>
      </c>
      <c r="Y215" s="41">
        <f>IF(N('Dvd Calendar'!$AA$2990)=0,"",IF(('Dvd Calendar'!$AA$2990&gt;=MIN(DATE(Summary!$C$12,1,1),Summary!$C$11))*('Dvd Calendar'!$AA$2990&lt;=MAX(DATE(Summary!$C$12,12,31),Summary!$C$15))*('Dvd Calendar'!$AA$2990&lt;=Summary!$C$11)=0,"",'Dvd Calendar'!$AA$2990*1000000000+ISNUMBER('Dvd Calendar'!$AA$2991)*100000000+('Dvd Calendar'!$AA$2995='Field Check'!$C$25)*10000000+(N('Dvd Calendar'!$AA$2989)&gt;0)*1000000+59*1000+23))</f>
        <v/>
      </c>
      <c r="Z215" s="41">
        <f>IF(N('Dvd Calendar'!$AB$2990)=0,"",IF(('Dvd Calendar'!$AB$2990&gt;=MIN(DATE(Summary!$C$12,1,1),Summary!$C$11))*('Dvd Calendar'!$AB$2990&lt;=MAX(DATE(Summary!$C$12,12,31),Summary!$C$15))*('Dvd Calendar'!$AB$2990&lt;=Summary!$C$11)=0,"",'Dvd Calendar'!$AB$2990*1000000000+ISNUMBER('Dvd Calendar'!$AB$2991)*100000000+('Dvd Calendar'!$AB$2995='Field Check'!$C$25)*10000000+(N('Dvd Calendar'!$AB$2989)&gt;0)*1000000+59*1000+24))</f>
        <v/>
      </c>
      <c r="AA215" s="41">
        <f>IF(N('Dvd Calendar'!$AC$2990)=0,"",IF(('Dvd Calendar'!$AC$2990&gt;=MIN(DATE(Summary!$C$12,1,1),Summary!$C$11))*('Dvd Calendar'!$AC$2990&lt;=MAX(DATE(Summary!$C$12,12,31),Summary!$C$15))*('Dvd Calendar'!$AC$2990&lt;=Summary!$C$11)=0,"",'Dvd Calendar'!$AC$2990*1000000000+ISNUMBER('Dvd Calendar'!$AC$2991)*100000000+('Dvd Calendar'!$AC$2995='Field Check'!$C$25)*10000000+(N('Dvd Calendar'!$AC$2989)&gt;0)*1000000+59*1000+25))</f>
        <v/>
      </c>
      <c r="AB215" s="41">
        <f>IF(N('Dvd Calendar'!$AD$2990)=0,"",IF(('Dvd Calendar'!$AD$2990&gt;=MIN(DATE(Summary!$C$12,1,1),Summary!$C$11))*('Dvd Calendar'!$AD$2990&lt;=MAX(DATE(Summary!$C$12,12,31),Summary!$C$15))*('Dvd Calendar'!$AD$2990&lt;=Summary!$C$11)=0,"",'Dvd Calendar'!$AD$2990*1000000000+ISNUMBER('Dvd Calendar'!$AD$2991)*100000000+('Dvd Calendar'!$AD$2995='Field Check'!$C$25)*10000000+(N('Dvd Calendar'!$AD$2989)&gt;0)*1000000+59*1000+26))</f>
        <v/>
      </c>
      <c r="AC215" s="41">
        <f>IF(N('Dvd Calendar'!$AE$2990)=0,"",IF(('Dvd Calendar'!$AE$2990&gt;=MIN(DATE(Summary!$C$12,1,1),Summary!$C$11))*('Dvd Calendar'!$AE$2990&lt;=MAX(DATE(Summary!$C$12,12,31),Summary!$C$15))*('Dvd Calendar'!$AE$2990&lt;=Summary!$C$11)=0,"",'Dvd Calendar'!$AE$2990*1000000000+ISNUMBER('Dvd Calendar'!$AE$2991)*100000000+('Dvd Calendar'!$AE$2995='Field Check'!$C$25)*10000000+(N('Dvd Calendar'!$AE$2989)&gt;0)*1000000+59*1000+27))</f>
        <v/>
      </c>
      <c r="AD215" s="41">
        <f>IF(N('Dvd Calendar'!$AF$2990)=0,"",IF(('Dvd Calendar'!$AF$2990&gt;=MIN(DATE(Summary!$C$12,1,1),Summary!$C$11))*('Dvd Calendar'!$AF$2990&lt;=MAX(DATE(Summary!$C$12,12,31),Summary!$C$15))*('Dvd Calendar'!$AF$2990&lt;=Summary!$C$11)=0,"",'Dvd Calendar'!$AF$2990*1000000000+ISNUMBER('Dvd Calendar'!$AF$2991)*100000000+('Dvd Calendar'!$AF$2995='Field Check'!$C$25)*10000000+(N('Dvd Calendar'!$AF$2989)&gt;0)*1000000+59*1000+28))</f>
        <v/>
      </c>
      <c r="AE215" s="41">
        <f>IF(N('Dvd Calendar'!$AG$2990)=0,"",IF(('Dvd Calendar'!$AG$2990&gt;=MIN(DATE(Summary!$C$12,1,1),Summary!$C$11))*('Dvd Calendar'!$AG$2990&lt;=MAX(DATE(Summary!$C$12,12,31),Summary!$C$15))*('Dvd Calendar'!$AG$2990&lt;=Summary!$C$11)=0,"",'Dvd Calendar'!$AG$2990*1000000000+ISNUMBER('Dvd Calendar'!$AG$2991)*100000000+('Dvd Calendar'!$AG$2995='Field Check'!$C$25)*10000000+(N('Dvd Calendar'!$AG$2989)&gt;0)*1000000+59*1000+29))</f>
        <v/>
      </c>
      <c r="AF215" s="41">
        <f>IF(N('Dvd Calendar'!$AH$2990)=0,"",IF(('Dvd Calendar'!$AH$2990&gt;=MIN(DATE(Summary!$C$12,1,1),Summary!$C$11))*('Dvd Calendar'!$AH$2990&lt;=MAX(DATE(Summary!$C$12,12,31),Summary!$C$15))*('Dvd Calendar'!$AH$2990&lt;=Summary!$C$11)=0,"",'Dvd Calendar'!$AH$2990*1000000000+ISNUMBER('Dvd Calendar'!$AH$2991)*100000000+('Dvd Calendar'!$AH$2995='Field Check'!$C$25)*10000000+(N('Dvd Calendar'!$AH$2989)&gt;0)*1000000+59*1000+30))</f>
        <v/>
      </c>
      <c r="AG215" s="41">
        <f>IF(N('Dvd Calendar'!$AI$2990)=0,"",IF(('Dvd Calendar'!$AI$2990&gt;=MIN(DATE(Summary!$C$12,1,1),Summary!$C$11))*('Dvd Calendar'!$AI$2990&lt;=MAX(DATE(Summary!$C$12,12,31),Summary!$C$15))*('Dvd Calendar'!$AI$2990&lt;=Summary!$C$11)=0,"",'Dvd Calendar'!$AI$2990*1000000000+ISNUMBER('Dvd Calendar'!$AI$2991)*100000000+('Dvd Calendar'!$AI$2995='Field Check'!$C$25)*10000000+(N('Dvd Calendar'!$AI$2989)&gt;0)*1000000+59*1000+31))</f>
        <v/>
      </c>
      <c r="AH215" s="41">
        <f>IF(N('Dvd Calendar'!$AJ$2990)=0,"",IF(('Dvd Calendar'!$AJ$2990&gt;=MIN(DATE(Summary!$C$12,1,1),Summary!$C$11))*('Dvd Calendar'!$AJ$2990&lt;=MAX(DATE(Summary!$C$12,12,31),Summary!$C$15))*('Dvd Calendar'!$AJ$2990&lt;=Summary!$C$11)=0,"",'Dvd Calendar'!$AJ$2990*1000000000+ISNUMBER('Dvd Calendar'!$AJ$2991)*100000000+('Dvd Calendar'!$AJ$2995='Field Check'!$C$25)*10000000+(N('Dvd Calendar'!$AJ$2989)&gt;0)*1000000+59*1000+32))</f>
        <v/>
      </c>
      <c r="AI215" s="41">
        <f>IF(N('Dvd Calendar'!$AK$2990)=0,"",IF(('Dvd Calendar'!$AK$2990&gt;=MIN(DATE(Summary!$C$12,1,1),Summary!$C$11))*('Dvd Calendar'!$AK$2990&lt;=MAX(DATE(Summary!$C$12,12,31),Summary!$C$15))*('Dvd Calendar'!$AK$2990&lt;=Summary!$C$11)=0,"",'Dvd Calendar'!$AK$2990*1000000000+ISNUMBER('Dvd Calendar'!$AK$2991)*100000000+('Dvd Calendar'!$AK$2995='Field Check'!$C$25)*10000000+(N('Dvd Calendar'!$AK$2989)&gt;0)*1000000+59*1000+33))</f>
        <v/>
      </c>
      <c r="AJ215" s="41">
        <f>IF(N('Dvd Calendar'!$AL$2990)=0,"",IF(('Dvd Calendar'!$AL$2990&gt;=MIN(DATE(Summary!$C$12,1,1),Summary!$C$11))*('Dvd Calendar'!$AL$2990&lt;=MAX(DATE(Summary!$C$12,12,31),Summary!$C$15))*('Dvd Calendar'!$AL$2990&lt;=Summary!$C$11)=0,"",'Dvd Calendar'!$AL$2990*1000000000+ISNUMBER('Dvd Calendar'!$AL$2991)*100000000+('Dvd Calendar'!$AL$2995='Field Check'!$C$25)*10000000+(N('Dvd Calendar'!$AL$2989)&gt;0)*1000000+59*1000+34))</f>
        <v/>
      </c>
      <c r="AK215" s="41">
        <f>IF(N('Dvd Calendar'!$AM$2990)=0,"",IF(('Dvd Calendar'!$AM$2990&gt;=MIN(DATE(Summary!$C$12,1,1),Summary!$C$11))*('Dvd Calendar'!$AM$2990&lt;=MAX(DATE(Summary!$C$12,12,31),Summary!$C$15))*('Dvd Calendar'!$AM$2990&lt;=Summary!$C$11)=0,"",'Dvd Calendar'!$AM$2990*1000000000+ISNUMBER('Dvd Calendar'!$AM$2991)*100000000+('Dvd Calendar'!$AM$2995='Field Check'!$C$25)*10000000+(N('Dvd Calendar'!$AM$2989)&gt;0)*1000000+59*1000+35))</f>
        <v/>
      </c>
      <c r="AL215" s="41">
        <f>IF(N('Dvd Calendar'!$AN$2990)=0,"",IF(('Dvd Calendar'!$AN$2990&gt;=MIN(DATE(Summary!$C$12,1,1),Summary!$C$11))*('Dvd Calendar'!$AN$2990&lt;=MAX(DATE(Summary!$C$12,12,31),Summary!$C$15))*('Dvd Calendar'!$AN$2990&lt;=Summary!$C$11)=0,"",'Dvd Calendar'!$AN$2990*1000000000+ISNUMBER('Dvd Calendar'!$AN$2991)*100000000+('Dvd Calendar'!$AN$2995='Field Check'!$C$25)*10000000+(N('Dvd Calendar'!$AN$2989)&gt;0)*1000000+59*1000+36))</f>
        <v/>
      </c>
      <c r="AM215" s="41">
        <f>IF(N('Dvd Calendar'!$AO$2990)=0,"",IF(('Dvd Calendar'!$AO$2990&gt;=MIN(DATE(Summary!$C$12,1,1),Summary!$C$11))*('Dvd Calendar'!$AO$2990&lt;=MAX(DATE(Summary!$C$12,12,31),Summary!$C$15))*('Dvd Calendar'!$AO$2990&lt;=Summary!$C$11)=0,"",'Dvd Calendar'!$AO$2990*1000000000+ISNUMBER('Dvd Calendar'!$AO$2991)*100000000+('Dvd Calendar'!$AO$2995='Field Check'!$C$25)*10000000+(N('Dvd Calendar'!$AO$2989)&gt;0)*1000000+59*1000+37))</f>
        <v/>
      </c>
      <c r="AN215" s="41">
        <f>IF(N('Dvd Calendar'!$AP$2990)=0,"",IF(('Dvd Calendar'!$AP$2990&gt;=MIN(DATE(Summary!$C$12,1,1),Summary!$C$11))*('Dvd Calendar'!$AP$2990&lt;=MAX(DATE(Summary!$C$12,12,31),Summary!$C$15))*('Dvd Calendar'!$AP$2990&lt;=Summary!$C$11)=0,"",'Dvd Calendar'!$AP$2990*1000000000+ISNUMBER('Dvd Calendar'!$AP$2991)*100000000+('Dvd Calendar'!$AP$2995='Field Check'!$C$25)*10000000+(N('Dvd Calendar'!$AP$2989)&gt;0)*1000000+59*1000+38))</f>
        <v/>
      </c>
      <c r="AO215" s="41">
        <f>IF(N('Dvd Calendar'!$AQ$2990)=0,"",IF(('Dvd Calendar'!$AQ$2990&gt;=MIN(DATE(Summary!$C$12,1,1),Summary!$C$11))*('Dvd Calendar'!$AQ$2990&lt;=MAX(DATE(Summary!$C$12,12,31),Summary!$C$15))*('Dvd Calendar'!$AQ$2990&lt;=Summary!$C$11)=0,"",'Dvd Calendar'!$AQ$2990*1000000000+ISNUMBER('Dvd Calendar'!$AQ$2991)*100000000+('Dvd Calendar'!$AQ$2995='Field Check'!$C$25)*10000000+(N('Dvd Calendar'!$AQ$2989)&gt;0)*1000000+59*1000+39))</f>
        <v/>
      </c>
      <c r="AP215" s="41">
        <f>IF(N('Dvd Calendar'!$AR$2990)=0,"",IF(('Dvd Calendar'!$AR$2990&gt;=MIN(DATE(Summary!$C$12,1,1),Summary!$C$11))*('Dvd Calendar'!$AR$2990&lt;=MAX(DATE(Summary!$C$12,12,31),Summary!$C$15))*('Dvd Calendar'!$AR$2990&lt;=Summary!$C$11)=0,"",'Dvd Calendar'!$AR$2990*1000000000+ISNUMBER('Dvd Calendar'!$AR$2991)*100000000+('Dvd Calendar'!$AR$2995='Field Check'!$C$25)*10000000+(N('Dvd Calendar'!$AR$2989)&gt;0)*1000000+59*1000+40))</f>
        <v/>
      </c>
      <c r="AQ215" s="41">
        <f>IF(N('Dvd Calendar'!$E$2997)=0,"",IF(('Dvd Calendar'!$E$2997&gt;=MIN(DATE(Summary!$C$12,1,1),Summary!$C$11))*('Dvd Calendar'!$E$2997&lt;=MAX(DATE(Summary!$C$12,12,31),Summary!$C$15))*('Dvd Calendar'!$E$2997&gt;Summary!$C$11)=0,"",'Dvd Calendar'!$E$2997*1000000000+ISNUMBER('Dvd Calendar'!$E$2998)*100000000+('Dvd Calendar'!$E$3002='Field Check'!$C$25)*10000000+(N('Dvd Calendar'!$E$2996)&gt;0)*1000000+59*1000+41))</f>
        <v/>
      </c>
      <c r="AR215" s="41">
        <f>IF(N('Dvd Calendar'!$F$2997)=0,"",IF(('Dvd Calendar'!$F$2997&gt;=MIN(DATE(Summary!$C$12,1,1),Summary!$C$11))*('Dvd Calendar'!$F$2997&lt;=MAX(DATE(Summary!$C$12,12,31),Summary!$C$15))*('Dvd Calendar'!$F$2997&gt;Summary!$C$11)=0,"",'Dvd Calendar'!$F$2997*1000000000+ISNUMBER('Dvd Calendar'!$F$2998)*100000000+('Dvd Calendar'!$F$3002='Field Check'!$C$25)*10000000+(N('Dvd Calendar'!$F$2996)&gt;0)*1000000+59*1000+42))</f>
        <v/>
      </c>
      <c r="AS215" s="41">
        <f>IF(N('Dvd Calendar'!$G$2997)=0,"",IF(('Dvd Calendar'!$G$2997&gt;=MIN(DATE(Summary!$C$12,1,1),Summary!$C$11))*('Dvd Calendar'!$G$2997&lt;=MAX(DATE(Summary!$C$12,12,31),Summary!$C$15))*('Dvd Calendar'!$G$2997&gt;Summary!$C$11)=0,"",'Dvd Calendar'!$G$2997*1000000000+ISNUMBER('Dvd Calendar'!$G$2998)*100000000+('Dvd Calendar'!$G$3002='Field Check'!$C$25)*10000000+(N('Dvd Calendar'!$G$2996)&gt;0)*1000000+59*1000+43))</f>
        <v/>
      </c>
      <c r="AT215" s="41">
        <f>IF(N('Dvd Calendar'!$H$2997)=0,"",IF(('Dvd Calendar'!$H$2997&gt;=MIN(DATE(Summary!$C$12,1,1),Summary!$C$11))*('Dvd Calendar'!$H$2997&lt;=MAX(DATE(Summary!$C$12,12,31),Summary!$C$15))*('Dvd Calendar'!$H$2997&gt;Summary!$C$11)=0,"",'Dvd Calendar'!$H$2997*1000000000+ISNUMBER('Dvd Calendar'!$H$2998)*100000000+('Dvd Calendar'!$H$3002='Field Check'!$C$25)*10000000+(N('Dvd Calendar'!$H$2996)&gt;0)*1000000+59*1000+44))</f>
        <v/>
      </c>
      <c r="AU215" s="41">
        <f>IF(N('Dvd Calendar'!$I$2997)=0,"",IF(('Dvd Calendar'!$I$2997&gt;=MIN(DATE(Summary!$C$12,1,1),Summary!$C$11))*('Dvd Calendar'!$I$2997&lt;=MAX(DATE(Summary!$C$12,12,31),Summary!$C$15))*('Dvd Calendar'!$I$2997&gt;Summary!$C$11)=0,"",'Dvd Calendar'!$I$2997*1000000000+ISNUMBER('Dvd Calendar'!$I$2998)*100000000+('Dvd Calendar'!$I$3002='Field Check'!$C$25)*10000000+(N('Dvd Calendar'!$I$2996)&gt;0)*1000000+59*1000+45))</f>
        <v/>
      </c>
      <c r="AV215" s="41">
        <f>IF(N('Dvd Calendar'!$J$2997)=0,"",IF(('Dvd Calendar'!$J$2997&gt;=MIN(DATE(Summary!$C$12,1,1),Summary!$C$11))*('Dvd Calendar'!$J$2997&lt;=MAX(DATE(Summary!$C$12,12,31),Summary!$C$15))*('Dvd Calendar'!$J$2997&gt;Summary!$C$11)=0,"",'Dvd Calendar'!$J$2997*1000000000+ISNUMBER('Dvd Calendar'!$J$2998)*100000000+('Dvd Calendar'!$J$3002='Field Check'!$C$25)*10000000+(N('Dvd Calendar'!$J$2996)&gt;0)*1000000+59*1000+46))</f>
        <v/>
      </c>
      <c r="AW215" s="41">
        <f>IF(N('Dvd Calendar'!$K$2997)=0,"",IF(('Dvd Calendar'!$K$2997&gt;=MIN(DATE(Summary!$C$12,1,1),Summary!$C$11))*('Dvd Calendar'!$K$2997&lt;=MAX(DATE(Summary!$C$12,12,31),Summary!$C$15))*('Dvd Calendar'!$K$2997&gt;Summary!$C$11)=0,"",'Dvd Calendar'!$K$2997*1000000000+ISNUMBER('Dvd Calendar'!$K$2998)*100000000+('Dvd Calendar'!$K$3002='Field Check'!$C$25)*10000000+(N('Dvd Calendar'!$K$2996)&gt;0)*1000000+59*1000+47))</f>
        <v/>
      </c>
      <c r="AX215" s="41">
        <f>IF(N('Dvd Calendar'!$L$2997)=0,"",IF(('Dvd Calendar'!$L$2997&gt;=MIN(DATE(Summary!$C$12,1,1),Summary!$C$11))*('Dvd Calendar'!$L$2997&lt;=MAX(DATE(Summary!$C$12,12,31),Summary!$C$15))*('Dvd Calendar'!$L$2997&gt;Summary!$C$11)=0,"",'Dvd Calendar'!$L$2997*1000000000+ISNUMBER('Dvd Calendar'!$L$2998)*100000000+('Dvd Calendar'!$L$3002='Field Check'!$C$25)*10000000+(N('Dvd Calendar'!$L$2996)&gt;0)*1000000+59*1000+48))</f>
        <v/>
      </c>
      <c r="AY215" s="41">
        <f>IF(N('Dvd Calendar'!$M$2997)=0,"",IF(('Dvd Calendar'!$M$2997&gt;=MIN(DATE(Summary!$C$12,1,1),Summary!$C$11))*('Dvd Calendar'!$M$2997&lt;=MAX(DATE(Summary!$C$12,12,31),Summary!$C$15))*('Dvd Calendar'!$M$2997&gt;Summary!$C$11)=0,"",'Dvd Calendar'!$M$2997*1000000000+ISNUMBER('Dvd Calendar'!$M$2998)*100000000+('Dvd Calendar'!$M$3002='Field Check'!$C$25)*10000000+(N('Dvd Calendar'!$M$2996)&gt;0)*1000000+59*1000+49))</f>
        <v/>
      </c>
      <c r="AZ215" s="41">
        <f>IF(N('Dvd Calendar'!$N$2997)=0,"",IF(('Dvd Calendar'!$N$2997&gt;=MIN(DATE(Summary!$C$12,1,1),Summary!$C$11))*('Dvd Calendar'!$N$2997&lt;=MAX(DATE(Summary!$C$12,12,31),Summary!$C$15))*('Dvd Calendar'!$N$2997&gt;Summary!$C$11)=0,"",'Dvd Calendar'!$N$2997*1000000000+ISNUMBER('Dvd Calendar'!$N$2998)*100000000+('Dvd Calendar'!$N$3002='Field Check'!$C$25)*10000000+(N('Dvd Calendar'!$N$2996)&gt;0)*1000000+59*1000+50))</f>
        <v/>
      </c>
      <c r="BA215" s="41">
        <f>IF(N('Dvd Calendar'!$O$2997)=0,"",IF(('Dvd Calendar'!$O$2997&gt;=MIN(DATE(Summary!$C$12,1,1),Summary!$C$11))*('Dvd Calendar'!$O$2997&lt;=MAX(DATE(Summary!$C$12,12,31),Summary!$C$15))*('Dvd Calendar'!$O$2997&gt;Summary!$C$11)=0,"",'Dvd Calendar'!$O$2997*1000000000+ISNUMBER('Dvd Calendar'!$O$2998)*100000000+('Dvd Calendar'!$O$3002='Field Check'!$C$25)*10000000+(N('Dvd Calendar'!$O$2996)&gt;0)*1000000+59*1000+51))</f>
        <v/>
      </c>
      <c r="BB215" s="41">
        <f>IF(N('Dvd Calendar'!$P$2997)=0,"",IF(('Dvd Calendar'!$P$2997&gt;=MIN(DATE(Summary!$C$12,1,1),Summary!$C$11))*('Dvd Calendar'!$P$2997&lt;=MAX(DATE(Summary!$C$12,12,31),Summary!$C$15))*('Dvd Calendar'!$P$2997&gt;Summary!$C$11)=0,"",'Dvd Calendar'!$P$2997*1000000000+ISNUMBER('Dvd Calendar'!$P$2998)*100000000+('Dvd Calendar'!$P$3002='Field Check'!$C$25)*10000000+(N('Dvd Calendar'!$P$2996)&gt;0)*1000000+59*1000+52))</f>
        <v/>
      </c>
      <c r="BC215" s="41">
        <f>IF(N('Dvd Calendar'!$Q$2997)=0,"",IF(('Dvd Calendar'!$Q$2997&gt;=MIN(DATE(Summary!$C$12,1,1),Summary!$C$11))*('Dvd Calendar'!$Q$2997&lt;=MAX(DATE(Summary!$C$12,12,31),Summary!$C$15))*('Dvd Calendar'!$Q$2997&gt;Summary!$C$11)=0,"",'Dvd Calendar'!$Q$2997*1000000000+ISNUMBER('Dvd Calendar'!$Q$2998)*100000000+('Dvd Calendar'!$Q$3002='Field Check'!$C$25)*10000000+(N('Dvd Calendar'!$Q$2996)&gt;0)*1000000+59*1000+53))</f>
        <v/>
      </c>
      <c r="BD215" s="41">
        <f>IF(N('Dvd Calendar'!$R$2997)=0,"",IF(('Dvd Calendar'!$R$2997&gt;=MIN(DATE(Summary!$C$12,1,1),Summary!$C$11))*('Dvd Calendar'!$R$2997&lt;=MAX(DATE(Summary!$C$12,12,31),Summary!$C$15))*('Dvd Calendar'!$R$2997&gt;Summary!$C$11)=0,"",'Dvd Calendar'!$R$2997*1000000000+ISNUMBER('Dvd Calendar'!$R$2998)*100000000+('Dvd Calendar'!$R$3002='Field Check'!$C$25)*10000000+(N('Dvd Calendar'!$R$2996)&gt;0)*1000000+59*1000+54))</f>
        <v/>
      </c>
      <c r="BE215" s="41">
        <f>IF(N('Dvd Calendar'!$S$2997)=0,"",IF(('Dvd Calendar'!$S$2997&gt;=MIN(DATE(Summary!$C$12,1,1),Summary!$C$11))*('Dvd Calendar'!$S$2997&lt;=MAX(DATE(Summary!$C$12,12,31),Summary!$C$15))*('Dvd Calendar'!$S$2997&gt;Summary!$C$11)=0,"",'Dvd Calendar'!$S$2997*1000000000+ISNUMBER('Dvd Calendar'!$S$2998)*100000000+('Dvd Calendar'!$S$3002='Field Check'!$C$25)*10000000+(N('Dvd Calendar'!$S$2996)&gt;0)*1000000+59*1000+55))</f>
        <v/>
      </c>
      <c r="BF215" s="41">
        <f>IF(N('Dvd Calendar'!$T$2997)=0,"",IF(('Dvd Calendar'!$T$2997&gt;=MIN(DATE(Summary!$C$12,1,1),Summary!$C$11))*('Dvd Calendar'!$T$2997&lt;=MAX(DATE(Summary!$C$12,12,31),Summary!$C$15))*('Dvd Calendar'!$T$2997&gt;Summary!$C$11)=0,"",'Dvd Calendar'!$T$2997*1000000000+ISNUMBER('Dvd Calendar'!$T$2998)*100000000+('Dvd Calendar'!$T$3002='Field Check'!$C$25)*10000000+(N('Dvd Calendar'!$T$2996)&gt;0)*1000000+59*1000+56))</f>
        <v/>
      </c>
      <c r="BG215" s="41">
        <f>IF(N('Dvd Calendar'!$U$2997)=0,"",IF(('Dvd Calendar'!$U$2997&gt;=MIN(DATE(Summary!$C$12,1,1),Summary!$C$11))*('Dvd Calendar'!$U$2997&lt;=MAX(DATE(Summary!$C$12,12,31),Summary!$C$15))*('Dvd Calendar'!$U$2997&gt;Summary!$C$11)=0,"",'Dvd Calendar'!$U$2997*1000000000+ISNUMBER('Dvd Calendar'!$U$2998)*100000000+('Dvd Calendar'!$U$3002='Field Check'!$C$25)*10000000+(N('Dvd Calendar'!$U$2996)&gt;0)*1000000+59*1000+57))</f>
        <v/>
      </c>
      <c r="BH215" s="41">
        <f>IF(N('Dvd Calendar'!$V$2997)=0,"",IF(('Dvd Calendar'!$V$2997&gt;=MIN(DATE(Summary!$C$12,1,1),Summary!$C$11))*('Dvd Calendar'!$V$2997&lt;=MAX(DATE(Summary!$C$12,12,31),Summary!$C$15))*('Dvd Calendar'!$V$2997&gt;Summary!$C$11)=0,"",'Dvd Calendar'!$V$2997*1000000000+ISNUMBER('Dvd Calendar'!$V$2998)*100000000+('Dvd Calendar'!$V$3002='Field Check'!$C$25)*10000000+(N('Dvd Calendar'!$V$2996)&gt;0)*1000000+59*1000+58))</f>
        <v/>
      </c>
      <c r="BI215" s="41">
        <f>IF(N('Dvd Calendar'!$W$2997)=0,"",IF(('Dvd Calendar'!$W$2997&gt;=MIN(DATE(Summary!$C$12,1,1),Summary!$C$11))*('Dvd Calendar'!$W$2997&lt;=MAX(DATE(Summary!$C$12,12,31),Summary!$C$15))*('Dvd Calendar'!$W$2997&gt;Summary!$C$11)=0,"",'Dvd Calendar'!$W$2997*1000000000+ISNUMBER('Dvd Calendar'!$W$2998)*100000000+('Dvd Calendar'!$W$3002='Field Check'!$C$25)*10000000+(N('Dvd Calendar'!$W$2996)&gt;0)*1000000+59*1000+59))</f>
        <v/>
      </c>
      <c r="BJ215" s="41">
        <f>IF(N('Dvd Calendar'!$X$2997)=0,"",IF(('Dvd Calendar'!$X$2997&gt;=MIN(DATE(Summary!$C$12,1,1),Summary!$C$11))*('Dvd Calendar'!$X$2997&lt;=MAX(DATE(Summary!$C$12,12,31),Summary!$C$15))*('Dvd Calendar'!$X$2997&gt;Summary!$C$11)=0,"",'Dvd Calendar'!$X$2997*1000000000+ISNUMBER('Dvd Calendar'!$X$2998)*100000000+('Dvd Calendar'!$X$3002='Field Check'!$C$25)*10000000+(N('Dvd Calendar'!$X$2996)&gt;0)*1000000+59*1000+60))</f>
        <v/>
      </c>
      <c r="BK215" s="41">
        <f>IF(N('Dvd Calendar'!$Y$2997)=0,"",IF(('Dvd Calendar'!$Y$2997&gt;=MIN(DATE(Summary!$C$12,1,1),Summary!$C$11))*('Dvd Calendar'!$Y$2997&lt;=MAX(DATE(Summary!$C$12,12,31),Summary!$C$15))*('Dvd Calendar'!$Y$2997&gt;Summary!$C$11)=0,"",'Dvd Calendar'!$Y$2997*1000000000+ISNUMBER('Dvd Calendar'!$Y$2998)*100000000+('Dvd Calendar'!$Y$3002='Field Check'!$C$25)*10000000+(N('Dvd Calendar'!$Y$2996)&gt;0)*1000000+59*1000+61))</f>
        <v/>
      </c>
      <c r="BL215" s="41">
        <f>IF(N('Dvd Calendar'!$Z$2997)=0,"",IF(('Dvd Calendar'!$Z$2997&gt;=MIN(DATE(Summary!$C$12,1,1),Summary!$C$11))*('Dvd Calendar'!$Z$2997&lt;=MAX(DATE(Summary!$C$12,12,31),Summary!$C$15))*('Dvd Calendar'!$Z$2997&gt;Summary!$C$11)=0,"",'Dvd Calendar'!$Z$2997*1000000000+ISNUMBER('Dvd Calendar'!$Z$2998)*100000000+('Dvd Calendar'!$Z$3002='Field Check'!$C$25)*10000000+(N('Dvd Calendar'!$Z$2996)&gt;0)*1000000+59*1000+62))</f>
        <v/>
      </c>
      <c r="BM215" s="41">
        <f>IF(N('Dvd Calendar'!$AA$2997)=0,"",IF(('Dvd Calendar'!$AA$2997&gt;=MIN(DATE(Summary!$C$12,1,1),Summary!$C$11))*('Dvd Calendar'!$AA$2997&lt;=MAX(DATE(Summary!$C$12,12,31),Summary!$C$15))*('Dvd Calendar'!$AA$2997&gt;Summary!$C$11)=0,"",'Dvd Calendar'!$AA$2997*1000000000+ISNUMBER('Dvd Calendar'!$AA$2998)*100000000+('Dvd Calendar'!$AA$3002='Field Check'!$C$25)*10000000+(N('Dvd Calendar'!$AA$2996)&gt;0)*1000000+59*1000+63))</f>
        <v/>
      </c>
      <c r="BN215" s="41">
        <f>IF(N('Dvd Calendar'!$AB$2997)=0,"",IF(('Dvd Calendar'!$AB$2997&gt;=MIN(DATE(Summary!$C$12,1,1),Summary!$C$11))*('Dvd Calendar'!$AB$2997&lt;=MAX(DATE(Summary!$C$12,12,31),Summary!$C$15))*('Dvd Calendar'!$AB$2997&gt;Summary!$C$11)=0,"",'Dvd Calendar'!$AB$2997*1000000000+ISNUMBER('Dvd Calendar'!$AB$2998)*100000000+('Dvd Calendar'!$AB$3002='Field Check'!$C$25)*10000000+(N('Dvd Calendar'!$AB$2996)&gt;0)*1000000+59*1000+64))</f>
        <v/>
      </c>
      <c r="BO215" s="41">
        <f>IF(N('Dvd Calendar'!$AC$2997)=0,"",IF(('Dvd Calendar'!$AC$2997&gt;=MIN(DATE(Summary!$C$12,1,1),Summary!$C$11))*('Dvd Calendar'!$AC$2997&lt;=MAX(DATE(Summary!$C$12,12,31),Summary!$C$15))*('Dvd Calendar'!$AC$2997&gt;Summary!$C$11)=0,"",'Dvd Calendar'!$AC$2997*1000000000+ISNUMBER('Dvd Calendar'!$AC$2998)*100000000+('Dvd Calendar'!$AC$3002='Field Check'!$C$25)*10000000+(N('Dvd Calendar'!$AC$2996)&gt;0)*1000000+59*1000+65))</f>
        <v/>
      </c>
      <c r="BQ215" s="85">
        <f>IF(C215="","",IF(ISNUMBER('Dvd Calendar'!$E$2991)=FALSE,"",IF((Summary!$C$13="N")*('Dvd Calendar'!$E$2995='Field Check'!$C$25)&gt;0,"",'Dvd Calendar'!$E$2991)))</f>
        <v/>
      </c>
      <c r="BR215" s="85">
        <f>IF(D215="","",IF(ISNUMBER('Dvd Calendar'!$F$2991)=FALSE,"",IF((Summary!$C$13="N")*('Dvd Calendar'!$F$2995='Field Check'!$C$25)&gt;0,"",'Dvd Calendar'!$F$2991)))</f>
        <v/>
      </c>
      <c r="BS215" s="85">
        <f>IF(E215="","",IF(ISNUMBER('Dvd Calendar'!$G$2991)=FALSE,"",IF((Summary!$C$13="N")*('Dvd Calendar'!$G$2995='Field Check'!$C$25)&gt;0,"",'Dvd Calendar'!$G$2991)))</f>
        <v/>
      </c>
      <c r="BT215" s="85">
        <f>IF(F215="","",IF(ISNUMBER('Dvd Calendar'!$H$2991)=FALSE,"",IF((Summary!$C$13="N")*('Dvd Calendar'!$H$2995='Field Check'!$C$25)&gt;0,"",'Dvd Calendar'!$H$2991)))</f>
        <v/>
      </c>
      <c r="BU215" s="85">
        <f>IF(G215="","",IF(ISNUMBER('Dvd Calendar'!$I$2991)=FALSE,"",IF((Summary!$C$13="N")*('Dvd Calendar'!$I$2995='Field Check'!$C$25)&gt;0,"",'Dvd Calendar'!$I$2991)))</f>
        <v/>
      </c>
      <c r="BV215" s="85">
        <f>IF(H215="","",IF(ISNUMBER('Dvd Calendar'!$J$2991)=FALSE,"",IF((Summary!$C$13="N")*('Dvd Calendar'!$J$2995='Field Check'!$C$25)&gt;0,"",'Dvd Calendar'!$J$2991)))</f>
        <v/>
      </c>
      <c r="BW215" s="85">
        <f>IF(I215="","",IF(ISNUMBER('Dvd Calendar'!$K$2991)=FALSE,"",IF((Summary!$C$13="N")*('Dvd Calendar'!$K$2995='Field Check'!$C$25)&gt;0,"",'Dvd Calendar'!$K$2991)))</f>
        <v/>
      </c>
      <c r="BX215" s="85">
        <f>IF(J215="","",IF(ISNUMBER('Dvd Calendar'!$L$2991)=FALSE,"",IF((Summary!$C$13="N")*('Dvd Calendar'!$L$2995='Field Check'!$C$25)&gt;0,"",'Dvd Calendar'!$L$2991)))</f>
        <v/>
      </c>
      <c r="BY215" s="85">
        <f>IF(K215="","",IF(ISNUMBER('Dvd Calendar'!$M$2991)=FALSE,"",IF((Summary!$C$13="N")*('Dvd Calendar'!$M$2995='Field Check'!$C$25)&gt;0,"",'Dvd Calendar'!$M$2991)))</f>
        <v/>
      </c>
      <c r="BZ215" s="85">
        <f>IF(L215="","",IF(ISNUMBER('Dvd Calendar'!$N$2991)=FALSE,"",IF((Summary!$C$13="N")*('Dvd Calendar'!$N$2995='Field Check'!$C$25)&gt;0,"",'Dvd Calendar'!$N$2991)))</f>
        <v/>
      </c>
      <c r="CA215" s="85">
        <f>IF(M215="","",IF(ISNUMBER('Dvd Calendar'!$O$2991)=FALSE,"",IF((Summary!$C$13="N")*('Dvd Calendar'!$O$2995='Field Check'!$C$25)&gt;0,"",'Dvd Calendar'!$O$2991)))</f>
        <v/>
      </c>
      <c r="CB215" s="85">
        <f>IF(N215="","",IF(ISNUMBER('Dvd Calendar'!$P$2991)=FALSE,"",IF((Summary!$C$13="N")*('Dvd Calendar'!$P$2995='Field Check'!$C$25)&gt;0,"",'Dvd Calendar'!$P$2991)))</f>
        <v/>
      </c>
      <c r="CC215" s="85">
        <f>IF(O215="","",IF(ISNUMBER('Dvd Calendar'!$Q$2991)=FALSE,"",IF((Summary!$C$13="N")*('Dvd Calendar'!$Q$2995='Field Check'!$C$25)&gt;0,"",'Dvd Calendar'!$Q$2991)))</f>
        <v/>
      </c>
      <c r="CD215" s="85">
        <f>IF(P215="","",IF(ISNUMBER('Dvd Calendar'!$R$2991)=FALSE,"",IF((Summary!$C$13="N")*('Dvd Calendar'!$R$2995='Field Check'!$C$25)&gt;0,"",'Dvd Calendar'!$R$2991)))</f>
        <v/>
      </c>
      <c r="CE215" s="85">
        <f>IF(Q215="","",IF(ISNUMBER('Dvd Calendar'!$S$2991)=FALSE,"",IF((Summary!$C$13="N")*('Dvd Calendar'!$S$2995='Field Check'!$C$25)&gt;0,"",'Dvd Calendar'!$S$2991)))</f>
        <v/>
      </c>
      <c r="CF215" s="85">
        <f>IF(R215="","",IF(ISNUMBER('Dvd Calendar'!$T$2991)=FALSE,"",IF((Summary!$C$13="N")*('Dvd Calendar'!$T$2995='Field Check'!$C$25)&gt;0,"",'Dvd Calendar'!$T$2991)))</f>
        <v/>
      </c>
      <c r="CG215" s="85">
        <f>IF(S215="","",IF(ISNUMBER('Dvd Calendar'!$U$2991)=FALSE,"",IF((Summary!$C$13="N")*('Dvd Calendar'!$U$2995='Field Check'!$C$25)&gt;0,"",'Dvd Calendar'!$U$2991)))</f>
        <v/>
      </c>
      <c r="CH215" s="85">
        <f>IF(T215="","",IF(ISNUMBER('Dvd Calendar'!$V$2991)=FALSE,"",IF((Summary!$C$13="N")*('Dvd Calendar'!$V$2995='Field Check'!$C$25)&gt;0,"",'Dvd Calendar'!$V$2991)))</f>
        <v/>
      </c>
      <c r="CI215" s="85">
        <f>IF(U215="","",IF(ISNUMBER('Dvd Calendar'!$W$2991)=FALSE,"",IF((Summary!$C$13="N")*('Dvd Calendar'!$W$2995='Field Check'!$C$25)&gt;0,"",'Dvd Calendar'!$W$2991)))</f>
        <v/>
      </c>
      <c r="CJ215" s="85">
        <f>IF(V215="","",IF(ISNUMBER('Dvd Calendar'!$X$2991)=FALSE,"",IF((Summary!$C$13="N")*('Dvd Calendar'!$X$2995='Field Check'!$C$25)&gt;0,"",'Dvd Calendar'!$X$2991)))</f>
        <v/>
      </c>
      <c r="CK215" s="85">
        <f>IF(W215="","",IF(ISNUMBER('Dvd Calendar'!$Y$2991)=FALSE,"",IF((Summary!$C$13="N")*('Dvd Calendar'!$Y$2995='Field Check'!$C$25)&gt;0,"",'Dvd Calendar'!$Y$2991)))</f>
        <v/>
      </c>
      <c r="CL215" s="85">
        <f>IF(X215="","",IF(ISNUMBER('Dvd Calendar'!$Z$2991)=FALSE,"",IF((Summary!$C$13="N")*('Dvd Calendar'!$Z$2995='Field Check'!$C$25)&gt;0,"",'Dvd Calendar'!$Z$2991)))</f>
        <v/>
      </c>
      <c r="CM215" s="85">
        <f>IF(Y215="","",IF(ISNUMBER('Dvd Calendar'!$AA$2991)=FALSE,"",IF((Summary!$C$13="N")*('Dvd Calendar'!$AA$2995='Field Check'!$C$25)&gt;0,"",'Dvd Calendar'!$AA$2991)))</f>
        <v/>
      </c>
      <c r="CN215" s="85">
        <f>IF(Z215="","",IF(ISNUMBER('Dvd Calendar'!$AB$2991)=FALSE,"",IF((Summary!$C$13="N")*('Dvd Calendar'!$AB$2995='Field Check'!$C$25)&gt;0,"",'Dvd Calendar'!$AB$2991)))</f>
        <v/>
      </c>
      <c r="CO215" s="85">
        <f>IF(AA215="","",IF(ISNUMBER('Dvd Calendar'!$AC$2991)=FALSE,"",IF((Summary!$C$13="N")*('Dvd Calendar'!$AC$2995='Field Check'!$C$25)&gt;0,"",'Dvd Calendar'!$AC$2991)))</f>
        <v/>
      </c>
      <c r="CP215" s="85">
        <f>IF(AB215="","",IF(ISNUMBER('Dvd Calendar'!$AD$2991)=FALSE,"",IF((Summary!$C$13="N")*('Dvd Calendar'!$AD$2995='Field Check'!$C$25)&gt;0,"",'Dvd Calendar'!$AD$2991)))</f>
        <v/>
      </c>
      <c r="CQ215" s="85">
        <f>IF(AC215="","",IF(ISNUMBER('Dvd Calendar'!$AE$2991)=FALSE,"",IF((Summary!$C$13="N")*('Dvd Calendar'!$AE$2995='Field Check'!$C$25)&gt;0,"",'Dvd Calendar'!$AE$2991)))</f>
        <v/>
      </c>
      <c r="CR215" s="85">
        <f>IF(AD215="","",IF(ISNUMBER('Dvd Calendar'!$AF$2991)=FALSE,"",IF((Summary!$C$13="N")*('Dvd Calendar'!$AF$2995='Field Check'!$C$25)&gt;0,"",'Dvd Calendar'!$AF$2991)))</f>
        <v/>
      </c>
      <c r="CS215" s="85">
        <f>IF(AE215="","",IF(ISNUMBER('Dvd Calendar'!$AG$2991)=FALSE,"",IF((Summary!$C$13="N")*('Dvd Calendar'!$AG$2995='Field Check'!$C$25)&gt;0,"",'Dvd Calendar'!$AG$2991)))</f>
        <v/>
      </c>
      <c r="CT215" s="85">
        <f>IF(AF215="","",IF(ISNUMBER('Dvd Calendar'!$AH$2991)=FALSE,"",IF((Summary!$C$13="N")*('Dvd Calendar'!$AH$2995='Field Check'!$C$25)&gt;0,"",'Dvd Calendar'!$AH$2991)))</f>
        <v/>
      </c>
      <c r="CU215" s="85">
        <f>IF(AG215="","",IF(ISNUMBER('Dvd Calendar'!$AI$2991)=FALSE,"",IF((Summary!$C$13="N")*('Dvd Calendar'!$AI$2995='Field Check'!$C$25)&gt;0,"",'Dvd Calendar'!$AI$2991)))</f>
        <v/>
      </c>
      <c r="CV215" s="85">
        <f>IF(AH215="","",IF(ISNUMBER('Dvd Calendar'!$AJ$2991)=FALSE,"",IF((Summary!$C$13="N")*('Dvd Calendar'!$AJ$2995='Field Check'!$C$25)&gt;0,"",'Dvd Calendar'!$AJ$2991)))</f>
        <v/>
      </c>
      <c r="CW215" s="85">
        <f>IF(AI215="","",IF(ISNUMBER('Dvd Calendar'!$AK$2991)=FALSE,"",IF((Summary!$C$13="N")*('Dvd Calendar'!$AK$2995='Field Check'!$C$25)&gt;0,"",'Dvd Calendar'!$AK$2991)))</f>
        <v/>
      </c>
      <c r="CX215" s="85">
        <f>IF(AJ215="","",IF(ISNUMBER('Dvd Calendar'!$AL$2991)=FALSE,"",IF((Summary!$C$13="N")*('Dvd Calendar'!$AL$2995='Field Check'!$C$25)&gt;0,"",'Dvd Calendar'!$AL$2991)))</f>
        <v/>
      </c>
      <c r="CY215" s="85">
        <f>IF(AK215="","",IF(ISNUMBER('Dvd Calendar'!$AM$2991)=FALSE,"",IF((Summary!$C$13="N")*('Dvd Calendar'!$AM$2995='Field Check'!$C$25)&gt;0,"",'Dvd Calendar'!$AM$2991)))</f>
        <v/>
      </c>
      <c r="CZ215" s="85">
        <f>IF(AL215="","",IF(ISNUMBER('Dvd Calendar'!$AN$2991)=FALSE,"",IF((Summary!$C$13="N")*('Dvd Calendar'!$AN$2995='Field Check'!$C$25)&gt;0,"",'Dvd Calendar'!$AN$2991)))</f>
        <v/>
      </c>
      <c r="DA215" s="85">
        <f>IF(AM215="","",IF(ISNUMBER('Dvd Calendar'!$AO$2991)=FALSE,"",IF((Summary!$C$13="N")*('Dvd Calendar'!$AO$2995='Field Check'!$C$25)&gt;0,"",'Dvd Calendar'!$AO$2991)))</f>
        <v/>
      </c>
      <c r="DB215" s="85">
        <f>IF(AN215="","",IF(ISNUMBER('Dvd Calendar'!$AP$2991)=FALSE,"",IF((Summary!$C$13="N")*('Dvd Calendar'!$AP$2995='Field Check'!$C$25)&gt;0,"",'Dvd Calendar'!$AP$2991)))</f>
        <v/>
      </c>
      <c r="DC215" s="85">
        <f>IF(AO215="","",IF(ISNUMBER('Dvd Calendar'!$AQ$2991)=FALSE,"",IF((Summary!$C$13="N")*('Dvd Calendar'!$AQ$2995='Field Check'!$C$25)&gt;0,"",'Dvd Calendar'!$AQ$2991)))</f>
        <v/>
      </c>
      <c r="DD215" s="85">
        <f>IF(AP215="","",IF(ISNUMBER('Dvd Calendar'!$AR$2991)=FALSE,"",IF((Summary!$C$13="N")*('Dvd Calendar'!$AR$2995='Field Check'!$C$25)&gt;0,"",'Dvd Calendar'!$AR$2991)))</f>
        <v/>
      </c>
      <c r="DE215" s="85">
        <f>IF(AQ215="","",IF(ISNUMBER('Dvd Calendar'!$E$2998)=FALSE,"",IF((Summary!$C$13="N")*('Dvd Calendar'!$E$3002='Field Check'!$C$25)&gt;0,"",'Dvd Calendar'!$E$2998)))</f>
        <v/>
      </c>
      <c r="DF215" s="85">
        <f>IF(AR215="","",IF(ISNUMBER('Dvd Calendar'!$F$2998)=FALSE,"",IF((Summary!$C$13="N")*('Dvd Calendar'!$F$3002='Field Check'!$C$25)&gt;0,"",'Dvd Calendar'!$F$2998)))</f>
        <v/>
      </c>
      <c r="DG215" s="85">
        <f>IF(AS215="","",IF(ISNUMBER('Dvd Calendar'!$G$2998)=FALSE,"",IF((Summary!$C$13="N")*('Dvd Calendar'!$G$3002='Field Check'!$C$25)&gt;0,"",'Dvd Calendar'!$G$2998)))</f>
        <v/>
      </c>
      <c r="DH215" s="85">
        <f>IF(AT215="","",IF(ISNUMBER('Dvd Calendar'!$H$2998)=FALSE,"",IF((Summary!$C$13="N")*('Dvd Calendar'!$H$3002='Field Check'!$C$25)&gt;0,"",'Dvd Calendar'!$H$2998)))</f>
        <v/>
      </c>
      <c r="DI215" s="85">
        <f>IF(AU215="","",IF(ISNUMBER('Dvd Calendar'!$I$2998)=FALSE,"",IF((Summary!$C$13="N")*('Dvd Calendar'!$I$3002='Field Check'!$C$25)&gt;0,"",'Dvd Calendar'!$I$2998)))</f>
        <v/>
      </c>
      <c r="DJ215" s="85">
        <f>IF(AV215="","",IF(ISNUMBER('Dvd Calendar'!$J$2998)=FALSE,"",IF((Summary!$C$13="N")*('Dvd Calendar'!$J$3002='Field Check'!$C$25)&gt;0,"",'Dvd Calendar'!$J$2998)))</f>
        <v/>
      </c>
      <c r="DK215" s="85">
        <f>IF(AW215="","",IF(ISNUMBER('Dvd Calendar'!$K$2998)=FALSE,"",IF((Summary!$C$13="N")*('Dvd Calendar'!$K$3002='Field Check'!$C$25)&gt;0,"",'Dvd Calendar'!$K$2998)))</f>
        <v/>
      </c>
      <c r="DL215" s="85">
        <f>IF(AX215="","",IF(ISNUMBER('Dvd Calendar'!$L$2998)=FALSE,"",IF((Summary!$C$13="N")*('Dvd Calendar'!$L$3002='Field Check'!$C$25)&gt;0,"",'Dvd Calendar'!$L$2998)))</f>
        <v/>
      </c>
      <c r="DM215" s="85">
        <f>IF(AY215="","",IF(ISNUMBER('Dvd Calendar'!$M$2998)=FALSE,"",IF((Summary!$C$13="N")*('Dvd Calendar'!$M$3002='Field Check'!$C$25)&gt;0,"",'Dvd Calendar'!$M$2998)))</f>
        <v/>
      </c>
      <c r="DN215" s="85">
        <f>IF(AZ215="","",IF(ISNUMBER('Dvd Calendar'!$N$2998)=FALSE,"",IF((Summary!$C$13="N")*('Dvd Calendar'!$N$3002='Field Check'!$C$25)&gt;0,"",'Dvd Calendar'!$N$2998)))</f>
        <v/>
      </c>
      <c r="DO215" s="85">
        <f>IF(BA215="","",IF(ISNUMBER('Dvd Calendar'!$O$2998)=FALSE,"",IF((Summary!$C$13="N")*('Dvd Calendar'!$O$3002='Field Check'!$C$25)&gt;0,"",'Dvd Calendar'!$O$2998)))</f>
        <v/>
      </c>
      <c r="DP215" s="85">
        <f>IF(BB215="","",IF(ISNUMBER('Dvd Calendar'!$P$2998)=FALSE,"",IF((Summary!$C$13="N")*('Dvd Calendar'!$P$3002='Field Check'!$C$25)&gt;0,"",'Dvd Calendar'!$P$2998)))</f>
        <v/>
      </c>
      <c r="DQ215" s="85">
        <f>IF(BC215="","",IF(ISNUMBER('Dvd Calendar'!$Q$2998)=FALSE,"",IF((Summary!$C$13="N")*('Dvd Calendar'!$Q$3002='Field Check'!$C$25)&gt;0,"",'Dvd Calendar'!$Q$2998)))</f>
        <v/>
      </c>
      <c r="DR215" s="85">
        <f>IF(BD215="","",IF(ISNUMBER('Dvd Calendar'!$R$2998)=FALSE,"",IF((Summary!$C$13="N")*('Dvd Calendar'!$R$3002='Field Check'!$C$25)&gt;0,"",'Dvd Calendar'!$R$2998)))</f>
        <v/>
      </c>
      <c r="DS215" s="85">
        <f>IF(BE215="","",IF(ISNUMBER('Dvd Calendar'!$S$2998)=FALSE,"",IF((Summary!$C$13="N")*('Dvd Calendar'!$S$3002='Field Check'!$C$25)&gt;0,"",'Dvd Calendar'!$S$2998)))</f>
        <v/>
      </c>
      <c r="DT215" s="85">
        <f>IF(BF215="","",IF(ISNUMBER('Dvd Calendar'!$T$2998)=FALSE,"",IF((Summary!$C$13="N")*('Dvd Calendar'!$T$3002='Field Check'!$C$25)&gt;0,"",'Dvd Calendar'!$T$2998)))</f>
        <v/>
      </c>
      <c r="DU215" s="85">
        <f>IF(BG215="","",IF(ISNUMBER('Dvd Calendar'!$U$2998)=FALSE,"",IF((Summary!$C$13="N")*('Dvd Calendar'!$U$3002='Field Check'!$C$25)&gt;0,"",'Dvd Calendar'!$U$2998)))</f>
        <v/>
      </c>
      <c r="DV215" s="85">
        <f>IF(BH215="","",IF(ISNUMBER('Dvd Calendar'!$V$2998)=FALSE,"",IF((Summary!$C$13="N")*('Dvd Calendar'!$V$3002='Field Check'!$C$25)&gt;0,"",'Dvd Calendar'!$V$2998)))</f>
        <v/>
      </c>
      <c r="DW215" s="85">
        <f>IF(BI215="","",IF(ISNUMBER('Dvd Calendar'!$W$2998)=FALSE,"",IF((Summary!$C$13="N")*('Dvd Calendar'!$W$3002='Field Check'!$C$25)&gt;0,"",'Dvd Calendar'!$W$2998)))</f>
        <v/>
      </c>
      <c r="DX215" s="85">
        <f>IF(BJ215="","",IF(ISNUMBER('Dvd Calendar'!$X$2998)=FALSE,"",IF((Summary!$C$13="N")*('Dvd Calendar'!$X$3002='Field Check'!$C$25)&gt;0,"",'Dvd Calendar'!$X$2998)))</f>
        <v/>
      </c>
      <c r="DY215" s="85">
        <f>IF(BK215="","",IF(ISNUMBER('Dvd Calendar'!$Y$2998)=FALSE,"",IF((Summary!$C$13="N")*('Dvd Calendar'!$Y$3002='Field Check'!$C$25)&gt;0,"",'Dvd Calendar'!$Y$2998)))</f>
        <v/>
      </c>
      <c r="DZ215" s="85">
        <f>IF(BL215="","",IF(ISNUMBER('Dvd Calendar'!$Z$2998)=FALSE,"",IF((Summary!$C$13="N")*('Dvd Calendar'!$Z$3002='Field Check'!$C$25)&gt;0,"",'Dvd Calendar'!$Z$2998)))</f>
        <v/>
      </c>
      <c r="EA215" s="85">
        <f>IF(BM215="","",IF(ISNUMBER('Dvd Calendar'!$AA$2998)=FALSE,"",IF((Summary!$C$13="N")*('Dvd Calendar'!$AA$3002='Field Check'!$C$25)&gt;0,"",'Dvd Calendar'!$AA$2998)))</f>
        <v/>
      </c>
      <c r="EB215" s="85">
        <f>IF(BN215="","",IF(ISNUMBER('Dvd Calendar'!$AB$2998)=FALSE,"",IF((Summary!$C$13="N")*('Dvd Calendar'!$AB$3002='Field Check'!$C$25)&gt;0,"",'Dvd Calendar'!$AB$2998)))</f>
        <v/>
      </c>
      <c r="EC215" s="85">
        <f>IF(BO215="","",IF(ISNUMBER('Dvd Calendar'!$AC$2998)=FALSE,"",IF((Summary!$C$13="N")*('Dvd Calendar'!$AC$3002='Field Check'!$C$25)&gt;0,"",'Dvd Calendar'!$AC$2998)))</f>
        <v/>
      </c>
      <c r="EE215" s="85">
        <f>IF(BQ215="","",IFERROR(BQ215*HSCEI!$B$65*HSCEI!$G$65/HSCEI!$B$3,""))</f>
        <v/>
      </c>
      <c r="EF215" s="85">
        <f>IF(BR215="","",IFERROR(BR215*HSCEI!$B$65*HSCEI!$G$65/HSCEI!$B$3,""))</f>
        <v/>
      </c>
      <c r="EG215" s="85">
        <f>IF(BS215="","",IFERROR(BS215*HSCEI!$B$65*HSCEI!$G$65/HSCEI!$B$3,""))</f>
        <v/>
      </c>
      <c r="EH215" s="85">
        <f>IF(BT215="","",IFERROR(BT215*HSCEI!$B$65*HSCEI!$G$65/HSCEI!$B$3,""))</f>
        <v/>
      </c>
      <c r="EI215" s="85">
        <f>IF(BU215="","",IFERROR(BU215*HSCEI!$B$65*HSCEI!$G$65/HSCEI!$B$3,""))</f>
        <v/>
      </c>
      <c r="EJ215" s="85">
        <f>IF(BV215="","",IFERROR(BV215*HSCEI!$B$65*HSCEI!$G$65/HSCEI!$B$3,""))</f>
        <v/>
      </c>
      <c r="EK215" s="85">
        <f>IF(BW215="","",IFERROR(BW215*HSCEI!$B$65*HSCEI!$G$65/HSCEI!$B$3,""))</f>
        <v/>
      </c>
      <c r="EL215" s="85">
        <f>IF(BX215="","",IFERROR(BX215*HSCEI!$B$65*HSCEI!$G$65/HSCEI!$B$3,""))</f>
        <v/>
      </c>
      <c r="EM215" s="85">
        <f>IF(BY215="","",IFERROR(BY215*HSCEI!$B$65*HSCEI!$G$65/HSCEI!$B$3,""))</f>
        <v/>
      </c>
      <c r="EN215" s="85">
        <f>IF(BZ215="","",IFERROR(BZ215*HSCEI!$B$65*HSCEI!$G$65/HSCEI!$B$3,""))</f>
        <v/>
      </c>
      <c r="EO215" s="85">
        <f>IF(CA215="","",IFERROR(CA215*HSCEI!$B$65*HSCEI!$G$65/HSCEI!$B$3,""))</f>
        <v/>
      </c>
      <c r="EP215" s="85">
        <f>IF(CB215="","",IFERROR(CB215*HSCEI!$B$65*HSCEI!$G$65/HSCEI!$B$3,""))</f>
        <v/>
      </c>
      <c r="EQ215" s="85">
        <f>IF(CC215="","",IFERROR(CC215*HSCEI!$B$65*HSCEI!$G$65/HSCEI!$B$3,""))</f>
        <v/>
      </c>
      <c r="ER215" s="85">
        <f>IF(CD215="","",IFERROR(CD215*HSCEI!$B$65*HSCEI!$G$65/HSCEI!$B$3,""))</f>
        <v/>
      </c>
      <c r="ES215" s="85">
        <f>IF(CE215="","",IFERROR(CE215*HSCEI!$B$65*HSCEI!$G$65/HSCEI!$B$3,""))</f>
        <v/>
      </c>
      <c r="ET215" s="85">
        <f>IF(CF215="","",IFERROR(CF215*HSCEI!$B$65*HSCEI!$G$65/HSCEI!$B$3,""))</f>
        <v/>
      </c>
      <c r="EU215" s="85">
        <f>IF(CG215="","",IFERROR(CG215*HSCEI!$B$65*HSCEI!$G$65/HSCEI!$B$3,""))</f>
        <v/>
      </c>
      <c r="EV215" s="85">
        <f>IF(CH215="","",IFERROR(CH215*HSCEI!$B$65*HSCEI!$G$65/HSCEI!$B$3,""))</f>
        <v/>
      </c>
      <c r="EW215" s="85">
        <f>IF(CI215="","",IFERROR(CI215*HSCEI!$B$65*HSCEI!$G$65/HSCEI!$B$3,""))</f>
        <v/>
      </c>
      <c r="EX215" s="85">
        <f>IF(CJ215="","",IFERROR(CJ215*HSCEI!$B$65*HSCEI!$G$65/HSCEI!$B$3,""))</f>
        <v/>
      </c>
      <c r="EY215" s="85">
        <f>IF(CK215="","",IFERROR(CK215*HSCEI!$B$65*HSCEI!$G$65/HSCEI!$B$3,""))</f>
        <v/>
      </c>
      <c r="EZ215" s="85">
        <f>IF(CL215="","",IFERROR(CL215*HSCEI!$B$65*HSCEI!$G$65/HSCEI!$B$3,""))</f>
        <v/>
      </c>
      <c r="FA215" s="85">
        <f>IF(CM215="","",IFERROR(CM215*HSCEI!$B$65*HSCEI!$G$65/HSCEI!$B$3,""))</f>
        <v/>
      </c>
      <c r="FB215" s="85">
        <f>IF(CN215="","",IFERROR(CN215*HSCEI!$B$65*HSCEI!$G$65/HSCEI!$B$3,""))</f>
        <v/>
      </c>
      <c r="FC215" s="85">
        <f>IF(CO215="","",IFERROR(CO215*HSCEI!$B$65*HSCEI!$G$65/HSCEI!$B$3,""))</f>
        <v/>
      </c>
      <c r="FD215" s="85">
        <f>IF(CP215="","",IFERROR(CP215*HSCEI!$B$65*HSCEI!$G$65/HSCEI!$B$3,""))</f>
        <v/>
      </c>
      <c r="FE215" s="85">
        <f>IF(CQ215="","",IFERROR(CQ215*HSCEI!$B$65*HSCEI!$G$65/HSCEI!$B$3,""))</f>
        <v/>
      </c>
      <c r="FF215" s="85">
        <f>IF(CR215="","",IFERROR(CR215*HSCEI!$B$65*HSCEI!$G$65/HSCEI!$B$3,""))</f>
        <v/>
      </c>
      <c r="FG215" s="85">
        <f>IF(CS215="","",IFERROR(CS215*HSCEI!$B$65*HSCEI!$G$65/HSCEI!$B$3,""))</f>
        <v/>
      </c>
      <c r="FH215" s="85">
        <f>IF(CT215="","",IFERROR(CT215*HSCEI!$B$65*HSCEI!$G$65/HSCEI!$B$3,""))</f>
        <v/>
      </c>
      <c r="FI215" s="85">
        <f>IF(CU215="","",IFERROR(CU215*HSCEI!$B$65*HSCEI!$G$65/HSCEI!$B$3,""))</f>
        <v/>
      </c>
      <c r="FJ215" s="85">
        <f>IF(CV215="","",IFERROR(CV215*HSCEI!$B$65*HSCEI!$G$65/HSCEI!$B$3,""))</f>
        <v/>
      </c>
      <c r="FK215" s="85">
        <f>IF(CW215="","",IFERROR(CW215*HSCEI!$B$65*HSCEI!$G$65/HSCEI!$B$3,""))</f>
        <v/>
      </c>
      <c r="FL215" s="85">
        <f>IF(CX215="","",IFERROR(CX215*HSCEI!$B$65*HSCEI!$G$65/HSCEI!$B$3,""))</f>
        <v/>
      </c>
      <c r="FM215" s="85">
        <f>IF(CY215="","",IFERROR(CY215*HSCEI!$B$65*HSCEI!$G$65/HSCEI!$B$3,""))</f>
        <v/>
      </c>
      <c r="FN215" s="85">
        <f>IF(CZ215="","",IFERROR(CZ215*HSCEI!$B$65*HSCEI!$G$65/HSCEI!$B$3,""))</f>
        <v/>
      </c>
      <c r="FO215" s="85">
        <f>IF(DA215="","",IFERROR(DA215*HSCEI!$B$65*HSCEI!$G$65/HSCEI!$B$3,""))</f>
        <v/>
      </c>
      <c r="FP215" s="85">
        <f>IF(DB215="","",IFERROR(DB215*HSCEI!$B$65*HSCEI!$G$65/HSCEI!$B$3,""))</f>
        <v/>
      </c>
      <c r="FQ215" s="85">
        <f>IF(DC215="","",IFERROR(DC215*HSCEI!$B$65*HSCEI!$G$65/HSCEI!$B$3,""))</f>
        <v/>
      </c>
      <c r="FR215" s="85">
        <f>IF(DD215="","",IFERROR(DD215*HSCEI!$B$65*HSCEI!$G$65/HSCEI!$B$3,""))</f>
        <v/>
      </c>
      <c r="FS215" s="85">
        <f>IF(DE215="","",IFERROR(DE215*HSCEI!$B$65*HSCEI!$G$65/HSCEI!$B$3,""))</f>
        <v/>
      </c>
      <c r="FT215" s="85">
        <f>IF(DF215="","",IFERROR(DF215*HSCEI!$B$65*HSCEI!$G$65/HSCEI!$B$3,""))</f>
        <v/>
      </c>
      <c r="FU215" s="85">
        <f>IF(DG215="","",IFERROR(DG215*HSCEI!$B$65*HSCEI!$G$65/HSCEI!$B$3,""))</f>
        <v/>
      </c>
      <c r="FV215" s="85">
        <f>IF(DH215="","",IFERROR(DH215*HSCEI!$B$65*HSCEI!$G$65/HSCEI!$B$3,""))</f>
        <v/>
      </c>
      <c r="FW215" s="85">
        <f>IF(DI215="","",IFERROR(DI215*HSCEI!$B$65*HSCEI!$G$65/HSCEI!$B$3,""))</f>
        <v/>
      </c>
      <c r="FX215" s="85">
        <f>IF(DJ215="","",IFERROR(DJ215*HSCEI!$B$65*HSCEI!$G$65/HSCEI!$B$3,""))</f>
        <v/>
      </c>
      <c r="FY215" s="85">
        <f>IF(DK215="","",IFERROR(DK215*HSCEI!$B$65*HSCEI!$G$65/HSCEI!$B$3,""))</f>
        <v/>
      </c>
      <c r="FZ215" s="85">
        <f>IF(DL215="","",IFERROR(DL215*HSCEI!$B$65*HSCEI!$G$65/HSCEI!$B$3,""))</f>
        <v/>
      </c>
      <c r="GA215" s="85">
        <f>IF(DM215="","",IFERROR(DM215*HSCEI!$B$65*HSCEI!$G$65/HSCEI!$B$3,""))</f>
        <v/>
      </c>
      <c r="GB215" s="85">
        <f>IF(DN215="","",IFERROR(DN215*HSCEI!$B$65*HSCEI!$G$65/HSCEI!$B$3,""))</f>
        <v/>
      </c>
      <c r="GC215" s="85">
        <f>IF(DO215="","",IFERROR(DO215*HSCEI!$B$65*HSCEI!$G$65/HSCEI!$B$3,""))</f>
        <v/>
      </c>
      <c r="GD215" s="85">
        <f>IF(DP215="","",IFERROR(DP215*HSCEI!$B$65*HSCEI!$G$65/HSCEI!$B$3,""))</f>
        <v/>
      </c>
      <c r="GE215" s="85">
        <f>IF(DQ215="","",IFERROR(DQ215*HSCEI!$B$65*HSCEI!$G$65/HSCEI!$B$3,""))</f>
        <v/>
      </c>
      <c r="GF215" s="85">
        <f>IF(DR215="","",IFERROR(DR215*HSCEI!$B$65*HSCEI!$G$65/HSCEI!$B$3,""))</f>
        <v/>
      </c>
      <c r="GG215" s="85">
        <f>IF(DS215="","",IFERROR(DS215*HSCEI!$B$65*HSCEI!$G$65/HSCEI!$B$3,""))</f>
        <v/>
      </c>
      <c r="GH215" s="85">
        <f>IF(DT215="","",IFERROR(DT215*HSCEI!$B$65*HSCEI!$G$65/HSCEI!$B$3,""))</f>
        <v/>
      </c>
      <c r="GI215" s="85">
        <f>IF(DU215="","",IFERROR(DU215*HSCEI!$B$65*HSCEI!$G$65/HSCEI!$B$3,""))</f>
        <v/>
      </c>
      <c r="GJ215" s="85">
        <f>IF(DV215="","",IFERROR(DV215*HSCEI!$B$65*HSCEI!$G$65/HSCEI!$B$3,""))</f>
        <v/>
      </c>
      <c r="GK215" s="85">
        <f>IF(DW215="","",IFERROR(DW215*HSCEI!$B$65*HSCEI!$G$65/HSCEI!$B$3,""))</f>
        <v/>
      </c>
      <c r="GL215" s="85">
        <f>IF(DX215="","",IFERROR(DX215*HSCEI!$B$65*HSCEI!$G$65/HSCEI!$B$3,""))</f>
        <v/>
      </c>
      <c r="GM215" s="85">
        <f>IF(DY215="","",IFERROR(DY215*HSCEI!$B$65*HSCEI!$G$65/HSCEI!$B$3,""))</f>
        <v/>
      </c>
      <c r="GN215" s="85">
        <f>IF(DZ215="","",IFERROR(DZ215*HSCEI!$B$65*HSCEI!$G$65/HSCEI!$B$3,""))</f>
        <v/>
      </c>
      <c r="GO215" s="85">
        <f>IF(EA215="","",IFERROR(EA215*HSCEI!$B$65*HSCEI!$G$65/HSCEI!$B$3,""))</f>
        <v/>
      </c>
      <c r="GP215" s="85">
        <f>IF(EB215="","",IFERROR(EB215*HSCEI!$B$65*HSCEI!$G$65/HSCEI!$B$3,""))</f>
        <v/>
      </c>
      <c r="GQ215" s="85">
        <f>IF(EC215="","",IFERROR(EC215*HSCEI!$B$65*HSCEI!$G$65/HSCEI!$B$3,""))</f>
        <v/>
      </c>
    </row>
    <row r="216">
      <c r="B216" s="2">
        <f>IF(HSCEI!$C$66="","",HSCEI!$C$66)</f>
        <v/>
      </c>
      <c r="C216" s="41">
        <f>IF(N('Dvd Calendar'!$E$3005)=0,"",IF(('Dvd Calendar'!$E$3005&gt;=MIN(DATE(Summary!$C$12,1,1),Summary!$C$11))*('Dvd Calendar'!$E$3005&lt;=MAX(DATE(Summary!$C$12,12,31),Summary!$C$15))*('Dvd Calendar'!$E$3005&lt;=Summary!$C$11)=0,"",'Dvd Calendar'!$E$3005*1000000000+ISNUMBER('Dvd Calendar'!$E$3006)*100000000+('Dvd Calendar'!$E$3010='Field Check'!$C$25)*10000000+(N('Dvd Calendar'!$E$3004)&gt;0)*1000000+60*1000+1))</f>
        <v/>
      </c>
      <c r="D216" s="41">
        <f>IF(N('Dvd Calendar'!$F$3005)=0,"",IF(('Dvd Calendar'!$F$3005&gt;=MIN(DATE(Summary!$C$12,1,1),Summary!$C$11))*('Dvd Calendar'!$F$3005&lt;=MAX(DATE(Summary!$C$12,12,31),Summary!$C$15))*('Dvd Calendar'!$F$3005&lt;=Summary!$C$11)=0,"",'Dvd Calendar'!$F$3005*1000000000+ISNUMBER('Dvd Calendar'!$F$3006)*100000000+('Dvd Calendar'!$F$3010='Field Check'!$C$25)*10000000+(N('Dvd Calendar'!$F$3004)&gt;0)*1000000+60*1000+2))</f>
        <v/>
      </c>
      <c r="E216" s="41">
        <f>IF(N('Dvd Calendar'!$G$3005)=0,"",IF(('Dvd Calendar'!$G$3005&gt;=MIN(DATE(Summary!$C$12,1,1),Summary!$C$11))*('Dvd Calendar'!$G$3005&lt;=MAX(DATE(Summary!$C$12,12,31),Summary!$C$15))*('Dvd Calendar'!$G$3005&lt;=Summary!$C$11)=0,"",'Dvd Calendar'!$G$3005*1000000000+ISNUMBER('Dvd Calendar'!$G$3006)*100000000+('Dvd Calendar'!$G$3010='Field Check'!$C$25)*10000000+(N('Dvd Calendar'!$G$3004)&gt;0)*1000000+60*1000+3))</f>
        <v/>
      </c>
      <c r="F216" s="41">
        <f>IF(N('Dvd Calendar'!$H$3005)=0,"",IF(('Dvd Calendar'!$H$3005&gt;=MIN(DATE(Summary!$C$12,1,1),Summary!$C$11))*('Dvd Calendar'!$H$3005&lt;=MAX(DATE(Summary!$C$12,12,31),Summary!$C$15))*('Dvd Calendar'!$H$3005&lt;=Summary!$C$11)=0,"",'Dvd Calendar'!$H$3005*1000000000+ISNUMBER('Dvd Calendar'!$H$3006)*100000000+('Dvd Calendar'!$H$3010='Field Check'!$C$25)*10000000+(N('Dvd Calendar'!$H$3004)&gt;0)*1000000+60*1000+4))</f>
        <v/>
      </c>
      <c r="G216" s="41">
        <f>IF(N('Dvd Calendar'!$I$3005)=0,"",IF(('Dvd Calendar'!$I$3005&gt;=MIN(DATE(Summary!$C$12,1,1),Summary!$C$11))*('Dvd Calendar'!$I$3005&lt;=MAX(DATE(Summary!$C$12,12,31),Summary!$C$15))*('Dvd Calendar'!$I$3005&lt;=Summary!$C$11)=0,"",'Dvd Calendar'!$I$3005*1000000000+ISNUMBER('Dvd Calendar'!$I$3006)*100000000+('Dvd Calendar'!$I$3010='Field Check'!$C$25)*10000000+(N('Dvd Calendar'!$I$3004)&gt;0)*1000000+60*1000+5))</f>
        <v/>
      </c>
      <c r="H216" s="41">
        <f>IF(N('Dvd Calendar'!$J$3005)=0,"",IF(('Dvd Calendar'!$J$3005&gt;=MIN(DATE(Summary!$C$12,1,1),Summary!$C$11))*('Dvd Calendar'!$J$3005&lt;=MAX(DATE(Summary!$C$12,12,31),Summary!$C$15))*('Dvd Calendar'!$J$3005&lt;=Summary!$C$11)=0,"",'Dvd Calendar'!$J$3005*1000000000+ISNUMBER('Dvd Calendar'!$J$3006)*100000000+('Dvd Calendar'!$J$3010='Field Check'!$C$25)*10000000+(N('Dvd Calendar'!$J$3004)&gt;0)*1000000+60*1000+6))</f>
        <v/>
      </c>
      <c r="I216" s="41">
        <f>IF(N('Dvd Calendar'!$K$3005)=0,"",IF(('Dvd Calendar'!$K$3005&gt;=MIN(DATE(Summary!$C$12,1,1),Summary!$C$11))*('Dvd Calendar'!$K$3005&lt;=MAX(DATE(Summary!$C$12,12,31),Summary!$C$15))*('Dvd Calendar'!$K$3005&lt;=Summary!$C$11)=0,"",'Dvd Calendar'!$K$3005*1000000000+ISNUMBER('Dvd Calendar'!$K$3006)*100000000+('Dvd Calendar'!$K$3010='Field Check'!$C$25)*10000000+(N('Dvd Calendar'!$K$3004)&gt;0)*1000000+60*1000+7))</f>
        <v/>
      </c>
      <c r="J216" s="41">
        <f>IF(N('Dvd Calendar'!$L$3005)=0,"",IF(('Dvd Calendar'!$L$3005&gt;=MIN(DATE(Summary!$C$12,1,1),Summary!$C$11))*('Dvd Calendar'!$L$3005&lt;=MAX(DATE(Summary!$C$12,12,31),Summary!$C$15))*('Dvd Calendar'!$L$3005&lt;=Summary!$C$11)=0,"",'Dvd Calendar'!$L$3005*1000000000+ISNUMBER('Dvd Calendar'!$L$3006)*100000000+('Dvd Calendar'!$L$3010='Field Check'!$C$25)*10000000+(N('Dvd Calendar'!$L$3004)&gt;0)*1000000+60*1000+8))</f>
        <v/>
      </c>
      <c r="K216" s="41">
        <f>IF(N('Dvd Calendar'!$M$3005)=0,"",IF(('Dvd Calendar'!$M$3005&gt;=MIN(DATE(Summary!$C$12,1,1),Summary!$C$11))*('Dvd Calendar'!$M$3005&lt;=MAX(DATE(Summary!$C$12,12,31),Summary!$C$15))*('Dvd Calendar'!$M$3005&lt;=Summary!$C$11)=0,"",'Dvd Calendar'!$M$3005*1000000000+ISNUMBER('Dvd Calendar'!$M$3006)*100000000+('Dvd Calendar'!$M$3010='Field Check'!$C$25)*10000000+(N('Dvd Calendar'!$M$3004)&gt;0)*1000000+60*1000+9))</f>
        <v/>
      </c>
      <c r="L216" s="41">
        <f>IF(N('Dvd Calendar'!$N$3005)=0,"",IF(('Dvd Calendar'!$N$3005&gt;=MIN(DATE(Summary!$C$12,1,1),Summary!$C$11))*('Dvd Calendar'!$N$3005&lt;=MAX(DATE(Summary!$C$12,12,31),Summary!$C$15))*('Dvd Calendar'!$N$3005&lt;=Summary!$C$11)=0,"",'Dvd Calendar'!$N$3005*1000000000+ISNUMBER('Dvd Calendar'!$N$3006)*100000000+('Dvd Calendar'!$N$3010='Field Check'!$C$25)*10000000+(N('Dvd Calendar'!$N$3004)&gt;0)*1000000+60*1000+10))</f>
        <v/>
      </c>
      <c r="M216" s="41">
        <f>IF(N('Dvd Calendar'!$O$3005)=0,"",IF(('Dvd Calendar'!$O$3005&gt;=MIN(DATE(Summary!$C$12,1,1),Summary!$C$11))*('Dvd Calendar'!$O$3005&lt;=MAX(DATE(Summary!$C$12,12,31),Summary!$C$15))*('Dvd Calendar'!$O$3005&lt;=Summary!$C$11)=0,"",'Dvd Calendar'!$O$3005*1000000000+ISNUMBER('Dvd Calendar'!$O$3006)*100000000+('Dvd Calendar'!$O$3010='Field Check'!$C$25)*10000000+(N('Dvd Calendar'!$O$3004)&gt;0)*1000000+60*1000+11))</f>
        <v/>
      </c>
      <c r="N216" s="41">
        <f>IF(N('Dvd Calendar'!$P$3005)=0,"",IF(('Dvd Calendar'!$P$3005&gt;=MIN(DATE(Summary!$C$12,1,1),Summary!$C$11))*('Dvd Calendar'!$P$3005&lt;=MAX(DATE(Summary!$C$12,12,31),Summary!$C$15))*('Dvd Calendar'!$P$3005&lt;=Summary!$C$11)=0,"",'Dvd Calendar'!$P$3005*1000000000+ISNUMBER('Dvd Calendar'!$P$3006)*100000000+('Dvd Calendar'!$P$3010='Field Check'!$C$25)*10000000+(N('Dvd Calendar'!$P$3004)&gt;0)*1000000+60*1000+12))</f>
        <v/>
      </c>
      <c r="O216" s="41">
        <f>IF(N('Dvd Calendar'!$Q$3005)=0,"",IF(('Dvd Calendar'!$Q$3005&gt;=MIN(DATE(Summary!$C$12,1,1),Summary!$C$11))*('Dvd Calendar'!$Q$3005&lt;=MAX(DATE(Summary!$C$12,12,31),Summary!$C$15))*('Dvd Calendar'!$Q$3005&lt;=Summary!$C$11)=0,"",'Dvd Calendar'!$Q$3005*1000000000+ISNUMBER('Dvd Calendar'!$Q$3006)*100000000+('Dvd Calendar'!$Q$3010='Field Check'!$C$25)*10000000+(N('Dvd Calendar'!$Q$3004)&gt;0)*1000000+60*1000+13))</f>
        <v/>
      </c>
      <c r="P216" s="41">
        <f>IF(N('Dvd Calendar'!$R$3005)=0,"",IF(('Dvd Calendar'!$R$3005&gt;=MIN(DATE(Summary!$C$12,1,1),Summary!$C$11))*('Dvd Calendar'!$R$3005&lt;=MAX(DATE(Summary!$C$12,12,31),Summary!$C$15))*('Dvd Calendar'!$R$3005&lt;=Summary!$C$11)=0,"",'Dvd Calendar'!$R$3005*1000000000+ISNUMBER('Dvd Calendar'!$R$3006)*100000000+('Dvd Calendar'!$R$3010='Field Check'!$C$25)*10000000+(N('Dvd Calendar'!$R$3004)&gt;0)*1000000+60*1000+14))</f>
        <v/>
      </c>
      <c r="Q216" s="41">
        <f>IF(N('Dvd Calendar'!$S$3005)=0,"",IF(('Dvd Calendar'!$S$3005&gt;=MIN(DATE(Summary!$C$12,1,1),Summary!$C$11))*('Dvd Calendar'!$S$3005&lt;=MAX(DATE(Summary!$C$12,12,31),Summary!$C$15))*('Dvd Calendar'!$S$3005&lt;=Summary!$C$11)=0,"",'Dvd Calendar'!$S$3005*1000000000+ISNUMBER('Dvd Calendar'!$S$3006)*100000000+('Dvd Calendar'!$S$3010='Field Check'!$C$25)*10000000+(N('Dvd Calendar'!$S$3004)&gt;0)*1000000+60*1000+15))</f>
        <v/>
      </c>
      <c r="R216" s="41">
        <f>IF(N('Dvd Calendar'!$T$3005)=0,"",IF(('Dvd Calendar'!$T$3005&gt;=MIN(DATE(Summary!$C$12,1,1),Summary!$C$11))*('Dvd Calendar'!$T$3005&lt;=MAX(DATE(Summary!$C$12,12,31),Summary!$C$15))*('Dvd Calendar'!$T$3005&lt;=Summary!$C$11)=0,"",'Dvd Calendar'!$T$3005*1000000000+ISNUMBER('Dvd Calendar'!$T$3006)*100000000+('Dvd Calendar'!$T$3010='Field Check'!$C$25)*10000000+(N('Dvd Calendar'!$T$3004)&gt;0)*1000000+60*1000+16))</f>
        <v/>
      </c>
      <c r="S216" s="41">
        <f>IF(N('Dvd Calendar'!$U$3005)=0,"",IF(('Dvd Calendar'!$U$3005&gt;=MIN(DATE(Summary!$C$12,1,1),Summary!$C$11))*('Dvd Calendar'!$U$3005&lt;=MAX(DATE(Summary!$C$12,12,31),Summary!$C$15))*('Dvd Calendar'!$U$3005&lt;=Summary!$C$11)=0,"",'Dvd Calendar'!$U$3005*1000000000+ISNUMBER('Dvd Calendar'!$U$3006)*100000000+('Dvd Calendar'!$U$3010='Field Check'!$C$25)*10000000+(N('Dvd Calendar'!$U$3004)&gt;0)*1000000+60*1000+17))</f>
        <v/>
      </c>
      <c r="T216" s="41">
        <f>IF(N('Dvd Calendar'!$V$3005)=0,"",IF(('Dvd Calendar'!$V$3005&gt;=MIN(DATE(Summary!$C$12,1,1),Summary!$C$11))*('Dvd Calendar'!$V$3005&lt;=MAX(DATE(Summary!$C$12,12,31),Summary!$C$15))*('Dvd Calendar'!$V$3005&lt;=Summary!$C$11)=0,"",'Dvd Calendar'!$V$3005*1000000000+ISNUMBER('Dvd Calendar'!$V$3006)*100000000+('Dvd Calendar'!$V$3010='Field Check'!$C$25)*10000000+(N('Dvd Calendar'!$V$3004)&gt;0)*1000000+60*1000+18))</f>
        <v/>
      </c>
      <c r="U216" s="41">
        <f>IF(N('Dvd Calendar'!$W$3005)=0,"",IF(('Dvd Calendar'!$W$3005&gt;=MIN(DATE(Summary!$C$12,1,1),Summary!$C$11))*('Dvd Calendar'!$W$3005&lt;=MAX(DATE(Summary!$C$12,12,31),Summary!$C$15))*('Dvd Calendar'!$W$3005&lt;=Summary!$C$11)=0,"",'Dvd Calendar'!$W$3005*1000000000+ISNUMBER('Dvd Calendar'!$W$3006)*100000000+('Dvd Calendar'!$W$3010='Field Check'!$C$25)*10000000+(N('Dvd Calendar'!$W$3004)&gt;0)*1000000+60*1000+19))</f>
        <v/>
      </c>
      <c r="V216" s="41">
        <f>IF(N('Dvd Calendar'!$X$3005)=0,"",IF(('Dvd Calendar'!$X$3005&gt;=MIN(DATE(Summary!$C$12,1,1),Summary!$C$11))*('Dvd Calendar'!$X$3005&lt;=MAX(DATE(Summary!$C$12,12,31),Summary!$C$15))*('Dvd Calendar'!$X$3005&lt;=Summary!$C$11)=0,"",'Dvd Calendar'!$X$3005*1000000000+ISNUMBER('Dvd Calendar'!$X$3006)*100000000+('Dvd Calendar'!$X$3010='Field Check'!$C$25)*10000000+(N('Dvd Calendar'!$X$3004)&gt;0)*1000000+60*1000+20))</f>
        <v/>
      </c>
      <c r="W216" s="41">
        <f>IF(N('Dvd Calendar'!$Y$3005)=0,"",IF(('Dvd Calendar'!$Y$3005&gt;=MIN(DATE(Summary!$C$12,1,1),Summary!$C$11))*('Dvd Calendar'!$Y$3005&lt;=MAX(DATE(Summary!$C$12,12,31),Summary!$C$15))*('Dvd Calendar'!$Y$3005&lt;=Summary!$C$11)=0,"",'Dvd Calendar'!$Y$3005*1000000000+ISNUMBER('Dvd Calendar'!$Y$3006)*100000000+('Dvd Calendar'!$Y$3010='Field Check'!$C$25)*10000000+(N('Dvd Calendar'!$Y$3004)&gt;0)*1000000+60*1000+21))</f>
        <v/>
      </c>
      <c r="X216" s="41">
        <f>IF(N('Dvd Calendar'!$Z$3005)=0,"",IF(('Dvd Calendar'!$Z$3005&gt;=MIN(DATE(Summary!$C$12,1,1),Summary!$C$11))*('Dvd Calendar'!$Z$3005&lt;=MAX(DATE(Summary!$C$12,12,31),Summary!$C$15))*('Dvd Calendar'!$Z$3005&lt;=Summary!$C$11)=0,"",'Dvd Calendar'!$Z$3005*1000000000+ISNUMBER('Dvd Calendar'!$Z$3006)*100000000+('Dvd Calendar'!$Z$3010='Field Check'!$C$25)*10000000+(N('Dvd Calendar'!$Z$3004)&gt;0)*1000000+60*1000+22))</f>
        <v/>
      </c>
      <c r="Y216" s="41">
        <f>IF(N('Dvd Calendar'!$AA$3005)=0,"",IF(('Dvd Calendar'!$AA$3005&gt;=MIN(DATE(Summary!$C$12,1,1),Summary!$C$11))*('Dvd Calendar'!$AA$3005&lt;=MAX(DATE(Summary!$C$12,12,31),Summary!$C$15))*('Dvd Calendar'!$AA$3005&lt;=Summary!$C$11)=0,"",'Dvd Calendar'!$AA$3005*1000000000+ISNUMBER('Dvd Calendar'!$AA$3006)*100000000+('Dvd Calendar'!$AA$3010='Field Check'!$C$25)*10000000+(N('Dvd Calendar'!$AA$3004)&gt;0)*1000000+60*1000+23))</f>
        <v/>
      </c>
      <c r="Z216" s="41">
        <f>IF(N('Dvd Calendar'!$AB$3005)=0,"",IF(('Dvd Calendar'!$AB$3005&gt;=MIN(DATE(Summary!$C$12,1,1),Summary!$C$11))*('Dvd Calendar'!$AB$3005&lt;=MAX(DATE(Summary!$C$12,12,31),Summary!$C$15))*('Dvd Calendar'!$AB$3005&lt;=Summary!$C$11)=0,"",'Dvd Calendar'!$AB$3005*1000000000+ISNUMBER('Dvd Calendar'!$AB$3006)*100000000+('Dvd Calendar'!$AB$3010='Field Check'!$C$25)*10000000+(N('Dvd Calendar'!$AB$3004)&gt;0)*1000000+60*1000+24))</f>
        <v/>
      </c>
      <c r="AA216" s="41">
        <f>IF(N('Dvd Calendar'!$AC$3005)=0,"",IF(('Dvd Calendar'!$AC$3005&gt;=MIN(DATE(Summary!$C$12,1,1),Summary!$C$11))*('Dvd Calendar'!$AC$3005&lt;=MAX(DATE(Summary!$C$12,12,31),Summary!$C$15))*('Dvd Calendar'!$AC$3005&lt;=Summary!$C$11)=0,"",'Dvd Calendar'!$AC$3005*1000000000+ISNUMBER('Dvd Calendar'!$AC$3006)*100000000+('Dvd Calendar'!$AC$3010='Field Check'!$C$25)*10000000+(N('Dvd Calendar'!$AC$3004)&gt;0)*1000000+60*1000+25))</f>
        <v/>
      </c>
      <c r="AB216" s="41">
        <f>IF(N('Dvd Calendar'!$AD$3005)=0,"",IF(('Dvd Calendar'!$AD$3005&gt;=MIN(DATE(Summary!$C$12,1,1),Summary!$C$11))*('Dvd Calendar'!$AD$3005&lt;=MAX(DATE(Summary!$C$12,12,31),Summary!$C$15))*('Dvd Calendar'!$AD$3005&lt;=Summary!$C$11)=0,"",'Dvd Calendar'!$AD$3005*1000000000+ISNUMBER('Dvd Calendar'!$AD$3006)*100000000+('Dvd Calendar'!$AD$3010='Field Check'!$C$25)*10000000+(N('Dvd Calendar'!$AD$3004)&gt;0)*1000000+60*1000+26))</f>
        <v/>
      </c>
      <c r="AC216" s="41">
        <f>IF(N('Dvd Calendar'!$AE$3005)=0,"",IF(('Dvd Calendar'!$AE$3005&gt;=MIN(DATE(Summary!$C$12,1,1),Summary!$C$11))*('Dvd Calendar'!$AE$3005&lt;=MAX(DATE(Summary!$C$12,12,31),Summary!$C$15))*('Dvd Calendar'!$AE$3005&lt;=Summary!$C$11)=0,"",'Dvd Calendar'!$AE$3005*1000000000+ISNUMBER('Dvd Calendar'!$AE$3006)*100000000+('Dvd Calendar'!$AE$3010='Field Check'!$C$25)*10000000+(N('Dvd Calendar'!$AE$3004)&gt;0)*1000000+60*1000+27))</f>
        <v/>
      </c>
      <c r="AD216" s="41">
        <f>IF(N('Dvd Calendar'!$AF$3005)=0,"",IF(('Dvd Calendar'!$AF$3005&gt;=MIN(DATE(Summary!$C$12,1,1),Summary!$C$11))*('Dvd Calendar'!$AF$3005&lt;=MAX(DATE(Summary!$C$12,12,31),Summary!$C$15))*('Dvd Calendar'!$AF$3005&lt;=Summary!$C$11)=0,"",'Dvd Calendar'!$AF$3005*1000000000+ISNUMBER('Dvd Calendar'!$AF$3006)*100000000+('Dvd Calendar'!$AF$3010='Field Check'!$C$25)*10000000+(N('Dvd Calendar'!$AF$3004)&gt;0)*1000000+60*1000+28))</f>
        <v/>
      </c>
      <c r="AE216" s="41">
        <f>IF(N('Dvd Calendar'!$AG$3005)=0,"",IF(('Dvd Calendar'!$AG$3005&gt;=MIN(DATE(Summary!$C$12,1,1),Summary!$C$11))*('Dvd Calendar'!$AG$3005&lt;=MAX(DATE(Summary!$C$12,12,31),Summary!$C$15))*('Dvd Calendar'!$AG$3005&lt;=Summary!$C$11)=0,"",'Dvd Calendar'!$AG$3005*1000000000+ISNUMBER('Dvd Calendar'!$AG$3006)*100000000+('Dvd Calendar'!$AG$3010='Field Check'!$C$25)*10000000+(N('Dvd Calendar'!$AG$3004)&gt;0)*1000000+60*1000+29))</f>
        <v/>
      </c>
      <c r="AF216" s="41">
        <f>IF(N('Dvd Calendar'!$AH$3005)=0,"",IF(('Dvd Calendar'!$AH$3005&gt;=MIN(DATE(Summary!$C$12,1,1),Summary!$C$11))*('Dvd Calendar'!$AH$3005&lt;=MAX(DATE(Summary!$C$12,12,31),Summary!$C$15))*('Dvd Calendar'!$AH$3005&lt;=Summary!$C$11)=0,"",'Dvd Calendar'!$AH$3005*1000000000+ISNUMBER('Dvd Calendar'!$AH$3006)*100000000+('Dvd Calendar'!$AH$3010='Field Check'!$C$25)*10000000+(N('Dvd Calendar'!$AH$3004)&gt;0)*1000000+60*1000+30))</f>
        <v/>
      </c>
      <c r="AG216" s="41">
        <f>IF(N('Dvd Calendar'!$AI$3005)=0,"",IF(('Dvd Calendar'!$AI$3005&gt;=MIN(DATE(Summary!$C$12,1,1),Summary!$C$11))*('Dvd Calendar'!$AI$3005&lt;=MAX(DATE(Summary!$C$12,12,31),Summary!$C$15))*('Dvd Calendar'!$AI$3005&lt;=Summary!$C$11)=0,"",'Dvd Calendar'!$AI$3005*1000000000+ISNUMBER('Dvd Calendar'!$AI$3006)*100000000+('Dvd Calendar'!$AI$3010='Field Check'!$C$25)*10000000+(N('Dvd Calendar'!$AI$3004)&gt;0)*1000000+60*1000+31))</f>
        <v/>
      </c>
      <c r="AH216" s="41">
        <f>IF(N('Dvd Calendar'!$AJ$3005)=0,"",IF(('Dvd Calendar'!$AJ$3005&gt;=MIN(DATE(Summary!$C$12,1,1),Summary!$C$11))*('Dvd Calendar'!$AJ$3005&lt;=MAX(DATE(Summary!$C$12,12,31),Summary!$C$15))*('Dvd Calendar'!$AJ$3005&lt;=Summary!$C$11)=0,"",'Dvd Calendar'!$AJ$3005*1000000000+ISNUMBER('Dvd Calendar'!$AJ$3006)*100000000+('Dvd Calendar'!$AJ$3010='Field Check'!$C$25)*10000000+(N('Dvd Calendar'!$AJ$3004)&gt;0)*1000000+60*1000+32))</f>
        <v/>
      </c>
      <c r="AI216" s="41">
        <f>IF(N('Dvd Calendar'!$AK$3005)=0,"",IF(('Dvd Calendar'!$AK$3005&gt;=MIN(DATE(Summary!$C$12,1,1),Summary!$C$11))*('Dvd Calendar'!$AK$3005&lt;=MAX(DATE(Summary!$C$12,12,31),Summary!$C$15))*('Dvd Calendar'!$AK$3005&lt;=Summary!$C$11)=0,"",'Dvd Calendar'!$AK$3005*1000000000+ISNUMBER('Dvd Calendar'!$AK$3006)*100000000+('Dvd Calendar'!$AK$3010='Field Check'!$C$25)*10000000+(N('Dvd Calendar'!$AK$3004)&gt;0)*1000000+60*1000+33))</f>
        <v/>
      </c>
      <c r="AJ216" s="41">
        <f>IF(N('Dvd Calendar'!$AL$3005)=0,"",IF(('Dvd Calendar'!$AL$3005&gt;=MIN(DATE(Summary!$C$12,1,1),Summary!$C$11))*('Dvd Calendar'!$AL$3005&lt;=MAX(DATE(Summary!$C$12,12,31),Summary!$C$15))*('Dvd Calendar'!$AL$3005&lt;=Summary!$C$11)=0,"",'Dvd Calendar'!$AL$3005*1000000000+ISNUMBER('Dvd Calendar'!$AL$3006)*100000000+('Dvd Calendar'!$AL$3010='Field Check'!$C$25)*10000000+(N('Dvd Calendar'!$AL$3004)&gt;0)*1000000+60*1000+34))</f>
        <v/>
      </c>
      <c r="AK216" s="41">
        <f>IF(N('Dvd Calendar'!$AM$3005)=0,"",IF(('Dvd Calendar'!$AM$3005&gt;=MIN(DATE(Summary!$C$12,1,1),Summary!$C$11))*('Dvd Calendar'!$AM$3005&lt;=MAX(DATE(Summary!$C$12,12,31),Summary!$C$15))*('Dvd Calendar'!$AM$3005&lt;=Summary!$C$11)=0,"",'Dvd Calendar'!$AM$3005*1000000000+ISNUMBER('Dvd Calendar'!$AM$3006)*100000000+('Dvd Calendar'!$AM$3010='Field Check'!$C$25)*10000000+(N('Dvd Calendar'!$AM$3004)&gt;0)*1000000+60*1000+35))</f>
        <v/>
      </c>
      <c r="AL216" s="41">
        <f>IF(N('Dvd Calendar'!$AN$3005)=0,"",IF(('Dvd Calendar'!$AN$3005&gt;=MIN(DATE(Summary!$C$12,1,1),Summary!$C$11))*('Dvd Calendar'!$AN$3005&lt;=MAX(DATE(Summary!$C$12,12,31),Summary!$C$15))*('Dvd Calendar'!$AN$3005&lt;=Summary!$C$11)=0,"",'Dvd Calendar'!$AN$3005*1000000000+ISNUMBER('Dvd Calendar'!$AN$3006)*100000000+('Dvd Calendar'!$AN$3010='Field Check'!$C$25)*10000000+(N('Dvd Calendar'!$AN$3004)&gt;0)*1000000+60*1000+36))</f>
        <v/>
      </c>
      <c r="AM216" s="41">
        <f>IF(N('Dvd Calendar'!$AO$3005)=0,"",IF(('Dvd Calendar'!$AO$3005&gt;=MIN(DATE(Summary!$C$12,1,1),Summary!$C$11))*('Dvd Calendar'!$AO$3005&lt;=MAX(DATE(Summary!$C$12,12,31),Summary!$C$15))*('Dvd Calendar'!$AO$3005&lt;=Summary!$C$11)=0,"",'Dvd Calendar'!$AO$3005*1000000000+ISNUMBER('Dvd Calendar'!$AO$3006)*100000000+('Dvd Calendar'!$AO$3010='Field Check'!$C$25)*10000000+(N('Dvd Calendar'!$AO$3004)&gt;0)*1000000+60*1000+37))</f>
        <v/>
      </c>
      <c r="AN216" s="41">
        <f>IF(N('Dvd Calendar'!$AP$3005)=0,"",IF(('Dvd Calendar'!$AP$3005&gt;=MIN(DATE(Summary!$C$12,1,1),Summary!$C$11))*('Dvd Calendar'!$AP$3005&lt;=MAX(DATE(Summary!$C$12,12,31),Summary!$C$15))*('Dvd Calendar'!$AP$3005&lt;=Summary!$C$11)=0,"",'Dvd Calendar'!$AP$3005*1000000000+ISNUMBER('Dvd Calendar'!$AP$3006)*100000000+('Dvd Calendar'!$AP$3010='Field Check'!$C$25)*10000000+(N('Dvd Calendar'!$AP$3004)&gt;0)*1000000+60*1000+38))</f>
        <v/>
      </c>
      <c r="AO216" s="41">
        <f>IF(N('Dvd Calendar'!$AQ$3005)=0,"",IF(('Dvd Calendar'!$AQ$3005&gt;=MIN(DATE(Summary!$C$12,1,1),Summary!$C$11))*('Dvd Calendar'!$AQ$3005&lt;=MAX(DATE(Summary!$C$12,12,31),Summary!$C$15))*('Dvd Calendar'!$AQ$3005&lt;=Summary!$C$11)=0,"",'Dvd Calendar'!$AQ$3005*1000000000+ISNUMBER('Dvd Calendar'!$AQ$3006)*100000000+('Dvd Calendar'!$AQ$3010='Field Check'!$C$25)*10000000+(N('Dvd Calendar'!$AQ$3004)&gt;0)*1000000+60*1000+39))</f>
        <v/>
      </c>
      <c r="AP216" s="41">
        <f>IF(N('Dvd Calendar'!$AR$3005)=0,"",IF(('Dvd Calendar'!$AR$3005&gt;=MIN(DATE(Summary!$C$12,1,1),Summary!$C$11))*('Dvd Calendar'!$AR$3005&lt;=MAX(DATE(Summary!$C$12,12,31),Summary!$C$15))*('Dvd Calendar'!$AR$3005&lt;=Summary!$C$11)=0,"",'Dvd Calendar'!$AR$3005*1000000000+ISNUMBER('Dvd Calendar'!$AR$3006)*100000000+('Dvd Calendar'!$AR$3010='Field Check'!$C$25)*10000000+(N('Dvd Calendar'!$AR$3004)&gt;0)*1000000+60*1000+40))</f>
        <v/>
      </c>
      <c r="AQ216" s="41">
        <f>IF(N('Dvd Calendar'!$E$3012)=0,"",IF(('Dvd Calendar'!$E$3012&gt;=MIN(DATE(Summary!$C$12,1,1),Summary!$C$11))*('Dvd Calendar'!$E$3012&lt;=MAX(DATE(Summary!$C$12,12,31),Summary!$C$15))*('Dvd Calendar'!$E$3012&gt;Summary!$C$11)=0,"",'Dvd Calendar'!$E$3012*1000000000+ISNUMBER('Dvd Calendar'!$E$3013)*100000000+('Dvd Calendar'!$E$3017='Field Check'!$C$25)*10000000+(N('Dvd Calendar'!$E$3011)&gt;0)*1000000+60*1000+41))</f>
        <v/>
      </c>
      <c r="AR216" s="41">
        <f>IF(N('Dvd Calendar'!$F$3012)=0,"",IF(('Dvd Calendar'!$F$3012&gt;=MIN(DATE(Summary!$C$12,1,1),Summary!$C$11))*('Dvd Calendar'!$F$3012&lt;=MAX(DATE(Summary!$C$12,12,31),Summary!$C$15))*('Dvd Calendar'!$F$3012&gt;Summary!$C$11)=0,"",'Dvd Calendar'!$F$3012*1000000000+ISNUMBER('Dvd Calendar'!$F$3013)*100000000+('Dvd Calendar'!$F$3017='Field Check'!$C$25)*10000000+(N('Dvd Calendar'!$F$3011)&gt;0)*1000000+60*1000+42))</f>
        <v/>
      </c>
      <c r="AS216" s="41">
        <f>IF(N('Dvd Calendar'!$G$3012)=0,"",IF(('Dvd Calendar'!$G$3012&gt;=MIN(DATE(Summary!$C$12,1,1),Summary!$C$11))*('Dvd Calendar'!$G$3012&lt;=MAX(DATE(Summary!$C$12,12,31),Summary!$C$15))*('Dvd Calendar'!$G$3012&gt;Summary!$C$11)=0,"",'Dvd Calendar'!$G$3012*1000000000+ISNUMBER('Dvd Calendar'!$G$3013)*100000000+('Dvd Calendar'!$G$3017='Field Check'!$C$25)*10000000+(N('Dvd Calendar'!$G$3011)&gt;0)*1000000+60*1000+43))</f>
        <v/>
      </c>
      <c r="AT216" s="41">
        <f>IF(N('Dvd Calendar'!$H$3012)=0,"",IF(('Dvd Calendar'!$H$3012&gt;=MIN(DATE(Summary!$C$12,1,1),Summary!$C$11))*('Dvd Calendar'!$H$3012&lt;=MAX(DATE(Summary!$C$12,12,31),Summary!$C$15))*('Dvd Calendar'!$H$3012&gt;Summary!$C$11)=0,"",'Dvd Calendar'!$H$3012*1000000000+ISNUMBER('Dvd Calendar'!$H$3013)*100000000+('Dvd Calendar'!$H$3017='Field Check'!$C$25)*10000000+(N('Dvd Calendar'!$H$3011)&gt;0)*1000000+60*1000+44))</f>
        <v/>
      </c>
      <c r="AU216" s="41">
        <f>IF(N('Dvd Calendar'!$I$3012)=0,"",IF(('Dvd Calendar'!$I$3012&gt;=MIN(DATE(Summary!$C$12,1,1),Summary!$C$11))*('Dvd Calendar'!$I$3012&lt;=MAX(DATE(Summary!$C$12,12,31),Summary!$C$15))*('Dvd Calendar'!$I$3012&gt;Summary!$C$11)=0,"",'Dvd Calendar'!$I$3012*1000000000+ISNUMBER('Dvd Calendar'!$I$3013)*100000000+('Dvd Calendar'!$I$3017='Field Check'!$C$25)*10000000+(N('Dvd Calendar'!$I$3011)&gt;0)*1000000+60*1000+45))</f>
        <v/>
      </c>
      <c r="AV216" s="41">
        <f>IF(N('Dvd Calendar'!$J$3012)=0,"",IF(('Dvd Calendar'!$J$3012&gt;=MIN(DATE(Summary!$C$12,1,1),Summary!$C$11))*('Dvd Calendar'!$J$3012&lt;=MAX(DATE(Summary!$C$12,12,31),Summary!$C$15))*('Dvd Calendar'!$J$3012&gt;Summary!$C$11)=0,"",'Dvd Calendar'!$J$3012*1000000000+ISNUMBER('Dvd Calendar'!$J$3013)*100000000+('Dvd Calendar'!$J$3017='Field Check'!$C$25)*10000000+(N('Dvd Calendar'!$J$3011)&gt;0)*1000000+60*1000+46))</f>
        <v/>
      </c>
      <c r="AW216" s="41">
        <f>IF(N('Dvd Calendar'!$K$3012)=0,"",IF(('Dvd Calendar'!$K$3012&gt;=MIN(DATE(Summary!$C$12,1,1),Summary!$C$11))*('Dvd Calendar'!$K$3012&lt;=MAX(DATE(Summary!$C$12,12,31),Summary!$C$15))*('Dvd Calendar'!$K$3012&gt;Summary!$C$11)=0,"",'Dvd Calendar'!$K$3012*1000000000+ISNUMBER('Dvd Calendar'!$K$3013)*100000000+('Dvd Calendar'!$K$3017='Field Check'!$C$25)*10000000+(N('Dvd Calendar'!$K$3011)&gt;0)*1000000+60*1000+47))</f>
        <v/>
      </c>
      <c r="AX216" s="41">
        <f>IF(N('Dvd Calendar'!$L$3012)=0,"",IF(('Dvd Calendar'!$L$3012&gt;=MIN(DATE(Summary!$C$12,1,1),Summary!$C$11))*('Dvd Calendar'!$L$3012&lt;=MAX(DATE(Summary!$C$12,12,31),Summary!$C$15))*('Dvd Calendar'!$L$3012&gt;Summary!$C$11)=0,"",'Dvd Calendar'!$L$3012*1000000000+ISNUMBER('Dvd Calendar'!$L$3013)*100000000+('Dvd Calendar'!$L$3017='Field Check'!$C$25)*10000000+(N('Dvd Calendar'!$L$3011)&gt;0)*1000000+60*1000+48))</f>
        <v/>
      </c>
      <c r="AY216" s="41">
        <f>IF(N('Dvd Calendar'!$M$3012)=0,"",IF(('Dvd Calendar'!$M$3012&gt;=MIN(DATE(Summary!$C$12,1,1),Summary!$C$11))*('Dvd Calendar'!$M$3012&lt;=MAX(DATE(Summary!$C$12,12,31),Summary!$C$15))*('Dvd Calendar'!$M$3012&gt;Summary!$C$11)=0,"",'Dvd Calendar'!$M$3012*1000000000+ISNUMBER('Dvd Calendar'!$M$3013)*100000000+('Dvd Calendar'!$M$3017='Field Check'!$C$25)*10000000+(N('Dvd Calendar'!$M$3011)&gt;0)*1000000+60*1000+49))</f>
        <v/>
      </c>
      <c r="AZ216" s="41">
        <f>IF(N('Dvd Calendar'!$N$3012)=0,"",IF(('Dvd Calendar'!$N$3012&gt;=MIN(DATE(Summary!$C$12,1,1),Summary!$C$11))*('Dvd Calendar'!$N$3012&lt;=MAX(DATE(Summary!$C$12,12,31),Summary!$C$15))*('Dvd Calendar'!$N$3012&gt;Summary!$C$11)=0,"",'Dvd Calendar'!$N$3012*1000000000+ISNUMBER('Dvd Calendar'!$N$3013)*100000000+('Dvd Calendar'!$N$3017='Field Check'!$C$25)*10000000+(N('Dvd Calendar'!$N$3011)&gt;0)*1000000+60*1000+50))</f>
        <v/>
      </c>
      <c r="BA216" s="41">
        <f>IF(N('Dvd Calendar'!$O$3012)=0,"",IF(('Dvd Calendar'!$O$3012&gt;=MIN(DATE(Summary!$C$12,1,1),Summary!$C$11))*('Dvd Calendar'!$O$3012&lt;=MAX(DATE(Summary!$C$12,12,31),Summary!$C$15))*('Dvd Calendar'!$O$3012&gt;Summary!$C$11)=0,"",'Dvd Calendar'!$O$3012*1000000000+ISNUMBER('Dvd Calendar'!$O$3013)*100000000+('Dvd Calendar'!$O$3017='Field Check'!$C$25)*10000000+(N('Dvd Calendar'!$O$3011)&gt;0)*1000000+60*1000+51))</f>
        <v/>
      </c>
      <c r="BB216" s="41">
        <f>IF(N('Dvd Calendar'!$P$3012)=0,"",IF(('Dvd Calendar'!$P$3012&gt;=MIN(DATE(Summary!$C$12,1,1),Summary!$C$11))*('Dvd Calendar'!$P$3012&lt;=MAX(DATE(Summary!$C$12,12,31),Summary!$C$15))*('Dvd Calendar'!$P$3012&gt;Summary!$C$11)=0,"",'Dvd Calendar'!$P$3012*1000000000+ISNUMBER('Dvd Calendar'!$P$3013)*100000000+('Dvd Calendar'!$P$3017='Field Check'!$C$25)*10000000+(N('Dvd Calendar'!$P$3011)&gt;0)*1000000+60*1000+52))</f>
        <v/>
      </c>
      <c r="BC216" s="41">
        <f>IF(N('Dvd Calendar'!$Q$3012)=0,"",IF(('Dvd Calendar'!$Q$3012&gt;=MIN(DATE(Summary!$C$12,1,1),Summary!$C$11))*('Dvd Calendar'!$Q$3012&lt;=MAX(DATE(Summary!$C$12,12,31),Summary!$C$15))*('Dvd Calendar'!$Q$3012&gt;Summary!$C$11)=0,"",'Dvd Calendar'!$Q$3012*1000000000+ISNUMBER('Dvd Calendar'!$Q$3013)*100000000+('Dvd Calendar'!$Q$3017='Field Check'!$C$25)*10000000+(N('Dvd Calendar'!$Q$3011)&gt;0)*1000000+60*1000+53))</f>
        <v/>
      </c>
      <c r="BD216" s="41">
        <f>IF(N('Dvd Calendar'!$R$3012)=0,"",IF(('Dvd Calendar'!$R$3012&gt;=MIN(DATE(Summary!$C$12,1,1),Summary!$C$11))*('Dvd Calendar'!$R$3012&lt;=MAX(DATE(Summary!$C$12,12,31),Summary!$C$15))*('Dvd Calendar'!$R$3012&gt;Summary!$C$11)=0,"",'Dvd Calendar'!$R$3012*1000000000+ISNUMBER('Dvd Calendar'!$R$3013)*100000000+('Dvd Calendar'!$R$3017='Field Check'!$C$25)*10000000+(N('Dvd Calendar'!$R$3011)&gt;0)*1000000+60*1000+54))</f>
        <v/>
      </c>
      <c r="BE216" s="41">
        <f>IF(N('Dvd Calendar'!$S$3012)=0,"",IF(('Dvd Calendar'!$S$3012&gt;=MIN(DATE(Summary!$C$12,1,1),Summary!$C$11))*('Dvd Calendar'!$S$3012&lt;=MAX(DATE(Summary!$C$12,12,31),Summary!$C$15))*('Dvd Calendar'!$S$3012&gt;Summary!$C$11)=0,"",'Dvd Calendar'!$S$3012*1000000000+ISNUMBER('Dvd Calendar'!$S$3013)*100000000+('Dvd Calendar'!$S$3017='Field Check'!$C$25)*10000000+(N('Dvd Calendar'!$S$3011)&gt;0)*1000000+60*1000+55))</f>
        <v/>
      </c>
      <c r="BF216" s="41">
        <f>IF(N('Dvd Calendar'!$T$3012)=0,"",IF(('Dvd Calendar'!$T$3012&gt;=MIN(DATE(Summary!$C$12,1,1),Summary!$C$11))*('Dvd Calendar'!$T$3012&lt;=MAX(DATE(Summary!$C$12,12,31),Summary!$C$15))*('Dvd Calendar'!$T$3012&gt;Summary!$C$11)=0,"",'Dvd Calendar'!$T$3012*1000000000+ISNUMBER('Dvd Calendar'!$T$3013)*100000000+('Dvd Calendar'!$T$3017='Field Check'!$C$25)*10000000+(N('Dvd Calendar'!$T$3011)&gt;0)*1000000+60*1000+56))</f>
        <v/>
      </c>
      <c r="BG216" s="41">
        <f>IF(N('Dvd Calendar'!$U$3012)=0,"",IF(('Dvd Calendar'!$U$3012&gt;=MIN(DATE(Summary!$C$12,1,1),Summary!$C$11))*('Dvd Calendar'!$U$3012&lt;=MAX(DATE(Summary!$C$12,12,31),Summary!$C$15))*('Dvd Calendar'!$U$3012&gt;Summary!$C$11)=0,"",'Dvd Calendar'!$U$3012*1000000000+ISNUMBER('Dvd Calendar'!$U$3013)*100000000+('Dvd Calendar'!$U$3017='Field Check'!$C$25)*10000000+(N('Dvd Calendar'!$U$3011)&gt;0)*1000000+60*1000+57))</f>
        <v/>
      </c>
      <c r="BH216" s="41">
        <f>IF(N('Dvd Calendar'!$V$3012)=0,"",IF(('Dvd Calendar'!$V$3012&gt;=MIN(DATE(Summary!$C$12,1,1),Summary!$C$11))*('Dvd Calendar'!$V$3012&lt;=MAX(DATE(Summary!$C$12,12,31),Summary!$C$15))*('Dvd Calendar'!$V$3012&gt;Summary!$C$11)=0,"",'Dvd Calendar'!$V$3012*1000000000+ISNUMBER('Dvd Calendar'!$V$3013)*100000000+('Dvd Calendar'!$V$3017='Field Check'!$C$25)*10000000+(N('Dvd Calendar'!$V$3011)&gt;0)*1000000+60*1000+58))</f>
        <v/>
      </c>
      <c r="BI216" s="41">
        <f>IF(N('Dvd Calendar'!$W$3012)=0,"",IF(('Dvd Calendar'!$W$3012&gt;=MIN(DATE(Summary!$C$12,1,1),Summary!$C$11))*('Dvd Calendar'!$W$3012&lt;=MAX(DATE(Summary!$C$12,12,31),Summary!$C$15))*('Dvd Calendar'!$W$3012&gt;Summary!$C$11)=0,"",'Dvd Calendar'!$W$3012*1000000000+ISNUMBER('Dvd Calendar'!$W$3013)*100000000+('Dvd Calendar'!$W$3017='Field Check'!$C$25)*10000000+(N('Dvd Calendar'!$W$3011)&gt;0)*1000000+60*1000+59))</f>
        <v/>
      </c>
      <c r="BJ216" s="41">
        <f>IF(N('Dvd Calendar'!$X$3012)=0,"",IF(('Dvd Calendar'!$X$3012&gt;=MIN(DATE(Summary!$C$12,1,1),Summary!$C$11))*('Dvd Calendar'!$X$3012&lt;=MAX(DATE(Summary!$C$12,12,31),Summary!$C$15))*('Dvd Calendar'!$X$3012&gt;Summary!$C$11)=0,"",'Dvd Calendar'!$X$3012*1000000000+ISNUMBER('Dvd Calendar'!$X$3013)*100000000+('Dvd Calendar'!$X$3017='Field Check'!$C$25)*10000000+(N('Dvd Calendar'!$X$3011)&gt;0)*1000000+60*1000+60))</f>
        <v/>
      </c>
      <c r="BK216" s="41">
        <f>IF(N('Dvd Calendar'!$Y$3012)=0,"",IF(('Dvd Calendar'!$Y$3012&gt;=MIN(DATE(Summary!$C$12,1,1),Summary!$C$11))*('Dvd Calendar'!$Y$3012&lt;=MAX(DATE(Summary!$C$12,12,31),Summary!$C$15))*('Dvd Calendar'!$Y$3012&gt;Summary!$C$11)=0,"",'Dvd Calendar'!$Y$3012*1000000000+ISNUMBER('Dvd Calendar'!$Y$3013)*100000000+('Dvd Calendar'!$Y$3017='Field Check'!$C$25)*10000000+(N('Dvd Calendar'!$Y$3011)&gt;0)*1000000+60*1000+61))</f>
        <v/>
      </c>
      <c r="BL216" s="41">
        <f>IF(N('Dvd Calendar'!$Z$3012)=0,"",IF(('Dvd Calendar'!$Z$3012&gt;=MIN(DATE(Summary!$C$12,1,1),Summary!$C$11))*('Dvd Calendar'!$Z$3012&lt;=MAX(DATE(Summary!$C$12,12,31),Summary!$C$15))*('Dvd Calendar'!$Z$3012&gt;Summary!$C$11)=0,"",'Dvd Calendar'!$Z$3012*1000000000+ISNUMBER('Dvd Calendar'!$Z$3013)*100000000+('Dvd Calendar'!$Z$3017='Field Check'!$C$25)*10000000+(N('Dvd Calendar'!$Z$3011)&gt;0)*1000000+60*1000+62))</f>
        <v/>
      </c>
      <c r="BM216" s="41">
        <f>IF(N('Dvd Calendar'!$AA$3012)=0,"",IF(('Dvd Calendar'!$AA$3012&gt;=MIN(DATE(Summary!$C$12,1,1),Summary!$C$11))*('Dvd Calendar'!$AA$3012&lt;=MAX(DATE(Summary!$C$12,12,31),Summary!$C$15))*('Dvd Calendar'!$AA$3012&gt;Summary!$C$11)=0,"",'Dvd Calendar'!$AA$3012*1000000000+ISNUMBER('Dvd Calendar'!$AA$3013)*100000000+('Dvd Calendar'!$AA$3017='Field Check'!$C$25)*10000000+(N('Dvd Calendar'!$AA$3011)&gt;0)*1000000+60*1000+63))</f>
        <v/>
      </c>
      <c r="BN216" s="41">
        <f>IF(N('Dvd Calendar'!$AB$3012)=0,"",IF(('Dvd Calendar'!$AB$3012&gt;=MIN(DATE(Summary!$C$12,1,1),Summary!$C$11))*('Dvd Calendar'!$AB$3012&lt;=MAX(DATE(Summary!$C$12,12,31),Summary!$C$15))*('Dvd Calendar'!$AB$3012&gt;Summary!$C$11)=0,"",'Dvd Calendar'!$AB$3012*1000000000+ISNUMBER('Dvd Calendar'!$AB$3013)*100000000+('Dvd Calendar'!$AB$3017='Field Check'!$C$25)*10000000+(N('Dvd Calendar'!$AB$3011)&gt;0)*1000000+60*1000+64))</f>
        <v/>
      </c>
      <c r="BO216" s="41">
        <f>IF(N('Dvd Calendar'!$AC$3012)=0,"",IF(('Dvd Calendar'!$AC$3012&gt;=MIN(DATE(Summary!$C$12,1,1),Summary!$C$11))*('Dvd Calendar'!$AC$3012&lt;=MAX(DATE(Summary!$C$12,12,31),Summary!$C$15))*('Dvd Calendar'!$AC$3012&gt;Summary!$C$11)=0,"",'Dvd Calendar'!$AC$3012*1000000000+ISNUMBER('Dvd Calendar'!$AC$3013)*100000000+('Dvd Calendar'!$AC$3017='Field Check'!$C$25)*10000000+(N('Dvd Calendar'!$AC$3011)&gt;0)*1000000+60*1000+65))</f>
        <v/>
      </c>
      <c r="BQ216" s="85">
        <f>IF(C216="","",IF(ISNUMBER('Dvd Calendar'!$E$3006)=FALSE,"",IF((Summary!$C$13="N")*('Dvd Calendar'!$E$3010='Field Check'!$C$25)&gt;0,"",'Dvd Calendar'!$E$3006)))</f>
        <v/>
      </c>
      <c r="BR216" s="85">
        <f>IF(D216="","",IF(ISNUMBER('Dvd Calendar'!$F$3006)=FALSE,"",IF((Summary!$C$13="N")*('Dvd Calendar'!$F$3010='Field Check'!$C$25)&gt;0,"",'Dvd Calendar'!$F$3006)))</f>
        <v/>
      </c>
      <c r="BS216" s="85">
        <f>IF(E216="","",IF(ISNUMBER('Dvd Calendar'!$G$3006)=FALSE,"",IF((Summary!$C$13="N")*('Dvd Calendar'!$G$3010='Field Check'!$C$25)&gt;0,"",'Dvd Calendar'!$G$3006)))</f>
        <v/>
      </c>
      <c r="BT216" s="85">
        <f>IF(F216="","",IF(ISNUMBER('Dvd Calendar'!$H$3006)=FALSE,"",IF((Summary!$C$13="N")*('Dvd Calendar'!$H$3010='Field Check'!$C$25)&gt;0,"",'Dvd Calendar'!$H$3006)))</f>
        <v/>
      </c>
      <c r="BU216" s="85">
        <f>IF(G216="","",IF(ISNUMBER('Dvd Calendar'!$I$3006)=FALSE,"",IF((Summary!$C$13="N")*('Dvd Calendar'!$I$3010='Field Check'!$C$25)&gt;0,"",'Dvd Calendar'!$I$3006)))</f>
        <v/>
      </c>
      <c r="BV216" s="85">
        <f>IF(H216="","",IF(ISNUMBER('Dvd Calendar'!$J$3006)=FALSE,"",IF((Summary!$C$13="N")*('Dvd Calendar'!$J$3010='Field Check'!$C$25)&gt;0,"",'Dvd Calendar'!$J$3006)))</f>
        <v/>
      </c>
      <c r="BW216" s="85">
        <f>IF(I216="","",IF(ISNUMBER('Dvd Calendar'!$K$3006)=FALSE,"",IF((Summary!$C$13="N")*('Dvd Calendar'!$K$3010='Field Check'!$C$25)&gt;0,"",'Dvd Calendar'!$K$3006)))</f>
        <v/>
      </c>
      <c r="BX216" s="85">
        <f>IF(J216="","",IF(ISNUMBER('Dvd Calendar'!$L$3006)=FALSE,"",IF((Summary!$C$13="N")*('Dvd Calendar'!$L$3010='Field Check'!$C$25)&gt;0,"",'Dvd Calendar'!$L$3006)))</f>
        <v/>
      </c>
      <c r="BY216" s="85">
        <f>IF(K216="","",IF(ISNUMBER('Dvd Calendar'!$M$3006)=FALSE,"",IF((Summary!$C$13="N")*('Dvd Calendar'!$M$3010='Field Check'!$C$25)&gt;0,"",'Dvd Calendar'!$M$3006)))</f>
        <v/>
      </c>
      <c r="BZ216" s="85">
        <f>IF(L216="","",IF(ISNUMBER('Dvd Calendar'!$N$3006)=FALSE,"",IF((Summary!$C$13="N")*('Dvd Calendar'!$N$3010='Field Check'!$C$25)&gt;0,"",'Dvd Calendar'!$N$3006)))</f>
        <v/>
      </c>
      <c r="CA216" s="85">
        <f>IF(M216="","",IF(ISNUMBER('Dvd Calendar'!$O$3006)=FALSE,"",IF((Summary!$C$13="N")*('Dvd Calendar'!$O$3010='Field Check'!$C$25)&gt;0,"",'Dvd Calendar'!$O$3006)))</f>
        <v/>
      </c>
      <c r="CB216" s="85">
        <f>IF(N216="","",IF(ISNUMBER('Dvd Calendar'!$P$3006)=FALSE,"",IF((Summary!$C$13="N")*('Dvd Calendar'!$P$3010='Field Check'!$C$25)&gt;0,"",'Dvd Calendar'!$P$3006)))</f>
        <v/>
      </c>
      <c r="CC216" s="85">
        <f>IF(O216="","",IF(ISNUMBER('Dvd Calendar'!$Q$3006)=FALSE,"",IF((Summary!$C$13="N")*('Dvd Calendar'!$Q$3010='Field Check'!$C$25)&gt;0,"",'Dvd Calendar'!$Q$3006)))</f>
        <v/>
      </c>
      <c r="CD216" s="85">
        <f>IF(P216="","",IF(ISNUMBER('Dvd Calendar'!$R$3006)=FALSE,"",IF((Summary!$C$13="N")*('Dvd Calendar'!$R$3010='Field Check'!$C$25)&gt;0,"",'Dvd Calendar'!$R$3006)))</f>
        <v/>
      </c>
      <c r="CE216" s="85">
        <f>IF(Q216="","",IF(ISNUMBER('Dvd Calendar'!$S$3006)=FALSE,"",IF((Summary!$C$13="N")*('Dvd Calendar'!$S$3010='Field Check'!$C$25)&gt;0,"",'Dvd Calendar'!$S$3006)))</f>
        <v/>
      </c>
      <c r="CF216" s="85">
        <f>IF(R216="","",IF(ISNUMBER('Dvd Calendar'!$T$3006)=FALSE,"",IF((Summary!$C$13="N")*('Dvd Calendar'!$T$3010='Field Check'!$C$25)&gt;0,"",'Dvd Calendar'!$T$3006)))</f>
        <v/>
      </c>
      <c r="CG216" s="85">
        <f>IF(S216="","",IF(ISNUMBER('Dvd Calendar'!$U$3006)=FALSE,"",IF((Summary!$C$13="N")*('Dvd Calendar'!$U$3010='Field Check'!$C$25)&gt;0,"",'Dvd Calendar'!$U$3006)))</f>
        <v/>
      </c>
      <c r="CH216" s="85">
        <f>IF(T216="","",IF(ISNUMBER('Dvd Calendar'!$V$3006)=FALSE,"",IF((Summary!$C$13="N")*('Dvd Calendar'!$V$3010='Field Check'!$C$25)&gt;0,"",'Dvd Calendar'!$V$3006)))</f>
        <v/>
      </c>
      <c r="CI216" s="85">
        <f>IF(U216="","",IF(ISNUMBER('Dvd Calendar'!$W$3006)=FALSE,"",IF((Summary!$C$13="N")*('Dvd Calendar'!$W$3010='Field Check'!$C$25)&gt;0,"",'Dvd Calendar'!$W$3006)))</f>
        <v/>
      </c>
      <c r="CJ216" s="85">
        <f>IF(V216="","",IF(ISNUMBER('Dvd Calendar'!$X$3006)=FALSE,"",IF((Summary!$C$13="N")*('Dvd Calendar'!$X$3010='Field Check'!$C$25)&gt;0,"",'Dvd Calendar'!$X$3006)))</f>
        <v/>
      </c>
      <c r="CK216" s="85">
        <f>IF(W216="","",IF(ISNUMBER('Dvd Calendar'!$Y$3006)=FALSE,"",IF((Summary!$C$13="N")*('Dvd Calendar'!$Y$3010='Field Check'!$C$25)&gt;0,"",'Dvd Calendar'!$Y$3006)))</f>
        <v/>
      </c>
      <c r="CL216" s="85">
        <f>IF(X216="","",IF(ISNUMBER('Dvd Calendar'!$Z$3006)=FALSE,"",IF((Summary!$C$13="N")*('Dvd Calendar'!$Z$3010='Field Check'!$C$25)&gt;0,"",'Dvd Calendar'!$Z$3006)))</f>
        <v/>
      </c>
      <c r="CM216" s="85">
        <f>IF(Y216="","",IF(ISNUMBER('Dvd Calendar'!$AA$3006)=FALSE,"",IF((Summary!$C$13="N")*('Dvd Calendar'!$AA$3010='Field Check'!$C$25)&gt;0,"",'Dvd Calendar'!$AA$3006)))</f>
        <v/>
      </c>
      <c r="CN216" s="85">
        <f>IF(Z216="","",IF(ISNUMBER('Dvd Calendar'!$AB$3006)=FALSE,"",IF((Summary!$C$13="N")*('Dvd Calendar'!$AB$3010='Field Check'!$C$25)&gt;0,"",'Dvd Calendar'!$AB$3006)))</f>
        <v/>
      </c>
      <c r="CO216" s="85">
        <f>IF(AA216="","",IF(ISNUMBER('Dvd Calendar'!$AC$3006)=FALSE,"",IF((Summary!$C$13="N")*('Dvd Calendar'!$AC$3010='Field Check'!$C$25)&gt;0,"",'Dvd Calendar'!$AC$3006)))</f>
        <v/>
      </c>
      <c r="CP216" s="85">
        <f>IF(AB216="","",IF(ISNUMBER('Dvd Calendar'!$AD$3006)=FALSE,"",IF((Summary!$C$13="N")*('Dvd Calendar'!$AD$3010='Field Check'!$C$25)&gt;0,"",'Dvd Calendar'!$AD$3006)))</f>
        <v/>
      </c>
      <c r="CQ216" s="85">
        <f>IF(AC216="","",IF(ISNUMBER('Dvd Calendar'!$AE$3006)=FALSE,"",IF((Summary!$C$13="N")*('Dvd Calendar'!$AE$3010='Field Check'!$C$25)&gt;0,"",'Dvd Calendar'!$AE$3006)))</f>
        <v/>
      </c>
      <c r="CR216" s="85">
        <f>IF(AD216="","",IF(ISNUMBER('Dvd Calendar'!$AF$3006)=FALSE,"",IF((Summary!$C$13="N")*('Dvd Calendar'!$AF$3010='Field Check'!$C$25)&gt;0,"",'Dvd Calendar'!$AF$3006)))</f>
        <v/>
      </c>
      <c r="CS216" s="85">
        <f>IF(AE216="","",IF(ISNUMBER('Dvd Calendar'!$AG$3006)=FALSE,"",IF((Summary!$C$13="N")*('Dvd Calendar'!$AG$3010='Field Check'!$C$25)&gt;0,"",'Dvd Calendar'!$AG$3006)))</f>
        <v/>
      </c>
      <c r="CT216" s="85">
        <f>IF(AF216="","",IF(ISNUMBER('Dvd Calendar'!$AH$3006)=FALSE,"",IF((Summary!$C$13="N")*('Dvd Calendar'!$AH$3010='Field Check'!$C$25)&gt;0,"",'Dvd Calendar'!$AH$3006)))</f>
        <v/>
      </c>
      <c r="CU216" s="85">
        <f>IF(AG216="","",IF(ISNUMBER('Dvd Calendar'!$AI$3006)=FALSE,"",IF((Summary!$C$13="N")*('Dvd Calendar'!$AI$3010='Field Check'!$C$25)&gt;0,"",'Dvd Calendar'!$AI$3006)))</f>
        <v/>
      </c>
      <c r="CV216" s="85">
        <f>IF(AH216="","",IF(ISNUMBER('Dvd Calendar'!$AJ$3006)=FALSE,"",IF((Summary!$C$13="N")*('Dvd Calendar'!$AJ$3010='Field Check'!$C$25)&gt;0,"",'Dvd Calendar'!$AJ$3006)))</f>
        <v/>
      </c>
      <c r="CW216" s="85">
        <f>IF(AI216="","",IF(ISNUMBER('Dvd Calendar'!$AK$3006)=FALSE,"",IF((Summary!$C$13="N")*('Dvd Calendar'!$AK$3010='Field Check'!$C$25)&gt;0,"",'Dvd Calendar'!$AK$3006)))</f>
        <v/>
      </c>
      <c r="CX216" s="85">
        <f>IF(AJ216="","",IF(ISNUMBER('Dvd Calendar'!$AL$3006)=FALSE,"",IF((Summary!$C$13="N")*('Dvd Calendar'!$AL$3010='Field Check'!$C$25)&gt;0,"",'Dvd Calendar'!$AL$3006)))</f>
        <v/>
      </c>
      <c r="CY216" s="85">
        <f>IF(AK216="","",IF(ISNUMBER('Dvd Calendar'!$AM$3006)=FALSE,"",IF((Summary!$C$13="N")*('Dvd Calendar'!$AM$3010='Field Check'!$C$25)&gt;0,"",'Dvd Calendar'!$AM$3006)))</f>
        <v/>
      </c>
      <c r="CZ216" s="85">
        <f>IF(AL216="","",IF(ISNUMBER('Dvd Calendar'!$AN$3006)=FALSE,"",IF((Summary!$C$13="N")*('Dvd Calendar'!$AN$3010='Field Check'!$C$25)&gt;0,"",'Dvd Calendar'!$AN$3006)))</f>
        <v/>
      </c>
      <c r="DA216" s="85">
        <f>IF(AM216="","",IF(ISNUMBER('Dvd Calendar'!$AO$3006)=FALSE,"",IF((Summary!$C$13="N")*('Dvd Calendar'!$AO$3010='Field Check'!$C$25)&gt;0,"",'Dvd Calendar'!$AO$3006)))</f>
        <v/>
      </c>
      <c r="DB216" s="85">
        <f>IF(AN216="","",IF(ISNUMBER('Dvd Calendar'!$AP$3006)=FALSE,"",IF((Summary!$C$13="N")*('Dvd Calendar'!$AP$3010='Field Check'!$C$25)&gt;0,"",'Dvd Calendar'!$AP$3006)))</f>
        <v/>
      </c>
      <c r="DC216" s="85">
        <f>IF(AO216="","",IF(ISNUMBER('Dvd Calendar'!$AQ$3006)=FALSE,"",IF((Summary!$C$13="N")*('Dvd Calendar'!$AQ$3010='Field Check'!$C$25)&gt;0,"",'Dvd Calendar'!$AQ$3006)))</f>
        <v/>
      </c>
      <c r="DD216" s="85">
        <f>IF(AP216="","",IF(ISNUMBER('Dvd Calendar'!$AR$3006)=FALSE,"",IF((Summary!$C$13="N")*('Dvd Calendar'!$AR$3010='Field Check'!$C$25)&gt;0,"",'Dvd Calendar'!$AR$3006)))</f>
        <v/>
      </c>
      <c r="DE216" s="85">
        <f>IF(AQ216="","",IF(ISNUMBER('Dvd Calendar'!$E$3013)=FALSE,"",IF((Summary!$C$13="N")*('Dvd Calendar'!$E$3017='Field Check'!$C$25)&gt;0,"",'Dvd Calendar'!$E$3013)))</f>
        <v/>
      </c>
      <c r="DF216" s="85">
        <f>IF(AR216="","",IF(ISNUMBER('Dvd Calendar'!$F$3013)=FALSE,"",IF((Summary!$C$13="N")*('Dvd Calendar'!$F$3017='Field Check'!$C$25)&gt;0,"",'Dvd Calendar'!$F$3013)))</f>
        <v/>
      </c>
      <c r="DG216" s="85">
        <f>IF(AS216="","",IF(ISNUMBER('Dvd Calendar'!$G$3013)=FALSE,"",IF((Summary!$C$13="N")*('Dvd Calendar'!$G$3017='Field Check'!$C$25)&gt;0,"",'Dvd Calendar'!$G$3013)))</f>
        <v/>
      </c>
      <c r="DH216" s="85">
        <f>IF(AT216="","",IF(ISNUMBER('Dvd Calendar'!$H$3013)=FALSE,"",IF((Summary!$C$13="N")*('Dvd Calendar'!$H$3017='Field Check'!$C$25)&gt;0,"",'Dvd Calendar'!$H$3013)))</f>
        <v/>
      </c>
      <c r="DI216" s="85">
        <f>IF(AU216="","",IF(ISNUMBER('Dvd Calendar'!$I$3013)=FALSE,"",IF((Summary!$C$13="N")*('Dvd Calendar'!$I$3017='Field Check'!$C$25)&gt;0,"",'Dvd Calendar'!$I$3013)))</f>
        <v/>
      </c>
      <c r="DJ216" s="85">
        <f>IF(AV216="","",IF(ISNUMBER('Dvd Calendar'!$J$3013)=FALSE,"",IF((Summary!$C$13="N")*('Dvd Calendar'!$J$3017='Field Check'!$C$25)&gt;0,"",'Dvd Calendar'!$J$3013)))</f>
        <v/>
      </c>
      <c r="DK216" s="85">
        <f>IF(AW216="","",IF(ISNUMBER('Dvd Calendar'!$K$3013)=FALSE,"",IF((Summary!$C$13="N")*('Dvd Calendar'!$K$3017='Field Check'!$C$25)&gt;0,"",'Dvd Calendar'!$K$3013)))</f>
        <v/>
      </c>
      <c r="DL216" s="85">
        <f>IF(AX216="","",IF(ISNUMBER('Dvd Calendar'!$L$3013)=FALSE,"",IF((Summary!$C$13="N")*('Dvd Calendar'!$L$3017='Field Check'!$C$25)&gt;0,"",'Dvd Calendar'!$L$3013)))</f>
        <v/>
      </c>
      <c r="DM216" s="85">
        <f>IF(AY216="","",IF(ISNUMBER('Dvd Calendar'!$M$3013)=FALSE,"",IF((Summary!$C$13="N")*('Dvd Calendar'!$M$3017='Field Check'!$C$25)&gt;0,"",'Dvd Calendar'!$M$3013)))</f>
        <v/>
      </c>
      <c r="DN216" s="85">
        <f>IF(AZ216="","",IF(ISNUMBER('Dvd Calendar'!$N$3013)=FALSE,"",IF((Summary!$C$13="N")*('Dvd Calendar'!$N$3017='Field Check'!$C$25)&gt;0,"",'Dvd Calendar'!$N$3013)))</f>
        <v/>
      </c>
      <c r="DO216" s="85">
        <f>IF(BA216="","",IF(ISNUMBER('Dvd Calendar'!$O$3013)=FALSE,"",IF((Summary!$C$13="N")*('Dvd Calendar'!$O$3017='Field Check'!$C$25)&gt;0,"",'Dvd Calendar'!$O$3013)))</f>
        <v/>
      </c>
      <c r="DP216" s="85">
        <f>IF(BB216="","",IF(ISNUMBER('Dvd Calendar'!$P$3013)=FALSE,"",IF((Summary!$C$13="N")*('Dvd Calendar'!$P$3017='Field Check'!$C$25)&gt;0,"",'Dvd Calendar'!$P$3013)))</f>
        <v/>
      </c>
      <c r="DQ216" s="85">
        <f>IF(BC216="","",IF(ISNUMBER('Dvd Calendar'!$Q$3013)=FALSE,"",IF((Summary!$C$13="N")*('Dvd Calendar'!$Q$3017='Field Check'!$C$25)&gt;0,"",'Dvd Calendar'!$Q$3013)))</f>
        <v/>
      </c>
      <c r="DR216" s="85">
        <f>IF(BD216="","",IF(ISNUMBER('Dvd Calendar'!$R$3013)=FALSE,"",IF((Summary!$C$13="N")*('Dvd Calendar'!$R$3017='Field Check'!$C$25)&gt;0,"",'Dvd Calendar'!$R$3013)))</f>
        <v/>
      </c>
      <c r="DS216" s="85">
        <f>IF(BE216="","",IF(ISNUMBER('Dvd Calendar'!$S$3013)=FALSE,"",IF((Summary!$C$13="N")*('Dvd Calendar'!$S$3017='Field Check'!$C$25)&gt;0,"",'Dvd Calendar'!$S$3013)))</f>
        <v/>
      </c>
      <c r="DT216" s="85">
        <f>IF(BF216="","",IF(ISNUMBER('Dvd Calendar'!$T$3013)=FALSE,"",IF((Summary!$C$13="N")*('Dvd Calendar'!$T$3017='Field Check'!$C$25)&gt;0,"",'Dvd Calendar'!$T$3013)))</f>
        <v/>
      </c>
      <c r="DU216" s="85">
        <f>IF(BG216="","",IF(ISNUMBER('Dvd Calendar'!$U$3013)=FALSE,"",IF((Summary!$C$13="N")*('Dvd Calendar'!$U$3017='Field Check'!$C$25)&gt;0,"",'Dvd Calendar'!$U$3013)))</f>
        <v/>
      </c>
      <c r="DV216" s="85">
        <f>IF(BH216="","",IF(ISNUMBER('Dvd Calendar'!$V$3013)=FALSE,"",IF((Summary!$C$13="N")*('Dvd Calendar'!$V$3017='Field Check'!$C$25)&gt;0,"",'Dvd Calendar'!$V$3013)))</f>
        <v/>
      </c>
      <c r="DW216" s="85">
        <f>IF(BI216="","",IF(ISNUMBER('Dvd Calendar'!$W$3013)=FALSE,"",IF((Summary!$C$13="N")*('Dvd Calendar'!$W$3017='Field Check'!$C$25)&gt;0,"",'Dvd Calendar'!$W$3013)))</f>
        <v/>
      </c>
      <c r="DX216" s="85">
        <f>IF(BJ216="","",IF(ISNUMBER('Dvd Calendar'!$X$3013)=FALSE,"",IF((Summary!$C$13="N")*('Dvd Calendar'!$X$3017='Field Check'!$C$25)&gt;0,"",'Dvd Calendar'!$X$3013)))</f>
        <v/>
      </c>
      <c r="DY216" s="85">
        <f>IF(BK216="","",IF(ISNUMBER('Dvd Calendar'!$Y$3013)=FALSE,"",IF((Summary!$C$13="N")*('Dvd Calendar'!$Y$3017='Field Check'!$C$25)&gt;0,"",'Dvd Calendar'!$Y$3013)))</f>
        <v/>
      </c>
      <c r="DZ216" s="85">
        <f>IF(BL216="","",IF(ISNUMBER('Dvd Calendar'!$Z$3013)=FALSE,"",IF((Summary!$C$13="N")*('Dvd Calendar'!$Z$3017='Field Check'!$C$25)&gt;0,"",'Dvd Calendar'!$Z$3013)))</f>
        <v/>
      </c>
      <c r="EA216" s="85">
        <f>IF(BM216="","",IF(ISNUMBER('Dvd Calendar'!$AA$3013)=FALSE,"",IF((Summary!$C$13="N")*('Dvd Calendar'!$AA$3017='Field Check'!$C$25)&gt;0,"",'Dvd Calendar'!$AA$3013)))</f>
        <v/>
      </c>
      <c r="EB216" s="85">
        <f>IF(BN216="","",IF(ISNUMBER('Dvd Calendar'!$AB$3013)=FALSE,"",IF((Summary!$C$13="N")*('Dvd Calendar'!$AB$3017='Field Check'!$C$25)&gt;0,"",'Dvd Calendar'!$AB$3013)))</f>
        <v/>
      </c>
      <c r="EC216" s="85">
        <f>IF(BO216="","",IF(ISNUMBER('Dvd Calendar'!$AC$3013)=FALSE,"",IF((Summary!$C$13="N")*('Dvd Calendar'!$AC$3017='Field Check'!$C$25)&gt;0,"",'Dvd Calendar'!$AC$3013)))</f>
        <v/>
      </c>
      <c r="EE216" s="85">
        <f>IF(BQ216="","",IFERROR(BQ216*HSCEI!$B$66*HSCEI!$G$66/HSCEI!$B$3,""))</f>
        <v/>
      </c>
      <c r="EF216" s="85">
        <f>IF(BR216="","",IFERROR(BR216*HSCEI!$B$66*HSCEI!$G$66/HSCEI!$B$3,""))</f>
        <v/>
      </c>
      <c r="EG216" s="85">
        <f>IF(BS216="","",IFERROR(BS216*HSCEI!$B$66*HSCEI!$G$66/HSCEI!$B$3,""))</f>
        <v/>
      </c>
      <c r="EH216" s="85">
        <f>IF(BT216="","",IFERROR(BT216*HSCEI!$B$66*HSCEI!$G$66/HSCEI!$B$3,""))</f>
        <v/>
      </c>
      <c r="EI216" s="85">
        <f>IF(BU216="","",IFERROR(BU216*HSCEI!$B$66*HSCEI!$G$66/HSCEI!$B$3,""))</f>
        <v/>
      </c>
      <c r="EJ216" s="85">
        <f>IF(BV216="","",IFERROR(BV216*HSCEI!$B$66*HSCEI!$G$66/HSCEI!$B$3,""))</f>
        <v/>
      </c>
      <c r="EK216" s="85">
        <f>IF(BW216="","",IFERROR(BW216*HSCEI!$B$66*HSCEI!$G$66/HSCEI!$B$3,""))</f>
        <v/>
      </c>
      <c r="EL216" s="85">
        <f>IF(BX216="","",IFERROR(BX216*HSCEI!$B$66*HSCEI!$G$66/HSCEI!$B$3,""))</f>
        <v/>
      </c>
      <c r="EM216" s="85">
        <f>IF(BY216="","",IFERROR(BY216*HSCEI!$B$66*HSCEI!$G$66/HSCEI!$B$3,""))</f>
        <v/>
      </c>
      <c r="EN216" s="85">
        <f>IF(BZ216="","",IFERROR(BZ216*HSCEI!$B$66*HSCEI!$G$66/HSCEI!$B$3,""))</f>
        <v/>
      </c>
      <c r="EO216" s="85">
        <f>IF(CA216="","",IFERROR(CA216*HSCEI!$B$66*HSCEI!$G$66/HSCEI!$B$3,""))</f>
        <v/>
      </c>
      <c r="EP216" s="85">
        <f>IF(CB216="","",IFERROR(CB216*HSCEI!$B$66*HSCEI!$G$66/HSCEI!$B$3,""))</f>
        <v/>
      </c>
      <c r="EQ216" s="85">
        <f>IF(CC216="","",IFERROR(CC216*HSCEI!$B$66*HSCEI!$G$66/HSCEI!$B$3,""))</f>
        <v/>
      </c>
      <c r="ER216" s="85">
        <f>IF(CD216="","",IFERROR(CD216*HSCEI!$B$66*HSCEI!$G$66/HSCEI!$B$3,""))</f>
        <v/>
      </c>
      <c r="ES216" s="85">
        <f>IF(CE216="","",IFERROR(CE216*HSCEI!$B$66*HSCEI!$G$66/HSCEI!$B$3,""))</f>
        <v/>
      </c>
      <c r="ET216" s="85">
        <f>IF(CF216="","",IFERROR(CF216*HSCEI!$B$66*HSCEI!$G$66/HSCEI!$B$3,""))</f>
        <v/>
      </c>
      <c r="EU216" s="85">
        <f>IF(CG216="","",IFERROR(CG216*HSCEI!$B$66*HSCEI!$G$66/HSCEI!$B$3,""))</f>
        <v/>
      </c>
      <c r="EV216" s="85">
        <f>IF(CH216="","",IFERROR(CH216*HSCEI!$B$66*HSCEI!$G$66/HSCEI!$B$3,""))</f>
        <v/>
      </c>
      <c r="EW216" s="85">
        <f>IF(CI216="","",IFERROR(CI216*HSCEI!$B$66*HSCEI!$G$66/HSCEI!$B$3,""))</f>
        <v/>
      </c>
      <c r="EX216" s="85">
        <f>IF(CJ216="","",IFERROR(CJ216*HSCEI!$B$66*HSCEI!$G$66/HSCEI!$B$3,""))</f>
        <v/>
      </c>
      <c r="EY216" s="85">
        <f>IF(CK216="","",IFERROR(CK216*HSCEI!$B$66*HSCEI!$G$66/HSCEI!$B$3,""))</f>
        <v/>
      </c>
      <c r="EZ216" s="85">
        <f>IF(CL216="","",IFERROR(CL216*HSCEI!$B$66*HSCEI!$G$66/HSCEI!$B$3,""))</f>
        <v/>
      </c>
      <c r="FA216" s="85">
        <f>IF(CM216="","",IFERROR(CM216*HSCEI!$B$66*HSCEI!$G$66/HSCEI!$B$3,""))</f>
        <v/>
      </c>
      <c r="FB216" s="85">
        <f>IF(CN216="","",IFERROR(CN216*HSCEI!$B$66*HSCEI!$G$66/HSCEI!$B$3,""))</f>
        <v/>
      </c>
      <c r="FC216" s="85">
        <f>IF(CO216="","",IFERROR(CO216*HSCEI!$B$66*HSCEI!$G$66/HSCEI!$B$3,""))</f>
        <v/>
      </c>
      <c r="FD216" s="85">
        <f>IF(CP216="","",IFERROR(CP216*HSCEI!$B$66*HSCEI!$G$66/HSCEI!$B$3,""))</f>
        <v/>
      </c>
      <c r="FE216" s="85">
        <f>IF(CQ216="","",IFERROR(CQ216*HSCEI!$B$66*HSCEI!$G$66/HSCEI!$B$3,""))</f>
        <v/>
      </c>
      <c r="FF216" s="85">
        <f>IF(CR216="","",IFERROR(CR216*HSCEI!$B$66*HSCEI!$G$66/HSCEI!$B$3,""))</f>
        <v/>
      </c>
      <c r="FG216" s="85">
        <f>IF(CS216="","",IFERROR(CS216*HSCEI!$B$66*HSCEI!$G$66/HSCEI!$B$3,""))</f>
        <v/>
      </c>
      <c r="FH216" s="85">
        <f>IF(CT216="","",IFERROR(CT216*HSCEI!$B$66*HSCEI!$G$66/HSCEI!$B$3,""))</f>
        <v/>
      </c>
      <c r="FI216" s="85">
        <f>IF(CU216="","",IFERROR(CU216*HSCEI!$B$66*HSCEI!$G$66/HSCEI!$B$3,""))</f>
        <v/>
      </c>
      <c r="FJ216" s="85">
        <f>IF(CV216="","",IFERROR(CV216*HSCEI!$B$66*HSCEI!$G$66/HSCEI!$B$3,""))</f>
        <v/>
      </c>
      <c r="FK216" s="85">
        <f>IF(CW216="","",IFERROR(CW216*HSCEI!$B$66*HSCEI!$G$66/HSCEI!$B$3,""))</f>
        <v/>
      </c>
      <c r="FL216" s="85">
        <f>IF(CX216="","",IFERROR(CX216*HSCEI!$B$66*HSCEI!$G$66/HSCEI!$B$3,""))</f>
        <v/>
      </c>
      <c r="FM216" s="85">
        <f>IF(CY216="","",IFERROR(CY216*HSCEI!$B$66*HSCEI!$G$66/HSCEI!$B$3,""))</f>
        <v/>
      </c>
      <c r="FN216" s="85">
        <f>IF(CZ216="","",IFERROR(CZ216*HSCEI!$B$66*HSCEI!$G$66/HSCEI!$B$3,""))</f>
        <v/>
      </c>
      <c r="FO216" s="85">
        <f>IF(DA216="","",IFERROR(DA216*HSCEI!$B$66*HSCEI!$G$66/HSCEI!$B$3,""))</f>
        <v/>
      </c>
      <c r="FP216" s="85">
        <f>IF(DB216="","",IFERROR(DB216*HSCEI!$B$66*HSCEI!$G$66/HSCEI!$B$3,""))</f>
        <v/>
      </c>
      <c r="FQ216" s="85">
        <f>IF(DC216="","",IFERROR(DC216*HSCEI!$B$66*HSCEI!$G$66/HSCEI!$B$3,""))</f>
        <v/>
      </c>
      <c r="FR216" s="85">
        <f>IF(DD216="","",IFERROR(DD216*HSCEI!$B$66*HSCEI!$G$66/HSCEI!$B$3,""))</f>
        <v/>
      </c>
      <c r="FS216" s="85">
        <f>IF(DE216="","",IFERROR(DE216*HSCEI!$B$66*HSCEI!$G$66/HSCEI!$B$3,""))</f>
        <v/>
      </c>
      <c r="FT216" s="85">
        <f>IF(DF216="","",IFERROR(DF216*HSCEI!$B$66*HSCEI!$G$66/HSCEI!$B$3,""))</f>
        <v/>
      </c>
      <c r="FU216" s="85">
        <f>IF(DG216="","",IFERROR(DG216*HSCEI!$B$66*HSCEI!$G$66/HSCEI!$B$3,""))</f>
        <v/>
      </c>
      <c r="FV216" s="85">
        <f>IF(DH216="","",IFERROR(DH216*HSCEI!$B$66*HSCEI!$G$66/HSCEI!$B$3,""))</f>
        <v/>
      </c>
      <c r="FW216" s="85">
        <f>IF(DI216="","",IFERROR(DI216*HSCEI!$B$66*HSCEI!$G$66/HSCEI!$B$3,""))</f>
        <v/>
      </c>
      <c r="FX216" s="85">
        <f>IF(DJ216="","",IFERROR(DJ216*HSCEI!$B$66*HSCEI!$G$66/HSCEI!$B$3,""))</f>
        <v/>
      </c>
      <c r="FY216" s="85">
        <f>IF(DK216="","",IFERROR(DK216*HSCEI!$B$66*HSCEI!$G$66/HSCEI!$B$3,""))</f>
        <v/>
      </c>
      <c r="FZ216" s="85">
        <f>IF(DL216="","",IFERROR(DL216*HSCEI!$B$66*HSCEI!$G$66/HSCEI!$B$3,""))</f>
        <v/>
      </c>
      <c r="GA216" s="85">
        <f>IF(DM216="","",IFERROR(DM216*HSCEI!$B$66*HSCEI!$G$66/HSCEI!$B$3,""))</f>
        <v/>
      </c>
      <c r="GB216" s="85">
        <f>IF(DN216="","",IFERROR(DN216*HSCEI!$B$66*HSCEI!$G$66/HSCEI!$B$3,""))</f>
        <v/>
      </c>
      <c r="GC216" s="85">
        <f>IF(DO216="","",IFERROR(DO216*HSCEI!$B$66*HSCEI!$G$66/HSCEI!$B$3,""))</f>
        <v/>
      </c>
      <c r="GD216" s="85">
        <f>IF(DP216="","",IFERROR(DP216*HSCEI!$B$66*HSCEI!$G$66/HSCEI!$B$3,""))</f>
        <v/>
      </c>
      <c r="GE216" s="85">
        <f>IF(DQ216="","",IFERROR(DQ216*HSCEI!$B$66*HSCEI!$G$66/HSCEI!$B$3,""))</f>
        <v/>
      </c>
      <c r="GF216" s="85">
        <f>IF(DR216="","",IFERROR(DR216*HSCEI!$B$66*HSCEI!$G$66/HSCEI!$B$3,""))</f>
        <v/>
      </c>
      <c r="GG216" s="85">
        <f>IF(DS216="","",IFERROR(DS216*HSCEI!$B$66*HSCEI!$G$66/HSCEI!$B$3,""))</f>
        <v/>
      </c>
      <c r="GH216" s="85">
        <f>IF(DT216="","",IFERROR(DT216*HSCEI!$B$66*HSCEI!$G$66/HSCEI!$B$3,""))</f>
        <v/>
      </c>
      <c r="GI216" s="85">
        <f>IF(DU216="","",IFERROR(DU216*HSCEI!$B$66*HSCEI!$G$66/HSCEI!$B$3,""))</f>
        <v/>
      </c>
      <c r="GJ216" s="85">
        <f>IF(DV216="","",IFERROR(DV216*HSCEI!$B$66*HSCEI!$G$66/HSCEI!$B$3,""))</f>
        <v/>
      </c>
      <c r="GK216" s="85">
        <f>IF(DW216="","",IFERROR(DW216*HSCEI!$B$66*HSCEI!$G$66/HSCEI!$B$3,""))</f>
        <v/>
      </c>
      <c r="GL216" s="85">
        <f>IF(DX216="","",IFERROR(DX216*HSCEI!$B$66*HSCEI!$G$66/HSCEI!$B$3,""))</f>
        <v/>
      </c>
      <c r="GM216" s="85">
        <f>IF(DY216="","",IFERROR(DY216*HSCEI!$B$66*HSCEI!$G$66/HSCEI!$B$3,""))</f>
        <v/>
      </c>
      <c r="GN216" s="85">
        <f>IF(DZ216="","",IFERROR(DZ216*HSCEI!$B$66*HSCEI!$G$66/HSCEI!$B$3,""))</f>
        <v/>
      </c>
      <c r="GO216" s="85">
        <f>IF(EA216="","",IFERROR(EA216*HSCEI!$B$66*HSCEI!$G$66/HSCEI!$B$3,""))</f>
        <v/>
      </c>
      <c r="GP216" s="85">
        <f>IF(EB216="","",IFERROR(EB216*HSCEI!$B$66*HSCEI!$G$66/HSCEI!$B$3,""))</f>
        <v/>
      </c>
      <c r="GQ216" s="85">
        <f>IF(EC216="","",IFERROR(EC216*HSCEI!$B$66*HSCEI!$G$66/HSCEI!$B$3,""))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2026-08-06T16:08:02Z</dcterms:created>
  <dcterms:modified xsi:type="dcterms:W3CDTF">2026-08-06T16:08:03Z</dcterms:modified>
</cp:coreProperties>
</file>